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480" yWindow="855" windowWidth="17400" windowHeight="7785" tabRatio="927" activeTab="10"/>
  </bookViews>
  <sheets>
    <sheet name="company " sheetId="30" r:id="rId1"/>
    <sheet name="DATA" sheetId="23" r:id="rId2"/>
    <sheet name="CASH-C2" sheetId="1" r:id="rId3"/>
    <sheet name="AP-AR" sheetId="4" r:id="rId4"/>
    <sheet name="AP-AR1" sheetId="35" r:id="rId5"/>
    <sheet name="AP-AR2" sheetId="36" r:id="rId6"/>
    <sheet name="TN" sheetId="20" r:id="rId7"/>
    <sheet name="RC" sheetId="21" r:id="rId8"/>
    <sheet name="T_or" sheetId="37" r:id="rId9"/>
    <sheet name="FIXED ASSET" sheetId="15" r:id="rId10"/>
    <sheet name="JURNAL" sheetId="33" r:id="rId11"/>
    <sheet name="TSALIN" sheetId="22" r:id="rId12"/>
    <sheet name="STAT1" sheetId="5" r:id="rId13"/>
    <sheet name="STAT2" sheetId="6" r:id="rId14"/>
    <sheet name="STAT3" sheetId="7" r:id="rId15"/>
    <sheet name="STAT4" sheetId="8" r:id="rId16"/>
    <sheet name="BS" sheetId="10" r:id="rId17"/>
    <sheet name="IS" sheetId="11" r:id="rId18"/>
    <sheet name="OC" sheetId="12" r:id="rId19"/>
    <sheet name="CF" sheetId="13" r:id="rId20"/>
    <sheet name="TT-02" sheetId="26" r:id="rId21"/>
    <sheet name="TT-z" sheetId="29" r:id="rId22"/>
    <sheet name="TT-02г" sheetId="27" r:id="rId23"/>
    <sheet name="TT-11" sheetId="28" r:id="rId24"/>
    <sheet name="TT-11(1)" sheetId="38" r:id="rId25"/>
    <sheet name="TT-03a" sheetId="39" r:id="rId26"/>
    <sheet name="nuur" sheetId="31" r:id="rId27"/>
    <sheet name="nuur1" sheetId="32" r:id="rId28"/>
    <sheet name="todruulga " sheetId="40" r:id="rId29"/>
  </sheets>
  <externalReferences>
    <externalReference r:id="rId30"/>
    <externalReference r:id="rId31"/>
    <externalReference r:id="rId32"/>
    <externalReference r:id="rId33"/>
  </externalReferences>
  <definedNames>
    <definedName name="_xlnm._FilterDatabase" localSheetId="3" hidden="1">'AP-AR'!$B$5:$R$5681</definedName>
    <definedName name="_xlnm._FilterDatabase" localSheetId="5" hidden="1">'AP-AR2'!$B$5:$R$5683</definedName>
    <definedName name="_xlnm._FilterDatabase" localSheetId="2" hidden="1">#REF!</definedName>
    <definedName name="_xlnm._FilterDatabase" localSheetId="1" hidden="1">DATA!$A$3:$J$3</definedName>
    <definedName name="_xlnm._FilterDatabase" localSheetId="10" hidden="1">JURNAL!$A$5:$Q$3165</definedName>
    <definedName name="_xlnm._FilterDatabase" localSheetId="7" hidden="1">'RC'!$A$5:$AJ$3434</definedName>
    <definedName name="_xlnm._FilterDatabase" localSheetId="12" hidden="1">STAT1!$B$3:$AA$220</definedName>
    <definedName name="_xlnm._FilterDatabase" localSheetId="13" hidden="1">STAT2!$A$3:$AF$193</definedName>
    <definedName name="_xlnm._FilterDatabase" localSheetId="14" hidden="1">STAT3!$B$3:$AA$220</definedName>
    <definedName name="_xlnm._FilterDatabase" localSheetId="6" hidden="1">TN!$A$7:$U$111</definedName>
    <definedName name="_xlnm.Print_Area" localSheetId="16">BS!$A$1:$H$72</definedName>
    <definedName name="_xlnm.Print_Area" localSheetId="19">CF!$A$1:$J$60</definedName>
    <definedName name="_xlnm.Print_Area" localSheetId="17">IS!$A$1:$I$40</definedName>
    <definedName name="_xlnm.Print_Area" localSheetId="18">OC!$A$1:$J$33</definedName>
    <definedName name="RC_Code">OFFSET(INDIRECT("RC!D5"),1,0,INDIRECT("RC!B3"),1)</definedName>
    <definedName name="RC_date">OFFSET(INDIRECT("RC!C5"),1,0,INDIRECT("RC!B3"),1)</definedName>
    <definedName name="RC_or_totol">OFFSET(INDIRECT("RC!I5"),1,0,INDIRECT("RC!B3"),1)</definedName>
    <definedName name="RC_or_unit">OFFSET(INDIRECT("RC!G5"),1,0,INDIRECT("RC!B3"),1)</definedName>
    <definedName name="RC_zar_totol">OFFSET(INDIRECT("RC!R5"),1,0,INDIRECT("RC!B3"),1)</definedName>
    <definedName name="RC_zar_unit">OFFSET(INDIRECT("RC!L5"),1,0,INDIRECT("RC!B3"),1)</definedName>
    <definedName name="TN_balC1_totol">OFFSET(INDIRECT("TN!G7"),1,0,INDIRECT("TN!A5"),1)</definedName>
    <definedName name="TN_balC1_unit">OFFSET(INDIRECT("TN!E7"),1,0,INDIRECT("TN!A5"),1)</definedName>
    <definedName name="TN_code">OFFSET(INDIRECT("TN!B7"),1,0,INDIRECT("TN!A5"),1)</definedName>
    <definedName name="TN_table">OFFSET(INDIRECT("TN!B7"),1,0,INDIRECT("TN!A5"),3)</definedName>
  </definedNames>
  <calcPr calcId="124519"/>
</workbook>
</file>

<file path=xl/calcChain.xml><?xml version="1.0" encoding="utf-8"?>
<calcChain xmlns="http://schemas.openxmlformats.org/spreadsheetml/2006/main">
  <c r="F15" i="5"/>
  <c r="M325" i="22" l="1"/>
  <c r="M3" i="28"/>
  <c r="L16"/>
  <c r="P3"/>
  <c r="O3"/>
  <c r="N15"/>
  <c r="M15"/>
  <c r="N14"/>
  <c r="M14"/>
  <c r="N13"/>
  <c r="M13"/>
  <c r="N12"/>
  <c r="M12"/>
  <c r="N11"/>
  <c r="M11"/>
  <c r="N10"/>
  <c r="M10"/>
  <c r="N9"/>
  <c r="M9"/>
  <c r="N8"/>
  <c r="M8"/>
  <c r="N7"/>
  <c r="M7"/>
  <c r="N6"/>
  <c r="M6"/>
  <c r="N5"/>
  <c r="M5"/>
  <c r="N4"/>
  <c r="M4"/>
  <c r="M16" s="1"/>
  <c r="N3"/>
  <c r="M3" i="39"/>
  <c r="N4"/>
  <c r="M4"/>
  <c r="A13" i="38"/>
  <c r="A11"/>
  <c r="A9"/>
  <c r="N16" i="28" l="1"/>
  <c r="O4"/>
  <c r="P4"/>
  <c r="V7" i="15"/>
  <c r="Q7"/>
  <c r="U7"/>
  <c r="O5" i="28" l="1"/>
  <c r="P5"/>
  <c r="P6" s="1"/>
  <c r="H40" i="4"/>
  <c r="G40"/>
  <c r="H39"/>
  <c r="G39"/>
  <c r="H38"/>
  <c r="G38"/>
  <c r="H37"/>
  <c r="G37"/>
  <c r="H36"/>
  <c r="G36"/>
  <c r="H35"/>
  <c r="G35"/>
  <c r="G34"/>
  <c r="B55"/>
  <c r="B54"/>
  <c r="B53"/>
  <c r="B52"/>
  <c r="B51"/>
  <c r="B50"/>
  <c r="B49"/>
  <c r="Q55"/>
  <c r="P55"/>
  <c r="M55"/>
  <c r="L55"/>
  <c r="K55"/>
  <c r="F55"/>
  <c r="Q54"/>
  <c r="P54"/>
  <c r="M54"/>
  <c r="L54"/>
  <c r="Q53"/>
  <c r="P53"/>
  <c r="M53"/>
  <c r="L53"/>
  <c r="Q52"/>
  <c r="P52"/>
  <c r="M52"/>
  <c r="L52"/>
  <c r="Q51"/>
  <c r="P51"/>
  <c r="M51"/>
  <c r="L51"/>
  <c r="Q50"/>
  <c r="P50"/>
  <c r="M50"/>
  <c r="L50"/>
  <c r="Q49"/>
  <c r="P49"/>
  <c r="M49"/>
  <c r="L49"/>
  <c r="D49"/>
  <c r="K45"/>
  <c r="Q40"/>
  <c r="P40"/>
  <c r="Q39"/>
  <c r="P39"/>
  <c r="Q38"/>
  <c r="P38"/>
  <c r="Q37"/>
  <c r="P37"/>
  <c r="K40"/>
  <c r="K39"/>
  <c r="K38"/>
  <c r="K37"/>
  <c r="K36"/>
  <c r="K35"/>
  <c r="F40"/>
  <c r="B40"/>
  <c r="D34"/>
  <c r="B39"/>
  <c r="B38"/>
  <c r="B37"/>
  <c r="B36"/>
  <c r="B35"/>
  <c r="B34"/>
  <c r="F39"/>
  <c r="F38"/>
  <c r="F37"/>
  <c r="F36"/>
  <c r="F35"/>
  <c r="F34"/>
  <c r="F29"/>
  <c r="O6" i="28" l="1"/>
  <c r="O7" s="1"/>
  <c r="M44" i="4"/>
  <c r="L44"/>
  <c r="N55"/>
  <c r="G29"/>
  <c r="P7" i="28" l="1"/>
  <c r="P8" s="1"/>
  <c r="F26" i="4"/>
  <c r="F54" s="1"/>
  <c r="F25"/>
  <c r="F53" s="1"/>
  <c r="F24"/>
  <c r="F52" s="1"/>
  <c r="F23"/>
  <c r="F51" s="1"/>
  <c r="F22"/>
  <c r="F50" s="1"/>
  <c r="F21"/>
  <c r="F49" s="1"/>
  <c r="F20"/>
  <c r="B26"/>
  <c r="B25"/>
  <c r="B24"/>
  <c r="B23"/>
  <c r="B22"/>
  <c r="Q26"/>
  <c r="P26"/>
  <c r="Q25"/>
  <c r="P25"/>
  <c r="Q24"/>
  <c r="P24"/>
  <c r="Q23"/>
  <c r="P23"/>
  <c r="Q22"/>
  <c r="P22"/>
  <c r="Q21"/>
  <c r="P21"/>
  <c r="M26"/>
  <c r="L26"/>
  <c r="M25"/>
  <c r="L25"/>
  <c r="M24"/>
  <c r="L24"/>
  <c r="M23"/>
  <c r="L23"/>
  <c r="M22"/>
  <c r="L22"/>
  <c r="M21"/>
  <c r="L21"/>
  <c r="H26"/>
  <c r="G26"/>
  <c r="H25"/>
  <c r="G25"/>
  <c r="H24"/>
  <c r="G24"/>
  <c r="H23"/>
  <c r="G23"/>
  <c r="H22"/>
  <c r="G22"/>
  <c r="H21"/>
  <c r="G21"/>
  <c r="G20"/>
  <c r="G15" s="1"/>
  <c r="D20"/>
  <c r="B21"/>
  <c r="B20"/>
  <c r="B6"/>
  <c r="I21" l="1"/>
  <c r="I23"/>
  <c r="I25"/>
  <c r="O8" i="28"/>
  <c r="F15" i="4"/>
  <c r="I22"/>
  <c r="I24"/>
  <c r="I26"/>
  <c r="F44"/>
  <c r="O9" i="28" l="1"/>
  <c r="P9"/>
  <c r="P10" s="1"/>
  <c r="R63" i="15"/>
  <c r="P63"/>
  <c r="M63"/>
  <c r="L63"/>
  <c r="K63"/>
  <c r="J63"/>
  <c r="I63"/>
  <c r="H69" i="10"/>
  <c r="O1481" i="33"/>
  <c r="M1481"/>
  <c r="J1481"/>
  <c r="I1481"/>
  <c r="F1481"/>
  <c r="O1480"/>
  <c r="M1480"/>
  <c r="J1480"/>
  <c r="I1480"/>
  <c r="F1480"/>
  <c r="J1851"/>
  <c r="I1851"/>
  <c r="F1851"/>
  <c r="J1850"/>
  <c r="I1850"/>
  <c r="F1850"/>
  <c r="H1969"/>
  <c r="H1968"/>
  <c r="O1894"/>
  <c r="O1893"/>
  <c r="O1892"/>
  <c r="O1891"/>
  <c r="O1890"/>
  <c r="O1889"/>
  <c r="J57"/>
  <c r="J100"/>
  <c r="J102"/>
  <c r="J111"/>
  <c r="J115"/>
  <c r="J117"/>
  <c r="J127"/>
  <c r="J139"/>
  <c r="J141"/>
  <c r="J170"/>
  <c r="J172"/>
  <c r="J183"/>
  <c r="J220"/>
  <c r="J223"/>
  <c r="J225"/>
  <c r="I1269"/>
  <c r="G35" i="11"/>
  <c r="B106" i="26"/>
  <c r="B83" i="29"/>
  <c r="B168" i="27"/>
  <c r="O10" i="28" l="1"/>
  <c r="P11" s="1"/>
  <c r="H14" i="13"/>
  <c r="R918" i="21"/>
  <c r="R917"/>
  <c r="R916"/>
  <c r="R915"/>
  <c r="R914"/>
  <c r="R913"/>
  <c r="R912"/>
  <c r="R911"/>
  <c r="R1114"/>
  <c r="R1113"/>
  <c r="T1083"/>
  <c r="T1082"/>
  <c r="T1060"/>
  <c r="T1059"/>
  <c r="O11" i="28" l="1"/>
  <c r="O12" s="1"/>
  <c r="P12"/>
  <c r="R1083" i="21"/>
  <c r="Q1083"/>
  <c r="P1083"/>
  <c r="O1083"/>
  <c r="N1083"/>
  <c r="R1082"/>
  <c r="Q1082"/>
  <c r="P1082"/>
  <c r="O1082"/>
  <c r="N1082"/>
  <c r="R1060"/>
  <c r="Q1060"/>
  <c r="P1060"/>
  <c r="O1060"/>
  <c r="N1060"/>
  <c r="N1059"/>
  <c r="O1059" s="1"/>
  <c r="R1104"/>
  <c r="Q1104"/>
  <c r="P13" i="28" l="1"/>
  <c r="O13"/>
  <c r="P14" s="1"/>
  <c r="P1059" i="21"/>
  <c r="P1104"/>
  <c r="O1104"/>
  <c r="N1104"/>
  <c r="R1103"/>
  <c r="Q1103"/>
  <c r="P1103"/>
  <c r="O1103"/>
  <c r="N1103"/>
  <c r="R1102"/>
  <c r="Q1102"/>
  <c r="P1102"/>
  <c r="O1102"/>
  <c r="N1102"/>
  <c r="R1101"/>
  <c r="Q1101"/>
  <c r="P1101"/>
  <c r="O1101"/>
  <c r="N1101"/>
  <c r="O14" i="28" l="1"/>
  <c r="O15" s="1"/>
  <c r="P15"/>
  <c r="I390" i="40"/>
  <c r="H394" s="1"/>
  <c r="H384"/>
  <c r="H386" s="1"/>
  <c r="H375"/>
  <c r="H280"/>
  <c r="C39" i="29"/>
  <c r="AD215" i="8" l="1"/>
  <c r="AC215"/>
  <c r="J29" i="12"/>
  <c r="H35" i="11"/>
  <c r="G3" i="33"/>
  <c r="O5" i="8"/>
  <c r="F6" i="1" s="1"/>
  <c r="J1972" i="33"/>
  <c r="I1972"/>
  <c r="J1971"/>
  <c r="I1971"/>
  <c r="F1971"/>
  <c r="B1707"/>
  <c r="T616" i="21"/>
  <c r="J2541" i="33" l="1"/>
  <c r="I2541"/>
  <c r="J2540"/>
  <c r="I2540"/>
  <c r="J2539"/>
  <c r="I2539"/>
  <c r="J2538"/>
  <c r="I2538"/>
  <c r="J2537"/>
  <c r="I2537"/>
  <c r="J2536"/>
  <c r="I2536"/>
  <c r="J2535"/>
  <c r="I2535"/>
  <c r="J2534"/>
  <c r="I2534"/>
  <c r="J2533"/>
  <c r="I2533"/>
  <c r="J2532"/>
  <c r="I2532"/>
  <c r="J2531"/>
  <c r="I2531"/>
  <c r="J2331"/>
  <c r="I2331"/>
  <c r="J2330"/>
  <c r="I2330"/>
  <c r="J2329"/>
  <c r="I2329"/>
  <c r="J2328"/>
  <c r="I2328"/>
  <c r="J2530"/>
  <c r="I2530"/>
  <c r="J2529"/>
  <c r="I2529"/>
  <c r="J2528"/>
  <c r="I2528"/>
  <c r="J2381"/>
  <c r="I2381"/>
  <c r="J2380"/>
  <c r="I2380"/>
  <c r="J2379"/>
  <c r="I2379"/>
  <c r="J1766"/>
  <c r="I1766"/>
  <c r="J1765"/>
  <c r="I1765"/>
  <c r="J2527"/>
  <c r="I2527"/>
  <c r="J2526"/>
  <c r="I2526"/>
  <c r="J2525"/>
  <c r="I2525"/>
  <c r="J2524"/>
  <c r="I2524"/>
  <c r="J2523"/>
  <c r="I2523"/>
  <c r="J2522"/>
  <c r="I2522"/>
  <c r="J2521"/>
  <c r="I2521"/>
  <c r="J2520"/>
  <c r="I2520"/>
  <c r="J2519"/>
  <c r="I2519"/>
  <c r="J2518"/>
  <c r="I2518"/>
  <c r="I2517"/>
  <c r="J2517"/>
  <c r="J2516"/>
  <c r="I2516"/>
  <c r="J2356"/>
  <c r="I2356"/>
  <c r="J2355"/>
  <c r="I2355"/>
  <c r="J2343"/>
  <c r="I2343"/>
  <c r="J2342"/>
  <c r="I2342"/>
  <c r="J2239"/>
  <c r="I2239"/>
  <c r="J2238"/>
  <c r="I2238"/>
  <c r="J2325"/>
  <c r="I2325"/>
  <c r="J2324"/>
  <c r="I2324"/>
  <c r="J2237"/>
  <c r="I2237"/>
  <c r="O3274"/>
  <c r="O3273"/>
  <c r="O3272"/>
  <c r="O3271"/>
  <c r="O3270"/>
  <c r="O3269"/>
  <c r="O3268"/>
  <c r="O3267"/>
  <c r="O3266"/>
  <c r="O3265"/>
  <c r="O3264"/>
  <c r="O3263"/>
  <c r="O3262"/>
  <c r="O3261"/>
  <c r="O3260"/>
  <c r="O3259"/>
  <c r="O3258"/>
  <c r="O3257"/>
  <c r="O3256"/>
  <c r="O3255"/>
  <c r="O3254"/>
  <c r="O3253"/>
  <c r="O3252"/>
  <c r="O3251"/>
  <c r="O3250"/>
  <c r="O3249"/>
  <c r="O3248"/>
  <c r="O3247"/>
  <c r="O3246"/>
  <c r="O3245"/>
  <c r="O3244"/>
  <c r="O3243"/>
  <c r="O3242"/>
  <c r="O3241"/>
  <c r="O3240"/>
  <c r="O3239"/>
  <c r="O3238"/>
  <c r="O3237"/>
  <c r="O3236"/>
  <c r="O3235"/>
  <c r="O3234"/>
  <c r="O3233"/>
  <c r="O3232"/>
  <c r="O3231"/>
  <c r="O3230"/>
  <c r="O3229"/>
  <c r="O3228"/>
  <c r="O3227"/>
  <c r="O3226"/>
  <c r="O3225"/>
  <c r="O3224"/>
  <c r="O3223"/>
  <c r="O3222"/>
  <c r="O3221"/>
  <c r="O3220"/>
  <c r="O3219"/>
  <c r="O3218"/>
  <c r="O3217"/>
  <c r="O3216"/>
  <c r="O3215"/>
  <c r="O3214"/>
  <c r="O3213"/>
  <c r="O3212"/>
  <c r="O3211"/>
  <c r="O3210"/>
  <c r="O3209"/>
  <c r="O3208"/>
  <c r="O3207"/>
  <c r="O3206"/>
  <c r="O3205"/>
  <c r="O3204"/>
  <c r="O3203"/>
  <c r="O3202"/>
  <c r="O3201"/>
  <c r="O3200"/>
  <c r="O3199"/>
  <c r="O3198"/>
  <c r="O3197"/>
  <c r="O3196"/>
  <c r="O3195"/>
  <c r="O3194"/>
  <c r="O3193"/>
  <c r="O3192"/>
  <c r="O3191"/>
  <c r="O3190"/>
  <c r="O3189"/>
  <c r="O3188"/>
  <c r="O3187"/>
  <c r="O3186"/>
  <c r="O3185"/>
  <c r="O3184"/>
  <c r="O3183"/>
  <c r="O3182"/>
  <c r="O3181"/>
  <c r="O3180"/>
  <c r="O3179"/>
  <c r="O3178"/>
  <c r="O3177"/>
  <c r="O3176"/>
  <c r="O3175"/>
  <c r="O3174"/>
  <c r="O3173"/>
  <c r="O3172"/>
  <c r="O3171"/>
  <c r="O3170"/>
  <c r="O3169"/>
  <c r="O3168"/>
  <c r="O3167"/>
  <c r="O3166"/>
  <c r="O3165"/>
  <c r="O3164"/>
  <c r="O3163"/>
  <c r="O3162"/>
  <c r="O3161"/>
  <c r="O3160"/>
  <c r="O3159"/>
  <c r="O3158"/>
  <c r="O3157"/>
  <c r="O3156"/>
  <c r="O3155"/>
  <c r="O3154"/>
  <c r="O3153"/>
  <c r="O3152"/>
  <c r="O3151"/>
  <c r="O3150"/>
  <c r="O3149"/>
  <c r="O3148"/>
  <c r="O3147"/>
  <c r="O3146"/>
  <c r="O3145"/>
  <c r="O3144"/>
  <c r="O3143"/>
  <c r="O3142"/>
  <c r="O3141"/>
  <c r="O3140"/>
  <c r="O3139"/>
  <c r="O3138"/>
  <c r="O3137"/>
  <c r="O3136"/>
  <c r="O3135"/>
  <c r="O3134"/>
  <c r="O3133"/>
  <c r="O3132"/>
  <c r="O3131"/>
  <c r="O3130"/>
  <c r="O3129"/>
  <c r="O3128"/>
  <c r="O3127"/>
  <c r="O3126"/>
  <c r="O3125"/>
  <c r="O3124"/>
  <c r="O3123"/>
  <c r="O3122"/>
  <c r="O3121"/>
  <c r="O3120"/>
  <c r="O3119"/>
  <c r="O3118"/>
  <c r="O3117"/>
  <c r="O3116"/>
  <c r="O3115"/>
  <c r="O3114"/>
  <c r="O3113"/>
  <c r="O3112"/>
  <c r="O3111"/>
  <c r="O3110"/>
  <c r="O3109"/>
  <c r="O3108"/>
  <c r="O3107"/>
  <c r="O3106"/>
  <c r="O3105"/>
  <c r="O3104"/>
  <c r="O3103"/>
  <c r="O3102"/>
  <c r="O3101"/>
  <c r="O3100"/>
  <c r="O3099"/>
  <c r="O3098"/>
  <c r="O3097"/>
  <c r="O3096"/>
  <c r="O3095"/>
  <c r="O3094"/>
  <c r="O3093"/>
  <c r="O3092"/>
  <c r="O3091"/>
  <c r="O3090"/>
  <c r="O3089"/>
  <c r="O3088"/>
  <c r="O3087"/>
  <c r="O3086"/>
  <c r="O3085"/>
  <c r="O3084"/>
  <c r="O3083"/>
  <c r="O3082"/>
  <c r="O3081"/>
  <c r="O3080"/>
  <c r="O3079"/>
  <c r="O3078"/>
  <c r="O3077"/>
  <c r="O3076"/>
  <c r="O3075"/>
  <c r="O3074"/>
  <c r="O3073"/>
  <c r="O3072"/>
  <c r="O3071"/>
  <c r="O3070"/>
  <c r="O3069"/>
  <c r="O3068"/>
  <c r="O3067"/>
  <c r="O3066"/>
  <c r="O3065"/>
  <c r="O3064"/>
  <c r="O3063"/>
  <c r="O3062"/>
  <c r="O3061"/>
  <c r="O3060"/>
  <c r="O3059"/>
  <c r="O3058"/>
  <c r="O3057"/>
  <c r="O3056"/>
  <c r="O3055"/>
  <c r="O3054"/>
  <c r="O3053"/>
  <c r="O3052"/>
  <c r="O3051"/>
  <c r="O3050"/>
  <c r="O3049"/>
  <c r="O3048"/>
  <c r="O3047"/>
  <c r="O3046"/>
  <c r="O3045"/>
  <c r="O3044"/>
  <c r="O3043"/>
  <c r="O3042"/>
  <c r="O3041"/>
  <c r="O3040"/>
  <c r="O3039"/>
  <c r="O3038"/>
  <c r="O3037"/>
  <c r="O3036"/>
  <c r="O3035"/>
  <c r="O3034"/>
  <c r="O3033"/>
  <c r="O3032"/>
  <c r="O3031"/>
  <c r="O3030"/>
  <c r="O3029"/>
  <c r="O3028"/>
  <c r="O3027"/>
  <c r="O3026"/>
  <c r="O3025"/>
  <c r="O3024"/>
  <c r="O3023"/>
  <c r="O3022"/>
  <c r="O3021"/>
  <c r="O3020"/>
  <c r="O3019"/>
  <c r="O3018"/>
  <c r="O3017"/>
  <c r="O3016"/>
  <c r="O3015"/>
  <c r="O3014"/>
  <c r="O3013"/>
  <c r="O3012"/>
  <c r="O3011"/>
  <c r="O3010"/>
  <c r="O3009"/>
  <c r="O3008"/>
  <c r="O3007"/>
  <c r="O3006"/>
  <c r="O3005"/>
  <c r="O3004"/>
  <c r="O3003"/>
  <c r="O3002"/>
  <c r="O3001"/>
  <c r="O3000"/>
  <c r="O2999"/>
  <c r="O2998"/>
  <c r="O2997"/>
  <c r="O2996"/>
  <c r="O2995"/>
  <c r="O2994"/>
  <c r="O2993"/>
  <c r="O2992"/>
  <c r="O2991"/>
  <c r="O2990"/>
  <c r="O2989"/>
  <c r="O2988"/>
  <c r="O2987"/>
  <c r="O2986"/>
  <c r="O2985"/>
  <c r="O2984"/>
  <c r="O2983"/>
  <c r="O2982"/>
  <c r="O2981"/>
  <c r="O2980"/>
  <c r="O2979"/>
  <c r="O2978"/>
  <c r="O2977"/>
  <c r="O2976"/>
  <c r="O2975"/>
  <c r="O2974"/>
  <c r="O2973"/>
  <c r="O2972"/>
  <c r="O2971"/>
  <c r="O2970"/>
  <c r="O2969"/>
  <c r="O2968"/>
  <c r="O2967"/>
  <c r="O2966"/>
  <c r="O2965"/>
  <c r="O2964"/>
  <c r="O2963"/>
  <c r="O2962"/>
  <c r="O2961"/>
  <c r="O2960"/>
  <c r="O2959"/>
  <c r="O2958"/>
  <c r="O2957"/>
  <c r="O2956"/>
  <c r="O2955"/>
  <c r="O2954"/>
  <c r="O2953"/>
  <c r="O2952"/>
  <c r="O2951"/>
  <c r="O2950"/>
  <c r="O2949"/>
  <c r="O2948"/>
  <c r="O2947"/>
  <c r="O2946"/>
  <c r="O2945"/>
  <c r="O2944"/>
  <c r="O2943"/>
  <c r="O2942"/>
  <c r="O2941"/>
  <c r="O2940"/>
  <c r="O2939"/>
  <c r="O2938"/>
  <c r="O2937"/>
  <c r="O2936"/>
  <c r="O2935"/>
  <c r="O2934"/>
  <c r="O2933"/>
  <c r="O2932"/>
  <c r="O2931"/>
  <c r="O2930"/>
  <c r="O2929"/>
  <c r="O2928"/>
  <c r="O2927"/>
  <c r="O2926"/>
  <c r="O2925"/>
  <c r="O2924"/>
  <c r="O2923"/>
  <c r="O2922"/>
  <c r="O2921"/>
  <c r="O2920"/>
  <c r="O2919"/>
  <c r="O2918"/>
  <c r="O2917"/>
  <c r="O2916"/>
  <c r="O2915"/>
  <c r="O2914"/>
  <c r="O2913"/>
  <c r="O2912"/>
  <c r="O2911"/>
  <c r="O2910"/>
  <c r="O2909"/>
  <c r="O2908"/>
  <c r="O2907"/>
  <c r="O2906"/>
  <c r="O2905"/>
  <c r="O2904"/>
  <c r="O2903"/>
  <c r="O2902"/>
  <c r="O2901"/>
  <c r="O2900"/>
  <c r="O2899"/>
  <c r="O2898"/>
  <c r="O2897"/>
  <c r="O2896"/>
  <c r="O2895"/>
  <c r="O2894"/>
  <c r="O2893"/>
  <c r="O2892"/>
  <c r="O2891"/>
  <c r="O2890"/>
  <c r="O2889"/>
  <c r="O2888"/>
  <c r="O2887"/>
  <c r="O2886"/>
  <c r="O2885"/>
  <c r="O2884"/>
  <c r="O2883"/>
  <c r="O2882"/>
  <c r="O2881"/>
  <c r="O2880"/>
  <c r="O2879"/>
  <c r="O2878"/>
  <c r="O2877"/>
  <c r="O2876"/>
  <c r="O2875"/>
  <c r="O2874"/>
  <c r="O2873"/>
  <c r="O2872"/>
  <c r="O2871"/>
  <c r="O2870"/>
  <c r="O2869"/>
  <c r="O2868"/>
  <c r="O2867"/>
  <c r="O2866"/>
  <c r="O2865"/>
  <c r="O2864"/>
  <c r="O2863"/>
  <c r="O2862"/>
  <c r="O2861"/>
  <c r="O2860"/>
  <c r="O2859"/>
  <c r="O2858"/>
  <c r="O2857"/>
  <c r="O2856"/>
  <c r="O2855"/>
  <c r="O2854"/>
  <c r="O2853"/>
  <c r="O2852"/>
  <c r="O2851"/>
  <c r="O2850"/>
  <c r="O2849"/>
  <c r="O2848"/>
  <c r="O2847"/>
  <c r="O2846"/>
  <c r="O2845"/>
  <c r="O2844"/>
  <c r="O2843"/>
  <c r="O2842"/>
  <c r="O2841"/>
  <c r="O2840"/>
  <c r="O2839"/>
  <c r="O2838"/>
  <c r="O2837"/>
  <c r="O2836"/>
  <c r="O2835"/>
  <c r="O2834"/>
  <c r="O2833"/>
  <c r="O2832"/>
  <c r="O2831"/>
  <c r="O2830"/>
  <c r="O2829"/>
  <c r="O2828"/>
  <c r="O2827"/>
  <c r="O2826"/>
  <c r="O2825"/>
  <c r="O2824"/>
  <c r="O2823"/>
  <c r="O2822"/>
  <c r="O2821"/>
  <c r="O2820"/>
  <c r="O2819"/>
  <c r="O2818"/>
  <c r="O2817"/>
  <c r="O2816"/>
  <c r="O2815"/>
  <c r="O2814"/>
  <c r="O2813"/>
  <c r="O2812"/>
  <c r="O2811"/>
  <c r="O2810"/>
  <c r="O2809"/>
  <c r="O2808"/>
  <c r="O2807"/>
  <c r="O2806"/>
  <c r="O2805"/>
  <c r="O2804"/>
  <c r="O2803"/>
  <c r="O2802"/>
  <c r="O2801"/>
  <c r="O2800"/>
  <c r="O2799"/>
  <c r="O2798"/>
  <c r="O2797"/>
  <c r="O2796"/>
  <c r="O2795"/>
  <c r="O2794"/>
  <c r="O2793"/>
  <c r="O2792"/>
  <c r="O2791"/>
  <c r="O2790"/>
  <c r="O2789"/>
  <c r="O2788"/>
  <c r="O2787"/>
  <c r="O2786"/>
  <c r="O2785"/>
  <c r="O2784"/>
  <c r="O2783"/>
  <c r="O2782"/>
  <c r="O2781"/>
  <c r="O2780"/>
  <c r="O2779"/>
  <c r="O2778"/>
  <c r="O2777"/>
  <c r="O2776"/>
  <c r="O2775"/>
  <c r="O2774"/>
  <c r="O2773"/>
  <c r="O2772"/>
  <c r="O2771"/>
  <c r="O2770"/>
  <c r="O2769"/>
  <c r="O2768"/>
  <c r="O2767"/>
  <c r="O2766"/>
  <c r="O2765"/>
  <c r="O2764"/>
  <c r="O2763"/>
  <c r="O2762"/>
  <c r="O2761"/>
  <c r="O2760"/>
  <c r="O2759"/>
  <c r="O2758"/>
  <c r="O2757"/>
  <c r="O2756"/>
  <c r="O2755"/>
  <c r="O2754"/>
  <c r="O2753"/>
  <c r="O2752"/>
  <c r="O2751"/>
  <c r="O2750"/>
  <c r="O2749"/>
  <c r="O2748"/>
  <c r="O2747"/>
  <c r="O2746"/>
  <c r="O2745"/>
  <c r="O2744"/>
  <c r="O2743"/>
  <c r="O2742"/>
  <c r="O2741"/>
  <c r="O2740"/>
  <c r="O2739"/>
  <c r="O2738"/>
  <c r="O2737"/>
  <c r="O2736"/>
  <c r="O2735"/>
  <c r="O2734"/>
  <c r="O2733"/>
  <c r="O2732"/>
  <c r="O2731"/>
  <c r="O2730"/>
  <c r="O2729"/>
  <c r="O2728"/>
  <c r="O2727"/>
  <c r="O2726"/>
  <c r="O2725"/>
  <c r="O2724"/>
  <c r="O2723"/>
  <c r="O2722"/>
  <c r="O2721"/>
  <c r="O2720"/>
  <c r="O2719"/>
  <c r="O2718"/>
  <c r="O2717"/>
  <c r="O2716"/>
  <c r="O2715"/>
  <c r="O2714"/>
  <c r="O2713"/>
  <c r="O2712"/>
  <c r="O2711"/>
  <c r="O2710"/>
  <c r="O2709"/>
  <c r="O2708"/>
  <c r="O2707"/>
  <c r="O2706"/>
  <c r="O2705"/>
  <c r="O2704"/>
  <c r="O2703"/>
  <c r="O2702"/>
  <c r="O2701"/>
  <c r="O2700"/>
  <c r="O2699"/>
  <c r="O2698"/>
  <c r="O2697"/>
  <c r="O2696"/>
  <c r="O2695"/>
  <c r="O2694"/>
  <c r="O2693"/>
  <c r="O2692"/>
  <c r="O2691"/>
  <c r="O2690"/>
  <c r="O2689"/>
  <c r="O2688"/>
  <c r="O2687"/>
  <c r="O2686"/>
  <c r="O2685"/>
  <c r="O2684"/>
  <c r="O2683"/>
  <c r="O2682"/>
  <c r="O2681"/>
  <c r="O2680"/>
  <c r="O2679"/>
  <c r="O2678"/>
  <c r="O2677"/>
  <c r="O2676"/>
  <c r="O2675"/>
  <c r="O2674"/>
  <c r="O2673"/>
  <c r="O2672"/>
  <c r="O2671"/>
  <c r="O2670"/>
  <c r="O2669"/>
  <c r="O2668"/>
  <c r="O2667"/>
  <c r="O2666"/>
  <c r="O2665"/>
  <c r="O2664"/>
  <c r="O2663"/>
  <c r="O2662"/>
  <c r="O2661"/>
  <c r="O2660"/>
  <c r="O2659"/>
  <c r="O2658"/>
  <c r="O2657"/>
  <c r="O2656"/>
  <c r="O2655"/>
  <c r="O2654"/>
  <c r="O2653"/>
  <c r="O2652"/>
  <c r="O2651"/>
  <c r="O2650"/>
  <c r="O2649"/>
  <c r="O2648"/>
  <c r="O2647"/>
  <c r="O2646"/>
  <c r="O2645"/>
  <c r="O2644"/>
  <c r="O2643"/>
  <c r="O2642"/>
  <c r="O2641"/>
  <c r="O2640"/>
  <c r="O2639"/>
  <c r="O2638"/>
  <c r="O2637"/>
  <c r="O2636"/>
  <c r="O2635"/>
  <c r="O2634"/>
  <c r="O2633"/>
  <c r="O2632"/>
  <c r="O2631"/>
  <c r="O2630"/>
  <c r="O2629"/>
  <c r="O2628"/>
  <c r="O2627"/>
  <c r="O2626"/>
  <c r="O2625"/>
  <c r="O2624"/>
  <c r="O2623"/>
  <c r="O2622"/>
  <c r="O2621"/>
  <c r="O2620"/>
  <c r="O2619"/>
  <c r="O2618"/>
  <c r="O2617"/>
  <c r="O2616"/>
  <c r="O2615"/>
  <c r="O2614"/>
  <c r="O2613"/>
  <c r="O2612"/>
  <c r="O2611"/>
  <c r="O2610"/>
  <c r="O2609"/>
  <c r="O2608"/>
  <c r="O2607"/>
  <c r="O2606"/>
  <c r="O2605"/>
  <c r="O2604"/>
  <c r="O2603"/>
  <c r="O2602"/>
  <c r="O2601"/>
  <c r="O2600"/>
  <c r="O2599"/>
  <c r="O2598"/>
  <c r="O2597"/>
  <c r="O2596"/>
  <c r="O2595"/>
  <c r="O2594"/>
  <c r="O2593"/>
  <c r="O2592"/>
  <c r="O2591"/>
  <c r="O2590"/>
  <c r="O2589"/>
  <c r="O2588"/>
  <c r="O2587"/>
  <c r="O2586"/>
  <c r="O2585"/>
  <c r="O2584"/>
  <c r="O2583"/>
  <c r="O2582"/>
  <c r="O2581"/>
  <c r="O2580"/>
  <c r="O2579"/>
  <c r="O2578"/>
  <c r="O2577"/>
  <c r="O2576"/>
  <c r="O2575"/>
  <c r="O2574"/>
  <c r="O2573"/>
  <c r="O2572"/>
  <c r="O2571"/>
  <c r="O2570"/>
  <c r="O2569"/>
  <c r="O2568"/>
  <c r="O2567"/>
  <c r="O2566"/>
  <c r="O2565"/>
  <c r="O2564"/>
  <c r="O2563"/>
  <c r="O2562"/>
  <c r="O2561"/>
  <c r="O2560"/>
  <c r="O2559"/>
  <c r="O2558"/>
  <c r="O2557"/>
  <c r="O2556"/>
  <c r="O2555"/>
  <c r="O2554"/>
  <c r="O2553"/>
  <c r="O2552"/>
  <c r="O2551"/>
  <c r="O2550"/>
  <c r="O2549"/>
  <c r="O2548"/>
  <c r="O2547"/>
  <c r="O2546"/>
  <c r="O2545"/>
  <c r="O2544"/>
  <c r="O2543"/>
  <c r="O2542"/>
  <c r="O2541"/>
  <c r="O2540"/>
  <c r="O2539"/>
  <c r="O2538"/>
  <c r="O2537"/>
  <c r="O2536"/>
  <c r="O2535"/>
  <c r="O2534"/>
  <c r="O2533"/>
  <c r="O2532"/>
  <c r="O2531"/>
  <c r="O2331"/>
  <c r="O2330"/>
  <c r="O2329"/>
  <c r="O2328"/>
  <c r="O2530"/>
  <c r="O2529"/>
  <c r="O2528"/>
  <c r="O2381"/>
  <c r="O2380"/>
  <c r="O2379"/>
  <c r="O1766"/>
  <c r="O1765"/>
  <c r="O2527"/>
  <c r="O2526"/>
  <c r="O2525"/>
  <c r="O2524"/>
  <c r="O2523"/>
  <c r="O2522"/>
  <c r="O2521"/>
  <c r="O2520"/>
  <c r="O2519"/>
  <c r="O2518"/>
  <c r="O2517"/>
  <c r="O2516"/>
  <c r="O2356"/>
  <c r="O2355"/>
  <c r="O2343"/>
  <c r="O2342"/>
  <c r="O2239"/>
  <c r="O2238"/>
  <c r="O2325"/>
  <c r="O2324"/>
  <c r="O2237"/>
  <c r="O2236"/>
  <c r="O2082"/>
  <c r="O2081"/>
  <c r="O2172"/>
  <c r="O2171"/>
  <c r="O2211"/>
  <c r="O2210"/>
  <c r="O2058"/>
  <c r="O2057"/>
  <c r="O2432"/>
  <c r="O2431"/>
  <c r="O2430"/>
  <c r="O2429"/>
  <c r="O2428"/>
  <c r="O2427"/>
  <c r="O2426"/>
  <c r="O2425"/>
  <c r="O2424"/>
  <c r="O2423"/>
  <c r="O2454"/>
  <c r="O2453"/>
  <c r="O2452"/>
  <c r="O2451"/>
  <c r="O2450"/>
  <c r="O2486"/>
  <c r="O2485"/>
  <c r="O2484"/>
  <c r="O2483"/>
  <c r="O2482"/>
  <c r="O2481"/>
  <c r="O2480"/>
  <c r="O2479"/>
  <c r="O2478"/>
  <c r="O2477"/>
  <c r="O2449"/>
  <c r="O2448"/>
  <c r="O2447"/>
  <c r="O2446"/>
  <c r="O2445"/>
  <c r="O2354"/>
  <c r="O2353"/>
  <c r="O2352"/>
  <c r="O2351"/>
  <c r="O2350"/>
  <c r="O2365"/>
  <c r="O2364"/>
  <c r="O2363"/>
  <c r="O2362"/>
  <c r="O2361"/>
  <c r="O2360"/>
  <c r="O2401"/>
  <c r="O2400"/>
  <c r="O2399"/>
  <c r="O2398"/>
  <c r="O2397"/>
  <c r="O2396"/>
  <c r="O2422"/>
  <c r="O2421"/>
  <c r="O2420"/>
  <c r="O2419"/>
  <c r="O2418"/>
  <c r="O2370"/>
  <c r="O2369"/>
  <c r="O2368"/>
  <c r="O2367"/>
  <c r="O2366"/>
  <c r="O2308"/>
  <c r="O2307"/>
  <c r="O2306"/>
  <c r="O2305"/>
  <c r="O2304"/>
  <c r="O2303"/>
  <c r="O2225"/>
  <c r="O2224"/>
  <c r="O2223"/>
  <c r="O2222"/>
  <c r="O2221"/>
  <c r="O2323"/>
  <c r="O2322"/>
  <c r="O2321"/>
  <c r="O2320"/>
  <c r="O2319"/>
  <c r="O2292"/>
  <c r="O2291"/>
  <c r="O2290"/>
  <c r="O2289"/>
  <c r="O2288"/>
  <c r="O2246"/>
  <c r="O2245"/>
  <c r="O2244"/>
  <c r="O2243"/>
  <c r="O2242"/>
  <c r="O2220"/>
  <c r="O2219"/>
  <c r="O2218"/>
  <c r="O2217"/>
  <c r="O2216"/>
  <c r="O2287"/>
  <c r="O2286"/>
  <c r="O2285"/>
  <c r="O2284"/>
  <c r="O2283"/>
  <c r="O2235"/>
  <c r="O2234"/>
  <c r="O2233"/>
  <c r="O2232"/>
  <c r="O2231"/>
  <c r="O2260"/>
  <c r="O2259"/>
  <c r="O2258"/>
  <c r="O2257"/>
  <c r="O2256"/>
  <c r="O2255"/>
  <c r="O2254"/>
  <c r="O2253"/>
  <c r="O2252"/>
  <c r="O2251"/>
  <c r="O2142"/>
  <c r="O2141"/>
  <c r="O2140"/>
  <c r="O2139"/>
  <c r="O1851"/>
  <c r="O1850"/>
  <c r="O2024"/>
  <c r="O2023"/>
  <c r="O2022"/>
  <c r="O2021"/>
  <c r="O2134"/>
  <c r="O2133"/>
  <c r="O2132"/>
  <c r="O2131"/>
  <c r="O2130"/>
  <c r="O2129"/>
  <c r="O2128"/>
  <c r="O2127"/>
  <c r="O2126"/>
  <c r="O2125"/>
  <c r="O2158"/>
  <c r="O2157"/>
  <c r="O2156"/>
  <c r="O2155"/>
  <c r="O2154"/>
  <c r="O2170"/>
  <c r="O2169"/>
  <c r="O2168"/>
  <c r="O2167"/>
  <c r="O2166"/>
  <c r="O2114"/>
  <c r="O2113"/>
  <c r="O2112"/>
  <c r="O2111"/>
  <c r="O2110"/>
  <c r="O2109"/>
  <c r="O2153"/>
  <c r="O2152"/>
  <c r="O2151"/>
  <c r="O2150"/>
  <c r="O2099"/>
  <c r="O2098"/>
  <c r="O2097"/>
  <c r="O2096"/>
  <c r="O2095"/>
  <c r="O2177"/>
  <c r="O2176"/>
  <c r="O2175"/>
  <c r="O2174"/>
  <c r="O2173"/>
  <c r="O2034"/>
  <c r="O2033"/>
  <c r="O2032"/>
  <c r="O2031"/>
  <c r="O2030"/>
  <c r="O2070"/>
  <c r="O2069"/>
  <c r="O2068"/>
  <c r="O2067"/>
  <c r="O2066"/>
  <c r="O2080"/>
  <c r="O2079"/>
  <c r="O2078"/>
  <c r="O2077"/>
  <c r="O2076"/>
  <c r="O2043"/>
  <c r="O2042"/>
  <c r="O2041"/>
  <c r="O2040"/>
  <c r="O2039"/>
  <c r="O2075"/>
  <c r="O2074"/>
  <c r="O2073"/>
  <c r="O2072"/>
  <c r="O2071"/>
  <c r="O2065"/>
  <c r="O2064"/>
  <c r="O2063"/>
  <c r="O2062"/>
  <c r="O2061"/>
  <c r="O2056"/>
  <c r="O2055"/>
  <c r="O2054"/>
  <c r="O2053"/>
  <c r="O2052"/>
  <c r="O2029"/>
  <c r="O2028"/>
  <c r="O2027"/>
  <c r="O2026"/>
  <c r="O2025"/>
  <c r="O2020"/>
  <c r="O2019"/>
  <c r="O2018"/>
  <c r="O2017"/>
  <c r="O2016"/>
  <c r="O2015"/>
  <c r="O2014"/>
  <c r="O2013"/>
  <c r="O2012"/>
  <c r="O2011"/>
  <c r="O2515"/>
  <c r="O2514"/>
  <c r="O2513"/>
  <c r="O2512"/>
  <c r="O2511"/>
  <c r="O2510"/>
  <c r="O2509"/>
  <c r="O2508"/>
  <c r="O2507"/>
  <c r="O2506"/>
  <c r="O2505"/>
  <c r="O2504"/>
  <c r="O2503"/>
  <c r="O2502"/>
  <c r="O2501"/>
  <c r="O2500"/>
  <c r="O2499"/>
  <c r="O2498"/>
  <c r="O2497"/>
  <c r="O2444"/>
  <c r="O2443"/>
  <c r="O2442"/>
  <c r="O2337"/>
  <c r="O2336"/>
  <c r="O2335"/>
  <c r="O2334"/>
  <c r="O2333"/>
  <c r="O2332"/>
  <c r="O2496"/>
  <c r="O2495"/>
  <c r="O2441"/>
  <c r="O2440"/>
  <c r="O2466"/>
  <c r="O2465"/>
  <c r="O2476"/>
  <c r="O2475"/>
  <c r="O2474"/>
  <c r="O2473"/>
  <c r="O2472"/>
  <c r="O2471"/>
  <c r="O2470"/>
  <c r="O2469"/>
  <c r="O2468"/>
  <c r="O2467"/>
  <c r="O2404"/>
  <c r="O2403"/>
  <c r="O2402"/>
  <c r="O2417"/>
  <c r="O2416"/>
  <c r="Q140" i="36"/>
  <c r="P140"/>
  <c r="Q139"/>
  <c r="P139"/>
  <c r="Q138"/>
  <c r="P138"/>
  <c r="M2530" i="33"/>
  <c r="M2529"/>
  <c r="M2528"/>
  <c r="M2381"/>
  <c r="M2380"/>
  <c r="M2379"/>
  <c r="M1766"/>
  <c r="M1765"/>
  <c r="M2517"/>
  <c r="M2516"/>
  <c r="M2082"/>
  <c r="M2081"/>
  <c r="M2172"/>
  <c r="M2171"/>
  <c r="M2211"/>
  <c r="M2210"/>
  <c r="M2058"/>
  <c r="M2057"/>
  <c r="M2432"/>
  <c r="M2431"/>
  <c r="M2430"/>
  <c r="M2429"/>
  <c r="M2428"/>
  <c r="M2481"/>
  <c r="M2480"/>
  <c r="M2479"/>
  <c r="M2478"/>
  <c r="M2477"/>
  <c r="M2365"/>
  <c r="M2364"/>
  <c r="M2363"/>
  <c r="M2362"/>
  <c r="M2361"/>
  <c r="M2360"/>
  <c r="M2401"/>
  <c r="M2400"/>
  <c r="M2399"/>
  <c r="M2398"/>
  <c r="M2397"/>
  <c r="M2396"/>
  <c r="M2308"/>
  <c r="M2307"/>
  <c r="B2571"/>
  <c r="B2570"/>
  <c r="B2569"/>
  <c r="B2568"/>
  <c r="B2567"/>
  <c r="B2566"/>
  <c r="B2565"/>
  <c r="B2564"/>
  <c r="B2563"/>
  <c r="B2562"/>
  <c r="B2561"/>
  <c r="B2560"/>
  <c r="B2559"/>
  <c r="B2558"/>
  <c r="B2557"/>
  <c r="B2556"/>
  <c r="B2555"/>
  <c r="B2554"/>
  <c r="B2553"/>
  <c r="B2552"/>
  <c r="B2551"/>
  <c r="B2550"/>
  <c r="B2549"/>
  <c r="B2548"/>
  <c r="B2547"/>
  <c r="B2546"/>
  <c r="B2545"/>
  <c r="B2544"/>
  <c r="B2543"/>
  <c r="B2542"/>
  <c r="B2541"/>
  <c r="B2540"/>
  <c r="B2539"/>
  <c r="B2538"/>
  <c r="B2537"/>
  <c r="B2536"/>
  <c r="B2535"/>
  <c r="B2534"/>
  <c r="B2533"/>
  <c r="B2532"/>
  <c r="B2531"/>
  <c r="B2530"/>
  <c r="B2529"/>
  <c r="B2528"/>
  <c r="B2527"/>
  <c r="B2526"/>
  <c r="B2525"/>
  <c r="B2524"/>
  <c r="B2523"/>
  <c r="B2522"/>
  <c r="B2521"/>
  <c r="B2520"/>
  <c r="B2519"/>
  <c r="B2518"/>
  <c r="B2517"/>
  <c r="B2516"/>
  <c r="B2515"/>
  <c r="B2514"/>
  <c r="B2513"/>
  <c r="B2512"/>
  <c r="B2511"/>
  <c r="B2510"/>
  <c r="B2509"/>
  <c r="B2508"/>
  <c r="B2507"/>
  <c r="B2506"/>
  <c r="B2505"/>
  <c r="B2504"/>
  <c r="B2503"/>
  <c r="B2502"/>
  <c r="B2501"/>
  <c r="B2500"/>
  <c r="B2499"/>
  <c r="B2498"/>
  <c r="B2497"/>
  <c r="B2496"/>
  <c r="B2495"/>
  <c r="B2494"/>
  <c r="B2493"/>
  <c r="B2492"/>
  <c r="B2491"/>
  <c r="B2490"/>
  <c r="B2489"/>
  <c r="B2488"/>
  <c r="B2487"/>
  <c r="B2486"/>
  <c r="B2485"/>
  <c r="B2484"/>
  <c r="B2483"/>
  <c r="B2482"/>
  <c r="B2481"/>
  <c r="B2480"/>
  <c r="B2479"/>
  <c r="B2478"/>
  <c r="B2477"/>
  <c r="B2476"/>
  <c r="B2475"/>
  <c r="B2474"/>
  <c r="B2473"/>
  <c r="B2472"/>
  <c r="B2471"/>
  <c r="B2470"/>
  <c r="B2469"/>
  <c r="B2468"/>
  <c r="B2467"/>
  <c r="B2466"/>
  <c r="B2465"/>
  <c r="B2464"/>
  <c r="B2463"/>
  <c r="B2462"/>
  <c r="B2461"/>
  <c r="B2460"/>
  <c r="B2459"/>
  <c r="B2458"/>
  <c r="B2457"/>
  <c r="B2456"/>
  <c r="B2455"/>
  <c r="B2454"/>
  <c r="B2453"/>
  <c r="B2452"/>
  <c r="B2451"/>
  <c r="B2450"/>
  <c r="B2449"/>
  <c r="B2448"/>
  <c r="B2447"/>
  <c r="B2446"/>
  <c r="B2445"/>
  <c r="B2444"/>
  <c r="B2443"/>
  <c r="B2442"/>
  <c r="B2441"/>
  <c r="B2440"/>
  <c r="B2439"/>
  <c r="B2438"/>
  <c r="B2437"/>
  <c r="B2436"/>
  <c r="B2435"/>
  <c r="B2434"/>
  <c r="B2433"/>
  <c r="B2432"/>
  <c r="B2431"/>
  <c r="B2430"/>
  <c r="B2429"/>
  <c r="B2428"/>
  <c r="B2427"/>
  <c r="B2426"/>
  <c r="B2425"/>
  <c r="B2424"/>
  <c r="B2423"/>
  <c r="B2422"/>
  <c r="B2421"/>
  <c r="B2420"/>
  <c r="B2419"/>
  <c r="B2418"/>
  <c r="B2417"/>
  <c r="B2416"/>
  <c r="B2415"/>
  <c r="B2414"/>
  <c r="B2413"/>
  <c r="B2412"/>
  <c r="B2411"/>
  <c r="B2410"/>
  <c r="B2409"/>
  <c r="B2408"/>
  <c r="B2407"/>
  <c r="B2406"/>
  <c r="B2405"/>
  <c r="B2404"/>
  <c r="B2403"/>
  <c r="B2402"/>
  <c r="B2401"/>
  <c r="B2400"/>
  <c r="B2399"/>
  <c r="B2398"/>
  <c r="B2397"/>
  <c r="B2396"/>
  <c r="B2395"/>
  <c r="B2394"/>
  <c r="B2393"/>
  <c r="B2392"/>
  <c r="B2391"/>
  <c r="B2390"/>
  <c r="B2389"/>
  <c r="B2388"/>
  <c r="B2387"/>
  <c r="B2386"/>
  <c r="B2385"/>
  <c r="B2384"/>
  <c r="B2383"/>
  <c r="B2382"/>
  <c r="B2381"/>
  <c r="B2380"/>
  <c r="B2379"/>
  <c r="B2378"/>
  <c r="B2377"/>
  <c r="B2376"/>
  <c r="B2375"/>
  <c r="B2374"/>
  <c r="B2373"/>
  <c r="B2372"/>
  <c r="B2371"/>
  <c r="B2370"/>
  <c r="B2369"/>
  <c r="B2368"/>
  <c r="B2367"/>
  <c r="B2366"/>
  <c r="B2365"/>
  <c r="B2364"/>
  <c r="B2363"/>
  <c r="B2362"/>
  <c r="B2361"/>
  <c r="B2360"/>
  <c r="B2359"/>
  <c r="B2358"/>
  <c r="B2357"/>
  <c r="B2356"/>
  <c r="B2355"/>
  <c r="B2354"/>
  <c r="B2353"/>
  <c r="B2352"/>
  <c r="B2351"/>
  <c r="B2350"/>
  <c r="B2349"/>
  <c r="B2348"/>
  <c r="B2347"/>
  <c r="B2346"/>
  <c r="B2345"/>
  <c r="B2344"/>
  <c r="B2343"/>
  <c r="B2342"/>
  <c r="B2341"/>
  <c r="B2340"/>
  <c r="B2339"/>
  <c r="B2338"/>
  <c r="B2337"/>
  <c r="B2336"/>
  <c r="B2335"/>
  <c r="B2334"/>
  <c r="B2333"/>
  <c r="B2332"/>
  <c r="B2331"/>
  <c r="B2330"/>
  <c r="B2329"/>
  <c r="J2236"/>
  <c r="I2236"/>
  <c r="J2082"/>
  <c r="I2082"/>
  <c r="J2081"/>
  <c r="I2081"/>
  <c r="J2172"/>
  <c r="I2172"/>
  <c r="J2171"/>
  <c r="I2171"/>
  <c r="J2211"/>
  <c r="I2211"/>
  <c r="J2210"/>
  <c r="I2210"/>
  <c r="J2058"/>
  <c r="I2058"/>
  <c r="J2057"/>
  <c r="I2057"/>
  <c r="J2432"/>
  <c r="I2432"/>
  <c r="J2431"/>
  <c r="I2431"/>
  <c r="J2430"/>
  <c r="I2430"/>
  <c r="J2429"/>
  <c r="I2429"/>
  <c r="J2428"/>
  <c r="I2428"/>
  <c r="J2427"/>
  <c r="I2427"/>
  <c r="J2426"/>
  <c r="I2426"/>
  <c r="J2425"/>
  <c r="I2425"/>
  <c r="J2424"/>
  <c r="I2424"/>
  <c r="J2423"/>
  <c r="I2423"/>
  <c r="J2454"/>
  <c r="I2454"/>
  <c r="J2453"/>
  <c r="I2453"/>
  <c r="J2452"/>
  <c r="I2452"/>
  <c r="J2451"/>
  <c r="I2451"/>
  <c r="J2450"/>
  <c r="I2450"/>
  <c r="J2486"/>
  <c r="I2486"/>
  <c r="J2485"/>
  <c r="I2485"/>
  <c r="J2484"/>
  <c r="I2484"/>
  <c r="J2483"/>
  <c r="I2483"/>
  <c r="J2482"/>
  <c r="I2482"/>
  <c r="J2481"/>
  <c r="I2481"/>
  <c r="J2480"/>
  <c r="I2480"/>
  <c r="J2479"/>
  <c r="I2479"/>
  <c r="J2478"/>
  <c r="I2478"/>
  <c r="J2477"/>
  <c r="I2477"/>
  <c r="J2449"/>
  <c r="I2449"/>
  <c r="J2448"/>
  <c r="I2448"/>
  <c r="J2447"/>
  <c r="I2447"/>
  <c r="J2446"/>
  <c r="I2446"/>
  <c r="J2445"/>
  <c r="I2445"/>
  <c r="J2354"/>
  <c r="I2354"/>
  <c r="J2353"/>
  <c r="I2353"/>
  <c r="J2352"/>
  <c r="I2352"/>
  <c r="J2351"/>
  <c r="I2351"/>
  <c r="J2350"/>
  <c r="I2350"/>
  <c r="J2365"/>
  <c r="I2365"/>
  <c r="J2364"/>
  <c r="I2364"/>
  <c r="J2363"/>
  <c r="I2363"/>
  <c r="J2362"/>
  <c r="I2362"/>
  <c r="J2361"/>
  <c r="I2361"/>
  <c r="J2360"/>
  <c r="I2360"/>
  <c r="J2401"/>
  <c r="I2401"/>
  <c r="J2400"/>
  <c r="I2400"/>
  <c r="J2399"/>
  <c r="I2399"/>
  <c r="J2398"/>
  <c r="I2398"/>
  <c r="J2397"/>
  <c r="I2397"/>
  <c r="J2396"/>
  <c r="I2396"/>
  <c r="J2422"/>
  <c r="I2422"/>
  <c r="J2421"/>
  <c r="I2421"/>
  <c r="J2420"/>
  <c r="I2420"/>
  <c r="J2419"/>
  <c r="I2419"/>
  <c r="J2418"/>
  <c r="I2418"/>
  <c r="J2370"/>
  <c r="I2370"/>
  <c r="J2369"/>
  <c r="I2369"/>
  <c r="J2368"/>
  <c r="I2368"/>
  <c r="J2367"/>
  <c r="I2367"/>
  <c r="J2366"/>
  <c r="I2366"/>
  <c r="J2308"/>
  <c r="I2308"/>
  <c r="J2307"/>
  <c r="I2307"/>
  <c r="J2306"/>
  <c r="I2306"/>
  <c r="J2305"/>
  <c r="I2305"/>
  <c r="J2304"/>
  <c r="I2304"/>
  <c r="J2303"/>
  <c r="I2303"/>
  <c r="J2225"/>
  <c r="I2225"/>
  <c r="J2224"/>
  <c r="I2224"/>
  <c r="J2223"/>
  <c r="I2223"/>
  <c r="J2222"/>
  <c r="I2222"/>
  <c r="J2221"/>
  <c r="I2221"/>
  <c r="J2323"/>
  <c r="I2323"/>
  <c r="J2322"/>
  <c r="I2322"/>
  <c r="J2321"/>
  <c r="I2321"/>
  <c r="J2320"/>
  <c r="I2320"/>
  <c r="J2319"/>
  <c r="I2319"/>
  <c r="J2292"/>
  <c r="I2292"/>
  <c r="J2291"/>
  <c r="I2291"/>
  <c r="J2290"/>
  <c r="I2290"/>
  <c r="J2289"/>
  <c r="I2289"/>
  <c r="J2288"/>
  <c r="I2288"/>
  <c r="J2246"/>
  <c r="I2246"/>
  <c r="J2245"/>
  <c r="I2245"/>
  <c r="J2244"/>
  <c r="I2244"/>
  <c r="J2243"/>
  <c r="I2243"/>
  <c r="J2242"/>
  <c r="I2242"/>
  <c r="J2220"/>
  <c r="I2220"/>
  <c r="J2219"/>
  <c r="I2219"/>
  <c r="J2218"/>
  <c r="I2218"/>
  <c r="J2217"/>
  <c r="I2217"/>
  <c r="J2216"/>
  <c r="I2216"/>
  <c r="J2287"/>
  <c r="I2287"/>
  <c r="J2286"/>
  <c r="I2286"/>
  <c r="J2285"/>
  <c r="I2285"/>
  <c r="J2284"/>
  <c r="I2284"/>
  <c r="J2283"/>
  <c r="I2283"/>
  <c r="J2235"/>
  <c r="I2235"/>
  <c r="J2234"/>
  <c r="I2234"/>
  <c r="J2233"/>
  <c r="I2233"/>
  <c r="J2232"/>
  <c r="I2232"/>
  <c r="J2231"/>
  <c r="I2231"/>
  <c r="J2260"/>
  <c r="I2260"/>
  <c r="J2259"/>
  <c r="I2259"/>
  <c r="J2258"/>
  <c r="I2258"/>
  <c r="J2257"/>
  <c r="I2257"/>
  <c r="J2256"/>
  <c r="I2256"/>
  <c r="J2255"/>
  <c r="I2255"/>
  <c r="J2254"/>
  <c r="I2254"/>
  <c r="J2253"/>
  <c r="I2253"/>
  <c r="J2252"/>
  <c r="I2252"/>
  <c r="J2251"/>
  <c r="I2251"/>
  <c r="J2142"/>
  <c r="I2142"/>
  <c r="J2141"/>
  <c r="I2141"/>
  <c r="J2140"/>
  <c r="I2140"/>
  <c r="J2139"/>
  <c r="I2139"/>
  <c r="J2024"/>
  <c r="I2024"/>
  <c r="J2023"/>
  <c r="I2023"/>
  <c r="J2022"/>
  <c r="I2022"/>
  <c r="J2021"/>
  <c r="I2021"/>
  <c r="J2134"/>
  <c r="I2134"/>
  <c r="J2133"/>
  <c r="I2133"/>
  <c r="J2132"/>
  <c r="I2132"/>
  <c r="J2131"/>
  <c r="I2131"/>
  <c r="J2130"/>
  <c r="I2130"/>
  <c r="J2129"/>
  <c r="I2129"/>
  <c r="J2128"/>
  <c r="I2128"/>
  <c r="J2127"/>
  <c r="I2127"/>
  <c r="J2126"/>
  <c r="I2126"/>
  <c r="J2125"/>
  <c r="I2125"/>
  <c r="J2158"/>
  <c r="I2158"/>
  <c r="J2157"/>
  <c r="I2157"/>
  <c r="J2156"/>
  <c r="I2156"/>
  <c r="J2155"/>
  <c r="I2155"/>
  <c r="J2154"/>
  <c r="I2154"/>
  <c r="J2170"/>
  <c r="I2170"/>
  <c r="J2169"/>
  <c r="I2169"/>
  <c r="J2168"/>
  <c r="I2168"/>
  <c r="J2167"/>
  <c r="I2167"/>
  <c r="J2166"/>
  <c r="I2166"/>
  <c r="J2114"/>
  <c r="I2114"/>
  <c r="J2113"/>
  <c r="I2113"/>
  <c r="J2112"/>
  <c r="I2112"/>
  <c r="J2111"/>
  <c r="I2111"/>
  <c r="J2110"/>
  <c r="I2110"/>
  <c r="J2109"/>
  <c r="I2109"/>
  <c r="J2153"/>
  <c r="I2153"/>
  <c r="J2152"/>
  <c r="I2152"/>
  <c r="J2151"/>
  <c r="I2151"/>
  <c r="J2150"/>
  <c r="I2150"/>
  <c r="J2099"/>
  <c r="I2099"/>
  <c r="J2098"/>
  <c r="I2098"/>
  <c r="J2097"/>
  <c r="I2097"/>
  <c r="J2096"/>
  <c r="I2096"/>
  <c r="J2095"/>
  <c r="I2095"/>
  <c r="J2177"/>
  <c r="I2177"/>
  <c r="J2176"/>
  <c r="I2176"/>
  <c r="J2175"/>
  <c r="I2175"/>
  <c r="J2174"/>
  <c r="I2174"/>
  <c r="J2173"/>
  <c r="I2173"/>
  <c r="J2034"/>
  <c r="I2034"/>
  <c r="J2033"/>
  <c r="I2033"/>
  <c r="J2032"/>
  <c r="I2032"/>
  <c r="J2031"/>
  <c r="I2031"/>
  <c r="J2030"/>
  <c r="I2030"/>
  <c r="J2070"/>
  <c r="I2070"/>
  <c r="J2069"/>
  <c r="I2069"/>
  <c r="J2068"/>
  <c r="I2068"/>
  <c r="J2067"/>
  <c r="I2067"/>
  <c r="J2066"/>
  <c r="I2066"/>
  <c r="J2080"/>
  <c r="I2080"/>
  <c r="J2079"/>
  <c r="I2079"/>
  <c r="J2078"/>
  <c r="I2078"/>
  <c r="J2077"/>
  <c r="I2077"/>
  <c r="J2076"/>
  <c r="I2076"/>
  <c r="J2043"/>
  <c r="I2043"/>
  <c r="J2042"/>
  <c r="I2042"/>
  <c r="J2041"/>
  <c r="I2041"/>
  <c r="J2040"/>
  <c r="I2040"/>
  <c r="J2039"/>
  <c r="I2039"/>
  <c r="J2075"/>
  <c r="I2075"/>
  <c r="J2074"/>
  <c r="I2074"/>
  <c r="J2073"/>
  <c r="I2073"/>
  <c r="J2072"/>
  <c r="I2072"/>
  <c r="J2071"/>
  <c r="I2071"/>
  <c r="J2065"/>
  <c r="I2065"/>
  <c r="J2064"/>
  <c r="I2064"/>
  <c r="J2063"/>
  <c r="I2063"/>
  <c r="J2062"/>
  <c r="I2062"/>
  <c r="J2061"/>
  <c r="I2061"/>
  <c r="J2056"/>
  <c r="I2056"/>
  <c r="J2055"/>
  <c r="I2055"/>
  <c r="J2054"/>
  <c r="I2054"/>
  <c r="J2053"/>
  <c r="I2053"/>
  <c r="J2052"/>
  <c r="I2052"/>
  <c r="J2029"/>
  <c r="I2029"/>
  <c r="J2028"/>
  <c r="I2028"/>
  <c r="J2027"/>
  <c r="I2027"/>
  <c r="N1100" i="21" l="1"/>
  <c r="O1100" s="1"/>
  <c r="R1099"/>
  <c r="Q1099"/>
  <c r="P1100" l="1"/>
  <c r="P1099"/>
  <c r="O1099"/>
  <c r="N1099"/>
  <c r="R1098"/>
  <c r="Q1098"/>
  <c r="P1098"/>
  <c r="O1098"/>
  <c r="N1098"/>
  <c r="R1097"/>
  <c r="Q1097"/>
  <c r="P1097"/>
  <c r="O1097"/>
  <c r="N1097"/>
  <c r="R1096"/>
  <c r="Q1096"/>
  <c r="P1096"/>
  <c r="O1096"/>
  <c r="N1096"/>
  <c r="N1095"/>
  <c r="O1095" s="1"/>
  <c r="Q918"/>
  <c r="P1095" l="1"/>
  <c r="P918"/>
  <c r="O918"/>
  <c r="N918"/>
  <c r="Q917"/>
  <c r="P917"/>
  <c r="O917"/>
  <c r="N917"/>
  <c r="Q916"/>
  <c r="P916"/>
  <c r="O916"/>
  <c r="N916"/>
  <c r="Q915"/>
  <c r="P915"/>
  <c r="O915"/>
  <c r="N915"/>
  <c r="Q914"/>
  <c r="P914"/>
  <c r="O914"/>
  <c r="N914"/>
  <c r="Q913"/>
  <c r="P913"/>
  <c r="O913"/>
  <c r="N913"/>
  <c r="Q912"/>
  <c r="P912"/>
  <c r="O912"/>
  <c r="N912"/>
  <c r="Q911"/>
  <c r="P911"/>
  <c r="O911"/>
  <c r="N911"/>
  <c r="Q910"/>
  <c r="P910"/>
  <c r="O910"/>
  <c r="N910"/>
  <c r="O72" i="37"/>
  <c r="G1" i="21"/>
  <c r="K2" i="20" s="1"/>
  <c r="G2" l="1"/>
  <c r="J2"/>
  <c r="F2012" i="33"/>
  <c r="F2011"/>
  <c r="L82" i="37"/>
  <c r="L81"/>
  <c r="L80"/>
  <c r="L79"/>
  <c r="L78"/>
  <c r="L77"/>
  <c r="L76"/>
  <c r="L75"/>
  <c r="L74"/>
  <c r="L62"/>
  <c r="L61"/>
  <c r="L60"/>
  <c r="L59"/>
  <c r="L58"/>
  <c r="L57"/>
  <c r="L56"/>
  <c r="L43"/>
  <c r="L42"/>
  <c r="L41"/>
  <c r="L40"/>
  <c r="L39"/>
  <c r="L38"/>
  <c r="L37"/>
  <c r="L36"/>
  <c r="L35"/>
  <c r="L22"/>
  <c r="L6"/>
  <c r="X1045" i="21" l="1"/>
  <c r="T1050"/>
  <c r="B1045"/>
  <c r="X1067"/>
  <c r="T1068"/>
  <c r="B1068"/>
  <c r="B1067"/>
  <c r="T1086"/>
  <c r="B1061"/>
  <c r="B457" i="22"/>
  <c r="B470"/>
  <c r="B469"/>
  <c r="B468"/>
  <c r="B467"/>
  <c r="B466"/>
  <c r="B465"/>
  <c r="B464"/>
  <c r="B463"/>
  <c r="B462"/>
  <c r="B461"/>
  <c r="B460"/>
  <c r="B459"/>
  <c r="B458"/>
  <c r="B456"/>
  <c r="B455"/>
  <c r="B454"/>
  <c r="B453"/>
  <c r="B452"/>
  <c r="B451"/>
  <c r="B450"/>
  <c r="B449"/>
  <c r="B448"/>
  <c r="T915" i="21" l="1"/>
  <c r="N81" i="37"/>
  <c r="O81" s="1"/>
  <c r="C78"/>
  <c r="G51" i="13"/>
  <c r="F51"/>
  <c r="M81" i="37" l="1"/>
  <c r="G80"/>
  <c r="G79"/>
  <c r="N80" l="1"/>
  <c r="M80" s="1"/>
  <c r="N79"/>
  <c r="M79" s="1"/>
  <c r="O11" i="8"/>
  <c r="O12"/>
  <c r="O13"/>
  <c r="O14"/>
  <c r="O15"/>
  <c r="O16"/>
  <c r="M1110" i="21" l="1"/>
  <c r="H344" i="22" l="1"/>
  <c r="H384"/>
  <c r="H424"/>
  <c r="G422"/>
  <c r="H422" s="1"/>
  <c r="G421"/>
  <c r="H421" s="1"/>
  <c r="G420"/>
  <c r="H420" s="1"/>
  <c r="G419"/>
  <c r="H419" s="1"/>
  <c r="G418"/>
  <c r="H418" s="1"/>
  <c r="L418" s="1"/>
  <c r="G417"/>
  <c r="H417" s="1"/>
  <c r="G416"/>
  <c r="H416" s="1"/>
  <c r="G415"/>
  <c r="H415" s="1"/>
  <c r="G414"/>
  <c r="H414" s="1"/>
  <c r="G413"/>
  <c r="H413" s="1"/>
  <c r="G412"/>
  <c r="H412" s="1"/>
  <c r="G411"/>
  <c r="H411" s="1"/>
  <c r="G410"/>
  <c r="H410" s="1"/>
  <c r="G409"/>
  <c r="H409" s="1"/>
  <c r="L409" s="1"/>
  <c r="G408"/>
  <c r="H408" s="1"/>
  <c r="G407"/>
  <c r="H407" s="1"/>
  <c r="L407" s="1"/>
  <c r="G406"/>
  <c r="H406" s="1"/>
  <c r="G405"/>
  <c r="H405" s="1"/>
  <c r="L405" s="1"/>
  <c r="G404"/>
  <c r="H404" s="1"/>
  <c r="G403"/>
  <c r="H403" s="1"/>
  <c r="L403" s="1"/>
  <c r="G402"/>
  <c r="H402" s="1"/>
  <c r="G401"/>
  <c r="H401" s="1"/>
  <c r="F423"/>
  <c r="E423"/>
  <c r="A402"/>
  <c r="A403" s="1"/>
  <c r="A404" s="1"/>
  <c r="A405" s="1"/>
  <c r="A406" s="1"/>
  <c r="A407" s="1"/>
  <c r="A408" s="1"/>
  <c r="A409" s="1"/>
  <c r="A410" s="1"/>
  <c r="A411" s="1"/>
  <c r="A412" s="1"/>
  <c r="A413" s="1"/>
  <c r="A414" s="1"/>
  <c r="A415" s="1"/>
  <c r="G423" l="1"/>
  <c r="H423"/>
  <c r="L410"/>
  <c r="L414"/>
  <c r="L412"/>
  <c r="L416"/>
  <c r="L420"/>
  <c r="H425"/>
  <c r="A416"/>
  <c r="A417" s="1"/>
  <c r="A418" s="1"/>
  <c r="A419" s="1"/>
  <c r="A420" s="1"/>
  <c r="A421" s="1"/>
  <c r="A422" s="1"/>
  <c r="I402"/>
  <c r="L402"/>
  <c r="J402"/>
  <c r="N401" s="1"/>
  <c r="I404"/>
  <c r="J404" s="1"/>
  <c r="N403" s="1"/>
  <c r="L404"/>
  <c r="I408"/>
  <c r="J408" s="1"/>
  <c r="N407" s="1"/>
  <c r="L408"/>
  <c r="I411"/>
  <c r="L411"/>
  <c r="I415"/>
  <c r="J415" s="1"/>
  <c r="L415"/>
  <c r="I419"/>
  <c r="L419"/>
  <c r="J419"/>
  <c r="L422"/>
  <c r="I422"/>
  <c r="I406"/>
  <c r="J406" s="1"/>
  <c r="N405" s="1"/>
  <c r="L406"/>
  <c r="I413"/>
  <c r="L413"/>
  <c r="J413"/>
  <c r="I417"/>
  <c r="L417"/>
  <c r="I421"/>
  <c r="L421"/>
  <c r="I401"/>
  <c r="I403"/>
  <c r="M403" s="1"/>
  <c r="I405"/>
  <c r="M405" s="1"/>
  <c r="I407"/>
  <c r="M407" s="1"/>
  <c r="I409"/>
  <c r="M409" s="1"/>
  <c r="I410"/>
  <c r="I412"/>
  <c r="I414"/>
  <c r="I416"/>
  <c r="I418"/>
  <c r="M418" s="1"/>
  <c r="I420"/>
  <c r="J401"/>
  <c r="L401"/>
  <c r="J403"/>
  <c r="N402" s="1"/>
  <c r="J405"/>
  <c r="N404" s="1"/>
  <c r="J407"/>
  <c r="N406" s="1"/>
  <c r="J409"/>
  <c r="N408" s="1"/>
  <c r="J410"/>
  <c r="J412"/>
  <c r="J414"/>
  <c r="J416"/>
  <c r="J418"/>
  <c r="N417" s="1"/>
  <c r="J420"/>
  <c r="N411" l="1"/>
  <c r="M420"/>
  <c r="N412"/>
  <c r="N415"/>
  <c r="L423"/>
  <c r="M416"/>
  <c r="J417"/>
  <c r="N419"/>
  <c r="M412"/>
  <c r="N414"/>
  <c r="N409"/>
  <c r="M410"/>
  <c r="N418"/>
  <c r="N413"/>
  <c r="M414"/>
  <c r="J421"/>
  <c r="J411"/>
  <c r="K411" s="1"/>
  <c r="M408"/>
  <c r="M421"/>
  <c r="M413"/>
  <c r="M415"/>
  <c r="M422"/>
  <c r="K402"/>
  <c r="K418"/>
  <c r="K410"/>
  <c r="K403"/>
  <c r="K401"/>
  <c r="M417"/>
  <c r="M419"/>
  <c r="M411"/>
  <c r="M404"/>
  <c r="K414"/>
  <c r="K407"/>
  <c r="M406"/>
  <c r="N400"/>
  <c r="I423"/>
  <c r="M401"/>
  <c r="K413"/>
  <c r="K406"/>
  <c r="K419"/>
  <c r="K415"/>
  <c r="K408"/>
  <c r="K404"/>
  <c r="K420"/>
  <c r="K416"/>
  <c r="K412"/>
  <c r="K409"/>
  <c r="K405"/>
  <c r="J422"/>
  <c r="M402"/>
  <c r="L429" l="1"/>
  <c r="L430"/>
  <c r="N416"/>
  <c r="K428"/>
  <c r="K417"/>
  <c r="N420"/>
  <c r="N421"/>
  <c r="K421"/>
  <c r="N410"/>
  <c r="J423"/>
  <c r="K422"/>
  <c r="M423"/>
  <c r="N423" l="1"/>
  <c r="K423"/>
  <c r="N422"/>
  <c r="L431"/>
  <c r="L432" l="1"/>
  <c r="K433" s="1"/>
  <c r="I1746" i="33" l="1"/>
  <c r="I1745"/>
  <c r="I1744"/>
  <c r="F1745"/>
  <c r="F1744"/>
  <c r="B1669"/>
  <c r="B1668"/>
  <c r="B1667"/>
  <c r="B1779" l="1"/>
  <c r="B1778"/>
  <c r="B1777"/>
  <c r="B1776"/>
  <c r="M1539"/>
  <c r="M1538"/>
  <c r="M1537"/>
  <c r="M1536"/>
  <c r="I1558"/>
  <c r="I1539"/>
  <c r="I1538"/>
  <c r="I1537"/>
  <c r="I1536"/>
  <c r="F1539"/>
  <c r="F1538"/>
  <c r="F1537"/>
  <c r="F1536"/>
  <c r="B1773"/>
  <c r="M1535"/>
  <c r="M1534"/>
  <c r="M1533"/>
  <c r="M1532"/>
  <c r="M1531"/>
  <c r="M1530"/>
  <c r="M1529"/>
  <c r="I1535"/>
  <c r="I1534"/>
  <c r="I1533"/>
  <c r="I1532"/>
  <c r="I1531"/>
  <c r="I1530"/>
  <c r="I1529"/>
  <c r="F1535"/>
  <c r="F1534"/>
  <c r="F1533"/>
  <c r="B1771"/>
  <c r="B1770"/>
  <c r="B1769"/>
  <c r="F1532"/>
  <c r="F1531"/>
  <c r="F1530"/>
  <c r="F1529"/>
  <c r="B1775"/>
  <c r="B1774"/>
  <c r="B1772"/>
  <c r="M1747"/>
  <c r="M1746"/>
  <c r="F1747"/>
  <c r="F1746"/>
  <c r="B1671"/>
  <c r="B1670"/>
  <c r="F1743"/>
  <c r="F1742"/>
  <c r="M1743"/>
  <c r="M1742"/>
  <c r="I1749"/>
  <c r="I1748"/>
  <c r="I1743"/>
  <c r="I1742"/>
  <c r="I1741"/>
  <c r="I1740"/>
  <c r="I1739"/>
  <c r="I1738"/>
  <c r="B1665"/>
  <c r="B1666"/>
  <c r="F1749"/>
  <c r="F1748"/>
  <c r="F1741"/>
  <c r="F1740"/>
  <c r="F1739"/>
  <c r="F1738"/>
  <c r="F1737"/>
  <c r="M1741"/>
  <c r="M1740"/>
  <c r="M1739"/>
  <c r="M1738"/>
  <c r="B1663"/>
  <c r="B1662"/>
  <c r="B1661"/>
  <c r="J58" i="7"/>
  <c r="O3" i="39"/>
  <c r="P3" l="1"/>
  <c r="N3"/>
  <c r="F60" i="28"/>
  <c r="M1105" i="21" l="1"/>
  <c r="T1065"/>
  <c r="T1064"/>
  <c r="T1063"/>
  <c r="T1062"/>
  <c r="T1061"/>
  <c r="M1062"/>
  <c r="F2416" i="33"/>
  <c r="M2272"/>
  <c r="M2271"/>
  <c r="O2439"/>
  <c r="M2439"/>
  <c r="O2438"/>
  <c r="M2438"/>
  <c r="Q137" i="36" l="1"/>
  <c r="P137"/>
  <c r="Q136"/>
  <c r="P136"/>
  <c r="Q135"/>
  <c r="P135"/>
  <c r="Q134"/>
  <c r="P134"/>
  <c r="Q133"/>
  <c r="P133"/>
  <c r="Q132"/>
  <c r="P132"/>
  <c r="Q131"/>
  <c r="P131"/>
  <c r="Q130"/>
  <c r="P130"/>
  <c r="Q129"/>
  <c r="P129"/>
  <c r="Q128"/>
  <c r="P128"/>
  <c r="Q127"/>
  <c r="P127"/>
  <c r="Q126"/>
  <c r="P126"/>
  <c r="H1079" i="21"/>
  <c r="H1078"/>
  <c r="H1077"/>
  <c r="T1071"/>
  <c r="R1071"/>
  <c r="Q1071"/>
  <c r="P1071"/>
  <c r="O1071"/>
  <c r="N1071"/>
  <c r="K1071"/>
  <c r="J1071"/>
  <c r="I1071"/>
  <c r="T1070"/>
  <c r="K1070"/>
  <c r="J1070"/>
  <c r="I1070"/>
  <c r="T1069"/>
  <c r="K1069"/>
  <c r="J1069"/>
  <c r="I1069"/>
  <c r="N1069" l="1"/>
  <c r="O1069" s="1"/>
  <c r="P1069" s="1"/>
  <c r="T1067"/>
  <c r="N1070" l="1"/>
  <c r="N1067"/>
  <c r="K1067"/>
  <c r="J1067"/>
  <c r="I1067"/>
  <c r="O1067" l="1"/>
  <c r="P1067" s="1"/>
  <c r="O1070"/>
  <c r="P1070" s="1"/>
  <c r="T1066"/>
  <c r="N1066" l="1"/>
  <c r="O1066" s="1"/>
  <c r="K1066"/>
  <c r="J1066"/>
  <c r="I1066"/>
  <c r="P1066" l="1"/>
  <c r="M2306" i="33"/>
  <c r="M2305"/>
  <c r="M2304"/>
  <c r="M2303"/>
  <c r="M2225"/>
  <c r="M2224"/>
  <c r="M2223"/>
  <c r="M2222"/>
  <c r="M2221"/>
  <c r="M2292"/>
  <c r="M2291"/>
  <c r="M2290"/>
  <c r="M2289"/>
  <c r="M2288"/>
  <c r="M2220"/>
  <c r="M2219"/>
  <c r="M2218"/>
  <c r="M2217"/>
  <c r="M2216"/>
  <c r="M2287"/>
  <c r="M2286"/>
  <c r="M2285"/>
  <c r="M2284"/>
  <c r="M2283"/>
  <c r="M2260"/>
  <c r="M2259"/>
  <c r="M2258"/>
  <c r="M2257"/>
  <c r="M2256"/>
  <c r="M1851"/>
  <c r="M1850"/>
  <c r="M2024"/>
  <c r="M2023"/>
  <c r="M2022"/>
  <c r="M2021"/>
  <c r="M2134"/>
  <c r="M2133"/>
  <c r="M2132"/>
  <c r="M2131"/>
  <c r="M2130"/>
  <c r="M2170"/>
  <c r="M2169"/>
  <c r="M2168"/>
  <c r="M2167"/>
  <c r="M2166"/>
  <c r="M2114"/>
  <c r="M2113"/>
  <c r="M2112"/>
  <c r="M2111"/>
  <c r="M2110"/>
  <c r="M2109"/>
  <c r="M2153"/>
  <c r="M2152"/>
  <c r="M2151"/>
  <c r="M2150"/>
  <c r="M2099"/>
  <c r="M2098"/>
  <c r="M2097"/>
  <c r="M2096"/>
  <c r="M2095"/>
  <c r="M2177"/>
  <c r="M2176"/>
  <c r="M2175"/>
  <c r="M2174"/>
  <c r="M2173"/>
  <c r="M2034"/>
  <c r="M2033"/>
  <c r="M2032"/>
  <c r="M2031"/>
  <c r="M2030"/>
  <c r="M2080"/>
  <c r="M2079"/>
  <c r="M2078"/>
  <c r="M2077"/>
  <c r="M2076"/>
  <c r="M2043"/>
  <c r="M2042"/>
  <c r="M2041"/>
  <c r="M2040"/>
  <c r="M2039"/>
  <c r="M2075"/>
  <c r="M2074"/>
  <c r="M2073"/>
  <c r="M2072"/>
  <c r="M2071"/>
  <c r="M2056"/>
  <c r="M2055"/>
  <c r="M2054"/>
  <c r="M2053"/>
  <c r="M2052"/>
  <c r="M2029"/>
  <c r="M2028"/>
  <c r="M2027"/>
  <c r="M2026"/>
  <c r="M2025"/>
  <c r="M2496"/>
  <c r="M2495"/>
  <c r="M2468"/>
  <c r="M2467"/>
  <c r="M2464"/>
  <c r="M2463"/>
  <c r="M2462"/>
  <c r="M2461"/>
  <c r="M2435"/>
  <c r="M2434"/>
  <c r="M2433"/>
  <c r="M2375"/>
  <c r="M2374"/>
  <c r="M2373"/>
  <c r="M2372"/>
  <c r="M2371"/>
  <c r="M2359"/>
  <c r="T1089" i="21"/>
  <c r="R1089"/>
  <c r="Q1089"/>
  <c r="P1089"/>
  <c r="O1089"/>
  <c r="N1089"/>
  <c r="K1089"/>
  <c r="J1089"/>
  <c r="I1089"/>
  <c r="T1088"/>
  <c r="N1088" l="1"/>
  <c r="O1088" s="1"/>
  <c r="K1088"/>
  <c r="J1088"/>
  <c r="I1088"/>
  <c r="P1088" l="1"/>
  <c r="T1087"/>
  <c r="N1087" l="1"/>
  <c r="K1087"/>
  <c r="J1087"/>
  <c r="I1087"/>
  <c r="O1087" l="1"/>
  <c r="P1087" s="1"/>
  <c r="T1085"/>
  <c r="N1085" l="1"/>
  <c r="O1085" s="1"/>
  <c r="K1085"/>
  <c r="J1085"/>
  <c r="I1085"/>
  <c r="P1085" l="1"/>
  <c r="T1084"/>
  <c r="N1084" l="1"/>
  <c r="O1084" s="1"/>
  <c r="K1084"/>
  <c r="J1084"/>
  <c r="I1084"/>
  <c r="P1084" l="1"/>
  <c r="H1370" i="39"/>
  <c r="I2298" i="33"/>
  <c r="O2415"/>
  <c r="O2272"/>
  <c r="O2271"/>
  <c r="O2464"/>
  <c r="O2463"/>
  <c r="O2462"/>
  <c r="O2461"/>
  <c r="O2460"/>
  <c r="O2459"/>
  <c r="O2437"/>
  <c r="O2436"/>
  <c r="O2435"/>
  <c r="O2434"/>
  <c r="O2433"/>
  <c r="O2458"/>
  <c r="O2457"/>
  <c r="O2456"/>
  <c r="O2455"/>
  <c r="O2375"/>
  <c r="O2374"/>
  <c r="O2373"/>
  <c r="O2372"/>
  <c r="O2371"/>
  <c r="O2359"/>
  <c r="O2358"/>
  <c r="O2357"/>
  <c r="O2414"/>
  <c r="O2413"/>
  <c r="O2412"/>
  <c r="O2411"/>
  <c r="O2410"/>
  <c r="O2409"/>
  <c r="O2408"/>
  <c r="O2407"/>
  <c r="O2406"/>
  <c r="O2405"/>
  <c r="O2395"/>
  <c r="O2394"/>
  <c r="O2393"/>
  <c r="O2392"/>
  <c r="O2391"/>
  <c r="F2388"/>
  <c r="F2389"/>
  <c r="F2390"/>
  <c r="F2391"/>
  <c r="N222" i="5" l="1"/>
  <c r="I697" i="33"/>
  <c r="I696"/>
  <c r="I695"/>
  <c r="I694"/>
  <c r="I693"/>
  <c r="I760"/>
  <c r="I759"/>
  <c r="I758"/>
  <c r="I757"/>
  <c r="I756"/>
  <c r="I781"/>
  <c r="I780"/>
  <c r="I779"/>
  <c r="I778"/>
  <c r="I777"/>
  <c r="I776"/>
  <c r="I775"/>
  <c r="I774"/>
  <c r="I773"/>
  <c r="I772"/>
  <c r="I793"/>
  <c r="I792"/>
  <c r="I791"/>
  <c r="I790"/>
  <c r="I789"/>
  <c r="I830"/>
  <c r="I829"/>
  <c r="I828"/>
  <c r="I827"/>
  <c r="I826"/>
  <c r="I825"/>
  <c r="I824"/>
  <c r="I823"/>
  <c r="I822"/>
  <c r="I821"/>
  <c r="I1356"/>
  <c r="I1355"/>
  <c r="I1354"/>
  <c r="I1353"/>
  <c r="I603"/>
  <c r="I602"/>
  <c r="I601"/>
  <c r="I600"/>
  <c r="I599"/>
  <c r="I598"/>
  <c r="I597"/>
  <c r="I596"/>
  <c r="I413"/>
  <c r="I412"/>
  <c r="I411"/>
  <c r="I410"/>
  <c r="I409"/>
  <c r="I408"/>
  <c r="I243"/>
  <c r="I242"/>
  <c r="I241"/>
  <c r="I240"/>
  <c r="I239"/>
  <c r="I238"/>
  <c r="I433"/>
  <c r="I432"/>
  <c r="I1947"/>
  <c r="I1946"/>
  <c r="I1945"/>
  <c r="I1944"/>
  <c r="I1943"/>
  <c r="I1942"/>
  <c r="I1941"/>
  <c r="I1940"/>
  <c r="I1939"/>
  <c r="I1938"/>
  <c r="I1352"/>
  <c r="I1351"/>
  <c r="I1350"/>
  <c r="I1349"/>
  <c r="I1348"/>
  <c r="I1347"/>
  <c r="I1346"/>
  <c r="I1345"/>
  <c r="I1344"/>
  <c r="I1343"/>
  <c r="I595"/>
  <c r="I594"/>
  <c r="I593"/>
  <c r="I592"/>
  <c r="I591"/>
  <c r="I590"/>
  <c r="I589"/>
  <c r="I588"/>
  <c r="I587"/>
  <c r="I586"/>
  <c r="I585"/>
  <c r="I584"/>
  <c r="I583"/>
  <c r="I582"/>
  <c r="I581"/>
  <c r="I580"/>
  <c r="I579"/>
  <c r="I578"/>
  <c r="I577"/>
  <c r="I576"/>
  <c r="I575"/>
  <c r="I574"/>
  <c r="I573"/>
  <c r="I572"/>
  <c r="I571"/>
  <c r="I570"/>
  <c r="I23"/>
  <c r="I22"/>
  <c r="I1937"/>
  <c r="I1936"/>
  <c r="I1930"/>
  <c r="I1929"/>
  <c r="I1928"/>
  <c r="I1927"/>
  <c r="I1926"/>
  <c r="I1924"/>
  <c r="I1922"/>
  <c r="I1921"/>
  <c r="I1920"/>
  <c r="I1919"/>
  <c r="I1918"/>
  <c r="I1917"/>
  <c r="I1916"/>
  <c r="I1897"/>
  <c r="I1896"/>
  <c r="I1895"/>
  <c r="I1893"/>
  <c r="I1891"/>
  <c r="I1890"/>
  <c r="I1887"/>
  <c r="I1886"/>
  <c r="I1870"/>
  <c r="I1869"/>
  <c r="I1859"/>
  <c r="I1858"/>
  <c r="I1829"/>
  <c r="I1828"/>
  <c r="I1827"/>
  <c r="I1826"/>
  <c r="I1825"/>
  <c r="I1824"/>
  <c r="I1807"/>
  <c r="I1806"/>
  <c r="I1798"/>
  <c r="I1797"/>
  <c r="I1770"/>
  <c r="I1769"/>
  <c r="I1724"/>
  <c r="I1723"/>
  <c r="I1718"/>
  <c r="I1717"/>
  <c r="I1689"/>
  <c r="I1688"/>
  <c r="I1687"/>
  <c r="I1686"/>
  <c r="I1676"/>
  <c r="I1675"/>
  <c r="I1674"/>
  <c r="I1673"/>
  <c r="I1672"/>
  <c r="I1671"/>
  <c r="I1645"/>
  <c r="I1644"/>
  <c r="I1642"/>
  <c r="I1641"/>
  <c r="I1640"/>
  <c r="I1638"/>
  <c r="I1637"/>
  <c r="I1636"/>
  <c r="I1631"/>
  <c r="I1630"/>
  <c r="I1624"/>
  <c r="I1623"/>
  <c r="I1622"/>
  <c r="I1610"/>
  <c r="I1609"/>
  <c r="I1590"/>
  <c r="I1589"/>
  <c r="I1514"/>
  <c r="I1513"/>
  <c r="I1476"/>
  <c r="I1475"/>
  <c r="I1473"/>
  <c r="I1472"/>
  <c r="I1471"/>
  <c r="I1467"/>
  <c r="I1465"/>
  <c r="I1464"/>
  <c r="I1463"/>
  <c r="I1417"/>
  <c r="I1416"/>
  <c r="I1342"/>
  <c r="I1341"/>
  <c r="I1340"/>
  <c r="I1339"/>
  <c r="I1338"/>
  <c r="I1337"/>
  <c r="I1326"/>
  <c r="I1325"/>
  <c r="I1324"/>
  <c r="I1323"/>
  <c r="I1322"/>
  <c r="I1321"/>
  <c r="I1320"/>
  <c r="I1319"/>
  <c r="I1318"/>
  <c r="I1317"/>
  <c r="I1316"/>
  <c r="I1315"/>
  <c r="I1314"/>
  <c r="I1281"/>
  <c r="I1312"/>
  <c r="I1280"/>
  <c r="I1279"/>
  <c r="I1278"/>
  <c r="I1277"/>
  <c r="I1276"/>
  <c r="I1275"/>
  <c r="I1273"/>
  <c r="I1255"/>
  <c r="I1254"/>
  <c r="I1233"/>
  <c r="I1232"/>
  <c r="I1231"/>
  <c r="I1146"/>
  <c r="I1145"/>
  <c r="I1144"/>
  <c r="I1143"/>
  <c r="I1066"/>
  <c r="I1065"/>
  <c r="I1064"/>
  <c r="I1029"/>
  <c r="I1028"/>
  <c r="I1027"/>
  <c r="I1026"/>
  <c r="I1025"/>
  <c r="I1024"/>
  <c r="I1023"/>
  <c r="I1022"/>
  <c r="I1021"/>
  <c r="I1020"/>
  <c r="I1019"/>
  <c r="I1018"/>
  <c r="I1017"/>
  <c r="I1016"/>
  <c r="I1015"/>
  <c r="I1004"/>
  <c r="I1003"/>
  <c r="I1001"/>
  <c r="I990"/>
  <c r="I989"/>
  <c r="I987"/>
  <c r="I976"/>
  <c r="I975"/>
  <c r="I960"/>
  <c r="I959"/>
  <c r="I917"/>
  <c r="I916"/>
  <c r="I915"/>
  <c r="I901"/>
  <c r="I900"/>
  <c r="I899"/>
  <c r="I868"/>
  <c r="I867"/>
  <c r="I866"/>
  <c r="I865"/>
  <c r="I863"/>
  <c r="I820"/>
  <c r="I819"/>
  <c r="I805"/>
  <c r="I804"/>
  <c r="I731"/>
  <c r="I730"/>
  <c r="I728"/>
  <c r="I723"/>
  <c r="I722"/>
  <c r="I721"/>
  <c r="I720"/>
  <c r="I673"/>
  <c r="I672"/>
  <c r="I671"/>
  <c r="I569"/>
  <c r="I568"/>
  <c r="I567"/>
  <c r="I566"/>
  <c r="I565"/>
  <c r="I564"/>
  <c r="I563"/>
  <c r="I562"/>
  <c r="I538"/>
  <c r="I537"/>
  <c r="I535"/>
  <c r="I534"/>
  <c r="I533"/>
  <c r="I532"/>
  <c r="I531"/>
  <c r="I529"/>
  <c r="I478"/>
  <c r="I477"/>
  <c r="I469"/>
  <c r="I468"/>
  <c r="I438"/>
  <c r="I437"/>
  <c r="I436"/>
  <c r="I407"/>
  <c r="I406"/>
  <c r="I405"/>
  <c r="I404"/>
  <c r="I389"/>
  <c r="I388"/>
  <c r="I387"/>
  <c r="I363"/>
  <c r="I362"/>
  <c r="I361"/>
  <c r="I360"/>
  <c r="I358"/>
  <c r="I346"/>
  <c r="I345"/>
  <c r="I344"/>
  <c r="I343"/>
  <c r="I342"/>
  <c r="I341"/>
  <c r="I340"/>
  <c r="I339"/>
  <c r="I337"/>
  <c r="I336"/>
  <c r="I335"/>
  <c r="I334"/>
  <c r="I302"/>
  <c r="I301"/>
  <c r="I300"/>
  <c r="I237"/>
  <c r="I236"/>
  <c r="I235"/>
  <c r="I234"/>
  <c r="I233"/>
  <c r="I232"/>
  <c r="I231"/>
  <c r="I230"/>
  <c r="I163"/>
  <c r="I162"/>
  <c r="I161"/>
  <c r="I160"/>
  <c r="I159"/>
  <c r="I158"/>
  <c r="I146"/>
  <c r="I145"/>
  <c r="I144"/>
  <c r="I143"/>
  <c r="I142"/>
  <c r="I109"/>
  <c r="I108"/>
  <c r="I107"/>
  <c r="I106"/>
  <c r="Q917" s="1"/>
  <c r="I105"/>
  <c r="I34"/>
  <c r="I33"/>
  <c r="I32"/>
  <c r="I1885"/>
  <c r="I1884"/>
  <c r="I1868"/>
  <c r="I1867"/>
  <c r="I1866"/>
  <c r="I1865"/>
  <c r="I1857"/>
  <c r="I1856"/>
  <c r="I1805"/>
  <c r="I1804"/>
  <c r="I1796"/>
  <c r="I1795"/>
  <c r="I1789"/>
  <c r="I1788"/>
  <c r="I1787"/>
  <c r="I1786"/>
  <c r="I1764"/>
  <c r="I1763"/>
  <c r="I1758"/>
  <c r="I1757"/>
  <c r="I1756"/>
  <c r="I1755"/>
  <c r="I1720"/>
  <c r="I1719"/>
  <c r="I1716"/>
  <c r="I1715"/>
  <c r="I1709"/>
  <c r="I1708"/>
  <c r="I1667"/>
  <c r="I1666"/>
  <c r="I1635"/>
  <c r="I1634"/>
  <c r="I1633"/>
  <c r="I1632"/>
  <c r="I1621"/>
  <c r="I1620"/>
  <c r="I1612"/>
  <c r="I1611"/>
  <c r="I1588"/>
  <c r="I1587"/>
  <c r="I1579"/>
  <c r="I1578"/>
  <c r="I1573"/>
  <c r="I1572"/>
  <c r="I1512"/>
  <c r="I1511"/>
  <c r="I1496"/>
  <c r="I1495"/>
  <c r="I1452"/>
  <c r="I1451"/>
  <c r="I1415"/>
  <c r="I1414"/>
  <c r="I1413"/>
  <c r="I1412"/>
  <c r="I1402"/>
  <c r="I1401"/>
  <c r="I1336"/>
  <c r="I1335"/>
  <c r="I1334"/>
  <c r="I1333"/>
  <c r="I1214"/>
  <c r="I1213"/>
  <c r="I1188"/>
  <c r="I1187"/>
  <c r="I1184"/>
  <c r="I1183"/>
  <c r="I1177"/>
  <c r="I1176"/>
  <c r="I1099"/>
  <c r="I1098"/>
  <c r="I1051"/>
  <c r="I1050"/>
  <c r="I1049"/>
  <c r="I1048"/>
  <c r="I1047"/>
  <c r="I1046"/>
  <c r="I1040"/>
  <c r="I1039"/>
  <c r="I1038"/>
  <c r="I1037"/>
  <c r="I1036"/>
  <c r="I1035"/>
  <c r="I1014"/>
  <c r="Q830" s="1"/>
  <c r="I1013"/>
  <c r="I986"/>
  <c r="I985"/>
  <c r="I974"/>
  <c r="I973"/>
  <c r="I972"/>
  <c r="Q824" s="1"/>
  <c r="I971"/>
  <c r="Q823" s="1"/>
  <c r="I952"/>
  <c r="Q822" s="1"/>
  <c r="I951"/>
  <c r="Q821" s="1"/>
  <c r="I936"/>
  <c r="I935"/>
  <c r="Q819" s="1"/>
  <c r="I914"/>
  <c r="I913"/>
  <c r="I810"/>
  <c r="I809"/>
  <c r="I803"/>
  <c r="I802"/>
  <c r="I727"/>
  <c r="I726"/>
  <c r="I719"/>
  <c r="I718"/>
  <c r="I692"/>
  <c r="I691"/>
  <c r="I668"/>
  <c r="I667"/>
  <c r="I435"/>
  <c r="I434"/>
  <c r="I424"/>
  <c r="I423"/>
  <c r="I384"/>
  <c r="I383"/>
  <c r="I377"/>
  <c r="I376"/>
  <c r="I333"/>
  <c r="I332"/>
  <c r="I331"/>
  <c r="I330"/>
  <c r="Q793" s="1"/>
  <c r="I329"/>
  <c r="Q792" s="1"/>
  <c r="I328"/>
  <c r="I327"/>
  <c r="I326"/>
  <c r="I299"/>
  <c r="I298"/>
  <c r="I297"/>
  <c r="I296"/>
  <c r="I229"/>
  <c r="I228"/>
  <c r="I200"/>
  <c r="I199"/>
  <c r="I193"/>
  <c r="I192"/>
  <c r="I185"/>
  <c r="Q778" s="1"/>
  <c r="I184"/>
  <c r="Q777" s="1"/>
  <c r="I157"/>
  <c r="I156"/>
  <c r="I114"/>
  <c r="I113"/>
  <c r="I104"/>
  <c r="I103"/>
  <c r="I56"/>
  <c r="I55"/>
  <c r="I1823"/>
  <c r="I1822"/>
  <c r="I1597"/>
  <c r="I1596"/>
  <c r="I1586"/>
  <c r="I1585"/>
  <c r="I1575"/>
  <c r="I1574"/>
  <c r="I1577"/>
  <c r="I1576"/>
  <c r="I1571"/>
  <c r="I1570"/>
  <c r="Q757" s="1"/>
  <c r="I1619"/>
  <c r="Q756" s="1"/>
  <c r="I1618"/>
  <c r="I1650"/>
  <c r="I1649"/>
  <c r="I1685"/>
  <c r="I1684"/>
  <c r="I1702"/>
  <c r="I1701"/>
  <c r="I1483"/>
  <c r="I1482"/>
  <c r="I1450"/>
  <c r="I1449"/>
  <c r="I1448"/>
  <c r="I1447"/>
  <c r="I1446"/>
  <c r="I1445"/>
  <c r="I1444"/>
  <c r="I1443"/>
  <c r="I1411"/>
  <c r="I1410"/>
  <c r="I1400"/>
  <c r="I1399"/>
  <c r="I1398"/>
  <c r="I1397"/>
  <c r="I1385"/>
  <c r="I1384"/>
  <c r="I1383"/>
  <c r="I1382"/>
  <c r="I1302"/>
  <c r="I1301"/>
  <c r="I1290"/>
  <c r="I1289"/>
  <c r="I1288"/>
  <c r="I1287"/>
  <c r="I1286"/>
  <c r="I1285"/>
  <c r="I1257"/>
  <c r="I1256"/>
  <c r="I1247"/>
  <c r="I1246"/>
  <c r="I1245"/>
  <c r="I1244"/>
  <c r="I1230"/>
  <c r="I1229"/>
  <c r="I1228"/>
  <c r="I1227"/>
  <c r="I1226"/>
  <c r="I1225"/>
  <c r="I1202"/>
  <c r="I1201"/>
  <c r="I1200"/>
  <c r="I1199"/>
  <c r="I1198"/>
  <c r="I1197"/>
  <c r="I1175"/>
  <c r="I1174"/>
  <c r="I1169"/>
  <c r="I1168"/>
  <c r="I1142"/>
  <c r="I1141"/>
  <c r="Q697" s="1"/>
  <c r="I1129"/>
  <c r="I1128"/>
  <c r="I1127"/>
  <c r="I1126"/>
  <c r="I1125"/>
  <c r="I1124"/>
  <c r="I1123"/>
  <c r="I1122"/>
  <c r="I1121"/>
  <c r="I1120"/>
  <c r="I1097"/>
  <c r="I1096"/>
  <c r="I1095"/>
  <c r="I1094"/>
  <c r="I1090"/>
  <c r="I1089"/>
  <c r="I1063"/>
  <c r="I1062"/>
  <c r="I1012"/>
  <c r="I1011"/>
  <c r="I1010"/>
  <c r="I1009"/>
  <c r="I984"/>
  <c r="I983"/>
  <c r="I970"/>
  <c r="I969"/>
  <c r="Q671" s="1"/>
  <c r="I958"/>
  <c r="I957"/>
  <c r="I954"/>
  <c r="I953"/>
  <c r="I950"/>
  <c r="I949"/>
  <c r="I943"/>
  <c r="I942"/>
  <c r="I934"/>
  <c r="I933"/>
  <c r="I912"/>
  <c r="I911"/>
  <c r="I910"/>
  <c r="I909"/>
  <c r="I908"/>
  <c r="I907"/>
  <c r="I875"/>
  <c r="I874"/>
  <c r="I862"/>
  <c r="I861"/>
  <c r="I818"/>
  <c r="I817"/>
  <c r="I816"/>
  <c r="I815"/>
  <c r="I814"/>
  <c r="I813"/>
  <c r="I788"/>
  <c r="I787"/>
  <c r="I771"/>
  <c r="I770"/>
  <c r="I769"/>
  <c r="I768"/>
  <c r="I767"/>
  <c r="I766"/>
  <c r="I765"/>
  <c r="I764"/>
  <c r="I755"/>
  <c r="I754"/>
  <c r="I725"/>
  <c r="I724"/>
  <c r="I717"/>
  <c r="I716"/>
  <c r="I690"/>
  <c r="I689"/>
  <c r="I688"/>
  <c r="I687"/>
  <c r="I686"/>
  <c r="I685"/>
  <c r="I684"/>
  <c r="I683"/>
  <c r="I677"/>
  <c r="I676"/>
  <c r="I658"/>
  <c r="I657"/>
  <c r="I646"/>
  <c r="I645"/>
  <c r="I644"/>
  <c r="I643"/>
  <c r="I561"/>
  <c r="I560"/>
  <c r="I545"/>
  <c r="I544"/>
  <c r="I476"/>
  <c r="I475"/>
  <c r="I467"/>
  <c r="I466"/>
  <c r="I465"/>
  <c r="I464"/>
  <c r="I445"/>
  <c r="I444"/>
  <c r="I431"/>
  <c r="I430"/>
  <c r="I422"/>
  <c r="I421"/>
  <c r="I420"/>
  <c r="I419"/>
  <c r="I386"/>
  <c r="I385"/>
  <c r="I375"/>
  <c r="I374"/>
  <c r="I325"/>
  <c r="I324"/>
  <c r="I253"/>
  <c r="I252"/>
  <c r="I227"/>
  <c r="I226"/>
  <c r="I225"/>
  <c r="I224"/>
  <c r="I223"/>
  <c r="I222"/>
  <c r="I183"/>
  <c r="I182"/>
  <c r="I172"/>
  <c r="I171"/>
  <c r="I170"/>
  <c r="I169"/>
  <c r="I141"/>
  <c r="I140"/>
  <c r="I139"/>
  <c r="I138"/>
  <c r="I102"/>
  <c r="I101"/>
  <c r="I100"/>
  <c r="I99"/>
  <c r="I54"/>
  <c r="I53"/>
  <c r="I1889"/>
  <c r="I1888"/>
  <c r="I1768"/>
  <c r="I1767"/>
  <c r="I1821"/>
  <c r="I1820"/>
  <c r="I1819"/>
  <c r="I1818"/>
  <c r="I1817"/>
  <c r="I1816"/>
  <c r="I1815"/>
  <c r="I1762"/>
  <c r="I1761"/>
  <c r="I1700"/>
  <c r="I1699"/>
  <c r="I1722"/>
  <c r="I1721"/>
  <c r="I1510"/>
  <c r="Q545" s="1"/>
  <c r="I1509"/>
  <c r="I1396"/>
  <c r="I1395"/>
  <c r="I1683"/>
  <c r="I1682"/>
  <c r="I1557"/>
  <c r="I1556"/>
  <c r="I1648"/>
  <c r="I1647"/>
  <c r="I1646"/>
  <c r="Q535" s="1"/>
  <c r="I1470"/>
  <c r="Q534" s="1"/>
  <c r="I1469"/>
  <c r="I1462"/>
  <c r="I1461"/>
  <c r="I1508"/>
  <c r="I1507"/>
  <c r="I1506"/>
  <c r="I1494"/>
  <c r="I1493"/>
  <c r="I1492"/>
  <c r="I1486"/>
  <c r="I1485"/>
  <c r="I1484"/>
  <c r="I1479"/>
  <c r="I1478"/>
  <c r="I1477"/>
  <c r="I1407"/>
  <c r="I1406"/>
  <c r="I1405"/>
  <c r="I1404"/>
  <c r="I1332"/>
  <c r="I1331"/>
  <c r="I1330"/>
  <c r="I1329"/>
  <c r="I1328"/>
  <c r="I1327"/>
  <c r="I1311"/>
  <c r="I1310"/>
  <c r="I1309"/>
  <c r="I1308"/>
  <c r="I1272"/>
  <c r="I1271"/>
  <c r="I1270"/>
  <c r="I1268"/>
  <c r="I1267"/>
  <c r="I1266"/>
  <c r="I1265"/>
  <c r="I1264"/>
  <c r="I1263"/>
  <c r="I1196"/>
  <c r="I1195"/>
  <c r="I1186"/>
  <c r="I1185"/>
  <c r="I1173"/>
  <c r="I1172"/>
  <c r="I1171"/>
  <c r="I1140"/>
  <c r="I1139"/>
  <c r="I1138"/>
  <c r="I1137"/>
  <c r="I1136"/>
  <c r="I1135"/>
  <c r="I1093"/>
  <c r="I1092"/>
  <c r="I1091"/>
  <c r="I1088"/>
  <c r="I1087"/>
  <c r="Q477" s="1"/>
  <c r="I1061"/>
  <c r="I1060"/>
  <c r="I1059"/>
  <c r="I1058"/>
  <c r="I1057"/>
  <c r="I1008"/>
  <c r="I1007"/>
  <c r="I1006"/>
  <c r="I1005"/>
  <c r="Q468" s="1"/>
  <c r="I982"/>
  <c r="Q467" s="1"/>
  <c r="I981"/>
  <c r="Q466" s="1"/>
  <c r="I980"/>
  <c r="I979"/>
  <c r="I978"/>
  <c r="I977"/>
  <c r="I956"/>
  <c r="I955"/>
  <c r="I898"/>
  <c r="I897"/>
  <c r="I896"/>
  <c r="I895"/>
  <c r="I894"/>
  <c r="I893"/>
  <c r="I892"/>
  <c r="I891"/>
  <c r="I890"/>
  <c r="I889"/>
  <c r="I888"/>
  <c r="I887"/>
  <c r="I881"/>
  <c r="I880"/>
  <c r="I879"/>
  <c r="I878"/>
  <c r="I877"/>
  <c r="I860"/>
  <c r="I859"/>
  <c r="I856"/>
  <c r="I855"/>
  <c r="I854"/>
  <c r="Q438" s="1"/>
  <c r="I853"/>
  <c r="Q437" s="1"/>
  <c r="I852"/>
  <c r="Q436" s="1"/>
  <c r="I851"/>
  <c r="I850"/>
  <c r="I849"/>
  <c r="Q433" s="1"/>
  <c r="I848"/>
  <c r="Q432" s="1"/>
  <c r="I847"/>
  <c r="I846"/>
  <c r="Q430" s="1"/>
  <c r="I845"/>
  <c r="I844"/>
  <c r="I812"/>
  <c r="I811"/>
  <c r="I808"/>
  <c r="I807"/>
  <c r="I806"/>
  <c r="I801"/>
  <c r="I800"/>
  <c r="I799"/>
  <c r="I798"/>
  <c r="I797"/>
  <c r="I796"/>
  <c r="I795"/>
  <c r="I794"/>
  <c r="I763"/>
  <c r="I762"/>
  <c r="Q413" s="1"/>
  <c r="I761"/>
  <c r="Q412" s="1"/>
  <c r="I753"/>
  <c r="Q411" s="1"/>
  <c r="I752"/>
  <c r="Q410" s="1"/>
  <c r="I751"/>
  <c r="Q409" s="1"/>
  <c r="I750"/>
  <c r="Q408" s="1"/>
  <c r="I749"/>
  <c r="Q407" s="1"/>
  <c r="I748"/>
  <c r="Q406" s="1"/>
  <c r="I747"/>
  <c r="Q405" s="1"/>
  <c r="I746"/>
  <c r="I675"/>
  <c r="I674"/>
  <c r="I670"/>
  <c r="I669"/>
  <c r="I666"/>
  <c r="I665"/>
  <c r="I664"/>
  <c r="I642"/>
  <c r="I641"/>
  <c r="I626"/>
  <c r="I625"/>
  <c r="I624"/>
  <c r="I623"/>
  <c r="I622"/>
  <c r="I621"/>
  <c r="Q389" s="1"/>
  <c r="I620"/>
  <c r="I559"/>
  <c r="I558"/>
  <c r="Q386" s="1"/>
  <c r="I557"/>
  <c r="I556"/>
  <c r="I555"/>
  <c r="I554"/>
  <c r="I553"/>
  <c r="I552"/>
  <c r="I551"/>
  <c r="I550"/>
  <c r="I549"/>
  <c r="I548"/>
  <c r="I547"/>
  <c r="I546"/>
  <c r="I528"/>
  <c r="I527"/>
  <c r="I526"/>
  <c r="I525"/>
  <c r="I524"/>
  <c r="I523"/>
  <c r="I522"/>
  <c r="I521"/>
  <c r="I520"/>
  <c r="I519"/>
  <c r="I518"/>
  <c r="I517"/>
  <c r="I501"/>
  <c r="I500"/>
  <c r="I499"/>
  <c r="I498"/>
  <c r="I497"/>
  <c r="I496"/>
  <c r="I495"/>
  <c r="I494"/>
  <c r="I463"/>
  <c r="I462"/>
  <c r="I461"/>
  <c r="I460"/>
  <c r="I459"/>
  <c r="I458"/>
  <c r="I457"/>
  <c r="I403"/>
  <c r="I402"/>
  <c r="I401"/>
  <c r="I400"/>
  <c r="I351"/>
  <c r="I350"/>
  <c r="I349"/>
  <c r="I348"/>
  <c r="I347"/>
  <c r="I318"/>
  <c r="I317"/>
  <c r="I316"/>
  <c r="I315"/>
  <c r="I314"/>
  <c r="Q333" s="1"/>
  <c r="I313"/>
  <c r="Q332" s="1"/>
  <c r="I306"/>
  <c r="I305"/>
  <c r="I304"/>
  <c r="I303"/>
  <c r="I295"/>
  <c r="Q327" s="1"/>
  <c r="I294"/>
  <c r="Q326" s="1"/>
  <c r="I293"/>
  <c r="Q325" s="1"/>
  <c r="I292"/>
  <c r="I291"/>
  <c r="I290"/>
  <c r="I289"/>
  <c r="I288"/>
  <c r="I287"/>
  <c r="I286"/>
  <c r="I285"/>
  <c r="I255"/>
  <c r="I254"/>
  <c r="I251"/>
  <c r="I250"/>
  <c r="I249"/>
  <c r="I221"/>
  <c r="I220"/>
  <c r="I219"/>
  <c r="I218"/>
  <c r="I217"/>
  <c r="I216"/>
  <c r="I215"/>
  <c r="I214"/>
  <c r="I191"/>
  <c r="I190"/>
  <c r="Q302" s="1"/>
  <c r="I189"/>
  <c r="I181"/>
  <c r="I180"/>
  <c r="I179"/>
  <c r="I155"/>
  <c r="I154"/>
  <c r="I153"/>
  <c r="Q295" s="1"/>
  <c r="I152"/>
  <c r="Q294" s="1"/>
  <c r="I137"/>
  <c r="Q293" s="1"/>
  <c r="I136"/>
  <c r="Q292" s="1"/>
  <c r="I135"/>
  <c r="Q291" s="1"/>
  <c r="I134"/>
  <c r="Q290" s="1"/>
  <c r="I133"/>
  <c r="Q289" s="1"/>
  <c r="I132"/>
  <c r="Q288" s="1"/>
  <c r="I131"/>
  <c r="Q287" s="1"/>
  <c r="I130"/>
  <c r="I129"/>
  <c r="I128"/>
  <c r="I127"/>
  <c r="I118"/>
  <c r="I117"/>
  <c r="I116"/>
  <c r="I115"/>
  <c r="I112"/>
  <c r="I111"/>
  <c r="I58"/>
  <c r="I57"/>
  <c r="I52"/>
  <c r="I51"/>
  <c r="I50"/>
  <c r="I21"/>
  <c r="I20"/>
  <c r="I19"/>
  <c r="I18"/>
  <c r="I17"/>
  <c r="I16"/>
  <c r="I418"/>
  <c r="I417"/>
  <c r="I416"/>
  <c r="I415"/>
  <c r="I414"/>
  <c r="I488"/>
  <c r="I487"/>
  <c r="I486"/>
  <c r="I485"/>
  <c r="I484"/>
  <c r="I493"/>
  <c r="I492"/>
  <c r="I491"/>
  <c r="Q253" s="1"/>
  <c r="I490"/>
  <c r="Q252" s="1"/>
  <c r="I489"/>
  <c r="I516"/>
  <c r="I515"/>
  <c r="I514"/>
  <c r="I513"/>
  <c r="I512"/>
  <c r="I483"/>
  <c r="I482"/>
  <c r="I481"/>
  <c r="Q243" s="1"/>
  <c r="I480"/>
  <c r="Q242" s="1"/>
  <c r="I479"/>
  <c r="Q241" s="1"/>
  <c r="I443"/>
  <c r="Q240" s="1"/>
  <c r="I442"/>
  <c r="Q239" s="1"/>
  <c r="I441"/>
  <c r="Q238" s="1"/>
  <c r="I440"/>
  <c r="I439"/>
  <c r="I429"/>
  <c r="I428"/>
  <c r="I427"/>
  <c r="I426"/>
  <c r="Q232" s="1"/>
  <c r="I425"/>
  <c r="I474"/>
  <c r="I473"/>
  <c r="Q229" s="1"/>
  <c r="I472"/>
  <c r="Q228" s="1"/>
  <c r="I471"/>
  <c r="I470"/>
  <c r="I511"/>
  <c r="I510"/>
  <c r="I509"/>
  <c r="I508"/>
  <c r="I507"/>
  <c r="I543"/>
  <c r="I542"/>
  <c r="I541"/>
  <c r="I540"/>
  <c r="I539"/>
  <c r="I456"/>
  <c r="I455"/>
  <c r="Q214" s="1"/>
  <c r="I454"/>
  <c r="I453"/>
  <c r="I452"/>
  <c r="I506"/>
  <c r="I505"/>
  <c r="I504"/>
  <c r="I503"/>
  <c r="I502"/>
  <c r="I323"/>
  <c r="I322"/>
  <c r="I321"/>
  <c r="I320"/>
  <c r="I319"/>
  <c r="I248"/>
  <c r="Q200" s="1"/>
  <c r="I247"/>
  <c r="I246"/>
  <c r="I245"/>
  <c r="I244"/>
  <c r="I373"/>
  <c r="I372"/>
  <c r="I371"/>
  <c r="Q193" s="1"/>
  <c r="I370"/>
  <c r="I369"/>
  <c r="I382"/>
  <c r="I381"/>
  <c r="I380"/>
  <c r="I379"/>
  <c r="I378"/>
  <c r="I284"/>
  <c r="Q185" s="1"/>
  <c r="I283"/>
  <c r="I282"/>
  <c r="I281"/>
  <c r="Q182" s="1"/>
  <c r="I280"/>
  <c r="I270"/>
  <c r="I269"/>
  <c r="I268"/>
  <c r="I267"/>
  <c r="I266"/>
  <c r="I399"/>
  <c r="I398"/>
  <c r="I397"/>
  <c r="I396"/>
  <c r="I395"/>
  <c r="I394"/>
  <c r="I393"/>
  <c r="I392"/>
  <c r="I391"/>
  <c r="I390"/>
  <c r="I265"/>
  <c r="I264"/>
  <c r="I263"/>
  <c r="I262"/>
  <c r="Q162" s="1"/>
  <c r="I261"/>
  <c r="I260"/>
  <c r="I259"/>
  <c r="I258"/>
  <c r="I257"/>
  <c r="I256"/>
  <c r="I368"/>
  <c r="I367"/>
  <c r="Q154" s="1"/>
  <c r="I366"/>
  <c r="I365"/>
  <c r="I364"/>
  <c r="I213"/>
  <c r="I212"/>
  <c r="I211"/>
  <c r="I210"/>
  <c r="I209"/>
  <c r="I49"/>
  <c r="I48"/>
  <c r="I47"/>
  <c r="I46"/>
  <c r="I45"/>
  <c r="I63"/>
  <c r="I62"/>
  <c r="I61"/>
  <c r="I60"/>
  <c r="I59"/>
  <c r="Q136" s="1"/>
  <c r="I73"/>
  <c r="Q135" s="1"/>
  <c r="I72"/>
  <c r="Q134" s="1"/>
  <c r="I71"/>
  <c r="Q133" s="1"/>
  <c r="I70"/>
  <c r="Q132" s="1"/>
  <c r="I69"/>
  <c r="I39"/>
  <c r="I38"/>
  <c r="I37"/>
  <c r="I36"/>
  <c r="I35"/>
  <c r="I68"/>
  <c r="I67"/>
  <c r="I66"/>
  <c r="I65"/>
  <c r="I64"/>
  <c r="I44"/>
  <c r="I43"/>
  <c r="I42"/>
  <c r="Q118" s="1"/>
  <c r="I41"/>
  <c r="Q117" s="1"/>
  <c r="I40"/>
  <c r="Q116" s="1"/>
  <c r="I168"/>
  <c r="Q115" s="1"/>
  <c r="I167"/>
  <c r="Q114" s="1"/>
  <c r="I166"/>
  <c r="I165"/>
  <c r="I164"/>
  <c r="I151"/>
  <c r="I150"/>
  <c r="Q109" s="1"/>
  <c r="I149"/>
  <c r="Q108" s="1"/>
  <c r="I148"/>
  <c r="Q107" s="1"/>
  <c r="I147"/>
  <c r="Q106" s="1"/>
  <c r="I31"/>
  <c r="Q105" s="1"/>
  <c r="I30"/>
  <c r="I29"/>
  <c r="I28"/>
  <c r="Q102" s="1"/>
  <c r="I27"/>
  <c r="I126"/>
  <c r="I125"/>
  <c r="I124"/>
  <c r="I123"/>
  <c r="I122"/>
  <c r="I198"/>
  <c r="I197"/>
  <c r="I196"/>
  <c r="I195"/>
  <c r="I194"/>
  <c r="I98"/>
  <c r="I97"/>
  <c r="I96"/>
  <c r="I95"/>
  <c r="I94"/>
  <c r="I93"/>
  <c r="I92"/>
  <c r="I91"/>
  <c r="I90"/>
  <c r="I89"/>
  <c r="I88"/>
  <c r="I87"/>
  <c r="I86"/>
  <c r="I85"/>
  <c r="I84"/>
  <c r="I83"/>
  <c r="I82"/>
  <c r="I81"/>
  <c r="I80"/>
  <c r="I79"/>
  <c r="I78"/>
  <c r="Q70" s="1"/>
  <c r="I77"/>
  <c r="I76"/>
  <c r="I75"/>
  <c r="I74"/>
  <c r="I208"/>
  <c r="I207"/>
  <c r="I206"/>
  <c r="I205"/>
  <c r="I204"/>
  <c r="I15"/>
  <c r="I14"/>
  <c r="I13"/>
  <c r="I12"/>
  <c r="I11"/>
  <c r="Q56" s="1"/>
  <c r="I10"/>
  <c r="I9"/>
  <c r="Q54" s="1"/>
  <c r="I8"/>
  <c r="I7"/>
  <c r="I6"/>
  <c r="I451"/>
  <c r="Q50" s="1"/>
  <c r="I450"/>
  <c r="Q49" s="1"/>
  <c r="I449"/>
  <c r="Q48" s="1"/>
  <c r="I448"/>
  <c r="Q47" s="1"/>
  <c r="I447"/>
  <c r="Q46" s="1"/>
  <c r="I446"/>
  <c r="Q45" s="1"/>
  <c r="I357"/>
  <c r="Q44" s="1"/>
  <c r="I356"/>
  <c r="Q43" s="1"/>
  <c r="I355"/>
  <c r="Q42" s="1"/>
  <c r="I354"/>
  <c r="Q41" s="1"/>
  <c r="I353"/>
  <c r="Q40" s="1"/>
  <c r="I352"/>
  <c r="I312"/>
  <c r="I311"/>
  <c r="I310"/>
  <c r="Q36" s="1"/>
  <c r="I309"/>
  <c r="I308"/>
  <c r="I307"/>
  <c r="I279"/>
  <c r="I278"/>
  <c r="I277"/>
  <c r="I276"/>
  <c r="I275"/>
  <c r="I274"/>
  <c r="I273"/>
  <c r="I272"/>
  <c r="I271"/>
  <c r="I121"/>
  <c r="I120"/>
  <c r="I119"/>
  <c r="I178"/>
  <c r="I177"/>
  <c r="I176"/>
  <c r="I175"/>
  <c r="I174"/>
  <c r="I173"/>
  <c r="I188"/>
  <c r="I187"/>
  <c r="I186"/>
  <c r="I26"/>
  <c r="I25"/>
  <c r="I24"/>
  <c r="I203"/>
  <c r="I202"/>
  <c r="M1759"/>
  <c r="M2010"/>
  <c r="M2009"/>
  <c r="M2008"/>
  <c r="M2007"/>
  <c r="M2004"/>
  <c r="M2003"/>
  <c r="M2002"/>
  <c r="M2001"/>
  <c r="M2000"/>
  <c r="M1999"/>
  <c r="M1998"/>
  <c r="M1997"/>
  <c r="M1996"/>
  <c r="M1995"/>
  <c r="M1814"/>
  <c r="M1813"/>
  <c r="M1994"/>
  <c r="M1993"/>
  <c r="M1992"/>
  <c r="M1991"/>
  <c r="M1990"/>
  <c r="M1989"/>
  <c r="M1988"/>
  <c r="M1987"/>
  <c r="M1409"/>
  <c r="M1408"/>
  <c r="M1394"/>
  <c r="M1393"/>
  <c r="M1915"/>
  <c r="M1914"/>
  <c r="M1913"/>
  <c r="M1912"/>
  <c r="M1911"/>
  <c r="M1839"/>
  <c r="M1838"/>
  <c r="M1837"/>
  <c r="M1836"/>
  <c r="M1835"/>
  <c r="M1794"/>
  <c r="M1793"/>
  <c r="M1792"/>
  <c r="M1791"/>
  <c r="M1790"/>
  <c r="M1785"/>
  <c r="M1784"/>
  <c r="M1783"/>
  <c r="M1782"/>
  <c r="M1781"/>
  <c r="M1849"/>
  <c r="M1848"/>
  <c r="M1847"/>
  <c r="M1846"/>
  <c r="M1845"/>
  <c r="M1803"/>
  <c r="M1802"/>
  <c r="M1801"/>
  <c r="M1800"/>
  <c r="M1799"/>
  <c r="M1834"/>
  <c r="M1833"/>
  <c r="M1832"/>
  <c r="M1831"/>
  <c r="M1830"/>
  <c r="M1864"/>
  <c r="M1863"/>
  <c r="M1862"/>
  <c r="M1861"/>
  <c r="M1860"/>
  <c r="M1883"/>
  <c r="M1882"/>
  <c r="M1881"/>
  <c r="M1880"/>
  <c r="M1879"/>
  <c r="M1910"/>
  <c r="M1909"/>
  <c r="M1908"/>
  <c r="M1907"/>
  <c r="M1906"/>
  <c r="M1905"/>
  <c r="M1904"/>
  <c r="M1903"/>
  <c r="M1902"/>
  <c r="M1901"/>
  <c r="M1986"/>
  <c r="M1985"/>
  <c r="M1984"/>
  <c r="M1983"/>
  <c r="M1982"/>
  <c r="M1775"/>
  <c r="M1774"/>
  <c r="M1773"/>
  <c r="M1772"/>
  <c r="M1771"/>
  <c r="M1878"/>
  <c r="M1877"/>
  <c r="M1876"/>
  <c r="M1875"/>
  <c r="M1874"/>
  <c r="M1780"/>
  <c r="M1779"/>
  <c r="M1778"/>
  <c r="M1777"/>
  <c r="M1776"/>
  <c r="M1812"/>
  <c r="M1811"/>
  <c r="M1810"/>
  <c r="M1809"/>
  <c r="M1808"/>
  <c r="M1584"/>
  <c r="M1583"/>
  <c r="M1582"/>
  <c r="M1581"/>
  <c r="M1580"/>
  <c r="M1569"/>
  <c r="M1568"/>
  <c r="M1567"/>
  <c r="M1566"/>
  <c r="M1565"/>
  <c r="M1555"/>
  <c r="M1554"/>
  <c r="M1553"/>
  <c r="M1552"/>
  <c r="M1551"/>
  <c r="M1564"/>
  <c r="M1563"/>
  <c r="M1562"/>
  <c r="M1561"/>
  <c r="M1608"/>
  <c r="M1607"/>
  <c r="M1606"/>
  <c r="M1605"/>
  <c r="M1604"/>
  <c r="M1603"/>
  <c r="M1665"/>
  <c r="M1664"/>
  <c r="M1663"/>
  <c r="M1662"/>
  <c r="M1661"/>
  <c r="M1681"/>
  <c r="M1680"/>
  <c r="M1679"/>
  <c r="M1678"/>
  <c r="M1677"/>
  <c r="M1660"/>
  <c r="M1659"/>
  <c r="M1658"/>
  <c r="M1657"/>
  <c r="M1656"/>
  <c r="M1602"/>
  <c r="M1601"/>
  <c r="M1600"/>
  <c r="M1599"/>
  <c r="M1598"/>
  <c r="M1595"/>
  <c r="M1594"/>
  <c r="M1593"/>
  <c r="M1592"/>
  <c r="M1591"/>
  <c r="M1617"/>
  <c r="M1616"/>
  <c r="M1615"/>
  <c r="M1614"/>
  <c r="M1613"/>
  <c r="M1629"/>
  <c r="M1628"/>
  <c r="M1627"/>
  <c r="M1626"/>
  <c r="M1625"/>
  <c r="M1655"/>
  <c r="M1654"/>
  <c r="M1653"/>
  <c r="M1652"/>
  <c r="M1651"/>
  <c r="M1698"/>
  <c r="M1697"/>
  <c r="M1696"/>
  <c r="M1695"/>
  <c r="M1694"/>
  <c r="M1693"/>
  <c r="M1692"/>
  <c r="M1691"/>
  <c r="M1690"/>
  <c r="M1550"/>
  <c r="M1707"/>
  <c r="M1706"/>
  <c r="M1705"/>
  <c r="M1704"/>
  <c r="M1703"/>
  <c r="M1714"/>
  <c r="M1713"/>
  <c r="M1712"/>
  <c r="M1711"/>
  <c r="M1710"/>
  <c r="M1549"/>
  <c r="M1548"/>
  <c r="M1547"/>
  <c r="M1546"/>
  <c r="M1545"/>
  <c r="M1544"/>
  <c r="M1543"/>
  <c r="M1542"/>
  <c r="M1541"/>
  <c r="M1540"/>
  <c r="M1754"/>
  <c r="M1753"/>
  <c r="M1752"/>
  <c r="M1751"/>
  <c r="M1750"/>
  <c r="M1560"/>
  <c r="M1559"/>
  <c r="M1558"/>
  <c r="M1528"/>
  <c r="M1460"/>
  <c r="M1442"/>
  <c r="M1403"/>
  <c r="M1390"/>
  <c r="M1389"/>
  <c r="M1491"/>
  <c r="M1490"/>
  <c r="M1489"/>
  <c r="M1488"/>
  <c r="M1487"/>
  <c r="M1441"/>
  <c r="M1440"/>
  <c r="M1439"/>
  <c r="M1438"/>
  <c r="M1437"/>
  <c r="M1436"/>
  <c r="M1435"/>
  <c r="M1434"/>
  <c r="M1433"/>
  <c r="M1432"/>
  <c r="M1431"/>
  <c r="M1430"/>
  <c r="M1429"/>
  <c r="M1428"/>
  <c r="M1427"/>
  <c r="M1459"/>
  <c r="M1458"/>
  <c r="M1457"/>
  <c r="M1456"/>
  <c r="M1455"/>
  <c r="M1426"/>
  <c r="M1425"/>
  <c r="M1424"/>
  <c r="M1423"/>
  <c r="M1422"/>
  <c r="M1505"/>
  <c r="M1504"/>
  <c r="M1503"/>
  <c r="M1502"/>
  <c r="M1501"/>
  <c r="M1500"/>
  <c r="M1499"/>
  <c r="M1498"/>
  <c r="M1497"/>
  <c r="M1421"/>
  <c r="M1527"/>
  <c r="M1526"/>
  <c r="M1525"/>
  <c r="M1524"/>
  <c r="M1523"/>
  <c r="M1962"/>
  <c r="M1961"/>
  <c r="M1960"/>
  <c r="M1853"/>
  <c r="M1852"/>
  <c r="M1959"/>
  <c r="M1958"/>
  <c r="M1900"/>
  <c r="M1899"/>
  <c r="M1898"/>
  <c r="M1388"/>
  <c r="M1387"/>
  <c r="M1670"/>
  <c r="M1669"/>
  <c r="M1668"/>
  <c r="M1386"/>
  <c r="M1454"/>
  <c r="M1453"/>
  <c r="M1749"/>
  <c r="M1748"/>
  <c r="M1737"/>
  <c r="M1736"/>
  <c r="M1735"/>
  <c r="M1734"/>
  <c r="M1733"/>
  <c r="M1732"/>
  <c r="M1731"/>
  <c r="M1364"/>
  <c r="M1363"/>
  <c r="M1362"/>
  <c r="M1361"/>
  <c r="M1360"/>
  <c r="M1359"/>
  <c r="M1194"/>
  <c r="M1193"/>
  <c r="M1192"/>
  <c r="M968"/>
  <c r="M967"/>
  <c r="M966"/>
  <c r="M619"/>
  <c r="M618"/>
  <c r="M617"/>
  <c r="M1212"/>
  <c r="M1211"/>
  <c r="M1210"/>
  <c r="M1209"/>
  <c r="M1208"/>
  <c r="M1243"/>
  <c r="M1242"/>
  <c r="M1241"/>
  <c r="M1240"/>
  <c r="M1239"/>
  <c r="M1238"/>
  <c r="M1237"/>
  <c r="M1236"/>
  <c r="M1235"/>
  <c r="M1234"/>
  <c r="M1224"/>
  <c r="M1223"/>
  <c r="M1222"/>
  <c r="M1221"/>
  <c r="M1220"/>
  <c r="M1253"/>
  <c r="M1252"/>
  <c r="M1251"/>
  <c r="M1250"/>
  <c r="M1249"/>
  <c r="M1262"/>
  <c r="M1261"/>
  <c r="M1260"/>
  <c r="M1259"/>
  <c r="M1258"/>
  <c r="M1300"/>
  <c r="M1299"/>
  <c r="M1298"/>
  <c r="M1297"/>
  <c r="M1296"/>
  <c r="M1219"/>
  <c r="M1218"/>
  <c r="M1217"/>
  <c r="M1216"/>
  <c r="M1215"/>
  <c r="M1295"/>
  <c r="M1294"/>
  <c r="M1293"/>
  <c r="M1292"/>
  <c r="M1291"/>
  <c r="M1182"/>
  <c r="M1181"/>
  <c r="M1180"/>
  <c r="M1179"/>
  <c r="M1178"/>
  <c r="M1191"/>
  <c r="M1190"/>
  <c r="M1189"/>
  <c r="M1170"/>
  <c r="M1248"/>
  <c r="M1207"/>
  <c r="M1206"/>
  <c r="M1205"/>
  <c r="M1204"/>
  <c r="M1203"/>
  <c r="M1307"/>
  <c r="M1306"/>
  <c r="M1305"/>
  <c r="M1304"/>
  <c r="M1303"/>
  <c r="M873"/>
  <c r="M872"/>
  <c r="M871"/>
  <c r="M870"/>
  <c r="M869"/>
  <c r="M1086"/>
  <c r="M1085"/>
  <c r="M1084"/>
  <c r="M1083"/>
  <c r="M1082"/>
  <c r="M1156"/>
  <c r="M1155"/>
  <c r="M1154"/>
  <c r="M1153"/>
  <c r="M1152"/>
  <c r="M1151"/>
  <c r="M1150"/>
  <c r="M1149"/>
  <c r="M1148"/>
  <c r="M1147"/>
  <c r="M1134"/>
  <c r="M1133"/>
  <c r="M1132"/>
  <c r="M1131"/>
  <c r="M1130"/>
  <c r="M1119"/>
  <c r="M1118"/>
  <c r="M1117"/>
  <c r="M1116"/>
  <c r="M1115"/>
  <c r="M1114"/>
  <c r="M1113"/>
  <c r="M1112"/>
  <c r="M1111"/>
  <c r="M1110"/>
  <c r="M1109"/>
  <c r="M1108"/>
  <c r="M1107"/>
  <c r="M1106"/>
  <c r="M1105"/>
  <c r="M1081"/>
  <c r="M1080"/>
  <c r="M1079"/>
  <c r="M1078"/>
  <c r="M1077"/>
  <c r="M1076"/>
  <c r="M1075"/>
  <c r="M1074"/>
  <c r="M1073"/>
  <c r="M1072"/>
  <c r="M1056"/>
  <c r="M1055"/>
  <c r="M1054"/>
  <c r="M1053"/>
  <c r="M1052"/>
  <c r="M1045"/>
  <c r="M1044"/>
  <c r="M1043"/>
  <c r="M1042"/>
  <c r="M1041"/>
  <c r="M1034"/>
  <c r="M1033"/>
  <c r="M1032"/>
  <c r="M1031"/>
  <c r="M1030"/>
  <c r="M1000"/>
  <c r="M999"/>
  <c r="M998"/>
  <c r="M997"/>
  <c r="M996"/>
  <c r="M995"/>
  <c r="M994"/>
  <c r="M993"/>
  <c r="M992"/>
  <c r="M991"/>
  <c r="M965"/>
  <c r="M964"/>
  <c r="M963"/>
  <c r="M962"/>
  <c r="M961"/>
  <c r="M1104"/>
  <c r="M1103"/>
  <c r="M1102"/>
  <c r="M1101"/>
  <c r="M1100"/>
  <c r="M948"/>
  <c r="M947"/>
  <c r="M946"/>
  <c r="M945"/>
  <c r="M944"/>
  <c r="M941"/>
  <c r="M940"/>
  <c r="M939"/>
  <c r="M938"/>
  <c r="M937"/>
  <c r="M1071"/>
  <c r="M1070"/>
  <c r="M1069"/>
  <c r="M1068"/>
  <c r="M1067"/>
  <c r="M906"/>
  <c r="M905"/>
  <c r="M904"/>
  <c r="M903"/>
  <c r="M902"/>
  <c r="M932"/>
  <c r="M931"/>
  <c r="M930"/>
  <c r="M929"/>
  <c r="M928"/>
  <c r="M927"/>
  <c r="M926"/>
  <c r="M925"/>
  <c r="M924"/>
  <c r="M923"/>
  <c r="M922"/>
  <c r="M921"/>
  <c r="M920"/>
  <c r="M919"/>
  <c r="M918"/>
  <c r="M886"/>
  <c r="M885"/>
  <c r="M884"/>
  <c r="M883"/>
  <c r="M882"/>
  <c r="M835"/>
  <c r="M834"/>
  <c r="M833"/>
  <c r="M832"/>
  <c r="M831"/>
  <c r="M656"/>
  <c r="M655"/>
  <c r="M654"/>
  <c r="M653"/>
  <c r="M652"/>
  <c r="M651"/>
  <c r="M650"/>
  <c r="M649"/>
  <c r="M648"/>
  <c r="M647"/>
  <c r="M663"/>
  <c r="M662"/>
  <c r="M661"/>
  <c r="M660"/>
  <c r="M659"/>
  <c r="M712"/>
  <c r="M711"/>
  <c r="M710"/>
  <c r="M709"/>
  <c r="M708"/>
  <c r="M707"/>
  <c r="M706"/>
  <c r="M705"/>
  <c r="M704"/>
  <c r="M703"/>
  <c r="M702"/>
  <c r="M701"/>
  <c r="M700"/>
  <c r="M699"/>
  <c r="M698"/>
  <c r="M741"/>
  <c r="M740"/>
  <c r="M739"/>
  <c r="M738"/>
  <c r="M737"/>
  <c r="M736"/>
  <c r="M735"/>
  <c r="M734"/>
  <c r="M733"/>
  <c r="M732"/>
  <c r="M786"/>
  <c r="M785"/>
  <c r="M784"/>
  <c r="M783"/>
  <c r="M782"/>
  <c r="M682"/>
  <c r="M681"/>
  <c r="M680"/>
  <c r="M679"/>
  <c r="M678"/>
  <c r="M697"/>
  <c r="M696"/>
  <c r="M695"/>
  <c r="M694"/>
  <c r="M693"/>
  <c r="M760"/>
  <c r="M759"/>
  <c r="M758"/>
  <c r="M757"/>
  <c r="M756"/>
  <c r="M781"/>
  <c r="M780"/>
  <c r="M779"/>
  <c r="M778"/>
  <c r="M777"/>
  <c r="M776"/>
  <c r="M775"/>
  <c r="M774"/>
  <c r="M773"/>
  <c r="M772"/>
  <c r="M793"/>
  <c r="M792"/>
  <c r="M791"/>
  <c r="M790"/>
  <c r="M789"/>
  <c r="M830"/>
  <c r="M829"/>
  <c r="M828"/>
  <c r="M827"/>
  <c r="M826"/>
  <c r="M825"/>
  <c r="M824"/>
  <c r="M823"/>
  <c r="M822"/>
  <c r="M821"/>
  <c r="M603"/>
  <c r="M602"/>
  <c r="M433"/>
  <c r="M432"/>
  <c r="M1937"/>
  <c r="M1936"/>
  <c r="M1930"/>
  <c r="M1929"/>
  <c r="M1926"/>
  <c r="M1925"/>
  <c r="M1924"/>
  <c r="M1923"/>
  <c r="M1922"/>
  <c r="M1921"/>
  <c r="M1920"/>
  <c r="M1897"/>
  <c r="M1896"/>
  <c r="M1895"/>
  <c r="M1894"/>
  <c r="M1893"/>
  <c r="M1892"/>
  <c r="M1887"/>
  <c r="M1886"/>
  <c r="M1870"/>
  <c r="M1869"/>
  <c r="M1859"/>
  <c r="M1858"/>
  <c r="M1829"/>
  <c r="M1828"/>
  <c r="M1827"/>
  <c r="M1826"/>
  <c r="M1807"/>
  <c r="M1806"/>
  <c r="M1798"/>
  <c r="M1797"/>
  <c r="M1770"/>
  <c r="M1769"/>
  <c r="M1724"/>
  <c r="M1723"/>
  <c r="M1689"/>
  <c r="M1688"/>
  <c r="M1676"/>
  <c r="M1675"/>
  <c r="M1674"/>
  <c r="M1673"/>
  <c r="M1672"/>
  <c r="M1671"/>
  <c r="M1645"/>
  <c r="M1644"/>
  <c r="M1643"/>
  <c r="M1642"/>
  <c r="M1641"/>
  <c r="M1640"/>
  <c r="M1639"/>
  <c r="M1638"/>
  <c r="M1631"/>
  <c r="M1630"/>
  <c r="M1624"/>
  <c r="M1623"/>
  <c r="M1622"/>
  <c r="M1514"/>
  <c r="M1513"/>
  <c r="M1476"/>
  <c r="M1475"/>
  <c r="M1474"/>
  <c r="M1473"/>
  <c r="M1472"/>
  <c r="M1471"/>
  <c r="M1468"/>
  <c r="M1467"/>
  <c r="M1466"/>
  <c r="M1465"/>
  <c r="M1464"/>
  <c r="M1463"/>
  <c r="M1342"/>
  <c r="M1341"/>
  <c r="M1340"/>
  <c r="M1339"/>
  <c r="M1338"/>
  <c r="M1337"/>
  <c r="M1326"/>
  <c r="M1325"/>
  <c r="M1324"/>
  <c r="M1323"/>
  <c r="M1322"/>
  <c r="M1321"/>
  <c r="M1320"/>
  <c r="M1319"/>
  <c r="M1318"/>
  <c r="M1317"/>
  <c r="M1316"/>
  <c r="M1315"/>
  <c r="M1314"/>
  <c r="M1281"/>
  <c r="M1313"/>
  <c r="M1312"/>
  <c r="M1280"/>
  <c r="M1279"/>
  <c r="M1278"/>
  <c r="M1277"/>
  <c r="M1276"/>
  <c r="M1275"/>
  <c r="M1274"/>
  <c r="M1273"/>
  <c r="M1255"/>
  <c r="M1254"/>
  <c r="M1233"/>
  <c r="M1232"/>
  <c r="M1231"/>
  <c r="M1146"/>
  <c r="M1145"/>
  <c r="M1144"/>
  <c r="M1143"/>
  <c r="M1066"/>
  <c r="M1065"/>
  <c r="M1064"/>
  <c r="M1029"/>
  <c r="M1028"/>
  <c r="M1025"/>
  <c r="M1024"/>
  <c r="M1023"/>
  <c r="M1022"/>
  <c r="M1021"/>
  <c r="M1020"/>
  <c r="M1019"/>
  <c r="M1018"/>
  <c r="M1017"/>
  <c r="M1016"/>
  <c r="M1015"/>
  <c r="M1004"/>
  <c r="M1003"/>
  <c r="M1002"/>
  <c r="M1001"/>
  <c r="M990"/>
  <c r="M989"/>
  <c r="M988"/>
  <c r="M987"/>
  <c r="M976"/>
  <c r="M975"/>
  <c r="M960"/>
  <c r="M959"/>
  <c r="M917"/>
  <c r="M916"/>
  <c r="M915"/>
  <c r="M901"/>
  <c r="M900"/>
  <c r="M899"/>
  <c r="M868"/>
  <c r="M867"/>
  <c r="M866"/>
  <c r="M865"/>
  <c r="M864"/>
  <c r="M863"/>
  <c r="M820"/>
  <c r="M819"/>
  <c r="M805"/>
  <c r="M804"/>
  <c r="M731"/>
  <c r="M730"/>
  <c r="M729"/>
  <c r="M728"/>
  <c r="M723"/>
  <c r="M722"/>
  <c r="M721"/>
  <c r="M720"/>
  <c r="M673"/>
  <c r="M672"/>
  <c r="M671"/>
  <c r="M569"/>
  <c r="M568"/>
  <c r="M567"/>
  <c r="M566"/>
  <c r="M565"/>
  <c r="M564"/>
  <c r="M563"/>
  <c r="M562"/>
  <c r="M538"/>
  <c r="M537"/>
  <c r="M536"/>
  <c r="M535"/>
  <c r="M534"/>
  <c r="M533"/>
  <c r="M532"/>
  <c r="M531"/>
  <c r="M530"/>
  <c r="M529"/>
  <c r="M478"/>
  <c r="M477"/>
  <c r="M469"/>
  <c r="M468"/>
  <c r="M438"/>
  <c r="M437"/>
  <c r="M436"/>
  <c r="M407"/>
  <c r="M406"/>
  <c r="M405"/>
  <c r="M404"/>
  <c r="M389"/>
  <c r="M388"/>
  <c r="M387"/>
  <c r="M363"/>
  <c r="M362"/>
  <c r="M361"/>
  <c r="M360"/>
  <c r="M359"/>
  <c r="M358"/>
  <c r="M346"/>
  <c r="M345"/>
  <c r="M344"/>
  <c r="M343"/>
  <c r="M342"/>
  <c r="M341"/>
  <c r="M340"/>
  <c r="M339"/>
  <c r="M338"/>
  <c r="M337"/>
  <c r="M336"/>
  <c r="M335"/>
  <c r="M334"/>
  <c r="M302"/>
  <c r="M301"/>
  <c r="M300"/>
  <c r="M237"/>
  <c r="M236"/>
  <c r="M235"/>
  <c r="M234"/>
  <c r="M233"/>
  <c r="M232"/>
  <c r="M231"/>
  <c r="M230"/>
  <c r="M163"/>
  <c r="M162"/>
  <c r="M161"/>
  <c r="M160"/>
  <c r="M159"/>
  <c r="M158"/>
  <c r="M146"/>
  <c r="M145"/>
  <c r="M144"/>
  <c r="M143"/>
  <c r="M142"/>
  <c r="M110"/>
  <c r="M109"/>
  <c r="M108"/>
  <c r="M107"/>
  <c r="M106"/>
  <c r="M105"/>
  <c r="M34"/>
  <c r="M33"/>
  <c r="M32"/>
  <c r="M1885"/>
  <c r="M1884"/>
  <c r="M1868"/>
  <c r="M1867"/>
  <c r="M1866"/>
  <c r="M1865"/>
  <c r="M1857"/>
  <c r="M1856"/>
  <c r="M1805"/>
  <c r="M1804"/>
  <c r="M1796"/>
  <c r="M1795"/>
  <c r="M1789"/>
  <c r="M1788"/>
  <c r="M1787"/>
  <c r="M1786"/>
  <c r="M1764"/>
  <c r="M1763"/>
  <c r="M1758"/>
  <c r="M1757"/>
  <c r="M1756"/>
  <c r="M1755"/>
  <c r="M1720"/>
  <c r="M1719"/>
  <c r="M1716"/>
  <c r="M1715"/>
  <c r="M1709"/>
  <c r="M1708"/>
  <c r="M1667"/>
  <c r="M1666"/>
  <c r="M1635"/>
  <c r="M1634"/>
  <c r="M1633"/>
  <c r="M1632"/>
  <c r="M1621"/>
  <c r="M1620"/>
  <c r="M1612"/>
  <c r="M1611"/>
  <c r="M1588"/>
  <c r="M1587"/>
  <c r="M1579"/>
  <c r="M1578"/>
  <c r="M1573"/>
  <c r="M1572"/>
  <c r="M1512"/>
  <c r="M1511"/>
  <c r="M1496"/>
  <c r="M1495"/>
  <c r="M1452"/>
  <c r="M1451"/>
  <c r="M1415"/>
  <c r="M1414"/>
  <c r="M1413"/>
  <c r="M1412"/>
  <c r="M1402"/>
  <c r="M1401"/>
  <c r="M1336"/>
  <c r="M1335"/>
  <c r="M1334"/>
  <c r="M1333"/>
  <c r="M1214"/>
  <c r="M1213"/>
  <c r="M1188"/>
  <c r="M1187"/>
  <c r="M1184"/>
  <c r="M1183"/>
  <c r="M1177"/>
  <c r="M1176"/>
  <c r="M1099"/>
  <c r="M1098"/>
  <c r="M1051"/>
  <c r="M1050"/>
  <c r="M1049"/>
  <c r="M1048"/>
  <c r="M1047"/>
  <c r="M1046"/>
  <c r="M1040"/>
  <c r="M1039"/>
  <c r="M1038"/>
  <c r="M1037"/>
  <c r="M1036"/>
  <c r="M1035"/>
  <c r="M1014"/>
  <c r="M1013"/>
  <c r="M986"/>
  <c r="M985"/>
  <c r="M974"/>
  <c r="M973"/>
  <c r="M972"/>
  <c r="M971"/>
  <c r="M952"/>
  <c r="M951"/>
  <c r="M936"/>
  <c r="M935"/>
  <c r="M914"/>
  <c r="M913"/>
  <c r="M810"/>
  <c r="M809"/>
  <c r="M803"/>
  <c r="M802"/>
  <c r="M727"/>
  <c r="M726"/>
  <c r="M719"/>
  <c r="M718"/>
  <c r="M692"/>
  <c r="M691"/>
  <c r="M668"/>
  <c r="M667"/>
  <c r="M435"/>
  <c r="M434"/>
  <c r="M424"/>
  <c r="M423"/>
  <c r="M384"/>
  <c r="M383"/>
  <c r="M377"/>
  <c r="M376"/>
  <c r="M333"/>
  <c r="M332"/>
  <c r="M331"/>
  <c r="M330"/>
  <c r="M329"/>
  <c r="M328"/>
  <c r="M327"/>
  <c r="M326"/>
  <c r="M299"/>
  <c r="M298"/>
  <c r="M297"/>
  <c r="M296"/>
  <c r="M229"/>
  <c r="M228"/>
  <c r="M200"/>
  <c r="M199"/>
  <c r="M193"/>
  <c r="M192"/>
  <c r="M185"/>
  <c r="M184"/>
  <c r="M157"/>
  <c r="M156"/>
  <c r="M114"/>
  <c r="M113"/>
  <c r="M104"/>
  <c r="M103"/>
  <c r="M56"/>
  <c r="M55"/>
  <c r="M1597"/>
  <c r="M1596"/>
  <c r="M1586"/>
  <c r="M1585"/>
  <c r="M1575"/>
  <c r="M1574"/>
  <c r="M1577"/>
  <c r="M1576"/>
  <c r="M1571"/>
  <c r="M1570"/>
  <c r="M1619"/>
  <c r="M1618"/>
  <c r="M1650"/>
  <c r="M1649"/>
  <c r="M1685"/>
  <c r="M1684"/>
  <c r="M1702"/>
  <c r="M1701"/>
  <c r="M1483"/>
  <c r="M1482"/>
  <c r="M1450"/>
  <c r="M1449"/>
  <c r="M1448"/>
  <c r="M1447"/>
  <c r="M1446"/>
  <c r="M1445"/>
  <c r="M1444"/>
  <c r="M1443"/>
  <c r="M1411"/>
  <c r="M1410"/>
  <c r="M1400"/>
  <c r="M1399"/>
  <c r="M1398"/>
  <c r="M1397"/>
  <c r="M1385"/>
  <c r="M1384"/>
  <c r="M1383"/>
  <c r="M1382"/>
  <c r="M1302"/>
  <c r="M1301"/>
  <c r="M1290"/>
  <c r="M1289"/>
  <c r="M1288"/>
  <c r="M1287"/>
  <c r="M1286"/>
  <c r="M1285"/>
  <c r="M1257"/>
  <c r="M1256"/>
  <c r="M1247"/>
  <c r="M1246"/>
  <c r="M1245"/>
  <c r="M1244"/>
  <c r="M1230"/>
  <c r="M1229"/>
  <c r="M1228"/>
  <c r="M1227"/>
  <c r="M1226"/>
  <c r="M1225"/>
  <c r="M1202"/>
  <c r="M1201"/>
  <c r="M1200"/>
  <c r="M1199"/>
  <c r="M1198"/>
  <c r="M1197"/>
  <c r="M1175"/>
  <c r="M1174"/>
  <c r="M1169"/>
  <c r="M1168"/>
  <c r="M1129"/>
  <c r="M1128"/>
  <c r="M1127"/>
  <c r="M1126"/>
  <c r="M1125"/>
  <c r="M1124"/>
  <c r="M1123"/>
  <c r="M1122"/>
  <c r="M1121"/>
  <c r="M1120"/>
  <c r="M1097"/>
  <c r="M1096"/>
  <c r="M1095"/>
  <c r="M1094"/>
  <c r="M1090"/>
  <c r="M1089"/>
  <c r="M1063"/>
  <c r="M1062"/>
  <c r="M1012"/>
  <c r="M1011"/>
  <c r="M1010"/>
  <c r="M1009"/>
  <c r="M984"/>
  <c r="M983"/>
  <c r="M970"/>
  <c r="M969"/>
  <c r="M958"/>
  <c r="M957"/>
  <c r="M954"/>
  <c r="M953"/>
  <c r="M943"/>
  <c r="M942"/>
  <c r="M934"/>
  <c r="M933"/>
  <c r="M912"/>
  <c r="M911"/>
  <c r="M910"/>
  <c r="M909"/>
  <c r="M908"/>
  <c r="M907"/>
  <c r="M875"/>
  <c r="M874"/>
  <c r="M862"/>
  <c r="M861"/>
  <c r="M818"/>
  <c r="M817"/>
  <c r="M816"/>
  <c r="M815"/>
  <c r="M814"/>
  <c r="M813"/>
  <c r="M788"/>
  <c r="M787"/>
  <c r="M771"/>
  <c r="M770"/>
  <c r="M769"/>
  <c r="M768"/>
  <c r="M767"/>
  <c r="M766"/>
  <c r="M765"/>
  <c r="M764"/>
  <c r="M755"/>
  <c r="M754"/>
  <c r="M725"/>
  <c r="M724"/>
  <c r="M690"/>
  <c r="M689"/>
  <c r="M688"/>
  <c r="M687"/>
  <c r="M686"/>
  <c r="M685"/>
  <c r="M677"/>
  <c r="M676"/>
  <c r="M658"/>
  <c r="M657"/>
  <c r="M646"/>
  <c r="M645"/>
  <c r="M644"/>
  <c r="M643"/>
  <c r="M561"/>
  <c r="M560"/>
  <c r="M545"/>
  <c r="M544"/>
  <c r="M476"/>
  <c r="M475"/>
  <c r="M467"/>
  <c r="M466"/>
  <c r="M465"/>
  <c r="M464"/>
  <c r="M445"/>
  <c r="M444"/>
  <c r="M431"/>
  <c r="M430"/>
  <c r="M422"/>
  <c r="M421"/>
  <c r="M420"/>
  <c r="M419"/>
  <c r="M375"/>
  <c r="M374"/>
  <c r="M253"/>
  <c r="M252"/>
  <c r="M225"/>
  <c r="M224"/>
  <c r="M223"/>
  <c r="M222"/>
  <c r="M172"/>
  <c r="M171"/>
  <c r="M170"/>
  <c r="M169"/>
  <c r="M141"/>
  <c r="M140"/>
  <c r="M139"/>
  <c r="M138"/>
  <c r="M102"/>
  <c r="M101"/>
  <c r="M100"/>
  <c r="M99"/>
  <c r="M54"/>
  <c r="M53"/>
  <c r="M1821"/>
  <c r="M1820"/>
  <c r="M1396"/>
  <c r="M1395"/>
  <c r="M1683"/>
  <c r="M1682"/>
  <c r="M1494"/>
  <c r="M1493"/>
  <c r="M1492"/>
  <c r="M1486"/>
  <c r="M1485"/>
  <c r="M1484"/>
  <c r="M1479"/>
  <c r="M1478"/>
  <c r="M1477"/>
  <c r="M1311"/>
  <c r="M1310"/>
  <c r="M1268"/>
  <c r="M1267"/>
  <c r="M1186"/>
  <c r="M1185"/>
  <c r="M1088"/>
  <c r="M1087"/>
  <c r="M1061"/>
  <c r="M1060"/>
  <c r="M1059"/>
  <c r="M1058"/>
  <c r="M1057"/>
  <c r="M956"/>
  <c r="M955"/>
  <c r="M846"/>
  <c r="M845"/>
  <c r="M844"/>
  <c r="M801"/>
  <c r="M800"/>
  <c r="M799"/>
  <c r="M798"/>
  <c r="M797"/>
  <c r="M763"/>
  <c r="M762"/>
  <c r="M761"/>
  <c r="M749"/>
  <c r="M748"/>
  <c r="M747"/>
  <c r="M746"/>
  <c r="M670"/>
  <c r="M669"/>
  <c r="M642"/>
  <c r="M641"/>
  <c r="M547"/>
  <c r="M546"/>
  <c r="M526"/>
  <c r="M525"/>
  <c r="M524"/>
  <c r="M523"/>
  <c r="M522"/>
  <c r="M521"/>
  <c r="M520"/>
  <c r="M519"/>
  <c r="M463"/>
  <c r="M462"/>
  <c r="M401"/>
  <c r="M400"/>
  <c r="M318"/>
  <c r="M317"/>
  <c r="M316"/>
  <c r="M315"/>
  <c r="M314"/>
  <c r="M313"/>
  <c r="M289"/>
  <c r="M288"/>
  <c r="M287"/>
  <c r="M286"/>
  <c r="M285"/>
  <c r="M251"/>
  <c r="M250"/>
  <c r="M249"/>
  <c r="M217"/>
  <c r="M216"/>
  <c r="M181"/>
  <c r="M180"/>
  <c r="M179"/>
  <c r="M155"/>
  <c r="M154"/>
  <c r="M418"/>
  <c r="M417"/>
  <c r="M416"/>
  <c r="M415"/>
  <c r="M414"/>
  <c r="M488"/>
  <c r="M487"/>
  <c r="M486"/>
  <c r="M485"/>
  <c r="M484"/>
  <c r="M493"/>
  <c r="M492"/>
  <c r="M491"/>
  <c r="M490"/>
  <c r="M489"/>
  <c r="M516"/>
  <c r="M515"/>
  <c r="M514"/>
  <c r="M513"/>
  <c r="M512"/>
  <c r="M483"/>
  <c r="M482"/>
  <c r="M481"/>
  <c r="M480"/>
  <c r="M479"/>
  <c r="M443"/>
  <c r="M442"/>
  <c r="M441"/>
  <c r="M440"/>
  <c r="M439"/>
  <c r="M429"/>
  <c r="M428"/>
  <c r="M427"/>
  <c r="M426"/>
  <c r="M425"/>
  <c r="M474"/>
  <c r="M473"/>
  <c r="M472"/>
  <c r="M471"/>
  <c r="M470"/>
  <c r="M511"/>
  <c r="M510"/>
  <c r="M509"/>
  <c r="M508"/>
  <c r="M507"/>
  <c r="M543"/>
  <c r="M542"/>
  <c r="M541"/>
  <c r="M540"/>
  <c r="M539"/>
  <c r="M456"/>
  <c r="M455"/>
  <c r="M454"/>
  <c r="M453"/>
  <c r="M452"/>
  <c r="M506"/>
  <c r="M505"/>
  <c r="M504"/>
  <c r="M503"/>
  <c r="M502"/>
  <c r="M323"/>
  <c r="M322"/>
  <c r="M321"/>
  <c r="M320"/>
  <c r="M319"/>
  <c r="M248"/>
  <c r="M247"/>
  <c r="M246"/>
  <c r="M245"/>
  <c r="M244"/>
  <c r="M373"/>
  <c r="M372"/>
  <c r="M371"/>
  <c r="M370"/>
  <c r="M369"/>
  <c r="M382"/>
  <c r="M381"/>
  <c r="M380"/>
  <c r="M379"/>
  <c r="M378"/>
  <c r="M284"/>
  <c r="M283"/>
  <c r="M282"/>
  <c r="M281"/>
  <c r="M280"/>
  <c r="M270"/>
  <c r="M269"/>
  <c r="M268"/>
  <c r="M267"/>
  <c r="M266"/>
  <c r="M399"/>
  <c r="M398"/>
  <c r="M397"/>
  <c r="M396"/>
  <c r="M395"/>
  <c r="M394"/>
  <c r="M393"/>
  <c r="M392"/>
  <c r="M391"/>
  <c r="M390"/>
  <c r="M265"/>
  <c r="M264"/>
  <c r="M263"/>
  <c r="M262"/>
  <c r="M261"/>
  <c r="M260"/>
  <c r="M259"/>
  <c r="M258"/>
  <c r="M257"/>
  <c r="M256"/>
  <c r="M368"/>
  <c r="M367"/>
  <c r="M366"/>
  <c r="M365"/>
  <c r="M364"/>
  <c r="M213"/>
  <c r="M212"/>
  <c r="M211"/>
  <c r="M210"/>
  <c r="M209"/>
  <c r="M49"/>
  <c r="M48"/>
  <c r="M47"/>
  <c r="M46"/>
  <c r="M45"/>
  <c r="M63"/>
  <c r="M62"/>
  <c r="M61"/>
  <c r="M60"/>
  <c r="M59"/>
  <c r="M73"/>
  <c r="M72"/>
  <c r="M71"/>
  <c r="M70"/>
  <c r="M69"/>
  <c r="M39"/>
  <c r="M38"/>
  <c r="M37"/>
  <c r="M36"/>
  <c r="M35"/>
  <c r="M68"/>
  <c r="M67"/>
  <c r="M66"/>
  <c r="M65"/>
  <c r="M64"/>
  <c r="M44"/>
  <c r="M43"/>
  <c r="M42"/>
  <c r="M41"/>
  <c r="M40"/>
  <c r="M168"/>
  <c r="M167"/>
  <c r="M166"/>
  <c r="M165"/>
  <c r="M164"/>
  <c r="M151"/>
  <c r="M150"/>
  <c r="M149"/>
  <c r="M148"/>
  <c r="M147"/>
  <c r="M31"/>
  <c r="M30"/>
  <c r="M29"/>
  <c r="M28"/>
  <c r="M27"/>
  <c r="M126"/>
  <c r="M125"/>
  <c r="M124"/>
  <c r="M123"/>
  <c r="M122"/>
  <c r="M198"/>
  <c r="M197"/>
  <c r="M196"/>
  <c r="M195"/>
  <c r="M194"/>
  <c r="M98"/>
  <c r="M97"/>
  <c r="M96"/>
  <c r="M95"/>
  <c r="M94"/>
  <c r="M93"/>
  <c r="M92"/>
  <c r="M91"/>
  <c r="M90"/>
  <c r="M89"/>
  <c r="M88"/>
  <c r="M87"/>
  <c r="M86"/>
  <c r="M85"/>
  <c r="M84"/>
  <c r="M83"/>
  <c r="M82"/>
  <c r="M81"/>
  <c r="M80"/>
  <c r="M79"/>
  <c r="M78"/>
  <c r="M77"/>
  <c r="M76"/>
  <c r="M75"/>
  <c r="M74"/>
  <c r="M208"/>
  <c r="M207"/>
  <c r="M206"/>
  <c r="M205"/>
  <c r="M204"/>
  <c r="M451"/>
  <c r="M450"/>
  <c r="M449"/>
  <c r="M448"/>
  <c r="M447"/>
  <c r="M446"/>
  <c r="M357"/>
  <c r="M356"/>
  <c r="M355"/>
  <c r="M354"/>
  <c r="M353"/>
  <c r="M352"/>
  <c r="M312"/>
  <c r="M311"/>
  <c r="M310"/>
  <c r="M309"/>
  <c r="M308"/>
  <c r="M307"/>
  <c r="M279"/>
  <c r="M278"/>
  <c r="M277"/>
  <c r="M276"/>
  <c r="M275"/>
  <c r="M274"/>
  <c r="M178"/>
  <c r="M177"/>
  <c r="M176"/>
  <c r="M175"/>
  <c r="M174"/>
  <c r="M173"/>
  <c r="F1270"/>
  <c r="F1269"/>
  <c r="F1268"/>
  <c r="F1267"/>
  <c r="F1266"/>
  <c r="F1265"/>
  <c r="F1264"/>
  <c r="F1263"/>
  <c r="F1196"/>
  <c r="F1195"/>
  <c r="F1186"/>
  <c r="F1185"/>
  <c r="F1173"/>
  <c r="F1172"/>
  <c r="F1171"/>
  <c r="F1140"/>
  <c r="F1139"/>
  <c r="F1138"/>
  <c r="F1137"/>
  <c r="F1136"/>
  <c r="F1135"/>
  <c r="F1093"/>
  <c r="F1092"/>
  <c r="F1091"/>
  <c r="F1088"/>
  <c r="F1087"/>
  <c r="F1061"/>
  <c r="F1060"/>
  <c r="F1059"/>
  <c r="F1058"/>
  <c r="F1057"/>
  <c r="F1008"/>
  <c r="F1007"/>
  <c r="F1006"/>
  <c r="F1005"/>
  <c r="F982"/>
  <c r="F981"/>
  <c r="F980"/>
  <c r="F979"/>
  <c r="F978"/>
  <c r="F977"/>
  <c r="F956"/>
  <c r="F955"/>
  <c r="F898"/>
  <c r="F897"/>
  <c r="F896"/>
  <c r="F895"/>
  <c r="F894"/>
  <c r="F893"/>
  <c r="F892"/>
  <c r="F891"/>
  <c r="F890"/>
  <c r="F889"/>
  <c r="F888"/>
  <c r="F887"/>
  <c r="F881"/>
  <c r="F880"/>
  <c r="F879"/>
  <c r="F878"/>
  <c r="F877"/>
  <c r="F860"/>
  <c r="F859"/>
  <c r="F856"/>
  <c r="F855"/>
  <c r="F854"/>
  <c r="F853"/>
  <c r="F852"/>
  <c r="F851"/>
  <c r="F850"/>
  <c r="F849"/>
  <c r="F848"/>
  <c r="F847"/>
  <c r="F846"/>
  <c r="F845"/>
  <c r="F844"/>
  <c r="F812"/>
  <c r="F811"/>
  <c r="F808"/>
  <c r="F807"/>
  <c r="F806"/>
  <c r="F801"/>
  <c r="F800"/>
  <c r="F799"/>
  <c r="F798"/>
  <c r="F797"/>
  <c r="F796"/>
  <c r="F795"/>
  <c r="F794"/>
  <c r="F763"/>
  <c r="F762"/>
  <c r="F761"/>
  <c r="F753"/>
  <c r="F752"/>
  <c r="F751"/>
  <c r="F750"/>
  <c r="F749"/>
  <c r="F748"/>
  <c r="F747"/>
  <c r="F746"/>
  <c r="F675"/>
  <c r="F674"/>
  <c r="F670"/>
  <c r="F669"/>
  <c r="F666"/>
  <c r="F665"/>
  <c r="F664"/>
  <c r="F642"/>
  <c r="F641"/>
  <c r="F626"/>
  <c r="F625"/>
  <c r="F624"/>
  <c r="F623"/>
  <c r="F622"/>
  <c r="F621"/>
  <c r="F620"/>
  <c r="F559"/>
  <c r="F558"/>
  <c r="F557"/>
  <c r="F556"/>
  <c r="F555"/>
  <c r="F554"/>
  <c r="F553"/>
  <c r="F552"/>
  <c r="F551"/>
  <c r="F550"/>
  <c r="F549"/>
  <c r="F548"/>
  <c r="F547"/>
  <c r="F546"/>
  <c r="F528"/>
  <c r="F527"/>
  <c r="F526"/>
  <c r="F525"/>
  <c r="F524"/>
  <c r="F523"/>
  <c r="F522"/>
  <c r="F521"/>
  <c r="F520"/>
  <c r="F519"/>
  <c r="F518"/>
  <c r="F517"/>
  <c r="F501"/>
  <c r="F500"/>
  <c r="F499"/>
  <c r="F498"/>
  <c r="F497"/>
  <c r="F496"/>
  <c r="F495"/>
  <c r="F494"/>
  <c r="F463"/>
  <c r="F462"/>
  <c r="F461"/>
  <c r="F460"/>
  <c r="F459"/>
  <c r="F458"/>
  <c r="F457"/>
  <c r="F403"/>
  <c r="F402"/>
  <c r="F401"/>
  <c r="F400"/>
  <c r="F351"/>
  <c r="F350"/>
  <c r="F349"/>
  <c r="F348"/>
  <c r="F347"/>
  <c r="F318"/>
  <c r="F317"/>
  <c r="F316"/>
  <c r="F315"/>
  <c r="F314"/>
  <c r="F313"/>
  <c r="F306"/>
  <c r="F305"/>
  <c r="F304"/>
  <c r="F303"/>
  <c r="F295"/>
  <c r="F294"/>
  <c r="F293"/>
  <c r="F292"/>
  <c r="F291"/>
  <c r="F290"/>
  <c r="F289"/>
  <c r="F288"/>
  <c r="F287"/>
  <c r="F286"/>
  <c r="F285"/>
  <c r="F255"/>
  <c r="F254"/>
  <c r="F251"/>
  <c r="F250"/>
  <c r="F249"/>
  <c r="F221"/>
  <c r="F220"/>
  <c r="F219"/>
  <c r="F218"/>
  <c r="F217"/>
  <c r="F216"/>
  <c r="F215"/>
  <c r="F214"/>
  <c r="F191"/>
  <c r="F190"/>
  <c r="F189"/>
  <c r="F181"/>
  <c r="F180"/>
  <c r="F179"/>
  <c r="F155"/>
  <c r="F154"/>
  <c r="F153"/>
  <c r="F152"/>
  <c r="F137"/>
  <c r="F136"/>
  <c r="F135"/>
  <c r="F134"/>
  <c r="F133"/>
  <c r="F132"/>
  <c r="F131"/>
  <c r="F130"/>
  <c r="F129"/>
  <c r="F128"/>
  <c r="F127"/>
  <c r="F118"/>
  <c r="F117"/>
  <c r="F116"/>
  <c r="F115"/>
  <c r="F112"/>
  <c r="F111"/>
  <c r="F58"/>
  <c r="F57"/>
  <c r="F52"/>
  <c r="F51"/>
  <c r="F50"/>
  <c r="F21"/>
  <c r="F20"/>
  <c r="F19"/>
  <c r="F18"/>
  <c r="F17"/>
  <c r="F16"/>
  <c r="F418"/>
  <c r="F417"/>
  <c r="F416"/>
  <c r="F415"/>
  <c r="F414"/>
  <c r="F488"/>
  <c r="F487"/>
  <c r="F486"/>
  <c r="F485"/>
  <c r="F484"/>
  <c r="F493"/>
  <c r="F492"/>
  <c r="F491"/>
  <c r="F490"/>
  <c r="F489"/>
  <c r="F516"/>
  <c r="F515"/>
  <c r="F514"/>
  <c r="F513"/>
  <c r="F512"/>
  <c r="F483"/>
  <c r="F482"/>
  <c r="F481"/>
  <c r="F480"/>
  <c r="F479"/>
  <c r="F443"/>
  <c r="F442"/>
  <c r="F441"/>
  <c r="F440"/>
  <c r="F439"/>
  <c r="F429"/>
  <c r="F428"/>
  <c r="F427"/>
  <c r="F426"/>
  <c r="F425"/>
  <c r="F474"/>
  <c r="F473"/>
  <c r="F472"/>
  <c r="F471"/>
  <c r="F470"/>
  <c r="F511"/>
  <c r="F510"/>
  <c r="F509"/>
  <c r="F508"/>
  <c r="F507"/>
  <c r="F543"/>
  <c r="F542"/>
  <c r="F541"/>
  <c r="F540"/>
  <c r="F539"/>
  <c r="F456"/>
  <c r="F455"/>
  <c r="F454"/>
  <c r="F453"/>
  <c r="F452"/>
  <c r="F506"/>
  <c r="F505"/>
  <c r="F504"/>
  <c r="F503"/>
  <c r="F502"/>
  <c r="F323"/>
  <c r="F322"/>
  <c r="F321"/>
  <c r="F320"/>
  <c r="F319"/>
  <c r="F248"/>
  <c r="F247"/>
  <c r="F246"/>
  <c r="F245"/>
  <c r="F244"/>
  <c r="F373"/>
  <c r="F372"/>
  <c r="F371"/>
  <c r="F370"/>
  <c r="F369"/>
  <c r="F382"/>
  <c r="F381"/>
  <c r="F380"/>
  <c r="F379"/>
  <c r="F378"/>
  <c r="F284"/>
  <c r="F283"/>
  <c r="F282"/>
  <c r="F281"/>
  <c r="F280"/>
  <c r="F270"/>
  <c r="F269"/>
  <c r="F268"/>
  <c r="F267"/>
  <c r="F266"/>
  <c r="F399"/>
  <c r="F398"/>
  <c r="F397"/>
  <c r="F396"/>
  <c r="F395"/>
  <c r="F394"/>
  <c r="F393"/>
  <c r="F392"/>
  <c r="F391"/>
  <c r="F390"/>
  <c r="F265"/>
  <c r="F264"/>
  <c r="F263"/>
  <c r="F262"/>
  <c r="F261"/>
  <c r="F260"/>
  <c r="F259"/>
  <c r="F258"/>
  <c r="F257"/>
  <c r="F256"/>
  <c r="F368"/>
  <c r="F367"/>
  <c r="F366"/>
  <c r="F365"/>
  <c r="F364"/>
  <c r="F213"/>
  <c r="F212"/>
  <c r="F211"/>
  <c r="F210"/>
  <c r="F209"/>
  <c r="F49"/>
  <c r="F48"/>
  <c r="F47"/>
  <c r="F46"/>
  <c r="F45"/>
  <c r="F63"/>
  <c r="F62"/>
  <c r="F61"/>
  <c r="F60"/>
  <c r="F59"/>
  <c r="F73"/>
  <c r="F72"/>
  <c r="F71"/>
  <c r="F70"/>
  <c r="F69"/>
  <c r="F39"/>
  <c r="F38"/>
  <c r="F37"/>
  <c r="F36"/>
  <c r="F35"/>
  <c r="F68"/>
  <c r="F67"/>
  <c r="F66"/>
  <c r="F65"/>
  <c r="F64"/>
  <c r="F44"/>
  <c r="F43"/>
  <c r="F42"/>
  <c r="F41"/>
  <c r="F40"/>
  <c r="F168"/>
  <c r="F167"/>
  <c r="F166"/>
  <c r="F165"/>
  <c r="F164"/>
  <c r="F151"/>
  <c r="F150"/>
  <c r="F149"/>
  <c r="F148"/>
  <c r="F147"/>
  <c r="F31"/>
  <c r="F30"/>
  <c r="F29"/>
  <c r="F28"/>
  <c r="F27"/>
  <c r="F126"/>
  <c r="F125"/>
  <c r="F124"/>
  <c r="F123"/>
  <c r="F122"/>
  <c r="F198"/>
  <c r="F197"/>
  <c r="F196"/>
  <c r="F195"/>
  <c r="F194"/>
  <c r="F98"/>
  <c r="F97"/>
  <c r="F96"/>
  <c r="F95"/>
  <c r="F94"/>
  <c r="F93"/>
  <c r="F92"/>
  <c r="F91"/>
  <c r="F90"/>
  <c r="F89"/>
  <c r="F88"/>
  <c r="F87"/>
  <c r="F86"/>
  <c r="F85"/>
  <c r="F84"/>
  <c r="F83"/>
  <c r="F82"/>
  <c r="F81"/>
  <c r="F80"/>
  <c r="F79"/>
  <c r="F78"/>
  <c r="F77"/>
  <c r="F76"/>
  <c r="F75"/>
  <c r="F74"/>
  <c r="F208"/>
  <c r="F207"/>
  <c r="F206"/>
  <c r="F205"/>
  <c r="F204"/>
  <c r="F15"/>
  <c r="F14"/>
  <c r="F13"/>
  <c r="F12"/>
  <c r="F11"/>
  <c r="F10"/>
  <c r="F9"/>
  <c r="F8"/>
  <c r="F7"/>
  <c r="F6"/>
  <c r="F451"/>
  <c r="F450"/>
  <c r="F449"/>
  <c r="F448"/>
  <c r="F447"/>
  <c r="F446"/>
  <c r="F357"/>
  <c r="F356"/>
  <c r="F355"/>
  <c r="F354"/>
  <c r="F353"/>
  <c r="F352"/>
  <c r="F312"/>
  <c r="F311"/>
  <c r="F310"/>
  <c r="F309"/>
  <c r="F308"/>
  <c r="F307"/>
  <c r="F279"/>
  <c r="F278"/>
  <c r="F277"/>
  <c r="F276"/>
  <c r="F275"/>
  <c r="F274"/>
  <c r="F273"/>
  <c r="F272"/>
  <c r="F271"/>
  <c r="F121"/>
  <c r="F120"/>
  <c r="F119"/>
  <c r="F178"/>
  <c r="F177"/>
  <c r="F176"/>
  <c r="F175"/>
  <c r="F174"/>
  <c r="F173"/>
  <c r="F188"/>
  <c r="F187"/>
  <c r="F186"/>
  <c r="F26"/>
  <c r="F25"/>
  <c r="F24"/>
  <c r="F202"/>
  <c r="B1001"/>
  <c r="B1000"/>
  <c r="B999"/>
  <c r="B998"/>
  <c r="B997"/>
  <c r="B996"/>
  <c r="B995"/>
  <c r="B994"/>
  <c r="B993"/>
  <c r="B992"/>
  <c r="B991"/>
  <c r="B990"/>
  <c r="B989"/>
  <c r="B988"/>
  <c r="B987"/>
  <c r="B986"/>
  <c r="B985"/>
  <c r="B984"/>
  <c r="B983"/>
  <c r="B982"/>
  <c r="B981"/>
  <c r="B980"/>
  <c r="B979"/>
  <c r="B978"/>
  <c r="B977"/>
  <c r="B976"/>
  <c r="B975"/>
  <c r="B974"/>
  <c r="B973"/>
  <c r="B972"/>
  <c r="B971"/>
  <c r="B970"/>
  <c r="B969"/>
  <c r="B968"/>
  <c r="B967"/>
  <c r="B966"/>
  <c r="B965"/>
  <c r="B964"/>
  <c r="B963"/>
  <c r="B962"/>
  <c r="B961"/>
  <c r="B960"/>
  <c r="B959"/>
  <c r="B958"/>
  <c r="B957"/>
  <c r="B956"/>
  <c r="B955"/>
  <c r="B954"/>
  <c r="B953"/>
  <c r="B952"/>
  <c r="B951"/>
  <c r="B950"/>
  <c r="B949"/>
  <c r="B948"/>
  <c r="B947"/>
  <c r="B946"/>
  <c r="B945"/>
  <c r="B944"/>
  <c r="B943"/>
  <c r="B942"/>
  <c r="B941"/>
  <c r="B940"/>
  <c r="B939"/>
  <c r="B938"/>
  <c r="B937"/>
  <c r="B936"/>
  <c r="B935"/>
  <c r="B934"/>
  <c r="B933"/>
  <c r="B932"/>
  <c r="B931"/>
  <c r="B930"/>
  <c r="B929"/>
  <c r="B928"/>
  <c r="B927"/>
  <c r="B926"/>
  <c r="B925"/>
  <c r="B924"/>
  <c r="B923"/>
  <c r="B922"/>
  <c r="B921"/>
  <c r="B920"/>
  <c r="B919"/>
  <c r="B918"/>
  <c r="B917"/>
  <c r="B916"/>
  <c r="B915"/>
  <c r="B914"/>
  <c r="B913"/>
  <c r="B912"/>
  <c r="B911"/>
  <c r="B910"/>
  <c r="B909"/>
  <c r="B908"/>
  <c r="B907"/>
  <c r="B906"/>
  <c r="B905"/>
  <c r="B904"/>
  <c r="B903"/>
  <c r="B902"/>
  <c r="B901"/>
  <c r="B900"/>
  <c r="B899"/>
  <c r="B898"/>
  <c r="B897"/>
  <c r="B896"/>
  <c r="B895"/>
  <c r="B894"/>
  <c r="B893"/>
  <c r="B892"/>
  <c r="B891"/>
  <c r="B890"/>
  <c r="B889"/>
  <c r="B888"/>
  <c r="B887"/>
  <c r="B886"/>
  <c r="B885"/>
  <c r="B884"/>
  <c r="B883"/>
  <c r="B882"/>
  <c r="B881"/>
  <c r="B880"/>
  <c r="B879"/>
  <c r="B878"/>
  <c r="B877"/>
  <c r="B876"/>
  <c r="B875"/>
  <c r="B874"/>
  <c r="B873"/>
  <c r="B872"/>
  <c r="B871"/>
  <c r="B870"/>
  <c r="B869"/>
  <c r="B868"/>
  <c r="B867"/>
  <c r="B866"/>
  <c r="B865"/>
  <c r="B864"/>
  <c r="B863"/>
  <c r="B862"/>
  <c r="B861"/>
  <c r="B860"/>
  <c r="B859"/>
  <c r="B858"/>
  <c r="B857"/>
  <c r="B856"/>
  <c r="B855"/>
  <c r="B854"/>
  <c r="B853"/>
  <c r="B852"/>
  <c r="B851"/>
  <c r="B850"/>
  <c r="B849"/>
  <c r="B848"/>
  <c r="B847"/>
  <c r="B846"/>
  <c r="B845"/>
  <c r="B844"/>
  <c r="B843"/>
  <c r="B842"/>
  <c r="B841"/>
  <c r="B840"/>
  <c r="B839"/>
  <c r="B838"/>
  <c r="B837"/>
  <c r="B836"/>
  <c r="B835"/>
  <c r="B834"/>
  <c r="B833"/>
  <c r="B832"/>
  <c r="B831"/>
  <c r="B830"/>
  <c r="B829"/>
  <c r="B828"/>
  <c r="B827"/>
  <c r="B826"/>
  <c r="B825"/>
  <c r="B824"/>
  <c r="B823"/>
  <c r="B822"/>
  <c r="B821"/>
  <c r="B820"/>
  <c r="B819"/>
  <c r="B818"/>
  <c r="B817"/>
  <c r="B816"/>
  <c r="B815"/>
  <c r="B814"/>
  <c r="B813"/>
  <c r="B812"/>
  <c r="B811"/>
  <c r="B810"/>
  <c r="B809"/>
  <c r="B808"/>
  <c r="B807"/>
  <c r="B806"/>
  <c r="B805"/>
  <c r="B804"/>
  <c r="B803"/>
  <c r="B802"/>
  <c r="B801"/>
  <c r="B800"/>
  <c r="B799"/>
  <c r="B798"/>
  <c r="B797"/>
  <c r="B796"/>
  <c r="B795"/>
  <c r="B794"/>
  <c r="B793"/>
  <c r="B792"/>
  <c r="B791"/>
  <c r="B790"/>
  <c r="B789"/>
  <c r="B788"/>
  <c r="B787"/>
  <c r="B786"/>
  <c r="B785"/>
  <c r="B784"/>
  <c r="B783"/>
  <c r="B782"/>
  <c r="B781"/>
  <c r="B780"/>
  <c r="B779"/>
  <c r="B778"/>
  <c r="B777"/>
  <c r="B776"/>
  <c r="B775"/>
  <c r="B774"/>
  <c r="B773"/>
  <c r="B772"/>
  <c r="B771"/>
  <c r="B770"/>
  <c r="B769"/>
  <c r="B768"/>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B688"/>
  <c r="B687"/>
  <c r="B686"/>
  <c r="B685"/>
  <c r="B684"/>
  <c r="B683"/>
  <c r="B682"/>
  <c r="B681"/>
  <c r="B680"/>
  <c r="B679"/>
  <c r="B678"/>
  <c r="B677"/>
  <c r="B676"/>
  <c r="B675"/>
  <c r="B674"/>
  <c r="B673"/>
  <c r="B672"/>
  <c r="B671"/>
  <c r="B670"/>
  <c r="B669"/>
  <c r="B668"/>
  <c r="B667"/>
  <c r="B666"/>
  <c r="B665"/>
  <c r="B664"/>
  <c r="B663"/>
  <c r="B662"/>
  <c r="B661"/>
  <c r="B660"/>
  <c r="B659"/>
  <c r="B658"/>
  <c r="B657"/>
  <c r="B656"/>
  <c r="B655"/>
  <c r="B654"/>
  <c r="B653"/>
  <c r="B652"/>
  <c r="B651"/>
  <c r="B650"/>
  <c r="B649"/>
  <c r="B648"/>
  <c r="B647"/>
  <c r="B646"/>
  <c r="B645"/>
  <c r="B644"/>
  <c r="B643"/>
  <c r="B642"/>
  <c r="B641"/>
  <c r="B640"/>
  <c r="B639"/>
  <c r="B638"/>
  <c r="B637"/>
  <c r="B636"/>
  <c r="B635"/>
  <c r="B634"/>
  <c r="B633"/>
  <c r="B632"/>
  <c r="B631"/>
  <c r="B630"/>
  <c r="B629"/>
  <c r="B628"/>
  <c r="B627"/>
  <c r="B626"/>
  <c r="B625"/>
  <c r="B624"/>
  <c r="B623"/>
  <c r="B622"/>
  <c r="B621"/>
  <c r="B620"/>
  <c r="B619"/>
  <c r="B618"/>
  <c r="B617"/>
  <c r="B616"/>
  <c r="B615"/>
  <c r="B614"/>
  <c r="B613"/>
  <c r="B612"/>
  <c r="B611"/>
  <c r="B610"/>
  <c r="B609"/>
  <c r="B608"/>
  <c r="B607"/>
  <c r="B606"/>
  <c r="B605"/>
  <c r="B604"/>
  <c r="B603"/>
  <c r="B602"/>
  <c r="B601"/>
  <c r="B600"/>
  <c r="B599"/>
  <c r="B598"/>
  <c r="B597"/>
  <c r="B596"/>
  <c r="B595"/>
  <c r="B594"/>
  <c r="B593"/>
  <c r="B592"/>
  <c r="B591"/>
  <c r="B590"/>
  <c r="B589"/>
  <c r="B588"/>
  <c r="B587"/>
  <c r="B586"/>
  <c r="B585"/>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T272" i="21"/>
  <c r="T271"/>
  <c r="T270"/>
  <c r="T269"/>
  <c r="T268"/>
  <c r="T267"/>
  <c r="T266"/>
  <c r="T265"/>
  <c r="T264"/>
  <c r="T263"/>
  <c r="T262"/>
  <c r="T261"/>
  <c r="T260"/>
  <c r="T259"/>
  <c r="T258"/>
  <c r="T257"/>
  <c r="T256"/>
  <c r="T255"/>
  <c r="T254"/>
  <c r="T253"/>
  <c r="T252"/>
  <c r="T251"/>
  <c r="T250"/>
  <c r="T249"/>
  <c r="T248"/>
  <c r="T247"/>
  <c r="T246"/>
  <c r="T245"/>
  <c r="T244"/>
  <c r="T243"/>
  <c r="T242"/>
  <c r="T241"/>
  <c r="T240"/>
  <c r="T239"/>
  <c r="T238"/>
  <c r="T237"/>
  <c r="T236"/>
  <c r="T235"/>
  <c r="T234"/>
  <c r="T233"/>
  <c r="T232"/>
  <c r="T231"/>
  <c r="T230"/>
  <c r="T229"/>
  <c r="T228"/>
  <c r="T227"/>
  <c r="T226"/>
  <c r="T225"/>
  <c r="T224"/>
  <c r="T223"/>
  <c r="T222"/>
  <c r="T221"/>
  <c r="T220"/>
  <c r="T219"/>
  <c r="T218"/>
  <c r="T217"/>
  <c r="T216"/>
  <c r="T215"/>
  <c r="T214"/>
  <c r="T213"/>
  <c r="T212"/>
  <c r="T211"/>
  <c r="T210"/>
  <c r="T209"/>
  <c r="T208"/>
  <c r="T207"/>
  <c r="T206"/>
  <c r="T205"/>
  <c r="T204"/>
  <c r="T203"/>
  <c r="T202"/>
  <c r="T201"/>
  <c r="T200"/>
  <c r="T199"/>
  <c r="T198"/>
  <c r="T197"/>
  <c r="T196"/>
  <c r="T195"/>
  <c r="T194"/>
  <c r="T193"/>
  <c r="T192"/>
  <c r="T191"/>
  <c r="T190"/>
  <c r="T189"/>
  <c r="T188"/>
  <c r="T187"/>
  <c r="T186"/>
  <c r="T185"/>
  <c r="T184"/>
  <c r="T183"/>
  <c r="T182"/>
  <c r="T181"/>
  <c r="T180"/>
  <c r="T179"/>
  <c r="T178"/>
  <c r="T177"/>
  <c r="T176"/>
  <c r="T175"/>
  <c r="T174"/>
  <c r="T173"/>
  <c r="T172"/>
  <c r="T171"/>
  <c r="T170"/>
  <c r="T169"/>
  <c r="T168"/>
  <c r="T167"/>
  <c r="T166"/>
  <c r="T165"/>
  <c r="T164"/>
  <c r="T163"/>
  <c r="T162"/>
  <c r="T161"/>
  <c r="T160"/>
  <c r="T159"/>
  <c r="T158"/>
  <c r="T157"/>
  <c r="T156"/>
  <c r="T155"/>
  <c r="T154"/>
  <c r="T153"/>
  <c r="T149"/>
  <c r="T148"/>
  <c r="T147"/>
  <c r="T146"/>
  <c r="T145"/>
  <c r="T144"/>
  <c r="T143"/>
  <c r="T142"/>
  <c r="T141"/>
  <c r="T140"/>
  <c r="T139"/>
  <c r="T138"/>
  <c r="T137"/>
  <c r="T136"/>
  <c r="T135"/>
  <c r="T134"/>
  <c r="T133"/>
  <c r="T132"/>
  <c r="T131"/>
  <c r="T130"/>
  <c r="T129"/>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B369"/>
  <c r="B368"/>
  <c r="B367"/>
  <c r="B366"/>
  <c r="B365"/>
  <c r="B364"/>
  <c r="B363"/>
  <c r="B362"/>
  <c r="B361"/>
  <c r="B360"/>
  <c r="B359"/>
  <c r="B358"/>
  <c r="B357"/>
  <c r="B356"/>
  <c r="B355"/>
  <c r="B354"/>
  <c r="B353"/>
  <c r="B352"/>
  <c r="B351"/>
  <c r="B350"/>
  <c r="B349"/>
  <c r="B348"/>
  <c r="B347"/>
  <c r="B346"/>
  <c r="B345"/>
  <c r="B344"/>
  <c r="B343"/>
  <c r="B342"/>
  <c r="B340"/>
  <c r="B341"/>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X526"/>
  <c r="X525"/>
  <c r="X524"/>
  <c r="X523"/>
  <c r="X522"/>
  <c r="X521"/>
  <c r="X520"/>
  <c r="X519"/>
  <c r="X518"/>
  <c r="X517"/>
  <c r="X516"/>
  <c r="X515"/>
  <c r="X514"/>
  <c r="X513"/>
  <c r="X512"/>
  <c r="X511"/>
  <c r="X510"/>
  <c r="X509"/>
  <c r="X508"/>
  <c r="X507"/>
  <c r="X506"/>
  <c r="X505"/>
  <c r="X504"/>
  <c r="X503"/>
  <c r="X502"/>
  <c r="X501"/>
  <c r="X500"/>
  <c r="X499"/>
  <c r="X498"/>
  <c r="X497"/>
  <c r="X496"/>
  <c r="X495"/>
  <c r="X494"/>
  <c r="X493"/>
  <c r="X492"/>
  <c r="X491"/>
  <c r="X490"/>
  <c r="X489"/>
  <c r="X488"/>
  <c r="X487"/>
  <c r="X486"/>
  <c r="X485"/>
  <c r="X484"/>
  <c r="X483"/>
  <c r="X482"/>
  <c r="X481"/>
  <c r="X480"/>
  <c r="X479"/>
  <c r="X478"/>
  <c r="X477"/>
  <c r="X476"/>
  <c r="X475"/>
  <c r="X474"/>
  <c r="X473"/>
  <c r="X472"/>
  <c r="X471"/>
  <c r="X470"/>
  <c r="X469"/>
  <c r="X468"/>
  <c r="X467"/>
  <c r="X466"/>
  <c r="X465"/>
  <c r="X464"/>
  <c r="X463"/>
  <c r="X462"/>
  <c r="X461"/>
  <c r="X460"/>
  <c r="X459"/>
  <c r="X458"/>
  <c r="X457"/>
  <c r="X456"/>
  <c r="X455"/>
  <c r="X454"/>
  <c r="X453"/>
  <c r="X452"/>
  <c r="X451"/>
  <c r="X450"/>
  <c r="X449"/>
  <c r="X447"/>
  <c r="X446"/>
  <c r="X445"/>
  <c r="X444"/>
  <c r="X443"/>
  <c r="X442"/>
  <c r="X441"/>
  <c r="X440"/>
  <c r="X439"/>
  <c r="X438"/>
  <c r="X437"/>
  <c r="X436"/>
  <c r="X435"/>
  <c r="X434"/>
  <c r="X433"/>
  <c r="X432"/>
  <c r="X431"/>
  <c r="X430"/>
  <c r="X429"/>
  <c r="X428"/>
  <c r="X427"/>
  <c r="X426"/>
  <c r="X425"/>
  <c r="X424"/>
  <c r="X423"/>
  <c r="X422"/>
  <c r="X421"/>
  <c r="X420"/>
  <c r="X419"/>
  <c r="X418"/>
  <c r="X417"/>
  <c r="X416"/>
  <c r="X415"/>
  <c r="X414"/>
  <c r="X413"/>
  <c r="X412"/>
  <c r="X411"/>
  <c r="X410"/>
  <c r="X409"/>
  <c r="X408"/>
  <c r="X407"/>
  <c r="X406"/>
  <c r="X405"/>
  <c r="X402"/>
  <c r="X401"/>
  <c r="X400"/>
  <c r="X399"/>
  <c r="X398"/>
  <c r="X395"/>
  <c r="X394"/>
  <c r="X393"/>
  <c r="X392"/>
  <c r="X391"/>
  <c r="X390"/>
  <c r="X389"/>
  <c r="X388"/>
  <c r="X387"/>
  <c r="X386"/>
  <c r="X385"/>
  <c r="X384"/>
  <c r="X383"/>
  <c r="X382"/>
  <c r="X381"/>
  <c r="X380"/>
  <c r="X379"/>
  <c r="X378"/>
  <c r="X377"/>
  <c r="X376"/>
  <c r="X375"/>
  <c r="X374"/>
  <c r="X373"/>
  <c r="X372"/>
  <c r="X371"/>
  <c r="X370"/>
  <c r="X369"/>
  <c r="X368"/>
  <c r="X367"/>
  <c r="X366"/>
  <c r="X365"/>
  <c r="X364"/>
  <c r="X363"/>
  <c r="X362"/>
  <c r="X361"/>
  <c r="X360"/>
  <c r="X359"/>
  <c r="X358"/>
  <c r="X357"/>
  <c r="X356"/>
  <c r="X351"/>
  <c r="X350"/>
  <c r="X349"/>
  <c r="X348"/>
  <c r="X347"/>
  <c r="X346"/>
  <c r="X345"/>
  <c r="X344"/>
  <c r="X343"/>
  <c r="X342"/>
  <c r="X339"/>
  <c r="X338"/>
  <c r="X337"/>
  <c r="X336"/>
  <c r="X335"/>
  <c r="X334"/>
  <c r="X333"/>
  <c r="X332"/>
  <c r="X331"/>
  <c r="X330"/>
  <c r="X329"/>
  <c r="X328"/>
  <c r="X327"/>
  <c r="X326"/>
  <c r="X325"/>
  <c r="X324"/>
  <c r="X323"/>
  <c r="X322"/>
  <c r="X321"/>
  <c r="X320"/>
  <c r="X319"/>
  <c r="X318"/>
  <c r="X317"/>
  <c r="X316"/>
  <c r="X315"/>
  <c r="X314"/>
  <c r="X313"/>
  <c r="X312"/>
  <c r="X311"/>
  <c r="X310"/>
  <c r="X309"/>
  <c r="X308"/>
  <c r="X307"/>
  <c r="X306"/>
  <c r="X305"/>
  <c r="X304"/>
  <c r="X303"/>
  <c r="X302"/>
  <c r="X301"/>
  <c r="X300"/>
  <c r="X287"/>
  <c r="X286"/>
  <c r="X285"/>
  <c r="X271"/>
  <c r="X270"/>
  <c r="X269"/>
  <c r="X268"/>
  <c r="X267"/>
  <c r="X266"/>
  <c r="X265"/>
  <c r="X264"/>
  <c r="X263"/>
  <c r="X262"/>
  <c r="X261"/>
  <c r="X260"/>
  <c r="X259"/>
  <c r="X258"/>
  <c r="X257"/>
  <c r="X256"/>
  <c r="X255"/>
  <c r="X254"/>
  <c r="X253"/>
  <c r="X252"/>
  <c r="X251"/>
  <c r="X250"/>
  <c r="X249"/>
  <c r="X248"/>
  <c r="X247"/>
  <c r="X246"/>
  <c r="X245"/>
  <c r="X244"/>
  <c r="X243"/>
  <c r="X242"/>
  <c r="X241"/>
  <c r="X240"/>
  <c r="X239"/>
  <c r="X238"/>
  <c r="X237"/>
  <c r="X236"/>
  <c r="X235"/>
  <c r="X234"/>
  <c r="X233"/>
  <c r="X232"/>
  <c r="X231"/>
  <c r="X230"/>
  <c r="X229"/>
  <c r="X228"/>
  <c r="X227"/>
  <c r="X226"/>
  <c r="X225"/>
  <c r="X224"/>
  <c r="X223"/>
  <c r="X222"/>
  <c r="X221"/>
  <c r="X220"/>
  <c r="X219"/>
  <c r="X218"/>
  <c r="X217"/>
  <c r="X216"/>
  <c r="X215"/>
  <c r="X214"/>
  <c r="X213"/>
  <c r="X212"/>
  <c r="X211"/>
  <c r="X210"/>
  <c r="X209"/>
  <c r="X208"/>
  <c r="X207"/>
  <c r="X206"/>
  <c r="X205"/>
  <c r="X204"/>
  <c r="X203"/>
  <c r="X202"/>
  <c r="X201"/>
  <c r="X200"/>
  <c r="X199"/>
  <c r="X198"/>
  <c r="X197"/>
  <c r="X196"/>
  <c r="X195"/>
  <c r="X194"/>
  <c r="X193"/>
  <c r="X192"/>
  <c r="X191"/>
  <c r="X190"/>
  <c r="X189"/>
  <c r="X188"/>
  <c r="X187"/>
  <c r="X186"/>
  <c r="X185"/>
  <c r="X184"/>
  <c r="X183"/>
  <c r="X182"/>
  <c r="X181"/>
  <c r="X180"/>
  <c r="X179"/>
  <c r="X178"/>
  <c r="X177"/>
  <c r="X176"/>
  <c r="X175"/>
  <c r="X174"/>
  <c r="X173"/>
  <c r="X172"/>
  <c r="X171"/>
  <c r="X170"/>
  <c r="X169"/>
  <c r="X168"/>
  <c r="X167"/>
  <c r="X166"/>
  <c r="X165"/>
  <c r="X164"/>
  <c r="X163"/>
  <c r="X162"/>
  <c r="X161"/>
  <c r="X160"/>
  <c r="X159"/>
  <c r="X158"/>
  <c r="X157"/>
  <c r="X156"/>
  <c r="X155"/>
  <c r="X154"/>
  <c r="X153"/>
  <c r="X149"/>
  <c r="X148"/>
  <c r="X147"/>
  <c r="X146"/>
  <c r="X145"/>
  <c r="X144"/>
  <c r="X143"/>
  <c r="X142"/>
  <c r="X141"/>
  <c r="X140"/>
  <c r="X139"/>
  <c r="X138"/>
  <c r="X137"/>
  <c r="X136"/>
  <c r="X135"/>
  <c r="X134"/>
  <c r="X133"/>
  <c r="X132"/>
  <c r="X131"/>
  <c r="X130"/>
  <c r="X129"/>
  <c r="X128"/>
  <c r="X127"/>
  <c r="X126"/>
  <c r="X125"/>
  <c r="X124"/>
  <c r="X123"/>
  <c r="X122"/>
  <c r="X121"/>
  <c r="X120"/>
  <c r="X119"/>
  <c r="X118"/>
  <c r="X117"/>
  <c r="X116"/>
  <c r="X115"/>
  <c r="X114"/>
  <c r="X113"/>
  <c r="X112"/>
  <c r="X108"/>
  <c r="X107"/>
  <c r="X106"/>
  <c r="X105"/>
  <c r="X104"/>
  <c r="X103"/>
  <c r="X102"/>
  <c r="X101"/>
  <c r="X100"/>
  <c r="X99"/>
  <c r="X98"/>
  <c r="Q234" i="33" l="1"/>
  <c r="Q577"/>
  <c r="Q593"/>
  <c r="Q673"/>
  <c r="Q51"/>
  <c r="Q71"/>
  <c r="Q111"/>
  <c r="Q155"/>
  <c r="Q183"/>
  <c r="Q215"/>
  <c r="Q299"/>
  <c r="Q387"/>
  <c r="Q431"/>
  <c r="Q758"/>
  <c r="Q790"/>
  <c r="Q1004"/>
  <c r="Q38"/>
  <c r="Q230"/>
  <c r="Q104"/>
  <c r="Q300"/>
  <c r="Q384"/>
  <c r="Q476"/>
  <c r="Q537"/>
  <c r="Q723"/>
  <c r="Q915"/>
  <c r="Q52"/>
  <c r="Q72"/>
  <c r="Q112"/>
  <c r="Q152"/>
  <c r="Q184"/>
  <c r="Q216"/>
  <c r="Q296"/>
  <c r="Q324"/>
  <c r="Q388"/>
  <c r="Q759"/>
  <c r="Q791"/>
  <c r="Q35"/>
  <c r="Q39"/>
  <c r="Q55"/>
  <c r="Q103"/>
  <c r="Q163"/>
  <c r="Q199"/>
  <c r="Q231"/>
  <c r="Q383"/>
  <c r="Q578"/>
  <c r="Q726"/>
  <c r="Q37"/>
  <c r="Q53"/>
  <c r="Q69"/>
  <c r="Q73"/>
  <c r="Q101"/>
  <c r="Q113"/>
  <c r="Q153"/>
  <c r="Q181"/>
  <c r="Q217"/>
  <c r="Q233"/>
  <c r="Q249"/>
  <c r="Q301"/>
  <c r="Q469"/>
  <c r="Q538"/>
  <c r="Q672"/>
  <c r="Q820"/>
  <c r="Q1001"/>
  <c r="Q303"/>
  <c r="Q313"/>
  <c r="Q315"/>
  <c r="Q67"/>
  <c r="Q385"/>
  <c r="Q475"/>
  <c r="Q251"/>
  <c r="Q255"/>
  <c r="Q544"/>
  <c r="Q151"/>
  <c r="Q68"/>
  <c r="Q74"/>
  <c r="Q76"/>
  <c r="Q120"/>
  <c r="Q150"/>
  <c r="Q164"/>
  <c r="Q174"/>
  <c r="Q176"/>
  <c r="Q186"/>
  <c r="Q194"/>
  <c r="Q196"/>
  <c r="Q198"/>
  <c r="Q254"/>
  <c r="Q260"/>
  <c r="Q262"/>
  <c r="Q264"/>
  <c r="Q308"/>
  <c r="Q310"/>
  <c r="Q312"/>
  <c r="Q314"/>
  <c r="Q318"/>
  <c r="Q320"/>
  <c r="Q322"/>
  <c r="Q366"/>
  <c r="Q368"/>
  <c r="Q370"/>
  <c r="Q378"/>
  <c r="Q380"/>
  <c r="Q382"/>
  <c r="Q398"/>
  <c r="Q400"/>
  <c r="Q414"/>
  <c r="Q416"/>
  <c r="Q418"/>
  <c r="Q440"/>
  <c r="Q454"/>
  <c r="Q456"/>
  <c r="Q470"/>
  <c r="Q472"/>
  <c r="Q474"/>
  <c r="Q480"/>
  <c r="Q482"/>
  <c r="Q484"/>
  <c r="Q486"/>
  <c r="Q488"/>
  <c r="Q496"/>
  <c r="Q498"/>
  <c r="Q500"/>
  <c r="Q502"/>
  <c r="Q510"/>
  <c r="Q512"/>
  <c r="Q516"/>
  <c r="Q518"/>
  <c r="Q520"/>
  <c r="Q522"/>
  <c r="Q540"/>
  <c r="Q542"/>
  <c r="Q546"/>
  <c r="Q548"/>
  <c r="Q550"/>
  <c r="Q552"/>
  <c r="Q620"/>
  <c r="Q622"/>
  <c r="Q624"/>
  <c r="Q644"/>
  <c r="Q646"/>
  <c r="Q670"/>
  <c r="Q674"/>
  <c r="Q676"/>
  <c r="Q724"/>
  <c r="Q752"/>
  <c r="Q754"/>
  <c r="Q798"/>
  <c r="Q814"/>
  <c r="Q816"/>
  <c r="Q818"/>
  <c r="Q856"/>
  <c r="Q874"/>
  <c r="Q880"/>
  <c r="Q908"/>
  <c r="Q914"/>
  <c r="Q1006"/>
  <c r="Q1008"/>
  <c r="Q1010"/>
  <c r="Q1184"/>
  <c r="Q1186"/>
  <c r="Q1188"/>
  <c r="Q75"/>
  <c r="Q119"/>
  <c r="Q173"/>
  <c r="Q175"/>
  <c r="Q177"/>
  <c r="Q195"/>
  <c r="Q197"/>
  <c r="Q261"/>
  <c r="Q263"/>
  <c r="Q307"/>
  <c r="Q309"/>
  <c r="Q311"/>
  <c r="Q319"/>
  <c r="Q321"/>
  <c r="Q323"/>
  <c r="Q367"/>
  <c r="Q369"/>
  <c r="Q379"/>
  <c r="Q381"/>
  <c r="Q397"/>
  <c r="Q399"/>
  <c r="Q415"/>
  <c r="Q417"/>
  <c r="Q429"/>
  <c r="Q439"/>
  <c r="Q441"/>
  <c r="Q453"/>
  <c r="Q455"/>
  <c r="Q457"/>
  <c r="Q471"/>
  <c r="Q473"/>
  <c r="Q481"/>
  <c r="Q483"/>
  <c r="Q485"/>
  <c r="Q487"/>
  <c r="Q489"/>
  <c r="Q497"/>
  <c r="Q499"/>
  <c r="Q501"/>
  <c r="Q509"/>
  <c r="Q511"/>
  <c r="Q513"/>
  <c r="Q517"/>
  <c r="Q519"/>
  <c r="Q521"/>
  <c r="Q523"/>
  <c r="Q539"/>
  <c r="Q541"/>
  <c r="Q543"/>
  <c r="Q547"/>
  <c r="Q549"/>
  <c r="Q551"/>
  <c r="Q553"/>
  <c r="Q621"/>
  <c r="Q623"/>
  <c r="Q625"/>
  <c r="Q669"/>
  <c r="Q675"/>
  <c r="Q677"/>
  <c r="Q725"/>
  <c r="Q753"/>
  <c r="Q755"/>
  <c r="Q787"/>
  <c r="Q799"/>
  <c r="Q813"/>
  <c r="Q815"/>
  <c r="Q817"/>
  <c r="Q859"/>
  <c r="Q907"/>
  <c r="Q913"/>
  <c r="Q981"/>
  <c r="Q1005"/>
  <c r="Q1007"/>
  <c r="Q1009"/>
  <c r="Q1183"/>
  <c r="Q1185"/>
  <c r="Q1187"/>
  <c r="Q1671"/>
  <c r="Q641"/>
  <c r="Q1672"/>
  <c r="Q1273"/>
  <c r="Q1277"/>
  <c r="Q1279"/>
  <c r="Q667"/>
  <c r="Q727"/>
  <c r="Q731"/>
  <c r="Q775"/>
  <c r="Q797"/>
  <c r="Q845"/>
  <c r="Q853"/>
  <c r="Q855"/>
  <c r="Q881"/>
  <c r="Q887"/>
  <c r="Q889"/>
  <c r="Q909"/>
  <c r="Q911"/>
  <c r="Q934"/>
  <c r="Q960"/>
  <c r="Q976"/>
  <c r="Q979"/>
  <c r="Q1024"/>
  <c r="Q1026"/>
  <c r="Q1029"/>
  <c r="Q1046"/>
  <c r="Q1048"/>
  <c r="Q1060"/>
  <c r="Q1088"/>
  <c r="Q1090"/>
  <c r="Q1092"/>
  <c r="Q1139"/>
  <c r="Q1141"/>
  <c r="Q1145"/>
  <c r="Q1169"/>
  <c r="Q1171"/>
  <c r="Q1174"/>
  <c r="Q1177"/>
  <c r="Q1225"/>
  <c r="Q1229"/>
  <c r="Q1231"/>
  <c r="Q1233"/>
  <c r="Q1263"/>
  <c r="Q1265"/>
  <c r="Q1267"/>
  <c r="Q1269"/>
  <c r="Q1271"/>
  <c r="Q1281"/>
  <c r="Q1287"/>
  <c r="Q642"/>
  <c r="Q1272"/>
  <c r="Q1276"/>
  <c r="Q1278"/>
  <c r="Q668"/>
  <c r="Q728"/>
  <c r="Q730"/>
  <c r="Q776"/>
  <c r="Q796"/>
  <c r="Q844"/>
  <c r="Q846"/>
  <c r="Q852"/>
  <c r="Q854"/>
  <c r="Q888"/>
  <c r="Q910"/>
  <c r="Q912"/>
  <c r="Q933"/>
  <c r="Q959"/>
  <c r="Q969"/>
  <c r="Q975"/>
  <c r="Q977"/>
  <c r="Q980"/>
  <c r="Q1023"/>
  <c r="Q1025"/>
  <c r="Q1028"/>
  <c r="Q1047"/>
  <c r="Q1049"/>
  <c r="Q1059"/>
  <c r="Q1061"/>
  <c r="Q1089"/>
  <c r="Q1091"/>
  <c r="Q1093"/>
  <c r="Q1140"/>
  <c r="Q1142"/>
  <c r="Q1146"/>
  <c r="Q1168"/>
  <c r="Q1172"/>
  <c r="Q1176"/>
  <c r="Q1226"/>
  <c r="Q1228"/>
  <c r="Q1230"/>
  <c r="Q1232"/>
  <c r="Q1264"/>
  <c r="Q1266"/>
  <c r="Q1268"/>
  <c r="Q1270"/>
  <c r="Q1280"/>
  <c r="Q1286"/>
  <c r="J165"/>
  <c r="J149"/>
  <c r="J148"/>
  <c r="J123"/>
  <c r="X97" i="21"/>
  <c r="J197" i="33"/>
  <c r="J196"/>
  <c r="J96"/>
  <c r="J91"/>
  <c r="J89"/>
  <c r="J88"/>
  <c r="J87"/>
  <c r="J86"/>
  <c r="J85"/>
  <c r="J84"/>
  <c r="J83"/>
  <c r="J82"/>
  <c r="J81"/>
  <c r="J206"/>
  <c r="J75"/>
  <c r="X84" i="21"/>
  <c r="X83"/>
  <c r="X82"/>
  <c r="X81"/>
  <c r="X80"/>
  <c r="X79"/>
  <c r="X78"/>
  <c r="X77"/>
  <c r="X76"/>
  <c r="X75"/>
  <c r="X74"/>
  <c r="X73"/>
  <c r="X72"/>
  <c r="X71"/>
  <c r="X70"/>
  <c r="X69"/>
  <c r="X68"/>
  <c r="X67"/>
  <c r="X66"/>
  <c r="X65"/>
  <c r="X64"/>
  <c r="X63"/>
  <c r="X62"/>
  <c r="X61"/>
  <c r="X60"/>
  <c r="X59"/>
  <c r="X58"/>
  <c r="X57"/>
  <c r="X56"/>
  <c r="T84"/>
  <c r="T83"/>
  <c r="T82"/>
  <c r="T81"/>
  <c r="T80"/>
  <c r="T79"/>
  <c r="T78"/>
  <c r="T77"/>
  <c r="T76"/>
  <c r="T75"/>
  <c r="T74"/>
  <c r="T73"/>
  <c r="T72"/>
  <c r="T71"/>
  <c r="T70"/>
  <c r="T69"/>
  <c r="T68"/>
  <c r="T67"/>
  <c r="T66"/>
  <c r="T65"/>
  <c r="T64"/>
  <c r="T63"/>
  <c r="T62"/>
  <c r="T61"/>
  <c r="T60"/>
  <c r="T59"/>
  <c r="T58"/>
  <c r="T57"/>
  <c r="T56"/>
  <c r="B72"/>
  <c r="B71"/>
  <c r="B70"/>
  <c r="B69"/>
  <c r="B68"/>
  <c r="B67"/>
  <c r="B66"/>
  <c r="B62"/>
  <c r="B61"/>
  <c r="B57"/>
  <c r="B56"/>
  <c r="O57"/>
  <c r="X51"/>
  <c r="T51"/>
  <c r="B51"/>
  <c r="X46"/>
  <c r="T46"/>
  <c r="B46"/>
  <c r="B43"/>
  <c r="B42"/>
  <c r="B41"/>
  <c r="T41"/>
  <c r="J42" i="33"/>
  <c r="J41"/>
  <c r="B38" i="21"/>
  <c r="B37"/>
  <c r="B36"/>
  <c r="X36"/>
  <c r="T36"/>
  <c r="J37" i="33"/>
  <c r="J36"/>
  <c r="B32" i="21"/>
  <c r="B31"/>
  <c r="B27"/>
  <c r="B26"/>
  <c r="X31"/>
  <c r="T31"/>
  <c r="J29" i="33"/>
  <c r="J28"/>
  <c r="X26" i="21"/>
  <c r="T29"/>
  <c r="T28"/>
  <c r="T27"/>
  <c r="T26"/>
  <c r="T25"/>
  <c r="E130" i="39"/>
  <c r="B130"/>
  <c r="B7"/>
  <c r="F2494" i="33"/>
  <c r="F2493"/>
  <c r="F2492"/>
  <c r="F2491"/>
  <c r="F2490"/>
  <c r="F2489"/>
  <c r="F2488"/>
  <c r="F2487"/>
  <c r="H457" i="40" l="1"/>
  <c r="I431"/>
  <c r="H431"/>
  <c r="H363" l="1"/>
  <c r="H367" s="1"/>
  <c r="G338"/>
  <c r="G335"/>
  <c r="G334"/>
  <c r="J334" s="1"/>
  <c r="H327"/>
  <c r="H330" s="1"/>
  <c r="H299"/>
  <c r="H300" s="1"/>
  <c r="H283"/>
  <c r="H270"/>
  <c r="H271"/>
  <c r="H272"/>
  <c r="H273"/>
  <c r="H269"/>
  <c r="H262"/>
  <c r="H265" s="1"/>
  <c r="P152"/>
  <c r="P137"/>
  <c r="N162"/>
  <c r="M157"/>
  <c r="L157"/>
  <c r="K157"/>
  <c r="J157"/>
  <c r="I157"/>
  <c r="H157"/>
  <c r="G157"/>
  <c r="G153"/>
  <c r="G161" s="1"/>
  <c r="G138"/>
  <c r="M143"/>
  <c r="L143"/>
  <c r="K143"/>
  <c r="J143"/>
  <c r="I143"/>
  <c r="H143"/>
  <c r="G143"/>
  <c r="M138"/>
  <c r="L138"/>
  <c r="K138"/>
  <c r="J138"/>
  <c r="I138"/>
  <c r="H138"/>
  <c r="N138" s="1"/>
  <c r="M152"/>
  <c r="L152"/>
  <c r="K152"/>
  <c r="J152"/>
  <c r="I152"/>
  <c r="H152"/>
  <c r="G164"/>
  <c r="G163"/>
  <c r="N160"/>
  <c r="N159"/>
  <c r="N158"/>
  <c r="N156"/>
  <c r="N155"/>
  <c r="N151"/>
  <c r="N149"/>
  <c r="N148"/>
  <c r="N147"/>
  <c r="N146"/>
  <c r="N145"/>
  <c r="N144"/>
  <c r="N142"/>
  <c r="N141"/>
  <c r="N140"/>
  <c r="N139"/>
  <c r="M137"/>
  <c r="L137"/>
  <c r="K137"/>
  <c r="K150" s="1"/>
  <c r="J137"/>
  <c r="J163" s="1"/>
  <c r="I137"/>
  <c r="H137"/>
  <c r="H127"/>
  <c r="H131" s="1"/>
  <c r="C112"/>
  <c r="M105"/>
  <c r="H105"/>
  <c r="J105"/>
  <c r="I105"/>
  <c r="I112" s="1"/>
  <c r="G105"/>
  <c r="G112" s="1"/>
  <c r="E105"/>
  <c r="E112" s="1"/>
  <c r="C105"/>
  <c r="H82"/>
  <c r="H83"/>
  <c r="H87"/>
  <c r="H88"/>
  <c r="H77"/>
  <c r="H76"/>
  <c r="H75"/>
  <c r="H74"/>
  <c r="G65"/>
  <c r="J65" s="1"/>
  <c r="H58"/>
  <c r="H60" s="1"/>
  <c r="H57"/>
  <c r="I4"/>
  <c r="B9"/>
  <c r="A4"/>
  <c r="A479"/>
  <c r="A480" s="1"/>
  <c r="A481" s="1"/>
  <c r="A482" s="1"/>
  <c r="A471"/>
  <c r="A472" s="1"/>
  <c r="A456"/>
  <c r="A457" s="1"/>
  <c r="A444"/>
  <c r="A436"/>
  <c r="A437" s="1"/>
  <c r="A438" s="1"/>
  <c r="A439" s="1"/>
  <c r="A410"/>
  <c r="A411" s="1"/>
  <c r="A412" s="1"/>
  <c r="A413" s="1"/>
  <c r="A414" s="1"/>
  <c r="A415" s="1"/>
  <c r="A416" s="1"/>
  <c r="A417" s="1"/>
  <c r="A418" s="1"/>
  <c r="A419" s="1"/>
  <c r="A420" s="1"/>
  <c r="A421" s="1"/>
  <c r="A422" s="1"/>
  <c r="A423" s="1"/>
  <c r="A424" s="1"/>
  <c r="A425" s="1"/>
  <c r="A426" s="1"/>
  <c r="A427" s="1"/>
  <c r="A428" s="1"/>
  <c r="A429" s="1"/>
  <c r="A430" s="1"/>
  <c r="A431" s="1"/>
  <c r="A400"/>
  <c r="A401" s="1"/>
  <c r="A402" s="1"/>
  <c r="A399"/>
  <c r="A391"/>
  <c r="A392" s="1"/>
  <c r="A393" s="1"/>
  <c r="A394" s="1"/>
  <c r="A385"/>
  <c r="A386" s="1"/>
  <c r="A347"/>
  <c r="A348" s="1"/>
  <c r="A349" s="1"/>
  <c r="A335"/>
  <c r="A327"/>
  <c r="A328" s="1"/>
  <c r="A329" s="1"/>
  <c r="A330" s="1"/>
  <c r="A299"/>
  <c r="A300" s="1"/>
  <c r="A288"/>
  <c r="A289" s="1"/>
  <c r="A290" s="1"/>
  <c r="A281"/>
  <c r="A282" s="1"/>
  <c r="A283" s="1"/>
  <c r="A270"/>
  <c r="A271" s="1"/>
  <c r="A272" s="1"/>
  <c r="A273" s="1"/>
  <c r="A274" s="1"/>
  <c r="A275" s="1"/>
  <c r="A263"/>
  <c r="A264" s="1"/>
  <c r="A265" s="1"/>
  <c r="A250"/>
  <c r="A251" s="1"/>
  <c r="A224"/>
  <c r="A225" s="1"/>
  <c r="A226" s="1"/>
  <c r="A227" s="1"/>
  <c r="A212"/>
  <c r="A213" s="1"/>
  <c r="A128"/>
  <c r="A129" s="1"/>
  <c r="A130" s="1"/>
  <c r="A131" s="1"/>
  <c r="K111"/>
  <c r="K110"/>
  <c r="K109"/>
  <c r="K105"/>
  <c r="N105" s="1"/>
  <c r="A83"/>
  <c r="A84" s="1"/>
  <c r="A85" s="1"/>
  <c r="A86" s="1"/>
  <c r="A87" s="1"/>
  <c r="A88" s="1"/>
  <c r="A89" s="1"/>
  <c r="A75"/>
  <c r="A76" s="1"/>
  <c r="A77" s="1"/>
  <c r="A78" s="1"/>
  <c r="J69"/>
  <c r="H67"/>
  <c r="A66"/>
  <c r="A67" s="1"/>
  <c r="H100" i="39"/>
  <c r="H1248"/>
  <c r="H1004"/>
  <c r="H882"/>
  <c r="H760"/>
  <c r="H638"/>
  <c r="H516"/>
  <c r="H394"/>
  <c r="H272"/>
  <c r="N152" i="40" l="1"/>
  <c r="Q152" s="1"/>
  <c r="H150"/>
  <c r="H163"/>
  <c r="L150"/>
  <c r="K163"/>
  <c r="J150"/>
  <c r="H78"/>
  <c r="H89"/>
  <c r="N143"/>
  <c r="I150"/>
  <c r="M150"/>
  <c r="N157"/>
  <c r="H275"/>
  <c r="K112"/>
  <c r="N137"/>
  <c r="N163" s="1"/>
  <c r="M163"/>
  <c r="G342"/>
  <c r="L163"/>
  <c r="I163"/>
  <c r="H271" i="39"/>
  <c r="H150"/>
  <c r="H149" s="1"/>
  <c r="H28"/>
  <c r="H27" s="1"/>
  <c r="C139"/>
  <c r="E129"/>
  <c r="B129"/>
  <c r="B11"/>
  <c r="C17"/>
  <c r="B13"/>
  <c r="B12"/>
  <c r="E10"/>
  <c r="B10"/>
  <c r="E9"/>
  <c r="B9"/>
  <c r="E7"/>
  <c r="G1445"/>
  <c r="F1442"/>
  <c r="F1443" s="1"/>
  <c r="F1444" s="1"/>
  <c r="F1445" s="1"/>
  <c r="F1446" s="1"/>
  <c r="F1447" s="1"/>
  <c r="F1448" s="1"/>
  <c r="F1449" s="1"/>
  <c r="F1450" s="1"/>
  <c r="F1451" s="1"/>
  <c r="F1452" s="1"/>
  <c r="F1453" s="1"/>
  <c r="F1454" s="1"/>
  <c r="F1455" s="1"/>
  <c r="F1456" s="1"/>
  <c r="H1432"/>
  <c r="H1430"/>
  <c r="H1422"/>
  <c r="H1419"/>
  <c r="H1407"/>
  <c r="H1395"/>
  <c r="H1396" s="1"/>
  <c r="H1375"/>
  <c r="H1369"/>
  <c r="C1359"/>
  <c r="B1341"/>
  <c r="B1339"/>
  <c r="G1323"/>
  <c r="F1320"/>
  <c r="F1321" s="1"/>
  <c r="F1322" s="1"/>
  <c r="F1323" s="1"/>
  <c r="F1324" s="1"/>
  <c r="F1325" s="1"/>
  <c r="F1326" s="1"/>
  <c r="F1327" s="1"/>
  <c r="F1328" s="1"/>
  <c r="F1329" s="1"/>
  <c r="F1330" s="1"/>
  <c r="F1331" s="1"/>
  <c r="F1332" s="1"/>
  <c r="F1333" s="1"/>
  <c r="F1334" s="1"/>
  <c r="H1310"/>
  <c r="H1308"/>
  <c r="H1300"/>
  <c r="H1297"/>
  <c r="H1285"/>
  <c r="H1273"/>
  <c r="H1274" s="1"/>
  <c r="H1253"/>
  <c r="H1247"/>
  <c r="C1237"/>
  <c r="B1219"/>
  <c r="B1217"/>
  <c r="G1201"/>
  <c r="F1198"/>
  <c r="F1199" s="1"/>
  <c r="F1200" s="1"/>
  <c r="F1201" s="1"/>
  <c r="F1202" s="1"/>
  <c r="F1203" s="1"/>
  <c r="F1204" s="1"/>
  <c r="F1205" s="1"/>
  <c r="F1206" s="1"/>
  <c r="F1207" s="1"/>
  <c r="F1208" s="1"/>
  <c r="F1209" s="1"/>
  <c r="F1210" s="1"/>
  <c r="F1211" s="1"/>
  <c r="F1212" s="1"/>
  <c r="H1188"/>
  <c r="H1186"/>
  <c r="H1178"/>
  <c r="H1175"/>
  <c r="H1163"/>
  <c r="H1151"/>
  <c r="H1152" s="1"/>
  <c r="H1131"/>
  <c r="C1115"/>
  <c r="B1097"/>
  <c r="B1095"/>
  <c r="G1079"/>
  <c r="F1076"/>
  <c r="F1077" s="1"/>
  <c r="F1078" s="1"/>
  <c r="F1079" s="1"/>
  <c r="F1080" s="1"/>
  <c r="F1081" s="1"/>
  <c r="F1082" s="1"/>
  <c r="F1083" s="1"/>
  <c r="F1084" s="1"/>
  <c r="F1085" s="1"/>
  <c r="F1086" s="1"/>
  <c r="F1087" s="1"/>
  <c r="F1088" s="1"/>
  <c r="F1089" s="1"/>
  <c r="F1090" s="1"/>
  <c r="H1066"/>
  <c r="H1064"/>
  <c r="H1056"/>
  <c r="H1053"/>
  <c r="H1041"/>
  <c r="H1029"/>
  <c r="H1030" s="1"/>
  <c r="H1009"/>
  <c r="H1003"/>
  <c r="C993"/>
  <c r="B975"/>
  <c r="B973"/>
  <c r="G957"/>
  <c r="F954"/>
  <c r="F955" s="1"/>
  <c r="F956" s="1"/>
  <c r="F957" s="1"/>
  <c r="F958" s="1"/>
  <c r="F959" s="1"/>
  <c r="F960" s="1"/>
  <c r="F961" s="1"/>
  <c r="F962" s="1"/>
  <c r="F963" s="1"/>
  <c r="F964" s="1"/>
  <c r="F965" s="1"/>
  <c r="F966" s="1"/>
  <c r="F967" s="1"/>
  <c r="F968" s="1"/>
  <c r="H944"/>
  <c r="H942"/>
  <c r="H934"/>
  <c r="H931"/>
  <c r="H919"/>
  <c r="H907"/>
  <c r="H908" s="1"/>
  <c r="H887"/>
  <c r="H881"/>
  <c r="C871"/>
  <c r="B853"/>
  <c r="B851"/>
  <c r="G835"/>
  <c r="F832"/>
  <c r="F833" s="1"/>
  <c r="F834" s="1"/>
  <c r="F835" s="1"/>
  <c r="F836" s="1"/>
  <c r="F837" s="1"/>
  <c r="F838" s="1"/>
  <c r="F839" s="1"/>
  <c r="F840" s="1"/>
  <c r="F841" s="1"/>
  <c r="F842" s="1"/>
  <c r="F843" s="1"/>
  <c r="F844" s="1"/>
  <c r="F845" s="1"/>
  <c r="F846" s="1"/>
  <c r="H822"/>
  <c r="H820"/>
  <c r="H812"/>
  <c r="H809"/>
  <c r="H797"/>
  <c r="H785"/>
  <c r="H786" s="1"/>
  <c r="H765"/>
  <c r="H759"/>
  <c r="C749"/>
  <c r="B731"/>
  <c r="B729"/>
  <c r="G713"/>
  <c r="F710"/>
  <c r="F711" s="1"/>
  <c r="F712" s="1"/>
  <c r="F713" s="1"/>
  <c r="F714" s="1"/>
  <c r="F715" s="1"/>
  <c r="F716" s="1"/>
  <c r="F717" s="1"/>
  <c r="F718" s="1"/>
  <c r="F719" s="1"/>
  <c r="F720" s="1"/>
  <c r="F721" s="1"/>
  <c r="F722" s="1"/>
  <c r="F723" s="1"/>
  <c r="F724" s="1"/>
  <c r="H700"/>
  <c r="H698"/>
  <c r="H690"/>
  <c r="H687"/>
  <c r="H675"/>
  <c r="H663"/>
  <c r="H664" s="1"/>
  <c r="H643"/>
  <c r="H637"/>
  <c r="C627"/>
  <c r="B609"/>
  <c r="B607"/>
  <c r="G591"/>
  <c r="F588"/>
  <c r="F589" s="1"/>
  <c r="F590" s="1"/>
  <c r="F591" s="1"/>
  <c r="F592" s="1"/>
  <c r="F593" s="1"/>
  <c r="F594" s="1"/>
  <c r="F595" s="1"/>
  <c r="F596" s="1"/>
  <c r="F597" s="1"/>
  <c r="F598" s="1"/>
  <c r="F599" s="1"/>
  <c r="F600" s="1"/>
  <c r="F601" s="1"/>
  <c r="F602" s="1"/>
  <c r="H578"/>
  <c r="H576"/>
  <c r="H568"/>
  <c r="H565"/>
  <c r="H553"/>
  <c r="H541"/>
  <c r="H542" s="1"/>
  <c r="H521"/>
  <c r="H515"/>
  <c r="C505"/>
  <c r="B487"/>
  <c r="B485"/>
  <c r="G469"/>
  <c r="F466"/>
  <c r="F467" s="1"/>
  <c r="F468" s="1"/>
  <c r="F469" s="1"/>
  <c r="F470" s="1"/>
  <c r="F471" s="1"/>
  <c r="F472" s="1"/>
  <c r="F473" s="1"/>
  <c r="F474" s="1"/>
  <c r="F475" s="1"/>
  <c r="F476" s="1"/>
  <c r="F477" s="1"/>
  <c r="F478" s="1"/>
  <c r="F479" s="1"/>
  <c r="F480" s="1"/>
  <c r="H456"/>
  <c r="H454"/>
  <c r="H446"/>
  <c r="H443"/>
  <c r="H431"/>
  <c r="H419"/>
  <c r="H420" s="1"/>
  <c r="H399"/>
  <c r="H393"/>
  <c r="C383"/>
  <c r="B365"/>
  <c r="B363"/>
  <c r="G347"/>
  <c r="F344"/>
  <c r="F345" s="1"/>
  <c r="F346" s="1"/>
  <c r="F347" s="1"/>
  <c r="F348" s="1"/>
  <c r="F349" s="1"/>
  <c r="F350" s="1"/>
  <c r="F351" s="1"/>
  <c r="F352" s="1"/>
  <c r="F353" s="1"/>
  <c r="F354" s="1"/>
  <c r="F355" s="1"/>
  <c r="F356" s="1"/>
  <c r="F357" s="1"/>
  <c r="F358" s="1"/>
  <c r="H334"/>
  <c r="H332"/>
  <c r="H324"/>
  <c r="H321"/>
  <c r="H309"/>
  <c r="H297"/>
  <c r="H298" s="1"/>
  <c r="H277"/>
  <c r="C261"/>
  <c r="B243"/>
  <c r="B241"/>
  <c r="G225"/>
  <c r="F222"/>
  <c r="F223" s="1"/>
  <c r="F224" s="1"/>
  <c r="F225" s="1"/>
  <c r="F226" s="1"/>
  <c r="F227" s="1"/>
  <c r="F228" s="1"/>
  <c r="F229" s="1"/>
  <c r="F230" s="1"/>
  <c r="F231" s="1"/>
  <c r="F232" s="1"/>
  <c r="F233" s="1"/>
  <c r="F234" s="1"/>
  <c r="F235" s="1"/>
  <c r="F236" s="1"/>
  <c r="H212"/>
  <c r="H210"/>
  <c r="H202"/>
  <c r="H199"/>
  <c r="H187"/>
  <c r="H175"/>
  <c r="H176" s="1"/>
  <c r="H155"/>
  <c r="B121"/>
  <c r="B119"/>
  <c r="G103"/>
  <c r="F100"/>
  <c r="F101" s="1"/>
  <c r="F102" s="1"/>
  <c r="F103" s="1"/>
  <c r="F104" s="1"/>
  <c r="F105" s="1"/>
  <c r="F106" s="1"/>
  <c r="F107" s="1"/>
  <c r="F108" s="1"/>
  <c r="F109" s="1"/>
  <c r="F110" s="1"/>
  <c r="F111" s="1"/>
  <c r="F112" s="1"/>
  <c r="F113" s="1"/>
  <c r="F114" s="1"/>
  <c r="H90"/>
  <c r="H88"/>
  <c r="H80"/>
  <c r="H77"/>
  <c r="H65"/>
  <c r="H53"/>
  <c r="H54" s="1"/>
  <c r="H33"/>
  <c r="E12"/>
  <c r="E11"/>
  <c r="D9" i="27"/>
  <c r="H9" s="1"/>
  <c r="H143"/>
  <c r="H142"/>
  <c r="H141"/>
  <c r="H140"/>
  <c r="H139"/>
  <c r="H138"/>
  <c r="H137"/>
  <c r="H136"/>
  <c r="H135"/>
  <c r="H134"/>
  <c r="H133"/>
  <c r="H132"/>
  <c r="H131"/>
  <c r="H130"/>
  <c r="H129"/>
  <c r="H128"/>
  <c r="H127"/>
  <c r="H126"/>
  <c r="H125"/>
  <c r="H124"/>
  <c r="H123"/>
  <c r="H122"/>
  <c r="H121"/>
  <c r="H120"/>
  <c r="H119"/>
  <c r="H118"/>
  <c r="H117"/>
  <c r="H116"/>
  <c r="H115"/>
  <c r="C115"/>
  <c r="C116" s="1"/>
  <c r="C117" s="1"/>
  <c r="C118" s="1"/>
  <c r="C119" s="1"/>
  <c r="C120" s="1"/>
  <c r="C121" s="1"/>
  <c r="C122" s="1"/>
  <c r="C123" s="1"/>
  <c r="C124" s="1"/>
  <c r="C125" s="1"/>
  <c r="C126" s="1"/>
  <c r="C127" s="1"/>
  <c r="C128" s="1"/>
  <c r="C129" s="1"/>
  <c r="C130" s="1"/>
  <c r="C131" s="1"/>
  <c r="C132" s="1"/>
  <c r="C133" s="1"/>
  <c r="C134" s="1"/>
  <c r="C135" s="1"/>
  <c r="C136" s="1"/>
  <c r="C137" s="1"/>
  <c r="C138" s="1"/>
  <c r="C139" s="1"/>
  <c r="C140" s="1"/>
  <c r="C141" s="1"/>
  <c r="C142" s="1"/>
  <c r="C143" s="1"/>
  <c r="A115"/>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H114"/>
  <c r="G107"/>
  <c r="F107"/>
  <c r="E107"/>
  <c r="D107"/>
  <c r="H106"/>
  <c r="H105"/>
  <c r="H104"/>
  <c r="H103"/>
  <c r="H102"/>
  <c r="C102"/>
  <c r="C103" s="1"/>
  <c r="C104" s="1"/>
  <c r="C105" s="1"/>
  <c r="C106" s="1"/>
  <c r="H101"/>
  <c r="H100"/>
  <c r="H99"/>
  <c r="H98"/>
  <c r="A163"/>
  <c r="A165"/>
  <c r="H38"/>
  <c r="H37"/>
  <c r="H36"/>
  <c r="H35"/>
  <c r="H34"/>
  <c r="H33"/>
  <c r="H32"/>
  <c r="H31"/>
  <c r="H30"/>
  <c r="H29"/>
  <c r="H28"/>
  <c r="H27"/>
  <c r="H26"/>
  <c r="H25"/>
  <c r="H15"/>
  <c r="H11"/>
  <c r="N150" i="40" l="1"/>
  <c r="Q137"/>
  <c r="H107" i="27"/>
  <c r="H1269" i="39"/>
  <c r="H1270" s="1"/>
  <c r="H1275" s="1"/>
  <c r="H1303" s="1"/>
  <c r="H1313" s="1"/>
  <c r="H1025"/>
  <c r="H1026" s="1"/>
  <c r="H1031" s="1"/>
  <c r="H1059" s="1"/>
  <c r="H1069" s="1"/>
  <c r="H781"/>
  <c r="H782" s="1"/>
  <c r="H787" s="1"/>
  <c r="H815" s="1"/>
  <c r="H825" s="1"/>
  <c r="H537"/>
  <c r="H538" s="1"/>
  <c r="H543" s="1"/>
  <c r="H571" s="1"/>
  <c r="H581" s="1"/>
  <c r="H49"/>
  <c r="H50" s="1"/>
  <c r="H55" s="1"/>
  <c r="H83" s="1"/>
  <c r="H93" s="1"/>
  <c r="H171"/>
  <c r="H172" s="1"/>
  <c r="H177" s="1"/>
  <c r="H205" s="1"/>
  <c r="H215" s="1"/>
  <c r="H148"/>
  <c r="H146" s="1"/>
  <c r="H415"/>
  <c r="H416" s="1"/>
  <c r="H421" s="1"/>
  <c r="H449" s="1"/>
  <c r="H459" s="1"/>
  <c r="H392"/>
  <c r="H390" s="1"/>
  <c r="H903"/>
  <c r="H904" s="1"/>
  <c r="H909" s="1"/>
  <c r="H937" s="1"/>
  <c r="H947" s="1"/>
  <c r="H880"/>
  <c r="H878" s="1"/>
  <c r="H1391"/>
  <c r="H1392" s="1"/>
  <c r="H1397" s="1"/>
  <c r="H1425" s="1"/>
  <c r="H1435" s="1"/>
  <c r="H1368"/>
  <c r="H1366" s="1"/>
  <c r="H293"/>
  <c r="H294" s="1"/>
  <c r="H299" s="1"/>
  <c r="H327" s="1"/>
  <c r="H337" s="1"/>
  <c r="H270"/>
  <c r="H268" s="1"/>
  <c r="H659"/>
  <c r="H660" s="1"/>
  <c r="H665" s="1"/>
  <c r="H693" s="1"/>
  <c r="H703" s="1"/>
  <c r="H636"/>
  <c r="H634" s="1"/>
  <c r="H26"/>
  <c r="H24" s="1"/>
  <c r="H514"/>
  <c r="H512" s="1"/>
  <c r="H758"/>
  <c r="H756" s="1"/>
  <c r="H1002"/>
  <c r="H1000" s="1"/>
  <c r="H1246"/>
  <c r="H1244" s="1"/>
  <c r="T1076" i="21"/>
  <c r="T1075"/>
  <c r="T1074"/>
  <c r="T1073"/>
  <c r="T1072"/>
  <c r="N78" i="37" l="1"/>
  <c r="O78" s="1"/>
  <c r="N77"/>
  <c r="O77" s="1"/>
  <c r="N76"/>
  <c r="N75"/>
  <c r="O82"/>
  <c r="K82"/>
  <c r="J82"/>
  <c r="G82"/>
  <c r="D82"/>
  <c r="C82"/>
  <c r="A82"/>
  <c r="G81"/>
  <c r="D81"/>
  <c r="C81"/>
  <c r="A81"/>
  <c r="O80"/>
  <c r="D80"/>
  <c r="C80"/>
  <c r="A80"/>
  <c r="O79"/>
  <c r="D79"/>
  <c r="C79"/>
  <c r="A79"/>
  <c r="M78"/>
  <c r="G78"/>
  <c r="D78"/>
  <c r="A78"/>
  <c r="G77"/>
  <c r="D77"/>
  <c r="C77"/>
  <c r="A77"/>
  <c r="O76"/>
  <c r="M76"/>
  <c r="G76"/>
  <c r="D76"/>
  <c r="C76"/>
  <c r="A76"/>
  <c r="O75"/>
  <c r="M77" l="1"/>
  <c r="M75"/>
  <c r="G75"/>
  <c r="D75"/>
  <c r="C75"/>
  <c r="A75"/>
  <c r="N74"/>
  <c r="O74" s="1"/>
  <c r="M74" l="1"/>
  <c r="M72" s="1"/>
  <c r="P72" s="1"/>
  <c r="G74"/>
  <c r="D74"/>
  <c r="C74"/>
  <c r="A74"/>
  <c r="A72" s="1"/>
  <c r="O2148" i="33"/>
  <c r="O2147"/>
  <c r="O2146"/>
  <c r="O2145"/>
  <c r="O2144"/>
  <c r="O2143"/>
  <c r="O2124"/>
  <c r="O2123"/>
  <c r="O2122"/>
  <c r="O2121"/>
  <c r="O2120"/>
  <c r="M2124"/>
  <c r="J2124"/>
  <c r="I2124"/>
  <c r="M2123"/>
  <c r="J2123"/>
  <c r="I2123"/>
  <c r="M2122"/>
  <c r="J2122"/>
  <c r="I2122"/>
  <c r="M2121"/>
  <c r="J2121"/>
  <c r="I2121"/>
  <c r="F2147"/>
  <c r="F2146"/>
  <c r="F2145"/>
  <c r="F2144"/>
  <c r="F2143"/>
  <c r="F2124"/>
  <c r="F2123"/>
  <c r="F2122"/>
  <c r="F2121"/>
  <c r="B2044"/>
  <c r="B2043"/>
  <c r="B2042"/>
  <c r="B2041"/>
  <c r="B2040"/>
  <c r="B2039"/>
  <c r="B2038"/>
  <c r="B2037"/>
  <c r="B2036"/>
  <c r="B2035"/>
  <c r="B2034"/>
  <c r="P4" i="39"/>
  <c r="H77" i="37"/>
  <c r="H80"/>
  <c r="H75"/>
  <c r="H76"/>
  <c r="H81"/>
  <c r="H74"/>
  <c r="H79"/>
  <c r="H78"/>
  <c r="Q426" i="33" l="1"/>
  <c r="Q428"/>
  <c r="Q425"/>
  <c r="Q427"/>
  <c r="I78" i="37"/>
  <c r="J78" s="1"/>
  <c r="I75"/>
  <c r="J75" s="1"/>
  <c r="I77"/>
  <c r="J77" s="1"/>
  <c r="I76"/>
  <c r="J76" s="1"/>
  <c r="I81"/>
  <c r="J81" s="1"/>
  <c r="I80"/>
  <c r="J80" s="1"/>
  <c r="I79"/>
  <c r="J79" s="1"/>
  <c r="I74"/>
  <c r="J74" s="1"/>
  <c r="G83"/>
  <c r="I83" l="1"/>
  <c r="I84" s="1"/>
  <c r="I2327" i="33" l="1"/>
  <c r="B2328"/>
  <c r="B2327"/>
  <c r="B2326"/>
  <c r="B2325"/>
  <c r="B2324"/>
  <c r="B2323"/>
  <c r="B2322"/>
  <c r="B2321"/>
  <c r="B2320"/>
  <c r="B2319"/>
  <c r="B2318"/>
  <c r="B2317"/>
  <c r="B2316"/>
  <c r="B2315"/>
  <c r="B2314"/>
  <c r="B2313"/>
  <c r="B2312"/>
  <c r="B2311"/>
  <c r="B2310"/>
  <c r="B2309"/>
  <c r="B2308"/>
  <c r="B2307"/>
  <c r="B2306"/>
  <c r="B2305"/>
  <c r="B2304"/>
  <c r="B2303"/>
  <c r="B2302"/>
  <c r="B2301"/>
  <c r="B2300"/>
  <c r="B2299"/>
  <c r="B2298"/>
  <c r="B2297"/>
  <c r="B2296"/>
  <c r="B2295"/>
  <c r="B2294"/>
  <c r="B2293"/>
  <c r="B2292"/>
  <c r="B2291"/>
  <c r="B2290"/>
  <c r="B2289"/>
  <c r="B2288"/>
  <c r="B2287"/>
  <c r="B2286"/>
  <c r="B2285"/>
  <c r="B2284"/>
  <c r="B2283"/>
  <c r="B2282"/>
  <c r="B2281"/>
  <c r="B2280"/>
  <c r="B2279"/>
  <c r="B2278"/>
  <c r="B2277"/>
  <c r="B2276"/>
  <c r="B2275"/>
  <c r="B2274"/>
  <c r="B2273"/>
  <c r="B2272"/>
  <c r="B2271"/>
  <c r="B2270"/>
  <c r="B2269"/>
  <c r="B2268"/>
  <c r="B2267"/>
  <c r="B2266"/>
  <c r="B2265"/>
  <c r="B2264"/>
  <c r="B2263"/>
  <c r="B2262"/>
  <c r="B2261"/>
  <c r="B2260"/>
  <c r="B2259"/>
  <c r="B2258"/>
  <c r="B2257"/>
  <c r="B2256"/>
  <c r="B2255"/>
  <c r="B2254"/>
  <c r="B2253"/>
  <c r="B2252"/>
  <c r="B2251"/>
  <c r="B2250"/>
  <c r="B2249"/>
  <c r="B2248"/>
  <c r="B2247"/>
  <c r="B2246"/>
  <c r="B2245"/>
  <c r="B2244"/>
  <c r="B2243"/>
  <c r="B2242"/>
  <c r="B2241"/>
  <c r="B2240"/>
  <c r="B2239"/>
  <c r="B2238"/>
  <c r="B2237"/>
  <c r="B2236"/>
  <c r="B2235"/>
  <c r="B2234"/>
  <c r="B2233"/>
  <c r="B2232"/>
  <c r="B2231"/>
  <c r="B2230"/>
  <c r="B2229"/>
  <c r="B2228"/>
  <c r="B2227"/>
  <c r="B2226"/>
  <c r="B2225"/>
  <c r="B2224"/>
  <c r="B2223"/>
  <c r="B2222"/>
  <c r="B2221"/>
  <c r="B2220"/>
  <c r="B2219"/>
  <c r="B2218"/>
  <c r="B2217"/>
  <c r="B2216"/>
  <c r="B2215"/>
  <c r="B2214"/>
  <c r="B2213"/>
  <c r="B2212"/>
  <c r="B2211"/>
  <c r="B2210"/>
  <c r="B2209"/>
  <c r="B2208"/>
  <c r="B2207"/>
  <c r="B2206"/>
  <c r="B2205"/>
  <c r="B2204"/>
  <c r="B2203"/>
  <c r="B2202"/>
  <c r="B2201"/>
  <c r="B2200"/>
  <c r="B2199"/>
  <c r="B2198"/>
  <c r="B2197"/>
  <c r="B2196"/>
  <c r="B2195"/>
  <c r="B2194"/>
  <c r="B2193"/>
  <c r="B2192"/>
  <c r="B2191"/>
  <c r="B2190"/>
  <c r="B2189"/>
  <c r="B2188"/>
  <c r="B2187"/>
  <c r="B2186"/>
  <c r="B2185"/>
  <c r="B2184"/>
  <c r="B2183"/>
  <c r="B2182"/>
  <c r="B2181"/>
  <c r="B2180"/>
  <c r="B2179"/>
  <c r="B2178"/>
  <c r="B2177"/>
  <c r="B2176"/>
  <c r="B2175"/>
  <c r="B2174"/>
  <c r="B2173"/>
  <c r="B2172"/>
  <c r="B2171"/>
  <c r="B2170"/>
  <c r="B2169"/>
  <c r="B2168"/>
  <c r="Q2153" l="1"/>
  <c r="Q213"/>
  <c r="Q1114" i="21"/>
  <c r="P1114"/>
  <c r="O1114"/>
  <c r="N1114"/>
  <c r="Q1113"/>
  <c r="P1113"/>
  <c r="O1113"/>
  <c r="N1113"/>
  <c r="R1112"/>
  <c r="Q1112"/>
  <c r="P1112"/>
  <c r="O1112"/>
  <c r="N1112"/>
  <c r="R1111"/>
  <c r="Q1111"/>
  <c r="P1111"/>
  <c r="O1111"/>
  <c r="N1111"/>
  <c r="N1110"/>
  <c r="R1124"/>
  <c r="Q1124"/>
  <c r="P1124"/>
  <c r="O1124"/>
  <c r="N1124"/>
  <c r="R1123"/>
  <c r="Q1123"/>
  <c r="P1123"/>
  <c r="O1123"/>
  <c r="N1123"/>
  <c r="R1122"/>
  <c r="Q1122"/>
  <c r="P1122"/>
  <c r="O1122"/>
  <c r="N1122"/>
  <c r="R1121"/>
  <c r="Q1121"/>
  <c r="P1121"/>
  <c r="O1121"/>
  <c r="N1121"/>
  <c r="N1120"/>
  <c r="R1119"/>
  <c r="Q1119"/>
  <c r="P1119"/>
  <c r="O1119"/>
  <c r="N1119"/>
  <c r="R1118"/>
  <c r="Q1118"/>
  <c r="P1118"/>
  <c r="O1118"/>
  <c r="N1118"/>
  <c r="R1117"/>
  <c r="Q1117"/>
  <c r="P1117"/>
  <c r="O1117"/>
  <c r="N1117"/>
  <c r="R1116"/>
  <c r="Q1116"/>
  <c r="P1116"/>
  <c r="O1116"/>
  <c r="N1116"/>
  <c r="N1115"/>
  <c r="R1109"/>
  <c r="Q1109"/>
  <c r="P1109"/>
  <c r="O1109"/>
  <c r="N1109"/>
  <c r="R1108"/>
  <c r="Q1108"/>
  <c r="P1108"/>
  <c r="O1108"/>
  <c r="N1108"/>
  <c r="R1107"/>
  <c r="Q1107"/>
  <c r="P1107"/>
  <c r="O1107"/>
  <c r="N1107"/>
  <c r="R1106"/>
  <c r="Q1106"/>
  <c r="P1106"/>
  <c r="O1106"/>
  <c r="N1106"/>
  <c r="N1105"/>
  <c r="R1065"/>
  <c r="Q1065"/>
  <c r="P1065"/>
  <c r="O1065"/>
  <c r="N1065"/>
  <c r="R1064"/>
  <c r="Q1064"/>
  <c r="P1064"/>
  <c r="O1064"/>
  <c r="N1064"/>
  <c r="N1063"/>
  <c r="O1063" s="1"/>
  <c r="N1062"/>
  <c r="N1061"/>
  <c r="O1061" s="1"/>
  <c r="R1081"/>
  <c r="Q1081"/>
  <c r="P1081"/>
  <c r="O1081"/>
  <c r="N1081"/>
  <c r="R1080"/>
  <c r="Q1080"/>
  <c r="P1080"/>
  <c r="O1080"/>
  <c r="N1080"/>
  <c r="R1079"/>
  <c r="Q1079"/>
  <c r="P1079"/>
  <c r="O1079"/>
  <c r="N1079"/>
  <c r="R1078"/>
  <c r="Q1078"/>
  <c r="P1078"/>
  <c r="O1078"/>
  <c r="N1078"/>
  <c r="R1077"/>
  <c r="Q1077"/>
  <c r="P1077"/>
  <c r="O1077"/>
  <c r="N1077"/>
  <c r="R1128"/>
  <c r="Q1128"/>
  <c r="P1128"/>
  <c r="O1128"/>
  <c r="N1128"/>
  <c r="N1127"/>
  <c r="O1127" s="1"/>
  <c r="N1126"/>
  <c r="N1125"/>
  <c r="O1125" s="1"/>
  <c r="R1094"/>
  <c r="Q1094"/>
  <c r="P1094"/>
  <c r="O1094"/>
  <c r="N1094"/>
  <c r="R1093"/>
  <c r="Q1093"/>
  <c r="P1093"/>
  <c r="O1093"/>
  <c r="N1093"/>
  <c r="R1092"/>
  <c r="Q1092"/>
  <c r="P1092"/>
  <c r="O1092"/>
  <c r="N1092"/>
  <c r="N1091"/>
  <c r="O1091" s="1"/>
  <c r="N1090"/>
  <c r="R1076"/>
  <c r="Q1076"/>
  <c r="P1076"/>
  <c r="O1076"/>
  <c r="N1076"/>
  <c r="R1075"/>
  <c r="Q1075"/>
  <c r="P1075"/>
  <c r="O1075"/>
  <c r="N1075"/>
  <c r="R1074"/>
  <c r="Q1074"/>
  <c r="P1074"/>
  <c r="O1074"/>
  <c r="N1074"/>
  <c r="R1073"/>
  <c r="Q1073"/>
  <c r="P1073"/>
  <c r="O1073"/>
  <c r="N1073"/>
  <c r="N1072"/>
  <c r="O1072" s="1"/>
  <c r="R1053"/>
  <c r="Q1053"/>
  <c r="P1053"/>
  <c r="O1053"/>
  <c r="N1053"/>
  <c r="N1052"/>
  <c r="O1052" s="1"/>
  <c r="N1051"/>
  <c r="O1051" s="1"/>
  <c r="N1049"/>
  <c r="O1049" s="1"/>
  <c r="P1127" l="1"/>
  <c r="O1115"/>
  <c r="O1110"/>
  <c r="O1120"/>
  <c r="P1120" s="1"/>
  <c r="P1115"/>
  <c r="O1105"/>
  <c r="P1105" s="1"/>
  <c r="P1063"/>
  <c r="O1062"/>
  <c r="P1062" s="1"/>
  <c r="P1061"/>
  <c r="O1126"/>
  <c r="P1126" s="1"/>
  <c r="P1125"/>
  <c r="P1091"/>
  <c r="O1090"/>
  <c r="P1090" s="1"/>
  <c r="P1072"/>
  <c r="P1052"/>
  <c r="P1051"/>
  <c r="P1049"/>
  <c r="N1048"/>
  <c r="R1017"/>
  <c r="Q1017"/>
  <c r="P1110" l="1"/>
  <c r="O1048"/>
  <c r="P1048" s="1"/>
  <c r="P1017"/>
  <c r="O1017"/>
  <c r="N1017"/>
  <c r="R1016"/>
  <c r="Q1016"/>
  <c r="P1016"/>
  <c r="O1016"/>
  <c r="N1016"/>
  <c r="R1015"/>
  <c r="Q1015"/>
  <c r="P1015"/>
  <c r="O1015"/>
  <c r="N1015"/>
  <c r="R1014"/>
  <c r="Q1014"/>
  <c r="P1014"/>
  <c r="O1014"/>
  <c r="N1014"/>
  <c r="T1017"/>
  <c r="T1016"/>
  <c r="T1015"/>
  <c r="T1014"/>
  <c r="T1013"/>
  <c r="T1047"/>
  <c r="T1046"/>
  <c r="T1045"/>
  <c r="T1044"/>
  <c r="T1043"/>
  <c r="M1023"/>
  <c r="T1012"/>
  <c r="T1011"/>
  <c r="T1010"/>
  <c r="T1009"/>
  <c r="T1008"/>
  <c r="A106" i="20"/>
  <c r="M1008" i="21"/>
  <c r="T1042"/>
  <c r="T1041"/>
  <c r="T1040"/>
  <c r="T1039"/>
  <c r="T1038"/>
  <c r="M2296" i="33"/>
  <c r="M2295"/>
  <c r="B2142" l="1"/>
  <c r="F2296"/>
  <c r="I2296"/>
  <c r="J2296"/>
  <c r="M2358"/>
  <c r="M2357"/>
  <c r="M2414"/>
  <c r="M2413"/>
  <c r="M2412"/>
  <c r="M2409"/>
  <c r="M2408"/>
  <c r="M2407"/>
  <c r="M2406"/>
  <c r="M2405"/>
  <c r="M2395"/>
  <c r="M2394"/>
  <c r="M2393"/>
  <c r="M2392"/>
  <c r="M2391"/>
  <c r="M2390"/>
  <c r="M2389"/>
  <c r="M2388"/>
  <c r="M2385"/>
  <c r="M2384"/>
  <c r="M2383"/>
  <c r="M2382"/>
  <c r="M2378"/>
  <c r="M2377"/>
  <c r="M2376"/>
  <c r="M2349"/>
  <c r="M2348"/>
  <c r="M2347"/>
  <c r="M2346"/>
  <c r="M2345"/>
  <c r="M2344"/>
  <c r="M2341"/>
  <c r="M2340"/>
  <c r="M2339"/>
  <c r="M2338"/>
  <c r="M2302"/>
  <c r="M2301"/>
  <c r="M2300"/>
  <c r="M2278"/>
  <c r="M2277"/>
  <c r="M2276"/>
  <c r="M2275"/>
  <c r="M2318"/>
  <c r="M2317"/>
  <c r="M2299"/>
  <c r="M2298"/>
  <c r="M2297"/>
  <c r="M2294"/>
  <c r="M2293"/>
  <c r="I2315"/>
  <c r="O2263"/>
  <c r="G361" i="22"/>
  <c r="H361" s="1"/>
  <c r="L361" s="1"/>
  <c r="G362"/>
  <c r="H362" s="1"/>
  <c r="G363"/>
  <c r="H363" s="1"/>
  <c r="G364"/>
  <c r="G365"/>
  <c r="H365" s="1"/>
  <c r="G366"/>
  <c r="H366" s="1"/>
  <c r="G367"/>
  <c r="H367" s="1"/>
  <c r="G368"/>
  <c r="G369"/>
  <c r="G371"/>
  <c r="H371" s="1"/>
  <c r="H459" s="1"/>
  <c r="G370"/>
  <c r="H370" s="1"/>
  <c r="G372"/>
  <c r="G373"/>
  <c r="H373" s="1"/>
  <c r="G374"/>
  <c r="G375"/>
  <c r="H375" s="1"/>
  <c r="G376"/>
  <c r="G377"/>
  <c r="H377" s="1"/>
  <c r="G378"/>
  <c r="H378" s="1"/>
  <c r="G379"/>
  <c r="G380"/>
  <c r="H380" s="1"/>
  <c r="G381"/>
  <c r="G382"/>
  <c r="H382" s="1"/>
  <c r="H379"/>
  <c r="H467" s="1"/>
  <c r="H364"/>
  <c r="H452" s="1"/>
  <c r="G360"/>
  <c r="G383" s="1"/>
  <c r="F383"/>
  <c r="E383"/>
  <c r="H381"/>
  <c r="H376"/>
  <c r="H374"/>
  <c r="H372"/>
  <c r="H369"/>
  <c r="H368"/>
  <c r="L368" s="1"/>
  <c r="A361"/>
  <c r="A362" s="1"/>
  <c r="A363" s="1"/>
  <c r="A364" s="1"/>
  <c r="A365" s="1"/>
  <c r="A366" s="1"/>
  <c r="A367" s="1"/>
  <c r="A368" s="1"/>
  <c r="A369" s="1"/>
  <c r="A370" s="1"/>
  <c r="A371" s="1"/>
  <c r="A372" s="1"/>
  <c r="A373" s="1"/>
  <c r="I2269" i="33"/>
  <c r="M2263"/>
  <c r="F2263"/>
  <c r="B2117"/>
  <c r="I2263"/>
  <c r="J2026"/>
  <c r="I2026"/>
  <c r="Q515" s="1"/>
  <c r="J2025"/>
  <c r="I2025"/>
  <c r="Q514" s="1"/>
  <c r="J2020"/>
  <c r="I2020"/>
  <c r="Q533" s="1"/>
  <c r="J2019"/>
  <c r="I2019"/>
  <c r="Q532" s="1"/>
  <c r="J2018"/>
  <c r="I2018"/>
  <c r="Q531" s="1"/>
  <c r="J2017"/>
  <c r="I2017"/>
  <c r="J2016"/>
  <c r="I2016"/>
  <c r="Q529" s="1"/>
  <c r="J2015"/>
  <c r="I2015"/>
  <c r="Q528" s="1"/>
  <c r="J2014"/>
  <c r="I2014"/>
  <c r="Q527" s="1"/>
  <c r="J2013"/>
  <c r="I2013"/>
  <c r="Q526" s="1"/>
  <c r="J2012"/>
  <c r="I2012"/>
  <c r="Q525" s="1"/>
  <c r="J2011"/>
  <c r="I2011"/>
  <c r="Q524" s="1"/>
  <c r="J2515"/>
  <c r="I2515"/>
  <c r="Q34" s="1"/>
  <c r="J2514"/>
  <c r="I2514"/>
  <c r="Q33" s="1"/>
  <c r="J2513"/>
  <c r="I2513"/>
  <c r="Q32" s="1"/>
  <c r="J2512"/>
  <c r="I2512"/>
  <c r="Q31" s="1"/>
  <c r="J2511"/>
  <c r="I2511"/>
  <c r="Q30" s="1"/>
  <c r="J2510"/>
  <c r="I2510"/>
  <c r="Q29" s="1"/>
  <c r="J2509"/>
  <c r="I2509"/>
  <c r="Q28" s="1"/>
  <c r="J2508"/>
  <c r="I2508"/>
  <c r="Q27" s="1"/>
  <c r="J2507"/>
  <c r="I2507"/>
  <c r="Q26" s="1"/>
  <c r="J2506"/>
  <c r="I2506"/>
  <c r="Q25" s="1"/>
  <c r="J2505"/>
  <c r="I2505"/>
  <c r="Q24" s="1"/>
  <c r="J2504"/>
  <c r="I2504"/>
  <c r="Q23" s="1"/>
  <c r="J2503"/>
  <c r="I2503"/>
  <c r="Q22" s="1"/>
  <c r="J2502"/>
  <c r="I2502"/>
  <c r="Q21" s="1"/>
  <c r="J2501"/>
  <c r="I2501"/>
  <c r="Q20" s="1"/>
  <c r="J2500"/>
  <c r="I2500"/>
  <c r="Q19" s="1"/>
  <c r="J2499"/>
  <c r="I2499"/>
  <c r="Q18" s="1"/>
  <c r="J2498"/>
  <c r="I2498"/>
  <c r="Q17" s="1"/>
  <c r="J2497"/>
  <c r="I2497"/>
  <c r="Q16" s="1"/>
  <c r="J2444"/>
  <c r="I2444"/>
  <c r="Q100" s="1"/>
  <c r="J2443"/>
  <c r="I2443"/>
  <c r="J2442"/>
  <c r="I2442"/>
  <c r="J2337"/>
  <c r="I2337"/>
  <c r="J2336"/>
  <c r="I2336"/>
  <c r="J2335"/>
  <c r="I2335"/>
  <c r="J2334"/>
  <c r="I2334"/>
  <c r="J2333"/>
  <c r="I2333"/>
  <c r="J2332"/>
  <c r="I2332"/>
  <c r="J2496"/>
  <c r="I2496"/>
  <c r="J2495"/>
  <c r="I2495"/>
  <c r="J2441"/>
  <c r="I2441"/>
  <c r="J2440"/>
  <c r="I2440"/>
  <c r="J2466"/>
  <c r="I2466"/>
  <c r="J2465"/>
  <c r="I2465"/>
  <c r="J2476"/>
  <c r="I2476"/>
  <c r="J2475"/>
  <c r="I2475"/>
  <c r="J2474"/>
  <c r="I2474"/>
  <c r="J2473"/>
  <c r="I2473"/>
  <c r="J2472"/>
  <c r="I2472"/>
  <c r="J2471"/>
  <c r="I2471"/>
  <c r="J2470"/>
  <c r="I2470"/>
  <c r="J2469"/>
  <c r="I2469"/>
  <c r="J2468"/>
  <c r="I2468"/>
  <c r="J2467"/>
  <c r="I2467"/>
  <c r="J2404"/>
  <c r="I2404"/>
  <c r="J2403"/>
  <c r="I2403"/>
  <c r="J2402"/>
  <c r="I2402"/>
  <c r="J2417"/>
  <c r="I2417"/>
  <c r="J2416"/>
  <c r="I2416"/>
  <c r="J2415"/>
  <c r="I2415"/>
  <c r="J2272"/>
  <c r="I2272"/>
  <c r="J2271"/>
  <c r="I2271"/>
  <c r="J2439"/>
  <c r="I2439"/>
  <c r="J2438"/>
  <c r="I2438"/>
  <c r="J2464"/>
  <c r="I2464"/>
  <c r="J2463"/>
  <c r="I2463"/>
  <c r="J2462"/>
  <c r="I2462"/>
  <c r="J2461"/>
  <c r="I2461"/>
  <c r="J2460"/>
  <c r="I2460"/>
  <c r="J2459"/>
  <c r="I2459"/>
  <c r="J2437"/>
  <c r="I2437"/>
  <c r="J2436"/>
  <c r="I2436"/>
  <c r="J2435"/>
  <c r="I2435"/>
  <c r="J2434"/>
  <c r="I2434"/>
  <c r="J2433"/>
  <c r="I2433"/>
  <c r="J2458"/>
  <c r="I2458"/>
  <c r="J2457"/>
  <c r="I2457"/>
  <c r="J2456"/>
  <c r="I2456"/>
  <c r="J2455"/>
  <c r="I2455"/>
  <c r="J2375"/>
  <c r="I2375"/>
  <c r="J2374"/>
  <c r="I2374"/>
  <c r="J2373"/>
  <c r="I2373"/>
  <c r="J2372"/>
  <c r="I2372"/>
  <c r="J2371"/>
  <c r="I2371"/>
  <c r="J2359"/>
  <c r="I2359"/>
  <c r="J2358"/>
  <c r="I2358"/>
  <c r="J2357"/>
  <c r="I2357"/>
  <c r="J2414"/>
  <c r="I2414"/>
  <c r="J2413"/>
  <c r="I2413"/>
  <c r="J2412"/>
  <c r="I2412"/>
  <c r="J2411"/>
  <c r="I2411"/>
  <c r="J2410"/>
  <c r="I2410"/>
  <c r="J2409"/>
  <c r="I2409"/>
  <c r="J2408"/>
  <c r="I2408"/>
  <c r="J2407"/>
  <c r="I2407"/>
  <c r="J2406"/>
  <c r="I2406"/>
  <c r="J2405"/>
  <c r="I2405"/>
  <c r="J2395"/>
  <c r="I2395"/>
  <c r="J2394"/>
  <c r="I2394"/>
  <c r="J2393"/>
  <c r="I2393"/>
  <c r="J2392"/>
  <c r="I2392"/>
  <c r="J2391"/>
  <c r="I2391"/>
  <c r="J2390"/>
  <c r="I2390"/>
  <c r="J2389"/>
  <c r="I2389"/>
  <c r="J2388"/>
  <c r="I2388"/>
  <c r="J2494"/>
  <c r="I2494"/>
  <c r="J2493"/>
  <c r="I2493"/>
  <c r="J2492"/>
  <c r="I2492"/>
  <c r="J2491"/>
  <c r="I2491"/>
  <c r="J2490"/>
  <c r="I2490"/>
  <c r="J2489"/>
  <c r="I2489"/>
  <c r="J2488"/>
  <c r="I2488"/>
  <c r="J2487"/>
  <c r="I2487"/>
  <c r="Q2173" s="1"/>
  <c r="J2387"/>
  <c r="I2387"/>
  <c r="J2386"/>
  <c r="I2386"/>
  <c r="J2385"/>
  <c r="I2385"/>
  <c r="J2384"/>
  <c r="I2384"/>
  <c r="J2383"/>
  <c r="I2383"/>
  <c r="J2382"/>
  <c r="I2382"/>
  <c r="J2378"/>
  <c r="I2378"/>
  <c r="J2377"/>
  <c r="I2377"/>
  <c r="J2376"/>
  <c r="I2376"/>
  <c r="J2349"/>
  <c r="I2349"/>
  <c r="J2348"/>
  <c r="I2348"/>
  <c r="J2347"/>
  <c r="I2347"/>
  <c r="J2346"/>
  <c r="I2346"/>
  <c r="J2345"/>
  <c r="I2345"/>
  <c r="J2344"/>
  <c r="I2344"/>
  <c r="J2341"/>
  <c r="I2341"/>
  <c r="J2340"/>
  <c r="I2340"/>
  <c r="J2339"/>
  <c r="I2339"/>
  <c r="J2338"/>
  <c r="I2338"/>
  <c r="J2327"/>
  <c r="J2326"/>
  <c r="I2326"/>
  <c r="J2302"/>
  <c r="I2302"/>
  <c r="J2301"/>
  <c r="I2301"/>
  <c r="J2300"/>
  <c r="I2300"/>
  <c r="J2278"/>
  <c r="I2278"/>
  <c r="J2277"/>
  <c r="I2277"/>
  <c r="J2276"/>
  <c r="I2276"/>
  <c r="J2275"/>
  <c r="I2275"/>
  <c r="J2318"/>
  <c r="I2318"/>
  <c r="J2317"/>
  <c r="I2317"/>
  <c r="J2299"/>
  <c r="I2299"/>
  <c r="J2298"/>
  <c r="J2297"/>
  <c r="I2297"/>
  <c r="J2295"/>
  <c r="I2295"/>
  <c r="J2294"/>
  <c r="I2294"/>
  <c r="J2293"/>
  <c r="I2293"/>
  <c r="J2316"/>
  <c r="I2316"/>
  <c r="J2315"/>
  <c r="J2314"/>
  <c r="I2314"/>
  <c r="J2313"/>
  <c r="I2313"/>
  <c r="J2312"/>
  <c r="I2312"/>
  <c r="J2311"/>
  <c r="I2311"/>
  <c r="J2310"/>
  <c r="I2310"/>
  <c r="J2309"/>
  <c r="I2309"/>
  <c r="J2282"/>
  <c r="I2282"/>
  <c r="J2281"/>
  <c r="I2281"/>
  <c r="J2280"/>
  <c r="I2280"/>
  <c r="J2279"/>
  <c r="I2279"/>
  <c r="J2274"/>
  <c r="I2274"/>
  <c r="J2273"/>
  <c r="I2273"/>
  <c r="J2270"/>
  <c r="I2270"/>
  <c r="J2269"/>
  <c r="J2268"/>
  <c r="I2268"/>
  <c r="J2267"/>
  <c r="I2267"/>
  <c r="J2266"/>
  <c r="I2266"/>
  <c r="J2265"/>
  <c r="I2265"/>
  <c r="J2264"/>
  <c r="I2264"/>
  <c r="J2262"/>
  <c r="I2262"/>
  <c r="J2261"/>
  <c r="I2261"/>
  <c r="J2250"/>
  <c r="I2250"/>
  <c r="J2249"/>
  <c r="I2249"/>
  <c r="J2248"/>
  <c r="I2248"/>
  <c r="J2247"/>
  <c r="I2247"/>
  <c r="J2241"/>
  <c r="I2241"/>
  <c r="J2240"/>
  <c r="I2240"/>
  <c r="J2230"/>
  <c r="I2230"/>
  <c r="J2229"/>
  <c r="I2229"/>
  <c r="J2228"/>
  <c r="I2228"/>
  <c r="J2227"/>
  <c r="I2227"/>
  <c r="J2226"/>
  <c r="I2226"/>
  <c r="J2215"/>
  <c r="I2215"/>
  <c r="J2214"/>
  <c r="I2214"/>
  <c r="J2213"/>
  <c r="I2213"/>
  <c r="J2212"/>
  <c r="I2212"/>
  <c r="J2209"/>
  <c r="I2209"/>
  <c r="J2208"/>
  <c r="I2208"/>
  <c r="J2207"/>
  <c r="I2207"/>
  <c r="J2206"/>
  <c r="I2206"/>
  <c r="J2205"/>
  <c r="I2205"/>
  <c r="I2204"/>
  <c r="J2204"/>
  <c r="I2203"/>
  <c r="J2203"/>
  <c r="T1022" i="21"/>
  <c r="T1021"/>
  <c r="T1020"/>
  <c r="T1019"/>
  <c r="T1018"/>
  <c r="T1037"/>
  <c r="T1036"/>
  <c r="T1035"/>
  <c r="T1034"/>
  <c r="T1033"/>
  <c r="N1028"/>
  <c r="A105" i="20"/>
  <c r="A32"/>
  <c r="B2139" i="33"/>
  <c r="B2138"/>
  <c r="B2137"/>
  <c r="B2136"/>
  <c r="B2135"/>
  <c r="B2134"/>
  <c r="B2133"/>
  <c r="B2132"/>
  <c r="B2131"/>
  <c r="B2130"/>
  <c r="B2129"/>
  <c r="B2128"/>
  <c r="B2127"/>
  <c r="B2126"/>
  <c r="B2125"/>
  <c r="B2124"/>
  <c r="B2123"/>
  <c r="B2122"/>
  <c r="B2121"/>
  <c r="B2120"/>
  <c r="B2119"/>
  <c r="B2118"/>
  <c r="B2116"/>
  <c r="B2115"/>
  <c r="B2114"/>
  <c r="B2113"/>
  <c r="B2112"/>
  <c r="B2111"/>
  <c r="B2110"/>
  <c r="B2109"/>
  <c r="B2108"/>
  <c r="B2107"/>
  <c r="B2106"/>
  <c r="B2105"/>
  <c r="B2104"/>
  <c r="B2103"/>
  <c r="B2102"/>
  <c r="B2101"/>
  <c r="B2100"/>
  <c r="B2099"/>
  <c r="B2098"/>
  <c r="B2097"/>
  <c r="B2096"/>
  <c r="B2095"/>
  <c r="B2094"/>
  <c r="B2093"/>
  <c r="B2092"/>
  <c r="B2091"/>
  <c r="B2090"/>
  <c r="B2089"/>
  <c r="B2088"/>
  <c r="B2087"/>
  <c r="B2086"/>
  <c r="B2085"/>
  <c r="B2084"/>
  <c r="B2083"/>
  <c r="B2082"/>
  <c r="B2081"/>
  <c r="B2080"/>
  <c r="B2079"/>
  <c r="B2078"/>
  <c r="B2077"/>
  <c r="B2076"/>
  <c r="B2075"/>
  <c r="B2074"/>
  <c r="B2073"/>
  <c r="H1126" i="39"/>
  <c r="H1125" s="1"/>
  <c r="L987" i="21"/>
  <c r="N987" s="1"/>
  <c r="O987" s="1"/>
  <c r="L986"/>
  <c r="N1013"/>
  <c r="O1013" s="1"/>
  <c r="R1058"/>
  <c r="Q1058"/>
  <c r="P1058"/>
  <c r="O1058"/>
  <c r="N1058"/>
  <c r="R1057"/>
  <c r="Q1057"/>
  <c r="P1057"/>
  <c r="O1057"/>
  <c r="N1057"/>
  <c r="R1056"/>
  <c r="Q1056"/>
  <c r="P1056"/>
  <c r="O1056"/>
  <c r="N1056"/>
  <c r="R1055"/>
  <c r="Q1055"/>
  <c r="P1055"/>
  <c r="O1055"/>
  <c r="N1055"/>
  <c r="N1054"/>
  <c r="R1047"/>
  <c r="Q1047"/>
  <c r="P1047"/>
  <c r="O1047"/>
  <c r="N1047"/>
  <c r="R1046"/>
  <c r="Q1046"/>
  <c r="P1046"/>
  <c r="O1046"/>
  <c r="N1046"/>
  <c r="R1045"/>
  <c r="Q1045"/>
  <c r="P1045"/>
  <c r="O1045"/>
  <c r="N1045"/>
  <c r="N1044"/>
  <c r="N1043"/>
  <c r="O1043" s="1"/>
  <c r="R1027"/>
  <c r="Q1027"/>
  <c r="P1027"/>
  <c r="O1027"/>
  <c r="N1027"/>
  <c r="R1026"/>
  <c r="Q1026"/>
  <c r="P1026"/>
  <c r="O1026"/>
  <c r="N1026"/>
  <c r="R1025"/>
  <c r="Q1025"/>
  <c r="P1025"/>
  <c r="O1025"/>
  <c r="N1025"/>
  <c r="R1024"/>
  <c r="Q1024"/>
  <c r="P1024"/>
  <c r="O1024"/>
  <c r="N1024"/>
  <c r="N1023"/>
  <c r="R1012"/>
  <c r="Q1012"/>
  <c r="P1012"/>
  <c r="O1012"/>
  <c r="N1012"/>
  <c r="R1011"/>
  <c r="Q1011"/>
  <c r="P1011"/>
  <c r="O1011"/>
  <c r="N1011"/>
  <c r="R1010"/>
  <c r="Q1010"/>
  <c r="P1010"/>
  <c r="O1010"/>
  <c r="N1010"/>
  <c r="R1009"/>
  <c r="Q1009"/>
  <c r="P1009"/>
  <c r="O1009"/>
  <c r="N1009"/>
  <c r="N1008"/>
  <c r="O1008" s="1"/>
  <c r="R1042"/>
  <c r="Q1042"/>
  <c r="P1042"/>
  <c r="O1042"/>
  <c r="N1042"/>
  <c r="R1041"/>
  <c r="Q1041"/>
  <c r="P1041"/>
  <c r="O1041"/>
  <c r="N1041"/>
  <c r="R1040"/>
  <c r="Q1040"/>
  <c r="P1040"/>
  <c r="O1040"/>
  <c r="N1040"/>
  <c r="R1039"/>
  <c r="Q1039"/>
  <c r="P1039"/>
  <c r="O1039"/>
  <c r="N1039"/>
  <c r="N1038"/>
  <c r="R1022"/>
  <c r="Q1022"/>
  <c r="P1022"/>
  <c r="O1022"/>
  <c r="N1022"/>
  <c r="R1021"/>
  <c r="Q1021"/>
  <c r="P1021"/>
  <c r="O1021"/>
  <c r="N1021"/>
  <c r="R1020"/>
  <c r="Q1020"/>
  <c r="P1020"/>
  <c r="O1020"/>
  <c r="N1020"/>
  <c r="R1019"/>
  <c r="Q1019"/>
  <c r="P1019"/>
  <c r="O1019"/>
  <c r="N1019"/>
  <c r="N1018"/>
  <c r="R1037"/>
  <c r="Q1037"/>
  <c r="P1037"/>
  <c r="O1037"/>
  <c r="N1037"/>
  <c r="R1036"/>
  <c r="Q1036"/>
  <c r="P1036"/>
  <c r="O1036"/>
  <c r="N1036"/>
  <c r="N1035"/>
  <c r="N1034"/>
  <c r="O1034" s="1"/>
  <c r="N1033"/>
  <c r="R1032"/>
  <c r="Q1032"/>
  <c r="P1032"/>
  <c r="O1032"/>
  <c r="N1032"/>
  <c r="N1031"/>
  <c r="O1031" s="1"/>
  <c r="N1030"/>
  <c r="N1029"/>
  <c r="O1029" s="1"/>
  <c r="O1028"/>
  <c r="N986"/>
  <c r="O986" s="1"/>
  <c r="E47" i="38" l="1"/>
  <c r="H454" i="22"/>
  <c r="L380"/>
  <c r="E46" i="38"/>
  <c r="H453" i="22"/>
  <c r="L377"/>
  <c r="Q2095" i="33"/>
  <c r="Q339"/>
  <c r="Q2096"/>
  <c r="Q340"/>
  <c r="Q334"/>
  <c r="Q328"/>
  <c r="Q330"/>
  <c r="Q316"/>
  <c r="Q304"/>
  <c r="Q2109"/>
  <c r="Q297"/>
  <c r="Q2111"/>
  <c r="Q283"/>
  <c r="Q285"/>
  <c r="Q279"/>
  <c r="Q282"/>
  <c r="Q278"/>
  <c r="Q2122"/>
  <c r="Q272"/>
  <c r="Q225"/>
  <c r="Q2140"/>
  <c r="Q245"/>
  <c r="Q248"/>
  <c r="Q2156"/>
  <c r="Q204"/>
  <c r="Q2158"/>
  <c r="Q187"/>
  <c r="Q189"/>
  <c r="Q191"/>
  <c r="Q165"/>
  <c r="Q2167"/>
  <c r="Q156"/>
  <c r="Q2169"/>
  <c r="Q158"/>
  <c r="Q2170"/>
  <c r="Q159"/>
  <c r="Q2172"/>
  <c r="Q161"/>
  <c r="Q2174"/>
  <c r="Q7"/>
  <c r="Q2175"/>
  <c r="Q8"/>
  <c r="Q11"/>
  <c r="Q13"/>
  <c r="Q143"/>
  <c r="Q145"/>
  <c r="Q147"/>
  <c r="Q149"/>
  <c r="Q138"/>
  <c r="Q122"/>
  <c r="Q123"/>
  <c r="Q125"/>
  <c r="Q127"/>
  <c r="Q178"/>
  <c r="Q180"/>
  <c r="Q2203"/>
  <c r="Q169"/>
  <c r="Q2205"/>
  <c r="Q171"/>
  <c r="Q2207"/>
  <c r="Q77"/>
  <c r="Q2209"/>
  <c r="Q79"/>
  <c r="Q2210"/>
  <c r="Q80"/>
  <c r="Q2212"/>
  <c r="Q90"/>
  <c r="Q2213"/>
  <c r="Q91"/>
  <c r="Q2215"/>
  <c r="Q93"/>
  <c r="Q2217"/>
  <c r="Q82"/>
  <c r="Q2219"/>
  <c r="Q84"/>
  <c r="Q2222"/>
  <c r="Q94"/>
  <c r="Q2223"/>
  <c r="Q95"/>
  <c r="Q2225"/>
  <c r="Q276"/>
  <c r="Q2227"/>
  <c r="Q130"/>
  <c r="Q2229"/>
  <c r="Q139"/>
  <c r="Q2231"/>
  <c r="Q141"/>
  <c r="Q2233"/>
  <c r="Q58"/>
  <c r="Q2235"/>
  <c r="Q60"/>
  <c r="Q2238"/>
  <c r="Q63"/>
  <c r="Q337"/>
  <c r="Q2124"/>
  <c r="Q274"/>
  <c r="Q2125"/>
  <c r="Q265"/>
  <c r="Q2126"/>
  <c r="Q266"/>
  <c r="Q2127"/>
  <c r="Q256"/>
  <c r="Q2128"/>
  <c r="Q257"/>
  <c r="Q2129"/>
  <c r="Q258"/>
  <c r="Q2130"/>
  <c r="Q259"/>
  <c r="Q2131"/>
  <c r="Q218"/>
  <c r="Q2132"/>
  <c r="Q219"/>
  <c r="Q220"/>
  <c r="Q221"/>
  <c r="Q222"/>
  <c r="Q223"/>
  <c r="Q250"/>
  <c r="Q226"/>
  <c r="Q227"/>
  <c r="Q267"/>
  <c r="Q268"/>
  <c r="Q269"/>
  <c r="Q270"/>
  <c r="Q235"/>
  <c r="Q2150"/>
  <c r="Q236"/>
  <c r="Q2151"/>
  <c r="Q237"/>
  <c r="Q2152"/>
  <c r="Q212"/>
  <c r="Q281"/>
  <c r="Q2142"/>
  <c r="Q247"/>
  <c r="Q2097"/>
  <c r="Q341"/>
  <c r="Q335"/>
  <c r="Q329"/>
  <c r="Q331"/>
  <c r="Q317"/>
  <c r="Q305"/>
  <c r="Q306"/>
  <c r="Q2110"/>
  <c r="Q298"/>
  <c r="Q2112"/>
  <c r="Q284"/>
  <c r="Q286"/>
  <c r="Q280"/>
  <c r="Q277"/>
  <c r="Q2121"/>
  <c r="Q271"/>
  <c r="Q2139"/>
  <c r="Q244"/>
  <c r="Q2141"/>
  <c r="Q246"/>
  <c r="Q2154"/>
  <c r="Q202"/>
  <c r="Q2155"/>
  <c r="Q203"/>
  <c r="Q2157"/>
  <c r="Q205"/>
  <c r="Q188"/>
  <c r="Q190"/>
  <c r="Q192"/>
  <c r="Q166"/>
  <c r="Q2166"/>
  <c r="Q167"/>
  <c r="Q2168"/>
  <c r="Q157"/>
  <c r="Q2171"/>
  <c r="Q160"/>
  <c r="Q2176"/>
  <c r="Q9"/>
  <c r="Q2177"/>
  <c r="Q10"/>
  <c r="Q12"/>
  <c r="Q142"/>
  <c r="Q144"/>
  <c r="Q146"/>
  <c r="Q148"/>
  <c r="Q137"/>
  <c r="Q121"/>
  <c r="Q124"/>
  <c r="Q126"/>
  <c r="Q128"/>
  <c r="Q179"/>
  <c r="Q168"/>
  <c r="Q2204"/>
  <c r="Q170"/>
  <c r="Q2206"/>
  <c r="Q172"/>
  <c r="Q2208"/>
  <c r="Q78"/>
  <c r="Q2211"/>
  <c r="Q89"/>
  <c r="Q2214"/>
  <c r="Q92"/>
  <c r="Q2216"/>
  <c r="Q81"/>
  <c r="Q2218"/>
  <c r="Q83"/>
  <c r="Q2220"/>
  <c r="Q85"/>
  <c r="Q2221"/>
  <c r="Q86"/>
  <c r="Q2224"/>
  <c r="Q275"/>
  <c r="Q2226"/>
  <c r="Q129"/>
  <c r="Q2228"/>
  <c r="Q131"/>
  <c r="Q2230"/>
  <c r="Q140"/>
  <c r="Q2232"/>
  <c r="Q57"/>
  <c r="Q2234"/>
  <c r="Q59"/>
  <c r="Q2236"/>
  <c r="Q61"/>
  <c r="Q2237"/>
  <c r="Q62"/>
  <c r="Q2239"/>
  <c r="Q64"/>
  <c r="Q2240"/>
  <c r="Q65"/>
  <c r="Q2241"/>
  <c r="Q66"/>
  <c r="Q2242"/>
  <c r="Q87"/>
  <c r="Q2243"/>
  <c r="Q88"/>
  <c r="Q2244"/>
  <c r="Q96"/>
  <c r="Q2245"/>
  <c r="Q97"/>
  <c r="Q2246"/>
  <c r="Q14"/>
  <c r="Q2247"/>
  <c r="Q15"/>
  <c r="Q2248"/>
  <c r="Q206"/>
  <c r="Q2249"/>
  <c r="Q207"/>
  <c r="Q2250"/>
  <c r="Q208"/>
  <c r="Q2251"/>
  <c r="Q209"/>
  <c r="Q2252"/>
  <c r="Q210"/>
  <c r="Q2253"/>
  <c r="Q211"/>
  <c r="Q2254"/>
  <c r="Q98"/>
  <c r="Q2255"/>
  <c r="Q99"/>
  <c r="Q2123"/>
  <c r="Q273"/>
  <c r="Q224"/>
  <c r="H1124" i="39"/>
  <c r="H1122" s="1"/>
  <c r="H1147"/>
  <c r="H1148" s="1"/>
  <c r="H1153" s="1"/>
  <c r="H1181" s="1"/>
  <c r="H1191" s="1"/>
  <c r="P1013" i="21"/>
  <c r="O1054"/>
  <c r="P1054" s="1"/>
  <c r="O1044"/>
  <c r="P1044" s="1"/>
  <c r="P1043"/>
  <c r="O1023"/>
  <c r="P1023" s="1"/>
  <c r="P1008"/>
  <c r="O1038"/>
  <c r="P1038" s="1"/>
  <c r="A374" i="22"/>
  <c r="A375" s="1"/>
  <c r="A376" s="1"/>
  <c r="A377" s="1"/>
  <c r="A378" s="1"/>
  <c r="A379" s="1"/>
  <c r="A380" s="1"/>
  <c r="A381" s="1"/>
  <c r="A382" s="1"/>
  <c r="I379"/>
  <c r="I467" s="1"/>
  <c r="L379"/>
  <c r="L467" s="1"/>
  <c r="L371"/>
  <c r="L459" s="1"/>
  <c r="I371"/>
  <c r="I459" s="1"/>
  <c r="L366"/>
  <c r="L454" s="1"/>
  <c r="I366"/>
  <c r="I454" s="1"/>
  <c r="L364"/>
  <c r="L452" s="1"/>
  <c r="I364"/>
  <c r="I452" s="1"/>
  <c r="L365"/>
  <c r="L453" s="1"/>
  <c r="I365"/>
  <c r="I453" s="1"/>
  <c r="I362"/>
  <c r="J362" s="1"/>
  <c r="N361" s="1"/>
  <c r="L362"/>
  <c r="I367"/>
  <c r="L367"/>
  <c r="J367"/>
  <c r="N366" s="1"/>
  <c r="K47" i="38" s="1"/>
  <c r="L370" i="22"/>
  <c r="I370"/>
  <c r="L373"/>
  <c r="I373"/>
  <c r="L375"/>
  <c r="I375"/>
  <c r="I378"/>
  <c r="J378" s="1"/>
  <c r="N377" s="1"/>
  <c r="L378"/>
  <c r="L382"/>
  <c r="I382"/>
  <c r="L363"/>
  <c r="I363"/>
  <c r="I369"/>
  <c r="L369"/>
  <c r="J369"/>
  <c r="N368" s="1"/>
  <c r="I372"/>
  <c r="J372" s="1"/>
  <c r="L372"/>
  <c r="I374"/>
  <c r="L374"/>
  <c r="I376"/>
  <c r="L376"/>
  <c r="J376"/>
  <c r="I381"/>
  <c r="J381" s="1"/>
  <c r="L381"/>
  <c r="H360"/>
  <c r="I361"/>
  <c r="M361" s="1"/>
  <c r="I368"/>
  <c r="M368" s="1"/>
  <c r="I377"/>
  <c r="I380"/>
  <c r="J361"/>
  <c r="N360" s="1"/>
  <c r="O1018" i="21"/>
  <c r="P1018" s="1"/>
  <c r="O1035"/>
  <c r="P1035" s="1"/>
  <c r="P1034"/>
  <c r="O1033"/>
  <c r="P1033" s="1"/>
  <c r="P1031"/>
  <c r="O1030"/>
  <c r="P1030" s="1"/>
  <c r="P1029"/>
  <c r="P1028"/>
  <c r="P987"/>
  <c r="P986"/>
  <c r="N985"/>
  <c r="N371" i="22" l="1"/>
  <c r="M377"/>
  <c r="N380"/>
  <c r="J374"/>
  <c r="J379"/>
  <c r="K379" s="1"/>
  <c r="K467" s="1"/>
  <c r="M380"/>
  <c r="N375"/>
  <c r="M365"/>
  <c r="M453" s="1"/>
  <c r="M364"/>
  <c r="M452" s="1"/>
  <c r="M366"/>
  <c r="M454" s="1"/>
  <c r="M376"/>
  <c r="M372"/>
  <c r="M363"/>
  <c r="M382"/>
  <c r="J377"/>
  <c r="M379"/>
  <c r="M467" s="1"/>
  <c r="M371"/>
  <c r="M459" s="1"/>
  <c r="J371"/>
  <c r="J459" s="1"/>
  <c r="J365"/>
  <c r="J453" s="1"/>
  <c r="J364"/>
  <c r="J452" s="1"/>
  <c r="J366"/>
  <c r="J454" s="1"/>
  <c r="M378"/>
  <c r="K362"/>
  <c r="M381"/>
  <c r="M374"/>
  <c r="M369"/>
  <c r="M375"/>
  <c r="M373"/>
  <c r="M370"/>
  <c r="H383"/>
  <c r="I360"/>
  <c r="J360" s="1"/>
  <c r="L360"/>
  <c r="L383" s="1"/>
  <c r="J380"/>
  <c r="J368"/>
  <c r="N367" s="1"/>
  <c r="K377"/>
  <c r="K361"/>
  <c r="K381"/>
  <c r="K376"/>
  <c r="K374"/>
  <c r="K372"/>
  <c r="K369"/>
  <c r="K378"/>
  <c r="K367"/>
  <c r="J363"/>
  <c r="N362" s="1"/>
  <c r="J382"/>
  <c r="J375"/>
  <c r="J373"/>
  <c r="J370"/>
  <c r="M367"/>
  <c r="M362"/>
  <c r="O985" i="21"/>
  <c r="P985" s="1"/>
  <c r="N984"/>
  <c r="O984" s="1"/>
  <c r="N374" i="22" l="1"/>
  <c r="N381"/>
  <c r="N369"/>
  <c r="N379"/>
  <c r="N376"/>
  <c r="N378"/>
  <c r="J467"/>
  <c r="K387"/>
  <c r="N372"/>
  <c r="K368"/>
  <c r="N373"/>
  <c r="K366"/>
  <c r="K454" s="1"/>
  <c r="N365"/>
  <c r="K46" i="38" s="1"/>
  <c r="K365" i="22"/>
  <c r="K453" s="1"/>
  <c r="N364"/>
  <c r="K364"/>
  <c r="K452" s="1"/>
  <c r="N363"/>
  <c r="K371"/>
  <c r="K459" s="1"/>
  <c r="N370"/>
  <c r="K380"/>
  <c r="J383"/>
  <c r="N359"/>
  <c r="M360"/>
  <c r="M383" s="1"/>
  <c r="I383"/>
  <c r="K373"/>
  <c r="K363"/>
  <c r="L388"/>
  <c r="K370"/>
  <c r="K375"/>
  <c r="K382"/>
  <c r="K360"/>
  <c r="P984" i="21"/>
  <c r="N983"/>
  <c r="N383" i="22" l="1"/>
  <c r="L389"/>
  <c r="N382"/>
  <c r="L390"/>
  <c r="K383"/>
  <c r="O983" i="21"/>
  <c r="P983" s="1"/>
  <c r="N982"/>
  <c r="O982" s="1"/>
  <c r="N981"/>
  <c r="O981" s="1"/>
  <c r="N980"/>
  <c r="O980" s="1"/>
  <c r="N979"/>
  <c r="O979" s="1"/>
  <c r="L391" i="22" l="1"/>
  <c r="K392" s="1"/>
  <c r="P982" i="21"/>
  <c r="P981"/>
  <c r="P980"/>
  <c r="P979"/>
  <c r="N908"/>
  <c r="O908" l="1"/>
  <c r="P908" s="1"/>
  <c r="N907"/>
  <c r="O907" s="1"/>
  <c r="N906"/>
  <c r="O906" s="1"/>
  <c r="N905"/>
  <c r="O905" s="1"/>
  <c r="N904"/>
  <c r="O904" s="1"/>
  <c r="N903"/>
  <c r="R978"/>
  <c r="Q978"/>
  <c r="P907" l="1"/>
  <c r="P906"/>
  <c r="P905"/>
  <c r="P904"/>
  <c r="O903"/>
  <c r="P903" s="1"/>
  <c r="P978"/>
  <c r="O978"/>
  <c r="N978"/>
  <c r="R977"/>
  <c r="Q977"/>
  <c r="P977"/>
  <c r="O977"/>
  <c r="N977"/>
  <c r="R976"/>
  <c r="Q976"/>
  <c r="P976"/>
  <c r="O976"/>
  <c r="N976"/>
  <c r="R975"/>
  <c r="Q975"/>
  <c r="P975"/>
  <c r="O975"/>
  <c r="N975"/>
  <c r="R974"/>
  <c r="Q974"/>
  <c r="P974"/>
  <c r="O974"/>
  <c r="N974"/>
  <c r="R973"/>
  <c r="Q973"/>
  <c r="P973"/>
  <c r="O973"/>
  <c r="N973"/>
  <c r="R972"/>
  <c r="Q972"/>
  <c r="P972"/>
  <c r="O972"/>
  <c r="N972"/>
  <c r="R971"/>
  <c r="Q971"/>
  <c r="P971"/>
  <c r="O971"/>
  <c r="N971"/>
  <c r="R970"/>
  <c r="Q970"/>
  <c r="P970"/>
  <c r="O970"/>
  <c r="N970"/>
  <c r="T111" i="20"/>
  <c r="S111"/>
  <c r="Q111"/>
  <c r="P111"/>
  <c r="O111"/>
  <c r="N111"/>
  <c r="M111"/>
  <c r="L111"/>
  <c r="K111"/>
  <c r="J111"/>
  <c r="I111"/>
  <c r="H111"/>
  <c r="G111"/>
  <c r="R111" s="1"/>
  <c r="T110"/>
  <c r="S110"/>
  <c r="Q110"/>
  <c r="P110"/>
  <c r="O110"/>
  <c r="N110"/>
  <c r="M110"/>
  <c r="L110"/>
  <c r="K110"/>
  <c r="J110"/>
  <c r="I110"/>
  <c r="H110"/>
  <c r="G110"/>
  <c r="R110" s="1"/>
  <c r="T109"/>
  <c r="S109"/>
  <c r="Q109"/>
  <c r="P109"/>
  <c r="O109"/>
  <c r="N109"/>
  <c r="M109"/>
  <c r="L109"/>
  <c r="K109"/>
  <c r="J109"/>
  <c r="I109"/>
  <c r="H109"/>
  <c r="G109"/>
  <c r="R109" s="1"/>
  <c r="T108"/>
  <c r="S108"/>
  <c r="Q108"/>
  <c r="P108"/>
  <c r="O108"/>
  <c r="N108"/>
  <c r="M108"/>
  <c r="L108"/>
  <c r="K108"/>
  <c r="J108"/>
  <c r="I108"/>
  <c r="H108"/>
  <c r="G108"/>
  <c r="R108" s="1"/>
  <c r="T107"/>
  <c r="S107"/>
  <c r="Q107"/>
  <c r="P107"/>
  <c r="O107"/>
  <c r="N107"/>
  <c r="M107"/>
  <c r="L107"/>
  <c r="K107"/>
  <c r="J107"/>
  <c r="I107"/>
  <c r="H107"/>
  <c r="G107"/>
  <c r="R107" s="1"/>
  <c r="T34"/>
  <c r="K78" i="37" s="1"/>
  <c r="T33" i="20"/>
  <c r="K77" i="37" s="1"/>
  <c r="T32" i="20"/>
  <c r="K76" i="37" s="1"/>
  <c r="G32" i="20"/>
  <c r="T31"/>
  <c r="K75" i="37" s="1"/>
  <c r="T28" i="20"/>
  <c r="K74" i="37" s="1"/>
  <c r="T38" i="20" l="1"/>
  <c r="T76" l="1"/>
  <c r="A74" l="1"/>
  <c r="A36"/>
  <c r="A28"/>
  <c r="T978" i="21"/>
  <c r="T977"/>
  <c r="T976"/>
  <c r="T975"/>
  <c r="T974"/>
  <c r="F2087" i="33"/>
  <c r="T973" i="21"/>
  <c r="T972"/>
  <c r="T971"/>
  <c r="T970"/>
  <c r="T969"/>
  <c r="G28" i="20" l="1"/>
  <c r="T997" i="21"/>
  <c r="T996"/>
  <c r="T995"/>
  <c r="T994"/>
  <c r="T993"/>
  <c r="T1002"/>
  <c r="T1001"/>
  <c r="T1000"/>
  <c r="T999"/>
  <c r="T998"/>
  <c r="T968"/>
  <c r="T967"/>
  <c r="T966"/>
  <c r="T965"/>
  <c r="T964"/>
  <c r="T988"/>
  <c r="T992"/>
  <c r="T991"/>
  <c r="T990"/>
  <c r="T989"/>
  <c r="T963"/>
  <c r="T962"/>
  <c r="T961"/>
  <c r="T960"/>
  <c r="T959"/>
  <c r="N969"/>
  <c r="O969" s="1"/>
  <c r="R997"/>
  <c r="Q997"/>
  <c r="P969" l="1"/>
  <c r="P997"/>
  <c r="O997"/>
  <c r="N997"/>
  <c r="R996"/>
  <c r="Q996"/>
  <c r="P996"/>
  <c r="O996"/>
  <c r="N996"/>
  <c r="R995"/>
  <c r="Q995"/>
  <c r="P995"/>
  <c r="O995"/>
  <c r="N995"/>
  <c r="R994"/>
  <c r="Q994"/>
  <c r="P994"/>
  <c r="O994"/>
  <c r="N994"/>
  <c r="N993"/>
  <c r="O993" s="1"/>
  <c r="R1002"/>
  <c r="Q1002"/>
  <c r="P993" l="1"/>
  <c r="P1002"/>
  <c r="O1002"/>
  <c r="N1002"/>
  <c r="R1001"/>
  <c r="Q1001"/>
  <c r="P1001"/>
  <c r="O1001"/>
  <c r="N1001"/>
  <c r="R1000"/>
  <c r="Q1000"/>
  <c r="P1000"/>
  <c r="O1000"/>
  <c r="N1000"/>
  <c r="R999"/>
  <c r="Q999"/>
  <c r="P999"/>
  <c r="O999"/>
  <c r="N999"/>
  <c r="N998" l="1"/>
  <c r="O998" s="1"/>
  <c r="N968"/>
  <c r="O968" s="1"/>
  <c r="R967"/>
  <c r="Q967"/>
  <c r="P998" l="1"/>
  <c r="P968"/>
  <c r="P967"/>
  <c r="O967"/>
  <c r="N967"/>
  <c r="R966"/>
  <c r="Q966"/>
  <c r="P966"/>
  <c r="O966"/>
  <c r="N966"/>
  <c r="R965"/>
  <c r="Q965"/>
  <c r="P965"/>
  <c r="O965"/>
  <c r="N965"/>
  <c r="N964"/>
  <c r="O964" s="1"/>
  <c r="R988"/>
  <c r="Q988"/>
  <c r="P964" l="1"/>
  <c r="P988"/>
  <c r="O988"/>
  <c r="N988"/>
  <c r="R992"/>
  <c r="Q992"/>
  <c r="P992"/>
  <c r="O992"/>
  <c r="N992"/>
  <c r="R991"/>
  <c r="Q991"/>
  <c r="P991"/>
  <c r="O991"/>
  <c r="N991"/>
  <c r="N990"/>
  <c r="O990" s="1"/>
  <c r="N989"/>
  <c r="O989" s="1"/>
  <c r="R963"/>
  <c r="Q963"/>
  <c r="P990" l="1"/>
  <c r="P989"/>
  <c r="P963"/>
  <c r="O963"/>
  <c r="N963"/>
  <c r="R962"/>
  <c r="Q962"/>
  <c r="P962"/>
  <c r="O962"/>
  <c r="N962"/>
  <c r="R961"/>
  <c r="Q961"/>
  <c r="P961"/>
  <c r="O961"/>
  <c r="N961"/>
  <c r="N960"/>
  <c r="O960" s="1"/>
  <c r="P960" l="1"/>
  <c r="N959"/>
  <c r="R1007"/>
  <c r="Q1007"/>
  <c r="P1007"/>
  <c r="O1007"/>
  <c r="N1007"/>
  <c r="R1006"/>
  <c r="Q1006"/>
  <c r="P1006"/>
  <c r="O1006"/>
  <c r="N1006"/>
  <c r="R1005"/>
  <c r="Q1005"/>
  <c r="P1005"/>
  <c r="O1005"/>
  <c r="N1005"/>
  <c r="T1007"/>
  <c r="T1006"/>
  <c r="T1005"/>
  <c r="T1004"/>
  <c r="T1003"/>
  <c r="N1004"/>
  <c r="O1004" s="1"/>
  <c r="N1003"/>
  <c r="L53" i="38"/>
  <c r="K53"/>
  <c r="H53"/>
  <c r="L52"/>
  <c r="K52"/>
  <c r="H52"/>
  <c r="L51"/>
  <c r="K51"/>
  <c r="H51"/>
  <c r="L50"/>
  <c r="K50"/>
  <c r="H50"/>
  <c r="L49"/>
  <c r="K49"/>
  <c r="H49"/>
  <c r="L48"/>
  <c r="K48"/>
  <c r="H48"/>
  <c r="L47"/>
  <c r="H47"/>
  <c r="L46"/>
  <c r="H46"/>
  <c r="E53"/>
  <c r="G53" s="1"/>
  <c r="I53" s="1"/>
  <c r="J53" s="1"/>
  <c r="E52"/>
  <c r="G52" s="1"/>
  <c r="E51"/>
  <c r="G51" s="1"/>
  <c r="I51" s="1"/>
  <c r="J51" s="1"/>
  <c r="E50"/>
  <c r="G50" s="1"/>
  <c r="E49"/>
  <c r="G49" s="1"/>
  <c r="I49" s="1"/>
  <c r="J49" s="1"/>
  <c r="E48"/>
  <c r="G48" s="1"/>
  <c r="G47"/>
  <c r="G46"/>
  <c r="I46" s="1"/>
  <c r="J46" s="1"/>
  <c r="L16" i="39"/>
  <c r="M13"/>
  <c r="H1159" s="1"/>
  <c r="H1157" s="1"/>
  <c r="H1162" s="1"/>
  <c r="H1170" s="1"/>
  <c r="H1182" s="1"/>
  <c r="H1192" s="1"/>
  <c r="H1193" s="1"/>
  <c r="H1200" s="1"/>
  <c r="M5"/>
  <c r="H183" s="1"/>
  <c r="H181" s="1"/>
  <c r="H186" s="1"/>
  <c r="H194" s="1"/>
  <c r="H206" s="1"/>
  <c r="H216" s="1"/>
  <c r="N15"/>
  <c r="M15"/>
  <c r="H1403" s="1"/>
  <c r="H1401" s="1"/>
  <c r="H1406" s="1"/>
  <c r="H1414" s="1"/>
  <c r="H1426" s="1"/>
  <c r="H1436" s="1"/>
  <c r="H1437" s="1"/>
  <c r="H1444" s="1"/>
  <c r="N14"/>
  <c r="M14"/>
  <c r="H1281" s="1"/>
  <c r="H1279" s="1"/>
  <c r="H1284" s="1"/>
  <c r="H1292" s="1"/>
  <c r="H1304" s="1"/>
  <c r="H1314" s="1"/>
  <c r="H1315" s="1"/>
  <c r="H1322" s="1"/>
  <c r="N13"/>
  <c r="N12"/>
  <c r="M12"/>
  <c r="H1037" s="1"/>
  <c r="H1035" s="1"/>
  <c r="H1040" s="1"/>
  <c r="H1048" s="1"/>
  <c r="H1060" s="1"/>
  <c r="H1070" s="1"/>
  <c r="H1071" s="1"/>
  <c r="H1078" s="1"/>
  <c r="N11"/>
  <c r="N10"/>
  <c r="N9"/>
  <c r="M9"/>
  <c r="H671" s="1"/>
  <c r="H669" s="1"/>
  <c r="H674" s="1"/>
  <c r="H682" s="1"/>
  <c r="H694" s="1"/>
  <c r="H704" s="1"/>
  <c r="H705" s="1"/>
  <c r="H712" s="1"/>
  <c r="N8"/>
  <c r="M8"/>
  <c r="H549" s="1"/>
  <c r="H547" s="1"/>
  <c r="H552" s="1"/>
  <c r="H560" s="1"/>
  <c r="H572" s="1"/>
  <c r="H582" s="1"/>
  <c r="H583" s="1"/>
  <c r="H590" s="1"/>
  <c r="N7"/>
  <c r="M7"/>
  <c r="H427" s="1"/>
  <c r="H425" s="1"/>
  <c r="H430" s="1"/>
  <c r="H438" s="1"/>
  <c r="H450" s="1"/>
  <c r="H460" s="1"/>
  <c r="H461" s="1"/>
  <c r="H468" s="1"/>
  <c r="N6"/>
  <c r="M6"/>
  <c r="H305" s="1"/>
  <c r="H303" s="1"/>
  <c r="H308" s="1"/>
  <c r="H316" s="1"/>
  <c r="H328" s="1"/>
  <c r="H338" s="1"/>
  <c r="H339" s="1"/>
  <c r="H346" s="1"/>
  <c r="N5"/>
  <c r="H61"/>
  <c r="H59" s="1"/>
  <c r="H64" s="1"/>
  <c r="H72" s="1"/>
  <c r="H84" s="1"/>
  <c r="H94" s="1"/>
  <c r="H95" s="1"/>
  <c r="H102" s="1"/>
  <c r="G99"/>
  <c r="I50" i="38" l="1"/>
  <c r="J50" s="1"/>
  <c r="M50" s="1"/>
  <c r="I48"/>
  <c r="J48" s="1"/>
  <c r="M48" s="1"/>
  <c r="I52"/>
  <c r="J52" s="1"/>
  <c r="M52" s="1"/>
  <c r="M53"/>
  <c r="M51"/>
  <c r="O1003" i="21"/>
  <c r="P1003" s="1"/>
  <c r="M46" i="38"/>
  <c r="I47"/>
  <c r="J47" s="1"/>
  <c r="M47" s="1"/>
  <c r="M49"/>
  <c r="H217" i="39"/>
  <c r="H224" s="1"/>
  <c r="G113"/>
  <c r="H114"/>
  <c r="K114" s="1"/>
  <c r="O959" i="21"/>
  <c r="P959" s="1"/>
  <c r="N16" i="39"/>
  <c r="O4"/>
  <c r="G221" s="1"/>
  <c r="H222"/>
  <c r="H236" l="1"/>
  <c r="G235"/>
  <c r="P5"/>
  <c r="H344" s="1"/>
  <c r="O5"/>
  <c r="G343" s="1"/>
  <c r="H358" l="1"/>
  <c r="G357"/>
  <c r="P6"/>
  <c r="O6"/>
  <c r="G465" s="1"/>
  <c r="H466" l="1"/>
  <c r="H480" s="1"/>
  <c r="J358"/>
  <c r="P7"/>
  <c r="O7"/>
  <c r="G587" s="1"/>
  <c r="G479" l="1"/>
  <c r="H588"/>
  <c r="H602" s="1"/>
  <c r="J480"/>
  <c r="K480" s="1"/>
  <c r="P8"/>
  <c r="O8"/>
  <c r="G709" s="1"/>
  <c r="G601" l="1"/>
  <c r="H710"/>
  <c r="H724" s="1"/>
  <c r="J602"/>
  <c r="K602" s="1"/>
  <c r="P9"/>
  <c r="H832" s="1"/>
  <c r="O9"/>
  <c r="G831" s="1"/>
  <c r="G723" l="1"/>
  <c r="G16" i="8"/>
  <c r="G15"/>
  <c r="G14"/>
  <c r="G13"/>
  <c r="G12"/>
  <c r="G11"/>
  <c r="G10"/>
  <c r="G9"/>
  <c r="G8"/>
  <c r="G7"/>
  <c r="G6"/>
  <c r="G5"/>
  <c r="H45" i="13"/>
  <c r="G45"/>
  <c r="H50"/>
  <c r="H49"/>
  <c r="H48"/>
  <c r="H47"/>
  <c r="H44"/>
  <c r="H43"/>
  <c r="H42"/>
  <c r="H38"/>
  <c r="H37"/>
  <c r="H36"/>
  <c r="H35"/>
  <c r="H34"/>
  <c r="H32"/>
  <c r="H31"/>
  <c r="H30"/>
  <c r="H29"/>
  <c r="H28"/>
  <c r="H27"/>
  <c r="H26"/>
  <c r="H21"/>
  <c r="H20"/>
  <c r="H18"/>
  <c r="H17"/>
  <c r="H16"/>
  <c r="H15"/>
  <c r="H22"/>
  <c r="G22"/>
  <c r="O2178" i="33"/>
  <c r="G15" i="13"/>
  <c r="O2104" i="33"/>
  <c r="O2103"/>
  <c r="O2102"/>
  <c r="O2101"/>
  <c r="H12" i="13"/>
  <c r="H11"/>
  <c r="H10"/>
  <c r="H9"/>
  <c r="H8"/>
  <c r="H7"/>
  <c r="H24"/>
  <c r="J2102" i="33"/>
  <c r="J2101"/>
  <c r="H19" i="13"/>
  <c r="F343" i="22"/>
  <c r="E343"/>
  <c r="G342"/>
  <c r="H342" s="1"/>
  <c r="G341"/>
  <c r="H341" s="1"/>
  <c r="H469" s="1"/>
  <c r="G340"/>
  <c r="G339"/>
  <c r="H339" s="1"/>
  <c r="H466" s="1"/>
  <c r="G338"/>
  <c r="H338" s="1"/>
  <c r="H465" s="1"/>
  <c r="G337"/>
  <c r="H337" s="1"/>
  <c r="G336"/>
  <c r="H336" s="1"/>
  <c r="H463" s="1"/>
  <c r="G335"/>
  <c r="H335" s="1"/>
  <c r="G334"/>
  <c r="H334" s="1"/>
  <c r="H461" s="1"/>
  <c r="G333"/>
  <c r="H333" s="1"/>
  <c r="G332"/>
  <c r="H332" s="1"/>
  <c r="H458" s="1"/>
  <c r="G331"/>
  <c r="G330"/>
  <c r="H330" s="1"/>
  <c r="H456" s="1"/>
  <c r="G329"/>
  <c r="H329" s="1"/>
  <c r="H455" s="1"/>
  <c r="G328"/>
  <c r="H328" s="1"/>
  <c r="H451" s="1"/>
  <c r="G327"/>
  <c r="H327" s="1"/>
  <c r="G326"/>
  <c r="H326" s="1"/>
  <c r="H449" s="1"/>
  <c r="G325"/>
  <c r="H325" s="1"/>
  <c r="H448" s="1"/>
  <c r="H340"/>
  <c r="H468" s="1"/>
  <c r="A326"/>
  <c r="A327" s="1"/>
  <c r="A328" s="1"/>
  <c r="A329" s="1"/>
  <c r="A330" s="1"/>
  <c r="A331" s="1"/>
  <c r="A332" s="1"/>
  <c r="A333" s="1"/>
  <c r="A334" s="1"/>
  <c r="A335" s="1"/>
  <c r="A336" s="1"/>
  <c r="A337" s="1"/>
  <c r="A338" s="1"/>
  <c r="A339" s="1"/>
  <c r="A340" s="1"/>
  <c r="A341" s="1"/>
  <c r="A342" s="1"/>
  <c r="B2167" i="33"/>
  <c r="B2166"/>
  <c r="B2165"/>
  <c r="B2164"/>
  <c r="B2163"/>
  <c r="B2162"/>
  <c r="B2161"/>
  <c r="B2160"/>
  <c r="B2159"/>
  <c r="B2158"/>
  <c r="B2157"/>
  <c r="B2156"/>
  <c r="B2155"/>
  <c r="B2154"/>
  <c r="B2153"/>
  <c r="B2152"/>
  <c r="B2151"/>
  <c r="B2150"/>
  <c r="B2149"/>
  <c r="B2148"/>
  <c r="B2147"/>
  <c r="B2146"/>
  <c r="B2145"/>
  <c r="B2144"/>
  <c r="B2143"/>
  <c r="B2141"/>
  <c r="B2140"/>
  <c r="B2072"/>
  <c r="B2071"/>
  <c r="B2070"/>
  <c r="B2069"/>
  <c r="B2068"/>
  <c r="B2067"/>
  <c r="B2066"/>
  <c r="B2065"/>
  <c r="B2064"/>
  <c r="B2063"/>
  <c r="B2062"/>
  <c r="B2061"/>
  <c r="B2060"/>
  <c r="B2059"/>
  <c r="B2058"/>
  <c r="B2057"/>
  <c r="B2056"/>
  <c r="B2055"/>
  <c r="B2054"/>
  <c r="B2053"/>
  <c r="B2052"/>
  <c r="B2051"/>
  <c r="B2050"/>
  <c r="B2049"/>
  <c r="B2048"/>
  <c r="B2047"/>
  <c r="B2046"/>
  <c r="B2045"/>
  <c r="F2044"/>
  <c r="F2084"/>
  <c r="F2083"/>
  <c r="F2199"/>
  <c r="F2198"/>
  <c r="F2197"/>
  <c r="F2196"/>
  <c r="F2195"/>
  <c r="F2194"/>
  <c r="F2138"/>
  <c r="F2137"/>
  <c r="F2090"/>
  <c r="F2089"/>
  <c r="F2088"/>
  <c r="F2086"/>
  <c r="F2085"/>
  <c r="F2136"/>
  <c r="F2135"/>
  <c r="F2193"/>
  <c r="F2192"/>
  <c r="F2191"/>
  <c r="F2190"/>
  <c r="F2189"/>
  <c r="F2188"/>
  <c r="F2187"/>
  <c r="F2186"/>
  <c r="F2185"/>
  <c r="F2184"/>
  <c r="F2183"/>
  <c r="F2182"/>
  <c r="F2181"/>
  <c r="F2180"/>
  <c r="F2179"/>
  <c r="F2178"/>
  <c r="F2165"/>
  <c r="F2164"/>
  <c r="F2163"/>
  <c r="F2162"/>
  <c r="F2161"/>
  <c r="F2160"/>
  <c r="F2159"/>
  <c r="F2149"/>
  <c r="F2148"/>
  <c r="F2120"/>
  <c r="F2119"/>
  <c r="F2118"/>
  <c r="F2117"/>
  <c r="F2116"/>
  <c r="F2115"/>
  <c r="F2108"/>
  <c r="F2107"/>
  <c r="F2106"/>
  <c r="F2105"/>
  <c r="F2104"/>
  <c r="F2103"/>
  <c r="F2102"/>
  <c r="F2101"/>
  <c r="I2102"/>
  <c r="B2021"/>
  <c r="I2101"/>
  <c r="Q2099" s="1"/>
  <c r="B2022"/>
  <c r="B2020"/>
  <c r="N711" i="21"/>
  <c r="E45" i="38" l="1"/>
  <c r="H470" i="22"/>
  <c r="L327"/>
  <c r="L450" s="1"/>
  <c r="H450"/>
  <c r="H476" s="1"/>
  <c r="L335"/>
  <c r="L462" s="1"/>
  <c r="H462"/>
  <c r="L333"/>
  <c r="L460" s="1"/>
  <c r="H460"/>
  <c r="L337"/>
  <c r="L464" s="1"/>
  <c r="L477" s="1"/>
  <c r="H464"/>
  <c r="H477" s="1"/>
  <c r="Q2021" i="33"/>
  <c r="Q444"/>
  <c r="Q2020"/>
  <c r="Q443"/>
  <c r="L329" i="22"/>
  <c r="L455" s="1"/>
  <c r="G343"/>
  <c r="H331"/>
  <c r="H343" s="1"/>
  <c r="H440" s="1"/>
  <c r="H474" s="1"/>
  <c r="H6" i="13"/>
  <c r="H41"/>
  <c r="H13"/>
  <c r="H25"/>
  <c r="I342" i="22"/>
  <c r="I470" s="1"/>
  <c r="L342"/>
  <c r="L470" s="1"/>
  <c r="I326"/>
  <c r="I449" s="1"/>
  <c r="L326"/>
  <c r="L449" s="1"/>
  <c r="I330"/>
  <c r="I456" s="1"/>
  <c r="L330"/>
  <c r="L456" s="1"/>
  <c r="J330"/>
  <c r="I334"/>
  <c r="I461" s="1"/>
  <c r="L334"/>
  <c r="L461" s="1"/>
  <c r="J334"/>
  <c r="I338"/>
  <c r="I465" s="1"/>
  <c r="L338"/>
  <c r="L465" s="1"/>
  <c r="I339"/>
  <c r="I466" s="1"/>
  <c r="L339"/>
  <c r="L466" s="1"/>
  <c r="I340"/>
  <c r="I468" s="1"/>
  <c r="L340"/>
  <c r="L468" s="1"/>
  <c r="I341"/>
  <c r="L341"/>
  <c r="L469" s="1"/>
  <c r="I328"/>
  <c r="I451" s="1"/>
  <c r="L328"/>
  <c r="L451" s="1"/>
  <c r="I332"/>
  <c r="I458" s="1"/>
  <c r="L332"/>
  <c r="L458" s="1"/>
  <c r="I336"/>
  <c r="I463" s="1"/>
  <c r="L336"/>
  <c r="L463" s="1"/>
  <c r="J336"/>
  <c r="I325"/>
  <c r="I448" s="1"/>
  <c r="I327"/>
  <c r="I329"/>
  <c r="I333"/>
  <c r="I335"/>
  <c r="I337"/>
  <c r="L325"/>
  <c r="L448" s="1"/>
  <c r="J327"/>
  <c r="J335"/>
  <c r="T928" i="21"/>
  <c r="T927"/>
  <c r="T926"/>
  <c r="T925"/>
  <c r="T924"/>
  <c r="T948"/>
  <c r="T947"/>
  <c r="T946"/>
  <c r="T945"/>
  <c r="T944"/>
  <c r="L944"/>
  <c r="L1" s="1"/>
  <c r="N924"/>
  <c r="O924" s="1"/>
  <c r="R948"/>
  <c r="Q948"/>
  <c r="J340" i="22" l="1"/>
  <c r="N339" s="1"/>
  <c r="J332"/>
  <c r="K332" s="1"/>
  <c r="K458" s="1"/>
  <c r="N326"/>
  <c r="J450"/>
  <c r="M333"/>
  <c r="M460" s="1"/>
  <c r="I460"/>
  <c r="N335"/>
  <c r="J463"/>
  <c r="N333"/>
  <c r="J461"/>
  <c r="L476"/>
  <c r="M329"/>
  <c r="M455" s="1"/>
  <c r="I455"/>
  <c r="J338"/>
  <c r="J342"/>
  <c r="K342" s="1"/>
  <c r="K470" s="1"/>
  <c r="L331"/>
  <c r="L457" s="1"/>
  <c r="L472" s="1"/>
  <c r="H457"/>
  <c r="H472" s="1"/>
  <c r="M337"/>
  <c r="M464" s="1"/>
  <c r="I464"/>
  <c r="M327"/>
  <c r="M450" s="1"/>
  <c r="I450"/>
  <c r="J328"/>
  <c r="J341"/>
  <c r="I469"/>
  <c r="J339"/>
  <c r="K339" s="1"/>
  <c r="K466" s="1"/>
  <c r="J326"/>
  <c r="N334"/>
  <c r="J462"/>
  <c r="M335"/>
  <c r="M462" s="1"/>
  <c r="I462"/>
  <c r="N331"/>
  <c r="J458"/>
  <c r="N329"/>
  <c r="J456"/>
  <c r="H23" i="13"/>
  <c r="M334" i="22"/>
  <c r="M461" s="1"/>
  <c r="J329"/>
  <c r="J337"/>
  <c r="J333"/>
  <c r="K333" s="1"/>
  <c r="K460" s="1"/>
  <c r="I331"/>
  <c r="M342"/>
  <c r="M470" s="1"/>
  <c r="J325"/>
  <c r="M341"/>
  <c r="M469" s="1"/>
  <c r="K336"/>
  <c r="K463" s="1"/>
  <c r="K328"/>
  <c r="K451" s="1"/>
  <c r="M339"/>
  <c r="M466" s="1"/>
  <c r="M340"/>
  <c r="M468" s="1"/>
  <c r="M338"/>
  <c r="M465" s="1"/>
  <c r="M330"/>
  <c r="M456" s="1"/>
  <c r="K335"/>
  <c r="K462" s="1"/>
  <c r="K327"/>
  <c r="K450" s="1"/>
  <c r="M336"/>
  <c r="M463" s="1"/>
  <c r="M332"/>
  <c r="M458" s="1"/>
  <c r="M328"/>
  <c r="M451" s="1"/>
  <c r="K341"/>
  <c r="K469" s="1"/>
  <c r="K338"/>
  <c r="K465" s="1"/>
  <c r="K334"/>
  <c r="K461" s="1"/>
  <c r="K330"/>
  <c r="K456" s="1"/>
  <c r="K326"/>
  <c r="K449" s="1"/>
  <c r="M448"/>
  <c r="M326"/>
  <c r="M449" s="1"/>
  <c r="P924" i="21"/>
  <c r="P948"/>
  <c r="O948"/>
  <c r="N948"/>
  <c r="R947"/>
  <c r="Q947"/>
  <c r="P947"/>
  <c r="O947"/>
  <c r="N947"/>
  <c r="R946"/>
  <c r="Q946"/>
  <c r="P946"/>
  <c r="O946"/>
  <c r="N946"/>
  <c r="R945"/>
  <c r="Q945"/>
  <c r="P945"/>
  <c r="O945"/>
  <c r="N945"/>
  <c r="N944"/>
  <c r="O944" s="1"/>
  <c r="R958"/>
  <c r="Q958"/>
  <c r="L343" i="22" l="1"/>
  <c r="L440" s="1"/>
  <c r="L474" s="1"/>
  <c r="L475" s="1"/>
  <c r="J468"/>
  <c r="K340"/>
  <c r="K468" s="1"/>
  <c r="N336"/>
  <c r="J464"/>
  <c r="N338"/>
  <c r="J466"/>
  <c r="H475"/>
  <c r="H478"/>
  <c r="I343"/>
  <c r="I457"/>
  <c r="I472" s="1"/>
  <c r="N328"/>
  <c r="J455"/>
  <c r="N340"/>
  <c r="J469"/>
  <c r="N341"/>
  <c r="J470"/>
  <c r="K337"/>
  <c r="K464" s="1"/>
  <c r="N324"/>
  <c r="J448"/>
  <c r="N332"/>
  <c r="J460"/>
  <c r="N325"/>
  <c r="J449"/>
  <c r="N327"/>
  <c r="J451"/>
  <c r="N337"/>
  <c r="J465"/>
  <c r="L478"/>
  <c r="K325"/>
  <c r="K448" s="1"/>
  <c r="K329"/>
  <c r="K455" s="1"/>
  <c r="M331"/>
  <c r="M457" s="1"/>
  <c r="M472" s="1"/>
  <c r="J331"/>
  <c r="J457" s="1"/>
  <c r="P944" i="21"/>
  <c r="P958"/>
  <c r="O958"/>
  <c r="N958"/>
  <c r="R957"/>
  <c r="Q957"/>
  <c r="P957"/>
  <c r="O957"/>
  <c r="N957"/>
  <c r="R956"/>
  <c r="Q956"/>
  <c r="P956"/>
  <c r="O956"/>
  <c r="N956"/>
  <c r="R955"/>
  <c r="Q955"/>
  <c r="P955"/>
  <c r="O955"/>
  <c r="N955"/>
  <c r="T958"/>
  <c r="T957"/>
  <c r="T956"/>
  <c r="T955"/>
  <c r="T954"/>
  <c r="L348" i="22" l="1"/>
  <c r="K347"/>
  <c r="J472"/>
  <c r="M343"/>
  <c r="M440" s="1"/>
  <c r="M474" s="1"/>
  <c r="M475" s="1"/>
  <c r="L349"/>
  <c r="I440"/>
  <c r="I474" s="1"/>
  <c r="I475" s="1"/>
  <c r="J343"/>
  <c r="J440" s="1"/>
  <c r="J474" s="1"/>
  <c r="J475" s="1"/>
  <c r="K331"/>
  <c r="N330"/>
  <c r="N954" i="21"/>
  <c r="R933"/>
  <c r="Q933"/>
  <c r="K343" i="22" l="1"/>
  <c r="K457"/>
  <c r="K472" s="1"/>
  <c r="L350"/>
  <c r="N342"/>
  <c r="N343" s="1"/>
  <c r="O954" i="21"/>
  <c r="P954" s="1"/>
  <c r="P933"/>
  <c r="O933"/>
  <c r="N933"/>
  <c r="R932"/>
  <c r="Q932"/>
  <c r="P932"/>
  <c r="O932"/>
  <c r="N932"/>
  <c r="R931"/>
  <c r="Q931"/>
  <c r="P931"/>
  <c r="O931"/>
  <c r="N931"/>
  <c r="R930"/>
  <c r="Q930"/>
  <c r="P930"/>
  <c r="O930"/>
  <c r="N930"/>
  <c r="T933"/>
  <c r="T932"/>
  <c r="T931"/>
  <c r="T930"/>
  <c r="T929"/>
  <c r="N929"/>
  <c r="O929" s="1"/>
  <c r="R953"/>
  <c r="Q953"/>
  <c r="L351" i="22" l="1"/>
  <c r="K352" s="1"/>
  <c r="K440"/>
  <c r="K474" s="1"/>
  <c r="K475" s="1"/>
  <c r="P929" i="21"/>
  <c r="P953"/>
  <c r="O953"/>
  <c r="N953"/>
  <c r="R952"/>
  <c r="Q952"/>
  <c r="P952"/>
  <c r="O952"/>
  <c r="N952"/>
  <c r="R951"/>
  <c r="Q951"/>
  <c r="P951"/>
  <c r="O951"/>
  <c r="N951"/>
  <c r="R950"/>
  <c r="Q950"/>
  <c r="P950"/>
  <c r="O950"/>
  <c r="N950"/>
  <c r="C2" i="32" l="1"/>
  <c r="C6" i="36"/>
  <c r="A31" i="20" l="1"/>
  <c r="T30"/>
  <c r="T29"/>
  <c r="T37"/>
  <c r="T71"/>
  <c r="T70"/>
  <c r="T73"/>
  <c r="T69"/>
  <c r="T68"/>
  <c r="T67"/>
  <c r="T66"/>
  <c r="T36"/>
  <c r="T35"/>
  <c r="T12"/>
  <c r="T11"/>
  <c r="T10"/>
  <c r="T9"/>
  <c r="T8"/>
  <c r="T106"/>
  <c r="T13"/>
  <c r="T27"/>
  <c r="T26"/>
  <c r="T25"/>
  <c r="T24"/>
  <c r="T23"/>
  <c r="K81" i="37" s="1"/>
  <c r="T22" i="20"/>
  <c r="T21"/>
  <c r="T14"/>
  <c r="T20"/>
  <c r="T19"/>
  <c r="T18"/>
  <c r="K80" i="37" s="1"/>
  <c r="T17" i="20"/>
  <c r="K79" i="37" s="1"/>
  <c r="T16" i="20"/>
  <c r="T15"/>
  <c r="T65"/>
  <c r="T64"/>
  <c r="T63"/>
  <c r="T62"/>
  <c r="T61"/>
  <c r="T60"/>
  <c r="T59"/>
  <c r="T58"/>
  <c r="T57"/>
  <c r="T56"/>
  <c r="T55"/>
  <c r="T54"/>
  <c r="T53"/>
  <c r="T52"/>
  <c r="T51"/>
  <c r="T50"/>
  <c r="T49"/>
  <c r="T48"/>
  <c r="T47"/>
  <c r="T46"/>
  <c r="T45"/>
  <c r="T44"/>
  <c r="T43"/>
  <c r="T42"/>
  <c r="T41"/>
  <c r="T40"/>
  <c r="T39"/>
  <c r="T72"/>
  <c r="T75"/>
  <c r="T74"/>
  <c r="T86"/>
  <c r="T85"/>
  <c r="T84"/>
  <c r="T83"/>
  <c r="T82"/>
  <c r="T81"/>
  <c r="T80"/>
  <c r="T79"/>
  <c r="T78"/>
  <c r="T77"/>
  <c r="T87"/>
  <c r="T90"/>
  <c r="T89"/>
  <c r="T95"/>
  <c r="T94"/>
  <c r="T93"/>
  <c r="T92"/>
  <c r="T91"/>
  <c r="T88"/>
  <c r="T96"/>
  <c r="T105"/>
  <c r="T104"/>
  <c r="T103"/>
  <c r="T102"/>
  <c r="T101"/>
  <c r="T100"/>
  <c r="T99"/>
  <c r="T98"/>
  <c r="T97"/>
  <c r="S14" i="15"/>
  <c r="T14" s="1"/>
  <c r="S13"/>
  <c r="S12"/>
  <c r="S11"/>
  <c r="G31" i="20" l="1"/>
  <c r="O13" i="15"/>
  <c r="T13" s="1"/>
  <c r="N13"/>
  <c r="O12"/>
  <c r="T12" s="1"/>
  <c r="N12"/>
  <c r="O11"/>
  <c r="T11" s="1"/>
  <c r="N11"/>
  <c r="P64" l="1"/>
  <c r="S55"/>
  <c r="O55"/>
  <c r="S54"/>
  <c r="O54"/>
  <c r="S53"/>
  <c r="O53"/>
  <c r="S52"/>
  <c r="O52"/>
  <c r="S51"/>
  <c r="O51"/>
  <c r="S50"/>
  <c r="N55"/>
  <c r="N54"/>
  <c r="N53"/>
  <c r="N52"/>
  <c r="N51"/>
  <c r="N50"/>
  <c r="N49"/>
  <c r="N48"/>
  <c r="N47"/>
  <c r="N46"/>
  <c r="N45"/>
  <c r="N44"/>
  <c r="N43"/>
  <c r="N42"/>
  <c r="N41"/>
  <c r="N40"/>
  <c r="O50"/>
  <c r="S49"/>
  <c r="O49"/>
  <c r="S48"/>
  <c r="O48"/>
  <c r="S47"/>
  <c r="O47"/>
  <c r="S46"/>
  <c r="O46"/>
  <c r="S45"/>
  <c r="O45"/>
  <c r="S44"/>
  <c r="O44"/>
  <c r="S43"/>
  <c r="O43"/>
  <c r="S42"/>
  <c r="O42"/>
  <c r="S41"/>
  <c r="O41"/>
  <c r="S40"/>
  <c r="O40"/>
  <c r="S39"/>
  <c r="O39"/>
  <c r="S38"/>
  <c r="O38"/>
  <c r="S37"/>
  <c r="O37"/>
  <c r="S36"/>
  <c r="O36"/>
  <c r="S35"/>
  <c r="O35"/>
  <c r="S34"/>
  <c r="O34"/>
  <c r="S33"/>
  <c r="N39"/>
  <c r="N38"/>
  <c r="N37"/>
  <c r="N36"/>
  <c r="N35"/>
  <c r="N34"/>
  <c r="N33"/>
  <c r="O33"/>
  <c r="S32"/>
  <c r="N32"/>
  <c r="O32"/>
  <c r="O24"/>
  <c r="N24"/>
  <c r="O31"/>
  <c r="O30"/>
  <c r="O29"/>
  <c r="O28"/>
  <c r="O27"/>
  <c r="O26"/>
  <c r="O25"/>
  <c r="O23"/>
  <c r="O22"/>
  <c r="O21"/>
  <c r="O20"/>
  <c r="O19"/>
  <c r="O18"/>
  <c r="O17"/>
  <c r="O16"/>
  <c r="O15"/>
  <c r="S15" s="1"/>
  <c r="T15" s="1"/>
  <c r="O10"/>
  <c r="O9"/>
  <c r="O8"/>
  <c r="S31"/>
  <c r="N31"/>
  <c r="S30"/>
  <c r="N30"/>
  <c r="S29"/>
  <c r="N29"/>
  <c r="S28"/>
  <c r="N28"/>
  <c r="S27"/>
  <c r="N27"/>
  <c r="S26"/>
  <c r="N26"/>
  <c r="S25"/>
  <c r="N25"/>
  <c r="S24"/>
  <c r="T24" s="1"/>
  <c r="S23"/>
  <c r="N23"/>
  <c r="S22"/>
  <c r="T22" s="1"/>
  <c r="N22"/>
  <c r="S21"/>
  <c r="N21"/>
  <c r="S20"/>
  <c r="N20"/>
  <c r="S19"/>
  <c r="T19" s="1"/>
  <c r="N19"/>
  <c r="S18"/>
  <c r="T18" s="1"/>
  <c r="N18"/>
  <c r="S17"/>
  <c r="N17"/>
  <c r="S16"/>
  <c r="N16"/>
  <c r="N15"/>
  <c r="S10"/>
  <c r="N10"/>
  <c r="S9"/>
  <c r="N9"/>
  <c r="A8" i="29"/>
  <c r="A8" i="26"/>
  <c r="T10" i="15" l="1"/>
  <c r="T25"/>
  <c r="T27"/>
  <c r="T17"/>
  <c r="T20"/>
  <c r="T28"/>
  <c r="T52"/>
  <c r="T54"/>
  <c r="Q64"/>
  <c r="T9"/>
  <c r="T51"/>
  <c r="T53"/>
  <c r="T55"/>
  <c r="T32"/>
  <c r="T50"/>
  <c r="T33"/>
  <c r="T34"/>
  <c r="T35"/>
  <c r="T36"/>
  <c r="T37"/>
  <c r="T38"/>
  <c r="T39"/>
  <c r="T40"/>
  <c r="T41"/>
  <c r="T42"/>
  <c r="T43"/>
  <c r="T44"/>
  <c r="T45"/>
  <c r="T46"/>
  <c r="T47"/>
  <c r="T48"/>
  <c r="T49"/>
  <c r="T31"/>
  <c r="T30"/>
  <c r="T29"/>
  <c r="T26"/>
  <c r="T23"/>
  <c r="T21"/>
  <c r="T16"/>
  <c r="O7" l="1"/>
  <c r="N935" i="21"/>
  <c r="N936"/>
  <c r="N937"/>
  <c r="N938"/>
  <c r="N919"/>
  <c r="N920"/>
  <c r="N921"/>
  <c r="N922"/>
  <c r="N923"/>
  <c r="N949"/>
  <c r="N894"/>
  <c r="N895"/>
  <c r="N896"/>
  <c r="N897"/>
  <c r="N898"/>
  <c r="N899"/>
  <c r="N900"/>
  <c r="N619"/>
  <c r="N620"/>
  <c r="N621"/>
  <c r="N622"/>
  <c r="N623"/>
  <c r="N624"/>
  <c r="N625"/>
  <c r="N939"/>
  <c r="N940"/>
  <c r="N941"/>
  <c r="N942"/>
  <c r="N943"/>
  <c r="N934"/>
  <c r="O922"/>
  <c r="O1925" i="33"/>
  <c r="J1925"/>
  <c r="I1925"/>
  <c r="I1923"/>
  <c r="F1925"/>
  <c r="B1175"/>
  <c r="J1894"/>
  <c r="I1894"/>
  <c r="I1892"/>
  <c r="F1894"/>
  <c r="B1162"/>
  <c r="O1643"/>
  <c r="J1643"/>
  <c r="I1643"/>
  <c r="F1643"/>
  <c r="B1123"/>
  <c r="O1639"/>
  <c r="J1639"/>
  <c r="I1639"/>
  <c r="F1639"/>
  <c r="B1119"/>
  <c r="O1474"/>
  <c r="J1474"/>
  <c r="I1474"/>
  <c r="F1474"/>
  <c r="B1102"/>
  <c r="O1466"/>
  <c r="J1466"/>
  <c r="I1468"/>
  <c r="F1466"/>
  <c r="B1096"/>
  <c r="O1313"/>
  <c r="J1313"/>
  <c r="I1313"/>
  <c r="F1313"/>
  <c r="B1070"/>
  <c r="O1274"/>
  <c r="J1274"/>
  <c r="I1274"/>
  <c r="Q1274" s="1"/>
  <c r="F1274"/>
  <c r="B1062"/>
  <c r="O1002"/>
  <c r="J1002"/>
  <c r="I1002"/>
  <c r="F1002"/>
  <c r="B1031"/>
  <c r="O988"/>
  <c r="J988"/>
  <c r="I988"/>
  <c r="Q1027" s="1"/>
  <c r="F988"/>
  <c r="B1027"/>
  <c r="O864"/>
  <c r="J864"/>
  <c r="I864"/>
  <c r="Q1011" s="1"/>
  <c r="F864"/>
  <c r="B1011"/>
  <c r="I729"/>
  <c r="O729"/>
  <c r="J729"/>
  <c r="F729"/>
  <c r="B1003"/>
  <c r="O536"/>
  <c r="I536"/>
  <c r="Q536" s="1"/>
  <c r="F536"/>
  <c r="O531"/>
  <c r="O530"/>
  <c r="I530"/>
  <c r="F530"/>
  <c r="O359"/>
  <c r="I359"/>
  <c r="F359"/>
  <c r="I338"/>
  <c r="Q338" s="1"/>
  <c r="O338"/>
  <c r="J338"/>
  <c r="F338"/>
  <c r="O110"/>
  <c r="F110"/>
  <c r="O106"/>
  <c r="F106"/>
  <c r="D9" i="11"/>
  <c r="D8" i="10"/>
  <c r="G7" i="13"/>
  <c r="D8" i="26"/>
  <c r="A8" i="28"/>
  <c r="Q63" i="15" l="1"/>
  <c r="O63"/>
  <c r="Q978" i="33"/>
  <c r="Q530"/>
  <c r="Q1003"/>
  <c r="Q729"/>
  <c r="Q1002"/>
  <c r="Q1275"/>
  <c r="Q645"/>
  <c r="Q1175"/>
  <c r="Q958"/>
  <c r="Q1227"/>
  <c r="Q1087"/>
  <c r="Q916"/>
  <c r="Q643"/>
  <c r="Q1173"/>
  <c r="Q626"/>
  <c r="I110"/>
  <c r="G47" i="13"/>
  <c r="I1466" i="33"/>
  <c r="H71" i="10"/>
  <c r="S7" i="15" l="1"/>
  <c r="T7" s="1"/>
  <c r="Q110" i="33"/>
  <c r="J12" i="31"/>
  <c r="I2004" i="33" l="1"/>
  <c r="J220" i="8" l="1"/>
  <c r="Q220" s="1"/>
  <c r="X220" s="1"/>
  <c r="P219"/>
  <c r="W219" s="1"/>
  <c r="J219"/>
  <c r="Q219" s="1"/>
  <c r="X219" s="1"/>
  <c r="P218"/>
  <c r="W218" s="1"/>
  <c r="J218"/>
  <c r="Q218" s="1"/>
  <c r="X218" s="1"/>
  <c r="Q216"/>
  <c r="P216"/>
  <c r="O216"/>
  <c r="N216"/>
  <c r="G216"/>
  <c r="F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Z139"/>
  <c r="Y139"/>
  <c r="U139"/>
  <c r="T139"/>
  <c r="Q139"/>
  <c r="O139"/>
  <c r="G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J91"/>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J57"/>
  <c r="K56"/>
  <c r="J56"/>
  <c r="K55"/>
  <c r="J55"/>
  <c r="K54"/>
  <c r="J54"/>
  <c r="K53"/>
  <c r="J53"/>
  <c r="K52"/>
  <c r="J52"/>
  <c r="K51"/>
  <c r="J51"/>
  <c r="K50"/>
  <c r="J50"/>
  <c r="G16" i="27" s="1"/>
  <c r="K49" i="8"/>
  <c r="J49"/>
  <c r="K48"/>
  <c r="J48"/>
  <c r="K47"/>
  <c r="J47"/>
  <c r="K46"/>
  <c r="J46"/>
  <c r="K45"/>
  <c r="J45"/>
  <c r="K44"/>
  <c r="J44"/>
  <c r="G14" i="27" s="1"/>
  <c r="K43" i="8"/>
  <c r="J43"/>
  <c r="K42"/>
  <c r="J42"/>
  <c r="K41"/>
  <c r="J41"/>
  <c r="K40"/>
  <c r="J40"/>
  <c r="K39"/>
  <c r="J39"/>
  <c r="K38"/>
  <c r="J38"/>
  <c r="G12" i="27" s="1"/>
  <c r="K37" i="8"/>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K14"/>
  <c r="J14"/>
  <c r="K13"/>
  <c r="J13"/>
  <c r="K12"/>
  <c r="J12"/>
  <c r="K11"/>
  <c r="J11"/>
  <c r="K10"/>
  <c r="J10"/>
  <c r="K9"/>
  <c r="J9"/>
  <c r="K8"/>
  <c r="J8"/>
  <c r="K7"/>
  <c r="J7"/>
  <c r="K6"/>
  <c r="J6"/>
  <c r="K5"/>
  <c r="J5"/>
  <c r="B5"/>
  <c r="B6" s="1"/>
  <c r="K4"/>
  <c r="J4"/>
  <c r="J220" i="7"/>
  <c r="Q220" s="1"/>
  <c r="X220" s="1"/>
  <c r="P219"/>
  <c r="W219" s="1"/>
  <c r="J219"/>
  <c r="Q219" s="1"/>
  <c r="X219" s="1"/>
  <c r="P218"/>
  <c r="W218" s="1"/>
  <c r="J218"/>
  <c r="Q218" s="1"/>
  <c r="X218" s="1"/>
  <c r="Q216"/>
  <c r="P216"/>
  <c r="O216"/>
  <c r="N216"/>
  <c r="G216"/>
  <c r="F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K172"/>
  <c r="J172"/>
  <c r="K171"/>
  <c r="J171"/>
  <c r="K170"/>
  <c r="K169"/>
  <c r="K168"/>
  <c r="J168"/>
  <c r="K167"/>
  <c r="J167"/>
  <c r="J166"/>
  <c r="K165"/>
  <c r="J165"/>
  <c r="K164"/>
  <c r="J164"/>
  <c r="K163"/>
  <c r="J163"/>
  <c r="K162"/>
  <c r="J162"/>
  <c r="K161"/>
  <c r="J161"/>
  <c r="K160"/>
  <c r="J160"/>
  <c r="K159"/>
  <c r="K158"/>
  <c r="J158"/>
  <c r="K157"/>
  <c r="K156"/>
  <c r="J156"/>
  <c r="K155"/>
  <c r="J155"/>
  <c r="K154"/>
  <c r="J154"/>
  <c r="K153"/>
  <c r="J153"/>
  <c r="K152"/>
  <c r="J152"/>
  <c r="K151"/>
  <c r="J151"/>
  <c r="K150"/>
  <c r="J150"/>
  <c r="K149"/>
  <c r="J149"/>
  <c r="K148"/>
  <c r="J148"/>
  <c r="K147"/>
  <c r="J147"/>
  <c r="K146"/>
  <c r="J146"/>
  <c r="K145"/>
  <c r="J145"/>
  <c r="K144"/>
  <c r="J144"/>
  <c r="K143"/>
  <c r="J143"/>
  <c r="K142"/>
  <c r="J142"/>
  <c r="K141"/>
  <c r="J141"/>
  <c r="K140"/>
  <c r="J140"/>
  <c r="G45" i="38"/>
  <c r="L25"/>
  <c r="L45"/>
  <c r="K45"/>
  <c r="H45"/>
  <c r="N113" i="22"/>
  <c r="N111"/>
  <c r="N78"/>
  <c r="N60"/>
  <c r="N46"/>
  <c r="N24"/>
  <c r="N9"/>
  <c r="G4"/>
  <c r="H4" s="1"/>
  <c r="G13" i="27" l="1"/>
  <c r="G10" s="1"/>
  <c r="J216" i="8"/>
  <c r="K216"/>
  <c r="K25" i="38"/>
  <c r="J139" i="8"/>
  <c r="B7"/>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G217"/>
  <c r="O217"/>
  <c r="Q217"/>
  <c r="I45" i="38"/>
  <c r="J45" s="1"/>
  <c r="M45" s="1"/>
  <c r="L4" i="22"/>
  <c r="I4"/>
  <c r="A10" i="28"/>
  <c r="D19"/>
  <c r="D20" s="1"/>
  <c r="D21" s="1"/>
  <c r="D22" s="1"/>
  <c r="D23" s="1"/>
  <c r="D24" s="1"/>
  <c r="D25" s="1"/>
  <c r="D26" s="1"/>
  <c r="D27" s="1"/>
  <c r="D28" s="1"/>
  <c r="D29" s="1"/>
  <c r="D30" s="1"/>
  <c r="D31" s="1"/>
  <c r="D32" s="1"/>
  <c r="D33" s="1"/>
  <c r="D34" s="1"/>
  <c r="D35" s="1"/>
  <c r="D37" s="1"/>
  <c r="D38" s="1"/>
  <c r="D39" s="1"/>
  <c r="D40" s="1"/>
  <c r="D41" s="1"/>
  <c r="D42" s="1"/>
  <c r="D43" s="1"/>
  <c r="D44" s="1"/>
  <c r="D45" s="1"/>
  <c r="D46" s="1"/>
  <c r="D47" s="1"/>
  <c r="D48" s="1"/>
  <c r="D49" s="1"/>
  <c r="D50" s="1"/>
  <c r="D51" s="1"/>
  <c r="D52" s="1"/>
  <c r="D53" s="1"/>
  <c r="D54" s="1"/>
  <c r="D55" s="1"/>
  <c r="F51"/>
  <c r="F54" i="38"/>
  <c r="A21"/>
  <c r="A22" s="1"/>
  <c r="A23" s="1"/>
  <c r="A24" s="1"/>
  <c r="J217" i="8" l="1"/>
  <c r="B1"/>
  <c r="A25" i="38"/>
  <c r="A26" s="1"/>
  <c r="M4" i="22"/>
  <c r="J4"/>
  <c r="K4" l="1"/>
  <c r="N4"/>
  <c r="A27" i="38"/>
  <c r="A28" s="1"/>
  <c r="A29" s="1"/>
  <c r="A30" s="1"/>
  <c r="A31" s="1"/>
  <c r="A32" s="1"/>
  <c r="A33" s="1"/>
  <c r="A34" s="1"/>
  <c r="A35" s="1"/>
  <c r="A36" s="1"/>
  <c r="A37" s="1"/>
  <c r="A38" s="1"/>
  <c r="A39" s="1"/>
  <c r="A40" s="1"/>
  <c r="A41" s="1"/>
  <c r="A42" s="1"/>
  <c r="A43" s="1"/>
  <c r="A44" s="1"/>
  <c r="A45" s="1"/>
  <c r="A46" s="1"/>
  <c r="A47" s="1"/>
  <c r="A48" s="1"/>
  <c r="A16" l="1"/>
  <c r="H63" i="10" l="1"/>
  <c r="H58"/>
  <c r="H57"/>
  <c r="H55"/>
  <c r="H51"/>
  <c r="H50"/>
  <c r="H48"/>
  <c r="H42"/>
  <c r="H39"/>
  <c r="H24"/>
  <c r="H17"/>
  <c r="E35" i="11"/>
  <c r="F35"/>
  <c r="G32"/>
  <c r="G31"/>
  <c r="G30"/>
  <c r="G29"/>
  <c r="G27"/>
  <c r="D65" i="10"/>
  <c r="D64"/>
  <c r="D63"/>
  <c r="D62"/>
  <c r="D61"/>
  <c r="D60"/>
  <c r="D59"/>
  <c r="D58"/>
  <c r="D57"/>
  <c r="D56"/>
  <c r="D55"/>
  <c r="D51"/>
  <c r="D50"/>
  <c r="D49"/>
  <c r="D48"/>
  <c r="D47"/>
  <c r="D44"/>
  <c r="D43"/>
  <c r="D42"/>
  <c r="D40"/>
  <c r="D39"/>
  <c r="D38"/>
  <c r="D37"/>
  <c r="D36"/>
  <c r="D35"/>
  <c r="D34"/>
  <c r="D28"/>
  <c r="D27"/>
  <c r="D26"/>
  <c r="D25"/>
  <c r="D24"/>
  <c r="D23"/>
  <c r="D22"/>
  <c r="D21"/>
  <c r="D20"/>
  <c r="D17"/>
  <c r="D16"/>
  <c r="D15"/>
  <c r="D14"/>
  <c r="D13"/>
  <c r="D12"/>
  <c r="D11"/>
  <c r="D10"/>
  <c r="D9"/>
  <c r="G63"/>
  <c r="G59"/>
  <c r="G58"/>
  <c r="G57"/>
  <c r="G55"/>
  <c r="G51"/>
  <c r="G50"/>
  <c r="G48"/>
  <c r="G42"/>
  <c r="G39"/>
  <c r="G24"/>
  <c r="G17"/>
  <c r="F63"/>
  <c r="F59"/>
  <c r="F58"/>
  <c r="F57"/>
  <c r="F55"/>
  <c r="F51"/>
  <c r="F50"/>
  <c r="F48"/>
  <c r="F42"/>
  <c r="F39"/>
  <c r="F24"/>
  <c r="F17"/>
  <c r="E63"/>
  <c r="E59"/>
  <c r="E58"/>
  <c r="E57"/>
  <c r="E55"/>
  <c r="E51"/>
  <c r="E50"/>
  <c r="E48"/>
  <c r="E42"/>
  <c r="E39"/>
  <c r="E24"/>
  <c r="D52" l="1"/>
  <c r="F47" i="13"/>
  <c r="F2" i="35" l="1"/>
  <c r="F1760" i="33" l="1"/>
  <c r="F1759"/>
  <c r="B1983"/>
  <c r="F1993"/>
  <c r="I1993"/>
  <c r="J1993"/>
  <c r="O1993"/>
  <c r="B1984"/>
  <c r="F1994"/>
  <c r="I1994"/>
  <c r="J1994"/>
  <c r="O1994"/>
  <c r="O2390"/>
  <c r="O2389"/>
  <c r="O2388"/>
  <c r="O2494"/>
  <c r="O2493"/>
  <c r="O2492"/>
  <c r="O2491"/>
  <c r="O2490"/>
  <c r="O2489"/>
  <c r="O2488"/>
  <c r="O2487"/>
  <c r="O2387"/>
  <c r="O2386"/>
  <c r="O2385"/>
  <c r="O2384"/>
  <c r="O2383"/>
  <c r="O2382"/>
  <c r="O2378"/>
  <c r="O2377"/>
  <c r="O2376"/>
  <c r="O2349"/>
  <c r="O2348"/>
  <c r="O2347"/>
  <c r="O2346"/>
  <c r="O2345"/>
  <c r="O2344"/>
  <c r="O2341"/>
  <c r="O2340"/>
  <c r="O2339"/>
  <c r="O2338"/>
  <c r="O2327"/>
  <c r="O2326"/>
  <c r="O2302"/>
  <c r="O2301"/>
  <c r="O2300"/>
  <c r="O2278"/>
  <c r="O2277"/>
  <c r="O2276"/>
  <c r="O2275"/>
  <c r="O2318"/>
  <c r="O2317"/>
  <c r="O2299"/>
  <c r="O2298"/>
  <c r="O2297"/>
  <c r="O2295"/>
  <c r="O2294"/>
  <c r="O2293"/>
  <c r="O2316"/>
  <c r="O2315"/>
  <c r="O2314"/>
  <c r="O2313"/>
  <c r="O2312"/>
  <c r="O2311"/>
  <c r="O2310"/>
  <c r="O2309"/>
  <c r="O2282"/>
  <c r="O2281"/>
  <c r="O2280"/>
  <c r="O2279"/>
  <c r="O2274"/>
  <c r="O2273"/>
  <c r="O2270"/>
  <c r="O2269"/>
  <c r="O2268"/>
  <c r="O2267"/>
  <c r="O2266"/>
  <c r="O2265"/>
  <c r="O2264"/>
  <c r="O2262"/>
  <c r="O2261"/>
  <c r="O2250"/>
  <c r="O2249"/>
  <c r="O2248"/>
  <c r="O2247"/>
  <c r="O2241"/>
  <c r="O2240"/>
  <c r="O2230"/>
  <c r="O2229"/>
  <c r="O2228"/>
  <c r="O2227"/>
  <c r="O2226"/>
  <c r="O2215"/>
  <c r="O2214"/>
  <c r="O2213"/>
  <c r="O2212"/>
  <c r="O2209"/>
  <c r="O2208"/>
  <c r="O2207"/>
  <c r="O2206"/>
  <c r="O2205"/>
  <c r="O2204"/>
  <c r="O2203"/>
  <c r="O2202"/>
  <c r="O2201"/>
  <c r="O2200"/>
  <c r="O2038"/>
  <c r="O2037"/>
  <c r="O2045"/>
  <c r="O2044"/>
  <c r="O2084"/>
  <c r="O2083"/>
  <c r="O2199"/>
  <c r="O2198"/>
  <c r="O2197"/>
  <c r="O2196"/>
  <c r="O2195"/>
  <c r="O2194"/>
  <c r="O2138"/>
  <c r="O2137"/>
  <c r="O2090"/>
  <c r="O2089"/>
  <c r="O2088"/>
  <c r="O2087"/>
  <c r="O2086"/>
  <c r="O2085"/>
  <c r="O2136"/>
  <c r="O2135"/>
  <c r="O2193"/>
  <c r="O2192"/>
  <c r="O2191"/>
  <c r="O2190"/>
  <c r="O2189"/>
  <c r="O2188"/>
  <c r="O2187"/>
  <c r="O2186"/>
  <c r="O2185"/>
  <c r="O2184"/>
  <c r="O2183"/>
  <c r="O2182"/>
  <c r="O2181"/>
  <c r="O2180"/>
  <c r="O2179"/>
  <c r="O2165"/>
  <c r="O2164"/>
  <c r="O2163"/>
  <c r="O2162"/>
  <c r="O2161"/>
  <c r="O2160"/>
  <c r="O2159"/>
  <c r="O2149"/>
  <c r="O2119"/>
  <c r="O2118"/>
  <c r="O2117"/>
  <c r="O2116"/>
  <c r="O2115"/>
  <c r="O2108"/>
  <c r="O2107"/>
  <c r="O2106"/>
  <c r="O2105"/>
  <c r="O2100"/>
  <c r="O2094"/>
  <c r="O2093"/>
  <c r="O2092"/>
  <c r="O2091"/>
  <c r="O2060"/>
  <c r="O2059"/>
  <c r="O2051"/>
  <c r="O2050"/>
  <c r="O2049"/>
  <c r="O2048"/>
  <c r="O2047"/>
  <c r="O2046"/>
  <c r="O2036"/>
  <c r="O2035"/>
  <c r="O1760"/>
  <c r="O1759"/>
  <c r="O2010"/>
  <c r="O2009"/>
  <c r="O2008"/>
  <c r="O2007"/>
  <c r="O2006"/>
  <c r="O2005"/>
  <c r="O2004"/>
  <c r="O2003"/>
  <c r="O2002"/>
  <c r="O2001"/>
  <c r="O2000"/>
  <c r="O1999"/>
  <c r="O1998"/>
  <c r="O1997"/>
  <c r="O1996"/>
  <c r="O1995"/>
  <c r="O1814"/>
  <c r="O1813"/>
  <c r="O1992"/>
  <c r="O1991"/>
  <c r="O1990"/>
  <c r="O1989"/>
  <c r="O1988"/>
  <c r="O1987"/>
  <c r="O1409"/>
  <c r="O1408"/>
  <c r="O1394"/>
  <c r="O1393"/>
  <c r="O1915"/>
  <c r="O1914"/>
  <c r="O1913"/>
  <c r="O1912"/>
  <c r="O1911"/>
  <c r="O1839"/>
  <c r="O1838"/>
  <c r="O1837"/>
  <c r="O1836"/>
  <c r="O1835"/>
  <c r="O1794"/>
  <c r="O1793"/>
  <c r="O1792"/>
  <c r="O1791"/>
  <c r="O1790"/>
  <c r="O1785"/>
  <c r="O1784"/>
  <c r="O1783"/>
  <c r="O1782"/>
  <c r="O1781"/>
  <c r="O1849"/>
  <c r="O1848"/>
  <c r="O1847"/>
  <c r="O1846"/>
  <c r="O1845"/>
  <c r="O1803"/>
  <c r="O1802"/>
  <c r="O1801"/>
  <c r="O1800"/>
  <c r="O1799"/>
  <c r="O1834"/>
  <c r="O1833"/>
  <c r="O1832"/>
  <c r="O1831"/>
  <c r="O1830"/>
  <c r="O1844"/>
  <c r="O1843"/>
  <c r="O1842"/>
  <c r="O1841"/>
  <c r="O1840"/>
  <c r="O1864"/>
  <c r="O1863"/>
  <c r="O1862"/>
  <c r="O1861"/>
  <c r="O1860"/>
  <c r="O1883"/>
  <c r="O1882"/>
  <c r="O1881"/>
  <c r="O1880"/>
  <c r="O1879"/>
  <c r="O1910"/>
  <c r="O1909"/>
  <c r="O1908"/>
  <c r="O1907"/>
  <c r="O1906"/>
  <c r="O1905"/>
  <c r="O1904"/>
  <c r="O1903"/>
  <c r="O1902"/>
  <c r="O1901"/>
  <c r="O1935"/>
  <c r="O1934"/>
  <c r="O1933"/>
  <c r="O1932"/>
  <c r="O1931"/>
  <c r="O1986"/>
  <c r="O1985"/>
  <c r="O1984"/>
  <c r="O1983"/>
  <c r="O1982"/>
  <c r="O1775"/>
  <c r="O1774"/>
  <c r="O1773"/>
  <c r="O1772"/>
  <c r="O1771"/>
  <c r="O1878"/>
  <c r="O1877"/>
  <c r="O1876"/>
  <c r="O1875"/>
  <c r="O1874"/>
  <c r="O1780"/>
  <c r="O1779"/>
  <c r="O1778"/>
  <c r="O1777"/>
  <c r="O1776"/>
  <c r="O1812"/>
  <c r="O1811"/>
  <c r="O1810"/>
  <c r="O1809"/>
  <c r="O1808"/>
  <c r="O1584"/>
  <c r="O1583"/>
  <c r="O1582"/>
  <c r="O1581"/>
  <c r="O1580"/>
  <c r="O1569"/>
  <c r="O1568"/>
  <c r="O1567"/>
  <c r="O1566"/>
  <c r="O1565"/>
  <c r="O1555"/>
  <c r="O1554"/>
  <c r="O1553"/>
  <c r="O1552"/>
  <c r="O1551"/>
  <c r="O1564"/>
  <c r="O1563"/>
  <c r="O1562"/>
  <c r="O1561"/>
  <c r="O1608"/>
  <c r="O1607"/>
  <c r="O1606"/>
  <c r="O1605"/>
  <c r="O1604"/>
  <c r="O1603"/>
  <c r="O1665"/>
  <c r="O1664"/>
  <c r="O1663"/>
  <c r="O1662"/>
  <c r="O1661"/>
  <c r="O1681"/>
  <c r="O1680"/>
  <c r="O1679"/>
  <c r="O1678"/>
  <c r="O1677"/>
  <c r="O1660"/>
  <c r="O1659"/>
  <c r="O1658"/>
  <c r="O1657"/>
  <c r="O1656"/>
  <c r="O1602"/>
  <c r="O1601"/>
  <c r="O1600"/>
  <c r="O1599"/>
  <c r="O1598"/>
  <c r="O1595"/>
  <c r="O1594"/>
  <c r="O1593"/>
  <c r="O1592"/>
  <c r="O1591"/>
  <c r="O1617"/>
  <c r="O1616"/>
  <c r="O1615"/>
  <c r="O1614"/>
  <c r="O1613"/>
  <c r="O1629"/>
  <c r="O1628"/>
  <c r="O1627"/>
  <c r="O1626"/>
  <c r="O1625"/>
  <c r="O1655"/>
  <c r="O1654"/>
  <c r="O1653"/>
  <c r="O1652"/>
  <c r="O1651"/>
  <c r="O1698"/>
  <c r="O1697"/>
  <c r="O1696"/>
  <c r="O1695"/>
  <c r="O1694"/>
  <c r="O1693"/>
  <c r="O1692"/>
  <c r="O1691"/>
  <c r="O1690"/>
  <c r="O1550"/>
  <c r="O1707"/>
  <c r="O1706"/>
  <c r="O1705"/>
  <c r="O1704"/>
  <c r="O1703"/>
  <c r="O1714"/>
  <c r="O1713"/>
  <c r="O1712"/>
  <c r="O1711"/>
  <c r="O1710"/>
  <c r="O1549"/>
  <c r="O1548"/>
  <c r="O1547"/>
  <c r="O1546"/>
  <c r="O1545"/>
  <c r="O1544"/>
  <c r="O1543"/>
  <c r="O1542"/>
  <c r="O1541"/>
  <c r="O1540"/>
  <c r="O1754"/>
  <c r="O1753"/>
  <c r="O1752"/>
  <c r="O1751"/>
  <c r="O1750"/>
  <c r="O1392"/>
  <c r="O1391"/>
  <c r="O1560"/>
  <c r="O1559"/>
  <c r="O1558"/>
  <c r="O1531"/>
  <c r="O1530"/>
  <c r="O1528"/>
  <c r="O1460"/>
  <c r="O1442"/>
  <c r="O1403"/>
  <c r="O1390"/>
  <c r="O1389"/>
  <c r="O1491"/>
  <c r="O1490"/>
  <c r="O1489"/>
  <c r="O1488"/>
  <c r="O1487"/>
  <c r="O1441"/>
  <c r="O1440"/>
  <c r="O1439"/>
  <c r="O1438"/>
  <c r="O1437"/>
  <c r="O1436"/>
  <c r="O1435"/>
  <c r="O1434"/>
  <c r="O1433"/>
  <c r="O1432"/>
  <c r="O1431"/>
  <c r="O1430"/>
  <c r="O1429"/>
  <c r="O1428"/>
  <c r="O1427"/>
  <c r="O1459"/>
  <c r="O1458"/>
  <c r="O1457"/>
  <c r="O1456"/>
  <c r="O1455"/>
  <c r="O1426"/>
  <c r="O1425"/>
  <c r="O1424"/>
  <c r="O1423"/>
  <c r="O1422"/>
  <c r="O1505"/>
  <c r="O1504"/>
  <c r="O1503"/>
  <c r="O1502"/>
  <c r="O1501"/>
  <c r="O1500"/>
  <c r="O1499"/>
  <c r="O1498"/>
  <c r="O1497"/>
  <c r="O1421"/>
  <c r="O1527"/>
  <c r="O1526"/>
  <c r="O1525"/>
  <c r="O1524"/>
  <c r="O1523"/>
  <c r="O1981"/>
  <c r="O1980"/>
  <c r="O1979"/>
  <c r="O1978"/>
  <c r="O1977"/>
  <c r="O1976"/>
  <c r="O1975"/>
  <c r="O1974"/>
  <c r="O1973"/>
  <c r="O1972"/>
  <c r="O1970"/>
  <c r="O1969"/>
  <c r="O1968"/>
  <c r="O1967"/>
  <c r="O1966"/>
  <c r="O1965"/>
  <c r="O1964"/>
  <c r="O1963"/>
  <c r="O1962"/>
  <c r="O1961"/>
  <c r="O1960"/>
  <c r="O1873"/>
  <c r="O1872"/>
  <c r="O1871"/>
  <c r="O1853"/>
  <c r="O1852"/>
  <c r="O1959"/>
  <c r="O1958"/>
  <c r="O1855"/>
  <c r="O1854"/>
  <c r="O1900"/>
  <c r="O1899"/>
  <c r="O1898"/>
  <c r="O1388"/>
  <c r="O1387"/>
  <c r="O1670"/>
  <c r="O1669"/>
  <c r="O1668"/>
  <c r="O1386"/>
  <c r="O1454"/>
  <c r="O1453"/>
  <c r="O1420"/>
  <c r="O1419"/>
  <c r="O1418"/>
  <c r="O1749"/>
  <c r="O1748"/>
  <c r="O1741"/>
  <c r="O1739"/>
  <c r="O1737"/>
  <c r="O1736"/>
  <c r="O1735"/>
  <c r="O1734"/>
  <c r="O1733"/>
  <c r="O1732"/>
  <c r="O1731"/>
  <c r="O1957"/>
  <c r="O1956"/>
  <c r="O1955"/>
  <c r="O1954"/>
  <c r="O1953"/>
  <c r="O1952"/>
  <c r="O1951"/>
  <c r="O1950"/>
  <c r="O1949"/>
  <c r="O1948"/>
  <c r="O1730"/>
  <c r="O1729"/>
  <c r="O1728"/>
  <c r="O1727"/>
  <c r="O1726"/>
  <c r="O1725"/>
  <c r="O1522"/>
  <c r="O1521"/>
  <c r="O1520"/>
  <c r="O1519"/>
  <c r="O1518"/>
  <c r="O1517"/>
  <c r="O1516"/>
  <c r="O1515"/>
  <c r="O1381"/>
  <c r="O1380"/>
  <c r="O1379"/>
  <c r="O1378"/>
  <c r="O1377"/>
  <c r="O1376"/>
  <c r="O1375"/>
  <c r="O1374"/>
  <c r="O1167"/>
  <c r="O1166"/>
  <c r="O1165"/>
  <c r="O1164"/>
  <c r="O1163"/>
  <c r="O1162"/>
  <c r="O1161"/>
  <c r="O1160"/>
  <c r="O843"/>
  <c r="O842"/>
  <c r="O841"/>
  <c r="O840"/>
  <c r="O839"/>
  <c r="O838"/>
  <c r="O837"/>
  <c r="O836"/>
  <c r="O1373"/>
  <c r="O1372"/>
  <c r="O1371"/>
  <c r="O1370"/>
  <c r="O1369"/>
  <c r="O1368"/>
  <c r="O1367"/>
  <c r="O1366"/>
  <c r="O1365"/>
  <c r="O616"/>
  <c r="O615"/>
  <c r="O614"/>
  <c r="O613"/>
  <c r="O612"/>
  <c r="O611"/>
  <c r="O610"/>
  <c r="O640"/>
  <c r="O639"/>
  <c r="O1364"/>
  <c r="O1363"/>
  <c r="O1362"/>
  <c r="O1361"/>
  <c r="O1360"/>
  <c r="O1359"/>
  <c r="O609"/>
  <c r="O608"/>
  <c r="O876"/>
  <c r="O713"/>
  <c r="O1284"/>
  <c r="O1283"/>
  <c r="O1282"/>
  <c r="O1194"/>
  <c r="O1193"/>
  <c r="O1192"/>
  <c r="O968"/>
  <c r="O967"/>
  <c r="O966"/>
  <c r="O1159"/>
  <c r="O1158"/>
  <c r="O1157"/>
  <c r="O619"/>
  <c r="O618"/>
  <c r="O617"/>
  <c r="O607"/>
  <c r="O606"/>
  <c r="O605"/>
  <c r="O604"/>
  <c r="O1358"/>
  <c r="O1357"/>
  <c r="O715"/>
  <c r="O714"/>
  <c r="O638"/>
  <c r="O637"/>
  <c r="O636"/>
  <c r="O635"/>
  <c r="O634"/>
  <c r="O633"/>
  <c r="O858"/>
  <c r="O857"/>
  <c r="O745"/>
  <c r="O744"/>
  <c r="O743"/>
  <c r="O742"/>
  <c r="O632"/>
  <c r="O631"/>
  <c r="O630"/>
  <c r="O629"/>
  <c r="O628"/>
  <c r="O627"/>
  <c r="O1212"/>
  <c r="O1211"/>
  <c r="O1210"/>
  <c r="O1209"/>
  <c r="O1208"/>
  <c r="O1243"/>
  <c r="O1242"/>
  <c r="O1241"/>
  <c r="O1240"/>
  <c r="O1239"/>
  <c r="O1238"/>
  <c r="O1237"/>
  <c r="O1236"/>
  <c r="O1235"/>
  <c r="O1234"/>
  <c r="O1224"/>
  <c r="O1223"/>
  <c r="O1222"/>
  <c r="O1221"/>
  <c r="O1220"/>
  <c r="O1253"/>
  <c r="O1252"/>
  <c r="O1251"/>
  <c r="O1250"/>
  <c r="O1249"/>
  <c r="O1262"/>
  <c r="O1261"/>
  <c r="O1260"/>
  <c r="O1259"/>
  <c r="O1258"/>
  <c r="O1300"/>
  <c r="O1299"/>
  <c r="O1298"/>
  <c r="O1297"/>
  <c r="O1296"/>
  <c r="O1219"/>
  <c r="O1218"/>
  <c r="O1217"/>
  <c r="O1216"/>
  <c r="O1215"/>
  <c r="O1295"/>
  <c r="O1294"/>
  <c r="O1293"/>
  <c r="O1292"/>
  <c r="O1291"/>
  <c r="O1182"/>
  <c r="O1181"/>
  <c r="O1180"/>
  <c r="O1179"/>
  <c r="O1178"/>
  <c r="O1191"/>
  <c r="O1190"/>
  <c r="O1189"/>
  <c r="O1170"/>
  <c r="O1248"/>
  <c r="O1207"/>
  <c r="O1206"/>
  <c r="O1205"/>
  <c r="O1204"/>
  <c r="O1203"/>
  <c r="O1307"/>
  <c r="O1306"/>
  <c r="O1305"/>
  <c r="O1304"/>
  <c r="O1303"/>
  <c r="O873"/>
  <c r="O872"/>
  <c r="O871"/>
  <c r="O870"/>
  <c r="O869"/>
  <c r="O1086"/>
  <c r="O1085"/>
  <c r="O1084"/>
  <c r="O1083"/>
  <c r="O1082"/>
  <c r="O1156"/>
  <c r="O1155"/>
  <c r="O1154"/>
  <c r="O1153"/>
  <c r="O1152"/>
  <c r="O1151"/>
  <c r="O1150"/>
  <c r="O1149"/>
  <c r="O1148"/>
  <c r="O1147"/>
  <c r="O1134"/>
  <c r="O1133"/>
  <c r="O1132"/>
  <c r="O1131"/>
  <c r="O1130"/>
  <c r="O1119"/>
  <c r="O1118"/>
  <c r="O1117"/>
  <c r="O1116"/>
  <c r="O1115"/>
  <c r="O1114"/>
  <c r="O1113"/>
  <c r="O1112"/>
  <c r="O1111"/>
  <c r="O1110"/>
  <c r="O1109"/>
  <c r="O1108"/>
  <c r="O1107"/>
  <c r="O1106"/>
  <c r="O1105"/>
  <c r="O1081"/>
  <c r="O1080"/>
  <c r="O1079"/>
  <c r="O1078"/>
  <c r="O1077"/>
  <c r="O1076"/>
  <c r="O1075"/>
  <c r="O1074"/>
  <c r="O1073"/>
  <c r="O1072"/>
  <c r="O1056"/>
  <c r="O1055"/>
  <c r="O1054"/>
  <c r="O1053"/>
  <c r="O1052"/>
  <c r="O1045"/>
  <c r="O1044"/>
  <c r="O1043"/>
  <c r="O1042"/>
  <c r="O1041"/>
  <c r="O1034"/>
  <c r="O1033"/>
  <c r="O1032"/>
  <c r="O1031"/>
  <c r="O1030"/>
  <c r="O1000"/>
  <c r="O999"/>
  <c r="O998"/>
  <c r="O997"/>
  <c r="O996"/>
  <c r="O995"/>
  <c r="O994"/>
  <c r="O993"/>
  <c r="O992"/>
  <c r="O991"/>
  <c r="O965"/>
  <c r="O964"/>
  <c r="O963"/>
  <c r="O962"/>
  <c r="O961"/>
  <c r="O1104"/>
  <c r="O1103"/>
  <c r="O1102"/>
  <c r="O1101"/>
  <c r="O1100"/>
  <c r="O948"/>
  <c r="O947"/>
  <c r="O946"/>
  <c r="O945"/>
  <c r="O944"/>
  <c r="O941"/>
  <c r="O940"/>
  <c r="O939"/>
  <c r="O938"/>
  <c r="O937"/>
  <c r="O1071"/>
  <c r="O1070"/>
  <c r="O1069"/>
  <c r="O1068"/>
  <c r="O1067"/>
  <c r="O906"/>
  <c r="O905"/>
  <c r="O904"/>
  <c r="O903"/>
  <c r="O902"/>
  <c r="O932"/>
  <c r="O931"/>
  <c r="O930"/>
  <c r="O929"/>
  <c r="O928"/>
  <c r="O927"/>
  <c r="O926"/>
  <c r="O925"/>
  <c r="O924"/>
  <c r="O923"/>
  <c r="O922"/>
  <c r="O921"/>
  <c r="O920"/>
  <c r="O919"/>
  <c r="O918"/>
  <c r="O886"/>
  <c r="O885"/>
  <c r="O884"/>
  <c r="O883"/>
  <c r="O882"/>
  <c r="O835"/>
  <c r="O834"/>
  <c r="O833"/>
  <c r="O832"/>
  <c r="O831"/>
  <c r="O656"/>
  <c r="O655"/>
  <c r="O654"/>
  <c r="O653"/>
  <c r="O652"/>
  <c r="O651"/>
  <c r="O650"/>
  <c r="O649"/>
  <c r="O648"/>
  <c r="O647"/>
  <c r="O663"/>
  <c r="O662"/>
  <c r="O661"/>
  <c r="O660"/>
  <c r="O659"/>
  <c r="O712"/>
  <c r="O711"/>
  <c r="O710"/>
  <c r="O709"/>
  <c r="O708"/>
  <c r="O707"/>
  <c r="O706"/>
  <c r="O705"/>
  <c r="O704"/>
  <c r="O703"/>
  <c r="O702"/>
  <c r="O701"/>
  <c r="O700"/>
  <c r="O699"/>
  <c r="O698"/>
  <c r="O741"/>
  <c r="O740"/>
  <c r="O739"/>
  <c r="O738"/>
  <c r="O737"/>
  <c r="O736"/>
  <c r="O735"/>
  <c r="O734"/>
  <c r="O733"/>
  <c r="O732"/>
  <c r="O786"/>
  <c r="O785"/>
  <c r="O784"/>
  <c r="O783"/>
  <c r="O782"/>
  <c r="O682"/>
  <c r="O681"/>
  <c r="O680"/>
  <c r="O679"/>
  <c r="O678"/>
  <c r="O697"/>
  <c r="O696"/>
  <c r="O695"/>
  <c r="O694"/>
  <c r="O693"/>
  <c r="O760"/>
  <c r="O759"/>
  <c r="O758"/>
  <c r="O757"/>
  <c r="O756"/>
  <c r="O781"/>
  <c r="O780"/>
  <c r="O779"/>
  <c r="O778"/>
  <c r="O777"/>
  <c r="O776"/>
  <c r="O775"/>
  <c r="O774"/>
  <c r="O773"/>
  <c r="O772"/>
  <c r="O793"/>
  <c r="O792"/>
  <c r="O791"/>
  <c r="O790"/>
  <c r="O789"/>
  <c r="O830"/>
  <c r="O829"/>
  <c r="O828"/>
  <c r="O827"/>
  <c r="O826"/>
  <c r="O825"/>
  <c r="O824"/>
  <c r="O823"/>
  <c r="O822"/>
  <c r="O821"/>
  <c r="O1356"/>
  <c r="O1355"/>
  <c r="O1354"/>
  <c r="O1353"/>
  <c r="O603"/>
  <c r="O602"/>
  <c r="O601"/>
  <c r="O600"/>
  <c r="O599"/>
  <c r="O598"/>
  <c r="O597"/>
  <c r="O596"/>
  <c r="O413"/>
  <c r="O412"/>
  <c r="O411"/>
  <c r="O410"/>
  <c r="O409"/>
  <c r="O408"/>
  <c r="O243"/>
  <c r="O242"/>
  <c r="O241"/>
  <c r="O240"/>
  <c r="O239"/>
  <c r="O238"/>
  <c r="O433"/>
  <c r="O432"/>
  <c r="O1947"/>
  <c r="O1946"/>
  <c r="O1945"/>
  <c r="O1944"/>
  <c r="O1943"/>
  <c r="O1942"/>
  <c r="O1941"/>
  <c r="O1940"/>
  <c r="O1939"/>
  <c r="O1938"/>
  <c r="O1352"/>
  <c r="O1351"/>
  <c r="O1350"/>
  <c r="O1349"/>
  <c r="O1348"/>
  <c r="O1347"/>
  <c r="O1346"/>
  <c r="O1345"/>
  <c r="O1344"/>
  <c r="O1343"/>
  <c r="O595"/>
  <c r="O594"/>
  <c r="O593"/>
  <c r="O592"/>
  <c r="O591"/>
  <c r="O590"/>
  <c r="O589"/>
  <c r="O588"/>
  <c r="O587"/>
  <c r="O586"/>
  <c r="O585"/>
  <c r="O584"/>
  <c r="O583"/>
  <c r="O582"/>
  <c r="O581"/>
  <c r="O580"/>
  <c r="O579"/>
  <c r="O578"/>
  <c r="O577"/>
  <c r="O576"/>
  <c r="O575"/>
  <c r="O574"/>
  <c r="O573"/>
  <c r="O572"/>
  <c r="O571"/>
  <c r="O570"/>
  <c r="O23"/>
  <c r="O22"/>
  <c r="O1937"/>
  <c r="O1936"/>
  <c r="O1930"/>
  <c r="O1929"/>
  <c r="O1928"/>
  <c r="O1927"/>
  <c r="O1926"/>
  <c r="O1924"/>
  <c r="O1923"/>
  <c r="O1922"/>
  <c r="O1921"/>
  <c r="O1920"/>
  <c r="O1919"/>
  <c r="O1918"/>
  <c r="O1917"/>
  <c r="O1916"/>
  <c r="O1897"/>
  <c r="O1896"/>
  <c r="O1895"/>
  <c r="O1887"/>
  <c r="O1886"/>
  <c r="O1870"/>
  <c r="O1869"/>
  <c r="O1859"/>
  <c r="O1858"/>
  <c r="O1829"/>
  <c r="O1828"/>
  <c r="O1827"/>
  <c r="O1826"/>
  <c r="O1825"/>
  <c r="O1824"/>
  <c r="O1807"/>
  <c r="O1806"/>
  <c r="O1798"/>
  <c r="O1797"/>
  <c r="O1770"/>
  <c r="O1769"/>
  <c r="O1724"/>
  <c r="O1723"/>
  <c r="O1718"/>
  <c r="O1717"/>
  <c r="O1689"/>
  <c r="O1688"/>
  <c r="O1687"/>
  <c r="O1686"/>
  <c r="O1676"/>
  <c r="O1675"/>
  <c r="O1674"/>
  <c r="O1673"/>
  <c r="O1672"/>
  <c r="O1671"/>
  <c r="O1645"/>
  <c r="O1644"/>
  <c r="O1642"/>
  <c r="O1641"/>
  <c r="O1640"/>
  <c r="O1638"/>
  <c r="O1637"/>
  <c r="O1636"/>
  <c r="O1631"/>
  <c r="O1630"/>
  <c r="O1624"/>
  <c r="O1623"/>
  <c r="O1622"/>
  <c r="O1610"/>
  <c r="O1609"/>
  <c r="O1590"/>
  <c r="O1589"/>
  <c r="O1514"/>
  <c r="O1513"/>
  <c r="O1476"/>
  <c r="O1475"/>
  <c r="O1473"/>
  <c r="O1472"/>
  <c r="O1471"/>
  <c r="O1468"/>
  <c r="O1467"/>
  <c r="O1465"/>
  <c r="O1464"/>
  <c r="O1463"/>
  <c r="O1417"/>
  <c r="O1416"/>
  <c r="O1342"/>
  <c r="O1341"/>
  <c r="O1340"/>
  <c r="O1339"/>
  <c r="O1338"/>
  <c r="O1337"/>
  <c r="O1326"/>
  <c r="O1325"/>
  <c r="O1324"/>
  <c r="O1323"/>
  <c r="O1322"/>
  <c r="O1321"/>
  <c r="O1320"/>
  <c r="O1319"/>
  <c r="O1318"/>
  <c r="O1317"/>
  <c r="O1316"/>
  <c r="O1315"/>
  <c r="O1314"/>
  <c r="O1281"/>
  <c r="O1312"/>
  <c r="O1280"/>
  <c r="O1279"/>
  <c r="O1278"/>
  <c r="O1277"/>
  <c r="O1276"/>
  <c r="O1275"/>
  <c r="O1273"/>
  <c r="O1255"/>
  <c r="O1254"/>
  <c r="O1233"/>
  <c r="O1232"/>
  <c r="O1231"/>
  <c r="O1146"/>
  <c r="O1145"/>
  <c r="O1144"/>
  <c r="O1143"/>
  <c r="O1066"/>
  <c r="O1065"/>
  <c r="O1064"/>
  <c r="O1029"/>
  <c r="O1028"/>
  <c r="O1027"/>
  <c r="O1026"/>
  <c r="O1025"/>
  <c r="O1024"/>
  <c r="O1023"/>
  <c r="O1022"/>
  <c r="O1021"/>
  <c r="O1020"/>
  <c r="O1019"/>
  <c r="O1018"/>
  <c r="O1017"/>
  <c r="O1016"/>
  <c r="O1015"/>
  <c r="O1004"/>
  <c r="O1003"/>
  <c r="O1001"/>
  <c r="O990"/>
  <c r="O989"/>
  <c r="O987"/>
  <c r="O976"/>
  <c r="O975"/>
  <c r="O960"/>
  <c r="O959"/>
  <c r="O917"/>
  <c r="O916"/>
  <c r="O915"/>
  <c r="O901"/>
  <c r="O900"/>
  <c r="O899"/>
  <c r="O868"/>
  <c r="O867"/>
  <c r="O866"/>
  <c r="O865"/>
  <c r="O863"/>
  <c r="O820"/>
  <c r="O819"/>
  <c r="O805"/>
  <c r="O804"/>
  <c r="O731"/>
  <c r="O730"/>
  <c r="O728"/>
  <c r="O723"/>
  <c r="O722"/>
  <c r="O721"/>
  <c r="O720"/>
  <c r="O673"/>
  <c r="O672"/>
  <c r="O671"/>
  <c r="O569"/>
  <c r="O568"/>
  <c r="O567"/>
  <c r="O566"/>
  <c r="O565"/>
  <c r="O564"/>
  <c r="O563"/>
  <c r="O562"/>
  <c r="O538"/>
  <c r="O537"/>
  <c r="O535"/>
  <c r="O534"/>
  <c r="O533"/>
  <c r="J2202"/>
  <c r="I2202"/>
  <c r="Q2202" s="1"/>
  <c r="J2201"/>
  <c r="I2201"/>
  <c r="Q2201" s="1"/>
  <c r="J2200"/>
  <c r="I2200"/>
  <c r="Q2200" s="1"/>
  <c r="J2038"/>
  <c r="I2038"/>
  <c r="J2037"/>
  <c r="I2037"/>
  <c r="J2045"/>
  <c r="I2045"/>
  <c r="J2044"/>
  <c r="I2044"/>
  <c r="J2084"/>
  <c r="I2084"/>
  <c r="J2083"/>
  <c r="I2083"/>
  <c r="J2199"/>
  <c r="I2199"/>
  <c r="Q2199" s="1"/>
  <c r="J2198"/>
  <c r="I2198"/>
  <c r="Q2198" s="1"/>
  <c r="J2197"/>
  <c r="I2197"/>
  <c r="Q2197" s="1"/>
  <c r="J2196"/>
  <c r="I2196"/>
  <c r="Q2196" s="1"/>
  <c r="J2195"/>
  <c r="I2195"/>
  <c r="Q2195" s="1"/>
  <c r="J2194"/>
  <c r="I2194"/>
  <c r="Q2194" s="1"/>
  <c r="J2138"/>
  <c r="I2138"/>
  <c r="J2137"/>
  <c r="I2137"/>
  <c r="J2090"/>
  <c r="I2090"/>
  <c r="J2089"/>
  <c r="I2089"/>
  <c r="J2088"/>
  <c r="I2088"/>
  <c r="J2087"/>
  <c r="I2087"/>
  <c r="J2086"/>
  <c r="I2086"/>
  <c r="J2085"/>
  <c r="I2085"/>
  <c r="J2136"/>
  <c r="I2136"/>
  <c r="Q2134" s="1"/>
  <c r="J2135"/>
  <c r="I2135"/>
  <c r="Q2133" s="1"/>
  <c r="J2193"/>
  <c r="I2193"/>
  <c r="Q2193" s="1"/>
  <c r="J2192"/>
  <c r="I2192"/>
  <c r="Q2192" s="1"/>
  <c r="J2191"/>
  <c r="I2191"/>
  <c r="Q2191" s="1"/>
  <c r="J2190"/>
  <c r="I2190"/>
  <c r="Q2190" s="1"/>
  <c r="J2189"/>
  <c r="I2189"/>
  <c r="Q2189" s="1"/>
  <c r="J2188"/>
  <c r="I2188"/>
  <c r="Q2188" s="1"/>
  <c r="J2187"/>
  <c r="I2187"/>
  <c r="Q2187" s="1"/>
  <c r="J2186"/>
  <c r="I2186"/>
  <c r="Q2186" s="1"/>
  <c r="J2185"/>
  <c r="I2185"/>
  <c r="Q2185" s="1"/>
  <c r="J2184"/>
  <c r="I2184"/>
  <c r="Q2184" s="1"/>
  <c r="J2183"/>
  <c r="I2183"/>
  <c r="Q2183" s="1"/>
  <c r="J2182"/>
  <c r="I2182"/>
  <c r="Q2182" s="1"/>
  <c r="J2181"/>
  <c r="I2181"/>
  <c r="Q2181" s="1"/>
  <c r="J2180"/>
  <c r="I2180"/>
  <c r="Q2180" s="1"/>
  <c r="J2179"/>
  <c r="I2179"/>
  <c r="Q2179" s="1"/>
  <c r="J2178"/>
  <c r="I2178"/>
  <c r="Q2178" s="1"/>
  <c r="J2165"/>
  <c r="I2165"/>
  <c r="Q2165" s="1"/>
  <c r="J2164"/>
  <c r="I2164"/>
  <c r="Q2164" s="1"/>
  <c r="J2163"/>
  <c r="I2163"/>
  <c r="Q2163" s="1"/>
  <c r="J2162"/>
  <c r="I2162"/>
  <c r="Q2162" s="1"/>
  <c r="J2161"/>
  <c r="I2161"/>
  <c r="Q2161" s="1"/>
  <c r="J2160"/>
  <c r="I2160"/>
  <c r="Q2160" s="1"/>
  <c r="J2159"/>
  <c r="I2159"/>
  <c r="Q2159" s="1"/>
  <c r="J2149"/>
  <c r="I2149"/>
  <c r="Q2149" s="1"/>
  <c r="J2148"/>
  <c r="I2148"/>
  <c r="Q2148" s="1"/>
  <c r="J2147"/>
  <c r="I2147"/>
  <c r="Q2147" s="1"/>
  <c r="J2146"/>
  <c r="I2146"/>
  <c r="Q2146" s="1"/>
  <c r="J2145"/>
  <c r="I2145"/>
  <c r="Q2145" s="1"/>
  <c r="J2144"/>
  <c r="I2144"/>
  <c r="Q2144" s="1"/>
  <c r="J2143"/>
  <c r="I2143"/>
  <c r="Q2143" s="1"/>
  <c r="J2120"/>
  <c r="I2120"/>
  <c r="J2119"/>
  <c r="I2119"/>
  <c r="J2118"/>
  <c r="I2118"/>
  <c r="J2117"/>
  <c r="I2117"/>
  <c r="J2116"/>
  <c r="I2116"/>
  <c r="Q2114" s="1"/>
  <c r="J2115"/>
  <c r="I2115"/>
  <c r="Q2113" s="1"/>
  <c r="J2108"/>
  <c r="I2108"/>
  <c r="J2107"/>
  <c r="I2107"/>
  <c r="J2106"/>
  <c r="I2106"/>
  <c r="J2105"/>
  <c r="I2105"/>
  <c r="J2104"/>
  <c r="I2104"/>
  <c r="Q2102" s="1"/>
  <c r="J2103"/>
  <c r="I2103"/>
  <c r="Q2101" s="1"/>
  <c r="J2100"/>
  <c r="I2100"/>
  <c r="J2094"/>
  <c r="I2094"/>
  <c r="Q2094" s="1"/>
  <c r="J2093"/>
  <c r="I2093"/>
  <c r="Q2093" s="1"/>
  <c r="J2092"/>
  <c r="I2092"/>
  <c r="J2091"/>
  <c r="I2091"/>
  <c r="J2060"/>
  <c r="I2060"/>
  <c r="J2059"/>
  <c r="I2059"/>
  <c r="J2051"/>
  <c r="I2051"/>
  <c r="J2050"/>
  <c r="I2050"/>
  <c r="J2049"/>
  <c r="I2049"/>
  <c r="J2048"/>
  <c r="I2048"/>
  <c r="J2047"/>
  <c r="I2047"/>
  <c r="J2046"/>
  <c r="I2046"/>
  <c r="J2036"/>
  <c r="I2036"/>
  <c r="Q2034" s="1"/>
  <c r="J2035"/>
  <c r="I2035"/>
  <c r="J1760"/>
  <c r="I1760"/>
  <c r="J1759"/>
  <c r="I1759"/>
  <c r="J2010"/>
  <c r="I2010"/>
  <c r="J2009"/>
  <c r="I2009"/>
  <c r="J2008"/>
  <c r="I2008"/>
  <c r="J2007"/>
  <c r="I2007"/>
  <c r="J2006"/>
  <c r="I2006"/>
  <c r="J2005"/>
  <c r="I2005"/>
  <c r="J2004"/>
  <c r="J2003"/>
  <c r="I2003"/>
  <c r="J2002"/>
  <c r="I2002"/>
  <c r="J2001"/>
  <c r="I2001"/>
  <c r="J2000"/>
  <c r="I2000"/>
  <c r="J1999"/>
  <c r="I1999"/>
  <c r="J1998"/>
  <c r="I1998"/>
  <c r="J1997"/>
  <c r="I1997"/>
  <c r="J1996"/>
  <c r="I1996"/>
  <c r="J1995"/>
  <c r="I1995"/>
  <c r="J1814"/>
  <c r="I1814"/>
  <c r="J1813"/>
  <c r="I1813"/>
  <c r="J1992"/>
  <c r="I1992"/>
  <c r="J1991"/>
  <c r="I1991"/>
  <c r="J1990"/>
  <c r="I1990"/>
  <c r="J1989"/>
  <c r="I1989"/>
  <c r="J1988"/>
  <c r="I1988"/>
  <c r="J1987"/>
  <c r="J1409"/>
  <c r="I1409"/>
  <c r="J1408"/>
  <c r="I1408"/>
  <c r="J1394"/>
  <c r="I1394"/>
  <c r="J1393"/>
  <c r="I1393"/>
  <c r="J1915"/>
  <c r="I1915"/>
  <c r="J1914"/>
  <c r="I1914"/>
  <c r="J1913"/>
  <c r="I1913"/>
  <c r="J1912"/>
  <c r="I1912"/>
  <c r="J1911"/>
  <c r="I1911"/>
  <c r="J1839"/>
  <c r="I1839"/>
  <c r="J1838"/>
  <c r="I1838"/>
  <c r="J1837"/>
  <c r="I1837"/>
  <c r="J1836"/>
  <c r="I1836"/>
  <c r="J1835"/>
  <c r="I1835"/>
  <c r="J1794"/>
  <c r="I1794"/>
  <c r="J1793"/>
  <c r="I1793"/>
  <c r="J1792"/>
  <c r="I1792"/>
  <c r="J1791"/>
  <c r="I1791"/>
  <c r="J1790"/>
  <c r="I1790"/>
  <c r="J1785"/>
  <c r="I1785"/>
  <c r="J1784"/>
  <c r="I1784"/>
  <c r="J1783"/>
  <c r="I1783"/>
  <c r="J1782"/>
  <c r="I1782"/>
  <c r="J1781"/>
  <c r="I1781"/>
  <c r="J1849"/>
  <c r="I1849"/>
  <c r="J1848"/>
  <c r="I1848"/>
  <c r="J1847"/>
  <c r="I1847"/>
  <c r="J1846"/>
  <c r="I1846"/>
  <c r="J1845"/>
  <c r="I1845"/>
  <c r="J1803"/>
  <c r="I1803"/>
  <c r="J1802"/>
  <c r="I1802"/>
  <c r="J1801"/>
  <c r="I1801"/>
  <c r="J1800"/>
  <c r="I1800"/>
  <c r="J1799"/>
  <c r="I1799"/>
  <c r="J1834"/>
  <c r="I1834"/>
  <c r="J1833"/>
  <c r="I1833"/>
  <c r="J1832"/>
  <c r="I1832"/>
  <c r="J1831"/>
  <c r="I1831"/>
  <c r="J1830"/>
  <c r="I1830"/>
  <c r="J1844"/>
  <c r="I1844"/>
  <c r="J1843"/>
  <c r="I1843"/>
  <c r="B2033"/>
  <c r="B2032"/>
  <c r="B2031"/>
  <c r="B2030"/>
  <c r="B2029"/>
  <c r="B2028"/>
  <c r="B2027"/>
  <c r="B2026"/>
  <c r="B2025"/>
  <c r="B2024"/>
  <c r="B2023"/>
  <c r="B2019"/>
  <c r="B2018"/>
  <c r="B2017"/>
  <c r="B2016"/>
  <c r="B2015"/>
  <c r="B2014"/>
  <c r="B2013"/>
  <c r="B2012"/>
  <c r="B2011"/>
  <c r="B2010"/>
  <c r="B2009"/>
  <c r="B2008"/>
  <c r="B2007"/>
  <c r="B2006"/>
  <c r="B2005"/>
  <c r="B2004"/>
  <c r="B2003"/>
  <c r="B2002"/>
  <c r="B2001"/>
  <c r="B2000"/>
  <c r="B1999"/>
  <c r="B1998"/>
  <c r="B1997"/>
  <c r="B1996"/>
  <c r="B1995"/>
  <c r="B1994"/>
  <c r="B1993"/>
  <c r="B1992"/>
  <c r="B1991"/>
  <c r="B1990"/>
  <c r="B1989"/>
  <c r="B1988"/>
  <c r="B1987"/>
  <c r="B1986"/>
  <c r="B1985"/>
  <c r="B1982"/>
  <c r="B1981"/>
  <c r="B1980"/>
  <c r="B1979"/>
  <c r="B1978"/>
  <c r="B1977"/>
  <c r="B1976"/>
  <c r="B1975"/>
  <c r="B1974"/>
  <c r="B1973"/>
  <c r="B1972"/>
  <c r="B1971"/>
  <c r="B1970"/>
  <c r="B1969"/>
  <c r="B1968"/>
  <c r="B1967"/>
  <c r="B1966"/>
  <c r="B1965"/>
  <c r="B1964"/>
  <c r="B1963"/>
  <c r="B1962"/>
  <c r="B1961"/>
  <c r="B1960"/>
  <c r="B1959"/>
  <c r="B1958"/>
  <c r="B1957"/>
  <c r="B1956"/>
  <c r="B1955"/>
  <c r="B1954"/>
  <c r="B1953"/>
  <c r="B1952"/>
  <c r="B1951"/>
  <c r="B1950"/>
  <c r="B1949"/>
  <c r="B1948"/>
  <c r="B1947"/>
  <c r="B1946"/>
  <c r="B1945"/>
  <c r="B1944"/>
  <c r="B1943"/>
  <c r="B1942"/>
  <c r="B1941"/>
  <c r="B1940"/>
  <c r="B1939"/>
  <c r="B1938"/>
  <c r="B1937"/>
  <c r="B1936"/>
  <c r="B1935"/>
  <c r="B1934"/>
  <c r="B1933"/>
  <c r="B1932"/>
  <c r="B1931"/>
  <c r="B1930"/>
  <c r="B1929"/>
  <c r="B1928"/>
  <c r="B1927"/>
  <c r="B1926"/>
  <c r="B1925"/>
  <c r="B1924"/>
  <c r="B1923"/>
  <c r="B1922"/>
  <c r="B1921"/>
  <c r="B1920"/>
  <c r="B1919"/>
  <c r="B1918"/>
  <c r="B1917"/>
  <c r="B1916"/>
  <c r="B1915"/>
  <c r="B1914"/>
  <c r="B1913"/>
  <c r="B1912"/>
  <c r="B1911"/>
  <c r="B1910"/>
  <c r="B1909"/>
  <c r="B1908"/>
  <c r="B1907"/>
  <c r="B1906"/>
  <c r="B1905"/>
  <c r="B1904"/>
  <c r="B1903"/>
  <c r="B1902"/>
  <c r="B1901"/>
  <c r="B1900"/>
  <c r="B1899"/>
  <c r="B1898"/>
  <c r="B1897"/>
  <c r="B1896"/>
  <c r="B1895"/>
  <c r="B1894"/>
  <c r="B1893"/>
  <c r="B1892"/>
  <c r="B1891"/>
  <c r="B1890"/>
  <c r="B1889"/>
  <c r="B1888"/>
  <c r="B1887"/>
  <c r="B1886"/>
  <c r="B1885"/>
  <c r="B1884"/>
  <c r="B1883"/>
  <c r="B1882"/>
  <c r="B1881"/>
  <c r="B1880"/>
  <c r="B1879"/>
  <c r="B1878"/>
  <c r="B1877"/>
  <c r="B1876"/>
  <c r="B1875"/>
  <c r="B1874"/>
  <c r="B1873"/>
  <c r="B1872"/>
  <c r="B1871"/>
  <c r="B1870"/>
  <c r="B1869"/>
  <c r="B1868"/>
  <c r="B1867"/>
  <c r="B1866"/>
  <c r="B1865"/>
  <c r="B1864"/>
  <c r="B1863"/>
  <c r="B1862"/>
  <c r="B1861"/>
  <c r="B1860"/>
  <c r="B1859"/>
  <c r="B1858"/>
  <c r="B1857"/>
  <c r="B1856"/>
  <c r="B1855"/>
  <c r="B1854"/>
  <c r="B1853"/>
  <c r="B1852"/>
  <c r="B1851"/>
  <c r="B1850"/>
  <c r="B1849"/>
  <c r="B1848"/>
  <c r="B1847"/>
  <c r="B1846"/>
  <c r="B1845"/>
  <c r="B1844"/>
  <c r="B1843"/>
  <c r="B1842"/>
  <c r="B1841"/>
  <c r="B1840"/>
  <c r="B1839"/>
  <c r="B1838"/>
  <c r="B1837"/>
  <c r="B1836"/>
  <c r="B1835"/>
  <c r="B1834"/>
  <c r="B1833"/>
  <c r="B1832"/>
  <c r="B1831"/>
  <c r="B1830"/>
  <c r="B1829"/>
  <c r="B1828"/>
  <c r="B1827"/>
  <c r="B1826"/>
  <c r="B1825"/>
  <c r="B1824"/>
  <c r="B1823"/>
  <c r="B1822"/>
  <c r="B1821"/>
  <c r="B1820"/>
  <c r="B1819"/>
  <c r="B1818"/>
  <c r="B1817"/>
  <c r="B1816"/>
  <c r="B1815"/>
  <c r="B1814"/>
  <c r="B1813"/>
  <c r="B1812"/>
  <c r="B1811"/>
  <c r="B1810"/>
  <c r="B1809"/>
  <c r="B1808"/>
  <c r="B1807"/>
  <c r="B1806"/>
  <c r="B1805"/>
  <c r="B1804"/>
  <c r="B1803"/>
  <c r="B1802"/>
  <c r="B1801"/>
  <c r="B1800"/>
  <c r="B1799"/>
  <c r="B1798"/>
  <c r="B1797"/>
  <c r="B1796"/>
  <c r="B1795"/>
  <c r="B1794"/>
  <c r="B1793"/>
  <c r="B1792"/>
  <c r="B1791"/>
  <c r="B1790"/>
  <c r="B1789"/>
  <c r="B1788"/>
  <c r="B1787"/>
  <c r="B1786"/>
  <c r="G50" i="13"/>
  <c r="G49"/>
  <c r="G48"/>
  <c r="G35"/>
  <c r="G38"/>
  <c r="G37"/>
  <c r="G36"/>
  <c r="G34"/>
  <c r="G32"/>
  <c r="G31"/>
  <c r="G30"/>
  <c r="G29"/>
  <c r="G28"/>
  <c r="G27"/>
  <c r="G26"/>
  <c r="G21"/>
  <c r="G20"/>
  <c r="G19"/>
  <c r="G18"/>
  <c r="G17"/>
  <c r="G16"/>
  <c r="G14"/>
  <c r="F14"/>
  <c r="G12"/>
  <c r="G11"/>
  <c r="G10"/>
  <c r="G9"/>
  <c r="G8"/>
  <c r="O1290" i="33"/>
  <c r="F7" i="13"/>
  <c r="I3165" i="33"/>
  <c r="I3164"/>
  <c r="I3163"/>
  <c r="I3162"/>
  <c r="I3161"/>
  <c r="I3160"/>
  <c r="I3159"/>
  <c r="I3158"/>
  <c r="I3157"/>
  <c r="I3156"/>
  <c r="I3155"/>
  <c r="I1381"/>
  <c r="I1380"/>
  <c r="I1379"/>
  <c r="I1378"/>
  <c r="I1377"/>
  <c r="I1376"/>
  <c r="I1375"/>
  <c r="I1374"/>
  <c r="I1167"/>
  <c r="I1166"/>
  <c r="Q1620" s="1"/>
  <c r="I1165"/>
  <c r="Q1619" s="1"/>
  <c r="I1164"/>
  <c r="Q1618" s="1"/>
  <c r="I1163"/>
  <c r="I1162"/>
  <c r="I1161"/>
  <c r="I1160"/>
  <c r="I843"/>
  <c r="Q843" s="1"/>
  <c r="I842"/>
  <c r="I841"/>
  <c r="I840"/>
  <c r="Q1610" s="1"/>
  <c r="I839"/>
  <c r="Q1609" s="1"/>
  <c r="I838"/>
  <c r="I837"/>
  <c r="I836"/>
  <c r="Q836" s="1"/>
  <c r="I1373"/>
  <c r="I1372"/>
  <c r="I1371"/>
  <c r="I1370"/>
  <c r="I1369"/>
  <c r="I1368"/>
  <c r="I1367"/>
  <c r="I1366"/>
  <c r="I1365"/>
  <c r="I616"/>
  <c r="Q1596" s="1"/>
  <c r="I615"/>
  <c r="I614"/>
  <c r="I613"/>
  <c r="I612"/>
  <c r="Q612" s="1"/>
  <c r="I611"/>
  <c r="I610"/>
  <c r="I640"/>
  <c r="Q640" s="1"/>
  <c r="I639"/>
  <c r="Q639" s="1"/>
  <c r="I1364"/>
  <c r="I1363"/>
  <c r="I1362"/>
  <c r="I1361"/>
  <c r="I1360"/>
  <c r="I1359"/>
  <c r="I609"/>
  <c r="I608"/>
  <c r="I876"/>
  <c r="I713"/>
  <c r="I1284"/>
  <c r="I1283"/>
  <c r="I1282"/>
  <c r="Q1282" s="1"/>
  <c r="I1194"/>
  <c r="I1193"/>
  <c r="I1192"/>
  <c r="I968"/>
  <c r="Q968" s="1"/>
  <c r="I967"/>
  <c r="Q967" s="1"/>
  <c r="I966"/>
  <c r="Q966" s="1"/>
  <c r="I1159"/>
  <c r="I1158"/>
  <c r="I1157"/>
  <c r="Q1157" s="1"/>
  <c r="I619"/>
  <c r="Q619" s="1"/>
  <c r="I618"/>
  <c r="I617"/>
  <c r="I607"/>
  <c r="I606"/>
  <c r="I605"/>
  <c r="I604"/>
  <c r="I1358"/>
  <c r="I1357"/>
  <c r="I715"/>
  <c r="Q1556" s="1"/>
  <c r="I714"/>
  <c r="I638"/>
  <c r="I637"/>
  <c r="I636"/>
  <c r="I635"/>
  <c r="I634"/>
  <c r="I633"/>
  <c r="I858"/>
  <c r="I857"/>
  <c r="I745"/>
  <c r="I744"/>
  <c r="I743"/>
  <c r="I742"/>
  <c r="I632"/>
  <c r="Q632" s="1"/>
  <c r="I631"/>
  <c r="Q631" s="1"/>
  <c r="I630"/>
  <c r="Q630" s="1"/>
  <c r="I629"/>
  <c r="Q629" s="1"/>
  <c r="I628"/>
  <c r="I627"/>
  <c r="I1212"/>
  <c r="Q1536" s="1"/>
  <c r="I1211"/>
  <c r="Q1535" s="1"/>
  <c r="I1210"/>
  <c r="Q1534" s="1"/>
  <c r="I1209"/>
  <c r="Q1533" s="1"/>
  <c r="I1208"/>
  <c r="Q1532" s="1"/>
  <c r="I1243"/>
  <c r="Q1531" s="1"/>
  <c r="I1242"/>
  <c r="I1241"/>
  <c r="I1240"/>
  <c r="I1239"/>
  <c r="I1238"/>
  <c r="I1237"/>
  <c r="I1236"/>
  <c r="I1235"/>
  <c r="I1234"/>
  <c r="I1224"/>
  <c r="I1223"/>
  <c r="I1222"/>
  <c r="I1221"/>
  <c r="I1220"/>
  <c r="I1253"/>
  <c r="I1252"/>
  <c r="I1251"/>
  <c r="I1250"/>
  <c r="I1249"/>
  <c r="Q1249" s="1"/>
  <c r="I1262"/>
  <c r="Q1262" s="1"/>
  <c r="I1261"/>
  <c r="Q1261" s="1"/>
  <c r="I1260"/>
  <c r="Q1260" s="1"/>
  <c r="I1259"/>
  <c r="I1258"/>
  <c r="I1300"/>
  <c r="I1299"/>
  <c r="I1298"/>
  <c r="I1297"/>
  <c r="I1296"/>
  <c r="I1219"/>
  <c r="I1218"/>
  <c r="I1217"/>
  <c r="I1216"/>
  <c r="I1215"/>
  <c r="I1295"/>
  <c r="I1294"/>
  <c r="I1293"/>
  <c r="I1292"/>
  <c r="I1291"/>
  <c r="I1182"/>
  <c r="Q1182" s="1"/>
  <c r="I1181"/>
  <c r="I1180"/>
  <c r="Q1180" s="1"/>
  <c r="I1179"/>
  <c r="I1178"/>
  <c r="Q1178" s="1"/>
  <c r="I1191"/>
  <c r="Q1191" s="1"/>
  <c r="I1190"/>
  <c r="Q1190" s="1"/>
  <c r="I1189"/>
  <c r="Q1189" s="1"/>
  <c r="I1170"/>
  <c r="Q1170" s="1"/>
  <c r="I1248"/>
  <c r="Q1248" s="1"/>
  <c r="I1207"/>
  <c r="I1206"/>
  <c r="I1205"/>
  <c r="I1204"/>
  <c r="I1203"/>
  <c r="I1307"/>
  <c r="I1306"/>
  <c r="I1305"/>
  <c r="I1304"/>
  <c r="I1303"/>
  <c r="I873"/>
  <c r="I872"/>
  <c r="I871"/>
  <c r="I870"/>
  <c r="I869"/>
  <c r="I1086"/>
  <c r="I1085"/>
  <c r="I1084"/>
  <c r="I1083"/>
  <c r="I1082"/>
  <c r="I1156"/>
  <c r="I1155"/>
  <c r="I1154"/>
  <c r="I1153"/>
  <c r="I1152"/>
  <c r="I1151"/>
  <c r="I1150"/>
  <c r="I1149"/>
  <c r="I1148"/>
  <c r="I1147"/>
  <c r="Q1147" s="1"/>
  <c r="I1134"/>
  <c r="I1133"/>
  <c r="I1132"/>
  <c r="I1131"/>
  <c r="I1130"/>
  <c r="I1119"/>
  <c r="I1118"/>
  <c r="I1117"/>
  <c r="I1116"/>
  <c r="I1115"/>
  <c r="I1114"/>
  <c r="I1113"/>
  <c r="Q1113" s="1"/>
  <c r="I1112"/>
  <c r="Q1112" s="1"/>
  <c r="I1111"/>
  <c r="Q1111" s="1"/>
  <c r="I1110"/>
  <c r="Q1110" s="1"/>
  <c r="I1109"/>
  <c r="Q1109" s="1"/>
  <c r="I1108"/>
  <c r="Q1108" s="1"/>
  <c r="I1107"/>
  <c r="Q1107" s="1"/>
  <c r="I1106"/>
  <c r="Q1106" s="1"/>
  <c r="I1105"/>
  <c r="I1081"/>
  <c r="I1080"/>
  <c r="I1079"/>
  <c r="I1078"/>
  <c r="I1077"/>
  <c r="Q1077" s="1"/>
  <c r="I1076"/>
  <c r="I1075"/>
  <c r="Q1075" s="1"/>
  <c r="I1074"/>
  <c r="I1073"/>
  <c r="I1072"/>
  <c r="I1056"/>
  <c r="I1055"/>
  <c r="I1054"/>
  <c r="I1053"/>
  <c r="I1052"/>
  <c r="Q1417" s="1"/>
  <c r="I1045"/>
  <c r="I1044"/>
  <c r="Q1415" s="1"/>
  <c r="I1043"/>
  <c r="Q1414" s="1"/>
  <c r="I1042"/>
  <c r="Q1413" s="1"/>
  <c r="I1041"/>
  <c r="Q1412" s="1"/>
  <c r="I1034"/>
  <c r="Q1411" s="1"/>
  <c r="I1033"/>
  <c r="Q1410" s="1"/>
  <c r="I1032"/>
  <c r="Q1409" s="1"/>
  <c r="I1031"/>
  <c r="I1030"/>
  <c r="I1000"/>
  <c r="Q1406" s="1"/>
  <c r="I999"/>
  <c r="Q1405" s="1"/>
  <c r="I998"/>
  <c r="Q1404" s="1"/>
  <c r="I997"/>
  <c r="I996"/>
  <c r="Q1402" s="1"/>
  <c r="I995"/>
  <c r="Q1401" s="1"/>
  <c r="I994"/>
  <c r="I993"/>
  <c r="I992"/>
  <c r="Q1398" s="1"/>
  <c r="I991"/>
  <c r="Q1397" s="1"/>
  <c r="I965"/>
  <c r="I964"/>
  <c r="I963"/>
  <c r="I962"/>
  <c r="I961"/>
  <c r="I1104"/>
  <c r="I1103"/>
  <c r="I1102"/>
  <c r="I1101"/>
  <c r="I1100"/>
  <c r="I948"/>
  <c r="I947"/>
  <c r="Q1385" s="1"/>
  <c r="I946"/>
  <c r="Q1384" s="1"/>
  <c r="I945"/>
  <c r="Q1383" s="1"/>
  <c r="I944"/>
  <c r="Q1382" s="1"/>
  <c r="I941"/>
  <c r="I940"/>
  <c r="I939"/>
  <c r="Q1379" s="1"/>
  <c r="I938"/>
  <c r="Q1378" s="1"/>
  <c r="I937"/>
  <c r="Q1377" s="1"/>
  <c r="I1071"/>
  <c r="I1070"/>
  <c r="I1069"/>
  <c r="I1068"/>
  <c r="I1067"/>
  <c r="I906"/>
  <c r="I905"/>
  <c r="I904"/>
  <c r="Q1369" s="1"/>
  <c r="I903"/>
  <c r="Q1368" s="1"/>
  <c r="I902"/>
  <c r="Q1367" s="1"/>
  <c r="I932"/>
  <c r="Q1366" s="1"/>
  <c r="I931"/>
  <c r="Q1365" s="1"/>
  <c r="I930"/>
  <c r="I929"/>
  <c r="I928"/>
  <c r="I927"/>
  <c r="I926"/>
  <c r="I925"/>
  <c r="I924"/>
  <c r="I923"/>
  <c r="I922"/>
  <c r="I921"/>
  <c r="I920"/>
  <c r="I919"/>
  <c r="I918"/>
  <c r="I886"/>
  <c r="Q886" s="1"/>
  <c r="I885"/>
  <c r="Q885" s="1"/>
  <c r="I884"/>
  <c r="I883"/>
  <c r="I882"/>
  <c r="I835"/>
  <c r="I834"/>
  <c r="I833"/>
  <c r="I832"/>
  <c r="I831"/>
  <c r="I656"/>
  <c r="Q1341" s="1"/>
  <c r="I655"/>
  <c r="Q1340" s="1"/>
  <c r="I654"/>
  <c r="Q1339" s="1"/>
  <c r="I653"/>
  <c r="Q1338" s="1"/>
  <c r="I652"/>
  <c r="Q1337" s="1"/>
  <c r="I651"/>
  <c r="Q1336" s="1"/>
  <c r="I650"/>
  <c r="Q1335" s="1"/>
  <c r="I649"/>
  <c r="Q1334" s="1"/>
  <c r="I648"/>
  <c r="I647"/>
  <c r="I663"/>
  <c r="Q1331" s="1"/>
  <c r="I662"/>
  <c r="Q1330" s="1"/>
  <c r="I661"/>
  <c r="Q1329" s="1"/>
  <c r="I660"/>
  <c r="Q1328" s="1"/>
  <c r="I659"/>
  <c r="Q1327" s="1"/>
  <c r="I712"/>
  <c r="Q1326" s="1"/>
  <c r="I711"/>
  <c r="Q1325" s="1"/>
  <c r="I710"/>
  <c r="Q1324" s="1"/>
  <c r="I709"/>
  <c r="Q1323" s="1"/>
  <c r="I708"/>
  <c r="Q1322" s="1"/>
  <c r="I707"/>
  <c r="Q1321" s="1"/>
  <c r="I706"/>
  <c r="Q1320" s="1"/>
  <c r="I705"/>
  <c r="Q1319" s="1"/>
  <c r="I704"/>
  <c r="Q1318" s="1"/>
  <c r="I703"/>
  <c r="Q1317" s="1"/>
  <c r="I702"/>
  <c r="Q1316" s="1"/>
  <c r="I701"/>
  <c r="Q1315" s="1"/>
  <c r="I700"/>
  <c r="I699"/>
  <c r="I698"/>
  <c r="I741"/>
  <c r="I740"/>
  <c r="I739"/>
  <c r="I738"/>
  <c r="I737"/>
  <c r="I736"/>
  <c r="I735"/>
  <c r="I734"/>
  <c r="I733"/>
  <c r="I732"/>
  <c r="I786"/>
  <c r="I785"/>
  <c r="I784"/>
  <c r="I783"/>
  <c r="I782"/>
  <c r="I682"/>
  <c r="Q1296" s="1"/>
  <c r="I681"/>
  <c r="I680"/>
  <c r="I679"/>
  <c r="I678"/>
  <c r="D55" i="13"/>
  <c r="E54" s="1"/>
  <c r="I54" s="1"/>
  <c r="E7"/>
  <c r="F45"/>
  <c r="Q1293" i="33" l="1"/>
  <c r="Q1297"/>
  <c r="Q1295"/>
  <c r="Q1363"/>
  <c r="Q1298"/>
  <c r="Q2098"/>
  <c r="Q2100"/>
  <c r="Q2105"/>
  <c r="Q2107"/>
  <c r="Q2106"/>
  <c r="Q2108"/>
  <c r="Q2117"/>
  <c r="Q2119"/>
  <c r="Q2118"/>
  <c r="Q2120"/>
  <c r="Q2135"/>
  <c r="Q2137"/>
  <c r="Q2136"/>
  <c r="Q2138"/>
  <c r="Q2035"/>
  <c r="Q2037"/>
  <c r="Q2103"/>
  <c r="Q2104"/>
  <c r="Q2115"/>
  <c r="Q2116"/>
  <c r="Q2036"/>
  <c r="Q1996"/>
  <c r="Q1294"/>
  <c r="Q1362"/>
  <c r="Q1364"/>
  <c r="Q1292"/>
  <c r="Q678"/>
  <c r="Q1300"/>
  <c r="Q785"/>
  <c r="Q1302"/>
  <c r="Q732"/>
  <c r="Q1304"/>
  <c r="Q734"/>
  <c r="Q1306"/>
  <c r="Q736"/>
  <c r="Q1308"/>
  <c r="Q738"/>
  <c r="Q1310"/>
  <c r="Q740"/>
  <c r="Q1312"/>
  <c r="Q698"/>
  <c r="Q1314"/>
  <c r="Q700"/>
  <c r="Q1332"/>
  <c r="Q647"/>
  <c r="Q1342"/>
  <c r="Q831"/>
  <c r="Q1344"/>
  <c r="Q833"/>
  <c r="Q1346"/>
  <c r="Q835"/>
  <c r="Q1352"/>
  <c r="Q918"/>
  <c r="Q1354"/>
  <c r="Q920"/>
  <c r="Q1356"/>
  <c r="Q922"/>
  <c r="Q1358"/>
  <c r="Q924"/>
  <c r="Q1360"/>
  <c r="Q926"/>
  <c r="Q1370"/>
  <c r="Q905"/>
  <c r="Q1372"/>
  <c r="Q1067"/>
  <c r="Q1374"/>
  <c r="Q1069"/>
  <c r="Q1376"/>
  <c r="Q1071"/>
  <c r="Q1380"/>
  <c r="Q940"/>
  <c r="Q1103"/>
  <c r="Q961"/>
  <c r="Q1394"/>
  <c r="Q963"/>
  <c r="Q1396"/>
  <c r="Q965"/>
  <c r="Q1400"/>
  <c r="Q994"/>
  <c r="Q1408"/>
  <c r="Q1031"/>
  <c r="Q1416"/>
  <c r="Q1045"/>
  <c r="Q1072"/>
  <c r="Q1074"/>
  <c r="Q1076"/>
  <c r="Q1078"/>
  <c r="Q1080"/>
  <c r="Q1105"/>
  <c r="Q1149"/>
  <c r="Q1153"/>
  <c r="Q1155"/>
  <c r="Q1462"/>
  <c r="Q1082"/>
  <c r="Q1464"/>
  <c r="Q1084"/>
  <c r="Q1466"/>
  <c r="Q1086"/>
  <c r="Q1468"/>
  <c r="Q870"/>
  <c r="Q1470"/>
  <c r="Q872"/>
  <c r="Q1179"/>
  <c r="Q1181"/>
  <c r="Q1221"/>
  <c r="Q1223"/>
  <c r="Q1234"/>
  <c r="Q1236"/>
  <c r="Q1238"/>
  <c r="Q1240"/>
  <c r="Q1530"/>
  <c r="Q1242"/>
  <c r="Q628"/>
  <c r="Q858"/>
  <c r="Q1572"/>
  <c r="Q1192"/>
  <c r="Q1574"/>
  <c r="Q1194"/>
  <c r="Q1299"/>
  <c r="Q784"/>
  <c r="Q1301"/>
  <c r="Q786"/>
  <c r="Q1303"/>
  <c r="Q733"/>
  <c r="Q1305"/>
  <c r="Q735"/>
  <c r="Q1307"/>
  <c r="Q737"/>
  <c r="Q1309"/>
  <c r="Q739"/>
  <c r="Q1311"/>
  <c r="Q741"/>
  <c r="Q1313"/>
  <c r="Q699"/>
  <c r="Q1333"/>
  <c r="Q648"/>
  <c r="Q1343"/>
  <c r="Q832"/>
  <c r="Q1345"/>
  <c r="Q834"/>
  <c r="Q1353"/>
  <c r="Q919"/>
  <c r="Q1355"/>
  <c r="Q921"/>
  <c r="Q1357"/>
  <c r="Q923"/>
  <c r="Q1359"/>
  <c r="Q925"/>
  <c r="Q1361"/>
  <c r="Q927"/>
  <c r="Q1371"/>
  <c r="Q906"/>
  <c r="Q1373"/>
  <c r="Q1068"/>
  <c r="Q1375"/>
  <c r="Q1070"/>
  <c r="Q1381"/>
  <c r="Q941"/>
  <c r="Q1102"/>
  <c r="Q1104"/>
  <c r="Q1393"/>
  <c r="Q962"/>
  <c r="Q1395"/>
  <c r="Q964"/>
  <c r="Q1399"/>
  <c r="Q993"/>
  <c r="Q1407"/>
  <c r="Q1030"/>
  <c r="Q1073"/>
  <c r="Q1079"/>
  <c r="Q1081"/>
  <c r="Q1148"/>
  <c r="Q1150"/>
  <c r="Q1152"/>
  <c r="Q1154"/>
  <c r="Q1461"/>
  <c r="Q1156"/>
  <c r="Q1463"/>
  <c r="Q1083"/>
  <c r="Q1465"/>
  <c r="Q1085"/>
  <c r="Q1467"/>
  <c r="Q869"/>
  <c r="Q1469"/>
  <c r="Q871"/>
  <c r="Q1471"/>
  <c r="Q873"/>
  <c r="Q1220"/>
  <c r="Q1222"/>
  <c r="Q1224"/>
  <c r="Q1235"/>
  <c r="Q1237"/>
  <c r="Q1239"/>
  <c r="Q1529"/>
  <c r="Q1241"/>
  <c r="Q1537"/>
  <c r="Q627"/>
  <c r="Q857"/>
  <c r="Q633"/>
  <c r="Q1573"/>
  <c r="Q1193"/>
  <c r="Q837"/>
  <c r="Q1621"/>
  <c r="Q1167"/>
  <c r="Q1348"/>
  <c r="Q1350"/>
  <c r="Q1472"/>
  <c r="Q1243"/>
  <c r="Q1474"/>
  <c r="Q1245"/>
  <c r="Q1476"/>
  <c r="Q1247"/>
  <c r="Q1492"/>
  <c r="Q1250"/>
  <c r="Q1494"/>
  <c r="Q1252"/>
  <c r="Q1254"/>
  <c r="Q1255"/>
  <c r="Q1257"/>
  <c r="Q1506"/>
  <c r="Q1259"/>
  <c r="Q1508"/>
  <c r="Q1289"/>
  <c r="Q1510"/>
  <c r="Q1291"/>
  <c r="Q1196"/>
  <c r="Q1576"/>
  <c r="Q1284"/>
  <c r="Q1197"/>
  <c r="Q1199"/>
  <c r="Q1586"/>
  <c r="Q1201"/>
  <c r="Q1204"/>
  <c r="Q1206"/>
  <c r="Q1208"/>
  <c r="Q1210"/>
  <c r="Q1622"/>
  <c r="Q1212"/>
  <c r="Q1214"/>
  <c r="Q1216"/>
  <c r="Q1218"/>
  <c r="Q1936"/>
  <c r="Q711"/>
  <c r="Q1937"/>
  <c r="Q712"/>
  <c r="Q1938"/>
  <c r="Q713"/>
  <c r="Q1939"/>
  <c r="Q714"/>
  <c r="Q715"/>
  <c r="Q716"/>
  <c r="Q717"/>
  <c r="Q747"/>
  <c r="Q748"/>
  <c r="Q749"/>
  <c r="Q750"/>
  <c r="Q751"/>
  <c r="Q703"/>
  <c r="Q704"/>
  <c r="Q705"/>
  <c r="Q706"/>
  <c r="Q707"/>
  <c r="Q770"/>
  <c r="Q771"/>
  <c r="Q772"/>
  <c r="Q773"/>
  <c r="Q774"/>
  <c r="Q760"/>
  <c r="Q761"/>
  <c r="Q762"/>
  <c r="Q763"/>
  <c r="Q764"/>
  <c r="Q718"/>
  <c r="Q719"/>
  <c r="Q720"/>
  <c r="Q721"/>
  <c r="Q722"/>
  <c r="Q662"/>
  <c r="Q663"/>
  <c r="Q664"/>
  <c r="Q665"/>
  <c r="Q666"/>
  <c r="Q1165"/>
  <c r="Q1166"/>
  <c r="Q1143"/>
  <c r="Q1144"/>
  <c r="Q1997"/>
  <c r="Q613"/>
  <c r="Q1998"/>
  <c r="Q614"/>
  <c r="Q1999"/>
  <c r="Q615"/>
  <c r="Q2000"/>
  <c r="Q616"/>
  <c r="Q2001"/>
  <c r="Q617"/>
  <c r="Q2002"/>
  <c r="Q618"/>
  <c r="Q2003"/>
  <c r="Q794"/>
  <c r="Q2004"/>
  <c r="Q795"/>
  <c r="Q2005"/>
  <c r="Q505"/>
  <c r="Q2006"/>
  <c r="Q506"/>
  <c r="Q2007"/>
  <c r="Q490"/>
  <c r="Q2008"/>
  <c r="Q491"/>
  <c r="Q2009"/>
  <c r="Q492"/>
  <c r="Q2010"/>
  <c r="Q493"/>
  <c r="Q2011"/>
  <c r="Q494"/>
  <c r="Q2012"/>
  <c r="Q495"/>
  <c r="Q2013"/>
  <c r="Q478"/>
  <c r="Q2014"/>
  <c r="Q479"/>
  <c r="Q2015"/>
  <c r="Q449"/>
  <c r="Q2016"/>
  <c r="Q450"/>
  <c r="Q2017"/>
  <c r="Q451"/>
  <c r="Q2018"/>
  <c r="Q452"/>
  <c r="Q2019"/>
  <c r="Q442"/>
  <c r="Q2022"/>
  <c r="Q445"/>
  <c r="Q2023"/>
  <c r="Q446"/>
  <c r="Q2024"/>
  <c r="Q447"/>
  <c r="Q2025"/>
  <c r="Q448"/>
  <c r="Q2026"/>
  <c r="Q434"/>
  <c r="Q2027"/>
  <c r="Q435"/>
  <c r="Q2028"/>
  <c r="Q419"/>
  <c r="Q2029"/>
  <c r="Q420"/>
  <c r="Q2030"/>
  <c r="Q421"/>
  <c r="Q2031"/>
  <c r="Q422"/>
  <c r="Q2032"/>
  <c r="Q423"/>
  <c r="Q2033"/>
  <c r="Q424"/>
  <c r="Q2038"/>
  <c r="Q390"/>
  <c r="Q2039"/>
  <c r="Q391"/>
  <c r="Q2040"/>
  <c r="Q392"/>
  <c r="Q2041"/>
  <c r="Q393"/>
  <c r="Q2042"/>
  <c r="Q394"/>
  <c r="Q2043"/>
  <c r="Q395"/>
  <c r="Q2044"/>
  <c r="Q396"/>
  <c r="Q2045"/>
  <c r="Q371"/>
  <c r="Q2046"/>
  <c r="Q372"/>
  <c r="Q2047"/>
  <c r="Q373"/>
  <c r="Q2048"/>
  <c r="Q374"/>
  <c r="Q2049"/>
  <c r="Q375"/>
  <c r="Q2050"/>
  <c r="Q376"/>
  <c r="Q2051"/>
  <c r="Q377"/>
  <c r="Q2052"/>
  <c r="Q342"/>
  <c r="Q2053"/>
  <c r="Q343"/>
  <c r="Q2054"/>
  <c r="Q344"/>
  <c r="Q2055"/>
  <c r="Q345"/>
  <c r="Q2056"/>
  <c r="Q346"/>
  <c r="Q2057"/>
  <c r="Q347"/>
  <c r="Q2058"/>
  <c r="Q348"/>
  <c r="Q2059"/>
  <c r="Q349"/>
  <c r="Q2060"/>
  <c r="Q350"/>
  <c r="Q2061"/>
  <c r="Q351"/>
  <c r="Q2062"/>
  <c r="Q352"/>
  <c r="Q2063"/>
  <c r="Q353"/>
  <c r="Q2064"/>
  <c r="Q354"/>
  <c r="Q2065"/>
  <c r="Q355"/>
  <c r="Q2066"/>
  <c r="Q356"/>
  <c r="Q2067"/>
  <c r="Q357"/>
  <c r="Q2068"/>
  <c r="Q401"/>
  <c r="Q2069"/>
  <c r="Q402"/>
  <c r="Q2070"/>
  <c r="Q458"/>
  <c r="Q2071"/>
  <c r="Q459"/>
  <c r="Q2072"/>
  <c r="Q460"/>
  <c r="Q2073"/>
  <c r="Q461"/>
  <c r="Q2074"/>
  <c r="Q462"/>
  <c r="Q2075"/>
  <c r="Q463"/>
  <c r="Q2076"/>
  <c r="Q403"/>
  <c r="Q2077"/>
  <c r="Q404"/>
  <c r="Q2078"/>
  <c r="Q358"/>
  <c r="Q2079"/>
  <c r="Q359"/>
  <c r="Q2080"/>
  <c r="Q360"/>
  <c r="Q2081"/>
  <c r="Q361"/>
  <c r="Q2082"/>
  <c r="Q362"/>
  <c r="Q2083"/>
  <c r="Q363"/>
  <c r="Q2084"/>
  <c r="Q464"/>
  <c r="Q2085"/>
  <c r="Q465"/>
  <c r="Q2086"/>
  <c r="Q503"/>
  <c r="Q2087"/>
  <c r="Q504"/>
  <c r="Q2088"/>
  <c r="Q507"/>
  <c r="Q2089"/>
  <c r="Q508"/>
  <c r="Q2090"/>
  <c r="Q364"/>
  <c r="Q2091"/>
  <c r="Q365"/>
  <c r="Q2092"/>
  <c r="Q336"/>
  <c r="Q599"/>
  <c r="Q1444"/>
  <c r="Q1446"/>
  <c r="Q1448"/>
  <c r="Q1450"/>
  <c r="Q1452"/>
  <c r="Q1478"/>
  <c r="Q1480"/>
  <c r="Q1482"/>
  <c r="Q1484"/>
  <c r="Q1512"/>
  <c r="Q1570"/>
  <c r="Q1588"/>
  <c r="Q1590"/>
  <c r="Q1347"/>
  <c r="Q1349"/>
  <c r="Q1351"/>
  <c r="Q1473"/>
  <c r="Q1244"/>
  <c r="Q1475"/>
  <c r="Q1246"/>
  <c r="Q1493"/>
  <c r="Q1251"/>
  <c r="Q1253"/>
  <c r="Q1256"/>
  <c r="Q1258"/>
  <c r="Q1507"/>
  <c r="Q1288"/>
  <c r="Q1509"/>
  <c r="Q1290"/>
  <c r="Q1195"/>
  <c r="Q1575"/>
  <c r="Q1283"/>
  <c r="Q1577"/>
  <c r="Q1285"/>
  <c r="Q1198"/>
  <c r="Q1585"/>
  <c r="Q1200"/>
  <c r="Q1587"/>
  <c r="Q1202"/>
  <c r="Q1597"/>
  <c r="Q1203"/>
  <c r="Q1205"/>
  <c r="Q1207"/>
  <c r="Q1209"/>
  <c r="Q1211"/>
  <c r="Q1213"/>
  <c r="Q1215"/>
  <c r="Q1217"/>
  <c r="Q1219"/>
  <c r="Q594"/>
  <c r="Q595"/>
  <c r="Q596"/>
  <c r="Q597"/>
  <c r="Q598"/>
  <c r="Q601"/>
  <c r="Q602"/>
  <c r="Q1987"/>
  <c r="Q603"/>
  <c r="Q1988"/>
  <c r="Q604"/>
  <c r="Q1989"/>
  <c r="Q605"/>
  <c r="Q1990"/>
  <c r="Q606"/>
  <c r="Q1991"/>
  <c r="Q607"/>
  <c r="Q1992"/>
  <c r="Q608"/>
  <c r="Q1993"/>
  <c r="Q609"/>
  <c r="Q1994"/>
  <c r="Q610"/>
  <c r="Q1995"/>
  <c r="Q611"/>
  <c r="Q600"/>
  <c r="Q1443"/>
  <c r="Q1445"/>
  <c r="Q1447"/>
  <c r="Q1449"/>
  <c r="Q1451"/>
  <c r="Q1477"/>
  <c r="Q1479"/>
  <c r="Q1481"/>
  <c r="Q1483"/>
  <c r="Q1511"/>
  <c r="Q1571"/>
  <c r="Q1589"/>
  <c r="G25" i="13"/>
  <c r="G6"/>
  <c r="G46"/>
  <c r="G33"/>
  <c r="F50" l="1"/>
  <c r="F49"/>
  <c r="F48"/>
  <c r="F44"/>
  <c r="F43"/>
  <c r="F42"/>
  <c r="F38"/>
  <c r="F37"/>
  <c r="F36"/>
  <c r="F35"/>
  <c r="F34"/>
  <c r="F26"/>
  <c r="F32"/>
  <c r="F31"/>
  <c r="F30"/>
  <c r="F29"/>
  <c r="F28"/>
  <c r="F27"/>
  <c r="F22"/>
  <c r="F21"/>
  <c r="F20"/>
  <c r="F19"/>
  <c r="F18"/>
  <c r="F17"/>
  <c r="F16"/>
  <c r="F15"/>
  <c r="F12"/>
  <c r="F11"/>
  <c r="F10"/>
  <c r="F9"/>
  <c r="F8"/>
  <c r="J981" i="33"/>
  <c r="J893"/>
  <c r="O888"/>
  <c r="O877"/>
  <c r="O860"/>
  <c r="O859"/>
  <c r="O856"/>
  <c r="O855"/>
  <c r="O854"/>
  <c r="O853"/>
  <c r="O852"/>
  <c r="O851"/>
  <c r="O798"/>
  <c r="O621"/>
  <c r="J621"/>
  <c r="O286"/>
  <c r="J286"/>
  <c r="E48" i="13"/>
  <c r="E42"/>
  <c r="E51"/>
  <c r="E18"/>
  <c r="E12"/>
  <c r="M1" i="33"/>
  <c r="I2" i="13"/>
  <c r="O549" i="33"/>
  <c r="J549"/>
  <c r="O523"/>
  <c r="J523"/>
  <c r="O524"/>
  <c r="O498"/>
  <c r="J498"/>
  <c r="O458"/>
  <c r="J458"/>
  <c r="J349"/>
  <c r="J348"/>
  <c r="O303"/>
  <c r="O295"/>
  <c r="O294"/>
  <c r="O293"/>
  <c r="O292"/>
  <c r="O291"/>
  <c r="O290"/>
  <c r="O289"/>
  <c r="O288"/>
  <c r="O287"/>
  <c r="J128"/>
  <c r="E43" i="13"/>
  <c r="E44"/>
  <c r="E49"/>
  <c r="E47"/>
  <c r="E50"/>
  <c r="E37"/>
  <c r="E36"/>
  <c r="E35"/>
  <c r="H33"/>
  <c r="E34"/>
  <c r="E32"/>
  <c r="E31"/>
  <c r="E30"/>
  <c r="E29"/>
  <c r="E28"/>
  <c r="E27"/>
  <c r="E26"/>
  <c r="E22"/>
  <c r="E21"/>
  <c r="E20"/>
  <c r="E19"/>
  <c r="E17"/>
  <c r="E16"/>
  <c r="E15"/>
  <c r="E14"/>
  <c r="I14" s="1"/>
  <c r="E11"/>
  <c r="E10"/>
  <c r="E9"/>
  <c r="E8"/>
  <c r="I7"/>
  <c r="I5"/>
  <c r="O532" i="33"/>
  <c r="O529"/>
  <c r="O478"/>
  <c r="O477"/>
  <c r="O469"/>
  <c r="O468"/>
  <c r="O438"/>
  <c r="O437"/>
  <c r="O436"/>
  <c r="O407"/>
  <c r="O406"/>
  <c r="O405"/>
  <c r="O404"/>
  <c r="O389"/>
  <c r="O388"/>
  <c r="O387"/>
  <c r="O363"/>
  <c r="O362"/>
  <c r="O361"/>
  <c r="O360"/>
  <c r="O358"/>
  <c r="O346"/>
  <c r="O345"/>
  <c r="O344"/>
  <c r="O343"/>
  <c r="O342"/>
  <c r="O341"/>
  <c r="O340"/>
  <c r="O339"/>
  <c r="O337"/>
  <c r="O336"/>
  <c r="O335"/>
  <c r="O334"/>
  <c r="O302"/>
  <c r="O301"/>
  <c r="O300"/>
  <c r="O237"/>
  <c r="O236"/>
  <c r="O235"/>
  <c r="O234"/>
  <c r="O233"/>
  <c r="O232"/>
  <c r="O231"/>
  <c r="O230"/>
  <c r="O163"/>
  <c r="O162"/>
  <c r="O161"/>
  <c r="O160"/>
  <c r="O159"/>
  <c r="O158"/>
  <c r="O146"/>
  <c r="O145"/>
  <c r="O144"/>
  <c r="O143"/>
  <c r="O142"/>
  <c r="O109"/>
  <c r="O108"/>
  <c r="O107"/>
  <c r="O105"/>
  <c r="O34"/>
  <c r="O33"/>
  <c r="O32"/>
  <c r="O1885"/>
  <c r="O1884"/>
  <c r="O1868"/>
  <c r="O1867"/>
  <c r="O1866"/>
  <c r="O1865"/>
  <c r="O1857"/>
  <c r="O1856"/>
  <c r="O1805"/>
  <c r="O1804"/>
  <c r="O1796"/>
  <c r="O1795"/>
  <c r="O1789"/>
  <c r="O1788"/>
  <c r="O1787"/>
  <c r="O1786"/>
  <c r="O1764"/>
  <c r="O1763"/>
  <c r="O1758"/>
  <c r="O1757"/>
  <c r="O1756"/>
  <c r="O1755"/>
  <c r="O1720"/>
  <c r="O1719"/>
  <c r="O1716"/>
  <c r="O1715"/>
  <c r="O1709"/>
  <c r="O1708"/>
  <c r="O1667"/>
  <c r="O1666"/>
  <c r="O1635"/>
  <c r="O1634"/>
  <c r="O1633"/>
  <c r="O1632"/>
  <c r="O1621"/>
  <c r="O1620"/>
  <c r="O1612"/>
  <c r="O1611"/>
  <c r="O1588"/>
  <c r="O1587"/>
  <c r="O1579"/>
  <c r="O1578"/>
  <c r="O1573"/>
  <c r="O1572"/>
  <c r="O1512"/>
  <c r="O1511"/>
  <c r="O1496"/>
  <c r="O1495"/>
  <c r="O1452"/>
  <c r="O1451"/>
  <c r="O1415"/>
  <c r="O1414"/>
  <c r="O1413"/>
  <c r="O1412"/>
  <c r="O1402"/>
  <c r="O1401"/>
  <c r="O1336"/>
  <c r="O1335"/>
  <c r="O1334"/>
  <c r="O1333"/>
  <c r="O1214"/>
  <c r="O1213"/>
  <c r="O1188"/>
  <c r="O1187"/>
  <c r="O1184"/>
  <c r="O1183"/>
  <c r="O1177"/>
  <c r="O1176"/>
  <c r="O1099"/>
  <c r="O1098"/>
  <c r="O1051"/>
  <c r="O1050"/>
  <c r="O1049"/>
  <c r="O1048"/>
  <c r="O1047"/>
  <c r="O1046"/>
  <c r="O1040"/>
  <c r="O1039"/>
  <c r="O1038"/>
  <c r="O1037"/>
  <c r="O1036"/>
  <c r="O1035"/>
  <c r="O1014"/>
  <c r="O1013"/>
  <c r="O986"/>
  <c r="O985"/>
  <c r="O974"/>
  <c r="O973"/>
  <c r="O972"/>
  <c r="O971"/>
  <c r="O952"/>
  <c r="O951"/>
  <c r="O936"/>
  <c r="O935"/>
  <c r="O914"/>
  <c r="O913"/>
  <c r="O810"/>
  <c r="O809"/>
  <c r="O803"/>
  <c r="O802"/>
  <c r="O727"/>
  <c r="O726"/>
  <c r="O719"/>
  <c r="O718"/>
  <c r="O692"/>
  <c r="O691"/>
  <c r="O668"/>
  <c r="O667"/>
  <c r="O435"/>
  <c r="O434"/>
  <c r="O424"/>
  <c r="O423"/>
  <c r="O384"/>
  <c r="O383"/>
  <c r="O377"/>
  <c r="O376"/>
  <c r="O333"/>
  <c r="O332"/>
  <c r="O331"/>
  <c r="O330"/>
  <c r="O329"/>
  <c r="O328"/>
  <c r="O327"/>
  <c r="O326"/>
  <c r="O299"/>
  <c r="O298"/>
  <c r="O297"/>
  <c r="O296"/>
  <c r="O229"/>
  <c r="O228"/>
  <c r="O200"/>
  <c r="O199"/>
  <c r="O193"/>
  <c r="O192"/>
  <c r="O185"/>
  <c r="O184"/>
  <c r="O157"/>
  <c r="O156"/>
  <c r="O114"/>
  <c r="O113"/>
  <c r="O104"/>
  <c r="O103"/>
  <c r="O56"/>
  <c r="O55"/>
  <c r="O1823"/>
  <c r="O1822"/>
  <c r="O1597"/>
  <c r="O1596"/>
  <c r="O1586"/>
  <c r="O1585"/>
  <c r="O1575"/>
  <c r="O1574"/>
  <c r="O1577"/>
  <c r="O1576"/>
  <c r="O1571"/>
  <c r="O1570"/>
  <c r="O1619"/>
  <c r="O1618"/>
  <c r="O1650"/>
  <c r="O1649"/>
  <c r="O1685"/>
  <c r="O1684"/>
  <c r="O1702"/>
  <c r="O1701"/>
  <c r="O1483"/>
  <c r="O1482"/>
  <c r="O1450"/>
  <c r="O1449"/>
  <c r="O1448"/>
  <c r="O1447"/>
  <c r="O1446"/>
  <c r="O1445"/>
  <c r="O1444"/>
  <c r="O1443"/>
  <c r="O1411"/>
  <c r="O1410"/>
  <c r="O1400"/>
  <c r="O1399"/>
  <c r="O1398"/>
  <c r="O1397"/>
  <c r="O1385"/>
  <c r="O1384"/>
  <c r="O1383"/>
  <c r="O1382"/>
  <c r="O1302"/>
  <c r="O1289"/>
  <c r="O1288"/>
  <c r="O1287"/>
  <c r="O1286"/>
  <c r="O1285"/>
  <c r="O1257"/>
  <c r="O1256"/>
  <c r="O1247"/>
  <c r="O1246"/>
  <c r="O1245"/>
  <c r="O1244"/>
  <c r="O1230"/>
  <c r="O1229"/>
  <c r="O1228"/>
  <c r="O1227"/>
  <c r="O1226"/>
  <c r="O1225"/>
  <c r="O1202"/>
  <c r="O1201"/>
  <c r="O1200"/>
  <c r="O1199"/>
  <c r="O1198"/>
  <c r="O1197"/>
  <c r="O1175"/>
  <c r="O1174"/>
  <c r="O1169"/>
  <c r="O1168"/>
  <c r="O1142"/>
  <c r="O1141"/>
  <c r="O1129"/>
  <c r="O1128"/>
  <c r="O1127"/>
  <c r="O1126"/>
  <c r="O1125"/>
  <c r="O1124"/>
  <c r="O1123"/>
  <c r="O1122"/>
  <c r="O1121"/>
  <c r="O1120"/>
  <c r="O1097"/>
  <c r="O1096"/>
  <c r="O1095"/>
  <c r="O1094"/>
  <c r="O1090"/>
  <c r="O1089"/>
  <c r="O1063"/>
  <c r="O1062"/>
  <c r="O1012"/>
  <c r="O1011"/>
  <c r="O1010"/>
  <c r="O1009"/>
  <c r="O984"/>
  <c r="O983"/>
  <c r="O970"/>
  <c r="O969"/>
  <c r="O958"/>
  <c r="O957"/>
  <c r="O954"/>
  <c r="O953"/>
  <c r="O950"/>
  <c r="O949"/>
  <c r="O943"/>
  <c r="O942"/>
  <c r="O934"/>
  <c r="O933"/>
  <c r="O912"/>
  <c r="O911"/>
  <c r="O910"/>
  <c r="O909"/>
  <c r="O908"/>
  <c r="O907"/>
  <c r="O875"/>
  <c r="O874"/>
  <c r="O862"/>
  <c r="O861"/>
  <c r="O818"/>
  <c r="O817"/>
  <c r="O816"/>
  <c r="O815"/>
  <c r="O814"/>
  <c r="O813"/>
  <c r="O788"/>
  <c r="O787"/>
  <c r="O771"/>
  <c r="O770"/>
  <c r="O769"/>
  <c r="O768"/>
  <c r="O767"/>
  <c r="O766"/>
  <c r="O765"/>
  <c r="O764"/>
  <c r="O755"/>
  <c r="O754"/>
  <c r="O725"/>
  <c r="O724"/>
  <c r="O717"/>
  <c r="O716"/>
  <c r="O690"/>
  <c r="O689"/>
  <c r="O688"/>
  <c r="O687"/>
  <c r="O686"/>
  <c r="O685"/>
  <c r="O684"/>
  <c r="O683"/>
  <c r="O677"/>
  <c r="O676"/>
  <c r="O658"/>
  <c r="O657"/>
  <c r="O646"/>
  <c r="O645"/>
  <c r="O644"/>
  <c r="O643"/>
  <c r="O561"/>
  <c r="O560"/>
  <c r="O545"/>
  <c r="O544"/>
  <c r="O476"/>
  <c r="O475"/>
  <c r="O467"/>
  <c r="O466"/>
  <c r="O465"/>
  <c r="O464"/>
  <c r="O445"/>
  <c r="O444"/>
  <c r="O431"/>
  <c r="O430"/>
  <c r="O422"/>
  <c r="O421"/>
  <c r="O420"/>
  <c r="O419"/>
  <c r="O386"/>
  <c r="O385"/>
  <c r="O375"/>
  <c r="O374"/>
  <c r="O325"/>
  <c r="O324"/>
  <c r="O253"/>
  <c r="O252"/>
  <c r="O227"/>
  <c r="O226"/>
  <c r="O225"/>
  <c r="O224"/>
  <c r="O223"/>
  <c r="O222"/>
  <c r="O183"/>
  <c r="O182"/>
  <c r="O172"/>
  <c r="O171"/>
  <c r="O170"/>
  <c r="O169"/>
  <c r="O141"/>
  <c r="O140"/>
  <c r="O139"/>
  <c r="O138"/>
  <c r="O102"/>
  <c r="O101"/>
  <c r="O100"/>
  <c r="O99"/>
  <c r="O54"/>
  <c r="O53"/>
  <c r="O1888"/>
  <c r="O1768"/>
  <c r="O1767"/>
  <c r="O1821"/>
  <c r="O1820"/>
  <c r="O1819"/>
  <c r="O1818"/>
  <c r="O1817"/>
  <c r="O1816"/>
  <c r="O1815"/>
  <c r="O1762"/>
  <c r="O1761"/>
  <c r="O1700"/>
  <c r="O1699"/>
  <c r="O1722"/>
  <c r="O1721"/>
  <c r="O1510"/>
  <c r="O1509"/>
  <c r="O1396"/>
  <c r="O1395"/>
  <c r="O1683"/>
  <c r="O1682"/>
  <c r="O1557"/>
  <c r="O1556"/>
  <c r="O1648"/>
  <c r="O1647"/>
  <c r="O1646"/>
  <c r="O1470"/>
  <c r="O1469"/>
  <c r="O1462"/>
  <c r="O1461"/>
  <c r="O1508"/>
  <c r="O1507"/>
  <c r="O1506"/>
  <c r="O1494"/>
  <c r="O1493"/>
  <c r="O1492"/>
  <c r="O1486"/>
  <c r="O1485"/>
  <c r="O1484"/>
  <c r="O1479"/>
  <c r="O1478"/>
  <c r="O1477"/>
  <c r="O1407"/>
  <c r="O1406"/>
  <c r="O1405"/>
  <c r="O1404"/>
  <c r="O1332"/>
  <c r="O1331"/>
  <c r="O1330"/>
  <c r="O1329"/>
  <c r="O1328"/>
  <c r="O1327"/>
  <c r="O1311"/>
  <c r="O1310"/>
  <c r="O1309"/>
  <c r="O1308"/>
  <c r="O1272"/>
  <c r="O1271"/>
  <c r="O1269"/>
  <c r="O1268"/>
  <c r="O1267"/>
  <c r="O1266"/>
  <c r="O1265"/>
  <c r="O1264"/>
  <c r="O1263"/>
  <c r="O1196"/>
  <c r="O1195"/>
  <c r="O1186"/>
  <c r="O1185"/>
  <c r="O1173"/>
  <c r="O1172"/>
  <c r="O1171"/>
  <c r="O1140"/>
  <c r="O1139"/>
  <c r="O1138"/>
  <c r="O1137"/>
  <c r="O1136"/>
  <c r="O1135"/>
  <c r="O1093"/>
  <c r="O1092"/>
  <c r="O1091"/>
  <c r="O1088"/>
  <c r="O1087"/>
  <c r="O1061"/>
  <c r="O1060"/>
  <c r="O1059"/>
  <c r="O1057"/>
  <c r="O1008"/>
  <c r="O1007"/>
  <c r="O1006"/>
  <c r="O1005"/>
  <c r="O982"/>
  <c r="O980"/>
  <c r="O979"/>
  <c r="O978"/>
  <c r="O977"/>
  <c r="O956"/>
  <c r="O955"/>
  <c r="O898"/>
  <c r="O897"/>
  <c r="O896"/>
  <c r="O895"/>
  <c r="O894"/>
  <c r="O892"/>
  <c r="O891"/>
  <c r="O890"/>
  <c r="O889"/>
  <c r="O887"/>
  <c r="O881"/>
  <c r="O880"/>
  <c r="O879"/>
  <c r="O878"/>
  <c r="O850"/>
  <c r="O849"/>
  <c r="O847"/>
  <c r="O846"/>
  <c r="O845"/>
  <c r="O844"/>
  <c r="O812"/>
  <c r="O811"/>
  <c r="O808"/>
  <c r="O807"/>
  <c r="O806"/>
  <c r="O801"/>
  <c r="O800"/>
  <c r="O799"/>
  <c r="O797"/>
  <c r="O796"/>
  <c r="O795"/>
  <c r="O794"/>
  <c r="O763"/>
  <c r="O762"/>
  <c r="O761"/>
  <c r="O753"/>
  <c r="O752"/>
  <c r="O751"/>
  <c r="O750"/>
  <c r="O749"/>
  <c r="O748"/>
  <c r="O746"/>
  <c r="O675"/>
  <c r="O674"/>
  <c r="O670"/>
  <c r="O669"/>
  <c r="O666"/>
  <c r="O665"/>
  <c r="O664"/>
  <c r="O642"/>
  <c r="O641"/>
  <c r="O626"/>
  <c r="O625"/>
  <c r="O624"/>
  <c r="O623"/>
  <c r="O622"/>
  <c r="O620"/>
  <c r="O559"/>
  <c r="O558"/>
  <c r="O557"/>
  <c r="O556"/>
  <c r="O555"/>
  <c r="O554"/>
  <c r="O553"/>
  <c r="O552"/>
  <c r="O551"/>
  <c r="O550"/>
  <c r="O548"/>
  <c r="O547"/>
  <c r="O546"/>
  <c r="O528"/>
  <c r="O527"/>
  <c r="O526"/>
  <c r="O525"/>
  <c r="O522"/>
  <c r="O521"/>
  <c r="O520"/>
  <c r="O519"/>
  <c r="O518"/>
  <c r="O517"/>
  <c r="O501"/>
  <c r="O500"/>
  <c r="O499"/>
  <c r="O497"/>
  <c r="O496"/>
  <c r="O495"/>
  <c r="O494"/>
  <c r="O463"/>
  <c r="O462"/>
  <c r="O461"/>
  <c r="O460"/>
  <c r="O459"/>
  <c r="O457"/>
  <c r="O403"/>
  <c r="O402"/>
  <c r="O401"/>
  <c r="O400"/>
  <c r="O351"/>
  <c r="O350"/>
  <c r="O349"/>
  <c r="O347"/>
  <c r="O318"/>
  <c r="O317"/>
  <c r="O316"/>
  <c r="O315"/>
  <c r="O313"/>
  <c r="O306"/>
  <c r="O305"/>
  <c r="O304"/>
  <c r="O285"/>
  <c r="O255"/>
  <c r="O254"/>
  <c r="O251"/>
  <c r="O250"/>
  <c r="O249"/>
  <c r="O221"/>
  <c r="O220"/>
  <c r="O219"/>
  <c r="O218"/>
  <c r="O217"/>
  <c r="O216"/>
  <c r="O215"/>
  <c r="O214"/>
  <c r="O191"/>
  <c r="O190"/>
  <c r="O189"/>
  <c r="O181"/>
  <c r="O180"/>
  <c r="O179"/>
  <c r="O155"/>
  <c r="O154"/>
  <c r="O153"/>
  <c r="O152"/>
  <c r="O137"/>
  <c r="O136"/>
  <c r="O135"/>
  <c r="O134"/>
  <c r="O133"/>
  <c r="O132"/>
  <c r="O131"/>
  <c r="O130"/>
  <c r="O129"/>
  <c r="O127"/>
  <c r="O118"/>
  <c r="O117"/>
  <c r="O116"/>
  <c r="O115"/>
  <c r="O112"/>
  <c r="O111"/>
  <c r="O58"/>
  <c r="O57"/>
  <c r="O52"/>
  <c r="O51"/>
  <c r="O50"/>
  <c r="O21"/>
  <c r="O20"/>
  <c r="O19"/>
  <c r="O18"/>
  <c r="O17"/>
  <c r="O16"/>
  <c r="O418"/>
  <c r="O417"/>
  <c r="O416"/>
  <c r="O414"/>
  <c r="O488"/>
  <c r="O487"/>
  <c r="O486"/>
  <c r="O484"/>
  <c r="O493"/>
  <c r="O492"/>
  <c r="O491"/>
  <c r="O489"/>
  <c r="O516"/>
  <c r="O515"/>
  <c r="O514"/>
  <c r="O512"/>
  <c r="O483"/>
  <c r="O482"/>
  <c r="O481"/>
  <c r="O479"/>
  <c r="O443"/>
  <c r="O442"/>
  <c r="O441"/>
  <c r="O439"/>
  <c r="O429"/>
  <c r="O428"/>
  <c r="O427"/>
  <c r="O425"/>
  <c r="O474"/>
  <c r="O473"/>
  <c r="O472"/>
  <c r="O470"/>
  <c r="O511"/>
  <c r="O510"/>
  <c r="O509"/>
  <c r="O507"/>
  <c r="O543"/>
  <c r="O542"/>
  <c r="O541"/>
  <c r="O539"/>
  <c r="O456"/>
  <c r="O455"/>
  <c r="O454"/>
  <c r="O452"/>
  <c r="O506"/>
  <c r="O505"/>
  <c r="O504"/>
  <c r="O502"/>
  <c r="O323"/>
  <c r="O322"/>
  <c r="O321"/>
  <c r="O319"/>
  <c r="O248"/>
  <c r="O247"/>
  <c r="O246"/>
  <c r="O244"/>
  <c r="O373"/>
  <c r="O372"/>
  <c r="O371"/>
  <c r="O369"/>
  <c r="O382"/>
  <c r="O381"/>
  <c r="O380"/>
  <c r="O378"/>
  <c r="O284"/>
  <c r="O283"/>
  <c r="O282"/>
  <c r="O280"/>
  <c r="O270"/>
  <c r="O269"/>
  <c r="O268"/>
  <c r="O266"/>
  <c r="O399"/>
  <c r="O398"/>
  <c r="O397"/>
  <c r="O395"/>
  <c r="O394"/>
  <c r="O393"/>
  <c r="O392"/>
  <c r="O390"/>
  <c r="O265"/>
  <c r="O264"/>
  <c r="O263"/>
  <c r="O261"/>
  <c r="O260"/>
  <c r="O259"/>
  <c r="O258"/>
  <c r="O256"/>
  <c r="O368"/>
  <c r="O367"/>
  <c r="O366"/>
  <c r="O364"/>
  <c r="O213"/>
  <c r="O212"/>
  <c r="O211"/>
  <c r="O209"/>
  <c r="O49"/>
  <c r="O48"/>
  <c r="O47"/>
  <c r="O45"/>
  <c r="O63"/>
  <c r="O62"/>
  <c r="O61"/>
  <c r="O59"/>
  <c r="O73"/>
  <c r="O72"/>
  <c r="O70"/>
  <c r="O69"/>
  <c r="O39"/>
  <c r="O38"/>
  <c r="O37"/>
  <c r="O35"/>
  <c r="O68"/>
  <c r="O67"/>
  <c r="O66"/>
  <c r="O64"/>
  <c r="O44"/>
  <c r="O43"/>
  <c r="O42"/>
  <c r="O40"/>
  <c r="O168"/>
  <c r="O167"/>
  <c r="O166"/>
  <c r="O164"/>
  <c r="O151"/>
  <c r="O150"/>
  <c r="O149"/>
  <c r="O147"/>
  <c r="O31"/>
  <c r="O30"/>
  <c r="O29"/>
  <c r="O27"/>
  <c r="O126"/>
  <c r="O125"/>
  <c r="O124"/>
  <c r="O122"/>
  <c r="O198"/>
  <c r="O197"/>
  <c r="O195"/>
  <c r="O194"/>
  <c r="O98"/>
  <c r="O97"/>
  <c r="O95"/>
  <c r="O94"/>
  <c r="O93"/>
  <c r="O92"/>
  <c r="O90"/>
  <c r="O89"/>
  <c r="O88"/>
  <c r="O87"/>
  <c r="O85"/>
  <c r="O84"/>
  <c r="O83"/>
  <c r="O82"/>
  <c r="O80"/>
  <c r="O79"/>
  <c r="O78"/>
  <c r="O77"/>
  <c r="O76"/>
  <c r="O74"/>
  <c r="O208"/>
  <c r="O207"/>
  <c r="O205"/>
  <c r="O204"/>
  <c r="O15"/>
  <c r="O14"/>
  <c r="O13"/>
  <c r="O12"/>
  <c r="O11"/>
  <c r="O10"/>
  <c r="O9"/>
  <c r="O8"/>
  <c r="O7"/>
  <c r="O6"/>
  <c r="O451"/>
  <c r="O450"/>
  <c r="O449"/>
  <c r="O448"/>
  <c r="O447"/>
  <c r="O446"/>
  <c r="O357"/>
  <c r="O356"/>
  <c r="O355"/>
  <c r="O354"/>
  <c r="O353"/>
  <c r="O352"/>
  <c r="O312"/>
  <c r="O311"/>
  <c r="O310"/>
  <c r="O309"/>
  <c r="O308"/>
  <c r="O307"/>
  <c r="O279"/>
  <c r="O278"/>
  <c r="O277"/>
  <c r="O276"/>
  <c r="O275"/>
  <c r="O274"/>
  <c r="O273"/>
  <c r="O272"/>
  <c r="O271"/>
  <c r="O121"/>
  <c r="O120"/>
  <c r="O119"/>
  <c r="O178"/>
  <c r="O177"/>
  <c r="O176"/>
  <c r="O175"/>
  <c r="O174"/>
  <c r="O173"/>
  <c r="O188"/>
  <c r="O187"/>
  <c r="O186"/>
  <c r="O26"/>
  <c r="O25"/>
  <c r="O24"/>
  <c r="O203"/>
  <c r="O202"/>
  <c r="O201"/>
  <c r="E25" i="13" l="1"/>
  <c r="F25"/>
  <c r="I19"/>
  <c r="I20"/>
  <c r="I21"/>
  <c r="I22"/>
  <c r="F46"/>
  <c r="I15"/>
  <c r="I16"/>
  <c r="I17"/>
  <c r="I18"/>
  <c r="E33"/>
  <c r="F41"/>
  <c r="F33"/>
  <c r="F6"/>
  <c r="E6"/>
  <c r="I13" l="1"/>
  <c r="F52"/>
  <c r="K166" i="7" l="1"/>
  <c r="K216" s="1"/>
  <c r="J314" i="22"/>
  <c r="A62" i="37" l="1"/>
  <c r="A61"/>
  <c r="A60"/>
  <c r="A59"/>
  <c r="A58"/>
  <c r="J63" l="1"/>
  <c r="G56"/>
  <c r="K56"/>
  <c r="N62"/>
  <c r="O62" s="1"/>
  <c r="N61"/>
  <c r="N60"/>
  <c r="C60"/>
  <c r="C61"/>
  <c r="C62"/>
  <c r="M62" l="1"/>
  <c r="N59"/>
  <c r="N58"/>
  <c r="N41"/>
  <c r="M41" s="1"/>
  <c r="N57"/>
  <c r="N56"/>
  <c r="L64"/>
  <c r="K64"/>
  <c r="K63"/>
  <c r="K62"/>
  <c r="K61"/>
  <c r="K60"/>
  <c r="K59"/>
  <c r="K58"/>
  <c r="K57"/>
  <c r="O54"/>
  <c r="D10"/>
  <c r="C10"/>
  <c r="D9"/>
  <c r="C9"/>
  <c r="D8"/>
  <c r="C8"/>
  <c r="D7"/>
  <c r="C7"/>
  <c r="D6"/>
  <c r="C6"/>
  <c r="D43"/>
  <c r="D42"/>
  <c r="D41"/>
  <c r="D40"/>
  <c r="D39"/>
  <c r="D38"/>
  <c r="D37"/>
  <c r="D36"/>
  <c r="D35"/>
  <c r="D64"/>
  <c r="D63"/>
  <c r="D62"/>
  <c r="D61"/>
  <c r="D60"/>
  <c r="D59"/>
  <c r="D58"/>
  <c r="D57"/>
  <c r="D56"/>
  <c r="C43"/>
  <c r="C42"/>
  <c r="C41"/>
  <c r="C40"/>
  <c r="C39"/>
  <c r="C38"/>
  <c r="C37"/>
  <c r="C36"/>
  <c r="C35"/>
  <c r="C64"/>
  <c r="C63"/>
  <c r="C59"/>
  <c r="C58"/>
  <c r="C57"/>
  <c r="C56"/>
  <c r="B1643" i="33" l="1"/>
  <c r="F1730"/>
  <c r="I1730"/>
  <c r="J1730"/>
  <c r="Q1643" l="1"/>
  <c r="Q805"/>
  <c r="O64" i="37"/>
  <c r="J64"/>
  <c r="G64" l="1"/>
  <c r="A64"/>
  <c r="O63"/>
  <c r="G63" l="1"/>
  <c r="A63"/>
  <c r="G62" l="1"/>
  <c r="O61"/>
  <c r="M61" l="1"/>
  <c r="G61"/>
  <c r="O60"/>
  <c r="M60" l="1"/>
  <c r="G60"/>
  <c r="O59"/>
  <c r="M59" l="1"/>
  <c r="G59"/>
  <c r="O58"/>
  <c r="M58" l="1"/>
  <c r="G58"/>
  <c r="O57"/>
  <c r="M57" l="1"/>
  <c r="G57"/>
  <c r="A57"/>
  <c r="O56"/>
  <c r="M56" l="1"/>
  <c r="M54" s="1"/>
  <c r="A56"/>
  <c r="A54" s="1"/>
  <c r="H47"/>
  <c r="N43"/>
  <c r="O43" s="1"/>
  <c r="K43"/>
  <c r="J43"/>
  <c r="H61"/>
  <c r="H60"/>
  <c r="H58"/>
  <c r="H57"/>
  <c r="H56"/>
  <c r="H62"/>
  <c r="H59"/>
  <c r="G65" l="1"/>
  <c r="M43"/>
  <c r="G43"/>
  <c r="A43"/>
  <c r="N42"/>
  <c r="O42" s="1"/>
  <c r="K42"/>
  <c r="J42"/>
  <c r="M42" l="1"/>
  <c r="G48"/>
  <c r="G42"/>
  <c r="A42"/>
  <c r="O41"/>
  <c r="K41"/>
  <c r="J41"/>
  <c r="G41" l="1"/>
  <c r="A41"/>
  <c r="N40"/>
  <c r="M40" s="1"/>
  <c r="K40"/>
  <c r="J40"/>
  <c r="G40"/>
  <c r="A40"/>
  <c r="N39"/>
  <c r="O39" s="1"/>
  <c r="K39"/>
  <c r="J39"/>
  <c r="O40" l="1"/>
  <c r="M39"/>
  <c r="G39"/>
  <c r="A39"/>
  <c r="N38"/>
  <c r="O38" s="1"/>
  <c r="K38"/>
  <c r="J38"/>
  <c r="M38" l="1"/>
  <c r="G38"/>
  <c r="A38"/>
  <c r="N37"/>
  <c r="O37" s="1"/>
  <c r="K37"/>
  <c r="J37"/>
  <c r="M37" l="1"/>
  <c r="G37"/>
  <c r="A37"/>
  <c r="N36"/>
  <c r="O36" s="1"/>
  <c r="K36"/>
  <c r="J36"/>
  <c r="M36" l="1"/>
  <c r="G36"/>
  <c r="A36"/>
  <c r="N35"/>
  <c r="K35"/>
  <c r="G35"/>
  <c r="A35"/>
  <c r="A33" s="1"/>
  <c r="O33"/>
  <c r="K29"/>
  <c r="O35" l="1"/>
  <c r="M35"/>
  <c r="M33" s="1"/>
  <c r="G44"/>
  <c r="G47" s="1"/>
  <c r="H48" s="1"/>
  <c r="G29"/>
  <c r="D29"/>
  <c r="C29"/>
  <c r="A29"/>
  <c r="K28"/>
  <c r="G28"/>
  <c r="D28"/>
  <c r="C28"/>
  <c r="A28"/>
  <c r="K27"/>
  <c r="G27"/>
  <c r="D27"/>
  <c r="C27"/>
  <c r="A27"/>
  <c r="R26"/>
  <c r="K26"/>
  <c r="G26"/>
  <c r="D26"/>
  <c r="C26"/>
  <c r="A26"/>
  <c r="R25"/>
  <c r="K25"/>
  <c r="G25"/>
  <c r="D25"/>
  <c r="C25"/>
  <c r="A25"/>
  <c r="R24"/>
  <c r="K24"/>
  <c r="G24"/>
  <c r="D24"/>
  <c r="C24"/>
  <c r="A24"/>
  <c r="R23"/>
  <c r="K23"/>
  <c r="G23"/>
  <c r="D23"/>
  <c r="C23"/>
  <c r="A23"/>
  <c r="R22"/>
  <c r="N22"/>
  <c r="O22" s="1"/>
  <c r="K22"/>
  <c r="I22"/>
  <c r="J22" s="1"/>
  <c r="P22" s="1"/>
  <c r="G22"/>
  <c r="D22"/>
  <c r="C22"/>
  <c r="A22"/>
  <c r="O16"/>
  <c r="L16"/>
  <c r="K16"/>
  <c r="Q22" l="1"/>
  <c r="M22"/>
  <c r="G16"/>
  <c r="D16"/>
  <c r="C16"/>
  <c r="A16"/>
  <c r="O15"/>
  <c r="L15"/>
  <c r="K15"/>
  <c r="G15"/>
  <c r="D15"/>
  <c r="C15"/>
  <c r="A15"/>
  <c r="O14"/>
  <c r="L14"/>
  <c r="K14"/>
  <c r="G14"/>
  <c r="D14"/>
  <c r="C14"/>
  <c r="A14"/>
  <c r="R10"/>
  <c r="N10"/>
  <c r="O10" s="1"/>
  <c r="L10"/>
  <c r="K10"/>
  <c r="M10" l="1"/>
  <c r="G10"/>
  <c r="A10"/>
  <c r="R9"/>
  <c r="N9"/>
  <c r="O9" s="1"/>
  <c r="L9"/>
  <c r="K9"/>
  <c r="M9" l="1"/>
  <c r="G9"/>
  <c r="A9"/>
  <c r="R8"/>
  <c r="N8"/>
  <c r="O8" s="1"/>
  <c r="L8"/>
  <c r="K8"/>
  <c r="M8" l="1"/>
  <c r="G8"/>
  <c r="A8"/>
  <c r="R7"/>
  <c r="N7"/>
  <c r="O7" s="1"/>
  <c r="L7"/>
  <c r="K7"/>
  <c r="M7" l="1"/>
  <c r="G7"/>
  <c r="A7"/>
  <c r="R6"/>
  <c r="N6"/>
  <c r="O6" s="1"/>
  <c r="M6"/>
  <c r="K6"/>
  <c r="G6" l="1"/>
  <c r="A6"/>
  <c r="A4" s="1"/>
  <c r="O4"/>
  <c r="M4"/>
  <c r="T880" i="21"/>
  <c r="T879"/>
  <c r="T878"/>
  <c r="T877"/>
  <c r="T876"/>
  <c r="T837"/>
  <c r="T836"/>
  <c r="T835"/>
  <c r="T834"/>
  <c r="T833"/>
  <c r="T847"/>
  <c r="T846"/>
  <c r="T845"/>
  <c r="T844"/>
  <c r="T843"/>
  <c r="T822"/>
  <c r="T821"/>
  <c r="T820"/>
  <c r="T819"/>
  <c r="T818"/>
  <c r="T842"/>
  <c r="T841"/>
  <c r="T840"/>
  <c r="T839"/>
  <c r="T838"/>
  <c r="T852"/>
  <c r="T851"/>
  <c r="T850"/>
  <c r="T849"/>
  <c r="T848"/>
  <c r="T865"/>
  <c r="T864"/>
  <c r="T863"/>
  <c r="T862"/>
  <c r="T861"/>
  <c r="T875"/>
  <c r="T874"/>
  <c r="T873"/>
  <c r="T872"/>
  <c r="T871"/>
  <c r="H41" i="37"/>
  <c r="H39"/>
  <c r="H28"/>
  <c r="H82"/>
  <c r="H35"/>
  <c r="H64"/>
  <c r="H29"/>
  <c r="H15"/>
  <c r="H42"/>
  <c r="H16"/>
  <c r="H6"/>
  <c r="H40"/>
  <c r="H63"/>
  <c r="H37"/>
  <c r="H14"/>
  <c r="H8"/>
  <c r="H10"/>
  <c r="H23"/>
  <c r="H24"/>
  <c r="H43"/>
  <c r="H38"/>
  <c r="H26"/>
  <c r="H25"/>
  <c r="H7"/>
  <c r="H36"/>
  <c r="H9"/>
  <c r="H27"/>
  <c r="I6" l="1"/>
  <c r="I56"/>
  <c r="J56" s="1"/>
  <c r="I61"/>
  <c r="J61" s="1"/>
  <c r="I60"/>
  <c r="J60" s="1"/>
  <c r="I59"/>
  <c r="J59" s="1"/>
  <c r="I62"/>
  <c r="J62" s="1"/>
  <c r="I57"/>
  <c r="J57" s="1"/>
  <c r="I58"/>
  <c r="J58" s="1"/>
  <c r="I29"/>
  <c r="J29" s="1"/>
  <c r="I28"/>
  <c r="J28" s="1"/>
  <c r="I27"/>
  <c r="J27" s="1"/>
  <c r="I26"/>
  <c r="J26" s="1"/>
  <c r="I25"/>
  <c r="J25" s="1"/>
  <c r="P25" s="1"/>
  <c r="Q25" s="1"/>
  <c r="I24"/>
  <c r="J24" s="1"/>
  <c r="P24" s="1"/>
  <c r="Q24" s="1"/>
  <c r="I23"/>
  <c r="J23" s="1"/>
  <c r="P23" s="1"/>
  <c r="Q23" s="1"/>
  <c r="I16"/>
  <c r="J16" s="1"/>
  <c r="I15"/>
  <c r="I14"/>
  <c r="J14" s="1"/>
  <c r="I10"/>
  <c r="I9"/>
  <c r="I8"/>
  <c r="I7"/>
  <c r="I44" l="1"/>
  <c r="I45" s="1"/>
  <c r="J35"/>
  <c r="J8"/>
  <c r="P8" s="1"/>
  <c r="Q8" s="1"/>
  <c r="J7"/>
  <c r="P7" s="1"/>
  <c r="Q7" s="1"/>
  <c r="J9"/>
  <c r="P9" s="1"/>
  <c r="Q9" s="1"/>
  <c r="J10"/>
  <c r="J6"/>
  <c r="P6" s="1"/>
  <c r="Q6" s="1"/>
  <c r="I65"/>
  <c r="I66" s="1"/>
  <c r="T885" i="21"/>
  <c r="T884"/>
  <c r="T883"/>
  <c r="T882"/>
  <c r="T881"/>
  <c r="T890"/>
  <c r="T889"/>
  <c r="T888"/>
  <c r="T887"/>
  <c r="T886"/>
  <c r="T802"/>
  <c r="T801"/>
  <c r="T800"/>
  <c r="T799"/>
  <c r="T798"/>
  <c r="T860"/>
  <c r="T859"/>
  <c r="T858"/>
  <c r="T857"/>
  <c r="T856"/>
  <c r="T807"/>
  <c r="T806"/>
  <c r="T805"/>
  <c r="T804"/>
  <c r="T803"/>
  <c r="T827"/>
  <c r="T826"/>
  <c r="T825"/>
  <c r="T824"/>
  <c r="T823"/>
  <c r="N618"/>
  <c r="N880"/>
  <c r="N879"/>
  <c r="N878"/>
  <c r="N877"/>
  <c r="N876"/>
  <c r="N837"/>
  <c r="N836"/>
  <c r="N835"/>
  <c r="N834"/>
  <c r="N833"/>
  <c r="N817"/>
  <c r="N816"/>
  <c r="N815"/>
  <c r="N814"/>
  <c r="N813"/>
  <c r="N812"/>
  <c r="N811"/>
  <c r="N810"/>
  <c r="N809"/>
  <c r="N808"/>
  <c r="N847"/>
  <c r="N846"/>
  <c r="N845"/>
  <c r="N844"/>
  <c r="N843"/>
  <c r="N822"/>
  <c r="N821"/>
  <c r="N820"/>
  <c r="N819"/>
  <c r="N818"/>
  <c r="N832"/>
  <c r="N831"/>
  <c r="N830"/>
  <c r="N829"/>
  <c r="N828"/>
  <c r="N842"/>
  <c r="N841"/>
  <c r="N840"/>
  <c r="N839"/>
  <c r="N838"/>
  <c r="N852"/>
  <c r="N851"/>
  <c r="N850"/>
  <c r="N849"/>
  <c r="N848"/>
  <c r="N865"/>
  <c r="N864"/>
  <c r="N863"/>
  <c r="N862"/>
  <c r="N861"/>
  <c r="N875"/>
  <c r="N874"/>
  <c r="N873"/>
  <c r="N872"/>
  <c r="N871"/>
  <c r="N870"/>
  <c r="N869"/>
  <c r="N868"/>
  <c r="N867"/>
  <c r="N866"/>
  <c r="N885"/>
  <c r="N884"/>
  <c r="N883"/>
  <c r="N882"/>
  <c r="N881"/>
  <c r="N890"/>
  <c r="N889"/>
  <c r="N888"/>
  <c r="N887"/>
  <c r="N886"/>
  <c r="N802"/>
  <c r="N801"/>
  <c r="N800"/>
  <c r="N799"/>
  <c r="N798"/>
  <c r="N860"/>
  <c r="N859"/>
  <c r="N858"/>
  <c r="N857"/>
  <c r="N856"/>
  <c r="N807"/>
  <c r="N806"/>
  <c r="N805"/>
  <c r="N804"/>
  <c r="N803"/>
  <c r="N827"/>
  <c r="N826"/>
  <c r="N825"/>
  <c r="N824"/>
  <c r="N823"/>
  <c r="N902"/>
  <c r="N901"/>
  <c r="N891"/>
  <c r="N893"/>
  <c r="N892"/>
  <c r="N855"/>
  <c r="N854"/>
  <c r="N853"/>
  <c r="N767"/>
  <c r="N766"/>
  <c r="N765"/>
  <c r="N616"/>
  <c r="N649"/>
  <c r="N651"/>
  <c r="N650"/>
  <c r="N628"/>
  <c r="N627"/>
  <c r="N626"/>
  <c r="N724"/>
  <c r="N723"/>
  <c r="N722"/>
  <c r="N721"/>
  <c r="J1818" i="33" l="1"/>
  <c r="J1817"/>
  <c r="J1816"/>
  <c r="F1816"/>
  <c r="I1387"/>
  <c r="Q1387" s="1"/>
  <c r="J1387"/>
  <c r="I1388"/>
  <c r="Q1388" s="1"/>
  <c r="J1388"/>
  <c r="I1898"/>
  <c r="J1898"/>
  <c r="I1899"/>
  <c r="J1899"/>
  <c r="I1900"/>
  <c r="J1900"/>
  <c r="I1854"/>
  <c r="J1854"/>
  <c r="I1855"/>
  <c r="J1855"/>
  <c r="I1958"/>
  <c r="J1958"/>
  <c r="I1959"/>
  <c r="J1959"/>
  <c r="I1852"/>
  <c r="J1852"/>
  <c r="I1853"/>
  <c r="J1853"/>
  <c r="I1871"/>
  <c r="J1871"/>
  <c r="I1872"/>
  <c r="J1872"/>
  <c r="I1873"/>
  <c r="J1873"/>
  <c r="I1960"/>
  <c r="J1960"/>
  <c r="I1961"/>
  <c r="J1961"/>
  <c r="I1962"/>
  <c r="J1962"/>
  <c r="I1963"/>
  <c r="J1963"/>
  <c r="I1964"/>
  <c r="J1964"/>
  <c r="I1965"/>
  <c r="J1965"/>
  <c r="I1966"/>
  <c r="Q1958" s="1"/>
  <c r="J1966"/>
  <c r="I1967"/>
  <c r="Q1959" s="1"/>
  <c r="J1967"/>
  <c r="I1968"/>
  <c r="Q1960" s="1"/>
  <c r="J1968"/>
  <c r="I1969"/>
  <c r="Q1961" s="1"/>
  <c r="J1969"/>
  <c r="I1970"/>
  <c r="Q1962" s="1"/>
  <c r="J1970"/>
  <c r="I1973"/>
  <c r="Q1965" s="1"/>
  <c r="J1973"/>
  <c r="I1974"/>
  <c r="Q1966" s="1"/>
  <c r="J1974"/>
  <c r="I1975"/>
  <c r="Q1967" s="1"/>
  <c r="J1975"/>
  <c r="I1976"/>
  <c r="Q1968" s="1"/>
  <c r="J1976"/>
  <c r="I1977"/>
  <c r="Q1969" s="1"/>
  <c r="J1977"/>
  <c r="I1978"/>
  <c r="Q1970" s="1"/>
  <c r="J1978"/>
  <c r="I1979"/>
  <c r="J1979"/>
  <c r="I1980"/>
  <c r="J1980"/>
  <c r="I1981"/>
  <c r="J1981"/>
  <c r="I1523"/>
  <c r="J1523"/>
  <c r="I1524"/>
  <c r="J1524"/>
  <c r="I1525"/>
  <c r="Q1523" s="1"/>
  <c r="J1525"/>
  <c r="I1526"/>
  <c r="Q1524" s="1"/>
  <c r="J1526"/>
  <c r="I1527"/>
  <c r="J1527"/>
  <c r="I1421"/>
  <c r="Q1421" s="1"/>
  <c r="J1421"/>
  <c r="I1497"/>
  <c r="Q1495" s="1"/>
  <c r="J1497"/>
  <c r="I1498"/>
  <c r="Q1496" s="1"/>
  <c r="J1498"/>
  <c r="I1499"/>
  <c r="Q1497" s="1"/>
  <c r="J1499"/>
  <c r="I1500"/>
  <c r="Q1498" s="1"/>
  <c r="J1500"/>
  <c r="I1501"/>
  <c r="Q1499" s="1"/>
  <c r="J1501"/>
  <c r="I1502"/>
  <c r="Q1500" s="1"/>
  <c r="J1502"/>
  <c r="I1503"/>
  <c r="Q1501" s="1"/>
  <c r="J1503"/>
  <c r="I1504"/>
  <c r="J1504"/>
  <c r="I1505"/>
  <c r="J1505"/>
  <c r="I1422"/>
  <c r="Q1422" s="1"/>
  <c r="J1422"/>
  <c r="I1423"/>
  <c r="Q1423" s="1"/>
  <c r="J1423"/>
  <c r="I1424"/>
  <c r="Q1424" s="1"/>
  <c r="J1424"/>
  <c r="I1425"/>
  <c r="Q1425" s="1"/>
  <c r="J1425"/>
  <c r="I1426"/>
  <c r="Q1426" s="1"/>
  <c r="J1426"/>
  <c r="I1455"/>
  <c r="Q1455" s="1"/>
  <c r="J1455"/>
  <c r="I1456"/>
  <c r="Q1456" s="1"/>
  <c r="J1456"/>
  <c r="I1457"/>
  <c r="Q1457" s="1"/>
  <c r="J1457"/>
  <c r="I1458"/>
  <c r="Q1458" s="1"/>
  <c r="J1458"/>
  <c r="I1459"/>
  <c r="Q1459" s="1"/>
  <c r="J1459"/>
  <c r="I1427"/>
  <c r="Q1427" s="1"/>
  <c r="J1427"/>
  <c r="I1428"/>
  <c r="Q1428" s="1"/>
  <c r="J1428"/>
  <c r="I1429"/>
  <c r="Q1429" s="1"/>
  <c r="J1429"/>
  <c r="I1430"/>
  <c r="Q1430" s="1"/>
  <c r="J1430"/>
  <c r="I1431"/>
  <c r="Q1431" s="1"/>
  <c r="J1431"/>
  <c r="I1432"/>
  <c r="Q1432" s="1"/>
  <c r="J1432"/>
  <c r="I1433"/>
  <c r="Q1433" s="1"/>
  <c r="J1433"/>
  <c r="I1434"/>
  <c r="Q1434" s="1"/>
  <c r="J1434"/>
  <c r="I1435"/>
  <c r="Q1435" s="1"/>
  <c r="J1435"/>
  <c r="I1436"/>
  <c r="Q1436" s="1"/>
  <c r="J1436"/>
  <c r="I1437"/>
  <c r="Q1437" s="1"/>
  <c r="J1437"/>
  <c r="I1438"/>
  <c r="Q1438" s="1"/>
  <c r="J1438"/>
  <c r="I1439"/>
  <c r="Q1439" s="1"/>
  <c r="J1439"/>
  <c r="I1440"/>
  <c r="Q1440" s="1"/>
  <c r="J1440"/>
  <c r="I1441"/>
  <c r="Q1441" s="1"/>
  <c r="J1441"/>
  <c r="I1487"/>
  <c r="Q1485" s="1"/>
  <c r="J1487"/>
  <c r="I1488"/>
  <c r="Q1486" s="1"/>
  <c r="J1488"/>
  <c r="I1489"/>
  <c r="Q1487" s="1"/>
  <c r="J1489"/>
  <c r="I1490"/>
  <c r="J1490"/>
  <c r="I1491"/>
  <c r="J1491"/>
  <c r="I1389"/>
  <c r="Q1389" s="1"/>
  <c r="J1389"/>
  <c r="I1390"/>
  <c r="Q1390" s="1"/>
  <c r="J1390"/>
  <c r="I1403"/>
  <c r="Q1403" s="1"/>
  <c r="J1403"/>
  <c r="I1442"/>
  <c r="Q1442" s="1"/>
  <c r="J1442"/>
  <c r="I1460"/>
  <c r="Q1460" s="1"/>
  <c r="J1460"/>
  <c r="I1528"/>
  <c r="J1528"/>
  <c r="J1530"/>
  <c r="J1531"/>
  <c r="J1558"/>
  <c r="I1559"/>
  <c r="Q1557" s="1"/>
  <c r="J1559"/>
  <c r="I1560"/>
  <c r="Q1558" s="1"/>
  <c r="J1560"/>
  <c r="I1391"/>
  <c r="Q1391" s="1"/>
  <c r="J1391"/>
  <c r="I1392"/>
  <c r="Q1392" s="1"/>
  <c r="J1392"/>
  <c r="I1750"/>
  <c r="J1750"/>
  <c r="I1751"/>
  <c r="J1751"/>
  <c r="I1752"/>
  <c r="J1752"/>
  <c r="I1753"/>
  <c r="J1753"/>
  <c r="I1754"/>
  <c r="J1754"/>
  <c r="I1540"/>
  <c r="Q1538" s="1"/>
  <c r="J1540"/>
  <c r="I1541"/>
  <c r="Q1539" s="1"/>
  <c r="J1541"/>
  <c r="I1542"/>
  <c r="Q1540" s="1"/>
  <c r="J1542"/>
  <c r="I1543"/>
  <c r="Q1541" s="1"/>
  <c r="J1543"/>
  <c r="I1544"/>
  <c r="J1544"/>
  <c r="I1545"/>
  <c r="Q1543" s="1"/>
  <c r="J1545"/>
  <c r="I1546"/>
  <c r="J1546"/>
  <c r="I1547"/>
  <c r="Q1545" s="1"/>
  <c r="J1547"/>
  <c r="I1548"/>
  <c r="Q1546" s="1"/>
  <c r="J1548"/>
  <c r="I1549"/>
  <c r="Q1547" s="1"/>
  <c r="J1549"/>
  <c r="I1710"/>
  <c r="Q1708" s="1"/>
  <c r="J1710"/>
  <c r="I1711"/>
  <c r="J1711"/>
  <c r="I1712"/>
  <c r="J1712"/>
  <c r="I1713"/>
  <c r="J1713"/>
  <c r="I1714"/>
  <c r="J1714"/>
  <c r="I1703"/>
  <c r="J1703"/>
  <c r="I1704"/>
  <c r="J1704"/>
  <c r="I1705"/>
  <c r="J1705"/>
  <c r="I1706"/>
  <c r="J1706"/>
  <c r="I1707"/>
  <c r="J1707"/>
  <c r="I1550"/>
  <c r="Q1548" s="1"/>
  <c r="J1550"/>
  <c r="I1690"/>
  <c r="J1690"/>
  <c r="I1691"/>
  <c r="J1691"/>
  <c r="I1692"/>
  <c r="J1692"/>
  <c r="I1693"/>
  <c r="J1693"/>
  <c r="I1694"/>
  <c r="J1694"/>
  <c r="I1695"/>
  <c r="J1695"/>
  <c r="I1696"/>
  <c r="J1696"/>
  <c r="I1697"/>
  <c r="J1697"/>
  <c r="I1698"/>
  <c r="J1698"/>
  <c r="I1651"/>
  <c r="J1651"/>
  <c r="I1652"/>
  <c r="J1652"/>
  <c r="I1653"/>
  <c r="J1653"/>
  <c r="I1654"/>
  <c r="J1654"/>
  <c r="I1655"/>
  <c r="J1655"/>
  <c r="I1625"/>
  <c r="Q1623" s="1"/>
  <c r="J1625"/>
  <c r="I1626"/>
  <c r="Q1624" s="1"/>
  <c r="J1626"/>
  <c r="I1627"/>
  <c r="Q1625" s="1"/>
  <c r="J1627"/>
  <c r="I1628"/>
  <c r="J1628"/>
  <c r="I1629"/>
  <c r="J1629"/>
  <c r="I1613"/>
  <c r="Q1611" s="1"/>
  <c r="J1613"/>
  <c r="I1614"/>
  <c r="Q1612" s="1"/>
  <c r="J1614"/>
  <c r="I1615"/>
  <c r="Q1613" s="1"/>
  <c r="J1615"/>
  <c r="I1616"/>
  <c r="J1616"/>
  <c r="I1617"/>
  <c r="J1617"/>
  <c r="I1591"/>
  <c r="Q1591" s="1"/>
  <c r="J1591"/>
  <c r="I1592"/>
  <c r="Q1592" s="1"/>
  <c r="J1592"/>
  <c r="I1593"/>
  <c r="Q1593" s="1"/>
  <c r="J1593"/>
  <c r="I1594"/>
  <c r="Q1594" s="1"/>
  <c r="J1594"/>
  <c r="I1595"/>
  <c r="Q1595" s="1"/>
  <c r="J1595"/>
  <c r="I1598"/>
  <c r="Q1598" s="1"/>
  <c r="J1598"/>
  <c r="I1599"/>
  <c r="Q1599" s="1"/>
  <c r="J1599"/>
  <c r="I1600"/>
  <c r="Q1600" s="1"/>
  <c r="J1600"/>
  <c r="I1601"/>
  <c r="Q1601" s="1"/>
  <c r="J1601"/>
  <c r="I1602"/>
  <c r="Q1602" s="1"/>
  <c r="J1602"/>
  <c r="I1656"/>
  <c r="J1656"/>
  <c r="I1657"/>
  <c r="J1657"/>
  <c r="I1658"/>
  <c r="J1658"/>
  <c r="I1659"/>
  <c r="J1659"/>
  <c r="I1660"/>
  <c r="J1660"/>
  <c r="I1677"/>
  <c r="J1677"/>
  <c r="I1678"/>
  <c r="J1678"/>
  <c r="I1679"/>
  <c r="J1679"/>
  <c r="I1680"/>
  <c r="J1680"/>
  <c r="I1681"/>
  <c r="J1681"/>
  <c r="I1661"/>
  <c r="J1661"/>
  <c r="I1662"/>
  <c r="J1662"/>
  <c r="I1663"/>
  <c r="J1663"/>
  <c r="I1664"/>
  <c r="J1664"/>
  <c r="I1665"/>
  <c r="J1665"/>
  <c r="I1603"/>
  <c r="Q1603" s="1"/>
  <c r="J1603"/>
  <c r="I1604"/>
  <c r="Q1604" s="1"/>
  <c r="J1604"/>
  <c r="I1605"/>
  <c r="Q1605" s="1"/>
  <c r="J1605"/>
  <c r="I1606"/>
  <c r="Q1606" s="1"/>
  <c r="J1606"/>
  <c r="I1607"/>
  <c r="Q1607" s="1"/>
  <c r="J1607"/>
  <c r="I1608"/>
  <c r="Q1608" s="1"/>
  <c r="J1608"/>
  <c r="I1561"/>
  <c r="Q1559" s="1"/>
  <c r="J1561"/>
  <c r="I1562"/>
  <c r="J1562"/>
  <c r="I1563"/>
  <c r="Q1561" s="1"/>
  <c r="J1563"/>
  <c r="I1564"/>
  <c r="Q1562" s="1"/>
  <c r="J1564"/>
  <c r="I1551"/>
  <c r="Q1549" s="1"/>
  <c r="J1551"/>
  <c r="I1552"/>
  <c r="J1552"/>
  <c r="I1553"/>
  <c r="Q1551" s="1"/>
  <c r="J1553"/>
  <c r="I1554"/>
  <c r="J1554"/>
  <c r="I1555"/>
  <c r="J1555"/>
  <c r="I1565"/>
  <c r="J1565"/>
  <c r="I1566"/>
  <c r="Q1564" s="1"/>
  <c r="J1566"/>
  <c r="I1567"/>
  <c r="J1567"/>
  <c r="I1568"/>
  <c r="J1568"/>
  <c r="I1569"/>
  <c r="J1569"/>
  <c r="I1580"/>
  <c r="Q1578" s="1"/>
  <c r="J1580"/>
  <c r="I1581"/>
  <c r="Q1579" s="1"/>
  <c r="J1581"/>
  <c r="I1582"/>
  <c r="J1582"/>
  <c r="I1583"/>
  <c r="J1583"/>
  <c r="I1584"/>
  <c r="J1584"/>
  <c r="I1808"/>
  <c r="J1808"/>
  <c r="I1809"/>
  <c r="J1809"/>
  <c r="I1810"/>
  <c r="J1810"/>
  <c r="I1811"/>
  <c r="J1811"/>
  <c r="I1812"/>
  <c r="J1812"/>
  <c r="I1776"/>
  <c r="J1776"/>
  <c r="I1777"/>
  <c r="J1777"/>
  <c r="I1778"/>
  <c r="Q1776" s="1"/>
  <c r="J1778"/>
  <c r="I1779"/>
  <c r="J1779"/>
  <c r="I1780"/>
  <c r="J1780"/>
  <c r="I1874"/>
  <c r="J1874"/>
  <c r="I1875"/>
  <c r="J1875"/>
  <c r="I1876"/>
  <c r="J1876"/>
  <c r="I1877"/>
  <c r="J1877"/>
  <c r="I1878"/>
  <c r="J1878"/>
  <c r="I1771"/>
  <c r="Q1769" s="1"/>
  <c r="J1771"/>
  <c r="I1772"/>
  <c r="Q1770" s="1"/>
  <c r="J1772"/>
  <c r="I1773"/>
  <c r="Q1771" s="1"/>
  <c r="J1773"/>
  <c r="I1774"/>
  <c r="Q1772" s="1"/>
  <c r="J1774"/>
  <c r="I1775"/>
  <c r="J1775"/>
  <c r="I1982"/>
  <c r="J1982"/>
  <c r="I1983"/>
  <c r="J1983"/>
  <c r="I1984"/>
  <c r="J1984"/>
  <c r="I1985"/>
  <c r="J1985"/>
  <c r="I1986"/>
  <c r="J1986"/>
  <c r="I1931"/>
  <c r="J1931"/>
  <c r="I1932"/>
  <c r="J1932"/>
  <c r="I1933"/>
  <c r="J1933"/>
  <c r="I1934"/>
  <c r="J1934"/>
  <c r="I1935"/>
  <c r="J1935"/>
  <c r="I1901"/>
  <c r="J1901"/>
  <c r="I1902"/>
  <c r="J1902"/>
  <c r="I1903"/>
  <c r="J1903"/>
  <c r="I1904"/>
  <c r="J1904"/>
  <c r="I1905"/>
  <c r="J1905"/>
  <c r="I1906"/>
  <c r="J1906"/>
  <c r="I1907"/>
  <c r="J1907"/>
  <c r="I1908"/>
  <c r="J1908"/>
  <c r="I1909"/>
  <c r="J1909"/>
  <c r="I1910"/>
  <c r="J1910"/>
  <c r="I1879"/>
  <c r="J1879"/>
  <c r="I1880"/>
  <c r="J1880"/>
  <c r="I1881"/>
  <c r="J1881"/>
  <c r="I1882"/>
  <c r="J1882"/>
  <c r="I1883"/>
  <c r="J1883"/>
  <c r="I1860"/>
  <c r="J1860"/>
  <c r="I1861"/>
  <c r="J1861"/>
  <c r="I1862"/>
  <c r="J1862"/>
  <c r="I1863"/>
  <c r="J1863"/>
  <c r="I1864"/>
  <c r="J1864"/>
  <c r="I1840"/>
  <c r="J1840"/>
  <c r="I1841"/>
  <c r="J1841"/>
  <c r="I1842"/>
  <c r="J1842"/>
  <c r="B3434" i="21"/>
  <c r="Q1544" i="33" l="1"/>
  <c r="Q1563"/>
  <c r="Q1550"/>
  <c r="Q1773"/>
  <c r="Q1580"/>
  <c r="Q1542"/>
  <c r="Q1565"/>
  <c r="Q1560"/>
  <c r="Q1661"/>
  <c r="Q1977"/>
  <c r="Q1985"/>
  <c r="Q1975"/>
  <c r="Q1983"/>
  <c r="Q1778"/>
  <c r="Q1780"/>
  <c r="Q1777"/>
  <c r="Q1779"/>
  <c r="Q1581"/>
  <c r="Q1583"/>
  <c r="Q1567"/>
  <c r="Q1569"/>
  <c r="Q1552"/>
  <c r="Q1554"/>
  <c r="Q1526"/>
  <c r="Q1528"/>
  <c r="Q1489"/>
  <c r="Q1491"/>
  <c r="Q1488"/>
  <c r="Q1490"/>
  <c r="Q1503"/>
  <c r="Q1505"/>
  <c r="Q1502"/>
  <c r="Q1504"/>
  <c r="Q1525"/>
  <c r="Q1527"/>
  <c r="Q1973"/>
  <c r="Q1981"/>
  <c r="Q1972"/>
  <c r="Q1980"/>
  <c r="Q1971"/>
  <c r="Q1979"/>
  <c r="Q1964"/>
  <c r="Q1963"/>
  <c r="Q1775"/>
  <c r="Q1978"/>
  <c r="Q1986"/>
  <c r="Q1976"/>
  <c r="Q1984"/>
  <c r="Q1974"/>
  <c r="Q1982"/>
  <c r="Q1582"/>
  <c r="Q1584"/>
  <c r="Q1566"/>
  <c r="Q1568"/>
  <c r="Q1553"/>
  <c r="Q1555"/>
  <c r="Q1663"/>
  <c r="Q1665"/>
  <c r="Q1662"/>
  <c r="Q1664"/>
  <c r="Q1615"/>
  <c r="Q1617"/>
  <c r="Q1614"/>
  <c r="Q1616"/>
  <c r="Q1627"/>
  <c r="Q1629"/>
  <c r="Q1626"/>
  <c r="Q1628"/>
  <c r="Q1774"/>
  <c r="Q1934"/>
  <c r="Q709"/>
  <c r="Q1932"/>
  <c r="Q696"/>
  <c r="Q1930"/>
  <c r="Q694"/>
  <c r="Q1929"/>
  <c r="Q693"/>
  <c r="Q1927"/>
  <c r="Q691"/>
  <c r="Q1925"/>
  <c r="Q689"/>
  <c r="Q1923"/>
  <c r="Q687"/>
  <c r="Q1921"/>
  <c r="Q660"/>
  <c r="Q1919"/>
  <c r="Q658"/>
  <c r="Q1917"/>
  <c r="Q656"/>
  <c r="Q1915"/>
  <c r="Q654"/>
  <c r="Q1913"/>
  <c r="Q652"/>
  <c r="Q1911"/>
  <c r="Q637"/>
  <c r="Q1909"/>
  <c r="Q635"/>
  <c r="Q1907"/>
  <c r="Q592"/>
  <c r="Q1905"/>
  <c r="Q590"/>
  <c r="Q1903"/>
  <c r="Q588"/>
  <c r="Q1901"/>
  <c r="Q782"/>
  <c r="Q1899"/>
  <c r="Q780"/>
  <c r="Q1898"/>
  <c r="Q779"/>
  <c r="Q1896"/>
  <c r="Q685"/>
  <c r="Q1894"/>
  <c r="Q683"/>
  <c r="Q1892"/>
  <c r="Q769"/>
  <c r="Q1890"/>
  <c r="Q767"/>
  <c r="Q1888"/>
  <c r="Q765"/>
  <c r="Q1886"/>
  <c r="Q745"/>
  <c r="Q1884"/>
  <c r="Q743"/>
  <c r="Q1882"/>
  <c r="Q974"/>
  <c r="Q972"/>
  <c r="Q1880"/>
  <c r="Q970"/>
  <c r="Q1878"/>
  <c r="Q991"/>
  <c r="Q1876"/>
  <c r="Q989"/>
  <c r="Q1874"/>
  <c r="Q999"/>
  <c r="Q1872"/>
  <c r="Q997"/>
  <c r="Q1871"/>
  <c r="Q996"/>
  <c r="Q1869"/>
  <c r="Q987"/>
  <c r="Q1867"/>
  <c r="Q985"/>
  <c r="Q1865"/>
  <c r="Q952"/>
  <c r="Q1863"/>
  <c r="Q950"/>
  <c r="Q1861"/>
  <c r="Q948"/>
  <c r="Q1859"/>
  <c r="Q904"/>
  <c r="Q1857"/>
  <c r="Q902"/>
  <c r="Q1855"/>
  <c r="Q900"/>
  <c r="Q1853"/>
  <c r="Q878"/>
  <c r="Q1851"/>
  <c r="Q876"/>
  <c r="Q1849"/>
  <c r="Q899"/>
  <c r="Q1847"/>
  <c r="Q897"/>
  <c r="Q1846"/>
  <c r="Q896"/>
  <c r="Q1844"/>
  <c r="Q946"/>
  <c r="Q1842"/>
  <c r="Q944"/>
  <c r="Q1840"/>
  <c r="Q942"/>
  <c r="Q1838"/>
  <c r="Q956"/>
  <c r="Q1835"/>
  <c r="Q953"/>
  <c r="Q1833"/>
  <c r="Q938"/>
  <c r="Q1832"/>
  <c r="Q937"/>
  <c r="Q1831"/>
  <c r="Q936"/>
  <c r="Q1830"/>
  <c r="Q935"/>
  <c r="Q1829"/>
  <c r="Q932"/>
  <c r="Q1828"/>
  <c r="Q931"/>
  <c r="Q1827"/>
  <c r="Q930"/>
  <c r="Q1826"/>
  <c r="Q929"/>
  <c r="Q1825"/>
  <c r="Q928"/>
  <c r="Q1824"/>
  <c r="Q894"/>
  <c r="Q1823"/>
  <c r="Q893"/>
  <c r="Q1822"/>
  <c r="Q892"/>
  <c r="Q1821"/>
  <c r="Q891"/>
  <c r="Q1820"/>
  <c r="Q890"/>
  <c r="Q1819"/>
  <c r="Q868"/>
  <c r="Q1818"/>
  <c r="Q867"/>
  <c r="Q1817"/>
  <c r="Q866"/>
  <c r="Q1816"/>
  <c r="Q865"/>
  <c r="Q1815"/>
  <c r="Q864"/>
  <c r="Q1814"/>
  <c r="Q863"/>
  <c r="Q1813"/>
  <c r="Q862"/>
  <c r="Q1812"/>
  <c r="Q861"/>
  <c r="Q1811"/>
  <c r="Q860"/>
  <c r="Q1810"/>
  <c r="Q1022"/>
  <c r="Q1809"/>
  <c r="Q851"/>
  <c r="Q1808"/>
  <c r="Q850"/>
  <c r="Q1807"/>
  <c r="Q849"/>
  <c r="Q1806"/>
  <c r="Q848"/>
  <c r="Q1805"/>
  <c r="Q847"/>
  <c r="Q1804"/>
  <c r="Q842"/>
  <c r="Q1803"/>
  <c r="Q841"/>
  <c r="Q1802"/>
  <c r="Q840"/>
  <c r="Q1801"/>
  <c r="Q839"/>
  <c r="Q1800"/>
  <c r="Q838"/>
  <c r="Q1799"/>
  <c r="Q1021"/>
  <c r="Q1798"/>
  <c r="Q1020"/>
  <c r="Q1797"/>
  <c r="Q1019"/>
  <c r="Q1796"/>
  <c r="Q1018"/>
  <c r="Q1795"/>
  <c r="Q1017"/>
  <c r="Q1794"/>
  <c r="Q1016"/>
  <c r="Q1793"/>
  <c r="Q1015"/>
  <c r="Q1792"/>
  <c r="Q1014"/>
  <c r="Q1791"/>
  <c r="Q1013"/>
  <c r="Q1790"/>
  <c r="Q1012"/>
  <c r="Q1789"/>
  <c r="Q829"/>
  <c r="Q1788"/>
  <c r="Q828"/>
  <c r="Q1787"/>
  <c r="Q827"/>
  <c r="Q1786"/>
  <c r="Q826"/>
  <c r="Q1785"/>
  <c r="Q825"/>
  <c r="Q1784"/>
  <c r="Q1164"/>
  <c r="Q1783"/>
  <c r="Q1163"/>
  <c r="Q1782"/>
  <c r="Q983"/>
  <c r="Q1781"/>
  <c r="Q982"/>
  <c r="Q1706"/>
  <c r="Q576"/>
  <c r="Q1705"/>
  <c r="Q575"/>
  <c r="Q1704"/>
  <c r="Q574"/>
  <c r="Q1703"/>
  <c r="Q573"/>
  <c r="Q1702"/>
  <c r="Q572"/>
  <c r="Q1701"/>
  <c r="Q571"/>
  <c r="Q1700"/>
  <c r="Q570"/>
  <c r="Q1699"/>
  <c r="Q569"/>
  <c r="Q1698"/>
  <c r="Q568"/>
  <c r="Q1697"/>
  <c r="Q567"/>
  <c r="Q1696"/>
  <c r="Q566"/>
  <c r="Q1695"/>
  <c r="Q681"/>
  <c r="Q1694"/>
  <c r="Q680"/>
  <c r="Q1693"/>
  <c r="Q679"/>
  <c r="Q1692"/>
  <c r="Q789"/>
  <c r="Q1691"/>
  <c r="Q788"/>
  <c r="Q1690"/>
  <c r="Q565"/>
  <c r="Q1689"/>
  <c r="Q564"/>
  <c r="Q1688"/>
  <c r="Q702"/>
  <c r="Q1687"/>
  <c r="Q701"/>
  <c r="Q1686"/>
  <c r="Q651"/>
  <c r="Q1685"/>
  <c r="Q650"/>
  <c r="Q1684"/>
  <c r="Q649"/>
  <c r="Q1683"/>
  <c r="Q1160"/>
  <c r="Q1682"/>
  <c r="Q1159"/>
  <c r="Q1935"/>
  <c r="Q710"/>
  <c r="Q1933"/>
  <c r="Q708"/>
  <c r="Q1931"/>
  <c r="Q695"/>
  <c r="Q1928"/>
  <c r="Q692"/>
  <c r="Q1926"/>
  <c r="Q690"/>
  <c r="Q1924"/>
  <c r="Q688"/>
  <c r="Q1922"/>
  <c r="Q661"/>
  <c r="Q1920"/>
  <c r="Q659"/>
  <c r="Q1918"/>
  <c r="Q657"/>
  <c r="Q1916"/>
  <c r="Q655"/>
  <c r="Q1914"/>
  <c r="Q653"/>
  <c r="Q1912"/>
  <c r="Q638"/>
  <c r="Q1910"/>
  <c r="Q636"/>
  <c r="Q1908"/>
  <c r="Q634"/>
  <c r="Q1906"/>
  <c r="Q591"/>
  <c r="Q1904"/>
  <c r="Q589"/>
  <c r="Q1902"/>
  <c r="Q783"/>
  <c r="Q1900"/>
  <c r="Q781"/>
  <c r="Q1897"/>
  <c r="Q686"/>
  <c r="Q1895"/>
  <c r="Q684"/>
  <c r="Q1893"/>
  <c r="Q682"/>
  <c r="Q1891"/>
  <c r="Q768"/>
  <c r="Q1889"/>
  <c r="Q766"/>
  <c r="Q1887"/>
  <c r="Q746"/>
  <c r="Q1885"/>
  <c r="Q744"/>
  <c r="Q1883"/>
  <c r="Q742"/>
  <c r="Q973"/>
  <c r="Q1881"/>
  <c r="Q971"/>
  <c r="Q1879"/>
  <c r="Q992"/>
  <c r="Q1877"/>
  <c r="Q990"/>
  <c r="Q1875"/>
  <c r="Q988"/>
  <c r="Q1873"/>
  <c r="Q998"/>
  <c r="Q1870"/>
  <c r="Q995"/>
  <c r="Q1868"/>
  <c r="Q986"/>
  <c r="Q1866"/>
  <c r="Q984"/>
  <c r="Q1864"/>
  <c r="Q951"/>
  <c r="Q1862"/>
  <c r="Q949"/>
  <c r="Q1860"/>
  <c r="Q947"/>
  <c r="Q1858"/>
  <c r="Q903"/>
  <c r="Q1856"/>
  <c r="Q901"/>
  <c r="Q1854"/>
  <c r="Q879"/>
  <c r="Q1852"/>
  <c r="Q877"/>
  <c r="Q1850"/>
  <c r="Q875"/>
  <c r="Q1848"/>
  <c r="Q898"/>
  <c r="Q1845"/>
  <c r="Q895"/>
  <c r="Q1843"/>
  <c r="Q945"/>
  <c r="Q1841"/>
  <c r="Q943"/>
  <c r="Q1839"/>
  <c r="Q957"/>
  <c r="Q1837"/>
  <c r="Q955"/>
  <c r="Q1836"/>
  <c r="Q954"/>
  <c r="Q1834"/>
  <c r="Q939"/>
  <c r="Q1768"/>
  <c r="Q1000"/>
  <c r="Q1767"/>
  <c r="Q1101"/>
  <c r="Q1766"/>
  <c r="Q1138"/>
  <c r="Q1765"/>
  <c r="Q1151"/>
  <c r="Q1764"/>
  <c r="Q1162"/>
  <c r="Q1763"/>
  <c r="Q1161"/>
  <c r="Q1762"/>
  <c r="Q1066"/>
  <c r="Q1761"/>
  <c r="Q1065"/>
  <c r="Q1760"/>
  <c r="Q1064"/>
  <c r="Q1759"/>
  <c r="Q1063"/>
  <c r="Q1758"/>
  <c r="Q1062"/>
  <c r="Q1757"/>
  <c r="Q1137"/>
  <c r="Q1756"/>
  <c r="Q1136"/>
  <c r="Q1755"/>
  <c r="Q1135"/>
  <c r="Q1754"/>
  <c r="Q1134"/>
  <c r="Q1753"/>
  <c r="Q1133"/>
  <c r="Q1752"/>
  <c r="Q1132"/>
  <c r="Q1751"/>
  <c r="Q1131"/>
  <c r="Q1750"/>
  <c r="Q1130"/>
  <c r="Q1749"/>
  <c r="Q1129"/>
  <c r="Q1748"/>
  <c r="Q1128"/>
  <c r="Q1747"/>
  <c r="Q1127"/>
  <c r="Q1746"/>
  <c r="Q1126"/>
  <c r="Q1745"/>
  <c r="Q1125"/>
  <c r="Q1744"/>
  <c r="Q1124"/>
  <c r="Q1743"/>
  <c r="Q1123"/>
  <c r="Q1742"/>
  <c r="Q1100"/>
  <c r="Q1741"/>
  <c r="Q1099"/>
  <c r="Q1740"/>
  <c r="Q1098"/>
  <c r="Q1739"/>
  <c r="Q1097"/>
  <c r="Q1738"/>
  <c r="Q1096"/>
  <c r="Q1122"/>
  <c r="Q1121"/>
  <c r="Q1120"/>
  <c r="Q1119"/>
  <c r="Q1118"/>
  <c r="Q1058"/>
  <c r="Q1057"/>
  <c r="Q1056"/>
  <c r="Q1055"/>
  <c r="Q1054"/>
  <c r="Q1053"/>
  <c r="Q1052"/>
  <c r="Q1051"/>
  <c r="Q1050"/>
  <c r="Q1117"/>
  <c r="Q1722"/>
  <c r="Q1044"/>
  <c r="Q1721"/>
  <c r="Q1043"/>
  <c r="Q1720"/>
  <c r="Q1042"/>
  <c r="Q1719"/>
  <c r="Q1041"/>
  <c r="Q1718"/>
  <c r="Q1040"/>
  <c r="Q1717"/>
  <c r="Q587"/>
  <c r="Q1716"/>
  <c r="Q586"/>
  <c r="Q1715"/>
  <c r="Q585"/>
  <c r="Q1714"/>
  <c r="Q584"/>
  <c r="Q1713"/>
  <c r="Q583"/>
  <c r="Q1712"/>
  <c r="Q582"/>
  <c r="Q1711"/>
  <c r="Q581"/>
  <c r="Q1710"/>
  <c r="Q580"/>
  <c r="Q1709"/>
  <c r="Q579"/>
  <c r="J1670"/>
  <c r="I1670"/>
  <c r="J1669"/>
  <c r="I1669"/>
  <c r="J1668"/>
  <c r="I1668"/>
  <c r="Q1666" s="1"/>
  <c r="J1386"/>
  <c r="I1386"/>
  <c r="Q1386" s="1"/>
  <c r="J1454"/>
  <c r="I1454"/>
  <c r="Q1454" s="1"/>
  <c r="J1453"/>
  <c r="I1453"/>
  <c r="Q1453" s="1"/>
  <c r="J1420"/>
  <c r="I1420"/>
  <c r="Q1420" s="1"/>
  <c r="J1419"/>
  <c r="I1419"/>
  <c r="Q1419" s="1"/>
  <c r="J1418"/>
  <c r="I1418"/>
  <c r="Q1418" s="1"/>
  <c r="N16" i="7"/>
  <c r="P21"/>
  <c r="P20"/>
  <c r="P19"/>
  <c r="P18"/>
  <c r="P17"/>
  <c r="P16"/>
  <c r="F16" i="8" s="1"/>
  <c r="P16" s="1"/>
  <c r="P15" i="7"/>
  <c r="F15" i="8" s="1"/>
  <c r="P15" s="1"/>
  <c r="P14" i="7"/>
  <c r="F14" i="8" s="1"/>
  <c r="P14" s="1"/>
  <c r="P13" i="7"/>
  <c r="F13" i="8" s="1"/>
  <c r="P13" s="1"/>
  <c r="P12" i="7"/>
  <c r="F12" i="8" s="1"/>
  <c r="P12" s="1"/>
  <c r="P11" i="7"/>
  <c r="P10"/>
  <c r="F10" i="8" s="1"/>
  <c r="P9" i="7"/>
  <c r="F9" i="8" s="1"/>
  <c r="P8" i="7"/>
  <c r="F8" i="8" s="1"/>
  <c r="P7" i="7"/>
  <c r="F7" i="8" s="1"/>
  <c r="P6" i="7"/>
  <c r="F6" i="8" s="1"/>
  <c r="P5" i="7"/>
  <c r="J1749" i="33"/>
  <c r="J1748"/>
  <c r="J1741"/>
  <c r="J1739"/>
  <c r="J1737"/>
  <c r="J1736"/>
  <c r="J1735"/>
  <c r="J1734"/>
  <c r="J1733"/>
  <c r="J1732"/>
  <c r="J1731"/>
  <c r="J1729"/>
  <c r="J1728"/>
  <c r="J1727"/>
  <c r="J1726"/>
  <c r="J1725"/>
  <c r="J1522"/>
  <c r="J1521"/>
  <c r="J1520"/>
  <c r="J1519"/>
  <c r="J1518"/>
  <c r="J1517"/>
  <c r="J1516"/>
  <c r="J1515"/>
  <c r="J1724"/>
  <c r="J1723"/>
  <c r="J1718"/>
  <c r="J1717"/>
  <c r="J1689"/>
  <c r="J1688"/>
  <c r="J1687"/>
  <c r="J1686"/>
  <c r="J1676"/>
  <c r="J1675"/>
  <c r="J1674"/>
  <c r="J1673"/>
  <c r="J1672"/>
  <c r="J1671"/>
  <c r="J1645"/>
  <c r="J1644"/>
  <c r="J1642"/>
  <c r="J1641"/>
  <c r="J1640"/>
  <c r="J1638"/>
  <c r="J1637"/>
  <c r="J1636"/>
  <c r="J1631"/>
  <c r="J1630"/>
  <c r="J1624"/>
  <c r="J1623"/>
  <c r="J1622"/>
  <c r="J1610"/>
  <c r="J1609"/>
  <c r="J1590"/>
  <c r="J1589"/>
  <c r="J1514"/>
  <c r="J1513"/>
  <c r="J1476"/>
  <c r="J1475"/>
  <c r="J1473"/>
  <c r="J1472"/>
  <c r="J1471"/>
  <c r="J1468"/>
  <c r="J1467"/>
  <c r="J1465"/>
  <c r="J1464"/>
  <c r="J1463"/>
  <c r="J1417"/>
  <c r="J1416"/>
  <c r="J1720"/>
  <c r="J1719"/>
  <c r="J1716"/>
  <c r="J1715"/>
  <c r="J1709"/>
  <c r="J1708"/>
  <c r="J1667"/>
  <c r="J1666"/>
  <c r="J1635"/>
  <c r="J1634"/>
  <c r="J1633"/>
  <c r="J1632"/>
  <c r="J1621"/>
  <c r="J1620"/>
  <c r="J1612"/>
  <c r="J1611"/>
  <c r="J1588"/>
  <c r="J1587"/>
  <c r="J1579"/>
  <c r="J1578"/>
  <c r="J1573"/>
  <c r="J1572"/>
  <c r="J1512"/>
  <c r="J1511"/>
  <c r="J1496"/>
  <c r="J1495"/>
  <c r="J1452"/>
  <c r="J1451"/>
  <c r="J1415"/>
  <c r="J1414"/>
  <c r="J1413"/>
  <c r="J1412"/>
  <c r="J1402"/>
  <c r="J1401"/>
  <c r="J1597"/>
  <c r="J1596"/>
  <c r="J1586"/>
  <c r="J1585"/>
  <c r="J1575"/>
  <c r="J1574"/>
  <c r="J1577"/>
  <c r="J1576"/>
  <c r="J1571"/>
  <c r="J1570"/>
  <c r="J1619"/>
  <c r="J1618"/>
  <c r="J1650"/>
  <c r="J1649"/>
  <c r="J1685"/>
  <c r="J1684"/>
  <c r="J1702"/>
  <c r="J1701"/>
  <c r="J1483"/>
  <c r="J1482"/>
  <c r="J1450"/>
  <c r="J1449"/>
  <c r="J1448"/>
  <c r="J1447"/>
  <c r="J1446"/>
  <c r="J1445"/>
  <c r="J1444"/>
  <c r="J1443"/>
  <c r="J1411"/>
  <c r="J1410"/>
  <c r="J1400"/>
  <c r="J1399"/>
  <c r="J1398"/>
  <c r="J1397"/>
  <c r="J1385"/>
  <c r="J1384"/>
  <c r="J1383"/>
  <c r="J1382"/>
  <c r="J1700"/>
  <c r="J1699"/>
  <c r="J1722"/>
  <c r="J1721"/>
  <c r="J1510"/>
  <c r="J1509"/>
  <c r="J1396"/>
  <c r="J1395"/>
  <c r="J1683"/>
  <c r="J1682"/>
  <c r="J1557"/>
  <c r="J1556"/>
  <c r="J1648"/>
  <c r="J1647"/>
  <c r="J1646"/>
  <c r="J1470"/>
  <c r="J1469"/>
  <c r="J1462"/>
  <c r="J1461"/>
  <c r="J1508"/>
  <c r="J1507"/>
  <c r="J1506"/>
  <c r="J1494"/>
  <c r="J1493"/>
  <c r="J1492"/>
  <c r="J1486"/>
  <c r="J1485"/>
  <c r="J1484"/>
  <c r="J1479"/>
  <c r="J1478"/>
  <c r="M10" i="39"/>
  <c r="H793" s="1"/>
  <c r="H791" s="1"/>
  <c r="H796" s="1"/>
  <c r="H804" s="1"/>
  <c r="H816" s="1"/>
  <c r="H826" s="1"/>
  <c r="H827" s="1"/>
  <c r="H834" s="1"/>
  <c r="M11"/>
  <c r="H915" s="1"/>
  <c r="H913" s="1"/>
  <c r="H918" s="1"/>
  <c r="H926" s="1"/>
  <c r="H938" s="1"/>
  <c r="H948" s="1"/>
  <c r="H949" s="1"/>
  <c r="H956" s="1"/>
  <c r="F1647" i="33"/>
  <c r="F1507"/>
  <c r="J1406"/>
  <c r="J1405"/>
  <c r="F1407"/>
  <c r="F1406"/>
  <c r="F1405"/>
  <c r="F1675"/>
  <c r="B1130"/>
  <c r="F1672"/>
  <c r="B1127"/>
  <c r="F1623"/>
  <c r="B1112"/>
  <c r="J159" i="7"/>
  <c r="F1494" i="33"/>
  <c r="F1493"/>
  <c r="F1492"/>
  <c r="F1486"/>
  <c r="F1485"/>
  <c r="J169" i="7"/>
  <c r="F1478" i="33"/>
  <c r="T765" i="21"/>
  <c r="T766"/>
  <c r="T767"/>
  <c r="B627"/>
  <c r="B628"/>
  <c r="B650"/>
  <c r="B651"/>
  <c r="B649"/>
  <c r="T891"/>
  <c r="T893"/>
  <c r="T892"/>
  <c r="T855"/>
  <c r="T854"/>
  <c r="T853"/>
  <c r="T649"/>
  <c r="T651"/>
  <c r="T650"/>
  <c r="T628"/>
  <c r="T627"/>
  <c r="I616"/>
  <c r="J616" s="1"/>
  <c r="I649"/>
  <c r="J649" s="1"/>
  <c r="I651"/>
  <c r="J651" s="1"/>
  <c r="I650"/>
  <c r="K628"/>
  <c r="J628"/>
  <c r="I628"/>
  <c r="I626"/>
  <c r="I672"/>
  <c r="K672"/>
  <c r="I673"/>
  <c r="J673"/>
  <c r="K673"/>
  <c r="I674"/>
  <c r="J674"/>
  <c r="K674"/>
  <c r="I675"/>
  <c r="J675"/>
  <c r="K675"/>
  <c r="I676"/>
  <c r="J676"/>
  <c r="K676"/>
  <c r="I662"/>
  <c r="J662"/>
  <c r="K662"/>
  <c r="I663"/>
  <c r="J663"/>
  <c r="K663"/>
  <c r="I664"/>
  <c r="J664"/>
  <c r="K664"/>
  <c r="I665"/>
  <c r="J665"/>
  <c r="K665"/>
  <c r="I666"/>
  <c r="J666"/>
  <c r="K666"/>
  <c r="I667"/>
  <c r="J667"/>
  <c r="K667"/>
  <c r="I668"/>
  <c r="J668"/>
  <c r="K668"/>
  <c r="I669"/>
  <c r="J669"/>
  <c r="K669"/>
  <c r="I670"/>
  <c r="J670"/>
  <c r="K670"/>
  <c r="I671"/>
  <c r="J671"/>
  <c r="K671"/>
  <c r="I629"/>
  <c r="J629"/>
  <c r="K629"/>
  <c r="I630"/>
  <c r="J630"/>
  <c r="K630"/>
  <c r="I631"/>
  <c r="J631"/>
  <c r="K631"/>
  <c r="I632"/>
  <c r="J632"/>
  <c r="K632"/>
  <c r="I633"/>
  <c r="J633"/>
  <c r="K633"/>
  <c r="I652"/>
  <c r="J652"/>
  <c r="K652"/>
  <c r="I653"/>
  <c r="J653"/>
  <c r="K653"/>
  <c r="I654"/>
  <c r="J654"/>
  <c r="K654"/>
  <c r="I655"/>
  <c r="J655"/>
  <c r="K655"/>
  <c r="I656"/>
  <c r="J656"/>
  <c r="K656"/>
  <c r="I634"/>
  <c r="J634"/>
  <c r="K634"/>
  <c r="I635"/>
  <c r="J635"/>
  <c r="K635"/>
  <c r="I636"/>
  <c r="J636"/>
  <c r="K636"/>
  <c r="I637"/>
  <c r="J637"/>
  <c r="K637"/>
  <c r="I638"/>
  <c r="J638"/>
  <c r="K638"/>
  <c r="I639"/>
  <c r="J639"/>
  <c r="K639"/>
  <c r="I640"/>
  <c r="J640"/>
  <c r="K640"/>
  <c r="I641"/>
  <c r="J641"/>
  <c r="K641"/>
  <c r="I642"/>
  <c r="J642"/>
  <c r="K642"/>
  <c r="I643"/>
  <c r="J643"/>
  <c r="K643"/>
  <c r="I644"/>
  <c r="J644"/>
  <c r="K644"/>
  <c r="I645"/>
  <c r="J645"/>
  <c r="K645"/>
  <c r="I646"/>
  <c r="J646"/>
  <c r="K646"/>
  <c r="I647"/>
  <c r="J647"/>
  <c r="K647"/>
  <c r="I648"/>
  <c r="J648"/>
  <c r="K648"/>
  <c r="I657"/>
  <c r="J657"/>
  <c r="K657"/>
  <c r="I658"/>
  <c r="J658"/>
  <c r="K658"/>
  <c r="I659"/>
  <c r="J659"/>
  <c r="K659"/>
  <c r="I660"/>
  <c r="J660"/>
  <c r="K660"/>
  <c r="I661"/>
  <c r="J661"/>
  <c r="K661"/>
  <c r="I605"/>
  <c r="J605"/>
  <c r="K605"/>
  <c r="I606"/>
  <c r="J606"/>
  <c r="K606"/>
  <c r="I607"/>
  <c r="J607"/>
  <c r="K607"/>
  <c r="I608"/>
  <c r="J608"/>
  <c r="K608"/>
  <c r="I610"/>
  <c r="J610"/>
  <c r="K610"/>
  <c r="I609"/>
  <c r="J609"/>
  <c r="K609"/>
  <c r="I612"/>
  <c r="J612"/>
  <c r="K612"/>
  <c r="I611"/>
  <c r="J611"/>
  <c r="K611"/>
  <c r="I677"/>
  <c r="J677"/>
  <c r="K677"/>
  <c r="I678"/>
  <c r="J678"/>
  <c r="K678"/>
  <c r="I679"/>
  <c r="J679"/>
  <c r="K679"/>
  <c r="I680"/>
  <c r="J680"/>
  <c r="K680"/>
  <c r="I681"/>
  <c r="J681"/>
  <c r="K681"/>
  <c r="I682"/>
  <c r="J682"/>
  <c r="K682"/>
  <c r="I683"/>
  <c r="J683"/>
  <c r="K683"/>
  <c r="I684"/>
  <c r="J684"/>
  <c r="K684"/>
  <c r="I685"/>
  <c r="J685"/>
  <c r="K685"/>
  <c r="I701"/>
  <c r="J701"/>
  <c r="K701"/>
  <c r="I702"/>
  <c r="J702"/>
  <c r="K702"/>
  <c r="I703"/>
  <c r="J703"/>
  <c r="K703"/>
  <c r="I704"/>
  <c r="J704"/>
  <c r="K704"/>
  <c r="I705"/>
  <c r="J705"/>
  <c r="K705"/>
  <c r="I706"/>
  <c r="J706"/>
  <c r="K706"/>
  <c r="I707"/>
  <c r="J707"/>
  <c r="K707"/>
  <c r="I708"/>
  <c r="J708"/>
  <c r="K708"/>
  <c r="I709"/>
  <c r="J709"/>
  <c r="K709"/>
  <c r="I614"/>
  <c r="J614"/>
  <c r="K614"/>
  <c r="I615"/>
  <c r="J615"/>
  <c r="K615"/>
  <c r="I793"/>
  <c r="J793"/>
  <c r="K793"/>
  <c r="I794"/>
  <c r="J794"/>
  <c r="K794"/>
  <c r="I795"/>
  <c r="J795"/>
  <c r="K795"/>
  <c r="I796"/>
  <c r="J796"/>
  <c r="K796"/>
  <c r="I797"/>
  <c r="J797"/>
  <c r="K797"/>
  <c r="I686"/>
  <c r="J686"/>
  <c r="K686"/>
  <c r="I687"/>
  <c r="J687"/>
  <c r="K687"/>
  <c r="I688"/>
  <c r="J688"/>
  <c r="K688"/>
  <c r="I689"/>
  <c r="J689"/>
  <c r="K689"/>
  <c r="I690"/>
  <c r="J690"/>
  <c r="K690"/>
  <c r="I691"/>
  <c r="J691"/>
  <c r="K691"/>
  <c r="I692"/>
  <c r="J692"/>
  <c r="K692"/>
  <c r="I693"/>
  <c r="J693"/>
  <c r="K693"/>
  <c r="I694"/>
  <c r="J694"/>
  <c r="K694"/>
  <c r="I695"/>
  <c r="J695"/>
  <c r="K695"/>
  <c r="I788"/>
  <c r="J788"/>
  <c r="K788"/>
  <c r="I789"/>
  <c r="J789"/>
  <c r="K789"/>
  <c r="I790"/>
  <c r="J790"/>
  <c r="K790"/>
  <c r="I791"/>
  <c r="J791"/>
  <c r="K791"/>
  <c r="I792"/>
  <c r="J792"/>
  <c r="K792"/>
  <c r="I783"/>
  <c r="J783"/>
  <c r="K783"/>
  <c r="I784"/>
  <c r="J784"/>
  <c r="K784"/>
  <c r="I785"/>
  <c r="J785"/>
  <c r="K785"/>
  <c r="I786"/>
  <c r="J786"/>
  <c r="K786"/>
  <c r="I787"/>
  <c r="J787"/>
  <c r="K787"/>
  <c r="I773"/>
  <c r="J773"/>
  <c r="K773"/>
  <c r="I774"/>
  <c r="J774"/>
  <c r="K774"/>
  <c r="I775"/>
  <c r="J775"/>
  <c r="K775"/>
  <c r="I776"/>
  <c r="J776"/>
  <c r="K776"/>
  <c r="I777"/>
  <c r="J777"/>
  <c r="K777"/>
  <c r="I778"/>
  <c r="J778"/>
  <c r="K778"/>
  <c r="I779"/>
  <c r="J779"/>
  <c r="K779"/>
  <c r="I780"/>
  <c r="J780"/>
  <c r="K780"/>
  <c r="I781"/>
  <c r="J781"/>
  <c r="K781"/>
  <c r="I782"/>
  <c r="J782"/>
  <c r="K782"/>
  <c r="I750"/>
  <c r="J750"/>
  <c r="K750"/>
  <c r="I751"/>
  <c r="J751"/>
  <c r="K751"/>
  <c r="I752"/>
  <c r="J752"/>
  <c r="K752"/>
  <c r="I753"/>
  <c r="J753"/>
  <c r="K753"/>
  <c r="I754"/>
  <c r="J754"/>
  <c r="K754"/>
  <c r="I745"/>
  <c r="J745"/>
  <c r="K745"/>
  <c r="I746"/>
  <c r="J746"/>
  <c r="K746"/>
  <c r="I747"/>
  <c r="J747"/>
  <c r="K747"/>
  <c r="I748"/>
  <c r="J748"/>
  <c r="K748"/>
  <c r="I749"/>
  <c r="J749"/>
  <c r="K749"/>
  <c r="I740"/>
  <c r="J740"/>
  <c r="K740"/>
  <c r="I741"/>
  <c r="J741"/>
  <c r="K741"/>
  <c r="I742"/>
  <c r="J742"/>
  <c r="K742"/>
  <c r="I743"/>
  <c r="J743"/>
  <c r="K743"/>
  <c r="I744"/>
  <c r="J744"/>
  <c r="K744"/>
  <c r="I725"/>
  <c r="J725"/>
  <c r="K725"/>
  <c r="I726"/>
  <c r="J726"/>
  <c r="K726"/>
  <c r="I727"/>
  <c r="J727"/>
  <c r="K727"/>
  <c r="I728"/>
  <c r="J728"/>
  <c r="K728"/>
  <c r="I729"/>
  <c r="J729"/>
  <c r="K729"/>
  <c r="I730"/>
  <c r="J730"/>
  <c r="K730"/>
  <c r="I731"/>
  <c r="J731"/>
  <c r="K731"/>
  <c r="I732"/>
  <c r="J732"/>
  <c r="K732"/>
  <c r="I733"/>
  <c r="J733"/>
  <c r="K733"/>
  <c r="I734"/>
  <c r="J734"/>
  <c r="K734"/>
  <c r="I755"/>
  <c r="J755"/>
  <c r="K755"/>
  <c r="I756"/>
  <c r="J756"/>
  <c r="K756"/>
  <c r="I757"/>
  <c r="J757"/>
  <c r="K757"/>
  <c r="I758"/>
  <c r="J758"/>
  <c r="K758"/>
  <c r="I759"/>
  <c r="J759"/>
  <c r="K759"/>
  <c r="I768"/>
  <c r="J768"/>
  <c r="K768"/>
  <c r="I769"/>
  <c r="J769"/>
  <c r="K769"/>
  <c r="I770"/>
  <c r="J770"/>
  <c r="K770"/>
  <c r="I771"/>
  <c r="J771"/>
  <c r="K771"/>
  <c r="I772"/>
  <c r="J772"/>
  <c r="K772"/>
  <c r="I760"/>
  <c r="J760"/>
  <c r="K760"/>
  <c r="I761"/>
  <c r="J761"/>
  <c r="K761"/>
  <c r="I762"/>
  <c r="J762"/>
  <c r="K762"/>
  <c r="I763"/>
  <c r="J763"/>
  <c r="K763"/>
  <c r="I764"/>
  <c r="J764"/>
  <c r="K764"/>
  <c r="I735"/>
  <c r="J735"/>
  <c r="K735"/>
  <c r="I736"/>
  <c r="J736"/>
  <c r="K736"/>
  <c r="I737"/>
  <c r="J737"/>
  <c r="K737"/>
  <c r="I738"/>
  <c r="J738"/>
  <c r="K738"/>
  <c r="I739"/>
  <c r="J739"/>
  <c r="K739"/>
  <c r="I714"/>
  <c r="J714"/>
  <c r="K714"/>
  <c r="I710"/>
  <c r="J710"/>
  <c r="K710"/>
  <c r="I711"/>
  <c r="J711"/>
  <c r="K711"/>
  <c r="I712"/>
  <c r="J712"/>
  <c r="K712"/>
  <c r="I713"/>
  <c r="J713"/>
  <c r="K713"/>
  <c r="I696"/>
  <c r="J696"/>
  <c r="K696"/>
  <c r="I697"/>
  <c r="J697"/>
  <c r="K697"/>
  <c r="I698"/>
  <c r="J698"/>
  <c r="K698"/>
  <c r="I699"/>
  <c r="J699"/>
  <c r="K699"/>
  <c r="I700"/>
  <c r="J700"/>
  <c r="K700"/>
  <c r="I715"/>
  <c r="J715"/>
  <c r="K715"/>
  <c r="I716"/>
  <c r="J716"/>
  <c r="K716"/>
  <c r="I717"/>
  <c r="J717"/>
  <c r="K717"/>
  <c r="I718"/>
  <c r="J718"/>
  <c r="K718"/>
  <c r="I719"/>
  <c r="J719"/>
  <c r="K719"/>
  <c r="I720"/>
  <c r="J720"/>
  <c r="K720"/>
  <c r="I721"/>
  <c r="J721"/>
  <c r="K721"/>
  <c r="I722"/>
  <c r="J722"/>
  <c r="K722"/>
  <c r="I723"/>
  <c r="J723"/>
  <c r="K723"/>
  <c r="I724"/>
  <c r="J724"/>
  <c r="K724"/>
  <c r="N11" i="7" l="1"/>
  <c r="F11" i="8"/>
  <c r="P11" s="1"/>
  <c r="Q1667" i="33"/>
  <c r="Q1669"/>
  <c r="Q1668"/>
  <c r="Q1670"/>
  <c r="Q1673"/>
  <c r="Q1114"/>
  <c r="Q1674"/>
  <c r="Q1115"/>
  <c r="Q1675"/>
  <c r="Q1116"/>
  <c r="Q1676"/>
  <c r="Q1094"/>
  <c r="Q1677"/>
  <c r="Q1095"/>
  <c r="Q1678"/>
  <c r="Q1158"/>
  <c r="Q1679"/>
  <c r="Q882"/>
  <c r="Q1680"/>
  <c r="Q883"/>
  <c r="Q1681"/>
  <c r="Q884"/>
  <c r="J157" i="7"/>
  <c r="H846" i="39"/>
  <c r="G845"/>
  <c r="N5" i="7"/>
  <c r="E6" i="1" s="1"/>
  <c r="F5" i="8"/>
  <c r="M16" i="39"/>
  <c r="O10"/>
  <c r="G953" s="1"/>
  <c r="P10"/>
  <c r="J170" i="7"/>
  <c r="K649" i="21"/>
  <c r="J650"/>
  <c r="K650" s="1"/>
  <c r="K651"/>
  <c r="K616"/>
  <c r="J626"/>
  <c r="K626" s="1"/>
  <c r="T724"/>
  <c r="T723"/>
  <c r="T722"/>
  <c r="T721"/>
  <c r="T720"/>
  <c r="B720"/>
  <c r="O711"/>
  <c r="F139" i="8" l="1"/>
  <c r="F217" s="1"/>
  <c r="P5"/>
  <c r="P139" s="1"/>
  <c r="P217" s="1"/>
  <c r="H954" i="39"/>
  <c r="G967" s="1"/>
  <c r="J846"/>
  <c r="K846" s="1"/>
  <c r="O11"/>
  <c r="G1075" s="1"/>
  <c r="P11"/>
  <c r="P711" i="21"/>
  <c r="N712"/>
  <c r="O712" s="1"/>
  <c r="H968" i="39" l="1"/>
  <c r="H1076"/>
  <c r="G1089" s="1"/>
  <c r="J968"/>
  <c r="O12"/>
  <c r="G1197" s="1"/>
  <c r="P12"/>
  <c r="H1198" s="1"/>
  <c r="P712" i="21"/>
  <c r="N713"/>
  <c r="O713"/>
  <c r="P713"/>
  <c r="Q713"/>
  <c r="R713"/>
  <c r="N696"/>
  <c r="O696" s="1"/>
  <c r="P696" s="1"/>
  <c r="N697"/>
  <c r="O697"/>
  <c r="P697"/>
  <c r="Q697"/>
  <c r="R697"/>
  <c r="N698"/>
  <c r="O698"/>
  <c r="P698"/>
  <c r="Q698"/>
  <c r="R698"/>
  <c r="N699"/>
  <c r="O699"/>
  <c r="P699"/>
  <c r="Q699"/>
  <c r="R699"/>
  <c r="N700"/>
  <c r="O700"/>
  <c r="P700"/>
  <c r="Q700"/>
  <c r="R700"/>
  <c r="N715"/>
  <c r="O715" s="1"/>
  <c r="P715" s="1"/>
  <c r="N716"/>
  <c r="O716" s="1"/>
  <c r="N717"/>
  <c r="O717"/>
  <c r="P717"/>
  <c r="Q717"/>
  <c r="H1090" i="39" l="1"/>
  <c r="K968"/>
  <c r="H1212"/>
  <c r="G1211"/>
  <c r="P13"/>
  <c r="O13"/>
  <c r="G1319" s="1"/>
  <c r="P716" i="21"/>
  <c r="R717"/>
  <c r="N718"/>
  <c r="O718"/>
  <c r="P718"/>
  <c r="Q718"/>
  <c r="R718"/>
  <c r="N719"/>
  <c r="O719"/>
  <c r="P719"/>
  <c r="Q719"/>
  <c r="R719"/>
  <c r="N720"/>
  <c r="H1320" i="39" l="1"/>
  <c r="H1334" s="1"/>
  <c r="J1212"/>
  <c r="K1212" s="1"/>
  <c r="G1333"/>
  <c r="O14"/>
  <c r="G1441" s="1"/>
  <c r="P14"/>
  <c r="O720" i="21"/>
  <c r="P720" s="1"/>
  <c r="O721"/>
  <c r="P721"/>
  <c r="Q721"/>
  <c r="R721"/>
  <c r="O722"/>
  <c r="P722"/>
  <c r="Q722"/>
  <c r="R722"/>
  <c r="O723"/>
  <c r="P723"/>
  <c r="Q723"/>
  <c r="R723"/>
  <c r="O724"/>
  <c r="P724"/>
  <c r="Q724"/>
  <c r="R724"/>
  <c r="T700"/>
  <c r="T699"/>
  <c r="T698"/>
  <c r="T697"/>
  <c r="T696"/>
  <c r="T713"/>
  <c r="T712"/>
  <c r="T711"/>
  <c r="T710"/>
  <c r="T714"/>
  <c r="T739"/>
  <c r="T738"/>
  <c r="T737"/>
  <c r="T736"/>
  <c r="T735"/>
  <c r="T764"/>
  <c r="T763"/>
  <c r="T762"/>
  <c r="T761"/>
  <c r="T760"/>
  <c r="T759"/>
  <c r="T758"/>
  <c r="T757"/>
  <c r="T756"/>
  <c r="T755"/>
  <c r="T734"/>
  <c r="T733"/>
  <c r="T732"/>
  <c r="T731"/>
  <c r="T730"/>
  <c r="T729"/>
  <c r="T728"/>
  <c r="T727"/>
  <c r="T726"/>
  <c r="T725"/>
  <c r="T744"/>
  <c r="T743"/>
  <c r="T742"/>
  <c r="T741"/>
  <c r="T740"/>
  <c r="T749"/>
  <c r="T748"/>
  <c r="T747"/>
  <c r="T746"/>
  <c r="T745"/>
  <c r="T754"/>
  <c r="T753"/>
  <c r="T752"/>
  <c r="T751"/>
  <c r="T750"/>
  <c r="T782"/>
  <c r="T781"/>
  <c r="T780"/>
  <c r="T779"/>
  <c r="T778"/>
  <c r="N784"/>
  <c r="O784"/>
  <c r="P784"/>
  <c r="Q784"/>
  <c r="R784"/>
  <c r="N785"/>
  <c r="O785"/>
  <c r="P785"/>
  <c r="Q785"/>
  <c r="R785"/>
  <c r="N786"/>
  <c r="O786"/>
  <c r="P786"/>
  <c r="Q786"/>
  <c r="R786"/>
  <c r="N787"/>
  <c r="O787"/>
  <c r="P787"/>
  <c r="Q787"/>
  <c r="R787"/>
  <c r="N773"/>
  <c r="O773" s="1"/>
  <c r="N774"/>
  <c r="O774" s="1"/>
  <c r="P774" s="1"/>
  <c r="N775"/>
  <c r="O775"/>
  <c r="P775"/>
  <c r="Q775"/>
  <c r="H1442" i="39" l="1"/>
  <c r="H1456" s="1"/>
  <c r="J1334"/>
  <c r="K1334" s="1"/>
  <c r="G1455"/>
  <c r="P15"/>
  <c r="O15"/>
  <c r="P773" i="21"/>
  <c r="R775"/>
  <c r="N776"/>
  <c r="O776"/>
  <c r="P776"/>
  <c r="Q776"/>
  <c r="R776"/>
  <c r="N777"/>
  <c r="O777"/>
  <c r="P777"/>
  <c r="Q777"/>
  <c r="R777"/>
  <c r="N778"/>
  <c r="J1456" i="39" l="1"/>
  <c r="K1456" s="1"/>
  <c r="O778" i="21"/>
  <c r="P778" s="1"/>
  <c r="N779"/>
  <c r="O779"/>
  <c r="P779"/>
  <c r="Q779"/>
  <c r="R779"/>
  <c r="N780"/>
  <c r="O780"/>
  <c r="P780"/>
  <c r="Q780"/>
  <c r="R780"/>
  <c r="N781"/>
  <c r="O781"/>
  <c r="P781"/>
  <c r="Q781"/>
  <c r="R781"/>
  <c r="N782"/>
  <c r="O782"/>
  <c r="P782"/>
  <c r="Q782"/>
  <c r="R782"/>
  <c r="N750"/>
  <c r="O750" l="1"/>
  <c r="P750" s="1"/>
  <c r="N751"/>
  <c r="O751"/>
  <c r="P751"/>
  <c r="Q751"/>
  <c r="R751"/>
  <c r="N752"/>
  <c r="O752"/>
  <c r="P752"/>
  <c r="Q752"/>
  <c r="R752"/>
  <c r="N753"/>
  <c r="O753"/>
  <c r="P753"/>
  <c r="Q753"/>
  <c r="R753"/>
  <c r="N754"/>
  <c r="O754"/>
  <c r="P754"/>
  <c r="Q754"/>
  <c r="R754"/>
  <c r="N745"/>
  <c r="O745" l="1"/>
  <c r="P745" s="1"/>
  <c r="N746"/>
  <c r="O746"/>
  <c r="P746"/>
  <c r="Q746"/>
  <c r="R746"/>
  <c r="N747"/>
  <c r="O747"/>
  <c r="P747"/>
  <c r="Q747"/>
  <c r="R747"/>
  <c r="N748"/>
  <c r="O748"/>
  <c r="P748"/>
  <c r="Q748"/>
  <c r="R748"/>
  <c r="N749"/>
  <c r="O749"/>
  <c r="P749"/>
  <c r="Q749"/>
  <c r="R749"/>
  <c r="N740"/>
  <c r="O740" l="1"/>
  <c r="P740" s="1"/>
  <c r="N741"/>
  <c r="O741"/>
  <c r="P741"/>
  <c r="Q741"/>
  <c r="R741"/>
  <c r="N742"/>
  <c r="O742"/>
  <c r="P742"/>
  <c r="Q742"/>
  <c r="R742"/>
  <c r="N743"/>
  <c r="O743"/>
  <c r="P743"/>
  <c r="Q743"/>
  <c r="R743"/>
  <c r="N744"/>
  <c r="O744"/>
  <c r="P744"/>
  <c r="Q744"/>
  <c r="R744"/>
  <c r="N725"/>
  <c r="O725" l="1"/>
  <c r="P725" s="1"/>
  <c r="N726"/>
  <c r="O726"/>
  <c r="P726"/>
  <c r="Q726"/>
  <c r="R726"/>
  <c r="N727"/>
  <c r="O727"/>
  <c r="P727"/>
  <c r="Q727"/>
  <c r="R727"/>
  <c r="N728"/>
  <c r="O728"/>
  <c r="P728"/>
  <c r="Q728"/>
  <c r="R728"/>
  <c r="N729"/>
  <c r="O729"/>
  <c r="P729"/>
  <c r="Q729"/>
  <c r="R729"/>
  <c r="N730"/>
  <c r="O730" l="1"/>
  <c r="P730" s="1"/>
  <c r="N731"/>
  <c r="O731"/>
  <c r="P731"/>
  <c r="Q731"/>
  <c r="R731"/>
  <c r="N732"/>
  <c r="O732"/>
  <c r="P732"/>
  <c r="Q732"/>
  <c r="R732"/>
  <c r="N733"/>
  <c r="O733"/>
  <c r="P733"/>
  <c r="Q733"/>
  <c r="R733"/>
  <c r="N734"/>
  <c r="O734"/>
  <c r="P734"/>
  <c r="Q734"/>
  <c r="R734"/>
  <c r="N755"/>
  <c r="O755" l="1"/>
  <c r="P755" s="1"/>
  <c r="N756"/>
  <c r="O756"/>
  <c r="P756"/>
  <c r="Q756"/>
  <c r="R756"/>
  <c r="N757"/>
  <c r="O757"/>
  <c r="P757"/>
  <c r="Q757"/>
  <c r="R757"/>
  <c r="N758"/>
  <c r="O758"/>
  <c r="P758"/>
  <c r="Q758"/>
  <c r="R758"/>
  <c r="N759"/>
  <c r="O759"/>
  <c r="P759"/>
  <c r="Q759"/>
  <c r="R759"/>
  <c r="N768"/>
  <c r="O768" s="1"/>
  <c r="P768" l="1"/>
  <c r="N769"/>
  <c r="O769" s="1"/>
  <c r="P769" s="1"/>
  <c r="N770"/>
  <c r="O770"/>
  <c r="P770"/>
  <c r="Q770"/>
  <c r="R770" l="1"/>
  <c r="N771"/>
  <c r="O771"/>
  <c r="P771"/>
  <c r="Q771"/>
  <c r="R771"/>
  <c r="N772"/>
  <c r="O772"/>
  <c r="P772"/>
  <c r="Q772"/>
  <c r="R772"/>
  <c r="N760"/>
  <c r="O760" l="1"/>
  <c r="P760" s="1"/>
  <c r="N761"/>
  <c r="O761"/>
  <c r="P761"/>
  <c r="Q761"/>
  <c r="R761"/>
  <c r="N762"/>
  <c r="O762"/>
  <c r="P762"/>
  <c r="Q762"/>
  <c r="R762"/>
  <c r="N763"/>
  <c r="O763"/>
  <c r="P763"/>
  <c r="Q763"/>
  <c r="R763"/>
  <c r="N764"/>
  <c r="O764"/>
  <c r="P764"/>
  <c r="Q764"/>
  <c r="R764"/>
  <c r="N735"/>
  <c r="O735" l="1"/>
  <c r="N736"/>
  <c r="O736" s="1"/>
  <c r="P736" l="1"/>
  <c r="P735"/>
  <c r="N737"/>
  <c r="O737"/>
  <c r="P737" s="1"/>
  <c r="N738"/>
  <c r="O738"/>
  <c r="P738" s="1"/>
  <c r="N739"/>
  <c r="O739"/>
  <c r="P739" s="1"/>
  <c r="N714"/>
  <c r="O714" l="1"/>
  <c r="P714" s="1"/>
  <c r="N710"/>
  <c r="O710" s="1"/>
  <c r="P710" s="1"/>
  <c r="T787"/>
  <c r="T786"/>
  <c r="T785"/>
  <c r="T784"/>
  <c r="T783"/>
  <c r="N692"/>
  <c r="N693"/>
  <c r="N694"/>
  <c r="N695"/>
  <c r="N788"/>
  <c r="N789"/>
  <c r="N790"/>
  <c r="N791"/>
  <c r="N792"/>
  <c r="N783"/>
  <c r="T788" l="1"/>
  <c r="T789"/>
  <c r="T790"/>
  <c r="T791"/>
  <c r="T792"/>
  <c r="T695"/>
  <c r="T694"/>
  <c r="T693"/>
  <c r="T692"/>
  <c r="T691"/>
  <c r="P693"/>
  <c r="O693"/>
  <c r="P692"/>
  <c r="O692"/>
  <c r="N691"/>
  <c r="P690"/>
  <c r="O690"/>
  <c r="N690"/>
  <c r="P689"/>
  <c r="O689"/>
  <c r="N689"/>
  <c r="P688"/>
  <c r="O688"/>
  <c r="N688"/>
  <c r="P687"/>
  <c r="O687"/>
  <c r="N687"/>
  <c r="N686"/>
  <c r="O686" s="1"/>
  <c r="P797"/>
  <c r="O797"/>
  <c r="N797"/>
  <c r="P796"/>
  <c r="O796"/>
  <c r="N796"/>
  <c r="P795"/>
  <c r="O795"/>
  <c r="N795"/>
  <c r="P794"/>
  <c r="O794"/>
  <c r="N794"/>
  <c r="N793"/>
  <c r="P615"/>
  <c r="O615"/>
  <c r="N615"/>
  <c r="N614"/>
  <c r="N709"/>
  <c r="O709" s="1"/>
  <c r="N708"/>
  <c r="T680"/>
  <c r="T681"/>
  <c r="T682"/>
  <c r="T683"/>
  <c r="T684"/>
  <c r="T685"/>
  <c r="T701"/>
  <c r="T702"/>
  <c r="T703"/>
  <c r="T704"/>
  <c r="T705"/>
  <c r="T706"/>
  <c r="T707"/>
  <c r="T708"/>
  <c r="T709"/>
  <c r="T614"/>
  <c r="T615"/>
  <c r="T793"/>
  <c r="O691" l="1"/>
  <c r="O694"/>
  <c r="P694" s="1"/>
  <c r="P686"/>
  <c r="O708"/>
  <c r="P708" s="1"/>
  <c r="P709"/>
  <c r="O614"/>
  <c r="P614" s="1"/>
  <c r="O793"/>
  <c r="N613"/>
  <c r="O613" s="1"/>
  <c r="P691" l="1"/>
  <c r="P793"/>
  <c r="P613"/>
  <c r="B613"/>
  <c r="P1004"/>
  <c r="R928"/>
  <c r="Q928"/>
  <c r="P928"/>
  <c r="O928"/>
  <c r="R927"/>
  <c r="Q927"/>
  <c r="P927"/>
  <c r="O927"/>
  <c r="R926"/>
  <c r="Q926"/>
  <c r="P926"/>
  <c r="O926"/>
  <c r="R925"/>
  <c r="Q925"/>
  <c r="P925"/>
  <c r="O925"/>
  <c r="O949"/>
  <c r="P949" s="1"/>
  <c r="R923"/>
  <c r="Q923"/>
  <c r="P923"/>
  <c r="O923"/>
  <c r="R922"/>
  <c r="Q922"/>
  <c r="P922"/>
  <c r="R921"/>
  <c r="Q921"/>
  <c r="P921"/>
  <c r="O921"/>
  <c r="O920"/>
  <c r="P920" s="1"/>
  <c r="O919"/>
  <c r="P919" s="1"/>
  <c r="R938"/>
  <c r="Q938"/>
  <c r="P938"/>
  <c r="O938"/>
  <c r="R937"/>
  <c r="Q937"/>
  <c r="P937"/>
  <c r="O937"/>
  <c r="R936"/>
  <c r="Q936"/>
  <c r="P936"/>
  <c r="O936"/>
  <c r="R935"/>
  <c r="Q935"/>
  <c r="P935"/>
  <c r="O935"/>
  <c r="O934"/>
  <c r="P934" s="1"/>
  <c r="R943"/>
  <c r="Q943"/>
  <c r="P943"/>
  <c r="O943"/>
  <c r="R942"/>
  <c r="Q942"/>
  <c r="P942"/>
  <c r="O942"/>
  <c r="R941"/>
  <c r="Q941"/>
  <c r="P941"/>
  <c r="O941"/>
  <c r="O940"/>
  <c r="P940" s="1"/>
  <c r="O939"/>
  <c r="P939" s="1"/>
  <c r="R625"/>
  <c r="Q625"/>
  <c r="P625"/>
  <c r="O625"/>
  <c r="R624"/>
  <c r="Q624"/>
  <c r="P624"/>
  <c r="O624"/>
  <c r="R623"/>
  <c r="Q623"/>
  <c r="P623"/>
  <c r="O623"/>
  <c r="R622"/>
  <c r="Q622"/>
  <c r="P622"/>
  <c r="O622"/>
  <c r="R621"/>
  <c r="Q621"/>
  <c r="P621"/>
  <c r="O621"/>
  <c r="R620"/>
  <c r="Q620"/>
  <c r="P620"/>
  <c r="O620"/>
  <c r="R619"/>
  <c r="Q619"/>
  <c r="P619"/>
  <c r="O619"/>
  <c r="O900"/>
  <c r="P900" s="1"/>
  <c r="O899"/>
  <c r="P899" s="1"/>
  <c r="O898"/>
  <c r="P898" s="1"/>
  <c r="O897"/>
  <c r="P897" s="1"/>
  <c r="O896"/>
  <c r="P896" s="1"/>
  <c r="O895"/>
  <c r="P895" s="1"/>
  <c r="O894"/>
  <c r="P894" s="1"/>
  <c r="O618"/>
  <c r="P618" s="1"/>
  <c r="R880"/>
  <c r="Q880"/>
  <c r="P880"/>
  <c r="O880"/>
  <c r="R879"/>
  <c r="Q879"/>
  <c r="P879"/>
  <c r="O879"/>
  <c r="R878"/>
  <c r="Q878"/>
  <c r="P878"/>
  <c r="O878"/>
  <c r="R877"/>
  <c r="Q877"/>
  <c r="P877"/>
  <c r="O877"/>
  <c r="O876"/>
  <c r="P876" s="1"/>
  <c r="R837"/>
  <c r="Q837"/>
  <c r="P837"/>
  <c r="O837"/>
  <c r="R836"/>
  <c r="Q836"/>
  <c r="P836"/>
  <c r="O836"/>
  <c r="O835"/>
  <c r="P835" s="1"/>
  <c r="O834"/>
  <c r="P834" s="1"/>
  <c r="O833"/>
  <c r="P833" s="1"/>
  <c r="R817"/>
  <c r="Q817"/>
  <c r="P817"/>
  <c r="O817"/>
  <c r="R816"/>
  <c r="Q816"/>
  <c r="P816"/>
  <c r="O816"/>
  <c r="R815"/>
  <c r="Q815"/>
  <c r="P815"/>
  <c r="O815"/>
  <c r="O814"/>
  <c r="P814" s="1"/>
  <c r="O813"/>
  <c r="P813" s="1"/>
  <c r="R812"/>
  <c r="Q812"/>
  <c r="P812"/>
  <c r="O812"/>
  <c r="R811"/>
  <c r="Q811"/>
  <c r="P811"/>
  <c r="O811"/>
  <c r="O810"/>
  <c r="P810" s="1"/>
  <c r="O809"/>
  <c r="P809" s="1"/>
  <c r="O808"/>
  <c r="P808" s="1"/>
  <c r="R847"/>
  <c r="Q847"/>
  <c r="P847"/>
  <c r="O847"/>
  <c r="R846"/>
  <c r="Q846"/>
  <c r="P846"/>
  <c r="O846"/>
  <c r="R845"/>
  <c r="Q845"/>
  <c r="P845"/>
  <c r="O845"/>
  <c r="R844"/>
  <c r="Q844"/>
  <c r="P844"/>
  <c r="O844"/>
  <c r="O843"/>
  <c r="P843" s="1"/>
  <c r="R822"/>
  <c r="Q822"/>
  <c r="P822"/>
  <c r="O822"/>
  <c r="R821"/>
  <c r="Q821"/>
  <c r="P821"/>
  <c r="O821"/>
  <c r="R820"/>
  <c r="Q820"/>
  <c r="P820"/>
  <c r="O820"/>
  <c r="R819"/>
  <c r="Q819"/>
  <c r="P819"/>
  <c r="O819"/>
  <c r="O818"/>
  <c r="P818" s="1"/>
  <c r="R832"/>
  <c r="Q832"/>
  <c r="P832"/>
  <c r="O832"/>
  <c r="R831"/>
  <c r="Q831"/>
  <c r="P831"/>
  <c r="O831"/>
  <c r="R830"/>
  <c r="Q830"/>
  <c r="P830"/>
  <c r="O830"/>
  <c r="O829"/>
  <c r="P829" s="1"/>
  <c r="O828"/>
  <c r="P828" s="1"/>
  <c r="R842"/>
  <c r="Q842"/>
  <c r="P842"/>
  <c r="O842"/>
  <c r="R841"/>
  <c r="Q841"/>
  <c r="P841"/>
  <c r="O841"/>
  <c r="R840"/>
  <c r="Q840"/>
  <c r="P840"/>
  <c r="O840"/>
  <c r="R839"/>
  <c r="Q839"/>
  <c r="P839"/>
  <c r="O839"/>
  <c r="O838"/>
  <c r="P838" s="1"/>
  <c r="R852"/>
  <c r="Q852"/>
  <c r="P852"/>
  <c r="O852"/>
  <c r="R851"/>
  <c r="Q851"/>
  <c r="P851"/>
  <c r="O851"/>
  <c r="R850"/>
  <c r="Q850"/>
  <c r="P850"/>
  <c r="O850"/>
  <c r="R849"/>
  <c r="Q849"/>
  <c r="P849"/>
  <c r="O849"/>
  <c r="O848"/>
  <c r="R865"/>
  <c r="Q865"/>
  <c r="P865"/>
  <c r="O865"/>
  <c r="R864"/>
  <c r="Q864"/>
  <c r="P864"/>
  <c r="O864"/>
  <c r="R863"/>
  <c r="Q863"/>
  <c r="P863"/>
  <c r="O863"/>
  <c r="R862"/>
  <c r="Q862"/>
  <c r="P862"/>
  <c r="O862"/>
  <c r="O861"/>
  <c r="P861" s="1"/>
  <c r="R875"/>
  <c r="Q875"/>
  <c r="P875"/>
  <c r="O875"/>
  <c r="R874"/>
  <c r="Q874"/>
  <c r="P874"/>
  <c r="O874"/>
  <c r="R873"/>
  <c r="Q873"/>
  <c r="P873"/>
  <c r="O873"/>
  <c r="R872"/>
  <c r="Q872"/>
  <c r="P872"/>
  <c r="O872"/>
  <c r="O871"/>
  <c r="P871" s="1"/>
  <c r="R870"/>
  <c r="Q870"/>
  <c r="P870"/>
  <c r="O870"/>
  <c r="R869"/>
  <c r="Q869"/>
  <c r="P869"/>
  <c r="O869"/>
  <c r="R868"/>
  <c r="Q868"/>
  <c r="P868"/>
  <c r="O868"/>
  <c r="O867"/>
  <c r="P867" s="1"/>
  <c r="O866"/>
  <c r="P866" s="1"/>
  <c r="R885"/>
  <c r="Q885"/>
  <c r="P885"/>
  <c r="O885"/>
  <c r="R884"/>
  <c r="Q884"/>
  <c r="P884"/>
  <c r="O884"/>
  <c r="R883"/>
  <c r="Q883"/>
  <c r="P883"/>
  <c r="O883"/>
  <c r="R882"/>
  <c r="Q882"/>
  <c r="P882"/>
  <c r="O882"/>
  <c r="O881"/>
  <c r="P881" s="1"/>
  <c r="R890"/>
  <c r="Q890"/>
  <c r="P890"/>
  <c r="O890"/>
  <c r="R889"/>
  <c r="Q889"/>
  <c r="P889"/>
  <c r="O889"/>
  <c r="R888"/>
  <c r="Q888"/>
  <c r="P888"/>
  <c r="O888"/>
  <c r="O887"/>
  <c r="P887" s="1"/>
  <c r="O886"/>
  <c r="P886" s="1"/>
  <c r="R802"/>
  <c r="Q802"/>
  <c r="P802"/>
  <c r="O802"/>
  <c r="R801"/>
  <c r="Q801"/>
  <c r="P801"/>
  <c r="O801"/>
  <c r="R800"/>
  <c r="Q800"/>
  <c r="P800"/>
  <c r="O800"/>
  <c r="R799"/>
  <c r="Q799"/>
  <c r="P799"/>
  <c r="O799"/>
  <c r="O798"/>
  <c r="P798" s="1"/>
  <c r="R860"/>
  <c r="Q860"/>
  <c r="P860"/>
  <c r="O860"/>
  <c r="R859"/>
  <c r="Q859"/>
  <c r="P859"/>
  <c r="O859"/>
  <c r="R858"/>
  <c r="Q858"/>
  <c r="P858"/>
  <c r="O858"/>
  <c r="Q940"/>
  <c r="R940" l="1"/>
  <c r="P848"/>
  <c r="O857"/>
  <c r="P857" s="1"/>
  <c r="O856"/>
  <c r="P856" s="1"/>
  <c r="R807"/>
  <c r="Q807"/>
  <c r="P807"/>
  <c r="O807"/>
  <c r="R806"/>
  <c r="Q806"/>
  <c r="P806"/>
  <c r="O806"/>
  <c r="R805"/>
  <c r="Q805"/>
  <c r="P805"/>
  <c r="O805"/>
  <c r="R804"/>
  <c r="Q804"/>
  <c r="P804"/>
  <c r="O804"/>
  <c r="O803"/>
  <c r="P803" s="1"/>
  <c r="R827"/>
  <c r="Q827"/>
  <c r="P827"/>
  <c r="O827"/>
  <c r="R826"/>
  <c r="Q826"/>
  <c r="P826"/>
  <c r="O826"/>
  <c r="R825"/>
  <c r="Q825"/>
  <c r="P825"/>
  <c r="O825"/>
  <c r="O824"/>
  <c r="P824" s="1"/>
  <c r="O823"/>
  <c r="P823" s="1"/>
  <c r="R902"/>
  <c r="Q902"/>
  <c r="P902"/>
  <c r="O902"/>
  <c r="R901"/>
  <c r="Q901"/>
  <c r="P901"/>
  <c r="O901"/>
  <c r="R891"/>
  <c r="Q891"/>
  <c r="P891"/>
  <c r="O891"/>
  <c r="R893"/>
  <c r="Q893"/>
  <c r="P893"/>
  <c r="O893"/>
  <c r="R892"/>
  <c r="Q892"/>
  <c r="P892"/>
  <c r="O892"/>
  <c r="R855"/>
  <c r="Q855"/>
  <c r="P855"/>
  <c r="O855"/>
  <c r="R854"/>
  <c r="Q854"/>
  <c r="P854"/>
  <c r="O854"/>
  <c r="R853"/>
  <c r="Q853"/>
  <c r="P853"/>
  <c r="O853"/>
  <c r="R767"/>
  <c r="Q767"/>
  <c r="P767"/>
  <c r="O767"/>
  <c r="R766"/>
  <c r="Q766"/>
  <c r="P766"/>
  <c r="O766"/>
  <c r="R765"/>
  <c r="Q765"/>
  <c r="P765"/>
  <c r="O765"/>
  <c r="R616"/>
  <c r="Q616"/>
  <c r="P616"/>
  <c r="O616"/>
  <c r="R649"/>
  <c r="Q649"/>
  <c r="P649"/>
  <c r="O649"/>
  <c r="R651"/>
  <c r="Q651"/>
  <c r="P651"/>
  <c r="O651"/>
  <c r="R650"/>
  <c r="Q650"/>
  <c r="P650"/>
  <c r="O650"/>
  <c r="R626"/>
  <c r="Q626"/>
  <c r="P626"/>
  <c r="O626"/>
  <c r="O783"/>
  <c r="O792"/>
  <c r="P792" s="1"/>
  <c r="R791"/>
  <c r="Q791"/>
  <c r="P783" l="1"/>
  <c r="P791"/>
  <c r="O791"/>
  <c r="R790"/>
  <c r="Q790"/>
  <c r="P790"/>
  <c r="O790"/>
  <c r="R789"/>
  <c r="Q789"/>
  <c r="P789"/>
  <c r="O789"/>
  <c r="O788" l="1"/>
  <c r="O695"/>
  <c r="P695" s="1"/>
  <c r="R693"/>
  <c r="Q693"/>
  <c r="P788" l="1"/>
  <c r="R692"/>
  <c r="Q692"/>
  <c r="R690"/>
  <c r="Q690"/>
  <c r="R689"/>
  <c r="Q689"/>
  <c r="R688"/>
  <c r="Q688"/>
  <c r="R687"/>
  <c r="Q687"/>
  <c r="R797"/>
  <c r="Q797"/>
  <c r="R796"/>
  <c r="Q796"/>
  <c r="R795"/>
  <c r="Q795"/>
  <c r="R794"/>
  <c r="Q794"/>
  <c r="R615"/>
  <c r="Q615"/>
  <c r="T638" l="1"/>
  <c r="T637"/>
  <c r="T636"/>
  <c r="T635"/>
  <c r="T634"/>
  <c r="T656"/>
  <c r="T655"/>
  <c r="T654"/>
  <c r="T653"/>
  <c r="T652"/>
  <c r="T674"/>
  <c r="B1097" i="33"/>
  <c r="F1467"/>
  <c r="B1103"/>
  <c r="F1475"/>
  <c r="F1640"/>
  <c r="B1120"/>
  <c r="F1644"/>
  <c r="B1124"/>
  <c r="J173" i="7" l="1"/>
  <c r="J216" s="1"/>
  <c r="E7" i="1"/>
  <c r="F7"/>
  <c r="E5"/>
  <c r="C18"/>
  <c r="B18"/>
  <c r="F18" s="1"/>
  <c r="C17"/>
  <c r="B17"/>
  <c r="C16"/>
  <c r="B16"/>
  <c r="C15"/>
  <c r="B15"/>
  <c r="C14"/>
  <c r="B14"/>
  <c r="C13"/>
  <c r="B13"/>
  <c r="C12"/>
  <c r="B12"/>
  <c r="B11"/>
  <c r="B10"/>
  <c r="B9"/>
  <c r="B8"/>
  <c r="F1937" i="33"/>
  <c r="F1936"/>
  <c r="F1930"/>
  <c r="F1929"/>
  <c r="B1187"/>
  <c r="B1186"/>
  <c r="B1185"/>
  <c r="B1184"/>
  <c r="B1183"/>
  <c r="B1182"/>
  <c r="B1181"/>
  <c r="B1180"/>
  <c r="B1179"/>
  <c r="B1178"/>
  <c r="B1171"/>
  <c r="B1172"/>
  <c r="B1173"/>
  <c r="B1174"/>
  <c r="B1176"/>
  <c r="B1177"/>
  <c r="B1188"/>
  <c r="B1189"/>
  <c r="J570"/>
  <c r="J23"/>
  <c r="J22"/>
  <c r="J1936"/>
  <c r="J1930"/>
  <c r="J1929"/>
  <c r="J1928"/>
  <c r="J1927"/>
  <c r="J1926"/>
  <c r="F570"/>
  <c r="F23"/>
  <c r="F22"/>
  <c r="F1928"/>
  <c r="F1927"/>
  <c r="F1926"/>
  <c r="F1924"/>
  <c r="F1923"/>
  <c r="J1924"/>
  <c r="J1923"/>
  <c r="F1922"/>
  <c r="J1922"/>
  <c r="B1170"/>
  <c r="B1169"/>
  <c r="B1168"/>
  <c r="B1167"/>
  <c r="B1166"/>
  <c r="J1921"/>
  <c r="J1920"/>
  <c r="J1919"/>
  <c r="J1918"/>
  <c r="J1917"/>
  <c r="J1916"/>
  <c r="J1897"/>
  <c r="J1896"/>
  <c r="J1895"/>
  <c r="J1893"/>
  <c r="F1921"/>
  <c r="F1920"/>
  <c r="F1919"/>
  <c r="F1918"/>
  <c r="F1917"/>
  <c r="F1916"/>
  <c r="F1897"/>
  <c r="F1896"/>
  <c r="F1895"/>
  <c r="F1893"/>
  <c r="J1890"/>
  <c r="J1891"/>
  <c r="J1892"/>
  <c r="J571"/>
  <c r="J572"/>
  <c r="J573"/>
  <c r="J574"/>
  <c r="J575"/>
  <c r="B1165"/>
  <c r="B1164"/>
  <c r="B1163"/>
  <c r="B1161"/>
  <c r="B1160"/>
  <c r="B1159"/>
  <c r="B1158"/>
  <c r="F1892"/>
  <c r="F1891"/>
  <c r="F1890"/>
  <c r="E301" i="22"/>
  <c r="G300"/>
  <c r="G299"/>
  <c r="G298"/>
  <c r="G297"/>
  <c r="G296"/>
  <c r="G295"/>
  <c r="G294"/>
  <c r="G293"/>
  <c r="G292"/>
  <c r="G291"/>
  <c r="G290"/>
  <c r="G289"/>
  <c r="G288"/>
  <c r="G287"/>
  <c r="G286"/>
  <c r="G285"/>
  <c r="G284"/>
  <c r="G283"/>
  <c r="F8" i="1" l="1"/>
  <c r="E8"/>
  <c r="F12"/>
  <c r="E12"/>
  <c r="F14"/>
  <c r="E14"/>
  <c r="F16"/>
  <c r="E16"/>
  <c r="F9"/>
  <c r="E9"/>
  <c r="F10"/>
  <c r="E10"/>
  <c r="E13"/>
  <c r="F13"/>
  <c r="E15"/>
  <c r="F15"/>
  <c r="F17"/>
  <c r="E17"/>
  <c r="E11"/>
  <c r="F11"/>
  <c r="E18"/>
  <c r="G18" s="1"/>
  <c r="G16"/>
  <c r="G14"/>
  <c r="G13"/>
  <c r="G12"/>
  <c r="G17"/>
  <c r="G11" l="1"/>
  <c r="G15"/>
  <c r="J855" i="33"/>
  <c r="J850"/>
  <c r="J623"/>
  <c r="J1139"/>
  <c r="J1138"/>
  <c r="J1137"/>
  <c r="J1136"/>
  <c r="J1135"/>
  <c r="J1093"/>
  <c r="J1092"/>
  <c r="J1091"/>
  <c r="J1088"/>
  <c r="J1087"/>
  <c r="J1061"/>
  <c r="J1060"/>
  <c r="J1059"/>
  <c r="J1057"/>
  <c r="J1008"/>
  <c r="J1007"/>
  <c r="J1006"/>
  <c r="J1005"/>
  <c r="J982"/>
  <c r="J980"/>
  <c r="J979"/>
  <c r="J978"/>
  <c r="J977"/>
  <c r="J956"/>
  <c r="J955"/>
  <c r="J898"/>
  <c r="J897"/>
  <c r="J896"/>
  <c r="J895"/>
  <c r="J892"/>
  <c r="J891"/>
  <c r="J890"/>
  <c r="J752"/>
  <c r="J801"/>
  <c r="J800"/>
  <c r="J1324"/>
  <c r="F1324"/>
  <c r="B1082"/>
  <c r="I1515"/>
  <c r="Q1513" s="1"/>
  <c r="I1516"/>
  <c r="Q1514" s="1"/>
  <c r="I1517"/>
  <c r="Q1515" s="1"/>
  <c r="I1518"/>
  <c r="I1519"/>
  <c r="I1520"/>
  <c r="Q1518" s="1"/>
  <c r="I1521"/>
  <c r="I1522"/>
  <c r="I1725"/>
  <c r="Q1723" s="1"/>
  <c r="I1726"/>
  <c r="Q1724" s="1"/>
  <c r="I1727"/>
  <c r="I1728"/>
  <c r="I1729"/>
  <c r="I1948"/>
  <c r="Q1940" s="1"/>
  <c r="I1949"/>
  <c r="Q1941" s="1"/>
  <c r="I1950"/>
  <c r="I1951"/>
  <c r="I1952"/>
  <c r="I1953"/>
  <c r="I1954"/>
  <c r="I1955"/>
  <c r="I1956"/>
  <c r="I1957"/>
  <c r="I1731"/>
  <c r="I1732"/>
  <c r="Q1730" s="1"/>
  <c r="I1733"/>
  <c r="I1734"/>
  <c r="I1735"/>
  <c r="I1736"/>
  <c r="I1737"/>
  <c r="B1633"/>
  <c r="B1634"/>
  <c r="B1635"/>
  <c r="B1636"/>
  <c r="B1637"/>
  <c r="B1638"/>
  <c r="B1639"/>
  <c r="B1640"/>
  <c r="B1641"/>
  <c r="B1642"/>
  <c r="B1644"/>
  <c r="B1645"/>
  <c r="B1646"/>
  <c r="B1647"/>
  <c r="B1648"/>
  <c r="B1649"/>
  <c r="B1650"/>
  <c r="B1651"/>
  <c r="B1652"/>
  <c r="B1653"/>
  <c r="B1654"/>
  <c r="B1655"/>
  <c r="B1656"/>
  <c r="B1657"/>
  <c r="B1658"/>
  <c r="B1659"/>
  <c r="B1660"/>
  <c r="B1664"/>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80"/>
  <c r="B1781"/>
  <c r="B1782"/>
  <c r="B1783"/>
  <c r="B1784"/>
  <c r="B1785"/>
  <c r="F1281"/>
  <c r="B1071"/>
  <c r="F1275"/>
  <c r="B1063"/>
  <c r="J1003"/>
  <c r="F1003"/>
  <c r="B1032"/>
  <c r="J989"/>
  <c r="F989"/>
  <c r="B1028"/>
  <c r="J865"/>
  <c r="F865"/>
  <c r="B1012"/>
  <c r="J1332"/>
  <c r="J1331"/>
  <c r="J1330"/>
  <c r="J1329"/>
  <c r="J1328"/>
  <c r="J1327"/>
  <c r="J1311"/>
  <c r="J1310"/>
  <c r="J1309"/>
  <c r="J1308"/>
  <c r="J1272"/>
  <c r="J1271"/>
  <c r="J1269"/>
  <c r="J1268"/>
  <c r="J1267"/>
  <c r="J1266"/>
  <c r="J1265"/>
  <c r="J1264"/>
  <c r="J1263"/>
  <c r="J1196"/>
  <c r="J1195"/>
  <c r="J1186"/>
  <c r="J1185"/>
  <c r="J1173"/>
  <c r="J1172"/>
  <c r="J1171"/>
  <c r="J1140"/>
  <c r="J889"/>
  <c r="J887"/>
  <c r="J881"/>
  <c r="J880"/>
  <c r="J879"/>
  <c r="J878"/>
  <c r="J877"/>
  <c r="J860"/>
  <c r="J859"/>
  <c r="J856"/>
  <c r="J854"/>
  <c r="J853"/>
  <c r="J851"/>
  <c r="J849"/>
  <c r="J847"/>
  <c r="J846"/>
  <c r="J845"/>
  <c r="J844"/>
  <c r="J812"/>
  <c r="J811"/>
  <c r="J808"/>
  <c r="J807"/>
  <c r="J806"/>
  <c r="J799"/>
  <c r="J797"/>
  <c r="J796"/>
  <c r="J795"/>
  <c r="J794"/>
  <c r="J763"/>
  <c r="J762"/>
  <c r="J761"/>
  <c r="J753"/>
  <c r="J751"/>
  <c r="J750"/>
  <c r="J749"/>
  <c r="J748"/>
  <c r="J746"/>
  <c r="J675"/>
  <c r="J674"/>
  <c r="J670"/>
  <c r="J669"/>
  <c r="J666"/>
  <c r="J665"/>
  <c r="J664"/>
  <c r="J642"/>
  <c r="J641"/>
  <c r="J626"/>
  <c r="J625"/>
  <c r="J624"/>
  <c r="J622"/>
  <c r="Q1731" l="1"/>
  <c r="Q1727"/>
  <c r="Q1517"/>
  <c r="Q1732"/>
  <c r="Q1725"/>
  <c r="Q1733"/>
  <c r="Q1516"/>
  <c r="Q1735"/>
  <c r="Q1737"/>
  <c r="Q1948"/>
  <c r="Q1956"/>
  <c r="Q1946"/>
  <c r="Q1954"/>
  <c r="Q1944"/>
  <c r="Q1952"/>
  <c r="Q1942"/>
  <c r="Q1950"/>
  <c r="Q1726"/>
  <c r="Q1728"/>
  <c r="Q1520"/>
  <c r="Q1522"/>
  <c r="Q1729"/>
  <c r="Q1734"/>
  <c r="Q1736"/>
  <c r="Q1949"/>
  <c r="Q1957"/>
  <c r="Q1947"/>
  <c r="Q1955"/>
  <c r="Q1945"/>
  <c r="Q1953"/>
  <c r="Q1943"/>
  <c r="Q1951"/>
  <c r="Q1519"/>
  <c r="Q1521"/>
  <c r="Q1660"/>
  <c r="Q812"/>
  <c r="Q1656"/>
  <c r="Q808"/>
  <c r="Q1654"/>
  <c r="Q806"/>
  <c r="Q1652"/>
  <c r="Q562"/>
  <c r="Q1650"/>
  <c r="Q560"/>
  <c r="Q1648"/>
  <c r="Q558"/>
  <c r="Q1646"/>
  <c r="Q556"/>
  <c r="Q1644"/>
  <c r="Q554"/>
  <c r="Q1641"/>
  <c r="Q803"/>
  <c r="Q1639"/>
  <c r="Q801"/>
  <c r="Q1637"/>
  <c r="Q1039"/>
  <c r="Q1635"/>
  <c r="Q1037"/>
  <c r="Q1633"/>
  <c r="Q1035"/>
  <c r="Q1631"/>
  <c r="Q1033"/>
  <c r="Q1658"/>
  <c r="Q810"/>
  <c r="Q1659"/>
  <c r="Q811"/>
  <c r="Q1657"/>
  <c r="Q809"/>
  <c r="Q1655"/>
  <c r="Q807"/>
  <c r="Q1653"/>
  <c r="Q563"/>
  <c r="Q1651"/>
  <c r="Q561"/>
  <c r="Q1649"/>
  <c r="Q559"/>
  <c r="Q1647"/>
  <c r="Q557"/>
  <c r="Q1645"/>
  <c r="Q555"/>
  <c r="Q1642"/>
  <c r="Q804"/>
  <c r="Q1640"/>
  <c r="Q802"/>
  <c r="Q1638"/>
  <c r="Q800"/>
  <c r="Q1636"/>
  <c r="Q1038"/>
  <c r="Q1634"/>
  <c r="Q1036"/>
  <c r="Q1632"/>
  <c r="Q1034"/>
  <c r="Q1630"/>
  <c r="Q1032"/>
  <c r="B8"/>
  <c r="B9"/>
  <c r="B10"/>
  <c r="B11"/>
  <c r="B1002"/>
  <c r="B1004"/>
  <c r="B1005"/>
  <c r="B1006"/>
  <c r="B1007"/>
  <c r="B1008"/>
  <c r="B1009"/>
  <c r="B1010"/>
  <c r="B1013"/>
  <c r="B1014"/>
  <c r="B1015"/>
  <c r="B1016"/>
  <c r="B1017"/>
  <c r="B1018"/>
  <c r="B1019"/>
  <c r="B1020"/>
  <c r="B1021"/>
  <c r="B1022"/>
  <c r="B1023"/>
  <c r="B1024"/>
  <c r="B1025"/>
  <c r="B1026"/>
  <c r="B1029"/>
  <c r="B1030"/>
  <c r="B1033"/>
  <c r="B1034"/>
  <c r="B1035"/>
  <c r="B1036"/>
  <c r="B1037"/>
  <c r="B1038"/>
  <c r="B1039"/>
  <c r="B1040"/>
  <c r="B1041"/>
  <c r="B1042"/>
  <c r="B1043"/>
  <c r="B1044"/>
  <c r="B1045"/>
  <c r="B1046"/>
  <c r="B1047"/>
  <c r="B1048"/>
  <c r="B1049"/>
  <c r="B1050"/>
  <c r="B1051"/>
  <c r="B1052"/>
  <c r="B1053"/>
  <c r="B1054"/>
  <c r="B1055"/>
  <c r="B1056"/>
  <c r="B1057"/>
  <c r="B1058"/>
  <c r="B1059"/>
  <c r="B1060"/>
  <c r="B1061"/>
  <c r="B1064"/>
  <c r="B1065"/>
  <c r="B1066"/>
  <c r="B1067"/>
  <c r="B1068"/>
  <c r="B1069"/>
  <c r="B1072"/>
  <c r="B1073"/>
  <c r="B1074"/>
  <c r="B1075"/>
  <c r="B1076"/>
  <c r="B1077"/>
  <c r="B1078"/>
  <c r="B1079"/>
  <c r="B1080"/>
  <c r="B1081"/>
  <c r="B1083"/>
  <c r="B1084"/>
  <c r="B1085"/>
  <c r="B1086"/>
  <c r="B1087"/>
  <c r="B1088"/>
  <c r="B1089"/>
  <c r="B1090"/>
  <c r="B1091"/>
  <c r="B1092"/>
  <c r="B1093"/>
  <c r="B1094"/>
  <c r="B1095"/>
  <c r="B1098"/>
  <c r="B1099"/>
  <c r="B1100"/>
  <c r="B1101"/>
  <c r="B1104"/>
  <c r="B1105"/>
  <c r="B1106"/>
  <c r="B1107"/>
  <c r="B1108"/>
  <c r="B1109"/>
  <c r="B1110"/>
  <c r="B1111"/>
  <c r="B1113"/>
  <c r="B1114"/>
  <c r="B1115"/>
  <c r="B1116"/>
  <c r="B1117"/>
  <c r="B1118"/>
  <c r="B1121"/>
  <c r="B1122"/>
  <c r="B1125"/>
  <c r="B1126"/>
  <c r="B1128"/>
  <c r="B1129"/>
  <c r="B1131"/>
  <c r="B1132"/>
  <c r="B1133"/>
  <c r="B1134"/>
  <c r="B1135"/>
  <c r="B1136"/>
  <c r="B1137"/>
  <c r="B1138"/>
  <c r="B1139"/>
  <c r="B1140"/>
  <c r="B1141"/>
  <c r="B1142"/>
  <c r="B1143"/>
  <c r="B1144"/>
  <c r="B1145"/>
  <c r="B1146"/>
  <c r="B1147"/>
  <c r="B1148"/>
  <c r="B1149"/>
  <c r="B1150"/>
  <c r="B1151"/>
  <c r="B1152"/>
  <c r="B1153"/>
  <c r="B1154"/>
  <c r="B1155"/>
  <c r="B1156"/>
  <c r="B1157"/>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F1271"/>
  <c r="J1352"/>
  <c r="J1351"/>
  <c r="J1350"/>
  <c r="J1349"/>
  <c r="J1348"/>
  <c r="J1347"/>
  <c r="J1346"/>
  <c r="J1345"/>
  <c r="J1344"/>
  <c r="J1343"/>
  <c r="J1342"/>
  <c r="J1341"/>
  <c r="J1340"/>
  <c r="J1339"/>
  <c r="J1338"/>
  <c r="J1337"/>
  <c r="J1326"/>
  <c r="J1325"/>
  <c r="J1323"/>
  <c r="J1322"/>
  <c r="J1321"/>
  <c r="J1320"/>
  <c r="J1319"/>
  <c r="J1318"/>
  <c r="J1317"/>
  <c r="J1316"/>
  <c r="J1315"/>
  <c r="J1314"/>
  <c r="J1312"/>
  <c r="J1280"/>
  <c r="J1279"/>
  <c r="J1278"/>
  <c r="J1277"/>
  <c r="J1276"/>
  <c r="J1273"/>
  <c r="J1255"/>
  <c r="J1254"/>
  <c r="J1233"/>
  <c r="J1232"/>
  <c r="J1231"/>
  <c r="J1146"/>
  <c r="J1145"/>
  <c r="J1144"/>
  <c r="J1143"/>
  <c r="J1066"/>
  <c r="J1065"/>
  <c r="J1064"/>
  <c r="J1029"/>
  <c r="J1028"/>
  <c r="J1027"/>
  <c r="J1026"/>
  <c r="J1025"/>
  <c r="J1024"/>
  <c r="J1023"/>
  <c r="J1022"/>
  <c r="J1021"/>
  <c r="J1020"/>
  <c r="J1019"/>
  <c r="J1018"/>
  <c r="J1017"/>
  <c r="J1016"/>
  <c r="J1015"/>
  <c r="J1004"/>
  <c r="J1001"/>
  <c r="J990"/>
  <c r="J987"/>
  <c r="J976"/>
  <c r="J975"/>
  <c r="J960"/>
  <c r="J959"/>
  <c r="J917"/>
  <c r="J916"/>
  <c r="J915"/>
  <c r="J901"/>
  <c r="J900"/>
  <c r="J899"/>
  <c r="J868"/>
  <c r="J867"/>
  <c r="J866"/>
  <c r="J863"/>
  <c r="J820"/>
  <c r="J819"/>
  <c r="J805"/>
  <c r="J804"/>
  <c r="J731"/>
  <c r="J730"/>
  <c r="J728"/>
  <c r="J723"/>
  <c r="J722"/>
  <c r="J721"/>
  <c r="J720"/>
  <c r="J673"/>
  <c r="J672"/>
  <c r="J671"/>
  <c r="J1336"/>
  <c r="J1335"/>
  <c r="J1334"/>
  <c r="J1333"/>
  <c r="J1214"/>
  <c r="J1213"/>
  <c r="J1188"/>
  <c r="J1187"/>
  <c r="J1184"/>
  <c r="J1183"/>
  <c r="J1177"/>
  <c r="J1176"/>
  <c r="J1099"/>
  <c r="J1098"/>
  <c r="J1051"/>
  <c r="J1050"/>
  <c r="J1049"/>
  <c r="J1048"/>
  <c r="J1047"/>
  <c r="J1046"/>
  <c r="J1040"/>
  <c r="F1325"/>
  <c r="F1316"/>
  <c r="F1019"/>
  <c r="F1016"/>
  <c r="F1017"/>
  <c r="F1018"/>
  <c r="F1020"/>
  <c r="F1021"/>
  <c r="F1022"/>
  <c r="F1023"/>
  <c r="F1024"/>
  <c r="F1025"/>
  <c r="F1026"/>
  <c r="F1027"/>
  <c r="F1028"/>
  <c r="F1029"/>
  <c r="F1319"/>
  <c r="F672"/>
  <c r="F673"/>
  <c r="F720"/>
  <c r="F721"/>
  <c r="F722"/>
  <c r="F723"/>
  <c r="F728"/>
  <c r="F730"/>
  <c r="F1108"/>
  <c r="F1107"/>
  <c r="F1106"/>
  <c r="F1105"/>
  <c r="F1081"/>
  <c r="F1080"/>
  <c r="F1079"/>
  <c r="F1078"/>
  <c r="F1077"/>
  <c r="F1076"/>
  <c r="F1075"/>
  <c r="F1074"/>
  <c r="F1073"/>
  <c r="F1072"/>
  <c r="F1056"/>
  <c r="F1055"/>
  <c r="F1054"/>
  <c r="F1053"/>
  <c r="F1052"/>
  <c r="F1045"/>
  <c r="F1044"/>
  <c r="F1043"/>
  <c r="F1042"/>
  <c r="F1041"/>
  <c r="F1034"/>
  <c r="F1033"/>
  <c r="F1032"/>
  <c r="F1031"/>
  <c r="F1030"/>
  <c r="F1000"/>
  <c r="F999"/>
  <c r="F998"/>
  <c r="F997"/>
  <c r="F996"/>
  <c r="F995"/>
  <c r="F994"/>
  <c r="F993"/>
  <c r="F992"/>
  <c r="F991"/>
  <c r="F965"/>
  <c r="F964"/>
  <c r="F963"/>
  <c r="F962"/>
  <c r="F961"/>
  <c r="F1104"/>
  <c r="F1103"/>
  <c r="F1102"/>
  <c r="F1101"/>
  <c r="F1100"/>
  <c r="F948"/>
  <c r="F947"/>
  <c r="F946"/>
  <c r="F945"/>
  <c r="F944"/>
  <c r="F941"/>
  <c r="F940"/>
  <c r="F939"/>
  <c r="F938"/>
  <c r="F937"/>
  <c r="F1071"/>
  <c r="F1070"/>
  <c r="F1069"/>
  <c r="F1068"/>
  <c r="F1067"/>
  <c r="F906"/>
  <c r="F905"/>
  <c r="F904"/>
  <c r="F903"/>
  <c r="F902"/>
  <c r="F932"/>
  <c r="F931"/>
  <c r="F930"/>
  <c r="F929"/>
  <c r="F928"/>
  <c r="F927"/>
  <c r="F926"/>
  <c r="F925"/>
  <c r="F924"/>
  <c r="F923"/>
  <c r="F922"/>
  <c r="F921"/>
  <c r="F920"/>
  <c r="F919"/>
  <c r="F918"/>
  <c r="F886"/>
  <c r="F885"/>
  <c r="F884"/>
  <c r="F883"/>
  <c r="F882"/>
  <c r="F835"/>
  <c r="F834"/>
  <c r="F833"/>
  <c r="F832"/>
  <c r="F831"/>
  <c r="F656"/>
  <c r="F655"/>
  <c r="F654"/>
  <c r="F653"/>
  <c r="F652"/>
  <c r="F651"/>
  <c r="F650"/>
  <c r="F649"/>
  <c r="F648"/>
  <c r="F647"/>
  <c r="F663"/>
  <c r="F662"/>
  <c r="F661"/>
  <c r="F660"/>
  <c r="F659"/>
  <c r="F712"/>
  <c r="F711"/>
  <c r="F710"/>
  <c r="F709"/>
  <c r="F708"/>
  <c r="F707"/>
  <c r="F706"/>
  <c r="F705"/>
  <c r="F704"/>
  <c r="F703"/>
  <c r="F702"/>
  <c r="F701"/>
  <c r="F700"/>
  <c r="F699"/>
  <c r="F698"/>
  <c r="F741"/>
  <c r="F740"/>
  <c r="F739"/>
  <c r="F738"/>
  <c r="F737"/>
  <c r="F736"/>
  <c r="F735"/>
  <c r="F734"/>
  <c r="F733"/>
  <c r="F732"/>
  <c r="F786"/>
  <c r="F785"/>
  <c r="F784"/>
  <c r="F783"/>
  <c r="F782"/>
  <c r="F682"/>
  <c r="F681"/>
  <c r="F680"/>
  <c r="F679"/>
  <c r="F678"/>
  <c r="F697"/>
  <c r="F696"/>
  <c r="F695"/>
  <c r="F694"/>
  <c r="F693"/>
  <c r="F760"/>
  <c r="F759"/>
  <c r="F758"/>
  <c r="F757"/>
  <c r="F756"/>
  <c r="F781"/>
  <c r="F780"/>
  <c r="F779"/>
  <c r="F778"/>
  <c r="F777"/>
  <c r="F776"/>
  <c r="F775"/>
  <c r="F774"/>
  <c r="F773"/>
  <c r="F772"/>
  <c r="F793"/>
  <c r="F792"/>
  <c r="F791"/>
  <c r="F790"/>
  <c r="F789"/>
  <c r="F830"/>
  <c r="F829"/>
  <c r="F828"/>
  <c r="F827"/>
  <c r="F826"/>
  <c r="F825"/>
  <c r="F824"/>
  <c r="F823"/>
  <c r="F822"/>
  <c r="F821"/>
  <c r="F1356"/>
  <c r="F1355"/>
  <c r="F1354"/>
  <c r="F1353"/>
  <c r="F1352"/>
  <c r="F1351"/>
  <c r="F1350"/>
  <c r="F1349"/>
  <c r="F1348"/>
  <c r="F1347"/>
  <c r="F1346"/>
  <c r="F1345"/>
  <c r="F1344"/>
  <c r="F1343"/>
  <c r="F1342"/>
  <c r="F1341"/>
  <c r="F1340"/>
  <c r="F1339"/>
  <c r="F1338"/>
  <c r="F1337"/>
  <c r="F1326"/>
  <c r="F1323"/>
  <c r="F1322"/>
  <c r="F1321"/>
  <c r="F1320"/>
  <c r="F1318"/>
  <c r="F1317"/>
  <c r="F1315"/>
  <c r="F1314"/>
  <c r="F1312"/>
  <c r="F1280"/>
  <c r="F1279"/>
  <c r="F1278"/>
  <c r="F1277"/>
  <c r="F1276"/>
  <c r="F1273"/>
  <c r="F1255"/>
  <c r="F1254"/>
  <c r="F1233"/>
  <c r="F1232"/>
  <c r="F1231"/>
  <c r="F1146"/>
  <c r="F1145"/>
  <c r="F1144"/>
  <c r="F1143"/>
  <c r="F1066"/>
  <c r="F1065"/>
  <c r="F1064"/>
  <c r="F1015"/>
  <c r="F1004"/>
  <c r="F1001"/>
  <c r="F990"/>
  <c r="F987"/>
  <c r="F976"/>
  <c r="F975"/>
  <c r="F960"/>
  <c r="F959"/>
  <c r="F917"/>
  <c r="F916"/>
  <c r="F915"/>
  <c r="F901"/>
  <c r="F900"/>
  <c r="F899"/>
  <c r="F868"/>
  <c r="F867"/>
  <c r="F866"/>
  <c r="F863"/>
  <c r="F820"/>
  <c r="F819"/>
  <c r="F805"/>
  <c r="F804"/>
  <c r="F731"/>
  <c r="F671"/>
  <c r="F1336"/>
  <c r="F1335"/>
  <c r="F1334"/>
  <c r="F1333"/>
  <c r="F1214"/>
  <c r="F1213"/>
  <c r="F1188"/>
  <c r="F1187"/>
  <c r="F1184"/>
  <c r="F1183"/>
  <c r="F1177"/>
  <c r="I3154"/>
  <c r="I3153"/>
  <c r="I3152"/>
  <c r="I3151"/>
  <c r="F640"/>
  <c r="F1" i="36"/>
  <c r="K1"/>
  <c r="F608" i="33" l="1"/>
  <c r="B22" i="21"/>
  <c r="B23"/>
  <c r="B24"/>
  <c r="B6"/>
  <c r="B7"/>
  <c r="B8"/>
  <c r="B9"/>
  <c r="B10"/>
  <c r="B11"/>
  <c r="B12"/>
  <c r="B13"/>
  <c r="B14"/>
  <c r="B15"/>
  <c r="B60"/>
  <c r="B63"/>
  <c r="B64"/>
  <c r="B65"/>
  <c r="B25"/>
  <c r="B28"/>
  <c r="B29"/>
  <c r="B35"/>
  <c r="B39"/>
  <c r="B50"/>
  <c r="B52"/>
  <c r="B53"/>
  <c r="B54"/>
  <c r="B30"/>
  <c r="B33"/>
  <c r="B34"/>
  <c r="B55"/>
  <c r="B58"/>
  <c r="B59"/>
  <c r="B45"/>
  <c r="B47"/>
  <c r="B48"/>
  <c r="B49"/>
  <c r="B40"/>
  <c r="B44"/>
  <c r="B16"/>
  <c r="B17"/>
  <c r="B18"/>
  <c r="B19"/>
  <c r="B20"/>
  <c r="B21"/>
  <c r="B382"/>
  <c r="B383"/>
  <c r="B384"/>
  <c r="B385"/>
  <c r="B386"/>
  <c r="B387"/>
  <c r="B388"/>
  <c r="B389"/>
  <c r="B390"/>
  <c r="B391"/>
  <c r="B377"/>
  <c r="B378"/>
  <c r="B379"/>
  <c r="B380"/>
  <c r="B381"/>
  <c r="B370"/>
  <c r="B371"/>
  <c r="B372"/>
  <c r="B373"/>
  <c r="B374"/>
  <c r="B375"/>
  <c r="B376"/>
  <c r="B392"/>
  <c r="B393"/>
  <c r="B394"/>
  <c r="B395"/>
  <c r="B396"/>
  <c r="B405"/>
  <c r="B406"/>
  <c r="B407"/>
  <c r="B408"/>
  <c r="B409"/>
  <c r="B415"/>
  <c r="B416"/>
  <c r="B417"/>
  <c r="B418"/>
  <c r="B419"/>
  <c r="B420"/>
  <c r="B421"/>
  <c r="B422"/>
  <c r="B423"/>
  <c r="B424"/>
  <c r="B425"/>
  <c r="B426"/>
  <c r="B427"/>
  <c r="B428"/>
  <c r="B429"/>
  <c r="B410"/>
  <c r="B411"/>
  <c r="B412"/>
  <c r="B413"/>
  <c r="B414"/>
  <c r="B474"/>
  <c r="B475"/>
  <c r="B476"/>
  <c r="B477"/>
  <c r="B478"/>
  <c r="B430"/>
  <c r="B431"/>
  <c r="B432"/>
  <c r="B433"/>
  <c r="B434"/>
  <c r="B435"/>
  <c r="B436"/>
  <c r="B437"/>
  <c r="B438"/>
  <c r="B439"/>
  <c r="B494"/>
  <c r="B495"/>
  <c r="B496"/>
  <c r="B497"/>
  <c r="B498"/>
  <c r="B440"/>
  <c r="B441"/>
  <c r="B442"/>
  <c r="B443"/>
  <c r="B444"/>
  <c r="B449"/>
  <c r="B450"/>
  <c r="B451"/>
  <c r="B452"/>
  <c r="B453"/>
  <c r="B454"/>
  <c r="B455"/>
  <c r="B456"/>
  <c r="B457"/>
  <c r="B458"/>
  <c r="B459"/>
  <c r="B460"/>
  <c r="B461"/>
  <c r="B462"/>
  <c r="B463"/>
  <c r="B464"/>
  <c r="B465"/>
  <c r="B466"/>
  <c r="B467"/>
  <c r="B468"/>
  <c r="B469"/>
  <c r="B470"/>
  <c r="B471"/>
  <c r="B472"/>
  <c r="B473"/>
  <c r="B479"/>
  <c r="B480"/>
  <c r="B481"/>
  <c r="B482"/>
  <c r="B483"/>
  <c r="B484"/>
  <c r="B485"/>
  <c r="B486"/>
  <c r="B487"/>
  <c r="B488"/>
  <c r="B499"/>
  <c r="B500"/>
  <c r="B501"/>
  <c r="B502"/>
  <c r="B503"/>
  <c r="B504"/>
  <c r="B505"/>
  <c r="B506"/>
  <c r="B507"/>
  <c r="B508"/>
  <c r="B509"/>
  <c r="B510"/>
  <c r="B511"/>
  <c r="B512"/>
  <c r="B513"/>
  <c r="B514"/>
  <c r="B515"/>
  <c r="B516"/>
  <c r="B517"/>
  <c r="B518"/>
  <c r="B519"/>
  <c r="B520"/>
  <c r="B521"/>
  <c r="B522"/>
  <c r="B523"/>
  <c r="B524"/>
  <c r="B525"/>
  <c r="B526"/>
  <c r="B527"/>
  <c r="B528"/>
  <c r="B489"/>
  <c r="B490"/>
  <c r="B491"/>
  <c r="B492"/>
  <c r="B493"/>
  <c r="B399"/>
  <c r="B400"/>
  <c r="B401"/>
  <c r="B402"/>
  <c r="B403"/>
  <c r="B598"/>
  <c r="B599"/>
  <c r="B600"/>
  <c r="B601"/>
  <c r="B602"/>
  <c r="B544"/>
  <c r="B545"/>
  <c r="B546"/>
  <c r="B547"/>
  <c r="B548"/>
  <c r="B574"/>
  <c r="B532"/>
  <c r="B538"/>
  <c r="B539"/>
  <c r="B540"/>
  <c r="B533"/>
  <c r="B534"/>
  <c r="B535"/>
  <c r="B536"/>
  <c r="B537"/>
  <c r="B588"/>
  <c r="B589"/>
  <c r="B590"/>
  <c r="B591"/>
  <c r="B592"/>
  <c r="B554"/>
  <c r="B555"/>
  <c r="B556"/>
  <c r="B557"/>
  <c r="B558"/>
  <c r="B593"/>
  <c r="B594"/>
  <c r="B595"/>
  <c r="B596"/>
  <c r="B597"/>
  <c r="B580"/>
  <c r="B581"/>
  <c r="B582"/>
  <c r="B583"/>
  <c r="B584"/>
  <c r="B575"/>
  <c r="B576"/>
  <c r="B577"/>
  <c r="B578"/>
  <c r="B579"/>
  <c r="B559"/>
  <c r="B560"/>
  <c r="B561"/>
  <c r="B562"/>
  <c r="B563"/>
  <c r="B564"/>
  <c r="B565"/>
  <c r="B566"/>
  <c r="B567"/>
  <c r="B568"/>
  <c r="B569"/>
  <c r="B570"/>
  <c r="B571"/>
  <c r="B572"/>
  <c r="B573"/>
  <c r="B549"/>
  <c r="B550"/>
  <c r="B551"/>
  <c r="B552"/>
  <c r="B553"/>
  <c r="B397"/>
  <c r="B398"/>
  <c r="B603"/>
  <c r="B604"/>
  <c r="B529"/>
  <c r="B530"/>
  <c r="B531"/>
  <c r="B445"/>
  <c r="B446"/>
  <c r="B447"/>
  <c r="B541"/>
  <c r="B542"/>
  <c r="B543"/>
  <c r="B585"/>
  <c r="B586"/>
  <c r="B587"/>
  <c r="B404"/>
  <c r="B448"/>
  <c r="B672"/>
  <c r="B673"/>
  <c r="B674"/>
  <c r="B675"/>
  <c r="B676"/>
  <c r="B662"/>
  <c r="B663"/>
  <c r="B664"/>
  <c r="B665"/>
  <c r="B666"/>
  <c r="B667"/>
  <c r="B668"/>
  <c r="B669"/>
  <c r="B670"/>
  <c r="B671"/>
  <c r="B629"/>
  <c r="B630"/>
  <c r="B631"/>
  <c r="B632"/>
  <c r="B633"/>
  <c r="B652"/>
  <c r="B653"/>
  <c r="B654"/>
  <c r="B655"/>
  <c r="B656"/>
  <c r="B634"/>
  <c r="B635"/>
  <c r="B636"/>
  <c r="B637"/>
  <c r="B638"/>
  <c r="B639"/>
  <c r="B640"/>
  <c r="B641"/>
  <c r="B642"/>
  <c r="B643"/>
  <c r="B644"/>
  <c r="B645"/>
  <c r="B646"/>
  <c r="B647"/>
  <c r="B648"/>
  <c r="B657"/>
  <c r="B658"/>
  <c r="I283"/>
  <c r="K283" s="1"/>
  <c r="T673"/>
  <c r="T672"/>
  <c r="T284"/>
  <c r="T282"/>
  <c r="T281"/>
  <c r="T280"/>
  <c r="T279"/>
  <c r="T278"/>
  <c r="T277"/>
  <c r="T276"/>
  <c r="T448"/>
  <c r="I276"/>
  <c r="I277"/>
  <c r="I278"/>
  <c r="I279"/>
  <c r="I280"/>
  <c r="I281"/>
  <c r="I282"/>
  <c r="I284"/>
  <c r="K1928"/>
  <c r="J1928"/>
  <c r="I1928"/>
  <c r="K1927"/>
  <c r="J1927"/>
  <c r="I1927"/>
  <c r="K1926"/>
  <c r="J1926"/>
  <c r="I1926"/>
  <c r="K1925"/>
  <c r="J1925"/>
  <c r="I1925"/>
  <c r="K1924"/>
  <c r="J1924"/>
  <c r="I1924"/>
  <c r="K1923"/>
  <c r="J1923"/>
  <c r="I1923"/>
  <c r="K1922"/>
  <c r="J1922"/>
  <c r="I1922"/>
  <c r="K1921"/>
  <c r="J1921"/>
  <c r="I1921"/>
  <c r="K1920"/>
  <c r="J1920"/>
  <c r="I1920"/>
  <c r="K1919"/>
  <c r="J1919"/>
  <c r="I1919"/>
  <c r="K1918"/>
  <c r="J1918"/>
  <c r="I1918"/>
  <c r="K1917"/>
  <c r="J1917"/>
  <c r="I1917"/>
  <c r="K1916"/>
  <c r="J1916"/>
  <c r="I1916"/>
  <c r="K1915"/>
  <c r="J1915"/>
  <c r="I1915"/>
  <c r="K1914"/>
  <c r="J1914"/>
  <c r="I1914"/>
  <c r="K1913"/>
  <c r="J1913"/>
  <c r="I1913"/>
  <c r="K1912"/>
  <c r="J1912"/>
  <c r="I1912"/>
  <c r="K1911"/>
  <c r="J1911"/>
  <c r="I1911"/>
  <c r="K1910"/>
  <c r="J1910"/>
  <c r="I1910"/>
  <c r="K1909"/>
  <c r="J1909"/>
  <c r="I1909"/>
  <c r="K1908"/>
  <c r="J1908"/>
  <c r="I1908"/>
  <c r="K1907"/>
  <c r="J1907"/>
  <c r="I1907"/>
  <c r="K1906"/>
  <c r="J1906"/>
  <c r="I1906"/>
  <c r="K1905"/>
  <c r="J1905"/>
  <c r="I1905"/>
  <c r="K1904"/>
  <c r="J1904"/>
  <c r="I1904"/>
  <c r="K1903"/>
  <c r="J1903"/>
  <c r="I1903"/>
  <c r="K1902"/>
  <c r="J1902"/>
  <c r="I1902"/>
  <c r="K1901"/>
  <c r="J1901"/>
  <c r="I1901"/>
  <c r="K1900"/>
  <c r="J1900"/>
  <c r="I1900"/>
  <c r="K1899"/>
  <c r="J1899"/>
  <c r="I1899"/>
  <c r="K1898"/>
  <c r="J1898"/>
  <c r="I1898"/>
  <c r="K1897"/>
  <c r="J1897"/>
  <c r="I1897"/>
  <c r="K1896"/>
  <c r="J1896"/>
  <c r="I1896"/>
  <c r="K1895"/>
  <c r="J1895"/>
  <c r="I1895"/>
  <c r="K1894"/>
  <c r="J1894"/>
  <c r="I1894"/>
  <c r="K1893"/>
  <c r="J1893"/>
  <c r="I1893"/>
  <c r="K1892"/>
  <c r="J1892"/>
  <c r="I1892"/>
  <c r="K1891"/>
  <c r="J1891"/>
  <c r="I1891"/>
  <c r="K1890"/>
  <c r="J1890"/>
  <c r="I1890"/>
  <c r="K1889"/>
  <c r="J1889"/>
  <c r="I1889"/>
  <c r="K1888"/>
  <c r="J1888"/>
  <c r="I1888"/>
  <c r="K1887"/>
  <c r="J1887"/>
  <c r="I1887"/>
  <c r="K1886"/>
  <c r="J1886"/>
  <c r="I1886"/>
  <c r="K1885"/>
  <c r="J1885"/>
  <c r="I1885"/>
  <c r="K1884"/>
  <c r="J1884"/>
  <c r="I1884"/>
  <c r="K1883"/>
  <c r="J1883"/>
  <c r="I1883"/>
  <c r="K1882"/>
  <c r="J1882"/>
  <c r="I1882"/>
  <c r="K1881"/>
  <c r="J1881"/>
  <c r="I1881"/>
  <c r="K1880"/>
  <c r="J1880"/>
  <c r="I1880"/>
  <c r="K1879"/>
  <c r="J1879"/>
  <c r="I1879"/>
  <c r="K1878"/>
  <c r="J1878"/>
  <c r="I1878"/>
  <c r="K1877"/>
  <c r="J1877"/>
  <c r="I1877"/>
  <c r="K1876"/>
  <c r="J1876"/>
  <c r="I1876"/>
  <c r="K1875"/>
  <c r="J1875"/>
  <c r="I1875"/>
  <c r="K1874"/>
  <c r="J1874"/>
  <c r="I1874"/>
  <c r="K1873"/>
  <c r="J1873"/>
  <c r="I1873"/>
  <c r="K1872"/>
  <c r="J1872"/>
  <c r="I1872"/>
  <c r="K1871"/>
  <c r="J1871"/>
  <c r="I1871"/>
  <c r="K1870"/>
  <c r="J1870"/>
  <c r="I1870"/>
  <c r="K1869"/>
  <c r="J1869"/>
  <c r="I1869"/>
  <c r="K1868"/>
  <c r="J1868"/>
  <c r="I1868"/>
  <c r="K1867"/>
  <c r="J1867"/>
  <c r="I1867"/>
  <c r="K1866"/>
  <c r="J1866"/>
  <c r="I1866"/>
  <c r="K1865"/>
  <c r="J1865"/>
  <c r="I1865"/>
  <c r="K1864"/>
  <c r="J1864"/>
  <c r="I1864"/>
  <c r="K1863"/>
  <c r="J1863"/>
  <c r="I1863"/>
  <c r="K1862"/>
  <c r="J1862"/>
  <c r="I1862"/>
  <c r="K1861"/>
  <c r="J1861"/>
  <c r="I1861"/>
  <c r="K1860"/>
  <c r="J1860"/>
  <c r="I1860"/>
  <c r="K1859"/>
  <c r="J1859"/>
  <c r="I1859"/>
  <c r="K1858"/>
  <c r="J1858"/>
  <c r="I1858"/>
  <c r="K1857"/>
  <c r="J1857"/>
  <c r="I1857"/>
  <c r="K1856"/>
  <c r="J1856"/>
  <c r="I1856"/>
  <c r="K1855"/>
  <c r="J1855"/>
  <c r="I1855"/>
  <c r="K1854"/>
  <c r="J1854"/>
  <c r="I1854"/>
  <c r="K1853"/>
  <c r="J1853"/>
  <c r="I1853"/>
  <c r="K1852"/>
  <c r="J1852"/>
  <c r="I1852"/>
  <c r="K1851"/>
  <c r="J1851"/>
  <c r="I1851"/>
  <c r="K1850"/>
  <c r="J1850"/>
  <c r="I1850"/>
  <c r="K1849"/>
  <c r="J1849"/>
  <c r="I1849"/>
  <c r="K1848"/>
  <c r="J1848"/>
  <c r="I1848"/>
  <c r="K1847"/>
  <c r="J1847"/>
  <c r="I1847"/>
  <c r="K1846"/>
  <c r="J1846"/>
  <c r="I1846"/>
  <c r="K1845"/>
  <c r="J1845"/>
  <c r="I1845"/>
  <c r="K1844"/>
  <c r="J1844"/>
  <c r="I1844"/>
  <c r="K1843"/>
  <c r="J1843"/>
  <c r="I1843"/>
  <c r="K1842"/>
  <c r="J1842"/>
  <c r="I1842"/>
  <c r="K1841"/>
  <c r="J1841"/>
  <c r="I1841"/>
  <c r="K1840"/>
  <c r="J1840"/>
  <c r="I1840"/>
  <c r="K1839"/>
  <c r="J1839"/>
  <c r="I1839"/>
  <c r="K1838"/>
  <c r="J1838"/>
  <c r="I1838"/>
  <c r="K1837"/>
  <c r="J1837"/>
  <c r="I1837"/>
  <c r="K1836"/>
  <c r="J1836"/>
  <c r="I1836"/>
  <c r="K1835"/>
  <c r="J1835"/>
  <c r="I1835"/>
  <c r="K1834"/>
  <c r="J1834"/>
  <c r="I1834"/>
  <c r="K1833"/>
  <c r="J1833"/>
  <c r="I1833"/>
  <c r="K1832"/>
  <c r="J1832"/>
  <c r="I1832"/>
  <c r="K1831"/>
  <c r="J1831"/>
  <c r="I1831"/>
  <c r="K1830"/>
  <c r="J1830"/>
  <c r="I1830"/>
  <c r="K1829"/>
  <c r="J1829"/>
  <c r="I1829"/>
  <c r="K1828"/>
  <c r="J1828"/>
  <c r="I1828"/>
  <c r="K1827"/>
  <c r="J1827"/>
  <c r="I1827"/>
  <c r="K1826"/>
  <c r="J1826"/>
  <c r="I1826"/>
  <c r="K1825"/>
  <c r="J1825"/>
  <c r="I1825"/>
  <c r="K1824"/>
  <c r="J1824"/>
  <c r="I1824"/>
  <c r="K1823"/>
  <c r="J1823"/>
  <c r="I1823"/>
  <c r="K1822"/>
  <c r="J1822"/>
  <c r="I1822"/>
  <c r="K1821"/>
  <c r="J1821"/>
  <c r="I1821"/>
  <c r="K1820"/>
  <c r="J1820"/>
  <c r="I1820"/>
  <c r="K1819"/>
  <c r="J1819"/>
  <c r="I1819"/>
  <c r="K1818"/>
  <c r="J1818"/>
  <c r="I1818"/>
  <c r="K1817"/>
  <c r="J1817"/>
  <c r="I1817"/>
  <c r="K1816"/>
  <c r="J1816"/>
  <c r="I1816"/>
  <c r="K1815"/>
  <c r="J1815"/>
  <c r="I1815"/>
  <c r="K1814"/>
  <c r="J1814"/>
  <c r="I1814"/>
  <c r="K1813"/>
  <c r="J1813"/>
  <c r="I1813"/>
  <c r="K1812"/>
  <c r="J1812"/>
  <c r="I1812"/>
  <c r="K1811"/>
  <c r="J1811"/>
  <c r="I1811"/>
  <c r="K1810"/>
  <c r="J1810"/>
  <c r="I1810"/>
  <c r="K1809"/>
  <c r="J1809"/>
  <c r="I1809"/>
  <c r="K1808"/>
  <c r="J1808"/>
  <c r="I1808"/>
  <c r="K1807"/>
  <c r="J1807"/>
  <c r="I1807"/>
  <c r="K1806"/>
  <c r="J1806"/>
  <c r="I1806"/>
  <c r="K1805"/>
  <c r="J1805"/>
  <c r="I1805"/>
  <c r="K1804"/>
  <c r="J1804"/>
  <c r="I1804"/>
  <c r="K1803"/>
  <c r="J1803"/>
  <c r="I1803"/>
  <c r="K1802"/>
  <c r="J1802"/>
  <c r="I1802"/>
  <c r="K1801"/>
  <c r="J1801"/>
  <c r="I1801"/>
  <c r="K1800"/>
  <c r="J1800"/>
  <c r="I1800"/>
  <c r="K1799"/>
  <c r="J1799"/>
  <c r="I1799"/>
  <c r="K1798"/>
  <c r="J1798"/>
  <c r="I1798"/>
  <c r="K1797"/>
  <c r="J1797"/>
  <c r="I1797"/>
  <c r="K1796"/>
  <c r="J1796"/>
  <c r="I1796"/>
  <c r="K1795"/>
  <c r="J1795"/>
  <c r="I1795"/>
  <c r="K1794"/>
  <c r="J1794"/>
  <c r="I1794"/>
  <c r="K1793"/>
  <c r="J1793"/>
  <c r="I1793"/>
  <c r="K1792"/>
  <c r="J1792"/>
  <c r="I1792"/>
  <c r="K1791"/>
  <c r="J1791"/>
  <c r="I1791"/>
  <c r="K1790"/>
  <c r="J1790"/>
  <c r="I1790"/>
  <c r="K1789"/>
  <c r="J1789"/>
  <c r="I1789"/>
  <c r="K1788"/>
  <c r="J1788"/>
  <c r="I1788"/>
  <c r="K1787"/>
  <c r="J1787"/>
  <c r="I1787"/>
  <c r="K1786"/>
  <c r="J1786"/>
  <c r="I1786"/>
  <c r="K1785"/>
  <c r="J1785"/>
  <c r="I1785"/>
  <c r="K1784"/>
  <c r="J1784"/>
  <c r="I1784"/>
  <c r="K1783"/>
  <c r="J1783"/>
  <c r="I1783"/>
  <c r="K1782"/>
  <c r="J1782"/>
  <c r="I1782"/>
  <c r="K1781"/>
  <c r="J1781"/>
  <c r="I1781"/>
  <c r="K1780"/>
  <c r="J1780"/>
  <c r="I1780"/>
  <c r="K1779"/>
  <c r="J1779"/>
  <c r="I1779"/>
  <c r="K1778"/>
  <c r="J1778"/>
  <c r="I1778"/>
  <c r="K1777"/>
  <c r="J1777"/>
  <c r="I1777"/>
  <c r="K1776"/>
  <c r="J1776"/>
  <c r="I1776"/>
  <c r="K1775"/>
  <c r="J1775"/>
  <c r="I1775"/>
  <c r="K1774"/>
  <c r="J1774"/>
  <c r="I1774"/>
  <c r="K1773"/>
  <c r="J1773"/>
  <c r="I1773"/>
  <c r="K1772"/>
  <c r="J1772"/>
  <c r="I1772"/>
  <c r="K1771"/>
  <c r="J1771"/>
  <c r="I1771"/>
  <c r="K1770"/>
  <c r="J1770"/>
  <c r="I1770"/>
  <c r="K1769"/>
  <c r="J1769"/>
  <c r="I1769"/>
  <c r="K1768"/>
  <c r="J1768"/>
  <c r="I1768"/>
  <c r="K1767"/>
  <c r="J1767"/>
  <c r="I1767"/>
  <c r="K1766"/>
  <c r="J1766"/>
  <c r="I1766"/>
  <c r="K1765"/>
  <c r="J1765"/>
  <c r="I1765"/>
  <c r="K1764"/>
  <c r="J1764"/>
  <c r="I1764"/>
  <c r="K1763"/>
  <c r="J1763"/>
  <c r="I1763"/>
  <c r="K1762"/>
  <c r="J1762"/>
  <c r="I1762"/>
  <c r="K1761"/>
  <c r="J1761"/>
  <c r="I1761"/>
  <c r="K1760"/>
  <c r="J1760"/>
  <c r="I1760"/>
  <c r="K1759"/>
  <c r="J1759"/>
  <c r="I1759"/>
  <c r="K1758"/>
  <c r="J1758"/>
  <c r="I1758"/>
  <c r="K1757"/>
  <c r="J1757"/>
  <c r="I1757"/>
  <c r="K1756"/>
  <c r="J1756"/>
  <c r="I1756"/>
  <c r="K1755"/>
  <c r="J1755"/>
  <c r="I1755"/>
  <c r="K1754"/>
  <c r="J1754"/>
  <c r="I1754"/>
  <c r="K1753"/>
  <c r="J1753"/>
  <c r="I1753"/>
  <c r="K1752"/>
  <c r="J1752"/>
  <c r="I1752"/>
  <c r="K1751"/>
  <c r="J1751"/>
  <c r="I1751"/>
  <c r="K1750"/>
  <c r="J1750"/>
  <c r="I1750"/>
  <c r="K1749"/>
  <c r="J1749"/>
  <c r="I1749"/>
  <c r="K1748"/>
  <c r="J1748"/>
  <c r="I1748"/>
  <c r="K1747"/>
  <c r="J1747"/>
  <c r="I1747"/>
  <c r="K1746"/>
  <c r="J1746"/>
  <c r="I1746"/>
  <c r="K1745"/>
  <c r="J1745"/>
  <c r="I1745"/>
  <c r="K1744"/>
  <c r="J1744"/>
  <c r="I1744"/>
  <c r="K1743"/>
  <c r="J1743"/>
  <c r="I1743"/>
  <c r="K1742"/>
  <c r="J1742"/>
  <c r="I1742"/>
  <c r="K1741"/>
  <c r="J1741"/>
  <c r="I1741"/>
  <c r="K1740"/>
  <c r="J1740"/>
  <c r="I1740"/>
  <c r="K1739"/>
  <c r="J1739"/>
  <c r="I1739"/>
  <c r="K1738"/>
  <c r="J1738"/>
  <c r="I1738"/>
  <c r="K1737"/>
  <c r="J1737"/>
  <c r="I1737"/>
  <c r="K1736"/>
  <c r="J1736"/>
  <c r="I1736"/>
  <c r="K1735"/>
  <c r="J1735"/>
  <c r="I1735"/>
  <c r="K1734"/>
  <c r="J1734"/>
  <c r="I1734"/>
  <c r="K1733"/>
  <c r="J1733"/>
  <c r="I1733"/>
  <c r="K1732"/>
  <c r="J1732"/>
  <c r="I1732"/>
  <c r="K1731"/>
  <c r="J1731"/>
  <c r="I1731"/>
  <c r="K1730"/>
  <c r="J1730"/>
  <c r="I1730"/>
  <c r="K1729"/>
  <c r="J1729"/>
  <c r="I1729"/>
  <c r="K1728"/>
  <c r="J1728"/>
  <c r="I1728"/>
  <c r="K1727"/>
  <c r="J1727"/>
  <c r="I1727"/>
  <c r="K1726"/>
  <c r="J1726"/>
  <c r="I1726"/>
  <c r="K1725"/>
  <c r="J1725"/>
  <c r="I1725"/>
  <c r="K1724"/>
  <c r="J1724"/>
  <c r="I1724"/>
  <c r="K1723"/>
  <c r="J1723"/>
  <c r="I1723"/>
  <c r="K1722"/>
  <c r="J1722"/>
  <c r="I1722"/>
  <c r="K1721"/>
  <c r="J1721"/>
  <c r="I1721"/>
  <c r="K1720"/>
  <c r="J1720"/>
  <c r="I1720"/>
  <c r="K1719"/>
  <c r="J1719"/>
  <c r="I1719"/>
  <c r="K1718"/>
  <c r="J1718"/>
  <c r="I1718"/>
  <c r="K1717"/>
  <c r="J1717"/>
  <c r="I1717"/>
  <c r="K1716"/>
  <c r="J1716"/>
  <c r="I1716"/>
  <c r="K1715"/>
  <c r="J1715"/>
  <c r="I1715"/>
  <c r="K1714"/>
  <c r="J1714"/>
  <c r="I1714"/>
  <c r="K1713"/>
  <c r="J1713"/>
  <c r="I1713"/>
  <c r="K1712"/>
  <c r="J1712"/>
  <c r="I1712"/>
  <c r="K1711"/>
  <c r="J1711"/>
  <c r="I1711"/>
  <c r="K1710"/>
  <c r="J1710"/>
  <c r="I1710"/>
  <c r="K1709"/>
  <c r="J1709"/>
  <c r="I1709"/>
  <c r="K1708"/>
  <c r="J1708"/>
  <c r="I1708"/>
  <c r="K1707"/>
  <c r="J1707"/>
  <c r="I1707"/>
  <c r="K1706"/>
  <c r="J1706"/>
  <c r="I1706"/>
  <c r="K1705"/>
  <c r="J1705"/>
  <c r="I1705"/>
  <c r="K1704"/>
  <c r="J1704"/>
  <c r="I1704"/>
  <c r="K1703"/>
  <c r="J1703"/>
  <c r="I1703"/>
  <c r="K1702"/>
  <c r="J1702"/>
  <c r="I1702"/>
  <c r="K1701"/>
  <c r="J1701"/>
  <c r="I1701"/>
  <c r="K1700"/>
  <c r="J1700"/>
  <c r="I1700"/>
  <c r="K1699"/>
  <c r="J1699"/>
  <c r="I1699"/>
  <c r="K1698"/>
  <c r="J1698"/>
  <c r="I1698"/>
  <c r="K1697"/>
  <c r="J1697"/>
  <c r="I1697"/>
  <c r="K1696"/>
  <c r="J1696"/>
  <c r="I1696"/>
  <c r="K1695"/>
  <c r="J1695"/>
  <c r="I1695"/>
  <c r="K1694"/>
  <c r="J1694"/>
  <c r="I1694"/>
  <c r="K1693"/>
  <c r="J1693"/>
  <c r="I1693"/>
  <c r="K1692"/>
  <c r="J1692"/>
  <c r="I1692"/>
  <c r="K1691"/>
  <c r="J1691"/>
  <c r="I1691"/>
  <c r="K1690"/>
  <c r="J1690"/>
  <c r="I1690"/>
  <c r="K1689"/>
  <c r="J1689"/>
  <c r="I1689"/>
  <c r="K1688"/>
  <c r="J1688"/>
  <c r="I1688"/>
  <c r="K1687"/>
  <c r="J1687"/>
  <c r="I1687"/>
  <c r="K1686"/>
  <c r="J1686"/>
  <c r="I1686"/>
  <c r="K1685"/>
  <c r="J1685"/>
  <c r="I1685"/>
  <c r="K1684"/>
  <c r="J1684"/>
  <c r="I1684"/>
  <c r="K1683"/>
  <c r="J1683"/>
  <c r="I1683"/>
  <c r="K1682"/>
  <c r="J1682"/>
  <c r="I1682"/>
  <c r="K1681"/>
  <c r="J1681"/>
  <c r="I1681"/>
  <c r="K1680"/>
  <c r="J1680"/>
  <c r="I1680"/>
  <c r="K1679"/>
  <c r="J1679"/>
  <c r="I1679"/>
  <c r="K1678"/>
  <c r="J1678"/>
  <c r="I1678"/>
  <c r="K1677"/>
  <c r="J1677"/>
  <c r="I1677"/>
  <c r="K1676"/>
  <c r="J1676"/>
  <c r="I1676"/>
  <c r="K1675"/>
  <c r="J1675"/>
  <c r="I1675"/>
  <c r="K1674"/>
  <c r="J1674"/>
  <c r="I1674"/>
  <c r="K1673"/>
  <c r="J1673"/>
  <c r="I1673"/>
  <c r="K1672"/>
  <c r="J1672"/>
  <c r="I1672"/>
  <c r="K1671"/>
  <c r="J1671"/>
  <c r="I1671"/>
  <c r="K1670"/>
  <c r="J1670"/>
  <c r="I1670"/>
  <c r="K1669"/>
  <c r="J1669"/>
  <c r="I1669"/>
  <c r="K1668"/>
  <c r="J1668"/>
  <c r="I1668"/>
  <c r="K1667"/>
  <c r="J1667"/>
  <c r="I1667"/>
  <c r="K1666"/>
  <c r="J1666"/>
  <c r="I1666"/>
  <c r="K1665"/>
  <c r="J1665"/>
  <c r="I1665"/>
  <c r="K1664"/>
  <c r="J1664"/>
  <c r="I1664"/>
  <c r="K1663"/>
  <c r="J1663"/>
  <c r="I1663"/>
  <c r="K1662"/>
  <c r="J1662"/>
  <c r="I1662"/>
  <c r="K1661"/>
  <c r="J1661"/>
  <c r="I1661"/>
  <c r="K1660"/>
  <c r="J1660"/>
  <c r="I1660"/>
  <c r="K1659"/>
  <c r="J1659"/>
  <c r="I1659"/>
  <c r="K1658"/>
  <c r="J1658"/>
  <c r="I1658"/>
  <c r="K1657"/>
  <c r="J1657"/>
  <c r="I1657"/>
  <c r="K1656"/>
  <c r="J1656"/>
  <c r="I1656"/>
  <c r="K1655"/>
  <c r="J1655"/>
  <c r="I1655"/>
  <c r="K1654"/>
  <c r="J1654"/>
  <c r="I1654"/>
  <c r="K1653"/>
  <c r="J1653"/>
  <c r="I1653"/>
  <c r="K1652"/>
  <c r="J1652"/>
  <c r="I1652"/>
  <c r="K1651"/>
  <c r="J1651"/>
  <c r="I1651"/>
  <c r="K1650"/>
  <c r="J1650"/>
  <c r="I1650"/>
  <c r="K1649"/>
  <c r="J1649"/>
  <c r="I1649"/>
  <c r="K1648"/>
  <c r="J1648"/>
  <c r="I1648"/>
  <c r="K1647"/>
  <c r="J1647"/>
  <c r="I1647"/>
  <c r="K1646"/>
  <c r="J1646"/>
  <c r="I1646"/>
  <c r="K1645"/>
  <c r="J1645"/>
  <c r="I1645"/>
  <c r="K1644"/>
  <c r="J1644"/>
  <c r="I1644"/>
  <c r="K1643"/>
  <c r="J1643"/>
  <c r="I1643"/>
  <c r="K1642"/>
  <c r="J1642"/>
  <c r="I1642"/>
  <c r="K1641"/>
  <c r="J1641"/>
  <c r="I1641"/>
  <c r="K1640"/>
  <c r="J1640"/>
  <c r="I1640"/>
  <c r="K1639"/>
  <c r="J1639"/>
  <c r="I1639"/>
  <c r="K1638"/>
  <c r="J1638"/>
  <c r="I1638"/>
  <c r="K1637"/>
  <c r="J1637"/>
  <c r="I1637"/>
  <c r="K1636"/>
  <c r="J1636"/>
  <c r="I1636"/>
  <c r="K1635"/>
  <c r="J1635"/>
  <c r="I1635"/>
  <c r="K1634"/>
  <c r="J1634"/>
  <c r="I1634"/>
  <c r="K1633"/>
  <c r="J1633"/>
  <c r="I1633"/>
  <c r="K1632"/>
  <c r="J1632"/>
  <c r="I1632"/>
  <c r="K1631"/>
  <c r="J1631"/>
  <c r="I1631"/>
  <c r="K1630"/>
  <c r="J1630"/>
  <c r="I1630"/>
  <c r="K1629"/>
  <c r="J1629"/>
  <c r="I1629"/>
  <c r="K1628"/>
  <c r="J1628"/>
  <c r="I1628"/>
  <c r="K1627"/>
  <c r="J1627"/>
  <c r="I1627"/>
  <c r="K1626"/>
  <c r="J1626"/>
  <c r="I1626"/>
  <c r="K1625"/>
  <c r="J1625"/>
  <c r="I1625"/>
  <c r="K1624"/>
  <c r="J1624"/>
  <c r="I1624"/>
  <c r="K1623"/>
  <c r="J1623"/>
  <c r="I1623"/>
  <c r="K1622"/>
  <c r="J1622"/>
  <c r="I1622"/>
  <c r="K1621"/>
  <c r="J1621"/>
  <c r="I1621"/>
  <c r="K1620"/>
  <c r="J1620"/>
  <c r="I1620"/>
  <c r="K1619"/>
  <c r="J1619"/>
  <c r="I1619"/>
  <c r="K1618"/>
  <c r="J1618"/>
  <c r="I1618"/>
  <c r="K1617"/>
  <c r="J1617"/>
  <c r="I1617"/>
  <c r="K1616"/>
  <c r="J1616"/>
  <c r="I1616"/>
  <c r="K1615"/>
  <c r="J1615"/>
  <c r="I1615"/>
  <c r="K1614"/>
  <c r="J1614"/>
  <c r="I1614"/>
  <c r="K1613"/>
  <c r="J1613"/>
  <c r="I1613"/>
  <c r="K1612"/>
  <c r="J1612"/>
  <c r="I1612"/>
  <c r="K1611"/>
  <c r="J1611"/>
  <c r="I1611"/>
  <c r="K1610"/>
  <c r="J1610"/>
  <c r="I1610"/>
  <c r="K1609"/>
  <c r="J1609"/>
  <c r="I1609"/>
  <c r="K1608"/>
  <c r="J1608"/>
  <c r="I1608"/>
  <c r="K1607"/>
  <c r="J1607"/>
  <c r="I1607"/>
  <c r="K1606"/>
  <c r="J1606"/>
  <c r="I1606"/>
  <c r="K1605"/>
  <c r="J1605"/>
  <c r="I1605"/>
  <c r="K1604"/>
  <c r="J1604"/>
  <c r="I1604"/>
  <c r="K1603"/>
  <c r="J1603"/>
  <c r="I1603"/>
  <c r="K1602"/>
  <c r="J1602"/>
  <c r="I1602"/>
  <c r="K1601"/>
  <c r="J1601"/>
  <c r="I1601"/>
  <c r="K1600"/>
  <c r="J1600"/>
  <c r="I1600"/>
  <c r="K1599"/>
  <c r="J1599"/>
  <c r="I1599"/>
  <c r="K1598"/>
  <c r="J1598"/>
  <c r="I1598"/>
  <c r="K1597"/>
  <c r="J1597"/>
  <c r="I1597"/>
  <c r="K1596"/>
  <c r="J1596"/>
  <c r="I1596"/>
  <c r="K1595"/>
  <c r="J1595"/>
  <c r="I1595"/>
  <c r="K1594"/>
  <c r="J1594"/>
  <c r="I1594"/>
  <c r="K1593"/>
  <c r="J1593"/>
  <c r="I1593"/>
  <c r="K1592"/>
  <c r="J1592"/>
  <c r="I1592"/>
  <c r="K1591"/>
  <c r="J1591"/>
  <c r="I1591"/>
  <c r="K1590"/>
  <c r="J1590"/>
  <c r="I1590"/>
  <c r="K1589"/>
  <c r="J1589"/>
  <c r="I1589"/>
  <c r="K1588"/>
  <c r="J1588"/>
  <c r="I1588"/>
  <c r="K1587"/>
  <c r="J1587"/>
  <c r="I1587"/>
  <c r="K1586"/>
  <c r="J1586"/>
  <c r="I1586"/>
  <c r="K1585"/>
  <c r="J1585"/>
  <c r="I1585"/>
  <c r="K1584"/>
  <c r="J1584"/>
  <c r="I1584"/>
  <c r="K1583"/>
  <c r="J1583"/>
  <c r="I1583"/>
  <c r="K1582"/>
  <c r="J1582"/>
  <c r="I1582"/>
  <c r="K1581"/>
  <c r="J1581"/>
  <c r="I1581"/>
  <c r="K1580"/>
  <c r="J1580"/>
  <c r="I1580"/>
  <c r="K1579"/>
  <c r="J1579"/>
  <c r="I1579"/>
  <c r="K1578"/>
  <c r="J1578"/>
  <c r="I1578"/>
  <c r="K1577"/>
  <c r="J1577"/>
  <c r="I1577"/>
  <c r="K1576"/>
  <c r="J1576"/>
  <c r="I1576"/>
  <c r="K1575"/>
  <c r="J1575"/>
  <c r="I1575"/>
  <c r="K1574"/>
  <c r="J1574"/>
  <c r="I1574"/>
  <c r="K1573"/>
  <c r="J1573"/>
  <c r="I1573"/>
  <c r="K1572"/>
  <c r="J1572"/>
  <c r="I1572"/>
  <c r="K1571"/>
  <c r="J1571"/>
  <c r="I1571"/>
  <c r="K1570"/>
  <c r="J1570"/>
  <c r="I1570"/>
  <c r="K1569"/>
  <c r="J1569"/>
  <c r="I1569"/>
  <c r="K1568"/>
  <c r="J1568"/>
  <c r="I1568"/>
  <c r="K1567"/>
  <c r="J1567"/>
  <c r="I1567"/>
  <c r="K1566"/>
  <c r="J1566"/>
  <c r="I1566"/>
  <c r="K1565"/>
  <c r="J1565"/>
  <c r="I1565"/>
  <c r="K1564"/>
  <c r="J1564"/>
  <c r="I1564"/>
  <c r="K1563"/>
  <c r="J1563"/>
  <c r="I1563"/>
  <c r="K1562"/>
  <c r="J1562"/>
  <c r="I1562"/>
  <c r="K1561"/>
  <c r="J1561"/>
  <c r="I1561"/>
  <c r="K1560"/>
  <c r="J1560"/>
  <c r="I1560"/>
  <c r="K1559"/>
  <c r="J1559"/>
  <c r="I1559"/>
  <c r="K1558"/>
  <c r="J1558"/>
  <c r="I1558"/>
  <c r="K1557"/>
  <c r="J1557"/>
  <c r="I1557"/>
  <c r="K1556"/>
  <c r="J1556"/>
  <c r="I1556"/>
  <c r="K1555"/>
  <c r="J1555"/>
  <c r="I1555"/>
  <c r="K1554"/>
  <c r="J1554"/>
  <c r="I1554"/>
  <c r="K1553"/>
  <c r="J1553"/>
  <c r="I1553"/>
  <c r="K1552"/>
  <c r="J1552"/>
  <c r="I1552"/>
  <c r="K1551"/>
  <c r="J1551"/>
  <c r="I1551"/>
  <c r="K1550"/>
  <c r="J1550"/>
  <c r="I1550"/>
  <c r="K1549"/>
  <c r="J1549"/>
  <c r="I1549"/>
  <c r="K1548"/>
  <c r="J1548"/>
  <c r="I1548"/>
  <c r="K1547"/>
  <c r="J1547"/>
  <c r="I1547"/>
  <c r="K1546"/>
  <c r="J1546"/>
  <c r="I1546"/>
  <c r="K1545"/>
  <c r="J1545"/>
  <c r="I1545"/>
  <c r="K1544"/>
  <c r="J1544"/>
  <c r="I1544"/>
  <c r="K1543"/>
  <c r="J1543"/>
  <c r="I1543"/>
  <c r="K1542"/>
  <c r="J1542"/>
  <c r="I1542"/>
  <c r="K1541"/>
  <c r="J1541"/>
  <c r="I1541"/>
  <c r="K1540"/>
  <c r="J1540"/>
  <c r="I1540"/>
  <c r="K1539"/>
  <c r="J1539"/>
  <c r="I1539"/>
  <c r="K1538"/>
  <c r="J1538"/>
  <c r="I1538"/>
  <c r="K1537"/>
  <c r="J1537"/>
  <c r="I1537"/>
  <c r="K1536"/>
  <c r="J1536"/>
  <c r="I1536"/>
  <c r="K1535"/>
  <c r="J1535"/>
  <c r="I1535"/>
  <c r="K1534"/>
  <c r="J1534"/>
  <c r="I1534"/>
  <c r="K1533"/>
  <c r="J1533"/>
  <c r="I1533"/>
  <c r="K1532"/>
  <c r="J1532"/>
  <c r="I1532"/>
  <c r="K1531"/>
  <c r="J1531"/>
  <c r="I1531"/>
  <c r="K1530"/>
  <c r="J1530"/>
  <c r="I1530"/>
  <c r="K1529"/>
  <c r="J1529"/>
  <c r="I1529"/>
  <c r="K1528"/>
  <c r="J1528"/>
  <c r="I1528"/>
  <c r="K1527"/>
  <c r="J1527"/>
  <c r="I1527"/>
  <c r="K1526"/>
  <c r="J1526"/>
  <c r="I1526"/>
  <c r="K1525"/>
  <c r="J1525"/>
  <c r="I1525"/>
  <c r="K1524"/>
  <c r="J1524"/>
  <c r="I1524"/>
  <c r="K1523"/>
  <c r="J1523"/>
  <c r="I1523"/>
  <c r="K1522"/>
  <c r="J1522"/>
  <c r="I1522"/>
  <c r="K1521"/>
  <c r="J1521"/>
  <c r="I1521"/>
  <c r="K1520"/>
  <c r="J1520"/>
  <c r="I1520"/>
  <c r="K1519"/>
  <c r="J1519"/>
  <c r="I1519"/>
  <c r="K1518"/>
  <c r="J1518"/>
  <c r="I1518"/>
  <c r="K1517"/>
  <c r="J1517"/>
  <c r="I1517"/>
  <c r="K1516"/>
  <c r="J1516"/>
  <c r="I1516"/>
  <c r="K1515"/>
  <c r="J1515"/>
  <c r="I1515"/>
  <c r="K1514"/>
  <c r="J1514"/>
  <c r="I1514"/>
  <c r="K1513"/>
  <c r="J1513"/>
  <c r="I1513"/>
  <c r="K1512"/>
  <c r="J1512"/>
  <c r="I1512"/>
  <c r="K1511"/>
  <c r="J1511"/>
  <c r="I1511"/>
  <c r="K1510"/>
  <c r="J1510"/>
  <c r="I1510"/>
  <c r="K1509"/>
  <c r="J1509"/>
  <c r="I1509"/>
  <c r="K1508"/>
  <c r="J1508"/>
  <c r="I1508"/>
  <c r="K1507"/>
  <c r="J1507"/>
  <c r="I1507"/>
  <c r="K1506"/>
  <c r="J1506"/>
  <c r="I1506"/>
  <c r="K1505"/>
  <c r="J1505"/>
  <c r="I1505"/>
  <c r="K1504"/>
  <c r="J1504"/>
  <c r="I1504"/>
  <c r="K1503"/>
  <c r="J1503"/>
  <c r="I1503"/>
  <c r="K1502"/>
  <c r="J1502"/>
  <c r="I1502"/>
  <c r="K1501"/>
  <c r="J1501"/>
  <c r="I1501"/>
  <c r="K1500"/>
  <c r="J1500"/>
  <c r="I1500"/>
  <c r="K1499"/>
  <c r="J1499"/>
  <c r="I1499"/>
  <c r="K1498"/>
  <c r="J1498"/>
  <c r="I1498"/>
  <c r="K1497"/>
  <c r="J1497"/>
  <c r="I1497"/>
  <c r="K1496"/>
  <c r="J1496"/>
  <c r="I1496"/>
  <c r="K1495"/>
  <c r="J1495"/>
  <c r="I1495"/>
  <c r="K1494"/>
  <c r="J1494"/>
  <c r="I1494"/>
  <c r="K1493"/>
  <c r="J1493"/>
  <c r="I1493"/>
  <c r="K1492"/>
  <c r="J1492"/>
  <c r="I1492"/>
  <c r="K1491"/>
  <c r="J1491"/>
  <c r="I1491"/>
  <c r="K1490"/>
  <c r="J1490"/>
  <c r="I1490"/>
  <c r="K1489"/>
  <c r="J1489"/>
  <c r="I1489"/>
  <c r="K1488"/>
  <c r="J1488"/>
  <c r="I1488"/>
  <c r="K1487"/>
  <c r="J1487"/>
  <c r="I1487"/>
  <c r="K1486"/>
  <c r="J1486"/>
  <c r="I1486"/>
  <c r="K1485"/>
  <c r="J1485"/>
  <c r="I1485"/>
  <c r="K1484"/>
  <c r="J1484"/>
  <c r="I1484"/>
  <c r="K1483"/>
  <c r="J1483"/>
  <c r="I1483"/>
  <c r="K1482"/>
  <c r="J1482"/>
  <c r="I1482"/>
  <c r="K1481"/>
  <c r="J1481"/>
  <c r="I1481"/>
  <c r="K1480"/>
  <c r="J1480"/>
  <c r="I1480"/>
  <c r="K1479"/>
  <c r="J1479"/>
  <c r="I1479"/>
  <c r="K1478"/>
  <c r="J1478"/>
  <c r="I1478"/>
  <c r="K1477"/>
  <c r="J1477"/>
  <c r="I1477"/>
  <c r="K1476"/>
  <c r="J1476"/>
  <c r="I1476"/>
  <c r="K1475"/>
  <c r="J1475"/>
  <c r="I1475"/>
  <c r="K1474"/>
  <c r="J1474"/>
  <c r="I1474"/>
  <c r="K1473"/>
  <c r="J1473"/>
  <c r="I1473"/>
  <c r="K1472"/>
  <c r="J1472"/>
  <c r="I1472"/>
  <c r="K1471"/>
  <c r="J1471"/>
  <c r="I1471"/>
  <c r="K1470"/>
  <c r="J1470"/>
  <c r="I1470"/>
  <c r="K1469"/>
  <c r="J1469"/>
  <c r="I1469"/>
  <c r="K1468"/>
  <c r="J1468"/>
  <c r="I1468"/>
  <c r="K1467"/>
  <c r="J1467"/>
  <c r="I1467"/>
  <c r="K1466"/>
  <c r="J1466"/>
  <c r="I1466"/>
  <c r="K1465"/>
  <c r="J1465"/>
  <c r="I1465"/>
  <c r="K1464"/>
  <c r="J1464"/>
  <c r="I1464"/>
  <c r="K1463"/>
  <c r="J1463"/>
  <c r="I1463"/>
  <c r="K1462"/>
  <c r="J1462"/>
  <c r="I1462"/>
  <c r="K1461"/>
  <c r="J1461"/>
  <c r="I1461"/>
  <c r="K1460"/>
  <c r="J1460"/>
  <c r="I1460"/>
  <c r="K1459"/>
  <c r="J1459"/>
  <c r="I1459"/>
  <c r="K1458"/>
  <c r="J1458"/>
  <c r="I1458"/>
  <c r="K1457"/>
  <c r="J1457"/>
  <c r="I1457"/>
  <c r="K1456"/>
  <c r="J1456"/>
  <c r="I1456"/>
  <c r="K1455"/>
  <c r="J1455"/>
  <c r="I1455"/>
  <c r="K1454"/>
  <c r="J1454"/>
  <c r="I1454"/>
  <c r="K1453"/>
  <c r="J1453"/>
  <c r="I1453"/>
  <c r="K1452"/>
  <c r="J1452"/>
  <c r="I1452"/>
  <c r="K1451"/>
  <c r="J1451"/>
  <c r="I1451"/>
  <c r="K1450"/>
  <c r="J1450"/>
  <c r="I1450"/>
  <c r="K1449"/>
  <c r="J1449"/>
  <c r="I1449"/>
  <c r="K1448"/>
  <c r="J1448"/>
  <c r="I1448"/>
  <c r="K1447"/>
  <c r="J1447"/>
  <c r="I1447"/>
  <c r="K1446"/>
  <c r="J1446"/>
  <c r="I1446"/>
  <c r="K1445"/>
  <c r="J1445"/>
  <c r="I1445"/>
  <c r="K1444"/>
  <c r="J1444"/>
  <c r="I1444"/>
  <c r="K1443"/>
  <c r="J1443"/>
  <c r="I1443"/>
  <c r="K1442"/>
  <c r="J1442"/>
  <c r="I1442"/>
  <c r="K1441"/>
  <c r="J1441"/>
  <c r="I1441"/>
  <c r="K1440"/>
  <c r="J1440"/>
  <c r="I1440"/>
  <c r="K1439"/>
  <c r="J1439"/>
  <c r="I1439"/>
  <c r="K1438"/>
  <c r="J1438"/>
  <c r="I1438"/>
  <c r="K1437"/>
  <c r="J1437"/>
  <c r="I1437"/>
  <c r="K1436"/>
  <c r="J1436"/>
  <c r="I1436"/>
  <c r="K1435"/>
  <c r="J1435"/>
  <c r="I1435"/>
  <c r="K1434"/>
  <c r="J1434"/>
  <c r="I1434"/>
  <c r="K1433"/>
  <c r="J1433"/>
  <c r="I1433"/>
  <c r="K1432"/>
  <c r="J1432"/>
  <c r="I1432"/>
  <c r="K1431"/>
  <c r="J1431"/>
  <c r="I1431"/>
  <c r="K1430"/>
  <c r="J1430"/>
  <c r="I1430"/>
  <c r="K1429"/>
  <c r="J1429"/>
  <c r="I1429"/>
  <c r="K1428"/>
  <c r="J1428"/>
  <c r="I1428"/>
  <c r="K1427"/>
  <c r="J1427"/>
  <c r="I1427"/>
  <c r="K1426"/>
  <c r="J1426"/>
  <c r="I1426"/>
  <c r="K1425"/>
  <c r="J1425"/>
  <c r="I1425"/>
  <c r="K1424"/>
  <c r="J1424"/>
  <c r="I1424"/>
  <c r="K1423"/>
  <c r="J1423"/>
  <c r="I1423"/>
  <c r="K1422"/>
  <c r="J1422"/>
  <c r="I1422"/>
  <c r="K1421"/>
  <c r="J1421"/>
  <c r="I1421"/>
  <c r="K1420"/>
  <c r="J1420"/>
  <c r="I1420"/>
  <c r="K1419"/>
  <c r="J1419"/>
  <c r="I1419"/>
  <c r="K1418"/>
  <c r="J1418"/>
  <c r="I1418"/>
  <c r="K1417"/>
  <c r="J1417"/>
  <c r="I1417"/>
  <c r="K1416"/>
  <c r="J1416"/>
  <c r="I1416"/>
  <c r="K1415"/>
  <c r="J1415"/>
  <c r="I1415"/>
  <c r="K1414"/>
  <c r="J1414"/>
  <c r="I1414"/>
  <c r="K1413"/>
  <c r="J1413"/>
  <c r="I1413"/>
  <c r="K1412"/>
  <c r="J1412"/>
  <c r="I1412"/>
  <c r="K1411"/>
  <c r="J1411"/>
  <c r="I1411"/>
  <c r="K1410"/>
  <c r="J1410"/>
  <c r="I1410"/>
  <c r="K1409"/>
  <c r="J1409"/>
  <c r="I1409"/>
  <c r="K1408"/>
  <c r="J1408"/>
  <c r="I1408"/>
  <c r="K1407"/>
  <c r="J1407"/>
  <c r="I1407"/>
  <c r="K1406"/>
  <c r="J1406"/>
  <c r="I1406"/>
  <c r="K1405"/>
  <c r="J1405"/>
  <c r="I1405"/>
  <c r="K1404"/>
  <c r="J1404"/>
  <c r="I1404"/>
  <c r="K1403"/>
  <c r="J1403"/>
  <c r="I1403"/>
  <c r="K1402"/>
  <c r="J1402"/>
  <c r="I1402"/>
  <c r="K1401"/>
  <c r="J1401"/>
  <c r="I1401"/>
  <c r="K1400"/>
  <c r="J1400"/>
  <c r="I1400"/>
  <c r="K1399"/>
  <c r="J1399"/>
  <c r="I1399"/>
  <c r="K1398"/>
  <c r="J1398"/>
  <c r="I1398"/>
  <c r="K1397"/>
  <c r="J1397"/>
  <c r="I1397"/>
  <c r="K1396"/>
  <c r="J1396"/>
  <c r="I1396"/>
  <c r="K1395"/>
  <c r="J1395"/>
  <c r="I1395"/>
  <c r="K1394"/>
  <c r="J1394"/>
  <c r="I1394"/>
  <c r="K1393"/>
  <c r="J1393"/>
  <c r="I1393"/>
  <c r="K1392"/>
  <c r="J1392"/>
  <c r="I1392"/>
  <c r="K1391"/>
  <c r="J1391"/>
  <c r="I1391"/>
  <c r="K1390"/>
  <c r="J1390"/>
  <c r="I1390"/>
  <c r="K1389"/>
  <c r="J1389"/>
  <c r="I1389"/>
  <c r="K1388"/>
  <c r="J1388"/>
  <c r="I1388"/>
  <c r="K1387"/>
  <c r="J1387"/>
  <c r="I1387"/>
  <c r="K1386"/>
  <c r="J1386"/>
  <c r="I1386"/>
  <c r="K1385"/>
  <c r="J1385"/>
  <c r="I1385"/>
  <c r="K1384"/>
  <c r="J1384"/>
  <c r="I1384"/>
  <c r="K1383"/>
  <c r="J1383"/>
  <c r="I1383"/>
  <c r="K1382"/>
  <c r="J1382"/>
  <c r="I1382"/>
  <c r="K1381"/>
  <c r="J1381"/>
  <c r="I1381"/>
  <c r="K1380"/>
  <c r="J1380"/>
  <c r="I1380"/>
  <c r="K1379"/>
  <c r="J1379"/>
  <c r="I1379"/>
  <c r="K1378"/>
  <c r="J1378"/>
  <c r="I1378"/>
  <c r="K1377"/>
  <c r="J1377"/>
  <c r="I1377"/>
  <c r="K1376"/>
  <c r="J1376"/>
  <c r="I1376"/>
  <c r="K1375"/>
  <c r="J1375"/>
  <c r="I1375"/>
  <c r="K1374"/>
  <c r="J1374"/>
  <c r="I1374"/>
  <c r="K1373"/>
  <c r="J1373"/>
  <c r="I1373"/>
  <c r="K1372"/>
  <c r="J1372"/>
  <c r="I1372"/>
  <c r="K1371"/>
  <c r="J1371"/>
  <c r="I1371"/>
  <c r="K1370"/>
  <c r="J1370"/>
  <c r="I1370"/>
  <c r="K1369"/>
  <c r="J1369"/>
  <c r="I1369"/>
  <c r="K1368"/>
  <c r="J1368"/>
  <c r="I1368"/>
  <c r="K1367"/>
  <c r="J1367"/>
  <c r="I1367"/>
  <c r="K1366"/>
  <c r="J1366"/>
  <c r="I1366"/>
  <c r="K1365"/>
  <c r="J1365"/>
  <c r="I1365"/>
  <c r="K1364"/>
  <c r="J1364"/>
  <c r="I1364"/>
  <c r="K1363"/>
  <c r="J1363"/>
  <c r="I1363"/>
  <c r="K1362"/>
  <c r="J1362"/>
  <c r="I1362"/>
  <c r="K1361"/>
  <c r="J1361"/>
  <c r="I1361"/>
  <c r="K1360"/>
  <c r="J1360"/>
  <c r="I1360"/>
  <c r="K1359"/>
  <c r="J1359"/>
  <c r="I1359"/>
  <c r="K1358"/>
  <c r="J1358"/>
  <c r="I1358"/>
  <c r="K1357"/>
  <c r="J1357"/>
  <c r="I1357"/>
  <c r="K1356"/>
  <c r="J1356"/>
  <c r="I1356"/>
  <c r="K1355"/>
  <c r="J1355"/>
  <c r="I1355"/>
  <c r="K1354"/>
  <c r="J1354"/>
  <c r="I1354"/>
  <c r="K1353"/>
  <c r="J1353"/>
  <c r="I1353"/>
  <c r="K1352"/>
  <c r="J1352"/>
  <c r="I1352"/>
  <c r="K1351"/>
  <c r="J1351"/>
  <c r="I1351"/>
  <c r="K1350"/>
  <c r="J1350"/>
  <c r="I1350"/>
  <c r="K1349"/>
  <c r="J1349"/>
  <c r="I1349"/>
  <c r="K1348"/>
  <c r="J1348"/>
  <c r="I1348"/>
  <c r="K1347"/>
  <c r="J1347"/>
  <c r="I1347"/>
  <c r="K1346"/>
  <c r="J1346"/>
  <c r="I1346"/>
  <c r="K1345"/>
  <c r="J1345"/>
  <c r="I1345"/>
  <c r="K1344"/>
  <c r="J1344"/>
  <c r="I1344"/>
  <c r="K1343"/>
  <c r="J1343"/>
  <c r="I1343"/>
  <c r="K1342"/>
  <c r="J1342"/>
  <c r="I1342"/>
  <c r="K1341"/>
  <c r="J1341"/>
  <c r="I1341"/>
  <c r="K1340"/>
  <c r="J1340"/>
  <c r="I1340"/>
  <c r="K1339"/>
  <c r="J1339"/>
  <c r="I1339"/>
  <c r="K1338"/>
  <c r="J1338"/>
  <c r="I1338"/>
  <c r="K1337"/>
  <c r="J1337"/>
  <c r="I1337"/>
  <c r="K1336"/>
  <c r="J1336"/>
  <c r="I1336"/>
  <c r="K1335"/>
  <c r="J1335"/>
  <c r="I1335"/>
  <c r="K1334"/>
  <c r="J1334"/>
  <c r="I1334"/>
  <c r="K1333"/>
  <c r="J1333"/>
  <c r="I1333"/>
  <c r="K1332"/>
  <c r="J1332"/>
  <c r="I1332"/>
  <c r="K1331"/>
  <c r="J1331"/>
  <c r="I1331"/>
  <c r="K1330"/>
  <c r="J1330"/>
  <c r="I1330"/>
  <c r="K1329"/>
  <c r="J1329"/>
  <c r="I1329"/>
  <c r="K1328"/>
  <c r="J1328"/>
  <c r="I1328"/>
  <c r="K1327"/>
  <c r="J1327"/>
  <c r="I1327"/>
  <c r="K1326"/>
  <c r="J1326"/>
  <c r="I1326"/>
  <c r="K1325"/>
  <c r="J1325"/>
  <c r="I1325"/>
  <c r="K1324"/>
  <c r="J1324"/>
  <c r="I1324"/>
  <c r="K1323"/>
  <c r="J1323"/>
  <c r="I1323"/>
  <c r="K1322"/>
  <c r="J1322"/>
  <c r="I1322"/>
  <c r="K1321"/>
  <c r="J1321"/>
  <c r="I1321"/>
  <c r="K1320"/>
  <c r="J1320"/>
  <c r="I1320"/>
  <c r="K1319"/>
  <c r="J1319"/>
  <c r="I1319"/>
  <c r="K1318"/>
  <c r="J1318"/>
  <c r="I1318"/>
  <c r="K1317"/>
  <c r="J1317"/>
  <c r="I1317"/>
  <c r="K1316"/>
  <c r="J1316"/>
  <c r="I1316"/>
  <c r="K1315"/>
  <c r="J1315"/>
  <c r="I1315"/>
  <c r="K1314"/>
  <c r="J1314"/>
  <c r="I1314"/>
  <c r="K1313"/>
  <c r="J1313"/>
  <c r="I1313"/>
  <c r="K1312"/>
  <c r="J1312"/>
  <c r="I1312"/>
  <c r="K1311"/>
  <c r="J1311"/>
  <c r="I1311"/>
  <c r="K1310"/>
  <c r="J1310"/>
  <c r="I1310"/>
  <c r="K1309"/>
  <c r="J1309"/>
  <c r="I1309"/>
  <c r="K1308"/>
  <c r="J1308"/>
  <c r="I1308"/>
  <c r="K1307"/>
  <c r="J1307"/>
  <c r="I1307"/>
  <c r="K1306"/>
  <c r="J1306"/>
  <c r="I1306"/>
  <c r="K1305"/>
  <c r="J1305"/>
  <c r="I1305"/>
  <c r="K1304"/>
  <c r="J1304"/>
  <c r="I1304"/>
  <c r="K1303"/>
  <c r="J1303"/>
  <c r="I1303"/>
  <c r="K1302"/>
  <c r="J1302"/>
  <c r="I1302"/>
  <c r="K1301"/>
  <c r="J1301"/>
  <c r="I1301"/>
  <c r="K1300"/>
  <c r="J1300"/>
  <c r="I1300"/>
  <c r="K1299"/>
  <c r="J1299"/>
  <c r="I1299"/>
  <c r="K1298"/>
  <c r="J1298"/>
  <c r="I1298"/>
  <c r="K1297"/>
  <c r="J1297"/>
  <c r="I1297"/>
  <c r="K1296"/>
  <c r="J1296"/>
  <c r="I1296"/>
  <c r="K1295"/>
  <c r="J1295"/>
  <c r="I1295"/>
  <c r="K1294"/>
  <c r="J1294"/>
  <c r="I1294"/>
  <c r="K1293"/>
  <c r="J1293"/>
  <c r="I1293"/>
  <c r="K1292"/>
  <c r="J1292"/>
  <c r="I1292"/>
  <c r="K1291"/>
  <c r="J1291"/>
  <c r="I1291"/>
  <c r="K1290"/>
  <c r="J1290"/>
  <c r="I1290"/>
  <c r="K1289"/>
  <c r="J1289"/>
  <c r="I1289"/>
  <c r="K1288"/>
  <c r="J1288"/>
  <c r="I1288"/>
  <c r="K1287"/>
  <c r="J1287"/>
  <c r="I1287"/>
  <c r="K1286"/>
  <c r="J1286"/>
  <c r="I1286"/>
  <c r="K1285"/>
  <c r="J1285"/>
  <c r="I1285"/>
  <c r="K1284"/>
  <c r="J1284"/>
  <c r="I1284"/>
  <c r="K1283"/>
  <c r="J1283"/>
  <c r="I1283"/>
  <c r="K1282"/>
  <c r="J1282"/>
  <c r="I1282"/>
  <c r="K1281"/>
  <c r="J1281"/>
  <c r="I1281"/>
  <c r="K1280"/>
  <c r="J1280"/>
  <c r="I1280"/>
  <c r="K1279"/>
  <c r="J1279"/>
  <c r="I1279"/>
  <c r="K1278"/>
  <c r="J1278"/>
  <c r="I1278"/>
  <c r="K1277"/>
  <c r="J1277"/>
  <c r="I1277"/>
  <c r="K1276"/>
  <c r="J1276"/>
  <c r="I1276"/>
  <c r="K1275"/>
  <c r="J1275"/>
  <c r="I1275"/>
  <c r="K1274"/>
  <c r="J1274"/>
  <c r="I1274"/>
  <c r="K1273"/>
  <c r="J1273"/>
  <c r="I1273"/>
  <c r="K1272"/>
  <c r="J1272"/>
  <c r="I1272"/>
  <c r="K1271"/>
  <c r="J1271"/>
  <c r="I1271"/>
  <c r="K1270"/>
  <c r="J1270"/>
  <c r="I1270"/>
  <c r="K1269"/>
  <c r="J1269"/>
  <c r="I1269"/>
  <c r="K1268"/>
  <c r="J1268"/>
  <c r="I1268"/>
  <c r="K1267"/>
  <c r="J1267"/>
  <c r="I1267"/>
  <c r="K1266"/>
  <c r="J1266"/>
  <c r="I1266"/>
  <c r="K1265"/>
  <c r="J1265"/>
  <c r="I1265"/>
  <c r="K1264"/>
  <c r="J1264"/>
  <c r="I1264"/>
  <c r="K1263"/>
  <c r="J1263"/>
  <c r="I1263"/>
  <c r="K1262"/>
  <c r="J1262"/>
  <c r="I1262"/>
  <c r="K1261"/>
  <c r="J1261"/>
  <c r="I1261"/>
  <c r="K1260"/>
  <c r="J1260"/>
  <c r="I1260"/>
  <c r="K1259"/>
  <c r="J1259"/>
  <c r="I1259"/>
  <c r="K1258"/>
  <c r="J1258"/>
  <c r="I1258"/>
  <c r="K1257"/>
  <c r="J1257"/>
  <c r="I1257"/>
  <c r="K1256"/>
  <c r="J1256"/>
  <c r="I1256"/>
  <c r="K1255"/>
  <c r="J1255"/>
  <c r="I1255"/>
  <c r="K1254"/>
  <c r="J1254"/>
  <c r="I1254"/>
  <c r="K1253"/>
  <c r="J1253"/>
  <c r="I1253"/>
  <c r="K1252"/>
  <c r="J1252"/>
  <c r="I1252"/>
  <c r="K1251"/>
  <c r="J1251"/>
  <c r="I1251"/>
  <c r="K1250"/>
  <c r="J1250"/>
  <c r="I1250"/>
  <c r="K1249"/>
  <c r="J1249"/>
  <c r="I1249"/>
  <c r="K1248"/>
  <c r="J1248"/>
  <c r="I1248"/>
  <c r="K1247"/>
  <c r="J1247"/>
  <c r="I1247"/>
  <c r="K1246"/>
  <c r="J1246"/>
  <c r="I1246"/>
  <c r="K1245"/>
  <c r="J1245"/>
  <c r="I1245"/>
  <c r="K1244"/>
  <c r="J1244"/>
  <c r="I1244"/>
  <c r="K1243"/>
  <c r="J1243"/>
  <c r="I1243"/>
  <c r="K1242"/>
  <c r="J1242"/>
  <c r="I1242"/>
  <c r="K1241"/>
  <c r="J1241"/>
  <c r="I1241"/>
  <c r="K1240"/>
  <c r="J1240"/>
  <c r="I1240"/>
  <c r="K1239"/>
  <c r="J1239"/>
  <c r="I1239"/>
  <c r="K1238"/>
  <c r="J1238"/>
  <c r="I1238"/>
  <c r="K1237"/>
  <c r="J1237"/>
  <c r="I1237"/>
  <c r="K1236"/>
  <c r="J1236"/>
  <c r="I1236"/>
  <c r="K1235"/>
  <c r="J1235"/>
  <c r="I1235"/>
  <c r="K1234"/>
  <c r="J1234"/>
  <c r="I1234"/>
  <c r="K1233"/>
  <c r="J1233"/>
  <c r="I1233"/>
  <c r="K1232"/>
  <c r="J1232"/>
  <c r="I1232"/>
  <c r="K1231"/>
  <c r="J1231"/>
  <c r="I1231"/>
  <c r="K1230"/>
  <c r="J1230"/>
  <c r="I1230"/>
  <c r="K1229"/>
  <c r="J1229"/>
  <c r="I1229"/>
  <c r="K1228"/>
  <c r="J1228"/>
  <c r="I1228"/>
  <c r="K1227"/>
  <c r="J1227"/>
  <c r="I1227"/>
  <c r="K1226"/>
  <c r="J1226"/>
  <c r="I1226"/>
  <c r="K1225"/>
  <c r="J1225"/>
  <c r="I1225"/>
  <c r="K1224"/>
  <c r="J1224"/>
  <c r="I1224"/>
  <c r="K1223"/>
  <c r="J1223"/>
  <c r="I1223"/>
  <c r="K1222"/>
  <c r="J1222"/>
  <c r="I1222"/>
  <c r="K1221"/>
  <c r="J1221"/>
  <c r="I1221"/>
  <c r="K1220"/>
  <c r="J1220"/>
  <c r="I1220"/>
  <c r="K1219"/>
  <c r="J1219"/>
  <c r="I1219"/>
  <c r="K1218"/>
  <c r="J1218"/>
  <c r="I1218"/>
  <c r="K1217"/>
  <c r="J1217"/>
  <c r="I1217"/>
  <c r="K1216"/>
  <c r="J1216"/>
  <c r="I1216"/>
  <c r="K1215"/>
  <c r="J1215"/>
  <c r="I1215"/>
  <c r="K1214"/>
  <c r="J1214"/>
  <c r="I1214"/>
  <c r="K1213"/>
  <c r="J1213"/>
  <c r="I1213"/>
  <c r="K1212"/>
  <c r="J1212"/>
  <c r="I1212"/>
  <c r="K1211"/>
  <c r="J1211"/>
  <c r="I1211"/>
  <c r="K1210"/>
  <c r="J1210"/>
  <c r="I1210"/>
  <c r="K1209"/>
  <c r="J1209"/>
  <c r="I1209"/>
  <c r="K1208"/>
  <c r="J1208"/>
  <c r="I1208"/>
  <c r="K1207"/>
  <c r="J1207"/>
  <c r="I1207"/>
  <c r="K1206"/>
  <c r="J1206"/>
  <c r="I1206"/>
  <c r="K1205"/>
  <c r="J1205"/>
  <c r="I1205"/>
  <c r="K1204"/>
  <c r="J1204"/>
  <c r="I1204"/>
  <c r="K1203"/>
  <c r="J1203"/>
  <c r="I1203"/>
  <c r="K1202"/>
  <c r="J1202"/>
  <c r="I1202"/>
  <c r="K1201"/>
  <c r="J1201"/>
  <c r="I1201"/>
  <c r="K1200"/>
  <c r="J1200"/>
  <c r="I1200"/>
  <c r="K1199"/>
  <c r="J1199"/>
  <c r="I1199"/>
  <c r="K1198"/>
  <c r="J1198"/>
  <c r="I1198"/>
  <c r="K1197"/>
  <c r="J1197"/>
  <c r="I1197"/>
  <c r="K1196"/>
  <c r="J1196"/>
  <c r="I1196"/>
  <c r="K1195"/>
  <c r="J1195"/>
  <c r="I1195"/>
  <c r="K1194"/>
  <c r="J1194"/>
  <c r="I1194"/>
  <c r="K1193"/>
  <c r="J1193"/>
  <c r="I1193"/>
  <c r="K1192"/>
  <c r="J1192"/>
  <c r="I1192"/>
  <c r="K1191"/>
  <c r="J1191"/>
  <c r="I1191"/>
  <c r="K1190"/>
  <c r="J1190"/>
  <c r="I1190"/>
  <c r="K1189"/>
  <c r="J1189"/>
  <c r="I1189"/>
  <c r="K1188"/>
  <c r="J1188"/>
  <c r="I1188"/>
  <c r="K1187"/>
  <c r="J1187"/>
  <c r="I1187"/>
  <c r="K1186"/>
  <c r="J1186"/>
  <c r="I1186"/>
  <c r="K1185"/>
  <c r="J1185"/>
  <c r="I1185"/>
  <c r="K1184"/>
  <c r="J1184"/>
  <c r="I1184"/>
  <c r="K1183"/>
  <c r="J1183"/>
  <c r="I1183"/>
  <c r="K1182"/>
  <c r="J1182"/>
  <c r="I1182"/>
  <c r="K1181"/>
  <c r="J1181"/>
  <c r="I1181"/>
  <c r="K1180"/>
  <c r="J1180"/>
  <c r="I1180"/>
  <c r="K1179"/>
  <c r="J1179"/>
  <c r="I1179"/>
  <c r="K1178"/>
  <c r="J1178"/>
  <c r="I1178"/>
  <c r="K1177"/>
  <c r="J1177"/>
  <c r="I1177"/>
  <c r="K1176"/>
  <c r="J1176"/>
  <c r="I1176"/>
  <c r="K1175"/>
  <c r="J1175"/>
  <c r="I1175"/>
  <c r="K1174"/>
  <c r="J1174"/>
  <c r="I1174"/>
  <c r="K1173"/>
  <c r="J1173"/>
  <c r="I1173"/>
  <c r="K1172"/>
  <c r="J1172"/>
  <c r="I1172"/>
  <c r="K1171"/>
  <c r="J1171"/>
  <c r="I1171"/>
  <c r="K1170"/>
  <c r="J1170"/>
  <c r="I1170"/>
  <c r="K1169"/>
  <c r="J1169"/>
  <c r="I1169"/>
  <c r="K1168"/>
  <c r="J1168"/>
  <c r="I1168"/>
  <c r="K1167"/>
  <c r="J1167"/>
  <c r="I1167"/>
  <c r="K1166"/>
  <c r="J1166"/>
  <c r="I1166"/>
  <c r="K1165"/>
  <c r="J1165"/>
  <c r="I1165"/>
  <c r="K1164"/>
  <c r="J1164"/>
  <c r="I1164"/>
  <c r="K1163"/>
  <c r="J1163"/>
  <c r="I1163"/>
  <c r="K1162"/>
  <c r="J1162"/>
  <c r="I1162"/>
  <c r="K1161"/>
  <c r="J1161"/>
  <c r="I1161"/>
  <c r="K1160"/>
  <c r="J1160"/>
  <c r="I1160"/>
  <c r="K1159"/>
  <c r="J1159"/>
  <c r="I1159"/>
  <c r="K1158"/>
  <c r="J1158"/>
  <c r="I1158"/>
  <c r="K1157"/>
  <c r="J1157"/>
  <c r="I1157"/>
  <c r="K1156"/>
  <c r="J1156"/>
  <c r="I1156"/>
  <c r="K1155"/>
  <c r="J1155"/>
  <c r="I1155"/>
  <c r="K1154"/>
  <c r="J1154"/>
  <c r="I1154"/>
  <c r="K1153"/>
  <c r="J1153"/>
  <c r="I1153"/>
  <c r="K1152"/>
  <c r="J1152"/>
  <c r="I1152"/>
  <c r="K1151"/>
  <c r="J1151"/>
  <c r="I1151"/>
  <c r="K1150"/>
  <c r="J1150"/>
  <c r="I1150"/>
  <c r="K1149"/>
  <c r="J1149"/>
  <c r="I1149"/>
  <c r="K1148"/>
  <c r="J1148"/>
  <c r="I1148"/>
  <c r="K1147"/>
  <c r="J1147"/>
  <c r="I1147"/>
  <c r="K1146"/>
  <c r="J1146"/>
  <c r="I1146"/>
  <c r="K1145"/>
  <c r="J1145"/>
  <c r="I1145"/>
  <c r="K1144"/>
  <c r="J1144"/>
  <c r="I1144"/>
  <c r="K1143"/>
  <c r="J1143"/>
  <c r="I1143"/>
  <c r="K1142"/>
  <c r="J1142"/>
  <c r="I1142"/>
  <c r="K1141"/>
  <c r="J1141"/>
  <c r="I1141"/>
  <c r="K1140"/>
  <c r="J1140"/>
  <c r="I1140"/>
  <c r="K1139"/>
  <c r="J1139"/>
  <c r="I1139"/>
  <c r="K1138"/>
  <c r="J1138"/>
  <c r="I1138"/>
  <c r="K1137"/>
  <c r="J1137"/>
  <c r="I1137"/>
  <c r="K1136"/>
  <c r="J1136"/>
  <c r="I1136"/>
  <c r="K1135"/>
  <c r="J1135"/>
  <c r="I1135"/>
  <c r="K1134"/>
  <c r="J1134"/>
  <c r="I1134"/>
  <c r="K1133"/>
  <c r="J1133"/>
  <c r="I1133"/>
  <c r="K1132"/>
  <c r="J1132"/>
  <c r="I1132"/>
  <c r="K1131"/>
  <c r="J1131"/>
  <c r="I1131"/>
  <c r="K1130"/>
  <c r="J1130"/>
  <c r="I1130"/>
  <c r="K1129"/>
  <c r="J1129"/>
  <c r="I1129"/>
  <c r="K1083"/>
  <c r="J1083"/>
  <c r="I1083"/>
  <c r="I1082"/>
  <c r="K1060"/>
  <c r="J1060"/>
  <c r="I1060"/>
  <c r="K1059"/>
  <c r="J1059"/>
  <c r="I1059"/>
  <c r="K1104"/>
  <c r="J1104"/>
  <c r="I1104"/>
  <c r="K1103"/>
  <c r="J1103"/>
  <c r="I1103"/>
  <c r="K1102"/>
  <c r="J1102"/>
  <c r="I1102"/>
  <c r="K1101"/>
  <c r="J1101"/>
  <c r="I1101"/>
  <c r="K1100"/>
  <c r="J1100"/>
  <c r="I1100"/>
  <c r="K1099"/>
  <c r="J1099"/>
  <c r="I1099"/>
  <c r="K1098"/>
  <c r="J1098"/>
  <c r="I1098"/>
  <c r="K1097"/>
  <c r="J1097"/>
  <c r="I1097"/>
  <c r="K1096"/>
  <c r="J1096"/>
  <c r="I1096"/>
  <c r="K1095"/>
  <c r="I1095"/>
  <c r="I918"/>
  <c r="I917"/>
  <c r="I916"/>
  <c r="I915"/>
  <c r="I914"/>
  <c r="I913"/>
  <c r="I912"/>
  <c r="I911"/>
  <c r="K910"/>
  <c r="J910"/>
  <c r="I910"/>
  <c r="K909"/>
  <c r="J909"/>
  <c r="I909"/>
  <c r="K1114"/>
  <c r="J1114"/>
  <c r="I1114"/>
  <c r="K1113"/>
  <c r="J1113"/>
  <c r="I1113"/>
  <c r="K1112"/>
  <c r="J1112"/>
  <c r="I1112"/>
  <c r="K1111"/>
  <c r="J1111"/>
  <c r="I1111"/>
  <c r="K1110"/>
  <c r="I1110"/>
  <c r="K1124"/>
  <c r="J1124"/>
  <c r="I1124"/>
  <c r="K1123"/>
  <c r="J1123"/>
  <c r="I1123"/>
  <c r="K1122"/>
  <c r="J1122"/>
  <c r="I1122"/>
  <c r="K1121"/>
  <c r="J1121"/>
  <c r="I1121"/>
  <c r="K1120"/>
  <c r="J1120"/>
  <c r="I1120"/>
  <c r="K1119"/>
  <c r="J1119"/>
  <c r="I1119"/>
  <c r="K1118"/>
  <c r="J1118"/>
  <c r="I1118"/>
  <c r="K1117"/>
  <c r="J1117"/>
  <c r="I1117"/>
  <c r="K1116"/>
  <c r="J1116"/>
  <c r="I1116"/>
  <c r="K1115"/>
  <c r="J1115"/>
  <c r="I1115"/>
  <c r="K1109"/>
  <c r="J1109"/>
  <c r="I1109"/>
  <c r="K1108"/>
  <c r="J1108"/>
  <c r="I1108"/>
  <c r="K1107"/>
  <c r="J1107"/>
  <c r="I1107"/>
  <c r="K1106"/>
  <c r="J1106"/>
  <c r="I1106"/>
  <c r="K1105"/>
  <c r="J1105"/>
  <c r="I1105"/>
  <c r="K1065"/>
  <c r="J1065"/>
  <c r="I1065"/>
  <c r="K1064"/>
  <c r="J1064"/>
  <c r="I1064"/>
  <c r="K1063"/>
  <c r="J1063"/>
  <c r="I1063"/>
  <c r="K1062"/>
  <c r="J1062"/>
  <c r="I1062"/>
  <c r="K1061"/>
  <c r="J1061"/>
  <c r="I1061"/>
  <c r="K1081"/>
  <c r="J1081"/>
  <c r="I1081"/>
  <c r="K1080"/>
  <c r="J1080"/>
  <c r="I1080"/>
  <c r="I1079"/>
  <c r="I1078"/>
  <c r="I1077"/>
  <c r="K1128"/>
  <c r="J1128"/>
  <c r="I1128"/>
  <c r="K1127"/>
  <c r="J1127"/>
  <c r="I1127"/>
  <c r="K1126"/>
  <c r="J1126"/>
  <c r="I1126"/>
  <c r="K1125"/>
  <c r="J1125"/>
  <c r="I1125"/>
  <c r="K1094"/>
  <c r="J1094"/>
  <c r="I1094"/>
  <c r="K1093"/>
  <c r="J1093"/>
  <c r="I1093"/>
  <c r="K1092"/>
  <c r="J1092"/>
  <c r="I1092"/>
  <c r="K1091"/>
  <c r="J1091"/>
  <c r="I1091"/>
  <c r="K1090"/>
  <c r="J1090"/>
  <c r="I1090"/>
  <c r="K1076"/>
  <c r="J1076"/>
  <c r="I1076"/>
  <c r="K1075"/>
  <c r="J1075"/>
  <c r="I1075"/>
  <c r="K1074"/>
  <c r="J1074"/>
  <c r="I1074"/>
  <c r="K1073"/>
  <c r="J1073"/>
  <c r="I1073"/>
  <c r="K1072"/>
  <c r="J1072"/>
  <c r="I1072"/>
  <c r="K1053"/>
  <c r="J1053"/>
  <c r="I1053"/>
  <c r="K1052"/>
  <c r="J1052"/>
  <c r="I1052"/>
  <c r="K1051"/>
  <c r="J1051"/>
  <c r="I1051"/>
  <c r="K1049"/>
  <c r="J1049"/>
  <c r="I1049"/>
  <c r="K1048"/>
  <c r="J1048"/>
  <c r="I1048"/>
  <c r="K1017"/>
  <c r="J1017"/>
  <c r="I1017"/>
  <c r="K1016"/>
  <c r="J1016"/>
  <c r="I1016"/>
  <c r="K1015"/>
  <c r="J1015"/>
  <c r="I1015"/>
  <c r="K1014"/>
  <c r="J1014"/>
  <c r="I1014"/>
  <c r="K1013"/>
  <c r="J1013"/>
  <c r="I1013"/>
  <c r="K1058"/>
  <c r="J1058"/>
  <c r="I1058"/>
  <c r="K1057"/>
  <c r="J1057"/>
  <c r="I1057"/>
  <c r="K1056"/>
  <c r="J1056"/>
  <c r="I1056"/>
  <c r="K1055"/>
  <c r="J1055"/>
  <c r="I1055"/>
  <c r="K1054"/>
  <c r="J1054"/>
  <c r="I1054"/>
  <c r="K1047"/>
  <c r="J1047"/>
  <c r="I1047"/>
  <c r="K1046"/>
  <c r="J1046"/>
  <c r="I1046"/>
  <c r="K1045"/>
  <c r="J1045"/>
  <c r="I1045"/>
  <c r="K1044"/>
  <c r="J1044"/>
  <c r="I1044"/>
  <c r="K1043"/>
  <c r="J1043"/>
  <c r="I1043"/>
  <c r="K1027"/>
  <c r="J1027"/>
  <c r="I1027"/>
  <c r="K1026"/>
  <c r="J1026"/>
  <c r="I1026"/>
  <c r="K1025"/>
  <c r="J1025"/>
  <c r="I1025"/>
  <c r="K1024"/>
  <c r="J1024"/>
  <c r="I1024"/>
  <c r="K1023"/>
  <c r="J1023"/>
  <c r="I1023"/>
  <c r="K1012"/>
  <c r="J1012"/>
  <c r="I1012"/>
  <c r="K1011"/>
  <c r="J1011"/>
  <c r="I1011"/>
  <c r="K1010"/>
  <c r="J1010"/>
  <c r="I1010"/>
  <c r="K1009"/>
  <c r="J1009"/>
  <c r="I1009"/>
  <c r="K1008"/>
  <c r="J1008"/>
  <c r="I1008"/>
  <c r="K1042"/>
  <c r="J1042"/>
  <c r="I1042"/>
  <c r="K1041"/>
  <c r="J1041"/>
  <c r="I1041"/>
  <c r="K1040"/>
  <c r="J1040"/>
  <c r="I1040"/>
  <c r="K1039"/>
  <c r="J1039"/>
  <c r="I1039"/>
  <c r="K1038"/>
  <c r="J1038"/>
  <c r="I1038"/>
  <c r="K1022"/>
  <c r="J1022"/>
  <c r="I1022"/>
  <c r="K1021"/>
  <c r="J1021"/>
  <c r="I1021"/>
  <c r="K1020"/>
  <c r="J1020"/>
  <c r="I1020"/>
  <c r="K1019"/>
  <c r="J1019"/>
  <c r="I1019"/>
  <c r="K1018"/>
  <c r="J1018"/>
  <c r="I1018"/>
  <c r="K1037"/>
  <c r="J1037"/>
  <c r="I1037"/>
  <c r="K1036"/>
  <c r="J1036"/>
  <c r="I1036"/>
  <c r="K1035"/>
  <c r="J1035"/>
  <c r="I1035"/>
  <c r="K1034"/>
  <c r="J1034"/>
  <c r="I1034"/>
  <c r="K1033"/>
  <c r="J1033"/>
  <c r="I1033"/>
  <c r="K1032"/>
  <c r="J1032"/>
  <c r="I1032"/>
  <c r="K1031"/>
  <c r="J1031"/>
  <c r="I1031"/>
  <c r="K1030"/>
  <c r="J1030"/>
  <c r="I1030"/>
  <c r="K1029"/>
  <c r="J1029"/>
  <c r="I1029"/>
  <c r="K1028"/>
  <c r="J1028"/>
  <c r="I1028"/>
  <c r="K987"/>
  <c r="J987"/>
  <c r="I987"/>
  <c r="K986"/>
  <c r="J986"/>
  <c r="I986"/>
  <c r="K985"/>
  <c r="J985"/>
  <c r="I985"/>
  <c r="K984"/>
  <c r="J984"/>
  <c r="I984"/>
  <c r="K983"/>
  <c r="J983"/>
  <c r="I983"/>
  <c r="K982"/>
  <c r="J982"/>
  <c r="I982"/>
  <c r="K981"/>
  <c r="J981"/>
  <c r="I981"/>
  <c r="K980"/>
  <c r="J980"/>
  <c r="I980"/>
  <c r="K979"/>
  <c r="J979"/>
  <c r="I979"/>
  <c r="K908"/>
  <c r="J908"/>
  <c r="I908"/>
  <c r="K907"/>
  <c r="J907"/>
  <c r="I907"/>
  <c r="K906"/>
  <c r="J906"/>
  <c r="I906"/>
  <c r="K905"/>
  <c r="J905"/>
  <c r="I905"/>
  <c r="K904"/>
  <c r="J904"/>
  <c r="I904"/>
  <c r="K903"/>
  <c r="J903"/>
  <c r="I903"/>
  <c r="K978"/>
  <c r="J978"/>
  <c r="I978"/>
  <c r="K977"/>
  <c r="J977"/>
  <c r="I977"/>
  <c r="K976"/>
  <c r="J976"/>
  <c r="I976"/>
  <c r="K975"/>
  <c r="J975"/>
  <c r="I975"/>
  <c r="K974"/>
  <c r="J974"/>
  <c r="I974"/>
  <c r="K973"/>
  <c r="J973"/>
  <c r="I973"/>
  <c r="K972"/>
  <c r="J972"/>
  <c r="I972"/>
  <c r="K971"/>
  <c r="J971"/>
  <c r="I971"/>
  <c r="K970"/>
  <c r="J970"/>
  <c r="I970"/>
  <c r="K969"/>
  <c r="J969"/>
  <c r="I969"/>
  <c r="K997"/>
  <c r="J997"/>
  <c r="I997"/>
  <c r="K996"/>
  <c r="J996"/>
  <c r="I996"/>
  <c r="K995"/>
  <c r="J995"/>
  <c r="I995"/>
  <c r="K994"/>
  <c r="J994"/>
  <c r="I994"/>
  <c r="K993"/>
  <c r="J993"/>
  <c r="I993"/>
  <c r="K1002"/>
  <c r="J1002"/>
  <c r="I1002"/>
  <c r="K1001"/>
  <c r="J1001"/>
  <c r="I1001"/>
  <c r="K1000"/>
  <c r="J1000"/>
  <c r="I1000"/>
  <c r="K999"/>
  <c r="J999"/>
  <c r="I999"/>
  <c r="K998"/>
  <c r="J998"/>
  <c r="I998"/>
  <c r="K968"/>
  <c r="J968"/>
  <c r="I968"/>
  <c r="K967"/>
  <c r="J967"/>
  <c r="I967"/>
  <c r="K966"/>
  <c r="J966"/>
  <c r="I966"/>
  <c r="K965"/>
  <c r="J965"/>
  <c r="I965"/>
  <c r="K964"/>
  <c r="J964"/>
  <c r="I964"/>
  <c r="K988"/>
  <c r="J988"/>
  <c r="I988"/>
  <c r="K992"/>
  <c r="J992"/>
  <c r="I992"/>
  <c r="K991"/>
  <c r="J991"/>
  <c r="I991"/>
  <c r="K990"/>
  <c r="J990"/>
  <c r="I990"/>
  <c r="K989"/>
  <c r="J989"/>
  <c r="I989"/>
  <c r="K963"/>
  <c r="J963"/>
  <c r="I963"/>
  <c r="K962"/>
  <c r="J962"/>
  <c r="I962"/>
  <c r="K961"/>
  <c r="J961"/>
  <c r="I961"/>
  <c r="K960"/>
  <c r="J960"/>
  <c r="I960"/>
  <c r="K959"/>
  <c r="J959"/>
  <c r="I959"/>
  <c r="K1007"/>
  <c r="J1007"/>
  <c r="I1007"/>
  <c r="K1006"/>
  <c r="J1006"/>
  <c r="I1006"/>
  <c r="K1005"/>
  <c r="J1005"/>
  <c r="I1005"/>
  <c r="K1004"/>
  <c r="J1004"/>
  <c r="I1004"/>
  <c r="K1003"/>
  <c r="J1003"/>
  <c r="I1003"/>
  <c r="K928"/>
  <c r="J928"/>
  <c r="I928"/>
  <c r="K927"/>
  <c r="J927"/>
  <c r="I927"/>
  <c r="K926"/>
  <c r="J926"/>
  <c r="I926"/>
  <c r="K925"/>
  <c r="J925"/>
  <c r="I925"/>
  <c r="K924"/>
  <c r="J924"/>
  <c r="I924"/>
  <c r="K948"/>
  <c r="J948"/>
  <c r="I948"/>
  <c r="K947"/>
  <c r="J947"/>
  <c r="I947"/>
  <c r="K946"/>
  <c r="J946"/>
  <c r="I946"/>
  <c r="K945"/>
  <c r="J945"/>
  <c r="I945"/>
  <c r="K944"/>
  <c r="J944"/>
  <c r="I944"/>
  <c r="K958"/>
  <c r="J958"/>
  <c r="I958"/>
  <c r="K957"/>
  <c r="J957"/>
  <c r="I957"/>
  <c r="K956"/>
  <c r="J956"/>
  <c r="I956"/>
  <c r="K955"/>
  <c r="J955"/>
  <c r="I955"/>
  <c r="K954"/>
  <c r="J954"/>
  <c r="I954"/>
  <c r="K933"/>
  <c r="J933"/>
  <c r="I933"/>
  <c r="K932"/>
  <c r="J932"/>
  <c r="I932"/>
  <c r="K931"/>
  <c r="J931"/>
  <c r="I931"/>
  <c r="K930"/>
  <c r="J930"/>
  <c r="I930"/>
  <c r="K929"/>
  <c r="J929"/>
  <c r="I929"/>
  <c r="K953"/>
  <c r="J953"/>
  <c r="I953"/>
  <c r="K952"/>
  <c r="J952"/>
  <c r="I952"/>
  <c r="K951"/>
  <c r="J951"/>
  <c r="I951"/>
  <c r="K950"/>
  <c r="J950"/>
  <c r="I950"/>
  <c r="K949"/>
  <c r="J949"/>
  <c r="I949"/>
  <c r="K923"/>
  <c r="J923"/>
  <c r="I923"/>
  <c r="K922"/>
  <c r="J922"/>
  <c r="I922"/>
  <c r="K921"/>
  <c r="J921"/>
  <c r="I921"/>
  <c r="K920"/>
  <c r="J920"/>
  <c r="I920"/>
  <c r="K919"/>
  <c r="J919"/>
  <c r="I919"/>
  <c r="K938"/>
  <c r="J938"/>
  <c r="I938"/>
  <c r="K937"/>
  <c r="J937"/>
  <c r="I937"/>
  <c r="K936"/>
  <c r="J936"/>
  <c r="I936"/>
  <c r="K935"/>
  <c r="J935"/>
  <c r="I935"/>
  <c r="K934"/>
  <c r="J934"/>
  <c r="I934"/>
  <c r="K943"/>
  <c r="J943"/>
  <c r="I943"/>
  <c r="K942"/>
  <c r="J942"/>
  <c r="I942"/>
  <c r="K941"/>
  <c r="J941"/>
  <c r="I941"/>
  <c r="K940"/>
  <c r="J940"/>
  <c r="I940"/>
  <c r="K939"/>
  <c r="J939"/>
  <c r="I939"/>
  <c r="I625"/>
  <c r="I624"/>
  <c r="I623"/>
  <c r="I622"/>
  <c r="I621"/>
  <c r="I620"/>
  <c r="I619"/>
  <c r="K900"/>
  <c r="J900"/>
  <c r="I900"/>
  <c r="K899"/>
  <c r="J899"/>
  <c r="I899"/>
  <c r="K898"/>
  <c r="J898"/>
  <c r="I898"/>
  <c r="K897"/>
  <c r="J897"/>
  <c r="I897"/>
  <c r="K896"/>
  <c r="J896"/>
  <c r="I896"/>
  <c r="K895"/>
  <c r="J895"/>
  <c r="I895"/>
  <c r="K894"/>
  <c r="J894"/>
  <c r="I894"/>
  <c r="K618"/>
  <c r="J618"/>
  <c r="I618"/>
  <c r="K617"/>
  <c r="J617"/>
  <c r="I617"/>
  <c r="K880"/>
  <c r="J880"/>
  <c r="I880"/>
  <c r="K879"/>
  <c r="J879"/>
  <c r="I879"/>
  <c r="K878"/>
  <c r="J878"/>
  <c r="I878"/>
  <c r="K877"/>
  <c r="J877"/>
  <c r="I877"/>
  <c r="K876"/>
  <c r="J876"/>
  <c r="I876"/>
  <c r="K837"/>
  <c r="J837"/>
  <c r="I837"/>
  <c r="K836"/>
  <c r="J836"/>
  <c r="I836"/>
  <c r="K835"/>
  <c r="J835"/>
  <c r="I835"/>
  <c r="K834"/>
  <c r="J834"/>
  <c r="I834"/>
  <c r="K833"/>
  <c r="J833"/>
  <c r="I833"/>
  <c r="K817"/>
  <c r="J817"/>
  <c r="I817"/>
  <c r="K816"/>
  <c r="J816"/>
  <c r="I816"/>
  <c r="K815"/>
  <c r="J815"/>
  <c r="I815"/>
  <c r="K814"/>
  <c r="J814"/>
  <c r="I814"/>
  <c r="K813"/>
  <c r="J813"/>
  <c r="I813"/>
  <c r="K812"/>
  <c r="J812"/>
  <c r="I812"/>
  <c r="K811"/>
  <c r="J811"/>
  <c r="I811"/>
  <c r="K810"/>
  <c r="J810"/>
  <c r="I810"/>
  <c r="K809"/>
  <c r="J809"/>
  <c r="I809"/>
  <c r="K808"/>
  <c r="J808"/>
  <c r="I808"/>
  <c r="K847"/>
  <c r="J847"/>
  <c r="I847"/>
  <c r="K846"/>
  <c r="J846"/>
  <c r="I846"/>
  <c r="K845"/>
  <c r="J845"/>
  <c r="I845"/>
  <c r="K844"/>
  <c r="J844"/>
  <c r="I844"/>
  <c r="K843"/>
  <c r="J843"/>
  <c r="I843"/>
  <c r="K822"/>
  <c r="J822"/>
  <c r="I822"/>
  <c r="K821"/>
  <c r="J821"/>
  <c r="I821"/>
  <c r="K820"/>
  <c r="J820"/>
  <c r="I820"/>
  <c r="K819"/>
  <c r="J819"/>
  <c r="I819"/>
  <c r="K818"/>
  <c r="J818"/>
  <c r="I818"/>
  <c r="K832"/>
  <c r="J832"/>
  <c r="I832"/>
  <c r="K831"/>
  <c r="J831"/>
  <c r="I831"/>
  <c r="K830"/>
  <c r="J830"/>
  <c r="I830"/>
  <c r="K829"/>
  <c r="J829"/>
  <c r="I829"/>
  <c r="K828"/>
  <c r="J828"/>
  <c r="I828"/>
  <c r="K842"/>
  <c r="J842"/>
  <c r="I842"/>
  <c r="K841"/>
  <c r="J841"/>
  <c r="I841"/>
  <c r="K840"/>
  <c r="J840"/>
  <c r="I840"/>
  <c r="K839"/>
  <c r="J839"/>
  <c r="I839"/>
  <c r="K838"/>
  <c r="J838"/>
  <c r="I838"/>
  <c r="K852"/>
  <c r="J852"/>
  <c r="I852"/>
  <c r="K851"/>
  <c r="J851"/>
  <c r="I851"/>
  <c r="K850"/>
  <c r="J850"/>
  <c r="I850"/>
  <c r="K849"/>
  <c r="J849"/>
  <c r="I849"/>
  <c r="K848"/>
  <c r="J848"/>
  <c r="I848"/>
  <c r="K865"/>
  <c r="J865"/>
  <c r="I865"/>
  <c r="K864"/>
  <c r="J864"/>
  <c r="I864"/>
  <c r="K863"/>
  <c r="J863"/>
  <c r="I863"/>
  <c r="K862"/>
  <c r="J862"/>
  <c r="I862"/>
  <c r="K861"/>
  <c r="J861"/>
  <c r="I861"/>
  <c r="K875"/>
  <c r="J875"/>
  <c r="I875"/>
  <c r="K874"/>
  <c r="J874"/>
  <c r="I874"/>
  <c r="K873"/>
  <c r="J873"/>
  <c r="I873"/>
  <c r="K872"/>
  <c r="J872"/>
  <c r="I872"/>
  <c r="K871"/>
  <c r="J871"/>
  <c r="I871"/>
  <c r="K870"/>
  <c r="J870"/>
  <c r="I870"/>
  <c r="K869"/>
  <c r="J869"/>
  <c r="I869"/>
  <c r="K868"/>
  <c r="J868"/>
  <c r="I868"/>
  <c r="K867"/>
  <c r="J867"/>
  <c r="I867"/>
  <c r="K866"/>
  <c r="J866"/>
  <c r="I866"/>
  <c r="K885"/>
  <c r="J885"/>
  <c r="I885"/>
  <c r="K884"/>
  <c r="J884"/>
  <c r="I884"/>
  <c r="K883"/>
  <c r="J883"/>
  <c r="I883"/>
  <c r="K882"/>
  <c r="J882"/>
  <c r="I882"/>
  <c r="K881"/>
  <c r="J881"/>
  <c r="I881"/>
  <c r="K890"/>
  <c r="J890"/>
  <c r="I890"/>
  <c r="K889"/>
  <c r="J889"/>
  <c r="I889"/>
  <c r="K888"/>
  <c r="J888"/>
  <c r="I888"/>
  <c r="K887"/>
  <c r="J887"/>
  <c r="I887"/>
  <c r="K886"/>
  <c r="J886"/>
  <c r="I886"/>
  <c r="K802"/>
  <c r="J802"/>
  <c r="I802"/>
  <c r="K801"/>
  <c r="J801"/>
  <c r="I801"/>
  <c r="K800"/>
  <c r="J800"/>
  <c r="I800"/>
  <c r="K799"/>
  <c r="J799"/>
  <c r="I799"/>
  <c r="K798"/>
  <c r="J798"/>
  <c r="I798"/>
  <c r="K860"/>
  <c r="J860"/>
  <c r="I860"/>
  <c r="K859"/>
  <c r="J859"/>
  <c r="I859"/>
  <c r="K858"/>
  <c r="J858"/>
  <c r="I858"/>
  <c r="K857"/>
  <c r="J857"/>
  <c r="I857"/>
  <c r="K856"/>
  <c r="J856"/>
  <c r="I856"/>
  <c r="K807"/>
  <c r="J807"/>
  <c r="I807"/>
  <c r="K806"/>
  <c r="J806"/>
  <c r="I806"/>
  <c r="K805"/>
  <c r="J805"/>
  <c r="I805"/>
  <c r="K804"/>
  <c r="J804"/>
  <c r="I804"/>
  <c r="K803"/>
  <c r="J803"/>
  <c r="I803"/>
  <c r="K827"/>
  <c r="J827"/>
  <c r="I827"/>
  <c r="K826"/>
  <c r="J826"/>
  <c r="I826"/>
  <c r="K825"/>
  <c r="J825"/>
  <c r="I825"/>
  <c r="K824"/>
  <c r="J824"/>
  <c r="I824"/>
  <c r="K823"/>
  <c r="J823"/>
  <c r="I823"/>
  <c r="I902"/>
  <c r="J902" s="1"/>
  <c r="I901"/>
  <c r="I891"/>
  <c r="J891" s="1"/>
  <c r="I893"/>
  <c r="I892"/>
  <c r="J892" s="1"/>
  <c r="I855"/>
  <c r="I854"/>
  <c r="J854" s="1"/>
  <c r="I853"/>
  <c r="I767"/>
  <c r="J767" s="1"/>
  <c r="I766"/>
  <c r="J766" s="1"/>
  <c r="I765"/>
  <c r="J765" s="1"/>
  <c r="I448"/>
  <c r="I404"/>
  <c r="I403"/>
  <c r="K587"/>
  <c r="J587"/>
  <c r="I587"/>
  <c r="K586"/>
  <c r="J586"/>
  <c r="I586"/>
  <c r="I585"/>
  <c r="I544"/>
  <c r="I543"/>
  <c r="J543" s="1"/>
  <c r="I542"/>
  <c r="I447"/>
  <c r="J447" s="1"/>
  <c r="I446"/>
  <c r="J446" s="1"/>
  <c r="I445"/>
  <c r="J445" s="1"/>
  <c r="K531"/>
  <c r="J531"/>
  <c r="I531"/>
  <c r="K530"/>
  <c r="J530"/>
  <c r="I530"/>
  <c r="I529"/>
  <c r="K287"/>
  <c r="J287"/>
  <c r="I287"/>
  <c r="K286"/>
  <c r="J286"/>
  <c r="I286"/>
  <c r="I285"/>
  <c r="J285" s="1"/>
  <c r="T587"/>
  <c r="T586"/>
  <c r="T585"/>
  <c r="T544"/>
  <c r="T543"/>
  <c r="T542"/>
  <c r="T447"/>
  <c r="T446"/>
  <c r="T445"/>
  <c r="T531"/>
  <c r="T530"/>
  <c r="T529"/>
  <c r="T287"/>
  <c r="T286"/>
  <c r="T285"/>
  <c r="T275"/>
  <c r="T274"/>
  <c r="T273"/>
  <c r="T604"/>
  <c r="T603"/>
  <c r="T340"/>
  <c r="T341"/>
  <c r="T299"/>
  <c r="T298"/>
  <c r="T297"/>
  <c r="T296"/>
  <c r="T295"/>
  <c r="T294"/>
  <c r="T397"/>
  <c r="T396"/>
  <c r="T355"/>
  <c r="T354"/>
  <c r="T353"/>
  <c r="T352"/>
  <c r="T293"/>
  <c r="T292"/>
  <c r="T291"/>
  <c r="T290"/>
  <c r="T289"/>
  <c r="T554"/>
  <c r="T553"/>
  <c r="T552"/>
  <c r="T551"/>
  <c r="T550"/>
  <c r="T574"/>
  <c r="T573"/>
  <c r="T572"/>
  <c r="T571"/>
  <c r="T570"/>
  <c r="T569"/>
  <c r="T568"/>
  <c r="T567"/>
  <c r="T566"/>
  <c r="T565"/>
  <c r="K1082" l="1"/>
  <c r="H1"/>
  <c r="K911"/>
  <c r="K913"/>
  <c r="K915"/>
  <c r="K917"/>
  <c r="K912"/>
  <c r="K914"/>
  <c r="K916"/>
  <c r="K918"/>
  <c r="J1078"/>
  <c r="K1078" s="1"/>
  <c r="J1079"/>
  <c r="K1079" s="1"/>
  <c r="J1077"/>
  <c r="K1077" s="1"/>
  <c r="K619"/>
  <c r="K621"/>
  <c r="K623"/>
  <c r="K625"/>
  <c r="K624"/>
  <c r="K620"/>
  <c r="K622"/>
  <c r="K902"/>
  <c r="J901"/>
  <c r="K901" s="1"/>
  <c r="K891"/>
  <c r="J855"/>
  <c r="K855" s="1"/>
  <c r="K892"/>
  <c r="J893"/>
  <c r="K893" s="1"/>
  <c r="J853"/>
  <c r="K853" s="1"/>
  <c r="K854"/>
  <c r="K766"/>
  <c r="K765"/>
  <c r="K767"/>
  <c r="J585"/>
  <c r="K585" s="1"/>
  <c r="K446"/>
  <c r="K543"/>
  <c r="K277"/>
  <c r="K279"/>
  <c r="K281"/>
  <c r="K284"/>
  <c r="K276"/>
  <c r="K278"/>
  <c r="K280"/>
  <c r="K282"/>
  <c r="K404"/>
  <c r="K403"/>
  <c r="K448"/>
  <c r="J542"/>
  <c r="K542" s="1"/>
  <c r="J544"/>
  <c r="K544" s="1"/>
  <c r="K445"/>
  <c r="K447"/>
  <c r="J529"/>
  <c r="K529" s="1"/>
  <c r="K285"/>
  <c r="N707"/>
  <c r="N706"/>
  <c r="N705"/>
  <c r="N704"/>
  <c r="N703"/>
  <c r="N702"/>
  <c r="N701"/>
  <c r="N685"/>
  <c r="N684"/>
  <c r="N683"/>
  <c r="N682"/>
  <c r="N681"/>
  <c r="N680"/>
  <c r="N679"/>
  <c r="N678"/>
  <c r="N677"/>
  <c r="N611"/>
  <c r="O611" s="1"/>
  <c r="P611" s="1"/>
  <c r="N612"/>
  <c r="O612" s="1"/>
  <c r="P612" s="1"/>
  <c r="N609"/>
  <c r="O609" s="1"/>
  <c r="N610"/>
  <c r="N608"/>
  <c r="O608" s="1"/>
  <c r="N607"/>
  <c r="N606"/>
  <c r="O606" s="1"/>
  <c r="N605"/>
  <c r="R661"/>
  <c r="Q661"/>
  <c r="P661"/>
  <c r="O661"/>
  <c r="N661"/>
  <c r="R660"/>
  <c r="Q660"/>
  <c r="P660"/>
  <c r="O660"/>
  <c r="N660"/>
  <c r="R659"/>
  <c r="Q659"/>
  <c r="P659"/>
  <c r="O659"/>
  <c r="N659"/>
  <c r="R658"/>
  <c r="Q658"/>
  <c r="P658"/>
  <c r="O658"/>
  <c r="N658"/>
  <c r="N657"/>
  <c r="R648"/>
  <c r="Q648"/>
  <c r="P648"/>
  <c r="O648"/>
  <c r="N648"/>
  <c r="R647"/>
  <c r="Q647"/>
  <c r="P647"/>
  <c r="O647"/>
  <c r="N647"/>
  <c r="R646"/>
  <c r="Q646"/>
  <c r="P646"/>
  <c r="O646"/>
  <c r="N646"/>
  <c r="R645"/>
  <c r="Q645"/>
  <c r="P645"/>
  <c r="O645"/>
  <c r="N645"/>
  <c r="N644"/>
  <c r="R643"/>
  <c r="Q643"/>
  <c r="P643"/>
  <c r="O643"/>
  <c r="N643"/>
  <c r="R642"/>
  <c r="Q642"/>
  <c r="P642"/>
  <c r="O642"/>
  <c r="N642"/>
  <c r="R641"/>
  <c r="Q641"/>
  <c r="P641"/>
  <c r="O641"/>
  <c r="N641"/>
  <c r="R640"/>
  <c r="Q640"/>
  <c r="P640"/>
  <c r="O640"/>
  <c r="N640"/>
  <c r="N639"/>
  <c r="R638"/>
  <c r="Q638"/>
  <c r="P638"/>
  <c r="O638"/>
  <c r="N638"/>
  <c r="R637"/>
  <c r="Q637"/>
  <c r="P637"/>
  <c r="O637"/>
  <c r="N637"/>
  <c r="R636"/>
  <c r="Q636"/>
  <c r="P636"/>
  <c r="O636"/>
  <c r="N636"/>
  <c r="N635"/>
  <c r="N634"/>
  <c r="R656"/>
  <c r="Q656"/>
  <c r="P656"/>
  <c r="O656"/>
  <c r="N656"/>
  <c r="R655"/>
  <c r="Q655"/>
  <c r="P655"/>
  <c r="O655"/>
  <c r="N655"/>
  <c r="R654"/>
  <c r="Q654"/>
  <c r="P654"/>
  <c r="O654"/>
  <c r="N654"/>
  <c r="R653"/>
  <c r="Q653"/>
  <c r="P653"/>
  <c r="O653"/>
  <c r="N653"/>
  <c r="N652"/>
  <c r="R633"/>
  <c r="Q633"/>
  <c r="P633"/>
  <c r="O633"/>
  <c r="N633"/>
  <c r="R632"/>
  <c r="Q632"/>
  <c r="P632"/>
  <c r="O632"/>
  <c r="N632"/>
  <c r="R631"/>
  <c r="Q631"/>
  <c r="P631"/>
  <c r="O631"/>
  <c r="N631"/>
  <c r="R630"/>
  <c r="Q630"/>
  <c r="P630"/>
  <c r="O630"/>
  <c r="N630"/>
  <c r="N629"/>
  <c r="R671"/>
  <c r="Q671"/>
  <c r="P671"/>
  <c r="O671"/>
  <c r="N671"/>
  <c r="R670"/>
  <c r="Q670"/>
  <c r="P670"/>
  <c r="O670"/>
  <c r="N670"/>
  <c r="R669"/>
  <c r="Q669"/>
  <c r="P669"/>
  <c r="O669"/>
  <c r="N669"/>
  <c r="R668"/>
  <c r="Q668"/>
  <c r="P668"/>
  <c r="O668"/>
  <c r="N668"/>
  <c r="N667"/>
  <c r="O667" s="1"/>
  <c r="R666"/>
  <c r="Q666"/>
  <c r="P666"/>
  <c r="O666"/>
  <c r="N666"/>
  <c r="R665"/>
  <c r="Q665"/>
  <c r="P665"/>
  <c r="O665"/>
  <c r="N665"/>
  <c r="R664"/>
  <c r="Q664"/>
  <c r="P664"/>
  <c r="O664"/>
  <c r="N664"/>
  <c r="N663"/>
  <c r="N662"/>
  <c r="R676"/>
  <c r="Q676"/>
  <c r="P676"/>
  <c r="O676"/>
  <c r="N676"/>
  <c r="R675"/>
  <c r="Q675"/>
  <c r="P675"/>
  <c r="O675"/>
  <c r="N675"/>
  <c r="R674"/>
  <c r="Q674"/>
  <c r="P674"/>
  <c r="O674"/>
  <c r="N674"/>
  <c r="N673"/>
  <c r="O673" s="1"/>
  <c r="N672"/>
  <c r="R284"/>
  <c r="Q284"/>
  <c r="P284"/>
  <c r="O284"/>
  <c r="N284"/>
  <c r="R282"/>
  <c r="Q282"/>
  <c r="P282"/>
  <c r="O282"/>
  <c r="N282"/>
  <c r="R281"/>
  <c r="Q281"/>
  <c r="P281"/>
  <c r="O281"/>
  <c r="N281"/>
  <c r="R280"/>
  <c r="Q280"/>
  <c r="P280"/>
  <c r="O280"/>
  <c r="N280"/>
  <c r="R279"/>
  <c r="Q279"/>
  <c r="P279"/>
  <c r="O279"/>
  <c r="N279"/>
  <c r="R278"/>
  <c r="Q278"/>
  <c r="P278"/>
  <c r="O278"/>
  <c r="N278"/>
  <c r="R277"/>
  <c r="Q277"/>
  <c r="P277"/>
  <c r="O277"/>
  <c r="N277"/>
  <c r="R276"/>
  <c r="Q276"/>
  <c r="P276"/>
  <c r="O276"/>
  <c r="N276"/>
  <c r="R448"/>
  <c r="Q448"/>
  <c r="P448"/>
  <c r="O448"/>
  <c r="N448"/>
  <c r="R404"/>
  <c r="Q404"/>
  <c r="P404"/>
  <c r="O404"/>
  <c r="N404"/>
  <c r="R403"/>
  <c r="Q403"/>
  <c r="P403"/>
  <c r="O403"/>
  <c r="N403"/>
  <c r="R587"/>
  <c r="Q587"/>
  <c r="P587"/>
  <c r="O587"/>
  <c r="N587"/>
  <c r="R586"/>
  <c r="Q586"/>
  <c r="P586"/>
  <c r="O586"/>
  <c r="N586"/>
  <c r="R585"/>
  <c r="Q585"/>
  <c r="P585"/>
  <c r="O585"/>
  <c r="N585"/>
  <c r="R544"/>
  <c r="Q544"/>
  <c r="P544"/>
  <c r="O544"/>
  <c r="N544"/>
  <c r="R543"/>
  <c r="Q543"/>
  <c r="P543"/>
  <c r="O543"/>
  <c r="N543"/>
  <c r="R542"/>
  <c r="Q542"/>
  <c r="P542"/>
  <c r="O542"/>
  <c r="N542"/>
  <c r="R447"/>
  <c r="Q447"/>
  <c r="P447"/>
  <c r="O447"/>
  <c r="N447"/>
  <c r="R446"/>
  <c r="Q446"/>
  <c r="P446"/>
  <c r="O446"/>
  <c r="N446"/>
  <c r="R445"/>
  <c r="Q445"/>
  <c r="P445"/>
  <c r="O445"/>
  <c r="N445"/>
  <c r="R531"/>
  <c r="Q531"/>
  <c r="P531"/>
  <c r="O531"/>
  <c r="N531"/>
  <c r="R530"/>
  <c r="Q530"/>
  <c r="P530"/>
  <c r="O530"/>
  <c r="N530"/>
  <c r="R529"/>
  <c r="Q529"/>
  <c r="P529"/>
  <c r="O529"/>
  <c r="N529"/>
  <c r="R287"/>
  <c r="Q287"/>
  <c r="P287"/>
  <c r="O287"/>
  <c r="N287"/>
  <c r="R286"/>
  <c r="Q286"/>
  <c r="P286"/>
  <c r="O286"/>
  <c r="N286"/>
  <c r="O672" l="1"/>
  <c r="P672" s="1"/>
  <c r="O663"/>
  <c r="P663" s="1"/>
  <c r="O635"/>
  <c r="P635" s="1"/>
  <c r="O639"/>
  <c r="P639" s="1"/>
  <c r="O657"/>
  <c r="P673"/>
  <c r="O701"/>
  <c r="P701" s="1"/>
  <c r="O703"/>
  <c r="P703" s="1"/>
  <c r="O705"/>
  <c r="P705" s="1"/>
  <c r="O707"/>
  <c r="P707" s="1"/>
  <c r="O702"/>
  <c r="P702" s="1"/>
  <c r="O704"/>
  <c r="P704" s="1"/>
  <c r="O706"/>
  <c r="P706" s="1"/>
  <c r="O683"/>
  <c r="P683" s="1"/>
  <c r="O685"/>
  <c r="P685" s="1"/>
  <c r="O680"/>
  <c r="P680" s="1"/>
  <c r="O682"/>
  <c r="P682" s="1"/>
  <c r="O684"/>
  <c r="P684" s="1"/>
  <c r="O678"/>
  <c r="P678" s="1"/>
  <c r="O681"/>
  <c r="P681" s="1"/>
  <c r="O679"/>
  <c r="P679" s="1"/>
  <c r="O677"/>
  <c r="P677" s="1"/>
  <c r="P606"/>
  <c r="O607"/>
  <c r="P607" s="1"/>
  <c r="P608"/>
  <c r="O610"/>
  <c r="P610" s="1"/>
  <c r="P609"/>
  <c r="O605"/>
  <c r="P657"/>
  <c r="O644"/>
  <c r="O634"/>
  <c r="P634" s="1"/>
  <c r="O652"/>
  <c r="O629"/>
  <c r="P667"/>
  <c r="O662"/>
  <c r="P662" s="1"/>
  <c r="N285"/>
  <c r="R275"/>
  <c r="Q275"/>
  <c r="P629" l="1"/>
  <c r="P644"/>
  <c r="P605"/>
  <c r="P652"/>
  <c r="O285"/>
  <c r="P285" s="1"/>
  <c r="P275"/>
  <c r="O275"/>
  <c r="N275"/>
  <c r="N274" l="1"/>
  <c r="O274" s="1"/>
  <c r="P274" l="1"/>
  <c r="N272"/>
  <c r="N603"/>
  <c r="O603" s="1"/>
  <c r="N341"/>
  <c r="O341" s="1"/>
  <c r="R299"/>
  <c r="Q299"/>
  <c r="O272" l="1"/>
  <c r="P272" s="1"/>
  <c r="P603"/>
  <c r="P341"/>
  <c r="P299"/>
  <c r="O299"/>
  <c r="N299"/>
  <c r="N298" l="1"/>
  <c r="O298" l="1"/>
  <c r="P298" s="1"/>
  <c r="N296"/>
  <c r="O296" l="1"/>
  <c r="P296" s="1"/>
  <c r="N294"/>
  <c r="O294" l="1"/>
  <c r="P294" s="1"/>
  <c r="N396"/>
  <c r="O396" l="1"/>
  <c r="P396" s="1"/>
  <c r="N354"/>
  <c r="N352"/>
  <c r="O352" s="1"/>
  <c r="O354" l="1"/>
  <c r="P354" s="1"/>
  <c r="P352"/>
  <c r="N292"/>
  <c r="O292" s="1"/>
  <c r="P292" l="1"/>
  <c r="N290"/>
  <c r="O290" l="1"/>
  <c r="P290" s="1"/>
  <c r="N288"/>
  <c r="R554"/>
  <c r="Q554"/>
  <c r="O288" l="1"/>
  <c r="P288" s="1"/>
  <c r="P554"/>
  <c r="O554"/>
  <c r="N554"/>
  <c r="R553"/>
  <c r="Q553"/>
  <c r="P553"/>
  <c r="O553"/>
  <c r="N553"/>
  <c r="R552"/>
  <c r="Q552"/>
  <c r="P552"/>
  <c r="O552"/>
  <c r="N552"/>
  <c r="R551"/>
  <c r="Q551"/>
  <c r="P551"/>
  <c r="O551"/>
  <c r="N551"/>
  <c r="N550" l="1"/>
  <c r="R574"/>
  <c r="Q574"/>
  <c r="O550" l="1"/>
  <c r="P574"/>
  <c r="O574"/>
  <c r="N574"/>
  <c r="R573"/>
  <c r="Q573"/>
  <c r="P550" l="1"/>
  <c r="P573"/>
  <c r="O573"/>
  <c r="N573"/>
  <c r="R572"/>
  <c r="Q572"/>
  <c r="P572"/>
  <c r="O572"/>
  <c r="N572"/>
  <c r="R571"/>
  <c r="Q571"/>
  <c r="P571"/>
  <c r="O571"/>
  <c r="N571"/>
  <c r="N570" l="1"/>
  <c r="R569"/>
  <c r="Q569"/>
  <c r="O570" l="1"/>
  <c r="P569"/>
  <c r="O569"/>
  <c r="N569"/>
  <c r="R568"/>
  <c r="Q568"/>
  <c r="P570" l="1"/>
  <c r="P568"/>
  <c r="O568"/>
  <c r="N568"/>
  <c r="R567"/>
  <c r="Q567"/>
  <c r="P567"/>
  <c r="O567"/>
  <c r="N567"/>
  <c r="R566"/>
  <c r="Q566"/>
  <c r="P566"/>
  <c r="O566"/>
  <c r="N566"/>
  <c r="N565"/>
  <c r="O565" s="1"/>
  <c r="R564"/>
  <c r="Q564"/>
  <c r="P565" l="1"/>
  <c r="P564"/>
  <c r="O564"/>
  <c r="N564"/>
  <c r="R563"/>
  <c r="Q563"/>
  <c r="P563"/>
  <c r="O563"/>
  <c r="N563"/>
  <c r="R562"/>
  <c r="Q562"/>
  <c r="P562"/>
  <c r="O562"/>
  <c r="N562"/>
  <c r="R561"/>
  <c r="Q561"/>
  <c r="P561"/>
  <c r="O561"/>
  <c r="N561"/>
  <c r="N560"/>
  <c r="O560" s="1"/>
  <c r="R579"/>
  <c r="Q579"/>
  <c r="P560" l="1"/>
  <c r="P579"/>
  <c r="O579"/>
  <c r="N579"/>
  <c r="R578"/>
  <c r="Q578"/>
  <c r="P578"/>
  <c r="O578"/>
  <c r="N578"/>
  <c r="R577"/>
  <c r="Q577"/>
  <c r="P577"/>
  <c r="O577"/>
  <c r="N577"/>
  <c r="R576"/>
  <c r="Q576"/>
  <c r="P576"/>
  <c r="O576"/>
  <c r="N576"/>
  <c r="N575"/>
  <c r="O575" s="1"/>
  <c r="R584"/>
  <c r="Q584"/>
  <c r="P575" l="1"/>
  <c r="P584"/>
  <c r="O584"/>
  <c r="N584"/>
  <c r="R583"/>
  <c r="Q583"/>
  <c r="P583"/>
  <c r="O583"/>
  <c r="N583"/>
  <c r="R582"/>
  <c r="Q582"/>
  <c r="P582"/>
  <c r="O582"/>
  <c r="N582"/>
  <c r="R581"/>
  <c r="Q581"/>
  <c r="P581"/>
  <c r="O581"/>
  <c r="N581"/>
  <c r="N580"/>
  <c r="O580" s="1"/>
  <c r="R597"/>
  <c r="Q597"/>
  <c r="P580" l="1"/>
  <c r="P597"/>
  <c r="O597"/>
  <c r="N597"/>
  <c r="R596"/>
  <c r="Q596"/>
  <c r="P596"/>
  <c r="O596"/>
  <c r="N596"/>
  <c r="R595"/>
  <c r="Q595"/>
  <c r="P595"/>
  <c r="O595"/>
  <c r="N595"/>
  <c r="R594"/>
  <c r="Q594"/>
  <c r="P594"/>
  <c r="O594"/>
  <c r="N594"/>
  <c r="N593"/>
  <c r="O593" s="1"/>
  <c r="R559"/>
  <c r="Q559"/>
  <c r="P593" l="1"/>
  <c r="P559"/>
  <c r="O559"/>
  <c r="N559"/>
  <c r="R558"/>
  <c r="Q558"/>
  <c r="P558"/>
  <c r="O558"/>
  <c r="N558"/>
  <c r="R557"/>
  <c r="Q557"/>
  <c r="P557"/>
  <c r="O557"/>
  <c r="R556"/>
  <c r="Q556"/>
  <c r="P556"/>
  <c r="O556"/>
  <c r="N555"/>
  <c r="O555" s="1"/>
  <c r="R592"/>
  <c r="Q592"/>
  <c r="P555" l="1"/>
  <c r="P592"/>
  <c r="O592"/>
  <c r="N592"/>
  <c r="R591"/>
  <c r="Q591"/>
  <c r="P591"/>
  <c r="O591"/>
  <c r="N591"/>
  <c r="R590"/>
  <c r="Q590"/>
  <c r="P590"/>
  <c r="O590"/>
  <c r="N590"/>
  <c r="R589"/>
  <c r="Q589"/>
  <c r="P589"/>
  <c r="O589"/>
  <c r="N589"/>
  <c r="N588"/>
  <c r="O588" s="1"/>
  <c r="R541"/>
  <c r="Q541"/>
  <c r="P588" l="1"/>
  <c r="P541"/>
  <c r="O541"/>
  <c r="N541"/>
  <c r="R540"/>
  <c r="Q540"/>
  <c r="P540"/>
  <c r="O540"/>
  <c r="N540"/>
  <c r="R539"/>
  <c r="Q539"/>
  <c r="P539"/>
  <c r="O539"/>
  <c r="N539"/>
  <c r="R538"/>
  <c r="Q538"/>
  <c r="P538"/>
  <c r="O538"/>
  <c r="N538"/>
  <c r="N537"/>
  <c r="O537" s="1"/>
  <c r="R535"/>
  <c r="Q535"/>
  <c r="P537" l="1"/>
  <c r="P535"/>
  <c r="O535"/>
  <c r="N535"/>
  <c r="R534"/>
  <c r="Q534"/>
  <c r="P534"/>
  <c r="O534"/>
  <c r="N534"/>
  <c r="N533"/>
  <c r="O533" s="1"/>
  <c r="P533" l="1"/>
  <c r="N532"/>
  <c r="N536"/>
  <c r="O536" s="1"/>
  <c r="R549"/>
  <c r="Q549"/>
  <c r="O532" l="1"/>
  <c r="P532" s="1"/>
  <c r="P536"/>
  <c r="P549"/>
  <c r="O549"/>
  <c r="N549"/>
  <c r="R548"/>
  <c r="Q548"/>
  <c r="P548"/>
  <c r="O548"/>
  <c r="N548"/>
  <c r="R547"/>
  <c r="Q547"/>
  <c r="P547"/>
  <c r="O547"/>
  <c r="N547"/>
  <c r="R546"/>
  <c r="Q546"/>
  <c r="P546"/>
  <c r="O546"/>
  <c r="N546"/>
  <c r="N545"/>
  <c r="O545" s="1"/>
  <c r="R602"/>
  <c r="Q602"/>
  <c r="P545" l="1"/>
  <c r="P602"/>
  <c r="O602"/>
  <c r="N602"/>
  <c r="R601"/>
  <c r="Q601"/>
  <c r="P601"/>
  <c r="O601"/>
  <c r="N601"/>
  <c r="R600"/>
  <c r="Q600"/>
  <c r="P600"/>
  <c r="O600"/>
  <c r="N600"/>
  <c r="R599"/>
  <c r="Q599"/>
  <c r="P599"/>
  <c r="O599"/>
  <c r="N599"/>
  <c r="N598"/>
  <c r="O598" s="1"/>
  <c r="N402"/>
  <c r="O402" s="1"/>
  <c r="N401"/>
  <c r="O401" l="1"/>
  <c r="P401" s="1"/>
  <c r="P598"/>
  <c r="P402"/>
  <c r="N400"/>
  <c r="O400" s="1"/>
  <c r="N399"/>
  <c r="O399" s="1"/>
  <c r="P400" l="1"/>
  <c r="P399"/>
  <c r="N398"/>
  <c r="R493"/>
  <c r="Q493"/>
  <c r="O398" l="1"/>
  <c r="P398" s="1"/>
  <c r="P493"/>
  <c r="O493"/>
  <c r="N493"/>
  <c r="R492"/>
  <c r="Q492"/>
  <c r="P492"/>
  <c r="O492"/>
  <c r="N492"/>
  <c r="R491"/>
  <c r="Q491"/>
  <c r="P491"/>
  <c r="O491"/>
  <c r="N491"/>
  <c r="R490"/>
  <c r="Q490"/>
  <c r="P490"/>
  <c r="O490"/>
  <c r="N490"/>
  <c r="N489"/>
  <c r="O489" s="1"/>
  <c r="R528"/>
  <c r="Q528"/>
  <c r="P489" l="1"/>
  <c r="P528"/>
  <c r="O528"/>
  <c r="N528"/>
  <c r="R527"/>
  <c r="Q527"/>
  <c r="P527"/>
  <c r="O527"/>
  <c r="N527"/>
  <c r="R526"/>
  <c r="Q526"/>
  <c r="P526"/>
  <c r="O526"/>
  <c r="N526"/>
  <c r="R525"/>
  <c r="Q525"/>
  <c r="P525"/>
  <c r="O525"/>
  <c r="N525"/>
  <c r="N524"/>
  <c r="O524" s="1"/>
  <c r="R523"/>
  <c r="Q523"/>
  <c r="P524" l="1"/>
  <c r="P523"/>
  <c r="O523"/>
  <c r="N523"/>
  <c r="R522"/>
  <c r="Q522"/>
  <c r="P522"/>
  <c r="O522"/>
  <c r="N522"/>
  <c r="R521"/>
  <c r="Q521"/>
  <c r="P521"/>
  <c r="O521"/>
  <c r="N521"/>
  <c r="R520"/>
  <c r="Q520"/>
  <c r="P520"/>
  <c r="O520"/>
  <c r="N520"/>
  <c r="N519"/>
  <c r="O519" s="1"/>
  <c r="R518"/>
  <c r="Q518"/>
  <c r="P519" l="1"/>
  <c r="P518"/>
  <c r="O518"/>
  <c r="N518"/>
  <c r="R517"/>
  <c r="Q517"/>
  <c r="P517"/>
  <c r="O517"/>
  <c r="N517"/>
  <c r="R516"/>
  <c r="Q516"/>
  <c r="P516"/>
  <c r="O516"/>
  <c r="N516"/>
  <c r="R515"/>
  <c r="Q515"/>
  <c r="P515"/>
  <c r="O515"/>
  <c r="N515"/>
  <c r="N514"/>
  <c r="O514" s="1"/>
  <c r="R513"/>
  <c r="Q513"/>
  <c r="P514" l="1"/>
  <c r="P513"/>
  <c r="O513"/>
  <c r="N513"/>
  <c r="R512"/>
  <c r="Q512"/>
  <c r="P512"/>
  <c r="O512"/>
  <c r="N512"/>
  <c r="R511"/>
  <c r="Q511"/>
  <c r="P511"/>
  <c r="O511"/>
  <c r="N511"/>
  <c r="R510"/>
  <c r="Q510"/>
  <c r="P510"/>
  <c r="O510"/>
  <c r="N510"/>
  <c r="N509"/>
  <c r="O509" s="1"/>
  <c r="R508"/>
  <c r="Q508"/>
  <c r="P509" l="1"/>
  <c r="P508"/>
  <c r="O508"/>
  <c r="N508"/>
  <c r="R507"/>
  <c r="Q507"/>
  <c r="P507"/>
  <c r="O507"/>
  <c r="N507"/>
  <c r="R506"/>
  <c r="Q506"/>
  <c r="P506"/>
  <c r="O506"/>
  <c r="N506"/>
  <c r="R505"/>
  <c r="Q505"/>
  <c r="P505"/>
  <c r="O505"/>
  <c r="N505"/>
  <c r="N504"/>
  <c r="O504" s="1"/>
  <c r="R503"/>
  <c r="Q503"/>
  <c r="P504" l="1"/>
  <c r="P503"/>
  <c r="O503"/>
  <c r="N503"/>
  <c r="R502"/>
  <c r="Q502"/>
  <c r="P502"/>
  <c r="O502"/>
  <c r="N502"/>
  <c r="R501"/>
  <c r="Q501"/>
  <c r="P501"/>
  <c r="O501"/>
  <c r="N501"/>
  <c r="R500"/>
  <c r="Q500"/>
  <c r="P500"/>
  <c r="O500"/>
  <c r="N500"/>
  <c r="N499"/>
  <c r="O499" s="1"/>
  <c r="R488"/>
  <c r="Q488"/>
  <c r="P499" l="1"/>
  <c r="P488"/>
  <c r="O488"/>
  <c r="N488"/>
  <c r="R487"/>
  <c r="Q487"/>
  <c r="P487"/>
  <c r="O487"/>
  <c r="N487"/>
  <c r="R486"/>
  <c r="Q486"/>
  <c r="P486"/>
  <c r="O486"/>
  <c r="N486"/>
  <c r="R485"/>
  <c r="Q485"/>
  <c r="P485"/>
  <c r="O485"/>
  <c r="N485"/>
  <c r="N484"/>
  <c r="O484" s="1"/>
  <c r="R483"/>
  <c r="Q483"/>
  <c r="P484" l="1"/>
  <c r="P483"/>
  <c r="O483"/>
  <c r="N483"/>
  <c r="R482"/>
  <c r="Q482"/>
  <c r="P482"/>
  <c r="O482"/>
  <c r="N482"/>
  <c r="R481"/>
  <c r="Q481"/>
  <c r="P481"/>
  <c r="O481"/>
  <c r="N481"/>
  <c r="R480"/>
  <c r="Q480"/>
  <c r="P480"/>
  <c r="O480"/>
  <c r="N480"/>
  <c r="N479"/>
  <c r="O479" s="1"/>
  <c r="R473"/>
  <c r="Q473"/>
  <c r="P479" l="1"/>
  <c r="P473"/>
  <c r="O473"/>
  <c r="N473"/>
  <c r="R472"/>
  <c r="Q472"/>
  <c r="P472"/>
  <c r="O472"/>
  <c r="N472"/>
  <c r="R471"/>
  <c r="Q471"/>
  <c r="P471"/>
  <c r="O471"/>
  <c r="N471"/>
  <c r="R470"/>
  <c r="Q470"/>
  <c r="P470"/>
  <c r="O470"/>
  <c r="N470"/>
  <c r="N469"/>
  <c r="O469" s="1"/>
  <c r="R468"/>
  <c r="Q468"/>
  <c r="P469" l="1"/>
  <c r="P468"/>
  <c r="O468"/>
  <c r="N468"/>
  <c r="R467"/>
  <c r="Q467"/>
  <c r="P467"/>
  <c r="O467"/>
  <c r="N467"/>
  <c r="R466"/>
  <c r="Q466"/>
  <c r="P466"/>
  <c r="O466"/>
  <c r="N466"/>
  <c r="R465"/>
  <c r="Q465"/>
  <c r="P465"/>
  <c r="O465"/>
  <c r="N465"/>
  <c r="N464"/>
  <c r="O464" s="1"/>
  <c r="R463"/>
  <c r="Q463"/>
  <c r="P464" l="1"/>
  <c r="P463"/>
  <c r="O463"/>
  <c r="N463"/>
  <c r="R462"/>
  <c r="Q462"/>
  <c r="P462"/>
  <c r="O462"/>
  <c r="N462"/>
  <c r="R461"/>
  <c r="Q461"/>
  <c r="P461"/>
  <c r="O461"/>
  <c r="N461"/>
  <c r="R460"/>
  <c r="Q460"/>
  <c r="P460"/>
  <c r="O460"/>
  <c r="N460"/>
  <c r="N459"/>
  <c r="O459" s="1"/>
  <c r="R458"/>
  <c r="Q458"/>
  <c r="P459" l="1"/>
  <c r="P458"/>
  <c r="O458"/>
  <c r="N458"/>
  <c r="R457"/>
  <c r="Q457"/>
  <c r="P457"/>
  <c r="O457"/>
  <c r="N457"/>
  <c r="R456"/>
  <c r="Q456"/>
  <c r="P456"/>
  <c r="O456"/>
  <c r="N456"/>
  <c r="R455"/>
  <c r="Q455"/>
  <c r="P455"/>
  <c r="O455"/>
  <c r="N455"/>
  <c r="N454"/>
  <c r="O454" s="1"/>
  <c r="R453"/>
  <c r="Q453"/>
  <c r="P453"/>
  <c r="O453"/>
  <c r="N453"/>
  <c r="R452"/>
  <c r="Q452"/>
  <c r="P452"/>
  <c r="O452"/>
  <c r="N452"/>
  <c r="R451"/>
  <c r="Q451"/>
  <c r="P451"/>
  <c r="O451"/>
  <c r="N451"/>
  <c r="R450"/>
  <c r="Q450"/>
  <c r="P450"/>
  <c r="O450"/>
  <c r="N450"/>
  <c r="N449"/>
  <c r="O449" s="1"/>
  <c r="R444"/>
  <c r="Q444"/>
  <c r="P454" l="1"/>
  <c r="P449"/>
  <c r="P444"/>
  <c r="O444"/>
  <c r="N444"/>
  <c r="R443"/>
  <c r="Q443"/>
  <c r="P443"/>
  <c r="O443"/>
  <c r="N443"/>
  <c r="R442"/>
  <c r="Q442"/>
  <c r="P442"/>
  <c r="O442"/>
  <c r="N442"/>
  <c r="R441"/>
  <c r="Q441"/>
  <c r="P441"/>
  <c r="O441"/>
  <c r="N441"/>
  <c r="N440"/>
  <c r="O440" s="1"/>
  <c r="R498"/>
  <c r="Q498"/>
  <c r="P440" l="1"/>
  <c r="P498"/>
  <c r="O498"/>
  <c r="N498"/>
  <c r="R497"/>
  <c r="Q497"/>
  <c r="P497"/>
  <c r="O497"/>
  <c r="N497"/>
  <c r="R496"/>
  <c r="Q496"/>
  <c r="P496"/>
  <c r="O496"/>
  <c r="N496"/>
  <c r="N495"/>
  <c r="O495" s="1"/>
  <c r="P495" l="1"/>
  <c r="N494"/>
  <c r="R439"/>
  <c r="Q439"/>
  <c r="O494" l="1"/>
  <c r="P494" s="1"/>
  <c r="P439"/>
  <c r="O439"/>
  <c r="N439"/>
  <c r="R438"/>
  <c r="Q438"/>
  <c r="P438"/>
  <c r="O438"/>
  <c r="N438"/>
  <c r="R437"/>
  <c r="Q437"/>
  <c r="P437"/>
  <c r="O437"/>
  <c r="N437"/>
  <c r="R436"/>
  <c r="Q436"/>
  <c r="P436"/>
  <c r="O436"/>
  <c r="N436"/>
  <c r="N435"/>
  <c r="O435" s="1"/>
  <c r="R434"/>
  <c r="Q434"/>
  <c r="P435" l="1"/>
  <c r="P434"/>
  <c r="O434"/>
  <c r="N434"/>
  <c r="R433"/>
  <c r="Q433"/>
  <c r="P433"/>
  <c r="O433"/>
  <c r="N433"/>
  <c r="R432"/>
  <c r="Q432"/>
  <c r="P432"/>
  <c r="O432"/>
  <c r="N432"/>
  <c r="R431"/>
  <c r="Q431"/>
  <c r="P431"/>
  <c r="O431"/>
  <c r="N431"/>
  <c r="N430"/>
  <c r="O430" s="1"/>
  <c r="R478"/>
  <c r="Q478"/>
  <c r="P430" l="1"/>
  <c r="P478"/>
  <c r="O478"/>
  <c r="N478"/>
  <c r="R477"/>
  <c r="Q477"/>
  <c r="P477"/>
  <c r="O477"/>
  <c r="N477"/>
  <c r="R476"/>
  <c r="Q476"/>
  <c r="P476"/>
  <c r="O476"/>
  <c r="N476"/>
  <c r="R475"/>
  <c r="Q475"/>
  <c r="P475"/>
  <c r="O475"/>
  <c r="N475"/>
  <c r="N474"/>
  <c r="O474" s="1"/>
  <c r="R414"/>
  <c r="Q414"/>
  <c r="P474" l="1"/>
  <c r="P414"/>
  <c r="O414"/>
  <c r="N414"/>
  <c r="R413"/>
  <c r="Q413"/>
  <c r="P413"/>
  <c r="O413"/>
  <c r="N413"/>
  <c r="R412"/>
  <c r="Q412"/>
  <c r="P412"/>
  <c r="O412"/>
  <c r="N412"/>
  <c r="R411"/>
  <c r="Q411"/>
  <c r="P411"/>
  <c r="O411"/>
  <c r="N411"/>
  <c r="N410"/>
  <c r="O410" s="1"/>
  <c r="R429"/>
  <c r="Q429"/>
  <c r="P410" l="1"/>
  <c r="P429"/>
  <c r="O429"/>
  <c r="N429"/>
  <c r="R428"/>
  <c r="Q428"/>
  <c r="P428"/>
  <c r="O428"/>
  <c r="N428"/>
  <c r="R427"/>
  <c r="Q427"/>
  <c r="P427"/>
  <c r="O427"/>
  <c r="N427"/>
  <c r="R426"/>
  <c r="Q426"/>
  <c r="P426"/>
  <c r="O426"/>
  <c r="N426"/>
  <c r="N425"/>
  <c r="O425" s="1"/>
  <c r="R424"/>
  <c r="Q424"/>
  <c r="P425" l="1"/>
  <c r="P424"/>
  <c r="O424"/>
  <c r="N424"/>
  <c r="R423"/>
  <c r="Q423"/>
  <c r="P423"/>
  <c r="O423"/>
  <c r="N423"/>
  <c r="R422"/>
  <c r="Q422"/>
  <c r="P422"/>
  <c r="O422"/>
  <c r="N422"/>
  <c r="R421"/>
  <c r="Q421"/>
  <c r="P421"/>
  <c r="O421"/>
  <c r="N421"/>
  <c r="N420" l="1"/>
  <c r="R419"/>
  <c r="Q419"/>
  <c r="O420" l="1"/>
  <c r="P420" s="1"/>
  <c r="P419"/>
  <c r="O419"/>
  <c r="N419"/>
  <c r="R418"/>
  <c r="Q418"/>
  <c r="P418"/>
  <c r="O418"/>
  <c r="N418"/>
  <c r="R417"/>
  <c r="Q417"/>
  <c r="P417"/>
  <c r="O417"/>
  <c r="N417"/>
  <c r="R416"/>
  <c r="Q416"/>
  <c r="P416"/>
  <c r="O416"/>
  <c r="N416"/>
  <c r="N415"/>
  <c r="O415" s="1"/>
  <c r="R409"/>
  <c r="Q409"/>
  <c r="P415" l="1"/>
  <c r="P409"/>
  <c r="O409"/>
  <c r="N409"/>
  <c r="R408"/>
  <c r="Q408"/>
  <c r="P408"/>
  <c r="O408"/>
  <c r="N408"/>
  <c r="R407"/>
  <c r="Q407"/>
  <c r="P407"/>
  <c r="O407"/>
  <c r="N407"/>
  <c r="R406"/>
  <c r="Q406"/>
  <c r="P406"/>
  <c r="O406"/>
  <c r="N406"/>
  <c r="N405" l="1"/>
  <c r="R395"/>
  <c r="Q395"/>
  <c r="O405" l="1"/>
  <c r="P405" s="1"/>
  <c r="P395"/>
  <c r="O395"/>
  <c r="N395"/>
  <c r="R394"/>
  <c r="Q394"/>
  <c r="P394"/>
  <c r="O394"/>
  <c r="N394"/>
  <c r="R393"/>
  <c r="Q393"/>
  <c r="P393"/>
  <c r="O393"/>
  <c r="N393"/>
  <c r="R392"/>
  <c r="Q392"/>
  <c r="P392"/>
  <c r="O392"/>
  <c r="N392"/>
  <c r="N391"/>
  <c r="O391" s="1"/>
  <c r="R309"/>
  <c r="Q309"/>
  <c r="P391" l="1"/>
  <c r="P309"/>
  <c r="O309"/>
  <c r="N309"/>
  <c r="R308"/>
  <c r="Q308"/>
  <c r="P308"/>
  <c r="O308"/>
  <c r="N308"/>
  <c r="R307"/>
  <c r="Q307"/>
  <c r="P307"/>
  <c r="O307"/>
  <c r="N307"/>
  <c r="R306"/>
  <c r="Q306"/>
  <c r="P306"/>
  <c r="O306"/>
  <c r="N306"/>
  <c r="N305"/>
  <c r="O305" s="1"/>
  <c r="R304"/>
  <c r="Q304"/>
  <c r="P305" l="1"/>
  <c r="P304"/>
  <c r="O304"/>
  <c r="N304"/>
  <c r="R303"/>
  <c r="Q303"/>
  <c r="P303"/>
  <c r="O303"/>
  <c r="N303"/>
  <c r="R302"/>
  <c r="Q302"/>
  <c r="P302"/>
  <c r="O302"/>
  <c r="N302"/>
  <c r="R301"/>
  <c r="Q301"/>
  <c r="P301"/>
  <c r="O301"/>
  <c r="N301"/>
  <c r="N300"/>
  <c r="O300" s="1"/>
  <c r="R314"/>
  <c r="Q314"/>
  <c r="P300" l="1"/>
  <c r="P314"/>
  <c r="O314"/>
  <c r="N314"/>
  <c r="R313"/>
  <c r="Q313"/>
  <c r="P313"/>
  <c r="O313"/>
  <c r="N313"/>
  <c r="R312"/>
  <c r="Q312"/>
  <c r="P312"/>
  <c r="O312"/>
  <c r="N312"/>
  <c r="R311"/>
  <c r="Q311"/>
  <c r="P311"/>
  <c r="O311"/>
  <c r="N311"/>
  <c r="N310"/>
  <c r="O310" s="1"/>
  <c r="R339"/>
  <c r="Q339"/>
  <c r="P310" l="1"/>
  <c r="P339"/>
  <c r="O339"/>
  <c r="N339"/>
  <c r="R338"/>
  <c r="Q338"/>
  <c r="P338"/>
  <c r="O338"/>
  <c r="N338"/>
  <c r="R337"/>
  <c r="Q337"/>
  <c r="P337"/>
  <c r="O337"/>
  <c r="N337"/>
  <c r="R336"/>
  <c r="Q336"/>
  <c r="P336"/>
  <c r="O336"/>
  <c r="N336"/>
  <c r="N335"/>
  <c r="O335" s="1"/>
  <c r="R334"/>
  <c r="Q334"/>
  <c r="P335" l="1"/>
  <c r="P334"/>
  <c r="O334"/>
  <c r="N334"/>
  <c r="R333"/>
  <c r="Q333"/>
  <c r="P333"/>
  <c r="O333"/>
  <c r="N333"/>
  <c r="R332"/>
  <c r="Q332"/>
  <c r="P332"/>
  <c r="O332"/>
  <c r="N332"/>
  <c r="R331"/>
  <c r="Q331"/>
  <c r="P331"/>
  <c r="O331"/>
  <c r="N331"/>
  <c r="T315"/>
  <c r="T564"/>
  <c r="T563"/>
  <c r="T562"/>
  <c r="T561"/>
  <c r="T560"/>
  <c r="T579"/>
  <c r="T578"/>
  <c r="T577"/>
  <c r="T576"/>
  <c r="T575"/>
  <c r="T584"/>
  <c r="T583"/>
  <c r="T582"/>
  <c r="T581"/>
  <c r="T580"/>
  <c r="T597"/>
  <c r="T596"/>
  <c r="T595"/>
  <c r="T594"/>
  <c r="T593"/>
  <c r="T559"/>
  <c r="T558"/>
  <c r="T557"/>
  <c r="T556"/>
  <c r="T555"/>
  <c r="T592"/>
  <c r="T591"/>
  <c r="T590"/>
  <c r="T589"/>
  <c r="T588"/>
  <c r="T541"/>
  <c r="T540"/>
  <c r="T539"/>
  <c r="T538"/>
  <c r="T537"/>
  <c r="T535"/>
  <c r="T534"/>
  <c r="T533"/>
  <c r="T532"/>
  <c r="T536"/>
  <c r="T549"/>
  <c r="T548"/>
  <c r="T547"/>
  <c r="T546"/>
  <c r="T545"/>
  <c r="T602"/>
  <c r="T601"/>
  <c r="T600"/>
  <c r="T599"/>
  <c r="T598"/>
  <c r="T402"/>
  <c r="T401"/>
  <c r="T400"/>
  <c r="T399"/>
  <c r="T398"/>
  <c r="T493"/>
  <c r="T492"/>
  <c r="T491"/>
  <c r="T490"/>
  <c r="T489"/>
  <c r="T528"/>
  <c r="T527"/>
  <c r="T526"/>
  <c r="T525"/>
  <c r="T524"/>
  <c r="T523"/>
  <c r="T522"/>
  <c r="T521"/>
  <c r="T520"/>
  <c r="T519"/>
  <c r="T518"/>
  <c r="T517"/>
  <c r="T516"/>
  <c r="T515"/>
  <c r="T514"/>
  <c r="T513"/>
  <c r="T512"/>
  <c r="T511"/>
  <c r="T510"/>
  <c r="T509"/>
  <c r="T508"/>
  <c r="T507"/>
  <c r="T506"/>
  <c r="T505"/>
  <c r="T504"/>
  <c r="T503"/>
  <c r="T502"/>
  <c r="T501"/>
  <c r="T500"/>
  <c r="T499"/>
  <c r="T488"/>
  <c r="T487"/>
  <c r="T486"/>
  <c r="T485"/>
  <c r="T484"/>
  <c r="T483"/>
  <c r="T482"/>
  <c r="T481"/>
  <c r="T480"/>
  <c r="T479"/>
  <c r="T473"/>
  <c r="T472"/>
  <c r="T471"/>
  <c r="T470"/>
  <c r="T469"/>
  <c r="T468"/>
  <c r="T467"/>
  <c r="T466"/>
  <c r="T465"/>
  <c r="T464"/>
  <c r="T463"/>
  <c r="T462"/>
  <c r="T461"/>
  <c r="T460"/>
  <c r="T459"/>
  <c r="T458"/>
  <c r="T457"/>
  <c r="T456"/>
  <c r="T455"/>
  <c r="T454"/>
  <c r="T453"/>
  <c r="T452"/>
  <c r="T451"/>
  <c r="T450"/>
  <c r="T449"/>
  <c r="T444"/>
  <c r="T443"/>
  <c r="T442"/>
  <c r="T441"/>
  <c r="T440"/>
  <c r="T498"/>
  <c r="T497"/>
  <c r="T496"/>
  <c r="T495"/>
  <c r="T494"/>
  <c r="T439"/>
  <c r="T438"/>
  <c r="T437"/>
  <c r="T436"/>
  <c r="T435"/>
  <c r="T434"/>
  <c r="T433"/>
  <c r="T432"/>
  <c r="T431"/>
  <c r="T430"/>
  <c r="T478"/>
  <c r="T477"/>
  <c r="T476"/>
  <c r="T475"/>
  <c r="T474"/>
  <c r="T414"/>
  <c r="T413"/>
  <c r="T412"/>
  <c r="T411"/>
  <c r="T410"/>
  <c r="T429"/>
  <c r="T428"/>
  <c r="T427"/>
  <c r="T426"/>
  <c r="T425"/>
  <c r="T424"/>
  <c r="T423"/>
  <c r="T422"/>
  <c r="T421"/>
  <c r="T420"/>
  <c r="T419"/>
  <c r="T418"/>
  <c r="T417"/>
  <c r="T416"/>
  <c r="T415"/>
  <c r="T409"/>
  <c r="T408"/>
  <c r="T407"/>
  <c r="T406"/>
  <c r="T405"/>
  <c r="T395"/>
  <c r="T394"/>
  <c r="T393"/>
  <c r="T392"/>
  <c r="T391"/>
  <c r="T309"/>
  <c r="T308"/>
  <c r="T307"/>
  <c r="T306"/>
  <c r="T305"/>
  <c r="T304"/>
  <c r="T303"/>
  <c r="T302"/>
  <c r="T301"/>
  <c r="T300"/>
  <c r="T314"/>
  <c r="T313"/>
  <c r="T312"/>
  <c r="T311"/>
  <c r="T310"/>
  <c r="T339"/>
  <c r="T338"/>
  <c r="T337"/>
  <c r="T336"/>
  <c r="T335"/>
  <c r="T330"/>
  <c r="T331"/>
  <c r="T332"/>
  <c r="T333"/>
  <c r="T334"/>
  <c r="T371"/>
  <c r="T372"/>
  <c r="T373"/>
  <c r="T374"/>
  <c r="T375"/>
  <c r="T342"/>
  <c r="T343"/>
  <c r="T344"/>
  <c r="T345"/>
  <c r="T346"/>
  <c r="T347"/>
  <c r="T348"/>
  <c r="T349"/>
  <c r="T350"/>
  <c r="T351"/>
  <c r="T325"/>
  <c r="T326"/>
  <c r="T327"/>
  <c r="T328"/>
  <c r="T329"/>
  <c r="T319"/>
  <c r="T318"/>
  <c r="T317"/>
  <c r="T316"/>
  <c r="T324"/>
  <c r="T323"/>
  <c r="T322"/>
  <c r="T321"/>
  <c r="T320"/>
  <c r="T360"/>
  <c r="T359"/>
  <c r="T358"/>
  <c r="T357"/>
  <c r="T356"/>
  <c r="T370"/>
  <c r="T369"/>
  <c r="T368"/>
  <c r="T367"/>
  <c r="T366"/>
  <c r="T365"/>
  <c r="T364"/>
  <c r="T363"/>
  <c r="T362"/>
  <c r="T361"/>
  <c r="T380"/>
  <c r="T379"/>
  <c r="T378"/>
  <c r="T377"/>
  <c r="T376"/>
  <c r="T390"/>
  <c r="T389"/>
  <c r="T388"/>
  <c r="T387"/>
  <c r="T386"/>
  <c r="T89"/>
  <c r="J460" i="33"/>
  <c r="J360"/>
  <c r="F601"/>
  <c r="F600"/>
  <c r="F599"/>
  <c r="F598"/>
  <c r="F597"/>
  <c r="F596"/>
  <c r="F413"/>
  <c r="F412"/>
  <c r="F411"/>
  <c r="F410"/>
  <c r="F409"/>
  <c r="F408"/>
  <c r="J432"/>
  <c r="J595"/>
  <c r="J594"/>
  <c r="J593"/>
  <c r="J592"/>
  <c r="J591"/>
  <c r="J590"/>
  <c r="J589"/>
  <c r="J588"/>
  <c r="J587"/>
  <c r="J586"/>
  <c r="J585"/>
  <c r="J584"/>
  <c r="J583"/>
  <c r="J582"/>
  <c r="J581"/>
  <c r="J580"/>
  <c r="J579"/>
  <c r="J578"/>
  <c r="J577"/>
  <c r="J576"/>
  <c r="J569"/>
  <c r="J568"/>
  <c r="J567"/>
  <c r="J566"/>
  <c r="J565"/>
  <c r="J564"/>
  <c r="J563"/>
  <c r="J562"/>
  <c r="J538"/>
  <c r="J537"/>
  <c r="J535"/>
  <c r="F537"/>
  <c r="F531" l="1"/>
  <c r="F360"/>
  <c r="F339"/>
  <c r="F142"/>
  <c r="F109"/>
  <c r="F108"/>
  <c r="F107"/>
  <c r="F564"/>
  <c r="F3150"/>
  <c r="F3149"/>
  <c r="F3148"/>
  <c r="F3147"/>
  <c r="F3146"/>
  <c r="F3145"/>
  <c r="F3144"/>
  <c r="F3143"/>
  <c r="F3142"/>
  <c r="F3141"/>
  <c r="F3140"/>
  <c r="F3139"/>
  <c r="F3138"/>
  <c r="F3137"/>
  <c r="F3136"/>
  <c r="F3135"/>
  <c r="F3134"/>
  <c r="F3133"/>
  <c r="F3132"/>
  <c r="F3131"/>
  <c r="F3130"/>
  <c r="F3129"/>
  <c r="F3128"/>
  <c r="F3127"/>
  <c r="F3126"/>
  <c r="F3125"/>
  <c r="F3124"/>
  <c r="F3123"/>
  <c r="F3122"/>
  <c r="F3121"/>
  <c r="F3120"/>
  <c r="F3119"/>
  <c r="F3118"/>
  <c r="F3117"/>
  <c r="F3116"/>
  <c r="F3115"/>
  <c r="F3114"/>
  <c r="F3113"/>
  <c r="F3112"/>
  <c r="F3111"/>
  <c r="F3110"/>
  <c r="F3109"/>
  <c r="F3108"/>
  <c r="F3107"/>
  <c r="F3106"/>
  <c r="F3105"/>
  <c r="F3104"/>
  <c r="F3103"/>
  <c r="F3102"/>
  <c r="F3101"/>
  <c r="F3100"/>
  <c r="F3099"/>
  <c r="F3098"/>
  <c r="F3097"/>
  <c r="F3096"/>
  <c r="F3095"/>
  <c r="F3094"/>
  <c r="F3093"/>
  <c r="F3092"/>
  <c r="F3091"/>
  <c r="F3090"/>
  <c r="F3089"/>
  <c r="F3088"/>
  <c r="F3087"/>
  <c r="F3086"/>
  <c r="F3085"/>
  <c r="F3084"/>
  <c r="F3083"/>
  <c r="F3082"/>
  <c r="F3081"/>
  <c r="F3080"/>
  <c r="F3079"/>
  <c r="F3078"/>
  <c r="F3077"/>
  <c r="F3076"/>
  <c r="F3075"/>
  <c r="F3074"/>
  <c r="F3073"/>
  <c r="F3072"/>
  <c r="F3071"/>
  <c r="F3070"/>
  <c r="F3069"/>
  <c r="F3068"/>
  <c r="F3067"/>
  <c r="F3066"/>
  <c r="F3065"/>
  <c r="F3064"/>
  <c r="F3063"/>
  <c r="F3062"/>
  <c r="F3061"/>
  <c r="F3060"/>
  <c r="F3059"/>
  <c r="F3058"/>
  <c r="F3057"/>
  <c r="F3056"/>
  <c r="F3055"/>
  <c r="F3054"/>
  <c r="F3053"/>
  <c r="F3052"/>
  <c r="F3051"/>
  <c r="F3050"/>
  <c r="F3049"/>
  <c r="F3048"/>
  <c r="F3047"/>
  <c r="F3046"/>
  <c r="F3045"/>
  <c r="F3044"/>
  <c r="F3043"/>
  <c r="F3042"/>
  <c r="F3041"/>
  <c r="F3040"/>
  <c r="F3039"/>
  <c r="F3038"/>
  <c r="F3037"/>
  <c r="F3036"/>
  <c r="F3035"/>
  <c r="F3034"/>
  <c r="F3033"/>
  <c r="F3032"/>
  <c r="F3031"/>
  <c r="F3030"/>
  <c r="F3029"/>
  <c r="F3028"/>
  <c r="F3027"/>
  <c r="F3026"/>
  <c r="F3025"/>
  <c r="F3024"/>
  <c r="F3023"/>
  <c r="F3022"/>
  <c r="F3021"/>
  <c r="F3020"/>
  <c r="F3019"/>
  <c r="F3018"/>
  <c r="F3017"/>
  <c r="F3016"/>
  <c r="F3015"/>
  <c r="F3014"/>
  <c r="F3013"/>
  <c r="F3012"/>
  <c r="F3011"/>
  <c r="F3010"/>
  <c r="F3009"/>
  <c r="F3008"/>
  <c r="F3007"/>
  <c r="F3006"/>
  <c r="F3005"/>
  <c r="F3004"/>
  <c r="F3003"/>
  <c r="F3002"/>
  <c r="F3001"/>
  <c r="F3000"/>
  <c r="F2999"/>
  <c r="F2998"/>
  <c r="F2997"/>
  <c r="F2996"/>
  <c r="F2995"/>
  <c r="F2994"/>
  <c r="F2993"/>
  <c r="F2992"/>
  <c r="F2991"/>
  <c r="F2990"/>
  <c r="F2989"/>
  <c r="F2988"/>
  <c r="F2987"/>
  <c r="F2986"/>
  <c r="F2985"/>
  <c r="F2984"/>
  <c r="F2983"/>
  <c r="F2982"/>
  <c r="F2981"/>
  <c r="F2980"/>
  <c r="F2979"/>
  <c r="F2978"/>
  <c r="F2977"/>
  <c r="F2976"/>
  <c r="F2975"/>
  <c r="F2974"/>
  <c r="F2973"/>
  <c r="F2972"/>
  <c r="F2971"/>
  <c r="F2970"/>
  <c r="F2969"/>
  <c r="F2968"/>
  <c r="F2967"/>
  <c r="F2966"/>
  <c r="F2965"/>
  <c r="F2964"/>
  <c r="F2963"/>
  <c r="F2962"/>
  <c r="F2961"/>
  <c r="F2960"/>
  <c r="F2959"/>
  <c r="F2958"/>
  <c r="F2957"/>
  <c r="F2956"/>
  <c r="F2955"/>
  <c r="F2954"/>
  <c r="F2953"/>
  <c r="F2952"/>
  <c r="F2951"/>
  <c r="F2950"/>
  <c r="F2949"/>
  <c r="F2948"/>
  <c r="F2947"/>
  <c r="F2946"/>
  <c r="F2945"/>
  <c r="F2944"/>
  <c r="F2943"/>
  <c r="F2942"/>
  <c r="F2941"/>
  <c r="F2940"/>
  <c r="F2939"/>
  <c r="F2938"/>
  <c r="F2937"/>
  <c r="F2936"/>
  <c r="F2935"/>
  <c r="F2934"/>
  <c r="F2933"/>
  <c r="F2932"/>
  <c r="F2931"/>
  <c r="F2930"/>
  <c r="F2929"/>
  <c r="F2928"/>
  <c r="F2927"/>
  <c r="F2926"/>
  <c r="F2925"/>
  <c r="F2924"/>
  <c r="F2923"/>
  <c r="F2922"/>
  <c r="F2921"/>
  <c r="F2920"/>
  <c r="F2919"/>
  <c r="F2918"/>
  <c r="F2917"/>
  <c r="F2916"/>
  <c r="F2915"/>
  <c r="F2914"/>
  <c r="F2913"/>
  <c r="F2912"/>
  <c r="F2911"/>
  <c r="F2910"/>
  <c r="F2909"/>
  <c r="F2908"/>
  <c r="F2907"/>
  <c r="F2906"/>
  <c r="F2905"/>
  <c r="F2904"/>
  <c r="F2903"/>
  <c r="F2902"/>
  <c r="F2901"/>
  <c r="F2900"/>
  <c r="F2899"/>
  <c r="F2898"/>
  <c r="F2897"/>
  <c r="F2896"/>
  <c r="F2895"/>
  <c r="F2894"/>
  <c r="F2893"/>
  <c r="F2892"/>
  <c r="F2891"/>
  <c r="F2890"/>
  <c r="F2889"/>
  <c r="F2888"/>
  <c r="F2887"/>
  <c r="F2886"/>
  <c r="F2885"/>
  <c r="F2884"/>
  <c r="F2883"/>
  <c r="F2882"/>
  <c r="F2881"/>
  <c r="F2880"/>
  <c r="F2879"/>
  <c r="F2878"/>
  <c r="F2877"/>
  <c r="F2876"/>
  <c r="F2875"/>
  <c r="F2874"/>
  <c r="F2873"/>
  <c r="F2872"/>
  <c r="F2871"/>
  <c r="F2870"/>
  <c r="F2869"/>
  <c r="F2868"/>
  <c r="F2867"/>
  <c r="F2866"/>
  <c r="F2865"/>
  <c r="F2864"/>
  <c r="F2863"/>
  <c r="F2862"/>
  <c r="F2861"/>
  <c r="F2860"/>
  <c r="F2859"/>
  <c r="F2858"/>
  <c r="F2857"/>
  <c r="F2856"/>
  <c r="F2855"/>
  <c r="F2854"/>
  <c r="F2853"/>
  <c r="F2852"/>
  <c r="F2851"/>
  <c r="F2850"/>
  <c r="F2849"/>
  <c r="F2848"/>
  <c r="F2847"/>
  <c r="F2846"/>
  <c r="F2845"/>
  <c r="F2844"/>
  <c r="F2843"/>
  <c r="F2842"/>
  <c r="F284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2785"/>
  <c r="F2784"/>
  <c r="F2783"/>
  <c r="F2782"/>
  <c r="F2781"/>
  <c r="F2780"/>
  <c r="F2779"/>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331"/>
  <c r="F2330"/>
  <c r="F2329"/>
  <c r="F2328"/>
  <c r="F2530"/>
  <c r="F2529"/>
  <c r="F2528"/>
  <c r="F2381"/>
  <c r="F2380"/>
  <c r="F2379"/>
  <c r="F1766"/>
  <c r="F1765"/>
  <c r="F2527"/>
  <c r="F2526"/>
  <c r="F2525"/>
  <c r="F2524"/>
  <c r="F2523"/>
  <c r="F2522"/>
  <c r="F2521"/>
  <c r="F2520"/>
  <c r="F2519"/>
  <c r="F2518"/>
  <c r="F2517"/>
  <c r="F2516"/>
  <c r="F2356"/>
  <c r="F2355"/>
  <c r="F2343"/>
  <c r="F2342"/>
  <c r="F2239"/>
  <c r="F2238"/>
  <c r="F2325"/>
  <c r="F2324"/>
  <c r="F2237"/>
  <c r="F2236"/>
  <c r="F2082"/>
  <c r="F2081"/>
  <c r="F2172"/>
  <c r="F2171"/>
  <c r="F2211"/>
  <c r="F2210"/>
  <c r="F2058"/>
  <c r="F2057"/>
  <c r="F2432"/>
  <c r="F2431"/>
  <c r="F2430"/>
  <c r="F2429"/>
  <c r="F2428"/>
  <c r="F2427"/>
  <c r="F2426"/>
  <c r="F2425"/>
  <c r="F2424"/>
  <c r="F2423"/>
  <c r="F2454"/>
  <c r="F2453"/>
  <c r="F2452"/>
  <c r="F2451"/>
  <c r="F2450"/>
  <c r="F2486"/>
  <c r="F2485"/>
  <c r="F2484"/>
  <c r="F2483"/>
  <c r="F2482"/>
  <c r="F2481"/>
  <c r="F2480"/>
  <c r="F2479"/>
  <c r="F2478"/>
  <c r="F2477"/>
  <c r="F2449"/>
  <c r="F2448"/>
  <c r="F2447"/>
  <c r="F2446"/>
  <c r="F2445"/>
  <c r="F2354"/>
  <c r="F2353"/>
  <c r="F2352"/>
  <c r="F2351"/>
  <c r="F2350"/>
  <c r="F2365"/>
  <c r="F2364"/>
  <c r="F2363"/>
  <c r="F2362"/>
  <c r="F2361"/>
  <c r="F2360"/>
  <c r="F2401"/>
  <c r="F2400"/>
  <c r="F2399"/>
  <c r="F2398"/>
  <c r="F2397"/>
  <c r="F2396"/>
  <c r="F2422"/>
  <c r="F2421"/>
  <c r="F2420"/>
  <c r="F2419"/>
  <c r="F2418"/>
  <c r="F2370"/>
  <c r="F2369"/>
  <c r="F2368"/>
  <c r="F2367"/>
  <c r="F2366"/>
  <c r="F2308"/>
  <c r="F2307"/>
  <c r="F2306"/>
  <c r="F2305"/>
  <c r="F2304"/>
  <c r="F2303"/>
  <c r="F2225"/>
  <c r="F2224"/>
  <c r="F2223"/>
  <c r="F2222"/>
  <c r="F2221"/>
  <c r="F2323"/>
  <c r="F2322"/>
  <c r="F2321"/>
  <c r="F2320"/>
  <c r="F2319"/>
  <c r="F2292"/>
  <c r="F2291"/>
  <c r="F2290"/>
  <c r="F2289"/>
  <c r="F2288"/>
  <c r="F2246"/>
  <c r="F2245"/>
  <c r="F2244"/>
  <c r="F2243"/>
  <c r="F2242"/>
  <c r="F2220"/>
  <c r="F2219"/>
  <c r="F2218"/>
  <c r="F2217"/>
  <c r="F2216"/>
  <c r="F2287"/>
  <c r="F2286"/>
  <c r="F2285"/>
  <c r="F2284"/>
  <c r="F2283"/>
  <c r="F2235"/>
  <c r="F2234"/>
  <c r="F2233"/>
  <c r="F2232"/>
  <c r="F2231"/>
  <c r="F2260"/>
  <c r="F2259"/>
  <c r="F2258"/>
  <c r="F2257"/>
  <c r="F2256"/>
  <c r="F2255"/>
  <c r="F2254"/>
  <c r="F2253"/>
  <c r="F2252"/>
  <c r="F2251"/>
  <c r="F2142"/>
  <c r="F2141"/>
  <c r="F2140"/>
  <c r="F2139"/>
  <c r="F2024"/>
  <c r="F2023"/>
  <c r="F2022"/>
  <c r="F2021"/>
  <c r="F2134"/>
  <c r="F2133"/>
  <c r="F2132"/>
  <c r="F2131"/>
  <c r="F2130"/>
  <c r="F2129"/>
  <c r="F2128"/>
  <c r="F2127"/>
  <c r="F2126"/>
  <c r="F2125"/>
  <c r="F2158"/>
  <c r="F2157"/>
  <c r="F2156"/>
  <c r="F2155"/>
  <c r="F2154"/>
  <c r="F2170"/>
  <c r="F2169"/>
  <c r="F2168"/>
  <c r="F2167"/>
  <c r="F2166"/>
  <c r="F2114"/>
  <c r="F2113"/>
  <c r="F2112"/>
  <c r="F2111"/>
  <c r="F2110"/>
  <c r="F2109"/>
  <c r="F2153"/>
  <c r="F2152"/>
  <c r="F2151"/>
  <c r="F2150"/>
  <c r="F2099"/>
  <c r="F2098"/>
  <c r="F2097"/>
  <c r="F2096"/>
  <c r="F2095"/>
  <c r="F2177"/>
  <c r="F2176"/>
  <c r="F2175"/>
  <c r="F2174"/>
  <c r="F2173"/>
  <c r="F2034"/>
  <c r="F2033"/>
  <c r="F2032"/>
  <c r="F2031"/>
  <c r="F2030"/>
  <c r="F2070"/>
  <c r="F2069"/>
  <c r="F2068"/>
  <c r="F2067"/>
  <c r="F2066"/>
  <c r="F2080"/>
  <c r="F2079"/>
  <c r="F2078"/>
  <c r="F2077"/>
  <c r="F2076"/>
  <c r="F2043"/>
  <c r="F2042"/>
  <c r="F2041"/>
  <c r="F2040"/>
  <c r="F2039"/>
  <c r="F2075"/>
  <c r="F2074"/>
  <c r="F2073"/>
  <c r="F2072"/>
  <c r="F2071"/>
  <c r="F2065"/>
  <c r="F2064"/>
  <c r="F2063"/>
  <c r="F2062"/>
  <c r="F2061"/>
  <c r="F2056"/>
  <c r="F2055"/>
  <c r="F2054"/>
  <c r="F2053"/>
  <c r="F2052"/>
  <c r="F2029"/>
  <c r="F2028"/>
  <c r="F2027"/>
  <c r="F2026"/>
  <c r="F2025"/>
  <c r="F2020"/>
  <c r="F2019"/>
  <c r="F2018"/>
  <c r="F2017"/>
  <c r="F2016"/>
  <c r="F2015"/>
  <c r="F2014"/>
  <c r="F2013"/>
  <c r="F2515"/>
  <c r="F2514"/>
  <c r="F2513"/>
  <c r="F2512"/>
  <c r="F2511"/>
  <c r="F2510"/>
  <c r="F2509"/>
  <c r="F2508"/>
  <c r="F2507"/>
  <c r="F2506"/>
  <c r="F2505"/>
  <c r="F2504"/>
  <c r="F2503"/>
  <c r="F2502"/>
  <c r="F2501"/>
  <c r="F2500"/>
  <c r="F2499"/>
  <c r="F2498"/>
  <c r="F2497"/>
  <c r="F2444"/>
  <c r="F2443"/>
  <c r="F2442"/>
  <c r="F2337"/>
  <c r="F2336"/>
  <c r="F2335"/>
  <c r="F2334"/>
  <c r="F2333"/>
  <c r="F2332"/>
  <c r="F2496"/>
  <c r="F2495"/>
  <c r="F2441"/>
  <c r="F2440"/>
  <c r="F2466"/>
  <c r="F2465"/>
  <c r="F2476"/>
  <c r="F2475"/>
  <c r="F2474"/>
  <c r="F2473"/>
  <c r="F2472"/>
  <c r="F2471"/>
  <c r="F2470"/>
  <c r="F2469"/>
  <c r="F2468"/>
  <c r="F2467"/>
  <c r="F2404"/>
  <c r="F2403"/>
  <c r="F2402"/>
  <c r="F2417"/>
  <c r="F2415"/>
  <c r="F2272"/>
  <c r="F2271"/>
  <c r="F2439"/>
  <c r="F2438"/>
  <c r="F2464"/>
  <c r="F2463"/>
  <c r="F2462"/>
  <c r="F2461"/>
  <c r="F2460"/>
  <c r="F2459"/>
  <c r="F2437"/>
  <c r="F2436"/>
  <c r="F2435"/>
  <c r="F2434"/>
  <c r="F2433"/>
  <c r="F2458"/>
  <c r="F2457"/>
  <c r="F2456"/>
  <c r="F2455"/>
  <c r="F2375"/>
  <c r="F2374"/>
  <c r="F2373"/>
  <c r="F2372"/>
  <c r="F2371"/>
  <c r="F2359"/>
  <c r="F2358"/>
  <c r="F2357"/>
  <c r="F2414"/>
  <c r="F2413"/>
  <c r="F2412"/>
  <c r="F2411"/>
  <c r="F2410"/>
  <c r="F2409"/>
  <c r="F2408"/>
  <c r="F2407"/>
  <c r="F2406"/>
  <c r="F2405"/>
  <c r="F2395"/>
  <c r="F2394"/>
  <c r="F2393"/>
  <c r="F2392"/>
  <c r="F2387"/>
  <c r="F2386"/>
  <c r="F2385"/>
  <c r="F2384"/>
  <c r="F2383"/>
  <c r="F2382"/>
  <c r="F2378"/>
  <c r="F2377"/>
  <c r="F2376"/>
  <c r="F2349"/>
  <c r="F2348"/>
  <c r="F2347"/>
  <c r="F2346"/>
  <c r="F2345"/>
  <c r="F2344"/>
  <c r="F2341"/>
  <c r="F2340"/>
  <c r="F2339"/>
  <c r="F2338"/>
  <c r="F2327"/>
  <c r="F2326"/>
  <c r="F2302"/>
  <c r="F2301"/>
  <c r="F2300"/>
  <c r="F2278"/>
  <c r="F2277"/>
  <c r="F2276"/>
  <c r="F2275"/>
  <c r="F2318"/>
  <c r="F2317"/>
  <c r="F2299"/>
  <c r="F2298"/>
  <c r="F2297"/>
  <c r="F2295"/>
  <c r="F2294"/>
  <c r="F2293"/>
  <c r="F2316"/>
  <c r="F2315"/>
  <c r="F2314"/>
  <c r="F2313"/>
  <c r="F2312"/>
  <c r="F2311"/>
  <c r="F2310"/>
  <c r="F2309"/>
  <c r="F2282"/>
  <c r="F2281"/>
  <c r="F2280"/>
  <c r="F2279"/>
  <c r="F2274"/>
  <c r="F2273"/>
  <c r="F2270"/>
  <c r="F2269"/>
  <c r="F2268"/>
  <c r="F2267"/>
  <c r="F2266"/>
  <c r="F2265"/>
  <c r="F2264"/>
  <c r="F2262"/>
  <c r="F2261"/>
  <c r="F2250"/>
  <c r="F2249"/>
  <c r="F2248"/>
  <c r="F2247"/>
  <c r="F2241"/>
  <c r="F2240"/>
  <c r="F2230"/>
  <c r="F2229"/>
  <c r="F2228"/>
  <c r="F2227"/>
  <c r="F2226"/>
  <c r="F2215"/>
  <c r="F2214"/>
  <c r="F2213"/>
  <c r="F2212"/>
  <c r="F2209"/>
  <c r="F2208"/>
  <c r="F2207"/>
  <c r="F2206"/>
  <c r="F2205"/>
  <c r="F2204"/>
  <c r="F2203"/>
  <c r="F2202"/>
  <c r="F2201"/>
  <c r="F2200"/>
  <c r="F2038"/>
  <c r="F2037"/>
  <c r="F2045"/>
  <c r="F2100"/>
  <c r="F2094"/>
  <c r="F2093"/>
  <c r="F2092"/>
  <c r="F2091"/>
  <c r="F2060"/>
  <c r="F2059"/>
  <c r="F2051"/>
  <c r="F2050"/>
  <c r="F2049"/>
  <c r="F2048"/>
  <c r="F2047"/>
  <c r="F2046"/>
  <c r="F2036"/>
  <c r="F2035"/>
  <c r="F2010"/>
  <c r="F2009"/>
  <c r="F2008"/>
  <c r="F2007"/>
  <c r="F2006"/>
  <c r="F2005"/>
  <c r="F2004"/>
  <c r="F2003"/>
  <c r="F2002"/>
  <c r="F2001"/>
  <c r="F2000"/>
  <c r="F1999"/>
  <c r="F1998"/>
  <c r="F1997"/>
  <c r="F1996"/>
  <c r="F1995"/>
  <c r="F1814"/>
  <c r="F1813"/>
  <c r="F1992"/>
  <c r="F1991"/>
  <c r="F1990"/>
  <c r="F1989"/>
  <c r="F1988"/>
  <c r="F1987"/>
  <c r="F1409"/>
  <c r="F1408"/>
  <c r="F1394"/>
  <c r="F1393"/>
  <c r="F1915"/>
  <c r="F1914"/>
  <c r="F1913"/>
  <c r="F1912"/>
  <c r="F1911"/>
  <c r="F1839"/>
  <c r="F1838"/>
  <c r="F1837"/>
  <c r="F1836"/>
  <c r="F1835"/>
  <c r="F1794"/>
  <c r="F1793"/>
  <c r="F1792"/>
  <c r="F1791"/>
  <c r="F1790"/>
  <c r="F1785"/>
  <c r="F1784"/>
  <c r="F1783"/>
  <c r="F1782"/>
  <c r="F1781"/>
  <c r="F1849"/>
  <c r="F1848"/>
  <c r="F1847"/>
  <c r="F1846"/>
  <c r="F1845"/>
  <c r="F1803"/>
  <c r="F1802"/>
  <c r="F1801"/>
  <c r="F1800"/>
  <c r="F1799"/>
  <c r="F1834"/>
  <c r="F1833"/>
  <c r="F1832"/>
  <c r="F1831"/>
  <c r="F1830"/>
  <c r="F1844"/>
  <c r="F1843"/>
  <c r="F1842"/>
  <c r="F1841"/>
  <c r="F1840"/>
  <c r="F1864"/>
  <c r="F1863"/>
  <c r="F1862"/>
  <c r="F1861"/>
  <c r="F1860"/>
  <c r="F1883"/>
  <c r="F1882"/>
  <c r="F1881"/>
  <c r="F1880"/>
  <c r="F1879"/>
  <c r="F1910"/>
  <c r="F1909"/>
  <c r="F1908"/>
  <c r="F1907"/>
  <c r="F1906"/>
  <c r="F1905"/>
  <c r="F1904"/>
  <c r="F1903"/>
  <c r="F1902"/>
  <c r="F1901"/>
  <c r="F1935"/>
  <c r="F1934"/>
  <c r="F1933"/>
  <c r="F1932"/>
  <c r="F1931"/>
  <c r="F1986"/>
  <c r="F1985"/>
  <c r="F1984"/>
  <c r="F1983"/>
  <c r="F1982"/>
  <c r="F1775"/>
  <c r="F1774"/>
  <c r="F1773"/>
  <c r="F1772"/>
  <c r="F1771"/>
  <c r="F1878"/>
  <c r="F1877"/>
  <c r="F1876"/>
  <c r="F1875"/>
  <c r="F1874"/>
  <c r="F1780"/>
  <c r="F1779"/>
  <c r="F1778"/>
  <c r="F1777"/>
  <c r="F1776"/>
  <c r="F1812"/>
  <c r="F1811"/>
  <c r="F1810"/>
  <c r="F1809"/>
  <c r="F1808"/>
  <c r="F1584"/>
  <c r="F1583"/>
  <c r="F1582"/>
  <c r="F1581"/>
  <c r="F1580"/>
  <c r="F1569"/>
  <c r="F1568"/>
  <c r="F1567"/>
  <c r="F1566"/>
  <c r="F1565"/>
  <c r="F1555"/>
  <c r="F1554"/>
  <c r="F1553"/>
  <c r="F1552"/>
  <c r="F1551"/>
  <c r="F1564"/>
  <c r="F1563"/>
  <c r="F1562"/>
  <c r="F1561"/>
  <c r="F1608"/>
  <c r="F1607"/>
  <c r="F1606"/>
  <c r="F1605"/>
  <c r="F1604"/>
  <c r="F1603"/>
  <c r="F1665"/>
  <c r="F1664"/>
  <c r="F1663"/>
  <c r="F1662"/>
  <c r="F1661"/>
  <c r="F1681"/>
  <c r="F1680"/>
  <c r="F1679"/>
  <c r="F1678"/>
  <c r="F1677"/>
  <c r="F1660"/>
  <c r="F1659"/>
  <c r="F1658"/>
  <c r="F1657"/>
  <c r="F1656"/>
  <c r="F1602"/>
  <c r="F1601"/>
  <c r="F1600"/>
  <c r="F1599"/>
  <c r="F1598"/>
  <c r="F1595"/>
  <c r="F1594"/>
  <c r="F1593"/>
  <c r="F1592"/>
  <c r="F1591"/>
  <c r="F1617"/>
  <c r="F1616"/>
  <c r="F1615"/>
  <c r="F1614"/>
  <c r="F1613"/>
  <c r="F1629"/>
  <c r="F1628"/>
  <c r="F1627"/>
  <c r="F1626"/>
  <c r="F1625"/>
  <c r="F1655"/>
  <c r="F1654"/>
  <c r="F1653"/>
  <c r="F1652"/>
  <c r="F1651"/>
  <c r="F1698"/>
  <c r="F1697"/>
  <c r="F1696"/>
  <c r="F1695"/>
  <c r="F1694"/>
  <c r="F1693"/>
  <c r="F1692"/>
  <c r="F1691"/>
  <c r="F1690"/>
  <c r="F1550"/>
  <c r="F1707"/>
  <c r="F1706"/>
  <c r="F1705"/>
  <c r="F1704"/>
  <c r="F1703"/>
  <c r="F1714"/>
  <c r="F1713"/>
  <c r="F1712"/>
  <c r="F1711"/>
  <c r="F1710"/>
  <c r="F1549"/>
  <c r="F1548"/>
  <c r="F1547"/>
  <c r="F1546"/>
  <c r="F1545"/>
  <c r="F1544"/>
  <c r="F1543"/>
  <c r="F1542"/>
  <c r="F1541"/>
  <c r="F1540"/>
  <c r="F1754"/>
  <c r="F1753"/>
  <c r="F1752"/>
  <c r="F1751"/>
  <c r="F1750"/>
  <c r="F1392"/>
  <c r="F1391"/>
  <c r="F1560"/>
  <c r="F1559"/>
  <c r="F1558"/>
  <c r="F1528"/>
  <c r="F1460"/>
  <c r="F1442"/>
  <c r="F1403"/>
  <c r="F1390"/>
  <c r="F1389"/>
  <c r="F1491"/>
  <c r="F1490"/>
  <c r="F1489"/>
  <c r="F1488"/>
  <c r="F1487"/>
  <c r="F1441"/>
  <c r="F1440"/>
  <c r="F1439"/>
  <c r="F1438"/>
  <c r="F1437"/>
  <c r="F1436"/>
  <c r="F1435"/>
  <c r="F1434"/>
  <c r="F1433"/>
  <c r="F1432"/>
  <c r="F1431"/>
  <c r="F1430"/>
  <c r="F1429"/>
  <c r="F1428"/>
  <c r="F1427"/>
  <c r="F1459"/>
  <c r="F1458"/>
  <c r="F1457"/>
  <c r="F1456"/>
  <c r="F1455"/>
  <c r="F1426"/>
  <c r="F1425"/>
  <c r="F1424"/>
  <c r="F1423"/>
  <c r="F1422"/>
  <c r="F1505"/>
  <c r="F1504"/>
  <c r="F1503"/>
  <c r="F1502"/>
  <c r="F1501"/>
  <c r="F1500"/>
  <c r="F1499"/>
  <c r="F1498"/>
  <c r="F1497"/>
  <c r="F1421"/>
  <c r="F1527"/>
  <c r="F1526"/>
  <c r="F1525"/>
  <c r="F1524"/>
  <c r="F1523"/>
  <c r="F1981"/>
  <c r="F1980"/>
  <c r="F1979"/>
  <c r="F1978"/>
  <c r="F1977"/>
  <c r="F1976"/>
  <c r="F1975"/>
  <c r="F1974"/>
  <c r="F1973"/>
  <c r="F1972"/>
  <c r="F1970"/>
  <c r="F1969"/>
  <c r="F1968"/>
  <c r="F1967"/>
  <c r="F1966"/>
  <c r="F1965"/>
  <c r="F1964"/>
  <c r="F1963"/>
  <c r="F1962"/>
  <c r="F1961"/>
  <c r="F1960"/>
  <c r="F1873"/>
  <c r="F1872"/>
  <c r="F1871"/>
  <c r="F1853"/>
  <c r="F1852"/>
  <c r="F1959"/>
  <c r="F1958"/>
  <c r="F1855"/>
  <c r="F1854"/>
  <c r="F1900"/>
  <c r="F1899"/>
  <c r="F1898"/>
  <c r="F1388"/>
  <c r="F1387"/>
  <c r="F1670"/>
  <c r="F1669"/>
  <c r="F1668"/>
  <c r="F1386"/>
  <c r="F1454"/>
  <c r="F1453"/>
  <c r="F1420"/>
  <c r="F1419"/>
  <c r="F1418"/>
  <c r="F1736"/>
  <c r="F1735"/>
  <c r="F1734"/>
  <c r="F1733"/>
  <c r="F1732"/>
  <c r="F1731"/>
  <c r="F1957"/>
  <c r="F1956"/>
  <c r="F1955"/>
  <c r="F1954"/>
  <c r="F1953"/>
  <c r="F1952"/>
  <c r="F1951"/>
  <c r="F1950"/>
  <c r="F1949"/>
  <c r="F1948"/>
  <c r="F1729"/>
  <c r="F1728"/>
  <c r="F1727"/>
  <c r="F1726"/>
  <c r="F1725"/>
  <c r="F1522"/>
  <c r="F1521"/>
  <c r="F1520"/>
  <c r="F1519"/>
  <c r="F1518"/>
  <c r="F1517"/>
  <c r="F1516"/>
  <c r="F1515"/>
  <c r="F1381"/>
  <c r="F1380"/>
  <c r="F1379"/>
  <c r="F1378"/>
  <c r="F1377"/>
  <c r="F1376"/>
  <c r="F1375"/>
  <c r="F1374"/>
  <c r="F1167"/>
  <c r="F1166"/>
  <c r="F1165"/>
  <c r="F1164"/>
  <c r="F1163"/>
  <c r="F1162"/>
  <c r="F1161"/>
  <c r="F1160"/>
  <c r="F843"/>
  <c r="F842"/>
  <c r="F841"/>
  <c r="F840"/>
  <c r="F839"/>
  <c r="F838"/>
  <c r="F837"/>
  <c r="F836"/>
  <c r="F1373"/>
  <c r="F1372"/>
  <c r="F1371"/>
  <c r="F1370"/>
  <c r="F1369"/>
  <c r="F1368"/>
  <c r="F1367"/>
  <c r="F1366"/>
  <c r="F1365"/>
  <c r="F616"/>
  <c r="F615"/>
  <c r="F614"/>
  <c r="F613"/>
  <c r="F612"/>
  <c r="F611"/>
  <c r="F610"/>
  <c r="F639"/>
  <c r="F1364"/>
  <c r="F1363"/>
  <c r="F1362"/>
  <c r="F1361"/>
  <c r="F1360"/>
  <c r="F1359"/>
  <c r="F609"/>
  <c r="F876"/>
  <c r="F713"/>
  <c r="F1284"/>
  <c r="F1283"/>
  <c r="F1282"/>
  <c r="F1194"/>
  <c r="F1193"/>
  <c r="F1192"/>
  <c r="F968"/>
  <c r="F967"/>
  <c r="F966"/>
  <c r="F1159"/>
  <c r="F1158"/>
  <c r="F1157"/>
  <c r="F619"/>
  <c r="F618"/>
  <c r="F617"/>
  <c r="F607"/>
  <c r="F606"/>
  <c r="F605"/>
  <c r="F604"/>
  <c r="F1358"/>
  <c r="F1357"/>
  <c r="F715"/>
  <c r="F714"/>
  <c r="F638"/>
  <c r="F637"/>
  <c r="F636"/>
  <c r="F635"/>
  <c r="F634"/>
  <c r="F633"/>
  <c r="F858"/>
  <c r="F857"/>
  <c r="F745"/>
  <c r="F744"/>
  <c r="F743"/>
  <c r="F742"/>
  <c r="F632"/>
  <c r="F631"/>
  <c r="F630"/>
  <c r="F629"/>
  <c r="F628"/>
  <c r="F627"/>
  <c r="F1212"/>
  <c r="F1211"/>
  <c r="F1210"/>
  <c r="F1209"/>
  <c r="F1208"/>
  <c r="F1243"/>
  <c r="F1242"/>
  <c r="F1241"/>
  <c r="F1240"/>
  <c r="F1239"/>
  <c r="F1238"/>
  <c r="F1237"/>
  <c r="F1236"/>
  <c r="F1235"/>
  <c r="F1234"/>
  <c r="F1224"/>
  <c r="F1223"/>
  <c r="F1222"/>
  <c r="F1221"/>
  <c r="F1220"/>
  <c r="F1253"/>
  <c r="F1252"/>
  <c r="F1251"/>
  <c r="F1250"/>
  <c r="F1249"/>
  <c r="F1262"/>
  <c r="F1261"/>
  <c r="F1260"/>
  <c r="F1259"/>
  <c r="F1258"/>
  <c r="F1300"/>
  <c r="F1299"/>
  <c r="F1298"/>
  <c r="F1297"/>
  <c r="F1296"/>
  <c r="F1219"/>
  <c r="F1218"/>
  <c r="F1217"/>
  <c r="F1216"/>
  <c r="F1215"/>
  <c r="F1295"/>
  <c r="F1294"/>
  <c r="F1293"/>
  <c r="F1292"/>
  <c r="F1291"/>
  <c r="F1182"/>
  <c r="F1181"/>
  <c r="F1180"/>
  <c r="F1179"/>
  <c r="F1178"/>
  <c r="F1191"/>
  <c r="F1190"/>
  <c r="F1189"/>
  <c r="F1170"/>
  <c r="F1248"/>
  <c r="F1207"/>
  <c r="F1206"/>
  <c r="F1205"/>
  <c r="F1204"/>
  <c r="F1203"/>
  <c r="F1307"/>
  <c r="F1306"/>
  <c r="F1305"/>
  <c r="F1304"/>
  <c r="F1303"/>
  <c r="F873"/>
  <c r="F872"/>
  <c r="F871"/>
  <c r="F870"/>
  <c r="F869"/>
  <c r="F1086"/>
  <c r="F1085"/>
  <c r="F1084"/>
  <c r="F1083"/>
  <c r="F1082"/>
  <c r="F1156"/>
  <c r="F1155"/>
  <c r="F1154"/>
  <c r="F1153"/>
  <c r="F1152"/>
  <c r="F1151"/>
  <c r="F1150"/>
  <c r="F1149"/>
  <c r="F1148"/>
  <c r="F1147"/>
  <c r="F1134"/>
  <c r="F1133"/>
  <c r="F1132"/>
  <c r="F1131"/>
  <c r="F1130"/>
  <c r="F1119"/>
  <c r="F1118"/>
  <c r="F1117"/>
  <c r="F1116"/>
  <c r="F1115"/>
  <c r="F1114"/>
  <c r="F1113"/>
  <c r="F1112"/>
  <c r="F1111"/>
  <c r="F1110"/>
  <c r="F1109"/>
  <c r="F603"/>
  <c r="F602"/>
  <c r="F243"/>
  <c r="F242"/>
  <c r="F241"/>
  <c r="F240"/>
  <c r="F239"/>
  <c r="F238"/>
  <c r="F433"/>
  <c r="F432"/>
  <c r="F1947"/>
  <c r="F1946"/>
  <c r="F1945"/>
  <c r="F1944"/>
  <c r="F1943"/>
  <c r="F1942"/>
  <c r="F1941"/>
  <c r="F1940"/>
  <c r="F1939"/>
  <c r="F1938"/>
  <c r="F595"/>
  <c r="F594"/>
  <c r="F593"/>
  <c r="F592"/>
  <c r="F591"/>
  <c r="F590"/>
  <c r="F589"/>
  <c r="F588"/>
  <c r="F587"/>
  <c r="F586"/>
  <c r="F585"/>
  <c r="F584"/>
  <c r="F583"/>
  <c r="F582"/>
  <c r="F581"/>
  <c r="F580"/>
  <c r="F579"/>
  <c r="F578"/>
  <c r="F577"/>
  <c r="F576"/>
  <c r="F575"/>
  <c r="F574"/>
  <c r="F573"/>
  <c r="F572"/>
  <c r="F571"/>
  <c r="F1887"/>
  <c r="F1886"/>
  <c r="F1870"/>
  <c r="F1869"/>
  <c r="F1859"/>
  <c r="F1858"/>
  <c r="F1829"/>
  <c r="F1828"/>
  <c r="F1827"/>
  <c r="F1826"/>
  <c r="F1825"/>
  <c r="F1824"/>
  <c r="F1807"/>
  <c r="F1806"/>
  <c r="F1798"/>
  <c r="F1797"/>
  <c r="F1770"/>
  <c r="F1769"/>
  <c r="F1724"/>
  <c r="F1723"/>
  <c r="F1718"/>
  <c r="F1717"/>
  <c r="F1689"/>
  <c r="F1688"/>
  <c r="F1687"/>
  <c r="F1686"/>
  <c r="F1676"/>
  <c r="F1674"/>
  <c r="F1673"/>
  <c r="F1671"/>
  <c r="F1645"/>
  <c r="F1642"/>
  <c r="F1641"/>
  <c r="F1638"/>
  <c r="F1637"/>
  <c r="F1636"/>
  <c r="F1631"/>
  <c r="F1630"/>
  <c r="F1624"/>
  <c r="F1622"/>
  <c r="F1610"/>
  <c r="F1609"/>
  <c r="F1590"/>
  <c r="F1589"/>
  <c r="F1514"/>
  <c r="F1513"/>
  <c r="F1476"/>
  <c r="J1947"/>
  <c r="J1946"/>
  <c r="J1945"/>
  <c r="J1944"/>
  <c r="J1943"/>
  <c r="J1942"/>
  <c r="J1941"/>
  <c r="J1940"/>
  <c r="J1939"/>
  <c r="J1938"/>
  <c r="J600"/>
  <c r="J599"/>
  <c r="J598"/>
  <c r="J597"/>
  <c r="J596"/>
  <c r="J413"/>
  <c r="J412"/>
  <c r="J411"/>
  <c r="J410"/>
  <c r="J409"/>
  <c r="J408"/>
  <c r="J243"/>
  <c r="J242"/>
  <c r="J241"/>
  <c r="J240"/>
  <c r="J239"/>
  <c r="J238"/>
  <c r="J433"/>
  <c r="F563"/>
  <c r="F437"/>
  <c r="F388"/>
  <c r="J345"/>
  <c r="F345"/>
  <c r="F342"/>
  <c r="F335"/>
  <c r="J437"/>
  <c r="J388"/>
  <c r="J342"/>
  <c r="J335"/>
  <c r="J301"/>
  <c r="F301"/>
  <c r="F162"/>
  <c r="J162"/>
  <c r="J159"/>
  <c r="F159"/>
  <c r="J145"/>
  <c r="F145"/>
  <c r="J33"/>
  <c r="F33"/>
  <c r="J551"/>
  <c r="J459"/>
  <c r="K1" i="35"/>
  <c r="F1"/>
  <c r="Q12" i="4"/>
  <c r="P12"/>
  <c r="M12"/>
  <c r="L12"/>
  <c r="H12"/>
  <c r="G12"/>
  <c r="N12" l="1"/>
  <c r="K26" s="1"/>
  <c r="I12"/>
  <c r="N26" l="1"/>
  <c r="O26" s="1"/>
  <c r="K54"/>
  <c r="N54" s="1"/>
  <c r="O12"/>
  <c r="R12" s="1"/>
  <c r="F2" l="1"/>
  <c r="F1473" i="33"/>
  <c r="F1472"/>
  <c r="F1471"/>
  <c r="F1468"/>
  <c r="F1465"/>
  <c r="F1464"/>
  <c r="F1463"/>
  <c r="F1417"/>
  <c r="F1416"/>
  <c r="F569"/>
  <c r="F568"/>
  <c r="F567"/>
  <c r="F566"/>
  <c r="F565"/>
  <c r="F562"/>
  <c r="F538"/>
  <c r="F535"/>
  <c r="F534"/>
  <c r="F533"/>
  <c r="F532"/>
  <c r="F529"/>
  <c r="F478"/>
  <c r="F477"/>
  <c r="F469"/>
  <c r="F468"/>
  <c r="F438"/>
  <c r="F436"/>
  <c r="F407"/>
  <c r="F406"/>
  <c r="F405"/>
  <c r="F404"/>
  <c r="F389"/>
  <c r="F387"/>
  <c r="F363"/>
  <c r="F362"/>
  <c r="F361"/>
  <c r="F358"/>
  <c r="F346"/>
  <c r="F344"/>
  <c r="F343"/>
  <c r="F341"/>
  <c r="F340"/>
  <c r="F337"/>
  <c r="F336"/>
  <c r="F334"/>
  <c r="F302"/>
  <c r="F300"/>
  <c r="F237"/>
  <c r="F236"/>
  <c r="F235"/>
  <c r="F234"/>
  <c r="F233"/>
  <c r="F232"/>
  <c r="F231"/>
  <c r="F230"/>
  <c r="F163"/>
  <c r="F161"/>
  <c r="F160"/>
  <c r="F158"/>
  <c r="F146"/>
  <c r="F144"/>
  <c r="F143"/>
  <c r="F105"/>
  <c r="F34"/>
  <c r="F32"/>
  <c r="F1885"/>
  <c r="F1884"/>
  <c r="F1868"/>
  <c r="F1867"/>
  <c r="F1866"/>
  <c r="F1865"/>
  <c r="F1857"/>
  <c r="F1856"/>
  <c r="F1805"/>
  <c r="F1804"/>
  <c r="F1796"/>
  <c r="F1795"/>
  <c r="F1789"/>
  <c r="F1788"/>
  <c r="F1787"/>
  <c r="F1786"/>
  <c r="F1764"/>
  <c r="F1763"/>
  <c r="F1758"/>
  <c r="F1757"/>
  <c r="F1756"/>
  <c r="F1755"/>
  <c r="F1720"/>
  <c r="F1719"/>
  <c r="F1716"/>
  <c r="F1715"/>
  <c r="F1709"/>
  <c r="F1708"/>
  <c r="F1667"/>
  <c r="F1666"/>
  <c r="F1635"/>
  <c r="F1634"/>
  <c r="F1633"/>
  <c r="F1632"/>
  <c r="F1621"/>
  <c r="F1620"/>
  <c r="F1612"/>
  <c r="F1611"/>
  <c r="F1588"/>
  <c r="F1587"/>
  <c r="F1579"/>
  <c r="F1578"/>
  <c r="F1573"/>
  <c r="F1572"/>
  <c r="F1512"/>
  <c r="F1511"/>
  <c r="F1496"/>
  <c r="F1495"/>
  <c r="F1452"/>
  <c r="F1451"/>
  <c r="F1415"/>
  <c r="F1414"/>
  <c r="F1413"/>
  <c r="F1412"/>
  <c r="F1402"/>
  <c r="F1401"/>
  <c r="F1176"/>
  <c r="F1099"/>
  <c r="F1098"/>
  <c r="F1051"/>
  <c r="F1050"/>
  <c r="F1049"/>
  <c r="F1048"/>
  <c r="F1047"/>
  <c r="F1046"/>
  <c r="F1040"/>
  <c r="F1039"/>
  <c r="F1038"/>
  <c r="F1037"/>
  <c r="F1036"/>
  <c r="F1035"/>
  <c r="F1014"/>
  <c r="F1013"/>
  <c r="F986"/>
  <c r="F985"/>
  <c r="F974"/>
  <c r="F973"/>
  <c r="F972"/>
  <c r="F971"/>
  <c r="F952"/>
  <c r="F951"/>
  <c r="F936"/>
  <c r="F935"/>
  <c r="F914"/>
  <c r="F913"/>
  <c r="F810"/>
  <c r="F809"/>
  <c r="F803"/>
  <c r="F802"/>
  <c r="F727"/>
  <c r="F726"/>
  <c r="F719"/>
  <c r="F718"/>
  <c r="F692"/>
  <c r="F691"/>
  <c r="F668"/>
  <c r="F667"/>
  <c r="F435"/>
  <c r="F434"/>
  <c r="F424"/>
  <c r="F423"/>
  <c r="F384"/>
  <c r="F383"/>
  <c r="F377"/>
  <c r="F376"/>
  <c r="F333"/>
  <c r="F332"/>
  <c r="F331"/>
  <c r="F330"/>
  <c r="F329"/>
  <c r="F328"/>
  <c r="F327"/>
  <c r="F326"/>
  <c r="F299"/>
  <c r="F298"/>
  <c r="F297"/>
  <c r="F296"/>
  <c r="F229"/>
  <c r="F228"/>
  <c r="F200"/>
  <c r="F199"/>
  <c r="F193"/>
  <c r="F192"/>
  <c r="F185"/>
  <c r="F184"/>
  <c r="F157"/>
  <c r="F156"/>
  <c r="F114"/>
  <c r="F113"/>
  <c r="F104"/>
  <c r="F103"/>
  <c r="F56"/>
  <c r="F55"/>
  <c r="F1823"/>
  <c r="F1822"/>
  <c r="F1597"/>
  <c r="F1596"/>
  <c r="F1586"/>
  <c r="F1585"/>
  <c r="F1575"/>
  <c r="F1574"/>
  <c r="F1577"/>
  <c r="F1576"/>
  <c r="F1571"/>
  <c r="F1570"/>
  <c r="F1619"/>
  <c r="F1618"/>
  <c r="F1650"/>
  <c r="F1649"/>
  <c r="F1685"/>
  <c r="F1684"/>
  <c r="F1702"/>
  <c r="F1701"/>
  <c r="F1483"/>
  <c r="F1482"/>
  <c r="F1450"/>
  <c r="F1449"/>
  <c r="F1448"/>
  <c r="F1447"/>
  <c r="F1446"/>
  <c r="F1445"/>
  <c r="F1444"/>
  <c r="F1443"/>
  <c r="F1411"/>
  <c r="F1410"/>
  <c r="F1400"/>
  <c r="F1399"/>
  <c r="F1398"/>
  <c r="F1397"/>
  <c r="F1385"/>
  <c r="F1384"/>
  <c r="F1383"/>
  <c r="F1382"/>
  <c r="F1302"/>
  <c r="F1301"/>
  <c r="F1290"/>
  <c r="F1289"/>
  <c r="F1288"/>
  <c r="F1287"/>
  <c r="F1286"/>
  <c r="F1285"/>
  <c r="F1257"/>
  <c r="F1256"/>
  <c r="F1247"/>
  <c r="F1246"/>
  <c r="F1245"/>
  <c r="F1244"/>
  <c r="F1230"/>
  <c r="F1229"/>
  <c r="F1228"/>
  <c r="F1227"/>
  <c r="F1226"/>
  <c r="F1225"/>
  <c r="F1202"/>
  <c r="F1201"/>
  <c r="F1200"/>
  <c r="F1199"/>
  <c r="F1198"/>
  <c r="F1197"/>
  <c r="F1175"/>
  <c r="F1174"/>
  <c r="F1169"/>
  <c r="F1168"/>
  <c r="F1142"/>
  <c r="F1141"/>
  <c r="F1129"/>
  <c r="F1128"/>
  <c r="F1127"/>
  <c r="F1126"/>
  <c r="F1125"/>
  <c r="F1124"/>
  <c r="F1123"/>
  <c r="F1122"/>
  <c r="F1121"/>
  <c r="F1120"/>
  <c r="F1097"/>
  <c r="F1096"/>
  <c r="F1095"/>
  <c r="F1094"/>
  <c r="F1090"/>
  <c r="F1089"/>
  <c r="F1063"/>
  <c r="F1062"/>
  <c r="F1012"/>
  <c r="F1011"/>
  <c r="F1010"/>
  <c r="F1009"/>
  <c r="F984"/>
  <c r="F983"/>
  <c r="F970"/>
  <c r="F969"/>
  <c r="F958"/>
  <c r="F957"/>
  <c r="F954"/>
  <c r="F953"/>
  <c r="F950"/>
  <c r="F949"/>
  <c r="F943"/>
  <c r="F942"/>
  <c r="F934"/>
  <c r="F933"/>
  <c r="F912"/>
  <c r="F911"/>
  <c r="F910"/>
  <c r="F909"/>
  <c r="F908"/>
  <c r="F907"/>
  <c r="F875"/>
  <c r="F874"/>
  <c r="F862"/>
  <c r="F861"/>
  <c r="F818"/>
  <c r="F817"/>
  <c r="F816"/>
  <c r="F815"/>
  <c r="F814"/>
  <c r="F813"/>
  <c r="F788"/>
  <c r="F787"/>
  <c r="F771"/>
  <c r="F770"/>
  <c r="F769"/>
  <c r="F768"/>
  <c r="F767"/>
  <c r="F766"/>
  <c r="F765"/>
  <c r="F764"/>
  <c r="F755"/>
  <c r="F754"/>
  <c r="F725"/>
  <c r="F724"/>
  <c r="F717"/>
  <c r="F716"/>
  <c r="F690"/>
  <c r="F689"/>
  <c r="F688"/>
  <c r="F687"/>
  <c r="F686"/>
  <c r="F685"/>
  <c r="F684"/>
  <c r="F683"/>
  <c r="F677"/>
  <c r="F676"/>
  <c r="F658"/>
  <c r="F657"/>
  <c r="F646"/>
  <c r="F645"/>
  <c r="F644"/>
  <c r="F643"/>
  <c r="F561"/>
  <c r="F560"/>
  <c r="F545"/>
  <c r="F544"/>
  <c r="F476"/>
  <c r="F475"/>
  <c r="F467"/>
  <c r="F466"/>
  <c r="F465"/>
  <c r="F464"/>
  <c r="F445"/>
  <c r="F444"/>
  <c r="F431"/>
  <c r="F430"/>
  <c r="F422"/>
  <c r="F421"/>
  <c r="F420"/>
  <c r="F419"/>
  <c r="F386"/>
  <c r="F385"/>
  <c r="F375"/>
  <c r="F374"/>
  <c r="F325"/>
  <c r="F324"/>
  <c r="F253"/>
  <c r="F252"/>
  <c r="F227"/>
  <c r="F226"/>
  <c r="F225"/>
  <c r="F224"/>
  <c r="F223"/>
  <c r="F222"/>
  <c r="F183"/>
  <c r="F182"/>
  <c r="F172"/>
  <c r="F171"/>
  <c r="F170"/>
  <c r="F169"/>
  <c r="F141"/>
  <c r="F140"/>
  <c r="F139"/>
  <c r="F138"/>
  <c r="F102"/>
  <c r="F101"/>
  <c r="F100"/>
  <c r="F99"/>
  <c r="F54"/>
  <c r="F53"/>
  <c r="F1889"/>
  <c r="F1888"/>
  <c r="F1768"/>
  <c r="F1767"/>
  <c r="F1821"/>
  <c r="F1820"/>
  <c r="F1819"/>
  <c r="F1818"/>
  <c r="F1817"/>
  <c r="F1815"/>
  <c r="F1762"/>
  <c r="F1761"/>
  <c r="F1700"/>
  <c r="F1699"/>
  <c r="F1722"/>
  <c r="F1721"/>
  <c r="F1510"/>
  <c r="F1509"/>
  <c r="F1396"/>
  <c r="F1395"/>
  <c r="F1683"/>
  <c r="F1682"/>
  <c r="F1557"/>
  <c r="F1556"/>
  <c r="F1648"/>
  <c r="F1646"/>
  <c r="F1470"/>
  <c r="F1469"/>
  <c r="F1462"/>
  <c r="F1461"/>
  <c r="F1508"/>
  <c r="F1506"/>
  <c r="F1484"/>
  <c r="F1479"/>
  <c r="F1477"/>
  <c r="F1404"/>
  <c r="F1332"/>
  <c r="F1331"/>
  <c r="F1330"/>
  <c r="F1329"/>
  <c r="F1328"/>
  <c r="F1327"/>
  <c r="F1311"/>
  <c r="F1310"/>
  <c r="F1309"/>
  <c r="F1308"/>
  <c r="F1272"/>
  <c r="F203"/>
  <c r="F201"/>
  <c r="F16" i="4" l="1"/>
  <c r="F17" s="1"/>
  <c r="F45" s="1"/>
  <c r="F46" s="1"/>
  <c r="F30"/>
  <c r="Q125" i="36"/>
  <c r="P125"/>
  <c r="Q124"/>
  <c r="P124"/>
  <c r="Q123"/>
  <c r="P123"/>
  <c r="Q122"/>
  <c r="P122"/>
  <c r="Q121"/>
  <c r="P121"/>
  <c r="Q120"/>
  <c r="P120"/>
  <c r="Q119"/>
  <c r="P119"/>
  <c r="Q118"/>
  <c r="P118"/>
  <c r="Q117"/>
  <c r="P117"/>
  <c r="Q116"/>
  <c r="P116"/>
  <c r="Q115"/>
  <c r="P115"/>
  <c r="Q114"/>
  <c r="P114"/>
  <c r="Q113"/>
  <c r="P113"/>
  <c r="Q112"/>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Q93"/>
  <c r="P93"/>
  <c r="Q92"/>
  <c r="P92"/>
  <c r="Q91"/>
  <c r="P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Q7"/>
  <c r="P7"/>
  <c r="T1104" i="21"/>
  <c r="T1103"/>
  <c r="T1102"/>
  <c r="T1101"/>
  <c r="T1100"/>
  <c r="T1099"/>
  <c r="T1098"/>
  <c r="T1097"/>
  <c r="T1096"/>
  <c r="T1095"/>
  <c r="T918"/>
  <c r="T917"/>
  <c r="T916"/>
  <c r="T914"/>
  <c r="T913"/>
  <c r="T912"/>
  <c r="T911"/>
  <c r="T910"/>
  <c r="T909"/>
  <c r="T1114"/>
  <c r="T1113"/>
  <c r="T1112"/>
  <c r="T1111"/>
  <c r="T1110"/>
  <c r="T1124"/>
  <c r="T1123"/>
  <c r="T1122"/>
  <c r="T1121"/>
  <c r="T1120"/>
  <c r="T1119"/>
  <c r="T1118"/>
  <c r="T1117"/>
  <c r="T1116"/>
  <c r="T1115"/>
  <c r="T1109"/>
  <c r="T1108"/>
  <c r="T1107"/>
  <c r="T1106"/>
  <c r="T1105"/>
  <c r="T1081"/>
  <c r="T1080"/>
  <c r="T1079"/>
  <c r="T1078"/>
  <c r="T1077"/>
  <c r="T1128"/>
  <c r="T1127"/>
  <c r="T1126"/>
  <c r="T1125"/>
  <c r="T1094"/>
  <c r="T1093"/>
  <c r="T1092"/>
  <c r="T1091"/>
  <c r="T1090"/>
  <c r="T1053"/>
  <c r="T1052"/>
  <c r="T1051"/>
  <c r="T1049"/>
  <c r="T1048"/>
  <c r="T1058"/>
  <c r="T1057"/>
  <c r="T1056"/>
  <c r="T1055"/>
  <c r="T1054"/>
  <c r="T1027"/>
  <c r="T1026"/>
  <c r="T1025"/>
  <c r="T1024"/>
  <c r="T1023"/>
  <c r="T1032"/>
  <c r="T1031"/>
  <c r="T1030"/>
  <c r="T1029"/>
  <c r="T1028"/>
  <c r="T987"/>
  <c r="T986"/>
  <c r="T985"/>
  <c r="T984"/>
  <c r="T983"/>
  <c r="T982"/>
  <c r="T981"/>
  <c r="T980"/>
  <c r="T979"/>
  <c r="T908"/>
  <c r="T907"/>
  <c r="T906"/>
  <c r="T905"/>
  <c r="T904"/>
  <c r="T903"/>
  <c r="T953"/>
  <c r="T952"/>
  <c r="T951"/>
  <c r="T950"/>
  <c r="T949"/>
  <c r="T923"/>
  <c r="T922"/>
  <c r="T921"/>
  <c r="T920"/>
  <c r="T919"/>
  <c r="T938"/>
  <c r="T937"/>
  <c r="T936"/>
  <c r="T935"/>
  <c r="T934"/>
  <c r="T943"/>
  <c r="T942"/>
  <c r="T941"/>
  <c r="T940"/>
  <c r="T939"/>
  <c r="T625"/>
  <c r="T624"/>
  <c r="T623"/>
  <c r="T622"/>
  <c r="T621"/>
  <c r="T620"/>
  <c r="T619"/>
  <c r="T900"/>
  <c r="T899"/>
  <c r="T898"/>
  <c r="T897"/>
  <c r="T896"/>
  <c r="T895"/>
  <c r="T894"/>
  <c r="T618"/>
  <c r="T617"/>
  <c r="T817"/>
  <c r="T816"/>
  <c r="T815"/>
  <c r="T814"/>
  <c r="T813"/>
  <c r="T812"/>
  <c r="T811"/>
  <c r="T810"/>
  <c r="T809"/>
  <c r="T808"/>
  <c r="T832"/>
  <c r="T831"/>
  <c r="T830"/>
  <c r="T829"/>
  <c r="T828"/>
  <c r="T870"/>
  <c r="T869"/>
  <c r="T868"/>
  <c r="T867"/>
  <c r="T866"/>
  <c r="T902"/>
  <c r="T901"/>
  <c r="T626"/>
  <c r="T719"/>
  <c r="T718"/>
  <c r="T717"/>
  <c r="T716"/>
  <c r="T715"/>
  <c r="T772"/>
  <c r="T771"/>
  <c r="T770"/>
  <c r="T769"/>
  <c r="T768"/>
  <c r="T777"/>
  <c r="T776"/>
  <c r="T775"/>
  <c r="T774"/>
  <c r="T773"/>
  <c r="T690"/>
  <c r="T689"/>
  <c r="T688"/>
  <c r="T687"/>
  <c r="T686"/>
  <c r="T797"/>
  <c r="T796"/>
  <c r="T795"/>
  <c r="T794"/>
  <c r="T679"/>
  <c r="T678"/>
  <c r="T677"/>
  <c r="T611"/>
  <c r="T612"/>
  <c r="T609"/>
  <c r="T610"/>
  <c r="T608"/>
  <c r="T607"/>
  <c r="T606"/>
  <c r="T605"/>
  <c r="T661"/>
  <c r="T660"/>
  <c r="T659"/>
  <c r="T658"/>
  <c r="T657"/>
  <c r="T648"/>
  <c r="T647"/>
  <c r="T646"/>
  <c r="T645"/>
  <c r="T644"/>
  <c r="T643"/>
  <c r="T642"/>
  <c r="T641"/>
  <c r="T640"/>
  <c r="T639"/>
  <c r="T633"/>
  <c r="T632"/>
  <c r="T631"/>
  <c r="T630"/>
  <c r="T629"/>
  <c r="T671"/>
  <c r="T670"/>
  <c r="T669"/>
  <c r="T668"/>
  <c r="T667"/>
  <c r="T666"/>
  <c r="T665"/>
  <c r="T664"/>
  <c r="T663"/>
  <c r="T662"/>
  <c r="T676"/>
  <c r="T675"/>
  <c r="T404"/>
  <c r="T403"/>
  <c r="T288"/>
  <c r="T385"/>
  <c r="T384"/>
  <c r="T383"/>
  <c r="T382"/>
  <c r="T381"/>
  <c r="T21"/>
  <c r="T20"/>
  <c r="T19"/>
  <c r="T18"/>
  <c r="T17"/>
  <c r="T16"/>
  <c r="X852"/>
  <c r="X851"/>
  <c r="X893"/>
  <c r="X892"/>
  <c r="X891"/>
  <c r="X862"/>
  <c r="X861"/>
  <c r="X860"/>
  <c r="X859"/>
  <c r="X858"/>
  <c r="X661"/>
  <c r="X660"/>
  <c r="X659"/>
  <c r="X658"/>
  <c r="X657"/>
  <c r="N330"/>
  <c r="N329"/>
  <c r="N328"/>
  <c r="N327"/>
  <c r="N326"/>
  <c r="N325"/>
  <c r="N351"/>
  <c r="N350"/>
  <c r="N349"/>
  <c r="N348"/>
  <c r="N347"/>
  <c r="N346"/>
  <c r="N345"/>
  <c r="N344"/>
  <c r="N343"/>
  <c r="N342"/>
  <c r="N375"/>
  <c r="N374"/>
  <c r="N373"/>
  <c r="N372"/>
  <c r="N371"/>
  <c r="N319"/>
  <c r="N318"/>
  <c r="N317"/>
  <c r="N316"/>
  <c r="N315"/>
  <c r="N324"/>
  <c r="N323"/>
  <c r="N322"/>
  <c r="N321"/>
  <c r="N320"/>
  <c r="N360"/>
  <c r="N359"/>
  <c r="N358"/>
  <c r="N357"/>
  <c r="N356"/>
  <c r="N370"/>
  <c r="N369"/>
  <c r="N368"/>
  <c r="N367"/>
  <c r="N366"/>
  <c r="N365"/>
  <c r="N364"/>
  <c r="N363"/>
  <c r="N362"/>
  <c r="N361"/>
  <c r="N380"/>
  <c r="N379"/>
  <c r="N378"/>
  <c r="N377"/>
  <c r="N376"/>
  <c r="N390"/>
  <c r="N389"/>
  <c r="N388"/>
  <c r="N387"/>
  <c r="N386"/>
  <c r="N385"/>
  <c r="N384"/>
  <c r="N383"/>
  <c r="N382"/>
  <c r="N381"/>
  <c r="N21"/>
  <c r="N20"/>
  <c r="N19"/>
  <c r="N18"/>
  <c r="N17"/>
  <c r="N16"/>
  <c r="N210"/>
  <c r="N209"/>
  <c r="N208"/>
  <c r="N206"/>
  <c r="N246"/>
  <c r="N245"/>
  <c r="N244"/>
  <c r="N242"/>
  <c r="N251"/>
  <c r="N250"/>
  <c r="N249"/>
  <c r="N247"/>
  <c r="N266"/>
  <c r="N265"/>
  <c r="N264"/>
  <c r="N262"/>
  <c r="N241"/>
  <c r="N240"/>
  <c r="N239"/>
  <c r="N237"/>
  <c r="N220"/>
  <c r="N219"/>
  <c r="N218"/>
  <c r="N216"/>
  <c r="N215"/>
  <c r="N214"/>
  <c r="N213"/>
  <c r="N211"/>
  <c r="N236"/>
  <c r="N235"/>
  <c r="N234"/>
  <c r="N232"/>
  <c r="N261"/>
  <c r="N260"/>
  <c r="N259"/>
  <c r="N257"/>
  <c r="N271"/>
  <c r="N270"/>
  <c r="N269"/>
  <c r="N267"/>
  <c r="N231"/>
  <c r="N230"/>
  <c r="N229"/>
  <c r="N227"/>
  <c r="N256"/>
  <c r="N255"/>
  <c r="N254"/>
  <c r="N252"/>
  <c r="N174"/>
  <c r="N173"/>
  <c r="N172"/>
  <c r="N170"/>
  <c r="N134"/>
  <c r="N133"/>
  <c r="N132"/>
  <c r="N130"/>
  <c r="N190"/>
  <c r="N189"/>
  <c r="N188"/>
  <c r="N186"/>
  <c r="O186" s="1"/>
  <c r="N195"/>
  <c r="N194"/>
  <c r="N193"/>
  <c r="N191"/>
  <c r="N163"/>
  <c r="N162"/>
  <c r="N161"/>
  <c r="N159"/>
  <c r="N149"/>
  <c r="N148"/>
  <c r="N147"/>
  <c r="N145"/>
  <c r="N205"/>
  <c r="N204"/>
  <c r="N203"/>
  <c r="N201"/>
  <c r="N200"/>
  <c r="N199"/>
  <c r="N198"/>
  <c r="O191"/>
  <c r="O330" l="1"/>
  <c r="R329"/>
  <c r="Q329"/>
  <c r="P329"/>
  <c r="O329"/>
  <c r="R328"/>
  <c r="Q328"/>
  <c r="P328"/>
  <c r="O328"/>
  <c r="R327"/>
  <c r="Q327"/>
  <c r="P327"/>
  <c r="O327"/>
  <c r="R326"/>
  <c r="Q326"/>
  <c r="P326"/>
  <c r="O326"/>
  <c r="O325"/>
  <c r="R351"/>
  <c r="Q351"/>
  <c r="P351"/>
  <c r="O351"/>
  <c r="R350"/>
  <c r="Q350"/>
  <c r="P350"/>
  <c r="O350"/>
  <c r="R349"/>
  <c r="Q349"/>
  <c r="P349"/>
  <c r="O349"/>
  <c r="R348"/>
  <c r="Q348"/>
  <c r="P348"/>
  <c r="O348"/>
  <c r="O347"/>
  <c r="R346"/>
  <c r="Q346"/>
  <c r="P346"/>
  <c r="O346"/>
  <c r="R345"/>
  <c r="Q345"/>
  <c r="P345"/>
  <c r="O345"/>
  <c r="R344"/>
  <c r="Q344"/>
  <c r="P344"/>
  <c r="O344"/>
  <c r="R343"/>
  <c r="Q343"/>
  <c r="P343"/>
  <c r="O343"/>
  <c r="O342"/>
  <c r="R375"/>
  <c r="Q375"/>
  <c r="P375"/>
  <c r="O375"/>
  <c r="R374"/>
  <c r="Q374"/>
  <c r="P374"/>
  <c r="O374"/>
  <c r="R373"/>
  <c r="Q373"/>
  <c r="P373"/>
  <c r="O373"/>
  <c r="R372"/>
  <c r="Q372"/>
  <c r="P372"/>
  <c r="O372"/>
  <c r="O371"/>
  <c r="P371" s="1"/>
  <c r="R319"/>
  <c r="Q319"/>
  <c r="P319"/>
  <c r="O319"/>
  <c r="R318"/>
  <c r="Q318"/>
  <c r="P318"/>
  <c r="O318"/>
  <c r="R317"/>
  <c r="Q317"/>
  <c r="P317"/>
  <c r="O317"/>
  <c r="R316"/>
  <c r="Q316"/>
  <c r="P316"/>
  <c r="O316"/>
  <c r="O315"/>
  <c r="R324"/>
  <c r="Q324"/>
  <c r="P324"/>
  <c r="O324"/>
  <c r="R323"/>
  <c r="Q323"/>
  <c r="P323"/>
  <c r="O323"/>
  <c r="R322"/>
  <c r="Q322"/>
  <c r="P322"/>
  <c r="O322"/>
  <c r="R321"/>
  <c r="Q321"/>
  <c r="P321"/>
  <c r="O321"/>
  <c r="O320"/>
  <c r="R360"/>
  <c r="Q360"/>
  <c r="P360"/>
  <c r="O360"/>
  <c r="R359"/>
  <c r="Q359"/>
  <c r="P359"/>
  <c r="O359"/>
  <c r="R358"/>
  <c r="Q358"/>
  <c r="P358"/>
  <c r="O358"/>
  <c r="R357"/>
  <c r="Q357"/>
  <c r="P357"/>
  <c r="O357"/>
  <c r="O356"/>
  <c r="R370"/>
  <c r="Q370"/>
  <c r="P370"/>
  <c r="O370"/>
  <c r="R369"/>
  <c r="Q369"/>
  <c r="P369"/>
  <c r="O369"/>
  <c r="R368"/>
  <c r="Q368"/>
  <c r="P368"/>
  <c r="O368"/>
  <c r="R367"/>
  <c r="Q367"/>
  <c r="P367"/>
  <c r="O367"/>
  <c r="O366"/>
  <c r="R365"/>
  <c r="Q365"/>
  <c r="P365"/>
  <c r="O365"/>
  <c r="R364"/>
  <c r="Q364"/>
  <c r="P364"/>
  <c r="O364"/>
  <c r="R363"/>
  <c r="Q363"/>
  <c r="P363"/>
  <c r="O363"/>
  <c r="R362"/>
  <c r="Q362"/>
  <c r="P362"/>
  <c r="O362"/>
  <c r="O361"/>
  <c r="R380"/>
  <c r="Q380"/>
  <c r="P380"/>
  <c r="O380"/>
  <c r="R379"/>
  <c r="Q379"/>
  <c r="P379"/>
  <c r="O379"/>
  <c r="R378"/>
  <c r="Q378"/>
  <c r="P378"/>
  <c r="O378"/>
  <c r="R377"/>
  <c r="Q377"/>
  <c r="P377"/>
  <c r="O377"/>
  <c r="O376"/>
  <c r="R390"/>
  <c r="Q390"/>
  <c r="P390"/>
  <c r="O390"/>
  <c r="R389"/>
  <c r="Q389"/>
  <c r="P389"/>
  <c r="O389"/>
  <c r="R388"/>
  <c r="Q388"/>
  <c r="P388"/>
  <c r="O388"/>
  <c r="R387"/>
  <c r="Q387"/>
  <c r="P387"/>
  <c r="O387"/>
  <c r="O386"/>
  <c r="R385"/>
  <c r="Q385"/>
  <c r="P385"/>
  <c r="O385"/>
  <c r="R384"/>
  <c r="Q384"/>
  <c r="P384"/>
  <c r="O384"/>
  <c r="R383"/>
  <c r="Q383"/>
  <c r="P383"/>
  <c r="O383"/>
  <c r="R382"/>
  <c r="Q382"/>
  <c r="P382"/>
  <c r="O382"/>
  <c r="O381"/>
  <c r="R21"/>
  <c r="Q21"/>
  <c r="P21"/>
  <c r="O21"/>
  <c r="P330" l="1"/>
  <c r="P325"/>
  <c r="P347"/>
  <c r="P342"/>
  <c r="P386"/>
  <c r="P361"/>
  <c r="P376"/>
  <c r="P315"/>
  <c r="P320"/>
  <c r="P356"/>
  <c r="P366"/>
  <c r="P381"/>
  <c r="O20"/>
  <c r="P20" s="1"/>
  <c r="R19"/>
  <c r="Q19"/>
  <c r="P19" l="1"/>
  <c r="O19"/>
  <c r="O18" l="1"/>
  <c r="P18" s="1"/>
  <c r="R17"/>
  <c r="Q17"/>
  <c r="P17"/>
  <c r="O17"/>
  <c r="O16" l="1"/>
  <c r="P16" s="1"/>
  <c r="R210"/>
  <c r="Q210"/>
  <c r="P210" l="1"/>
  <c r="O210"/>
  <c r="R209"/>
  <c r="Q209"/>
  <c r="P209"/>
  <c r="O209"/>
  <c r="R208"/>
  <c r="Q208"/>
  <c r="P208"/>
  <c r="O208"/>
  <c r="O206" l="1"/>
  <c r="R246"/>
  <c r="Q246"/>
  <c r="P206" l="1"/>
  <c r="P246"/>
  <c r="O246"/>
  <c r="R245"/>
  <c r="Q245"/>
  <c r="P245"/>
  <c r="O245"/>
  <c r="R244"/>
  <c r="Q244"/>
  <c r="P244"/>
  <c r="O244"/>
  <c r="O242" l="1"/>
  <c r="R251"/>
  <c r="Q251"/>
  <c r="P242" l="1"/>
  <c r="P251"/>
  <c r="O251"/>
  <c r="R250"/>
  <c r="Q250"/>
  <c r="P250"/>
  <c r="O250"/>
  <c r="R249"/>
  <c r="Q249"/>
  <c r="P249"/>
  <c r="O249"/>
  <c r="O247" l="1"/>
  <c r="R266"/>
  <c r="Q266"/>
  <c r="P247" l="1"/>
  <c r="P266"/>
  <c r="O266"/>
  <c r="R265"/>
  <c r="Q265"/>
  <c r="P265"/>
  <c r="O265"/>
  <c r="R264"/>
  <c r="Q264"/>
  <c r="P264"/>
  <c r="O264"/>
  <c r="O262" l="1"/>
  <c r="R241"/>
  <c r="Q241"/>
  <c r="P262" l="1"/>
  <c r="P241"/>
  <c r="O241"/>
  <c r="R240"/>
  <c r="Q240"/>
  <c r="P240"/>
  <c r="O240"/>
  <c r="R239"/>
  <c r="Q239"/>
  <c r="P239"/>
  <c r="O239"/>
  <c r="O237" l="1"/>
  <c r="R220"/>
  <c r="Q220"/>
  <c r="P237" l="1"/>
  <c r="P220"/>
  <c r="O220"/>
  <c r="R219"/>
  <c r="Q219"/>
  <c r="P219"/>
  <c r="O219"/>
  <c r="R218"/>
  <c r="Q218"/>
  <c r="P218"/>
  <c r="O218"/>
  <c r="O216" l="1"/>
  <c r="R215"/>
  <c r="Q215"/>
  <c r="P216" l="1"/>
  <c r="P215"/>
  <c r="O215"/>
  <c r="R214"/>
  <c r="Q214"/>
  <c r="P214"/>
  <c r="O214"/>
  <c r="R213"/>
  <c r="Q213"/>
  <c r="P213"/>
  <c r="O213"/>
  <c r="O211" l="1"/>
  <c r="R236"/>
  <c r="Q236"/>
  <c r="P211" l="1"/>
  <c r="P236"/>
  <c r="O236"/>
  <c r="R235"/>
  <c r="Q235"/>
  <c r="P235"/>
  <c r="O235"/>
  <c r="R234"/>
  <c r="Q234"/>
  <c r="P234"/>
  <c r="O234"/>
  <c r="O232" l="1"/>
  <c r="R261"/>
  <c r="Q261"/>
  <c r="P232" l="1"/>
  <c r="P261"/>
  <c r="O261"/>
  <c r="R260"/>
  <c r="Q260"/>
  <c r="P260"/>
  <c r="O260"/>
  <c r="R259"/>
  <c r="Q259"/>
  <c r="P259"/>
  <c r="O259"/>
  <c r="O257"/>
  <c r="R271"/>
  <c r="Q271"/>
  <c r="P257" l="1"/>
  <c r="P271"/>
  <c r="O271"/>
  <c r="R270"/>
  <c r="Q270"/>
  <c r="P270"/>
  <c r="O270"/>
  <c r="R269"/>
  <c r="Q269"/>
  <c r="P269"/>
  <c r="O269"/>
  <c r="O267"/>
  <c r="P267" s="1"/>
  <c r="R231"/>
  <c r="Q231"/>
  <c r="P231"/>
  <c r="O231"/>
  <c r="R230"/>
  <c r="Q230"/>
  <c r="P230"/>
  <c r="O230"/>
  <c r="R229"/>
  <c r="Q229"/>
  <c r="P229"/>
  <c r="O229"/>
  <c r="O227"/>
  <c r="P227" s="1"/>
  <c r="R256"/>
  <c r="Q256"/>
  <c r="P256"/>
  <c r="O256"/>
  <c r="R255"/>
  <c r="Q255"/>
  <c r="P255"/>
  <c r="O255"/>
  <c r="R254"/>
  <c r="Q254"/>
  <c r="P254"/>
  <c r="O254"/>
  <c r="O252"/>
  <c r="P252" s="1"/>
  <c r="R174"/>
  <c r="Q174"/>
  <c r="P174"/>
  <c r="O174"/>
  <c r="R173"/>
  <c r="Q173"/>
  <c r="P173"/>
  <c r="O173"/>
  <c r="R172"/>
  <c r="Q172"/>
  <c r="P172"/>
  <c r="O172"/>
  <c r="O170"/>
  <c r="P170" s="1"/>
  <c r="R134"/>
  <c r="Q134"/>
  <c r="P134"/>
  <c r="O134"/>
  <c r="R133"/>
  <c r="Q133"/>
  <c r="P133"/>
  <c r="O133"/>
  <c r="R132"/>
  <c r="Q132"/>
  <c r="P132"/>
  <c r="O132"/>
  <c r="O130"/>
  <c r="P130" s="1"/>
  <c r="R190"/>
  <c r="Q190"/>
  <c r="P190"/>
  <c r="O190"/>
  <c r="R189"/>
  <c r="Q189"/>
  <c r="P189"/>
  <c r="O189"/>
  <c r="R188"/>
  <c r="Q188"/>
  <c r="P188"/>
  <c r="O188"/>
  <c r="P186" l="1"/>
  <c r="R195"/>
  <c r="Q195"/>
  <c r="P195"/>
  <c r="O195"/>
  <c r="R194"/>
  <c r="Q194"/>
  <c r="P194"/>
  <c r="O194"/>
  <c r="R193"/>
  <c r="Q193"/>
  <c r="P193"/>
  <c r="O193"/>
  <c r="T90"/>
  <c r="T88"/>
  <c r="T44"/>
  <c r="T43"/>
  <c r="T42"/>
  <c r="T40"/>
  <c r="T49"/>
  <c r="T48"/>
  <c r="T47"/>
  <c r="T45"/>
  <c r="T55"/>
  <c r="T34"/>
  <c r="T33"/>
  <c r="T32"/>
  <c r="T30"/>
  <c r="T54"/>
  <c r="T53"/>
  <c r="T52"/>
  <c r="T50"/>
  <c r="T39"/>
  <c r="T38"/>
  <c r="T37"/>
  <c r="T35"/>
  <c r="R163"/>
  <c r="Q163"/>
  <c r="P163"/>
  <c r="O163"/>
  <c r="R162"/>
  <c r="Q162"/>
  <c r="P162"/>
  <c r="O162"/>
  <c r="R161"/>
  <c r="Q161"/>
  <c r="P161"/>
  <c r="O161"/>
  <c r="R149"/>
  <c r="Q149"/>
  <c r="P149"/>
  <c r="O149"/>
  <c r="R148"/>
  <c r="Q148"/>
  <c r="P148"/>
  <c r="O148"/>
  <c r="R147"/>
  <c r="Q147"/>
  <c r="P147"/>
  <c r="O147"/>
  <c r="O205"/>
  <c r="R204"/>
  <c r="Q204"/>
  <c r="P204"/>
  <c r="O204"/>
  <c r="R203"/>
  <c r="Q203"/>
  <c r="P203"/>
  <c r="O203"/>
  <c r="R200"/>
  <c r="Q200"/>
  <c r="P200"/>
  <c r="O200"/>
  <c r="R199"/>
  <c r="Q199"/>
  <c r="P199"/>
  <c r="O199"/>
  <c r="R198"/>
  <c r="Q198"/>
  <c r="P198"/>
  <c r="O198"/>
  <c r="N196"/>
  <c r="O196" s="1"/>
  <c r="R144"/>
  <c r="Q144"/>
  <c r="P144"/>
  <c r="O144"/>
  <c r="N144"/>
  <c r="R143"/>
  <c r="Q143"/>
  <c r="P143"/>
  <c r="O143"/>
  <c r="N143"/>
  <c r="R142"/>
  <c r="Q142"/>
  <c r="P142"/>
  <c r="O142"/>
  <c r="N142"/>
  <c r="N140"/>
  <c r="O140" s="1"/>
  <c r="R139"/>
  <c r="Q139"/>
  <c r="P139"/>
  <c r="O139"/>
  <c r="N139"/>
  <c r="R138"/>
  <c r="Q138"/>
  <c r="P138"/>
  <c r="O138"/>
  <c r="N138"/>
  <c r="R137"/>
  <c r="Q137"/>
  <c r="P137"/>
  <c r="O137"/>
  <c r="N137"/>
  <c r="N135"/>
  <c r="R185"/>
  <c r="Q185"/>
  <c r="P185"/>
  <c r="O185"/>
  <c r="N185"/>
  <c r="R184"/>
  <c r="Q184"/>
  <c r="P184"/>
  <c r="O184"/>
  <c r="N184"/>
  <c r="R183"/>
  <c r="Q183"/>
  <c r="P183"/>
  <c r="O183"/>
  <c r="N183"/>
  <c r="N181"/>
  <c r="R129"/>
  <c r="Q129"/>
  <c r="P129"/>
  <c r="O129"/>
  <c r="N129"/>
  <c r="R128"/>
  <c r="Q128"/>
  <c r="P128"/>
  <c r="O128"/>
  <c r="N128"/>
  <c r="R127"/>
  <c r="Q127"/>
  <c r="P127"/>
  <c r="O127"/>
  <c r="N127"/>
  <c r="N125"/>
  <c r="R44"/>
  <c r="Q44"/>
  <c r="P44"/>
  <c r="O44"/>
  <c r="N44"/>
  <c r="R43"/>
  <c r="Q43"/>
  <c r="P43"/>
  <c r="O43"/>
  <c r="N43"/>
  <c r="R42"/>
  <c r="Q42"/>
  <c r="P42"/>
  <c r="O42"/>
  <c r="N42"/>
  <c r="N40"/>
  <c r="R49"/>
  <c r="Q49"/>
  <c r="P49"/>
  <c r="O49"/>
  <c r="N49"/>
  <c r="R48"/>
  <c r="Q48"/>
  <c r="P48"/>
  <c r="O48"/>
  <c r="N48"/>
  <c r="R47"/>
  <c r="Q47"/>
  <c r="P47"/>
  <c r="O47"/>
  <c r="N47"/>
  <c r="N45"/>
  <c r="R59"/>
  <c r="Q59"/>
  <c r="P59"/>
  <c r="O59"/>
  <c r="N59"/>
  <c r="R58"/>
  <c r="Q58"/>
  <c r="P58"/>
  <c r="O58"/>
  <c r="N58"/>
  <c r="R57"/>
  <c r="Q57"/>
  <c r="P57"/>
  <c r="N57"/>
  <c r="N55"/>
  <c r="R34"/>
  <c r="Q34"/>
  <c r="P34"/>
  <c r="O34"/>
  <c r="N34"/>
  <c r="R33"/>
  <c r="Q33"/>
  <c r="P33"/>
  <c r="O33"/>
  <c r="N33"/>
  <c r="R32"/>
  <c r="Q32"/>
  <c r="P32"/>
  <c r="O32"/>
  <c r="N32"/>
  <c r="N30"/>
  <c r="R54"/>
  <c r="Q54"/>
  <c r="P54"/>
  <c r="O54"/>
  <c r="N54"/>
  <c r="R53"/>
  <c r="Q53"/>
  <c r="P53"/>
  <c r="O53"/>
  <c r="N53"/>
  <c r="R52"/>
  <c r="Q52"/>
  <c r="P52"/>
  <c r="O52"/>
  <c r="N52"/>
  <c r="N50"/>
  <c r="O50" s="1"/>
  <c r="R39"/>
  <c r="Q39"/>
  <c r="P39"/>
  <c r="O39"/>
  <c r="N39"/>
  <c r="R38"/>
  <c r="Q38"/>
  <c r="P38"/>
  <c r="O38"/>
  <c r="N38"/>
  <c r="R37"/>
  <c r="Q37"/>
  <c r="P37"/>
  <c r="O37"/>
  <c r="N37"/>
  <c r="N35"/>
  <c r="R102"/>
  <c r="Q102"/>
  <c r="P102"/>
  <c r="O102"/>
  <c r="N102"/>
  <c r="R101"/>
  <c r="Q101"/>
  <c r="P101"/>
  <c r="O101"/>
  <c r="N101"/>
  <c r="R100"/>
  <c r="Q100"/>
  <c r="P100"/>
  <c r="O100"/>
  <c r="N100"/>
  <c r="N98"/>
  <c r="R97"/>
  <c r="Q97"/>
  <c r="P97"/>
  <c r="O97"/>
  <c r="N97"/>
  <c r="R96"/>
  <c r="Q96"/>
  <c r="P96"/>
  <c r="O96"/>
  <c r="N96"/>
  <c r="R95"/>
  <c r="Q95"/>
  <c r="P95"/>
  <c r="O95"/>
  <c r="N95"/>
  <c r="N93"/>
  <c r="R29"/>
  <c r="Q29"/>
  <c r="P29"/>
  <c r="O29"/>
  <c r="N29"/>
  <c r="R28"/>
  <c r="Q28"/>
  <c r="P28"/>
  <c r="O28"/>
  <c r="N28"/>
  <c r="R27"/>
  <c r="Q27"/>
  <c r="P27"/>
  <c r="O27"/>
  <c r="N27"/>
  <c r="N25"/>
  <c r="R92"/>
  <c r="Q92"/>
  <c r="P92"/>
  <c r="O92"/>
  <c r="N92"/>
  <c r="R91"/>
  <c r="Q91"/>
  <c r="P91"/>
  <c r="O91"/>
  <c r="N91"/>
  <c r="R90"/>
  <c r="Q90"/>
  <c r="P90"/>
  <c r="O90"/>
  <c r="N90"/>
  <c r="N88"/>
  <c r="R116"/>
  <c r="Q116"/>
  <c r="P116"/>
  <c r="O116"/>
  <c r="N116"/>
  <c r="R115"/>
  <c r="Q115"/>
  <c r="P115"/>
  <c r="O115"/>
  <c r="N115"/>
  <c r="R114"/>
  <c r="Q114"/>
  <c r="P114"/>
  <c r="O114"/>
  <c r="N114"/>
  <c r="N112"/>
  <c r="R84"/>
  <c r="Q84"/>
  <c r="P84"/>
  <c r="O84"/>
  <c r="N84"/>
  <c r="R83"/>
  <c r="Q83"/>
  <c r="P83"/>
  <c r="O83"/>
  <c r="N83"/>
  <c r="R82"/>
  <c r="Q82"/>
  <c r="P82"/>
  <c r="O82"/>
  <c r="N82"/>
  <c r="N80"/>
  <c r="R79"/>
  <c r="Q79"/>
  <c r="P79"/>
  <c r="O79"/>
  <c r="N79"/>
  <c r="R78"/>
  <c r="Q78"/>
  <c r="P78"/>
  <c r="O78"/>
  <c r="N78"/>
  <c r="R77"/>
  <c r="Q77"/>
  <c r="P77"/>
  <c r="O77"/>
  <c r="N77"/>
  <c r="N75"/>
  <c r="R74"/>
  <c r="Q74"/>
  <c r="P74"/>
  <c r="O74"/>
  <c r="N74"/>
  <c r="R73"/>
  <c r="Q73"/>
  <c r="P73"/>
  <c r="O73"/>
  <c r="N73"/>
  <c r="R72"/>
  <c r="Q72"/>
  <c r="P72"/>
  <c r="O72"/>
  <c r="N72"/>
  <c r="N70"/>
  <c r="R69"/>
  <c r="Q69"/>
  <c r="P69"/>
  <c r="O69"/>
  <c r="N69"/>
  <c r="R68"/>
  <c r="Q68"/>
  <c r="P68"/>
  <c r="O68"/>
  <c r="N68"/>
  <c r="R67"/>
  <c r="Q67"/>
  <c r="P67"/>
  <c r="O67"/>
  <c r="N67"/>
  <c r="N65"/>
  <c r="R64"/>
  <c r="Q64"/>
  <c r="P64"/>
  <c r="O64"/>
  <c r="N64"/>
  <c r="R63"/>
  <c r="Q63"/>
  <c r="P63"/>
  <c r="O63"/>
  <c r="N63"/>
  <c r="R62"/>
  <c r="Q62"/>
  <c r="P62"/>
  <c r="O62"/>
  <c r="N62"/>
  <c r="N60"/>
  <c r="R124"/>
  <c r="Q124"/>
  <c r="P124"/>
  <c r="O124"/>
  <c r="N124"/>
  <c r="R123"/>
  <c r="Q123"/>
  <c r="P123"/>
  <c r="O123"/>
  <c r="N123"/>
  <c r="R122"/>
  <c r="Q122"/>
  <c r="P122"/>
  <c r="O122"/>
  <c r="N122"/>
  <c r="N120"/>
  <c r="R15"/>
  <c r="Q15"/>
  <c r="P15"/>
  <c r="O15"/>
  <c r="N15"/>
  <c r="R14"/>
  <c r="Q14"/>
  <c r="P14"/>
  <c r="O14"/>
  <c r="N14"/>
  <c r="R13"/>
  <c r="Q13"/>
  <c r="P13"/>
  <c r="O13"/>
  <c r="N13"/>
  <c r="R12"/>
  <c r="Q12"/>
  <c r="P12"/>
  <c r="O12"/>
  <c r="N12"/>
  <c r="R11"/>
  <c r="Q11"/>
  <c r="P11"/>
  <c r="O11"/>
  <c r="N11"/>
  <c r="R10"/>
  <c r="Q10"/>
  <c r="P10"/>
  <c r="O10"/>
  <c r="N10"/>
  <c r="R9"/>
  <c r="Q9"/>
  <c r="P9"/>
  <c r="O9"/>
  <c r="N9"/>
  <c r="R8"/>
  <c r="Q8"/>
  <c r="P8"/>
  <c r="O8"/>
  <c r="N8"/>
  <c r="R7"/>
  <c r="Q7"/>
  <c r="P7"/>
  <c r="O7"/>
  <c r="N7"/>
  <c r="R6"/>
  <c r="Q6"/>
  <c r="P6"/>
  <c r="O6"/>
  <c r="N6"/>
  <c r="R226"/>
  <c r="Q226"/>
  <c r="P226"/>
  <c r="O226"/>
  <c r="N226"/>
  <c r="R225"/>
  <c r="Q225"/>
  <c r="P225"/>
  <c r="O225"/>
  <c r="N225"/>
  <c r="R224"/>
  <c r="Q224"/>
  <c r="P224"/>
  <c r="O224"/>
  <c r="N224"/>
  <c r="R223"/>
  <c r="Q223"/>
  <c r="P223"/>
  <c r="O223"/>
  <c r="N223"/>
  <c r="R222"/>
  <c r="Q222"/>
  <c r="P222"/>
  <c r="O222"/>
  <c r="N222"/>
  <c r="R221"/>
  <c r="Q221"/>
  <c r="P221"/>
  <c r="O221"/>
  <c r="N221"/>
  <c r="R180"/>
  <c r="Q180"/>
  <c r="P180"/>
  <c r="O180"/>
  <c r="N180"/>
  <c r="R179"/>
  <c r="Q179"/>
  <c r="P179"/>
  <c r="O179"/>
  <c r="N179"/>
  <c r="R178"/>
  <c r="Q178"/>
  <c r="P178"/>
  <c r="O178"/>
  <c r="N178"/>
  <c r="R177"/>
  <c r="Q177"/>
  <c r="P177"/>
  <c r="O177"/>
  <c r="N177"/>
  <c r="R176"/>
  <c r="Q176"/>
  <c r="P176"/>
  <c r="O176"/>
  <c r="N176"/>
  <c r="R175"/>
  <c r="Q175"/>
  <c r="P175"/>
  <c r="O175"/>
  <c r="N175"/>
  <c r="R169"/>
  <c r="Q169"/>
  <c r="P169"/>
  <c r="O169"/>
  <c r="N169"/>
  <c r="R168"/>
  <c r="Q168"/>
  <c r="P168"/>
  <c r="O168"/>
  <c r="N168"/>
  <c r="R167"/>
  <c r="Q167"/>
  <c r="P167"/>
  <c r="O167"/>
  <c r="N167"/>
  <c r="R166"/>
  <c r="Q166"/>
  <c r="P166"/>
  <c r="O166"/>
  <c r="N166"/>
  <c r="R165"/>
  <c r="Q165"/>
  <c r="P165"/>
  <c r="O165"/>
  <c r="N165"/>
  <c r="R164"/>
  <c r="Q164"/>
  <c r="P164"/>
  <c r="O164"/>
  <c r="N164"/>
  <c r="R158"/>
  <c r="Q158"/>
  <c r="P158"/>
  <c r="O158"/>
  <c r="N158"/>
  <c r="R157"/>
  <c r="Q157"/>
  <c r="P157"/>
  <c r="O157"/>
  <c r="N157"/>
  <c r="R156"/>
  <c r="Q156"/>
  <c r="P156"/>
  <c r="O156"/>
  <c r="N156"/>
  <c r="R155"/>
  <c r="Q155"/>
  <c r="P155"/>
  <c r="O155"/>
  <c r="N155"/>
  <c r="R154"/>
  <c r="Q154"/>
  <c r="P154"/>
  <c r="O154"/>
  <c r="N154"/>
  <c r="R153"/>
  <c r="Q153"/>
  <c r="P153"/>
  <c r="O153"/>
  <c r="N153"/>
  <c r="R152"/>
  <c r="Q152"/>
  <c r="P152"/>
  <c r="O152"/>
  <c r="N152"/>
  <c r="R151"/>
  <c r="Q151"/>
  <c r="P151"/>
  <c r="O151"/>
  <c r="N151"/>
  <c r="R150"/>
  <c r="Q150"/>
  <c r="P150"/>
  <c r="O150"/>
  <c r="N150"/>
  <c r="R87"/>
  <c r="Q87"/>
  <c r="P87"/>
  <c r="O87"/>
  <c r="N87"/>
  <c r="R86"/>
  <c r="Q86"/>
  <c r="P86"/>
  <c r="O86"/>
  <c r="N86"/>
  <c r="R85"/>
  <c r="Q85"/>
  <c r="P85"/>
  <c r="O85"/>
  <c r="N85"/>
  <c r="R108"/>
  <c r="Q108"/>
  <c r="P108"/>
  <c r="O108"/>
  <c r="N108"/>
  <c r="R107"/>
  <c r="Q107"/>
  <c r="P107"/>
  <c r="O107"/>
  <c r="N107"/>
  <c r="R106"/>
  <c r="Q106"/>
  <c r="P106"/>
  <c r="O106"/>
  <c r="N106"/>
  <c r="R105"/>
  <c r="Q105"/>
  <c r="P105"/>
  <c r="O105"/>
  <c r="N105"/>
  <c r="R104"/>
  <c r="Q104"/>
  <c r="P104"/>
  <c r="O104"/>
  <c r="N104"/>
  <c r="R103"/>
  <c r="Q103"/>
  <c r="P103"/>
  <c r="O103"/>
  <c r="N103"/>
  <c r="R111"/>
  <c r="Q111"/>
  <c r="P111"/>
  <c r="O111"/>
  <c r="N111"/>
  <c r="R110"/>
  <c r="Q110"/>
  <c r="P110"/>
  <c r="O110"/>
  <c r="N110"/>
  <c r="R109"/>
  <c r="Q109"/>
  <c r="P109"/>
  <c r="O109"/>
  <c r="N109"/>
  <c r="R24"/>
  <c r="Q24"/>
  <c r="P24"/>
  <c r="O24"/>
  <c r="N24"/>
  <c r="R23"/>
  <c r="Q23"/>
  <c r="P23"/>
  <c r="O23"/>
  <c r="N23"/>
  <c r="R22"/>
  <c r="Q22"/>
  <c r="P22"/>
  <c r="O22"/>
  <c r="N22"/>
  <c r="R119"/>
  <c r="Q119"/>
  <c r="P119"/>
  <c r="O119"/>
  <c r="N119"/>
  <c r="R118"/>
  <c r="Q118"/>
  <c r="P118"/>
  <c r="O118"/>
  <c r="N118"/>
  <c r="B13" i="4"/>
  <c r="Q11"/>
  <c r="P11"/>
  <c r="M11"/>
  <c r="L11"/>
  <c r="H11"/>
  <c r="G11"/>
  <c r="Q10"/>
  <c r="P10"/>
  <c r="M10"/>
  <c r="L10"/>
  <c r="H10"/>
  <c r="G10"/>
  <c r="Q9"/>
  <c r="P9"/>
  <c r="M9"/>
  <c r="L9"/>
  <c r="H9"/>
  <c r="G9"/>
  <c r="Q8"/>
  <c r="P8"/>
  <c r="M8"/>
  <c r="L8"/>
  <c r="H8"/>
  <c r="G8"/>
  <c r="Q7"/>
  <c r="P7"/>
  <c r="M7"/>
  <c r="L7"/>
  <c r="H7"/>
  <c r="G7"/>
  <c r="Q6" i="36"/>
  <c r="P6"/>
  <c r="Q162" i="35"/>
  <c r="P162"/>
  <c r="Q161"/>
  <c r="P161"/>
  <c r="Q160"/>
  <c r="P160"/>
  <c r="Q159"/>
  <c r="P159"/>
  <c r="Q158"/>
  <c r="P158"/>
  <c r="Q157"/>
  <c r="P157"/>
  <c r="Q156"/>
  <c r="P156"/>
  <c r="Q155"/>
  <c r="P155"/>
  <c r="Q154"/>
  <c r="P154"/>
  <c r="Q153"/>
  <c r="P153"/>
  <c r="Q152"/>
  <c r="P152"/>
  <c r="Q151"/>
  <c r="P151"/>
  <c r="Q150"/>
  <c r="P150"/>
  <c r="Q149"/>
  <c r="P149"/>
  <c r="Q148"/>
  <c r="P148"/>
  <c r="Q147"/>
  <c r="P147"/>
  <c r="Q146"/>
  <c r="P146"/>
  <c r="Q145"/>
  <c r="P145"/>
  <c r="Q144"/>
  <c r="P144"/>
  <c r="Q143"/>
  <c r="P143"/>
  <c r="Q142"/>
  <c r="P142"/>
  <c r="Q141"/>
  <c r="P141"/>
  <c r="Q140"/>
  <c r="P140"/>
  <c r="Q139"/>
  <c r="P139"/>
  <c r="Q138"/>
  <c r="P138"/>
  <c r="Q137"/>
  <c r="P137"/>
  <c r="Q136"/>
  <c r="P136"/>
  <c r="Q135"/>
  <c r="P135"/>
  <c r="Q134"/>
  <c r="P134"/>
  <c r="Q133"/>
  <c r="P133"/>
  <c r="Q132"/>
  <c r="P132"/>
  <c r="Q131"/>
  <c r="P131"/>
  <c r="Q130"/>
  <c r="P130"/>
  <c r="Q129"/>
  <c r="P129"/>
  <c r="Q128"/>
  <c r="P128"/>
  <c r="Q127"/>
  <c r="P127"/>
  <c r="Q126"/>
  <c r="P126"/>
  <c r="Q125"/>
  <c r="P125"/>
  <c r="Q124"/>
  <c r="P124"/>
  <c r="Q123"/>
  <c r="P123"/>
  <c r="Q122"/>
  <c r="P122"/>
  <c r="Q121"/>
  <c r="P121"/>
  <c r="Q120"/>
  <c r="P120"/>
  <c r="Q119"/>
  <c r="P119"/>
  <c r="Q118"/>
  <c r="P118"/>
  <c r="Q117"/>
  <c r="P117"/>
  <c r="Q116"/>
  <c r="P116"/>
  <c r="Q115"/>
  <c r="P115"/>
  <c r="Q114"/>
  <c r="P114"/>
  <c r="Q113"/>
  <c r="P113"/>
  <c r="Q112"/>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Q93"/>
  <c r="P93"/>
  <c r="Q92"/>
  <c r="P92"/>
  <c r="Q91"/>
  <c r="P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C14"/>
  <c r="H14" s="1"/>
  <c r="Q13"/>
  <c r="P13"/>
  <c r="C13"/>
  <c r="Q12"/>
  <c r="P12"/>
  <c r="C12"/>
  <c r="H12" s="1"/>
  <c r="Q11"/>
  <c r="P11"/>
  <c r="C11"/>
  <c r="Q10"/>
  <c r="P10"/>
  <c r="C10"/>
  <c r="H10" s="1"/>
  <c r="Q9"/>
  <c r="P9"/>
  <c r="C9"/>
  <c r="Q8"/>
  <c r="P8"/>
  <c r="C8"/>
  <c r="Q7"/>
  <c r="P7"/>
  <c r="C7"/>
  <c r="H7" s="1"/>
  <c r="C14" i="36"/>
  <c r="C13"/>
  <c r="C12"/>
  <c r="C11"/>
  <c r="C10"/>
  <c r="C9"/>
  <c r="C8"/>
  <c r="C7"/>
  <c r="Z139" i="7"/>
  <c r="Y139"/>
  <c r="U139"/>
  <c r="Q139"/>
  <c r="Q217" s="1"/>
  <c r="P139"/>
  <c r="P217" s="1"/>
  <c r="N139"/>
  <c r="N217" s="1"/>
  <c r="G139"/>
  <c r="G217" s="1"/>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J91"/>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K57"/>
  <c r="J57"/>
  <c r="K56"/>
  <c r="J56"/>
  <c r="K55"/>
  <c r="J55"/>
  <c r="K54"/>
  <c r="J54"/>
  <c r="K53"/>
  <c r="J53"/>
  <c r="K52"/>
  <c r="J52"/>
  <c r="K51"/>
  <c r="J51"/>
  <c r="K50"/>
  <c r="J50"/>
  <c r="F16" i="27" s="1"/>
  <c r="K49" i="7"/>
  <c r="J49"/>
  <c r="K48"/>
  <c r="J48"/>
  <c r="K47"/>
  <c r="J47"/>
  <c r="K46"/>
  <c r="J46"/>
  <c r="K45"/>
  <c r="J45"/>
  <c r="K44"/>
  <c r="J44"/>
  <c r="F14" i="27" s="1"/>
  <c r="K43" i="7"/>
  <c r="J43"/>
  <c r="K42"/>
  <c r="J42"/>
  <c r="K41"/>
  <c r="J41"/>
  <c r="K40"/>
  <c r="J40"/>
  <c r="K39"/>
  <c r="J39"/>
  <c r="K38"/>
  <c r="J38"/>
  <c r="F12" i="27" s="1"/>
  <c r="K37" i="7"/>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F139"/>
  <c r="F217" s="1"/>
  <c r="K14"/>
  <c r="J14"/>
  <c r="K13"/>
  <c r="J13"/>
  <c r="K12"/>
  <c r="J12"/>
  <c r="K11"/>
  <c r="J11"/>
  <c r="K10"/>
  <c r="J10"/>
  <c r="K9"/>
  <c r="J9"/>
  <c r="K8"/>
  <c r="J8"/>
  <c r="K7"/>
  <c r="J7"/>
  <c r="K6"/>
  <c r="J6"/>
  <c r="K5"/>
  <c r="J5"/>
  <c r="B5"/>
  <c r="B6" s="1"/>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K4"/>
  <c r="J4"/>
  <c r="J220" i="6"/>
  <c r="Q220" s="1"/>
  <c r="X220" s="1"/>
  <c r="P219"/>
  <c r="W219" s="1"/>
  <c r="J219"/>
  <c r="Q219" s="1"/>
  <c r="X219" s="1"/>
  <c r="P218"/>
  <c r="W218" s="1"/>
  <c r="J218"/>
  <c r="Q218" s="1"/>
  <c r="X218" s="1"/>
  <c r="Q216"/>
  <c r="P216"/>
  <c r="O216"/>
  <c r="N216"/>
  <c r="G216"/>
  <c r="F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Z139"/>
  <c r="Y139"/>
  <c r="U139"/>
  <c r="T139"/>
  <c r="Q139"/>
  <c r="P139"/>
  <c r="O139"/>
  <c r="N139"/>
  <c r="G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J91"/>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K57"/>
  <c r="J57"/>
  <c r="K56"/>
  <c r="J56"/>
  <c r="K55"/>
  <c r="J55"/>
  <c r="K54"/>
  <c r="J54"/>
  <c r="K53"/>
  <c r="J53"/>
  <c r="K52"/>
  <c r="J52"/>
  <c r="K51"/>
  <c r="J51"/>
  <c r="K50"/>
  <c r="J50"/>
  <c r="E16" i="27" s="1"/>
  <c r="K49" i="6"/>
  <c r="J49"/>
  <c r="K48"/>
  <c r="J48"/>
  <c r="K47"/>
  <c r="J47"/>
  <c r="K46"/>
  <c r="J46"/>
  <c r="K45"/>
  <c r="J45"/>
  <c r="K44"/>
  <c r="J44"/>
  <c r="E14" i="27" s="1"/>
  <c r="K43" i="6"/>
  <c r="J43"/>
  <c r="K42"/>
  <c r="J42"/>
  <c r="K41"/>
  <c r="J41"/>
  <c r="K40"/>
  <c r="J40"/>
  <c r="K39"/>
  <c r="J39"/>
  <c r="K38"/>
  <c r="J38"/>
  <c r="E12" i="27" s="1"/>
  <c r="K37" i="6"/>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F15"/>
  <c r="F139" s="1"/>
  <c r="K14"/>
  <c r="J14"/>
  <c r="K13"/>
  <c r="J13"/>
  <c r="K12"/>
  <c r="J12"/>
  <c r="K11"/>
  <c r="J11"/>
  <c r="K10"/>
  <c r="J10"/>
  <c r="K9"/>
  <c r="J9"/>
  <c r="K8"/>
  <c r="J8"/>
  <c r="K7"/>
  <c r="J7"/>
  <c r="K6"/>
  <c r="J6"/>
  <c r="K5"/>
  <c r="J5"/>
  <c r="B5"/>
  <c r="B6" s="1"/>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K4"/>
  <c r="J4"/>
  <c r="B7" i="33"/>
  <c r="B6"/>
  <c r="J6"/>
  <c r="J451"/>
  <c r="J450"/>
  <c r="J449"/>
  <c r="J448"/>
  <c r="J447"/>
  <c r="J446"/>
  <c r="J357"/>
  <c r="J356"/>
  <c r="J355"/>
  <c r="J354"/>
  <c r="J353"/>
  <c r="J352"/>
  <c r="J312"/>
  <c r="J311"/>
  <c r="J310"/>
  <c r="J309"/>
  <c r="J308"/>
  <c r="J307"/>
  <c r="J279"/>
  <c r="J278"/>
  <c r="J277"/>
  <c r="J276"/>
  <c r="J275"/>
  <c r="J274"/>
  <c r="J273"/>
  <c r="J272"/>
  <c r="J271"/>
  <c r="J121"/>
  <c r="J120"/>
  <c r="J119"/>
  <c r="J178"/>
  <c r="J177"/>
  <c r="J176"/>
  <c r="J175"/>
  <c r="J174"/>
  <c r="J173"/>
  <c r="J188"/>
  <c r="J187"/>
  <c r="J186"/>
  <c r="J26"/>
  <c r="J25"/>
  <c r="J24"/>
  <c r="J203"/>
  <c r="J202"/>
  <c r="I216" i="5"/>
  <c r="H216"/>
  <c r="G216"/>
  <c r="F216"/>
  <c r="W219"/>
  <c r="W218"/>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E46" i="13" s="1"/>
  <c r="K176" i="5"/>
  <c r="J176"/>
  <c r="K175"/>
  <c r="J175"/>
  <c r="K174"/>
  <c r="J174"/>
  <c r="K173"/>
  <c r="J173"/>
  <c r="K172"/>
  <c r="J172"/>
  <c r="K171"/>
  <c r="J171"/>
  <c r="K170"/>
  <c r="E45" i="13" s="1"/>
  <c r="E41" s="1"/>
  <c r="J170" i="5"/>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Z139"/>
  <c r="Y139"/>
  <c r="U139"/>
  <c r="T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L154" i="40" s="1"/>
  <c r="J91" i="5"/>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I107" i="40" s="1"/>
  <c r="J63" i="5"/>
  <c r="K62"/>
  <c r="J62"/>
  <c r="K61"/>
  <c r="J61"/>
  <c r="K60"/>
  <c r="J60"/>
  <c r="K59"/>
  <c r="J59"/>
  <c r="K58"/>
  <c r="J58"/>
  <c r="K57"/>
  <c r="J57"/>
  <c r="K56"/>
  <c r="J56"/>
  <c r="K55"/>
  <c r="J55"/>
  <c r="K54"/>
  <c r="J54"/>
  <c r="K53"/>
  <c r="J53"/>
  <c r="K52"/>
  <c r="J52"/>
  <c r="K51"/>
  <c r="J51"/>
  <c r="K50"/>
  <c r="J50"/>
  <c r="D16" i="27" s="1"/>
  <c r="K49" i="5"/>
  <c r="J49"/>
  <c r="K48"/>
  <c r="J48"/>
  <c r="K47"/>
  <c r="J47"/>
  <c r="K46"/>
  <c r="J46"/>
  <c r="K45"/>
  <c r="J45"/>
  <c r="K44"/>
  <c r="J44"/>
  <c r="D14" i="27" s="1"/>
  <c r="K43" i="5"/>
  <c r="J43"/>
  <c r="K42"/>
  <c r="J42"/>
  <c r="K41"/>
  <c r="J41"/>
  <c r="D13" i="27" s="1"/>
  <c r="K40" i="5"/>
  <c r="J40"/>
  <c r="K39"/>
  <c r="J39"/>
  <c r="K38"/>
  <c r="J38"/>
  <c r="D12" i="27" s="1"/>
  <c r="K37" i="5"/>
  <c r="J37"/>
  <c r="K36"/>
  <c r="J36"/>
  <c r="K35"/>
  <c r="J35"/>
  <c r="K34"/>
  <c r="J34"/>
  <c r="K33"/>
  <c r="J33"/>
  <c r="K32"/>
  <c r="J32"/>
  <c r="G2" i="36" s="1"/>
  <c r="K31" i="5"/>
  <c r="J31"/>
  <c r="K30"/>
  <c r="J30"/>
  <c r="K29"/>
  <c r="J29"/>
  <c r="K28"/>
  <c r="J28"/>
  <c r="K27"/>
  <c r="J27"/>
  <c r="K26"/>
  <c r="J26"/>
  <c r="K25"/>
  <c r="J25"/>
  <c r="K24"/>
  <c r="J24"/>
  <c r="K23"/>
  <c r="J23"/>
  <c r="K22"/>
  <c r="J22"/>
  <c r="K21"/>
  <c r="J21"/>
  <c r="K20"/>
  <c r="J20"/>
  <c r="K19"/>
  <c r="J19"/>
  <c r="K18"/>
  <c r="H2" i="35" s="1"/>
  <c r="J18" i="5"/>
  <c r="K17"/>
  <c r="J17"/>
  <c r="K16"/>
  <c r="J16"/>
  <c r="K15"/>
  <c r="J15"/>
  <c r="K14"/>
  <c r="J14"/>
  <c r="K13"/>
  <c r="J13"/>
  <c r="K12"/>
  <c r="J12"/>
  <c r="K11"/>
  <c r="J11"/>
  <c r="K10"/>
  <c r="J10"/>
  <c r="K9"/>
  <c r="J9"/>
  <c r="K8"/>
  <c r="J8"/>
  <c r="K7"/>
  <c r="J7"/>
  <c r="K6"/>
  <c r="J6"/>
  <c r="K5"/>
  <c r="J5"/>
  <c r="J140"/>
  <c r="K140"/>
  <c r="J218"/>
  <c r="X218" s="1"/>
  <c r="J219"/>
  <c r="X219" s="1"/>
  <c r="J220"/>
  <c r="X220" s="1"/>
  <c r="H139"/>
  <c r="G139"/>
  <c r="I125"/>
  <c r="F139"/>
  <c r="B5"/>
  <c r="B6" s="1"/>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T6" i="21"/>
  <c r="I86"/>
  <c r="J86"/>
  <c r="K86"/>
  <c r="I87"/>
  <c r="J87"/>
  <c r="K87"/>
  <c r="I150"/>
  <c r="J150" s="1"/>
  <c r="K150" s="1"/>
  <c r="I151"/>
  <c r="J151"/>
  <c r="K151"/>
  <c r="I152"/>
  <c r="J152"/>
  <c r="K152"/>
  <c r="I153"/>
  <c r="J153" s="1"/>
  <c r="K153" s="1"/>
  <c r="I154"/>
  <c r="J154"/>
  <c r="K154" s="1"/>
  <c r="I155"/>
  <c r="J155"/>
  <c r="K155"/>
  <c r="I156"/>
  <c r="J156" s="1"/>
  <c r="K156" s="1"/>
  <c r="I157"/>
  <c r="J157"/>
  <c r="K157"/>
  <c r="I158"/>
  <c r="J158"/>
  <c r="K158"/>
  <c r="I164"/>
  <c r="J164" s="1"/>
  <c r="K164" s="1"/>
  <c r="I165"/>
  <c r="J165"/>
  <c r="K165"/>
  <c r="I166"/>
  <c r="J166"/>
  <c r="K166"/>
  <c r="I167"/>
  <c r="J167" s="1"/>
  <c r="K167" s="1"/>
  <c r="I168"/>
  <c r="J168"/>
  <c r="K168"/>
  <c r="I169"/>
  <c r="J169"/>
  <c r="K169"/>
  <c r="I175"/>
  <c r="J175" s="1"/>
  <c r="K175" s="1"/>
  <c r="I176"/>
  <c r="J176"/>
  <c r="K176"/>
  <c r="I177"/>
  <c r="J177"/>
  <c r="K177"/>
  <c r="I178"/>
  <c r="J178" s="1"/>
  <c r="K178" s="1"/>
  <c r="I179"/>
  <c r="J179"/>
  <c r="K179"/>
  <c r="I180"/>
  <c r="J180"/>
  <c r="K180"/>
  <c r="I221"/>
  <c r="J221" s="1"/>
  <c r="K221" s="1"/>
  <c r="I222"/>
  <c r="J222"/>
  <c r="K222"/>
  <c r="I223"/>
  <c r="J223"/>
  <c r="K223"/>
  <c r="I224"/>
  <c r="J224" s="1"/>
  <c r="K224" s="1"/>
  <c r="I225"/>
  <c r="J225"/>
  <c r="K225"/>
  <c r="I226"/>
  <c r="J226"/>
  <c r="K226"/>
  <c r="I6"/>
  <c r="I7"/>
  <c r="J7"/>
  <c r="K7"/>
  <c r="I8"/>
  <c r="I9"/>
  <c r="J9"/>
  <c r="K9"/>
  <c r="I10"/>
  <c r="I11"/>
  <c r="K11"/>
  <c r="I12"/>
  <c r="I13"/>
  <c r="K13"/>
  <c r="I14"/>
  <c r="I15"/>
  <c r="J15"/>
  <c r="K15"/>
  <c r="I120"/>
  <c r="J120"/>
  <c r="K120"/>
  <c r="I122"/>
  <c r="J122"/>
  <c r="K122"/>
  <c r="I123"/>
  <c r="J123"/>
  <c r="K123"/>
  <c r="I124"/>
  <c r="J124"/>
  <c r="K124"/>
  <c r="I60"/>
  <c r="J60"/>
  <c r="K60"/>
  <c r="Q205"/>
  <c r="H2" i="36" l="1"/>
  <c r="G45" i="4"/>
  <c r="H45"/>
  <c r="G2" i="35"/>
  <c r="H12" i="27"/>
  <c r="H14"/>
  <c r="E13"/>
  <c r="E10" s="1"/>
  <c r="F13"/>
  <c r="F10" s="1"/>
  <c r="K6" i="21"/>
  <c r="M2" i="20"/>
  <c r="H16" i="27"/>
  <c r="G67" i="40"/>
  <c r="J67" s="1"/>
  <c r="G68"/>
  <c r="J68" s="1"/>
  <c r="H2" i="4"/>
  <c r="C107" i="40"/>
  <c r="E107"/>
  <c r="H107"/>
  <c r="J107"/>
  <c r="H154"/>
  <c r="K154"/>
  <c r="K153" s="1"/>
  <c r="K161" s="1"/>
  <c r="K164" s="1"/>
  <c r="I154"/>
  <c r="I153" s="1"/>
  <c r="I161" s="1"/>
  <c r="I164" s="1"/>
  <c r="J154"/>
  <c r="J153" s="1"/>
  <c r="J161" s="1"/>
  <c r="J164" s="1"/>
  <c r="M154"/>
  <c r="M153" s="1"/>
  <c r="M161" s="1"/>
  <c r="M164" s="1"/>
  <c r="L153"/>
  <c r="L161" s="1"/>
  <c r="L164" s="1"/>
  <c r="G66"/>
  <c r="G2" i="4"/>
  <c r="C106" i="40"/>
  <c r="E106"/>
  <c r="G106"/>
  <c r="H106"/>
  <c r="I106"/>
  <c r="J106"/>
  <c r="J216" i="5"/>
  <c r="K216"/>
  <c r="D41" i="10"/>
  <c r="K2" i="36"/>
  <c r="I139" i="5"/>
  <c r="I217" s="1"/>
  <c r="F217"/>
  <c r="H217"/>
  <c r="B1"/>
  <c r="E52" i="13"/>
  <c r="B4" i="33"/>
  <c r="G217" i="5"/>
  <c r="L8" i="35"/>
  <c r="G8"/>
  <c r="L9"/>
  <c r="G9"/>
  <c r="L11"/>
  <c r="G11"/>
  <c r="L13"/>
  <c r="G13"/>
  <c r="B7"/>
  <c r="D7"/>
  <c r="B9"/>
  <c r="D9"/>
  <c r="B11"/>
  <c r="D11"/>
  <c r="B13"/>
  <c r="D13"/>
  <c r="H8"/>
  <c r="H9"/>
  <c r="H11"/>
  <c r="H13"/>
  <c r="L7"/>
  <c r="G7"/>
  <c r="L10"/>
  <c r="G10"/>
  <c r="I10" s="1"/>
  <c r="L12"/>
  <c r="G12"/>
  <c r="I12" s="1"/>
  <c r="L14"/>
  <c r="G14"/>
  <c r="I14" s="1"/>
  <c r="M7"/>
  <c r="N7" s="1"/>
  <c r="M8"/>
  <c r="M9"/>
  <c r="M10"/>
  <c r="M11"/>
  <c r="N11" s="1"/>
  <c r="M12"/>
  <c r="M13"/>
  <c r="N13" s="1"/>
  <c r="M14"/>
  <c r="J216" i="6"/>
  <c r="L8" i="36"/>
  <c r="G8"/>
  <c r="H8"/>
  <c r="M8"/>
  <c r="L10"/>
  <c r="G10"/>
  <c r="H10"/>
  <c r="M10"/>
  <c r="L12"/>
  <c r="G12"/>
  <c r="H12"/>
  <c r="M12"/>
  <c r="L14"/>
  <c r="G14"/>
  <c r="H14"/>
  <c r="M14"/>
  <c r="L7"/>
  <c r="G7"/>
  <c r="H7"/>
  <c r="M7"/>
  <c r="L9"/>
  <c r="G9"/>
  <c r="H9"/>
  <c r="M9"/>
  <c r="L11"/>
  <c r="G11"/>
  <c r="H11"/>
  <c r="M11"/>
  <c r="L13"/>
  <c r="G13"/>
  <c r="H13"/>
  <c r="M13"/>
  <c r="B8"/>
  <c r="D8"/>
  <c r="B10"/>
  <c r="D10"/>
  <c r="B12"/>
  <c r="D12"/>
  <c r="B14"/>
  <c r="D14"/>
  <c r="O120" i="21"/>
  <c r="P120" s="1"/>
  <c r="P50"/>
  <c r="O135"/>
  <c r="P135" s="1"/>
  <c r="K216" i="6"/>
  <c r="I7" i="35"/>
  <c r="I8" i="4"/>
  <c r="I9"/>
  <c r="I10"/>
  <c r="I11"/>
  <c r="N9" i="35"/>
  <c r="O159" i="21"/>
  <c r="O145"/>
  <c r="R205"/>
  <c r="P205"/>
  <c r="O201"/>
  <c r="P140"/>
  <c r="O181"/>
  <c r="O125"/>
  <c r="O40"/>
  <c r="O45"/>
  <c r="O55"/>
  <c r="O30"/>
  <c r="O35"/>
  <c r="P35" s="1"/>
  <c r="O98"/>
  <c r="O93"/>
  <c r="O25"/>
  <c r="O88"/>
  <c r="O112"/>
  <c r="O80"/>
  <c r="P80" s="1"/>
  <c r="O75"/>
  <c r="P75" s="1"/>
  <c r="O70"/>
  <c r="P70" s="1"/>
  <c r="O65"/>
  <c r="P65" s="1"/>
  <c r="O60"/>
  <c r="P60" s="1"/>
  <c r="I7" i="4"/>
  <c r="N7"/>
  <c r="K21" s="1"/>
  <c r="N8"/>
  <c r="K22" s="1"/>
  <c r="N9"/>
  <c r="K23" s="1"/>
  <c r="N10"/>
  <c r="K24" s="1"/>
  <c r="N11"/>
  <c r="K25" s="1"/>
  <c r="B8" i="35"/>
  <c r="D8"/>
  <c r="B10"/>
  <c r="D10"/>
  <c r="B12"/>
  <c r="D12"/>
  <c r="B14"/>
  <c r="D14"/>
  <c r="O147"/>
  <c r="R147" s="1"/>
  <c r="O149"/>
  <c r="R149" s="1"/>
  <c r="O151"/>
  <c r="R151" s="1"/>
  <c r="O153"/>
  <c r="R153" s="1"/>
  <c r="O155"/>
  <c r="R155" s="1"/>
  <c r="O157"/>
  <c r="R157" s="1"/>
  <c r="O159"/>
  <c r="R159" s="1"/>
  <c r="O161"/>
  <c r="R161" s="1"/>
  <c r="D7" i="36"/>
  <c r="B7"/>
  <c r="D9"/>
  <c r="B9"/>
  <c r="D11"/>
  <c r="B11"/>
  <c r="D13"/>
  <c r="B13"/>
  <c r="J139" i="7"/>
  <c r="J217" s="1"/>
  <c r="K139"/>
  <c r="K217" s="1"/>
  <c r="K139" i="6"/>
  <c r="J139"/>
  <c r="K14" i="21"/>
  <c r="K12"/>
  <c r="K10"/>
  <c r="K8"/>
  <c r="G217" i="6"/>
  <c r="O217"/>
  <c r="Q217"/>
  <c r="F217"/>
  <c r="N217"/>
  <c r="P217"/>
  <c r="M54" i="5"/>
  <c r="M55"/>
  <c r="M56"/>
  <c r="M57"/>
  <c r="M58"/>
  <c r="M59"/>
  <c r="M60"/>
  <c r="M61"/>
  <c r="M62"/>
  <c r="M63"/>
  <c r="M64"/>
  <c r="M65"/>
  <c r="M66"/>
  <c r="M67"/>
  <c r="M68"/>
  <c r="M69"/>
  <c r="M70"/>
  <c r="M71"/>
  <c r="M72"/>
  <c r="M73"/>
  <c r="M74"/>
  <c r="M75"/>
  <c r="M76"/>
  <c r="M77"/>
  <c r="M78"/>
  <c r="M79"/>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41"/>
  <c r="L142"/>
  <c r="L143"/>
  <c r="L144"/>
  <c r="L145"/>
  <c r="L146"/>
  <c r="L147"/>
  <c r="L148"/>
  <c r="L149"/>
  <c r="L150"/>
  <c r="L151"/>
  <c r="M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M141"/>
  <c r="M142"/>
  <c r="M143"/>
  <c r="M144"/>
  <c r="M145"/>
  <c r="M146"/>
  <c r="M147"/>
  <c r="M148"/>
  <c r="M149"/>
  <c r="M150"/>
  <c r="M151"/>
  <c r="L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5"/>
  <c r="M6"/>
  <c r="M7"/>
  <c r="M8"/>
  <c r="M9"/>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L54"/>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T15" i="21"/>
  <c r="T14"/>
  <c r="T13"/>
  <c r="T12"/>
  <c r="T11"/>
  <c r="T10"/>
  <c r="T9"/>
  <c r="T8"/>
  <c r="T7"/>
  <c r="T152"/>
  <c r="T151"/>
  <c r="T150"/>
  <c r="T87"/>
  <c r="T86"/>
  <c r="T85"/>
  <c r="I85"/>
  <c r="J85" s="1"/>
  <c r="K108"/>
  <c r="J108"/>
  <c r="I108"/>
  <c r="K107"/>
  <c r="J107"/>
  <c r="I107"/>
  <c r="I106"/>
  <c r="K105"/>
  <c r="J105"/>
  <c r="I105"/>
  <c r="K104"/>
  <c r="J104"/>
  <c r="I104"/>
  <c r="I103"/>
  <c r="J103" s="1"/>
  <c r="K111"/>
  <c r="J111"/>
  <c r="I111"/>
  <c r="K110"/>
  <c r="J110"/>
  <c r="I110"/>
  <c r="N22" i="4" l="1"/>
  <c r="O22" s="1"/>
  <c r="K50"/>
  <c r="N50" s="1"/>
  <c r="N25"/>
  <c r="O25" s="1"/>
  <c r="K53"/>
  <c r="N53" s="1"/>
  <c r="N21"/>
  <c r="O21" s="1"/>
  <c r="K49"/>
  <c r="N23"/>
  <c r="O23" s="1"/>
  <c r="K51"/>
  <c r="N51" s="1"/>
  <c r="N24"/>
  <c r="O24" s="1"/>
  <c r="K52"/>
  <c r="N52" s="1"/>
  <c r="I220" i="5"/>
  <c r="W220" s="1"/>
  <c r="H13" i="27"/>
  <c r="H10" s="1"/>
  <c r="H17" s="1"/>
  <c r="R77" i="5"/>
  <c r="R73"/>
  <c r="R65"/>
  <c r="R61"/>
  <c r="R57"/>
  <c r="J217" i="6"/>
  <c r="J108" i="40"/>
  <c r="I108"/>
  <c r="H108"/>
  <c r="I13" i="35"/>
  <c r="O13" s="1"/>
  <c r="R13" s="1"/>
  <c r="I9"/>
  <c r="O9" s="1"/>
  <c r="R9" s="1"/>
  <c r="D10" i="27"/>
  <c r="D17" s="1"/>
  <c r="K106" i="40"/>
  <c r="C108"/>
  <c r="G70"/>
  <c r="J70" s="1"/>
  <c r="J66"/>
  <c r="H153"/>
  <c r="N154"/>
  <c r="E108"/>
  <c r="I11" i="35"/>
  <c r="O11" s="1"/>
  <c r="R11" s="1"/>
  <c r="N14"/>
  <c r="O14" s="1"/>
  <c r="R14" s="1"/>
  <c r="N12"/>
  <c r="O12" s="1"/>
  <c r="R12" s="1"/>
  <c r="N10"/>
  <c r="O10" s="1"/>
  <c r="R10" s="1"/>
  <c r="N8"/>
  <c r="I8"/>
  <c r="R55" i="5"/>
  <c r="R78"/>
  <c r="R74"/>
  <c r="R70"/>
  <c r="R66"/>
  <c r="R62"/>
  <c r="R58"/>
  <c r="S56"/>
  <c r="R76"/>
  <c r="R68"/>
  <c r="R60"/>
  <c r="R72"/>
  <c r="R64"/>
  <c r="R56"/>
  <c r="S79"/>
  <c r="S75"/>
  <c r="S71"/>
  <c r="S67"/>
  <c r="S63"/>
  <c r="S59"/>
  <c r="S55"/>
  <c r="S72"/>
  <c r="S64"/>
  <c r="S76"/>
  <c r="S68"/>
  <c r="S60"/>
  <c r="S78"/>
  <c r="S74"/>
  <c r="S70"/>
  <c r="S66"/>
  <c r="S62"/>
  <c r="S58"/>
  <c r="R69"/>
  <c r="R79"/>
  <c r="S77"/>
  <c r="R75"/>
  <c r="S73"/>
  <c r="V73" s="1"/>
  <c r="R71"/>
  <c r="S69"/>
  <c r="R67"/>
  <c r="W67" s="1"/>
  <c r="S65"/>
  <c r="R63"/>
  <c r="S61"/>
  <c r="V61" s="1"/>
  <c r="R59"/>
  <c r="S57"/>
  <c r="K217" i="6"/>
  <c r="O11" i="4"/>
  <c r="R11" s="1"/>
  <c r="O9"/>
  <c r="R9" s="1"/>
  <c r="O10"/>
  <c r="R10" s="1"/>
  <c r="N14" i="36"/>
  <c r="N12"/>
  <c r="N10"/>
  <c r="N8"/>
  <c r="N13"/>
  <c r="I13"/>
  <c r="N11"/>
  <c r="I11"/>
  <c r="N9"/>
  <c r="I9"/>
  <c r="N7"/>
  <c r="I7"/>
  <c r="I14"/>
  <c r="I12"/>
  <c r="I10"/>
  <c r="I8"/>
  <c r="O7" i="4"/>
  <c r="R7" s="1"/>
  <c r="O8"/>
  <c r="R8" s="1"/>
  <c r="O7" i="35"/>
  <c r="R7" s="1"/>
  <c r="R137" i="5"/>
  <c r="R135"/>
  <c r="R133"/>
  <c r="R131"/>
  <c r="R129"/>
  <c r="R127"/>
  <c r="R125"/>
  <c r="R123"/>
  <c r="R121"/>
  <c r="R119"/>
  <c r="R117"/>
  <c r="R115"/>
  <c r="R113"/>
  <c r="R111"/>
  <c r="R109"/>
  <c r="R107"/>
  <c r="R105"/>
  <c r="R103"/>
  <c r="R101"/>
  <c r="R99"/>
  <c r="R97"/>
  <c r="R95"/>
  <c r="R93"/>
  <c r="R91"/>
  <c r="R89"/>
  <c r="R87"/>
  <c r="R85"/>
  <c r="R83"/>
  <c r="R81"/>
  <c r="R52"/>
  <c r="R50"/>
  <c r="R48"/>
  <c r="R46"/>
  <c r="R44"/>
  <c r="R42"/>
  <c r="R40"/>
  <c r="R38"/>
  <c r="R36"/>
  <c r="R34"/>
  <c r="R32"/>
  <c r="R30"/>
  <c r="R28"/>
  <c r="R26"/>
  <c r="R24"/>
  <c r="R22"/>
  <c r="R20"/>
  <c r="R18"/>
  <c r="R16"/>
  <c r="R14"/>
  <c r="R12"/>
  <c r="R10"/>
  <c r="R8"/>
  <c r="S215"/>
  <c r="R213"/>
  <c r="U213" s="1"/>
  <c r="R211"/>
  <c r="U211" s="1"/>
  <c r="R209"/>
  <c r="U209" s="1"/>
  <c r="R207"/>
  <c r="U207" s="1"/>
  <c r="R205"/>
  <c r="U205" s="1"/>
  <c r="R203"/>
  <c r="U203" s="1"/>
  <c r="R201"/>
  <c r="U201" s="1"/>
  <c r="R199"/>
  <c r="U199" s="1"/>
  <c r="S197"/>
  <c r="T197" s="1"/>
  <c r="R195"/>
  <c r="U195" s="1"/>
  <c r="R193"/>
  <c r="U193" s="1"/>
  <c r="S191"/>
  <c r="T191" s="1"/>
  <c r="R189"/>
  <c r="U189" s="1"/>
  <c r="R187"/>
  <c r="U187" s="1"/>
  <c r="R185"/>
  <c r="U185" s="1"/>
  <c r="R183"/>
  <c r="U183" s="1"/>
  <c r="R181"/>
  <c r="U181" s="1"/>
  <c r="R179"/>
  <c r="U179" s="1"/>
  <c r="R177"/>
  <c r="U177" s="1"/>
  <c r="R175"/>
  <c r="U175" s="1"/>
  <c r="R173"/>
  <c r="U173" s="1"/>
  <c r="R171"/>
  <c r="U171" s="1"/>
  <c r="R169"/>
  <c r="U169" s="1"/>
  <c r="R167"/>
  <c r="U167" s="1"/>
  <c r="R165"/>
  <c r="U165" s="1"/>
  <c r="R163"/>
  <c r="U163" s="1"/>
  <c r="R161"/>
  <c r="U161" s="1"/>
  <c r="R159"/>
  <c r="U159" s="1"/>
  <c r="R157"/>
  <c r="U157" s="1"/>
  <c r="R155"/>
  <c r="U155" s="1"/>
  <c r="R153"/>
  <c r="U153" s="1"/>
  <c r="S151"/>
  <c r="T151" s="1"/>
  <c r="S149"/>
  <c r="T149" s="1"/>
  <c r="S147"/>
  <c r="T147" s="1"/>
  <c r="S145"/>
  <c r="T145" s="1"/>
  <c r="S143"/>
  <c r="T143" s="1"/>
  <c r="S141"/>
  <c r="T141" s="1"/>
  <c r="P191" i="21"/>
  <c r="P159"/>
  <c r="P145"/>
  <c r="P201"/>
  <c r="P196"/>
  <c r="P181"/>
  <c r="P125"/>
  <c r="P40"/>
  <c r="P45"/>
  <c r="P55"/>
  <c r="P30"/>
  <c r="P98"/>
  <c r="P93"/>
  <c r="P25"/>
  <c r="P88"/>
  <c r="P112"/>
  <c r="O156" i="35"/>
  <c r="R156" s="1"/>
  <c r="O160"/>
  <c r="R160" s="1"/>
  <c r="O162"/>
  <c r="R162" s="1"/>
  <c r="O158"/>
  <c r="R158" s="1"/>
  <c r="O154"/>
  <c r="R154" s="1"/>
  <c r="O152"/>
  <c r="R152" s="1"/>
  <c r="O150"/>
  <c r="R150" s="1"/>
  <c r="O148"/>
  <c r="R148" s="1"/>
  <c r="O146"/>
  <c r="R146" s="1"/>
  <c r="S138" i="5"/>
  <c r="S134"/>
  <c r="S132"/>
  <c r="S128"/>
  <c r="S122"/>
  <c r="S118"/>
  <c r="S114"/>
  <c r="S110"/>
  <c r="S106"/>
  <c r="S102"/>
  <c r="S98"/>
  <c r="S94"/>
  <c r="S90"/>
  <c r="S86"/>
  <c r="S80"/>
  <c r="R53"/>
  <c r="R51"/>
  <c r="R49"/>
  <c r="R47"/>
  <c r="R45"/>
  <c r="R43"/>
  <c r="R41"/>
  <c r="R39"/>
  <c r="R37"/>
  <c r="R35"/>
  <c r="R33"/>
  <c r="R31"/>
  <c r="R29"/>
  <c r="R27"/>
  <c r="R25"/>
  <c r="R23"/>
  <c r="S21"/>
  <c r="S19"/>
  <c r="S17"/>
  <c r="S15"/>
  <c r="S13"/>
  <c r="S11"/>
  <c r="S9"/>
  <c r="S7"/>
  <c r="S5"/>
  <c r="S196"/>
  <c r="T196" s="1"/>
  <c r="S194"/>
  <c r="T194" s="1"/>
  <c r="S190"/>
  <c r="T190" s="1"/>
  <c r="R150"/>
  <c r="U150" s="1"/>
  <c r="R148"/>
  <c r="U148" s="1"/>
  <c r="R146"/>
  <c r="U146" s="1"/>
  <c r="R144"/>
  <c r="U144" s="1"/>
  <c r="R142"/>
  <c r="U142" s="1"/>
  <c r="S52"/>
  <c r="S50"/>
  <c r="S48"/>
  <c r="S46"/>
  <c r="S44"/>
  <c r="S42"/>
  <c r="S40"/>
  <c r="S38"/>
  <c r="S36"/>
  <c r="S34"/>
  <c r="S32"/>
  <c r="S30"/>
  <c r="S28"/>
  <c r="S26"/>
  <c r="S24"/>
  <c r="S22"/>
  <c r="S152"/>
  <c r="T152" s="1"/>
  <c r="R152"/>
  <c r="R215"/>
  <c r="R214"/>
  <c r="R212"/>
  <c r="R210"/>
  <c r="R208"/>
  <c r="R206"/>
  <c r="R204"/>
  <c r="R202"/>
  <c r="R200"/>
  <c r="R198"/>
  <c r="R197"/>
  <c r="R196"/>
  <c r="R194"/>
  <c r="R192"/>
  <c r="R191"/>
  <c r="R190"/>
  <c r="R188"/>
  <c r="R186"/>
  <c r="R184"/>
  <c r="R182"/>
  <c r="R180"/>
  <c r="R178"/>
  <c r="R176"/>
  <c r="R174"/>
  <c r="R172"/>
  <c r="R170"/>
  <c r="R168"/>
  <c r="R166"/>
  <c r="R164"/>
  <c r="R162"/>
  <c r="R160"/>
  <c r="R158"/>
  <c r="R156"/>
  <c r="R154"/>
  <c r="R151"/>
  <c r="R149"/>
  <c r="R147"/>
  <c r="R145"/>
  <c r="R143"/>
  <c r="R141"/>
  <c r="S214"/>
  <c r="T214" s="1"/>
  <c r="S213"/>
  <c r="T213" s="1"/>
  <c r="S212"/>
  <c r="T212" s="1"/>
  <c r="S211"/>
  <c r="T211" s="1"/>
  <c r="S210"/>
  <c r="T210" s="1"/>
  <c r="S209"/>
  <c r="T209" s="1"/>
  <c r="S208"/>
  <c r="T208" s="1"/>
  <c r="S207"/>
  <c r="T207" s="1"/>
  <c r="S206"/>
  <c r="T206" s="1"/>
  <c r="S205"/>
  <c r="T205" s="1"/>
  <c r="S204"/>
  <c r="T204" s="1"/>
  <c r="S203"/>
  <c r="T203" s="1"/>
  <c r="S202"/>
  <c r="T202" s="1"/>
  <c r="S201"/>
  <c r="T201" s="1"/>
  <c r="S200"/>
  <c r="T200" s="1"/>
  <c r="S199"/>
  <c r="T199" s="1"/>
  <c r="S198"/>
  <c r="S195"/>
  <c r="T195" s="1"/>
  <c r="S193"/>
  <c r="T193" s="1"/>
  <c r="S192"/>
  <c r="T192" s="1"/>
  <c r="S189"/>
  <c r="T189" s="1"/>
  <c r="S188"/>
  <c r="T188" s="1"/>
  <c r="S187"/>
  <c r="T187" s="1"/>
  <c r="S186"/>
  <c r="T186" s="1"/>
  <c r="S185"/>
  <c r="T185" s="1"/>
  <c r="S184"/>
  <c r="T184" s="1"/>
  <c r="S183"/>
  <c r="T183" s="1"/>
  <c r="S182"/>
  <c r="T182" s="1"/>
  <c r="S181"/>
  <c r="T181" s="1"/>
  <c r="S180"/>
  <c r="T180" s="1"/>
  <c r="S179"/>
  <c r="T179" s="1"/>
  <c r="S178"/>
  <c r="T178" s="1"/>
  <c r="S177"/>
  <c r="T177" s="1"/>
  <c r="S176"/>
  <c r="T176" s="1"/>
  <c r="S175"/>
  <c r="T175" s="1"/>
  <c r="S174"/>
  <c r="T174" s="1"/>
  <c r="S173"/>
  <c r="T173" s="1"/>
  <c r="S172"/>
  <c r="T172" s="1"/>
  <c r="S171"/>
  <c r="T171" s="1"/>
  <c r="S170"/>
  <c r="T170" s="1"/>
  <c r="S169"/>
  <c r="T169" s="1"/>
  <c r="S168"/>
  <c r="T168" s="1"/>
  <c r="S167"/>
  <c r="T167" s="1"/>
  <c r="S166"/>
  <c r="T166" s="1"/>
  <c r="S165"/>
  <c r="T165" s="1"/>
  <c r="S164"/>
  <c r="T164" s="1"/>
  <c r="S163"/>
  <c r="T163" s="1"/>
  <c r="S162"/>
  <c r="T162" s="1"/>
  <c r="S161"/>
  <c r="T161" s="1"/>
  <c r="S160"/>
  <c r="T160" s="1"/>
  <c r="S159"/>
  <c r="T159" s="1"/>
  <c r="S158"/>
  <c r="T158" s="1"/>
  <c r="S157"/>
  <c r="T157" s="1"/>
  <c r="S156"/>
  <c r="T156" s="1"/>
  <c r="S155"/>
  <c r="T155" s="1"/>
  <c r="S154"/>
  <c r="T154" s="1"/>
  <c r="S153"/>
  <c r="T153" s="1"/>
  <c r="S150"/>
  <c r="T150" s="1"/>
  <c r="S148"/>
  <c r="T148" s="1"/>
  <c r="S146"/>
  <c r="T146" s="1"/>
  <c r="S144"/>
  <c r="T144" s="1"/>
  <c r="S142"/>
  <c r="T142" s="1"/>
  <c r="R54"/>
  <c r="S54"/>
  <c r="R130"/>
  <c r="R126"/>
  <c r="R124"/>
  <c r="R122"/>
  <c r="R120"/>
  <c r="R118"/>
  <c r="R116"/>
  <c r="R114"/>
  <c r="R110"/>
  <c r="R108"/>
  <c r="R106"/>
  <c r="R104"/>
  <c r="R102"/>
  <c r="R100"/>
  <c r="R98"/>
  <c r="R96"/>
  <c r="R94"/>
  <c r="R92"/>
  <c r="R90"/>
  <c r="R88"/>
  <c r="R86"/>
  <c r="R84"/>
  <c r="R82"/>
  <c r="R80"/>
  <c r="S53"/>
  <c r="S51"/>
  <c r="S49"/>
  <c r="S47"/>
  <c r="S45"/>
  <c r="S43"/>
  <c r="S41"/>
  <c r="S39"/>
  <c r="S37"/>
  <c r="S35"/>
  <c r="S33"/>
  <c r="S31"/>
  <c r="S29"/>
  <c r="S27"/>
  <c r="S25"/>
  <c r="S23"/>
  <c r="S137"/>
  <c r="S136"/>
  <c r="S135"/>
  <c r="S133"/>
  <c r="S131"/>
  <c r="S130"/>
  <c r="S129"/>
  <c r="S127"/>
  <c r="S126"/>
  <c r="S125"/>
  <c r="S124"/>
  <c r="S123"/>
  <c r="S121"/>
  <c r="S120"/>
  <c r="S119"/>
  <c r="S117"/>
  <c r="S116"/>
  <c r="S115"/>
  <c r="S113"/>
  <c r="S112"/>
  <c r="S111"/>
  <c r="K358" i="39" s="1"/>
  <c r="K359" s="1"/>
  <c r="S109" i="5"/>
  <c r="S108"/>
  <c r="S107"/>
  <c r="S105"/>
  <c r="S104"/>
  <c r="S103"/>
  <c r="S101"/>
  <c r="S100"/>
  <c r="S99"/>
  <c r="S97"/>
  <c r="S96"/>
  <c r="S95"/>
  <c r="S93"/>
  <c r="S92"/>
  <c r="S91"/>
  <c r="S89"/>
  <c r="S88"/>
  <c r="S87"/>
  <c r="S85"/>
  <c r="S84"/>
  <c r="S83"/>
  <c r="S82"/>
  <c r="S81"/>
  <c r="R21"/>
  <c r="R19"/>
  <c r="R17"/>
  <c r="R15"/>
  <c r="R13"/>
  <c r="R11"/>
  <c r="R9"/>
  <c r="S6"/>
  <c r="R6"/>
  <c r="R5"/>
  <c r="R7"/>
  <c r="R138"/>
  <c r="R136"/>
  <c r="R134"/>
  <c r="R132"/>
  <c r="R128"/>
  <c r="R112"/>
  <c r="S20"/>
  <c r="S18"/>
  <c r="S16"/>
  <c r="S14"/>
  <c r="S12"/>
  <c r="S10"/>
  <c r="S8"/>
  <c r="K85" i="21"/>
  <c r="K103"/>
  <c r="J106"/>
  <c r="K106" s="1"/>
  <c r="V57" i="5" l="1"/>
  <c r="V77"/>
  <c r="V55"/>
  <c r="N49" i="4"/>
  <c r="K44"/>
  <c r="K46" s="1"/>
  <c r="V56" i="5"/>
  <c r="H56" i="6" s="1"/>
  <c r="V65" i="5"/>
  <c r="H161" i="40"/>
  <c r="H164" s="1"/>
  <c r="N153"/>
  <c r="O8" i="35"/>
  <c r="R8" s="1"/>
  <c r="V79" i="5"/>
  <c r="H79" i="6" s="1"/>
  <c r="W58" i="5"/>
  <c r="I58" i="6" s="1"/>
  <c r="W74" i="5"/>
  <c r="I74" i="6" s="1"/>
  <c r="W60" i="5"/>
  <c r="I60" i="6" s="1"/>
  <c r="V62" i="5"/>
  <c r="H62" i="6" s="1"/>
  <c r="V70" i="5"/>
  <c r="H70" i="6" s="1"/>
  <c r="V78" i="5"/>
  <c r="H78" i="6" s="1"/>
  <c r="V68" i="5"/>
  <c r="H68" i="6" s="1"/>
  <c r="V76" i="5"/>
  <c r="H76" i="6" s="1"/>
  <c r="W63" i="5"/>
  <c r="I63" i="6" s="1"/>
  <c r="W79" i="5"/>
  <c r="I79" i="6" s="1"/>
  <c r="W56" i="5"/>
  <c r="I56" i="6" s="1"/>
  <c r="V64" i="5"/>
  <c r="H64" i="6" s="1"/>
  <c r="W55" i="5"/>
  <c r="I55" i="6" s="1"/>
  <c r="W70" i="5"/>
  <c r="I70" i="6" s="1"/>
  <c r="W76" i="5"/>
  <c r="I76" i="6" s="1"/>
  <c r="W24" i="5"/>
  <c r="I24" i="6" s="1"/>
  <c r="V71" i="5"/>
  <c r="H71" i="6" s="1"/>
  <c r="W66" i="5"/>
  <c r="I66" i="6" s="1"/>
  <c r="W78" i="5"/>
  <c r="I78" i="6" s="1"/>
  <c r="V72" i="5"/>
  <c r="H72" i="6" s="1"/>
  <c r="W59" i="5"/>
  <c r="I59" i="6" s="1"/>
  <c r="W75" i="5"/>
  <c r="I75" i="6" s="1"/>
  <c r="T198" i="5"/>
  <c r="D50" i="27"/>
  <c r="E14" i="11"/>
  <c r="E13"/>
  <c r="E10"/>
  <c r="E15"/>
  <c r="W64" i="5"/>
  <c r="I64" i="6" s="1"/>
  <c r="W62" i="5"/>
  <c r="I62" i="6" s="1"/>
  <c r="W68" i="5"/>
  <c r="I68" i="6" s="1"/>
  <c r="V58" i="5"/>
  <c r="D18" i="27" s="1"/>
  <c r="W71" i="5"/>
  <c r="I71" i="6" s="1"/>
  <c r="V60" i="5"/>
  <c r="V63"/>
  <c r="V66"/>
  <c r="V74"/>
  <c r="V59"/>
  <c r="H59" i="6" s="1"/>
  <c r="V67" i="5"/>
  <c r="W72"/>
  <c r="I72" i="6" s="1"/>
  <c r="V75" i="5"/>
  <c r="H75" i="6" s="1"/>
  <c r="W69" i="5"/>
  <c r="I69" i="6" s="1"/>
  <c r="V138" i="5"/>
  <c r="W57"/>
  <c r="I57" i="6" s="1"/>
  <c r="W61" i="5"/>
  <c r="AA61" s="1"/>
  <c r="W65"/>
  <c r="I65" i="6" s="1"/>
  <c r="W73" i="5"/>
  <c r="I73" i="6" s="1"/>
  <c r="W77" i="5"/>
  <c r="AA77" s="1"/>
  <c r="V69"/>
  <c r="V137"/>
  <c r="O8" i="36"/>
  <c r="R8" s="1"/>
  <c r="O12"/>
  <c r="R12" s="1"/>
  <c r="H55" i="6"/>
  <c r="H57"/>
  <c r="H61"/>
  <c r="H65"/>
  <c r="H73"/>
  <c r="H77"/>
  <c r="I67"/>
  <c r="O10" i="36"/>
  <c r="R10" s="1"/>
  <c r="O14"/>
  <c r="R14" s="1"/>
  <c r="O9"/>
  <c r="R9" s="1"/>
  <c r="O7"/>
  <c r="R7" s="1"/>
  <c r="O11"/>
  <c r="R11" s="1"/>
  <c r="O13"/>
  <c r="R13" s="1"/>
  <c r="W40" i="5"/>
  <c r="V83"/>
  <c r="V91"/>
  <c r="V99"/>
  <c r="V107"/>
  <c r="V115"/>
  <c r="V123"/>
  <c r="V127"/>
  <c r="W23"/>
  <c r="W27"/>
  <c r="W31"/>
  <c r="W35"/>
  <c r="W39"/>
  <c r="W43"/>
  <c r="W47"/>
  <c r="W51"/>
  <c r="W32"/>
  <c r="W48"/>
  <c r="W22"/>
  <c r="W10"/>
  <c r="W14"/>
  <c r="W18"/>
  <c r="W28"/>
  <c r="W36"/>
  <c r="W44"/>
  <c r="W52"/>
  <c r="W8"/>
  <c r="W12"/>
  <c r="W16"/>
  <c r="W20"/>
  <c r="W144"/>
  <c r="I144" i="7" s="1"/>
  <c r="W148" i="5"/>
  <c r="I148" i="7" s="1"/>
  <c r="W26" i="5"/>
  <c r="V30"/>
  <c r="W34"/>
  <c r="V38"/>
  <c r="W42"/>
  <c r="V46"/>
  <c r="W50"/>
  <c r="V89"/>
  <c r="V97"/>
  <c r="V105"/>
  <c r="V113"/>
  <c r="V121"/>
  <c r="V129"/>
  <c r="W25"/>
  <c r="W29"/>
  <c r="W33"/>
  <c r="W37"/>
  <c r="W41"/>
  <c r="W45"/>
  <c r="W49"/>
  <c r="W53"/>
  <c r="V142"/>
  <c r="H142" i="7" s="1"/>
  <c r="V146" i="5"/>
  <c r="H146" i="7" s="1"/>
  <c r="V199" i="5"/>
  <c r="H199" i="7" s="1"/>
  <c r="V203" i="5"/>
  <c r="H203" i="7" s="1"/>
  <c r="V207" i="5"/>
  <c r="H207" i="7" s="1"/>
  <c r="V211" i="5"/>
  <c r="H211" i="7" s="1"/>
  <c r="V22" i="5"/>
  <c r="V26"/>
  <c r="W30"/>
  <c r="V34"/>
  <c r="W38"/>
  <c r="V42"/>
  <c r="W46"/>
  <c r="V50"/>
  <c r="V81"/>
  <c r="V85"/>
  <c r="V93"/>
  <c r="V101"/>
  <c r="V109"/>
  <c r="V117"/>
  <c r="V125"/>
  <c r="V133"/>
  <c r="W153"/>
  <c r="I153" i="7" s="1"/>
  <c r="V155" i="5"/>
  <c r="H155" i="7" s="1"/>
  <c r="W157" i="5"/>
  <c r="I157" i="7" s="1"/>
  <c r="V159" i="5"/>
  <c r="H159" i="7" s="1"/>
  <c r="W161" i="5"/>
  <c r="I161" i="7" s="1"/>
  <c r="V163" i="5"/>
  <c r="H163" i="7" s="1"/>
  <c r="W165" i="5"/>
  <c r="I165" i="7" s="1"/>
  <c r="V167" i="5"/>
  <c r="H167" i="7" s="1"/>
  <c r="W169" i="5"/>
  <c r="I169" i="7" s="1"/>
  <c r="V171" i="5"/>
  <c r="H171" i="7" s="1"/>
  <c r="W173" i="5"/>
  <c r="I173" i="7" s="1"/>
  <c r="V175" i="5"/>
  <c r="H175" i="7" s="1"/>
  <c r="W177" i="5"/>
  <c r="I177" i="7" s="1"/>
  <c r="V179" i="5"/>
  <c r="H179" i="7" s="1"/>
  <c r="W181" i="5"/>
  <c r="I181" i="7" s="1"/>
  <c r="V183" i="5"/>
  <c r="H183" i="7" s="1"/>
  <c r="W185" i="5"/>
  <c r="I185" i="7" s="1"/>
  <c r="V187" i="5"/>
  <c r="H187" i="7" s="1"/>
  <c r="W189" i="5"/>
  <c r="I189" i="7" s="1"/>
  <c r="V150" i="5"/>
  <c r="H150" i="7" s="1"/>
  <c r="V24" i="5"/>
  <c r="V28"/>
  <c r="V32"/>
  <c r="V36"/>
  <c r="V40"/>
  <c r="V44"/>
  <c r="V48"/>
  <c r="V52"/>
  <c r="V193"/>
  <c r="H193" i="7" s="1"/>
  <c r="V87" i="5"/>
  <c r="V95"/>
  <c r="V103"/>
  <c r="V111"/>
  <c r="V119"/>
  <c r="V131"/>
  <c r="V135"/>
  <c r="W195"/>
  <c r="I195" i="7" s="1"/>
  <c r="W201" i="5"/>
  <c r="I201" i="7" s="1"/>
  <c r="W205" i="5"/>
  <c r="I205" i="7" s="1"/>
  <c r="W209" i="5"/>
  <c r="I209" i="7" s="1"/>
  <c r="W213" i="5"/>
  <c r="I213" i="7" s="1"/>
  <c r="U143" i="5"/>
  <c r="U147"/>
  <c r="E11" i="11" s="1"/>
  <c r="U151" i="5"/>
  <c r="U154"/>
  <c r="U158"/>
  <c r="U162"/>
  <c r="U166"/>
  <c r="U170"/>
  <c r="U174"/>
  <c r="U178"/>
  <c r="U182"/>
  <c r="U186"/>
  <c r="U190"/>
  <c r="U192"/>
  <c r="U196"/>
  <c r="E23" i="11" s="1"/>
  <c r="U198" i="5"/>
  <c r="U202"/>
  <c r="E22" i="11" s="1"/>
  <c r="U206" i="5"/>
  <c r="E17" i="11" s="1"/>
  <c r="U210" i="5"/>
  <c r="U214"/>
  <c r="E25" i="11" s="1"/>
  <c r="U152" i="5"/>
  <c r="W142"/>
  <c r="I142" i="7" s="1"/>
  <c r="V144" i="5"/>
  <c r="H144" i="7" s="1"/>
  <c r="W146" i="5"/>
  <c r="I146" i="7" s="1"/>
  <c r="V148" i="5"/>
  <c r="H148" i="7" s="1"/>
  <c r="W150" i="5"/>
  <c r="I150" i="7" s="1"/>
  <c r="V153" i="5"/>
  <c r="H153" i="7" s="1"/>
  <c r="W155" i="5"/>
  <c r="I155" i="7" s="1"/>
  <c r="V157" i="5"/>
  <c r="H157" i="7" s="1"/>
  <c r="W159" i="5"/>
  <c r="I159" i="7" s="1"/>
  <c r="V161" i="5"/>
  <c r="H161" i="7" s="1"/>
  <c r="W163" i="5"/>
  <c r="I163" i="7" s="1"/>
  <c r="V165" i="5"/>
  <c r="H165" i="7" s="1"/>
  <c r="W167" i="5"/>
  <c r="I167" i="7" s="1"/>
  <c r="V169" i="5"/>
  <c r="H169" i="7" s="1"/>
  <c r="W171" i="5"/>
  <c r="I171" i="7" s="1"/>
  <c r="V173" i="5"/>
  <c r="H173" i="7" s="1"/>
  <c r="W175" i="5"/>
  <c r="I175" i="7" s="1"/>
  <c r="V177" i="5"/>
  <c r="H177" i="7" s="1"/>
  <c r="W179" i="5"/>
  <c r="I179" i="7" s="1"/>
  <c r="V181" i="5"/>
  <c r="H181" i="7" s="1"/>
  <c r="W183" i="5"/>
  <c r="I183" i="7" s="1"/>
  <c r="V185" i="5"/>
  <c r="H185" i="7" s="1"/>
  <c r="W187" i="5"/>
  <c r="I187" i="7" s="1"/>
  <c r="V189" i="5"/>
  <c r="H189" i="7" s="1"/>
  <c r="W193" i="5"/>
  <c r="I193" i="7" s="1"/>
  <c r="V195" i="5"/>
  <c r="H195" i="7" s="1"/>
  <c r="W199" i="5"/>
  <c r="I199" i="7" s="1"/>
  <c r="V201" i="5"/>
  <c r="H201" i="7" s="1"/>
  <c r="W203" i="5"/>
  <c r="I203" i="7" s="1"/>
  <c r="V205" i="5"/>
  <c r="H205" i="7" s="1"/>
  <c r="W207" i="5"/>
  <c r="I207" i="7" s="1"/>
  <c r="V209" i="5"/>
  <c r="H209" i="7" s="1"/>
  <c r="W211" i="5"/>
  <c r="I211" i="7" s="1"/>
  <c r="V213" i="5"/>
  <c r="H213" i="7" s="1"/>
  <c r="U141" i="5"/>
  <c r="U145"/>
  <c r="E20" i="11" s="1"/>
  <c r="U149" i="5"/>
  <c r="U156"/>
  <c r="U160"/>
  <c r="U164"/>
  <c r="U168"/>
  <c r="U172"/>
  <c r="U176"/>
  <c r="U180"/>
  <c r="U184"/>
  <c r="U188"/>
  <c r="U191"/>
  <c r="D91" i="27" s="1"/>
  <c r="U194" i="5"/>
  <c r="U197"/>
  <c r="U200"/>
  <c r="U204"/>
  <c r="U208"/>
  <c r="U212"/>
  <c r="W138"/>
  <c r="V112"/>
  <c r="W112"/>
  <c r="E89" i="26" s="1"/>
  <c r="V132" i="5"/>
  <c r="W132"/>
  <c r="V136"/>
  <c r="W136"/>
  <c r="V6"/>
  <c r="W6"/>
  <c r="V11"/>
  <c r="W11"/>
  <c r="V15"/>
  <c r="W15"/>
  <c r="V19"/>
  <c r="W19"/>
  <c r="V82"/>
  <c r="W82"/>
  <c r="V86"/>
  <c r="W86"/>
  <c r="V90"/>
  <c r="W90"/>
  <c r="V94"/>
  <c r="W94"/>
  <c r="V98"/>
  <c r="W98"/>
  <c r="V102"/>
  <c r="W102"/>
  <c r="V106"/>
  <c r="W106"/>
  <c r="V110"/>
  <c r="W110"/>
  <c r="V116"/>
  <c r="W116"/>
  <c r="V120"/>
  <c r="W120"/>
  <c r="V124"/>
  <c r="W124"/>
  <c r="V130"/>
  <c r="W130"/>
  <c r="V54"/>
  <c r="W54"/>
  <c r="W81"/>
  <c r="W83"/>
  <c r="W85"/>
  <c r="W87"/>
  <c r="W89"/>
  <c r="W91"/>
  <c r="W93"/>
  <c r="W95"/>
  <c r="W97"/>
  <c r="W99"/>
  <c r="W101"/>
  <c r="W103"/>
  <c r="W105"/>
  <c r="W107"/>
  <c r="W109"/>
  <c r="W111"/>
  <c r="W113"/>
  <c r="W115"/>
  <c r="W117"/>
  <c r="W119"/>
  <c r="W121"/>
  <c r="W123"/>
  <c r="W125"/>
  <c r="W127"/>
  <c r="W129"/>
  <c r="W131"/>
  <c r="W133"/>
  <c r="W135"/>
  <c r="W137"/>
  <c r="V8"/>
  <c r="V10"/>
  <c r="V12"/>
  <c r="V14"/>
  <c r="V16"/>
  <c r="V18"/>
  <c r="V20"/>
  <c r="V23"/>
  <c r="V25"/>
  <c r="V27"/>
  <c r="V29"/>
  <c r="V31"/>
  <c r="V33"/>
  <c r="V35"/>
  <c r="V37"/>
  <c r="V39"/>
  <c r="V41"/>
  <c r="V43"/>
  <c r="V45"/>
  <c r="V47"/>
  <c r="V49"/>
  <c r="V51"/>
  <c r="V53"/>
  <c r="V128"/>
  <c r="W128"/>
  <c r="V134"/>
  <c r="W134"/>
  <c r="V7"/>
  <c r="W7"/>
  <c r="V5"/>
  <c r="W5"/>
  <c r="V9"/>
  <c r="W9"/>
  <c r="V13"/>
  <c r="W13"/>
  <c r="V17"/>
  <c r="W17"/>
  <c r="V21"/>
  <c r="W21"/>
  <c r="V80"/>
  <c r="W80"/>
  <c r="V84"/>
  <c r="W84"/>
  <c r="V88"/>
  <c r="W88"/>
  <c r="V92"/>
  <c r="W92"/>
  <c r="V96"/>
  <c r="W96"/>
  <c r="V100"/>
  <c r="W100"/>
  <c r="V104"/>
  <c r="W104"/>
  <c r="V108"/>
  <c r="W108"/>
  <c r="V114"/>
  <c r="W114"/>
  <c r="V118"/>
  <c r="W118"/>
  <c r="V122"/>
  <c r="W122"/>
  <c r="V126"/>
  <c r="W126"/>
  <c r="G52" i="4" l="1"/>
  <c r="H49"/>
  <c r="H53"/>
  <c r="G49"/>
  <c r="G53"/>
  <c r="H50"/>
  <c r="H54"/>
  <c r="H55"/>
  <c r="G50"/>
  <c r="I50" s="1"/>
  <c r="O50" s="1"/>
  <c r="G54"/>
  <c r="H51"/>
  <c r="G51"/>
  <c r="G55"/>
  <c r="I55" s="1"/>
  <c r="O55" s="1"/>
  <c r="H52"/>
  <c r="N44"/>
  <c r="E19" i="11"/>
  <c r="N161" i="40"/>
  <c r="N164" s="1"/>
  <c r="AA57" i="5"/>
  <c r="D72" i="27"/>
  <c r="D54"/>
  <c r="D51"/>
  <c r="D53"/>
  <c r="E9"/>
  <c r="E17" s="1"/>
  <c r="D44"/>
  <c r="D19"/>
  <c r="AA63" i="5"/>
  <c r="H63" i="6"/>
  <c r="L63" s="1"/>
  <c r="M207" i="7"/>
  <c r="M193"/>
  <c r="AA56" i="5"/>
  <c r="AA60"/>
  <c r="AA58"/>
  <c r="AA76"/>
  <c r="M211" i="7"/>
  <c r="M203"/>
  <c r="M187"/>
  <c r="AA78" i="5"/>
  <c r="AA79"/>
  <c r="AA75"/>
  <c r="AA65"/>
  <c r="AA70"/>
  <c r="I61" i="6"/>
  <c r="L61" s="1"/>
  <c r="AA66" i="5"/>
  <c r="AA64"/>
  <c r="AA55"/>
  <c r="H58" i="6"/>
  <c r="M58" s="1"/>
  <c r="M199" i="7"/>
  <c r="D49" i="27"/>
  <c r="L193" i="7"/>
  <c r="L211"/>
  <c r="L203"/>
  <c r="M146"/>
  <c r="L146"/>
  <c r="M213"/>
  <c r="M205"/>
  <c r="M195"/>
  <c r="M189"/>
  <c r="M185"/>
  <c r="L213"/>
  <c r="L209"/>
  <c r="L205"/>
  <c r="L201"/>
  <c r="L195"/>
  <c r="L189"/>
  <c r="L185"/>
  <c r="M181"/>
  <c r="L181"/>
  <c r="M177"/>
  <c r="L177"/>
  <c r="M173"/>
  <c r="L173"/>
  <c r="M169"/>
  <c r="L169"/>
  <c r="M165"/>
  <c r="L165"/>
  <c r="M161"/>
  <c r="L161"/>
  <c r="M157"/>
  <c r="L157"/>
  <c r="M153"/>
  <c r="L153"/>
  <c r="M148"/>
  <c r="L148"/>
  <c r="M144"/>
  <c r="L144"/>
  <c r="M150"/>
  <c r="L150"/>
  <c r="L187"/>
  <c r="L183"/>
  <c r="M183"/>
  <c r="M179"/>
  <c r="L179"/>
  <c r="M175"/>
  <c r="L175"/>
  <c r="M171"/>
  <c r="L171"/>
  <c r="M167"/>
  <c r="L167"/>
  <c r="M163"/>
  <c r="L163"/>
  <c r="M159"/>
  <c r="L159"/>
  <c r="M155"/>
  <c r="L155"/>
  <c r="L207"/>
  <c r="L199"/>
  <c r="M142"/>
  <c r="L142"/>
  <c r="M209"/>
  <c r="M201"/>
  <c r="E37" i="10"/>
  <c r="E40"/>
  <c r="E26"/>
  <c r="E23"/>
  <c r="E22"/>
  <c r="E60"/>
  <c r="E47"/>
  <c r="E35"/>
  <c r="E28"/>
  <c r="E62"/>
  <c r="E49"/>
  <c r="E52" s="1"/>
  <c r="E21" i="11"/>
  <c r="E16"/>
  <c r="E8"/>
  <c r="E61" i="10"/>
  <c r="E25"/>
  <c r="E13"/>
  <c r="E38"/>
  <c r="H69" i="6"/>
  <c r="L69" s="1"/>
  <c r="E14" i="10"/>
  <c r="H67" i="6"/>
  <c r="L67" s="1"/>
  <c r="E15" i="10"/>
  <c r="H74" i="6"/>
  <c r="M74" s="1"/>
  <c r="E20" i="10"/>
  <c r="E11"/>
  <c r="E9"/>
  <c r="E41"/>
  <c r="E34"/>
  <c r="E27"/>
  <c r="E18" i="11"/>
  <c r="E12"/>
  <c r="E16" i="10"/>
  <c r="E10"/>
  <c r="AA68" i="5"/>
  <c r="E36" i="10"/>
  <c r="E56"/>
  <c r="E43"/>
  <c r="E21"/>
  <c r="E12"/>
  <c r="E44"/>
  <c r="E64"/>
  <c r="E65"/>
  <c r="AA71" i="5"/>
  <c r="AA62"/>
  <c r="AA73"/>
  <c r="AA72"/>
  <c r="AA74"/>
  <c r="AA67"/>
  <c r="AA69"/>
  <c r="AA59"/>
  <c r="I77" i="6"/>
  <c r="M77" s="1"/>
  <c r="H66"/>
  <c r="L66" s="1"/>
  <c r="H60"/>
  <c r="M60" s="1"/>
  <c r="M76"/>
  <c r="M64"/>
  <c r="M75"/>
  <c r="M71"/>
  <c r="V215" i="5"/>
  <c r="V208"/>
  <c r="V200"/>
  <c r="V194"/>
  <c r="V188"/>
  <c r="V180"/>
  <c r="V172"/>
  <c r="V164"/>
  <c r="V156"/>
  <c r="W145"/>
  <c r="W152"/>
  <c r="W210"/>
  <c r="W202"/>
  <c r="W196"/>
  <c r="W190"/>
  <c r="W182"/>
  <c r="W174"/>
  <c r="W166"/>
  <c r="W158"/>
  <c r="W151"/>
  <c r="W143"/>
  <c r="W197"/>
  <c r="W191"/>
  <c r="W184"/>
  <c r="W176"/>
  <c r="W168"/>
  <c r="W160"/>
  <c r="V214"/>
  <c r="V206"/>
  <c r="V198"/>
  <c r="V192"/>
  <c r="V186"/>
  <c r="V178"/>
  <c r="V170"/>
  <c r="V162"/>
  <c r="V154"/>
  <c r="V147"/>
  <c r="M68" i="6"/>
  <c r="M70"/>
  <c r="L76"/>
  <c r="L70"/>
  <c r="L68"/>
  <c r="L64"/>
  <c r="L78"/>
  <c r="M72"/>
  <c r="M62"/>
  <c r="M56"/>
  <c r="L57"/>
  <c r="L73"/>
  <c r="L59"/>
  <c r="L55"/>
  <c r="L65"/>
  <c r="L79"/>
  <c r="L72"/>
  <c r="L62"/>
  <c r="L56"/>
  <c r="M79"/>
  <c r="M73"/>
  <c r="M65"/>
  <c r="M59"/>
  <c r="M57"/>
  <c r="M55"/>
  <c r="I122"/>
  <c r="I118"/>
  <c r="I108"/>
  <c r="I96"/>
  <c r="I88"/>
  <c r="I80"/>
  <c r="I21"/>
  <c r="I13"/>
  <c r="I5"/>
  <c r="I7"/>
  <c r="H122"/>
  <c r="H118"/>
  <c r="H114"/>
  <c r="H108"/>
  <c r="H100"/>
  <c r="H92"/>
  <c r="H84"/>
  <c r="H80"/>
  <c r="H21"/>
  <c r="H17"/>
  <c r="H13"/>
  <c r="H9"/>
  <c r="H5"/>
  <c r="H7"/>
  <c r="H128"/>
  <c r="I137"/>
  <c r="I133"/>
  <c r="I129"/>
  <c r="I121"/>
  <c r="I117"/>
  <c r="I113"/>
  <c r="I109"/>
  <c r="I105"/>
  <c r="I101"/>
  <c r="I97"/>
  <c r="I93"/>
  <c r="I89"/>
  <c r="I85"/>
  <c r="I81"/>
  <c r="H54"/>
  <c r="H130"/>
  <c r="H124"/>
  <c r="H120"/>
  <c r="H116"/>
  <c r="H110"/>
  <c r="H106"/>
  <c r="H102"/>
  <c r="H98"/>
  <c r="H94"/>
  <c r="H90"/>
  <c r="H86"/>
  <c r="H82"/>
  <c r="H19"/>
  <c r="H15"/>
  <c r="H11"/>
  <c r="H6"/>
  <c r="H136"/>
  <c r="H132"/>
  <c r="H112"/>
  <c r="H138"/>
  <c r="I211"/>
  <c r="I207"/>
  <c r="I203"/>
  <c r="I199"/>
  <c r="I193"/>
  <c r="I187"/>
  <c r="I183"/>
  <c r="I179"/>
  <c r="I175"/>
  <c r="I171"/>
  <c r="I167"/>
  <c r="I163"/>
  <c r="I159"/>
  <c r="I155"/>
  <c r="I150"/>
  <c r="I146"/>
  <c r="I142"/>
  <c r="I213"/>
  <c r="I205"/>
  <c r="I195"/>
  <c r="H131"/>
  <c r="H111"/>
  <c r="H95"/>
  <c r="H193"/>
  <c r="H48"/>
  <c r="H40"/>
  <c r="H32"/>
  <c r="H24"/>
  <c r="L24" s="1"/>
  <c r="I189"/>
  <c r="I185"/>
  <c r="I181"/>
  <c r="I177"/>
  <c r="I173"/>
  <c r="I169"/>
  <c r="I165"/>
  <c r="I161"/>
  <c r="I157"/>
  <c r="I153"/>
  <c r="H133"/>
  <c r="H117"/>
  <c r="H101"/>
  <c r="H85"/>
  <c r="H50"/>
  <c r="H42"/>
  <c r="H34"/>
  <c r="H26"/>
  <c r="H211"/>
  <c r="H203"/>
  <c r="H146"/>
  <c r="I53"/>
  <c r="I45"/>
  <c r="I37"/>
  <c r="I29"/>
  <c r="H137"/>
  <c r="H121"/>
  <c r="H105"/>
  <c r="H89"/>
  <c r="H46"/>
  <c r="H38"/>
  <c r="H30"/>
  <c r="I148"/>
  <c r="I20"/>
  <c r="I12"/>
  <c r="I52"/>
  <c r="I36"/>
  <c r="I18"/>
  <c r="I10"/>
  <c r="I48"/>
  <c r="I51"/>
  <c r="I43"/>
  <c r="I35"/>
  <c r="I27"/>
  <c r="H127"/>
  <c r="H115"/>
  <c r="H99"/>
  <c r="H83"/>
  <c r="I126"/>
  <c r="I114"/>
  <c r="I104"/>
  <c r="I100"/>
  <c r="I92"/>
  <c r="I84"/>
  <c r="I17"/>
  <c r="I9"/>
  <c r="I134"/>
  <c r="I128"/>
  <c r="I54"/>
  <c r="I130"/>
  <c r="I124"/>
  <c r="I120"/>
  <c r="I116"/>
  <c r="I110"/>
  <c r="I106"/>
  <c r="I102"/>
  <c r="I98"/>
  <c r="I94"/>
  <c r="I90"/>
  <c r="I86"/>
  <c r="I82"/>
  <c r="I19"/>
  <c r="I15"/>
  <c r="I11"/>
  <c r="I6"/>
  <c r="I136"/>
  <c r="I132"/>
  <c r="I112"/>
  <c r="I138"/>
  <c r="I209"/>
  <c r="I201"/>
  <c r="H135"/>
  <c r="H119"/>
  <c r="H103"/>
  <c r="H87"/>
  <c r="H52"/>
  <c r="H44"/>
  <c r="H36"/>
  <c r="H28"/>
  <c r="H150"/>
  <c r="H187"/>
  <c r="H183"/>
  <c r="H179"/>
  <c r="H175"/>
  <c r="H171"/>
  <c r="H167"/>
  <c r="H163"/>
  <c r="H159"/>
  <c r="H155"/>
  <c r="H125"/>
  <c r="H109"/>
  <c r="H93"/>
  <c r="H81"/>
  <c r="I46"/>
  <c r="I38"/>
  <c r="I30"/>
  <c r="H22"/>
  <c r="H207"/>
  <c r="H199"/>
  <c r="H142"/>
  <c r="I49"/>
  <c r="I41"/>
  <c r="I33"/>
  <c r="I25"/>
  <c r="H129"/>
  <c r="H113"/>
  <c r="H97"/>
  <c r="I50"/>
  <c r="I42"/>
  <c r="I34"/>
  <c r="I26"/>
  <c r="I144"/>
  <c r="I16"/>
  <c r="I8"/>
  <c r="I44"/>
  <c r="I28"/>
  <c r="I14"/>
  <c r="I22"/>
  <c r="I32"/>
  <c r="I47"/>
  <c r="I39"/>
  <c r="I31"/>
  <c r="I23"/>
  <c r="H123"/>
  <c r="H107"/>
  <c r="H91"/>
  <c r="I40"/>
  <c r="I125"/>
  <c r="AA34" i="5"/>
  <c r="AA26"/>
  <c r="AA42"/>
  <c r="AA81"/>
  <c r="AA46"/>
  <c r="AA38"/>
  <c r="AA155"/>
  <c r="AA52"/>
  <c r="AA44"/>
  <c r="AA22"/>
  <c r="AA36"/>
  <c r="AA30"/>
  <c r="AA28"/>
  <c r="AA50"/>
  <c r="AA97"/>
  <c r="AA82"/>
  <c r="AA89"/>
  <c r="AA146"/>
  <c r="AA32"/>
  <c r="L71" i="6"/>
  <c r="M78"/>
  <c r="L75"/>
  <c r="AA171" i="5"/>
  <c r="AA163"/>
  <c r="AA120"/>
  <c r="AA48"/>
  <c r="AA40"/>
  <c r="AA24"/>
  <c r="AA113"/>
  <c r="AA105"/>
  <c r="AA129"/>
  <c r="AA121"/>
  <c r="AA179"/>
  <c r="AA136"/>
  <c r="AA112"/>
  <c r="AA137"/>
  <c r="AA125"/>
  <c r="AA117"/>
  <c r="AA109"/>
  <c r="AA101"/>
  <c r="AA93"/>
  <c r="AA85"/>
  <c r="AA150"/>
  <c r="AA142"/>
  <c r="AA175"/>
  <c r="AA167"/>
  <c r="AA159"/>
  <c r="AA199"/>
  <c r="AA133"/>
  <c r="AA128"/>
  <c r="AA6"/>
  <c r="AA187"/>
  <c r="AA207"/>
  <c r="AA211"/>
  <c r="AA203"/>
  <c r="AA193"/>
  <c r="AA183"/>
  <c r="AA126"/>
  <c r="H126" i="6"/>
  <c r="AA104" i="5"/>
  <c r="H104" i="6"/>
  <c r="AA96" i="5"/>
  <c r="H96" i="6"/>
  <c r="AA88" i="5"/>
  <c r="H88" i="6"/>
  <c r="AA134" i="5"/>
  <c r="H134" i="6"/>
  <c r="AA51" i="5"/>
  <c r="H51" i="6"/>
  <c r="AA47" i="5"/>
  <c r="H47" i="6"/>
  <c r="AA43" i="5"/>
  <c r="H43" i="6"/>
  <c r="AA39" i="5"/>
  <c r="H39" i="6"/>
  <c r="AA35" i="5"/>
  <c r="H35" i="6"/>
  <c r="AA31" i="5"/>
  <c r="H31" i="6"/>
  <c r="AA27" i="5"/>
  <c r="H27" i="6"/>
  <c r="AA23" i="5"/>
  <c r="H23" i="6"/>
  <c r="AA18" i="5"/>
  <c r="H18" i="6"/>
  <c r="AA14" i="5"/>
  <c r="H14" i="6"/>
  <c r="AA10" i="5"/>
  <c r="H10" i="6"/>
  <c r="AA135" i="5"/>
  <c r="I135" i="6"/>
  <c r="AA131" i="5"/>
  <c r="I131" i="6"/>
  <c r="AA127" i="5"/>
  <c r="I127" i="6"/>
  <c r="AA123" i="5"/>
  <c r="I123" i="6"/>
  <c r="AA119" i="5"/>
  <c r="I119" i="6"/>
  <c r="AA115" i="5"/>
  <c r="I115" i="6"/>
  <c r="AA111" i="5"/>
  <c r="I111" i="6"/>
  <c r="AA107" i="5"/>
  <c r="I107" i="6"/>
  <c r="AA103" i="5"/>
  <c r="I103" i="6"/>
  <c r="AA99" i="5"/>
  <c r="I99" i="6"/>
  <c r="AA95" i="5"/>
  <c r="I95" i="6"/>
  <c r="AA91" i="5"/>
  <c r="I91" i="6"/>
  <c r="AA87" i="5"/>
  <c r="I87" i="6"/>
  <c r="AA83" i="5"/>
  <c r="I83" i="6"/>
  <c r="AA213" i="5"/>
  <c r="H213" i="6"/>
  <c r="AA209" i="5"/>
  <c r="H209" i="6"/>
  <c r="AA205" i="5"/>
  <c r="H205" i="6"/>
  <c r="AA201" i="5"/>
  <c r="H201" i="6"/>
  <c r="AA195" i="5"/>
  <c r="H195" i="6"/>
  <c r="AA189" i="5"/>
  <c r="H189" i="6"/>
  <c r="AA185" i="5"/>
  <c r="H185" i="6"/>
  <c r="AA181" i="5"/>
  <c r="H181" i="6"/>
  <c r="AA177" i="5"/>
  <c r="H177" i="6"/>
  <c r="AA173" i="5"/>
  <c r="H173" i="6"/>
  <c r="AA169" i="5"/>
  <c r="H169" i="6"/>
  <c r="AA165" i="5"/>
  <c r="H165" i="6"/>
  <c r="AA161" i="5"/>
  <c r="H161" i="6"/>
  <c r="AA157" i="5"/>
  <c r="H157" i="6"/>
  <c r="AA153" i="5"/>
  <c r="H153" i="6"/>
  <c r="AA148" i="5"/>
  <c r="H148" i="6"/>
  <c r="AA144" i="5"/>
  <c r="H144" i="6"/>
  <c r="AA53" i="5"/>
  <c r="H53" i="6"/>
  <c r="AA49" i="5"/>
  <c r="H49" i="6"/>
  <c r="AA45" i="5"/>
  <c r="H45" i="6"/>
  <c r="AA41" i="5"/>
  <c r="H41" i="6"/>
  <c r="AA37" i="5"/>
  <c r="H37" i="6"/>
  <c r="AA33" i="5"/>
  <c r="H33" i="6"/>
  <c r="AA29" i="5"/>
  <c r="H29" i="6"/>
  <c r="AA25" i="5"/>
  <c r="H25" i="6"/>
  <c r="AA20" i="5"/>
  <c r="H20" i="6"/>
  <c r="AA16" i="5"/>
  <c r="H16" i="6"/>
  <c r="AA12" i="5"/>
  <c r="H12" i="6"/>
  <c r="AA8" i="5"/>
  <c r="H8" i="6"/>
  <c r="AA122" i="5"/>
  <c r="AA118"/>
  <c r="AA114"/>
  <c r="AA108"/>
  <c r="AA138"/>
  <c r="W208"/>
  <c r="I208" i="7" s="1"/>
  <c r="W198" i="5"/>
  <c r="I198" i="7" s="1"/>
  <c r="AA100" i="5"/>
  <c r="AA92"/>
  <c r="AA84"/>
  <c r="AA80"/>
  <c r="AA21"/>
  <c r="AA17"/>
  <c r="AA13"/>
  <c r="AA124"/>
  <c r="W180"/>
  <c r="I180" i="7" s="1"/>
  <c r="W170" i="5"/>
  <c r="I170" i="7" s="1"/>
  <c r="V152" i="5"/>
  <c r="H152" i="7" s="1"/>
  <c r="W214" i="5"/>
  <c r="I214" i="7" s="1"/>
  <c r="W186" i="5"/>
  <c r="I186" i="7" s="1"/>
  <c r="W154" i="5"/>
  <c r="I154" i="7" s="1"/>
  <c r="AA9" i="5"/>
  <c r="AA5"/>
  <c r="AA7"/>
  <c r="AA130"/>
  <c r="AA116"/>
  <c r="AA132"/>
  <c r="W194"/>
  <c r="I194" i="7" s="1"/>
  <c r="W164" i="5"/>
  <c r="I164" i="7" s="1"/>
  <c r="AA54" i="5"/>
  <c r="AA110"/>
  <c r="AA106"/>
  <c r="AA102"/>
  <c r="AA98"/>
  <c r="AA94"/>
  <c r="AA90"/>
  <c r="AA86"/>
  <c r="W215"/>
  <c r="I215" i="7" s="1"/>
  <c r="W200" i="5"/>
  <c r="I200" i="7" s="1"/>
  <c r="W188" i="5"/>
  <c r="I188" i="7" s="1"/>
  <c r="W172" i="5"/>
  <c r="I172" i="7" s="1"/>
  <c r="W156" i="5"/>
  <c r="I156" i="7" s="1"/>
  <c r="W206" i="5"/>
  <c r="I206" i="7" s="1"/>
  <c r="W192" i="5"/>
  <c r="I192" i="7" s="1"/>
  <c r="W178" i="5"/>
  <c r="I178" i="7" s="1"/>
  <c r="W162" i="5"/>
  <c r="I162" i="7" s="1"/>
  <c r="W147" i="5"/>
  <c r="I147" i="7" s="1"/>
  <c r="V212" i="5"/>
  <c r="H212" i="7" s="1"/>
  <c r="V204" i="5"/>
  <c r="H204" i="7" s="1"/>
  <c r="V197" i="5"/>
  <c r="H197" i="7" s="1"/>
  <c r="V191" i="5"/>
  <c r="H191" i="7" s="1"/>
  <c r="V184" i="5"/>
  <c r="H184" i="7" s="1"/>
  <c r="V176" i="5"/>
  <c r="H176" i="7" s="1"/>
  <c r="V168" i="5"/>
  <c r="H168" i="7" s="1"/>
  <c r="V160" i="5"/>
  <c r="H160" i="7" s="1"/>
  <c r="V149" i="5"/>
  <c r="H149" i="7" s="1"/>
  <c r="V141" i="5"/>
  <c r="H141" i="7" s="1"/>
  <c r="V210" i="5"/>
  <c r="H210" i="7" s="1"/>
  <c r="V202" i="5"/>
  <c r="H202" i="7" s="1"/>
  <c r="V196" i="5"/>
  <c r="H196" i="7" s="1"/>
  <c r="V190" i="5"/>
  <c r="H190" i="7" s="1"/>
  <c r="V182" i="5"/>
  <c r="H182" i="7" s="1"/>
  <c r="V174" i="5"/>
  <c r="H174" i="7" s="1"/>
  <c r="V166" i="5"/>
  <c r="H166" i="7" s="1"/>
  <c r="V158" i="5"/>
  <c r="H158" i="7" s="1"/>
  <c r="V151" i="5"/>
  <c r="H151" i="7" s="1"/>
  <c r="V143" i="5"/>
  <c r="H143" i="7" s="1"/>
  <c r="W212" i="5"/>
  <c r="I212" i="7" s="1"/>
  <c r="W204" i="5"/>
  <c r="I204" i="7" s="1"/>
  <c r="W149" i="5"/>
  <c r="I149" i="7" s="1"/>
  <c r="V145" i="5"/>
  <c r="H145" i="7" s="1"/>
  <c r="W141" i="5"/>
  <c r="I141" i="7" s="1"/>
  <c r="AA19" i="5"/>
  <c r="AA15"/>
  <c r="AA11"/>
  <c r="A100" i="20"/>
  <c r="A101"/>
  <c r="A102"/>
  <c r="A103"/>
  <c r="A94"/>
  <c r="A86"/>
  <c r="A89"/>
  <c r="A90"/>
  <c r="A91"/>
  <c r="A92"/>
  <c r="A93"/>
  <c r="A87"/>
  <c r="A88"/>
  <c r="A85"/>
  <c r="A75"/>
  <c r="A76"/>
  <c r="A77"/>
  <c r="A78"/>
  <c r="A79"/>
  <c r="A80"/>
  <c r="A81"/>
  <c r="A82"/>
  <c r="A83"/>
  <c r="A84"/>
  <c r="A72"/>
  <c r="A73"/>
  <c r="A70"/>
  <c r="A37"/>
  <c r="A38"/>
  <c r="A39"/>
  <c r="A40"/>
  <c r="A41"/>
  <c r="A42"/>
  <c r="A43"/>
  <c r="A44"/>
  <c r="A45"/>
  <c r="A46"/>
  <c r="A47"/>
  <c r="A48"/>
  <c r="A49"/>
  <c r="A50"/>
  <c r="A51"/>
  <c r="A52"/>
  <c r="A53"/>
  <c r="A54"/>
  <c r="A55"/>
  <c r="A56"/>
  <c r="A57"/>
  <c r="A58"/>
  <c r="A59"/>
  <c r="A60"/>
  <c r="A61"/>
  <c r="A62"/>
  <c r="A63"/>
  <c r="A15"/>
  <c r="A16"/>
  <c r="A17"/>
  <c r="A18"/>
  <c r="A19"/>
  <c r="A20"/>
  <c r="A14"/>
  <c r="A21"/>
  <c r="A22"/>
  <c r="A23"/>
  <c r="A24"/>
  <c r="A25"/>
  <c r="A26"/>
  <c r="A27"/>
  <c r="A13"/>
  <c r="A104"/>
  <c r="A8"/>
  <c r="A9"/>
  <c r="A10"/>
  <c r="A11"/>
  <c r="A12"/>
  <c r="A33"/>
  <c r="A34"/>
  <c r="A64"/>
  <c r="A65"/>
  <c r="A66"/>
  <c r="A67"/>
  <c r="A71"/>
  <c r="A68"/>
  <c r="A69"/>
  <c r="A35"/>
  <c r="A29"/>
  <c r="A30"/>
  <c r="I51" i="4" l="1"/>
  <c r="O51" s="1"/>
  <c r="I53"/>
  <c r="O53" s="1"/>
  <c r="G44"/>
  <c r="I49"/>
  <c r="I54"/>
  <c r="O54" s="1"/>
  <c r="H44"/>
  <c r="I52"/>
  <c r="O52" s="1"/>
  <c r="L125" i="6"/>
  <c r="M212" i="7"/>
  <c r="G30" i="20"/>
  <c r="G34"/>
  <c r="G33"/>
  <c r="G38"/>
  <c r="G76"/>
  <c r="M204" i="7"/>
  <c r="M67" i="6"/>
  <c r="R67" s="1"/>
  <c r="L80"/>
  <c r="M63"/>
  <c r="S63" s="1"/>
  <c r="L21"/>
  <c r="L122"/>
  <c r="M69"/>
  <c r="R69" s="1"/>
  <c r="L74"/>
  <c r="R74" s="1"/>
  <c r="L5"/>
  <c r="L58"/>
  <c r="S58" s="1"/>
  <c r="M61"/>
  <c r="S61" s="1"/>
  <c r="M7"/>
  <c r="L118"/>
  <c r="M149" i="7"/>
  <c r="L149"/>
  <c r="L212"/>
  <c r="H154" i="6"/>
  <c r="H154" i="7"/>
  <c r="H170" i="6"/>
  <c r="H170" i="7"/>
  <c r="H186" i="6"/>
  <c r="H186" i="7"/>
  <c r="H198" i="6"/>
  <c r="H198" i="7"/>
  <c r="M198" s="1"/>
  <c r="H214" i="6"/>
  <c r="H214" i="7"/>
  <c r="M214" s="1"/>
  <c r="I168" i="6"/>
  <c r="I168" i="7"/>
  <c r="M168" s="1"/>
  <c r="I184" i="6"/>
  <c r="I184" i="7"/>
  <c r="L184" s="1"/>
  <c r="I197" i="6"/>
  <c r="I197" i="7"/>
  <c r="M197" s="1"/>
  <c r="I151" i="6"/>
  <c r="I151" i="7"/>
  <c r="L151" s="1"/>
  <c r="I166" i="6"/>
  <c r="I166" i="7"/>
  <c r="M166" s="1"/>
  <c r="I182" i="6"/>
  <c r="I182" i="7"/>
  <c r="L182" s="1"/>
  <c r="I196" i="6"/>
  <c r="I196" i="7"/>
  <c r="M196" s="1"/>
  <c r="I210" i="6"/>
  <c r="I210" i="7"/>
  <c r="M210" s="1"/>
  <c r="I145" i="6"/>
  <c r="I145" i="7"/>
  <c r="L145" s="1"/>
  <c r="H164" i="6"/>
  <c r="H164" i="7"/>
  <c r="H180" i="6"/>
  <c r="H180" i="7"/>
  <c r="H194" i="6"/>
  <c r="H194" i="7"/>
  <c r="M194" s="1"/>
  <c r="H208" i="6"/>
  <c r="H208" i="7"/>
  <c r="M208" s="1"/>
  <c r="R142"/>
  <c r="S142"/>
  <c r="T142" s="1"/>
  <c r="S159"/>
  <c r="T159" s="1"/>
  <c r="R159"/>
  <c r="S167"/>
  <c r="T167" s="1"/>
  <c r="R167"/>
  <c r="S175"/>
  <c r="T175" s="1"/>
  <c r="R175"/>
  <c r="S148"/>
  <c r="T148" s="1"/>
  <c r="R148"/>
  <c r="S157"/>
  <c r="T157" s="1"/>
  <c r="R157"/>
  <c r="S165"/>
  <c r="T165" s="1"/>
  <c r="R165"/>
  <c r="S173"/>
  <c r="T173" s="1"/>
  <c r="R173"/>
  <c r="R181"/>
  <c r="S181"/>
  <c r="T181" s="1"/>
  <c r="R146"/>
  <c r="S146"/>
  <c r="T146" s="1"/>
  <c r="L141"/>
  <c r="M141"/>
  <c r="L204"/>
  <c r="H147" i="6"/>
  <c r="H147" i="7"/>
  <c r="H162" i="6"/>
  <c r="H162" i="7"/>
  <c r="H178" i="6"/>
  <c r="H178" i="7"/>
  <c r="H192" i="6"/>
  <c r="H192" i="7"/>
  <c r="H206" i="6"/>
  <c r="H206" i="7"/>
  <c r="I160" i="6"/>
  <c r="I160" i="7"/>
  <c r="M160" s="1"/>
  <c r="I176" i="6"/>
  <c r="I176" i="7"/>
  <c r="M176" s="1"/>
  <c r="I191" i="6"/>
  <c r="I191" i="7"/>
  <c r="M191" s="1"/>
  <c r="I143" i="6"/>
  <c r="I143" i="7"/>
  <c r="L143" s="1"/>
  <c r="I158" i="6"/>
  <c r="I158" i="7"/>
  <c r="M158" s="1"/>
  <c r="I174" i="6"/>
  <c r="I174" i="7"/>
  <c r="M174" s="1"/>
  <c r="I190" i="6"/>
  <c r="I190" i="7"/>
  <c r="M190" s="1"/>
  <c r="I202" i="6"/>
  <c r="I202" i="7"/>
  <c r="M202" s="1"/>
  <c r="I152" i="6"/>
  <c r="I152" i="7"/>
  <c r="L152" s="1"/>
  <c r="H156" i="6"/>
  <c r="H156" i="7"/>
  <c r="H172" i="6"/>
  <c r="H172" i="7"/>
  <c r="H188" i="6"/>
  <c r="H188" i="7"/>
  <c r="H200" i="6"/>
  <c r="H200" i="7"/>
  <c r="M200" s="1"/>
  <c r="H215" i="6"/>
  <c r="H215" i="7"/>
  <c r="L215" s="1"/>
  <c r="R199"/>
  <c r="S199"/>
  <c r="T199" s="1"/>
  <c r="R207"/>
  <c r="S207"/>
  <c r="T207" s="1"/>
  <c r="S155"/>
  <c r="T155" s="1"/>
  <c r="R155"/>
  <c r="S163"/>
  <c r="T163" s="1"/>
  <c r="R163"/>
  <c r="S171"/>
  <c r="T171" s="1"/>
  <c r="R171"/>
  <c r="R179"/>
  <c r="S179"/>
  <c r="T179" s="1"/>
  <c r="R183"/>
  <c r="S183"/>
  <c r="T183" s="1"/>
  <c r="S187"/>
  <c r="T187" s="1"/>
  <c r="R187"/>
  <c r="S150"/>
  <c r="T150" s="1"/>
  <c r="R150"/>
  <c r="R144"/>
  <c r="S144"/>
  <c r="T144" s="1"/>
  <c r="S153"/>
  <c r="T153" s="1"/>
  <c r="R153"/>
  <c r="S161"/>
  <c r="T161" s="1"/>
  <c r="R161"/>
  <c r="S169"/>
  <c r="T169" s="1"/>
  <c r="R169"/>
  <c r="R177"/>
  <c r="S177"/>
  <c r="T177" s="1"/>
  <c r="S185"/>
  <c r="T185" s="1"/>
  <c r="R185"/>
  <c r="R189"/>
  <c r="S189"/>
  <c r="T189" s="1"/>
  <c r="R195"/>
  <c r="S195"/>
  <c r="T195" s="1"/>
  <c r="R201"/>
  <c r="S201"/>
  <c r="T201" s="1"/>
  <c r="R205"/>
  <c r="S205"/>
  <c r="T205" s="1"/>
  <c r="R209"/>
  <c r="S209"/>
  <c r="T209" s="1"/>
  <c r="R213"/>
  <c r="S213"/>
  <c r="T213" s="1"/>
  <c r="R203"/>
  <c r="S203"/>
  <c r="T203" s="1"/>
  <c r="R211"/>
  <c r="S211"/>
  <c r="T211" s="1"/>
  <c r="R193"/>
  <c r="S193"/>
  <c r="T193" s="1"/>
  <c r="R70" i="6"/>
  <c r="R68"/>
  <c r="S76"/>
  <c r="M66"/>
  <c r="S66" s="1"/>
  <c r="L77"/>
  <c r="R77" s="1"/>
  <c r="S72"/>
  <c r="S56"/>
  <c r="R62"/>
  <c r="R61"/>
  <c r="L60"/>
  <c r="S60" s="1"/>
  <c r="L36"/>
  <c r="M121"/>
  <c r="L129"/>
  <c r="M109"/>
  <c r="M21"/>
  <c r="R72"/>
  <c r="M122"/>
  <c r="R78"/>
  <c r="M113"/>
  <c r="R64"/>
  <c r="S64"/>
  <c r="L7"/>
  <c r="M118"/>
  <c r="S71"/>
  <c r="M34"/>
  <c r="M36"/>
  <c r="M137"/>
  <c r="L42"/>
  <c r="L85"/>
  <c r="L117"/>
  <c r="L40"/>
  <c r="S75"/>
  <c r="L137"/>
  <c r="M42"/>
  <c r="M199"/>
  <c r="L155"/>
  <c r="M163"/>
  <c r="L171"/>
  <c r="M179"/>
  <c r="L187"/>
  <c r="L89"/>
  <c r="L121"/>
  <c r="L133"/>
  <c r="M142"/>
  <c r="L159"/>
  <c r="L167"/>
  <c r="L175"/>
  <c r="L183"/>
  <c r="L150"/>
  <c r="M211"/>
  <c r="M125"/>
  <c r="R125" s="1"/>
  <c r="S57"/>
  <c r="S70"/>
  <c r="M94"/>
  <c r="M89"/>
  <c r="R56"/>
  <c r="L136"/>
  <c r="L19"/>
  <c r="M110"/>
  <c r="L130"/>
  <c r="M171"/>
  <c r="M146"/>
  <c r="M13"/>
  <c r="R79"/>
  <c r="S73"/>
  <c r="S68"/>
  <c r="M80"/>
  <c r="M93"/>
  <c r="L97"/>
  <c r="M81"/>
  <c r="M112"/>
  <c r="L11"/>
  <c r="M86"/>
  <c r="M102"/>
  <c r="L120"/>
  <c r="M128"/>
  <c r="L105"/>
  <c r="S59"/>
  <c r="S65"/>
  <c r="L108"/>
  <c r="L179"/>
  <c r="L109"/>
  <c r="M44"/>
  <c r="L146"/>
  <c r="M207"/>
  <c r="L9"/>
  <c r="L92"/>
  <c r="R55"/>
  <c r="M117"/>
  <c r="M155"/>
  <c r="M187"/>
  <c r="M105"/>
  <c r="M129"/>
  <c r="S62"/>
  <c r="R76"/>
  <c r="M24"/>
  <c r="R24" s="1"/>
  <c r="L163"/>
  <c r="L199"/>
  <c r="M26"/>
  <c r="M40"/>
  <c r="L138"/>
  <c r="L132"/>
  <c r="L6"/>
  <c r="L15"/>
  <c r="M82"/>
  <c r="M90"/>
  <c r="M98"/>
  <c r="M106"/>
  <c r="M116"/>
  <c r="L124"/>
  <c r="M54"/>
  <c r="M9"/>
  <c r="S79"/>
  <c r="S55"/>
  <c r="M85"/>
  <c r="L26"/>
  <c r="M28"/>
  <c r="L207"/>
  <c r="M30"/>
  <c r="M46"/>
  <c r="L93"/>
  <c r="L52"/>
  <c r="M138"/>
  <c r="M132"/>
  <c r="M6"/>
  <c r="M15"/>
  <c r="L82"/>
  <c r="L90"/>
  <c r="L98"/>
  <c r="L106"/>
  <c r="L116"/>
  <c r="M124"/>
  <c r="L54"/>
  <c r="L17"/>
  <c r="M92"/>
  <c r="L101"/>
  <c r="M52"/>
  <c r="M32"/>
  <c r="M48"/>
  <c r="L81"/>
  <c r="L84"/>
  <c r="L100"/>
  <c r="L114"/>
  <c r="M5"/>
  <c r="M17"/>
  <c r="L211"/>
  <c r="L13"/>
  <c r="R73"/>
  <c r="M108"/>
  <c r="L193"/>
  <c r="L113"/>
  <c r="L30"/>
  <c r="M38"/>
  <c r="L203"/>
  <c r="R65"/>
  <c r="L142"/>
  <c r="L46"/>
  <c r="L34"/>
  <c r="M50"/>
  <c r="L112"/>
  <c r="M136"/>
  <c r="M11"/>
  <c r="M19"/>
  <c r="L86"/>
  <c r="L94"/>
  <c r="L102"/>
  <c r="L110"/>
  <c r="M120"/>
  <c r="M130"/>
  <c r="M97"/>
  <c r="L128"/>
  <c r="M84"/>
  <c r="M100"/>
  <c r="M114"/>
  <c r="R59"/>
  <c r="R57"/>
  <c r="M101"/>
  <c r="M133"/>
  <c r="M159"/>
  <c r="M167"/>
  <c r="M175"/>
  <c r="M183"/>
  <c r="M193"/>
  <c r="M150"/>
  <c r="M203"/>
  <c r="L50"/>
  <c r="L38"/>
  <c r="L32"/>
  <c r="I204"/>
  <c r="H190"/>
  <c r="H141"/>
  <c r="H204"/>
  <c r="I214"/>
  <c r="I170"/>
  <c r="I198"/>
  <c r="I141"/>
  <c r="I149"/>
  <c r="I212"/>
  <c r="H196"/>
  <c r="H149"/>
  <c r="H197"/>
  <c r="H212"/>
  <c r="M212" s="1"/>
  <c r="I215"/>
  <c r="I194"/>
  <c r="I186"/>
  <c r="I180"/>
  <c r="I208"/>
  <c r="M22"/>
  <c r="L22"/>
  <c r="L28"/>
  <c r="L44"/>
  <c r="L48"/>
  <c r="H191"/>
  <c r="I200"/>
  <c r="I164"/>
  <c r="I154"/>
  <c r="R71"/>
  <c r="S78"/>
  <c r="AA154" i="5"/>
  <c r="AA170"/>
  <c r="AA198"/>
  <c r="AA214"/>
  <c r="AA164"/>
  <c r="AA208"/>
  <c r="AA186"/>
  <c r="AA180"/>
  <c r="R75" i="6"/>
  <c r="AA151" i="5"/>
  <c r="H151" i="6"/>
  <c r="AA166" i="5"/>
  <c r="H166" i="6"/>
  <c r="AA210" i="5"/>
  <c r="H210" i="6"/>
  <c r="AA168" i="5"/>
  <c r="H168" i="6"/>
  <c r="AA145" i="5"/>
  <c r="H145" i="6"/>
  <c r="AA143" i="5"/>
  <c r="H143" i="6"/>
  <c r="AA158" i="5"/>
  <c r="H158" i="6"/>
  <c r="AA174" i="5"/>
  <c r="H174" i="6"/>
  <c r="AA202" i="5"/>
  <c r="H202" i="6"/>
  <c r="AA160" i="5"/>
  <c r="H160" i="6"/>
  <c r="AA176" i="5"/>
  <c r="H176" i="6"/>
  <c r="AA147" i="5"/>
  <c r="I147" i="6"/>
  <c r="AA162" i="5"/>
  <c r="I162" i="6"/>
  <c r="AA178" i="5"/>
  <c r="I178" i="6"/>
  <c r="AA192" i="5"/>
  <c r="I192" i="6"/>
  <c r="AA206" i="5"/>
  <c r="I206" i="6"/>
  <c r="AA156" i="5"/>
  <c r="I156" i="6"/>
  <c r="AA172" i="5"/>
  <c r="I172" i="6"/>
  <c r="AA188" i="5"/>
  <c r="I188" i="6"/>
  <c r="AA152" i="5"/>
  <c r="H152" i="6"/>
  <c r="M144"/>
  <c r="L144"/>
  <c r="M148"/>
  <c r="L148"/>
  <c r="M153"/>
  <c r="L153"/>
  <c r="M157"/>
  <c r="L157"/>
  <c r="M161"/>
  <c r="L161"/>
  <c r="M165"/>
  <c r="L165"/>
  <c r="M169"/>
  <c r="L169"/>
  <c r="M173"/>
  <c r="L173"/>
  <c r="M177"/>
  <c r="L177"/>
  <c r="M181"/>
  <c r="L181"/>
  <c r="M185"/>
  <c r="L185"/>
  <c r="M189"/>
  <c r="L189"/>
  <c r="M195"/>
  <c r="L195"/>
  <c r="M201"/>
  <c r="L201"/>
  <c r="M205"/>
  <c r="L205"/>
  <c r="M209"/>
  <c r="L209"/>
  <c r="M213"/>
  <c r="L213"/>
  <c r="L83"/>
  <c r="M83"/>
  <c r="L87"/>
  <c r="M87"/>
  <c r="L91"/>
  <c r="M91"/>
  <c r="L95"/>
  <c r="M95"/>
  <c r="L99"/>
  <c r="M99"/>
  <c r="L103"/>
  <c r="M103"/>
  <c r="L107"/>
  <c r="M107"/>
  <c r="L111"/>
  <c r="M111"/>
  <c r="L115"/>
  <c r="M115"/>
  <c r="L119"/>
  <c r="M119"/>
  <c r="L123"/>
  <c r="M123"/>
  <c r="L127"/>
  <c r="M127"/>
  <c r="L131"/>
  <c r="M131"/>
  <c r="L135"/>
  <c r="M135"/>
  <c r="M10"/>
  <c r="L10"/>
  <c r="M14"/>
  <c r="L14"/>
  <c r="L18"/>
  <c r="M18"/>
  <c r="M23"/>
  <c r="L23"/>
  <c r="M27"/>
  <c r="L27"/>
  <c r="M31"/>
  <c r="L31"/>
  <c r="M35"/>
  <c r="L35"/>
  <c r="M39"/>
  <c r="L39"/>
  <c r="M43"/>
  <c r="L43"/>
  <c r="M47"/>
  <c r="L47"/>
  <c r="M51"/>
  <c r="L51"/>
  <c r="M134"/>
  <c r="L134"/>
  <c r="L88"/>
  <c r="M88"/>
  <c r="L96"/>
  <c r="M96"/>
  <c r="L104"/>
  <c r="M104"/>
  <c r="M126"/>
  <c r="L126"/>
  <c r="AA200" i="5"/>
  <c r="AA182"/>
  <c r="H182" i="6"/>
  <c r="AA184" i="5"/>
  <c r="H184" i="6"/>
  <c r="M8"/>
  <c r="L8"/>
  <c r="M12"/>
  <c r="L12"/>
  <c r="L16"/>
  <c r="M16"/>
  <c r="L20"/>
  <c r="M20"/>
  <c r="M25"/>
  <c r="L25"/>
  <c r="M29"/>
  <c r="L29"/>
  <c r="M33"/>
  <c r="L33"/>
  <c r="M37"/>
  <c r="L37"/>
  <c r="M41"/>
  <c r="L41"/>
  <c r="M45"/>
  <c r="L45"/>
  <c r="M49"/>
  <c r="L49"/>
  <c r="M53"/>
  <c r="L53"/>
  <c r="AA141" i="5"/>
  <c r="AA204"/>
  <c r="AA149"/>
  <c r="AA212"/>
  <c r="O49" i="4" l="1"/>
  <c r="O44" s="1"/>
  <c r="I44"/>
  <c r="R21" i="6"/>
  <c r="S74"/>
  <c r="S67"/>
  <c r="S69"/>
  <c r="W69" s="1"/>
  <c r="I69" i="7" s="1"/>
  <c r="S80" i="6"/>
  <c r="S150"/>
  <c r="T150" s="1"/>
  <c r="V57"/>
  <c r="H57" i="7" s="1"/>
  <c r="S85" i="6"/>
  <c r="R63"/>
  <c r="W63" s="1"/>
  <c r="I63" i="7" s="1"/>
  <c r="R199" i="6"/>
  <c r="U199" s="1"/>
  <c r="S122"/>
  <c r="L154"/>
  <c r="M194"/>
  <c r="R42"/>
  <c r="L164"/>
  <c r="M186"/>
  <c r="M197"/>
  <c r="M214"/>
  <c r="S211"/>
  <c r="T211" s="1"/>
  <c r="R5"/>
  <c r="S118"/>
  <c r="M191"/>
  <c r="W76"/>
  <c r="I76" i="7" s="1"/>
  <c r="R58" i="6"/>
  <c r="W58" s="1"/>
  <c r="I58" i="7" s="1"/>
  <c r="M200" i="6"/>
  <c r="M190"/>
  <c r="S137"/>
  <c r="S125"/>
  <c r="W125" s="1"/>
  <c r="M180"/>
  <c r="L170"/>
  <c r="M208"/>
  <c r="L215"/>
  <c r="L196"/>
  <c r="M198"/>
  <c r="S142"/>
  <c r="T142" s="1"/>
  <c r="S155"/>
  <c r="T155" s="1"/>
  <c r="S7"/>
  <c r="R133"/>
  <c r="V67"/>
  <c r="H67" i="7" s="1"/>
  <c r="M145"/>
  <c r="R145" s="1"/>
  <c r="U193"/>
  <c r="U211"/>
  <c r="U203"/>
  <c r="U213"/>
  <c r="U209"/>
  <c r="U205"/>
  <c r="U201"/>
  <c r="U195"/>
  <c r="U189"/>
  <c r="U177"/>
  <c r="U144"/>
  <c r="U183"/>
  <c r="U179"/>
  <c r="U207"/>
  <c r="U199"/>
  <c r="R204"/>
  <c r="S204"/>
  <c r="T204" s="1"/>
  <c r="S141"/>
  <c r="R141"/>
  <c r="U173"/>
  <c r="U165"/>
  <c r="U157"/>
  <c r="U148"/>
  <c r="U175"/>
  <c r="U167"/>
  <c r="U159"/>
  <c r="L208"/>
  <c r="L194"/>
  <c r="M180"/>
  <c r="L180"/>
  <c r="M164"/>
  <c r="L164"/>
  <c r="L214"/>
  <c r="L198"/>
  <c r="M186"/>
  <c r="L186"/>
  <c r="M170"/>
  <c r="L170"/>
  <c r="M154"/>
  <c r="L154"/>
  <c r="R212"/>
  <c r="S212"/>
  <c r="T212" s="1"/>
  <c r="S149"/>
  <c r="T149" s="1"/>
  <c r="R149"/>
  <c r="L176"/>
  <c r="L202"/>
  <c r="L174"/>
  <c r="M143"/>
  <c r="S143" s="1"/>
  <c r="T143" s="1"/>
  <c r="M215"/>
  <c r="S215" s="1"/>
  <c r="M152"/>
  <c r="S152" s="1"/>
  <c r="T152" s="1"/>
  <c r="L197"/>
  <c r="M184"/>
  <c r="R184" s="1"/>
  <c r="L168"/>
  <c r="M182"/>
  <c r="S182" s="1"/>
  <c r="T182" s="1"/>
  <c r="L166"/>
  <c r="M151"/>
  <c r="R151" s="1"/>
  <c r="L191"/>
  <c r="L160"/>
  <c r="L158"/>
  <c r="U185"/>
  <c r="U169"/>
  <c r="U161"/>
  <c r="U153"/>
  <c r="U150"/>
  <c r="U187"/>
  <c r="U171"/>
  <c r="U163"/>
  <c r="U155"/>
  <c r="F50" i="27" s="1"/>
  <c r="R215" i="7"/>
  <c r="L200"/>
  <c r="M188"/>
  <c r="L188"/>
  <c r="M172"/>
  <c r="L172"/>
  <c r="M156"/>
  <c r="L156"/>
  <c r="L206"/>
  <c r="L192"/>
  <c r="M178"/>
  <c r="L178"/>
  <c r="M162"/>
  <c r="L162"/>
  <c r="L147"/>
  <c r="M147"/>
  <c r="U146"/>
  <c r="U181"/>
  <c r="U142"/>
  <c r="M192"/>
  <c r="M206"/>
  <c r="L210"/>
  <c r="L196"/>
  <c r="L190"/>
  <c r="W59" i="6"/>
  <c r="I59" i="7" s="1"/>
  <c r="S102" i="6"/>
  <c r="W73"/>
  <c r="I73" i="7" s="1"/>
  <c r="R81" i="6"/>
  <c r="S106"/>
  <c r="R90"/>
  <c r="S179"/>
  <c r="T179" s="1"/>
  <c r="V68"/>
  <c r="H68" i="7" s="1"/>
  <c r="R130" i="6"/>
  <c r="S19"/>
  <c r="V65"/>
  <c r="H65" i="7" s="1"/>
  <c r="R54" i="6"/>
  <c r="R116"/>
  <c r="S98"/>
  <c r="S82"/>
  <c r="R171"/>
  <c r="U171" s="1"/>
  <c r="R109"/>
  <c r="R66"/>
  <c r="W66" s="1"/>
  <c r="I66" i="7" s="1"/>
  <c r="S109" i="6"/>
  <c r="W74"/>
  <c r="I74" i="7" s="1"/>
  <c r="R60" i="6"/>
  <c r="W60" s="1"/>
  <c r="I60" i="7" s="1"/>
  <c r="S121" i="6"/>
  <c r="V70"/>
  <c r="H70" i="7" s="1"/>
  <c r="W71" i="6"/>
  <c r="I71" i="7" s="1"/>
  <c r="W62" i="6"/>
  <c r="I62" i="7" s="1"/>
  <c r="S129" i="6"/>
  <c r="W61"/>
  <c r="I61" i="7" s="1"/>
  <c r="S77" i="6"/>
  <c r="V77" s="1"/>
  <c r="W72"/>
  <c r="I72" i="7" s="1"/>
  <c r="V56" i="6"/>
  <c r="H56" i="7" s="1"/>
  <c r="V72" i="6"/>
  <c r="H72" i="7" s="1"/>
  <c r="R137" i="6"/>
  <c r="S171"/>
  <c r="T171" s="1"/>
  <c r="R36"/>
  <c r="R7"/>
  <c r="S36"/>
  <c r="R118"/>
  <c r="L180"/>
  <c r="R122"/>
  <c r="W57"/>
  <c r="I57" i="7" s="1"/>
  <c r="R146" i="6"/>
  <c r="U146" s="1"/>
  <c r="S15"/>
  <c r="V64"/>
  <c r="H64" i="7" s="1"/>
  <c r="S117" i="6"/>
  <c r="S138"/>
  <c r="R92"/>
  <c r="R85"/>
  <c r="W56"/>
  <c r="AA56" s="1"/>
  <c r="R129"/>
  <c r="S21"/>
  <c r="S54"/>
  <c r="R6"/>
  <c r="R19"/>
  <c r="W68"/>
  <c r="V62"/>
  <c r="R179"/>
  <c r="U179" s="1"/>
  <c r="W67"/>
  <c r="L190"/>
  <c r="S190" s="1"/>
  <c r="T190" s="1"/>
  <c r="W78"/>
  <c r="I78" i="7" s="1"/>
  <c r="S175" i="6"/>
  <c r="T175" s="1"/>
  <c r="S159"/>
  <c r="T159" s="1"/>
  <c r="S86"/>
  <c r="S34"/>
  <c r="S40"/>
  <c r="S163"/>
  <c r="T163" s="1"/>
  <c r="R89"/>
  <c r="V73"/>
  <c r="H73" i="7" s="1"/>
  <c r="L197" i="6"/>
  <c r="W75"/>
  <c r="I75" i="7" s="1"/>
  <c r="R121" i="6"/>
  <c r="V121" s="1"/>
  <c r="R113"/>
  <c r="W64"/>
  <c r="I64" i="7" s="1"/>
  <c r="R187" i="6"/>
  <c r="U187" s="1"/>
  <c r="S42"/>
  <c r="S183"/>
  <c r="T183" s="1"/>
  <c r="S167"/>
  <c r="T167" s="1"/>
  <c r="S187"/>
  <c r="T187" s="1"/>
  <c r="R117"/>
  <c r="S5"/>
  <c r="R106"/>
  <c r="S13"/>
  <c r="V76"/>
  <c r="R34"/>
  <c r="R211"/>
  <c r="U211" s="1"/>
  <c r="S32"/>
  <c r="R100"/>
  <c r="R94"/>
  <c r="S136"/>
  <c r="R93"/>
  <c r="R44"/>
  <c r="W79"/>
  <c r="S130"/>
  <c r="R80"/>
  <c r="W70"/>
  <c r="S199"/>
  <c r="T199" s="1"/>
  <c r="R167"/>
  <c r="U167" s="1"/>
  <c r="S93"/>
  <c r="S116"/>
  <c r="R98"/>
  <c r="R82"/>
  <c r="V61"/>
  <c r="H61" i="7" s="1"/>
  <c r="S133" i="6"/>
  <c r="S44"/>
  <c r="R38"/>
  <c r="R30"/>
  <c r="S28"/>
  <c r="S6"/>
  <c r="R138"/>
  <c r="R26"/>
  <c r="S92"/>
  <c r="S207"/>
  <c r="T207" s="1"/>
  <c r="S120"/>
  <c r="V79"/>
  <c r="H79" i="7" s="1"/>
  <c r="S113" i="6"/>
  <c r="W65"/>
  <c r="S30"/>
  <c r="S48"/>
  <c r="R28"/>
  <c r="S114"/>
  <c r="S84"/>
  <c r="R97"/>
  <c r="R120"/>
  <c r="R86"/>
  <c r="R112"/>
  <c r="S17"/>
  <c r="R207"/>
  <c r="U207" s="1"/>
  <c r="S26"/>
  <c r="R105"/>
  <c r="S146"/>
  <c r="T146" s="1"/>
  <c r="S124"/>
  <c r="S132"/>
  <c r="W55"/>
  <c r="S9"/>
  <c r="R11"/>
  <c r="R110"/>
  <c r="R114"/>
  <c r="R84"/>
  <c r="V74"/>
  <c r="R155"/>
  <c r="U155" s="1"/>
  <c r="S105"/>
  <c r="S89"/>
  <c r="L200"/>
  <c r="M154"/>
  <c r="R102"/>
  <c r="S90"/>
  <c r="S112"/>
  <c r="V59"/>
  <c r="H59" i="7" s="1"/>
  <c r="L212" i="6"/>
  <c r="R212" s="1"/>
  <c r="R40"/>
  <c r="R32"/>
  <c r="R183"/>
  <c r="U183" s="1"/>
  <c r="S110"/>
  <c r="S94"/>
  <c r="R136"/>
  <c r="R17"/>
  <c r="R52"/>
  <c r="R46"/>
  <c r="R124"/>
  <c r="R15"/>
  <c r="R132"/>
  <c r="V55"/>
  <c r="R9"/>
  <c r="R108"/>
  <c r="S128"/>
  <c r="S11"/>
  <c r="R163"/>
  <c r="U163" s="1"/>
  <c r="R150"/>
  <c r="U150" s="1"/>
  <c r="R142"/>
  <c r="U142" s="1"/>
  <c r="S97"/>
  <c r="S81"/>
  <c r="L194"/>
  <c r="M170"/>
  <c r="R48"/>
  <c r="S52"/>
  <c r="L149"/>
  <c r="L141"/>
  <c r="M204"/>
  <c r="S203"/>
  <c r="T203" s="1"/>
  <c r="R193"/>
  <c r="U193" s="1"/>
  <c r="R101"/>
  <c r="S100"/>
  <c r="R128"/>
  <c r="S46"/>
  <c r="S108"/>
  <c r="R13"/>
  <c r="R203"/>
  <c r="U203" s="1"/>
  <c r="S24"/>
  <c r="S50"/>
  <c r="S193"/>
  <c r="T193" s="1"/>
  <c r="R175"/>
  <c r="U175" s="1"/>
  <c r="R159"/>
  <c r="U159" s="1"/>
  <c r="S101"/>
  <c r="M215"/>
  <c r="L214"/>
  <c r="L191"/>
  <c r="S38"/>
  <c r="R50"/>
  <c r="L186"/>
  <c r="M196"/>
  <c r="M149"/>
  <c r="M141"/>
  <c r="L204"/>
  <c r="L208"/>
  <c r="M164"/>
  <c r="L198"/>
  <c r="R22"/>
  <c r="S22"/>
  <c r="V71"/>
  <c r="V78"/>
  <c r="V75"/>
  <c r="R53"/>
  <c r="S53"/>
  <c r="R49"/>
  <c r="S49"/>
  <c r="R45"/>
  <c r="S45"/>
  <c r="R41"/>
  <c r="S41"/>
  <c r="R37"/>
  <c r="S37"/>
  <c r="R33"/>
  <c r="S33"/>
  <c r="R29"/>
  <c r="S29"/>
  <c r="R25"/>
  <c r="S25"/>
  <c r="R20"/>
  <c r="S20"/>
  <c r="S12"/>
  <c r="R12"/>
  <c r="S8"/>
  <c r="R8"/>
  <c r="L184"/>
  <c r="M184"/>
  <c r="S126"/>
  <c r="R126"/>
  <c r="R104"/>
  <c r="S104"/>
  <c r="R88"/>
  <c r="S88"/>
  <c r="R18"/>
  <c r="S18"/>
  <c r="S14"/>
  <c r="R14"/>
  <c r="S131"/>
  <c r="R131"/>
  <c r="S213"/>
  <c r="T213" s="1"/>
  <c r="R213"/>
  <c r="S209"/>
  <c r="T209" s="1"/>
  <c r="R209"/>
  <c r="S205"/>
  <c r="T205" s="1"/>
  <c r="R205"/>
  <c r="S201"/>
  <c r="T201" s="1"/>
  <c r="R201"/>
  <c r="S195"/>
  <c r="T195" s="1"/>
  <c r="R195"/>
  <c r="S189"/>
  <c r="T189" s="1"/>
  <c r="R189"/>
  <c r="S185"/>
  <c r="T185" s="1"/>
  <c r="R185"/>
  <c r="S181"/>
  <c r="T181" s="1"/>
  <c r="R181"/>
  <c r="R177"/>
  <c r="S177"/>
  <c r="T177" s="1"/>
  <c r="R173"/>
  <c r="S173"/>
  <c r="T173" s="1"/>
  <c r="R169"/>
  <c r="S169"/>
  <c r="T169" s="1"/>
  <c r="R165"/>
  <c r="S165"/>
  <c r="T165" s="1"/>
  <c r="R161"/>
  <c r="S161"/>
  <c r="T161" s="1"/>
  <c r="R157"/>
  <c r="S157"/>
  <c r="T157" s="1"/>
  <c r="R153"/>
  <c r="S153"/>
  <c r="T153" s="1"/>
  <c r="R148"/>
  <c r="S148"/>
  <c r="T148" s="1"/>
  <c r="R144"/>
  <c r="S144"/>
  <c r="T144" s="1"/>
  <c r="M152"/>
  <c r="L152"/>
  <c r="M188"/>
  <c r="L188"/>
  <c r="M172"/>
  <c r="L172"/>
  <c r="L156"/>
  <c r="M156"/>
  <c r="M206"/>
  <c r="L206"/>
  <c r="M192"/>
  <c r="L192"/>
  <c r="L178"/>
  <c r="M178"/>
  <c r="L162"/>
  <c r="M162"/>
  <c r="L147"/>
  <c r="M147"/>
  <c r="L176"/>
  <c r="M176"/>
  <c r="M160"/>
  <c r="L160"/>
  <c r="R16"/>
  <c r="S16"/>
  <c r="L182"/>
  <c r="M182"/>
  <c r="R96"/>
  <c r="S96"/>
  <c r="S134"/>
  <c r="R134"/>
  <c r="R51"/>
  <c r="S51"/>
  <c r="R47"/>
  <c r="S47"/>
  <c r="R43"/>
  <c r="S43"/>
  <c r="R39"/>
  <c r="S39"/>
  <c r="R35"/>
  <c r="S35"/>
  <c r="R31"/>
  <c r="S31"/>
  <c r="R27"/>
  <c r="S27"/>
  <c r="R23"/>
  <c r="S23"/>
  <c r="S10"/>
  <c r="R10"/>
  <c r="S135"/>
  <c r="R135"/>
  <c r="S127"/>
  <c r="R127"/>
  <c r="R123"/>
  <c r="S123"/>
  <c r="R119"/>
  <c r="S119"/>
  <c r="R115"/>
  <c r="S115"/>
  <c r="R111"/>
  <c r="S111"/>
  <c r="R107"/>
  <c r="S107"/>
  <c r="R103"/>
  <c r="S103"/>
  <c r="R99"/>
  <c r="S99"/>
  <c r="R95"/>
  <c r="S95"/>
  <c r="R91"/>
  <c r="S91"/>
  <c r="R87"/>
  <c r="S87"/>
  <c r="R83"/>
  <c r="S83"/>
  <c r="L202"/>
  <c r="M202"/>
  <c r="M174"/>
  <c r="L174"/>
  <c r="M158"/>
  <c r="L158"/>
  <c r="M143"/>
  <c r="L143"/>
  <c r="M145"/>
  <c r="L145"/>
  <c r="M168"/>
  <c r="L168"/>
  <c r="L210"/>
  <c r="M210"/>
  <c r="M166"/>
  <c r="L166"/>
  <c r="M151"/>
  <c r="L151"/>
  <c r="G29" i="20"/>
  <c r="V21" i="6" l="1"/>
  <c r="V128"/>
  <c r="R151"/>
  <c r="U151" s="1"/>
  <c r="V181" i="7"/>
  <c r="H181" i="8" s="1"/>
  <c r="W171" i="7"/>
  <c r="I171" i="8" s="1"/>
  <c r="W150" i="7"/>
  <c r="I150" i="8" s="1"/>
  <c r="W161" i="7"/>
  <c r="I161" i="8" s="1"/>
  <c r="V185" i="7"/>
  <c r="H185" i="8" s="1"/>
  <c r="W159" i="7"/>
  <c r="I159" i="8" s="1"/>
  <c r="W175" i="7"/>
  <c r="I175" i="8" s="1"/>
  <c r="W157" i="7"/>
  <c r="I157" i="8" s="1"/>
  <c r="V207" i="7"/>
  <c r="H207" i="8" s="1"/>
  <c r="W183" i="7"/>
  <c r="I183" i="8" s="1"/>
  <c r="W177" i="7"/>
  <c r="I177" i="8" s="1"/>
  <c r="V205" i="7"/>
  <c r="H205" i="8" s="1"/>
  <c r="W213" i="7"/>
  <c r="I213" i="8" s="1"/>
  <c r="V211" i="7"/>
  <c r="H211" i="8" s="1"/>
  <c r="W142" i="7"/>
  <c r="I142" i="8" s="1"/>
  <c r="W146" i="7"/>
  <c r="I146" i="8" s="1"/>
  <c r="W163" i="7"/>
  <c r="I163" i="8" s="1"/>
  <c r="V187" i="7"/>
  <c r="H187" i="8" s="1"/>
  <c r="W153" i="7"/>
  <c r="I153" i="8" s="1"/>
  <c r="W169" i="7"/>
  <c r="I169" i="8" s="1"/>
  <c r="V167" i="7"/>
  <c r="H167" i="8" s="1"/>
  <c r="W148" i="7"/>
  <c r="I148" i="8" s="1"/>
  <c r="V165" i="7"/>
  <c r="H165" i="8" s="1"/>
  <c r="V199" i="7"/>
  <c r="H199" i="8" s="1"/>
  <c r="W179" i="7"/>
  <c r="I179" i="8" s="1"/>
  <c r="W144" i="7"/>
  <c r="I144" i="8" s="1"/>
  <c r="W189" i="7"/>
  <c r="I189" i="8" s="1"/>
  <c r="W201" i="7"/>
  <c r="W209"/>
  <c r="I209" i="8" s="1"/>
  <c r="V203" i="7"/>
  <c r="H203" i="8" s="1"/>
  <c r="W193" i="7"/>
  <c r="I193" i="8" s="1"/>
  <c r="V125" i="6"/>
  <c r="AA125" s="1"/>
  <c r="V69"/>
  <c r="H69" i="7" s="1"/>
  <c r="M69" s="1"/>
  <c r="W85" i="6"/>
  <c r="I85" i="7" s="1"/>
  <c r="W138" i="6"/>
  <c r="V138"/>
  <c r="F13" i="11"/>
  <c r="W80" i="6"/>
  <c r="I80" i="7" s="1"/>
  <c r="S186" i="6"/>
  <c r="T186" s="1"/>
  <c r="S214"/>
  <c r="T214" s="1"/>
  <c r="U214" s="1"/>
  <c r="V58"/>
  <c r="W173" i="7"/>
  <c r="I173" i="8" s="1"/>
  <c r="E65" i="27"/>
  <c r="V63" i="6"/>
  <c r="AA63" s="1"/>
  <c r="R191"/>
  <c r="U191" s="1"/>
  <c r="R215"/>
  <c r="S194"/>
  <c r="T194" s="1"/>
  <c r="W19"/>
  <c r="I19" i="7" s="1"/>
  <c r="V54" i="6"/>
  <c r="H54" i="7" s="1"/>
  <c r="S164" i="6"/>
  <c r="T164" s="1"/>
  <c r="R200"/>
  <c r="U200" s="1"/>
  <c r="W42"/>
  <c r="I42" i="7" s="1"/>
  <c r="W118" i="6"/>
  <c r="I118" i="7" s="1"/>
  <c r="W5" i="6"/>
  <c r="I5" i="7" s="1"/>
  <c r="V122" i="6"/>
  <c r="H122" i="7" s="1"/>
  <c r="S145"/>
  <c r="T145" s="1"/>
  <c r="S154" i="6"/>
  <c r="T154" s="1"/>
  <c r="R197"/>
  <c r="U197" s="1"/>
  <c r="R208"/>
  <c r="U208" s="1"/>
  <c r="V137"/>
  <c r="H137" i="7" s="1"/>
  <c r="AA67" i="6"/>
  <c r="T141" i="7"/>
  <c r="V175"/>
  <c r="H175" i="8" s="1"/>
  <c r="L175" s="1"/>
  <c r="V201" i="7"/>
  <c r="H201" i="8" s="1"/>
  <c r="V93" i="6"/>
  <c r="H93" i="7" s="1"/>
  <c r="R198" i="6"/>
  <c r="U198" s="1"/>
  <c r="R196"/>
  <c r="U196" s="1"/>
  <c r="R180"/>
  <c r="U180" s="1"/>
  <c r="W90"/>
  <c r="I90" i="7" s="1"/>
  <c r="S170" i="6"/>
  <c r="T170" s="1"/>
  <c r="V132"/>
  <c r="H132" i="7" s="1"/>
  <c r="W133" i="6"/>
  <c r="I133" i="7" s="1"/>
  <c r="AA62" i="6"/>
  <c r="W7"/>
  <c r="I7" i="7" s="1"/>
  <c r="W44" i="6"/>
  <c r="I44" i="7" s="1"/>
  <c r="W155"/>
  <c r="I155" i="8" s="1"/>
  <c r="V195" i="7"/>
  <c r="H195" i="8" s="1"/>
  <c r="V173" i="7"/>
  <c r="H173" i="8" s="1"/>
  <c r="W199" i="7"/>
  <c r="I199" i="8" s="1"/>
  <c r="W207" i="7"/>
  <c r="I207" i="8" s="1"/>
  <c r="V179" i="7"/>
  <c r="H179" i="8" s="1"/>
  <c r="I201"/>
  <c r="V159" i="7"/>
  <c r="H159" i="8" s="1"/>
  <c r="V157" i="7"/>
  <c r="H157" i="8" s="1"/>
  <c r="V183" i="7"/>
  <c r="H183" i="8" s="1"/>
  <c r="V144" i="7"/>
  <c r="AA144" s="1"/>
  <c r="V177"/>
  <c r="H177" i="8" s="1"/>
  <c r="V189" i="7"/>
  <c r="H189" i="8" s="1"/>
  <c r="W205" i="7"/>
  <c r="I205" i="8" s="1"/>
  <c r="W203" i="7"/>
  <c r="I203" i="8" s="1"/>
  <c r="L203" s="1"/>
  <c r="V209" i="7"/>
  <c r="H209" i="8" s="1"/>
  <c r="V213" i="7"/>
  <c r="H213" i="8" s="1"/>
  <c r="W211" i="7"/>
  <c r="I211" i="8" s="1"/>
  <c r="V150" i="7"/>
  <c r="H150" i="8" s="1"/>
  <c r="V153" i="7"/>
  <c r="H153" i="8" s="1"/>
  <c r="V161" i="7"/>
  <c r="H161" i="8" s="1"/>
  <c r="V169" i="7"/>
  <c r="H169" i="8" s="1"/>
  <c r="V142" i="7"/>
  <c r="H142" i="8" s="1"/>
  <c r="W185" i="7"/>
  <c r="I185" i="8" s="1"/>
  <c r="V155" i="7"/>
  <c r="H155" i="8" s="1"/>
  <c r="V163" i="7"/>
  <c r="H163" i="8" s="1"/>
  <c r="V171" i="7"/>
  <c r="H171" i="8" s="1"/>
  <c r="W187" i="7"/>
  <c r="I187" i="8" s="1"/>
  <c r="W195" i="7"/>
  <c r="I195" i="8" s="1"/>
  <c r="V193" i="7"/>
  <c r="H193" i="8" s="1"/>
  <c r="U151" i="7"/>
  <c r="U184"/>
  <c r="E50" i="27"/>
  <c r="R190" i="7"/>
  <c r="S190"/>
  <c r="T190" s="1"/>
  <c r="R196"/>
  <c r="S196"/>
  <c r="T196" s="1"/>
  <c r="U145"/>
  <c r="S147"/>
  <c r="T147" s="1"/>
  <c r="R147"/>
  <c r="S162"/>
  <c r="T162" s="1"/>
  <c r="R162"/>
  <c r="R192"/>
  <c r="S192"/>
  <c r="T192" s="1"/>
  <c r="R206"/>
  <c r="S206"/>
  <c r="T206" s="1"/>
  <c r="S156"/>
  <c r="T156" s="1"/>
  <c r="R156"/>
  <c r="R200"/>
  <c r="S200"/>
  <c r="T200" s="1"/>
  <c r="V215"/>
  <c r="H215" i="8" s="1"/>
  <c r="W215" i="7"/>
  <c r="I215" i="8" s="1"/>
  <c r="R191" i="7"/>
  <c r="S191"/>
  <c r="T191" s="1"/>
  <c r="S168"/>
  <c r="T168" s="1"/>
  <c r="R168"/>
  <c r="R197"/>
  <c r="S197"/>
  <c r="T197" s="1"/>
  <c r="R202"/>
  <c r="S202"/>
  <c r="T202" s="1"/>
  <c r="U149"/>
  <c r="S154"/>
  <c r="T154" s="1"/>
  <c r="R154"/>
  <c r="R198"/>
  <c r="S198"/>
  <c r="T198" s="1"/>
  <c r="R214"/>
  <c r="U214" s="1"/>
  <c r="S214"/>
  <c r="T214" s="1"/>
  <c r="S164"/>
  <c r="T164" s="1"/>
  <c r="R164"/>
  <c r="R194"/>
  <c r="S194"/>
  <c r="T194" s="1"/>
  <c r="R208"/>
  <c r="S208"/>
  <c r="T208" s="1"/>
  <c r="U141"/>
  <c r="R143"/>
  <c r="R152"/>
  <c r="U152" s="1"/>
  <c r="S184"/>
  <c r="T184" s="1"/>
  <c r="S151"/>
  <c r="T151" s="1"/>
  <c r="R182"/>
  <c r="R210"/>
  <c r="S210"/>
  <c r="T210" s="1"/>
  <c r="R178"/>
  <c r="S178"/>
  <c r="T178" s="1"/>
  <c r="S172"/>
  <c r="T172" s="1"/>
  <c r="R172"/>
  <c r="S188"/>
  <c r="T188" s="1"/>
  <c r="R188"/>
  <c r="S158"/>
  <c r="T158" s="1"/>
  <c r="R158"/>
  <c r="S160"/>
  <c r="T160" s="1"/>
  <c r="R160"/>
  <c r="S166"/>
  <c r="T166" s="1"/>
  <c r="R166"/>
  <c r="S174"/>
  <c r="T174" s="1"/>
  <c r="R174"/>
  <c r="R176"/>
  <c r="S176"/>
  <c r="T176" s="1"/>
  <c r="U212"/>
  <c r="S170"/>
  <c r="T170" s="1"/>
  <c r="R170"/>
  <c r="S186"/>
  <c r="T186" s="1"/>
  <c r="R186"/>
  <c r="R180"/>
  <c r="S180"/>
  <c r="T180" s="1"/>
  <c r="U204"/>
  <c r="W181"/>
  <c r="I181" i="8" s="1"/>
  <c r="V146" i="7"/>
  <c r="W167"/>
  <c r="I167" i="8" s="1"/>
  <c r="V148" i="7"/>
  <c r="H148" i="8" s="1"/>
  <c r="W165" i="7"/>
  <c r="I165" i="8" s="1"/>
  <c r="F16" i="10"/>
  <c r="H74" i="7"/>
  <c r="L74" s="1"/>
  <c r="F15" i="10"/>
  <c r="F14" i="11"/>
  <c r="V81" i="6"/>
  <c r="H81" i="7" s="1"/>
  <c r="W102" i="6"/>
  <c r="I102" i="7" s="1"/>
  <c r="W98" i="6"/>
  <c r="I98" i="7" s="1"/>
  <c r="AA68" i="6"/>
  <c r="W109"/>
  <c r="I109" i="7" s="1"/>
  <c r="V106" i="6"/>
  <c r="H106" i="7" s="1"/>
  <c r="W82" i="6"/>
  <c r="I82" i="7" s="1"/>
  <c r="W116" i="6"/>
  <c r="I116" i="7" s="1"/>
  <c r="V130" i="6"/>
  <c r="W77"/>
  <c r="AA77" s="1"/>
  <c r="V109"/>
  <c r="V60"/>
  <c r="H60" i="7" s="1"/>
  <c r="V66" i="6"/>
  <c r="H66" i="7" s="1"/>
  <c r="L66" s="1"/>
  <c r="AA70" i="6"/>
  <c r="W129"/>
  <c r="I129" i="7" s="1"/>
  <c r="V90" i="6"/>
  <c r="H90" i="7" s="1"/>
  <c r="I67"/>
  <c r="M67" s="1"/>
  <c r="S197" i="6"/>
  <c r="T197" s="1"/>
  <c r="S180"/>
  <c r="T180" s="1"/>
  <c r="I68" i="7"/>
  <c r="M68" s="1"/>
  <c r="I56"/>
  <c r="M56" s="1"/>
  <c r="V118" i="6"/>
  <c r="H118" i="7" s="1"/>
  <c r="AA72" i="6"/>
  <c r="W121"/>
  <c r="AA121" s="1"/>
  <c r="AA57"/>
  <c r="W21"/>
  <c r="I21" i="7" s="1"/>
  <c r="W36" i="6"/>
  <c r="I36" i="7" s="1"/>
  <c r="W137" i="6"/>
  <c r="R190"/>
  <c r="U190" s="1"/>
  <c r="V15"/>
  <c r="H15" i="7" s="1"/>
  <c r="W40" i="6"/>
  <c r="I40" i="7" s="1"/>
  <c r="V89" i="6"/>
  <c r="H89" i="7" s="1"/>
  <c r="V113" i="6"/>
  <c r="H113" i="7" s="1"/>
  <c r="V6" i="6"/>
  <c r="H6" i="7" s="1"/>
  <c r="V117" i="6"/>
  <c r="V116"/>
  <c r="W113"/>
  <c r="I113" i="7" s="1"/>
  <c r="V85" i="6"/>
  <c r="H85" i="7" s="1"/>
  <c r="V34" i="6"/>
  <c r="V36"/>
  <c r="V30"/>
  <c r="H30" i="7" s="1"/>
  <c r="V82" i="6"/>
  <c r="W106"/>
  <c r="I106" i="7" s="1"/>
  <c r="V84" i="6"/>
  <c r="W86"/>
  <c r="I86" i="7" s="1"/>
  <c r="W92" i="6"/>
  <c r="I92" i="7" s="1"/>
  <c r="V7" i="6"/>
  <c r="H62" i="7"/>
  <c r="M62" s="1"/>
  <c r="V129" i="6"/>
  <c r="H129" i="7" s="1"/>
  <c r="W122" i="6"/>
  <c r="W187"/>
  <c r="M72" i="7"/>
  <c r="W54" i="6"/>
  <c r="I54" i="7" s="1"/>
  <c r="V19" i="6"/>
  <c r="H19" i="7" s="1"/>
  <c r="L72"/>
  <c r="V187" i="6"/>
  <c r="AA73"/>
  <c r="V5"/>
  <c r="H5" i="7" s="1"/>
  <c r="V110" i="6"/>
  <c r="H110" i="7" s="1"/>
  <c r="V86" i="6"/>
  <c r="H86" i="7" s="1"/>
  <c r="V98" i="6"/>
  <c r="H98" i="7" s="1"/>
  <c r="S200" i="6"/>
  <c r="T200" s="1"/>
  <c r="AA64"/>
  <c r="V42"/>
  <c r="H42" i="7" s="1"/>
  <c r="S204" i="6"/>
  <c r="T204" s="1"/>
  <c r="R141"/>
  <c r="U141" s="1"/>
  <c r="V11"/>
  <c r="H11" i="7" s="1"/>
  <c r="R154" i="6"/>
  <c r="U154" s="1"/>
  <c r="W6"/>
  <c r="I6" i="7" s="1"/>
  <c r="W130" i="6"/>
  <c r="I130" i="7" s="1"/>
  <c r="V211" i="6"/>
  <c r="M64" i="7"/>
  <c r="L64"/>
  <c r="W114" i="6"/>
  <c r="I114" i="7" s="1"/>
  <c r="W159" i="6"/>
  <c r="W155"/>
  <c r="W179"/>
  <c r="V175"/>
  <c r="W142"/>
  <c r="W163"/>
  <c r="V167"/>
  <c r="W171"/>
  <c r="W150"/>
  <c r="V199"/>
  <c r="AA75"/>
  <c r="H121" i="7"/>
  <c r="AA71" i="6"/>
  <c r="H55" i="7"/>
  <c r="AA59" i="6"/>
  <c r="AA74"/>
  <c r="I55" i="7"/>
  <c r="AA61" i="6"/>
  <c r="I70" i="7"/>
  <c r="L70" s="1"/>
  <c r="H76"/>
  <c r="H21"/>
  <c r="I125"/>
  <c r="AA78" i="6"/>
  <c r="H77" i="7"/>
  <c r="I65"/>
  <c r="L65" s="1"/>
  <c r="I79"/>
  <c r="M79" s="1"/>
  <c r="W30" i="6"/>
  <c r="V44"/>
  <c r="W117"/>
  <c r="W211"/>
  <c r="W89"/>
  <c r="W207"/>
  <c r="AA76"/>
  <c r="V207"/>
  <c r="W100"/>
  <c r="V124"/>
  <c r="V136"/>
  <c r="W112"/>
  <c r="V105"/>
  <c r="W84"/>
  <c r="W26"/>
  <c r="V120"/>
  <c r="R149"/>
  <c r="U149" s="1"/>
  <c r="V112"/>
  <c r="V102"/>
  <c r="R186"/>
  <c r="U186" s="1"/>
  <c r="V100"/>
  <c r="S212"/>
  <c r="T212" s="1"/>
  <c r="V133"/>
  <c r="W136"/>
  <c r="W124"/>
  <c r="W34"/>
  <c r="W108"/>
  <c r="V28"/>
  <c r="W9"/>
  <c r="V32"/>
  <c r="W101"/>
  <c r="V52"/>
  <c r="S141"/>
  <c r="V114"/>
  <c r="W93"/>
  <c r="W94"/>
  <c r="V94"/>
  <c r="V80"/>
  <c r="V92"/>
  <c r="W183"/>
  <c r="W81"/>
  <c r="S196"/>
  <c r="T196" s="1"/>
  <c r="S208"/>
  <c r="T208" s="1"/>
  <c r="W120"/>
  <c r="V183"/>
  <c r="W28"/>
  <c r="V13"/>
  <c r="W46"/>
  <c r="I46" i="7" s="1"/>
  <c r="V108" i="6"/>
  <c r="V9"/>
  <c r="W132"/>
  <c r="W110"/>
  <c r="W32"/>
  <c r="V26"/>
  <c r="W11"/>
  <c r="R170"/>
  <c r="U170" s="1"/>
  <c r="W105"/>
  <c r="W199"/>
  <c r="S191"/>
  <c r="T191" s="1"/>
  <c r="AA79"/>
  <c r="AA65"/>
  <c r="S198"/>
  <c r="W146"/>
  <c r="W38"/>
  <c r="W48"/>
  <c r="V97"/>
  <c r="AA55"/>
  <c r="V17"/>
  <c r="V40"/>
  <c r="W50"/>
  <c r="R204"/>
  <c r="U204" s="1"/>
  <c r="W13"/>
  <c r="R214"/>
  <c r="W15"/>
  <c r="W17"/>
  <c r="R194"/>
  <c r="U194" s="1"/>
  <c r="V48"/>
  <c r="S149"/>
  <c r="T149" s="1"/>
  <c r="W128"/>
  <c r="W97"/>
  <c r="W203"/>
  <c r="R164"/>
  <c r="U164" s="1"/>
  <c r="V46"/>
  <c r="V193"/>
  <c r="V101"/>
  <c r="V203"/>
  <c r="W193"/>
  <c r="S215"/>
  <c r="W52"/>
  <c r="V24"/>
  <c r="W24"/>
  <c r="V38"/>
  <c r="V50"/>
  <c r="V22"/>
  <c r="W22"/>
  <c r="H78" i="7"/>
  <c r="M78" s="1"/>
  <c r="H71"/>
  <c r="L71" s="1"/>
  <c r="H75"/>
  <c r="M75" s="1"/>
  <c r="V146" i="6"/>
  <c r="V150"/>
  <c r="V155"/>
  <c r="V163"/>
  <c r="V171"/>
  <c r="V142"/>
  <c r="V159"/>
  <c r="V179"/>
  <c r="R145"/>
  <c r="S145"/>
  <c r="T145" s="1"/>
  <c r="R143"/>
  <c r="S143"/>
  <c r="T143" s="1"/>
  <c r="V135"/>
  <c r="W135"/>
  <c r="V10"/>
  <c r="W10"/>
  <c r="W31"/>
  <c r="V31"/>
  <c r="I16" i="4" s="1"/>
  <c r="W39" i="6"/>
  <c r="V39"/>
  <c r="W47"/>
  <c r="V47"/>
  <c r="H128" i="7"/>
  <c r="S182" i="6"/>
  <c r="T182" s="1"/>
  <c r="R182"/>
  <c r="E86" i="27" s="1"/>
  <c r="V16" i="6"/>
  <c r="W16"/>
  <c r="S176"/>
  <c r="T176" s="1"/>
  <c r="R176"/>
  <c r="R147"/>
  <c r="S147"/>
  <c r="T147" s="1"/>
  <c r="S192"/>
  <c r="T192" s="1"/>
  <c r="R192"/>
  <c r="S206"/>
  <c r="T206" s="1"/>
  <c r="R206"/>
  <c r="S172"/>
  <c r="T172" s="1"/>
  <c r="R172"/>
  <c r="S188"/>
  <c r="T188" s="1"/>
  <c r="R188"/>
  <c r="R152"/>
  <c r="S152"/>
  <c r="T152" s="1"/>
  <c r="M73" i="7"/>
  <c r="L73"/>
  <c r="U153" i="6"/>
  <c r="U157"/>
  <c r="U169"/>
  <c r="U173"/>
  <c r="U177"/>
  <c r="V18"/>
  <c r="W18"/>
  <c r="V88"/>
  <c r="W88"/>
  <c r="V104"/>
  <c r="W104"/>
  <c r="V8"/>
  <c r="W8"/>
  <c r="V12"/>
  <c r="W12"/>
  <c r="W25"/>
  <c r="V25"/>
  <c r="W33"/>
  <c r="V33"/>
  <c r="W41"/>
  <c r="V41"/>
  <c r="W49"/>
  <c r="V49"/>
  <c r="W167"/>
  <c r="W175"/>
  <c r="S210"/>
  <c r="T210" s="1"/>
  <c r="R210"/>
  <c r="S202"/>
  <c r="T202" s="1"/>
  <c r="R202"/>
  <c r="V127"/>
  <c r="W127"/>
  <c r="W23"/>
  <c r="V23"/>
  <c r="S151"/>
  <c r="T151" s="1"/>
  <c r="R166"/>
  <c r="S166"/>
  <c r="T166" s="1"/>
  <c r="R168"/>
  <c r="S168"/>
  <c r="T168" s="1"/>
  <c r="R158"/>
  <c r="S158"/>
  <c r="T158" s="1"/>
  <c r="S174"/>
  <c r="T174" s="1"/>
  <c r="R174"/>
  <c r="W83"/>
  <c r="V83"/>
  <c r="W87"/>
  <c r="V87"/>
  <c r="W91"/>
  <c r="V91"/>
  <c r="W95"/>
  <c r="V95"/>
  <c r="W99"/>
  <c r="V99"/>
  <c r="W103"/>
  <c r="V103"/>
  <c r="W107"/>
  <c r="V107"/>
  <c r="W111"/>
  <c r="J724" i="39" s="1"/>
  <c r="K724" s="1"/>
  <c r="V111" i="6"/>
  <c r="W115"/>
  <c r="V115"/>
  <c r="W119"/>
  <c r="V119"/>
  <c r="W123"/>
  <c r="V123"/>
  <c r="W27"/>
  <c r="V27"/>
  <c r="W35"/>
  <c r="V35"/>
  <c r="W43"/>
  <c r="V43"/>
  <c r="W51"/>
  <c r="V51"/>
  <c r="V134"/>
  <c r="W134"/>
  <c r="V96"/>
  <c r="W96"/>
  <c r="U212"/>
  <c r="R160"/>
  <c r="S160"/>
  <c r="T160" s="1"/>
  <c r="R162"/>
  <c r="S162"/>
  <c r="T162" s="1"/>
  <c r="S178"/>
  <c r="T178" s="1"/>
  <c r="R178"/>
  <c r="R156"/>
  <c r="S156"/>
  <c r="T156" s="1"/>
  <c r="M57" i="7"/>
  <c r="L57"/>
  <c r="M59"/>
  <c r="L59"/>
  <c r="M61"/>
  <c r="L61"/>
  <c r="U144" i="6"/>
  <c r="U148"/>
  <c r="F10" i="11" s="1"/>
  <c r="U161" i="6"/>
  <c r="U165"/>
  <c r="U181"/>
  <c r="U185"/>
  <c r="U189"/>
  <c r="AJ156" i="5" s="1"/>
  <c r="U195" i="6"/>
  <c r="U201"/>
  <c r="U205"/>
  <c r="U209"/>
  <c r="U213"/>
  <c r="W131"/>
  <c r="V131"/>
  <c r="V14"/>
  <c r="W14"/>
  <c r="V126"/>
  <c r="W126"/>
  <c r="S184"/>
  <c r="T184" s="1"/>
  <c r="R184"/>
  <c r="V20"/>
  <c r="W20"/>
  <c r="W29"/>
  <c r="V29"/>
  <c r="W37"/>
  <c r="V37"/>
  <c r="W45"/>
  <c r="V45"/>
  <c r="W53"/>
  <c r="V53"/>
  <c r="G37" i="20"/>
  <c r="M181" i="8" l="1"/>
  <c r="M167"/>
  <c r="M163"/>
  <c r="H125" i="7"/>
  <c r="L125" s="1"/>
  <c r="L205" i="8"/>
  <c r="L187"/>
  <c r="L169"/>
  <c r="L159"/>
  <c r="M207"/>
  <c r="H58" i="7"/>
  <c r="M58" s="1"/>
  <c r="E18" i="27"/>
  <c r="E19" s="1"/>
  <c r="M171" i="8"/>
  <c r="M211"/>
  <c r="AA69" i="6"/>
  <c r="L165" i="8"/>
  <c r="M175"/>
  <c r="R175" s="1"/>
  <c r="M161"/>
  <c r="L150"/>
  <c r="M189"/>
  <c r="L157"/>
  <c r="L153"/>
  <c r="M213"/>
  <c r="M177"/>
  <c r="M179"/>
  <c r="L199"/>
  <c r="V149" i="7"/>
  <c r="H149" i="8" s="1"/>
  <c r="W204" i="7"/>
  <c r="I204" i="8" s="1"/>
  <c r="W212" i="7"/>
  <c r="I212" i="8" s="1"/>
  <c r="F14" i="10"/>
  <c r="AA80" i="6"/>
  <c r="AA58"/>
  <c r="F25" i="11"/>
  <c r="AA132" i="6"/>
  <c r="H63" i="7"/>
  <c r="L63" s="1"/>
  <c r="M173" i="8"/>
  <c r="T141" i="6"/>
  <c r="V141" s="1"/>
  <c r="W215"/>
  <c r="AA44"/>
  <c r="AA137"/>
  <c r="AA175" i="7"/>
  <c r="AA159"/>
  <c r="L179" i="8"/>
  <c r="W141" i="7"/>
  <c r="I141" i="8" s="1"/>
  <c r="V145" i="7"/>
  <c r="H145" i="8" s="1"/>
  <c r="AA122" i="6"/>
  <c r="AA60"/>
  <c r="W151" i="7"/>
  <c r="I151" i="8" s="1"/>
  <c r="L201"/>
  <c r="L69" i="7"/>
  <c r="S69" s="1"/>
  <c r="AA7" i="6"/>
  <c r="L189" i="8"/>
  <c r="R189" s="1"/>
  <c r="AA142" i="7"/>
  <c r="L173" i="8"/>
  <c r="R173" s="1"/>
  <c r="M150"/>
  <c r="M209"/>
  <c r="AA189" i="7"/>
  <c r="E91" i="27"/>
  <c r="L209" i="8"/>
  <c r="L67" i="7"/>
  <c r="S67" s="1"/>
  <c r="AA173"/>
  <c r="AA157"/>
  <c r="M157" i="8"/>
  <c r="AA209" i="7"/>
  <c r="AA161"/>
  <c r="M155" i="8"/>
  <c r="AA150" i="7"/>
  <c r="M201" i="8"/>
  <c r="I77" i="7"/>
  <c r="M77" s="1"/>
  <c r="L177" i="8"/>
  <c r="R177" s="1"/>
  <c r="L207"/>
  <c r="AA201" i="7"/>
  <c r="F12" i="11"/>
  <c r="AA169" i="7"/>
  <c r="AA153"/>
  <c r="L155" i="8"/>
  <c r="L211"/>
  <c r="L161"/>
  <c r="AA203" i="7"/>
  <c r="M74"/>
  <c r="R74" s="1"/>
  <c r="L213" i="8"/>
  <c r="R213" s="1"/>
  <c r="M159"/>
  <c r="M153"/>
  <c r="AA193" i="7"/>
  <c r="AA211"/>
  <c r="AA171"/>
  <c r="H144" i="8"/>
  <c r="M144" s="1"/>
  <c r="L171"/>
  <c r="M203"/>
  <c r="R203" s="1"/>
  <c r="AA155" i="7"/>
  <c r="M199" i="8"/>
  <c r="AA207" i="7"/>
  <c r="F37" i="10"/>
  <c r="W145" i="7"/>
  <c r="I145" i="8" s="1"/>
  <c r="AA185" i="7"/>
  <c r="AA195"/>
  <c r="M193" i="8"/>
  <c r="AA112" i="6"/>
  <c r="M183" i="8"/>
  <c r="F65" i="10"/>
  <c r="L183" i="8"/>
  <c r="R183" s="1"/>
  <c r="AA183" i="7"/>
  <c r="M205" i="8"/>
  <c r="AA187" i="7"/>
  <c r="AA163"/>
  <c r="L193" i="8"/>
  <c r="AA213" i="7"/>
  <c r="AA177"/>
  <c r="AA179"/>
  <c r="AA199"/>
  <c r="AA205"/>
  <c r="M169" i="8"/>
  <c r="V204" i="7"/>
  <c r="H204" i="8" s="1"/>
  <c r="V141" i="7"/>
  <c r="M187" i="8"/>
  <c r="W149" i="7"/>
  <c r="I149" i="8" s="1"/>
  <c r="L163"/>
  <c r="W184" i="7"/>
  <c r="I184" i="8" s="1"/>
  <c r="E72" i="27"/>
  <c r="T198" i="6"/>
  <c r="W198" s="1"/>
  <c r="M148" i="8"/>
  <c r="L148"/>
  <c r="AA146" i="7"/>
  <c r="H146" i="8"/>
  <c r="U186" i="7"/>
  <c r="U170"/>
  <c r="U176"/>
  <c r="U188"/>
  <c r="U172"/>
  <c r="M142" i="8"/>
  <c r="L142"/>
  <c r="U182" i="7"/>
  <c r="U164"/>
  <c r="F54" i="27" s="1"/>
  <c r="U154" i="7"/>
  <c r="U202"/>
  <c r="U197"/>
  <c r="U191"/>
  <c r="F91" i="27" s="1"/>
  <c r="U156" i="7"/>
  <c r="F51" i="27" s="1"/>
  <c r="U162" i="7"/>
  <c r="U147"/>
  <c r="AA148"/>
  <c r="AA181"/>
  <c r="M165" i="8"/>
  <c r="L167"/>
  <c r="L181"/>
  <c r="V184" i="7"/>
  <c r="V151"/>
  <c r="H151" i="8" s="1"/>
  <c r="U180" i="7"/>
  <c r="F72" i="27" s="1"/>
  <c r="U174" i="7"/>
  <c r="U166"/>
  <c r="F53" i="27" s="1"/>
  <c r="U160" i="7"/>
  <c r="U158"/>
  <c r="F49" i="27" s="1"/>
  <c r="U178" i="7"/>
  <c r="U210"/>
  <c r="U143"/>
  <c r="U208"/>
  <c r="U194"/>
  <c r="U198"/>
  <c r="U168"/>
  <c r="L215" i="8"/>
  <c r="M215"/>
  <c r="U200" i="7"/>
  <c r="U206"/>
  <c r="U192"/>
  <c r="U196"/>
  <c r="U190"/>
  <c r="M185" i="8"/>
  <c r="L185"/>
  <c r="M195"/>
  <c r="L195"/>
  <c r="E54" i="27"/>
  <c r="V212" i="7"/>
  <c r="AA165"/>
  <c r="AA167"/>
  <c r="F61" i="10"/>
  <c r="F40"/>
  <c r="F44"/>
  <c r="F25"/>
  <c r="F36"/>
  <c r="F41"/>
  <c r="H133" i="7"/>
  <c r="L133" s="1"/>
  <c r="F56" i="10"/>
  <c r="AA100" i="6"/>
  <c r="F23" i="10"/>
  <c r="H136" i="7"/>
  <c r="F62" i="10"/>
  <c r="H84" i="7"/>
  <c r="F22" i="10"/>
  <c r="H82" i="7"/>
  <c r="L82" s="1"/>
  <c r="F28" i="10"/>
  <c r="H138" i="7"/>
  <c r="H117"/>
  <c r="F43" i="10"/>
  <c r="H109" i="7"/>
  <c r="L109" s="1"/>
  <c r="F38" i="10"/>
  <c r="H130" i="7"/>
  <c r="M130" s="1"/>
  <c r="F47" i="10"/>
  <c r="F27"/>
  <c r="F23" i="11"/>
  <c r="F34" i="10"/>
  <c r="F21" i="11"/>
  <c r="F13" i="10"/>
  <c r="H34" i="7"/>
  <c r="F12" i="10"/>
  <c r="H116" i="7"/>
  <c r="M116" s="1"/>
  <c r="F35" i="10"/>
  <c r="F60"/>
  <c r="F11"/>
  <c r="F10"/>
  <c r="F26"/>
  <c r="F9"/>
  <c r="F64"/>
  <c r="F49"/>
  <c r="F20"/>
  <c r="AA102" i="6"/>
  <c r="AA109"/>
  <c r="AA26"/>
  <c r="AA66"/>
  <c r="AA40"/>
  <c r="AA90"/>
  <c r="AA118"/>
  <c r="L68" i="7"/>
  <c r="S68" s="1"/>
  <c r="H7"/>
  <c r="M7" s="1"/>
  <c r="AA21" i="6"/>
  <c r="AA89"/>
  <c r="I121" i="7"/>
  <c r="L121" s="1"/>
  <c r="I137"/>
  <c r="L137" s="1"/>
  <c r="L56"/>
  <c r="S56" s="1"/>
  <c r="AA15" i="6"/>
  <c r="AA138"/>
  <c r="M90" i="7"/>
  <c r="AA116" i="6"/>
  <c r="AA187"/>
  <c r="AA113"/>
  <c r="AA34"/>
  <c r="AA5"/>
  <c r="AA106"/>
  <c r="AA85"/>
  <c r="AA129"/>
  <c r="AA30"/>
  <c r="AA82"/>
  <c r="AA36"/>
  <c r="H36" i="7"/>
  <c r="M36" s="1"/>
  <c r="I122"/>
  <c r="L122" s="1"/>
  <c r="AA133" i="6"/>
  <c r="L62" i="7"/>
  <c r="S62" s="1"/>
  <c r="S72"/>
  <c r="M65"/>
  <c r="R65" s="1"/>
  <c r="AA171" i="6"/>
  <c r="AA155"/>
  <c r="AA6"/>
  <c r="L21" i="7"/>
  <c r="M85"/>
  <c r="L90"/>
  <c r="M54"/>
  <c r="AA54" i="6"/>
  <c r="M66" i="7"/>
  <c r="R66" s="1"/>
  <c r="AA86" i="6"/>
  <c r="AA11"/>
  <c r="R72" i="7"/>
  <c r="L54"/>
  <c r="L113"/>
  <c r="R64"/>
  <c r="AA98" i="6"/>
  <c r="AA17"/>
  <c r="L55" i="7"/>
  <c r="AA120" i="6"/>
  <c r="M19" i="7"/>
  <c r="AA207" i="6"/>
  <c r="AA19"/>
  <c r="H102" i="7"/>
  <c r="L102" s="1"/>
  <c r="L79"/>
  <c r="S79" s="1"/>
  <c r="M70"/>
  <c r="R70" s="1"/>
  <c r="M86"/>
  <c r="AA183" i="6"/>
  <c r="AA114"/>
  <c r="M113" i="7"/>
  <c r="L85"/>
  <c r="L19"/>
  <c r="M6"/>
  <c r="L5"/>
  <c r="L6"/>
  <c r="S64"/>
  <c r="AA94" i="6"/>
  <c r="M55" i="7"/>
  <c r="AA28" i="6"/>
  <c r="L86" i="7"/>
  <c r="M21"/>
  <c r="M5"/>
  <c r="AA110" i="6"/>
  <c r="M42" i="7"/>
  <c r="L42"/>
  <c r="M98"/>
  <c r="L98"/>
  <c r="AA130" i="6"/>
  <c r="AA211"/>
  <c r="AA199"/>
  <c r="AA150"/>
  <c r="AA42"/>
  <c r="AA9"/>
  <c r="AA32"/>
  <c r="W208"/>
  <c r="W209"/>
  <c r="W201"/>
  <c r="W189"/>
  <c r="W181"/>
  <c r="W161"/>
  <c r="V144"/>
  <c r="W190"/>
  <c r="W196"/>
  <c r="W177"/>
  <c r="V169"/>
  <c r="W153"/>
  <c r="V149"/>
  <c r="W180"/>
  <c r="V215"/>
  <c r="W204"/>
  <c r="W186"/>
  <c r="V194"/>
  <c r="W213"/>
  <c r="W205"/>
  <c r="W195"/>
  <c r="W185"/>
  <c r="W165"/>
  <c r="V148"/>
  <c r="W170"/>
  <c r="W197"/>
  <c r="W173"/>
  <c r="V157"/>
  <c r="W154"/>
  <c r="V200"/>
  <c r="V214"/>
  <c r="W164"/>
  <c r="H53" i="7"/>
  <c r="H45"/>
  <c r="H37"/>
  <c r="H29"/>
  <c r="I20"/>
  <c r="H14"/>
  <c r="I131"/>
  <c r="I96"/>
  <c r="I51"/>
  <c r="I43"/>
  <c r="I35"/>
  <c r="I27"/>
  <c r="I123"/>
  <c r="I119"/>
  <c r="I115"/>
  <c r="I111"/>
  <c r="I107"/>
  <c r="I103"/>
  <c r="I99"/>
  <c r="I95"/>
  <c r="I91"/>
  <c r="I87"/>
  <c r="I83"/>
  <c r="I127"/>
  <c r="I12"/>
  <c r="I8"/>
  <c r="H104"/>
  <c r="H88"/>
  <c r="I16"/>
  <c r="H31"/>
  <c r="I10"/>
  <c r="I135"/>
  <c r="AA38" i="6"/>
  <c r="I128" i="7"/>
  <c r="M128" s="1"/>
  <c r="H48"/>
  <c r="I17"/>
  <c r="I48"/>
  <c r="I105"/>
  <c r="I11"/>
  <c r="L11" s="1"/>
  <c r="I32"/>
  <c r="I132"/>
  <c r="L132" s="1"/>
  <c r="H108"/>
  <c r="H13"/>
  <c r="I120"/>
  <c r="I81"/>
  <c r="H92"/>
  <c r="H94"/>
  <c r="I93"/>
  <c r="I101"/>
  <c r="I9"/>
  <c r="I108"/>
  <c r="I136"/>
  <c r="H112"/>
  <c r="H120"/>
  <c r="I84"/>
  <c r="I112"/>
  <c r="H124"/>
  <c r="I89"/>
  <c r="I117"/>
  <c r="I30"/>
  <c r="L76"/>
  <c r="M76"/>
  <c r="M60"/>
  <c r="L60"/>
  <c r="I53"/>
  <c r="I45"/>
  <c r="I37"/>
  <c r="I29"/>
  <c r="H20"/>
  <c r="M20" s="1"/>
  <c r="I126"/>
  <c r="I14"/>
  <c r="H131"/>
  <c r="H96"/>
  <c r="I134"/>
  <c r="H51"/>
  <c r="H43"/>
  <c r="L43" s="1"/>
  <c r="H35"/>
  <c r="H27"/>
  <c r="I23"/>
  <c r="H127"/>
  <c r="L127" s="1"/>
  <c r="I49"/>
  <c r="I41"/>
  <c r="I33"/>
  <c r="I25"/>
  <c r="I104"/>
  <c r="I88"/>
  <c r="I18"/>
  <c r="H16"/>
  <c r="I47"/>
  <c r="I39"/>
  <c r="I31"/>
  <c r="H10"/>
  <c r="H135"/>
  <c r="I22"/>
  <c r="H50"/>
  <c r="I24"/>
  <c r="H101"/>
  <c r="M101" s="1"/>
  <c r="H46"/>
  <c r="M46" s="1"/>
  <c r="I97"/>
  <c r="I15"/>
  <c r="I13"/>
  <c r="I50"/>
  <c r="H40"/>
  <c r="H17"/>
  <c r="L17" s="1"/>
  <c r="H97"/>
  <c r="I38"/>
  <c r="H26"/>
  <c r="I110"/>
  <c r="H9"/>
  <c r="I28"/>
  <c r="I138"/>
  <c r="H80"/>
  <c r="I94"/>
  <c r="H114"/>
  <c r="H52"/>
  <c r="H32"/>
  <c r="L32" s="1"/>
  <c r="H28"/>
  <c r="I34"/>
  <c r="I124"/>
  <c r="H100"/>
  <c r="I26"/>
  <c r="H105"/>
  <c r="L105" s="1"/>
  <c r="I100"/>
  <c r="H44"/>
  <c r="L44" s="1"/>
  <c r="H38"/>
  <c r="AA84" i="6"/>
  <c r="AA13"/>
  <c r="AA136"/>
  <c r="W191"/>
  <c r="V212"/>
  <c r="AA203"/>
  <c r="AA117"/>
  <c r="AA93"/>
  <c r="AA105"/>
  <c r="AA81"/>
  <c r="AA124"/>
  <c r="AA92"/>
  <c r="AA108"/>
  <c r="AA146"/>
  <c r="L78" i="7"/>
  <c r="R78" s="1"/>
  <c r="AA193" i="6"/>
  <c r="AA101"/>
  <c r="AA128"/>
  <c r="AA48"/>
  <c r="AA167"/>
  <c r="AA97"/>
  <c r="AA46"/>
  <c r="I52" i="7"/>
  <c r="AA52" i="6"/>
  <c r="H24" i="7"/>
  <c r="AA24" i="6"/>
  <c r="M71" i="7"/>
  <c r="R71" s="1"/>
  <c r="AA50" i="6"/>
  <c r="AA22"/>
  <c r="H22" i="7"/>
  <c r="L75"/>
  <c r="R75" s="1"/>
  <c r="AA163" i="6"/>
  <c r="AA175"/>
  <c r="AA104"/>
  <c r="AA159"/>
  <c r="V153"/>
  <c r="AA10"/>
  <c r="AA31"/>
  <c r="AA131"/>
  <c r="AA142"/>
  <c r="V197"/>
  <c r="AA127"/>
  <c r="AA88"/>
  <c r="V186"/>
  <c r="V173"/>
  <c r="V208"/>
  <c r="V196"/>
  <c r="V170"/>
  <c r="V154"/>
  <c r="W148"/>
  <c r="W144"/>
  <c r="V190"/>
  <c r="V164"/>
  <c r="AA96"/>
  <c r="V204"/>
  <c r="AA179"/>
  <c r="AA16"/>
  <c r="V180"/>
  <c r="U184"/>
  <c r="E88" i="27" s="1"/>
  <c r="S61" i="7"/>
  <c r="R61"/>
  <c r="S59"/>
  <c r="R59"/>
  <c r="U156" i="6"/>
  <c r="U162"/>
  <c r="U160"/>
  <c r="M118" i="7"/>
  <c r="L118"/>
  <c r="H134"/>
  <c r="AA134" i="6"/>
  <c r="M106" i="7"/>
  <c r="L106"/>
  <c r="U174" i="6"/>
  <c r="H23" i="7"/>
  <c r="AA23" i="6"/>
  <c r="H49" i="7"/>
  <c r="AA49" i="6"/>
  <c r="H41" i="7"/>
  <c r="AA41" i="6"/>
  <c r="H33" i="7"/>
  <c r="AA33" i="6"/>
  <c r="H25" i="7"/>
  <c r="AA25" i="6"/>
  <c r="AA18"/>
  <c r="H18" i="7"/>
  <c r="S73"/>
  <c r="R73"/>
  <c r="U188" i="6"/>
  <c r="U172"/>
  <c r="U206"/>
  <c r="F17" i="11" s="1"/>
  <c r="U192" i="6"/>
  <c r="U176"/>
  <c r="M129" i="7"/>
  <c r="L129"/>
  <c r="W194" i="6"/>
  <c r="W212"/>
  <c r="W149"/>
  <c r="W200"/>
  <c r="W214"/>
  <c r="AA20"/>
  <c r="AA53"/>
  <c r="AA37"/>
  <c r="AA43"/>
  <c r="H126" i="7"/>
  <c r="AA126" i="6"/>
  <c r="S57" i="7"/>
  <c r="R57"/>
  <c r="U178" i="6"/>
  <c r="AA123"/>
  <c r="H123" i="7"/>
  <c r="AA119" i="6"/>
  <c r="H119" i="7"/>
  <c r="AA115" i="6"/>
  <c r="H115" i="7"/>
  <c r="AA111" i="6"/>
  <c r="H111" i="7"/>
  <c r="AA107" i="6"/>
  <c r="H107" i="7"/>
  <c r="AA103" i="6"/>
  <c r="H103" i="7"/>
  <c r="AA99" i="6"/>
  <c r="H99" i="7"/>
  <c r="AA95" i="6"/>
  <c r="H95" i="7"/>
  <c r="AA91" i="6"/>
  <c r="H91" i="7"/>
  <c r="AA87" i="6"/>
  <c r="H87" i="7"/>
  <c r="AA83" i="6"/>
  <c r="H83" i="7"/>
  <c r="U158" i="6"/>
  <c r="E49" i="27" s="1"/>
  <c r="U168" i="6"/>
  <c r="U166"/>
  <c r="U202"/>
  <c r="F22" i="11" s="1"/>
  <c r="U210" i="6"/>
  <c r="F18" i="11" s="1"/>
  <c r="AA12" i="6"/>
  <c r="H12" i="7"/>
  <c r="AA8" i="6"/>
  <c r="H8" i="7"/>
  <c r="W169" i="6"/>
  <c r="U152"/>
  <c r="U147"/>
  <c r="F11" i="11" s="1"/>
  <c r="U182" i="6"/>
  <c r="H47" i="7"/>
  <c r="AA47" i="6"/>
  <c r="H39" i="7"/>
  <c r="AA39" i="6"/>
  <c r="U143"/>
  <c r="U145"/>
  <c r="F20" i="11" s="1"/>
  <c r="AA14" i="6"/>
  <c r="V213"/>
  <c r="V209"/>
  <c r="V205"/>
  <c r="V201"/>
  <c r="V195"/>
  <c r="V189"/>
  <c r="V185"/>
  <c r="V181"/>
  <c r="V165"/>
  <c r="V161"/>
  <c r="V191"/>
  <c r="V177"/>
  <c r="W157"/>
  <c r="AA135"/>
  <c r="AA27"/>
  <c r="AA45"/>
  <c r="AA29"/>
  <c r="AA51"/>
  <c r="AA35"/>
  <c r="G71" i="20"/>
  <c r="R179" i="8" l="1"/>
  <c r="U179" s="1"/>
  <c r="AD179" s="1"/>
  <c r="R155"/>
  <c r="L51" i="7"/>
  <c r="R167" i="8"/>
  <c r="R195"/>
  <c r="R181"/>
  <c r="R163"/>
  <c r="U163" s="1"/>
  <c r="AD163" s="1"/>
  <c r="R211"/>
  <c r="U211" s="1"/>
  <c r="AD211" s="1"/>
  <c r="R171"/>
  <c r="U171" s="1"/>
  <c r="AD171" s="1"/>
  <c r="F16" i="11"/>
  <c r="R185" i="8"/>
  <c r="R215"/>
  <c r="R142"/>
  <c r="F19" i="11"/>
  <c r="S207" i="8"/>
  <c r="T207" s="1"/>
  <c r="AC207" s="1"/>
  <c r="R207"/>
  <c r="U207" s="1"/>
  <c r="AD207" s="1"/>
  <c r="R209"/>
  <c r="U209" s="1"/>
  <c r="AD209" s="1"/>
  <c r="R201"/>
  <c r="U201" s="1"/>
  <c r="AD201" s="1"/>
  <c r="R157"/>
  <c r="U157" s="1"/>
  <c r="R150"/>
  <c r="U150" s="1"/>
  <c r="AD150" s="1"/>
  <c r="R169"/>
  <c r="U169" s="1"/>
  <c r="AD169" s="1"/>
  <c r="R205"/>
  <c r="U205" s="1"/>
  <c r="S161"/>
  <c r="T161" s="1"/>
  <c r="AC161" s="1"/>
  <c r="R161"/>
  <c r="U161" s="1"/>
  <c r="AD161" s="1"/>
  <c r="R148"/>
  <c r="R193"/>
  <c r="U193" s="1"/>
  <c r="R199"/>
  <c r="U199" s="1"/>
  <c r="AD199" s="1"/>
  <c r="R153"/>
  <c r="U153" s="1"/>
  <c r="AD153" s="1"/>
  <c r="R165"/>
  <c r="U165" s="1"/>
  <c r="AD165" s="1"/>
  <c r="R159"/>
  <c r="U159" s="1"/>
  <c r="AD159" s="1"/>
  <c r="R187"/>
  <c r="U187" s="1"/>
  <c r="AD187" s="1"/>
  <c r="M125" i="7"/>
  <c r="S125" s="1"/>
  <c r="S74"/>
  <c r="W74" s="1"/>
  <c r="W141" i="6"/>
  <c r="AA141" s="1"/>
  <c r="L77" i="7"/>
  <c r="R77" s="1"/>
  <c r="AA149"/>
  <c r="S169" i="8"/>
  <c r="T169" s="1"/>
  <c r="AC169" s="1"/>
  <c r="S171"/>
  <c r="T171" s="1"/>
  <c r="AC171" s="1"/>
  <c r="S175"/>
  <c r="T175" s="1"/>
  <c r="AC175" s="1"/>
  <c r="V64" i="7"/>
  <c r="L58"/>
  <c r="R58" s="1"/>
  <c r="M204" i="8"/>
  <c r="S199"/>
  <c r="T199" s="1"/>
  <c r="AC199" s="1"/>
  <c r="F9" i="27"/>
  <c r="F17" s="1"/>
  <c r="S213" i="8"/>
  <c r="T213" s="1"/>
  <c r="AC213" s="1"/>
  <c r="S211"/>
  <c r="T211" s="1"/>
  <c r="AC211" s="1"/>
  <c r="S189"/>
  <c r="T189" s="1"/>
  <c r="AC189" s="1"/>
  <c r="W190" i="7"/>
  <c r="I190" i="8" s="1"/>
  <c r="V192" i="7"/>
  <c r="H192" i="8" s="1"/>
  <c r="V200" i="7"/>
  <c r="H200" i="8" s="1"/>
  <c r="V198" i="7"/>
  <c r="H198" i="8" s="1"/>
  <c r="W194" i="7"/>
  <c r="I194" i="8" s="1"/>
  <c r="W143" i="7"/>
  <c r="I143" i="8" s="1"/>
  <c r="V178" i="7"/>
  <c r="H178" i="8" s="1"/>
  <c r="V160" i="7"/>
  <c r="H160" i="8" s="1"/>
  <c r="V174" i="7"/>
  <c r="H174" i="8" s="1"/>
  <c r="V162" i="7"/>
  <c r="H162" i="8" s="1"/>
  <c r="W202" i="7"/>
  <c r="I202" i="8" s="1"/>
  <c r="V164" i="7"/>
  <c r="H164" i="8" s="1"/>
  <c r="V172" i="7"/>
  <c r="H172" i="8" s="1"/>
  <c r="V176" i="7"/>
  <c r="H176" i="8" s="1"/>
  <c r="W186" i="7"/>
  <c r="I186" i="8" s="1"/>
  <c r="V196" i="7"/>
  <c r="H196" i="8" s="1"/>
  <c r="W206" i="7"/>
  <c r="I206" i="8" s="1"/>
  <c r="V168" i="7"/>
  <c r="H168" i="8" s="1"/>
  <c r="V208" i="7"/>
  <c r="H208" i="8" s="1"/>
  <c r="W210" i="7"/>
  <c r="I210" i="8" s="1"/>
  <c r="V158" i="7"/>
  <c r="H158" i="8" s="1"/>
  <c r="V166" i="7"/>
  <c r="H166" i="8" s="1"/>
  <c r="V180" i="7"/>
  <c r="H180" i="8" s="1"/>
  <c r="W147" i="7"/>
  <c r="I147" i="8" s="1"/>
  <c r="W197" i="7"/>
  <c r="I197" i="8" s="1"/>
  <c r="V154" i="7"/>
  <c r="H154" i="8" s="1"/>
  <c r="V182" i="7"/>
  <c r="H182" i="8" s="1"/>
  <c r="W188" i="7"/>
  <c r="I188" i="8" s="1"/>
  <c r="V170" i="7"/>
  <c r="H170" i="8" s="1"/>
  <c r="G19" i="11"/>
  <c r="G16"/>
  <c r="R67" i="7"/>
  <c r="V67" s="1"/>
  <c r="M63"/>
  <c r="R63" s="1"/>
  <c r="E53" i="27"/>
  <c r="E71"/>
  <c r="W214" i="7"/>
  <c r="I214" i="8" s="1"/>
  <c r="E44" i="27"/>
  <c r="F44"/>
  <c r="M124" i="7"/>
  <c r="L136"/>
  <c r="R69"/>
  <c r="W69" s="1"/>
  <c r="S203" i="8"/>
  <c r="T203" s="1"/>
  <c r="AC203" s="1"/>
  <c r="U189"/>
  <c r="AD189" s="1"/>
  <c r="L144"/>
  <c r="S173"/>
  <c r="T173" s="1"/>
  <c r="AC173" s="1"/>
  <c r="S177"/>
  <c r="T177" s="1"/>
  <c r="AC177" s="1"/>
  <c r="S153"/>
  <c r="T153" s="1"/>
  <c r="AC153" s="1"/>
  <c r="U213"/>
  <c r="AD213" s="1"/>
  <c r="AA141" i="7"/>
  <c r="U155" i="8"/>
  <c r="L130" i="7"/>
  <c r="R130" s="1"/>
  <c r="S179" i="8"/>
  <c r="T179" s="1"/>
  <c r="AC179" s="1"/>
  <c r="S201"/>
  <c r="T201" s="1"/>
  <c r="AC201" s="1"/>
  <c r="H141"/>
  <c r="M141" s="1"/>
  <c r="S150"/>
  <c r="T150" s="1"/>
  <c r="AC150" s="1"/>
  <c r="M109" i="7"/>
  <c r="R109" s="1"/>
  <c r="S157" i="8"/>
  <c r="T157" s="1"/>
  <c r="AC157" s="1"/>
  <c r="S209"/>
  <c r="T209" s="1"/>
  <c r="AC209" s="1"/>
  <c r="AA196" i="6"/>
  <c r="S155" i="8"/>
  <c r="T155" s="1"/>
  <c r="AC155" s="1"/>
  <c r="S205"/>
  <c r="V152" i="7"/>
  <c r="H152" i="8" s="1"/>
  <c r="S183"/>
  <c r="T183" s="1"/>
  <c r="AC183" s="1"/>
  <c r="L13" i="7"/>
  <c r="L204" i="8"/>
  <c r="S193"/>
  <c r="T193" s="1"/>
  <c r="AC193" s="1"/>
  <c r="M133" i="7"/>
  <c r="S133" s="1"/>
  <c r="S187" i="8"/>
  <c r="T187" s="1"/>
  <c r="AC187" s="1"/>
  <c r="V198" i="6"/>
  <c r="AA198" s="1"/>
  <c r="L27" i="7"/>
  <c r="M120"/>
  <c r="M82"/>
  <c r="S82" s="1"/>
  <c r="L97"/>
  <c r="L35"/>
  <c r="AA151"/>
  <c r="AA204"/>
  <c r="S163" i="8"/>
  <c r="T163" s="1"/>
  <c r="AC163" s="1"/>
  <c r="S159"/>
  <c r="T159" s="1"/>
  <c r="AC159" s="1"/>
  <c r="AA145" i="7"/>
  <c r="V156"/>
  <c r="H156" i="8" s="1"/>
  <c r="S6" i="7"/>
  <c r="V191"/>
  <c r="H191" i="8" s="1"/>
  <c r="W156" i="7"/>
  <c r="I156" i="8" s="1"/>
  <c r="W191" i="7"/>
  <c r="I191" i="8" s="1"/>
  <c r="V194" i="7"/>
  <c r="H194" i="8" s="1"/>
  <c r="F66" i="10"/>
  <c r="W158" i="7"/>
  <c r="I158" i="8" s="1"/>
  <c r="W160" i="7"/>
  <c r="I160" i="8" s="1"/>
  <c r="W166" i="7"/>
  <c r="I166" i="8" s="1"/>
  <c r="W174" i="7"/>
  <c r="I174" i="8" s="1"/>
  <c r="W180" i="7"/>
  <c r="I180" i="8" s="1"/>
  <c r="V197" i="7"/>
  <c r="H197" i="8" s="1"/>
  <c r="V202" i="7"/>
  <c r="H202" i="8" s="1"/>
  <c r="W154" i="7"/>
  <c r="I154" i="8" s="1"/>
  <c r="W164" i="7"/>
  <c r="I164" i="8" s="1"/>
  <c r="W176" i="7"/>
  <c r="I176" i="8" s="1"/>
  <c r="W170" i="7"/>
  <c r="I170" i="8" s="1"/>
  <c r="L116" i="7"/>
  <c r="S116" s="1"/>
  <c r="W152"/>
  <c r="I152" i="8" s="1"/>
  <c r="V190" i="7"/>
  <c r="H190" i="8" s="1"/>
  <c r="V206" i="7"/>
  <c r="H206" i="8" s="1"/>
  <c r="W168" i="7"/>
  <c r="I168" i="8" s="1"/>
  <c r="V147" i="7"/>
  <c r="H147" i="8" s="1"/>
  <c r="V186" i="7"/>
  <c r="H186" i="8" s="1"/>
  <c r="V214" i="7"/>
  <c r="H214" i="8" s="1"/>
  <c r="V143" i="7"/>
  <c r="H143" i="8" s="1"/>
  <c r="V210" i="7"/>
  <c r="H210" i="8" s="1"/>
  <c r="W178" i="7"/>
  <c r="I178" i="8" s="1"/>
  <c r="W162" i="7"/>
  <c r="I162" i="8" s="1"/>
  <c r="W182" i="7"/>
  <c r="I182" i="8" s="1"/>
  <c r="W172" i="7"/>
  <c r="I172" i="8" s="1"/>
  <c r="E51" i="27"/>
  <c r="H212" i="8"/>
  <c r="AA212" i="7"/>
  <c r="S195" i="8"/>
  <c r="T195" s="1"/>
  <c r="AC195" s="1"/>
  <c r="U203"/>
  <c r="AD203" s="1"/>
  <c r="W200" i="7"/>
  <c r="I200" i="8" s="1"/>
  <c r="S215"/>
  <c r="W198" i="7"/>
  <c r="I198" i="8" s="1"/>
  <c r="W208" i="7"/>
  <c r="I208" i="8" s="1"/>
  <c r="AA184" i="7"/>
  <c r="H184" i="8"/>
  <c r="S167"/>
  <c r="T167" s="1"/>
  <c r="AC167" s="1"/>
  <c r="S142"/>
  <c r="T142" s="1"/>
  <c r="AC142" s="1"/>
  <c r="AA197" i="6"/>
  <c r="W72" i="7"/>
  <c r="V188"/>
  <c r="S165" i="8"/>
  <c r="T165" s="1"/>
  <c r="AC165" s="1"/>
  <c r="S185"/>
  <c r="T185" s="1"/>
  <c r="AC185" s="1"/>
  <c r="W196" i="7"/>
  <c r="I196" i="8" s="1"/>
  <c r="W192" i="7"/>
  <c r="I192" i="8" s="1"/>
  <c r="U183"/>
  <c r="U175"/>
  <c r="AD175" s="1"/>
  <c r="U173"/>
  <c r="AD173" s="1"/>
  <c r="M151"/>
  <c r="L151"/>
  <c r="S181"/>
  <c r="T181" s="1"/>
  <c r="AC181" s="1"/>
  <c r="M145"/>
  <c r="L145"/>
  <c r="U177"/>
  <c r="AD177" s="1"/>
  <c r="M146"/>
  <c r="L146"/>
  <c r="S148"/>
  <c r="T148" s="1"/>
  <c r="AC148" s="1"/>
  <c r="M149"/>
  <c r="L149"/>
  <c r="F8" i="11"/>
  <c r="F52" i="10"/>
  <c r="R68" i="7"/>
  <c r="V68" s="1"/>
  <c r="M122"/>
  <c r="S122" s="1"/>
  <c r="S66"/>
  <c r="W66" s="1"/>
  <c r="S65"/>
  <c r="V65" s="1"/>
  <c r="R62"/>
  <c r="V62" s="1"/>
  <c r="M121"/>
  <c r="R121" s="1"/>
  <c r="L7"/>
  <c r="S7" s="1"/>
  <c r="M137"/>
  <c r="S137" s="1"/>
  <c r="S90"/>
  <c r="V72"/>
  <c r="R79"/>
  <c r="V79" s="1"/>
  <c r="R85"/>
  <c r="R90"/>
  <c r="R56"/>
  <c r="W56" s="1"/>
  <c r="M104"/>
  <c r="S21"/>
  <c r="L31"/>
  <c r="S55"/>
  <c r="S54"/>
  <c r="L36"/>
  <c r="S36" s="1"/>
  <c r="R54"/>
  <c r="S70"/>
  <c r="W70" s="1"/>
  <c r="M35"/>
  <c r="R6"/>
  <c r="R19"/>
  <c r="M102"/>
  <c r="S102" s="1"/>
  <c r="S42"/>
  <c r="M16"/>
  <c r="S5"/>
  <c r="W64"/>
  <c r="L20"/>
  <c r="R20" s="1"/>
  <c r="S85"/>
  <c r="R113"/>
  <c r="M29"/>
  <c r="L131"/>
  <c r="R5"/>
  <c r="S19"/>
  <c r="M132"/>
  <c r="S132" s="1"/>
  <c r="M51"/>
  <c r="R98"/>
  <c r="S86"/>
  <c r="M88"/>
  <c r="M45"/>
  <c r="R86"/>
  <c r="R55"/>
  <c r="R21"/>
  <c r="S113"/>
  <c r="M37"/>
  <c r="M53"/>
  <c r="M11"/>
  <c r="S78"/>
  <c r="V78" s="1"/>
  <c r="AA190" i="6"/>
  <c r="AA173"/>
  <c r="M10" i="7"/>
  <c r="R42"/>
  <c r="S98"/>
  <c r="L135"/>
  <c r="L96"/>
  <c r="L14"/>
  <c r="L128"/>
  <c r="R128" s="1"/>
  <c r="M27"/>
  <c r="M43"/>
  <c r="S43" s="1"/>
  <c r="M127"/>
  <c r="S127" s="1"/>
  <c r="M136"/>
  <c r="L101"/>
  <c r="L10"/>
  <c r="L16"/>
  <c r="M131"/>
  <c r="S71"/>
  <c r="V71" s="1"/>
  <c r="L120"/>
  <c r="L9"/>
  <c r="M135"/>
  <c r="M96"/>
  <c r="M38"/>
  <c r="M44"/>
  <c r="S44" s="1"/>
  <c r="M50"/>
  <c r="M31"/>
  <c r="L88"/>
  <c r="L104"/>
  <c r="M14"/>
  <c r="L29"/>
  <c r="L37"/>
  <c r="L45"/>
  <c r="L53"/>
  <c r="AA208" i="6"/>
  <c r="AA186"/>
  <c r="L46" i="7"/>
  <c r="L38"/>
  <c r="M9"/>
  <c r="W182" i="6"/>
  <c r="W147"/>
  <c r="W202"/>
  <c r="W166"/>
  <c r="W158"/>
  <c r="W192"/>
  <c r="W172"/>
  <c r="W162"/>
  <c r="W184"/>
  <c r="V145"/>
  <c r="W143"/>
  <c r="W152"/>
  <c r="W210"/>
  <c r="W151"/>
  <c r="W168"/>
  <c r="W178"/>
  <c r="W176"/>
  <c r="W206"/>
  <c r="W188"/>
  <c r="W174"/>
  <c r="W160"/>
  <c r="W156"/>
  <c r="M100" i="7"/>
  <c r="L100"/>
  <c r="L34"/>
  <c r="M34"/>
  <c r="M28"/>
  <c r="L28"/>
  <c r="M114"/>
  <c r="L114"/>
  <c r="L80"/>
  <c r="M80"/>
  <c r="M138"/>
  <c r="L138"/>
  <c r="M110"/>
  <c r="L110"/>
  <c r="M26"/>
  <c r="L26"/>
  <c r="M40"/>
  <c r="L40"/>
  <c r="M15"/>
  <c r="L15"/>
  <c r="R76"/>
  <c r="S76"/>
  <c r="L30"/>
  <c r="M30"/>
  <c r="L117"/>
  <c r="M117"/>
  <c r="L89"/>
  <c r="M89"/>
  <c r="M84"/>
  <c r="L84"/>
  <c r="M112"/>
  <c r="L112"/>
  <c r="M93"/>
  <c r="L93"/>
  <c r="M94"/>
  <c r="L94"/>
  <c r="M92"/>
  <c r="L92"/>
  <c r="L81"/>
  <c r="M81"/>
  <c r="M108"/>
  <c r="L108"/>
  <c r="L48"/>
  <c r="M48"/>
  <c r="M97"/>
  <c r="L50"/>
  <c r="L124"/>
  <c r="M13"/>
  <c r="M32"/>
  <c r="S32" s="1"/>
  <c r="M105"/>
  <c r="M17"/>
  <c r="R17" s="1"/>
  <c r="R60"/>
  <c r="S60"/>
  <c r="L52"/>
  <c r="M52"/>
  <c r="M24"/>
  <c r="L24"/>
  <c r="L22"/>
  <c r="M22"/>
  <c r="S75"/>
  <c r="V75" s="1"/>
  <c r="AA164" i="6"/>
  <c r="AA204"/>
  <c r="AA148"/>
  <c r="AA180"/>
  <c r="AA153"/>
  <c r="AA144"/>
  <c r="AA170"/>
  <c r="AA154"/>
  <c r="V188"/>
  <c r="V210"/>
  <c r="V176"/>
  <c r="V143"/>
  <c r="V206"/>
  <c r="V160"/>
  <c r="V184"/>
  <c r="AA181"/>
  <c r="AA189"/>
  <c r="AA201"/>
  <c r="AA209"/>
  <c r="AA177"/>
  <c r="AA191"/>
  <c r="AA165"/>
  <c r="AA185"/>
  <c r="AA195"/>
  <c r="AA205"/>
  <c r="AA213"/>
  <c r="M8" i="7"/>
  <c r="L8"/>
  <c r="M12"/>
  <c r="L12"/>
  <c r="M83"/>
  <c r="L83"/>
  <c r="M87"/>
  <c r="L87"/>
  <c r="M91"/>
  <c r="L91"/>
  <c r="M95"/>
  <c r="L95"/>
  <c r="M99"/>
  <c r="L99"/>
  <c r="M103"/>
  <c r="L103"/>
  <c r="M107"/>
  <c r="L107"/>
  <c r="M111"/>
  <c r="L111"/>
  <c r="M115"/>
  <c r="L115"/>
  <c r="M119"/>
  <c r="L119"/>
  <c r="M123"/>
  <c r="L123"/>
  <c r="V57"/>
  <c r="W57"/>
  <c r="S129"/>
  <c r="R129"/>
  <c r="M25"/>
  <c r="L25"/>
  <c r="M33"/>
  <c r="L33"/>
  <c r="M41"/>
  <c r="L41"/>
  <c r="M49"/>
  <c r="L49"/>
  <c r="R106"/>
  <c r="S106"/>
  <c r="R118"/>
  <c r="S118"/>
  <c r="V59"/>
  <c r="W59"/>
  <c r="V61"/>
  <c r="W61"/>
  <c r="W145" i="6"/>
  <c r="V182"/>
  <c r="V147"/>
  <c r="V152"/>
  <c r="AA169"/>
  <c r="V202"/>
  <c r="V151"/>
  <c r="V166"/>
  <c r="V168"/>
  <c r="V158"/>
  <c r="V178"/>
  <c r="AA157"/>
  <c r="V192"/>
  <c r="V172"/>
  <c r="V174"/>
  <c r="V162"/>
  <c r="V156"/>
  <c r="AA214"/>
  <c r="AA194"/>
  <c r="AA200"/>
  <c r="AA212"/>
  <c r="AA161"/>
  <c r="M39" i="7"/>
  <c r="L39"/>
  <c r="M47"/>
  <c r="L47"/>
  <c r="M126"/>
  <c r="L126"/>
  <c r="V73"/>
  <c r="W73"/>
  <c r="M18"/>
  <c r="L18"/>
  <c r="M23"/>
  <c r="L23"/>
  <c r="M134"/>
  <c r="L134"/>
  <c r="AA149" i="6"/>
  <c r="G70" i="20"/>
  <c r="S51" i="7" l="1"/>
  <c r="L180" i="8"/>
  <c r="V215"/>
  <c r="L206"/>
  <c r="M170"/>
  <c r="L197"/>
  <c r="AD155"/>
  <c r="G50" i="27"/>
  <c r="AD193" i="8"/>
  <c r="AD183"/>
  <c r="G87" i="27"/>
  <c r="AD157" i="8"/>
  <c r="AA191" i="7"/>
  <c r="M182" i="8"/>
  <c r="R204"/>
  <c r="U204" s="1"/>
  <c r="AD204" s="1"/>
  <c r="H51" i="13"/>
  <c r="H46" s="1"/>
  <c r="H52" s="1"/>
  <c r="AD205" i="8"/>
  <c r="M162"/>
  <c r="AA176" i="7"/>
  <c r="M176" i="8"/>
  <c r="L160"/>
  <c r="M196"/>
  <c r="R149"/>
  <c r="R151"/>
  <c r="S144"/>
  <c r="T144" s="1"/>
  <c r="AC144" s="1"/>
  <c r="R144"/>
  <c r="U144" s="1"/>
  <c r="AD144" s="1"/>
  <c r="R125" i="7"/>
  <c r="W125" s="1"/>
  <c r="R146" i="8"/>
  <c r="R145"/>
  <c r="D48" i="29"/>
  <c r="E44" i="26" s="1"/>
  <c r="T205" i="8"/>
  <c r="AC205" s="1"/>
  <c r="V74" i="7"/>
  <c r="H74" i="8" s="1"/>
  <c r="S58" i="7"/>
  <c r="V58" s="1"/>
  <c r="F18" i="27" s="1"/>
  <c r="F19" s="1"/>
  <c r="M166" i="8"/>
  <c r="S77" i="7"/>
  <c r="V77" s="1"/>
  <c r="L172" i="8"/>
  <c r="L190"/>
  <c r="L202"/>
  <c r="L174"/>
  <c r="I73"/>
  <c r="H61"/>
  <c r="H59"/>
  <c r="H57"/>
  <c r="I64"/>
  <c r="I70"/>
  <c r="I56"/>
  <c r="H62"/>
  <c r="I66"/>
  <c r="H68"/>
  <c r="I69"/>
  <c r="H73"/>
  <c r="I61"/>
  <c r="I59"/>
  <c r="I74"/>
  <c r="I57"/>
  <c r="H75"/>
  <c r="H71"/>
  <c r="H78"/>
  <c r="H79"/>
  <c r="H65"/>
  <c r="I72"/>
  <c r="H64"/>
  <c r="L200"/>
  <c r="M208"/>
  <c r="M210"/>
  <c r="M168"/>
  <c r="L192"/>
  <c r="M198"/>
  <c r="M178"/>
  <c r="L164"/>
  <c r="L194"/>
  <c r="W67" i="7"/>
  <c r="S63"/>
  <c r="W63" s="1"/>
  <c r="R138"/>
  <c r="M214" i="8"/>
  <c r="V175"/>
  <c r="V207"/>
  <c r="V203"/>
  <c r="V161"/>
  <c r="V171"/>
  <c r="K424" i="40"/>
  <c r="V169" i="8"/>
  <c r="K423" i="40"/>
  <c r="K409"/>
  <c r="L156" i="8"/>
  <c r="S109" i="7"/>
  <c r="V109" s="1"/>
  <c r="V69"/>
  <c r="S53"/>
  <c r="S130"/>
  <c r="V130" s="1"/>
  <c r="V177" i="8"/>
  <c r="S136" i="7"/>
  <c r="R35"/>
  <c r="S204" i="8"/>
  <c r="T204" s="1"/>
  <c r="AC204" s="1"/>
  <c r="L141"/>
  <c r="R141" s="1"/>
  <c r="R133" i="7"/>
  <c r="W133" s="1"/>
  <c r="V157" i="8"/>
  <c r="V179"/>
  <c r="M202"/>
  <c r="V155"/>
  <c r="M147"/>
  <c r="S27" i="7"/>
  <c r="AA152"/>
  <c r="M191" i="8"/>
  <c r="V159"/>
  <c r="M174"/>
  <c r="L210"/>
  <c r="L152"/>
  <c r="M152"/>
  <c r="L198"/>
  <c r="M197"/>
  <c r="S197" s="1"/>
  <c r="T197" s="1"/>
  <c r="M164"/>
  <c r="L166"/>
  <c r="V163"/>
  <c r="M194"/>
  <c r="L191"/>
  <c r="R191" s="1"/>
  <c r="V86" i="7"/>
  <c r="R82"/>
  <c r="W82" s="1"/>
  <c r="AA162"/>
  <c r="M156" i="8"/>
  <c r="M160"/>
  <c r="L214"/>
  <c r="AA214" i="7"/>
  <c r="L208" i="8"/>
  <c r="L170"/>
  <c r="AA158" i="7"/>
  <c r="AA156"/>
  <c r="M206" i="8"/>
  <c r="AA170" i="7"/>
  <c r="W6"/>
  <c r="W68"/>
  <c r="M180" i="8"/>
  <c r="AA180" i="7"/>
  <c r="R116"/>
  <c r="W116" s="1"/>
  <c r="AA186"/>
  <c r="L176" i="8"/>
  <c r="L168"/>
  <c r="M190"/>
  <c r="AA194" i="7"/>
  <c r="AA154"/>
  <c r="AA166"/>
  <c r="AA197"/>
  <c r="L182" i="8"/>
  <c r="R182" s="1"/>
  <c r="L162"/>
  <c r="AA182" i="7"/>
  <c r="AA210"/>
  <c r="AA190"/>
  <c r="H13" i="11"/>
  <c r="M200" i="8"/>
  <c r="AA168" i="7"/>
  <c r="AA174"/>
  <c r="AA160"/>
  <c r="AA202"/>
  <c r="L147" i="8"/>
  <c r="AA143" i="7"/>
  <c r="AA164"/>
  <c r="AA178"/>
  <c r="AA206"/>
  <c r="AA147"/>
  <c r="W153" i="8"/>
  <c r="W150"/>
  <c r="R44" i="7"/>
  <c r="W44" s="1"/>
  <c r="S10"/>
  <c r="M172" i="8"/>
  <c r="L178"/>
  <c r="W183"/>
  <c r="AA192" i="7"/>
  <c r="AA196"/>
  <c r="AA172"/>
  <c r="V150" i="8"/>
  <c r="AA208" i="7"/>
  <c r="AA198"/>
  <c r="AA200"/>
  <c r="AA72"/>
  <c r="H72" i="8"/>
  <c r="S149"/>
  <c r="T149" s="1"/>
  <c r="AC149" s="1"/>
  <c r="U148"/>
  <c r="AD148" s="1"/>
  <c r="S146"/>
  <c r="T146" s="1"/>
  <c r="AC146" s="1"/>
  <c r="M186"/>
  <c r="L186"/>
  <c r="S145"/>
  <c r="T145" s="1"/>
  <c r="AC145" s="1"/>
  <c r="U181"/>
  <c r="AD181" s="1"/>
  <c r="W173"/>
  <c r="M158"/>
  <c r="L158"/>
  <c r="M143"/>
  <c r="L143"/>
  <c r="W193"/>
  <c r="W211"/>
  <c r="W213"/>
  <c r="W209"/>
  <c r="V187"/>
  <c r="W201"/>
  <c r="W199"/>
  <c r="W189"/>
  <c r="L154"/>
  <c r="M154"/>
  <c r="M192"/>
  <c r="V165"/>
  <c r="L196"/>
  <c r="H67"/>
  <c r="W177"/>
  <c r="W157"/>
  <c r="W159"/>
  <c r="W169"/>
  <c r="W171"/>
  <c r="W155"/>
  <c r="S151"/>
  <c r="T151" s="1"/>
  <c r="AC151" s="1"/>
  <c r="W179"/>
  <c r="W175"/>
  <c r="W163"/>
  <c r="U185"/>
  <c r="AD185" s="1"/>
  <c r="AA188" i="7"/>
  <c r="H188" i="8"/>
  <c r="U142"/>
  <c r="AD142" s="1"/>
  <c r="U167"/>
  <c r="L184"/>
  <c r="M184"/>
  <c r="W161"/>
  <c r="W207"/>
  <c r="W215"/>
  <c r="W203"/>
  <c r="U195"/>
  <c r="L212"/>
  <c r="M212"/>
  <c r="W165"/>
  <c r="S38" i="7"/>
  <c r="V173" i="8"/>
  <c r="V183"/>
  <c r="V193"/>
  <c r="V211"/>
  <c r="V213"/>
  <c r="V209"/>
  <c r="W187"/>
  <c r="V201"/>
  <c r="V199"/>
  <c r="V189"/>
  <c r="V153"/>
  <c r="G13" i="11"/>
  <c r="G14"/>
  <c r="S131" i="7"/>
  <c r="R136"/>
  <c r="S121"/>
  <c r="V121" s="1"/>
  <c r="R122"/>
  <c r="V122" s="1"/>
  <c r="R7"/>
  <c r="V7" s="1"/>
  <c r="W62"/>
  <c r="V66"/>
  <c r="R104"/>
  <c r="W65"/>
  <c r="V70"/>
  <c r="R137"/>
  <c r="V137" s="1"/>
  <c r="W79"/>
  <c r="S20"/>
  <c r="W20" s="1"/>
  <c r="W90"/>
  <c r="V6"/>
  <c r="W21"/>
  <c r="V85"/>
  <c r="V90"/>
  <c r="V54"/>
  <c r="AA64"/>
  <c r="S31"/>
  <c r="W113"/>
  <c r="W5"/>
  <c r="V56"/>
  <c r="W54"/>
  <c r="R102"/>
  <c r="W102" s="1"/>
  <c r="V55"/>
  <c r="R36"/>
  <c r="V36" s="1"/>
  <c r="S35"/>
  <c r="R31"/>
  <c r="R43"/>
  <c r="R16"/>
  <c r="W85"/>
  <c r="W55"/>
  <c r="R132"/>
  <c r="V132" s="1"/>
  <c r="V113"/>
  <c r="W78"/>
  <c r="V5"/>
  <c r="R37"/>
  <c r="V42"/>
  <c r="W19"/>
  <c r="R53"/>
  <c r="R10"/>
  <c r="V19"/>
  <c r="R131"/>
  <c r="W42"/>
  <c r="W86"/>
  <c r="V21"/>
  <c r="R51"/>
  <c r="R29"/>
  <c r="S96"/>
  <c r="S88"/>
  <c r="W98"/>
  <c r="S16"/>
  <c r="R127"/>
  <c r="W127" s="1"/>
  <c r="S104"/>
  <c r="R88"/>
  <c r="V98"/>
  <c r="S45"/>
  <c r="AA176" i="6"/>
  <c r="AA188"/>
  <c r="R38" i="7"/>
  <c r="R45"/>
  <c r="R96"/>
  <c r="S14"/>
  <c r="R135"/>
  <c r="S37"/>
  <c r="W71"/>
  <c r="S29"/>
  <c r="R27"/>
  <c r="S128"/>
  <c r="W128" s="1"/>
  <c r="AA206" i="6"/>
  <c r="R14" i="7"/>
  <c r="S135"/>
  <c r="AA143" i="6"/>
  <c r="R101" i="7"/>
  <c r="S101"/>
  <c r="S120"/>
  <c r="R120"/>
  <c r="R46"/>
  <c r="S46"/>
  <c r="R9"/>
  <c r="S9"/>
  <c r="R124"/>
  <c r="S124"/>
  <c r="R97"/>
  <c r="S97"/>
  <c r="R108"/>
  <c r="S108"/>
  <c r="S92"/>
  <c r="R92"/>
  <c r="R94"/>
  <c r="S94"/>
  <c r="S93"/>
  <c r="R93"/>
  <c r="R112"/>
  <c r="S112"/>
  <c r="R84"/>
  <c r="S84"/>
  <c r="S15"/>
  <c r="R15"/>
  <c r="R40"/>
  <c r="S40"/>
  <c r="R26"/>
  <c r="S26"/>
  <c r="R110"/>
  <c r="S110"/>
  <c r="S138"/>
  <c r="S114"/>
  <c r="R114"/>
  <c r="R28"/>
  <c r="S28"/>
  <c r="R100"/>
  <c r="S100"/>
  <c r="R32"/>
  <c r="V60"/>
  <c r="W60"/>
  <c r="S105"/>
  <c r="R105"/>
  <c r="S13"/>
  <c r="R13"/>
  <c r="S50"/>
  <c r="R50"/>
  <c r="R48"/>
  <c r="S48"/>
  <c r="R81"/>
  <c r="S81"/>
  <c r="S89"/>
  <c r="R89"/>
  <c r="S117"/>
  <c r="R117"/>
  <c r="S30"/>
  <c r="R30"/>
  <c r="V76"/>
  <c r="W76"/>
  <c r="R80"/>
  <c r="S80"/>
  <c r="S34"/>
  <c r="R34"/>
  <c r="S17"/>
  <c r="R52"/>
  <c r="S52"/>
  <c r="R24"/>
  <c r="S24"/>
  <c r="R22"/>
  <c r="S22"/>
  <c r="W75"/>
  <c r="AA184" i="6"/>
  <c r="AA160"/>
  <c r="AA210"/>
  <c r="AA158"/>
  <c r="AA145"/>
  <c r="AA61" i="7"/>
  <c r="AA59"/>
  <c r="AA57"/>
  <c r="R134"/>
  <c r="S134"/>
  <c r="R18"/>
  <c r="S18"/>
  <c r="S47"/>
  <c r="R47"/>
  <c r="S39"/>
  <c r="R39"/>
  <c r="AA156" i="6"/>
  <c r="AA174"/>
  <c r="AA192"/>
  <c r="AA178"/>
  <c r="AA166"/>
  <c r="AA202"/>
  <c r="AA152"/>
  <c r="AA182"/>
  <c r="S49" i="7"/>
  <c r="R49"/>
  <c r="S33"/>
  <c r="R33"/>
  <c r="V129"/>
  <c r="W129"/>
  <c r="S119"/>
  <c r="R119"/>
  <c r="S115"/>
  <c r="R115"/>
  <c r="S111"/>
  <c r="R111"/>
  <c r="S107"/>
  <c r="R107"/>
  <c r="S103"/>
  <c r="R103"/>
  <c r="S99"/>
  <c r="R99"/>
  <c r="S95"/>
  <c r="R95"/>
  <c r="S91"/>
  <c r="R91"/>
  <c r="S87"/>
  <c r="R87"/>
  <c r="S83"/>
  <c r="R83"/>
  <c r="R8"/>
  <c r="S8"/>
  <c r="S23"/>
  <c r="R23"/>
  <c r="V125"/>
  <c r="R126"/>
  <c r="S126"/>
  <c r="AA162" i="6"/>
  <c r="AA172"/>
  <c r="AA168"/>
  <c r="AA151"/>
  <c r="AA147"/>
  <c r="V118" i="7"/>
  <c r="W118"/>
  <c r="V106"/>
  <c r="W106"/>
  <c r="S41"/>
  <c r="R41"/>
  <c r="S25"/>
  <c r="R25"/>
  <c r="S123"/>
  <c r="R123"/>
  <c r="R12"/>
  <c r="T139" s="1"/>
  <c r="S12"/>
  <c r="AA73"/>
  <c r="G73" i="20"/>
  <c r="V51" i="7" l="1"/>
  <c r="R180" i="8"/>
  <c r="U180" s="1"/>
  <c r="R178"/>
  <c r="U178" s="1"/>
  <c r="R210"/>
  <c r="R208"/>
  <c r="U208" s="1"/>
  <c r="AD208" s="1"/>
  <c r="AA74" i="7"/>
  <c r="R196" i="8"/>
  <c r="R176"/>
  <c r="U176" s="1"/>
  <c r="AD176" s="1"/>
  <c r="S206"/>
  <c r="T206" s="1"/>
  <c r="AC206" s="1"/>
  <c r="I51" i="13"/>
  <c r="W205" i="8"/>
  <c r="V205"/>
  <c r="R168"/>
  <c r="U168" s="1"/>
  <c r="AD168" s="1"/>
  <c r="R160"/>
  <c r="U160" s="1"/>
  <c r="AD160" s="1"/>
  <c r="R166"/>
  <c r="AD195"/>
  <c r="R147"/>
  <c r="U147" s="1"/>
  <c r="AD147" s="1"/>
  <c r="R212"/>
  <c r="R184"/>
  <c r="R186"/>
  <c r="AD167"/>
  <c r="K428" i="40"/>
  <c r="AC197" i="8"/>
  <c r="R214"/>
  <c r="U214" s="1"/>
  <c r="R198"/>
  <c r="U198" s="1"/>
  <c r="AD198" s="1"/>
  <c r="S170"/>
  <c r="T170" s="1"/>
  <c r="AC170" s="1"/>
  <c r="R170"/>
  <c r="U170" s="1"/>
  <c r="AD170" s="1"/>
  <c r="R154"/>
  <c r="R143"/>
  <c r="R158"/>
  <c r="R156"/>
  <c r="U156" s="1"/>
  <c r="R164"/>
  <c r="U164" s="1"/>
  <c r="R200"/>
  <c r="U200" s="1"/>
  <c r="AD200" s="1"/>
  <c r="R174"/>
  <c r="U174" s="1"/>
  <c r="AD174" s="1"/>
  <c r="R190"/>
  <c r="U190" s="1"/>
  <c r="AD190" s="1"/>
  <c r="R206"/>
  <c r="U206" s="1"/>
  <c r="AD206" s="1"/>
  <c r="S162"/>
  <c r="T162" s="1"/>
  <c r="AC162" s="1"/>
  <c r="R162"/>
  <c r="U162" s="1"/>
  <c r="AD162" s="1"/>
  <c r="R152"/>
  <c r="U152" s="1"/>
  <c r="R194"/>
  <c r="U194" s="1"/>
  <c r="AD194" s="1"/>
  <c r="R192"/>
  <c r="U192" s="1"/>
  <c r="AD192" s="1"/>
  <c r="R202"/>
  <c r="R172"/>
  <c r="U172" s="1"/>
  <c r="AD172" s="1"/>
  <c r="R197"/>
  <c r="U197" s="1"/>
  <c r="AD197" s="1"/>
  <c r="U166"/>
  <c r="W77" i="7"/>
  <c r="I77" i="8" s="1"/>
  <c r="W58" i="7"/>
  <c r="I58" i="8" s="1"/>
  <c r="L59"/>
  <c r="S190"/>
  <c r="T190" s="1"/>
  <c r="AC190" s="1"/>
  <c r="H58"/>
  <c r="S200"/>
  <c r="T200" s="1"/>
  <c r="AC200" s="1"/>
  <c r="S198"/>
  <c r="I48" i="29" s="1"/>
  <c r="M64" i="8"/>
  <c r="M74"/>
  <c r="M61"/>
  <c r="L64"/>
  <c r="L73"/>
  <c r="L74"/>
  <c r="L61"/>
  <c r="M59"/>
  <c r="M73"/>
  <c r="S202"/>
  <c r="T202" s="1"/>
  <c r="AC202" s="1"/>
  <c r="G9" i="27"/>
  <c r="G17" s="1"/>
  <c r="H106" i="8"/>
  <c r="H118"/>
  <c r="H76"/>
  <c r="H60"/>
  <c r="I106"/>
  <c r="I118"/>
  <c r="H125"/>
  <c r="H129"/>
  <c r="I76"/>
  <c r="I60"/>
  <c r="I128"/>
  <c r="I127"/>
  <c r="H77"/>
  <c r="H21"/>
  <c r="I42"/>
  <c r="H42"/>
  <c r="H113"/>
  <c r="H132"/>
  <c r="H55"/>
  <c r="I54"/>
  <c r="I5"/>
  <c r="H54"/>
  <c r="H85"/>
  <c r="I20"/>
  <c r="H137"/>
  <c r="H122"/>
  <c r="I68"/>
  <c r="L68" s="1"/>
  <c r="H86"/>
  <c r="I133"/>
  <c r="H130"/>
  <c r="H109"/>
  <c r="I67"/>
  <c r="L67" s="1"/>
  <c r="I125"/>
  <c r="I129"/>
  <c r="I98"/>
  <c r="H51"/>
  <c r="I19"/>
  <c r="H36"/>
  <c r="I102"/>
  <c r="I21"/>
  <c r="I90"/>
  <c r="H7"/>
  <c r="H121"/>
  <c r="I44"/>
  <c r="I116"/>
  <c r="I6"/>
  <c r="I82"/>
  <c r="H69"/>
  <c r="M69" s="1"/>
  <c r="I63"/>
  <c r="S191"/>
  <c r="T191" s="1"/>
  <c r="AC191" s="1"/>
  <c r="U210"/>
  <c r="AD210" s="1"/>
  <c r="AA67" i="7"/>
  <c r="V63"/>
  <c r="AA63" s="1"/>
  <c r="AA169" i="8"/>
  <c r="AA203"/>
  <c r="AA161"/>
  <c r="AA171"/>
  <c r="G15" i="10"/>
  <c r="S214" i="8"/>
  <c r="AA207"/>
  <c r="AA175"/>
  <c r="V195"/>
  <c r="J431" i="40"/>
  <c r="W185" i="8"/>
  <c r="V181"/>
  <c r="W109" i="7"/>
  <c r="V136"/>
  <c r="AA155" i="8"/>
  <c r="S176"/>
  <c r="T176" s="1"/>
  <c r="AC176" s="1"/>
  <c r="S141"/>
  <c r="T141" s="1"/>
  <c r="V133" i="7"/>
  <c r="AA69"/>
  <c r="V35"/>
  <c r="V53"/>
  <c r="AA177" i="8"/>
  <c r="W130" i="7"/>
  <c r="U202" i="8"/>
  <c r="AD202" s="1"/>
  <c r="S166"/>
  <c r="T166" s="1"/>
  <c r="AC166" s="1"/>
  <c r="AA159"/>
  <c r="AA157"/>
  <c r="AA179"/>
  <c r="W27" i="7"/>
  <c r="S147" i="8"/>
  <c r="T147" s="1"/>
  <c r="S210"/>
  <c r="T210" s="1"/>
  <c r="AC210" s="1"/>
  <c r="S152"/>
  <c r="T152" s="1"/>
  <c r="AC152" s="1"/>
  <c r="S178"/>
  <c r="T178" s="1"/>
  <c r="AC178" s="1"/>
  <c r="S194"/>
  <c r="T194" s="1"/>
  <c r="AC194" s="1"/>
  <c r="S168"/>
  <c r="T168" s="1"/>
  <c r="AC168" s="1"/>
  <c r="AA163"/>
  <c r="S174"/>
  <c r="T174" s="1"/>
  <c r="AC174" s="1"/>
  <c r="U191"/>
  <c r="AD191" s="1"/>
  <c r="AA201"/>
  <c r="AA209"/>
  <c r="AA211"/>
  <c r="S160"/>
  <c r="T160" s="1"/>
  <c r="AC160" s="1"/>
  <c r="V20" i="7"/>
  <c r="AA153" i="8"/>
  <c r="S208"/>
  <c r="T208" s="1"/>
  <c r="AC208" s="1"/>
  <c r="S180"/>
  <c r="T180" s="1"/>
  <c r="AC180" s="1"/>
  <c r="S156"/>
  <c r="T156" s="1"/>
  <c r="AC156" s="1"/>
  <c r="S164"/>
  <c r="T164" s="1"/>
  <c r="AC164" s="1"/>
  <c r="AA189"/>
  <c r="S172"/>
  <c r="T172" s="1"/>
  <c r="AC172" s="1"/>
  <c r="V10" i="7"/>
  <c r="AA199" i="8"/>
  <c r="AA213"/>
  <c r="AA173"/>
  <c r="AA150"/>
  <c r="W136" i="7"/>
  <c r="V116"/>
  <c r="V38"/>
  <c r="V82"/>
  <c r="AA68"/>
  <c r="G16" i="10"/>
  <c r="AA183" i="8"/>
  <c r="S182"/>
  <c r="T182" s="1"/>
  <c r="AC182" s="1"/>
  <c r="V44" i="7"/>
  <c r="V45"/>
  <c r="W131"/>
  <c r="AA187" i="8"/>
  <c r="AA193"/>
  <c r="H10" i="11"/>
  <c r="W88" i="7"/>
  <c r="I113" i="8"/>
  <c r="AA165"/>
  <c r="W111" i="7"/>
  <c r="W142" i="8"/>
  <c r="V204"/>
  <c r="V43" i="7"/>
  <c r="W43"/>
  <c r="W144" i="8"/>
  <c r="W148"/>
  <c r="V37" i="7"/>
  <c r="W122"/>
  <c r="V142" i="8"/>
  <c r="AA142" s="1"/>
  <c r="V148"/>
  <c r="AA75" i="7"/>
  <c r="I75" i="8"/>
  <c r="AA19" i="7"/>
  <c r="H19" i="8"/>
  <c r="H5"/>
  <c r="AA85" i="7"/>
  <c r="I85" i="8"/>
  <c r="AA90" i="7"/>
  <c r="H90" i="8"/>
  <c r="AA65" i="7"/>
  <c r="I65" i="8"/>
  <c r="AA66" i="7"/>
  <c r="H66" i="8"/>
  <c r="U182"/>
  <c r="W167"/>
  <c r="L188"/>
  <c r="M188"/>
  <c r="U151"/>
  <c r="AD151" s="1"/>
  <c r="S196"/>
  <c r="T196" s="1"/>
  <c r="AC196" s="1"/>
  <c r="S143"/>
  <c r="T143" s="1"/>
  <c r="AC143" s="1"/>
  <c r="S158"/>
  <c r="T158" s="1"/>
  <c r="AC158" s="1"/>
  <c r="W181"/>
  <c r="U146"/>
  <c r="AD146" s="1"/>
  <c r="M72"/>
  <c r="L72"/>
  <c r="V96" i="7"/>
  <c r="H15" i="11"/>
  <c r="V144" i="8"/>
  <c r="S192"/>
  <c r="T192" s="1"/>
  <c r="AC192" s="1"/>
  <c r="AA71" i="7"/>
  <c r="I71" i="8"/>
  <c r="AA98" i="7"/>
  <c r="H98" i="8"/>
  <c r="AA86" i="7"/>
  <c r="I86" i="8"/>
  <c r="AA78" i="7"/>
  <c r="I78" i="8"/>
  <c r="AA55" i="7"/>
  <c r="I55" i="8"/>
  <c r="AA56" i="7"/>
  <c r="H56" i="8"/>
  <c r="M56" s="1"/>
  <c r="AA6" i="7"/>
  <c r="H6" i="8"/>
  <c r="AA79" i="7"/>
  <c r="I79" i="8"/>
  <c r="AA70" i="7"/>
  <c r="H70" i="8"/>
  <c r="AA62" i="7"/>
  <c r="I62" i="8"/>
  <c r="S212"/>
  <c r="T212" s="1"/>
  <c r="AC212" s="1"/>
  <c r="W195"/>
  <c r="S184"/>
  <c r="T184" s="1"/>
  <c r="AC184" s="1"/>
  <c r="V185"/>
  <c r="S154"/>
  <c r="T154" s="1"/>
  <c r="AC154" s="1"/>
  <c r="U141"/>
  <c r="AD141" s="1"/>
  <c r="U145"/>
  <c r="AD145" s="1"/>
  <c r="S186"/>
  <c r="T186" s="1"/>
  <c r="AC186" s="1"/>
  <c r="U149"/>
  <c r="AD149" s="1"/>
  <c r="V167"/>
  <c r="W204"/>
  <c r="G15" i="11"/>
  <c r="G14" i="10"/>
  <c r="G10" i="11"/>
  <c r="V102" i="7"/>
  <c r="W121"/>
  <c r="V104"/>
  <c r="W137"/>
  <c r="AA113"/>
  <c r="W7"/>
  <c r="AA54"/>
  <c r="AA21"/>
  <c r="V88"/>
  <c r="W31"/>
  <c r="AA5"/>
  <c r="V31"/>
  <c r="W36"/>
  <c r="W96"/>
  <c r="W35"/>
  <c r="W10"/>
  <c r="W53"/>
  <c r="W16"/>
  <c r="W104"/>
  <c r="W51"/>
  <c r="W132"/>
  <c r="W37"/>
  <c r="V16"/>
  <c r="W38"/>
  <c r="W29"/>
  <c r="V127"/>
  <c r="V131"/>
  <c r="AA42"/>
  <c r="W45"/>
  <c r="V128"/>
  <c r="V29"/>
  <c r="W135"/>
  <c r="V27"/>
  <c r="V14"/>
  <c r="V135"/>
  <c r="W14"/>
  <c r="V101"/>
  <c r="W101"/>
  <c r="V120"/>
  <c r="W120"/>
  <c r="W46"/>
  <c r="V46"/>
  <c r="I45" i="4" s="1"/>
  <c r="I46" s="1"/>
  <c r="AA76" i="7"/>
  <c r="AA60"/>
  <c r="W40"/>
  <c r="W9"/>
  <c r="V9"/>
  <c r="V34"/>
  <c r="W34"/>
  <c r="W30"/>
  <c r="V30"/>
  <c r="W117"/>
  <c r="V117"/>
  <c r="W89"/>
  <c r="V89"/>
  <c r="V50"/>
  <c r="W50"/>
  <c r="W13"/>
  <c r="V13"/>
  <c r="W105"/>
  <c r="V105"/>
  <c r="W32"/>
  <c r="V32"/>
  <c r="W100"/>
  <c r="V100"/>
  <c r="V28"/>
  <c r="W28"/>
  <c r="V138"/>
  <c r="W138"/>
  <c r="W110"/>
  <c r="V110"/>
  <c r="V26"/>
  <c r="W26"/>
  <c r="W84"/>
  <c r="V84"/>
  <c r="W112"/>
  <c r="V112"/>
  <c r="W94"/>
  <c r="V94"/>
  <c r="W108"/>
  <c r="V108"/>
  <c r="V97"/>
  <c r="W97"/>
  <c r="V124"/>
  <c r="W124"/>
  <c r="V40"/>
  <c r="V17"/>
  <c r="W17"/>
  <c r="W80"/>
  <c r="V80"/>
  <c r="V81"/>
  <c r="W81"/>
  <c r="V48"/>
  <c r="W48"/>
  <c r="V114"/>
  <c r="W114"/>
  <c r="W15"/>
  <c r="V15"/>
  <c r="W93"/>
  <c r="V93"/>
  <c r="W92"/>
  <c r="V92"/>
  <c r="W52"/>
  <c r="V52"/>
  <c r="V24"/>
  <c r="W24"/>
  <c r="W22"/>
  <c r="V22"/>
  <c r="AA106"/>
  <c r="AA118"/>
  <c r="AA129"/>
  <c r="AA125"/>
  <c r="V12"/>
  <c r="W12"/>
  <c r="V126"/>
  <c r="W126"/>
  <c r="V8"/>
  <c r="W8"/>
  <c r="V39"/>
  <c r="W39"/>
  <c r="V47"/>
  <c r="W47"/>
  <c r="V18"/>
  <c r="W18"/>
  <c r="V134"/>
  <c r="W134"/>
  <c r="V123"/>
  <c r="W123"/>
  <c r="V25"/>
  <c r="W25"/>
  <c r="V41"/>
  <c r="W41"/>
  <c r="V23"/>
  <c r="W23"/>
  <c r="V83"/>
  <c r="W83"/>
  <c r="V87"/>
  <c r="W87"/>
  <c r="V91"/>
  <c r="W91"/>
  <c r="V95"/>
  <c r="W95"/>
  <c r="V99"/>
  <c r="W99"/>
  <c r="V103"/>
  <c r="W103"/>
  <c r="V107"/>
  <c r="W107"/>
  <c r="V111"/>
  <c r="V115"/>
  <c r="W115"/>
  <c r="V119"/>
  <c r="W119"/>
  <c r="V33"/>
  <c r="W33"/>
  <c r="V49"/>
  <c r="W49"/>
  <c r="G69" i="20"/>
  <c r="I2" i="4" l="1"/>
  <c r="I30"/>
  <c r="S64" i="8"/>
  <c r="AC147"/>
  <c r="H11" i="11"/>
  <c r="L54" i="8"/>
  <c r="AA205"/>
  <c r="R64"/>
  <c r="AD156"/>
  <c r="G51" i="27"/>
  <c r="AD166" i="8"/>
  <c r="G53" i="27"/>
  <c r="AD180" i="8"/>
  <c r="G72" i="27"/>
  <c r="AD182" i="8"/>
  <c r="G86" i="27"/>
  <c r="AD164" i="8"/>
  <c r="G54" i="27"/>
  <c r="G91"/>
  <c r="T214" i="8"/>
  <c r="AC214" s="1"/>
  <c r="AD152"/>
  <c r="J373" i="40"/>
  <c r="AC141" i="8"/>
  <c r="J365" i="40"/>
  <c r="AD214" i="8"/>
  <c r="AD178"/>
  <c r="R188"/>
  <c r="AA58" i="7"/>
  <c r="M54" i="8"/>
  <c r="AA77" i="7"/>
  <c r="R59" i="8"/>
  <c r="M67"/>
  <c r="R67" s="1"/>
  <c r="M129"/>
  <c r="M60"/>
  <c r="L118"/>
  <c r="S59"/>
  <c r="M21"/>
  <c r="R74"/>
  <c r="T198"/>
  <c r="M125"/>
  <c r="S61"/>
  <c r="L129"/>
  <c r="L60"/>
  <c r="M118"/>
  <c r="L21"/>
  <c r="R73"/>
  <c r="S74"/>
  <c r="L76"/>
  <c r="R61"/>
  <c r="S73"/>
  <c r="M42"/>
  <c r="L77"/>
  <c r="M106"/>
  <c r="M55"/>
  <c r="L85"/>
  <c r="M68"/>
  <c r="R68" s="1"/>
  <c r="M77"/>
  <c r="L125"/>
  <c r="M76"/>
  <c r="L106"/>
  <c r="L42"/>
  <c r="AA181"/>
  <c r="AA148"/>
  <c r="L69"/>
  <c r="R69" s="1"/>
  <c r="I49"/>
  <c r="I119"/>
  <c r="H111"/>
  <c r="H103"/>
  <c r="H95"/>
  <c r="H87"/>
  <c r="H23"/>
  <c r="H41"/>
  <c r="H123"/>
  <c r="H134"/>
  <c r="H47"/>
  <c r="H8"/>
  <c r="H24"/>
  <c r="I93"/>
  <c r="I124"/>
  <c r="H49"/>
  <c r="H33"/>
  <c r="H119"/>
  <c r="M119" s="1"/>
  <c r="H115"/>
  <c r="I107"/>
  <c r="I103"/>
  <c r="I99"/>
  <c r="I95"/>
  <c r="I91"/>
  <c r="I87"/>
  <c r="I83"/>
  <c r="I23"/>
  <c r="I41"/>
  <c r="I25"/>
  <c r="I123"/>
  <c r="I134"/>
  <c r="I18"/>
  <c r="I47"/>
  <c r="I39"/>
  <c r="I8"/>
  <c r="I126"/>
  <c r="I12"/>
  <c r="H22"/>
  <c r="I24"/>
  <c r="H52"/>
  <c r="H92"/>
  <c r="H93"/>
  <c r="M93" s="1"/>
  <c r="I114"/>
  <c r="I48"/>
  <c r="I81"/>
  <c r="H80"/>
  <c r="I17"/>
  <c r="H40"/>
  <c r="H124"/>
  <c r="H97"/>
  <c r="I108"/>
  <c r="I94"/>
  <c r="I112"/>
  <c r="I84"/>
  <c r="I110"/>
  <c r="H28"/>
  <c r="I100"/>
  <c r="I32"/>
  <c r="I105"/>
  <c r="I13"/>
  <c r="H50"/>
  <c r="I89"/>
  <c r="I117"/>
  <c r="I30"/>
  <c r="H34"/>
  <c r="I9"/>
  <c r="H46"/>
  <c r="I120"/>
  <c r="I101"/>
  <c r="I14"/>
  <c r="I135"/>
  <c r="I16"/>
  <c r="I10"/>
  <c r="I31"/>
  <c r="H96"/>
  <c r="H37"/>
  <c r="H43"/>
  <c r="I88"/>
  <c r="H45"/>
  <c r="H38"/>
  <c r="I136"/>
  <c r="H20"/>
  <c r="L20" s="1"/>
  <c r="I130"/>
  <c r="L130" s="1"/>
  <c r="H53"/>
  <c r="H35"/>
  <c r="G56" i="10"/>
  <c r="H136" i="8"/>
  <c r="I33"/>
  <c r="I115"/>
  <c r="H107"/>
  <c r="H99"/>
  <c r="H91"/>
  <c r="M91" s="1"/>
  <c r="H83"/>
  <c r="H25"/>
  <c r="H18"/>
  <c r="H39"/>
  <c r="L39" s="1"/>
  <c r="H126"/>
  <c r="I22"/>
  <c r="I52"/>
  <c r="I92"/>
  <c r="I15"/>
  <c r="H114"/>
  <c r="H48"/>
  <c r="H81"/>
  <c r="I80"/>
  <c r="I97"/>
  <c r="H108"/>
  <c r="M108" s="1"/>
  <c r="H94"/>
  <c r="M94" s="1"/>
  <c r="H112"/>
  <c r="M112" s="1"/>
  <c r="H84"/>
  <c r="M84" s="1"/>
  <c r="I26"/>
  <c r="H110"/>
  <c r="I138"/>
  <c r="I28"/>
  <c r="H100"/>
  <c r="H105"/>
  <c r="I50"/>
  <c r="M50" s="1"/>
  <c r="H89"/>
  <c r="L89" s="1"/>
  <c r="H117"/>
  <c r="M117" s="1"/>
  <c r="H30"/>
  <c r="M30" s="1"/>
  <c r="I34"/>
  <c r="H9"/>
  <c r="M9" s="1"/>
  <c r="I40"/>
  <c r="I46"/>
  <c r="H120"/>
  <c r="H101"/>
  <c r="H135"/>
  <c r="L135" s="1"/>
  <c r="I29"/>
  <c r="I104"/>
  <c r="I53"/>
  <c r="H104"/>
  <c r="I122"/>
  <c r="M122" s="1"/>
  <c r="J1090" i="39"/>
  <c r="K1090" s="1"/>
  <c r="I131" i="8"/>
  <c r="H44"/>
  <c r="M44" s="1"/>
  <c r="H82"/>
  <c r="M82" s="1"/>
  <c r="AA116" i="7"/>
  <c r="I27" i="8"/>
  <c r="I109"/>
  <c r="M109" s="1"/>
  <c r="H63"/>
  <c r="L63" s="1"/>
  <c r="AA133" i="7"/>
  <c r="AA185" i="8"/>
  <c r="AA195"/>
  <c r="H133"/>
  <c r="L133" s="1"/>
  <c r="V176"/>
  <c r="K418" i="40"/>
  <c r="K410"/>
  <c r="J371"/>
  <c r="K421"/>
  <c r="K415"/>
  <c r="K412"/>
  <c r="V149" i="8"/>
  <c r="K420" i="40"/>
  <c r="V145" i="8"/>
  <c r="K413" i="40"/>
  <c r="K414"/>
  <c r="J455"/>
  <c r="J457" s="1"/>
  <c r="K426"/>
  <c r="V197" i="8"/>
  <c r="AA109" i="7"/>
  <c r="W141" i="8"/>
  <c r="G35" i="10"/>
  <c r="AA130" i="7"/>
  <c r="W160" i="8"/>
  <c r="I111"/>
  <c r="Q12" i="39"/>
  <c r="R12" s="1"/>
  <c r="AA20" i="7"/>
  <c r="AA136"/>
  <c r="G62" i="10"/>
  <c r="W164" i="8"/>
  <c r="V174"/>
  <c r="V156"/>
  <c r="AA44" i="7"/>
  <c r="AA122"/>
  <c r="H10" i="8"/>
  <c r="H138"/>
  <c r="G65" i="10"/>
  <c r="AA82" i="7"/>
  <c r="G28" i="10"/>
  <c r="H116" i="8"/>
  <c r="L116" s="1"/>
  <c r="AA204"/>
  <c r="L113"/>
  <c r="M113"/>
  <c r="AA10" i="7"/>
  <c r="M85" i="8"/>
  <c r="V206"/>
  <c r="AA144"/>
  <c r="W174"/>
  <c r="W156"/>
  <c r="V190"/>
  <c r="W206"/>
  <c r="L55"/>
  <c r="W146"/>
  <c r="V200"/>
  <c r="W172"/>
  <c r="W162"/>
  <c r="W170"/>
  <c r="V147"/>
  <c r="V151"/>
  <c r="W180"/>
  <c r="W166"/>
  <c r="W176"/>
  <c r="V141"/>
  <c r="V152"/>
  <c r="V210"/>
  <c r="V208"/>
  <c r="W190"/>
  <c r="H22" i="11"/>
  <c r="W168" i="8"/>
  <c r="V202"/>
  <c r="W182"/>
  <c r="W178"/>
  <c r="AA53" i="7"/>
  <c r="AA167" i="8"/>
  <c r="H21" i="11"/>
  <c r="W152" i="8"/>
  <c r="AA152" s="1"/>
  <c r="W208"/>
  <c r="V194"/>
  <c r="W200"/>
  <c r="V172"/>
  <c r="V162"/>
  <c r="V170"/>
  <c r="W147"/>
  <c r="W151"/>
  <c r="V180"/>
  <c r="V166"/>
  <c r="W202"/>
  <c r="V178"/>
  <c r="H15"/>
  <c r="H26"/>
  <c r="H14"/>
  <c r="AA128" i="7"/>
  <c r="H128" i="8"/>
  <c r="AA127" i="7"/>
  <c r="H127" i="8"/>
  <c r="H16"/>
  <c r="AA51" i="7"/>
  <c r="I51" i="8"/>
  <c r="M51" s="1"/>
  <c r="AA43" i="7"/>
  <c r="I43" i="8"/>
  <c r="AA35" i="7"/>
  <c r="I35" i="8"/>
  <c r="H31"/>
  <c r="AA7" i="7"/>
  <c r="I7" i="8"/>
  <c r="AA137" i="7"/>
  <c r="I137" i="8"/>
  <c r="U186"/>
  <c r="AD186" s="1"/>
  <c r="L56"/>
  <c r="M78"/>
  <c r="L78"/>
  <c r="L86"/>
  <c r="M86"/>
  <c r="M98"/>
  <c r="L98"/>
  <c r="L71"/>
  <c r="M71"/>
  <c r="R72"/>
  <c r="S72"/>
  <c r="W191"/>
  <c r="S188"/>
  <c r="T188" s="1"/>
  <c r="AC188" s="1"/>
  <c r="L19"/>
  <c r="M19"/>
  <c r="H12" i="11"/>
  <c r="H17"/>
  <c r="V192" i="8"/>
  <c r="U154"/>
  <c r="AD154" s="1"/>
  <c r="H12"/>
  <c r="H17"/>
  <c r="I2" i="36"/>
  <c r="H32" i="8"/>
  <c r="H13"/>
  <c r="AA27" i="7"/>
  <c r="H27" i="8"/>
  <c r="AA29" i="7"/>
  <c r="H29" i="8"/>
  <c r="AA45" i="7"/>
  <c r="I45" i="8"/>
  <c r="AA131" i="7"/>
  <c r="H131" i="8"/>
  <c r="AA38" i="7"/>
  <c r="I38" i="8"/>
  <c r="AA37" i="7"/>
  <c r="I37" i="8"/>
  <c r="AA132" i="7"/>
  <c r="I132" i="8"/>
  <c r="AA96" i="7"/>
  <c r="I96" i="8"/>
  <c r="AA36" i="7"/>
  <c r="I36" i="8"/>
  <c r="AA88" i="7"/>
  <c r="H88" i="8"/>
  <c r="AA121" i="7"/>
  <c r="I121" i="8"/>
  <c r="AA102" i="7"/>
  <c r="H102" i="8"/>
  <c r="U184"/>
  <c r="G88" i="27" s="1"/>
  <c r="U212" i="8"/>
  <c r="AD212" s="1"/>
  <c r="L62"/>
  <c r="M62"/>
  <c r="M58"/>
  <c r="L58"/>
  <c r="M70"/>
  <c r="L70"/>
  <c r="M79"/>
  <c r="L79"/>
  <c r="L6"/>
  <c r="M6"/>
  <c r="U158"/>
  <c r="U143"/>
  <c r="AD143" s="1"/>
  <c r="U196"/>
  <c r="AD196" s="1"/>
  <c r="W197"/>
  <c r="M66"/>
  <c r="L66"/>
  <c r="M65"/>
  <c r="L65"/>
  <c r="M90"/>
  <c r="L90"/>
  <c r="M5"/>
  <c r="L5"/>
  <c r="M75"/>
  <c r="L75"/>
  <c r="W149"/>
  <c r="H14" i="11"/>
  <c r="V164" i="8"/>
  <c r="W145"/>
  <c r="W210"/>
  <c r="W194"/>
  <c r="V146"/>
  <c r="V191"/>
  <c r="H20" i="11"/>
  <c r="V160" i="8"/>
  <c r="V168"/>
  <c r="V182"/>
  <c r="W192"/>
  <c r="E38" i="26"/>
  <c r="G41" i="10"/>
  <c r="G37"/>
  <c r="G40"/>
  <c r="G22"/>
  <c r="G38"/>
  <c r="G23"/>
  <c r="G26"/>
  <c r="G21"/>
  <c r="G13"/>
  <c r="G20"/>
  <c r="G9"/>
  <c r="G11"/>
  <c r="G36"/>
  <c r="G25"/>
  <c r="G27"/>
  <c r="G10"/>
  <c r="G44"/>
  <c r="G60"/>
  <c r="G12"/>
  <c r="G61"/>
  <c r="G12" i="11"/>
  <c r="G47" i="10"/>
  <c r="G34"/>
  <c r="G43"/>
  <c r="G64"/>
  <c r="G25" i="11"/>
  <c r="G49" i="10"/>
  <c r="G21" i="11"/>
  <c r="AA104" i="7"/>
  <c r="AA31"/>
  <c r="AA16"/>
  <c r="AA135"/>
  <c r="AA14"/>
  <c r="AA101"/>
  <c r="AA40"/>
  <c r="AA120"/>
  <c r="AA46"/>
  <c r="AA28"/>
  <c r="AA100"/>
  <c r="AA32"/>
  <c r="AA105"/>
  <c r="AA13"/>
  <c r="AA89"/>
  <c r="AA117"/>
  <c r="AA30"/>
  <c r="AA9"/>
  <c r="AA92"/>
  <c r="AA93"/>
  <c r="AA15"/>
  <c r="AA34"/>
  <c r="AA48"/>
  <c r="AA80"/>
  <c r="AA124"/>
  <c r="AA97"/>
  <c r="AA26"/>
  <c r="AA138"/>
  <c r="AA114"/>
  <c r="AA81"/>
  <c r="AA17"/>
  <c r="AA108"/>
  <c r="AA94"/>
  <c r="AA112"/>
  <c r="AA84"/>
  <c r="AA110"/>
  <c r="AA50"/>
  <c r="AA52"/>
  <c r="AA24"/>
  <c r="AA22"/>
  <c r="AA41"/>
  <c r="AA12"/>
  <c r="AA23"/>
  <c r="AA123"/>
  <c r="AA134"/>
  <c r="AA18"/>
  <c r="AA47"/>
  <c r="AA119"/>
  <c r="AA115"/>
  <c r="AA111"/>
  <c r="AA107"/>
  <c r="AA103"/>
  <c r="AA99"/>
  <c r="AA95"/>
  <c r="AA91"/>
  <c r="AA87"/>
  <c r="AA83"/>
  <c r="AA25"/>
  <c r="AA39"/>
  <c r="F86" i="27"/>
  <c r="AA49" i="7"/>
  <c r="AA33"/>
  <c r="AA8"/>
  <c r="AA126"/>
  <c r="G68" i="20"/>
  <c r="R76" i="8" l="1"/>
  <c r="W64"/>
  <c r="S125"/>
  <c r="V64"/>
  <c r="AC7" i="20" s="1"/>
  <c r="M104" i="8"/>
  <c r="M100"/>
  <c r="L136"/>
  <c r="I12" i="11"/>
  <c r="AA208" i="8"/>
  <c r="L124"/>
  <c r="S42"/>
  <c r="R54"/>
  <c r="M53"/>
  <c r="M107"/>
  <c r="W74"/>
  <c r="W214"/>
  <c r="L104"/>
  <c r="R104" s="1"/>
  <c r="H25" i="11"/>
  <c r="I25" s="1"/>
  <c r="V214" i="8"/>
  <c r="AD158"/>
  <c r="G49" i="27"/>
  <c r="K411" i="40"/>
  <c r="AD184" i="8"/>
  <c r="AC198"/>
  <c r="H19" i="11"/>
  <c r="J375" i="40"/>
  <c r="S54" i="8"/>
  <c r="V59"/>
  <c r="S67"/>
  <c r="V67" s="1"/>
  <c r="S118"/>
  <c r="R129"/>
  <c r="M22"/>
  <c r="W59"/>
  <c r="M39"/>
  <c r="R39" s="1"/>
  <c r="L91"/>
  <c r="S91" s="1"/>
  <c r="R125"/>
  <c r="W125" s="1"/>
  <c r="R60"/>
  <c r="W73"/>
  <c r="V198"/>
  <c r="R118"/>
  <c r="L103"/>
  <c r="S60"/>
  <c r="W61"/>
  <c r="V73"/>
  <c r="W198"/>
  <c r="L109"/>
  <c r="S109" s="1"/>
  <c r="L105"/>
  <c r="S77"/>
  <c r="V61"/>
  <c r="R21"/>
  <c r="V74"/>
  <c r="M63"/>
  <c r="S63" s="1"/>
  <c r="L30"/>
  <c r="S30" s="1"/>
  <c r="L84"/>
  <c r="R84" s="1"/>
  <c r="S129"/>
  <c r="S55"/>
  <c r="S68"/>
  <c r="V68" s="1"/>
  <c r="S21"/>
  <c r="M28"/>
  <c r="M97"/>
  <c r="L41"/>
  <c r="L9"/>
  <c r="R9" s="1"/>
  <c r="M89"/>
  <c r="S89" s="1"/>
  <c r="L94"/>
  <c r="S94" s="1"/>
  <c r="L119"/>
  <c r="R119" s="1"/>
  <c r="L93"/>
  <c r="R93" s="1"/>
  <c r="L107"/>
  <c r="S69"/>
  <c r="L120"/>
  <c r="M40"/>
  <c r="M80"/>
  <c r="L48"/>
  <c r="L126"/>
  <c r="M18"/>
  <c r="L83"/>
  <c r="L99"/>
  <c r="R77"/>
  <c r="S106"/>
  <c r="S76"/>
  <c r="V76" s="1"/>
  <c r="M135"/>
  <c r="S135" s="1"/>
  <c r="R42"/>
  <c r="W42" s="1"/>
  <c r="L8"/>
  <c r="M134"/>
  <c r="L87"/>
  <c r="L49"/>
  <c r="L34"/>
  <c r="L110"/>
  <c r="L25"/>
  <c r="M24"/>
  <c r="R106"/>
  <c r="W106" s="1"/>
  <c r="L112"/>
  <c r="S112" s="1"/>
  <c r="L108"/>
  <c r="R108" s="1"/>
  <c r="M124"/>
  <c r="M133"/>
  <c r="S133" s="1"/>
  <c r="R85"/>
  <c r="M111"/>
  <c r="M101"/>
  <c r="L46"/>
  <c r="L81"/>
  <c r="M114"/>
  <c r="L92"/>
  <c r="M115"/>
  <c r="L33"/>
  <c r="M47"/>
  <c r="L123"/>
  <c r="L23"/>
  <c r="L95"/>
  <c r="L117"/>
  <c r="R117" s="1"/>
  <c r="L100"/>
  <c r="S100" s="1"/>
  <c r="M43"/>
  <c r="L44"/>
  <c r="R44" s="1"/>
  <c r="L101"/>
  <c r="M46"/>
  <c r="M105"/>
  <c r="R105" s="1"/>
  <c r="M110"/>
  <c r="M81"/>
  <c r="L114"/>
  <c r="M25"/>
  <c r="M49"/>
  <c r="AA176"/>
  <c r="M120"/>
  <c r="M48"/>
  <c r="M52"/>
  <c r="M126"/>
  <c r="L18"/>
  <c r="M83"/>
  <c r="M99"/>
  <c r="L53"/>
  <c r="M34"/>
  <c r="L50"/>
  <c r="S50" s="1"/>
  <c r="L28"/>
  <c r="S28" s="1"/>
  <c r="L97"/>
  <c r="S97" s="1"/>
  <c r="L40"/>
  <c r="L80"/>
  <c r="M92"/>
  <c r="L52"/>
  <c r="L22"/>
  <c r="L115"/>
  <c r="R115" s="1"/>
  <c r="M33"/>
  <c r="L24"/>
  <c r="M8"/>
  <c r="L47"/>
  <c r="L134"/>
  <c r="R134" s="1"/>
  <c r="M123"/>
  <c r="M41"/>
  <c r="M23"/>
  <c r="M87"/>
  <c r="M95"/>
  <c r="M103"/>
  <c r="M96"/>
  <c r="M45"/>
  <c r="M10"/>
  <c r="M20"/>
  <c r="S20" s="1"/>
  <c r="M130"/>
  <c r="R130" s="1"/>
  <c r="AA141"/>
  <c r="L122"/>
  <c r="S122" s="1"/>
  <c r="L138"/>
  <c r="M136"/>
  <c r="L82"/>
  <c r="S82" s="1"/>
  <c r="AA149"/>
  <c r="AA145"/>
  <c r="AA197"/>
  <c r="V154"/>
  <c r="K419" i="40"/>
  <c r="V184" i="8"/>
  <c r="V186"/>
  <c r="AA164"/>
  <c r="AA200"/>
  <c r="AA160"/>
  <c r="AA202"/>
  <c r="AA190"/>
  <c r="AA146"/>
  <c r="L111"/>
  <c r="M116"/>
  <c r="S116" s="1"/>
  <c r="M138"/>
  <c r="L10"/>
  <c r="R55"/>
  <c r="W55" s="1"/>
  <c r="AA174"/>
  <c r="R113"/>
  <c r="S19"/>
  <c r="AA156"/>
  <c r="AA147"/>
  <c r="AA206"/>
  <c r="G66" i="10"/>
  <c r="S113" i="8"/>
  <c r="AA168"/>
  <c r="AA210"/>
  <c r="AA166"/>
  <c r="AA170"/>
  <c r="AA64"/>
  <c r="AA194"/>
  <c r="S85"/>
  <c r="AA182"/>
  <c r="AA151"/>
  <c r="AA172"/>
  <c r="AA191"/>
  <c r="AA180"/>
  <c r="AA162"/>
  <c r="AA178"/>
  <c r="W158"/>
  <c r="V212"/>
  <c r="V158"/>
  <c r="W212"/>
  <c r="W154"/>
  <c r="W186"/>
  <c r="V196"/>
  <c r="V143"/>
  <c r="R19"/>
  <c r="S5"/>
  <c r="R5"/>
  <c r="R66"/>
  <c r="S66"/>
  <c r="R6"/>
  <c r="S6"/>
  <c r="R70"/>
  <c r="S70"/>
  <c r="R58"/>
  <c r="S58"/>
  <c r="W184"/>
  <c r="L13"/>
  <c r="M13"/>
  <c r="L32"/>
  <c r="M32"/>
  <c r="L17"/>
  <c r="M17"/>
  <c r="M12"/>
  <c r="L12"/>
  <c r="H8" i="11"/>
  <c r="U188" i="8"/>
  <c r="W72"/>
  <c r="V72"/>
  <c r="R78"/>
  <c r="S78"/>
  <c r="R56"/>
  <c r="S56"/>
  <c r="S104"/>
  <c r="L137"/>
  <c r="M137"/>
  <c r="M7"/>
  <c r="L7"/>
  <c r="M31"/>
  <c r="L31"/>
  <c r="L35"/>
  <c r="M35"/>
  <c r="L43"/>
  <c r="L51"/>
  <c r="M16"/>
  <c r="L16"/>
  <c r="M127"/>
  <c r="L127"/>
  <c r="L128"/>
  <c r="M128"/>
  <c r="L14"/>
  <c r="M14"/>
  <c r="W196"/>
  <c r="W143"/>
  <c r="AA192"/>
  <c r="H18" i="11"/>
  <c r="L96" i="8"/>
  <c r="R75"/>
  <c r="S75"/>
  <c r="R90"/>
  <c r="S90"/>
  <c r="R65"/>
  <c r="S65"/>
  <c r="R79"/>
  <c r="S79"/>
  <c r="R62"/>
  <c r="S62"/>
  <c r="M102"/>
  <c r="L102"/>
  <c r="M121"/>
  <c r="L121"/>
  <c r="M88"/>
  <c r="L88"/>
  <c r="L36"/>
  <c r="M36"/>
  <c r="L132"/>
  <c r="M132"/>
  <c r="L37"/>
  <c r="M37"/>
  <c r="M38"/>
  <c r="L38"/>
  <c r="M131"/>
  <c r="L131"/>
  <c r="L45"/>
  <c r="M29"/>
  <c r="L29"/>
  <c r="M27"/>
  <c r="L27"/>
  <c r="S93"/>
  <c r="R71"/>
  <c r="S71"/>
  <c r="R98"/>
  <c r="S98"/>
  <c r="R86"/>
  <c r="S86"/>
  <c r="W54"/>
  <c r="L26"/>
  <c r="M26"/>
  <c r="L15"/>
  <c r="M15"/>
  <c r="H23" i="11"/>
  <c r="F71" i="27"/>
  <c r="F90"/>
  <c r="F88"/>
  <c r="G20" i="11"/>
  <c r="G52" i="10"/>
  <c r="G17" i="11"/>
  <c r="G23"/>
  <c r="G18"/>
  <c r="G67" i="20"/>
  <c r="S130" i="8" l="1"/>
  <c r="V130" s="1"/>
  <c r="AA59"/>
  <c r="R136"/>
  <c r="S53"/>
  <c r="S136"/>
  <c r="R109"/>
  <c r="V109" s="1"/>
  <c r="V129"/>
  <c r="AA73"/>
  <c r="S124"/>
  <c r="V54"/>
  <c r="R107"/>
  <c r="W77"/>
  <c r="S47"/>
  <c r="R48"/>
  <c r="AA214"/>
  <c r="R49"/>
  <c r="W67"/>
  <c r="AA67" s="1"/>
  <c r="R124"/>
  <c r="V125"/>
  <c r="AA125" s="1"/>
  <c r="AD188"/>
  <c r="G71" i="27"/>
  <c r="R138" i="8"/>
  <c r="AA74"/>
  <c r="V106"/>
  <c r="AA106" s="1"/>
  <c r="R22"/>
  <c r="W129"/>
  <c r="S119"/>
  <c r="W119" s="1"/>
  <c r="R28"/>
  <c r="W28" s="1"/>
  <c r="V42"/>
  <c r="AA42" s="1"/>
  <c r="R123"/>
  <c r="W21"/>
  <c r="S105"/>
  <c r="W105" s="1"/>
  <c r="S84"/>
  <c r="V84" s="1"/>
  <c r="R91"/>
  <c r="W91" s="1"/>
  <c r="R63"/>
  <c r="W63" s="1"/>
  <c r="S34"/>
  <c r="S48"/>
  <c r="V48" s="1"/>
  <c r="S22"/>
  <c r="V60"/>
  <c r="V118"/>
  <c r="R110"/>
  <c r="R120"/>
  <c r="R41"/>
  <c r="S39"/>
  <c r="W39" s="1"/>
  <c r="W118"/>
  <c r="R89"/>
  <c r="V89" s="1"/>
  <c r="W76"/>
  <c r="AA76" s="1"/>
  <c r="AA154"/>
  <c r="R92"/>
  <c r="S24"/>
  <c r="S134"/>
  <c r="V134" s="1"/>
  <c r="R100"/>
  <c r="V100" s="1"/>
  <c r="S107"/>
  <c r="V107" s="1"/>
  <c r="R112"/>
  <c r="V112" s="1"/>
  <c r="V77"/>
  <c r="V85"/>
  <c r="W68"/>
  <c r="AA68" s="1"/>
  <c r="R126"/>
  <c r="S101"/>
  <c r="S23"/>
  <c r="S25"/>
  <c r="S99"/>
  <c r="V21"/>
  <c r="R103"/>
  <c r="AA198"/>
  <c r="R50"/>
  <c r="V50" s="1"/>
  <c r="R94"/>
  <c r="W94" s="1"/>
  <c r="S9"/>
  <c r="W9" s="1"/>
  <c r="S103"/>
  <c r="R8"/>
  <c r="S40"/>
  <c r="R18"/>
  <c r="AA61"/>
  <c r="W60"/>
  <c r="R95"/>
  <c r="R33"/>
  <c r="S92"/>
  <c r="S81"/>
  <c r="S110"/>
  <c r="S49"/>
  <c r="S83"/>
  <c r="R80"/>
  <c r="S120"/>
  <c r="S41"/>
  <c r="R30"/>
  <c r="V30" s="1"/>
  <c r="S33"/>
  <c r="S44"/>
  <c r="V44" s="1"/>
  <c r="S138"/>
  <c r="R20"/>
  <c r="W20" s="1"/>
  <c r="R82"/>
  <c r="W82" s="1"/>
  <c r="S95"/>
  <c r="S123"/>
  <c r="R24"/>
  <c r="R52"/>
  <c r="S80"/>
  <c r="R83"/>
  <c r="S126"/>
  <c r="R81"/>
  <c r="V81" s="1"/>
  <c r="R101"/>
  <c r="W101" s="1"/>
  <c r="R114"/>
  <c r="S46"/>
  <c r="R25"/>
  <c r="R87"/>
  <c r="R99"/>
  <c r="S18"/>
  <c r="R40"/>
  <c r="R97"/>
  <c r="V97" s="1"/>
  <c r="R133"/>
  <c r="V133" s="1"/>
  <c r="R47"/>
  <c r="W47" s="1"/>
  <c r="S52"/>
  <c r="S117"/>
  <c r="V117" s="1"/>
  <c r="R135"/>
  <c r="W135" s="1"/>
  <c r="S108"/>
  <c r="W108" s="1"/>
  <c r="AA186"/>
  <c r="V69"/>
  <c r="W69"/>
  <c r="R23"/>
  <c r="S114"/>
  <c r="R46"/>
  <c r="V46" s="1"/>
  <c r="R34"/>
  <c r="S87"/>
  <c r="S8"/>
  <c r="W8" s="1"/>
  <c r="R53"/>
  <c r="S115"/>
  <c r="W115" s="1"/>
  <c r="J273" i="40" s="1"/>
  <c r="S111" i="8"/>
  <c r="V5"/>
  <c r="J6" i="1" s="1"/>
  <c r="W130" i="8"/>
  <c r="AA130" s="1"/>
  <c r="S10"/>
  <c r="R122"/>
  <c r="V122" s="1"/>
  <c r="AA184"/>
  <c r="G44" i="27"/>
  <c r="K429" i="40"/>
  <c r="K431" s="1"/>
  <c r="W109" i="8"/>
  <c r="W136"/>
  <c r="R111"/>
  <c r="R116"/>
  <c r="W116" s="1"/>
  <c r="V19"/>
  <c r="V55"/>
  <c r="AA55" s="1"/>
  <c r="R10"/>
  <c r="W85"/>
  <c r="W113"/>
  <c r="J271" i="40" s="1"/>
  <c r="V113" i="8"/>
  <c r="W19"/>
  <c r="S17"/>
  <c r="S32"/>
  <c r="S16"/>
  <c r="S31"/>
  <c r="S15"/>
  <c r="S26"/>
  <c r="S27"/>
  <c r="S29"/>
  <c r="S35"/>
  <c r="AA158"/>
  <c r="AA212"/>
  <c r="AA196"/>
  <c r="AA143"/>
  <c r="R13"/>
  <c r="R17"/>
  <c r="R29"/>
  <c r="R45"/>
  <c r="S45"/>
  <c r="S131"/>
  <c r="R131"/>
  <c r="R38"/>
  <c r="S38"/>
  <c r="S132"/>
  <c r="R132"/>
  <c r="S36"/>
  <c r="R36"/>
  <c r="R88"/>
  <c r="S88"/>
  <c r="S121"/>
  <c r="R121"/>
  <c r="W62"/>
  <c r="V62"/>
  <c r="V79"/>
  <c r="W79"/>
  <c r="R96"/>
  <c r="S96"/>
  <c r="S128"/>
  <c r="R128"/>
  <c r="S127"/>
  <c r="R127"/>
  <c r="R35"/>
  <c r="R31"/>
  <c r="S137"/>
  <c r="R137"/>
  <c r="W104"/>
  <c r="V104"/>
  <c r="W188"/>
  <c r="H16" i="11"/>
  <c r="I16" s="1"/>
  <c r="W81" i="8"/>
  <c r="R32"/>
  <c r="AA54"/>
  <c r="S13"/>
  <c r="R15"/>
  <c r="R26"/>
  <c r="W86"/>
  <c r="V86"/>
  <c r="W98"/>
  <c r="V98"/>
  <c r="V71"/>
  <c r="W71"/>
  <c r="V93"/>
  <c r="W93"/>
  <c r="R27"/>
  <c r="R37"/>
  <c r="S37"/>
  <c r="R102"/>
  <c r="S102"/>
  <c r="V65"/>
  <c r="J113" i="40" s="1"/>
  <c r="W65" i="8"/>
  <c r="W90"/>
  <c r="V90"/>
  <c r="V75"/>
  <c r="W75"/>
  <c r="R14"/>
  <c r="S14"/>
  <c r="R16"/>
  <c r="R51"/>
  <c r="S51"/>
  <c r="R43"/>
  <c r="S43"/>
  <c r="R7"/>
  <c r="S7"/>
  <c r="W56"/>
  <c r="V56"/>
  <c r="W78"/>
  <c r="V78"/>
  <c r="R12"/>
  <c r="S12"/>
  <c r="W58"/>
  <c r="V58"/>
  <c r="W70"/>
  <c r="V70"/>
  <c r="V6"/>
  <c r="W6"/>
  <c r="W66"/>
  <c r="V66"/>
  <c r="W5"/>
  <c r="AA72"/>
  <c r="V188"/>
  <c r="G11" i="11"/>
  <c r="G22"/>
  <c r="G8"/>
  <c r="G66" i="20"/>
  <c r="H113" i="40" l="1"/>
  <c r="AC5" i="20"/>
  <c r="W122" i="8"/>
  <c r="AA122" s="1"/>
  <c r="V115"/>
  <c r="W53"/>
  <c r="AA77"/>
  <c r="V136"/>
  <c r="V33"/>
  <c r="V119"/>
  <c r="AA129"/>
  <c r="V124"/>
  <c r="G18" i="27"/>
  <c r="H18" s="1"/>
  <c r="H19" s="1"/>
  <c r="AC4" i="20"/>
  <c r="V20" i="8"/>
  <c r="AA20" s="1"/>
  <c r="V87"/>
  <c r="AD6"/>
  <c r="J7" i="1"/>
  <c r="V82" i="8"/>
  <c r="AA82" s="1"/>
  <c r="V99"/>
  <c r="W124"/>
  <c r="AA124" s="1"/>
  <c r="W49"/>
  <c r="V138"/>
  <c r="G19" i="27"/>
  <c r="W138" i="8"/>
  <c r="AD109"/>
  <c r="V28"/>
  <c r="J76" i="40" s="1"/>
  <c r="V101" i="8"/>
  <c r="AA101" s="1"/>
  <c r="V105"/>
  <c r="AA105" s="1"/>
  <c r="W100"/>
  <c r="AA100" s="1"/>
  <c r="V63"/>
  <c r="W99"/>
  <c r="W48"/>
  <c r="AA48" s="1"/>
  <c r="W80"/>
  <c r="W24"/>
  <c r="V41"/>
  <c r="W22"/>
  <c r="W112"/>
  <c r="J269" i="40" s="1"/>
  <c r="V49" i="8"/>
  <c r="V9"/>
  <c r="W84"/>
  <c r="AA84" s="1"/>
  <c r="W50"/>
  <c r="AA50" s="1"/>
  <c r="W133"/>
  <c r="K327" i="40" s="1"/>
  <c r="K330" s="1"/>
  <c r="W18" i="8"/>
  <c r="V22"/>
  <c r="AA22" s="1"/>
  <c r="V92"/>
  <c r="W30"/>
  <c r="AA30" s="1"/>
  <c r="W83"/>
  <c r="V114"/>
  <c r="V52"/>
  <c r="W33"/>
  <c r="AA33" s="1"/>
  <c r="V8"/>
  <c r="W41"/>
  <c r="AA60"/>
  <c r="V135"/>
  <c r="AA135" s="1"/>
  <c r="V126"/>
  <c r="V110"/>
  <c r="V103"/>
  <c r="AA21"/>
  <c r="AA118"/>
  <c r="V95"/>
  <c r="V123"/>
  <c r="W89"/>
  <c r="AA89" s="1"/>
  <c r="V91"/>
  <c r="AA91" s="1"/>
  <c r="W107"/>
  <c r="J262" i="40" s="1"/>
  <c r="J265" s="1"/>
  <c r="W134" i="8"/>
  <c r="AA134" s="1"/>
  <c r="W123"/>
  <c r="W87"/>
  <c r="W25"/>
  <c r="V53"/>
  <c r="AA53" s="1"/>
  <c r="V94"/>
  <c r="AA94" s="1"/>
  <c r="V39"/>
  <c r="AA39" s="1"/>
  <c r="W46"/>
  <c r="AA46" s="1"/>
  <c r="W97"/>
  <c r="AA97" s="1"/>
  <c r="V34"/>
  <c r="W34"/>
  <c r="W23"/>
  <c r="V18"/>
  <c r="M70" i="40" s="1"/>
  <c r="N70" s="1"/>
  <c r="W126" i="8"/>
  <c r="V80"/>
  <c r="P150" i="40" s="1"/>
  <c r="Q150" s="1"/>
  <c r="V24" i="8"/>
  <c r="W110"/>
  <c r="W103"/>
  <c r="W95"/>
  <c r="V40"/>
  <c r="W92"/>
  <c r="W120"/>
  <c r="V120"/>
  <c r="W117"/>
  <c r="AD117" s="1"/>
  <c r="V47"/>
  <c r="AA47" s="1"/>
  <c r="V23"/>
  <c r="V108"/>
  <c r="AA108" s="1"/>
  <c r="W44"/>
  <c r="AA44" s="1"/>
  <c r="W40"/>
  <c r="V25"/>
  <c r="V83"/>
  <c r="W114"/>
  <c r="J272" i="40" s="1"/>
  <c r="W52" i="8"/>
  <c r="AA69"/>
  <c r="V111"/>
  <c r="W111"/>
  <c r="AA109"/>
  <c r="W10"/>
  <c r="AA136"/>
  <c r="V10"/>
  <c r="J11" i="1" s="1"/>
  <c r="K11" s="1"/>
  <c r="AA85" i="8"/>
  <c r="M131" i="40"/>
  <c r="J127"/>
  <c r="J131" s="1"/>
  <c r="J83"/>
  <c r="V116" i="8"/>
  <c r="AA116" s="1"/>
  <c r="AA19"/>
  <c r="W13"/>
  <c r="AA113"/>
  <c r="V13"/>
  <c r="J14" i="1" s="1"/>
  <c r="K14" s="1"/>
  <c r="AA188" i="8"/>
  <c r="V17"/>
  <c r="J18" i="1" s="1"/>
  <c r="K18" s="1"/>
  <c r="AA104" i="8"/>
  <c r="AA66"/>
  <c r="AA58"/>
  <c r="W17"/>
  <c r="AA98"/>
  <c r="AA86"/>
  <c r="AA5"/>
  <c r="AA78"/>
  <c r="AA56"/>
  <c r="AA75"/>
  <c r="AA65"/>
  <c r="AA79"/>
  <c r="AA70"/>
  <c r="AA115"/>
  <c r="AA90"/>
  <c r="AA93"/>
  <c r="AA71"/>
  <c r="AA62"/>
  <c r="W102"/>
  <c r="V102"/>
  <c r="V37"/>
  <c r="W37"/>
  <c r="V26"/>
  <c r="J74" i="40" s="1"/>
  <c r="W26" i="8"/>
  <c r="W88"/>
  <c r="V88"/>
  <c r="W38"/>
  <c r="V38"/>
  <c r="V45"/>
  <c r="W45"/>
  <c r="AA119"/>
  <c r="V12"/>
  <c r="J13" i="1" s="1"/>
  <c r="K13" s="1"/>
  <c r="W12" i="8"/>
  <c r="V7"/>
  <c r="J8" i="1" s="1"/>
  <c r="W7" i="8"/>
  <c r="V43"/>
  <c r="W43"/>
  <c r="V51"/>
  <c r="W51"/>
  <c r="V16"/>
  <c r="J17" i="1" s="1"/>
  <c r="K17" s="1"/>
  <c r="W16" i="8"/>
  <c r="V14"/>
  <c r="J15" i="1" s="1"/>
  <c r="K15" s="1"/>
  <c r="W14" i="8"/>
  <c r="V27"/>
  <c r="W27"/>
  <c r="V15"/>
  <c r="J16" i="1" s="1"/>
  <c r="K16" s="1"/>
  <c r="W15" i="8"/>
  <c r="V32"/>
  <c r="J88" i="40" s="1"/>
  <c r="W32" i="8"/>
  <c r="W137"/>
  <c r="V137"/>
  <c r="V31"/>
  <c r="J82" i="40" s="1"/>
  <c r="W31" i="8"/>
  <c r="V35"/>
  <c r="W35"/>
  <c r="V127"/>
  <c r="W127"/>
  <c r="V128"/>
  <c r="W128"/>
  <c r="W96"/>
  <c r="V96"/>
  <c r="V121"/>
  <c r="W121"/>
  <c r="V36"/>
  <c r="AC2" i="20" s="1"/>
  <c r="W36" i="8"/>
  <c r="V132"/>
  <c r="W132"/>
  <c r="V131"/>
  <c r="W131"/>
  <c r="V29"/>
  <c r="W29"/>
  <c r="AA6"/>
  <c r="AA81"/>
  <c r="G36" i="20"/>
  <c r="I113" i="40" l="1"/>
  <c r="AC6" i="20"/>
  <c r="AA87" i="8"/>
  <c r="AA99"/>
  <c r="AA8"/>
  <c r="J9" i="1"/>
  <c r="AA9" i="8"/>
  <c r="J10" i="1"/>
  <c r="AA25" i="8"/>
  <c r="AA23"/>
  <c r="AA49"/>
  <c r="H65" i="10"/>
  <c r="AA138" i="8"/>
  <c r="R15" i="39"/>
  <c r="AD111" i="8"/>
  <c r="J280" i="40"/>
  <c r="J283" s="1"/>
  <c r="H20" i="10"/>
  <c r="AA112" i="8"/>
  <c r="AD28"/>
  <c r="AA28"/>
  <c r="AA107"/>
  <c r="AA52"/>
  <c r="AA83"/>
  <c r="AA92"/>
  <c r="AA95"/>
  <c r="AA110"/>
  <c r="AA41"/>
  <c r="AA63"/>
  <c r="P161" i="40"/>
  <c r="Q161" s="1"/>
  <c r="AA133" i="8"/>
  <c r="AA24"/>
  <c r="AA123"/>
  <c r="AA18"/>
  <c r="AA103"/>
  <c r="AA126"/>
  <c r="AA80"/>
  <c r="E113" i="40"/>
  <c r="J270"/>
  <c r="I2" i="35"/>
  <c r="AA34" i="8"/>
  <c r="M300" i="40"/>
  <c r="J75"/>
  <c r="AA114" i="8"/>
  <c r="AA117"/>
  <c r="J299" i="40"/>
  <c r="J300" s="1"/>
  <c r="N300" s="1"/>
  <c r="J275"/>
  <c r="AA40" i="8"/>
  <c r="AA120"/>
  <c r="C113" i="40"/>
  <c r="AA111" i="8"/>
  <c r="AA10"/>
  <c r="M275" i="40"/>
  <c r="J77"/>
  <c r="N131"/>
  <c r="M78"/>
  <c r="J89"/>
  <c r="M89"/>
  <c r="AA13" i="8"/>
  <c r="H64" i="10"/>
  <c r="AA14" i="8"/>
  <c r="AA17"/>
  <c r="AA102"/>
  <c r="AA132"/>
  <c r="AA35"/>
  <c r="AA15"/>
  <c r="AA43"/>
  <c r="AA45"/>
  <c r="AA88"/>
  <c r="AA38"/>
  <c r="AA29"/>
  <c r="AA131"/>
  <c r="AA37"/>
  <c r="AA96"/>
  <c r="AA128"/>
  <c r="AA36"/>
  <c r="AA121"/>
  <c r="AA16"/>
  <c r="AA12"/>
  <c r="AA26"/>
  <c r="AA127"/>
  <c r="AA137"/>
  <c r="AA27"/>
  <c r="AA7"/>
  <c r="AA31"/>
  <c r="AA32"/>
  <c r="AA51"/>
  <c r="G35" i="20"/>
  <c r="J78" i="40" l="1"/>
  <c r="N78" s="1"/>
  <c r="N275"/>
  <c r="N89"/>
  <c r="G12" i="20"/>
  <c r="G11" l="1"/>
  <c r="G10" l="1"/>
  <c r="G9" l="1"/>
  <c r="G8" l="1"/>
  <c r="G106" l="1"/>
  <c r="G13" l="1"/>
  <c r="G27" l="1"/>
  <c r="G26" l="1"/>
  <c r="G25" l="1"/>
  <c r="G24" l="1"/>
  <c r="G23" l="1"/>
  <c r="G22" l="1"/>
  <c r="G21" l="1"/>
  <c r="G14" l="1"/>
  <c r="G20" l="1"/>
  <c r="G19" l="1"/>
  <c r="G18" l="1"/>
  <c r="G17" l="1"/>
  <c r="G16" l="1"/>
  <c r="G15" l="1"/>
  <c r="G65" l="1"/>
  <c r="G64" l="1"/>
  <c r="G63" l="1"/>
  <c r="G62" l="1"/>
  <c r="G61" l="1"/>
  <c r="G60" l="1"/>
  <c r="G59" l="1"/>
  <c r="G58" l="1"/>
  <c r="G57" l="1"/>
  <c r="G56" l="1"/>
  <c r="G55" l="1"/>
  <c r="G54" l="1"/>
  <c r="G53" l="1"/>
  <c r="G52" l="1"/>
  <c r="G51" l="1"/>
  <c r="G50" l="1"/>
  <c r="G49" l="1"/>
  <c r="G48" l="1"/>
  <c r="G47" l="1"/>
  <c r="G46" l="1"/>
  <c r="G45" l="1"/>
  <c r="G44" l="1"/>
  <c r="G43" l="1"/>
  <c r="G42" l="1"/>
  <c r="G41" l="1"/>
  <c r="G40" l="1"/>
  <c r="G39" l="1"/>
  <c r="G72" l="1"/>
  <c r="G75" l="1"/>
  <c r="G74" l="1"/>
  <c r="G86" l="1"/>
  <c r="G85" l="1"/>
  <c r="G84" l="1"/>
  <c r="G83" l="1"/>
  <c r="G82" l="1"/>
  <c r="G81" l="1"/>
  <c r="G80" l="1"/>
  <c r="G79" l="1"/>
  <c r="G78" l="1"/>
  <c r="G77" l="1"/>
  <c r="G87" l="1"/>
  <c r="G90" l="1"/>
  <c r="G89" l="1"/>
  <c r="G94" l="1"/>
  <c r="G93" l="1"/>
  <c r="G92" l="1"/>
  <c r="G91" l="1"/>
  <c r="G88" l="1"/>
  <c r="G105" l="1"/>
  <c r="G104" l="1"/>
  <c r="G103" l="1"/>
  <c r="G102" l="1"/>
  <c r="F301" i="22"/>
  <c r="H300"/>
  <c r="H299"/>
  <c r="H298"/>
  <c r="H297"/>
  <c r="H296"/>
  <c r="H295"/>
  <c r="H294"/>
  <c r="H293"/>
  <c r="H292"/>
  <c r="H291"/>
  <c r="H290"/>
  <c r="H289"/>
  <c r="H288"/>
  <c r="H287"/>
  <c r="H286"/>
  <c r="H285"/>
  <c r="H284"/>
  <c r="A284"/>
  <c r="A285" s="1"/>
  <c r="A286" s="1"/>
  <c r="A287" s="1"/>
  <c r="A288" s="1"/>
  <c r="A289" s="1"/>
  <c r="A290" s="1"/>
  <c r="A291" s="1"/>
  <c r="A292" s="1"/>
  <c r="A293" s="1"/>
  <c r="A294" s="1"/>
  <c r="A295" s="1"/>
  <c r="A296" s="1"/>
  <c r="A297" s="1"/>
  <c r="A298" s="1"/>
  <c r="A299" s="1"/>
  <c r="A300" s="1"/>
  <c r="H283"/>
  <c r="G301"/>
  <c r="F267"/>
  <c r="E267"/>
  <c r="G266"/>
  <c r="H266" s="1"/>
  <c r="G265"/>
  <c r="H265" s="1"/>
  <c r="G264"/>
  <c r="H264" s="1"/>
  <c r="G263"/>
  <c r="H263" s="1"/>
  <c r="G262"/>
  <c r="H262" s="1"/>
  <c r="G261"/>
  <c r="H261" s="1"/>
  <c r="G260"/>
  <c r="H260" s="1"/>
  <c r="G259"/>
  <c r="H259" s="1"/>
  <c r="G258"/>
  <c r="H258" s="1"/>
  <c r="G257"/>
  <c r="H257" s="1"/>
  <c r="G256"/>
  <c r="H256" s="1"/>
  <c r="G255"/>
  <c r="H255" s="1"/>
  <c r="G254"/>
  <c r="H254" s="1"/>
  <c r="G253"/>
  <c r="H253" s="1"/>
  <c r="G252"/>
  <c r="H252" s="1"/>
  <c r="G251"/>
  <c r="H251" s="1"/>
  <c r="G250"/>
  <c r="H250" s="1"/>
  <c r="G249"/>
  <c r="H249" s="1"/>
  <c r="A249"/>
  <c r="A250" s="1"/>
  <c r="A251" s="1"/>
  <c r="A252" s="1"/>
  <c r="A253" s="1"/>
  <c r="A254" s="1"/>
  <c r="A255" s="1"/>
  <c r="A256" s="1"/>
  <c r="A257" s="1"/>
  <c r="A258" s="1"/>
  <c r="A259" s="1"/>
  <c r="A260" s="1"/>
  <c r="A261" s="1"/>
  <c r="A262" s="1"/>
  <c r="A263" s="1"/>
  <c r="A264" s="1"/>
  <c r="A265" s="1"/>
  <c r="A266" s="1"/>
  <c r="G248"/>
  <c r="H248" s="1"/>
  <c r="F233"/>
  <c r="E233"/>
  <c r="G232"/>
  <c r="H232" s="1"/>
  <c r="G231"/>
  <c r="H231" s="1"/>
  <c r="G230"/>
  <c r="H230" s="1"/>
  <c r="G229"/>
  <c r="H229" s="1"/>
  <c r="G228"/>
  <c r="H228" s="1"/>
  <c r="G227"/>
  <c r="H227" s="1"/>
  <c r="G226"/>
  <c r="H226" s="1"/>
  <c r="G225"/>
  <c r="H225" s="1"/>
  <c r="G224"/>
  <c r="H224" s="1"/>
  <c r="G223"/>
  <c r="H223" s="1"/>
  <c r="G222"/>
  <c r="H222" s="1"/>
  <c r="H221"/>
  <c r="G221"/>
  <c r="G220"/>
  <c r="H220" s="1"/>
  <c r="P303" s="1"/>
  <c r="H219"/>
  <c r="G219"/>
  <c r="G218"/>
  <c r="H218" s="1"/>
  <c r="G217"/>
  <c r="H217" s="1"/>
  <c r="G216"/>
  <c r="H216" s="1"/>
  <c r="G215"/>
  <c r="H215" s="1"/>
  <c r="A215"/>
  <c r="A216" s="1"/>
  <c r="A217" s="1"/>
  <c r="A218" s="1"/>
  <c r="A219" s="1"/>
  <c r="A220" s="1"/>
  <c r="A221" s="1"/>
  <c r="A222" s="1"/>
  <c r="A223" s="1"/>
  <c r="A224" s="1"/>
  <c r="A225" s="1"/>
  <c r="A226" s="1"/>
  <c r="A227" s="1"/>
  <c r="A228" s="1"/>
  <c r="A229" s="1"/>
  <c r="A230" s="1"/>
  <c r="A231" s="1"/>
  <c r="A232" s="1"/>
  <c r="G214"/>
  <c r="F193"/>
  <c r="E193"/>
  <c r="L192"/>
  <c r="I192"/>
  <c r="J192" s="1"/>
  <c r="N192" s="1"/>
  <c r="G192"/>
  <c r="G191"/>
  <c r="H191" s="1"/>
  <c r="G190"/>
  <c r="H190" s="1"/>
  <c r="G189"/>
  <c r="H189" s="1"/>
  <c r="G188"/>
  <c r="H188" s="1"/>
  <c r="G187"/>
  <c r="H187" s="1"/>
  <c r="G186"/>
  <c r="H186" s="1"/>
  <c r="G185"/>
  <c r="H185" s="1"/>
  <c r="G184"/>
  <c r="H184" s="1"/>
  <c r="G183"/>
  <c r="H183" s="1"/>
  <c r="G182"/>
  <c r="H182" s="1"/>
  <c r="G181"/>
  <c r="H181" s="1"/>
  <c r="G180"/>
  <c r="H180" s="1"/>
  <c r="G179"/>
  <c r="H179" s="1"/>
  <c r="G178"/>
  <c r="H178" s="1"/>
  <c r="G177"/>
  <c r="H177" s="1"/>
  <c r="G176"/>
  <c r="H176" s="1"/>
  <c r="G175"/>
  <c r="H175" s="1"/>
  <c r="A175"/>
  <c r="A176" s="1"/>
  <c r="A177" s="1"/>
  <c r="A178" s="1"/>
  <c r="A179" s="1"/>
  <c r="A180" s="1"/>
  <c r="A181" s="1"/>
  <c r="A182" s="1"/>
  <c r="A183" s="1"/>
  <c r="A184" s="1"/>
  <c r="A185" s="1"/>
  <c r="A186" s="1"/>
  <c r="A187" s="1"/>
  <c r="A188" s="1"/>
  <c r="A189" s="1"/>
  <c r="A190" s="1"/>
  <c r="A191" s="1"/>
  <c r="A192" s="1"/>
  <c r="G174"/>
  <c r="O173"/>
  <c r="F158"/>
  <c r="E158"/>
  <c r="G157"/>
  <c r="H157" s="1"/>
  <c r="G156"/>
  <c r="H156" s="1"/>
  <c r="G155"/>
  <c r="H155" s="1"/>
  <c r="G154"/>
  <c r="H154" s="1"/>
  <c r="G153"/>
  <c r="H153" s="1"/>
  <c r="G152"/>
  <c r="H152" s="1"/>
  <c r="G151"/>
  <c r="H151" s="1"/>
  <c r="G150"/>
  <c r="H150" s="1"/>
  <c r="G149"/>
  <c r="H149" s="1"/>
  <c r="G148"/>
  <c r="H148" s="1"/>
  <c r="G147"/>
  <c r="H147" s="1"/>
  <c r="G146"/>
  <c r="H146" s="1"/>
  <c r="G145"/>
  <c r="H145" s="1"/>
  <c r="G144"/>
  <c r="H144" s="1"/>
  <c r="G143"/>
  <c r="H143" s="1"/>
  <c r="G142"/>
  <c r="H142" s="1"/>
  <c r="A142"/>
  <c r="A143" s="1"/>
  <c r="A144" s="1"/>
  <c r="A145" s="1"/>
  <c r="A146" s="1"/>
  <c r="A147" s="1"/>
  <c r="A148" s="1"/>
  <c r="A149" s="1"/>
  <c r="A150" s="1"/>
  <c r="A151" s="1"/>
  <c r="A152" s="1"/>
  <c r="A153" s="1"/>
  <c r="A154" s="1"/>
  <c r="A155" s="1"/>
  <c r="A156" s="1"/>
  <c r="A157" s="1"/>
  <c r="G141"/>
  <c r="F127"/>
  <c r="E127"/>
  <c r="G126"/>
  <c r="H126" s="1"/>
  <c r="G125"/>
  <c r="H125" s="1"/>
  <c r="G124"/>
  <c r="H124" s="1"/>
  <c r="G123"/>
  <c r="H123" s="1"/>
  <c r="G122"/>
  <c r="H122" s="1"/>
  <c r="G121"/>
  <c r="H121" s="1"/>
  <c r="G120"/>
  <c r="H120" s="1"/>
  <c r="G119"/>
  <c r="H119" s="1"/>
  <c r="G118"/>
  <c r="H118" s="1"/>
  <c r="G117"/>
  <c r="H117" s="1"/>
  <c r="G116"/>
  <c r="H116" s="1"/>
  <c r="G115"/>
  <c r="H115" s="1"/>
  <c r="G114"/>
  <c r="H114" s="1"/>
  <c r="G113"/>
  <c r="H113" s="1"/>
  <c r="L113" s="1"/>
  <c r="G112"/>
  <c r="H112" s="1"/>
  <c r="L111"/>
  <c r="H111"/>
  <c r="G110"/>
  <c r="H110" s="1"/>
  <c r="G109"/>
  <c r="H109" s="1"/>
  <c r="G108"/>
  <c r="H108" s="1"/>
  <c r="A108"/>
  <c r="A109" s="1"/>
  <c r="A110" s="1"/>
  <c r="A111" s="1"/>
  <c r="A112" s="1"/>
  <c r="A113" s="1"/>
  <c r="A114" s="1"/>
  <c r="A115" s="1"/>
  <c r="A116" s="1"/>
  <c r="A117" s="1"/>
  <c r="A118" s="1"/>
  <c r="A119" s="1"/>
  <c r="A120" s="1"/>
  <c r="A121" s="1"/>
  <c r="A122" s="1"/>
  <c r="A123" s="1"/>
  <c r="A124" s="1"/>
  <c r="A125" s="1"/>
  <c r="A126" s="1"/>
  <c r="G107"/>
  <c r="F94"/>
  <c r="E94"/>
  <c r="G93"/>
  <c r="H93" s="1"/>
  <c r="G92"/>
  <c r="H92" s="1"/>
  <c r="G91"/>
  <c r="H91" s="1"/>
  <c r="G90"/>
  <c r="H90" s="1"/>
  <c r="G89"/>
  <c r="H89" s="1"/>
  <c r="G88"/>
  <c r="H88" s="1"/>
  <c r="G87"/>
  <c r="H87" s="1"/>
  <c r="G86"/>
  <c r="H86" s="1"/>
  <c r="G85"/>
  <c r="H85" s="1"/>
  <c r="G84"/>
  <c r="H84" s="1"/>
  <c r="G83"/>
  <c r="H83" s="1"/>
  <c r="G82"/>
  <c r="H82" s="1"/>
  <c r="G81"/>
  <c r="H81" s="1"/>
  <c r="G80"/>
  <c r="H80" s="1"/>
  <c r="L79"/>
  <c r="G79"/>
  <c r="H79" s="1"/>
  <c r="L78"/>
  <c r="H78"/>
  <c r="G77"/>
  <c r="H77" s="1"/>
  <c r="G76"/>
  <c r="H76" s="1"/>
  <c r="G75"/>
  <c r="H75" s="1"/>
  <c r="A75"/>
  <c r="A76" s="1"/>
  <c r="A77" s="1"/>
  <c r="A78" s="1"/>
  <c r="A79" s="1"/>
  <c r="A80" s="1"/>
  <c r="A81" s="1"/>
  <c r="A82" s="1"/>
  <c r="A83" s="1"/>
  <c r="A84" s="1"/>
  <c r="A85" s="1"/>
  <c r="A86" s="1"/>
  <c r="A87" s="1"/>
  <c r="A88" s="1"/>
  <c r="A89" s="1"/>
  <c r="A90" s="1"/>
  <c r="A91" s="1"/>
  <c r="A92" s="1"/>
  <c r="A93" s="1"/>
  <c r="G74"/>
  <c r="H74" s="1"/>
  <c r="E61"/>
  <c r="L60"/>
  <c r="G60"/>
  <c r="H60" s="1"/>
  <c r="G59"/>
  <c r="H59" s="1"/>
  <c r="G58"/>
  <c r="H58" s="1"/>
  <c r="G57"/>
  <c r="H57" s="1"/>
  <c r="I57" s="1"/>
  <c r="G56"/>
  <c r="H56" s="1"/>
  <c r="I56" s="1"/>
  <c r="G55"/>
  <c r="H55" s="1"/>
  <c r="I55" s="1"/>
  <c r="G54"/>
  <c r="H54" s="1"/>
  <c r="I54" s="1"/>
  <c r="G53"/>
  <c r="H53" s="1"/>
  <c r="I53" s="1"/>
  <c r="G52"/>
  <c r="H52" s="1"/>
  <c r="I52" s="1"/>
  <c r="G51"/>
  <c r="H51" s="1"/>
  <c r="I51" s="1"/>
  <c r="G50"/>
  <c r="H50" s="1"/>
  <c r="I50" s="1"/>
  <c r="G49"/>
  <c r="H49" s="1"/>
  <c r="I49" s="1"/>
  <c r="G48"/>
  <c r="H48" s="1"/>
  <c r="I48" s="1"/>
  <c r="L47"/>
  <c r="G47"/>
  <c r="H47" s="1"/>
  <c r="L46"/>
  <c r="H46"/>
  <c r="G45"/>
  <c r="H45" s="1"/>
  <c r="G44"/>
  <c r="H44" s="1"/>
  <c r="G43"/>
  <c r="H43" s="1"/>
  <c r="A43"/>
  <c r="A44" s="1"/>
  <c r="A45" s="1"/>
  <c r="A46" s="1"/>
  <c r="A47" s="1"/>
  <c r="A48" s="1"/>
  <c r="A49" s="1"/>
  <c r="A50" s="1"/>
  <c r="A51" s="1"/>
  <c r="A52" s="1"/>
  <c r="A53" s="1"/>
  <c r="A54" s="1"/>
  <c r="A55" s="1"/>
  <c r="A56" s="1"/>
  <c r="A57" s="1"/>
  <c r="A58" s="1"/>
  <c r="A59" s="1"/>
  <c r="A60" s="1"/>
  <c r="G42"/>
  <c r="H42" s="1"/>
  <c r="E25"/>
  <c r="L24"/>
  <c r="G24"/>
  <c r="H24" s="1"/>
  <c r="G23"/>
  <c r="H23" s="1"/>
  <c r="E39" i="38" s="1"/>
  <c r="G22" i="22"/>
  <c r="H22" s="1"/>
  <c r="E38" i="38" s="1"/>
  <c r="G21" i="22"/>
  <c r="H21" s="1"/>
  <c r="G20"/>
  <c r="H20" s="1"/>
  <c r="E36" i="38" s="1"/>
  <c r="G19" i="22"/>
  <c r="H19" s="1"/>
  <c r="E35" i="38" s="1"/>
  <c r="G18" i="22"/>
  <c r="H18" s="1"/>
  <c r="G17"/>
  <c r="H17" s="1"/>
  <c r="G16"/>
  <c r="H16" s="1"/>
  <c r="G15"/>
  <c r="H15" s="1"/>
  <c r="G14"/>
  <c r="H14" s="1"/>
  <c r="E30" i="38" s="1"/>
  <c r="G13" i="22"/>
  <c r="H13" s="1"/>
  <c r="G12"/>
  <c r="H12" s="1"/>
  <c r="G11"/>
  <c r="H11" s="1"/>
  <c r="G10"/>
  <c r="H10" s="1"/>
  <c r="L9"/>
  <c r="H9"/>
  <c r="E25" i="38" s="1"/>
  <c r="G8" i="22"/>
  <c r="H8" s="1"/>
  <c r="G7"/>
  <c r="H7" s="1"/>
  <c r="G6"/>
  <c r="H6" s="1"/>
  <c r="G5"/>
  <c r="H5" s="1"/>
  <c r="A5"/>
  <c r="A6" s="1"/>
  <c r="A7" s="1"/>
  <c r="A8" s="1"/>
  <c r="A9" s="1"/>
  <c r="A10" s="1"/>
  <c r="A11" s="1"/>
  <c r="A12" s="1"/>
  <c r="A13" s="1"/>
  <c r="A14" s="1"/>
  <c r="A15" s="1"/>
  <c r="A16" s="1"/>
  <c r="A17" s="1"/>
  <c r="A18" s="1"/>
  <c r="A19" s="1"/>
  <c r="A20" s="1"/>
  <c r="A21" s="1"/>
  <c r="A22" s="1"/>
  <c r="A23" s="1"/>
  <c r="A24" s="1"/>
  <c r="C5683" i="36"/>
  <c r="D5683" s="1"/>
  <c r="C5682"/>
  <c r="D5682" s="1"/>
  <c r="C5681"/>
  <c r="D5681" s="1"/>
  <c r="C5680"/>
  <c r="D5680" s="1"/>
  <c r="C5679"/>
  <c r="D5679" s="1"/>
  <c r="C5678"/>
  <c r="D5678" s="1"/>
  <c r="C5677"/>
  <c r="D5677" s="1"/>
  <c r="C5676"/>
  <c r="D5676" s="1"/>
  <c r="C5675"/>
  <c r="D5675" s="1"/>
  <c r="C5674"/>
  <c r="D5674" s="1"/>
  <c r="C5673"/>
  <c r="D5673" s="1"/>
  <c r="C5672"/>
  <c r="D5672" s="1"/>
  <c r="C5671"/>
  <c r="D5671" s="1"/>
  <c r="C5670"/>
  <c r="D5670" s="1"/>
  <c r="C5669"/>
  <c r="D5669" s="1"/>
  <c r="C5668"/>
  <c r="D5668" s="1"/>
  <c r="C5667"/>
  <c r="D5667" s="1"/>
  <c r="C5666"/>
  <c r="D5666" s="1"/>
  <c r="C5665"/>
  <c r="D5665" s="1"/>
  <c r="C5664"/>
  <c r="D5664" s="1"/>
  <c r="C5663"/>
  <c r="D5663" s="1"/>
  <c r="C5662"/>
  <c r="D5662" s="1"/>
  <c r="C5661"/>
  <c r="D5661" s="1"/>
  <c r="C5660"/>
  <c r="D5660" s="1"/>
  <c r="C5659"/>
  <c r="D5659" s="1"/>
  <c r="C5658"/>
  <c r="D5658" s="1"/>
  <c r="C5657"/>
  <c r="D5657" s="1"/>
  <c r="C5656"/>
  <c r="D5656" s="1"/>
  <c r="C5655"/>
  <c r="D5655" s="1"/>
  <c r="C5654"/>
  <c r="D5654" s="1"/>
  <c r="C5653"/>
  <c r="D5653" s="1"/>
  <c r="C5652"/>
  <c r="D5652" s="1"/>
  <c r="C5651"/>
  <c r="D5651" s="1"/>
  <c r="C5650"/>
  <c r="D5650" s="1"/>
  <c r="C5649"/>
  <c r="D5649" s="1"/>
  <c r="C5648"/>
  <c r="D5648" s="1"/>
  <c r="C5647"/>
  <c r="D5647" s="1"/>
  <c r="C5646"/>
  <c r="D5646" s="1"/>
  <c r="C5645"/>
  <c r="D5645" s="1"/>
  <c r="C5644"/>
  <c r="D5644" s="1"/>
  <c r="C5643"/>
  <c r="D5643" s="1"/>
  <c r="C5642"/>
  <c r="D5642" s="1"/>
  <c r="C5641"/>
  <c r="D5641" s="1"/>
  <c r="C5640"/>
  <c r="D5640" s="1"/>
  <c r="C5639"/>
  <c r="D5639" s="1"/>
  <c r="C5638"/>
  <c r="D5638" s="1"/>
  <c r="C5637"/>
  <c r="D5637" s="1"/>
  <c r="C5636"/>
  <c r="D5636" s="1"/>
  <c r="C5635"/>
  <c r="D5635" s="1"/>
  <c r="C5634"/>
  <c r="D5634" s="1"/>
  <c r="C5633"/>
  <c r="D5633" s="1"/>
  <c r="C5632"/>
  <c r="D5632" s="1"/>
  <c r="C5631"/>
  <c r="D5631" s="1"/>
  <c r="C5630"/>
  <c r="D5630" s="1"/>
  <c r="C5629"/>
  <c r="D5629" s="1"/>
  <c r="C5628"/>
  <c r="D5628" s="1"/>
  <c r="C5627"/>
  <c r="D5627" s="1"/>
  <c r="C5626"/>
  <c r="D5626" s="1"/>
  <c r="C5625"/>
  <c r="D5625" s="1"/>
  <c r="C5624"/>
  <c r="D5624" s="1"/>
  <c r="C5623"/>
  <c r="D5623" s="1"/>
  <c r="C5622"/>
  <c r="D5622" s="1"/>
  <c r="C5621"/>
  <c r="D5621" s="1"/>
  <c r="C5620"/>
  <c r="D5620" s="1"/>
  <c r="C5619"/>
  <c r="D5619" s="1"/>
  <c r="C5618"/>
  <c r="D5618" s="1"/>
  <c r="C5617"/>
  <c r="D5617" s="1"/>
  <c r="C5616"/>
  <c r="D5616" s="1"/>
  <c r="C5615"/>
  <c r="D5615" s="1"/>
  <c r="C5614"/>
  <c r="D5614" s="1"/>
  <c r="C5613"/>
  <c r="D5613" s="1"/>
  <c r="C5612"/>
  <c r="D5612" s="1"/>
  <c r="C5611"/>
  <c r="D5611" s="1"/>
  <c r="C5610"/>
  <c r="D5610" s="1"/>
  <c r="C5609"/>
  <c r="D5609" s="1"/>
  <c r="C5608"/>
  <c r="D5608" s="1"/>
  <c r="C5607"/>
  <c r="D5607" s="1"/>
  <c r="C5606"/>
  <c r="D5606" s="1"/>
  <c r="C5605"/>
  <c r="D5605" s="1"/>
  <c r="C5604"/>
  <c r="D5604" s="1"/>
  <c r="C5603"/>
  <c r="D5603" s="1"/>
  <c r="C5602"/>
  <c r="D5602" s="1"/>
  <c r="C5601"/>
  <c r="D5601" s="1"/>
  <c r="C5600"/>
  <c r="D5600" s="1"/>
  <c r="C5599"/>
  <c r="D5599" s="1"/>
  <c r="C5598"/>
  <c r="D5598" s="1"/>
  <c r="C5597"/>
  <c r="D5597" s="1"/>
  <c r="C5596"/>
  <c r="D5596" s="1"/>
  <c r="C5595"/>
  <c r="D5595" s="1"/>
  <c r="C5594"/>
  <c r="D5594" s="1"/>
  <c r="C5593"/>
  <c r="D5593" s="1"/>
  <c r="C5592"/>
  <c r="D5592" s="1"/>
  <c r="C5591"/>
  <c r="D5591" s="1"/>
  <c r="C5590"/>
  <c r="D5590" s="1"/>
  <c r="C5589"/>
  <c r="D5589" s="1"/>
  <c r="C5588"/>
  <c r="D5588" s="1"/>
  <c r="C5587"/>
  <c r="D5587" s="1"/>
  <c r="C5586"/>
  <c r="D5586" s="1"/>
  <c r="C5585"/>
  <c r="D5585" s="1"/>
  <c r="C5584"/>
  <c r="D5584" s="1"/>
  <c r="C5583"/>
  <c r="D5583" s="1"/>
  <c r="C5582"/>
  <c r="D5582" s="1"/>
  <c r="C5581"/>
  <c r="D5581" s="1"/>
  <c r="C5580"/>
  <c r="D5580" s="1"/>
  <c r="C5579"/>
  <c r="D5579" s="1"/>
  <c r="C5578"/>
  <c r="D5578" s="1"/>
  <c r="C5577"/>
  <c r="D5577" s="1"/>
  <c r="C5576"/>
  <c r="D5576" s="1"/>
  <c r="C5575"/>
  <c r="D5575" s="1"/>
  <c r="C5574"/>
  <c r="D5574" s="1"/>
  <c r="C5573"/>
  <c r="D5573" s="1"/>
  <c r="C5572"/>
  <c r="D5572" s="1"/>
  <c r="C5571"/>
  <c r="D5571" s="1"/>
  <c r="C5570"/>
  <c r="D5570" s="1"/>
  <c r="C5569"/>
  <c r="D5569" s="1"/>
  <c r="C5568"/>
  <c r="D5568" s="1"/>
  <c r="C5567"/>
  <c r="D5567" s="1"/>
  <c r="C5566"/>
  <c r="D5566" s="1"/>
  <c r="C5565"/>
  <c r="D5565" s="1"/>
  <c r="C5564"/>
  <c r="D5564" s="1"/>
  <c r="C5563"/>
  <c r="D5563" s="1"/>
  <c r="C5562"/>
  <c r="D5562" s="1"/>
  <c r="C5561"/>
  <c r="D5561" s="1"/>
  <c r="C5560"/>
  <c r="D5560" s="1"/>
  <c r="C5559"/>
  <c r="D5559" s="1"/>
  <c r="C5558"/>
  <c r="D5558" s="1"/>
  <c r="C5557"/>
  <c r="D5557" s="1"/>
  <c r="C5556"/>
  <c r="D5556" s="1"/>
  <c r="C5555"/>
  <c r="D5555" s="1"/>
  <c r="C5554"/>
  <c r="D5554" s="1"/>
  <c r="C5553"/>
  <c r="D5553" s="1"/>
  <c r="C5552"/>
  <c r="D5552" s="1"/>
  <c r="C5551"/>
  <c r="D5551" s="1"/>
  <c r="C5550"/>
  <c r="D5550" s="1"/>
  <c r="C5549"/>
  <c r="D5549" s="1"/>
  <c r="C5548"/>
  <c r="D5548" s="1"/>
  <c r="C5547"/>
  <c r="D5547" s="1"/>
  <c r="C5546"/>
  <c r="D5546" s="1"/>
  <c r="C5545"/>
  <c r="D5545" s="1"/>
  <c r="C5544"/>
  <c r="D5544" s="1"/>
  <c r="C5543"/>
  <c r="D5543" s="1"/>
  <c r="C5542"/>
  <c r="D5542" s="1"/>
  <c r="C5541"/>
  <c r="D5541" s="1"/>
  <c r="C5540"/>
  <c r="D5540" s="1"/>
  <c r="C5539"/>
  <c r="D5539" s="1"/>
  <c r="C5538"/>
  <c r="D5538" s="1"/>
  <c r="C5537"/>
  <c r="D5537" s="1"/>
  <c r="C5536"/>
  <c r="D5536" s="1"/>
  <c r="C5535"/>
  <c r="D5535" s="1"/>
  <c r="C5534"/>
  <c r="D5534" s="1"/>
  <c r="C5533"/>
  <c r="D5533" s="1"/>
  <c r="C5532"/>
  <c r="D5532" s="1"/>
  <c r="C5531"/>
  <c r="D5531" s="1"/>
  <c r="C5530"/>
  <c r="D5530" s="1"/>
  <c r="C5529"/>
  <c r="D5529" s="1"/>
  <c r="C5528"/>
  <c r="D5528" s="1"/>
  <c r="C5527"/>
  <c r="D5527" s="1"/>
  <c r="C5526"/>
  <c r="D5526" s="1"/>
  <c r="C5525"/>
  <c r="D5525" s="1"/>
  <c r="C5524"/>
  <c r="D5524" s="1"/>
  <c r="C5523"/>
  <c r="D5523" s="1"/>
  <c r="C5522"/>
  <c r="D5522" s="1"/>
  <c r="C5521"/>
  <c r="D5521" s="1"/>
  <c r="C5520"/>
  <c r="D5520" s="1"/>
  <c r="C5519"/>
  <c r="D5519" s="1"/>
  <c r="C5518"/>
  <c r="D5518" s="1"/>
  <c r="C5517"/>
  <c r="D5517" s="1"/>
  <c r="C5516"/>
  <c r="D5516" s="1"/>
  <c r="C5515"/>
  <c r="D5515" s="1"/>
  <c r="C5514"/>
  <c r="D5514" s="1"/>
  <c r="C5513"/>
  <c r="D5513" s="1"/>
  <c r="C5512"/>
  <c r="D5512" s="1"/>
  <c r="C5511"/>
  <c r="D5511" s="1"/>
  <c r="C5510"/>
  <c r="D5510" s="1"/>
  <c r="C5509"/>
  <c r="D5509" s="1"/>
  <c r="C5508"/>
  <c r="D5508" s="1"/>
  <c r="C5507"/>
  <c r="D5507" s="1"/>
  <c r="C5506"/>
  <c r="D5506" s="1"/>
  <c r="C5505"/>
  <c r="D5505" s="1"/>
  <c r="C5504"/>
  <c r="D5504" s="1"/>
  <c r="C5503"/>
  <c r="D5503" s="1"/>
  <c r="C5502"/>
  <c r="D5502" s="1"/>
  <c r="C5501"/>
  <c r="D5501" s="1"/>
  <c r="C5500"/>
  <c r="D5500" s="1"/>
  <c r="C5499"/>
  <c r="D5499" s="1"/>
  <c r="C5498"/>
  <c r="D5498" s="1"/>
  <c r="C5497"/>
  <c r="D5497" s="1"/>
  <c r="C5496"/>
  <c r="D5496" s="1"/>
  <c r="C5495"/>
  <c r="D5495" s="1"/>
  <c r="C5494"/>
  <c r="D5494" s="1"/>
  <c r="C5493"/>
  <c r="D5493" s="1"/>
  <c r="C5492"/>
  <c r="D5492" s="1"/>
  <c r="C5491"/>
  <c r="D5491" s="1"/>
  <c r="C5490"/>
  <c r="D5490" s="1"/>
  <c r="C5489"/>
  <c r="D5489" s="1"/>
  <c r="C5488"/>
  <c r="D5488" s="1"/>
  <c r="C5487"/>
  <c r="D5487" s="1"/>
  <c r="C5486"/>
  <c r="D5486" s="1"/>
  <c r="C5485"/>
  <c r="D5485" s="1"/>
  <c r="C5484"/>
  <c r="D5484" s="1"/>
  <c r="C5483"/>
  <c r="D5483" s="1"/>
  <c r="C5482"/>
  <c r="D5482" s="1"/>
  <c r="C5481"/>
  <c r="D5481" s="1"/>
  <c r="C5480"/>
  <c r="D5480" s="1"/>
  <c r="C5479"/>
  <c r="D5479" s="1"/>
  <c r="C5478"/>
  <c r="D5478" s="1"/>
  <c r="C5477"/>
  <c r="D5477" s="1"/>
  <c r="C5476"/>
  <c r="D5476" s="1"/>
  <c r="C5475"/>
  <c r="D5475" s="1"/>
  <c r="C5474"/>
  <c r="D5474" s="1"/>
  <c r="C5473"/>
  <c r="D5473" s="1"/>
  <c r="C5472"/>
  <c r="D5472" s="1"/>
  <c r="C5471"/>
  <c r="D5471" s="1"/>
  <c r="C5470"/>
  <c r="D5470" s="1"/>
  <c r="C5469"/>
  <c r="D5469" s="1"/>
  <c r="C5468"/>
  <c r="D5468" s="1"/>
  <c r="C5467"/>
  <c r="D5467" s="1"/>
  <c r="C5466"/>
  <c r="D5466" s="1"/>
  <c r="C5465"/>
  <c r="D5465" s="1"/>
  <c r="C5464"/>
  <c r="D5464" s="1"/>
  <c r="C5463"/>
  <c r="D5463" s="1"/>
  <c r="C5462"/>
  <c r="D5462" s="1"/>
  <c r="C5461"/>
  <c r="D5461" s="1"/>
  <c r="C5460"/>
  <c r="D5460" s="1"/>
  <c r="C5459"/>
  <c r="D5459" s="1"/>
  <c r="C5458"/>
  <c r="D5458" s="1"/>
  <c r="C5457"/>
  <c r="D5457" s="1"/>
  <c r="C5456"/>
  <c r="D5456" s="1"/>
  <c r="C5455"/>
  <c r="D5455" s="1"/>
  <c r="C5454"/>
  <c r="D5454" s="1"/>
  <c r="C5453"/>
  <c r="D5453" s="1"/>
  <c r="C5452"/>
  <c r="D5452" s="1"/>
  <c r="C5451"/>
  <c r="D5451" s="1"/>
  <c r="C5450"/>
  <c r="D5450" s="1"/>
  <c r="C5449"/>
  <c r="D5449" s="1"/>
  <c r="C5448"/>
  <c r="D5448" s="1"/>
  <c r="C5447"/>
  <c r="D5447" s="1"/>
  <c r="C5446"/>
  <c r="D5446" s="1"/>
  <c r="C5445"/>
  <c r="D5445" s="1"/>
  <c r="C5444"/>
  <c r="D5444" s="1"/>
  <c r="C5443"/>
  <c r="D5443" s="1"/>
  <c r="C5442"/>
  <c r="D5442" s="1"/>
  <c r="C5441"/>
  <c r="D5441" s="1"/>
  <c r="C5440"/>
  <c r="D5440" s="1"/>
  <c r="C5439"/>
  <c r="D5439" s="1"/>
  <c r="C5438"/>
  <c r="D5438" s="1"/>
  <c r="C5437"/>
  <c r="D5437" s="1"/>
  <c r="C5436"/>
  <c r="D5436" s="1"/>
  <c r="C5435"/>
  <c r="D5435" s="1"/>
  <c r="C5434"/>
  <c r="D5434" s="1"/>
  <c r="C5433"/>
  <c r="D5433" s="1"/>
  <c r="C5432"/>
  <c r="D5432" s="1"/>
  <c r="C5431"/>
  <c r="D5431" s="1"/>
  <c r="C5430"/>
  <c r="D5430" s="1"/>
  <c r="C5429"/>
  <c r="D5429" s="1"/>
  <c r="C5428"/>
  <c r="D5428" s="1"/>
  <c r="C5427"/>
  <c r="D5427" s="1"/>
  <c r="C5426"/>
  <c r="D5426" s="1"/>
  <c r="C5425"/>
  <c r="D5425" s="1"/>
  <c r="C5424"/>
  <c r="D5424" s="1"/>
  <c r="C5423"/>
  <c r="D5423" s="1"/>
  <c r="C5422"/>
  <c r="D5422" s="1"/>
  <c r="C5421"/>
  <c r="D5421" s="1"/>
  <c r="C5420"/>
  <c r="D5420" s="1"/>
  <c r="C5419"/>
  <c r="D5419" s="1"/>
  <c r="C5418"/>
  <c r="D5418" s="1"/>
  <c r="C5417"/>
  <c r="D5417" s="1"/>
  <c r="C5416"/>
  <c r="D5416" s="1"/>
  <c r="C5415"/>
  <c r="D5415" s="1"/>
  <c r="C5414"/>
  <c r="D5414" s="1"/>
  <c r="C5413"/>
  <c r="D5413" s="1"/>
  <c r="C5412"/>
  <c r="D5412" s="1"/>
  <c r="C5411"/>
  <c r="D5411" s="1"/>
  <c r="C5410"/>
  <c r="D5410" s="1"/>
  <c r="C5409"/>
  <c r="D5409" s="1"/>
  <c r="C5408"/>
  <c r="D5408" s="1"/>
  <c r="C5407"/>
  <c r="D5407" s="1"/>
  <c r="C5406"/>
  <c r="D5406" s="1"/>
  <c r="C5405"/>
  <c r="D5405" s="1"/>
  <c r="C5404"/>
  <c r="D5404" s="1"/>
  <c r="C5403"/>
  <c r="D5403" s="1"/>
  <c r="C5402"/>
  <c r="D5402" s="1"/>
  <c r="C5401"/>
  <c r="D5401" s="1"/>
  <c r="C5400"/>
  <c r="D5400" s="1"/>
  <c r="C5399"/>
  <c r="D5399" s="1"/>
  <c r="C5398"/>
  <c r="D5398" s="1"/>
  <c r="C5397"/>
  <c r="D5397" s="1"/>
  <c r="C5396"/>
  <c r="D5396" s="1"/>
  <c r="C5395"/>
  <c r="D5395" s="1"/>
  <c r="C5394"/>
  <c r="D5394" s="1"/>
  <c r="C5393"/>
  <c r="D5393" s="1"/>
  <c r="C5392"/>
  <c r="D5392" s="1"/>
  <c r="C5391"/>
  <c r="D5391" s="1"/>
  <c r="C5390"/>
  <c r="D5390" s="1"/>
  <c r="C5389"/>
  <c r="D5389" s="1"/>
  <c r="C5388"/>
  <c r="D5388" s="1"/>
  <c r="C5387"/>
  <c r="D5387" s="1"/>
  <c r="C5386"/>
  <c r="D5386" s="1"/>
  <c r="C5385"/>
  <c r="D5385" s="1"/>
  <c r="C5384"/>
  <c r="D5384" s="1"/>
  <c r="C5383"/>
  <c r="D5383" s="1"/>
  <c r="C5382"/>
  <c r="D5382" s="1"/>
  <c r="C5381"/>
  <c r="D5381" s="1"/>
  <c r="C5380"/>
  <c r="D5380" s="1"/>
  <c r="C5379"/>
  <c r="D5379" s="1"/>
  <c r="C5378"/>
  <c r="D5378" s="1"/>
  <c r="C5377"/>
  <c r="D5377" s="1"/>
  <c r="C5376"/>
  <c r="D5376" s="1"/>
  <c r="C5375"/>
  <c r="D5375" s="1"/>
  <c r="C5374"/>
  <c r="D5374" s="1"/>
  <c r="C5373"/>
  <c r="D5373" s="1"/>
  <c r="C5372"/>
  <c r="D5372" s="1"/>
  <c r="C5371"/>
  <c r="D5371" s="1"/>
  <c r="C5370"/>
  <c r="D5370" s="1"/>
  <c r="C5369"/>
  <c r="D5369" s="1"/>
  <c r="C5368"/>
  <c r="D5368" s="1"/>
  <c r="C5367"/>
  <c r="D5367" s="1"/>
  <c r="C5366"/>
  <c r="D5366" s="1"/>
  <c r="C5365"/>
  <c r="D5365" s="1"/>
  <c r="C5364"/>
  <c r="D5364" s="1"/>
  <c r="C5363"/>
  <c r="D5363" s="1"/>
  <c r="C5362"/>
  <c r="D5362" s="1"/>
  <c r="C5361"/>
  <c r="D5361" s="1"/>
  <c r="C5360"/>
  <c r="D5360" s="1"/>
  <c r="C5359"/>
  <c r="D5359" s="1"/>
  <c r="C5358"/>
  <c r="D5358" s="1"/>
  <c r="C5357"/>
  <c r="D5357" s="1"/>
  <c r="C5356"/>
  <c r="D5356" s="1"/>
  <c r="C5355"/>
  <c r="D5355" s="1"/>
  <c r="C5354"/>
  <c r="D5354" s="1"/>
  <c r="C5353"/>
  <c r="D5353" s="1"/>
  <c r="C5352"/>
  <c r="D5352" s="1"/>
  <c r="C5351"/>
  <c r="D5351" s="1"/>
  <c r="C5350"/>
  <c r="D5350" s="1"/>
  <c r="C5349"/>
  <c r="D5349" s="1"/>
  <c r="C5348"/>
  <c r="D5348" s="1"/>
  <c r="C5347"/>
  <c r="D5347" s="1"/>
  <c r="C5346"/>
  <c r="D5346" s="1"/>
  <c r="C5345"/>
  <c r="D5345" s="1"/>
  <c r="C5344"/>
  <c r="D5344" s="1"/>
  <c r="C5343"/>
  <c r="D5343" s="1"/>
  <c r="C5342"/>
  <c r="D5342" s="1"/>
  <c r="C5341"/>
  <c r="D5341" s="1"/>
  <c r="C5340"/>
  <c r="D5340" s="1"/>
  <c r="C5339"/>
  <c r="D5339" s="1"/>
  <c r="C5338"/>
  <c r="D5338" s="1"/>
  <c r="C5337"/>
  <c r="D5337" s="1"/>
  <c r="C5336"/>
  <c r="D5336" s="1"/>
  <c r="C5335"/>
  <c r="D5335" s="1"/>
  <c r="C5334"/>
  <c r="D5334" s="1"/>
  <c r="C5333"/>
  <c r="D5333" s="1"/>
  <c r="C5332"/>
  <c r="D5332" s="1"/>
  <c r="C5331"/>
  <c r="D5331" s="1"/>
  <c r="C5330"/>
  <c r="D5330" s="1"/>
  <c r="C5329"/>
  <c r="D5329" s="1"/>
  <c r="C5328"/>
  <c r="D5328" s="1"/>
  <c r="C5327"/>
  <c r="D5327" s="1"/>
  <c r="C5326"/>
  <c r="D5326" s="1"/>
  <c r="C5325"/>
  <c r="D5325" s="1"/>
  <c r="C5324"/>
  <c r="D5324" s="1"/>
  <c r="C5323"/>
  <c r="D5323" s="1"/>
  <c r="C5322"/>
  <c r="D5322" s="1"/>
  <c r="C5321"/>
  <c r="D5321" s="1"/>
  <c r="C5320"/>
  <c r="D5320" s="1"/>
  <c r="C5319"/>
  <c r="D5319" s="1"/>
  <c r="C5318"/>
  <c r="D5318" s="1"/>
  <c r="C5317"/>
  <c r="D5317" s="1"/>
  <c r="C5316"/>
  <c r="D5316" s="1"/>
  <c r="C5315"/>
  <c r="D5315" s="1"/>
  <c r="C5314"/>
  <c r="D5314" s="1"/>
  <c r="C5313"/>
  <c r="D5313" s="1"/>
  <c r="C5312"/>
  <c r="D5312" s="1"/>
  <c r="C5311"/>
  <c r="D5311" s="1"/>
  <c r="C5310"/>
  <c r="D5310" s="1"/>
  <c r="C5309"/>
  <c r="D5309" s="1"/>
  <c r="C5308"/>
  <c r="D5308" s="1"/>
  <c r="C5307"/>
  <c r="D5307" s="1"/>
  <c r="C5306"/>
  <c r="D5306" s="1"/>
  <c r="C5305"/>
  <c r="D5305" s="1"/>
  <c r="C5304"/>
  <c r="D5304" s="1"/>
  <c r="C5303"/>
  <c r="D5303" s="1"/>
  <c r="C5302"/>
  <c r="D5302" s="1"/>
  <c r="C5301"/>
  <c r="D5301" s="1"/>
  <c r="C5300"/>
  <c r="D5300" s="1"/>
  <c r="C5299"/>
  <c r="D5299" s="1"/>
  <c r="C5298"/>
  <c r="D5298" s="1"/>
  <c r="C5297"/>
  <c r="D5297" s="1"/>
  <c r="C5296"/>
  <c r="D5296" s="1"/>
  <c r="C5295"/>
  <c r="D5295" s="1"/>
  <c r="C5294"/>
  <c r="D5294" s="1"/>
  <c r="C5293"/>
  <c r="D5293" s="1"/>
  <c r="C5292"/>
  <c r="D5292" s="1"/>
  <c r="C5291"/>
  <c r="D5291" s="1"/>
  <c r="C5290"/>
  <c r="D5290" s="1"/>
  <c r="C5289"/>
  <c r="D5289" s="1"/>
  <c r="C5288"/>
  <c r="D5288" s="1"/>
  <c r="C5287"/>
  <c r="D5287" s="1"/>
  <c r="C5286"/>
  <c r="D5286" s="1"/>
  <c r="C5285"/>
  <c r="D5285" s="1"/>
  <c r="C5284"/>
  <c r="D5284" s="1"/>
  <c r="C5283"/>
  <c r="D5283" s="1"/>
  <c r="C5282"/>
  <c r="D5282" s="1"/>
  <c r="C5281"/>
  <c r="D5281" s="1"/>
  <c r="C5280"/>
  <c r="D5280" s="1"/>
  <c r="C5279"/>
  <c r="D5279" s="1"/>
  <c r="C5278"/>
  <c r="D5278" s="1"/>
  <c r="C5277"/>
  <c r="D5277" s="1"/>
  <c r="C5276"/>
  <c r="D5276" s="1"/>
  <c r="C5275"/>
  <c r="D5275" s="1"/>
  <c r="C5274"/>
  <c r="D5274" s="1"/>
  <c r="C5273"/>
  <c r="D5273" s="1"/>
  <c r="C5272"/>
  <c r="D5272" s="1"/>
  <c r="C5271"/>
  <c r="D5271" s="1"/>
  <c r="C5270"/>
  <c r="D5270" s="1"/>
  <c r="C5269"/>
  <c r="D5269" s="1"/>
  <c r="C5268"/>
  <c r="D5268" s="1"/>
  <c r="C5267"/>
  <c r="D5267" s="1"/>
  <c r="C5266"/>
  <c r="D5266" s="1"/>
  <c r="C5265"/>
  <c r="D5265" s="1"/>
  <c r="C5264"/>
  <c r="D5264" s="1"/>
  <c r="C5263"/>
  <c r="D5263" s="1"/>
  <c r="C5262"/>
  <c r="D5262" s="1"/>
  <c r="C5261"/>
  <c r="D5261" s="1"/>
  <c r="C5260"/>
  <c r="D5260" s="1"/>
  <c r="C5259"/>
  <c r="D5259" s="1"/>
  <c r="C5258"/>
  <c r="D5258" s="1"/>
  <c r="C5257"/>
  <c r="D5257" s="1"/>
  <c r="C5256"/>
  <c r="D5256" s="1"/>
  <c r="C5255"/>
  <c r="D5255" s="1"/>
  <c r="C5254"/>
  <c r="D5254" s="1"/>
  <c r="C5253"/>
  <c r="D5253" s="1"/>
  <c r="C5252"/>
  <c r="D5252" s="1"/>
  <c r="C5251"/>
  <c r="D5251" s="1"/>
  <c r="C5250"/>
  <c r="D5250" s="1"/>
  <c r="C5249"/>
  <c r="D5249" s="1"/>
  <c r="C5248"/>
  <c r="D5248" s="1"/>
  <c r="C5247"/>
  <c r="D5247" s="1"/>
  <c r="C5246"/>
  <c r="D5246" s="1"/>
  <c r="C5245"/>
  <c r="D5245" s="1"/>
  <c r="C5244"/>
  <c r="D5244" s="1"/>
  <c r="C5243"/>
  <c r="D5243" s="1"/>
  <c r="C5242"/>
  <c r="D5242" s="1"/>
  <c r="C5241"/>
  <c r="D5241" s="1"/>
  <c r="C5240"/>
  <c r="D5240" s="1"/>
  <c r="C5239"/>
  <c r="D5239" s="1"/>
  <c r="C5238"/>
  <c r="D5238" s="1"/>
  <c r="C5237"/>
  <c r="D5237" s="1"/>
  <c r="C5236"/>
  <c r="D5236" s="1"/>
  <c r="C5235"/>
  <c r="D5235" s="1"/>
  <c r="C5234"/>
  <c r="D5234" s="1"/>
  <c r="C5233"/>
  <c r="D5233" s="1"/>
  <c r="C5232"/>
  <c r="D5232" s="1"/>
  <c r="C5231"/>
  <c r="D5231" s="1"/>
  <c r="C5230"/>
  <c r="D5230" s="1"/>
  <c r="C5229"/>
  <c r="D5229" s="1"/>
  <c r="C5228"/>
  <c r="D5228" s="1"/>
  <c r="C5227"/>
  <c r="D5227" s="1"/>
  <c r="C5226"/>
  <c r="D5226" s="1"/>
  <c r="C5225"/>
  <c r="D5225" s="1"/>
  <c r="C5224"/>
  <c r="D5224" s="1"/>
  <c r="C5223"/>
  <c r="D5223" s="1"/>
  <c r="C5222"/>
  <c r="D5222" s="1"/>
  <c r="C5221"/>
  <c r="D5221" s="1"/>
  <c r="C5220"/>
  <c r="D5220" s="1"/>
  <c r="C5219"/>
  <c r="D5219" s="1"/>
  <c r="C5218"/>
  <c r="D5218" s="1"/>
  <c r="C5217"/>
  <c r="D5217" s="1"/>
  <c r="C5216"/>
  <c r="D5216" s="1"/>
  <c r="C5215"/>
  <c r="D5215" s="1"/>
  <c r="C5214"/>
  <c r="D5214" s="1"/>
  <c r="C5213"/>
  <c r="D5213" s="1"/>
  <c r="C5212"/>
  <c r="D5212" s="1"/>
  <c r="C5211"/>
  <c r="D5211" s="1"/>
  <c r="C5210"/>
  <c r="D5210" s="1"/>
  <c r="C5209"/>
  <c r="D5209" s="1"/>
  <c r="C5208"/>
  <c r="D5208" s="1"/>
  <c r="C5207"/>
  <c r="D5207" s="1"/>
  <c r="C5206"/>
  <c r="D5206" s="1"/>
  <c r="C5205"/>
  <c r="D5205" s="1"/>
  <c r="C5204"/>
  <c r="D5204" s="1"/>
  <c r="C5203"/>
  <c r="D5203" s="1"/>
  <c r="C5202"/>
  <c r="D5202" s="1"/>
  <c r="C5201"/>
  <c r="D5201" s="1"/>
  <c r="C5200"/>
  <c r="D5200" s="1"/>
  <c r="C5199"/>
  <c r="D5199" s="1"/>
  <c r="C5198"/>
  <c r="D5198" s="1"/>
  <c r="C5197"/>
  <c r="D5197" s="1"/>
  <c r="C5196"/>
  <c r="D5196" s="1"/>
  <c r="C5195"/>
  <c r="D5195" s="1"/>
  <c r="C5194"/>
  <c r="D5194" s="1"/>
  <c r="C5193"/>
  <c r="D5193" s="1"/>
  <c r="C5192"/>
  <c r="D5192" s="1"/>
  <c r="C5191"/>
  <c r="D5191" s="1"/>
  <c r="C5190"/>
  <c r="D5190" s="1"/>
  <c r="C5189"/>
  <c r="D5189" s="1"/>
  <c r="C5188"/>
  <c r="D5188" s="1"/>
  <c r="C5187"/>
  <c r="D5187" s="1"/>
  <c r="C5186"/>
  <c r="D5186" s="1"/>
  <c r="C5185"/>
  <c r="D5185" s="1"/>
  <c r="C5184"/>
  <c r="D5184" s="1"/>
  <c r="C5183"/>
  <c r="D5183" s="1"/>
  <c r="C5182"/>
  <c r="D5182" s="1"/>
  <c r="C5181"/>
  <c r="D5181" s="1"/>
  <c r="C5180"/>
  <c r="D5180" s="1"/>
  <c r="C5179"/>
  <c r="D5179" s="1"/>
  <c r="C5178"/>
  <c r="D5178" s="1"/>
  <c r="C5177"/>
  <c r="D5177" s="1"/>
  <c r="C5176"/>
  <c r="D5176" s="1"/>
  <c r="C5175"/>
  <c r="D5175" s="1"/>
  <c r="C5174"/>
  <c r="D5174" s="1"/>
  <c r="C5173"/>
  <c r="D5173" s="1"/>
  <c r="C5172"/>
  <c r="D5172" s="1"/>
  <c r="C5171"/>
  <c r="D5171" s="1"/>
  <c r="C5170"/>
  <c r="D5170" s="1"/>
  <c r="C5169"/>
  <c r="D5169" s="1"/>
  <c r="C5168"/>
  <c r="D5168" s="1"/>
  <c r="C5167"/>
  <c r="D5167" s="1"/>
  <c r="C5166"/>
  <c r="D5166" s="1"/>
  <c r="C5165"/>
  <c r="D5165" s="1"/>
  <c r="C5164"/>
  <c r="D5164" s="1"/>
  <c r="C5163"/>
  <c r="D5163" s="1"/>
  <c r="C5162"/>
  <c r="D5162" s="1"/>
  <c r="C5161"/>
  <c r="D5161" s="1"/>
  <c r="C5160"/>
  <c r="D5160" s="1"/>
  <c r="C5159"/>
  <c r="D5159" s="1"/>
  <c r="C5158"/>
  <c r="D5158" s="1"/>
  <c r="C5157"/>
  <c r="D5157" s="1"/>
  <c r="C5156"/>
  <c r="D5156" s="1"/>
  <c r="C5155"/>
  <c r="D5155" s="1"/>
  <c r="C5154"/>
  <c r="D5154" s="1"/>
  <c r="C5153"/>
  <c r="D5153" s="1"/>
  <c r="C5152"/>
  <c r="D5152" s="1"/>
  <c r="C5151"/>
  <c r="D5151" s="1"/>
  <c r="C5150"/>
  <c r="D5150" s="1"/>
  <c r="C5149"/>
  <c r="D5149" s="1"/>
  <c r="C5148"/>
  <c r="D5148" s="1"/>
  <c r="C5147"/>
  <c r="D5147" s="1"/>
  <c r="C5146"/>
  <c r="D5146" s="1"/>
  <c r="C5145"/>
  <c r="D5145" s="1"/>
  <c r="C5144"/>
  <c r="D5144" s="1"/>
  <c r="C5143"/>
  <c r="D5143" s="1"/>
  <c r="C5142"/>
  <c r="D5142" s="1"/>
  <c r="C5141"/>
  <c r="D5141" s="1"/>
  <c r="C5140"/>
  <c r="D5140" s="1"/>
  <c r="C5139"/>
  <c r="D5139" s="1"/>
  <c r="C5138"/>
  <c r="D5138" s="1"/>
  <c r="C5137"/>
  <c r="D5137" s="1"/>
  <c r="C5136"/>
  <c r="D5136" s="1"/>
  <c r="C5135"/>
  <c r="D5135" s="1"/>
  <c r="C5134"/>
  <c r="D5134" s="1"/>
  <c r="C5133"/>
  <c r="D5133" s="1"/>
  <c r="C5132"/>
  <c r="D5132" s="1"/>
  <c r="C5131"/>
  <c r="D5131" s="1"/>
  <c r="C5130"/>
  <c r="D5130" s="1"/>
  <c r="C5129"/>
  <c r="D5129" s="1"/>
  <c r="C5128"/>
  <c r="D5128" s="1"/>
  <c r="C5127"/>
  <c r="D5127" s="1"/>
  <c r="C5126"/>
  <c r="D5126" s="1"/>
  <c r="C5125"/>
  <c r="D5125" s="1"/>
  <c r="C5124"/>
  <c r="D5124" s="1"/>
  <c r="C5123"/>
  <c r="D5123" s="1"/>
  <c r="C5122"/>
  <c r="D5122" s="1"/>
  <c r="C5121"/>
  <c r="D5121" s="1"/>
  <c r="C5120"/>
  <c r="D5120" s="1"/>
  <c r="C5119"/>
  <c r="D5119" s="1"/>
  <c r="C5118"/>
  <c r="D5118" s="1"/>
  <c r="C5117"/>
  <c r="D5117" s="1"/>
  <c r="C5116"/>
  <c r="D5116" s="1"/>
  <c r="C5115"/>
  <c r="D5115" s="1"/>
  <c r="C5114"/>
  <c r="D5114" s="1"/>
  <c r="C5113"/>
  <c r="D5113" s="1"/>
  <c r="C5112"/>
  <c r="D5112" s="1"/>
  <c r="C5111"/>
  <c r="D5111" s="1"/>
  <c r="C5110"/>
  <c r="D5110" s="1"/>
  <c r="C5109"/>
  <c r="D5109" s="1"/>
  <c r="C5108"/>
  <c r="D5108" s="1"/>
  <c r="C5107"/>
  <c r="D5107" s="1"/>
  <c r="C5106"/>
  <c r="D5106" s="1"/>
  <c r="C5105"/>
  <c r="D5105" s="1"/>
  <c r="C5104"/>
  <c r="D5104" s="1"/>
  <c r="C5103"/>
  <c r="D5103" s="1"/>
  <c r="C5102"/>
  <c r="D5102" s="1"/>
  <c r="C5101"/>
  <c r="D5101" s="1"/>
  <c r="C5100"/>
  <c r="D5100" s="1"/>
  <c r="C5099"/>
  <c r="D5099" s="1"/>
  <c r="C5098"/>
  <c r="D5098" s="1"/>
  <c r="C5097"/>
  <c r="D5097" s="1"/>
  <c r="C5096"/>
  <c r="D5096" s="1"/>
  <c r="C5095"/>
  <c r="D5095" s="1"/>
  <c r="C5094"/>
  <c r="D5094" s="1"/>
  <c r="C5093"/>
  <c r="D5093" s="1"/>
  <c r="C5092"/>
  <c r="D5092" s="1"/>
  <c r="C5091"/>
  <c r="D5091" s="1"/>
  <c r="C5090"/>
  <c r="D5090" s="1"/>
  <c r="C5089"/>
  <c r="D5089" s="1"/>
  <c r="C5088"/>
  <c r="D5088" s="1"/>
  <c r="C5087"/>
  <c r="D5087" s="1"/>
  <c r="C5086"/>
  <c r="D5086" s="1"/>
  <c r="C5085"/>
  <c r="D5085" s="1"/>
  <c r="C5084"/>
  <c r="D5084" s="1"/>
  <c r="C5083"/>
  <c r="D5083" s="1"/>
  <c r="C5082"/>
  <c r="D5082" s="1"/>
  <c r="C5081"/>
  <c r="D5081" s="1"/>
  <c r="C5080"/>
  <c r="D5080" s="1"/>
  <c r="C5079"/>
  <c r="D5079" s="1"/>
  <c r="C5078"/>
  <c r="D5078" s="1"/>
  <c r="C5077"/>
  <c r="D5077" s="1"/>
  <c r="C5076"/>
  <c r="D5076" s="1"/>
  <c r="C5075"/>
  <c r="D5075" s="1"/>
  <c r="C5074"/>
  <c r="D5074" s="1"/>
  <c r="C5073"/>
  <c r="D5073" s="1"/>
  <c r="C5072"/>
  <c r="D5072" s="1"/>
  <c r="C5071"/>
  <c r="D5071" s="1"/>
  <c r="C5070"/>
  <c r="D5070" s="1"/>
  <c r="C5069"/>
  <c r="D5069" s="1"/>
  <c r="C5068"/>
  <c r="D5068" s="1"/>
  <c r="C5067"/>
  <c r="D5067" s="1"/>
  <c r="C5066"/>
  <c r="D5066" s="1"/>
  <c r="C5065"/>
  <c r="D5065" s="1"/>
  <c r="C5064"/>
  <c r="D5064" s="1"/>
  <c r="C5063"/>
  <c r="D5063" s="1"/>
  <c r="C5062"/>
  <c r="D5062" s="1"/>
  <c r="C5061"/>
  <c r="D5061" s="1"/>
  <c r="C5060"/>
  <c r="D5060" s="1"/>
  <c r="C5059"/>
  <c r="D5059" s="1"/>
  <c r="C5058"/>
  <c r="D5058" s="1"/>
  <c r="C5057"/>
  <c r="D5057" s="1"/>
  <c r="D5056"/>
  <c r="C5056"/>
  <c r="C5055"/>
  <c r="D5055" s="1"/>
  <c r="C5054"/>
  <c r="D5054" s="1"/>
  <c r="C5053"/>
  <c r="D5053" s="1"/>
  <c r="C5052"/>
  <c r="D5052" s="1"/>
  <c r="C5051"/>
  <c r="D5051" s="1"/>
  <c r="C5050"/>
  <c r="D5050" s="1"/>
  <c r="C5049"/>
  <c r="D5049" s="1"/>
  <c r="C5048"/>
  <c r="D5048" s="1"/>
  <c r="C5047"/>
  <c r="D5047" s="1"/>
  <c r="C5046"/>
  <c r="D5046" s="1"/>
  <c r="C5045"/>
  <c r="D5045" s="1"/>
  <c r="C5044"/>
  <c r="D5044" s="1"/>
  <c r="C5043"/>
  <c r="D5043" s="1"/>
  <c r="C5042"/>
  <c r="D5042" s="1"/>
  <c r="C5041"/>
  <c r="D5041" s="1"/>
  <c r="C5040"/>
  <c r="D5040" s="1"/>
  <c r="C5039"/>
  <c r="D5039" s="1"/>
  <c r="C5038"/>
  <c r="D5038" s="1"/>
  <c r="C5037"/>
  <c r="D5037" s="1"/>
  <c r="C5036"/>
  <c r="D5036" s="1"/>
  <c r="C5035"/>
  <c r="D5035" s="1"/>
  <c r="C5034"/>
  <c r="D5034" s="1"/>
  <c r="C5033"/>
  <c r="D5033" s="1"/>
  <c r="C5032"/>
  <c r="D5032" s="1"/>
  <c r="C5031"/>
  <c r="D5031" s="1"/>
  <c r="C5030"/>
  <c r="D5030" s="1"/>
  <c r="C5029"/>
  <c r="D5029" s="1"/>
  <c r="C5028"/>
  <c r="D5028" s="1"/>
  <c r="C5027"/>
  <c r="D5027" s="1"/>
  <c r="C5026"/>
  <c r="D5026" s="1"/>
  <c r="C5025"/>
  <c r="D5025" s="1"/>
  <c r="C5024"/>
  <c r="D5024" s="1"/>
  <c r="C5023"/>
  <c r="D5023" s="1"/>
  <c r="C5022"/>
  <c r="D5022" s="1"/>
  <c r="C5021"/>
  <c r="D5021" s="1"/>
  <c r="C5020"/>
  <c r="D5020" s="1"/>
  <c r="C5019"/>
  <c r="D5019" s="1"/>
  <c r="C5018"/>
  <c r="D5018" s="1"/>
  <c r="C5017"/>
  <c r="D5017" s="1"/>
  <c r="C5016"/>
  <c r="D5016" s="1"/>
  <c r="C5015"/>
  <c r="D5015" s="1"/>
  <c r="C5014"/>
  <c r="D5014" s="1"/>
  <c r="C5013"/>
  <c r="D5013" s="1"/>
  <c r="C5012"/>
  <c r="D5012" s="1"/>
  <c r="C5011"/>
  <c r="D5011" s="1"/>
  <c r="C5010"/>
  <c r="D5010" s="1"/>
  <c r="C5009"/>
  <c r="D5009" s="1"/>
  <c r="C5008"/>
  <c r="D5008" s="1"/>
  <c r="C5007"/>
  <c r="D5007" s="1"/>
  <c r="C5006"/>
  <c r="D5006" s="1"/>
  <c r="C5005"/>
  <c r="D5005" s="1"/>
  <c r="C5004"/>
  <c r="D5004" s="1"/>
  <c r="C5003"/>
  <c r="D5003" s="1"/>
  <c r="C5002"/>
  <c r="D5002" s="1"/>
  <c r="C5001"/>
  <c r="D5001" s="1"/>
  <c r="C5000"/>
  <c r="D5000" s="1"/>
  <c r="C4999"/>
  <c r="D4999" s="1"/>
  <c r="C4998"/>
  <c r="D4998" s="1"/>
  <c r="C4997"/>
  <c r="D4997" s="1"/>
  <c r="C4996"/>
  <c r="D4996" s="1"/>
  <c r="C4995"/>
  <c r="D4995" s="1"/>
  <c r="C4994"/>
  <c r="D4994" s="1"/>
  <c r="C4993"/>
  <c r="D4993" s="1"/>
  <c r="C4992"/>
  <c r="D4992" s="1"/>
  <c r="C4991"/>
  <c r="D4991" s="1"/>
  <c r="C4990"/>
  <c r="D4990" s="1"/>
  <c r="C4989"/>
  <c r="D4989" s="1"/>
  <c r="C4988"/>
  <c r="D4988" s="1"/>
  <c r="C4987"/>
  <c r="D4987" s="1"/>
  <c r="C4986"/>
  <c r="D4986" s="1"/>
  <c r="C4985"/>
  <c r="D4985" s="1"/>
  <c r="C4984"/>
  <c r="D4984" s="1"/>
  <c r="C4983"/>
  <c r="D4983" s="1"/>
  <c r="C4982"/>
  <c r="D4982" s="1"/>
  <c r="D4981"/>
  <c r="C4981"/>
  <c r="C4980"/>
  <c r="D4980" s="1"/>
  <c r="C4979"/>
  <c r="D4979" s="1"/>
  <c r="C4978"/>
  <c r="D4978" s="1"/>
  <c r="C4977"/>
  <c r="D4977" s="1"/>
  <c r="C4976"/>
  <c r="D4976" s="1"/>
  <c r="C4975"/>
  <c r="D4975" s="1"/>
  <c r="C4974"/>
  <c r="D4974" s="1"/>
  <c r="C4973"/>
  <c r="D4973" s="1"/>
  <c r="C4972"/>
  <c r="D4972" s="1"/>
  <c r="C4971"/>
  <c r="D4971" s="1"/>
  <c r="C4970"/>
  <c r="D4970" s="1"/>
  <c r="C4969"/>
  <c r="D4969" s="1"/>
  <c r="C4968"/>
  <c r="D4968" s="1"/>
  <c r="C4967"/>
  <c r="D4967" s="1"/>
  <c r="C4966"/>
  <c r="D4966" s="1"/>
  <c r="C4965"/>
  <c r="D4965" s="1"/>
  <c r="C4964"/>
  <c r="D4964" s="1"/>
  <c r="C4963"/>
  <c r="D4963" s="1"/>
  <c r="C4962"/>
  <c r="D4962" s="1"/>
  <c r="C4961"/>
  <c r="D4961" s="1"/>
  <c r="C4960"/>
  <c r="D4960" s="1"/>
  <c r="C4959"/>
  <c r="D4959" s="1"/>
  <c r="C4958"/>
  <c r="D4958" s="1"/>
  <c r="C4957"/>
  <c r="D4957" s="1"/>
  <c r="C4956"/>
  <c r="D4956" s="1"/>
  <c r="C4955"/>
  <c r="D4955" s="1"/>
  <c r="C4954"/>
  <c r="D4954" s="1"/>
  <c r="C4953"/>
  <c r="D4953" s="1"/>
  <c r="C4952"/>
  <c r="D4952" s="1"/>
  <c r="C4951"/>
  <c r="D4951" s="1"/>
  <c r="C4950"/>
  <c r="D4950" s="1"/>
  <c r="D4949"/>
  <c r="C4949"/>
  <c r="C4948"/>
  <c r="D4948" s="1"/>
  <c r="C4947"/>
  <c r="D4947" s="1"/>
  <c r="C4946"/>
  <c r="D4946" s="1"/>
  <c r="C4945"/>
  <c r="D4945" s="1"/>
  <c r="C4944"/>
  <c r="D4944" s="1"/>
  <c r="C4943"/>
  <c r="D4943" s="1"/>
  <c r="C4942"/>
  <c r="D4942" s="1"/>
  <c r="C4941"/>
  <c r="D4941" s="1"/>
  <c r="C4940"/>
  <c r="D4940" s="1"/>
  <c r="C4939"/>
  <c r="D4939" s="1"/>
  <c r="C4938"/>
  <c r="D4938" s="1"/>
  <c r="C4937"/>
  <c r="D4937" s="1"/>
  <c r="C4936"/>
  <c r="D4936" s="1"/>
  <c r="C4935"/>
  <c r="D4935" s="1"/>
  <c r="C4934"/>
  <c r="D4934" s="1"/>
  <c r="C4933"/>
  <c r="D4933" s="1"/>
  <c r="C4932"/>
  <c r="D4932" s="1"/>
  <c r="C4931"/>
  <c r="D4931" s="1"/>
  <c r="C4930"/>
  <c r="D4930" s="1"/>
  <c r="C4929"/>
  <c r="D4929" s="1"/>
  <c r="C4928"/>
  <c r="D4928" s="1"/>
  <c r="C4927"/>
  <c r="D4927" s="1"/>
  <c r="C4926"/>
  <c r="D4926" s="1"/>
  <c r="C4925"/>
  <c r="D4925" s="1"/>
  <c r="C4924"/>
  <c r="D4924" s="1"/>
  <c r="C4923"/>
  <c r="D4923" s="1"/>
  <c r="C4922"/>
  <c r="D4922" s="1"/>
  <c r="C4921"/>
  <c r="D4921" s="1"/>
  <c r="C4920"/>
  <c r="D4920" s="1"/>
  <c r="C4919"/>
  <c r="D4919" s="1"/>
  <c r="C4918"/>
  <c r="D4918" s="1"/>
  <c r="D4917"/>
  <c r="C4917"/>
  <c r="C4916"/>
  <c r="D4916" s="1"/>
  <c r="C4915"/>
  <c r="D4915" s="1"/>
  <c r="C4914"/>
  <c r="D4914" s="1"/>
  <c r="C4913"/>
  <c r="D4913" s="1"/>
  <c r="C4912"/>
  <c r="D4912" s="1"/>
  <c r="C4911"/>
  <c r="D4911" s="1"/>
  <c r="C4910"/>
  <c r="D4910" s="1"/>
  <c r="C4909"/>
  <c r="D4909" s="1"/>
  <c r="C4908"/>
  <c r="D4908" s="1"/>
  <c r="C4907"/>
  <c r="D4907" s="1"/>
  <c r="C4906"/>
  <c r="D4906" s="1"/>
  <c r="C4905"/>
  <c r="D4905" s="1"/>
  <c r="C4904"/>
  <c r="D4904" s="1"/>
  <c r="C4903"/>
  <c r="D4903" s="1"/>
  <c r="C4902"/>
  <c r="D4902" s="1"/>
  <c r="C4901"/>
  <c r="D4901" s="1"/>
  <c r="C4900"/>
  <c r="D4900" s="1"/>
  <c r="C4899"/>
  <c r="D4899" s="1"/>
  <c r="C4898"/>
  <c r="D4898" s="1"/>
  <c r="C4897"/>
  <c r="D4897" s="1"/>
  <c r="C4896"/>
  <c r="D4896" s="1"/>
  <c r="C4895"/>
  <c r="D4895" s="1"/>
  <c r="C4894"/>
  <c r="D4894" s="1"/>
  <c r="C4893"/>
  <c r="D4893" s="1"/>
  <c r="C4892"/>
  <c r="D4892" s="1"/>
  <c r="C4891"/>
  <c r="D4891" s="1"/>
  <c r="C4890"/>
  <c r="D4890" s="1"/>
  <c r="C4889"/>
  <c r="D4889" s="1"/>
  <c r="C4888"/>
  <c r="D4888" s="1"/>
  <c r="C4887"/>
  <c r="D4887" s="1"/>
  <c r="C4886"/>
  <c r="D4886" s="1"/>
  <c r="D4885"/>
  <c r="C4885"/>
  <c r="C4884"/>
  <c r="D4884" s="1"/>
  <c r="C4883"/>
  <c r="D4883" s="1"/>
  <c r="C4882"/>
  <c r="D4882" s="1"/>
  <c r="C4881"/>
  <c r="D4881" s="1"/>
  <c r="C4880"/>
  <c r="D4880" s="1"/>
  <c r="C4879"/>
  <c r="D4879" s="1"/>
  <c r="C4878"/>
  <c r="D4878" s="1"/>
  <c r="C4877"/>
  <c r="D4877" s="1"/>
  <c r="C4876"/>
  <c r="D4876" s="1"/>
  <c r="C4875"/>
  <c r="D4875" s="1"/>
  <c r="C4874"/>
  <c r="D4874" s="1"/>
  <c r="C4873"/>
  <c r="D4873" s="1"/>
  <c r="C4872"/>
  <c r="D4872" s="1"/>
  <c r="C4871"/>
  <c r="D4871" s="1"/>
  <c r="C4870"/>
  <c r="D4870" s="1"/>
  <c r="C4869"/>
  <c r="D4869" s="1"/>
  <c r="C4868"/>
  <c r="D4868" s="1"/>
  <c r="C4867"/>
  <c r="D4867" s="1"/>
  <c r="C4866"/>
  <c r="D4866" s="1"/>
  <c r="C4865"/>
  <c r="D4865" s="1"/>
  <c r="C4864"/>
  <c r="D4864" s="1"/>
  <c r="C4863"/>
  <c r="D4863" s="1"/>
  <c r="C4862"/>
  <c r="D4862" s="1"/>
  <c r="C4861"/>
  <c r="D4861" s="1"/>
  <c r="C4860"/>
  <c r="D4860" s="1"/>
  <c r="C4859"/>
  <c r="D4859" s="1"/>
  <c r="C4858"/>
  <c r="D4858" s="1"/>
  <c r="C4857"/>
  <c r="D4857" s="1"/>
  <c r="C4856"/>
  <c r="D4856" s="1"/>
  <c r="C4855"/>
  <c r="D4855" s="1"/>
  <c r="C4854"/>
  <c r="D4854" s="1"/>
  <c r="C4853"/>
  <c r="D4853" s="1"/>
  <c r="C4852"/>
  <c r="D4852" s="1"/>
  <c r="C4851"/>
  <c r="D4851" s="1"/>
  <c r="C4850"/>
  <c r="D4850" s="1"/>
  <c r="C4849"/>
  <c r="D4849" s="1"/>
  <c r="C4848"/>
  <c r="D4848" s="1"/>
  <c r="C4847"/>
  <c r="D4847" s="1"/>
  <c r="C4846"/>
  <c r="D4846" s="1"/>
  <c r="C4845"/>
  <c r="D4845" s="1"/>
  <c r="C4844"/>
  <c r="D4844" s="1"/>
  <c r="C4843"/>
  <c r="D4843" s="1"/>
  <c r="C4842"/>
  <c r="D4842" s="1"/>
  <c r="C4841"/>
  <c r="D4841" s="1"/>
  <c r="C4840"/>
  <c r="D4840" s="1"/>
  <c r="C4839"/>
  <c r="D4839" s="1"/>
  <c r="C4838"/>
  <c r="D4838" s="1"/>
  <c r="C4837"/>
  <c r="D4837" s="1"/>
  <c r="C4836"/>
  <c r="D4836" s="1"/>
  <c r="C4835"/>
  <c r="D4835" s="1"/>
  <c r="C4834"/>
  <c r="D4834" s="1"/>
  <c r="C4833"/>
  <c r="D4833" s="1"/>
  <c r="C4832"/>
  <c r="D4832" s="1"/>
  <c r="C4831"/>
  <c r="D4831" s="1"/>
  <c r="C4830"/>
  <c r="D4830" s="1"/>
  <c r="C4829"/>
  <c r="D4829" s="1"/>
  <c r="C4828"/>
  <c r="D4828" s="1"/>
  <c r="C4827"/>
  <c r="D4827" s="1"/>
  <c r="C4826"/>
  <c r="D4826" s="1"/>
  <c r="C4825"/>
  <c r="D4825" s="1"/>
  <c r="C4824"/>
  <c r="D4824" s="1"/>
  <c r="C4823"/>
  <c r="D4823" s="1"/>
  <c r="C4822"/>
  <c r="D4822" s="1"/>
  <c r="C4821"/>
  <c r="D4821" s="1"/>
  <c r="C4820"/>
  <c r="D4820" s="1"/>
  <c r="C4819"/>
  <c r="D4819" s="1"/>
  <c r="C4818"/>
  <c r="D4818" s="1"/>
  <c r="C4817"/>
  <c r="D4817" s="1"/>
  <c r="C4816"/>
  <c r="D4816" s="1"/>
  <c r="C4815"/>
  <c r="D4815" s="1"/>
  <c r="C4814"/>
  <c r="D4814" s="1"/>
  <c r="C4813"/>
  <c r="D4813" s="1"/>
  <c r="C4812"/>
  <c r="D4812" s="1"/>
  <c r="C4811"/>
  <c r="D4811" s="1"/>
  <c r="C4810"/>
  <c r="D4810" s="1"/>
  <c r="C4809"/>
  <c r="D4809" s="1"/>
  <c r="C4808"/>
  <c r="D4808" s="1"/>
  <c r="C4807"/>
  <c r="D4807" s="1"/>
  <c r="C4806"/>
  <c r="D4806" s="1"/>
  <c r="C4805"/>
  <c r="D4805" s="1"/>
  <c r="C4804"/>
  <c r="D4804" s="1"/>
  <c r="C4803"/>
  <c r="D4803" s="1"/>
  <c r="C4802"/>
  <c r="D4802" s="1"/>
  <c r="C4801"/>
  <c r="D4801" s="1"/>
  <c r="C4800"/>
  <c r="D4800" s="1"/>
  <c r="C4799"/>
  <c r="D4799" s="1"/>
  <c r="C4798"/>
  <c r="D4798" s="1"/>
  <c r="C4797"/>
  <c r="D4797" s="1"/>
  <c r="C4796"/>
  <c r="D4796" s="1"/>
  <c r="C4795"/>
  <c r="D4795" s="1"/>
  <c r="C4794"/>
  <c r="D4794" s="1"/>
  <c r="C4793"/>
  <c r="D4793" s="1"/>
  <c r="C4792"/>
  <c r="D4792" s="1"/>
  <c r="C4791"/>
  <c r="D4791" s="1"/>
  <c r="C4790"/>
  <c r="D4790" s="1"/>
  <c r="C4789"/>
  <c r="D4789" s="1"/>
  <c r="C4788"/>
  <c r="D4788" s="1"/>
  <c r="C4787"/>
  <c r="D4787" s="1"/>
  <c r="C4786"/>
  <c r="D4786" s="1"/>
  <c r="C4785"/>
  <c r="D4785" s="1"/>
  <c r="C4784"/>
  <c r="D4784" s="1"/>
  <c r="C4783"/>
  <c r="D4783" s="1"/>
  <c r="C4782"/>
  <c r="D4782" s="1"/>
  <c r="C4781"/>
  <c r="D4781" s="1"/>
  <c r="C4780"/>
  <c r="D4780" s="1"/>
  <c r="C4779"/>
  <c r="D4779" s="1"/>
  <c r="C4778"/>
  <c r="D4778" s="1"/>
  <c r="C4777"/>
  <c r="D4777" s="1"/>
  <c r="C4776"/>
  <c r="D4776" s="1"/>
  <c r="C4775"/>
  <c r="D4775" s="1"/>
  <c r="C4774"/>
  <c r="D4774" s="1"/>
  <c r="C4773"/>
  <c r="D4773" s="1"/>
  <c r="C4772"/>
  <c r="D4772" s="1"/>
  <c r="C4771"/>
  <c r="D4771" s="1"/>
  <c r="C4770"/>
  <c r="D4770" s="1"/>
  <c r="C4769"/>
  <c r="D4769" s="1"/>
  <c r="C4768"/>
  <c r="D4768" s="1"/>
  <c r="C4767"/>
  <c r="D4767" s="1"/>
  <c r="C4766"/>
  <c r="D4766" s="1"/>
  <c r="C4765"/>
  <c r="D4765" s="1"/>
  <c r="C4764"/>
  <c r="D4764" s="1"/>
  <c r="C4763"/>
  <c r="D4763" s="1"/>
  <c r="C4762"/>
  <c r="D4762" s="1"/>
  <c r="C4761"/>
  <c r="D4761" s="1"/>
  <c r="C4760"/>
  <c r="D4760" s="1"/>
  <c r="C4759"/>
  <c r="D4759" s="1"/>
  <c r="C4758"/>
  <c r="D4758" s="1"/>
  <c r="C4757"/>
  <c r="D4757" s="1"/>
  <c r="C4756"/>
  <c r="D4756" s="1"/>
  <c r="C4755"/>
  <c r="D4755" s="1"/>
  <c r="C4754"/>
  <c r="D4754" s="1"/>
  <c r="C4753"/>
  <c r="D4753" s="1"/>
  <c r="C4752"/>
  <c r="D4752" s="1"/>
  <c r="C4751"/>
  <c r="D4751" s="1"/>
  <c r="C4750"/>
  <c r="D4750" s="1"/>
  <c r="C4749"/>
  <c r="D4749" s="1"/>
  <c r="C4748"/>
  <c r="D4748" s="1"/>
  <c r="C4747"/>
  <c r="D4747" s="1"/>
  <c r="C4746"/>
  <c r="D4746" s="1"/>
  <c r="C4745"/>
  <c r="D4745" s="1"/>
  <c r="C4744"/>
  <c r="D4744" s="1"/>
  <c r="C4743"/>
  <c r="D4743" s="1"/>
  <c r="C4742"/>
  <c r="D4742" s="1"/>
  <c r="C4741"/>
  <c r="D4741" s="1"/>
  <c r="C4740"/>
  <c r="D4740" s="1"/>
  <c r="C4739"/>
  <c r="D4739" s="1"/>
  <c r="C4738"/>
  <c r="D4738" s="1"/>
  <c r="C4737"/>
  <c r="D4737" s="1"/>
  <c r="C4736"/>
  <c r="D4736" s="1"/>
  <c r="C4735"/>
  <c r="D4735" s="1"/>
  <c r="C4734"/>
  <c r="D4734" s="1"/>
  <c r="C4733"/>
  <c r="D4733" s="1"/>
  <c r="C4732"/>
  <c r="D4732" s="1"/>
  <c r="C4731"/>
  <c r="D4731" s="1"/>
  <c r="C4730"/>
  <c r="D4730" s="1"/>
  <c r="C4729"/>
  <c r="D4729" s="1"/>
  <c r="C4728"/>
  <c r="D4728" s="1"/>
  <c r="C4727"/>
  <c r="D4727" s="1"/>
  <c r="C4726"/>
  <c r="D4726" s="1"/>
  <c r="C4725"/>
  <c r="D4725" s="1"/>
  <c r="C4724"/>
  <c r="D4724" s="1"/>
  <c r="C4723"/>
  <c r="D4723" s="1"/>
  <c r="C4722"/>
  <c r="D4722" s="1"/>
  <c r="C4721"/>
  <c r="D4721" s="1"/>
  <c r="C4720"/>
  <c r="D4720" s="1"/>
  <c r="C4719"/>
  <c r="D4719" s="1"/>
  <c r="C4718"/>
  <c r="D4718" s="1"/>
  <c r="C4717"/>
  <c r="D4717" s="1"/>
  <c r="C4716"/>
  <c r="D4716" s="1"/>
  <c r="C4715"/>
  <c r="D4715" s="1"/>
  <c r="C4714"/>
  <c r="D4714" s="1"/>
  <c r="C4713"/>
  <c r="D4713" s="1"/>
  <c r="C4712"/>
  <c r="D4712" s="1"/>
  <c r="C4711"/>
  <c r="D4711" s="1"/>
  <c r="C4710"/>
  <c r="D4710" s="1"/>
  <c r="C4709"/>
  <c r="D4709" s="1"/>
  <c r="C4708"/>
  <c r="D4708" s="1"/>
  <c r="C4707"/>
  <c r="D4707" s="1"/>
  <c r="C4706"/>
  <c r="D4706" s="1"/>
  <c r="C4705"/>
  <c r="D4705" s="1"/>
  <c r="C4704"/>
  <c r="D4704" s="1"/>
  <c r="C4703"/>
  <c r="D4703" s="1"/>
  <c r="C4702"/>
  <c r="D4702" s="1"/>
  <c r="C4701"/>
  <c r="D4701" s="1"/>
  <c r="C4700"/>
  <c r="D4700" s="1"/>
  <c r="C4699"/>
  <c r="D4699" s="1"/>
  <c r="C4698"/>
  <c r="D4698" s="1"/>
  <c r="C4697"/>
  <c r="D4697" s="1"/>
  <c r="C4696"/>
  <c r="D4696" s="1"/>
  <c r="C4695"/>
  <c r="D4695" s="1"/>
  <c r="C4694"/>
  <c r="D4694" s="1"/>
  <c r="C4693"/>
  <c r="D4693" s="1"/>
  <c r="C4692"/>
  <c r="D4692" s="1"/>
  <c r="C4691"/>
  <c r="D4691" s="1"/>
  <c r="C4690"/>
  <c r="D4690" s="1"/>
  <c r="C4689"/>
  <c r="D4689" s="1"/>
  <c r="C4688"/>
  <c r="D4688" s="1"/>
  <c r="C4687"/>
  <c r="D4687" s="1"/>
  <c r="C4686"/>
  <c r="D4686" s="1"/>
  <c r="C4685"/>
  <c r="D4685" s="1"/>
  <c r="C4684"/>
  <c r="D4684" s="1"/>
  <c r="C4683"/>
  <c r="D4683" s="1"/>
  <c r="C4682"/>
  <c r="D4682" s="1"/>
  <c r="C4681"/>
  <c r="D4681" s="1"/>
  <c r="C4680"/>
  <c r="D4680" s="1"/>
  <c r="C4679"/>
  <c r="D4679" s="1"/>
  <c r="C4678"/>
  <c r="D4678" s="1"/>
  <c r="C4677"/>
  <c r="D4677" s="1"/>
  <c r="C4676"/>
  <c r="D4676" s="1"/>
  <c r="C4675"/>
  <c r="D4675" s="1"/>
  <c r="C4674"/>
  <c r="D4674" s="1"/>
  <c r="C4673"/>
  <c r="D4673" s="1"/>
  <c r="C4672"/>
  <c r="D4672" s="1"/>
  <c r="C4671"/>
  <c r="D4671" s="1"/>
  <c r="C4670"/>
  <c r="D4670" s="1"/>
  <c r="C4669"/>
  <c r="D4669" s="1"/>
  <c r="C4668"/>
  <c r="D4668" s="1"/>
  <c r="C4667"/>
  <c r="D4667" s="1"/>
  <c r="C4666"/>
  <c r="D4666" s="1"/>
  <c r="C4665"/>
  <c r="D4665" s="1"/>
  <c r="C4664"/>
  <c r="D4664" s="1"/>
  <c r="C4663"/>
  <c r="D4663" s="1"/>
  <c r="C4662"/>
  <c r="D4662" s="1"/>
  <c r="C4661"/>
  <c r="D4661" s="1"/>
  <c r="C4660"/>
  <c r="D4660" s="1"/>
  <c r="C4659"/>
  <c r="D4659" s="1"/>
  <c r="C4658"/>
  <c r="D4658" s="1"/>
  <c r="C4657"/>
  <c r="D4657" s="1"/>
  <c r="C4656"/>
  <c r="D4656" s="1"/>
  <c r="C4655"/>
  <c r="D4655" s="1"/>
  <c r="C4654"/>
  <c r="D4654" s="1"/>
  <c r="C4653"/>
  <c r="D4653" s="1"/>
  <c r="C4652"/>
  <c r="D4652" s="1"/>
  <c r="C4651"/>
  <c r="D4651" s="1"/>
  <c r="C4650"/>
  <c r="D4650" s="1"/>
  <c r="C4649"/>
  <c r="D4649" s="1"/>
  <c r="C4648"/>
  <c r="D4648" s="1"/>
  <c r="C4647"/>
  <c r="D4647" s="1"/>
  <c r="C4646"/>
  <c r="D4646" s="1"/>
  <c r="C4645"/>
  <c r="D4645" s="1"/>
  <c r="C4644"/>
  <c r="D4644" s="1"/>
  <c r="C4643"/>
  <c r="D4643" s="1"/>
  <c r="C4642"/>
  <c r="D4642" s="1"/>
  <c r="C4641"/>
  <c r="D4641" s="1"/>
  <c r="C4640"/>
  <c r="D4640" s="1"/>
  <c r="C4639"/>
  <c r="D4639" s="1"/>
  <c r="C4638"/>
  <c r="D4638" s="1"/>
  <c r="C4637"/>
  <c r="D4637" s="1"/>
  <c r="C4636"/>
  <c r="D4636" s="1"/>
  <c r="C4635"/>
  <c r="D4635" s="1"/>
  <c r="C4634"/>
  <c r="D4634" s="1"/>
  <c r="C4633"/>
  <c r="D4633" s="1"/>
  <c r="C4632"/>
  <c r="D4632" s="1"/>
  <c r="C4631"/>
  <c r="D4631" s="1"/>
  <c r="C4630"/>
  <c r="D4630" s="1"/>
  <c r="C4629"/>
  <c r="D4629" s="1"/>
  <c r="C4628"/>
  <c r="D4628" s="1"/>
  <c r="C4627"/>
  <c r="D4627" s="1"/>
  <c r="C4626"/>
  <c r="D4626" s="1"/>
  <c r="C4625"/>
  <c r="D4625" s="1"/>
  <c r="C4624"/>
  <c r="D4624" s="1"/>
  <c r="C4623"/>
  <c r="D4623" s="1"/>
  <c r="C4622"/>
  <c r="D4622" s="1"/>
  <c r="C4621"/>
  <c r="D4621" s="1"/>
  <c r="C4620"/>
  <c r="D4620" s="1"/>
  <c r="C4619"/>
  <c r="D4619" s="1"/>
  <c r="C4618"/>
  <c r="D4618" s="1"/>
  <c r="C4617"/>
  <c r="D4617" s="1"/>
  <c r="C4616"/>
  <c r="D4616" s="1"/>
  <c r="C4615"/>
  <c r="D4615" s="1"/>
  <c r="C4614"/>
  <c r="D4614" s="1"/>
  <c r="C4613"/>
  <c r="D4613" s="1"/>
  <c r="C4612"/>
  <c r="D4612" s="1"/>
  <c r="C4611"/>
  <c r="D4611" s="1"/>
  <c r="C4610"/>
  <c r="D4610" s="1"/>
  <c r="C4609"/>
  <c r="D4609" s="1"/>
  <c r="C4608"/>
  <c r="D4608" s="1"/>
  <c r="C4607"/>
  <c r="D4607" s="1"/>
  <c r="C4606"/>
  <c r="D4606" s="1"/>
  <c r="C4605"/>
  <c r="D4605" s="1"/>
  <c r="C4604"/>
  <c r="D4604" s="1"/>
  <c r="C4603"/>
  <c r="D4603" s="1"/>
  <c r="C4602"/>
  <c r="D4602" s="1"/>
  <c r="C4601"/>
  <c r="D4601" s="1"/>
  <c r="C4600"/>
  <c r="D4600" s="1"/>
  <c r="C4599"/>
  <c r="D4599" s="1"/>
  <c r="C4598"/>
  <c r="D4598" s="1"/>
  <c r="C4597"/>
  <c r="D4597" s="1"/>
  <c r="C4596"/>
  <c r="D4596" s="1"/>
  <c r="C4595"/>
  <c r="D4595" s="1"/>
  <c r="C4594"/>
  <c r="D4594" s="1"/>
  <c r="C4593"/>
  <c r="D4593" s="1"/>
  <c r="C4592"/>
  <c r="D4592" s="1"/>
  <c r="C4591"/>
  <c r="D4591" s="1"/>
  <c r="C4590"/>
  <c r="D4590" s="1"/>
  <c r="C4589"/>
  <c r="D4589" s="1"/>
  <c r="C4588"/>
  <c r="D4588" s="1"/>
  <c r="C4587"/>
  <c r="D4587" s="1"/>
  <c r="C4586"/>
  <c r="D4586" s="1"/>
  <c r="C4585"/>
  <c r="D4585" s="1"/>
  <c r="C4584"/>
  <c r="D4584" s="1"/>
  <c r="C4583"/>
  <c r="D4583" s="1"/>
  <c r="C4582"/>
  <c r="D4582" s="1"/>
  <c r="C4581"/>
  <c r="D4581" s="1"/>
  <c r="C4580"/>
  <c r="D4580" s="1"/>
  <c r="C4579"/>
  <c r="D4579" s="1"/>
  <c r="C4578"/>
  <c r="D4578" s="1"/>
  <c r="C4577"/>
  <c r="D4577" s="1"/>
  <c r="C4576"/>
  <c r="D4576" s="1"/>
  <c r="C4575"/>
  <c r="D4575" s="1"/>
  <c r="C4574"/>
  <c r="D4574" s="1"/>
  <c r="C4573"/>
  <c r="D4573" s="1"/>
  <c r="C4572"/>
  <c r="D4572" s="1"/>
  <c r="C4571"/>
  <c r="D4571" s="1"/>
  <c r="C4570"/>
  <c r="D4570" s="1"/>
  <c r="C4569"/>
  <c r="D4569" s="1"/>
  <c r="C4568"/>
  <c r="D4568" s="1"/>
  <c r="C4567"/>
  <c r="D4567" s="1"/>
  <c r="C4566"/>
  <c r="D4566" s="1"/>
  <c r="C4565"/>
  <c r="D4565" s="1"/>
  <c r="C4564"/>
  <c r="D4564" s="1"/>
  <c r="C4563"/>
  <c r="D4563" s="1"/>
  <c r="C4562"/>
  <c r="D4562" s="1"/>
  <c r="C4561"/>
  <c r="D4561" s="1"/>
  <c r="C4560"/>
  <c r="D4560" s="1"/>
  <c r="C4559"/>
  <c r="D4559" s="1"/>
  <c r="C4558"/>
  <c r="D4558" s="1"/>
  <c r="C4557"/>
  <c r="D4557" s="1"/>
  <c r="C4556"/>
  <c r="D4556" s="1"/>
  <c r="C4555"/>
  <c r="D4555" s="1"/>
  <c r="C4554"/>
  <c r="D4554" s="1"/>
  <c r="C4553"/>
  <c r="D4553" s="1"/>
  <c r="C4552"/>
  <c r="D4552" s="1"/>
  <c r="C4551"/>
  <c r="D4551" s="1"/>
  <c r="C4550"/>
  <c r="D4550" s="1"/>
  <c r="C4549"/>
  <c r="D4549" s="1"/>
  <c r="C4548"/>
  <c r="D4548" s="1"/>
  <c r="C4547"/>
  <c r="D4547" s="1"/>
  <c r="C4546"/>
  <c r="D4546" s="1"/>
  <c r="C4545"/>
  <c r="D4545" s="1"/>
  <c r="C4544"/>
  <c r="D4544" s="1"/>
  <c r="C4543"/>
  <c r="D4543" s="1"/>
  <c r="C4542"/>
  <c r="D4542" s="1"/>
  <c r="C4541"/>
  <c r="D4541" s="1"/>
  <c r="C4540"/>
  <c r="D4540" s="1"/>
  <c r="C4539"/>
  <c r="D4539" s="1"/>
  <c r="C4538"/>
  <c r="D4538" s="1"/>
  <c r="C4537"/>
  <c r="D4537" s="1"/>
  <c r="C4536"/>
  <c r="D4536" s="1"/>
  <c r="C4535"/>
  <c r="D4535" s="1"/>
  <c r="C4534"/>
  <c r="D4534" s="1"/>
  <c r="C4533"/>
  <c r="D4533" s="1"/>
  <c r="C4532"/>
  <c r="D4532" s="1"/>
  <c r="C4531"/>
  <c r="D4531" s="1"/>
  <c r="C4530"/>
  <c r="D4530" s="1"/>
  <c r="C4529"/>
  <c r="D4529" s="1"/>
  <c r="C4528"/>
  <c r="D4528" s="1"/>
  <c r="C4527"/>
  <c r="D4527" s="1"/>
  <c r="C4526"/>
  <c r="D4526" s="1"/>
  <c r="C4525"/>
  <c r="D4525" s="1"/>
  <c r="C4524"/>
  <c r="D4524" s="1"/>
  <c r="C4523"/>
  <c r="D4523" s="1"/>
  <c r="C4522"/>
  <c r="D4522" s="1"/>
  <c r="C4521"/>
  <c r="D4521" s="1"/>
  <c r="C4520"/>
  <c r="D4520" s="1"/>
  <c r="C4519"/>
  <c r="D4519" s="1"/>
  <c r="C4518"/>
  <c r="D4518" s="1"/>
  <c r="C4517"/>
  <c r="D4517" s="1"/>
  <c r="C4516"/>
  <c r="D4516" s="1"/>
  <c r="C4515"/>
  <c r="D4515" s="1"/>
  <c r="C4514"/>
  <c r="D4514" s="1"/>
  <c r="C4513"/>
  <c r="D4513" s="1"/>
  <c r="C4512"/>
  <c r="D4512" s="1"/>
  <c r="C4511"/>
  <c r="D4511" s="1"/>
  <c r="C4510"/>
  <c r="D4510" s="1"/>
  <c r="C4509"/>
  <c r="D4509" s="1"/>
  <c r="C4508"/>
  <c r="D4508" s="1"/>
  <c r="C4507"/>
  <c r="D4507" s="1"/>
  <c r="C4506"/>
  <c r="D4506" s="1"/>
  <c r="C4505"/>
  <c r="D4505" s="1"/>
  <c r="C4504"/>
  <c r="D4504" s="1"/>
  <c r="C4503"/>
  <c r="D4503" s="1"/>
  <c r="C4502"/>
  <c r="D4502" s="1"/>
  <c r="C4501"/>
  <c r="D4501" s="1"/>
  <c r="C4500"/>
  <c r="D4500" s="1"/>
  <c r="C4499"/>
  <c r="D4499" s="1"/>
  <c r="C4498"/>
  <c r="D4498" s="1"/>
  <c r="C4497"/>
  <c r="D4497" s="1"/>
  <c r="C4496"/>
  <c r="D4496" s="1"/>
  <c r="C4495"/>
  <c r="D4495" s="1"/>
  <c r="C4494"/>
  <c r="D4494" s="1"/>
  <c r="C4493"/>
  <c r="D4493" s="1"/>
  <c r="C4492"/>
  <c r="D4492" s="1"/>
  <c r="C4491"/>
  <c r="D4491" s="1"/>
  <c r="C4490"/>
  <c r="D4490" s="1"/>
  <c r="C4489"/>
  <c r="D4489" s="1"/>
  <c r="C4488"/>
  <c r="D4488" s="1"/>
  <c r="C4487"/>
  <c r="D4487" s="1"/>
  <c r="C4486"/>
  <c r="D4486" s="1"/>
  <c r="C4485"/>
  <c r="D4485" s="1"/>
  <c r="C4484"/>
  <c r="D4484" s="1"/>
  <c r="C4483"/>
  <c r="D4483" s="1"/>
  <c r="C4482"/>
  <c r="D4482" s="1"/>
  <c r="C4481"/>
  <c r="D4481" s="1"/>
  <c r="C4480"/>
  <c r="D4480" s="1"/>
  <c r="C4479"/>
  <c r="D4479" s="1"/>
  <c r="C4478"/>
  <c r="D4478" s="1"/>
  <c r="C4477"/>
  <c r="D4477" s="1"/>
  <c r="C4476"/>
  <c r="D4476" s="1"/>
  <c r="C4475"/>
  <c r="D4475" s="1"/>
  <c r="C4474"/>
  <c r="D4474" s="1"/>
  <c r="C4473"/>
  <c r="D4473" s="1"/>
  <c r="C4472"/>
  <c r="D4472" s="1"/>
  <c r="C4471"/>
  <c r="D4471" s="1"/>
  <c r="C4470"/>
  <c r="D4470" s="1"/>
  <c r="C4469"/>
  <c r="D4469" s="1"/>
  <c r="C4468"/>
  <c r="D4468" s="1"/>
  <c r="C4467"/>
  <c r="D4467" s="1"/>
  <c r="C4466"/>
  <c r="D4466" s="1"/>
  <c r="C4465"/>
  <c r="D4465" s="1"/>
  <c r="C4464"/>
  <c r="D4464" s="1"/>
  <c r="C4463"/>
  <c r="D4463" s="1"/>
  <c r="C4462"/>
  <c r="D4462" s="1"/>
  <c r="C4461"/>
  <c r="D4461" s="1"/>
  <c r="C4460"/>
  <c r="D4460" s="1"/>
  <c r="C4459"/>
  <c r="D4459" s="1"/>
  <c r="C4458"/>
  <c r="D4458" s="1"/>
  <c r="C4457"/>
  <c r="D4457" s="1"/>
  <c r="C4456"/>
  <c r="D4456" s="1"/>
  <c r="C4455"/>
  <c r="D4455" s="1"/>
  <c r="C4454"/>
  <c r="D4454" s="1"/>
  <c r="C4453"/>
  <c r="D4453" s="1"/>
  <c r="C4452"/>
  <c r="D4452" s="1"/>
  <c r="C4451"/>
  <c r="D4451" s="1"/>
  <c r="C4450"/>
  <c r="D4450" s="1"/>
  <c r="C4449"/>
  <c r="D4449" s="1"/>
  <c r="C4448"/>
  <c r="D4448" s="1"/>
  <c r="C4447"/>
  <c r="D4447" s="1"/>
  <c r="C4446"/>
  <c r="D4446" s="1"/>
  <c r="C4445"/>
  <c r="D4445" s="1"/>
  <c r="C4444"/>
  <c r="D4444" s="1"/>
  <c r="C4443"/>
  <c r="D4443" s="1"/>
  <c r="C4442"/>
  <c r="D4442" s="1"/>
  <c r="C4441"/>
  <c r="D4441" s="1"/>
  <c r="C4440"/>
  <c r="D4440" s="1"/>
  <c r="C4439"/>
  <c r="D4439" s="1"/>
  <c r="C4438"/>
  <c r="D4438" s="1"/>
  <c r="C4437"/>
  <c r="D4437" s="1"/>
  <c r="C4436"/>
  <c r="D4436" s="1"/>
  <c r="C4435"/>
  <c r="D4435" s="1"/>
  <c r="C4434"/>
  <c r="D4434" s="1"/>
  <c r="C4433"/>
  <c r="D4433" s="1"/>
  <c r="C4432"/>
  <c r="D4432" s="1"/>
  <c r="C4431"/>
  <c r="D4431" s="1"/>
  <c r="C4430"/>
  <c r="D4430" s="1"/>
  <c r="C4429"/>
  <c r="D4429" s="1"/>
  <c r="C4428"/>
  <c r="D4428" s="1"/>
  <c r="C4427"/>
  <c r="D4427" s="1"/>
  <c r="C4426"/>
  <c r="D4426" s="1"/>
  <c r="C4425"/>
  <c r="D4425" s="1"/>
  <c r="C4424"/>
  <c r="D4424" s="1"/>
  <c r="C4423"/>
  <c r="D4423" s="1"/>
  <c r="C4422"/>
  <c r="D4422" s="1"/>
  <c r="C4421"/>
  <c r="D4421" s="1"/>
  <c r="C4420"/>
  <c r="D4420" s="1"/>
  <c r="C4419"/>
  <c r="D4419" s="1"/>
  <c r="C4418"/>
  <c r="D4418" s="1"/>
  <c r="C4417"/>
  <c r="D4417" s="1"/>
  <c r="C4416"/>
  <c r="D4416" s="1"/>
  <c r="C4415"/>
  <c r="D4415" s="1"/>
  <c r="C4414"/>
  <c r="D4414" s="1"/>
  <c r="C4413"/>
  <c r="D4413" s="1"/>
  <c r="C4412"/>
  <c r="D4412" s="1"/>
  <c r="C4411"/>
  <c r="D4411" s="1"/>
  <c r="C4410"/>
  <c r="D4410" s="1"/>
  <c r="C4409"/>
  <c r="D4409" s="1"/>
  <c r="C4408"/>
  <c r="D4408" s="1"/>
  <c r="C4407"/>
  <c r="D4407" s="1"/>
  <c r="C4406"/>
  <c r="D4406" s="1"/>
  <c r="C4405"/>
  <c r="D4405" s="1"/>
  <c r="C4404"/>
  <c r="D4404" s="1"/>
  <c r="C4403"/>
  <c r="D4403" s="1"/>
  <c r="C4402"/>
  <c r="D4402" s="1"/>
  <c r="C4401"/>
  <c r="D4401" s="1"/>
  <c r="C4400"/>
  <c r="D4400" s="1"/>
  <c r="C4399"/>
  <c r="D4399" s="1"/>
  <c r="C4398"/>
  <c r="D4398" s="1"/>
  <c r="C4397"/>
  <c r="D4397" s="1"/>
  <c r="C4396"/>
  <c r="D4396" s="1"/>
  <c r="C4395"/>
  <c r="D4395" s="1"/>
  <c r="C4394"/>
  <c r="D4394" s="1"/>
  <c r="C4393"/>
  <c r="D4393" s="1"/>
  <c r="C4392"/>
  <c r="D4392" s="1"/>
  <c r="C4391"/>
  <c r="D4391" s="1"/>
  <c r="C4390"/>
  <c r="D4390" s="1"/>
  <c r="C4389"/>
  <c r="D4389" s="1"/>
  <c r="C4388"/>
  <c r="D4388" s="1"/>
  <c r="C4387"/>
  <c r="D4387" s="1"/>
  <c r="C4386"/>
  <c r="D4386" s="1"/>
  <c r="C4385"/>
  <c r="D4385" s="1"/>
  <c r="C4384"/>
  <c r="D4384" s="1"/>
  <c r="C4383"/>
  <c r="D4383" s="1"/>
  <c r="C4382"/>
  <c r="D4382" s="1"/>
  <c r="C4381"/>
  <c r="D4381" s="1"/>
  <c r="C4380"/>
  <c r="D4380" s="1"/>
  <c r="C4379"/>
  <c r="D4379" s="1"/>
  <c r="C4378"/>
  <c r="D4378" s="1"/>
  <c r="C4377"/>
  <c r="D4377" s="1"/>
  <c r="C4376"/>
  <c r="D4376" s="1"/>
  <c r="C4375"/>
  <c r="D4375" s="1"/>
  <c r="C4374"/>
  <c r="D4374" s="1"/>
  <c r="C4373"/>
  <c r="D4373" s="1"/>
  <c r="C4372"/>
  <c r="D4372" s="1"/>
  <c r="C4371"/>
  <c r="D4371" s="1"/>
  <c r="C4370"/>
  <c r="D4370" s="1"/>
  <c r="C4369"/>
  <c r="D4369" s="1"/>
  <c r="C4368"/>
  <c r="D4368" s="1"/>
  <c r="C4367"/>
  <c r="D4367" s="1"/>
  <c r="C4366"/>
  <c r="D4366" s="1"/>
  <c r="C4365"/>
  <c r="D4365" s="1"/>
  <c r="C4364"/>
  <c r="D4364" s="1"/>
  <c r="C4363"/>
  <c r="D4363" s="1"/>
  <c r="C4362"/>
  <c r="D4362" s="1"/>
  <c r="C4361"/>
  <c r="D4361" s="1"/>
  <c r="C4360"/>
  <c r="D4360" s="1"/>
  <c r="C4359"/>
  <c r="D4359" s="1"/>
  <c r="C4358"/>
  <c r="D4358" s="1"/>
  <c r="C4357"/>
  <c r="D4357" s="1"/>
  <c r="C4356"/>
  <c r="D4356" s="1"/>
  <c r="C4355"/>
  <c r="D4355" s="1"/>
  <c r="C4354"/>
  <c r="D4354" s="1"/>
  <c r="C4353"/>
  <c r="D4353" s="1"/>
  <c r="C4352"/>
  <c r="D4352" s="1"/>
  <c r="C4351"/>
  <c r="D4351" s="1"/>
  <c r="C4350"/>
  <c r="D4350" s="1"/>
  <c r="C4349"/>
  <c r="D4349" s="1"/>
  <c r="C4348"/>
  <c r="D4348" s="1"/>
  <c r="C4347"/>
  <c r="D4347" s="1"/>
  <c r="C4346"/>
  <c r="D4346" s="1"/>
  <c r="C4345"/>
  <c r="D4345" s="1"/>
  <c r="C4344"/>
  <c r="D4344" s="1"/>
  <c r="C4343"/>
  <c r="D4343" s="1"/>
  <c r="C4342"/>
  <c r="D4342" s="1"/>
  <c r="D4341"/>
  <c r="C4341"/>
  <c r="C4340"/>
  <c r="D4340" s="1"/>
  <c r="C4339"/>
  <c r="D4339" s="1"/>
  <c r="C4338"/>
  <c r="D4338" s="1"/>
  <c r="C4337"/>
  <c r="D4337" s="1"/>
  <c r="C4336"/>
  <c r="D4336" s="1"/>
  <c r="C4335"/>
  <c r="D4335" s="1"/>
  <c r="C4334"/>
  <c r="D4334" s="1"/>
  <c r="C4333"/>
  <c r="D4333" s="1"/>
  <c r="C4332"/>
  <c r="D4332" s="1"/>
  <c r="C4331"/>
  <c r="D4331" s="1"/>
  <c r="C4330"/>
  <c r="D4330" s="1"/>
  <c r="C4329"/>
  <c r="D4329" s="1"/>
  <c r="C4328"/>
  <c r="D4328" s="1"/>
  <c r="C4327"/>
  <c r="D4327" s="1"/>
  <c r="C4326"/>
  <c r="D4326" s="1"/>
  <c r="C4325"/>
  <c r="D4325" s="1"/>
  <c r="C4324"/>
  <c r="D4324" s="1"/>
  <c r="C4323"/>
  <c r="D4323" s="1"/>
  <c r="C4322"/>
  <c r="D4322" s="1"/>
  <c r="C4321"/>
  <c r="D4321" s="1"/>
  <c r="C4320"/>
  <c r="D4320" s="1"/>
  <c r="C4319"/>
  <c r="D4319" s="1"/>
  <c r="C4318"/>
  <c r="D4318" s="1"/>
  <c r="C4317"/>
  <c r="D4317" s="1"/>
  <c r="C4316"/>
  <c r="D4316" s="1"/>
  <c r="C4315"/>
  <c r="D4315" s="1"/>
  <c r="C4314"/>
  <c r="D4314" s="1"/>
  <c r="C4313"/>
  <c r="D4313" s="1"/>
  <c r="C4312"/>
  <c r="D4312" s="1"/>
  <c r="C4311"/>
  <c r="D4311" s="1"/>
  <c r="C4310"/>
  <c r="D4310" s="1"/>
  <c r="C4309"/>
  <c r="D4309" s="1"/>
  <c r="C4308"/>
  <c r="D4308" s="1"/>
  <c r="C4307"/>
  <c r="D4307" s="1"/>
  <c r="C4306"/>
  <c r="D4306" s="1"/>
  <c r="C4305"/>
  <c r="D4305" s="1"/>
  <c r="C4304"/>
  <c r="D4304" s="1"/>
  <c r="C4303"/>
  <c r="D4303" s="1"/>
  <c r="C4302"/>
  <c r="D4302" s="1"/>
  <c r="C4301"/>
  <c r="D4301" s="1"/>
  <c r="C4300"/>
  <c r="D4300" s="1"/>
  <c r="C4299"/>
  <c r="D4299" s="1"/>
  <c r="C4298"/>
  <c r="D4298" s="1"/>
  <c r="C4297"/>
  <c r="D4297" s="1"/>
  <c r="C4296"/>
  <c r="D4296" s="1"/>
  <c r="C4295"/>
  <c r="D4295" s="1"/>
  <c r="C4294"/>
  <c r="D4294" s="1"/>
  <c r="D4293"/>
  <c r="C4293"/>
  <c r="C4292"/>
  <c r="D4292" s="1"/>
  <c r="C4291"/>
  <c r="D4291" s="1"/>
  <c r="C4290"/>
  <c r="D4290" s="1"/>
  <c r="C4289"/>
  <c r="D4289" s="1"/>
  <c r="C4288"/>
  <c r="D4288" s="1"/>
  <c r="C4287"/>
  <c r="D4287" s="1"/>
  <c r="C4286"/>
  <c r="D4286" s="1"/>
  <c r="C4285"/>
  <c r="D4285" s="1"/>
  <c r="C4284"/>
  <c r="D4284" s="1"/>
  <c r="C4283"/>
  <c r="D4283" s="1"/>
  <c r="C4282"/>
  <c r="D4282" s="1"/>
  <c r="C4281"/>
  <c r="D4281" s="1"/>
  <c r="C4280"/>
  <c r="D4280" s="1"/>
  <c r="C4279"/>
  <c r="D4279" s="1"/>
  <c r="C4278"/>
  <c r="D4278" s="1"/>
  <c r="C4277"/>
  <c r="D4277" s="1"/>
  <c r="C4276"/>
  <c r="D4276" s="1"/>
  <c r="C4275"/>
  <c r="D4275" s="1"/>
  <c r="C4274"/>
  <c r="D4274" s="1"/>
  <c r="C4273"/>
  <c r="D4273" s="1"/>
  <c r="C4272"/>
  <c r="D4272" s="1"/>
  <c r="C4271"/>
  <c r="D4271" s="1"/>
  <c r="C4270"/>
  <c r="D4270" s="1"/>
  <c r="C4269"/>
  <c r="D4269" s="1"/>
  <c r="C4268"/>
  <c r="D4268" s="1"/>
  <c r="C4267"/>
  <c r="D4267" s="1"/>
  <c r="C4266"/>
  <c r="D4266" s="1"/>
  <c r="C4265"/>
  <c r="D4265" s="1"/>
  <c r="C4264"/>
  <c r="D4264" s="1"/>
  <c r="C4263"/>
  <c r="D4263" s="1"/>
  <c r="C4262"/>
  <c r="D4262" s="1"/>
  <c r="C4261"/>
  <c r="D4261" s="1"/>
  <c r="C4260"/>
  <c r="D4260" s="1"/>
  <c r="C4259"/>
  <c r="D4259" s="1"/>
  <c r="C4258"/>
  <c r="D4258" s="1"/>
  <c r="C4257"/>
  <c r="D4257" s="1"/>
  <c r="C4256"/>
  <c r="D4256" s="1"/>
  <c r="C4255"/>
  <c r="D4255" s="1"/>
  <c r="C4254"/>
  <c r="D4254" s="1"/>
  <c r="C4253"/>
  <c r="D4253" s="1"/>
  <c r="C4252"/>
  <c r="D4252" s="1"/>
  <c r="C4251"/>
  <c r="D4251" s="1"/>
  <c r="C4250"/>
  <c r="D4250" s="1"/>
  <c r="C4249"/>
  <c r="D4249" s="1"/>
  <c r="C4248"/>
  <c r="D4248" s="1"/>
  <c r="C4247"/>
  <c r="D4247" s="1"/>
  <c r="C4246"/>
  <c r="D4246" s="1"/>
  <c r="C4245"/>
  <c r="D4245" s="1"/>
  <c r="C4244"/>
  <c r="D4244" s="1"/>
  <c r="C4243"/>
  <c r="D4243" s="1"/>
  <c r="C4242"/>
  <c r="D4242" s="1"/>
  <c r="C4241"/>
  <c r="D4241" s="1"/>
  <c r="C4240"/>
  <c r="D4240" s="1"/>
  <c r="C4239"/>
  <c r="D4239" s="1"/>
  <c r="C4238"/>
  <c r="D4238" s="1"/>
  <c r="C4237"/>
  <c r="D4237" s="1"/>
  <c r="C4236"/>
  <c r="D4236" s="1"/>
  <c r="C4235"/>
  <c r="D4235" s="1"/>
  <c r="C4234"/>
  <c r="D4234" s="1"/>
  <c r="C4233"/>
  <c r="D4233" s="1"/>
  <c r="C4232"/>
  <c r="D4232" s="1"/>
  <c r="C4231"/>
  <c r="D4231" s="1"/>
  <c r="C4230"/>
  <c r="D4230" s="1"/>
  <c r="C4229"/>
  <c r="D4229" s="1"/>
  <c r="C4228"/>
  <c r="D4228" s="1"/>
  <c r="C4227"/>
  <c r="D4227" s="1"/>
  <c r="C4226"/>
  <c r="D4226" s="1"/>
  <c r="C4225"/>
  <c r="D4225" s="1"/>
  <c r="C4224"/>
  <c r="D4224" s="1"/>
  <c r="C4223"/>
  <c r="D4223" s="1"/>
  <c r="C4222"/>
  <c r="D4222" s="1"/>
  <c r="C4221"/>
  <c r="D4221" s="1"/>
  <c r="C4220"/>
  <c r="D4220" s="1"/>
  <c r="C4219"/>
  <c r="D4219" s="1"/>
  <c r="C4218"/>
  <c r="D4218" s="1"/>
  <c r="C4217"/>
  <c r="D4217" s="1"/>
  <c r="C4216"/>
  <c r="D4216" s="1"/>
  <c r="C4215"/>
  <c r="D4215" s="1"/>
  <c r="C4214"/>
  <c r="D4214" s="1"/>
  <c r="C4213"/>
  <c r="D4213" s="1"/>
  <c r="C4212"/>
  <c r="D4212" s="1"/>
  <c r="C4211"/>
  <c r="D4211" s="1"/>
  <c r="C4210"/>
  <c r="D4210" s="1"/>
  <c r="C4209"/>
  <c r="D4209" s="1"/>
  <c r="C4208"/>
  <c r="D4208" s="1"/>
  <c r="C4207"/>
  <c r="D4207" s="1"/>
  <c r="C4206"/>
  <c r="D4206" s="1"/>
  <c r="C4205"/>
  <c r="D4205" s="1"/>
  <c r="C4204"/>
  <c r="D4204" s="1"/>
  <c r="C4203"/>
  <c r="D4203" s="1"/>
  <c r="C4202"/>
  <c r="D4202" s="1"/>
  <c r="C4201"/>
  <c r="D4201" s="1"/>
  <c r="D4200"/>
  <c r="C4200"/>
  <c r="C4199"/>
  <c r="D4199" s="1"/>
  <c r="C4198"/>
  <c r="D4198" s="1"/>
  <c r="C4197"/>
  <c r="D4197" s="1"/>
  <c r="C4196"/>
  <c r="D4196" s="1"/>
  <c r="C4195"/>
  <c r="D4195" s="1"/>
  <c r="C4194"/>
  <c r="D4194" s="1"/>
  <c r="C4193"/>
  <c r="D4193" s="1"/>
  <c r="C4192"/>
  <c r="D4192" s="1"/>
  <c r="C4191"/>
  <c r="D4191" s="1"/>
  <c r="C4190"/>
  <c r="D4190" s="1"/>
  <c r="C4189"/>
  <c r="D4189" s="1"/>
  <c r="C4188"/>
  <c r="D4188" s="1"/>
  <c r="C4187"/>
  <c r="D4187" s="1"/>
  <c r="C4186"/>
  <c r="D4186" s="1"/>
  <c r="C4185"/>
  <c r="D4185" s="1"/>
  <c r="C4184"/>
  <c r="D4184" s="1"/>
  <c r="C4183"/>
  <c r="D4183" s="1"/>
  <c r="C4182"/>
  <c r="D4182" s="1"/>
  <c r="C4181"/>
  <c r="D4181" s="1"/>
  <c r="C4180"/>
  <c r="D4180" s="1"/>
  <c r="C4179"/>
  <c r="D4179" s="1"/>
  <c r="C4178"/>
  <c r="D4178" s="1"/>
  <c r="C4177"/>
  <c r="D4177" s="1"/>
  <c r="C4176"/>
  <c r="D4176" s="1"/>
  <c r="C4175"/>
  <c r="D4175" s="1"/>
  <c r="C4174"/>
  <c r="D4174" s="1"/>
  <c r="C4173"/>
  <c r="D4173" s="1"/>
  <c r="C4172"/>
  <c r="D4172" s="1"/>
  <c r="C4171"/>
  <c r="D4171" s="1"/>
  <c r="C4170"/>
  <c r="D4170" s="1"/>
  <c r="C4169"/>
  <c r="D4169" s="1"/>
  <c r="D4168"/>
  <c r="C4168"/>
  <c r="C4167"/>
  <c r="D4167" s="1"/>
  <c r="C4166"/>
  <c r="D4166" s="1"/>
  <c r="C4165"/>
  <c r="D4165" s="1"/>
  <c r="C4164"/>
  <c r="D4164" s="1"/>
  <c r="C4163"/>
  <c r="D4163" s="1"/>
  <c r="C4162"/>
  <c r="D4162" s="1"/>
  <c r="C4161"/>
  <c r="D4161" s="1"/>
  <c r="C4160"/>
  <c r="D4160" s="1"/>
  <c r="C4159"/>
  <c r="D4159" s="1"/>
  <c r="C4158"/>
  <c r="D4158" s="1"/>
  <c r="C4157"/>
  <c r="D4157" s="1"/>
  <c r="C4156"/>
  <c r="D4156" s="1"/>
  <c r="C4155"/>
  <c r="D4155" s="1"/>
  <c r="C4154"/>
  <c r="D4154" s="1"/>
  <c r="C4153"/>
  <c r="D4153" s="1"/>
  <c r="C4152"/>
  <c r="D4152" s="1"/>
  <c r="C4151"/>
  <c r="D4151" s="1"/>
  <c r="C4150"/>
  <c r="D4150" s="1"/>
  <c r="C4149"/>
  <c r="D4149" s="1"/>
  <c r="C4148"/>
  <c r="D4148" s="1"/>
  <c r="C4147"/>
  <c r="D4147" s="1"/>
  <c r="C4146"/>
  <c r="D4146" s="1"/>
  <c r="C4145"/>
  <c r="D4145" s="1"/>
  <c r="C4144"/>
  <c r="D4144" s="1"/>
  <c r="C4143"/>
  <c r="D4143" s="1"/>
  <c r="C4142"/>
  <c r="D4142" s="1"/>
  <c r="C4141"/>
  <c r="D4141" s="1"/>
  <c r="C4140"/>
  <c r="D4140" s="1"/>
  <c r="C4139"/>
  <c r="D4139" s="1"/>
  <c r="C4138"/>
  <c r="D4138" s="1"/>
  <c r="C4137"/>
  <c r="D4137" s="1"/>
  <c r="D4136"/>
  <c r="C4136"/>
  <c r="C4135"/>
  <c r="D4135" s="1"/>
  <c r="C4134"/>
  <c r="D4134" s="1"/>
  <c r="C4133"/>
  <c r="D4133" s="1"/>
  <c r="C4132"/>
  <c r="D4132" s="1"/>
  <c r="C4131"/>
  <c r="D4131" s="1"/>
  <c r="C4130"/>
  <c r="D4130" s="1"/>
  <c r="C4129"/>
  <c r="D4129" s="1"/>
  <c r="C4128"/>
  <c r="D4128" s="1"/>
  <c r="C4127"/>
  <c r="D4127" s="1"/>
  <c r="C4126"/>
  <c r="D4126" s="1"/>
  <c r="C4125"/>
  <c r="D4125" s="1"/>
  <c r="C4124"/>
  <c r="D4124" s="1"/>
  <c r="C4123"/>
  <c r="D4123" s="1"/>
  <c r="C4122"/>
  <c r="D4122" s="1"/>
  <c r="C4121"/>
  <c r="D4121" s="1"/>
  <c r="C4120"/>
  <c r="D4120" s="1"/>
  <c r="C4119"/>
  <c r="D4119" s="1"/>
  <c r="C4118"/>
  <c r="D4118" s="1"/>
  <c r="C4117"/>
  <c r="D4117" s="1"/>
  <c r="C4116"/>
  <c r="D4116" s="1"/>
  <c r="C4115"/>
  <c r="D4115" s="1"/>
  <c r="C4114"/>
  <c r="D4114" s="1"/>
  <c r="C4113"/>
  <c r="D4113" s="1"/>
  <c r="C4112"/>
  <c r="D4112" s="1"/>
  <c r="C4111"/>
  <c r="D4111" s="1"/>
  <c r="C4110"/>
  <c r="D4110" s="1"/>
  <c r="C4109"/>
  <c r="D4109" s="1"/>
  <c r="C4108"/>
  <c r="D4108" s="1"/>
  <c r="C4107"/>
  <c r="D4107" s="1"/>
  <c r="C4106"/>
  <c r="D4106" s="1"/>
  <c r="C4105"/>
  <c r="D4105" s="1"/>
  <c r="D4104"/>
  <c r="C4104"/>
  <c r="C4103"/>
  <c r="D4103" s="1"/>
  <c r="C4102"/>
  <c r="D4102" s="1"/>
  <c r="C4101"/>
  <c r="D4101" s="1"/>
  <c r="C4100"/>
  <c r="D4100" s="1"/>
  <c r="C4099"/>
  <c r="D4099" s="1"/>
  <c r="C4098"/>
  <c r="D4098" s="1"/>
  <c r="C4097"/>
  <c r="D4097" s="1"/>
  <c r="C4096"/>
  <c r="D4096" s="1"/>
  <c r="C4095"/>
  <c r="D4095" s="1"/>
  <c r="C4094"/>
  <c r="D4094" s="1"/>
  <c r="C4093"/>
  <c r="D4093" s="1"/>
  <c r="C4092"/>
  <c r="D4092" s="1"/>
  <c r="C4091"/>
  <c r="D4091" s="1"/>
  <c r="C4090"/>
  <c r="D4090" s="1"/>
  <c r="C4089"/>
  <c r="D4089" s="1"/>
  <c r="C4088"/>
  <c r="D4088" s="1"/>
  <c r="C4087"/>
  <c r="D4087" s="1"/>
  <c r="C4086"/>
  <c r="D4086" s="1"/>
  <c r="C4085"/>
  <c r="D4085" s="1"/>
  <c r="C4084"/>
  <c r="D4084" s="1"/>
  <c r="C4083"/>
  <c r="D4083" s="1"/>
  <c r="C4082"/>
  <c r="D4082" s="1"/>
  <c r="C4081"/>
  <c r="D4081" s="1"/>
  <c r="C4080"/>
  <c r="D4080" s="1"/>
  <c r="C4079"/>
  <c r="D4079" s="1"/>
  <c r="C4078"/>
  <c r="D4078" s="1"/>
  <c r="C4077"/>
  <c r="D4077" s="1"/>
  <c r="C4076"/>
  <c r="D4076" s="1"/>
  <c r="C4075"/>
  <c r="D4075" s="1"/>
  <c r="C4074"/>
  <c r="D4074" s="1"/>
  <c r="C4073"/>
  <c r="D4073" s="1"/>
  <c r="D4072"/>
  <c r="C4072"/>
  <c r="C4071"/>
  <c r="D4071" s="1"/>
  <c r="C4070"/>
  <c r="D4070" s="1"/>
  <c r="C4069"/>
  <c r="D4069" s="1"/>
  <c r="C4068"/>
  <c r="D4068" s="1"/>
  <c r="C4067"/>
  <c r="D4067" s="1"/>
  <c r="C4066"/>
  <c r="D4066" s="1"/>
  <c r="C4065"/>
  <c r="D4065" s="1"/>
  <c r="C4064"/>
  <c r="D4064" s="1"/>
  <c r="C4063"/>
  <c r="D4063" s="1"/>
  <c r="C4062"/>
  <c r="D4062" s="1"/>
  <c r="C4061"/>
  <c r="D4061" s="1"/>
  <c r="C4060"/>
  <c r="D4060" s="1"/>
  <c r="C4059"/>
  <c r="D4059" s="1"/>
  <c r="C4058"/>
  <c r="D4058" s="1"/>
  <c r="C4057"/>
  <c r="D4057" s="1"/>
  <c r="C4056"/>
  <c r="D4056" s="1"/>
  <c r="C4055"/>
  <c r="D4055" s="1"/>
  <c r="C4054"/>
  <c r="D4054" s="1"/>
  <c r="C4053"/>
  <c r="D4053" s="1"/>
  <c r="C4052"/>
  <c r="D4052" s="1"/>
  <c r="C4051"/>
  <c r="D4051" s="1"/>
  <c r="C4050"/>
  <c r="D4050" s="1"/>
  <c r="C4049"/>
  <c r="D4049" s="1"/>
  <c r="C4048"/>
  <c r="D4048" s="1"/>
  <c r="C4047"/>
  <c r="D4047" s="1"/>
  <c r="C4046"/>
  <c r="D4046" s="1"/>
  <c r="C4045"/>
  <c r="D4045" s="1"/>
  <c r="C4044"/>
  <c r="D4044" s="1"/>
  <c r="C4043"/>
  <c r="D4043" s="1"/>
  <c r="C4042"/>
  <c r="D4042" s="1"/>
  <c r="C4041"/>
  <c r="D4041" s="1"/>
  <c r="C4040"/>
  <c r="D4040" s="1"/>
  <c r="C4039"/>
  <c r="D4039" s="1"/>
  <c r="C4038"/>
  <c r="D4038" s="1"/>
  <c r="C4037"/>
  <c r="D4037" s="1"/>
  <c r="C4036"/>
  <c r="D4036" s="1"/>
  <c r="C4035"/>
  <c r="D4035" s="1"/>
  <c r="C4034"/>
  <c r="D4034" s="1"/>
  <c r="C4033"/>
  <c r="D4033" s="1"/>
  <c r="C4032"/>
  <c r="D4032" s="1"/>
  <c r="C4031"/>
  <c r="D4031" s="1"/>
  <c r="C4030"/>
  <c r="D4030" s="1"/>
  <c r="C4029"/>
  <c r="D4029" s="1"/>
  <c r="C4028"/>
  <c r="D4028" s="1"/>
  <c r="C4027"/>
  <c r="D4027" s="1"/>
  <c r="D4026"/>
  <c r="C4026"/>
  <c r="C4025"/>
  <c r="D4025" s="1"/>
  <c r="C4024"/>
  <c r="D4024" s="1"/>
  <c r="C4023"/>
  <c r="D4023" s="1"/>
  <c r="C4022"/>
  <c r="D4022" s="1"/>
  <c r="C4021"/>
  <c r="D4021" s="1"/>
  <c r="C4020"/>
  <c r="D4020" s="1"/>
  <c r="C4019"/>
  <c r="D4019" s="1"/>
  <c r="C4018"/>
  <c r="D4018" s="1"/>
  <c r="C4017"/>
  <c r="D4017" s="1"/>
  <c r="C4016"/>
  <c r="D4016" s="1"/>
  <c r="C4015"/>
  <c r="D4015" s="1"/>
  <c r="C4014"/>
  <c r="D4014" s="1"/>
  <c r="C4013"/>
  <c r="D4013" s="1"/>
  <c r="C4012"/>
  <c r="D4012" s="1"/>
  <c r="C4011"/>
  <c r="D4011" s="1"/>
  <c r="C4010"/>
  <c r="D4010" s="1"/>
  <c r="C4009"/>
  <c r="D4009" s="1"/>
  <c r="C4008"/>
  <c r="D4008" s="1"/>
  <c r="C4007"/>
  <c r="D4007" s="1"/>
  <c r="C4006"/>
  <c r="D4006" s="1"/>
  <c r="C4005"/>
  <c r="D4005" s="1"/>
  <c r="C4004"/>
  <c r="D4004" s="1"/>
  <c r="C4003"/>
  <c r="D4003" s="1"/>
  <c r="C4002"/>
  <c r="D4002" s="1"/>
  <c r="C4001"/>
  <c r="D4001" s="1"/>
  <c r="C4000"/>
  <c r="D4000" s="1"/>
  <c r="C3999"/>
  <c r="D3999" s="1"/>
  <c r="C3998"/>
  <c r="D3998" s="1"/>
  <c r="C3997"/>
  <c r="D3997" s="1"/>
  <c r="C3996"/>
  <c r="D3996" s="1"/>
  <c r="C3995"/>
  <c r="D3995" s="1"/>
  <c r="C3994"/>
  <c r="D3994" s="1"/>
  <c r="C3993"/>
  <c r="D3993" s="1"/>
  <c r="C3992"/>
  <c r="D3992" s="1"/>
  <c r="C3991"/>
  <c r="D3991" s="1"/>
  <c r="C3990"/>
  <c r="D3990" s="1"/>
  <c r="C3989"/>
  <c r="D3989" s="1"/>
  <c r="C3988"/>
  <c r="D3988" s="1"/>
  <c r="C3987"/>
  <c r="D3987" s="1"/>
  <c r="C3986"/>
  <c r="D3986" s="1"/>
  <c r="C3985"/>
  <c r="D3985" s="1"/>
  <c r="C3984"/>
  <c r="D3984" s="1"/>
  <c r="C3983"/>
  <c r="D3983" s="1"/>
  <c r="C3982"/>
  <c r="D3982" s="1"/>
  <c r="C3981"/>
  <c r="D3981" s="1"/>
  <c r="C3980"/>
  <c r="D3980" s="1"/>
  <c r="C3979"/>
  <c r="D3979" s="1"/>
  <c r="C3978"/>
  <c r="D3978" s="1"/>
  <c r="C3977"/>
  <c r="D3977" s="1"/>
  <c r="C3976"/>
  <c r="D3976" s="1"/>
  <c r="C3975"/>
  <c r="D3975" s="1"/>
  <c r="C3974"/>
  <c r="D3974" s="1"/>
  <c r="C3973"/>
  <c r="D3973" s="1"/>
  <c r="D3972"/>
  <c r="C3972"/>
  <c r="C3971"/>
  <c r="D3971" s="1"/>
  <c r="C3970"/>
  <c r="D3970" s="1"/>
  <c r="C3969"/>
  <c r="D3969" s="1"/>
  <c r="C3968"/>
  <c r="D3968" s="1"/>
  <c r="C3967"/>
  <c r="D3967" s="1"/>
  <c r="C3966"/>
  <c r="D3966" s="1"/>
  <c r="C3965"/>
  <c r="D3965" s="1"/>
  <c r="C3964"/>
  <c r="D3964" s="1"/>
  <c r="C3963"/>
  <c r="D3963" s="1"/>
  <c r="C3962"/>
  <c r="D3962" s="1"/>
  <c r="C3961"/>
  <c r="D3961" s="1"/>
  <c r="C3960"/>
  <c r="D3960" s="1"/>
  <c r="C3959"/>
  <c r="D3959" s="1"/>
  <c r="C3958"/>
  <c r="D3958" s="1"/>
  <c r="C3957"/>
  <c r="D3957" s="1"/>
  <c r="C3956"/>
  <c r="D3956" s="1"/>
  <c r="C3955"/>
  <c r="D3955" s="1"/>
  <c r="C3954"/>
  <c r="D3954" s="1"/>
  <c r="C3953"/>
  <c r="D3953" s="1"/>
  <c r="D3952"/>
  <c r="C3952"/>
  <c r="C3951"/>
  <c r="D3951" s="1"/>
  <c r="C3950"/>
  <c r="D3950" s="1"/>
  <c r="C3949"/>
  <c r="D3949" s="1"/>
  <c r="C3948"/>
  <c r="D3948" s="1"/>
  <c r="C3947"/>
  <c r="D3947" s="1"/>
  <c r="C3946"/>
  <c r="D3946" s="1"/>
  <c r="C3945"/>
  <c r="D3945" s="1"/>
  <c r="C3944"/>
  <c r="D3944" s="1"/>
  <c r="C3943"/>
  <c r="D3943" s="1"/>
  <c r="C3942"/>
  <c r="D3942" s="1"/>
  <c r="C3941"/>
  <c r="D3941" s="1"/>
  <c r="C3940"/>
  <c r="D3940" s="1"/>
  <c r="C3939"/>
  <c r="D3939" s="1"/>
  <c r="C3938"/>
  <c r="D3938" s="1"/>
  <c r="C3937"/>
  <c r="D3937" s="1"/>
  <c r="C3936"/>
  <c r="D3936" s="1"/>
  <c r="C3935"/>
  <c r="D3935" s="1"/>
  <c r="C3934"/>
  <c r="D3934" s="1"/>
  <c r="C3933"/>
  <c r="D3933" s="1"/>
  <c r="C3932"/>
  <c r="D3932" s="1"/>
  <c r="C3931"/>
  <c r="D3931" s="1"/>
  <c r="C3930"/>
  <c r="D3930" s="1"/>
  <c r="C3929"/>
  <c r="D3929" s="1"/>
  <c r="C3928"/>
  <c r="D3928" s="1"/>
  <c r="C3927"/>
  <c r="D3927" s="1"/>
  <c r="C3926"/>
  <c r="D3926" s="1"/>
  <c r="C3925"/>
  <c r="D3925" s="1"/>
  <c r="C3924"/>
  <c r="D3924" s="1"/>
  <c r="C3923"/>
  <c r="D3923" s="1"/>
  <c r="C3922"/>
  <c r="D3922" s="1"/>
  <c r="C3921"/>
  <c r="D3921" s="1"/>
  <c r="C3920"/>
  <c r="D3920" s="1"/>
  <c r="C3919"/>
  <c r="D3919" s="1"/>
  <c r="C3918"/>
  <c r="D3918" s="1"/>
  <c r="C3917"/>
  <c r="D3917" s="1"/>
  <c r="C3916"/>
  <c r="D3916" s="1"/>
  <c r="C3915"/>
  <c r="D3915" s="1"/>
  <c r="C3914"/>
  <c r="D3914" s="1"/>
  <c r="C3913"/>
  <c r="D3913" s="1"/>
  <c r="C3912"/>
  <c r="D3912" s="1"/>
  <c r="C3911"/>
  <c r="D3911" s="1"/>
  <c r="C3910"/>
  <c r="D3910" s="1"/>
  <c r="C3909"/>
  <c r="D3909" s="1"/>
  <c r="C3908"/>
  <c r="D3908" s="1"/>
  <c r="C3907"/>
  <c r="D3907" s="1"/>
  <c r="C3906"/>
  <c r="D3906" s="1"/>
  <c r="C3905"/>
  <c r="D3905" s="1"/>
  <c r="C3904"/>
  <c r="D3904" s="1"/>
  <c r="C3903"/>
  <c r="D3903" s="1"/>
  <c r="C3902"/>
  <c r="D3902" s="1"/>
  <c r="C3901"/>
  <c r="D3901" s="1"/>
  <c r="C3900"/>
  <c r="D3900" s="1"/>
  <c r="C3899"/>
  <c r="D3899" s="1"/>
  <c r="D3898"/>
  <c r="C3898"/>
  <c r="C3897"/>
  <c r="D3897" s="1"/>
  <c r="C3896"/>
  <c r="D3896" s="1"/>
  <c r="C3895"/>
  <c r="D3895" s="1"/>
  <c r="C3894"/>
  <c r="D3894" s="1"/>
  <c r="C3893"/>
  <c r="D3893" s="1"/>
  <c r="C3892"/>
  <c r="D3892" s="1"/>
  <c r="C3891"/>
  <c r="D3891" s="1"/>
  <c r="C3890"/>
  <c r="D3890" s="1"/>
  <c r="C3889"/>
  <c r="D3889" s="1"/>
  <c r="C3888"/>
  <c r="D3888" s="1"/>
  <c r="C3887"/>
  <c r="D3887" s="1"/>
  <c r="C3886"/>
  <c r="D3886" s="1"/>
  <c r="C3885"/>
  <c r="D3885" s="1"/>
  <c r="C3884"/>
  <c r="D3884" s="1"/>
  <c r="C3883"/>
  <c r="D3883" s="1"/>
  <c r="C3882"/>
  <c r="D3882" s="1"/>
  <c r="C3881"/>
  <c r="D3881" s="1"/>
  <c r="C3880"/>
  <c r="D3880" s="1"/>
  <c r="C3879"/>
  <c r="D3879" s="1"/>
  <c r="C3878"/>
  <c r="D3878" s="1"/>
  <c r="C3877"/>
  <c r="D3877" s="1"/>
  <c r="C3876"/>
  <c r="D3876" s="1"/>
  <c r="C3875"/>
  <c r="D3875" s="1"/>
  <c r="C3874"/>
  <c r="D3874" s="1"/>
  <c r="C3873"/>
  <c r="D3873" s="1"/>
  <c r="C3872"/>
  <c r="D3872" s="1"/>
  <c r="C3871"/>
  <c r="D3871" s="1"/>
  <c r="C3870"/>
  <c r="D3870" s="1"/>
  <c r="C3869"/>
  <c r="D3869" s="1"/>
  <c r="C3868"/>
  <c r="D3868" s="1"/>
  <c r="C3867"/>
  <c r="D3867" s="1"/>
  <c r="C3866"/>
  <c r="D3866" s="1"/>
  <c r="C3865"/>
  <c r="D3865" s="1"/>
  <c r="C3864"/>
  <c r="D3864" s="1"/>
  <c r="C3863"/>
  <c r="D3863" s="1"/>
  <c r="C3862"/>
  <c r="D3862" s="1"/>
  <c r="C3861"/>
  <c r="D3861" s="1"/>
  <c r="C3860"/>
  <c r="D3860" s="1"/>
  <c r="C3859"/>
  <c r="D3859" s="1"/>
  <c r="C3858"/>
  <c r="D3858" s="1"/>
  <c r="C3857"/>
  <c r="D3857" s="1"/>
  <c r="C3856"/>
  <c r="D3856" s="1"/>
  <c r="C3855"/>
  <c r="D3855" s="1"/>
  <c r="C3854"/>
  <c r="D3854" s="1"/>
  <c r="C3853"/>
  <c r="D3853" s="1"/>
  <c r="C3852"/>
  <c r="D3852" s="1"/>
  <c r="C3851"/>
  <c r="D3851" s="1"/>
  <c r="C3850"/>
  <c r="D3850" s="1"/>
  <c r="C3849"/>
  <c r="D3849" s="1"/>
  <c r="C3848"/>
  <c r="D3848" s="1"/>
  <c r="C3847"/>
  <c r="D3847" s="1"/>
  <c r="C3846"/>
  <c r="D3846" s="1"/>
  <c r="C3845"/>
  <c r="D3845" s="1"/>
  <c r="D3844"/>
  <c r="C3844"/>
  <c r="C3843"/>
  <c r="D3843" s="1"/>
  <c r="C3842"/>
  <c r="D3842" s="1"/>
  <c r="C3841"/>
  <c r="D3841" s="1"/>
  <c r="C3840"/>
  <c r="D3840" s="1"/>
  <c r="C3839"/>
  <c r="D3839" s="1"/>
  <c r="C3838"/>
  <c r="D3838" s="1"/>
  <c r="C3837"/>
  <c r="D3837" s="1"/>
  <c r="C3836"/>
  <c r="D3836" s="1"/>
  <c r="C3835"/>
  <c r="D3835" s="1"/>
  <c r="C3834"/>
  <c r="D3834" s="1"/>
  <c r="C3833"/>
  <c r="D3833" s="1"/>
  <c r="C3832"/>
  <c r="D3832" s="1"/>
  <c r="C3831"/>
  <c r="D3831" s="1"/>
  <c r="C3830"/>
  <c r="D3830" s="1"/>
  <c r="C3829"/>
  <c r="D3829" s="1"/>
  <c r="C3828"/>
  <c r="D3828" s="1"/>
  <c r="C3827"/>
  <c r="D3827" s="1"/>
  <c r="C3826"/>
  <c r="D3826" s="1"/>
  <c r="C3825"/>
  <c r="D3825" s="1"/>
  <c r="D3824"/>
  <c r="C3824"/>
  <c r="C3823"/>
  <c r="D3823" s="1"/>
  <c r="C3822"/>
  <c r="D3822" s="1"/>
  <c r="C3821"/>
  <c r="D3821" s="1"/>
  <c r="C3820"/>
  <c r="D3820" s="1"/>
  <c r="C3819"/>
  <c r="D3819" s="1"/>
  <c r="C3818"/>
  <c r="D3818" s="1"/>
  <c r="C3817"/>
  <c r="D3817" s="1"/>
  <c r="C3816"/>
  <c r="D3816" s="1"/>
  <c r="C3815"/>
  <c r="D3815" s="1"/>
  <c r="C3814"/>
  <c r="D3814" s="1"/>
  <c r="C3813"/>
  <c r="D3813" s="1"/>
  <c r="C3812"/>
  <c r="D3812" s="1"/>
  <c r="C3811"/>
  <c r="D3811" s="1"/>
  <c r="C3810"/>
  <c r="D3810" s="1"/>
  <c r="C3809"/>
  <c r="D3809" s="1"/>
  <c r="C3808"/>
  <c r="D3808" s="1"/>
  <c r="C3807"/>
  <c r="D3807" s="1"/>
  <c r="C3806"/>
  <c r="D3806" s="1"/>
  <c r="C3805"/>
  <c r="D3805" s="1"/>
  <c r="C3804"/>
  <c r="D3804" s="1"/>
  <c r="C3803"/>
  <c r="D3803" s="1"/>
  <c r="C3802"/>
  <c r="D3802" s="1"/>
  <c r="C3801"/>
  <c r="D3801" s="1"/>
  <c r="C3800"/>
  <c r="D3800" s="1"/>
  <c r="C3799"/>
  <c r="D3799" s="1"/>
  <c r="C3798"/>
  <c r="D3798" s="1"/>
  <c r="C3797"/>
  <c r="D3797" s="1"/>
  <c r="C3796"/>
  <c r="D3796" s="1"/>
  <c r="C3795"/>
  <c r="D3795" s="1"/>
  <c r="C3794"/>
  <c r="D3794" s="1"/>
  <c r="C3793"/>
  <c r="D3793" s="1"/>
  <c r="C3792"/>
  <c r="D3792" s="1"/>
  <c r="C3791"/>
  <c r="D3791" s="1"/>
  <c r="C3790"/>
  <c r="D3790" s="1"/>
  <c r="C3789"/>
  <c r="D3789" s="1"/>
  <c r="C3788"/>
  <c r="D3788" s="1"/>
  <c r="C3787"/>
  <c r="D3787" s="1"/>
  <c r="C3786"/>
  <c r="D3786" s="1"/>
  <c r="C3785"/>
  <c r="D3785" s="1"/>
  <c r="C3784"/>
  <c r="D3784" s="1"/>
  <c r="C3783"/>
  <c r="D3783" s="1"/>
  <c r="C3782"/>
  <c r="D3782" s="1"/>
  <c r="C3781"/>
  <c r="D3781" s="1"/>
  <c r="C3780"/>
  <c r="D3780" s="1"/>
  <c r="C3779"/>
  <c r="D3779" s="1"/>
  <c r="C3778"/>
  <c r="D3778" s="1"/>
  <c r="C3777"/>
  <c r="D3777" s="1"/>
  <c r="C3776"/>
  <c r="D3776" s="1"/>
  <c r="C3775"/>
  <c r="D3775" s="1"/>
  <c r="C3774"/>
  <c r="D3774" s="1"/>
  <c r="C3773"/>
  <c r="D3773" s="1"/>
  <c r="C3772"/>
  <c r="D3772" s="1"/>
  <c r="C3771"/>
  <c r="D3771" s="1"/>
  <c r="D3770"/>
  <c r="C3770"/>
  <c r="C3769"/>
  <c r="D3769" s="1"/>
  <c r="C3768"/>
  <c r="D3768" s="1"/>
  <c r="C3767"/>
  <c r="D3767" s="1"/>
  <c r="C3766"/>
  <c r="D3766" s="1"/>
  <c r="C3765"/>
  <c r="D3765" s="1"/>
  <c r="C3764"/>
  <c r="D3764" s="1"/>
  <c r="C3763"/>
  <c r="D3763" s="1"/>
  <c r="C3762"/>
  <c r="D3762" s="1"/>
  <c r="C3761"/>
  <c r="D3761" s="1"/>
  <c r="C3760"/>
  <c r="D3760" s="1"/>
  <c r="C3759"/>
  <c r="D3759" s="1"/>
  <c r="C3758"/>
  <c r="D3758" s="1"/>
  <c r="C3757"/>
  <c r="D3757" s="1"/>
  <c r="C3756"/>
  <c r="D3756" s="1"/>
  <c r="C3755"/>
  <c r="D3755" s="1"/>
  <c r="C3754"/>
  <c r="D3754" s="1"/>
  <c r="C3753"/>
  <c r="D3753" s="1"/>
  <c r="C3752"/>
  <c r="D3752" s="1"/>
  <c r="C3751"/>
  <c r="D3751" s="1"/>
  <c r="C3750"/>
  <c r="D3750" s="1"/>
  <c r="C3749"/>
  <c r="D3749" s="1"/>
  <c r="C3748"/>
  <c r="D3748" s="1"/>
  <c r="C3747"/>
  <c r="D3747" s="1"/>
  <c r="C3746"/>
  <c r="D3746" s="1"/>
  <c r="C3745"/>
  <c r="D3745" s="1"/>
  <c r="C3744"/>
  <c r="D3744" s="1"/>
  <c r="C3743"/>
  <c r="D3743" s="1"/>
  <c r="C3742"/>
  <c r="D3742" s="1"/>
  <c r="C3741"/>
  <c r="D3741" s="1"/>
  <c r="C3740"/>
  <c r="D3740" s="1"/>
  <c r="C3739"/>
  <c r="D3739" s="1"/>
  <c r="C3738"/>
  <c r="D3738" s="1"/>
  <c r="C3737"/>
  <c r="D3737" s="1"/>
  <c r="C3736"/>
  <c r="D3736" s="1"/>
  <c r="C3735"/>
  <c r="D3735" s="1"/>
  <c r="C3734"/>
  <c r="D3734" s="1"/>
  <c r="C3733"/>
  <c r="D3733" s="1"/>
  <c r="C3732"/>
  <c r="D3732" s="1"/>
  <c r="C3731"/>
  <c r="D3731" s="1"/>
  <c r="C3730"/>
  <c r="D3730" s="1"/>
  <c r="C3729"/>
  <c r="D3729" s="1"/>
  <c r="C3728"/>
  <c r="D3728" s="1"/>
  <c r="C3727"/>
  <c r="D3727" s="1"/>
  <c r="C3726"/>
  <c r="D3726" s="1"/>
  <c r="C3725"/>
  <c r="D3725" s="1"/>
  <c r="C3724"/>
  <c r="D3724" s="1"/>
  <c r="C3723"/>
  <c r="D3723" s="1"/>
  <c r="C3722"/>
  <c r="D3722" s="1"/>
  <c r="C3721"/>
  <c r="D3721" s="1"/>
  <c r="C3720"/>
  <c r="D3720" s="1"/>
  <c r="C3719"/>
  <c r="D3719" s="1"/>
  <c r="C3718"/>
  <c r="D3718" s="1"/>
  <c r="C3717"/>
  <c r="D3717" s="1"/>
  <c r="D3716"/>
  <c r="C3716"/>
  <c r="C3715"/>
  <c r="D3715" s="1"/>
  <c r="C3714"/>
  <c r="D3714" s="1"/>
  <c r="C3713"/>
  <c r="D3713" s="1"/>
  <c r="C3712"/>
  <c r="D3712" s="1"/>
  <c r="C3711"/>
  <c r="D3711" s="1"/>
  <c r="C3710"/>
  <c r="D3710" s="1"/>
  <c r="C3709"/>
  <c r="D3709" s="1"/>
  <c r="C3708"/>
  <c r="D3708" s="1"/>
  <c r="C3707"/>
  <c r="D3707" s="1"/>
  <c r="C3706"/>
  <c r="D3706" s="1"/>
  <c r="C3705"/>
  <c r="D3705" s="1"/>
  <c r="C3704"/>
  <c r="D3704" s="1"/>
  <c r="C3703"/>
  <c r="D3703" s="1"/>
  <c r="C3702"/>
  <c r="D3702" s="1"/>
  <c r="C3701"/>
  <c r="D3701" s="1"/>
  <c r="C3700"/>
  <c r="D3700" s="1"/>
  <c r="C3699"/>
  <c r="D3699" s="1"/>
  <c r="C3698"/>
  <c r="D3698" s="1"/>
  <c r="C3697"/>
  <c r="D3697" s="1"/>
  <c r="D3696"/>
  <c r="C3696"/>
  <c r="C3695"/>
  <c r="D3695" s="1"/>
  <c r="C3694"/>
  <c r="D3694" s="1"/>
  <c r="C3693"/>
  <c r="D3693" s="1"/>
  <c r="C3692"/>
  <c r="D3692" s="1"/>
  <c r="C3691"/>
  <c r="D3691" s="1"/>
  <c r="C3690"/>
  <c r="D3690" s="1"/>
  <c r="C3689"/>
  <c r="D3689" s="1"/>
  <c r="C3688"/>
  <c r="D3688" s="1"/>
  <c r="C3687"/>
  <c r="D3687" s="1"/>
  <c r="C3686"/>
  <c r="D3686" s="1"/>
  <c r="C3685"/>
  <c r="D3685" s="1"/>
  <c r="C3684"/>
  <c r="D3684" s="1"/>
  <c r="C3683"/>
  <c r="D3683" s="1"/>
  <c r="C3682"/>
  <c r="D3682" s="1"/>
  <c r="C3681"/>
  <c r="D3681" s="1"/>
  <c r="C3680"/>
  <c r="D3680" s="1"/>
  <c r="C3679"/>
  <c r="D3679" s="1"/>
  <c r="C3678"/>
  <c r="D3678" s="1"/>
  <c r="C3677"/>
  <c r="D3677" s="1"/>
  <c r="C3676"/>
  <c r="D3676" s="1"/>
  <c r="C3675"/>
  <c r="D3675" s="1"/>
  <c r="C3674"/>
  <c r="D3674" s="1"/>
  <c r="C3673"/>
  <c r="D3673" s="1"/>
  <c r="C3672"/>
  <c r="D3672" s="1"/>
  <c r="C3671"/>
  <c r="D3671" s="1"/>
  <c r="C3670"/>
  <c r="D3670" s="1"/>
  <c r="C3669"/>
  <c r="D3669" s="1"/>
  <c r="C3668"/>
  <c r="D3668" s="1"/>
  <c r="C3667"/>
  <c r="D3667" s="1"/>
  <c r="C3666"/>
  <c r="D3666" s="1"/>
  <c r="C3665"/>
  <c r="D3665" s="1"/>
  <c r="C3664"/>
  <c r="D3664" s="1"/>
  <c r="C3663"/>
  <c r="D3663" s="1"/>
  <c r="C3662"/>
  <c r="D3662" s="1"/>
  <c r="C3661"/>
  <c r="D3661" s="1"/>
  <c r="C3660"/>
  <c r="D3660" s="1"/>
  <c r="C3659"/>
  <c r="D3659" s="1"/>
  <c r="C3658"/>
  <c r="D3658" s="1"/>
  <c r="C3657"/>
  <c r="D3657" s="1"/>
  <c r="C3656"/>
  <c r="D3656" s="1"/>
  <c r="C3655"/>
  <c r="D3655" s="1"/>
  <c r="C3654"/>
  <c r="D3654" s="1"/>
  <c r="C3653"/>
  <c r="D3653" s="1"/>
  <c r="C3652"/>
  <c r="D3652" s="1"/>
  <c r="C3651"/>
  <c r="D3651" s="1"/>
  <c r="C3650"/>
  <c r="D3650" s="1"/>
  <c r="C3649"/>
  <c r="D3649" s="1"/>
  <c r="C3648"/>
  <c r="D3648" s="1"/>
  <c r="C3647"/>
  <c r="D3647" s="1"/>
  <c r="C3646"/>
  <c r="D3646" s="1"/>
  <c r="C3645"/>
  <c r="D3645" s="1"/>
  <c r="C3644"/>
  <c r="D3644" s="1"/>
  <c r="C3643"/>
  <c r="D3643" s="1"/>
  <c r="D3642"/>
  <c r="C3642"/>
  <c r="C3641"/>
  <c r="D3641" s="1"/>
  <c r="C3640"/>
  <c r="D3640" s="1"/>
  <c r="C3639"/>
  <c r="D3639" s="1"/>
  <c r="C3638"/>
  <c r="D3638" s="1"/>
  <c r="C3637"/>
  <c r="D3637" s="1"/>
  <c r="C3636"/>
  <c r="D3636" s="1"/>
  <c r="C3635"/>
  <c r="D3635" s="1"/>
  <c r="C3634"/>
  <c r="D3634" s="1"/>
  <c r="C3633"/>
  <c r="D3633" s="1"/>
  <c r="C3632"/>
  <c r="D3632" s="1"/>
  <c r="C3631"/>
  <c r="D3631" s="1"/>
  <c r="C3630"/>
  <c r="D3630" s="1"/>
  <c r="C3629"/>
  <c r="D3629" s="1"/>
  <c r="C3628"/>
  <c r="D3628" s="1"/>
  <c r="C3627"/>
  <c r="D3627" s="1"/>
  <c r="C3626"/>
  <c r="D3626" s="1"/>
  <c r="C3625"/>
  <c r="D3625" s="1"/>
  <c r="C3624"/>
  <c r="D3624" s="1"/>
  <c r="C3623"/>
  <c r="D3623" s="1"/>
  <c r="C3622"/>
  <c r="D3622" s="1"/>
  <c r="C3621"/>
  <c r="D3621" s="1"/>
  <c r="C3620"/>
  <c r="D3620" s="1"/>
  <c r="C3619"/>
  <c r="D3619" s="1"/>
  <c r="C3618"/>
  <c r="D3618" s="1"/>
  <c r="C3617"/>
  <c r="D3617" s="1"/>
  <c r="C3616"/>
  <c r="D3616" s="1"/>
  <c r="C3615"/>
  <c r="D3615" s="1"/>
  <c r="C3614"/>
  <c r="D3614" s="1"/>
  <c r="C3613"/>
  <c r="D3613" s="1"/>
  <c r="C3612"/>
  <c r="D3612" s="1"/>
  <c r="C3611"/>
  <c r="D3611" s="1"/>
  <c r="C3610"/>
  <c r="D3610" s="1"/>
  <c r="C3609"/>
  <c r="D3609" s="1"/>
  <c r="C3608"/>
  <c r="D3608" s="1"/>
  <c r="C3607"/>
  <c r="D3607" s="1"/>
  <c r="C3606"/>
  <c r="D3606" s="1"/>
  <c r="C3605"/>
  <c r="D3605" s="1"/>
  <c r="C3604"/>
  <c r="D3604" s="1"/>
  <c r="C3603"/>
  <c r="D3603" s="1"/>
  <c r="C3602"/>
  <c r="D3602" s="1"/>
  <c r="C3601"/>
  <c r="D3601" s="1"/>
  <c r="C3600"/>
  <c r="D3600" s="1"/>
  <c r="C3599"/>
  <c r="D3599" s="1"/>
  <c r="C3598"/>
  <c r="D3598" s="1"/>
  <c r="C3597"/>
  <c r="D3597" s="1"/>
  <c r="C3596"/>
  <c r="D3596" s="1"/>
  <c r="C3595"/>
  <c r="D3595" s="1"/>
  <c r="C3594"/>
  <c r="D3594" s="1"/>
  <c r="C3593"/>
  <c r="D3593" s="1"/>
  <c r="C3592"/>
  <c r="D3592" s="1"/>
  <c r="C3591"/>
  <c r="D3591" s="1"/>
  <c r="C3590"/>
  <c r="D3590" s="1"/>
  <c r="C3589"/>
  <c r="D3589" s="1"/>
  <c r="D3588"/>
  <c r="C3588"/>
  <c r="C3587"/>
  <c r="D3587" s="1"/>
  <c r="C3586"/>
  <c r="D3586" s="1"/>
  <c r="C3585"/>
  <c r="D3585" s="1"/>
  <c r="C3584"/>
  <c r="D3584" s="1"/>
  <c r="C3583"/>
  <c r="D3583" s="1"/>
  <c r="C3582"/>
  <c r="D3582" s="1"/>
  <c r="C3581"/>
  <c r="D3581" s="1"/>
  <c r="C3580"/>
  <c r="D3580" s="1"/>
  <c r="C3579"/>
  <c r="D3579" s="1"/>
  <c r="C3578"/>
  <c r="D3578" s="1"/>
  <c r="C3577"/>
  <c r="D3577" s="1"/>
  <c r="C3576"/>
  <c r="D3576" s="1"/>
  <c r="C3575"/>
  <c r="D3575" s="1"/>
  <c r="C3574"/>
  <c r="D3574" s="1"/>
  <c r="C3573"/>
  <c r="D3573" s="1"/>
  <c r="C3572"/>
  <c r="D3572" s="1"/>
  <c r="C3571"/>
  <c r="D3571" s="1"/>
  <c r="C3570"/>
  <c r="D3570" s="1"/>
  <c r="C3569"/>
  <c r="D3569" s="1"/>
  <c r="D3568"/>
  <c r="C3568"/>
  <c r="C3567"/>
  <c r="D3567" s="1"/>
  <c r="C3566"/>
  <c r="D3566" s="1"/>
  <c r="C3565"/>
  <c r="D3565" s="1"/>
  <c r="D3564"/>
  <c r="C3564"/>
  <c r="C3563"/>
  <c r="D3563" s="1"/>
  <c r="C3562"/>
  <c r="D3562" s="1"/>
  <c r="C3561"/>
  <c r="D3561" s="1"/>
  <c r="D3560"/>
  <c r="C3560"/>
  <c r="C3559"/>
  <c r="D3559" s="1"/>
  <c r="C3558"/>
  <c r="D3558" s="1"/>
  <c r="C3557"/>
  <c r="D3557" s="1"/>
  <c r="D3556"/>
  <c r="C3556"/>
  <c r="C3555"/>
  <c r="D3555" s="1"/>
  <c r="C3554"/>
  <c r="D3554" s="1"/>
  <c r="C3553"/>
  <c r="D3553" s="1"/>
  <c r="D3552"/>
  <c r="C3552"/>
  <c r="C3551"/>
  <c r="D3551" s="1"/>
  <c r="C3550"/>
  <c r="D3550" s="1"/>
  <c r="C3549"/>
  <c r="D3549" s="1"/>
  <c r="D3548"/>
  <c r="C3548"/>
  <c r="C3547"/>
  <c r="D3547" s="1"/>
  <c r="C3546"/>
  <c r="D3546" s="1"/>
  <c r="C3545"/>
  <c r="D3545" s="1"/>
  <c r="D3544"/>
  <c r="C3544"/>
  <c r="C3543"/>
  <c r="D3543" s="1"/>
  <c r="C3542"/>
  <c r="D3542" s="1"/>
  <c r="C3541"/>
  <c r="D3541" s="1"/>
  <c r="D3540"/>
  <c r="C3540"/>
  <c r="D3539"/>
  <c r="C3539"/>
  <c r="D3538"/>
  <c r="C3538"/>
  <c r="D3537"/>
  <c r="C3537"/>
  <c r="D3536"/>
  <c r="C3536"/>
  <c r="D3535"/>
  <c r="C3535"/>
  <c r="D3534"/>
  <c r="C3534"/>
  <c r="D3533"/>
  <c r="C3533"/>
  <c r="D3532"/>
  <c r="C3532"/>
  <c r="D3531"/>
  <c r="C3531"/>
  <c r="D3530"/>
  <c r="C3530"/>
  <c r="D3529"/>
  <c r="C3529"/>
  <c r="D3528"/>
  <c r="C3528"/>
  <c r="D3527"/>
  <c r="C3527"/>
  <c r="D3526"/>
  <c r="C3526"/>
  <c r="D3525"/>
  <c r="C3525"/>
  <c r="D3524"/>
  <c r="C3524"/>
  <c r="D3523"/>
  <c r="C3523"/>
  <c r="D3522"/>
  <c r="C3522"/>
  <c r="D3521"/>
  <c r="C3521"/>
  <c r="D3520"/>
  <c r="C3520"/>
  <c r="D3519"/>
  <c r="C3519"/>
  <c r="D3518"/>
  <c r="C3518"/>
  <c r="D3517"/>
  <c r="C3517"/>
  <c r="D3516"/>
  <c r="C3516"/>
  <c r="D3515"/>
  <c r="C3515"/>
  <c r="D3514"/>
  <c r="C3514"/>
  <c r="D3513"/>
  <c r="C3513"/>
  <c r="D3512"/>
  <c r="C3512"/>
  <c r="D3511"/>
  <c r="C3511"/>
  <c r="D3510"/>
  <c r="C3510"/>
  <c r="D3509"/>
  <c r="C3509"/>
  <c r="D3508"/>
  <c r="C3508"/>
  <c r="D3507"/>
  <c r="C3507"/>
  <c r="D3506"/>
  <c r="C3506"/>
  <c r="D3505"/>
  <c r="C3505"/>
  <c r="D3504"/>
  <c r="C3504"/>
  <c r="D3503"/>
  <c r="C3503"/>
  <c r="D3502"/>
  <c r="C3502"/>
  <c r="D3501"/>
  <c r="C3501"/>
  <c r="D3500"/>
  <c r="C3500"/>
  <c r="D3499"/>
  <c r="C3499"/>
  <c r="D3498"/>
  <c r="C3498"/>
  <c r="D3497"/>
  <c r="C3497"/>
  <c r="D3496"/>
  <c r="C3496"/>
  <c r="D3495"/>
  <c r="C3495"/>
  <c r="D3494"/>
  <c r="C3494"/>
  <c r="D3493"/>
  <c r="C3493"/>
  <c r="D3492"/>
  <c r="C3492"/>
  <c r="D3491"/>
  <c r="C3491"/>
  <c r="D3490"/>
  <c r="C3490"/>
  <c r="D3489"/>
  <c r="C3489"/>
  <c r="D3488"/>
  <c r="C3488"/>
  <c r="D3487"/>
  <c r="C3487"/>
  <c r="D3486"/>
  <c r="C3486"/>
  <c r="D3485"/>
  <c r="C3485"/>
  <c r="D3484"/>
  <c r="C3484"/>
  <c r="D3483"/>
  <c r="C3483"/>
  <c r="D3482"/>
  <c r="C3482"/>
  <c r="D3481"/>
  <c r="C3481"/>
  <c r="D3480"/>
  <c r="C3480"/>
  <c r="D3479"/>
  <c r="C3479"/>
  <c r="D3478"/>
  <c r="C3478"/>
  <c r="D3477"/>
  <c r="C3477"/>
  <c r="D3476"/>
  <c r="C3476"/>
  <c r="D3475"/>
  <c r="C3475"/>
  <c r="D3474"/>
  <c r="C3474"/>
  <c r="D3473"/>
  <c r="C3473"/>
  <c r="D3472"/>
  <c r="C3472"/>
  <c r="D3471"/>
  <c r="C3471"/>
  <c r="D3470"/>
  <c r="C3470"/>
  <c r="D3469"/>
  <c r="C3469"/>
  <c r="D3468"/>
  <c r="C3468"/>
  <c r="D3467"/>
  <c r="C3467"/>
  <c r="D3466"/>
  <c r="C3466"/>
  <c r="D3465"/>
  <c r="C3465"/>
  <c r="D3464"/>
  <c r="C3464"/>
  <c r="D3463"/>
  <c r="C3463"/>
  <c r="D3462"/>
  <c r="C3462"/>
  <c r="D3461"/>
  <c r="C3461"/>
  <c r="D3460"/>
  <c r="C3460"/>
  <c r="D3459"/>
  <c r="C3459"/>
  <c r="D3458"/>
  <c r="C3458"/>
  <c r="D3457"/>
  <c r="C3457"/>
  <c r="D3456"/>
  <c r="C3456"/>
  <c r="D3455"/>
  <c r="C3455"/>
  <c r="D3454"/>
  <c r="C3454"/>
  <c r="D3453"/>
  <c r="C3453"/>
  <c r="D3452"/>
  <c r="C3452"/>
  <c r="D3451"/>
  <c r="C3451"/>
  <c r="D3450"/>
  <c r="C3450"/>
  <c r="D3449"/>
  <c r="C3449"/>
  <c r="D3448"/>
  <c r="C3448"/>
  <c r="D3447"/>
  <c r="C3447"/>
  <c r="D3446"/>
  <c r="C3446"/>
  <c r="D3445"/>
  <c r="C3445"/>
  <c r="D3444"/>
  <c r="C3444"/>
  <c r="D3443"/>
  <c r="C3443"/>
  <c r="D3442"/>
  <c r="C3442"/>
  <c r="D3441"/>
  <c r="C3441"/>
  <c r="D3440"/>
  <c r="C3440"/>
  <c r="D3439"/>
  <c r="C3439"/>
  <c r="D3438"/>
  <c r="C3438"/>
  <c r="D3437"/>
  <c r="C3437"/>
  <c r="D3436"/>
  <c r="C3436"/>
  <c r="D3435"/>
  <c r="C3435"/>
  <c r="D3434"/>
  <c r="C3434"/>
  <c r="D3433"/>
  <c r="C3433"/>
  <c r="D3432"/>
  <c r="C3432"/>
  <c r="D3431"/>
  <c r="C3431"/>
  <c r="D3430"/>
  <c r="C3430"/>
  <c r="D3429"/>
  <c r="C3429"/>
  <c r="D3428"/>
  <c r="C3428"/>
  <c r="D3427"/>
  <c r="C3427"/>
  <c r="D3426"/>
  <c r="C3426"/>
  <c r="D3425"/>
  <c r="C3425"/>
  <c r="D3424"/>
  <c r="C3424"/>
  <c r="D3423"/>
  <c r="C3423"/>
  <c r="D3422"/>
  <c r="C3422"/>
  <c r="D3421"/>
  <c r="C3421"/>
  <c r="D3420"/>
  <c r="C3420"/>
  <c r="D3419"/>
  <c r="C3419"/>
  <c r="D3418"/>
  <c r="C3418"/>
  <c r="D3417"/>
  <c r="C3417"/>
  <c r="D3416"/>
  <c r="C3416"/>
  <c r="D3415"/>
  <c r="C3415"/>
  <c r="D3414"/>
  <c r="C3414"/>
  <c r="D3413"/>
  <c r="C3413"/>
  <c r="D3412"/>
  <c r="C3412"/>
  <c r="D3411"/>
  <c r="C3411"/>
  <c r="D3410"/>
  <c r="C3410"/>
  <c r="D3409"/>
  <c r="C3409"/>
  <c r="D3408"/>
  <c r="C3408"/>
  <c r="D3407"/>
  <c r="C3407"/>
  <c r="D3406"/>
  <c r="C3406"/>
  <c r="D3405"/>
  <c r="C3405"/>
  <c r="D3404"/>
  <c r="C3404"/>
  <c r="D3403"/>
  <c r="C3403"/>
  <c r="D3402"/>
  <c r="C3402"/>
  <c r="D3401"/>
  <c r="C3401"/>
  <c r="D3400"/>
  <c r="C3400"/>
  <c r="D3399"/>
  <c r="C3399"/>
  <c r="D3398"/>
  <c r="C3398"/>
  <c r="D3397"/>
  <c r="C3397"/>
  <c r="D3396"/>
  <c r="C3396"/>
  <c r="D3395"/>
  <c r="C3395"/>
  <c r="D3394"/>
  <c r="C3394"/>
  <c r="D3393"/>
  <c r="C3393"/>
  <c r="D3392"/>
  <c r="C3392"/>
  <c r="D3391"/>
  <c r="C3391"/>
  <c r="D3390"/>
  <c r="C3390"/>
  <c r="D3389"/>
  <c r="C3389"/>
  <c r="D3388"/>
  <c r="C3388"/>
  <c r="D3387"/>
  <c r="C3387"/>
  <c r="D3386"/>
  <c r="C3386"/>
  <c r="D3385"/>
  <c r="C3385"/>
  <c r="D3384"/>
  <c r="C3384"/>
  <c r="D3383"/>
  <c r="C3383"/>
  <c r="D3382"/>
  <c r="C3382"/>
  <c r="D3381"/>
  <c r="C3381"/>
  <c r="D3380"/>
  <c r="C3380"/>
  <c r="D3379"/>
  <c r="C3379"/>
  <c r="D3378"/>
  <c r="C3378"/>
  <c r="D3377"/>
  <c r="C3377"/>
  <c r="D3376"/>
  <c r="C3376"/>
  <c r="D3375"/>
  <c r="C3375"/>
  <c r="D3374"/>
  <c r="C3374"/>
  <c r="D3373"/>
  <c r="C3373"/>
  <c r="D3372"/>
  <c r="C3372"/>
  <c r="D3371"/>
  <c r="C3371"/>
  <c r="D3370"/>
  <c r="C3370"/>
  <c r="D3369"/>
  <c r="C3369"/>
  <c r="D3368"/>
  <c r="C3368"/>
  <c r="D3367"/>
  <c r="C3367"/>
  <c r="D3366"/>
  <c r="C3366"/>
  <c r="D3365"/>
  <c r="C3365"/>
  <c r="D3364"/>
  <c r="C3364"/>
  <c r="D3363"/>
  <c r="C3363"/>
  <c r="D3362"/>
  <c r="C3362"/>
  <c r="D3361"/>
  <c r="C3361"/>
  <c r="D3360"/>
  <c r="C3360"/>
  <c r="D3359"/>
  <c r="C3359"/>
  <c r="D3358"/>
  <c r="C3358"/>
  <c r="D3357"/>
  <c r="C3357"/>
  <c r="D3356"/>
  <c r="C3356"/>
  <c r="D3355"/>
  <c r="C3355"/>
  <c r="D3354"/>
  <c r="C3354"/>
  <c r="D3353"/>
  <c r="C3353"/>
  <c r="D3352"/>
  <c r="C3352"/>
  <c r="D3351"/>
  <c r="C3351"/>
  <c r="D3350"/>
  <c r="C3350"/>
  <c r="D3349"/>
  <c r="C3349"/>
  <c r="D3348"/>
  <c r="C3348"/>
  <c r="D3347"/>
  <c r="C3347"/>
  <c r="D3346"/>
  <c r="C3346"/>
  <c r="D3345"/>
  <c r="C3345"/>
  <c r="D3344"/>
  <c r="C3344"/>
  <c r="D3343"/>
  <c r="C3343"/>
  <c r="D3342"/>
  <c r="C3342"/>
  <c r="D3341"/>
  <c r="C3341"/>
  <c r="D3340"/>
  <c r="C3340"/>
  <c r="D3339"/>
  <c r="C3339"/>
  <c r="D3338"/>
  <c r="C3338"/>
  <c r="D3337"/>
  <c r="C3337"/>
  <c r="D3336"/>
  <c r="C3336"/>
  <c r="D3335"/>
  <c r="C3335"/>
  <c r="D3334"/>
  <c r="C3334"/>
  <c r="D3333"/>
  <c r="C3333"/>
  <c r="D3332"/>
  <c r="C3332"/>
  <c r="D3331"/>
  <c r="C3331"/>
  <c r="D3330"/>
  <c r="C3330"/>
  <c r="D3329"/>
  <c r="C3329"/>
  <c r="D3328"/>
  <c r="C3328"/>
  <c r="D3327"/>
  <c r="C3327"/>
  <c r="D3326"/>
  <c r="C3326"/>
  <c r="D3325"/>
  <c r="C3325"/>
  <c r="D3324"/>
  <c r="C3324"/>
  <c r="D3323"/>
  <c r="C3323"/>
  <c r="D3322"/>
  <c r="C3322"/>
  <c r="D3321"/>
  <c r="C3321"/>
  <c r="D3320"/>
  <c r="C3320"/>
  <c r="D3319"/>
  <c r="C3319"/>
  <c r="D3318"/>
  <c r="C3318"/>
  <c r="D3317"/>
  <c r="C3317"/>
  <c r="D3316"/>
  <c r="C3316"/>
  <c r="D3315"/>
  <c r="C3315"/>
  <c r="D3314"/>
  <c r="C3314"/>
  <c r="D3313"/>
  <c r="C3313"/>
  <c r="D3312"/>
  <c r="C3312"/>
  <c r="D3311"/>
  <c r="C3311"/>
  <c r="D3310"/>
  <c r="C3310"/>
  <c r="D3309"/>
  <c r="C3309"/>
  <c r="D3308"/>
  <c r="C3308"/>
  <c r="D3307"/>
  <c r="C3307"/>
  <c r="D3306"/>
  <c r="C3306"/>
  <c r="D3305"/>
  <c r="C3305"/>
  <c r="D3304"/>
  <c r="C3304"/>
  <c r="D3303"/>
  <c r="C3303"/>
  <c r="D3302"/>
  <c r="C3302"/>
  <c r="D3301"/>
  <c r="C3301"/>
  <c r="D3300"/>
  <c r="C3300"/>
  <c r="D3299"/>
  <c r="C3299"/>
  <c r="D3298"/>
  <c r="C3298"/>
  <c r="D3297"/>
  <c r="C3297"/>
  <c r="D3296"/>
  <c r="C3296"/>
  <c r="D3295"/>
  <c r="C3295"/>
  <c r="D3294"/>
  <c r="C3294"/>
  <c r="D3293"/>
  <c r="C3293"/>
  <c r="D3292"/>
  <c r="C3292"/>
  <c r="D3291"/>
  <c r="C3291"/>
  <c r="D3290"/>
  <c r="C3290"/>
  <c r="D3289"/>
  <c r="C3289"/>
  <c r="D3288"/>
  <c r="C3288"/>
  <c r="D3287"/>
  <c r="C3287"/>
  <c r="D3286"/>
  <c r="C3286"/>
  <c r="D3285"/>
  <c r="C3285"/>
  <c r="D3284"/>
  <c r="C3284"/>
  <c r="D3283"/>
  <c r="C3283"/>
  <c r="D3282"/>
  <c r="C3282"/>
  <c r="D3281"/>
  <c r="C3281"/>
  <c r="D3280"/>
  <c r="C3280"/>
  <c r="D3279"/>
  <c r="C3279"/>
  <c r="D3278"/>
  <c r="C3278"/>
  <c r="D3277"/>
  <c r="C3277"/>
  <c r="D3276"/>
  <c r="C3276"/>
  <c r="D3275"/>
  <c r="C3275"/>
  <c r="D3274"/>
  <c r="C3274"/>
  <c r="D3273"/>
  <c r="C3273"/>
  <c r="D3272"/>
  <c r="C3272"/>
  <c r="D3271"/>
  <c r="C3271"/>
  <c r="D3270"/>
  <c r="C3270"/>
  <c r="D3269"/>
  <c r="C3269"/>
  <c r="D3268"/>
  <c r="C3268"/>
  <c r="D3267"/>
  <c r="C3267"/>
  <c r="D3266"/>
  <c r="C3266"/>
  <c r="D3265"/>
  <c r="C3265"/>
  <c r="D3264"/>
  <c r="C3264"/>
  <c r="D3263"/>
  <c r="C3263"/>
  <c r="D3262"/>
  <c r="C3262"/>
  <c r="D3261"/>
  <c r="C3261"/>
  <c r="D3260"/>
  <c r="C3260"/>
  <c r="D3259"/>
  <c r="C3259"/>
  <c r="D3258"/>
  <c r="C3258"/>
  <c r="D3257"/>
  <c r="C3257"/>
  <c r="D3256"/>
  <c r="C3256"/>
  <c r="D3255"/>
  <c r="C3255"/>
  <c r="D3254"/>
  <c r="C3254"/>
  <c r="D3253"/>
  <c r="C3253"/>
  <c r="D3252"/>
  <c r="C3252"/>
  <c r="D3251"/>
  <c r="C3251"/>
  <c r="D3250"/>
  <c r="C3250"/>
  <c r="D3249"/>
  <c r="C3249"/>
  <c r="D3248"/>
  <c r="C3248"/>
  <c r="D3247"/>
  <c r="C3247"/>
  <c r="D3246"/>
  <c r="C3246"/>
  <c r="D3245"/>
  <c r="C3245"/>
  <c r="D3244"/>
  <c r="C3244"/>
  <c r="D3243"/>
  <c r="C3243"/>
  <c r="D3242"/>
  <c r="C3242"/>
  <c r="D3241"/>
  <c r="C3241"/>
  <c r="D3240"/>
  <c r="C3240"/>
  <c r="D3239"/>
  <c r="C3239"/>
  <c r="D3238"/>
  <c r="C3238"/>
  <c r="D3237"/>
  <c r="C3237"/>
  <c r="D3236"/>
  <c r="C3236"/>
  <c r="D3235"/>
  <c r="C3235"/>
  <c r="D3234"/>
  <c r="C3234"/>
  <c r="D3233"/>
  <c r="C3233"/>
  <c r="D3232"/>
  <c r="C3232"/>
  <c r="D3231"/>
  <c r="C3231"/>
  <c r="D3230"/>
  <c r="C3230"/>
  <c r="D3229"/>
  <c r="C3229"/>
  <c r="D3228"/>
  <c r="C3228"/>
  <c r="D3227"/>
  <c r="C3227"/>
  <c r="D3226"/>
  <c r="C3226"/>
  <c r="D3225"/>
  <c r="C3225"/>
  <c r="D3224"/>
  <c r="C3224"/>
  <c r="D3223"/>
  <c r="C3223"/>
  <c r="D3222"/>
  <c r="C3222"/>
  <c r="D3221"/>
  <c r="C3221"/>
  <c r="D3220"/>
  <c r="C3220"/>
  <c r="D3219"/>
  <c r="C3219"/>
  <c r="D3218"/>
  <c r="C3218"/>
  <c r="D3217"/>
  <c r="C3217"/>
  <c r="D3216"/>
  <c r="C3216"/>
  <c r="D3215"/>
  <c r="C3215"/>
  <c r="D3214"/>
  <c r="C3214"/>
  <c r="D3213"/>
  <c r="C3213"/>
  <c r="D3212"/>
  <c r="C3212"/>
  <c r="D3211"/>
  <c r="C3211"/>
  <c r="D3210"/>
  <c r="C3210"/>
  <c r="D3209"/>
  <c r="C3209"/>
  <c r="D3208"/>
  <c r="C3208"/>
  <c r="D3207"/>
  <c r="C3207"/>
  <c r="D3206"/>
  <c r="C3206"/>
  <c r="D3205"/>
  <c r="C3205"/>
  <c r="D3204"/>
  <c r="C3204"/>
  <c r="D3203"/>
  <c r="C3203"/>
  <c r="D3202"/>
  <c r="C3202"/>
  <c r="D3201"/>
  <c r="C3201"/>
  <c r="D3200"/>
  <c r="C3200"/>
  <c r="D3199"/>
  <c r="C3199"/>
  <c r="D3198"/>
  <c r="C3198"/>
  <c r="D3197"/>
  <c r="C3197"/>
  <c r="D3196"/>
  <c r="C3196"/>
  <c r="D3195"/>
  <c r="C3195"/>
  <c r="D3194"/>
  <c r="C3194"/>
  <c r="D3193"/>
  <c r="C3193"/>
  <c r="D3192"/>
  <c r="C3192"/>
  <c r="D3191"/>
  <c r="C3191"/>
  <c r="D3190"/>
  <c r="C3190"/>
  <c r="D3189"/>
  <c r="C3189"/>
  <c r="D3188"/>
  <c r="C3188"/>
  <c r="D3187"/>
  <c r="C3187"/>
  <c r="D3186"/>
  <c r="C3186"/>
  <c r="D3185"/>
  <c r="C3185"/>
  <c r="D3184"/>
  <c r="C3184"/>
  <c r="D3183"/>
  <c r="C3183"/>
  <c r="D3182"/>
  <c r="C3182"/>
  <c r="D3181"/>
  <c r="C3181"/>
  <c r="D3180"/>
  <c r="C3180"/>
  <c r="D3179"/>
  <c r="C3179"/>
  <c r="D3178"/>
  <c r="C3178"/>
  <c r="D3177"/>
  <c r="C3177"/>
  <c r="D3176"/>
  <c r="C3176"/>
  <c r="D3175"/>
  <c r="C3175"/>
  <c r="D3174"/>
  <c r="C3174"/>
  <c r="D3173"/>
  <c r="C3173"/>
  <c r="D3172"/>
  <c r="C3172"/>
  <c r="D3171"/>
  <c r="C3171"/>
  <c r="D3170"/>
  <c r="C3170"/>
  <c r="D3169"/>
  <c r="C3169"/>
  <c r="D3168"/>
  <c r="C3168"/>
  <c r="D3167"/>
  <c r="C3167"/>
  <c r="D3166"/>
  <c r="C3166"/>
  <c r="D3165"/>
  <c r="C3165"/>
  <c r="D3164"/>
  <c r="C3164"/>
  <c r="D3163"/>
  <c r="C3163"/>
  <c r="D3162"/>
  <c r="C3162"/>
  <c r="D3161"/>
  <c r="C3161"/>
  <c r="D3160"/>
  <c r="C3160"/>
  <c r="D3159"/>
  <c r="C3159"/>
  <c r="D3158"/>
  <c r="C3158"/>
  <c r="D3157"/>
  <c r="C3157"/>
  <c r="D3156"/>
  <c r="C3156"/>
  <c r="D3155"/>
  <c r="C3155"/>
  <c r="D3154"/>
  <c r="C3154"/>
  <c r="D3153"/>
  <c r="C3153"/>
  <c r="D3152"/>
  <c r="C3152"/>
  <c r="D3151"/>
  <c r="C3151"/>
  <c r="D3150"/>
  <c r="C3150"/>
  <c r="D3149"/>
  <c r="C3149"/>
  <c r="D3148"/>
  <c r="C3148"/>
  <c r="D3147"/>
  <c r="C3147"/>
  <c r="D3146"/>
  <c r="C3146"/>
  <c r="D3145"/>
  <c r="C3145"/>
  <c r="D3144"/>
  <c r="C3144"/>
  <c r="D3143"/>
  <c r="C3143"/>
  <c r="D3142"/>
  <c r="C3142"/>
  <c r="D3141"/>
  <c r="C3141"/>
  <c r="D3140"/>
  <c r="C3140"/>
  <c r="D3139"/>
  <c r="C3139"/>
  <c r="D3138"/>
  <c r="C3138"/>
  <c r="D3137"/>
  <c r="C3137"/>
  <c r="D3136"/>
  <c r="C3136"/>
  <c r="D3135"/>
  <c r="C3135"/>
  <c r="D3134"/>
  <c r="C3134"/>
  <c r="D3133"/>
  <c r="C3133"/>
  <c r="D3132"/>
  <c r="C3132"/>
  <c r="D3131"/>
  <c r="C3131"/>
  <c r="D3130"/>
  <c r="C3130"/>
  <c r="D3129"/>
  <c r="C3129"/>
  <c r="D3128"/>
  <c r="C3128"/>
  <c r="D3127"/>
  <c r="C3127"/>
  <c r="D3126"/>
  <c r="C3126"/>
  <c r="D3125"/>
  <c r="C3125"/>
  <c r="D3124"/>
  <c r="C3124"/>
  <c r="D3123"/>
  <c r="C3123"/>
  <c r="D3122"/>
  <c r="C3122"/>
  <c r="D3121"/>
  <c r="C3121"/>
  <c r="D3120"/>
  <c r="C3120"/>
  <c r="D3119"/>
  <c r="C3119"/>
  <c r="D3118"/>
  <c r="C3118"/>
  <c r="D3117"/>
  <c r="C3117"/>
  <c r="D3116"/>
  <c r="C3116"/>
  <c r="D3115"/>
  <c r="C3115"/>
  <c r="D3114"/>
  <c r="C3114"/>
  <c r="D3113"/>
  <c r="C3113"/>
  <c r="D3112"/>
  <c r="C3112"/>
  <c r="D3111"/>
  <c r="C3111"/>
  <c r="D3110"/>
  <c r="C3110"/>
  <c r="D3109"/>
  <c r="C3109"/>
  <c r="D3108"/>
  <c r="C3108"/>
  <c r="D3107"/>
  <c r="C3107"/>
  <c r="D3106"/>
  <c r="C3106"/>
  <c r="D3105"/>
  <c r="C3105"/>
  <c r="D3104"/>
  <c r="C3104"/>
  <c r="D3103"/>
  <c r="C3103"/>
  <c r="D3102"/>
  <c r="C3102"/>
  <c r="D3101"/>
  <c r="C3101"/>
  <c r="D3100"/>
  <c r="C3100"/>
  <c r="D3099"/>
  <c r="C3099"/>
  <c r="D3098"/>
  <c r="C3098"/>
  <c r="D3097"/>
  <c r="C3097"/>
  <c r="D3096"/>
  <c r="C3096"/>
  <c r="D3095"/>
  <c r="C3095"/>
  <c r="D3094"/>
  <c r="C3094"/>
  <c r="D3093"/>
  <c r="C3093"/>
  <c r="D3092"/>
  <c r="C3092"/>
  <c r="D3091"/>
  <c r="C3091"/>
  <c r="D3090"/>
  <c r="C3090"/>
  <c r="D3089"/>
  <c r="C3089"/>
  <c r="D3088"/>
  <c r="C3088"/>
  <c r="D3087"/>
  <c r="C3087"/>
  <c r="D3086"/>
  <c r="C3086"/>
  <c r="D3085"/>
  <c r="C3085"/>
  <c r="D3084"/>
  <c r="C3084"/>
  <c r="D3083"/>
  <c r="C3083"/>
  <c r="D3082"/>
  <c r="C3082"/>
  <c r="D3081"/>
  <c r="C3081"/>
  <c r="D3080"/>
  <c r="C3080"/>
  <c r="D3079"/>
  <c r="C3079"/>
  <c r="D3078"/>
  <c r="C3078"/>
  <c r="D3077"/>
  <c r="C3077"/>
  <c r="D3076"/>
  <c r="C3076"/>
  <c r="D3075"/>
  <c r="C3075"/>
  <c r="D3074"/>
  <c r="C3074"/>
  <c r="D3073"/>
  <c r="C3073"/>
  <c r="D3072"/>
  <c r="C3072"/>
  <c r="D3071"/>
  <c r="C3071"/>
  <c r="D3070"/>
  <c r="C3070"/>
  <c r="D3069"/>
  <c r="C3069"/>
  <c r="D3068"/>
  <c r="C3068"/>
  <c r="D3067"/>
  <c r="C3067"/>
  <c r="D3066"/>
  <c r="C3066"/>
  <c r="D3065"/>
  <c r="C3065"/>
  <c r="D3064"/>
  <c r="C3064"/>
  <c r="D3063"/>
  <c r="C3063"/>
  <c r="D3062"/>
  <c r="C3062"/>
  <c r="D3061"/>
  <c r="C3061"/>
  <c r="D3060"/>
  <c r="C3060"/>
  <c r="D3059"/>
  <c r="C3059"/>
  <c r="D3058"/>
  <c r="C3058"/>
  <c r="D3057"/>
  <c r="C3057"/>
  <c r="D3056"/>
  <c r="C3056"/>
  <c r="D3055"/>
  <c r="C3055"/>
  <c r="D3054"/>
  <c r="C3054"/>
  <c r="D3053"/>
  <c r="C3053"/>
  <c r="D3052"/>
  <c r="C3052"/>
  <c r="D3051"/>
  <c r="C3051"/>
  <c r="D3050"/>
  <c r="C3050"/>
  <c r="D3049"/>
  <c r="C3049"/>
  <c r="D3048"/>
  <c r="C3048"/>
  <c r="D3047"/>
  <c r="C3047"/>
  <c r="D3046"/>
  <c r="C3046"/>
  <c r="D3045"/>
  <c r="C3045"/>
  <c r="D3044"/>
  <c r="C3044"/>
  <c r="D3043"/>
  <c r="C3043"/>
  <c r="D3042"/>
  <c r="C3042"/>
  <c r="D3041"/>
  <c r="C3041"/>
  <c r="D3040"/>
  <c r="C3040"/>
  <c r="D3039"/>
  <c r="C3039"/>
  <c r="D3038"/>
  <c r="C3038"/>
  <c r="D3037"/>
  <c r="C3037"/>
  <c r="D3036"/>
  <c r="C3036"/>
  <c r="D3035"/>
  <c r="C3035"/>
  <c r="D3034"/>
  <c r="C3034"/>
  <c r="D3033"/>
  <c r="C3033"/>
  <c r="D3032"/>
  <c r="C3032"/>
  <c r="D3031"/>
  <c r="C3031"/>
  <c r="D3030"/>
  <c r="C3030"/>
  <c r="D3029"/>
  <c r="C3029"/>
  <c r="D3028"/>
  <c r="C3028"/>
  <c r="D3027"/>
  <c r="C3027"/>
  <c r="D3026"/>
  <c r="C3026"/>
  <c r="D3025"/>
  <c r="C3025"/>
  <c r="D3024"/>
  <c r="C3024"/>
  <c r="D3023"/>
  <c r="C3023"/>
  <c r="D3022"/>
  <c r="C3022"/>
  <c r="D3021"/>
  <c r="C3021"/>
  <c r="D3020"/>
  <c r="C3020"/>
  <c r="D3019"/>
  <c r="C3019"/>
  <c r="D3018"/>
  <c r="C3018"/>
  <c r="D3017"/>
  <c r="C3017"/>
  <c r="D3016"/>
  <c r="C3016"/>
  <c r="D3015"/>
  <c r="C3015"/>
  <c r="D3014"/>
  <c r="C3014"/>
  <c r="D3013"/>
  <c r="C3013"/>
  <c r="D3012"/>
  <c r="C3012"/>
  <c r="D3011"/>
  <c r="C3011"/>
  <c r="D3010"/>
  <c r="C3010"/>
  <c r="D3009"/>
  <c r="C3009"/>
  <c r="D3008"/>
  <c r="C3008"/>
  <c r="D3007"/>
  <c r="C3007"/>
  <c r="D3006"/>
  <c r="C3006"/>
  <c r="D3005"/>
  <c r="C3005"/>
  <c r="D3004"/>
  <c r="C3004"/>
  <c r="D3003"/>
  <c r="C3003"/>
  <c r="D3002"/>
  <c r="C3002"/>
  <c r="D3001"/>
  <c r="C3001"/>
  <c r="D3000"/>
  <c r="C3000"/>
  <c r="D2999"/>
  <c r="C2999"/>
  <c r="D2998"/>
  <c r="C2998"/>
  <c r="D2997"/>
  <c r="C2997"/>
  <c r="D2996"/>
  <c r="C2996"/>
  <c r="D2995"/>
  <c r="C2995"/>
  <c r="D2994"/>
  <c r="C2994"/>
  <c r="D2993"/>
  <c r="C2993"/>
  <c r="D2992"/>
  <c r="C2992"/>
  <c r="D2991"/>
  <c r="C2991"/>
  <c r="D2990"/>
  <c r="C2990"/>
  <c r="D2989"/>
  <c r="C2989"/>
  <c r="D2988"/>
  <c r="C2988"/>
  <c r="D2987"/>
  <c r="C2987"/>
  <c r="D2986"/>
  <c r="C2986"/>
  <c r="D2985"/>
  <c r="C2985"/>
  <c r="D2984"/>
  <c r="C2984"/>
  <c r="D2983"/>
  <c r="C2983"/>
  <c r="D2982"/>
  <c r="C2982"/>
  <c r="D2981"/>
  <c r="C2981"/>
  <c r="D2980"/>
  <c r="C2980"/>
  <c r="D2979"/>
  <c r="C2979"/>
  <c r="D2978"/>
  <c r="C2978"/>
  <c r="D2977"/>
  <c r="C2977"/>
  <c r="D2976"/>
  <c r="C2976"/>
  <c r="D2975"/>
  <c r="C2975"/>
  <c r="D2974"/>
  <c r="C2974"/>
  <c r="D2973"/>
  <c r="C2973"/>
  <c r="D2972"/>
  <c r="C2972"/>
  <c r="D2971"/>
  <c r="C2971"/>
  <c r="D2970"/>
  <c r="C2970"/>
  <c r="D2969"/>
  <c r="C2969"/>
  <c r="D2968"/>
  <c r="C2968"/>
  <c r="D2967"/>
  <c r="C2967"/>
  <c r="D2966"/>
  <c r="C2966"/>
  <c r="D2965"/>
  <c r="C2965"/>
  <c r="D2964"/>
  <c r="C2964"/>
  <c r="D2963"/>
  <c r="C2963"/>
  <c r="D2962"/>
  <c r="C2962"/>
  <c r="D2961"/>
  <c r="C2961"/>
  <c r="D2960"/>
  <c r="C2960"/>
  <c r="D2959"/>
  <c r="C2959"/>
  <c r="D2958"/>
  <c r="C2958"/>
  <c r="D2957"/>
  <c r="C2957"/>
  <c r="D2956"/>
  <c r="C2956"/>
  <c r="D2955"/>
  <c r="C2955"/>
  <c r="D2954"/>
  <c r="C2954"/>
  <c r="D2953"/>
  <c r="C2953"/>
  <c r="D2952"/>
  <c r="C2952"/>
  <c r="D2951"/>
  <c r="C2951"/>
  <c r="D2950"/>
  <c r="C2950"/>
  <c r="D2949"/>
  <c r="C2949"/>
  <c r="D2948"/>
  <c r="C2948"/>
  <c r="D2947"/>
  <c r="C2947"/>
  <c r="D2946"/>
  <c r="C2946"/>
  <c r="D2945"/>
  <c r="C2945"/>
  <c r="D2944"/>
  <c r="C2944"/>
  <c r="D2943"/>
  <c r="C2943"/>
  <c r="D2942"/>
  <c r="C2942"/>
  <c r="D2941"/>
  <c r="C2941"/>
  <c r="D2940"/>
  <c r="C2940"/>
  <c r="D2939"/>
  <c r="C2939"/>
  <c r="D2938"/>
  <c r="C2938"/>
  <c r="D2937"/>
  <c r="C2937"/>
  <c r="D2936"/>
  <c r="C2936"/>
  <c r="D2935"/>
  <c r="C2935"/>
  <c r="D2934"/>
  <c r="C2934"/>
  <c r="D2933"/>
  <c r="C2933"/>
  <c r="D2932"/>
  <c r="C2932"/>
  <c r="D2931"/>
  <c r="C2931"/>
  <c r="D2930"/>
  <c r="C2930"/>
  <c r="D2929"/>
  <c r="C2929"/>
  <c r="D2928"/>
  <c r="C2928"/>
  <c r="D2927"/>
  <c r="C2927"/>
  <c r="D2926"/>
  <c r="C2926"/>
  <c r="D2925"/>
  <c r="C2925"/>
  <c r="D2924"/>
  <c r="C2924"/>
  <c r="D2923"/>
  <c r="C2923"/>
  <c r="D2922"/>
  <c r="C2922"/>
  <c r="D2921"/>
  <c r="C2921"/>
  <c r="D2920"/>
  <c r="C2920"/>
  <c r="D2919"/>
  <c r="C2919"/>
  <c r="D2918"/>
  <c r="C2918"/>
  <c r="D2917"/>
  <c r="C2917"/>
  <c r="D2916"/>
  <c r="C2916"/>
  <c r="D2915"/>
  <c r="C2915"/>
  <c r="D2914"/>
  <c r="C2914"/>
  <c r="D2913"/>
  <c r="C2913"/>
  <c r="D2912"/>
  <c r="C2912"/>
  <c r="D2911"/>
  <c r="C2911"/>
  <c r="D2910"/>
  <c r="C2910"/>
  <c r="D2909"/>
  <c r="C2909"/>
  <c r="D2908"/>
  <c r="C2908"/>
  <c r="D2907"/>
  <c r="C2907"/>
  <c r="D2906"/>
  <c r="C2906"/>
  <c r="D2905"/>
  <c r="C2905"/>
  <c r="D2904"/>
  <c r="C2904"/>
  <c r="D2903"/>
  <c r="C2903"/>
  <c r="D2902"/>
  <c r="C2902"/>
  <c r="D2901"/>
  <c r="C2901"/>
  <c r="D2900"/>
  <c r="C2900"/>
  <c r="D2899"/>
  <c r="C2899"/>
  <c r="D2898"/>
  <c r="C2898"/>
  <c r="D2897"/>
  <c r="C2897"/>
  <c r="D2896"/>
  <c r="C2896"/>
  <c r="D2895"/>
  <c r="C2895"/>
  <c r="D2894"/>
  <c r="C2894"/>
  <c r="D2893"/>
  <c r="C2893"/>
  <c r="D2892"/>
  <c r="C2892"/>
  <c r="D2891"/>
  <c r="C2891"/>
  <c r="D2890"/>
  <c r="C2890"/>
  <c r="D2889"/>
  <c r="C2889"/>
  <c r="D2888"/>
  <c r="C2888"/>
  <c r="D2887"/>
  <c r="C2887"/>
  <c r="D2886"/>
  <c r="C2886"/>
  <c r="D2885"/>
  <c r="C2885"/>
  <c r="D2884"/>
  <c r="C2884"/>
  <c r="D2883"/>
  <c r="C2883"/>
  <c r="D2882"/>
  <c r="C2882"/>
  <c r="D2881"/>
  <c r="C2881"/>
  <c r="D2880"/>
  <c r="C2880"/>
  <c r="D2879"/>
  <c r="C2879"/>
  <c r="D2878"/>
  <c r="C2878"/>
  <c r="D2877"/>
  <c r="C2877"/>
  <c r="D2876"/>
  <c r="C2876"/>
  <c r="D2875"/>
  <c r="C2875"/>
  <c r="D2874"/>
  <c r="C2874"/>
  <c r="D2873"/>
  <c r="C2873"/>
  <c r="D2872"/>
  <c r="C2872"/>
  <c r="D2871"/>
  <c r="C2871"/>
  <c r="D2870"/>
  <c r="C2870"/>
  <c r="D2869"/>
  <c r="C2869"/>
  <c r="D2868"/>
  <c r="C2868"/>
  <c r="D2867"/>
  <c r="C2867"/>
  <c r="D2866"/>
  <c r="C2866"/>
  <c r="D2865"/>
  <c r="C2865"/>
  <c r="D2864"/>
  <c r="C2864"/>
  <c r="D2863"/>
  <c r="C2863"/>
  <c r="D2862"/>
  <c r="C2862"/>
  <c r="D2861"/>
  <c r="C2861"/>
  <c r="D2860"/>
  <c r="C2860"/>
  <c r="D2859"/>
  <c r="C2859"/>
  <c r="D2858"/>
  <c r="C2858"/>
  <c r="D2857"/>
  <c r="C2857"/>
  <c r="D2856"/>
  <c r="C2856"/>
  <c r="D2855"/>
  <c r="C2855"/>
  <c r="D2854"/>
  <c r="C2854"/>
  <c r="D2853"/>
  <c r="C2853"/>
  <c r="D2852"/>
  <c r="C2852"/>
  <c r="D2851"/>
  <c r="C2851"/>
  <c r="D2850"/>
  <c r="C2850"/>
  <c r="D2849"/>
  <c r="C2849"/>
  <c r="D2848"/>
  <c r="C2848"/>
  <c r="D2847"/>
  <c r="C2847"/>
  <c r="D2846"/>
  <c r="C2846"/>
  <c r="D2845"/>
  <c r="C2845"/>
  <c r="D2844"/>
  <c r="C2844"/>
  <c r="D2843"/>
  <c r="C2843"/>
  <c r="D2842"/>
  <c r="C2842"/>
  <c r="D2841"/>
  <c r="C2841"/>
  <c r="D2840"/>
  <c r="C2840"/>
  <c r="D2839"/>
  <c r="C2839"/>
  <c r="D2838"/>
  <c r="C2838"/>
  <c r="D2837"/>
  <c r="C2837"/>
  <c r="D2836"/>
  <c r="C2836"/>
  <c r="D2835"/>
  <c r="C2835"/>
  <c r="D2834"/>
  <c r="C2834"/>
  <c r="D2833"/>
  <c r="C2833"/>
  <c r="D2832"/>
  <c r="C2832"/>
  <c r="D2831"/>
  <c r="C2831"/>
  <c r="D2830"/>
  <c r="C2830"/>
  <c r="D2829"/>
  <c r="C2829"/>
  <c r="D2828"/>
  <c r="C2828"/>
  <c r="D2827"/>
  <c r="C2827"/>
  <c r="D2826"/>
  <c r="C2826"/>
  <c r="D2825"/>
  <c r="C2825"/>
  <c r="D2824"/>
  <c r="C2824"/>
  <c r="D2823"/>
  <c r="C2823"/>
  <c r="D2822"/>
  <c r="C2822"/>
  <c r="D2821"/>
  <c r="C2821"/>
  <c r="D2820"/>
  <c r="C2820"/>
  <c r="D2819"/>
  <c r="C2819"/>
  <c r="D2818"/>
  <c r="C2818"/>
  <c r="D2817"/>
  <c r="C2817"/>
  <c r="D2816"/>
  <c r="C2816"/>
  <c r="D2815"/>
  <c r="C2815"/>
  <c r="D2814"/>
  <c r="C2814"/>
  <c r="D2813"/>
  <c r="C2813"/>
  <c r="D2812"/>
  <c r="C2812"/>
  <c r="D2811"/>
  <c r="C2811"/>
  <c r="D2810"/>
  <c r="C2810"/>
  <c r="D2809"/>
  <c r="C2809"/>
  <c r="D2808"/>
  <c r="C2808"/>
  <c r="D2807"/>
  <c r="C2807"/>
  <c r="D2806"/>
  <c r="C2806"/>
  <c r="D2805"/>
  <c r="C2805"/>
  <c r="D2804"/>
  <c r="C2804"/>
  <c r="D2803"/>
  <c r="C2803"/>
  <c r="D2802"/>
  <c r="C2802"/>
  <c r="D2801"/>
  <c r="C2801"/>
  <c r="D2800"/>
  <c r="C2800"/>
  <c r="D2799"/>
  <c r="C2799"/>
  <c r="D2798"/>
  <c r="C2798"/>
  <c r="D2797"/>
  <c r="C2797"/>
  <c r="D2796"/>
  <c r="C2796"/>
  <c r="D2795"/>
  <c r="C2795"/>
  <c r="D2794"/>
  <c r="C2794"/>
  <c r="D2793"/>
  <c r="C2793"/>
  <c r="D2792"/>
  <c r="C2792"/>
  <c r="D2791"/>
  <c r="C2791"/>
  <c r="D2790"/>
  <c r="C2790"/>
  <c r="D2789"/>
  <c r="C2789"/>
  <c r="D2788"/>
  <c r="C2788"/>
  <c r="D2787"/>
  <c r="C2787"/>
  <c r="D2786"/>
  <c r="C2786"/>
  <c r="D2785"/>
  <c r="C2785"/>
  <c r="D2784"/>
  <c r="C2784"/>
  <c r="D2783"/>
  <c r="C2783"/>
  <c r="D2782"/>
  <c r="C2782"/>
  <c r="D2781"/>
  <c r="C2781"/>
  <c r="D2780"/>
  <c r="C2780"/>
  <c r="D2779"/>
  <c r="C2779"/>
  <c r="D2778"/>
  <c r="C2778"/>
  <c r="D2777"/>
  <c r="C2777"/>
  <c r="D2776"/>
  <c r="C2776"/>
  <c r="D2775"/>
  <c r="C2775"/>
  <c r="D2774"/>
  <c r="C2774"/>
  <c r="D2773"/>
  <c r="C2773"/>
  <c r="D2772"/>
  <c r="C2772"/>
  <c r="D2771"/>
  <c r="C2771"/>
  <c r="D2770"/>
  <c r="C2770"/>
  <c r="D2769"/>
  <c r="C2769"/>
  <c r="D2768"/>
  <c r="C2768"/>
  <c r="D2767"/>
  <c r="C2767"/>
  <c r="D2766"/>
  <c r="C2766"/>
  <c r="D2765"/>
  <c r="C2765"/>
  <c r="D2764"/>
  <c r="C2764"/>
  <c r="D2763"/>
  <c r="C2763"/>
  <c r="D2762"/>
  <c r="C2762"/>
  <c r="D2761"/>
  <c r="C2761"/>
  <c r="D2760"/>
  <c r="C2760"/>
  <c r="D2759"/>
  <c r="C2759"/>
  <c r="D2758"/>
  <c r="C2758"/>
  <c r="D2757"/>
  <c r="C2757"/>
  <c r="D2756"/>
  <c r="C2756"/>
  <c r="D2755"/>
  <c r="C2755"/>
  <c r="D2754"/>
  <c r="C2754"/>
  <c r="D2753"/>
  <c r="C2753"/>
  <c r="D2752"/>
  <c r="C2752"/>
  <c r="D2751"/>
  <c r="C2751"/>
  <c r="D2750"/>
  <c r="C2750"/>
  <c r="D2749"/>
  <c r="C2749"/>
  <c r="D2748"/>
  <c r="C2748"/>
  <c r="D2747"/>
  <c r="C2747"/>
  <c r="D2746"/>
  <c r="C2746"/>
  <c r="D2745"/>
  <c r="C2745"/>
  <c r="D2744"/>
  <c r="C2744"/>
  <c r="D2743"/>
  <c r="C2743"/>
  <c r="D2742"/>
  <c r="C2742"/>
  <c r="D2741"/>
  <c r="C2741"/>
  <c r="D2740"/>
  <c r="C2740"/>
  <c r="D2739"/>
  <c r="C2739"/>
  <c r="D2738"/>
  <c r="C2738"/>
  <c r="D2737"/>
  <c r="C2737"/>
  <c r="D2736"/>
  <c r="C2736"/>
  <c r="D2735"/>
  <c r="C2735"/>
  <c r="D2734"/>
  <c r="C2734"/>
  <c r="D2733"/>
  <c r="C2733"/>
  <c r="D2732"/>
  <c r="C2732"/>
  <c r="D2731"/>
  <c r="C2731"/>
  <c r="D2730"/>
  <c r="C2730"/>
  <c r="D2729"/>
  <c r="C2729"/>
  <c r="D2728"/>
  <c r="C2728"/>
  <c r="D2727"/>
  <c r="C2727"/>
  <c r="D2726"/>
  <c r="C2726"/>
  <c r="D2725"/>
  <c r="C2725"/>
  <c r="D2724"/>
  <c r="C2724"/>
  <c r="D2723"/>
  <c r="C2723"/>
  <c r="D2722"/>
  <c r="C2722"/>
  <c r="D2721"/>
  <c r="C2721"/>
  <c r="D2720"/>
  <c r="C2720"/>
  <c r="D2719"/>
  <c r="C2719"/>
  <c r="D2718"/>
  <c r="C2718"/>
  <c r="D2717"/>
  <c r="C2717"/>
  <c r="D2716"/>
  <c r="C2716"/>
  <c r="D2715"/>
  <c r="C2715"/>
  <c r="D2714"/>
  <c r="C2714"/>
  <c r="D2713"/>
  <c r="C2713"/>
  <c r="D2712"/>
  <c r="C2712"/>
  <c r="D2711"/>
  <c r="C2711"/>
  <c r="D2710"/>
  <c r="C2710"/>
  <c r="D2709"/>
  <c r="C2709"/>
  <c r="D2708"/>
  <c r="C2708"/>
  <c r="D2707"/>
  <c r="C2707"/>
  <c r="D2706"/>
  <c r="C2706"/>
  <c r="D2705"/>
  <c r="C2705"/>
  <c r="D2704"/>
  <c r="C2704"/>
  <c r="D2703"/>
  <c r="C2703"/>
  <c r="D2702"/>
  <c r="C2702"/>
  <c r="D2701"/>
  <c r="C2701"/>
  <c r="D2700"/>
  <c r="C2700"/>
  <c r="D2699"/>
  <c r="C2699"/>
  <c r="D2698"/>
  <c r="C2698"/>
  <c r="D2697"/>
  <c r="C2697"/>
  <c r="D2696"/>
  <c r="C2696"/>
  <c r="D2695"/>
  <c r="C2695"/>
  <c r="D2694"/>
  <c r="C2694"/>
  <c r="D2693"/>
  <c r="C2693"/>
  <c r="D2692"/>
  <c r="C2692"/>
  <c r="D2691"/>
  <c r="C2691"/>
  <c r="D2690"/>
  <c r="C2690"/>
  <c r="D2689"/>
  <c r="C2689"/>
  <c r="D2688"/>
  <c r="C2688"/>
  <c r="D2687"/>
  <c r="C2687"/>
  <c r="D2686"/>
  <c r="C2686"/>
  <c r="D2685"/>
  <c r="C2685"/>
  <c r="D2684"/>
  <c r="C2684"/>
  <c r="D2683"/>
  <c r="C2683"/>
  <c r="D2682"/>
  <c r="C2682"/>
  <c r="D2681"/>
  <c r="C2681"/>
  <c r="D2680"/>
  <c r="C2680"/>
  <c r="D2679"/>
  <c r="C2679"/>
  <c r="D2678"/>
  <c r="C2678"/>
  <c r="D2677"/>
  <c r="C2677"/>
  <c r="D2676"/>
  <c r="C2676"/>
  <c r="D2675"/>
  <c r="C2675"/>
  <c r="D2674"/>
  <c r="C2674"/>
  <c r="D2673"/>
  <c r="C2673"/>
  <c r="D2672"/>
  <c r="C2672"/>
  <c r="D2671"/>
  <c r="C2671"/>
  <c r="D2670"/>
  <c r="C2670"/>
  <c r="D2669"/>
  <c r="C2669"/>
  <c r="D2668"/>
  <c r="C2668"/>
  <c r="D2667"/>
  <c r="C2667"/>
  <c r="D2666"/>
  <c r="C2666"/>
  <c r="D2665"/>
  <c r="C2665"/>
  <c r="D2664"/>
  <c r="C2664"/>
  <c r="D2663"/>
  <c r="C2663"/>
  <c r="D2662"/>
  <c r="C2662"/>
  <c r="D2661"/>
  <c r="C2661"/>
  <c r="D2660"/>
  <c r="C2660"/>
  <c r="D2659"/>
  <c r="C2659"/>
  <c r="D2658"/>
  <c r="C2658"/>
  <c r="D2657"/>
  <c r="C2657"/>
  <c r="D2656"/>
  <c r="C2656"/>
  <c r="D2655"/>
  <c r="C2655"/>
  <c r="D2654"/>
  <c r="C2654"/>
  <c r="D2653"/>
  <c r="C2653"/>
  <c r="D2652"/>
  <c r="C2652"/>
  <c r="D2651"/>
  <c r="C2651"/>
  <c r="D2650"/>
  <c r="C2650"/>
  <c r="D2649"/>
  <c r="C2649"/>
  <c r="D2648"/>
  <c r="C2648"/>
  <c r="D2647"/>
  <c r="C2647"/>
  <c r="D2646"/>
  <c r="C2646"/>
  <c r="D2645"/>
  <c r="C2645"/>
  <c r="D2644"/>
  <c r="C2644"/>
  <c r="D2643"/>
  <c r="C2643"/>
  <c r="D2642"/>
  <c r="C2642"/>
  <c r="D2641"/>
  <c r="C2641"/>
  <c r="D2640"/>
  <c r="C2640"/>
  <c r="D2639"/>
  <c r="C2639"/>
  <c r="D2638"/>
  <c r="C2638"/>
  <c r="D2637"/>
  <c r="C2637"/>
  <c r="D2636"/>
  <c r="C2636"/>
  <c r="D2635"/>
  <c r="C2635"/>
  <c r="D2634"/>
  <c r="C2634"/>
  <c r="D2633"/>
  <c r="C2633"/>
  <c r="D2632"/>
  <c r="C2632"/>
  <c r="D2631"/>
  <c r="C2631"/>
  <c r="D2630"/>
  <c r="C2630"/>
  <c r="D2629"/>
  <c r="C2629"/>
  <c r="D2628"/>
  <c r="C2628"/>
  <c r="D2627"/>
  <c r="C2627"/>
  <c r="D2626"/>
  <c r="C2626"/>
  <c r="D2625"/>
  <c r="C2625"/>
  <c r="D2624"/>
  <c r="C2624"/>
  <c r="D2623"/>
  <c r="C2623"/>
  <c r="D2622"/>
  <c r="C2622"/>
  <c r="D2621"/>
  <c r="C2621"/>
  <c r="D2620"/>
  <c r="C2620"/>
  <c r="D2619"/>
  <c r="C2619"/>
  <c r="D2618"/>
  <c r="C2618"/>
  <c r="D2617"/>
  <c r="C2617"/>
  <c r="D2616"/>
  <c r="C2616"/>
  <c r="D2615"/>
  <c r="C2615"/>
  <c r="D2614"/>
  <c r="C2614"/>
  <c r="D2613"/>
  <c r="C2613"/>
  <c r="D2612"/>
  <c r="C2612"/>
  <c r="D2611"/>
  <c r="C2611"/>
  <c r="D2610"/>
  <c r="C2610"/>
  <c r="D2609"/>
  <c r="C2609"/>
  <c r="D2608"/>
  <c r="C2608"/>
  <c r="D2607"/>
  <c r="C2607"/>
  <c r="D2606"/>
  <c r="C2606"/>
  <c r="D2605"/>
  <c r="C2605"/>
  <c r="D2604"/>
  <c r="C2604"/>
  <c r="D2603"/>
  <c r="C2603"/>
  <c r="D2602"/>
  <c r="C2602"/>
  <c r="D2601"/>
  <c r="C2601"/>
  <c r="D2600"/>
  <c r="C2600"/>
  <c r="D2599"/>
  <c r="C2599"/>
  <c r="D2598"/>
  <c r="C2598"/>
  <c r="D2597"/>
  <c r="C2597"/>
  <c r="D2596"/>
  <c r="C2596"/>
  <c r="D2595"/>
  <c r="C2595"/>
  <c r="D2594"/>
  <c r="C2594"/>
  <c r="D2593"/>
  <c r="C2593"/>
  <c r="D2592"/>
  <c r="C2592"/>
  <c r="D2591"/>
  <c r="C2591"/>
  <c r="D2590"/>
  <c r="C2590"/>
  <c r="D2589"/>
  <c r="C2589"/>
  <c r="D2588"/>
  <c r="C2588"/>
  <c r="D2587"/>
  <c r="C2587"/>
  <c r="D2586"/>
  <c r="C2586"/>
  <c r="D2585"/>
  <c r="C2585"/>
  <c r="D2584"/>
  <c r="C2584"/>
  <c r="D2583"/>
  <c r="C2583"/>
  <c r="D2582"/>
  <c r="C2582"/>
  <c r="D2581"/>
  <c r="C2581"/>
  <c r="D2580"/>
  <c r="C2580"/>
  <c r="D2579"/>
  <c r="C2579"/>
  <c r="D2578"/>
  <c r="C2578"/>
  <c r="D2577"/>
  <c r="C2577"/>
  <c r="D2576"/>
  <c r="C2576"/>
  <c r="D2575"/>
  <c r="C2575"/>
  <c r="D2574"/>
  <c r="C2574"/>
  <c r="D2573"/>
  <c r="C2573"/>
  <c r="D2572"/>
  <c r="C2572"/>
  <c r="D2571"/>
  <c r="C2571"/>
  <c r="D2570"/>
  <c r="C2570"/>
  <c r="D2569"/>
  <c r="C2569"/>
  <c r="D2568"/>
  <c r="C2568"/>
  <c r="D2567"/>
  <c r="C2567"/>
  <c r="D2566"/>
  <c r="C2566"/>
  <c r="D2565"/>
  <c r="C2565"/>
  <c r="D2564"/>
  <c r="C2564"/>
  <c r="D2563"/>
  <c r="C2563"/>
  <c r="D2562"/>
  <c r="C2562"/>
  <c r="D2561"/>
  <c r="C2561"/>
  <c r="D2560"/>
  <c r="C2560"/>
  <c r="D2559"/>
  <c r="C2559"/>
  <c r="D2558"/>
  <c r="C2558"/>
  <c r="D2557"/>
  <c r="C2557"/>
  <c r="D2556"/>
  <c r="C2556"/>
  <c r="D2555"/>
  <c r="C2555"/>
  <c r="D2554"/>
  <c r="C2554"/>
  <c r="D2553"/>
  <c r="C2553"/>
  <c r="D2552"/>
  <c r="C2552"/>
  <c r="D2551"/>
  <c r="C2551"/>
  <c r="D2550"/>
  <c r="C2550"/>
  <c r="D2549"/>
  <c r="C2549"/>
  <c r="D2548"/>
  <c r="C2548"/>
  <c r="D2547"/>
  <c r="C2547"/>
  <c r="D2546"/>
  <c r="C2546"/>
  <c r="D2545"/>
  <c r="C2545"/>
  <c r="D2544"/>
  <c r="C2544"/>
  <c r="D2543"/>
  <c r="C2543"/>
  <c r="D2542"/>
  <c r="C2542"/>
  <c r="D2541"/>
  <c r="C2541"/>
  <c r="D2540"/>
  <c r="C2540"/>
  <c r="D2539"/>
  <c r="C2539"/>
  <c r="D2538"/>
  <c r="C2538"/>
  <c r="D2537"/>
  <c r="C2537"/>
  <c r="D2536"/>
  <c r="C2536"/>
  <c r="D2535"/>
  <c r="C2535"/>
  <c r="D2534"/>
  <c r="C2534"/>
  <c r="D2533"/>
  <c r="C2533"/>
  <c r="D2532"/>
  <c r="C2532"/>
  <c r="D2531"/>
  <c r="C2531"/>
  <c r="D2530"/>
  <c r="C2530"/>
  <c r="D2529"/>
  <c r="C2529"/>
  <c r="D2528"/>
  <c r="C2528"/>
  <c r="D2527"/>
  <c r="C2527"/>
  <c r="D2526"/>
  <c r="C2526"/>
  <c r="D2525"/>
  <c r="C2525"/>
  <c r="D2524"/>
  <c r="C2524"/>
  <c r="D2523"/>
  <c r="C2523"/>
  <c r="D2522"/>
  <c r="C2522"/>
  <c r="D2521"/>
  <c r="C2521"/>
  <c r="D2520"/>
  <c r="C2520"/>
  <c r="D2519"/>
  <c r="C2519"/>
  <c r="D2518"/>
  <c r="C2518"/>
  <c r="D2517"/>
  <c r="C2517"/>
  <c r="D2516"/>
  <c r="C2516"/>
  <c r="D2515"/>
  <c r="C2515"/>
  <c r="D2514"/>
  <c r="C2514"/>
  <c r="D2513"/>
  <c r="C2513"/>
  <c r="D2512"/>
  <c r="C2512"/>
  <c r="D2511"/>
  <c r="C2511"/>
  <c r="D2510"/>
  <c r="C2510"/>
  <c r="D2509"/>
  <c r="C2509"/>
  <c r="D2508"/>
  <c r="C2508"/>
  <c r="D2507"/>
  <c r="C2507"/>
  <c r="D2506"/>
  <c r="C2506"/>
  <c r="D2505"/>
  <c r="C2505"/>
  <c r="D2504"/>
  <c r="C2504"/>
  <c r="D2503"/>
  <c r="C2503"/>
  <c r="D2502"/>
  <c r="C2502"/>
  <c r="D2501"/>
  <c r="C2501"/>
  <c r="D2500"/>
  <c r="C2500"/>
  <c r="D2499"/>
  <c r="C2499"/>
  <c r="D2498"/>
  <c r="C2498"/>
  <c r="D2497"/>
  <c r="C2497"/>
  <c r="D2496"/>
  <c r="C2496"/>
  <c r="D2495"/>
  <c r="C2495"/>
  <c r="D2494"/>
  <c r="C2494"/>
  <c r="D2493"/>
  <c r="C2493"/>
  <c r="D2492"/>
  <c r="C2492"/>
  <c r="D2491"/>
  <c r="C2491"/>
  <c r="D2490"/>
  <c r="C2490"/>
  <c r="D2489"/>
  <c r="C2489"/>
  <c r="D2488"/>
  <c r="C2488"/>
  <c r="D2487"/>
  <c r="C2487"/>
  <c r="D2486"/>
  <c r="C2486"/>
  <c r="D2485"/>
  <c r="C2485"/>
  <c r="D2484"/>
  <c r="C2484"/>
  <c r="D2483"/>
  <c r="C2483"/>
  <c r="D2482"/>
  <c r="C2482"/>
  <c r="D2481"/>
  <c r="C2481"/>
  <c r="D2480"/>
  <c r="C2480"/>
  <c r="D2479"/>
  <c r="C2479"/>
  <c r="D2478"/>
  <c r="C2478"/>
  <c r="D2477"/>
  <c r="C2477"/>
  <c r="D2476"/>
  <c r="C2476"/>
  <c r="D2475"/>
  <c r="C2475"/>
  <c r="D2474"/>
  <c r="C2474"/>
  <c r="D2473"/>
  <c r="C2473"/>
  <c r="D2472"/>
  <c r="C2472"/>
  <c r="D2471"/>
  <c r="C2471"/>
  <c r="D2470"/>
  <c r="C2470"/>
  <c r="D2469"/>
  <c r="C2469"/>
  <c r="D2468"/>
  <c r="C2468"/>
  <c r="D2467"/>
  <c r="C2467"/>
  <c r="D2466"/>
  <c r="C2466"/>
  <c r="D2465"/>
  <c r="C2465"/>
  <c r="D2464"/>
  <c r="C2464"/>
  <c r="D2463"/>
  <c r="C2463"/>
  <c r="D2462"/>
  <c r="C2462"/>
  <c r="D2461"/>
  <c r="C2461"/>
  <c r="D2460"/>
  <c r="C2460"/>
  <c r="D2459"/>
  <c r="C2459"/>
  <c r="D2458"/>
  <c r="C2458"/>
  <c r="D2457"/>
  <c r="C2457"/>
  <c r="D2456"/>
  <c r="C2456"/>
  <c r="D2455"/>
  <c r="C2455"/>
  <c r="D2454"/>
  <c r="C2454"/>
  <c r="D2453"/>
  <c r="C2453"/>
  <c r="D2452"/>
  <c r="C2452"/>
  <c r="D2451"/>
  <c r="C2451"/>
  <c r="D2450"/>
  <c r="C2450"/>
  <c r="D2449"/>
  <c r="C2449"/>
  <c r="D2448"/>
  <c r="C2448"/>
  <c r="D2447"/>
  <c r="C2447"/>
  <c r="D2446"/>
  <c r="C2446"/>
  <c r="D2445"/>
  <c r="C2445"/>
  <c r="D2444"/>
  <c r="C2444"/>
  <c r="D2443"/>
  <c r="C2443"/>
  <c r="D2442"/>
  <c r="C2442"/>
  <c r="D2441"/>
  <c r="C2441"/>
  <c r="D2440"/>
  <c r="C2440"/>
  <c r="D2439"/>
  <c r="C2439"/>
  <c r="D2438"/>
  <c r="C2438"/>
  <c r="D2437"/>
  <c r="C2437"/>
  <c r="D2436"/>
  <c r="C2436"/>
  <c r="D2435"/>
  <c r="C2435"/>
  <c r="D2434"/>
  <c r="C2434"/>
  <c r="D2433"/>
  <c r="C2433"/>
  <c r="D2432"/>
  <c r="C2432"/>
  <c r="D2431"/>
  <c r="C2431"/>
  <c r="D2430"/>
  <c r="C2430"/>
  <c r="D2429"/>
  <c r="C2429"/>
  <c r="D2428"/>
  <c r="C2428"/>
  <c r="D2427"/>
  <c r="C2427"/>
  <c r="D2426"/>
  <c r="C2426"/>
  <c r="D2425"/>
  <c r="C2425"/>
  <c r="D2424"/>
  <c r="C2424"/>
  <c r="D2423"/>
  <c r="C2423"/>
  <c r="D2422"/>
  <c r="C2422"/>
  <c r="D2421"/>
  <c r="C2421"/>
  <c r="D2420"/>
  <c r="C2420"/>
  <c r="D2419"/>
  <c r="C2419"/>
  <c r="D2418"/>
  <c r="C2418"/>
  <c r="D2417"/>
  <c r="C2417"/>
  <c r="D2416"/>
  <c r="C2416"/>
  <c r="D2415"/>
  <c r="C2415"/>
  <c r="D2414"/>
  <c r="C2414"/>
  <c r="D2413"/>
  <c r="C2413"/>
  <c r="D2412"/>
  <c r="C2412"/>
  <c r="D2411"/>
  <c r="C2411"/>
  <c r="D2410"/>
  <c r="C2410"/>
  <c r="D2409"/>
  <c r="C2409"/>
  <c r="D2408"/>
  <c r="C2408"/>
  <c r="D2407"/>
  <c r="C2407"/>
  <c r="D2406"/>
  <c r="C2406"/>
  <c r="D2405"/>
  <c r="C2405"/>
  <c r="D2404"/>
  <c r="C2404"/>
  <c r="D2403"/>
  <c r="C2403"/>
  <c r="D2402"/>
  <c r="C2402"/>
  <c r="D2401"/>
  <c r="C2401"/>
  <c r="D2400"/>
  <c r="C2400"/>
  <c r="D2399"/>
  <c r="C2399"/>
  <c r="D2398"/>
  <c r="C2398"/>
  <c r="D2397"/>
  <c r="C2397"/>
  <c r="D2396"/>
  <c r="C2396"/>
  <c r="D2395"/>
  <c r="C2395"/>
  <c r="D2394"/>
  <c r="C2394"/>
  <c r="D2393"/>
  <c r="C2393"/>
  <c r="D2392"/>
  <c r="C2392"/>
  <c r="D2391"/>
  <c r="C2391"/>
  <c r="D2390"/>
  <c r="C2390"/>
  <c r="D2389"/>
  <c r="C2389"/>
  <c r="D2388"/>
  <c r="C2388"/>
  <c r="D2387"/>
  <c r="C2387"/>
  <c r="D2386"/>
  <c r="C2386"/>
  <c r="D2385"/>
  <c r="C2385"/>
  <c r="D2384"/>
  <c r="C2384"/>
  <c r="D2383"/>
  <c r="C2383"/>
  <c r="D2382"/>
  <c r="C2382"/>
  <c r="D2381"/>
  <c r="C2381"/>
  <c r="D2380"/>
  <c r="C2380"/>
  <c r="D2379"/>
  <c r="C2379"/>
  <c r="D2378"/>
  <c r="C2378"/>
  <c r="D2377"/>
  <c r="C2377"/>
  <c r="D2376"/>
  <c r="C2376"/>
  <c r="D2375"/>
  <c r="C2375"/>
  <c r="D2374"/>
  <c r="C2374"/>
  <c r="D2373"/>
  <c r="C2373"/>
  <c r="D2372"/>
  <c r="C2372"/>
  <c r="D2371"/>
  <c r="C2371"/>
  <c r="D2370"/>
  <c r="C2370"/>
  <c r="D2369"/>
  <c r="C2369"/>
  <c r="D2368"/>
  <c r="C2368"/>
  <c r="D2367"/>
  <c r="C2367"/>
  <c r="D2366"/>
  <c r="C2366"/>
  <c r="D2365"/>
  <c r="C2365"/>
  <c r="D2364"/>
  <c r="C2364"/>
  <c r="D2363"/>
  <c r="C2363"/>
  <c r="D2362"/>
  <c r="C2362"/>
  <c r="D2361"/>
  <c r="C2361"/>
  <c r="D2360"/>
  <c r="C2360"/>
  <c r="D2359"/>
  <c r="C2359"/>
  <c r="D2358"/>
  <c r="C2358"/>
  <c r="D2357"/>
  <c r="C2357"/>
  <c r="D2356"/>
  <c r="C2356"/>
  <c r="D2355"/>
  <c r="C2355"/>
  <c r="D2354"/>
  <c r="C2354"/>
  <c r="D2353"/>
  <c r="C2353"/>
  <c r="D2352"/>
  <c r="C2352"/>
  <c r="D2351"/>
  <c r="C2351"/>
  <c r="D2350"/>
  <c r="C2350"/>
  <c r="D2349"/>
  <c r="C2349"/>
  <c r="D2348"/>
  <c r="C2348"/>
  <c r="D2347"/>
  <c r="C2347"/>
  <c r="D2346"/>
  <c r="C2346"/>
  <c r="D2345"/>
  <c r="C2345"/>
  <c r="D2344"/>
  <c r="C2344"/>
  <c r="D2343"/>
  <c r="C2343"/>
  <c r="D2342"/>
  <c r="C2342"/>
  <c r="D2341"/>
  <c r="C2341"/>
  <c r="D2340"/>
  <c r="C2340"/>
  <c r="D2339"/>
  <c r="C2339"/>
  <c r="D2338"/>
  <c r="C2338"/>
  <c r="D2337"/>
  <c r="C2337"/>
  <c r="D2336"/>
  <c r="C2336"/>
  <c r="D2335"/>
  <c r="C2335"/>
  <c r="D2334"/>
  <c r="C2334"/>
  <c r="D2333"/>
  <c r="C2333"/>
  <c r="D2332"/>
  <c r="C2332"/>
  <c r="D2331"/>
  <c r="C2331"/>
  <c r="D2330"/>
  <c r="C2330"/>
  <c r="D2329"/>
  <c r="C2329"/>
  <c r="D2328"/>
  <c r="C2328"/>
  <c r="D2327"/>
  <c r="C2327"/>
  <c r="D2326"/>
  <c r="C2326"/>
  <c r="D2325"/>
  <c r="C2325"/>
  <c r="D2324"/>
  <c r="C2324"/>
  <c r="D2323"/>
  <c r="C2323"/>
  <c r="D2322"/>
  <c r="C2322"/>
  <c r="D2321"/>
  <c r="C2321"/>
  <c r="D2320"/>
  <c r="C2320"/>
  <c r="D2319"/>
  <c r="C2319"/>
  <c r="D2318"/>
  <c r="C2318"/>
  <c r="D2317"/>
  <c r="C2317"/>
  <c r="D2316"/>
  <c r="C2316"/>
  <c r="D2315"/>
  <c r="C2315"/>
  <c r="D2314"/>
  <c r="C2314"/>
  <c r="D2313"/>
  <c r="C2313"/>
  <c r="D2312"/>
  <c r="C2312"/>
  <c r="D2311"/>
  <c r="C2311"/>
  <c r="D2310"/>
  <c r="C2310"/>
  <c r="D2309"/>
  <c r="C2309"/>
  <c r="D2308"/>
  <c r="C2308"/>
  <c r="D2307"/>
  <c r="C2307"/>
  <c r="D2306"/>
  <c r="C2306"/>
  <c r="D2305"/>
  <c r="C2305"/>
  <c r="D2304"/>
  <c r="C2304"/>
  <c r="D2303"/>
  <c r="C2303"/>
  <c r="D2302"/>
  <c r="C2302"/>
  <c r="D2301"/>
  <c r="C2301"/>
  <c r="D2300"/>
  <c r="C2300"/>
  <c r="D2299"/>
  <c r="C2299"/>
  <c r="D2298"/>
  <c r="C2298"/>
  <c r="D2297"/>
  <c r="C2297"/>
  <c r="D2296"/>
  <c r="C2296"/>
  <c r="D2295"/>
  <c r="C2295"/>
  <c r="D2294"/>
  <c r="C2294"/>
  <c r="D2293"/>
  <c r="C2293"/>
  <c r="D2292"/>
  <c r="C2292"/>
  <c r="D2291"/>
  <c r="C2291"/>
  <c r="D2290"/>
  <c r="C2290"/>
  <c r="D2289"/>
  <c r="C2289"/>
  <c r="D2288"/>
  <c r="C2288"/>
  <c r="D2287"/>
  <c r="C2287"/>
  <c r="D2286"/>
  <c r="C2286"/>
  <c r="D2285"/>
  <c r="C2285"/>
  <c r="D2284"/>
  <c r="C2284"/>
  <c r="D2283"/>
  <c r="C2283"/>
  <c r="D2282"/>
  <c r="C2282"/>
  <c r="D2281"/>
  <c r="C2281"/>
  <c r="D2280"/>
  <c r="C2280"/>
  <c r="D2279"/>
  <c r="C2279"/>
  <c r="D2278"/>
  <c r="C2278"/>
  <c r="D2277"/>
  <c r="C2277"/>
  <c r="D2276"/>
  <c r="C2276"/>
  <c r="D2275"/>
  <c r="C2275"/>
  <c r="D2274"/>
  <c r="C2274"/>
  <c r="D2273"/>
  <c r="C2273"/>
  <c r="D2272"/>
  <c r="C2272"/>
  <c r="D2271"/>
  <c r="C2271"/>
  <c r="D2270"/>
  <c r="C2270"/>
  <c r="D2269"/>
  <c r="C2269"/>
  <c r="D2268"/>
  <c r="C2268"/>
  <c r="D2267"/>
  <c r="C2267"/>
  <c r="D2266"/>
  <c r="C2266"/>
  <c r="D2265"/>
  <c r="C2265"/>
  <c r="D2264"/>
  <c r="C2264"/>
  <c r="D2263"/>
  <c r="C2263"/>
  <c r="D2262"/>
  <c r="C2262"/>
  <c r="D2261"/>
  <c r="C2261"/>
  <c r="D2260"/>
  <c r="C2260"/>
  <c r="D2259"/>
  <c r="C2259"/>
  <c r="D2258"/>
  <c r="C2258"/>
  <c r="D2257"/>
  <c r="C2257"/>
  <c r="D2256"/>
  <c r="C2256"/>
  <c r="D2255"/>
  <c r="C2255"/>
  <c r="D2254"/>
  <c r="C2254"/>
  <c r="D2253"/>
  <c r="C2253"/>
  <c r="D2252"/>
  <c r="C2252"/>
  <c r="D2251"/>
  <c r="C2251"/>
  <c r="D2250"/>
  <c r="C2250"/>
  <c r="D2249"/>
  <c r="C2249"/>
  <c r="D2248"/>
  <c r="C2248"/>
  <c r="D2247"/>
  <c r="C2247"/>
  <c r="D2246"/>
  <c r="C2246"/>
  <c r="D2245"/>
  <c r="C2245"/>
  <c r="D2244"/>
  <c r="C2244"/>
  <c r="D2243"/>
  <c r="C2243"/>
  <c r="D2242"/>
  <c r="C2242"/>
  <c r="D2241"/>
  <c r="C2241"/>
  <c r="D2240"/>
  <c r="C2240"/>
  <c r="D2239"/>
  <c r="C2239"/>
  <c r="D2238"/>
  <c r="C2238"/>
  <c r="D2237"/>
  <c r="C2237"/>
  <c r="D2236"/>
  <c r="C2236"/>
  <c r="D2235"/>
  <c r="C2235"/>
  <c r="D2234"/>
  <c r="C2234"/>
  <c r="D2233"/>
  <c r="C2233"/>
  <c r="D2232"/>
  <c r="C2232"/>
  <c r="D2231"/>
  <c r="C2231"/>
  <c r="D2230"/>
  <c r="C2230"/>
  <c r="D2229"/>
  <c r="C2229"/>
  <c r="D2228"/>
  <c r="C2228"/>
  <c r="D2227"/>
  <c r="C2227"/>
  <c r="D2226"/>
  <c r="C2226"/>
  <c r="D2225"/>
  <c r="C2225"/>
  <c r="D2224"/>
  <c r="C2224"/>
  <c r="D2223"/>
  <c r="C2223"/>
  <c r="D2222"/>
  <c r="C2222"/>
  <c r="D2221"/>
  <c r="C2221"/>
  <c r="D2220"/>
  <c r="C2220"/>
  <c r="D2219"/>
  <c r="C2219"/>
  <c r="D2218"/>
  <c r="C2218"/>
  <c r="D2217"/>
  <c r="C2217"/>
  <c r="D2216"/>
  <c r="C2216"/>
  <c r="D2215"/>
  <c r="C2215"/>
  <c r="D2214"/>
  <c r="C2214"/>
  <c r="D2213"/>
  <c r="C2213"/>
  <c r="D2212"/>
  <c r="C2212"/>
  <c r="D2211"/>
  <c r="C2211"/>
  <c r="D2210"/>
  <c r="C2210"/>
  <c r="D2209"/>
  <c r="C2209"/>
  <c r="D2208"/>
  <c r="C2208"/>
  <c r="D2207"/>
  <c r="C2207"/>
  <c r="D2206"/>
  <c r="C2206"/>
  <c r="D2205"/>
  <c r="C2205"/>
  <c r="D2204"/>
  <c r="C2204"/>
  <c r="D2203"/>
  <c r="C2203"/>
  <c r="D2202"/>
  <c r="C2202"/>
  <c r="D2201"/>
  <c r="C2201"/>
  <c r="D2200"/>
  <c r="C2200"/>
  <c r="D2199"/>
  <c r="C2199"/>
  <c r="D2198"/>
  <c r="C2198"/>
  <c r="D2197"/>
  <c r="C2197"/>
  <c r="B2197"/>
  <c r="C2196"/>
  <c r="D2196" s="1"/>
  <c r="D2195"/>
  <c r="C2195"/>
  <c r="B2195"/>
  <c r="C2194"/>
  <c r="D2194" s="1"/>
  <c r="D2193"/>
  <c r="C2193"/>
  <c r="B2193"/>
  <c r="C2192"/>
  <c r="D2192" s="1"/>
  <c r="D2191"/>
  <c r="C2191"/>
  <c r="B2191"/>
  <c r="C2190"/>
  <c r="D2190" s="1"/>
  <c r="D2189"/>
  <c r="C2189"/>
  <c r="B2189"/>
  <c r="C2188"/>
  <c r="D2188" s="1"/>
  <c r="D2187"/>
  <c r="C2187"/>
  <c r="B2187"/>
  <c r="C2186"/>
  <c r="D2186" s="1"/>
  <c r="D2185"/>
  <c r="C2185"/>
  <c r="B2185"/>
  <c r="C2184"/>
  <c r="D2184" s="1"/>
  <c r="D2183"/>
  <c r="C2183"/>
  <c r="B2183"/>
  <c r="C2182"/>
  <c r="D2182" s="1"/>
  <c r="D2181"/>
  <c r="C2181"/>
  <c r="B2181"/>
  <c r="C2180"/>
  <c r="D2179"/>
  <c r="C2179"/>
  <c r="B2179"/>
  <c r="C2178"/>
  <c r="D2177"/>
  <c r="C2177"/>
  <c r="B2177"/>
  <c r="C2176"/>
  <c r="D2175"/>
  <c r="C2175"/>
  <c r="B2175"/>
  <c r="C2174"/>
  <c r="D2173"/>
  <c r="C2173"/>
  <c r="B2173"/>
  <c r="C2172"/>
  <c r="D2171"/>
  <c r="C2171"/>
  <c r="B2171"/>
  <c r="C2170"/>
  <c r="D2169"/>
  <c r="C2169"/>
  <c r="B2169"/>
  <c r="C2168"/>
  <c r="D2167"/>
  <c r="C2167"/>
  <c r="B2167"/>
  <c r="C2166"/>
  <c r="D2165"/>
  <c r="C2165"/>
  <c r="B2165"/>
  <c r="C2164"/>
  <c r="D2163"/>
  <c r="C2163"/>
  <c r="B2163"/>
  <c r="C2162"/>
  <c r="D2161"/>
  <c r="C2161"/>
  <c r="B2161"/>
  <c r="C2160"/>
  <c r="D2159"/>
  <c r="C2159"/>
  <c r="B2159"/>
  <c r="C2158"/>
  <c r="D2157"/>
  <c r="C2157"/>
  <c r="B2157"/>
  <c r="C2156"/>
  <c r="D2155"/>
  <c r="C2155"/>
  <c r="B2155"/>
  <c r="C2154"/>
  <c r="D2153"/>
  <c r="C2153"/>
  <c r="B2153"/>
  <c r="C2152"/>
  <c r="D2151"/>
  <c r="C2151"/>
  <c r="B2151"/>
  <c r="C2150"/>
  <c r="D2149"/>
  <c r="C2149"/>
  <c r="B2149"/>
  <c r="C2148"/>
  <c r="D2147"/>
  <c r="C2147"/>
  <c r="B2147"/>
  <c r="C2146"/>
  <c r="D2145"/>
  <c r="C2145"/>
  <c r="B2145"/>
  <c r="C2144"/>
  <c r="D2143"/>
  <c r="C2143"/>
  <c r="B2143"/>
  <c r="C2142"/>
  <c r="D2141"/>
  <c r="C2141"/>
  <c r="B2141"/>
  <c r="C2140"/>
  <c r="D2139"/>
  <c r="C2139"/>
  <c r="B2139"/>
  <c r="C2138"/>
  <c r="D2137"/>
  <c r="C2137"/>
  <c r="B2137"/>
  <c r="C2136"/>
  <c r="D2135"/>
  <c r="C2135"/>
  <c r="B2135"/>
  <c r="C2134"/>
  <c r="D2133"/>
  <c r="C2133"/>
  <c r="B2133"/>
  <c r="C2132"/>
  <c r="D2131"/>
  <c r="C2131"/>
  <c r="B2131"/>
  <c r="C2130"/>
  <c r="D2129"/>
  <c r="C2129"/>
  <c r="B2129"/>
  <c r="C2128"/>
  <c r="D2127"/>
  <c r="C2127"/>
  <c r="B2127"/>
  <c r="C2126"/>
  <c r="D2125"/>
  <c r="C2125"/>
  <c r="B2125"/>
  <c r="C2124"/>
  <c r="D2123"/>
  <c r="C2123"/>
  <c r="B2123"/>
  <c r="C2122"/>
  <c r="D2121"/>
  <c r="C2121"/>
  <c r="B2121"/>
  <c r="C2120"/>
  <c r="D2119"/>
  <c r="C2119"/>
  <c r="B2119"/>
  <c r="C2118"/>
  <c r="D2117"/>
  <c r="C2117"/>
  <c r="B2117"/>
  <c r="C2116"/>
  <c r="D2115"/>
  <c r="C2115"/>
  <c r="B2115"/>
  <c r="C2114"/>
  <c r="D2113"/>
  <c r="C2113"/>
  <c r="B2113"/>
  <c r="C2112"/>
  <c r="D2111"/>
  <c r="C2111"/>
  <c r="B2111"/>
  <c r="C2110"/>
  <c r="D2109"/>
  <c r="C2109"/>
  <c r="B2109"/>
  <c r="C2108"/>
  <c r="D2107"/>
  <c r="C2107"/>
  <c r="B2107"/>
  <c r="C2106"/>
  <c r="D2105"/>
  <c r="C2105"/>
  <c r="B2105"/>
  <c r="C2104"/>
  <c r="D2103"/>
  <c r="C2103"/>
  <c r="B2103"/>
  <c r="C2102"/>
  <c r="D2101"/>
  <c r="C2101"/>
  <c r="B2101"/>
  <c r="C2100"/>
  <c r="D2099"/>
  <c r="C2099"/>
  <c r="B2099"/>
  <c r="C2098"/>
  <c r="D2097"/>
  <c r="C2097"/>
  <c r="B2097"/>
  <c r="C2096"/>
  <c r="D2095"/>
  <c r="C2095"/>
  <c r="B2095"/>
  <c r="C2094"/>
  <c r="D2093"/>
  <c r="C2093"/>
  <c r="B2093"/>
  <c r="C2092"/>
  <c r="D2091"/>
  <c r="C2091"/>
  <c r="B2091"/>
  <c r="C2090"/>
  <c r="D2089"/>
  <c r="C2089"/>
  <c r="B2089"/>
  <c r="C2088"/>
  <c r="D2087"/>
  <c r="C2087"/>
  <c r="B2087"/>
  <c r="C2086"/>
  <c r="D2085"/>
  <c r="C2085"/>
  <c r="B2085"/>
  <c r="C2084"/>
  <c r="D2083"/>
  <c r="C2083"/>
  <c r="B2083"/>
  <c r="C2082"/>
  <c r="D2081"/>
  <c r="C2081"/>
  <c r="B2081"/>
  <c r="C2080"/>
  <c r="D2079"/>
  <c r="C2079"/>
  <c r="B2079"/>
  <c r="C2078"/>
  <c r="D2077"/>
  <c r="C2077"/>
  <c r="B2077"/>
  <c r="C2076"/>
  <c r="D2075"/>
  <c r="C2075"/>
  <c r="B2075"/>
  <c r="C2074"/>
  <c r="D2073"/>
  <c r="C2073"/>
  <c r="B2073"/>
  <c r="C2072"/>
  <c r="D2071"/>
  <c r="C2071"/>
  <c r="B2071"/>
  <c r="C2070"/>
  <c r="D2069"/>
  <c r="C2069"/>
  <c r="B2069"/>
  <c r="C2068"/>
  <c r="D2067"/>
  <c r="C2067"/>
  <c r="B2067"/>
  <c r="C2066"/>
  <c r="D2065"/>
  <c r="C2065"/>
  <c r="B2065"/>
  <c r="C2064"/>
  <c r="D2063"/>
  <c r="C2063"/>
  <c r="B2063"/>
  <c r="C2062"/>
  <c r="D2061"/>
  <c r="C2061"/>
  <c r="B2061"/>
  <c r="C2060"/>
  <c r="D2059"/>
  <c r="C2059"/>
  <c r="B2059"/>
  <c r="C2058"/>
  <c r="D2057"/>
  <c r="C2057"/>
  <c r="B2057"/>
  <c r="C2056"/>
  <c r="D2055"/>
  <c r="C2055"/>
  <c r="B2055"/>
  <c r="C2054"/>
  <c r="D2053"/>
  <c r="C2053"/>
  <c r="B2053"/>
  <c r="C2052"/>
  <c r="D2051"/>
  <c r="C2051"/>
  <c r="B2051"/>
  <c r="C2050"/>
  <c r="D2049"/>
  <c r="C2049"/>
  <c r="B2049"/>
  <c r="C2048"/>
  <c r="D2047"/>
  <c r="C2047"/>
  <c r="B2047"/>
  <c r="C2046"/>
  <c r="D2045"/>
  <c r="C2045"/>
  <c r="B2045"/>
  <c r="C2044"/>
  <c r="D2043"/>
  <c r="C2043"/>
  <c r="B2043"/>
  <c r="C2042"/>
  <c r="D2041"/>
  <c r="C2041"/>
  <c r="B2041"/>
  <c r="C2040"/>
  <c r="D2039"/>
  <c r="C2039"/>
  <c r="B2039"/>
  <c r="C2038"/>
  <c r="D2037"/>
  <c r="C2037"/>
  <c r="B2037"/>
  <c r="C2036"/>
  <c r="D2035"/>
  <c r="C2035"/>
  <c r="B2035"/>
  <c r="C2034"/>
  <c r="D2033"/>
  <c r="C2033"/>
  <c r="B2033"/>
  <c r="C2032"/>
  <c r="D2031"/>
  <c r="C2031"/>
  <c r="B2031"/>
  <c r="C2030"/>
  <c r="D2029"/>
  <c r="C2029"/>
  <c r="B2029"/>
  <c r="C2028"/>
  <c r="D2027"/>
  <c r="C2027"/>
  <c r="B2027"/>
  <c r="C2026"/>
  <c r="D2025"/>
  <c r="C2025"/>
  <c r="B2025"/>
  <c r="C2024"/>
  <c r="D2023"/>
  <c r="C2023"/>
  <c r="B2023"/>
  <c r="C2022"/>
  <c r="D2021"/>
  <c r="C2021"/>
  <c r="B2021"/>
  <c r="C2020"/>
  <c r="D2019"/>
  <c r="C2019"/>
  <c r="B2019"/>
  <c r="C2018"/>
  <c r="D2017"/>
  <c r="C2017"/>
  <c r="B2017"/>
  <c r="C2016"/>
  <c r="D2015"/>
  <c r="C2015"/>
  <c r="B2015"/>
  <c r="C2014"/>
  <c r="D2013"/>
  <c r="C2013"/>
  <c r="B2013"/>
  <c r="C2012"/>
  <c r="D2011"/>
  <c r="C2011"/>
  <c r="B2011"/>
  <c r="C2010"/>
  <c r="D2009"/>
  <c r="C2009"/>
  <c r="B2009"/>
  <c r="C2008"/>
  <c r="D2007"/>
  <c r="C2007"/>
  <c r="B2007"/>
  <c r="C2006"/>
  <c r="D2005"/>
  <c r="C2005"/>
  <c r="B2005"/>
  <c r="C2004"/>
  <c r="D2003"/>
  <c r="C2003"/>
  <c r="B2003"/>
  <c r="C2002"/>
  <c r="D2001"/>
  <c r="C2001"/>
  <c r="B2001"/>
  <c r="C2000"/>
  <c r="D1999"/>
  <c r="C1999"/>
  <c r="B1999"/>
  <c r="C1998"/>
  <c r="D1997"/>
  <c r="C1997"/>
  <c r="B1997"/>
  <c r="C1996"/>
  <c r="D1995"/>
  <c r="C1995"/>
  <c r="B1995"/>
  <c r="C1994"/>
  <c r="D1993"/>
  <c r="C1993"/>
  <c r="B1993"/>
  <c r="C1992"/>
  <c r="D1991"/>
  <c r="C1991"/>
  <c r="B1991"/>
  <c r="C1990"/>
  <c r="D1989"/>
  <c r="C1989"/>
  <c r="B1989"/>
  <c r="C1988"/>
  <c r="D1987"/>
  <c r="C1987"/>
  <c r="B1987"/>
  <c r="C1986"/>
  <c r="D1985"/>
  <c r="C1985"/>
  <c r="B1985"/>
  <c r="C1984"/>
  <c r="D1983"/>
  <c r="C1983"/>
  <c r="B1983"/>
  <c r="C1982"/>
  <c r="D1981"/>
  <c r="C1981"/>
  <c r="B1981"/>
  <c r="C1980"/>
  <c r="D1979"/>
  <c r="C1979"/>
  <c r="B1979"/>
  <c r="C1978"/>
  <c r="D1977"/>
  <c r="C1977"/>
  <c r="B1977"/>
  <c r="C1976"/>
  <c r="D1975"/>
  <c r="C1975"/>
  <c r="B1975"/>
  <c r="C1974"/>
  <c r="D1973"/>
  <c r="C1973"/>
  <c r="B1973"/>
  <c r="C1972"/>
  <c r="D1971"/>
  <c r="C1971"/>
  <c r="B1971"/>
  <c r="C1970"/>
  <c r="D1969"/>
  <c r="C1969"/>
  <c r="B1969"/>
  <c r="C1968"/>
  <c r="D1967"/>
  <c r="C1967"/>
  <c r="B1967"/>
  <c r="C1966"/>
  <c r="D1965"/>
  <c r="C1965"/>
  <c r="B1965"/>
  <c r="C1964"/>
  <c r="D1963"/>
  <c r="C1963"/>
  <c r="B1963"/>
  <c r="C1962"/>
  <c r="D1961"/>
  <c r="C1961"/>
  <c r="B1961"/>
  <c r="C1960"/>
  <c r="D1959"/>
  <c r="C1959"/>
  <c r="B1959"/>
  <c r="C1958"/>
  <c r="D1957"/>
  <c r="C1957"/>
  <c r="B1957"/>
  <c r="C1956"/>
  <c r="D1955"/>
  <c r="C1955"/>
  <c r="B1955"/>
  <c r="C1954"/>
  <c r="D1953"/>
  <c r="C1953"/>
  <c r="B1953"/>
  <c r="C1952"/>
  <c r="D1951"/>
  <c r="C1951"/>
  <c r="B1951"/>
  <c r="C1950"/>
  <c r="D1949"/>
  <c r="C1949"/>
  <c r="B1949"/>
  <c r="C1948"/>
  <c r="D1947"/>
  <c r="C1947"/>
  <c r="B1947"/>
  <c r="C1946"/>
  <c r="D1945"/>
  <c r="C1945"/>
  <c r="B1945"/>
  <c r="C1944"/>
  <c r="D1943"/>
  <c r="C1943"/>
  <c r="B1943"/>
  <c r="C1942"/>
  <c r="D1941"/>
  <c r="C1941"/>
  <c r="B1941"/>
  <c r="C1940"/>
  <c r="D1940" s="1"/>
  <c r="D1939"/>
  <c r="C1939"/>
  <c r="B1939"/>
  <c r="C1938"/>
  <c r="D1938" s="1"/>
  <c r="D1937"/>
  <c r="C1937"/>
  <c r="B1937"/>
  <c r="C1936"/>
  <c r="D1936" s="1"/>
  <c r="D1935"/>
  <c r="C1935"/>
  <c r="B1935"/>
  <c r="C1934"/>
  <c r="D1934" s="1"/>
  <c r="D1933"/>
  <c r="C1933"/>
  <c r="B1933"/>
  <c r="C1932"/>
  <c r="D1932" s="1"/>
  <c r="D1931"/>
  <c r="C1931"/>
  <c r="B1931"/>
  <c r="C1930"/>
  <c r="D1930" s="1"/>
  <c r="D1929"/>
  <c r="C1929"/>
  <c r="B1929"/>
  <c r="C1928"/>
  <c r="D1928" s="1"/>
  <c r="D1927"/>
  <c r="C1927"/>
  <c r="B1927"/>
  <c r="C1926"/>
  <c r="D1926" s="1"/>
  <c r="D1925"/>
  <c r="C1925"/>
  <c r="B1925"/>
  <c r="C1924"/>
  <c r="D1924" s="1"/>
  <c r="D1923"/>
  <c r="C1923"/>
  <c r="B1923"/>
  <c r="C1922"/>
  <c r="D1922" s="1"/>
  <c r="D1921"/>
  <c r="C1921"/>
  <c r="B1921"/>
  <c r="C1920"/>
  <c r="D1920" s="1"/>
  <c r="D1919"/>
  <c r="C1919"/>
  <c r="B1919"/>
  <c r="C1918"/>
  <c r="D1918" s="1"/>
  <c r="D1917"/>
  <c r="C1917"/>
  <c r="B1917"/>
  <c r="C1916"/>
  <c r="D1916" s="1"/>
  <c r="D1915"/>
  <c r="C1915"/>
  <c r="B1915"/>
  <c r="C1914"/>
  <c r="D1914" s="1"/>
  <c r="D1913"/>
  <c r="C1913"/>
  <c r="B1913"/>
  <c r="C1912"/>
  <c r="D1912" s="1"/>
  <c r="D1911"/>
  <c r="C1911"/>
  <c r="B1911"/>
  <c r="C1910"/>
  <c r="D1910" s="1"/>
  <c r="D1909"/>
  <c r="C1909"/>
  <c r="B1909"/>
  <c r="C1908"/>
  <c r="D1908" s="1"/>
  <c r="D1907"/>
  <c r="C1907"/>
  <c r="B1907"/>
  <c r="C1906"/>
  <c r="D1906" s="1"/>
  <c r="D1905"/>
  <c r="C1905"/>
  <c r="B1905"/>
  <c r="C1904"/>
  <c r="D1904" s="1"/>
  <c r="D1903"/>
  <c r="C1903"/>
  <c r="B1903"/>
  <c r="C1902"/>
  <c r="D1902" s="1"/>
  <c r="D1901"/>
  <c r="C1901"/>
  <c r="B1901"/>
  <c r="C1900"/>
  <c r="D1900" s="1"/>
  <c r="D1899"/>
  <c r="C1899"/>
  <c r="B1899"/>
  <c r="C1898"/>
  <c r="D1898" s="1"/>
  <c r="D1897"/>
  <c r="C1897"/>
  <c r="B1897"/>
  <c r="C1896"/>
  <c r="D1896" s="1"/>
  <c r="D1895"/>
  <c r="C1895"/>
  <c r="B1895"/>
  <c r="C1894"/>
  <c r="D1894" s="1"/>
  <c r="D1893"/>
  <c r="C1893"/>
  <c r="B1893"/>
  <c r="C1892"/>
  <c r="D1892" s="1"/>
  <c r="D1891"/>
  <c r="C1891"/>
  <c r="B1891"/>
  <c r="C1890"/>
  <c r="D1890" s="1"/>
  <c r="D1889"/>
  <c r="C1889"/>
  <c r="B1889"/>
  <c r="C1888"/>
  <c r="D1888" s="1"/>
  <c r="D1887"/>
  <c r="C1887"/>
  <c r="B1887"/>
  <c r="C1886"/>
  <c r="D1886" s="1"/>
  <c r="D1885"/>
  <c r="C1885"/>
  <c r="B1885"/>
  <c r="C1884"/>
  <c r="D1884" s="1"/>
  <c r="D1883"/>
  <c r="C1883"/>
  <c r="B1883"/>
  <c r="C1882"/>
  <c r="D1882" s="1"/>
  <c r="D1881"/>
  <c r="C1881"/>
  <c r="B1881"/>
  <c r="C1880"/>
  <c r="D1880" s="1"/>
  <c r="D1879"/>
  <c r="C1879"/>
  <c r="B1879"/>
  <c r="C1878"/>
  <c r="D1878" s="1"/>
  <c r="D1877"/>
  <c r="C1877"/>
  <c r="B1877"/>
  <c r="C1876"/>
  <c r="D1876" s="1"/>
  <c r="D1875"/>
  <c r="C1875"/>
  <c r="B1875"/>
  <c r="C1874"/>
  <c r="D1874" s="1"/>
  <c r="D1873"/>
  <c r="C1873"/>
  <c r="B1873"/>
  <c r="C1872"/>
  <c r="D1872" s="1"/>
  <c r="D1871"/>
  <c r="C1871"/>
  <c r="B1871"/>
  <c r="C1870"/>
  <c r="D1870" s="1"/>
  <c r="D1869"/>
  <c r="C1869"/>
  <c r="B1869"/>
  <c r="C1868"/>
  <c r="D1868" s="1"/>
  <c r="D1867"/>
  <c r="C1867"/>
  <c r="B1867"/>
  <c r="C1866"/>
  <c r="D1866" s="1"/>
  <c r="D1865"/>
  <c r="C1865"/>
  <c r="B1865"/>
  <c r="C1864"/>
  <c r="D1864" s="1"/>
  <c r="D1863"/>
  <c r="C1863"/>
  <c r="B1863"/>
  <c r="C1862"/>
  <c r="D1862" s="1"/>
  <c r="D1861"/>
  <c r="C1861"/>
  <c r="B1861"/>
  <c r="C1860"/>
  <c r="D1860" s="1"/>
  <c r="D1859"/>
  <c r="C1859"/>
  <c r="B1859"/>
  <c r="C1858"/>
  <c r="D1858" s="1"/>
  <c r="D1857"/>
  <c r="C1857"/>
  <c r="B1857"/>
  <c r="C1856"/>
  <c r="D1856" s="1"/>
  <c r="D1855"/>
  <c r="C1855"/>
  <c r="B1855"/>
  <c r="C1854"/>
  <c r="D1854" s="1"/>
  <c r="D1853"/>
  <c r="C1853"/>
  <c r="B1853"/>
  <c r="C1852"/>
  <c r="D1852" s="1"/>
  <c r="D1851"/>
  <c r="C1851"/>
  <c r="B1851"/>
  <c r="C1850"/>
  <c r="D1850" s="1"/>
  <c r="D1849"/>
  <c r="C1849"/>
  <c r="B1849"/>
  <c r="C1848"/>
  <c r="D1848" s="1"/>
  <c r="D1847"/>
  <c r="C1847"/>
  <c r="B1847"/>
  <c r="C1846"/>
  <c r="D1846" s="1"/>
  <c r="D1845"/>
  <c r="C1845"/>
  <c r="B1845"/>
  <c r="C1844"/>
  <c r="D1844" s="1"/>
  <c r="D1843"/>
  <c r="C1843"/>
  <c r="B1843"/>
  <c r="C1842"/>
  <c r="D1842" s="1"/>
  <c r="D1841"/>
  <c r="C1841"/>
  <c r="B1841"/>
  <c r="C1840"/>
  <c r="D1840" s="1"/>
  <c r="D1839"/>
  <c r="C1839"/>
  <c r="B1839"/>
  <c r="C1838"/>
  <c r="D1838" s="1"/>
  <c r="D1837"/>
  <c r="C1837"/>
  <c r="B1837"/>
  <c r="C1836"/>
  <c r="D1836" s="1"/>
  <c r="D1835"/>
  <c r="C1835"/>
  <c r="B1835"/>
  <c r="C1834"/>
  <c r="D1834" s="1"/>
  <c r="D1833"/>
  <c r="C1833"/>
  <c r="B1833"/>
  <c r="C1832"/>
  <c r="D1832" s="1"/>
  <c r="D1831"/>
  <c r="C1831"/>
  <c r="B1831"/>
  <c r="C1830"/>
  <c r="D1830" s="1"/>
  <c r="D1829"/>
  <c r="C1829"/>
  <c r="B1829"/>
  <c r="C1828"/>
  <c r="D1828" s="1"/>
  <c r="D1827"/>
  <c r="C1827"/>
  <c r="B1827"/>
  <c r="C1826"/>
  <c r="D1826" s="1"/>
  <c r="D1825"/>
  <c r="C1825"/>
  <c r="B1825"/>
  <c r="C1824"/>
  <c r="D1824" s="1"/>
  <c r="D1823"/>
  <c r="C1823"/>
  <c r="B1823"/>
  <c r="C1822"/>
  <c r="D1822" s="1"/>
  <c r="D1821"/>
  <c r="C1821"/>
  <c r="B1821"/>
  <c r="C1820"/>
  <c r="D1820" s="1"/>
  <c r="D1819"/>
  <c r="C1819"/>
  <c r="B1819"/>
  <c r="C1818"/>
  <c r="D1818" s="1"/>
  <c r="D1817"/>
  <c r="C1817"/>
  <c r="B1817"/>
  <c r="C1816"/>
  <c r="D1816" s="1"/>
  <c r="D1815"/>
  <c r="C1815"/>
  <c r="B1815"/>
  <c r="C1814"/>
  <c r="D1814" s="1"/>
  <c r="D1813"/>
  <c r="C1813"/>
  <c r="B1813"/>
  <c r="C1812"/>
  <c r="D1812" s="1"/>
  <c r="D1811"/>
  <c r="C1811"/>
  <c r="B1811"/>
  <c r="C1810"/>
  <c r="D1810" s="1"/>
  <c r="D1809"/>
  <c r="C1809"/>
  <c r="B1809"/>
  <c r="C1808"/>
  <c r="D1808" s="1"/>
  <c r="D1807"/>
  <c r="C1807"/>
  <c r="B1807"/>
  <c r="C1806"/>
  <c r="D1806" s="1"/>
  <c r="D1805"/>
  <c r="C1805"/>
  <c r="B1805"/>
  <c r="C1804"/>
  <c r="D1804" s="1"/>
  <c r="D1803"/>
  <c r="C1803"/>
  <c r="B1803"/>
  <c r="C1802"/>
  <c r="D1802" s="1"/>
  <c r="D1801"/>
  <c r="C1801"/>
  <c r="B1801"/>
  <c r="C1800"/>
  <c r="D1800" s="1"/>
  <c r="D1799"/>
  <c r="C1799"/>
  <c r="B1799"/>
  <c r="C1798"/>
  <c r="D1798" s="1"/>
  <c r="D1797"/>
  <c r="C1797"/>
  <c r="B1797"/>
  <c r="C1796"/>
  <c r="D1796" s="1"/>
  <c r="D1795"/>
  <c r="C1795"/>
  <c r="B1795"/>
  <c r="C1794"/>
  <c r="D1794" s="1"/>
  <c r="D1793"/>
  <c r="C1793"/>
  <c r="B1793"/>
  <c r="C1792"/>
  <c r="D1792" s="1"/>
  <c r="D1791"/>
  <c r="C1791"/>
  <c r="B1791"/>
  <c r="C1790"/>
  <c r="D1790" s="1"/>
  <c r="D1789"/>
  <c r="C1789"/>
  <c r="B1789"/>
  <c r="C1788"/>
  <c r="D1788" s="1"/>
  <c r="D1787"/>
  <c r="C1787"/>
  <c r="B1787"/>
  <c r="C1786"/>
  <c r="D1786" s="1"/>
  <c r="D1785"/>
  <c r="C1785"/>
  <c r="B1785"/>
  <c r="C1784"/>
  <c r="D1784" s="1"/>
  <c r="D1783"/>
  <c r="C1783"/>
  <c r="B1783"/>
  <c r="C1782"/>
  <c r="D1782" s="1"/>
  <c r="D1781"/>
  <c r="C1781"/>
  <c r="B1781"/>
  <c r="C1780"/>
  <c r="D1780" s="1"/>
  <c r="D1779"/>
  <c r="C1779"/>
  <c r="B1779"/>
  <c r="C1778"/>
  <c r="D1778" s="1"/>
  <c r="D1777"/>
  <c r="C1777"/>
  <c r="B1777"/>
  <c r="C1776"/>
  <c r="D1776" s="1"/>
  <c r="D1775"/>
  <c r="C1775"/>
  <c r="B1775"/>
  <c r="C1774"/>
  <c r="D1774" s="1"/>
  <c r="D1773"/>
  <c r="C1773"/>
  <c r="B1773"/>
  <c r="C1772"/>
  <c r="D1772" s="1"/>
  <c r="D1771"/>
  <c r="C1771"/>
  <c r="B1771"/>
  <c r="C1770"/>
  <c r="D1770" s="1"/>
  <c r="D1769"/>
  <c r="C1769"/>
  <c r="B1769"/>
  <c r="C1768"/>
  <c r="D1768" s="1"/>
  <c r="D1767"/>
  <c r="C1767"/>
  <c r="B1767"/>
  <c r="C1766"/>
  <c r="D1766" s="1"/>
  <c r="D1765"/>
  <c r="C1765"/>
  <c r="B1765"/>
  <c r="C1764"/>
  <c r="D1764" s="1"/>
  <c r="D1763"/>
  <c r="C1763"/>
  <c r="B1763"/>
  <c r="C1762"/>
  <c r="D1762" s="1"/>
  <c r="D1761"/>
  <c r="C1761"/>
  <c r="B1761"/>
  <c r="C1760"/>
  <c r="D1760" s="1"/>
  <c r="D1759"/>
  <c r="C1759"/>
  <c r="B1759"/>
  <c r="C1758"/>
  <c r="D1758" s="1"/>
  <c r="D1757"/>
  <c r="C1757"/>
  <c r="B1757"/>
  <c r="C1756"/>
  <c r="D1756" s="1"/>
  <c r="D1755"/>
  <c r="C1755"/>
  <c r="B1755"/>
  <c r="C1754"/>
  <c r="D1754" s="1"/>
  <c r="D1753"/>
  <c r="C1753"/>
  <c r="B1753"/>
  <c r="C1752"/>
  <c r="D1752" s="1"/>
  <c r="D1751"/>
  <c r="C1751"/>
  <c r="B1751"/>
  <c r="C1750"/>
  <c r="D1750" s="1"/>
  <c r="D1749"/>
  <c r="C1749"/>
  <c r="B1749"/>
  <c r="C1748"/>
  <c r="D1748" s="1"/>
  <c r="D1747"/>
  <c r="C1747"/>
  <c r="B1747"/>
  <c r="C1746"/>
  <c r="D1746" s="1"/>
  <c r="D1745"/>
  <c r="C1745"/>
  <c r="B1745"/>
  <c r="C1744"/>
  <c r="D1744" s="1"/>
  <c r="D1743"/>
  <c r="C1743"/>
  <c r="B1743"/>
  <c r="C1742"/>
  <c r="D1742" s="1"/>
  <c r="D1741"/>
  <c r="C1741"/>
  <c r="B1741"/>
  <c r="C1740"/>
  <c r="D1740" s="1"/>
  <c r="D1739"/>
  <c r="C1739"/>
  <c r="B1739"/>
  <c r="C1738"/>
  <c r="D1738" s="1"/>
  <c r="D1737"/>
  <c r="C1737"/>
  <c r="B1737"/>
  <c r="C1736"/>
  <c r="D1736" s="1"/>
  <c r="D1735"/>
  <c r="C1735"/>
  <c r="B1735"/>
  <c r="C1734"/>
  <c r="D1734" s="1"/>
  <c r="D1733"/>
  <c r="C1733"/>
  <c r="B1733"/>
  <c r="C1732"/>
  <c r="D1732" s="1"/>
  <c r="D1731"/>
  <c r="C1731"/>
  <c r="B1731"/>
  <c r="C1730"/>
  <c r="D1730" s="1"/>
  <c r="D1729"/>
  <c r="C1729"/>
  <c r="B1729"/>
  <c r="C1728"/>
  <c r="D1728" s="1"/>
  <c r="D1727"/>
  <c r="C1727"/>
  <c r="B1727"/>
  <c r="C1726"/>
  <c r="D1726" s="1"/>
  <c r="D1725"/>
  <c r="C1725"/>
  <c r="B1725"/>
  <c r="C1724"/>
  <c r="D1724" s="1"/>
  <c r="D1723"/>
  <c r="C1723"/>
  <c r="B1723"/>
  <c r="C1722"/>
  <c r="D1722" s="1"/>
  <c r="D1721"/>
  <c r="C1721"/>
  <c r="B1721"/>
  <c r="C1720"/>
  <c r="D1720" s="1"/>
  <c r="D1719"/>
  <c r="C1719"/>
  <c r="B1719"/>
  <c r="C1718"/>
  <c r="D1718" s="1"/>
  <c r="D1717"/>
  <c r="C1717"/>
  <c r="B1717"/>
  <c r="C1716"/>
  <c r="D1716" s="1"/>
  <c r="D1715"/>
  <c r="C1715"/>
  <c r="B1715"/>
  <c r="C1714"/>
  <c r="D1713"/>
  <c r="C1713"/>
  <c r="B1713"/>
  <c r="C1712"/>
  <c r="D1711"/>
  <c r="C1711"/>
  <c r="B1711"/>
  <c r="C1710"/>
  <c r="D1709"/>
  <c r="C1709"/>
  <c r="B1709"/>
  <c r="C1708"/>
  <c r="D1707"/>
  <c r="C1707"/>
  <c r="B1707"/>
  <c r="C1706"/>
  <c r="D1705"/>
  <c r="C1705"/>
  <c r="B1705"/>
  <c r="C1704"/>
  <c r="D1703"/>
  <c r="C1703"/>
  <c r="B1703"/>
  <c r="C1702"/>
  <c r="D1701"/>
  <c r="C1701"/>
  <c r="B1701"/>
  <c r="C1700"/>
  <c r="D1699"/>
  <c r="C1699"/>
  <c r="B1699"/>
  <c r="C1698"/>
  <c r="D1697"/>
  <c r="C1697"/>
  <c r="B1697"/>
  <c r="C1696"/>
  <c r="D1695"/>
  <c r="C1695"/>
  <c r="B1695"/>
  <c r="C1694"/>
  <c r="D1693"/>
  <c r="C1693"/>
  <c r="B1693"/>
  <c r="C1692"/>
  <c r="D1691"/>
  <c r="C1691"/>
  <c r="B1691"/>
  <c r="C1690"/>
  <c r="D1689"/>
  <c r="C1689"/>
  <c r="B1689"/>
  <c r="C1688"/>
  <c r="D1687"/>
  <c r="C1687"/>
  <c r="B1687"/>
  <c r="C1686"/>
  <c r="D1685"/>
  <c r="C1685"/>
  <c r="B1685"/>
  <c r="C1684"/>
  <c r="D1683"/>
  <c r="C1683"/>
  <c r="B1683"/>
  <c r="C1682"/>
  <c r="D1681"/>
  <c r="C1681"/>
  <c r="B1681"/>
  <c r="C1680"/>
  <c r="D1679"/>
  <c r="C1679"/>
  <c r="B1679"/>
  <c r="C1678"/>
  <c r="D1677"/>
  <c r="C1677"/>
  <c r="B1677"/>
  <c r="C1676"/>
  <c r="D1675"/>
  <c r="C1675"/>
  <c r="B1675"/>
  <c r="C1674"/>
  <c r="D1673"/>
  <c r="C1673"/>
  <c r="B1673"/>
  <c r="C1672"/>
  <c r="D1671"/>
  <c r="C1671"/>
  <c r="B1671"/>
  <c r="C1670"/>
  <c r="D1669"/>
  <c r="C1669"/>
  <c r="B1669"/>
  <c r="C1668"/>
  <c r="D1667"/>
  <c r="C1667"/>
  <c r="B1667"/>
  <c r="C1666"/>
  <c r="D1665"/>
  <c r="C1665"/>
  <c r="B1665"/>
  <c r="C1664"/>
  <c r="D1663"/>
  <c r="C1663"/>
  <c r="B1663"/>
  <c r="C1662"/>
  <c r="D1661"/>
  <c r="C1661"/>
  <c r="B1661"/>
  <c r="C1660"/>
  <c r="D1659"/>
  <c r="C1659"/>
  <c r="B1659"/>
  <c r="C1658"/>
  <c r="D1657"/>
  <c r="C1657"/>
  <c r="B1657"/>
  <c r="C1656"/>
  <c r="D1655"/>
  <c r="C1655"/>
  <c r="B1655"/>
  <c r="C1654"/>
  <c r="D1653"/>
  <c r="C1653"/>
  <c r="B1653"/>
  <c r="C1652"/>
  <c r="D1651"/>
  <c r="C1651"/>
  <c r="B1651"/>
  <c r="C1650"/>
  <c r="D1649"/>
  <c r="C1649"/>
  <c r="B1649"/>
  <c r="C1648"/>
  <c r="D1647"/>
  <c r="C1647"/>
  <c r="B1647"/>
  <c r="C1646"/>
  <c r="D1645"/>
  <c r="C1645"/>
  <c r="B1645"/>
  <c r="C1644"/>
  <c r="D1643"/>
  <c r="C1643"/>
  <c r="B1643"/>
  <c r="C1642"/>
  <c r="D1641"/>
  <c r="C1641"/>
  <c r="B1641"/>
  <c r="C1640"/>
  <c r="D1639"/>
  <c r="C1639"/>
  <c r="B1639"/>
  <c r="C1638"/>
  <c r="D1637"/>
  <c r="C1637"/>
  <c r="B1637"/>
  <c r="C1636"/>
  <c r="D1635"/>
  <c r="C1635"/>
  <c r="B1635"/>
  <c r="C1634"/>
  <c r="D1633"/>
  <c r="C1633"/>
  <c r="B1633"/>
  <c r="C1632"/>
  <c r="D1631"/>
  <c r="C1631"/>
  <c r="B1631"/>
  <c r="C1630"/>
  <c r="D1629"/>
  <c r="C1629"/>
  <c r="B1629"/>
  <c r="C1628"/>
  <c r="D1627"/>
  <c r="C1627"/>
  <c r="B1627"/>
  <c r="C1626"/>
  <c r="D1625"/>
  <c r="C1625"/>
  <c r="B1625"/>
  <c r="C1624"/>
  <c r="D1623"/>
  <c r="C1623"/>
  <c r="B1623"/>
  <c r="C1622"/>
  <c r="D1621"/>
  <c r="C1621"/>
  <c r="B1621"/>
  <c r="C1620"/>
  <c r="D1619"/>
  <c r="C1619"/>
  <c r="B1619"/>
  <c r="C1618"/>
  <c r="D1617"/>
  <c r="C1617"/>
  <c r="B1617"/>
  <c r="C1616"/>
  <c r="D1615"/>
  <c r="C1615"/>
  <c r="B1615"/>
  <c r="C1614"/>
  <c r="D1613"/>
  <c r="C1613"/>
  <c r="B1613"/>
  <c r="C1612"/>
  <c r="D1611"/>
  <c r="C1611"/>
  <c r="B1611"/>
  <c r="C1610"/>
  <c r="D1609"/>
  <c r="C1609"/>
  <c r="B1609"/>
  <c r="C1608"/>
  <c r="D1607"/>
  <c r="C1607"/>
  <c r="B1607"/>
  <c r="C1606"/>
  <c r="D1605"/>
  <c r="C1605"/>
  <c r="B1605"/>
  <c r="C1604"/>
  <c r="D1603"/>
  <c r="C1603"/>
  <c r="B1603"/>
  <c r="C1602"/>
  <c r="D1601"/>
  <c r="C1601"/>
  <c r="B1601"/>
  <c r="C1600"/>
  <c r="D1599"/>
  <c r="C1599"/>
  <c r="B1599"/>
  <c r="C1598"/>
  <c r="D1597"/>
  <c r="C1597"/>
  <c r="B1597"/>
  <c r="C1596"/>
  <c r="D1595"/>
  <c r="C1595"/>
  <c r="B1595"/>
  <c r="C1594"/>
  <c r="D1593"/>
  <c r="C1593"/>
  <c r="B1593"/>
  <c r="C1592"/>
  <c r="D1591"/>
  <c r="C1591"/>
  <c r="B1591"/>
  <c r="C1590"/>
  <c r="D1589"/>
  <c r="C1589"/>
  <c r="B1589"/>
  <c r="C1588"/>
  <c r="D1587"/>
  <c r="C1587"/>
  <c r="B1587"/>
  <c r="C1586"/>
  <c r="D1585"/>
  <c r="C1585"/>
  <c r="B1585"/>
  <c r="C1584"/>
  <c r="D1583"/>
  <c r="C1583"/>
  <c r="B1583"/>
  <c r="C1582"/>
  <c r="D1581"/>
  <c r="C1581"/>
  <c r="B1581"/>
  <c r="C1580"/>
  <c r="D1579"/>
  <c r="C1579"/>
  <c r="B1579"/>
  <c r="C1578"/>
  <c r="D1577"/>
  <c r="C1577"/>
  <c r="B1577"/>
  <c r="C1576"/>
  <c r="D1575"/>
  <c r="C1575"/>
  <c r="B1575"/>
  <c r="C1574"/>
  <c r="D1573"/>
  <c r="C1573"/>
  <c r="B1573"/>
  <c r="C1572"/>
  <c r="D1571"/>
  <c r="C1571"/>
  <c r="B1571"/>
  <c r="C1570"/>
  <c r="D1569"/>
  <c r="C1569"/>
  <c r="B1569"/>
  <c r="C1568"/>
  <c r="D1567"/>
  <c r="C1567"/>
  <c r="B1567"/>
  <c r="C1566"/>
  <c r="D1565"/>
  <c r="C1565"/>
  <c r="B1565"/>
  <c r="C1564"/>
  <c r="D1563"/>
  <c r="C1563"/>
  <c r="B1563"/>
  <c r="C1562"/>
  <c r="D1561"/>
  <c r="C1561"/>
  <c r="B1561"/>
  <c r="C1560"/>
  <c r="D1559"/>
  <c r="C1559"/>
  <c r="B1559"/>
  <c r="C1558"/>
  <c r="D1557"/>
  <c r="C1557"/>
  <c r="B1557"/>
  <c r="C1556"/>
  <c r="D1555"/>
  <c r="C1555"/>
  <c r="B1555"/>
  <c r="C1554"/>
  <c r="D1553"/>
  <c r="C1553"/>
  <c r="B1553"/>
  <c r="C1552"/>
  <c r="D1551"/>
  <c r="C1551"/>
  <c r="B1551"/>
  <c r="C1550"/>
  <c r="D1549"/>
  <c r="C1549"/>
  <c r="B1549"/>
  <c r="C1548"/>
  <c r="D1547"/>
  <c r="C1547"/>
  <c r="B1547"/>
  <c r="C1546"/>
  <c r="D1545"/>
  <c r="C1545"/>
  <c r="B1545"/>
  <c r="C1544"/>
  <c r="D1543"/>
  <c r="C1543"/>
  <c r="B1543"/>
  <c r="C1542"/>
  <c r="D1541"/>
  <c r="C1541"/>
  <c r="B1541"/>
  <c r="C1540"/>
  <c r="D1539"/>
  <c r="C1539"/>
  <c r="B1539"/>
  <c r="C1538"/>
  <c r="D1537"/>
  <c r="C1537"/>
  <c r="B1537"/>
  <c r="C1536"/>
  <c r="D1535"/>
  <c r="C1535"/>
  <c r="B1535"/>
  <c r="C1534"/>
  <c r="D1533"/>
  <c r="C1533"/>
  <c r="B1533"/>
  <c r="C1532"/>
  <c r="D1531"/>
  <c r="C1531"/>
  <c r="B1531"/>
  <c r="C1530"/>
  <c r="D1529"/>
  <c r="C1529"/>
  <c r="B1529"/>
  <c r="C1528"/>
  <c r="D1527"/>
  <c r="C1527"/>
  <c r="B1527"/>
  <c r="C1526"/>
  <c r="D1525"/>
  <c r="C1525"/>
  <c r="B1525"/>
  <c r="C1524"/>
  <c r="D1523"/>
  <c r="C1523"/>
  <c r="B1523"/>
  <c r="C1522"/>
  <c r="D1521"/>
  <c r="C1521"/>
  <c r="B1521"/>
  <c r="C1520"/>
  <c r="D1519"/>
  <c r="C1519"/>
  <c r="B1519"/>
  <c r="C1518"/>
  <c r="D1517"/>
  <c r="C1517"/>
  <c r="B1517"/>
  <c r="C1516"/>
  <c r="D1515"/>
  <c r="C1515"/>
  <c r="B1515"/>
  <c r="C1514"/>
  <c r="D1513"/>
  <c r="C1513"/>
  <c r="B1513"/>
  <c r="C1512"/>
  <c r="D1511"/>
  <c r="C1511"/>
  <c r="B1511"/>
  <c r="C1510"/>
  <c r="D1509"/>
  <c r="C1509"/>
  <c r="B1509"/>
  <c r="C1508"/>
  <c r="D1507"/>
  <c r="C1507"/>
  <c r="B1507"/>
  <c r="C1506"/>
  <c r="D1505"/>
  <c r="C1505"/>
  <c r="B1505"/>
  <c r="C1504"/>
  <c r="D1503"/>
  <c r="C1503"/>
  <c r="B1503"/>
  <c r="C1502"/>
  <c r="D1501"/>
  <c r="C1501"/>
  <c r="B1501"/>
  <c r="C1500"/>
  <c r="D1499"/>
  <c r="C1499"/>
  <c r="B1499"/>
  <c r="C1498"/>
  <c r="D1497"/>
  <c r="C1497"/>
  <c r="B1497"/>
  <c r="C1496"/>
  <c r="D1495"/>
  <c r="C1495"/>
  <c r="B1495"/>
  <c r="C1494"/>
  <c r="D1493"/>
  <c r="C1493"/>
  <c r="B1493"/>
  <c r="C1492"/>
  <c r="D1491"/>
  <c r="C1491"/>
  <c r="B1491"/>
  <c r="C1490"/>
  <c r="D1489"/>
  <c r="C1489"/>
  <c r="B1489"/>
  <c r="C1488"/>
  <c r="D1487"/>
  <c r="C1487"/>
  <c r="B1487"/>
  <c r="C1486"/>
  <c r="D1485"/>
  <c r="C1485"/>
  <c r="B1485"/>
  <c r="C1484"/>
  <c r="D1483"/>
  <c r="C1483"/>
  <c r="B1483"/>
  <c r="C1482"/>
  <c r="D1481"/>
  <c r="C1481"/>
  <c r="B1481"/>
  <c r="C1480"/>
  <c r="D1479"/>
  <c r="C1479"/>
  <c r="B1479"/>
  <c r="C1478"/>
  <c r="D1477"/>
  <c r="C1477"/>
  <c r="B1477"/>
  <c r="C1476"/>
  <c r="D1475"/>
  <c r="C1475"/>
  <c r="B1475"/>
  <c r="C1474"/>
  <c r="D1473"/>
  <c r="C1473"/>
  <c r="B1473"/>
  <c r="C1472"/>
  <c r="D1471"/>
  <c r="C1471"/>
  <c r="B1471"/>
  <c r="C1470"/>
  <c r="D1469"/>
  <c r="C1469"/>
  <c r="B1469"/>
  <c r="C1468"/>
  <c r="D1467"/>
  <c r="C1467"/>
  <c r="B1467"/>
  <c r="C1466"/>
  <c r="D1465"/>
  <c r="C1465"/>
  <c r="B1465"/>
  <c r="C1464"/>
  <c r="D1463"/>
  <c r="C1463"/>
  <c r="B1463"/>
  <c r="C1462"/>
  <c r="D1461"/>
  <c r="C1461"/>
  <c r="B1461"/>
  <c r="C1460"/>
  <c r="D1459"/>
  <c r="C1459"/>
  <c r="B1459"/>
  <c r="C1458"/>
  <c r="D1457"/>
  <c r="C1457"/>
  <c r="B1457"/>
  <c r="C1456"/>
  <c r="D1455"/>
  <c r="C1455"/>
  <c r="B1455"/>
  <c r="C1454"/>
  <c r="D1453"/>
  <c r="C1453"/>
  <c r="B1453"/>
  <c r="C1452"/>
  <c r="D1451"/>
  <c r="C1451"/>
  <c r="B1451"/>
  <c r="C1450"/>
  <c r="D1449"/>
  <c r="C1449"/>
  <c r="B1449"/>
  <c r="C1448"/>
  <c r="D1447"/>
  <c r="C1447"/>
  <c r="B1447"/>
  <c r="C1446"/>
  <c r="D1445"/>
  <c r="C1445"/>
  <c r="B1445"/>
  <c r="C1444"/>
  <c r="D1443"/>
  <c r="C1443"/>
  <c r="B1443"/>
  <c r="C1442"/>
  <c r="D1441"/>
  <c r="C1441"/>
  <c r="B1441"/>
  <c r="C1440"/>
  <c r="D1439"/>
  <c r="C1439"/>
  <c r="B1439"/>
  <c r="C1438"/>
  <c r="D1437"/>
  <c r="C1437"/>
  <c r="B1437"/>
  <c r="C1436"/>
  <c r="D1435"/>
  <c r="C1435"/>
  <c r="B1435"/>
  <c r="C1434"/>
  <c r="D1433"/>
  <c r="C1433"/>
  <c r="B1433"/>
  <c r="C1432"/>
  <c r="D1431"/>
  <c r="C1431"/>
  <c r="B1431"/>
  <c r="C1430"/>
  <c r="D1429"/>
  <c r="C1429"/>
  <c r="B1429"/>
  <c r="C1428"/>
  <c r="D1428" s="1"/>
  <c r="D1427"/>
  <c r="C1427"/>
  <c r="B1427"/>
  <c r="C1426"/>
  <c r="D1426" s="1"/>
  <c r="D1425"/>
  <c r="C1425"/>
  <c r="B1425"/>
  <c r="C1424"/>
  <c r="D1424" s="1"/>
  <c r="D1423"/>
  <c r="C1423"/>
  <c r="B1423"/>
  <c r="C1422"/>
  <c r="D1422" s="1"/>
  <c r="D1421"/>
  <c r="C1421"/>
  <c r="B1421"/>
  <c r="C1420"/>
  <c r="D1420" s="1"/>
  <c r="D1419"/>
  <c r="C1419"/>
  <c r="B1419"/>
  <c r="C1418"/>
  <c r="D1418" s="1"/>
  <c r="D1417"/>
  <c r="C1417"/>
  <c r="B1417"/>
  <c r="C1416"/>
  <c r="D1416" s="1"/>
  <c r="D1415"/>
  <c r="C1415"/>
  <c r="B1415"/>
  <c r="C1414"/>
  <c r="D1414" s="1"/>
  <c r="D1413"/>
  <c r="C1413"/>
  <c r="B1413"/>
  <c r="C1412"/>
  <c r="D1412" s="1"/>
  <c r="D1411"/>
  <c r="C1411"/>
  <c r="B1411"/>
  <c r="C1410"/>
  <c r="D1410" s="1"/>
  <c r="D1409"/>
  <c r="C1409"/>
  <c r="B1409"/>
  <c r="C1408"/>
  <c r="D1408" s="1"/>
  <c r="D1407"/>
  <c r="C1407"/>
  <c r="B1407"/>
  <c r="C1406"/>
  <c r="D1406" s="1"/>
  <c r="D1405"/>
  <c r="C1405"/>
  <c r="B1405"/>
  <c r="C1404"/>
  <c r="D1404" s="1"/>
  <c r="D1403"/>
  <c r="C1403"/>
  <c r="B1403"/>
  <c r="C1402"/>
  <c r="D1402" s="1"/>
  <c r="D1401"/>
  <c r="C1401"/>
  <c r="B1401"/>
  <c r="C1400"/>
  <c r="D1400" s="1"/>
  <c r="D1399"/>
  <c r="C1399"/>
  <c r="B1399"/>
  <c r="C1398"/>
  <c r="D1398" s="1"/>
  <c r="D1397"/>
  <c r="C1397"/>
  <c r="B1397"/>
  <c r="C1396"/>
  <c r="D1396" s="1"/>
  <c r="D1395"/>
  <c r="C1395"/>
  <c r="B1395"/>
  <c r="C1394"/>
  <c r="D1394" s="1"/>
  <c r="D1393"/>
  <c r="C1393"/>
  <c r="B1393"/>
  <c r="C1392"/>
  <c r="D1392" s="1"/>
  <c r="D1391"/>
  <c r="C1391"/>
  <c r="B1391"/>
  <c r="C1390"/>
  <c r="D1390" s="1"/>
  <c r="D1389"/>
  <c r="C1389"/>
  <c r="B1389"/>
  <c r="C1388"/>
  <c r="D1388" s="1"/>
  <c r="D1387"/>
  <c r="C1387"/>
  <c r="B1387"/>
  <c r="C1386"/>
  <c r="D1386" s="1"/>
  <c r="D1385"/>
  <c r="C1385"/>
  <c r="B1385"/>
  <c r="C1384"/>
  <c r="D1384" s="1"/>
  <c r="D1383"/>
  <c r="C1383"/>
  <c r="B1383"/>
  <c r="C1382"/>
  <c r="D1382" s="1"/>
  <c r="D1381"/>
  <c r="C1381"/>
  <c r="B1381"/>
  <c r="C1380"/>
  <c r="D1380" s="1"/>
  <c r="D1379"/>
  <c r="C1379"/>
  <c r="B1379"/>
  <c r="C1378"/>
  <c r="D1378" s="1"/>
  <c r="D1377"/>
  <c r="C1377"/>
  <c r="B1377"/>
  <c r="C1376"/>
  <c r="D1376" s="1"/>
  <c r="D1375"/>
  <c r="C1375"/>
  <c r="B1375"/>
  <c r="C1374"/>
  <c r="D1374" s="1"/>
  <c r="D1373"/>
  <c r="C1373"/>
  <c r="B1373"/>
  <c r="C1372"/>
  <c r="D1372" s="1"/>
  <c r="D1371"/>
  <c r="C1371"/>
  <c r="B1371"/>
  <c r="C1370"/>
  <c r="D1370" s="1"/>
  <c r="D1369"/>
  <c r="C1369"/>
  <c r="B1369"/>
  <c r="C1368"/>
  <c r="D1368" s="1"/>
  <c r="D1367"/>
  <c r="C1367"/>
  <c r="B1367"/>
  <c r="C1366"/>
  <c r="D1366" s="1"/>
  <c r="D1365"/>
  <c r="C1365"/>
  <c r="B1365"/>
  <c r="C1364"/>
  <c r="D1364" s="1"/>
  <c r="D1363"/>
  <c r="C1363"/>
  <c r="B1363"/>
  <c r="C1362"/>
  <c r="D1362" s="1"/>
  <c r="D1361"/>
  <c r="C1361"/>
  <c r="B1361"/>
  <c r="C1360"/>
  <c r="D1360" s="1"/>
  <c r="D1359"/>
  <c r="C1359"/>
  <c r="B1359"/>
  <c r="C1358"/>
  <c r="D1358" s="1"/>
  <c r="D1357"/>
  <c r="C1357"/>
  <c r="B1357"/>
  <c r="C1356"/>
  <c r="D1356" s="1"/>
  <c r="D1355"/>
  <c r="C1355"/>
  <c r="B1355"/>
  <c r="C1354"/>
  <c r="D1354" s="1"/>
  <c r="D1353"/>
  <c r="C1353"/>
  <c r="B1353"/>
  <c r="C1352"/>
  <c r="D1352" s="1"/>
  <c r="D1351"/>
  <c r="C1351"/>
  <c r="B1351"/>
  <c r="C1350"/>
  <c r="D1350" s="1"/>
  <c r="D1349"/>
  <c r="C1349"/>
  <c r="B1349"/>
  <c r="C1348"/>
  <c r="D1348" s="1"/>
  <c r="D1347"/>
  <c r="C1347"/>
  <c r="B1347"/>
  <c r="C1346"/>
  <c r="D1346" s="1"/>
  <c r="D1345"/>
  <c r="C1345"/>
  <c r="B1345"/>
  <c r="C1344"/>
  <c r="D1344" s="1"/>
  <c r="D1343"/>
  <c r="C1343"/>
  <c r="B1343"/>
  <c r="C1342"/>
  <c r="D1342" s="1"/>
  <c r="D1341"/>
  <c r="C1341"/>
  <c r="B1341"/>
  <c r="C1340"/>
  <c r="D1340" s="1"/>
  <c r="D1339"/>
  <c r="C1339"/>
  <c r="B1339"/>
  <c r="C1338"/>
  <c r="D1338" s="1"/>
  <c r="D1337"/>
  <c r="C1337"/>
  <c r="B1337"/>
  <c r="C1336"/>
  <c r="D1336" s="1"/>
  <c r="D1335"/>
  <c r="C1335"/>
  <c r="B1335"/>
  <c r="C1334"/>
  <c r="D1334" s="1"/>
  <c r="D1333"/>
  <c r="C1333"/>
  <c r="B1333"/>
  <c r="C1332"/>
  <c r="D1332" s="1"/>
  <c r="D1331"/>
  <c r="C1331"/>
  <c r="B1331"/>
  <c r="C1330"/>
  <c r="D1330" s="1"/>
  <c r="D1329"/>
  <c r="C1329"/>
  <c r="B1329"/>
  <c r="C1328"/>
  <c r="D1328" s="1"/>
  <c r="D1327"/>
  <c r="C1327"/>
  <c r="B1327"/>
  <c r="C1326"/>
  <c r="D1326" s="1"/>
  <c r="D1325"/>
  <c r="C1325"/>
  <c r="B1325"/>
  <c r="C1324"/>
  <c r="D1324" s="1"/>
  <c r="D1323"/>
  <c r="C1323"/>
  <c r="B1323"/>
  <c r="C1322"/>
  <c r="D1322" s="1"/>
  <c r="D1321"/>
  <c r="C1321"/>
  <c r="B1321"/>
  <c r="C1320"/>
  <c r="D1320" s="1"/>
  <c r="D1319"/>
  <c r="C1319"/>
  <c r="B1319"/>
  <c r="C1318"/>
  <c r="D1318" s="1"/>
  <c r="D1317"/>
  <c r="C1317"/>
  <c r="B1317"/>
  <c r="C1316"/>
  <c r="D1316" s="1"/>
  <c r="D1315"/>
  <c r="C1315"/>
  <c r="B1315"/>
  <c r="C1314"/>
  <c r="D1314" s="1"/>
  <c r="D1313"/>
  <c r="C1313"/>
  <c r="B1313"/>
  <c r="C1312"/>
  <c r="D1312" s="1"/>
  <c r="D1311"/>
  <c r="C1311"/>
  <c r="B1311"/>
  <c r="C1310"/>
  <c r="D1310" s="1"/>
  <c r="D1309"/>
  <c r="C1309"/>
  <c r="B1309"/>
  <c r="C1308"/>
  <c r="D1308" s="1"/>
  <c r="D1307"/>
  <c r="C1307"/>
  <c r="B1307"/>
  <c r="C1306"/>
  <c r="D1306" s="1"/>
  <c r="D1305"/>
  <c r="C1305"/>
  <c r="B1305"/>
  <c r="C1304"/>
  <c r="D1304" s="1"/>
  <c r="D1303"/>
  <c r="C1303"/>
  <c r="B1303"/>
  <c r="C1302"/>
  <c r="D1302" s="1"/>
  <c r="D1301"/>
  <c r="C1301"/>
  <c r="B1301"/>
  <c r="C1300"/>
  <c r="D1300" s="1"/>
  <c r="D1299"/>
  <c r="C1299"/>
  <c r="B1299"/>
  <c r="C1298"/>
  <c r="D1298" s="1"/>
  <c r="D1297"/>
  <c r="C1297"/>
  <c r="B1297"/>
  <c r="C1296"/>
  <c r="D1296" s="1"/>
  <c r="D1295"/>
  <c r="C1295"/>
  <c r="B1295"/>
  <c r="C1294"/>
  <c r="D1294" s="1"/>
  <c r="D1293"/>
  <c r="C1293"/>
  <c r="B1293"/>
  <c r="C1292"/>
  <c r="D1292" s="1"/>
  <c r="D1291"/>
  <c r="C1291"/>
  <c r="B1291"/>
  <c r="C1290"/>
  <c r="D1290" s="1"/>
  <c r="D1289"/>
  <c r="C1289"/>
  <c r="B1289"/>
  <c r="C1288"/>
  <c r="D1288" s="1"/>
  <c r="D1287"/>
  <c r="C1287"/>
  <c r="B1287"/>
  <c r="C1286"/>
  <c r="D1286" s="1"/>
  <c r="D1285"/>
  <c r="C1285"/>
  <c r="B1285"/>
  <c r="C1284"/>
  <c r="D1284" s="1"/>
  <c r="D1283"/>
  <c r="C1283"/>
  <c r="B1283"/>
  <c r="C1282"/>
  <c r="D1282" s="1"/>
  <c r="D1281"/>
  <c r="C1281"/>
  <c r="B1281"/>
  <c r="C1280"/>
  <c r="D1280" s="1"/>
  <c r="D1279"/>
  <c r="C1279"/>
  <c r="B1279"/>
  <c r="C1278"/>
  <c r="D1278" s="1"/>
  <c r="D1277"/>
  <c r="C1277"/>
  <c r="B1277"/>
  <c r="C1276"/>
  <c r="D1276" s="1"/>
  <c r="D1275"/>
  <c r="C1275"/>
  <c r="B1275"/>
  <c r="C1274"/>
  <c r="D1274" s="1"/>
  <c r="D1273"/>
  <c r="C1273"/>
  <c r="B1273"/>
  <c r="C1272"/>
  <c r="D1272" s="1"/>
  <c r="D1271"/>
  <c r="C1271"/>
  <c r="B1271"/>
  <c r="C1270"/>
  <c r="D1270" s="1"/>
  <c r="D1269"/>
  <c r="C1269"/>
  <c r="B1269"/>
  <c r="C1268"/>
  <c r="D1268" s="1"/>
  <c r="D1267"/>
  <c r="C1267"/>
  <c r="B1267"/>
  <c r="C1266"/>
  <c r="D1266" s="1"/>
  <c r="D1265"/>
  <c r="C1265"/>
  <c r="B1265"/>
  <c r="C1264"/>
  <c r="D1264" s="1"/>
  <c r="D1263"/>
  <c r="C1263"/>
  <c r="B1263"/>
  <c r="C1262"/>
  <c r="D1262" s="1"/>
  <c r="D1261"/>
  <c r="C1261"/>
  <c r="B1261"/>
  <c r="C1260"/>
  <c r="D1260" s="1"/>
  <c r="D1259"/>
  <c r="C1259"/>
  <c r="B1259"/>
  <c r="C1258"/>
  <c r="D1258" s="1"/>
  <c r="D1257"/>
  <c r="C1257"/>
  <c r="B1257"/>
  <c r="C1256"/>
  <c r="D1256" s="1"/>
  <c r="D1255"/>
  <c r="C1255"/>
  <c r="B1255"/>
  <c r="C1254"/>
  <c r="D1254" s="1"/>
  <c r="D1253"/>
  <c r="C1253"/>
  <c r="B1253"/>
  <c r="C1252"/>
  <c r="D1252" s="1"/>
  <c r="D1251"/>
  <c r="C1251"/>
  <c r="B1251"/>
  <c r="C1250"/>
  <c r="D1250" s="1"/>
  <c r="D1249"/>
  <c r="C1249"/>
  <c r="B1249"/>
  <c r="C1248"/>
  <c r="D1248" s="1"/>
  <c r="D1247"/>
  <c r="C1247"/>
  <c r="B1247"/>
  <c r="C1246"/>
  <c r="D1246" s="1"/>
  <c r="D1245"/>
  <c r="C1245"/>
  <c r="B1245"/>
  <c r="C1244"/>
  <c r="D1244" s="1"/>
  <c r="D1243"/>
  <c r="C1243"/>
  <c r="B1243"/>
  <c r="C1242"/>
  <c r="D1242" s="1"/>
  <c r="D1241"/>
  <c r="C1241"/>
  <c r="B1241"/>
  <c r="C1240"/>
  <c r="D1240" s="1"/>
  <c r="D1239"/>
  <c r="C1239"/>
  <c r="B1239"/>
  <c r="C1238"/>
  <c r="D1238" s="1"/>
  <c r="D1237"/>
  <c r="C1237"/>
  <c r="B1237"/>
  <c r="C1236"/>
  <c r="D1236" s="1"/>
  <c r="D1235"/>
  <c r="C1235"/>
  <c r="B1235"/>
  <c r="C1234"/>
  <c r="D1234" s="1"/>
  <c r="D1233"/>
  <c r="C1233"/>
  <c r="B1233"/>
  <c r="C1232"/>
  <c r="D1232" s="1"/>
  <c r="D1231"/>
  <c r="C1231"/>
  <c r="B1231"/>
  <c r="C1230"/>
  <c r="D1230" s="1"/>
  <c r="D1229"/>
  <c r="C1229"/>
  <c r="B1229"/>
  <c r="C1228"/>
  <c r="D1228" s="1"/>
  <c r="D1227"/>
  <c r="C1227"/>
  <c r="B1227"/>
  <c r="C1226"/>
  <c r="D1226" s="1"/>
  <c r="D1225"/>
  <c r="C1225"/>
  <c r="B1225"/>
  <c r="C1224"/>
  <c r="D1224" s="1"/>
  <c r="D1223"/>
  <c r="C1223"/>
  <c r="B1223"/>
  <c r="C1222"/>
  <c r="D1222" s="1"/>
  <c r="D1221"/>
  <c r="C1221"/>
  <c r="B1221"/>
  <c r="C1220"/>
  <c r="D1220" s="1"/>
  <c r="D1219"/>
  <c r="C1219"/>
  <c r="B1219"/>
  <c r="C1218"/>
  <c r="D1218" s="1"/>
  <c r="D1217"/>
  <c r="C1217"/>
  <c r="B1217"/>
  <c r="C1216"/>
  <c r="D1216" s="1"/>
  <c r="D1215"/>
  <c r="C1215"/>
  <c r="B1215"/>
  <c r="C1214"/>
  <c r="D1214" s="1"/>
  <c r="D1213"/>
  <c r="C1213"/>
  <c r="B1213"/>
  <c r="C1212"/>
  <c r="D1212" s="1"/>
  <c r="D1211"/>
  <c r="C1211"/>
  <c r="B1211"/>
  <c r="C1210"/>
  <c r="D1210" s="1"/>
  <c r="D1209"/>
  <c r="C1209"/>
  <c r="B1209"/>
  <c r="C1208"/>
  <c r="D1208" s="1"/>
  <c r="D1207"/>
  <c r="C1207"/>
  <c r="B1207"/>
  <c r="C1206"/>
  <c r="D1206" s="1"/>
  <c r="D1205"/>
  <c r="C1205"/>
  <c r="B1205"/>
  <c r="C1204"/>
  <c r="D1204" s="1"/>
  <c r="D1203"/>
  <c r="C1203"/>
  <c r="B1203"/>
  <c r="C1202"/>
  <c r="D1202" s="1"/>
  <c r="D1201"/>
  <c r="C1201"/>
  <c r="B1201"/>
  <c r="C1200"/>
  <c r="D1200" s="1"/>
  <c r="D1199"/>
  <c r="C1199"/>
  <c r="B1199"/>
  <c r="C1198"/>
  <c r="D1198" s="1"/>
  <c r="D1197"/>
  <c r="C1197"/>
  <c r="B1197"/>
  <c r="C1196"/>
  <c r="D1196" s="1"/>
  <c r="D1195"/>
  <c r="C1195"/>
  <c r="B1195"/>
  <c r="C1194"/>
  <c r="D1194" s="1"/>
  <c r="D1193"/>
  <c r="C1193"/>
  <c r="B1193"/>
  <c r="C1192"/>
  <c r="D1192" s="1"/>
  <c r="D1191"/>
  <c r="C1191"/>
  <c r="B1191"/>
  <c r="C1190"/>
  <c r="D1190" s="1"/>
  <c r="D1189"/>
  <c r="C1189"/>
  <c r="B1189"/>
  <c r="C1188"/>
  <c r="D1188" s="1"/>
  <c r="D1187"/>
  <c r="C1187"/>
  <c r="B1187"/>
  <c r="C1186"/>
  <c r="D1186" s="1"/>
  <c r="D1185"/>
  <c r="C1185"/>
  <c r="B1185"/>
  <c r="C1184"/>
  <c r="D1184" s="1"/>
  <c r="D1183"/>
  <c r="C1183"/>
  <c r="B1183"/>
  <c r="C1182"/>
  <c r="D1182" s="1"/>
  <c r="D1181"/>
  <c r="C1181"/>
  <c r="B1181"/>
  <c r="C1180"/>
  <c r="D1180" s="1"/>
  <c r="D1179"/>
  <c r="C1179"/>
  <c r="B1179"/>
  <c r="C1178"/>
  <c r="D1178" s="1"/>
  <c r="D1177"/>
  <c r="C1177"/>
  <c r="B1177"/>
  <c r="C1176"/>
  <c r="D1176" s="1"/>
  <c r="D1175"/>
  <c r="C1175"/>
  <c r="B1175"/>
  <c r="C1174"/>
  <c r="D1174" s="1"/>
  <c r="D1173"/>
  <c r="C1173"/>
  <c r="B1173"/>
  <c r="C1172"/>
  <c r="D1172" s="1"/>
  <c r="D1171"/>
  <c r="C1171"/>
  <c r="B1171"/>
  <c r="C1170"/>
  <c r="D1170" s="1"/>
  <c r="D1169"/>
  <c r="C1169"/>
  <c r="B1169"/>
  <c r="C1168"/>
  <c r="D1168" s="1"/>
  <c r="D1167"/>
  <c r="C1167"/>
  <c r="B1167"/>
  <c r="C1166"/>
  <c r="D1166" s="1"/>
  <c r="D1165"/>
  <c r="C1165"/>
  <c r="B1165"/>
  <c r="C1164"/>
  <c r="D1164" s="1"/>
  <c r="D1163"/>
  <c r="C1163"/>
  <c r="B1163"/>
  <c r="C1162"/>
  <c r="D1162" s="1"/>
  <c r="D1161"/>
  <c r="C1161"/>
  <c r="B1161"/>
  <c r="C1160"/>
  <c r="D1160" s="1"/>
  <c r="D1159"/>
  <c r="C1159"/>
  <c r="B1159"/>
  <c r="C1158"/>
  <c r="D1158" s="1"/>
  <c r="D1157"/>
  <c r="C1157"/>
  <c r="B1157"/>
  <c r="C1156"/>
  <c r="D1156" s="1"/>
  <c r="C1155"/>
  <c r="D1155" s="1"/>
  <c r="C1154"/>
  <c r="D1154" s="1"/>
  <c r="C1153"/>
  <c r="D1153" s="1"/>
  <c r="C1152"/>
  <c r="D1152" s="1"/>
  <c r="C1151"/>
  <c r="D1151" s="1"/>
  <c r="C1150"/>
  <c r="D1150" s="1"/>
  <c r="C1149"/>
  <c r="D1149" s="1"/>
  <c r="C1148"/>
  <c r="D1148" s="1"/>
  <c r="C1147"/>
  <c r="D1147" s="1"/>
  <c r="C1146"/>
  <c r="D1146" s="1"/>
  <c r="C1145"/>
  <c r="D1145" s="1"/>
  <c r="C1144"/>
  <c r="D1144" s="1"/>
  <c r="C1143"/>
  <c r="D1143" s="1"/>
  <c r="C1142"/>
  <c r="D1142" s="1"/>
  <c r="C1141"/>
  <c r="D1141" s="1"/>
  <c r="C1140"/>
  <c r="D1140" s="1"/>
  <c r="C1139"/>
  <c r="D1139" s="1"/>
  <c r="C1138"/>
  <c r="D1138" s="1"/>
  <c r="C1137"/>
  <c r="D1137" s="1"/>
  <c r="C1136"/>
  <c r="D1136" s="1"/>
  <c r="C1135"/>
  <c r="D1135" s="1"/>
  <c r="C1134"/>
  <c r="D1134" s="1"/>
  <c r="C1133"/>
  <c r="D1133" s="1"/>
  <c r="C1132"/>
  <c r="D1132" s="1"/>
  <c r="C1131"/>
  <c r="D1131" s="1"/>
  <c r="C1130"/>
  <c r="D1130" s="1"/>
  <c r="C1129"/>
  <c r="D1129" s="1"/>
  <c r="C1128"/>
  <c r="D1128" s="1"/>
  <c r="C1127"/>
  <c r="D1127" s="1"/>
  <c r="C1126"/>
  <c r="D1126" s="1"/>
  <c r="C1125"/>
  <c r="D1125" s="1"/>
  <c r="C1124"/>
  <c r="D1124" s="1"/>
  <c r="C1123"/>
  <c r="D1123" s="1"/>
  <c r="C1122"/>
  <c r="D1122" s="1"/>
  <c r="C1121"/>
  <c r="D1121" s="1"/>
  <c r="C1120"/>
  <c r="D1120" s="1"/>
  <c r="C1119"/>
  <c r="D1119" s="1"/>
  <c r="C1118"/>
  <c r="D1118" s="1"/>
  <c r="C1117"/>
  <c r="D1117" s="1"/>
  <c r="C1116"/>
  <c r="D1116" s="1"/>
  <c r="C1115"/>
  <c r="D1115" s="1"/>
  <c r="C1114"/>
  <c r="D1114" s="1"/>
  <c r="C1113"/>
  <c r="D1113" s="1"/>
  <c r="C1112"/>
  <c r="D1112" s="1"/>
  <c r="C1111"/>
  <c r="D1111" s="1"/>
  <c r="C1110"/>
  <c r="D1110" s="1"/>
  <c r="C1109"/>
  <c r="D1109" s="1"/>
  <c r="C1108"/>
  <c r="D1108" s="1"/>
  <c r="C1107"/>
  <c r="D1107" s="1"/>
  <c r="C1106"/>
  <c r="D1106" s="1"/>
  <c r="C1105"/>
  <c r="D1105" s="1"/>
  <c r="C1104"/>
  <c r="D1104" s="1"/>
  <c r="C1103"/>
  <c r="D1103" s="1"/>
  <c r="C1102"/>
  <c r="D1102" s="1"/>
  <c r="C1101"/>
  <c r="D1101" s="1"/>
  <c r="C1100"/>
  <c r="D1100" s="1"/>
  <c r="C1099"/>
  <c r="D1099" s="1"/>
  <c r="C1098"/>
  <c r="D1098" s="1"/>
  <c r="C1097"/>
  <c r="D1097" s="1"/>
  <c r="C1096"/>
  <c r="D1096" s="1"/>
  <c r="C1095"/>
  <c r="D1095" s="1"/>
  <c r="C1094"/>
  <c r="D1094" s="1"/>
  <c r="C1093"/>
  <c r="D1093" s="1"/>
  <c r="C1092"/>
  <c r="D1092" s="1"/>
  <c r="C1091"/>
  <c r="D1091" s="1"/>
  <c r="C1090"/>
  <c r="D1090" s="1"/>
  <c r="C1089"/>
  <c r="C1088"/>
  <c r="D1088" s="1"/>
  <c r="C1087"/>
  <c r="C1086"/>
  <c r="D1086" s="1"/>
  <c r="C1085"/>
  <c r="C1084"/>
  <c r="D1084" s="1"/>
  <c r="C1083"/>
  <c r="C1082"/>
  <c r="D1082" s="1"/>
  <c r="C1081"/>
  <c r="C1080"/>
  <c r="D1080" s="1"/>
  <c r="C1079"/>
  <c r="C1078"/>
  <c r="D1078" s="1"/>
  <c r="C1077"/>
  <c r="C1076"/>
  <c r="D1076" s="1"/>
  <c r="C1075"/>
  <c r="C1074"/>
  <c r="D1074" s="1"/>
  <c r="C1073"/>
  <c r="C1072"/>
  <c r="D1072" s="1"/>
  <c r="C1071"/>
  <c r="C1070"/>
  <c r="D1070" s="1"/>
  <c r="C1069"/>
  <c r="C1068"/>
  <c r="D1068" s="1"/>
  <c r="C1067"/>
  <c r="C1066"/>
  <c r="D1066" s="1"/>
  <c r="C1065"/>
  <c r="C1064"/>
  <c r="D1064" s="1"/>
  <c r="C1063"/>
  <c r="C1062"/>
  <c r="D1062" s="1"/>
  <c r="C1061"/>
  <c r="C1060"/>
  <c r="D1060" s="1"/>
  <c r="C1059"/>
  <c r="C1058"/>
  <c r="D1058" s="1"/>
  <c r="C1057"/>
  <c r="C1056"/>
  <c r="D1056" s="1"/>
  <c r="C1055"/>
  <c r="C1054"/>
  <c r="D1054" s="1"/>
  <c r="C1053"/>
  <c r="C1052"/>
  <c r="D1052" s="1"/>
  <c r="C1051"/>
  <c r="C1050"/>
  <c r="D1050" s="1"/>
  <c r="C1049"/>
  <c r="C1048"/>
  <c r="D1048" s="1"/>
  <c r="C1047"/>
  <c r="C1046"/>
  <c r="D1046" s="1"/>
  <c r="C1045"/>
  <c r="C1044"/>
  <c r="D1044" s="1"/>
  <c r="C1043"/>
  <c r="C1042"/>
  <c r="D1042" s="1"/>
  <c r="C1041"/>
  <c r="C1040"/>
  <c r="D1040" s="1"/>
  <c r="C1039"/>
  <c r="C1038"/>
  <c r="D1038" s="1"/>
  <c r="C1037"/>
  <c r="C1036"/>
  <c r="D1036" s="1"/>
  <c r="C1035"/>
  <c r="C1034"/>
  <c r="D1034" s="1"/>
  <c r="C1033"/>
  <c r="C1032"/>
  <c r="D1032" s="1"/>
  <c r="C1031"/>
  <c r="C1030"/>
  <c r="D1030" s="1"/>
  <c r="C1029"/>
  <c r="C1028"/>
  <c r="D1028" s="1"/>
  <c r="C1027"/>
  <c r="C1026"/>
  <c r="D1026" s="1"/>
  <c r="C1025"/>
  <c r="C1024"/>
  <c r="D1024" s="1"/>
  <c r="C1023"/>
  <c r="C1022"/>
  <c r="D1022" s="1"/>
  <c r="C1021"/>
  <c r="C1020"/>
  <c r="D1020" s="1"/>
  <c r="C1019"/>
  <c r="C1018"/>
  <c r="D1018" s="1"/>
  <c r="C1017"/>
  <c r="C1016"/>
  <c r="D1016" s="1"/>
  <c r="C1015"/>
  <c r="C1014"/>
  <c r="D1014" s="1"/>
  <c r="C1013"/>
  <c r="C1012"/>
  <c r="D1012" s="1"/>
  <c r="C1011"/>
  <c r="C1010"/>
  <c r="D1010" s="1"/>
  <c r="C1009"/>
  <c r="C1008"/>
  <c r="D1008" s="1"/>
  <c r="C1007"/>
  <c r="C1006"/>
  <c r="D1006" s="1"/>
  <c r="C1005"/>
  <c r="C1004"/>
  <c r="D1004" s="1"/>
  <c r="C1003"/>
  <c r="C1002"/>
  <c r="D1002" s="1"/>
  <c r="C1001"/>
  <c r="C1000"/>
  <c r="D1000" s="1"/>
  <c r="C999"/>
  <c r="C998"/>
  <c r="D998" s="1"/>
  <c r="C997"/>
  <c r="C996"/>
  <c r="D996" s="1"/>
  <c r="C995"/>
  <c r="C994"/>
  <c r="D994" s="1"/>
  <c r="C993"/>
  <c r="C992"/>
  <c r="D992" s="1"/>
  <c r="C991"/>
  <c r="C990"/>
  <c r="D990" s="1"/>
  <c r="C989"/>
  <c r="C988"/>
  <c r="D988" s="1"/>
  <c r="C987"/>
  <c r="C986"/>
  <c r="D986" s="1"/>
  <c r="C985"/>
  <c r="C984"/>
  <c r="D984" s="1"/>
  <c r="C983"/>
  <c r="C982"/>
  <c r="D982" s="1"/>
  <c r="C981"/>
  <c r="C980"/>
  <c r="D980" s="1"/>
  <c r="C979"/>
  <c r="C978"/>
  <c r="D978" s="1"/>
  <c r="C977"/>
  <c r="C976"/>
  <c r="D976" s="1"/>
  <c r="C975"/>
  <c r="C974"/>
  <c r="D974" s="1"/>
  <c r="C973"/>
  <c r="C972"/>
  <c r="D972" s="1"/>
  <c r="C971"/>
  <c r="C970"/>
  <c r="D970" s="1"/>
  <c r="C969"/>
  <c r="C968"/>
  <c r="D968" s="1"/>
  <c r="C967"/>
  <c r="C966"/>
  <c r="D966" s="1"/>
  <c r="C965"/>
  <c r="C964"/>
  <c r="D964" s="1"/>
  <c r="C963"/>
  <c r="C962"/>
  <c r="D962" s="1"/>
  <c r="C961"/>
  <c r="C960"/>
  <c r="D960" s="1"/>
  <c r="C959"/>
  <c r="C958"/>
  <c r="D958" s="1"/>
  <c r="C957"/>
  <c r="C956"/>
  <c r="D956" s="1"/>
  <c r="C955"/>
  <c r="C954"/>
  <c r="D954" s="1"/>
  <c r="C953"/>
  <c r="C952"/>
  <c r="D952" s="1"/>
  <c r="C951"/>
  <c r="C950"/>
  <c r="D950" s="1"/>
  <c r="C949"/>
  <c r="C948"/>
  <c r="D948" s="1"/>
  <c r="C947"/>
  <c r="C946"/>
  <c r="D946" s="1"/>
  <c r="C945"/>
  <c r="C944"/>
  <c r="D944" s="1"/>
  <c r="C943"/>
  <c r="C942"/>
  <c r="D942" s="1"/>
  <c r="C941"/>
  <c r="C940"/>
  <c r="D940" s="1"/>
  <c r="C939"/>
  <c r="C938"/>
  <c r="D938" s="1"/>
  <c r="C937"/>
  <c r="C936"/>
  <c r="D936" s="1"/>
  <c r="C935"/>
  <c r="C934"/>
  <c r="D934" s="1"/>
  <c r="C933"/>
  <c r="C932"/>
  <c r="D932" s="1"/>
  <c r="C931"/>
  <c r="C930"/>
  <c r="D930" s="1"/>
  <c r="C929"/>
  <c r="C928"/>
  <c r="D928" s="1"/>
  <c r="C927"/>
  <c r="C926"/>
  <c r="D926" s="1"/>
  <c r="C925"/>
  <c r="C924"/>
  <c r="D924" s="1"/>
  <c r="C923"/>
  <c r="C922"/>
  <c r="D922" s="1"/>
  <c r="C921"/>
  <c r="C920"/>
  <c r="D920" s="1"/>
  <c r="C919"/>
  <c r="C918"/>
  <c r="D918" s="1"/>
  <c r="C917"/>
  <c r="C916"/>
  <c r="D916" s="1"/>
  <c r="C915"/>
  <c r="C914"/>
  <c r="D914" s="1"/>
  <c r="C913"/>
  <c r="C912"/>
  <c r="D912" s="1"/>
  <c r="C911"/>
  <c r="C910"/>
  <c r="D910" s="1"/>
  <c r="C909"/>
  <c r="C908"/>
  <c r="D908" s="1"/>
  <c r="C907"/>
  <c r="C906"/>
  <c r="D906" s="1"/>
  <c r="C905"/>
  <c r="C904"/>
  <c r="D904" s="1"/>
  <c r="C903"/>
  <c r="C902"/>
  <c r="D902" s="1"/>
  <c r="C901"/>
  <c r="C900"/>
  <c r="D900" s="1"/>
  <c r="C899"/>
  <c r="C898"/>
  <c r="D898" s="1"/>
  <c r="C897"/>
  <c r="B897" s="1"/>
  <c r="C896"/>
  <c r="D896" s="1"/>
  <c r="C895"/>
  <c r="C894"/>
  <c r="D894" s="1"/>
  <c r="C893"/>
  <c r="B893" s="1"/>
  <c r="C892"/>
  <c r="D892" s="1"/>
  <c r="C891"/>
  <c r="B891" s="1"/>
  <c r="C890"/>
  <c r="D890" s="1"/>
  <c r="C889"/>
  <c r="B889" s="1"/>
  <c r="C888"/>
  <c r="D888" s="1"/>
  <c r="C887"/>
  <c r="C886"/>
  <c r="D886" s="1"/>
  <c r="C885"/>
  <c r="B885" s="1"/>
  <c r="C884"/>
  <c r="D884" s="1"/>
  <c r="C883"/>
  <c r="B883" s="1"/>
  <c r="C882"/>
  <c r="D882" s="1"/>
  <c r="D881"/>
  <c r="C881"/>
  <c r="B881" s="1"/>
  <c r="C880"/>
  <c r="D880" s="1"/>
  <c r="C879"/>
  <c r="C878"/>
  <c r="D878" s="1"/>
  <c r="C877"/>
  <c r="B877" s="1"/>
  <c r="C876"/>
  <c r="D876" s="1"/>
  <c r="C875"/>
  <c r="B875" s="1"/>
  <c r="C874"/>
  <c r="D874" s="1"/>
  <c r="D873"/>
  <c r="C873"/>
  <c r="B873" s="1"/>
  <c r="C872"/>
  <c r="D872" s="1"/>
  <c r="C871"/>
  <c r="C870"/>
  <c r="D870" s="1"/>
  <c r="C869"/>
  <c r="B869" s="1"/>
  <c r="C868"/>
  <c r="D868" s="1"/>
  <c r="D867"/>
  <c r="C867"/>
  <c r="B867" s="1"/>
  <c r="C866"/>
  <c r="D866" s="1"/>
  <c r="C865"/>
  <c r="B865" s="1"/>
  <c r="C864"/>
  <c r="C863"/>
  <c r="C862"/>
  <c r="C861"/>
  <c r="B861" s="1"/>
  <c r="C860"/>
  <c r="C859"/>
  <c r="B859" s="1"/>
  <c r="C858"/>
  <c r="C857"/>
  <c r="B857" s="1"/>
  <c r="C856"/>
  <c r="C855"/>
  <c r="C854"/>
  <c r="C853"/>
  <c r="B853" s="1"/>
  <c r="C852"/>
  <c r="C851"/>
  <c r="B851" s="1"/>
  <c r="C850"/>
  <c r="D849"/>
  <c r="C849"/>
  <c r="B849" s="1"/>
  <c r="C848"/>
  <c r="C847"/>
  <c r="C846"/>
  <c r="C845"/>
  <c r="B845" s="1"/>
  <c r="C844"/>
  <c r="C843"/>
  <c r="B843" s="1"/>
  <c r="C842"/>
  <c r="D841"/>
  <c r="C841"/>
  <c r="B841" s="1"/>
  <c r="C840"/>
  <c r="C839"/>
  <c r="C838"/>
  <c r="C837"/>
  <c r="B837" s="1"/>
  <c r="C836"/>
  <c r="D835"/>
  <c r="C835"/>
  <c r="B835" s="1"/>
  <c r="C834"/>
  <c r="C833"/>
  <c r="B833" s="1"/>
  <c r="C832"/>
  <c r="C831"/>
  <c r="C830"/>
  <c r="C829"/>
  <c r="B829" s="1"/>
  <c r="C828"/>
  <c r="C827"/>
  <c r="B827" s="1"/>
  <c r="C826"/>
  <c r="C825"/>
  <c r="B825" s="1"/>
  <c r="C824"/>
  <c r="C823"/>
  <c r="C822"/>
  <c r="C821"/>
  <c r="B821" s="1"/>
  <c r="C820"/>
  <c r="C819"/>
  <c r="B819" s="1"/>
  <c r="C818"/>
  <c r="D817"/>
  <c r="C817"/>
  <c r="B817" s="1"/>
  <c r="C816"/>
  <c r="C815"/>
  <c r="C814"/>
  <c r="C813"/>
  <c r="B813" s="1"/>
  <c r="C812"/>
  <c r="C811"/>
  <c r="B811" s="1"/>
  <c r="C810"/>
  <c r="D809"/>
  <c r="C809"/>
  <c r="B809" s="1"/>
  <c r="C808"/>
  <c r="C807"/>
  <c r="C806"/>
  <c r="C805"/>
  <c r="B805" s="1"/>
  <c r="C804"/>
  <c r="D803"/>
  <c r="C803"/>
  <c r="B803" s="1"/>
  <c r="C802"/>
  <c r="C801"/>
  <c r="B801" s="1"/>
  <c r="C800"/>
  <c r="C799"/>
  <c r="C798"/>
  <c r="C797"/>
  <c r="B797" s="1"/>
  <c r="C796"/>
  <c r="C795"/>
  <c r="B795" s="1"/>
  <c r="C794"/>
  <c r="C793"/>
  <c r="B793" s="1"/>
  <c r="C792"/>
  <c r="C791"/>
  <c r="C790"/>
  <c r="C789"/>
  <c r="B789" s="1"/>
  <c r="C788"/>
  <c r="C787"/>
  <c r="B787" s="1"/>
  <c r="C786"/>
  <c r="D785"/>
  <c r="C785"/>
  <c r="B785" s="1"/>
  <c r="C784"/>
  <c r="C783"/>
  <c r="C782"/>
  <c r="C781"/>
  <c r="B781" s="1"/>
  <c r="C780"/>
  <c r="C779"/>
  <c r="B779" s="1"/>
  <c r="C778"/>
  <c r="D777"/>
  <c r="C777"/>
  <c r="B777" s="1"/>
  <c r="C776"/>
  <c r="C775"/>
  <c r="D775" s="1"/>
  <c r="B775"/>
  <c r="C774"/>
  <c r="C773"/>
  <c r="D773" s="1"/>
  <c r="C772"/>
  <c r="C771"/>
  <c r="D771" s="1"/>
  <c r="C770"/>
  <c r="C769"/>
  <c r="D769" s="1"/>
  <c r="C768"/>
  <c r="C767"/>
  <c r="D767" s="1"/>
  <c r="C766"/>
  <c r="C765"/>
  <c r="D765" s="1"/>
  <c r="C764"/>
  <c r="C763"/>
  <c r="D763" s="1"/>
  <c r="C762"/>
  <c r="C761"/>
  <c r="D761" s="1"/>
  <c r="C760"/>
  <c r="C759"/>
  <c r="D759" s="1"/>
  <c r="B759"/>
  <c r="C758"/>
  <c r="C757"/>
  <c r="D757" s="1"/>
  <c r="C756"/>
  <c r="C755"/>
  <c r="D755" s="1"/>
  <c r="C754"/>
  <c r="C753"/>
  <c r="D753" s="1"/>
  <c r="C752"/>
  <c r="C751"/>
  <c r="D751" s="1"/>
  <c r="C750"/>
  <c r="C749"/>
  <c r="D749" s="1"/>
  <c r="C748"/>
  <c r="C747"/>
  <c r="D747" s="1"/>
  <c r="C746"/>
  <c r="C745"/>
  <c r="D745" s="1"/>
  <c r="C744"/>
  <c r="C743"/>
  <c r="D743" s="1"/>
  <c r="C742"/>
  <c r="C741"/>
  <c r="D741" s="1"/>
  <c r="B741"/>
  <c r="C740"/>
  <c r="C739"/>
  <c r="D739" s="1"/>
  <c r="C738"/>
  <c r="C737"/>
  <c r="D737" s="1"/>
  <c r="C736"/>
  <c r="C735"/>
  <c r="D735" s="1"/>
  <c r="C734"/>
  <c r="C733"/>
  <c r="C732"/>
  <c r="C731"/>
  <c r="D731" s="1"/>
  <c r="C730"/>
  <c r="C729"/>
  <c r="D729" s="1"/>
  <c r="C728"/>
  <c r="C727"/>
  <c r="D727" s="1"/>
  <c r="C726"/>
  <c r="C725"/>
  <c r="D725" s="1"/>
  <c r="B725"/>
  <c r="C724"/>
  <c r="C723"/>
  <c r="D723" s="1"/>
  <c r="C722"/>
  <c r="C721"/>
  <c r="D721" s="1"/>
  <c r="C720"/>
  <c r="C719"/>
  <c r="D719" s="1"/>
  <c r="C718"/>
  <c r="C717"/>
  <c r="C716"/>
  <c r="C715"/>
  <c r="D715" s="1"/>
  <c r="C714"/>
  <c r="C713"/>
  <c r="D713" s="1"/>
  <c r="C712"/>
  <c r="C711"/>
  <c r="D711" s="1"/>
  <c r="C710"/>
  <c r="C709"/>
  <c r="D709" s="1"/>
  <c r="B709"/>
  <c r="C708"/>
  <c r="C707"/>
  <c r="D707" s="1"/>
  <c r="C706"/>
  <c r="C705"/>
  <c r="D705" s="1"/>
  <c r="C704"/>
  <c r="C703"/>
  <c r="D703" s="1"/>
  <c r="C702"/>
  <c r="C701"/>
  <c r="C700"/>
  <c r="C699"/>
  <c r="D699" s="1"/>
  <c r="C698"/>
  <c r="C697"/>
  <c r="D697" s="1"/>
  <c r="C696"/>
  <c r="C695"/>
  <c r="D695" s="1"/>
  <c r="C694"/>
  <c r="C693"/>
  <c r="D693" s="1"/>
  <c r="B693"/>
  <c r="C692"/>
  <c r="C691"/>
  <c r="D691" s="1"/>
  <c r="C690"/>
  <c r="C689"/>
  <c r="D689" s="1"/>
  <c r="C688"/>
  <c r="C687"/>
  <c r="D687" s="1"/>
  <c r="C686"/>
  <c r="C685"/>
  <c r="C684"/>
  <c r="C683"/>
  <c r="D683" s="1"/>
  <c r="C682"/>
  <c r="C681"/>
  <c r="D681" s="1"/>
  <c r="C680"/>
  <c r="C679"/>
  <c r="D679" s="1"/>
  <c r="C678"/>
  <c r="C677"/>
  <c r="D677" s="1"/>
  <c r="B677"/>
  <c r="C676"/>
  <c r="C675"/>
  <c r="D675" s="1"/>
  <c r="C674"/>
  <c r="C673"/>
  <c r="D673" s="1"/>
  <c r="C672"/>
  <c r="C671"/>
  <c r="D671" s="1"/>
  <c r="C670"/>
  <c r="C669"/>
  <c r="D669" s="1"/>
  <c r="C668"/>
  <c r="C667"/>
  <c r="D667" s="1"/>
  <c r="C666"/>
  <c r="C665"/>
  <c r="D665" s="1"/>
  <c r="C664"/>
  <c r="C663"/>
  <c r="D663" s="1"/>
  <c r="B663"/>
  <c r="C662"/>
  <c r="C661"/>
  <c r="D661" s="1"/>
  <c r="C660"/>
  <c r="C659"/>
  <c r="D659" s="1"/>
  <c r="C658"/>
  <c r="C657"/>
  <c r="D657" s="1"/>
  <c r="C656"/>
  <c r="C655"/>
  <c r="C654"/>
  <c r="C653"/>
  <c r="D653" s="1"/>
  <c r="C652"/>
  <c r="C651"/>
  <c r="D651" s="1"/>
  <c r="C650"/>
  <c r="C649"/>
  <c r="D649" s="1"/>
  <c r="C648"/>
  <c r="C647"/>
  <c r="D647" s="1"/>
  <c r="B647"/>
  <c r="C646"/>
  <c r="C645"/>
  <c r="D645" s="1"/>
  <c r="C644"/>
  <c r="C643"/>
  <c r="D643" s="1"/>
  <c r="C642"/>
  <c r="C641"/>
  <c r="D641" s="1"/>
  <c r="C640"/>
  <c r="C639"/>
  <c r="C638"/>
  <c r="C637"/>
  <c r="D637" s="1"/>
  <c r="B637"/>
  <c r="C636"/>
  <c r="C635"/>
  <c r="D635" s="1"/>
  <c r="C634"/>
  <c r="C633"/>
  <c r="D633" s="1"/>
  <c r="C632"/>
  <c r="C631"/>
  <c r="D631" s="1"/>
  <c r="C630"/>
  <c r="C629"/>
  <c r="D629" s="1"/>
  <c r="B629"/>
  <c r="C628"/>
  <c r="C627"/>
  <c r="D627" s="1"/>
  <c r="C626"/>
  <c r="C625"/>
  <c r="D625" s="1"/>
  <c r="C624"/>
  <c r="C623"/>
  <c r="D623" s="1"/>
  <c r="C622"/>
  <c r="C621"/>
  <c r="D621" s="1"/>
  <c r="B621"/>
  <c r="C620"/>
  <c r="C619"/>
  <c r="D619" s="1"/>
  <c r="C618"/>
  <c r="C617"/>
  <c r="D617" s="1"/>
  <c r="C616"/>
  <c r="C615"/>
  <c r="D615" s="1"/>
  <c r="C614"/>
  <c r="C613"/>
  <c r="D613" s="1"/>
  <c r="B613"/>
  <c r="C612"/>
  <c r="C611"/>
  <c r="D611" s="1"/>
  <c r="C610"/>
  <c r="C609"/>
  <c r="D609" s="1"/>
  <c r="C608"/>
  <c r="C607"/>
  <c r="D607" s="1"/>
  <c r="C606"/>
  <c r="C605"/>
  <c r="D605" s="1"/>
  <c r="B605"/>
  <c r="C604"/>
  <c r="C603"/>
  <c r="D603" s="1"/>
  <c r="C602"/>
  <c r="C601"/>
  <c r="D601" s="1"/>
  <c r="C600"/>
  <c r="C599"/>
  <c r="D599" s="1"/>
  <c r="C598"/>
  <c r="C597"/>
  <c r="D597" s="1"/>
  <c r="B597"/>
  <c r="C596"/>
  <c r="C595"/>
  <c r="D595" s="1"/>
  <c r="C594"/>
  <c r="C593"/>
  <c r="D593" s="1"/>
  <c r="C592"/>
  <c r="C591"/>
  <c r="D591" s="1"/>
  <c r="C590"/>
  <c r="C589"/>
  <c r="D589" s="1"/>
  <c r="B589"/>
  <c r="C588"/>
  <c r="C587"/>
  <c r="D587" s="1"/>
  <c r="C586"/>
  <c r="C585"/>
  <c r="D585" s="1"/>
  <c r="C584"/>
  <c r="C583"/>
  <c r="D583" s="1"/>
  <c r="C582"/>
  <c r="C581"/>
  <c r="D581" s="1"/>
  <c r="B581"/>
  <c r="C580"/>
  <c r="C579"/>
  <c r="D579" s="1"/>
  <c r="C578"/>
  <c r="C577"/>
  <c r="D577" s="1"/>
  <c r="C576"/>
  <c r="C575"/>
  <c r="D575" s="1"/>
  <c r="C574"/>
  <c r="C573"/>
  <c r="D573" s="1"/>
  <c r="B573"/>
  <c r="C572"/>
  <c r="C571"/>
  <c r="D571" s="1"/>
  <c r="C570"/>
  <c r="C569"/>
  <c r="D569" s="1"/>
  <c r="C568"/>
  <c r="C567"/>
  <c r="D567" s="1"/>
  <c r="C566"/>
  <c r="C565"/>
  <c r="D565" s="1"/>
  <c r="B565"/>
  <c r="C564"/>
  <c r="C563"/>
  <c r="D563" s="1"/>
  <c r="C562"/>
  <c r="C561"/>
  <c r="D561" s="1"/>
  <c r="C560"/>
  <c r="C559"/>
  <c r="D559" s="1"/>
  <c r="C558"/>
  <c r="C557"/>
  <c r="D557" s="1"/>
  <c r="B557"/>
  <c r="C556"/>
  <c r="C555"/>
  <c r="D555" s="1"/>
  <c r="C554"/>
  <c r="C553"/>
  <c r="D553" s="1"/>
  <c r="C552"/>
  <c r="C551"/>
  <c r="D551" s="1"/>
  <c r="C550"/>
  <c r="C549"/>
  <c r="D549" s="1"/>
  <c r="B549"/>
  <c r="C548"/>
  <c r="C547"/>
  <c r="D547" s="1"/>
  <c r="C546"/>
  <c r="C545"/>
  <c r="D545" s="1"/>
  <c r="C544"/>
  <c r="C543"/>
  <c r="D543" s="1"/>
  <c r="C542"/>
  <c r="C541"/>
  <c r="D541" s="1"/>
  <c r="B541"/>
  <c r="C540"/>
  <c r="C539"/>
  <c r="D539" s="1"/>
  <c r="C538"/>
  <c r="C537"/>
  <c r="D537" s="1"/>
  <c r="C536"/>
  <c r="C535"/>
  <c r="D535" s="1"/>
  <c r="C534"/>
  <c r="C533"/>
  <c r="D533" s="1"/>
  <c r="B533"/>
  <c r="C532"/>
  <c r="C531"/>
  <c r="D531" s="1"/>
  <c r="C530"/>
  <c r="C529"/>
  <c r="D529" s="1"/>
  <c r="C528"/>
  <c r="C527"/>
  <c r="D527" s="1"/>
  <c r="C526"/>
  <c r="C525"/>
  <c r="D525" s="1"/>
  <c r="B525"/>
  <c r="C524"/>
  <c r="C523"/>
  <c r="D523" s="1"/>
  <c r="C522"/>
  <c r="C521"/>
  <c r="D521" s="1"/>
  <c r="C520"/>
  <c r="C519"/>
  <c r="D519" s="1"/>
  <c r="C518"/>
  <c r="C517"/>
  <c r="D517" s="1"/>
  <c r="B517"/>
  <c r="C516"/>
  <c r="C515"/>
  <c r="D515" s="1"/>
  <c r="C514"/>
  <c r="C513"/>
  <c r="D513" s="1"/>
  <c r="C512"/>
  <c r="C511"/>
  <c r="D511" s="1"/>
  <c r="C510"/>
  <c r="C509"/>
  <c r="D509" s="1"/>
  <c r="B509"/>
  <c r="C508"/>
  <c r="C507"/>
  <c r="D507" s="1"/>
  <c r="C506"/>
  <c r="C505"/>
  <c r="D505" s="1"/>
  <c r="C504"/>
  <c r="C503"/>
  <c r="D503" s="1"/>
  <c r="C502"/>
  <c r="C501"/>
  <c r="D501" s="1"/>
  <c r="B501"/>
  <c r="C500"/>
  <c r="C499"/>
  <c r="D499" s="1"/>
  <c r="C498"/>
  <c r="C497"/>
  <c r="D497" s="1"/>
  <c r="C496"/>
  <c r="C495"/>
  <c r="D495" s="1"/>
  <c r="C494"/>
  <c r="C493"/>
  <c r="D493" s="1"/>
  <c r="B493"/>
  <c r="C492"/>
  <c r="C491"/>
  <c r="D491" s="1"/>
  <c r="C490"/>
  <c r="C489"/>
  <c r="D489" s="1"/>
  <c r="C488"/>
  <c r="C487"/>
  <c r="D487" s="1"/>
  <c r="C486"/>
  <c r="C485"/>
  <c r="D485" s="1"/>
  <c r="B485"/>
  <c r="C484"/>
  <c r="C483"/>
  <c r="D483" s="1"/>
  <c r="C482"/>
  <c r="C481"/>
  <c r="D481" s="1"/>
  <c r="C480"/>
  <c r="C479"/>
  <c r="D479" s="1"/>
  <c r="C478"/>
  <c r="C477"/>
  <c r="D477" s="1"/>
  <c r="B477"/>
  <c r="C476"/>
  <c r="C475"/>
  <c r="D475" s="1"/>
  <c r="C474"/>
  <c r="C473"/>
  <c r="D473" s="1"/>
  <c r="C472"/>
  <c r="C471"/>
  <c r="D471" s="1"/>
  <c r="C470"/>
  <c r="C469"/>
  <c r="D469" s="1"/>
  <c r="C468"/>
  <c r="C467"/>
  <c r="D467" s="1"/>
  <c r="C466"/>
  <c r="C465"/>
  <c r="D465" s="1"/>
  <c r="C464"/>
  <c r="C463"/>
  <c r="D463" s="1"/>
  <c r="C462"/>
  <c r="C461"/>
  <c r="D461" s="1"/>
  <c r="C460"/>
  <c r="C459"/>
  <c r="D459" s="1"/>
  <c r="C458"/>
  <c r="C457"/>
  <c r="D457" s="1"/>
  <c r="C456"/>
  <c r="C455"/>
  <c r="D455" s="1"/>
  <c r="C454"/>
  <c r="C453"/>
  <c r="D453" s="1"/>
  <c r="C452"/>
  <c r="C451"/>
  <c r="D451" s="1"/>
  <c r="C450"/>
  <c r="C449"/>
  <c r="D449" s="1"/>
  <c r="C448"/>
  <c r="C447"/>
  <c r="D447" s="1"/>
  <c r="C446"/>
  <c r="C445"/>
  <c r="D445" s="1"/>
  <c r="C444"/>
  <c r="C443"/>
  <c r="D443" s="1"/>
  <c r="C442"/>
  <c r="C441"/>
  <c r="D441" s="1"/>
  <c r="C440"/>
  <c r="C439"/>
  <c r="D439" s="1"/>
  <c r="C438"/>
  <c r="C437"/>
  <c r="D437" s="1"/>
  <c r="C436"/>
  <c r="C435"/>
  <c r="D435" s="1"/>
  <c r="C434"/>
  <c r="C433"/>
  <c r="D433" s="1"/>
  <c r="C432"/>
  <c r="C431"/>
  <c r="D431" s="1"/>
  <c r="C430"/>
  <c r="C429"/>
  <c r="D429" s="1"/>
  <c r="C428"/>
  <c r="C427"/>
  <c r="D427" s="1"/>
  <c r="C426"/>
  <c r="C425"/>
  <c r="D425" s="1"/>
  <c r="C424"/>
  <c r="C423"/>
  <c r="D423" s="1"/>
  <c r="C422"/>
  <c r="C421"/>
  <c r="D421" s="1"/>
  <c r="C420"/>
  <c r="C419"/>
  <c r="D419" s="1"/>
  <c r="C418"/>
  <c r="C417"/>
  <c r="D417" s="1"/>
  <c r="C416"/>
  <c r="C415"/>
  <c r="D415" s="1"/>
  <c r="C414"/>
  <c r="C413"/>
  <c r="D413" s="1"/>
  <c r="C412"/>
  <c r="C411"/>
  <c r="D411" s="1"/>
  <c r="C410"/>
  <c r="C409"/>
  <c r="D409" s="1"/>
  <c r="C408"/>
  <c r="C407"/>
  <c r="D407" s="1"/>
  <c r="C406"/>
  <c r="C405"/>
  <c r="D405" s="1"/>
  <c r="C404"/>
  <c r="C403"/>
  <c r="D403" s="1"/>
  <c r="C402"/>
  <c r="C401"/>
  <c r="D401" s="1"/>
  <c r="C400"/>
  <c r="C399"/>
  <c r="D399" s="1"/>
  <c r="C398"/>
  <c r="C397"/>
  <c r="D397" s="1"/>
  <c r="C396"/>
  <c r="C395"/>
  <c r="D395" s="1"/>
  <c r="C394"/>
  <c r="C393"/>
  <c r="D393" s="1"/>
  <c r="C392"/>
  <c r="C391"/>
  <c r="D391" s="1"/>
  <c r="C390"/>
  <c r="C389"/>
  <c r="D389" s="1"/>
  <c r="C388"/>
  <c r="C387"/>
  <c r="D387" s="1"/>
  <c r="C386"/>
  <c r="C385"/>
  <c r="D385" s="1"/>
  <c r="C384"/>
  <c r="C383"/>
  <c r="D383" s="1"/>
  <c r="C382"/>
  <c r="C381"/>
  <c r="D381" s="1"/>
  <c r="C380"/>
  <c r="C379"/>
  <c r="D379" s="1"/>
  <c r="C378"/>
  <c r="C377"/>
  <c r="D377" s="1"/>
  <c r="C376"/>
  <c r="C375"/>
  <c r="D375" s="1"/>
  <c r="C374"/>
  <c r="C373"/>
  <c r="D373" s="1"/>
  <c r="C372"/>
  <c r="C371"/>
  <c r="D371" s="1"/>
  <c r="C370"/>
  <c r="C369"/>
  <c r="D369" s="1"/>
  <c r="C368"/>
  <c r="C367"/>
  <c r="D367" s="1"/>
  <c r="C366"/>
  <c r="C365"/>
  <c r="D365" s="1"/>
  <c r="C364"/>
  <c r="C363"/>
  <c r="D363" s="1"/>
  <c r="C362"/>
  <c r="C361"/>
  <c r="D361" s="1"/>
  <c r="C360"/>
  <c r="C359"/>
  <c r="D359" s="1"/>
  <c r="C358"/>
  <c r="C357"/>
  <c r="D357" s="1"/>
  <c r="C356"/>
  <c r="C355"/>
  <c r="D355" s="1"/>
  <c r="C354"/>
  <c r="C353"/>
  <c r="D353" s="1"/>
  <c r="C352"/>
  <c r="C351"/>
  <c r="D351" s="1"/>
  <c r="C350"/>
  <c r="C349"/>
  <c r="D349" s="1"/>
  <c r="C348"/>
  <c r="C347"/>
  <c r="D347" s="1"/>
  <c r="C346"/>
  <c r="C345"/>
  <c r="D345" s="1"/>
  <c r="C344"/>
  <c r="C343"/>
  <c r="D343" s="1"/>
  <c r="C342"/>
  <c r="C341"/>
  <c r="D341" s="1"/>
  <c r="C340"/>
  <c r="C339"/>
  <c r="D339" s="1"/>
  <c r="C338"/>
  <c r="C337"/>
  <c r="D337" s="1"/>
  <c r="C336"/>
  <c r="C335"/>
  <c r="D335" s="1"/>
  <c r="C334"/>
  <c r="C333"/>
  <c r="D333" s="1"/>
  <c r="C332"/>
  <c r="C331"/>
  <c r="D331" s="1"/>
  <c r="C330"/>
  <c r="C329"/>
  <c r="D329" s="1"/>
  <c r="C328"/>
  <c r="C327"/>
  <c r="D327" s="1"/>
  <c r="C326"/>
  <c r="C325"/>
  <c r="D325" s="1"/>
  <c r="C324"/>
  <c r="C323"/>
  <c r="D323" s="1"/>
  <c r="C322"/>
  <c r="C321"/>
  <c r="D321" s="1"/>
  <c r="C320"/>
  <c r="C319"/>
  <c r="D319" s="1"/>
  <c r="C318"/>
  <c r="C317"/>
  <c r="D317" s="1"/>
  <c r="C316"/>
  <c r="C315"/>
  <c r="D315" s="1"/>
  <c r="C314"/>
  <c r="C313"/>
  <c r="D313" s="1"/>
  <c r="C312"/>
  <c r="C311"/>
  <c r="D311" s="1"/>
  <c r="C310"/>
  <c r="C309"/>
  <c r="D309" s="1"/>
  <c r="C308"/>
  <c r="C307"/>
  <c r="D307" s="1"/>
  <c r="C306"/>
  <c r="C305"/>
  <c r="D305" s="1"/>
  <c r="C304"/>
  <c r="C303"/>
  <c r="D303" s="1"/>
  <c r="C302"/>
  <c r="C301"/>
  <c r="D301" s="1"/>
  <c r="C300"/>
  <c r="C299"/>
  <c r="D299" s="1"/>
  <c r="C298"/>
  <c r="C297"/>
  <c r="D297" s="1"/>
  <c r="C296"/>
  <c r="C295"/>
  <c r="D295" s="1"/>
  <c r="C294"/>
  <c r="C293"/>
  <c r="D293" s="1"/>
  <c r="C292"/>
  <c r="C291"/>
  <c r="D291" s="1"/>
  <c r="C290"/>
  <c r="C289"/>
  <c r="D289" s="1"/>
  <c r="C288"/>
  <c r="C287"/>
  <c r="D287" s="1"/>
  <c r="C286"/>
  <c r="C285"/>
  <c r="D285" s="1"/>
  <c r="C284"/>
  <c r="C283"/>
  <c r="D283" s="1"/>
  <c r="C282"/>
  <c r="C281"/>
  <c r="D281" s="1"/>
  <c r="C280"/>
  <c r="C279"/>
  <c r="D279" s="1"/>
  <c r="C278"/>
  <c r="C277"/>
  <c r="D277" s="1"/>
  <c r="C276"/>
  <c r="C275"/>
  <c r="D275" s="1"/>
  <c r="C274"/>
  <c r="C273"/>
  <c r="D273" s="1"/>
  <c r="C272"/>
  <c r="C271"/>
  <c r="D271" s="1"/>
  <c r="C270"/>
  <c r="C269"/>
  <c r="D269" s="1"/>
  <c r="C268"/>
  <c r="C267"/>
  <c r="D267" s="1"/>
  <c r="C266"/>
  <c r="C265"/>
  <c r="D265" s="1"/>
  <c r="C264"/>
  <c r="C263"/>
  <c r="D263" s="1"/>
  <c r="C262"/>
  <c r="C261"/>
  <c r="D261" s="1"/>
  <c r="C260"/>
  <c r="C259"/>
  <c r="D259" s="1"/>
  <c r="C258"/>
  <c r="C257"/>
  <c r="D257" s="1"/>
  <c r="C256"/>
  <c r="C255"/>
  <c r="D255" s="1"/>
  <c r="C254"/>
  <c r="C253"/>
  <c r="D253" s="1"/>
  <c r="C252"/>
  <c r="C251"/>
  <c r="D251" s="1"/>
  <c r="C250"/>
  <c r="C249"/>
  <c r="D249" s="1"/>
  <c r="C248"/>
  <c r="C247"/>
  <c r="D247" s="1"/>
  <c r="C246"/>
  <c r="C245"/>
  <c r="D245" s="1"/>
  <c r="C244"/>
  <c r="C243"/>
  <c r="D243" s="1"/>
  <c r="C242"/>
  <c r="C241"/>
  <c r="D241" s="1"/>
  <c r="C240"/>
  <c r="C239"/>
  <c r="D239" s="1"/>
  <c r="C238"/>
  <c r="C237"/>
  <c r="D237" s="1"/>
  <c r="C236"/>
  <c r="C235"/>
  <c r="D235" s="1"/>
  <c r="C234"/>
  <c r="C233"/>
  <c r="D233" s="1"/>
  <c r="C232"/>
  <c r="C231"/>
  <c r="D231" s="1"/>
  <c r="C230"/>
  <c r="C229"/>
  <c r="D229" s="1"/>
  <c r="C228"/>
  <c r="C227"/>
  <c r="D227" s="1"/>
  <c r="C226"/>
  <c r="C225"/>
  <c r="D225" s="1"/>
  <c r="C224"/>
  <c r="C223"/>
  <c r="D223" s="1"/>
  <c r="C222"/>
  <c r="C221"/>
  <c r="D221" s="1"/>
  <c r="C220"/>
  <c r="C219"/>
  <c r="D219" s="1"/>
  <c r="C218"/>
  <c r="C217"/>
  <c r="D217" s="1"/>
  <c r="C216"/>
  <c r="C215"/>
  <c r="D215" s="1"/>
  <c r="C214"/>
  <c r="C213"/>
  <c r="D213" s="1"/>
  <c r="C212"/>
  <c r="C211"/>
  <c r="D211" s="1"/>
  <c r="C210"/>
  <c r="C209"/>
  <c r="D209" s="1"/>
  <c r="C208"/>
  <c r="C207"/>
  <c r="D207" s="1"/>
  <c r="C206"/>
  <c r="C205"/>
  <c r="D205" s="1"/>
  <c r="C204"/>
  <c r="C203"/>
  <c r="D203" s="1"/>
  <c r="C202"/>
  <c r="C201"/>
  <c r="D201" s="1"/>
  <c r="C200"/>
  <c r="C199"/>
  <c r="D199" s="1"/>
  <c r="C198"/>
  <c r="C197"/>
  <c r="D197" s="1"/>
  <c r="C196"/>
  <c r="C195"/>
  <c r="D195" s="1"/>
  <c r="C194"/>
  <c r="C193"/>
  <c r="D193" s="1"/>
  <c r="C192"/>
  <c r="C191"/>
  <c r="D191" s="1"/>
  <c r="C190"/>
  <c r="C189"/>
  <c r="D189" s="1"/>
  <c r="C188"/>
  <c r="C187"/>
  <c r="D187" s="1"/>
  <c r="C186"/>
  <c r="C185"/>
  <c r="D185" s="1"/>
  <c r="C184"/>
  <c r="C183"/>
  <c r="D183" s="1"/>
  <c r="C182"/>
  <c r="C181"/>
  <c r="D181" s="1"/>
  <c r="C180"/>
  <c r="C179"/>
  <c r="D179" s="1"/>
  <c r="C178"/>
  <c r="C177"/>
  <c r="D177" s="1"/>
  <c r="C176"/>
  <c r="C175"/>
  <c r="D175" s="1"/>
  <c r="C174"/>
  <c r="C173"/>
  <c r="D173" s="1"/>
  <c r="C172"/>
  <c r="C171"/>
  <c r="D171" s="1"/>
  <c r="C170"/>
  <c r="C169"/>
  <c r="D169" s="1"/>
  <c r="C168"/>
  <c r="C167"/>
  <c r="D167" s="1"/>
  <c r="C166"/>
  <c r="C165"/>
  <c r="D165" s="1"/>
  <c r="C164"/>
  <c r="C163"/>
  <c r="D163" s="1"/>
  <c r="C162"/>
  <c r="C161"/>
  <c r="D161" s="1"/>
  <c r="C160"/>
  <c r="C159"/>
  <c r="D159" s="1"/>
  <c r="C158"/>
  <c r="C157"/>
  <c r="D157" s="1"/>
  <c r="C156"/>
  <c r="C155"/>
  <c r="D155" s="1"/>
  <c r="C154"/>
  <c r="C153"/>
  <c r="D153" s="1"/>
  <c r="C152"/>
  <c r="C151"/>
  <c r="D151" s="1"/>
  <c r="C150"/>
  <c r="C149"/>
  <c r="D149" s="1"/>
  <c r="C148"/>
  <c r="D148" s="1"/>
  <c r="C147"/>
  <c r="D147" s="1"/>
  <c r="C146"/>
  <c r="D146" s="1"/>
  <c r="C145"/>
  <c r="D145" s="1"/>
  <c r="C144"/>
  <c r="D144" s="1"/>
  <c r="D6"/>
  <c r="F2"/>
  <c r="C6" i="35"/>
  <c r="F1" i="4"/>
  <c r="F3" s="1"/>
  <c r="B7"/>
  <c r="B8"/>
  <c r="B9"/>
  <c r="B10"/>
  <c r="B11"/>
  <c r="B12"/>
  <c r="G116" i="23"/>
  <c r="B757" i="36" l="1"/>
  <c r="B773"/>
  <c r="D779"/>
  <c r="D789"/>
  <c r="D805"/>
  <c r="D811"/>
  <c r="D821"/>
  <c r="D837"/>
  <c r="D843"/>
  <c r="D853"/>
  <c r="D869"/>
  <c r="D875"/>
  <c r="D885"/>
  <c r="B481"/>
  <c r="B489"/>
  <c r="B497"/>
  <c r="B505"/>
  <c r="B513"/>
  <c r="B521"/>
  <c r="B529"/>
  <c r="B537"/>
  <c r="B545"/>
  <c r="B553"/>
  <c r="B561"/>
  <c r="B569"/>
  <c r="B577"/>
  <c r="B585"/>
  <c r="B593"/>
  <c r="B601"/>
  <c r="B609"/>
  <c r="B617"/>
  <c r="B625"/>
  <c r="B633"/>
  <c r="B645"/>
  <c r="B661"/>
  <c r="B669"/>
  <c r="B679"/>
  <c r="B695"/>
  <c r="B711"/>
  <c r="B727"/>
  <c r="B743"/>
  <c r="B407"/>
  <c r="B409"/>
  <c r="B411"/>
  <c r="B413"/>
  <c r="B415"/>
  <c r="B417"/>
  <c r="B419"/>
  <c r="B421"/>
  <c r="B423"/>
  <c r="B425"/>
  <c r="B427"/>
  <c r="B429"/>
  <c r="B431"/>
  <c r="B433"/>
  <c r="B435"/>
  <c r="B437"/>
  <c r="B439"/>
  <c r="B441"/>
  <c r="B443"/>
  <c r="B445"/>
  <c r="B447"/>
  <c r="B449"/>
  <c r="B451"/>
  <c r="B453"/>
  <c r="B455"/>
  <c r="B457"/>
  <c r="B459"/>
  <c r="B461"/>
  <c r="B463"/>
  <c r="B465"/>
  <c r="B467"/>
  <c r="B469"/>
  <c r="B471"/>
  <c r="B473"/>
  <c r="B475"/>
  <c r="B483"/>
  <c r="B491"/>
  <c r="B499"/>
  <c r="B507"/>
  <c r="B515"/>
  <c r="B523"/>
  <c r="B531"/>
  <c r="B539"/>
  <c r="B547"/>
  <c r="B555"/>
  <c r="B563"/>
  <c r="B571"/>
  <c r="B579"/>
  <c r="B587"/>
  <c r="B595"/>
  <c r="B603"/>
  <c r="B611"/>
  <c r="B619"/>
  <c r="B627"/>
  <c r="B635"/>
  <c r="D685"/>
  <c r="B685"/>
  <c r="D717"/>
  <c r="B717"/>
  <c r="D655"/>
  <c r="B655"/>
  <c r="D35" i="4"/>
  <c r="D50"/>
  <c r="D21"/>
  <c r="B479" i="36"/>
  <c r="B487"/>
  <c r="B495"/>
  <c r="B503"/>
  <c r="B511"/>
  <c r="B519"/>
  <c r="B527"/>
  <c r="B535"/>
  <c r="B543"/>
  <c r="B551"/>
  <c r="B559"/>
  <c r="B567"/>
  <c r="B575"/>
  <c r="B583"/>
  <c r="B591"/>
  <c r="B599"/>
  <c r="B607"/>
  <c r="B615"/>
  <c r="B623"/>
  <c r="B631"/>
  <c r="D639"/>
  <c r="B639"/>
  <c r="B653"/>
  <c r="D701"/>
  <c r="B701"/>
  <c r="D733"/>
  <c r="B733"/>
  <c r="B749"/>
  <c r="B765"/>
  <c r="D797"/>
  <c r="D829"/>
  <c r="D861"/>
  <c r="D893"/>
  <c r="B671"/>
  <c r="B687"/>
  <c r="B703"/>
  <c r="B719"/>
  <c r="B735"/>
  <c r="B751"/>
  <c r="B767"/>
  <c r="D781"/>
  <c r="D813"/>
  <c r="D845"/>
  <c r="D877"/>
  <c r="E23" i="38"/>
  <c r="B815" i="36"/>
  <c r="D815"/>
  <c r="B879"/>
  <c r="D879"/>
  <c r="B783"/>
  <c r="D783"/>
  <c r="B847"/>
  <c r="D847"/>
  <c r="D795"/>
  <c r="D801"/>
  <c r="B807"/>
  <c r="D807"/>
  <c r="D827"/>
  <c r="D833"/>
  <c r="B839"/>
  <c r="D839"/>
  <c r="D859"/>
  <c r="D865"/>
  <c r="B871"/>
  <c r="D871"/>
  <c r="D891"/>
  <c r="D897"/>
  <c r="B643"/>
  <c r="B651"/>
  <c r="B659"/>
  <c r="B667"/>
  <c r="B675"/>
  <c r="B683"/>
  <c r="B691"/>
  <c r="B699"/>
  <c r="B707"/>
  <c r="B715"/>
  <c r="B723"/>
  <c r="B731"/>
  <c r="B739"/>
  <c r="B747"/>
  <c r="B755"/>
  <c r="B763"/>
  <c r="B771"/>
  <c r="D787"/>
  <c r="D793"/>
  <c r="B799"/>
  <c r="D799"/>
  <c r="D819"/>
  <c r="D825"/>
  <c r="B831"/>
  <c r="D831"/>
  <c r="D851"/>
  <c r="D857"/>
  <c r="B863"/>
  <c r="D863"/>
  <c r="D883"/>
  <c r="D889"/>
  <c r="B895"/>
  <c r="D895"/>
  <c r="M1330" i="33"/>
  <c r="M1329"/>
  <c r="B641" i="36"/>
  <c r="B649"/>
  <c r="B657"/>
  <c r="B665"/>
  <c r="B673"/>
  <c r="B681"/>
  <c r="B689"/>
  <c r="B697"/>
  <c r="B705"/>
  <c r="B713"/>
  <c r="B721"/>
  <c r="B729"/>
  <c r="B737"/>
  <c r="B745"/>
  <c r="B753"/>
  <c r="B761"/>
  <c r="B769"/>
  <c r="B791"/>
  <c r="D791"/>
  <c r="B823"/>
  <c r="D823"/>
  <c r="B855"/>
  <c r="D855"/>
  <c r="B887"/>
  <c r="D887"/>
  <c r="D899"/>
  <c r="B899"/>
  <c r="E26" i="38"/>
  <c r="E34"/>
  <c r="G34" s="1"/>
  <c r="G233" i="22"/>
  <c r="E22" i="38"/>
  <c r="G22" s="1"/>
  <c r="E24"/>
  <c r="G24" s="1"/>
  <c r="E27"/>
  <c r="G27" s="1"/>
  <c r="E29"/>
  <c r="G29" s="1"/>
  <c r="E31"/>
  <c r="G31" s="1"/>
  <c r="E33"/>
  <c r="G33" s="1"/>
  <c r="E37"/>
  <c r="G37" s="1"/>
  <c r="E42"/>
  <c r="G42" s="1"/>
  <c r="E41"/>
  <c r="G41" s="1"/>
  <c r="E21"/>
  <c r="G21" s="1"/>
  <c r="E28"/>
  <c r="G28" s="1"/>
  <c r="E32"/>
  <c r="G32" s="1"/>
  <c r="E40"/>
  <c r="G40" s="1"/>
  <c r="E43"/>
  <c r="G43" s="1"/>
  <c r="E44"/>
  <c r="G44" s="1"/>
  <c r="C20" i="35"/>
  <c r="C20" i="36"/>
  <c r="G117" i="23"/>
  <c r="B1155" i="36"/>
  <c r="G36" i="38"/>
  <c r="G158" i="22"/>
  <c r="G23" i="38"/>
  <c r="G26"/>
  <c r="G30"/>
  <c r="G38"/>
  <c r="G193" i="22"/>
  <c r="G35" i="38"/>
  <c r="G39"/>
  <c r="I9" i="22"/>
  <c r="K9" s="1"/>
  <c r="P301"/>
  <c r="L112"/>
  <c r="P297"/>
  <c r="P300"/>
  <c r="L6" i="35"/>
  <c r="G6"/>
  <c r="M6"/>
  <c r="H6"/>
  <c r="H267" i="22"/>
  <c r="G127"/>
  <c r="H141"/>
  <c r="H158" s="1"/>
  <c r="H214"/>
  <c r="H233" s="1"/>
  <c r="G267"/>
  <c r="H301"/>
  <c r="D150" i="36"/>
  <c r="B150"/>
  <c r="D152"/>
  <c r="B152"/>
  <c r="D154"/>
  <c r="B154"/>
  <c r="D156"/>
  <c r="B156"/>
  <c r="D158"/>
  <c r="B158"/>
  <c r="D160"/>
  <c r="B160"/>
  <c r="D162"/>
  <c r="B162"/>
  <c r="D164"/>
  <c r="B164"/>
  <c r="D166"/>
  <c r="B166"/>
  <c r="D168"/>
  <c r="B168"/>
  <c r="D170"/>
  <c r="B170"/>
  <c r="D172"/>
  <c r="B172"/>
  <c r="D174"/>
  <c r="B174"/>
  <c r="D176"/>
  <c r="B176"/>
  <c r="D178"/>
  <c r="B178"/>
  <c r="D180"/>
  <c r="B180"/>
  <c r="D182"/>
  <c r="B182"/>
  <c r="D184"/>
  <c r="B184"/>
  <c r="D186"/>
  <c r="B186"/>
  <c r="D188"/>
  <c r="B188"/>
  <c r="D190"/>
  <c r="B190"/>
  <c r="D192"/>
  <c r="B192"/>
  <c r="D194"/>
  <c r="B194"/>
  <c r="D196"/>
  <c r="B196"/>
  <c r="D198"/>
  <c r="B198"/>
  <c r="D200"/>
  <c r="B200"/>
  <c r="D202"/>
  <c r="B202"/>
  <c r="D204"/>
  <c r="B204"/>
  <c r="D206"/>
  <c r="B206"/>
  <c r="D208"/>
  <c r="B208"/>
  <c r="D210"/>
  <c r="B210"/>
  <c r="D212"/>
  <c r="B212"/>
  <c r="D214"/>
  <c r="B214"/>
  <c r="D216"/>
  <c r="B216"/>
  <c r="D218"/>
  <c r="B218"/>
  <c r="D220"/>
  <c r="B220"/>
  <c r="D222"/>
  <c r="B222"/>
  <c r="D224"/>
  <c r="B224"/>
  <c r="D226"/>
  <c r="B226"/>
  <c r="D228"/>
  <c r="B228"/>
  <c r="D230"/>
  <c r="B230"/>
  <c r="D232"/>
  <c r="B232"/>
  <c r="D234"/>
  <c r="B234"/>
  <c r="D236"/>
  <c r="B236"/>
  <c r="D238"/>
  <c r="B238"/>
  <c r="D240"/>
  <c r="B240"/>
  <c r="D242"/>
  <c r="B242"/>
  <c r="D244"/>
  <c r="B244"/>
  <c r="D246"/>
  <c r="B246"/>
  <c r="D248"/>
  <c r="B248"/>
  <c r="D250"/>
  <c r="B250"/>
  <c r="D252"/>
  <c r="B252"/>
  <c r="D254"/>
  <c r="B254"/>
  <c r="D256"/>
  <c r="B256"/>
  <c r="D258"/>
  <c r="B258"/>
  <c r="D260"/>
  <c r="B260"/>
  <c r="D262"/>
  <c r="B262"/>
  <c r="D264"/>
  <c r="B264"/>
  <c r="D266"/>
  <c r="B266"/>
  <c r="D268"/>
  <c r="B268"/>
  <c r="D270"/>
  <c r="B270"/>
  <c r="D272"/>
  <c r="B272"/>
  <c r="D274"/>
  <c r="B274"/>
  <c r="D276"/>
  <c r="B276"/>
  <c r="D278"/>
  <c r="B278"/>
  <c r="D280"/>
  <c r="B280"/>
  <c r="D282"/>
  <c r="B282"/>
  <c r="D284"/>
  <c r="B284"/>
  <c r="D286"/>
  <c r="B286"/>
  <c r="D288"/>
  <c r="B288"/>
  <c r="D290"/>
  <c r="B290"/>
  <c r="D292"/>
  <c r="B292"/>
  <c r="D294"/>
  <c r="B294"/>
  <c r="D296"/>
  <c r="B296"/>
  <c r="D298"/>
  <c r="B298"/>
  <c r="D300"/>
  <c r="B300"/>
  <c r="D302"/>
  <c r="B302"/>
  <c r="D304"/>
  <c r="B304"/>
  <c r="D306"/>
  <c r="B306"/>
  <c r="D308"/>
  <c r="B308"/>
  <c r="D310"/>
  <c r="B310"/>
  <c r="D312"/>
  <c r="B312"/>
  <c r="D314"/>
  <c r="B314"/>
  <c r="D316"/>
  <c r="B316"/>
  <c r="D318"/>
  <c r="B318"/>
  <c r="D320"/>
  <c r="B320"/>
  <c r="D322"/>
  <c r="B322"/>
  <c r="D324"/>
  <c r="B324"/>
  <c r="D326"/>
  <c r="B326"/>
  <c r="D328"/>
  <c r="B328"/>
  <c r="D330"/>
  <c r="B330"/>
  <c r="D332"/>
  <c r="B332"/>
  <c r="D334"/>
  <c r="B334"/>
  <c r="D336"/>
  <c r="B336"/>
  <c r="D338"/>
  <c r="B338"/>
  <c r="D340"/>
  <c r="B340"/>
  <c r="D342"/>
  <c r="B342"/>
  <c r="D344"/>
  <c r="B344"/>
  <c r="D346"/>
  <c r="B346"/>
  <c r="D348"/>
  <c r="B348"/>
  <c r="D350"/>
  <c r="B350"/>
  <c r="D352"/>
  <c r="B352"/>
  <c r="D354"/>
  <c r="B354"/>
  <c r="D356"/>
  <c r="B356"/>
  <c r="D358"/>
  <c r="B358"/>
  <c r="D360"/>
  <c r="B360"/>
  <c r="D362"/>
  <c r="B362"/>
  <c r="D364"/>
  <c r="B364"/>
  <c r="D366"/>
  <c r="B366"/>
  <c r="D368"/>
  <c r="B368"/>
  <c r="D370"/>
  <c r="B370"/>
  <c r="D372"/>
  <c r="B372"/>
  <c r="D374"/>
  <c r="B374"/>
  <c r="D376"/>
  <c r="B376"/>
  <c r="D378"/>
  <c r="B378"/>
  <c r="D380"/>
  <c r="B380"/>
  <c r="D382"/>
  <c r="B382"/>
  <c r="D384"/>
  <c r="B384"/>
  <c r="D386"/>
  <c r="B386"/>
  <c r="D388"/>
  <c r="B388"/>
  <c r="D390"/>
  <c r="B390"/>
  <c r="D392"/>
  <c r="B392"/>
  <c r="D394"/>
  <c r="B394"/>
  <c r="D396"/>
  <c r="B396"/>
  <c r="D398"/>
  <c r="B398"/>
  <c r="D400"/>
  <c r="B400"/>
  <c r="D402"/>
  <c r="B402"/>
  <c r="D404"/>
  <c r="B404"/>
  <c r="B144"/>
  <c r="B146"/>
  <c r="B148"/>
  <c r="D901"/>
  <c r="B901"/>
  <c r="D903"/>
  <c r="B903"/>
  <c r="D905"/>
  <c r="B905"/>
  <c r="D907"/>
  <c r="B907"/>
  <c r="D909"/>
  <c r="B909"/>
  <c r="D911"/>
  <c r="B911"/>
  <c r="D913"/>
  <c r="B913"/>
  <c r="D915"/>
  <c r="B915"/>
  <c r="D917"/>
  <c r="B917"/>
  <c r="D919"/>
  <c r="B919"/>
  <c r="D921"/>
  <c r="B921"/>
  <c r="D923"/>
  <c r="B923"/>
  <c r="D925"/>
  <c r="B925"/>
  <c r="D927"/>
  <c r="B927"/>
  <c r="D929"/>
  <c r="B929"/>
  <c r="D931"/>
  <c r="B931"/>
  <c r="D933"/>
  <c r="B933"/>
  <c r="D935"/>
  <c r="B935"/>
  <c r="D937"/>
  <c r="B937"/>
  <c r="D939"/>
  <c r="B939"/>
  <c r="D941"/>
  <c r="B941"/>
  <c r="D943"/>
  <c r="B943"/>
  <c r="D945"/>
  <c r="B945"/>
  <c r="D947"/>
  <c r="B947"/>
  <c r="D949"/>
  <c r="B949"/>
  <c r="D951"/>
  <c r="B951"/>
  <c r="D953"/>
  <c r="B953"/>
  <c r="D955"/>
  <c r="B955"/>
  <c r="D957"/>
  <c r="B957"/>
  <c r="D959"/>
  <c r="B959"/>
  <c r="D961"/>
  <c r="B961"/>
  <c r="D963"/>
  <c r="B963"/>
  <c r="D965"/>
  <c r="B965"/>
  <c r="D967"/>
  <c r="B967"/>
  <c r="D969"/>
  <c r="B969"/>
  <c r="D971"/>
  <c r="B971"/>
  <c r="D973"/>
  <c r="B973"/>
  <c r="D975"/>
  <c r="B975"/>
  <c r="D977"/>
  <c r="B977"/>
  <c r="D979"/>
  <c r="B979"/>
  <c r="D981"/>
  <c r="B981"/>
  <c r="D983"/>
  <c r="B983"/>
  <c r="D985"/>
  <c r="B985"/>
  <c r="D987"/>
  <c r="B987"/>
  <c r="D989"/>
  <c r="B989"/>
  <c r="D991"/>
  <c r="B991"/>
  <c r="D993"/>
  <c r="B993"/>
  <c r="D995"/>
  <c r="B995"/>
  <c r="D997"/>
  <c r="B997"/>
  <c r="D999"/>
  <c r="B999"/>
  <c r="D1001"/>
  <c r="B1001"/>
  <c r="D1003"/>
  <c r="B1003"/>
  <c r="D1005"/>
  <c r="B1005"/>
  <c r="D1007"/>
  <c r="B1007"/>
  <c r="D1009"/>
  <c r="B1009"/>
  <c r="D1011"/>
  <c r="B1011"/>
  <c r="D1013"/>
  <c r="B1013"/>
  <c r="D1015"/>
  <c r="B1015"/>
  <c r="D1017"/>
  <c r="B1017"/>
  <c r="D1019"/>
  <c r="B1019"/>
  <c r="D1021"/>
  <c r="B1021"/>
  <c r="D1023"/>
  <c r="B1023"/>
  <c r="D1025"/>
  <c r="B1025"/>
  <c r="D1027"/>
  <c r="B1027"/>
  <c r="D1029"/>
  <c r="B1029"/>
  <c r="D1031"/>
  <c r="B1031"/>
  <c r="D1033"/>
  <c r="B1033"/>
  <c r="D1035"/>
  <c r="B1035"/>
  <c r="D1037"/>
  <c r="B1037"/>
  <c r="D1039"/>
  <c r="B1039"/>
  <c r="D1041"/>
  <c r="B1041"/>
  <c r="D1043"/>
  <c r="B1043"/>
  <c r="D1045"/>
  <c r="B1045"/>
  <c r="D1047"/>
  <c r="B1047"/>
  <c r="D1049"/>
  <c r="B1049"/>
  <c r="D1051"/>
  <c r="B1051"/>
  <c r="D1053"/>
  <c r="B1053"/>
  <c r="D1055"/>
  <c r="B1055"/>
  <c r="D1057"/>
  <c r="B1057"/>
  <c r="D1059"/>
  <c r="B1059"/>
  <c r="D1061"/>
  <c r="B1061"/>
  <c r="D1063"/>
  <c r="B1063"/>
  <c r="D1065"/>
  <c r="B1065"/>
  <c r="D1067"/>
  <c r="B1067"/>
  <c r="D1069"/>
  <c r="B1069"/>
  <c r="D1071"/>
  <c r="B1071"/>
  <c r="D1073"/>
  <c r="B1073"/>
  <c r="D1075"/>
  <c r="B1075"/>
  <c r="D1077"/>
  <c r="B1077"/>
  <c r="D1079"/>
  <c r="B1079"/>
  <c r="D1081"/>
  <c r="B1081"/>
  <c r="D1083"/>
  <c r="B1083"/>
  <c r="D1085"/>
  <c r="B1085"/>
  <c r="D1087"/>
  <c r="B1087"/>
  <c r="D1089"/>
  <c r="B1089"/>
  <c r="B1091"/>
  <c r="B1093"/>
  <c r="B1095"/>
  <c r="B1097"/>
  <c r="B1099"/>
  <c r="B1101"/>
  <c r="B1103"/>
  <c r="B1105"/>
  <c r="B1107"/>
  <c r="B1109"/>
  <c r="B1111"/>
  <c r="B1113"/>
  <c r="B1115"/>
  <c r="B1117"/>
  <c r="B1119"/>
  <c r="B1121"/>
  <c r="B1123"/>
  <c r="B1125"/>
  <c r="B1127"/>
  <c r="B1129"/>
  <c r="B1131"/>
  <c r="B1133"/>
  <c r="B1135"/>
  <c r="B1137"/>
  <c r="B1139"/>
  <c r="B1141"/>
  <c r="B1143"/>
  <c r="B1145"/>
  <c r="B1147"/>
  <c r="B1149"/>
  <c r="B1151"/>
  <c r="B1153"/>
  <c r="B6"/>
  <c r="M6"/>
  <c r="H6"/>
  <c r="L6"/>
  <c r="G6"/>
  <c r="K3"/>
  <c r="L11" i="22"/>
  <c r="I11"/>
  <c r="L13"/>
  <c r="I13"/>
  <c r="L15"/>
  <c r="I15"/>
  <c r="L17"/>
  <c r="I17"/>
  <c r="L19"/>
  <c r="I19"/>
  <c r="L21"/>
  <c r="I21"/>
  <c r="L23"/>
  <c r="I23"/>
  <c r="H61"/>
  <c r="H62" s="1"/>
  <c r="L42"/>
  <c r="I42"/>
  <c r="L43"/>
  <c r="I43"/>
  <c r="L45"/>
  <c r="I45"/>
  <c r="H25"/>
  <c r="L10"/>
  <c r="I10"/>
  <c r="L12"/>
  <c r="I12"/>
  <c r="L14"/>
  <c r="I14"/>
  <c r="L16"/>
  <c r="I16"/>
  <c r="L18"/>
  <c r="I18"/>
  <c r="L20"/>
  <c r="I20"/>
  <c r="L22"/>
  <c r="I22"/>
  <c r="I24"/>
  <c r="L44"/>
  <c r="I44"/>
  <c r="I46"/>
  <c r="M46" s="1"/>
  <c r="L58"/>
  <c r="I58"/>
  <c r="I60"/>
  <c r="M60" s="1"/>
  <c r="L76"/>
  <c r="I76"/>
  <c r="I78"/>
  <c r="M78" s="1"/>
  <c r="L109"/>
  <c r="I109"/>
  <c r="I111"/>
  <c r="M111" s="1"/>
  <c r="L115"/>
  <c r="I115"/>
  <c r="L117"/>
  <c r="I117"/>
  <c r="L119"/>
  <c r="I119"/>
  <c r="L121"/>
  <c r="I121"/>
  <c r="L123"/>
  <c r="I123"/>
  <c r="L125"/>
  <c r="I125"/>
  <c r="L175"/>
  <c r="I175"/>
  <c r="L177"/>
  <c r="I177"/>
  <c r="L179"/>
  <c r="I179"/>
  <c r="L5"/>
  <c r="L6"/>
  <c r="L7"/>
  <c r="L8"/>
  <c r="L48"/>
  <c r="M48" s="1"/>
  <c r="J48"/>
  <c r="N48" s="1"/>
  <c r="L49"/>
  <c r="M49" s="1"/>
  <c r="J49"/>
  <c r="N49" s="1"/>
  <c r="L50"/>
  <c r="M50" s="1"/>
  <c r="J50"/>
  <c r="N50" s="1"/>
  <c r="L51"/>
  <c r="M51" s="1"/>
  <c r="J51"/>
  <c r="N51" s="1"/>
  <c r="L52"/>
  <c r="M52" s="1"/>
  <c r="J52"/>
  <c r="N52" s="1"/>
  <c r="L53"/>
  <c r="M53" s="1"/>
  <c r="J53"/>
  <c r="N53" s="1"/>
  <c r="L54"/>
  <c r="M54" s="1"/>
  <c r="J54"/>
  <c r="N54" s="1"/>
  <c r="L55"/>
  <c r="M55" s="1"/>
  <c r="J55"/>
  <c r="N55" s="1"/>
  <c r="L56"/>
  <c r="M56" s="1"/>
  <c r="J56"/>
  <c r="N56" s="1"/>
  <c r="L57"/>
  <c r="M57" s="1"/>
  <c r="J57"/>
  <c r="N57" s="1"/>
  <c r="L59"/>
  <c r="I59"/>
  <c r="H94"/>
  <c r="L74"/>
  <c r="I74"/>
  <c r="L75"/>
  <c r="I75"/>
  <c r="L77"/>
  <c r="I77"/>
  <c r="L108"/>
  <c r="I108"/>
  <c r="L110"/>
  <c r="I110"/>
  <c r="L114"/>
  <c r="I114"/>
  <c r="L116"/>
  <c r="I116"/>
  <c r="L118"/>
  <c r="I118"/>
  <c r="L120"/>
  <c r="I120"/>
  <c r="L122"/>
  <c r="I122"/>
  <c r="L124"/>
  <c r="I124"/>
  <c r="L126"/>
  <c r="I126"/>
  <c r="L176"/>
  <c r="I176"/>
  <c r="L178"/>
  <c r="I178"/>
  <c r="I5"/>
  <c r="I6"/>
  <c r="I7"/>
  <c r="I8"/>
  <c r="I47"/>
  <c r="M47" s="1"/>
  <c r="K57"/>
  <c r="I181"/>
  <c r="J181" s="1"/>
  <c r="I183"/>
  <c r="J183" s="1"/>
  <c r="I185"/>
  <c r="J185" s="1"/>
  <c r="I187"/>
  <c r="J187" s="1"/>
  <c r="L293"/>
  <c r="I293"/>
  <c r="L295"/>
  <c r="I295"/>
  <c r="L297"/>
  <c r="I297"/>
  <c r="L300"/>
  <c r="I300"/>
  <c r="L80"/>
  <c r="L81"/>
  <c r="L82"/>
  <c r="L83"/>
  <c r="L84"/>
  <c r="L85"/>
  <c r="L86"/>
  <c r="L87"/>
  <c r="L88"/>
  <c r="L89"/>
  <c r="L90"/>
  <c r="L91"/>
  <c r="L92"/>
  <c r="L93"/>
  <c r="G94"/>
  <c r="L142"/>
  <c r="L143"/>
  <c r="L144"/>
  <c r="L145"/>
  <c r="L146"/>
  <c r="L147"/>
  <c r="L148"/>
  <c r="L149"/>
  <c r="L150"/>
  <c r="L151"/>
  <c r="L152"/>
  <c r="L153"/>
  <c r="L154"/>
  <c r="L155"/>
  <c r="L156"/>
  <c r="L157"/>
  <c r="L181"/>
  <c r="L183"/>
  <c r="L185"/>
  <c r="L187"/>
  <c r="I180"/>
  <c r="I182"/>
  <c r="I184"/>
  <c r="I186"/>
  <c r="L292"/>
  <c r="I292"/>
  <c r="L294"/>
  <c r="I294"/>
  <c r="L296"/>
  <c r="I296"/>
  <c r="I79"/>
  <c r="M79" s="1"/>
  <c r="I80"/>
  <c r="I81"/>
  <c r="I82"/>
  <c r="I83"/>
  <c r="M83" s="1"/>
  <c r="I84"/>
  <c r="I85"/>
  <c r="I86"/>
  <c r="I87"/>
  <c r="I88"/>
  <c r="I89"/>
  <c r="I90"/>
  <c r="I91"/>
  <c r="M91" s="1"/>
  <c r="I92"/>
  <c r="I93"/>
  <c r="H107"/>
  <c r="I112"/>
  <c r="M112" s="1"/>
  <c r="I113"/>
  <c r="M113" s="1"/>
  <c r="I142"/>
  <c r="M142" s="1"/>
  <c r="I143"/>
  <c r="M143" s="1"/>
  <c r="I144"/>
  <c r="I145"/>
  <c r="I146"/>
  <c r="M146" s="1"/>
  <c r="I147"/>
  <c r="M147" s="1"/>
  <c r="I148"/>
  <c r="I149"/>
  <c r="I150"/>
  <c r="M150" s="1"/>
  <c r="I151"/>
  <c r="M151" s="1"/>
  <c r="I152"/>
  <c r="I153"/>
  <c r="I154"/>
  <c r="M154" s="1"/>
  <c r="I155"/>
  <c r="M155" s="1"/>
  <c r="I156"/>
  <c r="I157"/>
  <c r="H174"/>
  <c r="L180"/>
  <c r="L182"/>
  <c r="L184"/>
  <c r="L186"/>
  <c r="L188"/>
  <c r="L189"/>
  <c r="L190"/>
  <c r="L191"/>
  <c r="K192"/>
  <c r="M192"/>
  <c r="L214"/>
  <c r="L215"/>
  <c r="L216"/>
  <c r="L217"/>
  <c r="L218"/>
  <c r="L219"/>
  <c r="L220"/>
  <c r="L221"/>
  <c r="L222"/>
  <c r="L223"/>
  <c r="L224"/>
  <c r="L225"/>
  <c r="L226"/>
  <c r="L227"/>
  <c r="L228"/>
  <c r="L229"/>
  <c r="L230"/>
  <c r="L231"/>
  <c r="L232"/>
  <c r="L248"/>
  <c r="L249"/>
  <c r="L250"/>
  <c r="L251"/>
  <c r="L252"/>
  <c r="L253"/>
  <c r="L254"/>
  <c r="Q286" s="1"/>
  <c r="L255"/>
  <c r="L256"/>
  <c r="Q289" s="1"/>
  <c r="L257"/>
  <c r="L258"/>
  <c r="L259"/>
  <c r="Q287" s="1"/>
  <c r="L260"/>
  <c r="L261"/>
  <c r="L262"/>
  <c r="L263"/>
  <c r="Q290" s="1"/>
  <c r="L264"/>
  <c r="L265"/>
  <c r="L266"/>
  <c r="Q288" s="1"/>
  <c r="L283"/>
  <c r="L284"/>
  <c r="L285"/>
  <c r="L286"/>
  <c r="P286"/>
  <c r="L287"/>
  <c r="P287"/>
  <c r="L288"/>
  <c r="P288"/>
  <c r="L289"/>
  <c r="P289"/>
  <c r="L290"/>
  <c r="P290"/>
  <c r="L291"/>
  <c r="L298"/>
  <c r="P298"/>
  <c r="L299"/>
  <c r="P299"/>
  <c r="P302"/>
  <c r="P304"/>
  <c r="P305"/>
  <c r="I188"/>
  <c r="I189"/>
  <c r="I190"/>
  <c r="I191"/>
  <c r="I214"/>
  <c r="I215"/>
  <c r="I216"/>
  <c r="I217"/>
  <c r="I218"/>
  <c r="I219"/>
  <c r="I220"/>
  <c r="I221"/>
  <c r="I222"/>
  <c r="I223"/>
  <c r="I224"/>
  <c r="I225"/>
  <c r="I226"/>
  <c r="I227"/>
  <c r="I228"/>
  <c r="I229"/>
  <c r="I230"/>
  <c r="I231"/>
  <c r="I232"/>
  <c r="I248"/>
  <c r="J248" s="1"/>
  <c r="N248" s="1"/>
  <c r="I249"/>
  <c r="I250"/>
  <c r="I251"/>
  <c r="I252"/>
  <c r="I253"/>
  <c r="I254"/>
  <c r="I255"/>
  <c r="I256"/>
  <c r="I257"/>
  <c r="I258"/>
  <c r="I259"/>
  <c r="I260"/>
  <c r="I261"/>
  <c r="I262"/>
  <c r="I263"/>
  <c r="I264"/>
  <c r="I265"/>
  <c r="I266"/>
  <c r="I283"/>
  <c r="J283" s="1"/>
  <c r="N283" s="1"/>
  <c r="I284"/>
  <c r="I285"/>
  <c r="I286"/>
  <c r="I287"/>
  <c r="I288"/>
  <c r="I289"/>
  <c r="M289" s="1"/>
  <c r="I290"/>
  <c r="I291"/>
  <c r="I298"/>
  <c r="M298" s="1"/>
  <c r="I299"/>
  <c r="B145" i="36"/>
  <c r="B147"/>
  <c r="B149"/>
  <c r="B151"/>
  <c r="B153"/>
  <c r="B155"/>
  <c r="B157"/>
  <c r="B159"/>
  <c r="B161"/>
  <c r="B163"/>
  <c r="B165"/>
  <c r="B167"/>
  <c r="B169"/>
  <c r="B171"/>
  <c r="B173"/>
  <c r="B175"/>
  <c r="B177"/>
  <c r="B179"/>
  <c r="B181"/>
  <c r="B183"/>
  <c r="B185"/>
  <c r="B187"/>
  <c r="B189"/>
  <c r="B191"/>
  <c r="B193"/>
  <c r="B195"/>
  <c r="B197"/>
  <c r="B199"/>
  <c r="B201"/>
  <c r="B203"/>
  <c r="B205"/>
  <c r="B207"/>
  <c r="B209"/>
  <c r="B211"/>
  <c r="B213"/>
  <c r="B215"/>
  <c r="B217"/>
  <c r="B219"/>
  <c r="B221"/>
  <c r="B223"/>
  <c r="B225"/>
  <c r="B227"/>
  <c r="B229"/>
  <c r="B231"/>
  <c r="B233"/>
  <c r="B235"/>
  <c r="B237"/>
  <c r="B239"/>
  <c r="B241"/>
  <c r="B243"/>
  <c r="B245"/>
  <c r="B247"/>
  <c r="B249"/>
  <c r="B251"/>
  <c r="B253"/>
  <c r="B255"/>
  <c r="B257"/>
  <c r="B259"/>
  <c r="B261"/>
  <c r="B263"/>
  <c r="B265"/>
  <c r="B267"/>
  <c r="B269"/>
  <c r="B271"/>
  <c r="B273"/>
  <c r="B275"/>
  <c r="B277"/>
  <c r="B279"/>
  <c r="B281"/>
  <c r="B283"/>
  <c r="B285"/>
  <c r="B287"/>
  <c r="B289"/>
  <c r="B291"/>
  <c r="B293"/>
  <c r="B295"/>
  <c r="B297"/>
  <c r="B299"/>
  <c r="B301"/>
  <c r="B303"/>
  <c r="B305"/>
  <c r="B307"/>
  <c r="B309"/>
  <c r="B311"/>
  <c r="B313"/>
  <c r="B315"/>
  <c r="B317"/>
  <c r="B319"/>
  <c r="B321"/>
  <c r="B323"/>
  <c r="B325"/>
  <c r="B327"/>
  <c r="B329"/>
  <c r="B331"/>
  <c r="B333"/>
  <c r="B335"/>
  <c r="B337"/>
  <c r="B339"/>
  <c r="B341"/>
  <c r="B343"/>
  <c r="B345"/>
  <c r="B347"/>
  <c r="B349"/>
  <c r="B351"/>
  <c r="B353"/>
  <c r="B355"/>
  <c r="B357"/>
  <c r="B359"/>
  <c r="B361"/>
  <c r="B363"/>
  <c r="B365"/>
  <c r="B367"/>
  <c r="B369"/>
  <c r="B371"/>
  <c r="B373"/>
  <c r="B375"/>
  <c r="B377"/>
  <c r="B379"/>
  <c r="B381"/>
  <c r="B383"/>
  <c r="B385"/>
  <c r="B387"/>
  <c r="B389"/>
  <c r="B391"/>
  <c r="B393"/>
  <c r="B395"/>
  <c r="B397"/>
  <c r="B399"/>
  <c r="B401"/>
  <c r="B403"/>
  <c r="B405"/>
  <c r="D406"/>
  <c r="B406"/>
  <c r="D408"/>
  <c r="B408"/>
  <c r="D410"/>
  <c r="B410"/>
  <c r="D412"/>
  <c r="B412"/>
  <c r="D414"/>
  <c r="B414"/>
  <c r="D416"/>
  <c r="B416"/>
  <c r="D418"/>
  <c r="B418"/>
  <c r="D420"/>
  <c r="B420"/>
  <c r="D422"/>
  <c r="B422"/>
  <c r="D424"/>
  <c r="B424"/>
  <c r="D426"/>
  <c r="B426"/>
  <c r="D428"/>
  <c r="B428"/>
  <c r="D430"/>
  <c r="B430"/>
  <c r="D432"/>
  <c r="B432"/>
  <c r="D434"/>
  <c r="B434"/>
  <c r="D436"/>
  <c r="B436"/>
  <c r="D438"/>
  <c r="B438"/>
  <c r="D440"/>
  <c r="B440"/>
  <c r="D442"/>
  <c r="B442"/>
  <c r="D444"/>
  <c r="B444"/>
  <c r="D446"/>
  <c r="B446"/>
  <c r="D448"/>
  <c r="B448"/>
  <c r="D450"/>
  <c r="B450"/>
  <c r="D452"/>
  <c r="B452"/>
  <c r="D454"/>
  <c r="B454"/>
  <c r="D456"/>
  <c r="B456"/>
  <c r="D458"/>
  <c r="B458"/>
  <c r="D460"/>
  <c r="B460"/>
  <c r="D462"/>
  <c r="B462"/>
  <c r="D464"/>
  <c r="B464"/>
  <c r="D466"/>
  <c r="B466"/>
  <c r="D468"/>
  <c r="B468"/>
  <c r="D470"/>
  <c r="B470"/>
  <c r="D472"/>
  <c r="B472"/>
  <c r="D474"/>
  <c r="B474"/>
  <c r="D476"/>
  <c r="B476"/>
  <c r="D478"/>
  <c r="B478"/>
  <c r="D480"/>
  <c r="B480"/>
  <c r="D482"/>
  <c r="B482"/>
  <c r="D484"/>
  <c r="B484"/>
  <c r="D486"/>
  <c r="B486"/>
  <c r="D488"/>
  <c r="B488"/>
  <c r="D490"/>
  <c r="B490"/>
  <c r="D492"/>
  <c r="B492"/>
  <c r="D494"/>
  <c r="B494"/>
  <c r="D496"/>
  <c r="B496"/>
  <c r="D498"/>
  <c r="B498"/>
  <c r="D500"/>
  <c r="B500"/>
  <c r="D502"/>
  <c r="B502"/>
  <c r="D504"/>
  <c r="B504"/>
  <c r="D506"/>
  <c r="B506"/>
  <c r="D508"/>
  <c r="B508"/>
  <c r="D510"/>
  <c r="B510"/>
  <c r="D512"/>
  <c r="B512"/>
  <c r="D514"/>
  <c r="B514"/>
  <c r="D516"/>
  <c r="B516"/>
  <c r="D518"/>
  <c r="B518"/>
  <c r="D520"/>
  <c r="B520"/>
  <c r="D522"/>
  <c r="B522"/>
  <c r="D524"/>
  <c r="B524"/>
  <c r="D526"/>
  <c r="B526"/>
  <c r="D528"/>
  <c r="B528"/>
  <c r="D530"/>
  <c r="B530"/>
  <c r="D532"/>
  <c r="B532"/>
  <c r="D534"/>
  <c r="B534"/>
  <c r="D536"/>
  <c r="B536"/>
  <c r="D538"/>
  <c r="B538"/>
  <c r="D540"/>
  <c r="B540"/>
  <c r="D542"/>
  <c r="B542"/>
  <c r="D544"/>
  <c r="B544"/>
  <c r="D546"/>
  <c r="B546"/>
  <c r="D548"/>
  <c r="B548"/>
  <c r="D550"/>
  <c r="B550"/>
  <c r="D552"/>
  <c r="B552"/>
  <c r="D554"/>
  <c r="B554"/>
  <c r="D556"/>
  <c r="B556"/>
  <c r="D558"/>
  <c r="B558"/>
  <c r="D560"/>
  <c r="B560"/>
  <c r="D562"/>
  <c r="B562"/>
  <c r="D564"/>
  <c r="B564"/>
  <c r="D566"/>
  <c r="B566"/>
  <c r="D568"/>
  <c r="B568"/>
  <c r="D570"/>
  <c r="B570"/>
  <c r="D572"/>
  <c r="B572"/>
  <c r="D574"/>
  <c r="B574"/>
  <c r="D576"/>
  <c r="B576"/>
  <c r="D578"/>
  <c r="B578"/>
  <c r="D580"/>
  <c r="B580"/>
  <c r="D582"/>
  <c r="B582"/>
  <c r="D584"/>
  <c r="B584"/>
  <c r="D586"/>
  <c r="B586"/>
  <c r="D588"/>
  <c r="B588"/>
  <c r="D590"/>
  <c r="B590"/>
  <c r="D592"/>
  <c r="B592"/>
  <c r="D594"/>
  <c r="B594"/>
  <c r="D596"/>
  <c r="B596"/>
  <c r="D598"/>
  <c r="B598"/>
  <c r="D600"/>
  <c r="B600"/>
  <c r="D602"/>
  <c r="B602"/>
  <c r="D604"/>
  <c r="B604"/>
  <c r="D606"/>
  <c r="B606"/>
  <c r="D608"/>
  <c r="B608"/>
  <c r="D610"/>
  <c r="B610"/>
  <c r="D612"/>
  <c r="B612"/>
  <c r="D614"/>
  <c r="B614"/>
  <c r="D616"/>
  <c r="B616"/>
  <c r="D618"/>
  <c r="B618"/>
  <c r="D620"/>
  <c r="B620"/>
  <c r="D622"/>
  <c r="B622"/>
  <c r="D624"/>
  <c r="B624"/>
  <c r="D626"/>
  <c r="B626"/>
  <c r="D628"/>
  <c r="B628"/>
  <c r="D630"/>
  <c r="B630"/>
  <c r="D632"/>
  <c r="B632"/>
  <c r="D634"/>
  <c r="B634"/>
  <c r="D636"/>
  <c r="B636"/>
  <c r="D638"/>
  <c r="B638"/>
  <c r="D640"/>
  <c r="B640"/>
  <c r="D642"/>
  <c r="B642"/>
  <c r="D644"/>
  <c r="B644"/>
  <c r="D646"/>
  <c r="B646"/>
  <c r="D648"/>
  <c r="B648"/>
  <c r="D650"/>
  <c r="B650"/>
  <c r="D652"/>
  <c r="B652"/>
  <c r="D654"/>
  <c r="B654"/>
  <c r="D656"/>
  <c r="B656"/>
  <c r="D658"/>
  <c r="B658"/>
  <c r="D660"/>
  <c r="B660"/>
  <c r="D662"/>
  <c r="B662"/>
  <c r="D664"/>
  <c r="B664"/>
  <c r="D666"/>
  <c r="B666"/>
  <c r="D668"/>
  <c r="B668"/>
  <c r="D670"/>
  <c r="B670"/>
  <c r="D672"/>
  <c r="B672"/>
  <c r="D674"/>
  <c r="B674"/>
  <c r="D676"/>
  <c r="B676"/>
  <c r="D678"/>
  <c r="B678"/>
  <c r="D680"/>
  <c r="B680"/>
  <c r="D682"/>
  <c r="B682"/>
  <c r="D684"/>
  <c r="B684"/>
  <c r="D686"/>
  <c r="B686"/>
  <c r="D688"/>
  <c r="B688"/>
  <c r="D690"/>
  <c r="B690"/>
  <c r="D692"/>
  <c r="B692"/>
  <c r="D694"/>
  <c r="B694"/>
  <c r="D696"/>
  <c r="B696"/>
  <c r="D698"/>
  <c r="B698"/>
  <c r="D700"/>
  <c r="B700"/>
  <c r="D702"/>
  <c r="B702"/>
  <c r="D704"/>
  <c r="B704"/>
  <c r="D706"/>
  <c r="B706"/>
  <c r="D708"/>
  <c r="B708"/>
  <c r="D710"/>
  <c r="B710"/>
  <c r="D712"/>
  <c r="B712"/>
  <c r="D714"/>
  <c r="B714"/>
  <c r="D716"/>
  <c r="B716"/>
  <c r="D718"/>
  <c r="B718"/>
  <c r="D720"/>
  <c r="B720"/>
  <c r="D722"/>
  <c r="B722"/>
  <c r="D724"/>
  <c r="B724"/>
  <c r="D726"/>
  <c r="B726"/>
  <c r="D728"/>
  <c r="B728"/>
  <c r="D730"/>
  <c r="B730"/>
  <c r="D732"/>
  <c r="B732"/>
  <c r="D734"/>
  <c r="B734"/>
  <c r="D736"/>
  <c r="B736"/>
  <c r="D738"/>
  <c r="B738"/>
  <c r="D740"/>
  <c r="B740"/>
  <c r="D742"/>
  <c r="B742"/>
  <c r="D744"/>
  <c r="B744"/>
  <c r="D746"/>
  <c r="B746"/>
  <c r="D748"/>
  <c r="B748"/>
  <c r="D750"/>
  <c r="B750"/>
  <c r="D752"/>
  <c r="B752"/>
  <c r="D754"/>
  <c r="B754"/>
  <c r="D756"/>
  <c r="B756"/>
  <c r="D758"/>
  <c r="B758"/>
  <c r="D760"/>
  <c r="B760"/>
  <c r="D762"/>
  <c r="B762"/>
  <c r="D764"/>
  <c r="B764"/>
  <c r="D766"/>
  <c r="B766"/>
  <c r="D768"/>
  <c r="B768"/>
  <c r="D770"/>
  <c r="B770"/>
  <c r="D772"/>
  <c r="B772"/>
  <c r="D774"/>
  <c r="B774"/>
  <c r="D776"/>
  <c r="B776"/>
  <c r="D778"/>
  <c r="B778"/>
  <c r="D780"/>
  <c r="B780"/>
  <c r="D782"/>
  <c r="B782"/>
  <c r="D784"/>
  <c r="B784"/>
  <c r="D786"/>
  <c r="B786"/>
  <c r="D788"/>
  <c r="B788"/>
  <c r="D790"/>
  <c r="B790"/>
  <c r="D792"/>
  <c r="B792"/>
  <c r="D794"/>
  <c r="B794"/>
  <c r="D796"/>
  <c r="B796"/>
  <c r="D798"/>
  <c r="B798"/>
  <c r="D800"/>
  <c r="B800"/>
  <c r="D802"/>
  <c r="B802"/>
  <c r="D804"/>
  <c r="B804"/>
  <c r="D806"/>
  <c r="B806"/>
  <c r="D808"/>
  <c r="B808"/>
  <c r="D810"/>
  <c r="B810"/>
  <c r="D812"/>
  <c r="B812"/>
  <c r="D814"/>
  <c r="B814"/>
  <c r="D816"/>
  <c r="B816"/>
  <c r="D818"/>
  <c r="B818"/>
  <c r="D820"/>
  <c r="B820"/>
  <c r="D822"/>
  <c r="B822"/>
  <c r="D824"/>
  <c r="B824"/>
  <c r="D826"/>
  <c r="B826"/>
  <c r="D828"/>
  <c r="B828"/>
  <c r="D830"/>
  <c r="B830"/>
  <c r="D832"/>
  <c r="B832"/>
  <c r="D834"/>
  <c r="B834"/>
  <c r="D836"/>
  <c r="B836"/>
  <c r="D838"/>
  <c r="B838"/>
  <c r="D840"/>
  <c r="B840"/>
  <c r="D842"/>
  <c r="B842"/>
  <c r="D844"/>
  <c r="B844"/>
  <c r="D846"/>
  <c r="B846"/>
  <c r="D848"/>
  <c r="B848"/>
  <c r="D850"/>
  <c r="B850"/>
  <c r="D852"/>
  <c r="B852"/>
  <c r="D854"/>
  <c r="B854"/>
  <c r="D856"/>
  <c r="B856"/>
  <c r="D858"/>
  <c r="B858"/>
  <c r="D860"/>
  <c r="B860"/>
  <c r="D862"/>
  <c r="B862"/>
  <c r="D864"/>
  <c r="B864"/>
  <c r="D1430"/>
  <c r="B1430"/>
  <c r="D1432"/>
  <c r="B1432"/>
  <c r="D1434"/>
  <c r="B1434"/>
  <c r="D1436"/>
  <c r="B1436"/>
  <c r="D1438"/>
  <c r="B1438"/>
  <c r="D1440"/>
  <c r="B1440"/>
  <c r="D1442"/>
  <c r="B1442"/>
  <c r="D1444"/>
  <c r="B1444"/>
  <c r="D1446"/>
  <c r="B1446"/>
  <c r="D1448"/>
  <c r="B1448"/>
  <c r="D1450"/>
  <c r="B1450"/>
  <c r="D1452"/>
  <c r="B1452"/>
  <c r="D1454"/>
  <c r="B1454"/>
  <c r="D1456"/>
  <c r="B1456"/>
  <c r="D1458"/>
  <c r="B1458"/>
  <c r="D1460"/>
  <c r="B1460"/>
  <c r="D1462"/>
  <c r="B1462"/>
  <c r="D1464"/>
  <c r="B1464"/>
  <c r="D1466"/>
  <c r="B1466"/>
  <c r="D1468"/>
  <c r="B1468"/>
  <c r="D1470"/>
  <c r="B1470"/>
  <c r="D1472"/>
  <c r="B1472"/>
  <c r="D1474"/>
  <c r="B1474"/>
  <c r="D1476"/>
  <c r="B1476"/>
  <c r="D1478"/>
  <c r="B1478"/>
  <c r="D1480"/>
  <c r="B1480"/>
  <c r="D1482"/>
  <c r="B1482"/>
  <c r="D1484"/>
  <c r="B1484"/>
  <c r="D1486"/>
  <c r="B1486"/>
  <c r="D1488"/>
  <c r="B1488"/>
  <c r="D1490"/>
  <c r="B1490"/>
  <c r="D1492"/>
  <c r="B1492"/>
  <c r="D1494"/>
  <c r="B1494"/>
  <c r="D1496"/>
  <c r="B1496"/>
  <c r="D1498"/>
  <c r="B1498"/>
  <c r="D1500"/>
  <c r="B1500"/>
  <c r="D1502"/>
  <c r="B1502"/>
  <c r="D1504"/>
  <c r="B1504"/>
  <c r="D1506"/>
  <c r="B1506"/>
  <c r="D1508"/>
  <c r="B1508"/>
  <c r="D1510"/>
  <c r="B1510"/>
  <c r="D1512"/>
  <c r="B1512"/>
  <c r="D1514"/>
  <c r="B1514"/>
  <c r="D1516"/>
  <c r="B1516"/>
  <c r="D1518"/>
  <c r="B1518"/>
  <c r="D1520"/>
  <c r="B1520"/>
  <c r="D1522"/>
  <c r="B1522"/>
  <c r="D1524"/>
  <c r="B1524"/>
  <c r="D1526"/>
  <c r="B1526"/>
  <c r="D1528"/>
  <c r="B1528"/>
  <c r="D1530"/>
  <c r="B1530"/>
  <c r="D1532"/>
  <c r="B1532"/>
  <c r="D1534"/>
  <c r="B1534"/>
  <c r="D1536"/>
  <c r="B1536"/>
  <c r="D1538"/>
  <c r="B1538"/>
  <c r="D1540"/>
  <c r="B1540"/>
  <c r="D1542"/>
  <c r="B1542"/>
  <c r="D1544"/>
  <c r="B1544"/>
  <c r="D1546"/>
  <c r="B1546"/>
  <c r="D1548"/>
  <c r="B1548"/>
  <c r="D1550"/>
  <c r="B1550"/>
  <c r="D1552"/>
  <c r="B1552"/>
  <c r="D1554"/>
  <c r="B1554"/>
  <c r="D1556"/>
  <c r="B1556"/>
  <c r="D1558"/>
  <c r="B1558"/>
  <c r="D1560"/>
  <c r="B1560"/>
  <c r="D1562"/>
  <c r="B1562"/>
  <c r="D1564"/>
  <c r="B1564"/>
  <c r="D1566"/>
  <c r="B1566"/>
  <c r="D1568"/>
  <c r="B1568"/>
  <c r="D1570"/>
  <c r="B1570"/>
  <c r="D1572"/>
  <c r="B1572"/>
  <c r="D1574"/>
  <c r="B1574"/>
  <c r="D1576"/>
  <c r="B1576"/>
  <c r="D1578"/>
  <c r="B1578"/>
  <c r="D1580"/>
  <c r="B1580"/>
  <c r="D1582"/>
  <c r="B1582"/>
  <c r="D1584"/>
  <c r="B1584"/>
  <c r="D1586"/>
  <c r="B1586"/>
  <c r="D1588"/>
  <c r="B1588"/>
  <c r="D1590"/>
  <c r="B1590"/>
  <c r="D1592"/>
  <c r="B1592"/>
  <c r="D1594"/>
  <c r="B1594"/>
  <c r="D1596"/>
  <c r="B1596"/>
  <c r="D1598"/>
  <c r="B1598"/>
  <c r="D1600"/>
  <c r="B1600"/>
  <c r="D1602"/>
  <c r="B1602"/>
  <c r="D1604"/>
  <c r="B1604"/>
  <c r="D1606"/>
  <c r="B1606"/>
  <c r="D1608"/>
  <c r="B1608"/>
  <c r="D1610"/>
  <c r="B1610"/>
  <c r="D1612"/>
  <c r="B1612"/>
  <c r="D1614"/>
  <c r="B1614"/>
  <c r="D1616"/>
  <c r="B1616"/>
  <c r="D1618"/>
  <c r="B1618"/>
  <c r="D1620"/>
  <c r="B1620"/>
  <c r="D1622"/>
  <c r="B1622"/>
  <c r="D1624"/>
  <c r="B1624"/>
  <c r="D1626"/>
  <c r="B1626"/>
  <c r="D1628"/>
  <c r="B1628"/>
  <c r="D1630"/>
  <c r="B1630"/>
  <c r="D1632"/>
  <c r="B1632"/>
  <c r="D1634"/>
  <c r="B1634"/>
  <c r="D1636"/>
  <c r="B1636"/>
  <c r="D1638"/>
  <c r="B1638"/>
  <c r="D1640"/>
  <c r="B1640"/>
  <c r="D1642"/>
  <c r="B1642"/>
  <c r="D1644"/>
  <c r="B1644"/>
  <c r="D1646"/>
  <c r="B1646"/>
  <c r="D1648"/>
  <c r="B1648"/>
  <c r="D1650"/>
  <c r="B1650"/>
  <c r="D1652"/>
  <c r="B1652"/>
  <c r="D1654"/>
  <c r="B1654"/>
  <c r="D1656"/>
  <c r="B1656"/>
  <c r="D1658"/>
  <c r="B1658"/>
  <c r="D1660"/>
  <c r="B1660"/>
  <c r="D1662"/>
  <c r="B1662"/>
  <c r="D1664"/>
  <c r="B1664"/>
  <c r="D1666"/>
  <c r="B1666"/>
  <c r="D1668"/>
  <c r="B1668"/>
  <c r="D1670"/>
  <c r="B1670"/>
  <c r="D1672"/>
  <c r="B1672"/>
  <c r="D1674"/>
  <c r="B1674"/>
  <c r="D1676"/>
  <c r="B1676"/>
  <c r="D1678"/>
  <c r="B1678"/>
  <c r="D1680"/>
  <c r="B1680"/>
  <c r="D1682"/>
  <c r="B1682"/>
  <c r="D1684"/>
  <c r="B1684"/>
  <c r="D1686"/>
  <c r="B1686"/>
  <c r="D1688"/>
  <c r="B1688"/>
  <c r="D1690"/>
  <c r="B1690"/>
  <c r="D1692"/>
  <c r="B1692"/>
  <c r="D1694"/>
  <c r="B1694"/>
  <c r="D1696"/>
  <c r="B1696"/>
  <c r="D1698"/>
  <c r="B1698"/>
  <c r="D1700"/>
  <c r="B1700"/>
  <c r="D1702"/>
  <c r="B1702"/>
  <c r="D1704"/>
  <c r="B1704"/>
  <c r="D1706"/>
  <c r="B1706"/>
  <c r="D1708"/>
  <c r="B1708"/>
  <c r="D1710"/>
  <c r="B1710"/>
  <c r="D1712"/>
  <c r="B1712"/>
  <c r="D1714"/>
  <c r="B1714"/>
  <c r="B866"/>
  <c r="B868"/>
  <c r="B870"/>
  <c r="B872"/>
  <c r="B874"/>
  <c r="B876"/>
  <c r="B878"/>
  <c r="B880"/>
  <c r="B882"/>
  <c r="B884"/>
  <c r="B886"/>
  <c r="B888"/>
  <c r="B890"/>
  <c r="B892"/>
  <c r="B894"/>
  <c r="B896"/>
  <c r="B898"/>
  <c r="B900"/>
  <c r="B902"/>
  <c r="B904"/>
  <c r="B906"/>
  <c r="B908"/>
  <c r="B910"/>
  <c r="B912"/>
  <c r="B914"/>
  <c r="B916"/>
  <c r="B918"/>
  <c r="B920"/>
  <c r="B922"/>
  <c r="B924"/>
  <c r="B926"/>
  <c r="B928"/>
  <c r="B930"/>
  <c r="B932"/>
  <c r="B934"/>
  <c r="B936"/>
  <c r="B938"/>
  <c r="B940"/>
  <c r="B942"/>
  <c r="B944"/>
  <c r="B946"/>
  <c r="B948"/>
  <c r="B950"/>
  <c r="B952"/>
  <c r="B954"/>
  <c r="B956"/>
  <c r="B958"/>
  <c r="B960"/>
  <c r="B962"/>
  <c r="B964"/>
  <c r="B966"/>
  <c r="B968"/>
  <c r="B970"/>
  <c r="B972"/>
  <c r="B974"/>
  <c r="B976"/>
  <c r="B978"/>
  <c r="B980"/>
  <c r="B982"/>
  <c r="B984"/>
  <c r="B986"/>
  <c r="B988"/>
  <c r="B990"/>
  <c r="B992"/>
  <c r="B994"/>
  <c r="B996"/>
  <c r="B998"/>
  <c r="B1000"/>
  <c r="B1002"/>
  <c r="B1004"/>
  <c r="B1006"/>
  <c r="B1008"/>
  <c r="B1010"/>
  <c r="B1012"/>
  <c r="B1014"/>
  <c r="B1016"/>
  <c r="B1018"/>
  <c r="B1020"/>
  <c r="B1022"/>
  <c r="B1024"/>
  <c r="B1026"/>
  <c r="B1028"/>
  <c r="B1030"/>
  <c r="B1032"/>
  <c r="B1034"/>
  <c r="B1036"/>
  <c r="B1038"/>
  <c r="B1040"/>
  <c r="B1042"/>
  <c r="B1044"/>
  <c r="B1046"/>
  <c r="B1048"/>
  <c r="B1050"/>
  <c r="B1052"/>
  <c r="B1054"/>
  <c r="B1056"/>
  <c r="B1058"/>
  <c r="B1060"/>
  <c r="B1062"/>
  <c r="B1064"/>
  <c r="B1066"/>
  <c r="B1068"/>
  <c r="B1070"/>
  <c r="B1072"/>
  <c r="B1074"/>
  <c r="B1076"/>
  <c r="B1078"/>
  <c r="B1080"/>
  <c r="B1082"/>
  <c r="B1084"/>
  <c r="B1086"/>
  <c r="B1088"/>
  <c r="B1090"/>
  <c r="B1092"/>
  <c r="B1094"/>
  <c r="B1096"/>
  <c r="B1098"/>
  <c r="B1100"/>
  <c r="B1102"/>
  <c r="B1104"/>
  <c r="B1106"/>
  <c r="B1108"/>
  <c r="B1110"/>
  <c r="B1112"/>
  <c r="B1114"/>
  <c r="B1116"/>
  <c r="B1118"/>
  <c r="B1120"/>
  <c r="B1122"/>
  <c r="B1124"/>
  <c r="B1126"/>
  <c r="B1128"/>
  <c r="B1130"/>
  <c r="B1132"/>
  <c r="B1134"/>
  <c r="B1136"/>
  <c r="B1138"/>
  <c r="B1140"/>
  <c r="B1142"/>
  <c r="B1144"/>
  <c r="B1146"/>
  <c r="B1148"/>
  <c r="B1150"/>
  <c r="B1152"/>
  <c r="B1154"/>
  <c r="B1156"/>
  <c r="B1158"/>
  <c r="B1160"/>
  <c r="B1162"/>
  <c r="B1164"/>
  <c r="B1166"/>
  <c r="B1168"/>
  <c r="B1170"/>
  <c r="B1172"/>
  <c r="B1174"/>
  <c r="B1176"/>
  <c r="B1178"/>
  <c r="B1180"/>
  <c r="B1182"/>
  <c r="B1184"/>
  <c r="B1186"/>
  <c r="B1188"/>
  <c r="B1190"/>
  <c r="B1192"/>
  <c r="B1194"/>
  <c r="B1196"/>
  <c r="B1198"/>
  <c r="B1200"/>
  <c r="B1202"/>
  <c r="B1204"/>
  <c r="B1206"/>
  <c r="B1208"/>
  <c r="B1210"/>
  <c r="B1212"/>
  <c r="B1214"/>
  <c r="B1216"/>
  <c r="B1218"/>
  <c r="B1220"/>
  <c r="B1222"/>
  <c r="B1224"/>
  <c r="B1226"/>
  <c r="B1228"/>
  <c r="B1230"/>
  <c r="B1232"/>
  <c r="B1234"/>
  <c r="B1236"/>
  <c r="B1238"/>
  <c r="B1240"/>
  <c r="B1242"/>
  <c r="B1244"/>
  <c r="B1246"/>
  <c r="B1248"/>
  <c r="B1250"/>
  <c r="B1252"/>
  <c r="B1254"/>
  <c r="B1256"/>
  <c r="B1258"/>
  <c r="B1260"/>
  <c r="B1262"/>
  <c r="B1264"/>
  <c r="B1266"/>
  <c r="B1268"/>
  <c r="B1270"/>
  <c r="B1272"/>
  <c r="B1274"/>
  <c r="B1276"/>
  <c r="B1278"/>
  <c r="B1280"/>
  <c r="B1282"/>
  <c r="B1284"/>
  <c r="B1286"/>
  <c r="B1288"/>
  <c r="B1290"/>
  <c r="B1292"/>
  <c r="B1294"/>
  <c r="B1296"/>
  <c r="B1298"/>
  <c r="B1300"/>
  <c r="B1302"/>
  <c r="B1304"/>
  <c r="B1306"/>
  <c r="B1308"/>
  <c r="B1310"/>
  <c r="B1312"/>
  <c r="B1314"/>
  <c r="B1316"/>
  <c r="B1318"/>
  <c r="B1320"/>
  <c r="B1322"/>
  <c r="B1324"/>
  <c r="B1326"/>
  <c r="B1328"/>
  <c r="B1330"/>
  <c r="B1332"/>
  <c r="B1334"/>
  <c r="B1336"/>
  <c r="B1338"/>
  <c r="B1340"/>
  <c r="B1342"/>
  <c r="B1344"/>
  <c r="B1346"/>
  <c r="B1348"/>
  <c r="B1350"/>
  <c r="B1352"/>
  <c r="B1354"/>
  <c r="B1356"/>
  <c r="B1358"/>
  <c r="B1360"/>
  <c r="B1362"/>
  <c r="B1364"/>
  <c r="B1366"/>
  <c r="B1368"/>
  <c r="B1370"/>
  <c r="B1372"/>
  <c r="B1374"/>
  <c r="B1376"/>
  <c r="B1378"/>
  <c r="B1380"/>
  <c r="B1382"/>
  <c r="B1384"/>
  <c r="B1386"/>
  <c r="B1388"/>
  <c r="B1390"/>
  <c r="B1392"/>
  <c r="B1394"/>
  <c r="B1396"/>
  <c r="B1398"/>
  <c r="B1400"/>
  <c r="B1402"/>
  <c r="B1404"/>
  <c r="B1406"/>
  <c r="B1408"/>
  <c r="B1410"/>
  <c r="B1412"/>
  <c r="B1414"/>
  <c r="B1416"/>
  <c r="B1418"/>
  <c r="B1420"/>
  <c r="B1422"/>
  <c r="B1424"/>
  <c r="B1426"/>
  <c r="B1428"/>
  <c r="D1942"/>
  <c r="B1942"/>
  <c r="D1944"/>
  <c r="B1944"/>
  <c r="D1946"/>
  <c r="B1946"/>
  <c r="D1948"/>
  <c r="B1948"/>
  <c r="D1950"/>
  <c r="B1950"/>
  <c r="D1952"/>
  <c r="B1952"/>
  <c r="D1954"/>
  <c r="B1954"/>
  <c r="D1956"/>
  <c r="B1956"/>
  <c r="D1958"/>
  <c r="B1958"/>
  <c r="D1960"/>
  <c r="B1960"/>
  <c r="D1962"/>
  <c r="B1962"/>
  <c r="D1964"/>
  <c r="B1964"/>
  <c r="D1966"/>
  <c r="B1966"/>
  <c r="D1968"/>
  <c r="B1968"/>
  <c r="D1970"/>
  <c r="B1970"/>
  <c r="D1972"/>
  <c r="B1972"/>
  <c r="D1974"/>
  <c r="B1974"/>
  <c r="D1976"/>
  <c r="B1976"/>
  <c r="D1978"/>
  <c r="B1978"/>
  <c r="D1980"/>
  <c r="B1980"/>
  <c r="D1982"/>
  <c r="B1982"/>
  <c r="D1984"/>
  <c r="B1984"/>
  <c r="D1986"/>
  <c r="B1986"/>
  <c r="D1988"/>
  <c r="B1988"/>
  <c r="D1990"/>
  <c r="B1990"/>
  <c r="D1992"/>
  <c r="B1992"/>
  <c r="D1994"/>
  <c r="B1994"/>
  <c r="D1996"/>
  <c r="B1996"/>
  <c r="D1998"/>
  <c r="B1998"/>
  <c r="D2000"/>
  <c r="B2000"/>
  <c r="D2002"/>
  <c r="B2002"/>
  <c r="D2004"/>
  <c r="B2004"/>
  <c r="D2006"/>
  <c r="B2006"/>
  <c r="D2008"/>
  <c r="B2008"/>
  <c r="D2010"/>
  <c r="B2010"/>
  <c r="D2012"/>
  <c r="B2012"/>
  <c r="D2014"/>
  <c r="B2014"/>
  <c r="D2016"/>
  <c r="B2016"/>
  <c r="D2018"/>
  <c r="B2018"/>
  <c r="D2020"/>
  <c r="B2020"/>
  <c r="D2022"/>
  <c r="B2022"/>
  <c r="D2024"/>
  <c r="B2024"/>
  <c r="D2026"/>
  <c r="B2026"/>
  <c r="D2028"/>
  <c r="B2028"/>
  <c r="D2030"/>
  <c r="B2030"/>
  <c r="D2032"/>
  <c r="B2032"/>
  <c r="D2034"/>
  <c r="B2034"/>
  <c r="D2036"/>
  <c r="B2036"/>
  <c r="D2038"/>
  <c r="B2038"/>
  <c r="D2040"/>
  <c r="B2040"/>
  <c r="D2042"/>
  <c r="B2042"/>
  <c r="D2044"/>
  <c r="B2044"/>
  <c r="D2046"/>
  <c r="B2046"/>
  <c r="D2048"/>
  <c r="B2048"/>
  <c r="D2050"/>
  <c r="B2050"/>
  <c r="D2052"/>
  <c r="B2052"/>
  <c r="D2054"/>
  <c r="B2054"/>
  <c r="D2056"/>
  <c r="B2056"/>
  <c r="D2058"/>
  <c r="B2058"/>
  <c r="D2060"/>
  <c r="B2060"/>
  <c r="D2062"/>
  <c r="B2062"/>
  <c r="D2064"/>
  <c r="B2064"/>
  <c r="D2066"/>
  <c r="B2066"/>
  <c r="D2068"/>
  <c r="B2068"/>
  <c r="D2070"/>
  <c r="B2070"/>
  <c r="D2072"/>
  <c r="B2072"/>
  <c r="D2074"/>
  <c r="B2074"/>
  <c r="D2076"/>
  <c r="B2076"/>
  <c r="D2078"/>
  <c r="B2078"/>
  <c r="D2080"/>
  <c r="B2080"/>
  <c r="D2082"/>
  <c r="B2082"/>
  <c r="D2084"/>
  <c r="B2084"/>
  <c r="D2086"/>
  <c r="B2086"/>
  <c r="D2088"/>
  <c r="B2088"/>
  <c r="D2090"/>
  <c r="B2090"/>
  <c r="D2092"/>
  <c r="B2092"/>
  <c r="D2094"/>
  <c r="B2094"/>
  <c r="D2096"/>
  <c r="B2096"/>
  <c r="D2098"/>
  <c r="B2098"/>
  <c r="D2100"/>
  <c r="B2100"/>
  <c r="D2102"/>
  <c r="B2102"/>
  <c r="D2104"/>
  <c r="B2104"/>
  <c r="D2106"/>
  <c r="B2106"/>
  <c r="D2108"/>
  <c r="B2108"/>
  <c r="D2110"/>
  <c r="B2110"/>
  <c r="D2112"/>
  <c r="B2112"/>
  <c r="D2114"/>
  <c r="B2114"/>
  <c r="D2116"/>
  <c r="B2116"/>
  <c r="D2118"/>
  <c r="B2118"/>
  <c r="D2120"/>
  <c r="B2120"/>
  <c r="D2122"/>
  <c r="B2122"/>
  <c r="D2124"/>
  <c r="B2124"/>
  <c r="D2126"/>
  <c r="B2126"/>
  <c r="D2128"/>
  <c r="B2128"/>
  <c r="D2130"/>
  <c r="B2130"/>
  <c r="D2132"/>
  <c r="B2132"/>
  <c r="D2134"/>
  <c r="B2134"/>
  <c r="D2136"/>
  <c r="B2136"/>
  <c r="D2138"/>
  <c r="B2138"/>
  <c r="D2140"/>
  <c r="B2140"/>
  <c r="D2142"/>
  <c r="B2142"/>
  <c r="D2144"/>
  <c r="B2144"/>
  <c r="D2146"/>
  <c r="B2146"/>
  <c r="D2148"/>
  <c r="B2148"/>
  <c r="D2150"/>
  <c r="B2150"/>
  <c r="D2152"/>
  <c r="B2152"/>
  <c r="D2154"/>
  <c r="B2154"/>
  <c r="D2156"/>
  <c r="B2156"/>
  <c r="D2158"/>
  <c r="B2158"/>
  <c r="D2160"/>
  <c r="B2160"/>
  <c r="D2162"/>
  <c r="B2162"/>
  <c r="D2164"/>
  <c r="B2164"/>
  <c r="D2166"/>
  <c r="B2166"/>
  <c r="D2168"/>
  <c r="B2168"/>
  <c r="D2170"/>
  <c r="B2170"/>
  <c r="D2172"/>
  <c r="B2172"/>
  <c r="D2174"/>
  <c r="B2174"/>
  <c r="D2176"/>
  <c r="B2176"/>
  <c r="D2178"/>
  <c r="B2178"/>
  <c r="D2180"/>
  <c r="B2180"/>
  <c r="B1716"/>
  <c r="B1718"/>
  <c r="B1720"/>
  <c r="B1722"/>
  <c r="B1724"/>
  <c r="B1726"/>
  <c r="B1728"/>
  <c r="B1730"/>
  <c r="B1732"/>
  <c r="B1734"/>
  <c r="B1736"/>
  <c r="B1738"/>
  <c r="B1740"/>
  <c r="B1742"/>
  <c r="B1744"/>
  <c r="B1746"/>
  <c r="B1748"/>
  <c r="B1750"/>
  <c r="B1752"/>
  <c r="B1754"/>
  <c r="B1756"/>
  <c r="B1758"/>
  <c r="B1760"/>
  <c r="B1762"/>
  <c r="B1764"/>
  <c r="B1766"/>
  <c r="B1768"/>
  <c r="B1770"/>
  <c r="B1772"/>
  <c r="B1774"/>
  <c r="B1776"/>
  <c r="B1778"/>
  <c r="B1780"/>
  <c r="B1782"/>
  <c r="B1784"/>
  <c r="B1786"/>
  <c r="B1788"/>
  <c r="B1790"/>
  <c r="B1792"/>
  <c r="B1794"/>
  <c r="B1796"/>
  <c r="B1798"/>
  <c r="B1800"/>
  <c r="B1802"/>
  <c r="B1804"/>
  <c r="B1806"/>
  <c r="B1808"/>
  <c r="B1810"/>
  <c r="B1812"/>
  <c r="B1814"/>
  <c r="B1816"/>
  <c r="B1818"/>
  <c r="B1820"/>
  <c r="B1822"/>
  <c r="B1824"/>
  <c r="B1826"/>
  <c r="B1828"/>
  <c r="B1830"/>
  <c r="B1832"/>
  <c r="B1834"/>
  <c r="B1836"/>
  <c r="B1838"/>
  <c r="B1840"/>
  <c r="B1842"/>
  <c r="B1844"/>
  <c r="B1846"/>
  <c r="B1848"/>
  <c r="B1850"/>
  <c r="B1852"/>
  <c r="B1854"/>
  <c r="B1856"/>
  <c r="B1858"/>
  <c r="B1860"/>
  <c r="B1862"/>
  <c r="B1864"/>
  <c r="B1866"/>
  <c r="B1868"/>
  <c r="B1870"/>
  <c r="B1872"/>
  <c r="B1874"/>
  <c r="B1876"/>
  <c r="B1878"/>
  <c r="B1880"/>
  <c r="B1882"/>
  <c r="B1884"/>
  <c r="B1886"/>
  <c r="B1888"/>
  <c r="B1890"/>
  <c r="B1892"/>
  <c r="B1894"/>
  <c r="B1896"/>
  <c r="B1898"/>
  <c r="B1900"/>
  <c r="B1902"/>
  <c r="B1904"/>
  <c r="B1906"/>
  <c r="B1908"/>
  <c r="B1910"/>
  <c r="B1912"/>
  <c r="B1914"/>
  <c r="B1916"/>
  <c r="B1918"/>
  <c r="B1920"/>
  <c r="B1922"/>
  <c r="B1924"/>
  <c r="B1926"/>
  <c r="B1928"/>
  <c r="B1930"/>
  <c r="B1932"/>
  <c r="B1934"/>
  <c r="B1936"/>
  <c r="B1938"/>
  <c r="B1940"/>
  <c r="B2182"/>
  <c r="B2184"/>
  <c r="B2186"/>
  <c r="B2188"/>
  <c r="B2190"/>
  <c r="B2192"/>
  <c r="B2194"/>
  <c r="B2196"/>
  <c r="M39" i="4"/>
  <c r="L39"/>
  <c r="M38"/>
  <c r="L38"/>
  <c r="M37"/>
  <c r="L37"/>
  <c r="M36"/>
  <c r="L36"/>
  <c r="M35"/>
  <c r="L35"/>
  <c r="M34"/>
  <c r="L34"/>
  <c r="M20"/>
  <c r="M15" s="1"/>
  <c r="M92" i="22" l="1"/>
  <c r="M88"/>
  <c r="M84"/>
  <c r="M80"/>
  <c r="D51" i="4"/>
  <c r="D36"/>
  <c r="D22"/>
  <c r="I313" i="22"/>
  <c r="M287"/>
  <c r="H437"/>
  <c r="M666" i="33"/>
  <c r="M1648"/>
  <c r="M304"/>
  <c r="M881"/>
  <c r="M1507"/>
  <c r="M1817"/>
  <c r="M1761"/>
  <c r="M214"/>
  <c r="M303"/>
  <c r="M1647"/>
  <c r="E20" i="38"/>
  <c r="G20" s="1"/>
  <c r="M1762" i="33"/>
  <c r="M880"/>
  <c r="M1093"/>
  <c r="M879"/>
  <c r="M1508"/>
  <c r="M1027"/>
  <c r="M878"/>
  <c r="M1171"/>
  <c r="M215"/>
  <c r="M1091"/>
  <c r="M1173"/>
  <c r="M1816"/>
  <c r="M664"/>
  <c r="M665"/>
  <c r="M1646"/>
  <c r="M1506"/>
  <c r="M1026"/>
  <c r="H439" i="22"/>
  <c r="M877" i="33"/>
  <c r="M1172"/>
  <c r="M1092"/>
  <c r="M1815"/>
  <c r="M45" i="22"/>
  <c r="M9"/>
  <c r="K52"/>
  <c r="K55"/>
  <c r="K49"/>
  <c r="K56"/>
  <c r="K53"/>
  <c r="K51"/>
  <c r="K48"/>
  <c r="M285"/>
  <c r="M265"/>
  <c r="M261"/>
  <c r="M257"/>
  <c r="M253"/>
  <c r="M249"/>
  <c r="M230"/>
  <c r="M226"/>
  <c r="M222"/>
  <c r="M218"/>
  <c r="M190"/>
  <c r="G20" i="35"/>
  <c r="L20"/>
  <c r="H20"/>
  <c r="M20"/>
  <c r="B20"/>
  <c r="D20"/>
  <c r="M2145" i="33"/>
  <c r="M2107"/>
  <c r="M2146"/>
  <c r="M2108"/>
  <c r="X745" i="21"/>
  <c r="X743"/>
  <c r="X741"/>
  <c r="X744"/>
  <c r="X742"/>
  <c r="X695"/>
  <c r="X849"/>
  <c r="X847"/>
  <c r="X834"/>
  <c r="X832"/>
  <c r="X799"/>
  <c r="X890"/>
  <c r="X888"/>
  <c r="X767"/>
  <c r="X610"/>
  <c r="X655"/>
  <c r="X724"/>
  <c r="X722"/>
  <c r="X720"/>
  <c r="X739"/>
  <c r="X737"/>
  <c r="X735"/>
  <c r="X693"/>
  <c r="X691"/>
  <c r="X629"/>
  <c r="X669"/>
  <c r="X667"/>
  <c r="X543"/>
  <c r="X541"/>
  <c r="X584"/>
  <c r="X582"/>
  <c r="X580"/>
  <c r="X558"/>
  <c r="X556"/>
  <c r="X554"/>
  <c r="X537"/>
  <c r="X535"/>
  <c r="X533"/>
  <c r="X850"/>
  <c r="X848"/>
  <c r="X846"/>
  <c r="X835"/>
  <c r="X833"/>
  <c r="X831"/>
  <c r="X800"/>
  <c r="X798"/>
  <c r="X889"/>
  <c r="X768"/>
  <c r="X766"/>
  <c r="X609"/>
  <c r="X654"/>
  <c r="X723"/>
  <c r="X721"/>
  <c r="X738"/>
  <c r="X736"/>
  <c r="X694"/>
  <c r="X692"/>
  <c r="X670"/>
  <c r="X668"/>
  <c r="X666"/>
  <c r="X542"/>
  <c r="X583"/>
  <c r="X581"/>
  <c r="X557"/>
  <c r="X555"/>
  <c r="X536"/>
  <c r="X534"/>
  <c r="C42" i="35"/>
  <c r="C40"/>
  <c r="C38"/>
  <c r="C36"/>
  <c r="C34"/>
  <c r="C32"/>
  <c r="C30"/>
  <c r="C28"/>
  <c r="C26"/>
  <c r="C24"/>
  <c r="C22"/>
  <c r="C18"/>
  <c r="C16"/>
  <c r="C41" i="36"/>
  <c r="C39"/>
  <c r="C37"/>
  <c r="C35"/>
  <c r="C33"/>
  <c r="C31"/>
  <c r="C29"/>
  <c r="C27"/>
  <c r="C25"/>
  <c r="C23"/>
  <c r="C21"/>
  <c r="C19"/>
  <c r="C17"/>
  <c r="C15"/>
  <c r="C41" i="35"/>
  <c r="C39"/>
  <c r="C37"/>
  <c r="C35"/>
  <c r="C33"/>
  <c r="C31"/>
  <c r="C29"/>
  <c r="C27"/>
  <c r="C25"/>
  <c r="C23"/>
  <c r="C21"/>
  <c r="C19"/>
  <c r="C17"/>
  <c r="C15"/>
  <c r="C42" i="36"/>
  <c r="C40"/>
  <c r="C38"/>
  <c r="C36"/>
  <c r="C34"/>
  <c r="C32"/>
  <c r="C30"/>
  <c r="C28"/>
  <c r="C26"/>
  <c r="C24"/>
  <c r="C22"/>
  <c r="C18"/>
  <c r="C16"/>
  <c r="M203" i="33"/>
  <c r="M202"/>
  <c r="X96" i="21"/>
  <c r="H20" i="36"/>
  <c r="G20"/>
  <c r="L20"/>
  <c r="D20"/>
  <c r="M20"/>
  <c r="B20"/>
  <c r="M291" i="22"/>
  <c r="M288"/>
  <c r="M284"/>
  <c r="M264"/>
  <c r="M260"/>
  <c r="M256"/>
  <c r="M252"/>
  <c r="M229"/>
  <c r="M225"/>
  <c r="M221"/>
  <c r="M217"/>
  <c r="K185"/>
  <c r="N185"/>
  <c r="M191"/>
  <c r="H44" i="38"/>
  <c r="I44" s="1"/>
  <c r="J44" s="1"/>
  <c r="M87" i="22"/>
  <c r="H43" i="38"/>
  <c r="I43" s="1"/>
  <c r="J43" s="1"/>
  <c r="M6" i="22"/>
  <c r="H22" i="38"/>
  <c r="I22" s="1"/>
  <c r="J22" s="1"/>
  <c r="M24" i="22"/>
  <c r="H40" i="38"/>
  <c r="I40" s="1"/>
  <c r="J40" s="1"/>
  <c r="M263" i="22"/>
  <c r="M259"/>
  <c r="M255"/>
  <c r="M251"/>
  <c r="M232"/>
  <c r="M228"/>
  <c r="M224"/>
  <c r="M220"/>
  <c r="M216"/>
  <c r="K187"/>
  <c r="N187"/>
  <c r="K183"/>
  <c r="N183"/>
  <c r="M90"/>
  <c r="M86"/>
  <c r="M82"/>
  <c r="M5"/>
  <c r="H21" i="38"/>
  <c r="I21" s="1"/>
  <c r="J21" s="1"/>
  <c r="M22" i="22"/>
  <c r="H38" i="38"/>
  <c r="I38" s="1"/>
  <c r="J38" s="1"/>
  <c r="M18" i="22"/>
  <c r="H34" i="38"/>
  <c r="I34" s="1"/>
  <c r="J34" s="1"/>
  <c r="M14" i="22"/>
  <c r="H30" i="38"/>
  <c r="I30" s="1"/>
  <c r="J30" s="1"/>
  <c r="M10" i="22"/>
  <c r="H26" i="38"/>
  <c r="I26" s="1"/>
  <c r="J26" s="1"/>
  <c r="M21" i="22"/>
  <c r="H37" i="38"/>
  <c r="I37" s="1"/>
  <c r="J37" s="1"/>
  <c r="M17" i="22"/>
  <c r="H33" i="38"/>
  <c r="I33" s="1"/>
  <c r="J33" s="1"/>
  <c r="M13" i="22"/>
  <c r="H29" i="38"/>
  <c r="I29" s="1"/>
  <c r="J29" s="1"/>
  <c r="I315" i="22"/>
  <c r="M290"/>
  <c r="M286"/>
  <c r="M266"/>
  <c r="M262"/>
  <c r="M258"/>
  <c r="M254"/>
  <c r="M250"/>
  <c r="M231"/>
  <c r="M227"/>
  <c r="M223"/>
  <c r="H41" i="38"/>
  <c r="I41" s="1"/>
  <c r="J41" s="1"/>
  <c r="M219" i="22"/>
  <c r="M215"/>
  <c r="M189"/>
  <c r="M157"/>
  <c r="M153"/>
  <c r="M149"/>
  <c r="M145"/>
  <c r="I141"/>
  <c r="M93"/>
  <c r="M89"/>
  <c r="M85"/>
  <c r="M81"/>
  <c r="K54"/>
  <c r="K50"/>
  <c r="M8"/>
  <c r="H24" i="38"/>
  <c r="I24" s="1"/>
  <c r="J24" s="1"/>
  <c r="M299" i="22"/>
  <c r="M188"/>
  <c r="H42" i="38"/>
  <c r="I42" s="1"/>
  <c r="J42" s="1"/>
  <c r="K181" i="22"/>
  <c r="N181"/>
  <c r="M156"/>
  <c r="M152"/>
  <c r="M148"/>
  <c r="M144"/>
  <c r="L141"/>
  <c r="L158" s="1"/>
  <c r="M7"/>
  <c r="H23" i="38"/>
  <c r="I23" s="1"/>
  <c r="J23" s="1"/>
  <c r="M20" i="22"/>
  <c r="H36" i="38"/>
  <c r="I36" s="1"/>
  <c r="J36" s="1"/>
  <c r="M16" i="22"/>
  <c r="H32" i="38"/>
  <c r="I32" s="1"/>
  <c r="J32" s="1"/>
  <c r="M12" i="22"/>
  <c r="H28" i="38"/>
  <c r="I28" s="1"/>
  <c r="J28" s="1"/>
  <c r="M23" i="22"/>
  <c r="H39" i="38"/>
  <c r="I39" s="1"/>
  <c r="J39" s="1"/>
  <c r="M19" i="22"/>
  <c r="H35" i="38"/>
  <c r="I35" s="1"/>
  <c r="J35" s="1"/>
  <c r="M15" i="22"/>
  <c r="H31" i="38"/>
  <c r="I31" s="1"/>
  <c r="J31" s="1"/>
  <c r="M11" i="22"/>
  <c r="H27" i="38"/>
  <c r="I27" s="1"/>
  <c r="J27" s="1"/>
  <c r="G118" i="23"/>
  <c r="H25" i="38"/>
  <c r="G25"/>
  <c r="H26" i="22"/>
  <c r="M59"/>
  <c r="J112"/>
  <c r="N112" s="1"/>
  <c r="N6" i="35"/>
  <c r="I6"/>
  <c r="P309" i="22"/>
  <c r="M296"/>
  <c r="M294"/>
  <c r="M300"/>
  <c r="M297"/>
  <c r="M178"/>
  <c r="M176"/>
  <c r="M126"/>
  <c r="M124"/>
  <c r="M122"/>
  <c r="M120"/>
  <c r="M118"/>
  <c r="M116"/>
  <c r="M114"/>
  <c r="M110"/>
  <c r="M108"/>
  <c r="M77"/>
  <c r="M75"/>
  <c r="K111"/>
  <c r="K78"/>
  <c r="K60"/>
  <c r="M44"/>
  <c r="M43"/>
  <c r="M295"/>
  <c r="I6" i="36"/>
  <c r="N6"/>
  <c r="K283" i="22"/>
  <c r="K248"/>
  <c r="M214"/>
  <c r="I233"/>
  <c r="L107"/>
  <c r="L127" s="1"/>
  <c r="H127"/>
  <c r="H1" s="1"/>
  <c r="I107"/>
  <c r="M186"/>
  <c r="J186"/>
  <c r="M184"/>
  <c r="J184"/>
  <c r="M182"/>
  <c r="J182"/>
  <c r="M180"/>
  <c r="J180"/>
  <c r="I25"/>
  <c r="I61"/>
  <c r="L67" s="1"/>
  <c r="M42"/>
  <c r="J299"/>
  <c r="N299" s="1"/>
  <c r="J290"/>
  <c r="N290" s="1"/>
  <c r="J288"/>
  <c r="N288" s="1"/>
  <c r="P291"/>
  <c r="J286"/>
  <c r="N286" s="1"/>
  <c r="J285"/>
  <c r="J284"/>
  <c r="N284" s="1"/>
  <c r="J266"/>
  <c r="N266" s="1"/>
  <c r="J265"/>
  <c r="N265" s="1"/>
  <c r="J264"/>
  <c r="J263"/>
  <c r="N263" s="1"/>
  <c r="J262"/>
  <c r="N262" s="1"/>
  <c r="J261"/>
  <c r="J260"/>
  <c r="N260" s="1"/>
  <c r="J259"/>
  <c r="N259" s="1"/>
  <c r="J258"/>
  <c r="J257"/>
  <c r="N257" s="1"/>
  <c r="J256"/>
  <c r="N256" s="1"/>
  <c r="J255"/>
  <c r="N255" s="1"/>
  <c r="J254"/>
  <c r="N254" s="1"/>
  <c r="J253"/>
  <c r="J252"/>
  <c r="N252" s="1"/>
  <c r="J251"/>
  <c r="N251" s="1"/>
  <c r="J250"/>
  <c r="N250" s="1"/>
  <c r="J249"/>
  <c r="N249" s="1"/>
  <c r="J232"/>
  <c r="N232" s="1"/>
  <c r="J231"/>
  <c r="N231" s="1"/>
  <c r="J230"/>
  <c r="N230" s="1"/>
  <c r="J229"/>
  <c r="N229" s="1"/>
  <c r="J228"/>
  <c r="N228" s="1"/>
  <c r="J227"/>
  <c r="N227" s="1"/>
  <c r="J226"/>
  <c r="N226" s="1"/>
  <c r="J225"/>
  <c r="N225" s="1"/>
  <c r="J224"/>
  <c r="N224" s="1"/>
  <c r="J223"/>
  <c r="K223" s="1"/>
  <c r="J222"/>
  <c r="N222" s="1"/>
  <c r="J221"/>
  <c r="N221" s="1"/>
  <c r="J220"/>
  <c r="J219"/>
  <c r="N219" s="1"/>
  <c r="J218"/>
  <c r="N218" s="1"/>
  <c r="J217"/>
  <c r="N217" s="1"/>
  <c r="J216"/>
  <c r="N216" s="1"/>
  <c r="J215"/>
  <c r="N215" s="1"/>
  <c r="J214"/>
  <c r="N214" s="1"/>
  <c r="J191"/>
  <c r="K191" s="1"/>
  <c r="J190"/>
  <c r="N190" s="1"/>
  <c r="J189"/>
  <c r="N189" s="1"/>
  <c r="J188"/>
  <c r="K249"/>
  <c r="J296"/>
  <c r="N296" s="1"/>
  <c r="J294"/>
  <c r="N294" s="1"/>
  <c r="M292"/>
  <c r="J292"/>
  <c r="K216"/>
  <c r="K113"/>
  <c r="J93"/>
  <c r="J92"/>
  <c r="N92" s="1"/>
  <c r="J91"/>
  <c r="N91" s="1"/>
  <c r="J90"/>
  <c r="N90" s="1"/>
  <c r="J89"/>
  <c r="N89" s="1"/>
  <c r="J88"/>
  <c r="N88" s="1"/>
  <c r="J87"/>
  <c r="K87" s="1"/>
  <c r="J86"/>
  <c r="N86" s="1"/>
  <c r="J85"/>
  <c r="N85" s="1"/>
  <c r="J84"/>
  <c r="N84" s="1"/>
  <c r="J83"/>
  <c r="N83" s="1"/>
  <c r="J82"/>
  <c r="N82" s="1"/>
  <c r="J81"/>
  <c r="J80"/>
  <c r="N80" s="1"/>
  <c r="J300"/>
  <c r="N300" s="1"/>
  <c r="J297"/>
  <c r="N297" s="1"/>
  <c r="J295"/>
  <c r="M293"/>
  <c r="J293"/>
  <c r="M187"/>
  <c r="M185"/>
  <c r="M183"/>
  <c r="M181"/>
  <c r="L94"/>
  <c r="J59"/>
  <c r="N59" s="1"/>
  <c r="J47"/>
  <c r="N47" s="1"/>
  <c r="L25"/>
  <c r="M179"/>
  <c r="J179"/>
  <c r="N179" s="1"/>
  <c r="M177"/>
  <c r="J177"/>
  <c r="M175"/>
  <c r="J175"/>
  <c r="M125"/>
  <c r="J125"/>
  <c r="M123"/>
  <c r="J123"/>
  <c r="M121"/>
  <c r="J121"/>
  <c r="M119"/>
  <c r="J119"/>
  <c r="M117"/>
  <c r="J117"/>
  <c r="M115"/>
  <c r="J115"/>
  <c r="M109"/>
  <c r="J109"/>
  <c r="M76"/>
  <c r="J76"/>
  <c r="M58"/>
  <c r="J58"/>
  <c r="K46"/>
  <c r="K24"/>
  <c r="J45"/>
  <c r="N45" s="1"/>
  <c r="J43"/>
  <c r="N43" s="1"/>
  <c r="J42"/>
  <c r="M283"/>
  <c r="I301"/>
  <c r="L307" s="1"/>
  <c r="M248"/>
  <c r="I267"/>
  <c r="L273" s="1"/>
  <c r="H193"/>
  <c r="L174"/>
  <c r="I174"/>
  <c r="I158"/>
  <c r="L164" s="1"/>
  <c r="I94"/>
  <c r="L100" s="1"/>
  <c r="M74"/>
  <c r="H95"/>
  <c r="J298"/>
  <c r="J291"/>
  <c r="N291" s="1"/>
  <c r="J289"/>
  <c r="J287"/>
  <c r="N287" s="1"/>
  <c r="L301"/>
  <c r="Q291"/>
  <c r="L267"/>
  <c r="L233"/>
  <c r="K299"/>
  <c r="J157"/>
  <c r="J156"/>
  <c r="N156" s="1"/>
  <c r="J155"/>
  <c r="J154"/>
  <c r="J153"/>
  <c r="J152"/>
  <c r="J151"/>
  <c r="J150"/>
  <c r="J149"/>
  <c r="J148"/>
  <c r="N148" s="1"/>
  <c r="J147"/>
  <c r="J146"/>
  <c r="J145"/>
  <c r="J144"/>
  <c r="J143"/>
  <c r="J142"/>
  <c r="J141"/>
  <c r="N141" s="1"/>
  <c r="J79"/>
  <c r="N79" s="1"/>
  <c r="J178"/>
  <c r="J176"/>
  <c r="J126"/>
  <c r="J124"/>
  <c r="J122"/>
  <c r="J120"/>
  <c r="J118"/>
  <c r="J116"/>
  <c r="J114"/>
  <c r="J110"/>
  <c r="J108"/>
  <c r="J77"/>
  <c r="J75"/>
  <c r="J74"/>
  <c r="N74" s="1"/>
  <c r="K88"/>
  <c r="J8"/>
  <c r="K8" s="1"/>
  <c r="J7"/>
  <c r="J6"/>
  <c r="J5"/>
  <c r="K179"/>
  <c r="J44"/>
  <c r="J22"/>
  <c r="J20"/>
  <c r="J18"/>
  <c r="J16"/>
  <c r="J14"/>
  <c r="J12"/>
  <c r="J10"/>
  <c r="K42"/>
  <c r="L61"/>
  <c r="J23"/>
  <c r="J21"/>
  <c r="J19"/>
  <c r="J17"/>
  <c r="J15"/>
  <c r="J13"/>
  <c r="J11"/>
  <c r="T24" i="21"/>
  <c r="T23"/>
  <c r="T22"/>
  <c r="L439" i="22" l="1"/>
  <c r="L437"/>
  <c r="M25"/>
  <c r="D52" i="4"/>
  <c r="D37"/>
  <c r="D23"/>
  <c r="K287" i="22"/>
  <c r="N20" i="35"/>
  <c r="E54" i="38"/>
  <c r="H2" i="22" s="1"/>
  <c r="K112"/>
  <c r="K296"/>
  <c r="M2493" i="33"/>
  <c r="M2491"/>
  <c r="M403"/>
  <c r="M812"/>
  <c r="M888"/>
  <c r="M1164"/>
  <c r="M1730"/>
  <c r="M1687"/>
  <c r="M2315"/>
  <c r="M2313"/>
  <c r="M273"/>
  <c r="M1327"/>
  <c r="X150" i="21"/>
  <c r="M1470" i="33"/>
  <c r="M1515"/>
  <c r="M1355"/>
  <c r="M1161"/>
  <c r="M2386"/>
  <c r="M501"/>
  <c r="M1376"/>
  <c r="M1332"/>
  <c r="M290"/>
  <c r="M1725"/>
  <c r="M1165"/>
  <c r="M2016"/>
  <c r="M2458"/>
  <c r="M1949"/>
  <c r="M1284"/>
  <c r="M2525"/>
  <c r="M1377"/>
  <c r="M2457"/>
  <c r="M2011"/>
  <c r="M1957"/>
  <c r="M640"/>
  <c r="M2523"/>
  <c r="M2472"/>
  <c r="M2456"/>
  <c r="M2473"/>
  <c r="M410"/>
  <c r="M2316"/>
  <c r="X85" i="21"/>
  <c r="M1331" i="33"/>
  <c r="M221"/>
  <c r="M717"/>
  <c r="M1952"/>
  <c r="M498"/>
  <c r="M499"/>
  <c r="M1283"/>
  <c r="M500"/>
  <c r="M950"/>
  <c r="M1416"/>
  <c r="X86" i="21"/>
  <c r="M890" i="33"/>
  <c r="M1722"/>
  <c r="M1162"/>
  <c r="M1767"/>
  <c r="M1380"/>
  <c r="M402"/>
  <c r="M271"/>
  <c r="M1509"/>
  <c r="M409"/>
  <c r="M1516"/>
  <c r="M1141"/>
  <c r="M2312"/>
  <c r="X87" i="21"/>
  <c r="M811" i="33"/>
  <c r="M859"/>
  <c r="M551"/>
  <c r="M1378"/>
  <c r="M898"/>
  <c r="M684"/>
  <c r="M1727"/>
  <c r="M889"/>
  <c r="M887"/>
  <c r="M599"/>
  <c r="M1520"/>
  <c r="M1381"/>
  <c r="M2527"/>
  <c r="M2515"/>
  <c r="M839"/>
  <c r="M600"/>
  <c r="M2526"/>
  <c r="M2524"/>
  <c r="M1745"/>
  <c r="M2513"/>
  <c r="M2470"/>
  <c r="M2013"/>
  <c r="M1522"/>
  <c r="M2020"/>
  <c r="M1953"/>
  <c r="M1609"/>
  <c r="M2494"/>
  <c r="M2310"/>
  <c r="M842"/>
  <c r="M1269"/>
  <c r="X151" i="21"/>
  <c r="M1890" i="33"/>
  <c r="M1166"/>
  <c r="M556"/>
  <c r="M1374"/>
  <c r="M598"/>
  <c r="M841"/>
  <c r="M2387"/>
  <c r="M1008"/>
  <c r="M1007"/>
  <c r="M639"/>
  <c r="M1768"/>
  <c r="M1282"/>
  <c r="M1951"/>
  <c r="M1718"/>
  <c r="M2490"/>
  <c r="M1824"/>
  <c r="M1417"/>
  <c r="M897"/>
  <c r="M121"/>
  <c r="M549"/>
  <c r="M1140"/>
  <c r="M550"/>
  <c r="M1590"/>
  <c r="M548"/>
  <c r="M1955"/>
  <c r="M2471"/>
  <c r="M2014"/>
  <c r="M843"/>
  <c r="M1353"/>
  <c r="M2015"/>
  <c r="M238"/>
  <c r="M2521"/>
  <c r="M2311"/>
  <c r="X152" i="21"/>
  <c r="M1686" i="33"/>
  <c r="M1356"/>
  <c r="M127"/>
  <c r="M753"/>
  <c r="M1379"/>
  <c r="M949"/>
  <c r="M2314"/>
  <c r="M413"/>
  <c r="M1721"/>
  <c r="M1519"/>
  <c r="M243"/>
  <c r="M129"/>
  <c r="M1517"/>
  <c r="M128"/>
  <c r="M1823"/>
  <c r="M1589"/>
  <c r="M240"/>
  <c r="M2488"/>
  <c r="M239"/>
  <c r="M120"/>
  <c r="M497"/>
  <c r="M1139"/>
  <c r="M241"/>
  <c r="M1328"/>
  <c r="M601"/>
  <c r="M1270"/>
  <c r="M1928"/>
  <c r="M1729"/>
  <c r="M1636"/>
  <c r="M836"/>
  <c r="M1825"/>
  <c r="M408"/>
  <c r="M2019"/>
  <c r="M2469"/>
  <c r="M242"/>
  <c r="M2012"/>
  <c r="M2474"/>
  <c r="M2017"/>
  <c r="M1728"/>
  <c r="M2476"/>
  <c r="M596"/>
  <c r="M1927"/>
  <c r="M2475"/>
  <c r="M2018"/>
  <c r="M1163"/>
  <c r="M2489"/>
  <c r="M2487"/>
  <c r="M1822"/>
  <c r="M552"/>
  <c r="M840"/>
  <c r="M1717"/>
  <c r="M272"/>
  <c r="M1954"/>
  <c r="M1142"/>
  <c r="M1521"/>
  <c r="M860"/>
  <c r="M220"/>
  <c r="M1610"/>
  <c r="M2492"/>
  <c r="M2455"/>
  <c r="K252" i="22"/>
  <c r="M1637" i="33"/>
  <c r="M1726"/>
  <c r="M1354"/>
  <c r="M891"/>
  <c r="M838"/>
  <c r="M1469"/>
  <c r="M751"/>
  <c r="M1948"/>
  <c r="M1271"/>
  <c r="M557"/>
  <c r="M1518"/>
  <c r="M2520"/>
  <c r="M1167"/>
  <c r="H128" i="22"/>
  <c r="H438"/>
  <c r="K228"/>
  <c r="M683" i="33"/>
  <c r="M1375"/>
  <c r="M1950"/>
  <c r="M1462"/>
  <c r="M292"/>
  <c r="M411"/>
  <c r="M1510"/>
  <c r="M752"/>
  <c r="M597"/>
  <c r="M130"/>
  <c r="M291"/>
  <c r="M716"/>
  <c r="M1744"/>
  <c r="M2522"/>
  <c r="L31" i="22"/>
  <c r="I437"/>
  <c r="L239"/>
  <c r="I439"/>
  <c r="M837" i="33"/>
  <c r="M412"/>
  <c r="M1891"/>
  <c r="M1160"/>
  <c r="M1272"/>
  <c r="M750"/>
  <c r="M1956"/>
  <c r="M1461"/>
  <c r="M119"/>
  <c r="M2514"/>
  <c r="H441" i="22"/>
  <c r="H443" s="1"/>
  <c r="N20" i="36"/>
  <c r="K221" i="22"/>
  <c r="K79"/>
  <c r="K294"/>
  <c r="K231"/>
  <c r="K45"/>
  <c r="K300"/>
  <c r="K217"/>
  <c r="K259"/>
  <c r="M267"/>
  <c r="K83"/>
  <c r="K91"/>
  <c r="K225"/>
  <c r="K286"/>
  <c r="K82"/>
  <c r="K92"/>
  <c r="K190"/>
  <c r="K224"/>
  <c r="K232"/>
  <c r="K291"/>
  <c r="K256"/>
  <c r="M94"/>
  <c r="K290"/>
  <c r="K260"/>
  <c r="I20" i="36"/>
  <c r="O20" s="1"/>
  <c r="R20" s="1"/>
  <c r="C94" i="35"/>
  <c r="C94" i="36"/>
  <c r="H16"/>
  <c r="G16"/>
  <c r="L16"/>
  <c r="D16"/>
  <c r="M16"/>
  <c r="N16" s="1"/>
  <c r="B16"/>
  <c r="H22"/>
  <c r="G22"/>
  <c r="L22"/>
  <c r="D22"/>
  <c r="M22"/>
  <c r="N22" s="1"/>
  <c r="B22"/>
  <c r="H26"/>
  <c r="G26"/>
  <c r="L26"/>
  <c r="D26"/>
  <c r="M26"/>
  <c r="N26" s="1"/>
  <c r="B26"/>
  <c r="H30"/>
  <c r="G30"/>
  <c r="L30"/>
  <c r="D30"/>
  <c r="M30"/>
  <c r="N30" s="1"/>
  <c r="B30"/>
  <c r="H34"/>
  <c r="G34"/>
  <c r="L34"/>
  <c r="D34"/>
  <c r="M34"/>
  <c r="N34" s="1"/>
  <c r="B34"/>
  <c r="H38"/>
  <c r="G38"/>
  <c r="L38"/>
  <c r="D38"/>
  <c r="M38"/>
  <c r="N38" s="1"/>
  <c r="B38"/>
  <c r="H42"/>
  <c r="G42"/>
  <c r="D42"/>
  <c r="M42"/>
  <c r="L42"/>
  <c r="B42"/>
  <c r="H17" i="35"/>
  <c r="B17"/>
  <c r="G17"/>
  <c r="I17" s="1"/>
  <c r="M17"/>
  <c r="D17"/>
  <c r="L17"/>
  <c r="H21"/>
  <c r="B21"/>
  <c r="G21"/>
  <c r="M21"/>
  <c r="D21"/>
  <c r="L21"/>
  <c r="H25"/>
  <c r="B25"/>
  <c r="G25"/>
  <c r="I25" s="1"/>
  <c r="M25"/>
  <c r="D25"/>
  <c r="L25"/>
  <c r="H29"/>
  <c r="B29"/>
  <c r="G29"/>
  <c r="M29"/>
  <c r="D29"/>
  <c r="L29"/>
  <c r="M33"/>
  <c r="B33"/>
  <c r="L33"/>
  <c r="H33"/>
  <c r="G33"/>
  <c r="D33"/>
  <c r="M37"/>
  <c r="B37"/>
  <c r="L37"/>
  <c r="H37"/>
  <c r="D37"/>
  <c r="G37"/>
  <c r="M41"/>
  <c r="B41"/>
  <c r="L41"/>
  <c r="H41"/>
  <c r="D41"/>
  <c r="G41"/>
  <c r="M15" i="36"/>
  <c r="L15"/>
  <c r="B15"/>
  <c r="G15"/>
  <c r="H15"/>
  <c r="D15"/>
  <c r="H19"/>
  <c r="G19"/>
  <c r="B19"/>
  <c r="M19"/>
  <c r="L19"/>
  <c r="D19"/>
  <c r="H23"/>
  <c r="G23"/>
  <c r="D23"/>
  <c r="M23"/>
  <c r="L23"/>
  <c r="B23"/>
  <c r="H27"/>
  <c r="G27"/>
  <c r="D27"/>
  <c r="M27"/>
  <c r="L27"/>
  <c r="B27"/>
  <c r="H31"/>
  <c r="G31"/>
  <c r="D31"/>
  <c r="M31"/>
  <c r="L31"/>
  <c r="B31"/>
  <c r="H35"/>
  <c r="G35"/>
  <c r="D35"/>
  <c r="M35"/>
  <c r="L35"/>
  <c r="B35"/>
  <c r="H39"/>
  <c r="G39"/>
  <c r="D39"/>
  <c r="M39"/>
  <c r="L39"/>
  <c r="B39"/>
  <c r="G18" i="35"/>
  <c r="H18"/>
  <c r="L18"/>
  <c r="M18"/>
  <c r="B18"/>
  <c r="D18"/>
  <c r="G24"/>
  <c r="L24"/>
  <c r="H24"/>
  <c r="M24"/>
  <c r="B24"/>
  <c r="D24"/>
  <c r="G28"/>
  <c r="L28"/>
  <c r="H28"/>
  <c r="M28"/>
  <c r="B28"/>
  <c r="D28"/>
  <c r="H32"/>
  <c r="G32"/>
  <c r="L32"/>
  <c r="M32"/>
  <c r="B32"/>
  <c r="D32"/>
  <c r="L36"/>
  <c r="H36"/>
  <c r="G36"/>
  <c r="M36"/>
  <c r="B36"/>
  <c r="D36"/>
  <c r="L40"/>
  <c r="H40"/>
  <c r="G40"/>
  <c r="M40"/>
  <c r="B40"/>
  <c r="D40"/>
  <c r="H18" i="36"/>
  <c r="G18"/>
  <c r="L18"/>
  <c r="D18"/>
  <c r="M18"/>
  <c r="B18"/>
  <c r="H24"/>
  <c r="G24"/>
  <c r="L24"/>
  <c r="D24"/>
  <c r="M24"/>
  <c r="N24" s="1"/>
  <c r="B24"/>
  <c r="H28"/>
  <c r="G28"/>
  <c r="L28"/>
  <c r="D28"/>
  <c r="M28"/>
  <c r="B28"/>
  <c r="H32"/>
  <c r="G32"/>
  <c r="L32"/>
  <c r="D32"/>
  <c r="M32"/>
  <c r="N32" s="1"/>
  <c r="B32"/>
  <c r="H36"/>
  <c r="G36"/>
  <c r="L36"/>
  <c r="D36"/>
  <c r="M36"/>
  <c r="B36"/>
  <c r="H40"/>
  <c r="G40"/>
  <c r="D40"/>
  <c r="M40"/>
  <c r="L40"/>
  <c r="B40"/>
  <c r="G15" i="35"/>
  <c r="B15"/>
  <c r="M15"/>
  <c r="L15"/>
  <c r="D15"/>
  <c r="H15"/>
  <c r="H19"/>
  <c r="B19"/>
  <c r="G19"/>
  <c r="M19"/>
  <c r="D19"/>
  <c r="L19"/>
  <c r="H23"/>
  <c r="B23"/>
  <c r="G23"/>
  <c r="M23"/>
  <c r="D23"/>
  <c r="L23"/>
  <c r="H27"/>
  <c r="B27"/>
  <c r="G27"/>
  <c r="M27"/>
  <c r="D27"/>
  <c r="L27"/>
  <c r="G31"/>
  <c r="B31"/>
  <c r="M31"/>
  <c r="L31"/>
  <c r="D31"/>
  <c r="H31"/>
  <c r="M35"/>
  <c r="B35"/>
  <c r="H35"/>
  <c r="D35"/>
  <c r="L35"/>
  <c r="G35"/>
  <c r="M39"/>
  <c r="B39"/>
  <c r="H39"/>
  <c r="D39"/>
  <c r="L39"/>
  <c r="G39"/>
  <c r="H17" i="36"/>
  <c r="G17"/>
  <c r="B17"/>
  <c r="M17"/>
  <c r="L17"/>
  <c r="D17"/>
  <c r="H21"/>
  <c r="G21"/>
  <c r="B21"/>
  <c r="M21"/>
  <c r="L21"/>
  <c r="D21"/>
  <c r="H25"/>
  <c r="G25"/>
  <c r="D25"/>
  <c r="M25"/>
  <c r="L25"/>
  <c r="B25"/>
  <c r="H29"/>
  <c r="G29"/>
  <c r="D29"/>
  <c r="M29"/>
  <c r="L29"/>
  <c r="B29"/>
  <c r="H33"/>
  <c r="G33"/>
  <c r="D33"/>
  <c r="M33"/>
  <c r="L33"/>
  <c r="B33"/>
  <c r="H37"/>
  <c r="G37"/>
  <c r="D37"/>
  <c r="M37"/>
  <c r="L37"/>
  <c r="B37"/>
  <c r="H41"/>
  <c r="G41"/>
  <c r="D41"/>
  <c r="M41"/>
  <c r="B41"/>
  <c r="L41"/>
  <c r="H16" i="35"/>
  <c r="G16"/>
  <c r="L16"/>
  <c r="M16"/>
  <c r="B16"/>
  <c r="D16"/>
  <c r="G22"/>
  <c r="H22"/>
  <c r="L22"/>
  <c r="M22"/>
  <c r="B22"/>
  <c r="D22"/>
  <c r="G26"/>
  <c r="H26"/>
  <c r="L26"/>
  <c r="M26"/>
  <c r="B26"/>
  <c r="D26"/>
  <c r="G30"/>
  <c r="H30"/>
  <c r="L30"/>
  <c r="M30"/>
  <c r="B30"/>
  <c r="D30"/>
  <c r="L34"/>
  <c r="H34"/>
  <c r="G34"/>
  <c r="M34"/>
  <c r="B34"/>
  <c r="D34"/>
  <c r="L38"/>
  <c r="H38"/>
  <c r="G38"/>
  <c r="M38"/>
  <c r="B38"/>
  <c r="D38"/>
  <c r="L42"/>
  <c r="H42"/>
  <c r="G42"/>
  <c r="M42"/>
  <c r="B42"/>
  <c r="D42"/>
  <c r="I20"/>
  <c r="O20" s="1"/>
  <c r="R20" s="1"/>
  <c r="K162" i="22"/>
  <c r="L163"/>
  <c r="L272"/>
  <c r="K271"/>
  <c r="K98"/>
  <c r="L99"/>
  <c r="L66"/>
  <c r="K65"/>
  <c r="K305"/>
  <c r="L306"/>
  <c r="L30"/>
  <c r="K29"/>
  <c r="K237"/>
  <c r="L238"/>
  <c r="L132"/>
  <c r="K131"/>
  <c r="K80"/>
  <c r="K84"/>
  <c r="K90"/>
  <c r="K156"/>
  <c r="K297"/>
  <c r="K215"/>
  <c r="K265"/>
  <c r="M141"/>
  <c r="M158" s="1"/>
  <c r="K229"/>
  <c r="K284"/>
  <c r="K257"/>
  <c r="H20" i="38"/>
  <c r="I20" s="1"/>
  <c r="J20" s="1"/>
  <c r="M233" i="22"/>
  <c r="K23"/>
  <c r="N23"/>
  <c r="L39" i="38"/>
  <c r="K16" i="22"/>
  <c r="L32" i="38"/>
  <c r="N16" i="22"/>
  <c r="K6"/>
  <c r="L22" i="38"/>
  <c r="N6" i="22"/>
  <c r="K77"/>
  <c r="N77"/>
  <c r="K124"/>
  <c r="N124"/>
  <c r="K152"/>
  <c r="N152"/>
  <c r="K298"/>
  <c r="N298"/>
  <c r="K117"/>
  <c r="N117"/>
  <c r="K125"/>
  <c r="N125"/>
  <c r="L40" i="38"/>
  <c r="N93" i="22"/>
  <c r="L42" i="38"/>
  <c r="N188" i="22"/>
  <c r="K42" i="38" s="1"/>
  <c r="K258" i="22"/>
  <c r="N258"/>
  <c r="K180"/>
  <c r="N180"/>
  <c r="K184"/>
  <c r="N184"/>
  <c r="K11"/>
  <c r="N11"/>
  <c r="K27" i="38" s="1"/>
  <c r="L27"/>
  <c r="K19" i="22"/>
  <c r="N19"/>
  <c r="L35" i="38"/>
  <c r="K12" i="22"/>
  <c r="L28" i="38"/>
  <c r="N12" i="22"/>
  <c r="K20"/>
  <c r="L36" i="38"/>
  <c r="N20" i="22"/>
  <c r="L24" i="38"/>
  <c r="N8" i="22"/>
  <c r="K24" i="38" s="1"/>
  <c r="K110" i="22"/>
  <c r="N110"/>
  <c r="K120"/>
  <c r="N120"/>
  <c r="K176"/>
  <c r="N176"/>
  <c r="K142"/>
  <c r="N142"/>
  <c r="N158" s="1"/>
  <c r="K146"/>
  <c r="N146"/>
  <c r="K150"/>
  <c r="N150"/>
  <c r="K154"/>
  <c r="N154"/>
  <c r="K188"/>
  <c r="K219"/>
  <c r="K262"/>
  <c r="K289"/>
  <c r="N289"/>
  <c r="M301"/>
  <c r="K76"/>
  <c r="N76"/>
  <c r="K115"/>
  <c r="N115"/>
  <c r="K119"/>
  <c r="N119"/>
  <c r="K123"/>
  <c r="N123"/>
  <c r="K175"/>
  <c r="N175"/>
  <c r="K293"/>
  <c r="N293"/>
  <c r="L43" i="38"/>
  <c r="N87" i="22"/>
  <c r="K43" i="38" s="1"/>
  <c r="K218" i="22"/>
  <c r="K227"/>
  <c r="K251"/>
  <c r="K263"/>
  <c r="K220"/>
  <c r="N220"/>
  <c r="N233" s="1"/>
  <c r="K264"/>
  <c r="N264"/>
  <c r="K285"/>
  <c r="N285"/>
  <c r="N301" s="1"/>
  <c r="K182"/>
  <c r="N182"/>
  <c r="K186"/>
  <c r="N186"/>
  <c r="K116"/>
  <c r="N116"/>
  <c r="K109"/>
  <c r="N109"/>
  <c r="K81"/>
  <c r="N81"/>
  <c r="K17"/>
  <c r="L33" i="38"/>
  <c r="N17" i="22"/>
  <c r="K10"/>
  <c r="L26" i="38"/>
  <c r="N10" i="22"/>
  <c r="K18"/>
  <c r="L34" i="38"/>
  <c r="N18" i="22"/>
  <c r="K7"/>
  <c r="N7"/>
  <c r="L23" i="38"/>
  <c r="K59" i="22"/>
  <c r="K108"/>
  <c r="N108"/>
  <c r="K118"/>
  <c r="N118"/>
  <c r="K126"/>
  <c r="N126"/>
  <c r="K145"/>
  <c r="N145"/>
  <c r="K149"/>
  <c r="N149"/>
  <c r="K153"/>
  <c r="N153"/>
  <c r="K157"/>
  <c r="N157"/>
  <c r="K226"/>
  <c r="K250"/>
  <c r="K214"/>
  <c r="K89"/>
  <c r="K292"/>
  <c r="N292"/>
  <c r="L41" i="38"/>
  <c r="N223" i="22"/>
  <c r="K13"/>
  <c r="L29" i="38"/>
  <c r="N13" i="22"/>
  <c r="K21"/>
  <c r="L37" i="38"/>
  <c r="N21" i="22"/>
  <c r="K37" i="38" s="1"/>
  <c r="K43" i="22"/>
  <c r="K14"/>
  <c r="L30" i="38"/>
  <c r="N14" i="22"/>
  <c r="K22"/>
  <c r="L38" i="38"/>
  <c r="N22" i="22"/>
  <c r="K5"/>
  <c r="L21" i="38"/>
  <c r="N5" i="22"/>
  <c r="N25" s="1"/>
  <c r="K47"/>
  <c r="K86"/>
  <c r="K148"/>
  <c r="K75"/>
  <c r="N75"/>
  <c r="N94" s="1"/>
  <c r="K114"/>
  <c r="N114"/>
  <c r="K122"/>
  <c r="N122"/>
  <c r="K178"/>
  <c r="N178"/>
  <c r="K143"/>
  <c r="N143"/>
  <c r="K147"/>
  <c r="N147"/>
  <c r="K151"/>
  <c r="N151"/>
  <c r="K155"/>
  <c r="N155"/>
  <c r="K222"/>
  <c r="K230"/>
  <c r="K254"/>
  <c r="R291"/>
  <c r="N42"/>
  <c r="N61" s="1"/>
  <c r="K85"/>
  <c r="K93"/>
  <c r="K189"/>
  <c r="K288"/>
  <c r="K301" s="1"/>
  <c r="L309" s="1"/>
  <c r="K310" s="1"/>
  <c r="K255"/>
  <c r="K266"/>
  <c r="L44" i="38"/>
  <c r="N191" i="22"/>
  <c r="K44" i="38" s="1"/>
  <c r="K253" i="22"/>
  <c r="N253"/>
  <c r="N267" s="1"/>
  <c r="K261"/>
  <c r="N261"/>
  <c r="G119" i="23"/>
  <c r="X109" i="21" s="1"/>
  <c r="K15" i="22"/>
  <c r="N15"/>
  <c r="L31" i="38"/>
  <c r="K44" i="22"/>
  <c r="N44"/>
  <c r="K144"/>
  <c r="N144"/>
  <c r="K58"/>
  <c r="N58"/>
  <c r="K121"/>
  <c r="N121"/>
  <c r="K177"/>
  <c r="N177"/>
  <c r="K295"/>
  <c r="N295"/>
  <c r="I25" i="38"/>
  <c r="G54"/>
  <c r="F19" i="28"/>
  <c r="E56" i="38"/>
  <c r="J233" i="22"/>
  <c r="J313"/>
  <c r="J315" s="1"/>
  <c r="K315" s="1"/>
  <c r="J267"/>
  <c r="L274" s="1"/>
  <c r="J301"/>
  <c r="L308" s="1"/>
  <c r="O6" i="36"/>
  <c r="J94" i="22"/>
  <c r="L101" s="1"/>
  <c r="K74"/>
  <c r="M202"/>
  <c r="L193"/>
  <c r="L438" s="1"/>
  <c r="L441" s="1"/>
  <c r="I127"/>
  <c r="I1" s="1"/>
  <c r="M107"/>
  <c r="M127" s="1"/>
  <c r="M61"/>
  <c r="M437" s="1"/>
  <c r="J25"/>
  <c r="J158"/>
  <c r="L165" s="1"/>
  <c r="K141"/>
  <c r="I193"/>
  <c r="L199" s="1"/>
  <c r="M174"/>
  <c r="M193" s="1"/>
  <c r="J174"/>
  <c r="N174" s="1"/>
  <c r="J61"/>
  <c r="L68" s="1"/>
  <c r="J107"/>
  <c r="N193" l="1"/>
  <c r="N28" i="35"/>
  <c r="I37"/>
  <c r="M1" i="22"/>
  <c r="D24" i="4"/>
  <c r="D38"/>
  <c r="D53"/>
  <c r="L1" i="22"/>
  <c r="N24" i="35"/>
  <c r="I41"/>
  <c r="M852" i="33"/>
  <c r="X627" i="21"/>
  <c r="M1700" i="33"/>
  <c r="M850"/>
  <c r="M496"/>
  <c r="M2509"/>
  <c r="M189"/>
  <c r="M325"/>
  <c r="M2337"/>
  <c r="M2503"/>
  <c r="M188"/>
  <c r="X110" i="21"/>
  <c r="M2535" i="33"/>
  <c r="M2442"/>
  <c r="M2534"/>
  <c r="M527"/>
  <c r="M528"/>
  <c r="M1135"/>
  <c r="M116"/>
  <c r="M621"/>
  <c r="M324"/>
  <c r="M2328"/>
  <c r="M2417"/>
  <c r="M2336"/>
  <c r="M458"/>
  <c r="M1818"/>
  <c r="M1871"/>
  <c r="M1006"/>
  <c r="M1196"/>
  <c r="M675"/>
  <c r="M2501"/>
  <c r="M849"/>
  <c r="M1158"/>
  <c r="M1819"/>
  <c r="M855"/>
  <c r="M1556"/>
  <c r="M438" i="22"/>
  <c r="N28" i="36"/>
  <c r="N18"/>
  <c r="I29" i="35"/>
  <c r="I21"/>
  <c r="M2502" i="33"/>
  <c r="M1159"/>
  <c r="X111" i="21"/>
  <c r="M2444" i="33"/>
  <c r="M517"/>
  <c r="M112"/>
  <c r="X853" i="21"/>
  <c r="M182" i="33"/>
  <c r="M459"/>
  <c r="M1418"/>
  <c r="M2511"/>
  <c r="M2331"/>
  <c r="M2531"/>
  <c r="M1854"/>
  <c r="M1264"/>
  <c r="M620"/>
  <c r="M1266"/>
  <c r="M117"/>
  <c r="M1406"/>
  <c r="M351"/>
  <c r="M2460"/>
  <c r="M2333"/>
  <c r="M227"/>
  <c r="M518"/>
  <c r="M892"/>
  <c r="M183"/>
  <c r="M115"/>
  <c r="M559"/>
  <c r="M982"/>
  <c r="M2512"/>
  <c r="M2500"/>
  <c r="M2334"/>
  <c r="M2510"/>
  <c r="M460"/>
  <c r="M853"/>
  <c r="M349"/>
  <c r="M893"/>
  <c r="M495"/>
  <c r="M896"/>
  <c r="M1138"/>
  <c r="M2507"/>
  <c r="M2537"/>
  <c r="M2443"/>
  <c r="M848"/>
  <c r="M808"/>
  <c r="M1557"/>
  <c r="M133"/>
  <c r="M558"/>
  <c r="M856"/>
  <c r="M350"/>
  <c r="L32" i="22"/>
  <c r="J437"/>
  <c r="L240"/>
  <c r="J439"/>
  <c r="L133"/>
  <c r="I438"/>
  <c r="M439"/>
  <c r="M977" i="33"/>
  <c r="M554"/>
  <c r="M136"/>
  <c r="I441" i="22"/>
  <c r="I443" s="1"/>
  <c r="M1263" i="33"/>
  <c r="M111"/>
  <c r="M1157"/>
  <c r="M226"/>
  <c r="M978"/>
  <c r="M494"/>
  <c r="M58"/>
  <c r="M2459"/>
  <c r="M2504"/>
  <c r="M2330"/>
  <c r="M624"/>
  <c r="X855" i="21"/>
  <c r="M1309" i="33"/>
  <c r="M795"/>
  <c r="M806"/>
  <c r="M1308"/>
  <c r="M187"/>
  <c r="M2499"/>
  <c r="M1005"/>
  <c r="M254"/>
  <c r="M1137"/>
  <c r="M347"/>
  <c r="M1407"/>
  <c r="M2416"/>
  <c r="M2505"/>
  <c r="M2329"/>
  <c r="M1699"/>
  <c r="M348"/>
  <c r="M137"/>
  <c r="M847"/>
  <c r="M135"/>
  <c r="M895"/>
  <c r="M386"/>
  <c r="M1872"/>
  <c r="M851"/>
  <c r="M1873"/>
  <c r="M2332"/>
  <c r="M2508"/>
  <c r="M2533"/>
  <c r="M255"/>
  <c r="M854"/>
  <c r="M57"/>
  <c r="M1405"/>
  <c r="M186"/>
  <c r="M118"/>
  <c r="M1265"/>
  <c r="M555"/>
  <c r="X626" i="21"/>
  <c r="M1404" i="33"/>
  <c r="M674"/>
  <c r="M190"/>
  <c r="M2497"/>
  <c r="M2532"/>
  <c r="M894"/>
  <c r="X628" i="21"/>
  <c r="M2498" i="33"/>
  <c r="M2536"/>
  <c r="M132"/>
  <c r="M134"/>
  <c r="M1889"/>
  <c r="M457"/>
  <c r="X854" i="21"/>
  <c r="M191" i="33"/>
  <c r="M553"/>
  <c r="M1420"/>
  <c r="M1136"/>
  <c r="M1855"/>
  <c r="M979"/>
  <c r="M1419"/>
  <c r="M1195"/>
  <c r="M2335"/>
  <c r="M1888"/>
  <c r="M981"/>
  <c r="M131"/>
  <c r="M622"/>
  <c r="M980"/>
  <c r="M796"/>
  <c r="M2415"/>
  <c r="M2506"/>
  <c r="M385"/>
  <c r="M623"/>
  <c r="M807"/>
  <c r="M794"/>
  <c r="M461"/>
  <c r="I19" i="35"/>
  <c r="M27" i="38"/>
  <c r="M42"/>
  <c r="I23" i="35"/>
  <c r="I27"/>
  <c r="I42"/>
  <c r="I38"/>
  <c r="I34"/>
  <c r="I30"/>
  <c r="I26"/>
  <c r="I22"/>
  <c r="N31"/>
  <c r="I31"/>
  <c r="N15"/>
  <c r="I15"/>
  <c r="I40"/>
  <c r="I36"/>
  <c r="I18"/>
  <c r="N15" i="36"/>
  <c r="I33" i="35"/>
  <c r="N36" i="36"/>
  <c r="K31" i="38"/>
  <c r="M31" s="1"/>
  <c r="K30"/>
  <c r="M30" s="1"/>
  <c r="I16" i="36"/>
  <c r="O16" s="1"/>
  <c r="R16" s="1"/>
  <c r="D94" i="35"/>
  <c r="B94"/>
  <c r="M94"/>
  <c r="L94"/>
  <c r="G94"/>
  <c r="H94"/>
  <c r="N39"/>
  <c r="N35"/>
  <c r="I28"/>
  <c r="O28" s="1"/>
  <c r="R28" s="1"/>
  <c r="I24"/>
  <c r="N41"/>
  <c r="N37"/>
  <c r="O37" s="1"/>
  <c r="R37" s="1"/>
  <c r="N33"/>
  <c r="C43" i="36"/>
  <c r="C43" i="35"/>
  <c r="M2104" i="33"/>
  <c r="X875" i="21"/>
  <c r="X874"/>
  <c r="X866"/>
  <c r="X873"/>
  <c r="X699"/>
  <c r="X759"/>
  <c r="X734"/>
  <c r="X730"/>
  <c r="X709"/>
  <c r="X705"/>
  <c r="X642"/>
  <c r="X638"/>
  <c r="X634"/>
  <c r="X630"/>
  <c r="X594"/>
  <c r="X865"/>
  <c r="X698"/>
  <c r="X758"/>
  <c r="X733"/>
  <c r="X708"/>
  <c r="X704"/>
  <c r="X643"/>
  <c r="X639"/>
  <c r="X635"/>
  <c r="X631"/>
  <c r="X595"/>
  <c r="X527"/>
  <c r="M2105" i="33"/>
  <c r="M2106"/>
  <c r="X877" i="21"/>
  <c r="X876"/>
  <c r="X864"/>
  <c r="X701"/>
  <c r="X697"/>
  <c r="X757"/>
  <c r="X732"/>
  <c r="X707"/>
  <c r="X703"/>
  <c r="X644"/>
  <c r="X640"/>
  <c r="X636"/>
  <c r="X632"/>
  <c r="X596"/>
  <c r="X528"/>
  <c r="X867"/>
  <c r="X863"/>
  <c r="X700"/>
  <c r="X760"/>
  <c r="X756"/>
  <c r="X731"/>
  <c r="X710"/>
  <c r="X706"/>
  <c r="X702"/>
  <c r="X641"/>
  <c r="X637"/>
  <c r="X633"/>
  <c r="X597"/>
  <c r="X593"/>
  <c r="C66" i="35"/>
  <c r="C62"/>
  <c r="C58"/>
  <c r="C54"/>
  <c r="C50"/>
  <c r="C46"/>
  <c r="C67" i="36"/>
  <c r="C63"/>
  <c r="C59"/>
  <c r="C55"/>
  <c r="C51"/>
  <c r="C47"/>
  <c r="C69" i="35"/>
  <c r="C65"/>
  <c r="C61"/>
  <c r="C57"/>
  <c r="C53"/>
  <c r="C49"/>
  <c r="C45"/>
  <c r="C68" i="36"/>
  <c r="C64"/>
  <c r="C60"/>
  <c r="C56"/>
  <c r="C52"/>
  <c r="C48"/>
  <c r="C44"/>
  <c r="C68" i="35"/>
  <c r="C64"/>
  <c r="C60"/>
  <c r="C56"/>
  <c r="C52"/>
  <c r="C48"/>
  <c r="C44"/>
  <c r="C69" i="36"/>
  <c r="C65"/>
  <c r="C61"/>
  <c r="C57"/>
  <c r="C53"/>
  <c r="C49"/>
  <c r="C45"/>
  <c r="C67" i="35"/>
  <c r="C63"/>
  <c r="C59"/>
  <c r="C55"/>
  <c r="C51"/>
  <c r="C47"/>
  <c r="C66" i="36"/>
  <c r="C62"/>
  <c r="C58"/>
  <c r="C54"/>
  <c r="C50"/>
  <c r="C46"/>
  <c r="G94"/>
  <c r="H94"/>
  <c r="D94"/>
  <c r="L94"/>
  <c r="M94"/>
  <c r="B94"/>
  <c r="N42" i="35"/>
  <c r="N38"/>
  <c r="N34"/>
  <c r="N30"/>
  <c r="N26"/>
  <c r="N22"/>
  <c r="N16"/>
  <c r="I16"/>
  <c r="N41" i="36"/>
  <c r="I41"/>
  <c r="N37"/>
  <c r="I37"/>
  <c r="N33"/>
  <c r="I33"/>
  <c r="N29"/>
  <c r="I29"/>
  <c r="N25"/>
  <c r="I25"/>
  <c r="N21"/>
  <c r="I21"/>
  <c r="N17"/>
  <c r="I39" i="35"/>
  <c r="I35"/>
  <c r="N27"/>
  <c r="N23"/>
  <c r="N19"/>
  <c r="N40" i="36"/>
  <c r="I40"/>
  <c r="I36"/>
  <c r="O36" s="1"/>
  <c r="R36" s="1"/>
  <c r="I32"/>
  <c r="O32" s="1"/>
  <c r="R32" s="1"/>
  <c r="I28"/>
  <c r="O28" s="1"/>
  <c r="R28" s="1"/>
  <c r="I24"/>
  <c r="O24" s="1"/>
  <c r="R24" s="1"/>
  <c r="I18"/>
  <c r="O18" s="1"/>
  <c r="R18" s="1"/>
  <c r="N40" i="35"/>
  <c r="N36"/>
  <c r="O36" s="1"/>
  <c r="R36" s="1"/>
  <c r="N32"/>
  <c r="I32"/>
  <c r="N18"/>
  <c r="N39" i="36"/>
  <c r="I39"/>
  <c r="N35"/>
  <c r="I35"/>
  <c r="N31"/>
  <c r="I31"/>
  <c r="N27"/>
  <c r="I27"/>
  <c r="N23"/>
  <c r="I23"/>
  <c r="N19"/>
  <c r="I19"/>
  <c r="I15"/>
  <c r="O15" s="1"/>
  <c r="R15" s="1"/>
  <c r="N29" i="35"/>
  <c r="N25"/>
  <c r="O25" s="1"/>
  <c r="R25" s="1"/>
  <c r="N21"/>
  <c r="N17"/>
  <c r="O17" s="1"/>
  <c r="R17" s="1"/>
  <c r="N42" i="36"/>
  <c r="I42"/>
  <c r="I38"/>
  <c r="O38" s="1"/>
  <c r="R38" s="1"/>
  <c r="I34"/>
  <c r="O34" s="1"/>
  <c r="R34" s="1"/>
  <c r="I30"/>
  <c r="O30" s="1"/>
  <c r="R30" s="1"/>
  <c r="I26"/>
  <c r="O26" s="1"/>
  <c r="R26" s="1"/>
  <c r="I22"/>
  <c r="O22" s="1"/>
  <c r="R22" s="1"/>
  <c r="H54" i="38"/>
  <c r="K233" i="22"/>
  <c r="K28" i="38"/>
  <c r="M28" s="1"/>
  <c r="L198" i="22"/>
  <c r="K197"/>
  <c r="K61"/>
  <c r="L69" s="1"/>
  <c r="K70" s="1"/>
  <c r="K25"/>
  <c r="K267"/>
  <c r="L275" s="1"/>
  <c r="K276" s="1"/>
  <c r="K34" i="38"/>
  <c r="M34" s="1"/>
  <c r="M44"/>
  <c r="M43"/>
  <c r="M24"/>
  <c r="M37"/>
  <c r="K35"/>
  <c r="M35" s="1"/>
  <c r="L20"/>
  <c r="L54" s="1"/>
  <c r="L56" s="1"/>
  <c r="K38"/>
  <c r="M38" s="1"/>
  <c r="K36"/>
  <c r="M36" s="1"/>
  <c r="K40"/>
  <c r="M40" s="1"/>
  <c r="J127" i="22"/>
  <c r="J1" s="1"/>
  <c r="N107"/>
  <c r="K21" i="38"/>
  <c r="M21" s="1"/>
  <c r="K41"/>
  <c r="M41" s="1"/>
  <c r="K23"/>
  <c r="M23" s="1"/>
  <c r="K33"/>
  <c r="M33" s="1"/>
  <c r="K32"/>
  <c r="M32" s="1"/>
  <c r="K39"/>
  <c r="M39" s="1"/>
  <c r="K158" i="22"/>
  <c r="L166" s="1"/>
  <c r="K167" s="1"/>
  <c r="K94"/>
  <c r="L102" s="1"/>
  <c r="K103" s="1"/>
  <c r="G120" i="23"/>
  <c r="K29" i="38"/>
  <c r="M29" s="1"/>
  <c r="K26"/>
  <c r="M26" s="1"/>
  <c r="K22"/>
  <c r="M22" s="1"/>
  <c r="J25"/>
  <c r="I54"/>
  <c r="I56" s="1"/>
  <c r="F18" i="28"/>
  <c r="K107" i="22"/>
  <c r="K127" s="1"/>
  <c r="R6" i="36"/>
  <c r="J193" i="22"/>
  <c r="L200" s="1"/>
  <c r="K174"/>
  <c r="K193" s="1"/>
  <c r="L201" s="1"/>
  <c r="K2" i="4"/>
  <c r="H34"/>
  <c r="H29" s="1"/>
  <c r="K34"/>
  <c r="Q36"/>
  <c r="P36"/>
  <c r="Q35"/>
  <c r="P35"/>
  <c r="Q34"/>
  <c r="P34"/>
  <c r="K30"/>
  <c r="L20"/>
  <c r="L15" s="1"/>
  <c r="H20"/>
  <c r="H15" s="1"/>
  <c r="K1" i="22" l="1"/>
  <c r="D25" i="4"/>
  <c r="M441" i="22"/>
  <c r="D54" i="4"/>
  <c r="K20" i="38"/>
  <c r="N127" i="22"/>
  <c r="N1" s="1"/>
  <c r="O24" i="35"/>
  <c r="R24" s="1"/>
  <c r="O21"/>
  <c r="R21" s="1"/>
  <c r="O29"/>
  <c r="R29" s="1"/>
  <c r="O41"/>
  <c r="R41" s="1"/>
  <c r="L135" i="22"/>
  <c r="K438"/>
  <c r="L33"/>
  <c r="K34" s="1"/>
  <c r="K437"/>
  <c r="M1938" i="33"/>
  <c r="X277" i="21"/>
  <c r="M1939" i="33"/>
  <c r="X297" i="21"/>
  <c r="M1973" i="33"/>
  <c r="M1965"/>
  <c r="M1940"/>
  <c r="M743"/>
  <c r="M593"/>
  <c r="X282" i="21"/>
  <c r="X272"/>
  <c r="X448"/>
  <c r="M633" i="33"/>
  <c r="M1942"/>
  <c r="M13"/>
  <c r="X403" i="21"/>
  <c r="M1976" i="33"/>
  <c r="M637"/>
  <c r="X278" i="21"/>
  <c r="M1350" i="33"/>
  <c r="M591"/>
  <c r="M1979"/>
  <c r="M715"/>
  <c r="M629"/>
  <c r="M1369"/>
  <c r="M615"/>
  <c r="M584"/>
  <c r="M590"/>
  <c r="M1971"/>
  <c r="M612"/>
  <c r="M579"/>
  <c r="M14"/>
  <c r="M1368"/>
  <c r="M1373"/>
  <c r="M631"/>
  <c r="M571"/>
  <c r="M616"/>
  <c r="M15"/>
  <c r="M1358"/>
  <c r="M12"/>
  <c r="M1968"/>
  <c r="X279" i="21"/>
  <c r="X298"/>
  <c r="X625"/>
  <c r="M576" i="33"/>
  <c r="M6"/>
  <c r="M1974"/>
  <c r="L134" i="22"/>
  <c r="J438"/>
  <c r="L241"/>
  <c r="K242" s="1"/>
  <c r="K439"/>
  <c r="M1372" i="33"/>
  <c r="M1370"/>
  <c r="M22"/>
  <c r="X299" i="21"/>
  <c r="X604"/>
  <c r="X290"/>
  <c r="X294"/>
  <c r="M1357" i="33"/>
  <c r="M609"/>
  <c r="M575"/>
  <c r="M1975"/>
  <c r="M1349"/>
  <c r="M594"/>
  <c r="X404" i="21"/>
  <c r="M16" i="33"/>
  <c r="M572"/>
  <c r="X276" i="21"/>
  <c r="M1978" i="33"/>
  <c r="M607"/>
  <c r="X895" i="21"/>
  <c r="M1964" i="33"/>
  <c r="M857"/>
  <c r="M1963"/>
  <c r="M1977"/>
  <c r="X397" i="21"/>
  <c r="M582" i="33"/>
  <c r="M20"/>
  <c r="M1343"/>
  <c r="X295" i="21"/>
  <c r="M18" i="33"/>
  <c r="M1943"/>
  <c r="M608"/>
  <c r="M604"/>
  <c r="X292" i="21"/>
  <c r="M1941" i="33"/>
  <c r="M744"/>
  <c r="M1946"/>
  <c r="M610"/>
  <c r="M635"/>
  <c r="M1967"/>
  <c r="M1352"/>
  <c r="M573"/>
  <c r="M1367"/>
  <c r="M1371"/>
  <c r="M606"/>
  <c r="M627"/>
  <c r="M592"/>
  <c r="X396" i="21"/>
  <c r="X341"/>
  <c r="M630" i="33"/>
  <c r="M745"/>
  <c r="X296" i="21"/>
  <c r="M1972" i="33"/>
  <c r="M586"/>
  <c r="M636"/>
  <c r="M1945"/>
  <c r="M585"/>
  <c r="M1966"/>
  <c r="M578"/>
  <c r="X281" i="21"/>
  <c r="M11" i="33"/>
  <c r="M605"/>
  <c r="X289" i="21"/>
  <c r="X352"/>
  <c r="X284"/>
  <c r="M1351" i="33"/>
  <c r="M613"/>
  <c r="X280" i="21"/>
  <c r="M581" i="33"/>
  <c r="M1980"/>
  <c r="M634"/>
  <c r="M876"/>
  <c r="M713"/>
  <c r="M742"/>
  <c r="M8"/>
  <c r="M21"/>
  <c r="M595"/>
  <c r="X894" i="21"/>
  <c r="M583" i="33"/>
  <c r="X291" i="21"/>
  <c r="M17" i="33"/>
  <c r="M638"/>
  <c r="M1365"/>
  <c r="M611"/>
  <c r="M23"/>
  <c r="M628"/>
  <c r="M577"/>
  <c r="X288" i="21"/>
  <c r="M632" i="33"/>
  <c r="M588"/>
  <c r="X353" i="21"/>
  <c r="X293"/>
  <c r="M1347" i="33"/>
  <c r="M580"/>
  <c r="M1366"/>
  <c r="M1346"/>
  <c r="M1969"/>
  <c r="X354" i="21"/>
  <c r="M1944" i="33"/>
  <c r="M714"/>
  <c r="M1345"/>
  <c r="M1947"/>
  <c r="X340" i="21"/>
  <c r="M574" i="33"/>
  <c r="X355" i="21"/>
  <c r="J441" i="22"/>
  <c r="J443" s="1"/>
  <c r="M587" i="33"/>
  <c r="M9"/>
  <c r="M7"/>
  <c r="M19"/>
  <c r="M858"/>
  <c r="M1348"/>
  <c r="M614"/>
  <c r="X283" i="21"/>
  <c r="M1981" i="33"/>
  <c r="X274" i="21"/>
  <c r="X273"/>
  <c r="M10" i="33"/>
  <c r="M589"/>
  <c r="X275" i="21"/>
  <c r="M1970" i="33"/>
  <c r="M1344"/>
  <c r="O19" i="35"/>
  <c r="R19" s="1"/>
  <c r="O27"/>
  <c r="R27" s="1"/>
  <c r="O23"/>
  <c r="R23" s="1"/>
  <c r="O22"/>
  <c r="R22" s="1"/>
  <c r="O30"/>
  <c r="R30" s="1"/>
  <c r="O38"/>
  <c r="R38" s="1"/>
  <c r="O15"/>
  <c r="R15" s="1"/>
  <c r="O18"/>
  <c r="R18" s="1"/>
  <c r="O40"/>
  <c r="R40" s="1"/>
  <c r="O31"/>
  <c r="R31" s="1"/>
  <c r="O26"/>
  <c r="R26" s="1"/>
  <c r="O34"/>
  <c r="R34" s="1"/>
  <c r="O42"/>
  <c r="R42" s="1"/>
  <c r="O33"/>
  <c r="R33" s="1"/>
  <c r="O39"/>
  <c r="R39" s="1"/>
  <c r="O35"/>
  <c r="R35" s="1"/>
  <c r="O42" i="36"/>
  <c r="R42" s="1"/>
  <c r="O35"/>
  <c r="R35" s="1"/>
  <c r="O37"/>
  <c r="R37" s="1"/>
  <c r="O41"/>
  <c r="R41" s="1"/>
  <c r="O16" i="35"/>
  <c r="R16" s="1"/>
  <c r="N94" i="36"/>
  <c r="I94"/>
  <c r="N94" i="35"/>
  <c r="H46" i="36"/>
  <c r="G46"/>
  <c r="D46"/>
  <c r="M46"/>
  <c r="L46"/>
  <c r="B46"/>
  <c r="H54"/>
  <c r="G54"/>
  <c r="D54"/>
  <c r="M54"/>
  <c r="L54"/>
  <c r="B54"/>
  <c r="M62"/>
  <c r="L62"/>
  <c r="D62"/>
  <c r="G62"/>
  <c r="H62"/>
  <c r="B62"/>
  <c r="L51" i="35"/>
  <c r="B51"/>
  <c r="H51"/>
  <c r="D51"/>
  <c r="M51"/>
  <c r="N51" s="1"/>
  <c r="G51"/>
  <c r="L59"/>
  <c r="B59"/>
  <c r="H59"/>
  <c r="D59"/>
  <c r="M59"/>
  <c r="N59" s="1"/>
  <c r="G59"/>
  <c r="L67"/>
  <c r="B67"/>
  <c r="H67"/>
  <c r="D67"/>
  <c r="M67"/>
  <c r="N67" s="1"/>
  <c r="G67"/>
  <c r="H45" i="36"/>
  <c r="G45"/>
  <c r="D45"/>
  <c r="M45"/>
  <c r="B45"/>
  <c r="L45"/>
  <c r="H53"/>
  <c r="G53"/>
  <c r="D53"/>
  <c r="M53"/>
  <c r="L53"/>
  <c r="B53"/>
  <c r="M61"/>
  <c r="L61"/>
  <c r="D61"/>
  <c r="G61"/>
  <c r="H61"/>
  <c r="B61"/>
  <c r="M69"/>
  <c r="G69"/>
  <c r="D69"/>
  <c r="L69"/>
  <c r="H69"/>
  <c r="B69"/>
  <c r="M48" i="35"/>
  <c r="G48"/>
  <c r="H48"/>
  <c r="L48"/>
  <c r="B48"/>
  <c r="D48"/>
  <c r="M56"/>
  <c r="G56"/>
  <c r="H56"/>
  <c r="L56"/>
  <c r="B56"/>
  <c r="D56"/>
  <c r="M64"/>
  <c r="G64"/>
  <c r="H64"/>
  <c r="L64"/>
  <c r="B64"/>
  <c r="D64"/>
  <c r="H44" i="36"/>
  <c r="G44"/>
  <c r="D44"/>
  <c r="M44"/>
  <c r="L44"/>
  <c r="B44"/>
  <c r="H52"/>
  <c r="G52"/>
  <c r="D52"/>
  <c r="M52"/>
  <c r="L52"/>
  <c r="B52"/>
  <c r="M60"/>
  <c r="L60"/>
  <c r="D60"/>
  <c r="G60"/>
  <c r="H60"/>
  <c r="B60"/>
  <c r="M68"/>
  <c r="G68"/>
  <c r="D68"/>
  <c r="L68"/>
  <c r="H68"/>
  <c r="B68"/>
  <c r="L49" i="35"/>
  <c r="B49"/>
  <c r="H49"/>
  <c r="D49"/>
  <c r="M49"/>
  <c r="G49"/>
  <c r="L57"/>
  <c r="B57"/>
  <c r="H57"/>
  <c r="D57"/>
  <c r="M57"/>
  <c r="N57" s="1"/>
  <c r="G57"/>
  <c r="L65"/>
  <c r="B65"/>
  <c r="H65"/>
  <c r="D65"/>
  <c r="M65"/>
  <c r="N65" s="1"/>
  <c r="G65"/>
  <c r="H51" i="36"/>
  <c r="G51"/>
  <c r="D51"/>
  <c r="M51"/>
  <c r="L51"/>
  <c r="B51"/>
  <c r="M59"/>
  <c r="L59"/>
  <c r="D59"/>
  <c r="G59"/>
  <c r="H59"/>
  <c r="B59"/>
  <c r="M67"/>
  <c r="L67"/>
  <c r="D67"/>
  <c r="G67"/>
  <c r="H67"/>
  <c r="B67"/>
  <c r="M50" i="35"/>
  <c r="L50"/>
  <c r="G50"/>
  <c r="H50"/>
  <c r="B50"/>
  <c r="D50"/>
  <c r="M58"/>
  <c r="L58"/>
  <c r="G58"/>
  <c r="H58"/>
  <c r="B58"/>
  <c r="D58"/>
  <c r="M66"/>
  <c r="L66"/>
  <c r="G66"/>
  <c r="H66"/>
  <c r="B66"/>
  <c r="D66"/>
  <c r="L43"/>
  <c r="B43"/>
  <c r="H43"/>
  <c r="D43"/>
  <c r="M43"/>
  <c r="N43" s="1"/>
  <c r="G43"/>
  <c r="I94"/>
  <c r="H50" i="36"/>
  <c r="G50"/>
  <c r="D50"/>
  <c r="M50"/>
  <c r="L50"/>
  <c r="B50"/>
  <c r="M58"/>
  <c r="L58"/>
  <c r="D58"/>
  <c r="G58"/>
  <c r="H58"/>
  <c r="B58"/>
  <c r="M66"/>
  <c r="L66"/>
  <c r="D66"/>
  <c r="G66"/>
  <c r="H66"/>
  <c r="B66"/>
  <c r="L47" i="35"/>
  <c r="B47"/>
  <c r="H47"/>
  <c r="D47"/>
  <c r="M47"/>
  <c r="N47" s="1"/>
  <c r="G47"/>
  <c r="L55"/>
  <c r="B55"/>
  <c r="H55"/>
  <c r="D55"/>
  <c r="M55"/>
  <c r="N55" s="1"/>
  <c r="G55"/>
  <c r="L63"/>
  <c r="B63"/>
  <c r="H63"/>
  <c r="D63"/>
  <c r="M63"/>
  <c r="N63" s="1"/>
  <c r="G63"/>
  <c r="H49" i="36"/>
  <c r="G49"/>
  <c r="D49"/>
  <c r="M49"/>
  <c r="B49"/>
  <c r="L49"/>
  <c r="H57"/>
  <c r="G57"/>
  <c r="D57"/>
  <c r="M57"/>
  <c r="L57"/>
  <c r="B57"/>
  <c r="M65"/>
  <c r="L65"/>
  <c r="D65"/>
  <c r="G65"/>
  <c r="H65"/>
  <c r="B65"/>
  <c r="M44" i="35"/>
  <c r="G44"/>
  <c r="H44"/>
  <c r="L44"/>
  <c r="B44"/>
  <c r="D44"/>
  <c r="M52"/>
  <c r="G52"/>
  <c r="H52"/>
  <c r="L52"/>
  <c r="B52"/>
  <c r="D52"/>
  <c r="M60"/>
  <c r="G60"/>
  <c r="H60"/>
  <c r="L60"/>
  <c r="B60"/>
  <c r="D60"/>
  <c r="M68"/>
  <c r="G68"/>
  <c r="H68"/>
  <c r="L68"/>
  <c r="B68"/>
  <c r="D68"/>
  <c r="H48" i="36"/>
  <c r="G48"/>
  <c r="D48"/>
  <c r="M48"/>
  <c r="L48"/>
  <c r="B48"/>
  <c r="H56"/>
  <c r="G56"/>
  <c r="D56"/>
  <c r="M56"/>
  <c r="B56"/>
  <c r="L56"/>
  <c r="M64"/>
  <c r="L64"/>
  <c r="D64"/>
  <c r="G64"/>
  <c r="H64"/>
  <c r="B64"/>
  <c r="M45" i="35"/>
  <c r="B45"/>
  <c r="L45"/>
  <c r="H45"/>
  <c r="D45"/>
  <c r="G45"/>
  <c r="L53"/>
  <c r="B53"/>
  <c r="H53"/>
  <c r="D53"/>
  <c r="M53"/>
  <c r="G53"/>
  <c r="L61"/>
  <c r="B61"/>
  <c r="H61"/>
  <c r="D61"/>
  <c r="M61"/>
  <c r="G61"/>
  <c r="L69"/>
  <c r="B69"/>
  <c r="H69"/>
  <c r="D69"/>
  <c r="M69"/>
  <c r="G69"/>
  <c r="H47" i="36"/>
  <c r="G47"/>
  <c r="D47"/>
  <c r="M47"/>
  <c r="L47"/>
  <c r="B47"/>
  <c r="H55"/>
  <c r="G55"/>
  <c r="D55"/>
  <c r="M55"/>
  <c r="L55"/>
  <c r="B55"/>
  <c r="M63"/>
  <c r="L63"/>
  <c r="D63"/>
  <c r="G63"/>
  <c r="H63"/>
  <c r="B63"/>
  <c r="L46" i="35"/>
  <c r="H46"/>
  <c r="G46"/>
  <c r="M46"/>
  <c r="B46"/>
  <c r="D46"/>
  <c r="M54"/>
  <c r="L54"/>
  <c r="G54"/>
  <c r="H54"/>
  <c r="B54"/>
  <c r="D54"/>
  <c r="M62"/>
  <c r="L62"/>
  <c r="G62"/>
  <c r="H62"/>
  <c r="B62"/>
  <c r="D62"/>
  <c r="H43" i="36"/>
  <c r="G43"/>
  <c r="D43"/>
  <c r="M43"/>
  <c r="L43"/>
  <c r="B43"/>
  <c r="O19"/>
  <c r="R19" s="1"/>
  <c r="O23"/>
  <c r="R23" s="1"/>
  <c r="O27"/>
  <c r="R27" s="1"/>
  <c r="O31"/>
  <c r="R31" s="1"/>
  <c r="O39"/>
  <c r="R39" s="1"/>
  <c r="O32" i="35"/>
  <c r="R32" s="1"/>
  <c r="O40" i="36"/>
  <c r="R40" s="1"/>
  <c r="O21"/>
  <c r="R21" s="1"/>
  <c r="O25"/>
  <c r="R25" s="1"/>
  <c r="O29"/>
  <c r="R29" s="1"/>
  <c r="O33"/>
  <c r="R33" s="1"/>
  <c r="H56" i="38"/>
  <c r="F21" i="28"/>
  <c r="F22" s="1"/>
  <c r="F23" s="1"/>
  <c r="F32" s="1"/>
  <c r="K202" i="22"/>
  <c r="G121" i="23"/>
  <c r="D55" i="4" s="1"/>
  <c r="C122" i="36"/>
  <c r="M2267" i="33"/>
  <c r="X962" i="21"/>
  <c r="X17"/>
  <c r="X1046"/>
  <c r="X907"/>
  <c r="X1097"/>
  <c r="X924"/>
  <c r="D11" i="4"/>
  <c r="M2050" i="33"/>
  <c r="M2094"/>
  <c r="M2215"/>
  <c r="X974" i="21"/>
  <c r="X929"/>
  <c r="X991"/>
  <c r="X917"/>
  <c r="M2250" i="33"/>
  <c r="M2085"/>
  <c r="X1034" i="21"/>
  <c r="X1119"/>
  <c r="X983"/>
  <c r="X1071"/>
  <c r="M2087" i="33"/>
  <c r="M2194"/>
  <c r="X998" i="21"/>
  <c r="X1083"/>
  <c r="X953"/>
  <c r="X911"/>
  <c r="X955"/>
  <c r="X992"/>
  <c r="X14"/>
  <c r="M2035" i="33"/>
  <c r="X1091" i="21"/>
  <c r="X927"/>
  <c r="X18"/>
  <c r="M2209" i="33"/>
  <c r="X919" i="21"/>
  <c r="M2051" i="33"/>
  <c r="X21" i="21"/>
  <c r="X1019"/>
  <c r="X920"/>
  <c r="X607"/>
  <c r="X956"/>
  <c r="X905"/>
  <c r="X980"/>
  <c r="M2100" i="33"/>
  <c r="X950" i="21"/>
  <c r="X613"/>
  <c r="X8"/>
  <c r="X1008"/>
  <c r="X1010"/>
  <c r="X965"/>
  <c r="X20"/>
  <c r="X1020"/>
  <c r="M2190" i="33"/>
  <c r="M2086"/>
  <c r="M2045"/>
  <c r="X958" i="21"/>
  <c r="X1041"/>
  <c r="X903"/>
  <c r="X959"/>
  <c r="X906"/>
  <c r="X1003"/>
  <c r="M2038" i="33"/>
  <c r="M2198"/>
  <c r="M2265"/>
  <c r="X954" i="21"/>
  <c r="X897"/>
  <c r="X973"/>
  <c r="X951"/>
  <c r="X1125"/>
  <c r="M2183" i="33"/>
  <c r="M2189"/>
  <c r="M2047"/>
  <c r="X1001" i="21"/>
  <c r="X843"/>
  <c r="X964"/>
  <c r="X1052"/>
  <c r="X960"/>
  <c r="X952"/>
  <c r="X13"/>
  <c r="M2091" i="33"/>
  <c r="M2136"/>
  <c r="X1059" i="21"/>
  <c r="X949"/>
  <c r="X1077"/>
  <c r="M2269" i="33"/>
  <c r="X961" i="21"/>
  <c r="X16"/>
  <c r="M2046" i="33"/>
  <c r="M2044"/>
  <c r="X1069" i="21"/>
  <c r="X957"/>
  <c r="X619"/>
  <c r="X936"/>
  <c r="X990"/>
  <c r="M2092" i="33"/>
  <c r="X941" i="21"/>
  <c r="X844"/>
  <c r="X1012"/>
  <c r="M2088" i="33"/>
  <c r="M2228"/>
  <c r="X1115" i="21"/>
  <c r="X616"/>
  <c r="X931"/>
  <c r="M2135" i="33"/>
  <c r="M2036"/>
  <c r="X978" i="21"/>
  <c r="M2203" i="33"/>
  <c r="M2193"/>
  <c r="X1116" i="21"/>
  <c r="X1005"/>
  <c r="X1060"/>
  <c r="X611"/>
  <c r="X1117"/>
  <c r="X885"/>
  <c r="X904"/>
  <c r="X933"/>
  <c r="M2212" i="33"/>
  <c r="X1070" i="21"/>
  <c r="M2199" i="33"/>
  <c r="M2247"/>
  <c r="K54" i="38"/>
  <c r="M20"/>
  <c r="M25"/>
  <c r="J54"/>
  <c r="L40" i="4"/>
  <c r="M40"/>
  <c r="I40"/>
  <c r="I35"/>
  <c r="N39"/>
  <c r="I36"/>
  <c r="I38"/>
  <c r="N38"/>
  <c r="N35"/>
  <c r="N34"/>
  <c r="L29"/>
  <c r="I34"/>
  <c r="I39"/>
  <c r="O39" s="1"/>
  <c r="K29"/>
  <c r="K31" s="1"/>
  <c r="I37"/>
  <c r="F31"/>
  <c r="I20"/>
  <c r="I15" s="1"/>
  <c r="O38" l="1"/>
  <c r="X943" i="21"/>
  <c r="D40" i="4"/>
  <c r="M570" i="33"/>
  <c r="D39" i="4"/>
  <c r="D26"/>
  <c r="O34"/>
  <c r="I29"/>
  <c r="O94" i="35"/>
  <c r="R94" s="1"/>
  <c r="M2207" i="33"/>
  <c r="X945" i="21"/>
  <c r="C157" i="35"/>
  <c r="C130"/>
  <c r="M2195" i="33"/>
  <c r="X1114" i="21"/>
  <c r="X996"/>
  <c r="X948"/>
  <c r="M2452" i="33"/>
  <c r="M2070"/>
  <c r="C142" i="36"/>
  <c r="M2421" i="33"/>
  <c r="M305"/>
  <c r="M2404"/>
  <c r="M2552"/>
  <c r="C129" i="36"/>
  <c r="M2426" i="33"/>
  <c r="M2237"/>
  <c r="M2589"/>
  <c r="M295"/>
  <c r="M2446"/>
  <c r="C141" i="36"/>
  <c r="M2063" i="33"/>
  <c r="M2343"/>
  <c r="M2453"/>
  <c r="M2564"/>
  <c r="C140" i="36"/>
  <c r="M2243" i="33"/>
  <c r="M2066"/>
  <c r="M2427"/>
  <c r="M294"/>
  <c r="C132" i="36"/>
  <c r="X1061" i="21"/>
  <c r="M2596" i="33"/>
  <c r="M2320"/>
  <c r="M2244"/>
  <c r="M51"/>
  <c r="M2353"/>
  <c r="M2440"/>
  <c r="M2556"/>
  <c r="M2558"/>
  <c r="M2451"/>
  <c r="M1841"/>
  <c r="M2370"/>
  <c r="M2550"/>
  <c r="M2420"/>
  <c r="M1919"/>
  <c r="M2366"/>
  <c r="M2231"/>
  <c r="M1918"/>
  <c r="M1933"/>
  <c r="M2157"/>
  <c r="M1843"/>
  <c r="M2541"/>
  <c r="M2352"/>
  <c r="M2578"/>
  <c r="M2591"/>
  <c r="M26"/>
  <c r="M2422"/>
  <c r="M2155"/>
  <c r="M2565"/>
  <c r="X1072" i="21"/>
  <c r="X1110"/>
  <c r="X994"/>
  <c r="C131" i="35"/>
  <c r="X1018" i="21"/>
  <c r="X1095"/>
  <c r="C151" i="35"/>
  <c r="C147"/>
  <c r="M2580" i="33"/>
  <c r="M50"/>
  <c r="M1391"/>
  <c r="M2584"/>
  <c r="M2242"/>
  <c r="M2549"/>
  <c r="M2441"/>
  <c r="M2355"/>
  <c r="M2369"/>
  <c r="C127" i="36"/>
  <c r="M2448" i="33"/>
  <c r="M2239"/>
  <c r="M2569"/>
  <c r="M2544"/>
  <c r="C143" i="36"/>
  <c r="M2323" i="33"/>
  <c r="M2139"/>
  <c r="M2367"/>
  <c r="M52"/>
  <c r="M1935"/>
  <c r="M2539"/>
  <c r="M2255"/>
  <c r="M1392"/>
  <c r="M2575"/>
  <c r="M2559"/>
  <c r="M625"/>
  <c r="M2425"/>
  <c r="M2588"/>
  <c r="M2449"/>
  <c r="M2594"/>
  <c r="M2546"/>
  <c r="M2592"/>
  <c r="M2542"/>
  <c r="M2234"/>
  <c r="M2579"/>
  <c r="M2327"/>
  <c r="M2158"/>
  <c r="M2141"/>
  <c r="M2324"/>
  <c r="M2125"/>
  <c r="M2368"/>
  <c r="M1931"/>
  <c r="M2566"/>
  <c r="M2437"/>
  <c r="M2577"/>
  <c r="M2325"/>
  <c r="M2571"/>
  <c r="M2069"/>
  <c r="M2410"/>
  <c r="M2235"/>
  <c r="C139" i="36"/>
  <c r="M2065" i="33"/>
  <c r="M2319"/>
  <c r="M2587"/>
  <c r="M2356"/>
  <c r="C135" i="36"/>
  <c r="M2142" i="33"/>
  <c r="M2563"/>
  <c r="M2436"/>
  <c r="M2062"/>
  <c r="M2236"/>
  <c r="M293"/>
  <c r="M2519"/>
  <c r="M2576"/>
  <c r="M2483"/>
  <c r="M2585"/>
  <c r="M2540"/>
  <c r="M2484"/>
  <c r="M2126"/>
  <c r="M2570"/>
  <c r="M2554"/>
  <c r="M2424"/>
  <c r="M2562"/>
  <c r="M2547"/>
  <c r="M2252"/>
  <c r="M2326"/>
  <c r="M2245"/>
  <c r="M2555"/>
  <c r="M2232"/>
  <c r="M2518"/>
  <c r="M2251"/>
  <c r="M2553"/>
  <c r="M2354"/>
  <c r="M2561"/>
  <c r="M2572"/>
  <c r="M2598"/>
  <c r="M2548"/>
  <c r="C134" i="36"/>
  <c r="M1840" i="33"/>
  <c r="M2590"/>
  <c r="M2156"/>
  <c r="C133" i="36"/>
  <c r="M2350" i="33"/>
  <c r="M2447"/>
  <c r="M2254"/>
  <c r="C131" i="36"/>
  <c r="M2067" i="33"/>
  <c r="M2411"/>
  <c r="M2419"/>
  <c r="M2233"/>
  <c r="C141" i="35"/>
  <c r="M1916" i="33"/>
  <c r="M152"/>
  <c r="K136" i="22"/>
  <c r="X1099" i="21"/>
  <c r="X997"/>
  <c r="X1073"/>
  <c r="X1057"/>
  <c r="X982"/>
  <c r="C162" i="35"/>
  <c r="X1028" i="21"/>
  <c r="X1055"/>
  <c r="C125" i="36"/>
  <c r="X1106" i="21"/>
  <c r="M2049" i="33"/>
  <c r="X1058" i="21"/>
  <c r="M2048" i="33"/>
  <c r="M1842"/>
  <c r="M2450"/>
  <c r="M2418"/>
  <c r="M2485"/>
  <c r="M218"/>
  <c r="M2597"/>
  <c r="M2599"/>
  <c r="M2586"/>
  <c r="M2321"/>
  <c r="M2064"/>
  <c r="C138" i="36"/>
  <c r="M2560" i="33"/>
  <c r="M2068"/>
  <c r="M306"/>
  <c r="M2538"/>
  <c r="M1932"/>
  <c r="C138" i="35"/>
  <c r="M2423" i="33"/>
  <c r="M2154"/>
  <c r="M2129"/>
  <c r="M2600"/>
  <c r="M2238"/>
  <c r="M2573"/>
  <c r="M2595"/>
  <c r="M219"/>
  <c r="M2140"/>
  <c r="M2127"/>
  <c r="M2006"/>
  <c r="M2454"/>
  <c r="M153"/>
  <c r="M2486"/>
  <c r="M2582"/>
  <c r="M2583"/>
  <c r="M2557"/>
  <c r="M1917"/>
  <c r="C128" i="36"/>
  <c r="M2543" i="33"/>
  <c r="M1934"/>
  <c r="M1844"/>
  <c r="M2128"/>
  <c r="M2466"/>
  <c r="M2246"/>
  <c r="C130" i="36"/>
  <c r="M2551" i="33"/>
  <c r="M2581"/>
  <c r="M626"/>
  <c r="C137" i="36"/>
  <c r="M2465" i="33"/>
  <c r="M2593"/>
  <c r="M2567"/>
  <c r="M2322"/>
  <c r="M2403"/>
  <c r="C136" i="36"/>
  <c r="M2253" i="33"/>
  <c r="M2351"/>
  <c r="M2574"/>
  <c r="X1054" i="21"/>
  <c r="M2445" i="33"/>
  <c r="M2568"/>
  <c r="M2482"/>
  <c r="M2402"/>
  <c r="M2005"/>
  <c r="M2545"/>
  <c r="M2061"/>
  <c r="K441" i="22"/>
  <c r="M2342" i="33"/>
  <c r="I45" i="35"/>
  <c r="N49"/>
  <c r="M131"/>
  <c r="H131"/>
  <c r="L131"/>
  <c r="G131"/>
  <c r="M130"/>
  <c r="H130"/>
  <c r="L130"/>
  <c r="G130"/>
  <c r="O94" i="36"/>
  <c r="R94" s="1"/>
  <c r="N69" i="35"/>
  <c r="N53"/>
  <c r="N61"/>
  <c r="I62"/>
  <c r="N62"/>
  <c r="I54"/>
  <c r="N54"/>
  <c r="I46"/>
  <c r="N63" i="36"/>
  <c r="N64"/>
  <c r="N68" i="35"/>
  <c r="N60"/>
  <c r="N52"/>
  <c r="N44"/>
  <c r="N65" i="36"/>
  <c r="N66"/>
  <c r="N58"/>
  <c r="I66" i="35"/>
  <c r="N66"/>
  <c r="I58"/>
  <c r="N58"/>
  <c r="I50"/>
  <c r="N50"/>
  <c r="N67" i="36"/>
  <c r="N59"/>
  <c r="N56" i="35"/>
  <c r="N48"/>
  <c r="N69" i="36"/>
  <c r="N61"/>
  <c r="N68"/>
  <c r="N60"/>
  <c r="N64" i="35"/>
  <c r="I54" i="36"/>
  <c r="N46"/>
  <c r="I46"/>
  <c r="X1016" i="21"/>
  <c r="X915"/>
  <c r="X972"/>
  <c r="X914"/>
  <c r="C137" i="35"/>
  <c r="X1086" i="21"/>
  <c r="M2282" i="33"/>
  <c r="C153" i="35"/>
  <c r="X975" i="21"/>
  <c r="C124" i="36"/>
  <c r="X1025" i="21"/>
  <c r="X1118"/>
  <c r="X1124"/>
  <c r="X1075"/>
  <c r="X1120"/>
  <c r="X1040"/>
  <c r="M24" i="33"/>
  <c r="M2230"/>
  <c r="X971" i="21"/>
  <c r="M2240" i="33"/>
  <c r="X913" i="21"/>
  <c r="M2214" i="33"/>
  <c r="C136" i="35"/>
  <c r="X968" i="21"/>
  <c r="X1074"/>
  <c r="M25" i="33"/>
  <c r="X995" i="21"/>
  <c r="D13" i="4"/>
  <c r="X1090" i="21"/>
  <c r="X1112"/>
  <c r="M2059" i="33"/>
  <c r="X1036" i="21"/>
  <c r="X1103"/>
  <c r="X1089"/>
  <c r="X977"/>
  <c r="X1088"/>
  <c r="X1109"/>
  <c r="X935"/>
  <c r="X845"/>
  <c r="C154" i="35"/>
  <c r="X969" i="21"/>
  <c r="X883"/>
  <c r="X1009"/>
  <c r="M2309" i="33"/>
  <c r="X1063" i="21"/>
  <c r="X1066"/>
  <c r="X1105"/>
  <c r="M2213" i="33"/>
  <c r="X1087" i="21"/>
  <c r="M2196" i="33"/>
  <c r="C133" i="35"/>
  <c r="C139"/>
  <c r="X976" i="21"/>
  <c r="C128" i="35"/>
  <c r="C129"/>
  <c r="X1128" i="21"/>
  <c r="M2205" i="33"/>
  <c r="M2137"/>
  <c r="X989" i="21"/>
  <c r="X916"/>
  <c r="M2227" i="33"/>
  <c r="X1035" i="21"/>
  <c r="X1121"/>
  <c r="X993"/>
  <c r="X1104"/>
  <c r="M2138" i="33"/>
  <c r="X1011" i="21"/>
  <c r="X1092"/>
  <c r="I62" i="36"/>
  <c r="N54"/>
  <c r="M2118" i="33"/>
  <c r="M2117"/>
  <c r="C70" i="35"/>
  <c r="C70" i="36"/>
  <c r="C120" i="35"/>
  <c r="X857" i="21"/>
  <c r="X587"/>
  <c r="X89"/>
  <c r="X856"/>
  <c r="X90"/>
  <c r="D9" i="4"/>
  <c r="C120" i="36"/>
  <c r="X531" i="21"/>
  <c r="X529"/>
  <c r="X621"/>
  <c r="X623"/>
  <c r="X585"/>
  <c r="X530"/>
  <c r="X586"/>
  <c r="X88"/>
  <c r="D7" i="4"/>
  <c r="M2180" i="33"/>
  <c r="M2160"/>
  <c r="M2143"/>
  <c r="M2181"/>
  <c r="M2161"/>
  <c r="M2144"/>
  <c r="X671" i="21"/>
  <c r="X747"/>
  <c r="X781"/>
  <c r="X696"/>
  <c r="X790"/>
  <c r="X748"/>
  <c r="X782"/>
  <c r="X774"/>
  <c r="X791"/>
  <c r="X879"/>
  <c r="X819"/>
  <c r="X811"/>
  <c r="X869"/>
  <c r="X807"/>
  <c r="X716"/>
  <c r="X713"/>
  <c r="X771"/>
  <c r="X726"/>
  <c r="X795"/>
  <c r="X681"/>
  <c r="X652"/>
  <c r="X648"/>
  <c r="X624"/>
  <c r="X573"/>
  <c r="X565"/>
  <c r="X578"/>
  <c r="X591"/>
  <c r="X546"/>
  <c r="X880"/>
  <c r="X820"/>
  <c r="X812"/>
  <c r="X868"/>
  <c r="X810"/>
  <c r="X827"/>
  <c r="X715"/>
  <c r="X712"/>
  <c r="X761"/>
  <c r="X729"/>
  <c r="X686"/>
  <c r="X684"/>
  <c r="X653"/>
  <c r="X649"/>
  <c r="X674"/>
  <c r="X549"/>
  <c r="X566"/>
  <c r="X579"/>
  <c r="X588"/>
  <c r="X547"/>
  <c r="X598"/>
  <c r="M2182" i="33"/>
  <c r="M2162"/>
  <c r="M2119"/>
  <c r="M2179"/>
  <c r="M2159"/>
  <c r="M2116"/>
  <c r="M2102"/>
  <c r="C126" i="36"/>
  <c r="X755" i="21"/>
  <c r="X779"/>
  <c r="X786"/>
  <c r="X788"/>
  <c r="X746"/>
  <c r="X780"/>
  <c r="X787"/>
  <c r="X789"/>
  <c r="X840"/>
  <c r="X817"/>
  <c r="X825"/>
  <c r="X804"/>
  <c r="X830"/>
  <c r="X718"/>
  <c r="X764"/>
  <c r="X769"/>
  <c r="X689"/>
  <c r="X793"/>
  <c r="X679"/>
  <c r="X620"/>
  <c r="X663"/>
  <c r="X571"/>
  <c r="X563"/>
  <c r="X576"/>
  <c r="X589"/>
  <c r="X548"/>
  <c r="X599"/>
  <c r="X878"/>
  <c r="X818"/>
  <c r="X822"/>
  <c r="X805"/>
  <c r="X808"/>
  <c r="X717"/>
  <c r="X714"/>
  <c r="X763"/>
  <c r="X688"/>
  <c r="X678"/>
  <c r="X606"/>
  <c r="X651"/>
  <c r="X664"/>
  <c r="X672"/>
  <c r="X551"/>
  <c r="X568"/>
  <c r="X560"/>
  <c r="X590"/>
  <c r="X574"/>
  <c r="X600"/>
  <c r="X44"/>
  <c r="X54"/>
  <c r="C116" i="35"/>
  <c r="C108"/>
  <c r="C100"/>
  <c r="C90"/>
  <c r="C82"/>
  <c r="C72"/>
  <c r="C111" i="36"/>
  <c r="C103"/>
  <c r="C95"/>
  <c r="C87"/>
  <c r="C79"/>
  <c r="C71"/>
  <c r="X43" i="21"/>
  <c r="X53"/>
  <c r="C117" i="35"/>
  <c r="C109"/>
  <c r="C101"/>
  <c r="C93"/>
  <c r="C85"/>
  <c r="C77"/>
  <c r="C110" i="36"/>
  <c r="C102"/>
  <c r="C92"/>
  <c r="C84"/>
  <c r="C76"/>
  <c r="X95" i="21"/>
  <c r="C119" i="35"/>
  <c r="X42" i="21"/>
  <c r="X52"/>
  <c r="C114" i="35"/>
  <c r="C106"/>
  <c r="C98"/>
  <c r="C88"/>
  <c r="C80"/>
  <c r="C113" i="36"/>
  <c r="C105"/>
  <c r="C97"/>
  <c r="C89"/>
  <c r="D89" s="1"/>
  <c r="C81"/>
  <c r="C73"/>
  <c r="X45" i="21"/>
  <c r="X30"/>
  <c r="X35"/>
  <c r="C111" i="35"/>
  <c r="C103"/>
  <c r="C95"/>
  <c r="C87"/>
  <c r="C79"/>
  <c r="C71"/>
  <c r="C112" i="36"/>
  <c r="C104"/>
  <c r="C96"/>
  <c r="C86"/>
  <c r="C78"/>
  <c r="X93" i="21"/>
  <c r="X91"/>
  <c r="X94"/>
  <c r="C119" i="36"/>
  <c r="X622" i="21"/>
  <c r="C121" i="36"/>
  <c r="C118" i="35"/>
  <c r="C118" i="36"/>
  <c r="M2164" i="33"/>
  <c r="M2147"/>
  <c r="M2103"/>
  <c r="M2165"/>
  <c r="M2148"/>
  <c r="X753" i="21"/>
  <c r="X777"/>
  <c r="X784"/>
  <c r="X725"/>
  <c r="X754"/>
  <c r="X778"/>
  <c r="X785"/>
  <c r="X838"/>
  <c r="X815"/>
  <c r="X823"/>
  <c r="X802"/>
  <c r="X828"/>
  <c r="X762"/>
  <c r="X687"/>
  <c r="X685"/>
  <c r="X677"/>
  <c r="X605"/>
  <c r="X665"/>
  <c r="X673"/>
  <c r="X552"/>
  <c r="X569"/>
  <c r="X561"/>
  <c r="X532"/>
  <c r="X601"/>
  <c r="X839"/>
  <c r="X816"/>
  <c r="X824"/>
  <c r="X872"/>
  <c r="X803"/>
  <c r="X806"/>
  <c r="X719"/>
  <c r="X765"/>
  <c r="X770"/>
  <c r="X690"/>
  <c r="X794"/>
  <c r="X680"/>
  <c r="X645"/>
  <c r="X662"/>
  <c r="X553"/>
  <c r="X570"/>
  <c r="X562"/>
  <c r="X575"/>
  <c r="X592"/>
  <c r="X538"/>
  <c r="X602"/>
  <c r="M2178" i="33"/>
  <c r="M2149"/>
  <c r="M2115"/>
  <c r="M2101"/>
  <c r="M2163"/>
  <c r="M2120"/>
  <c r="M1760"/>
  <c r="X749" i="21"/>
  <c r="X751"/>
  <c r="X775"/>
  <c r="X792"/>
  <c r="X750"/>
  <c r="X752"/>
  <c r="X776"/>
  <c r="X783"/>
  <c r="X92"/>
  <c r="X881"/>
  <c r="X836"/>
  <c r="X813"/>
  <c r="X821"/>
  <c r="X871"/>
  <c r="X809"/>
  <c r="X826"/>
  <c r="X711"/>
  <c r="X773"/>
  <c r="X728"/>
  <c r="X797"/>
  <c r="X683"/>
  <c r="X656"/>
  <c r="X650"/>
  <c r="X675"/>
  <c r="X550"/>
  <c r="X567"/>
  <c r="X559"/>
  <c r="X539"/>
  <c r="X544"/>
  <c r="X882"/>
  <c r="X837"/>
  <c r="X814"/>
  <c r="X870"/>
  <c r="X801"/>
  <c r="X829"/>
  <c r="X740"/>
  <c r="X772"/>
  <c r="X727"/>
  <c r="X796"/>
  <c r="X682"/>
  <c r="X646"/>
  <c r="X647"/>
  <c r="X676"/>
  <c r="X572"/>
  <c r="X564"/>
  <c r="X577"/>
  <c r="X540"/>
  <c r="X545"/>
  <c r="X49"/>
  <c r="X34"/>
  <c r="X39"/>
  <c r="C112" i="35"/>
  <c r="C104"/>
  <c r="C96"/>
  <c r="C86"/>
  <c r="C78"/>
  <c r="C115" i="36"/>
  <c r="C107"/>
  <c r="C99"/>
  <c r="C91"/>
  <c r="C83"/>
  <c r="C75"/>
  <c r="X48" i="21"/>
  <c r="X33"/>
  <c r="X38"/>
  <c r="C113" i="35"/>
  <c r="C105"/>
  <c r="C97"/>
  <c r="C89"/>
  <c r="C81"/>
  <c r="C73"/>
  <c r="C114" i="36"/>
  <c r="C106"/>
  <c r="C98"/>
  <c r="C88"/>
  <c r="C80"/>
  <c r="X29" i="21"/>
  <c r="X25"/>
  <c r="X28"/>
  <c r="D8" i="4"/>
  <c r="X47" i="21"/>
  <c r="X32"/>
  <c r="X37"/>
  <c r="C110" i="35"/>
  <c r="C102"/>
  <c r="C92"/>
  <c r="C84"/>
  <c r="C76"/>
  <c r="C117" i="36"/>
  <c r="C109"/>
  <c r="C101"/>
  <c r="C93"/>
  <c r="C85"/>
  <c r="C77"/>
  <c r="X40" i="21"/>
  <c r="X55"/>
  <c r="X50"/>
  <c r="C115" i="35"/>
  <c r="C107"/>
  <c r="C99"/>
  <c r="C91"/>
  <c r="C83"/>
  <c r="C75"/>
  <c r="C116" i="36"/>
  <c r="C108"/>
  <c r="C100"/>
  <c r="C90"/>
  <c r="C82"/>
  <c r="C72"/>
  <c r="X27" i="21"/>
  <c r="C121" i="35"/>
  <c r="N45"/>
  <c r="C74"/>
  <c r="N62" i="36"/>
  <c r="M2270" i="33"/>
  <c r="M2208"/>
  <c r="X7" i="21"/>
  <c r="C149" i="35"/>
  <c r="C156"/>
  <c r="C144"/>
  <c r="X10" i="21"/>
  <c r="C145" i="35"/>
  <c r="X617" i="21"/>
  <c r="X1014"/>
  <c r="M2084" i="33"/>
  <c r="X986" i="21"/>
  <c r="M2281" i="33"/>
  <c r="X902" i="21"/>
  <c r="X926"/>
  <c r="M2185" i="33"/>
  <c r="X1122" i="21"/>
  <c r="X999"/>
  <c r="X1127"/>
  <c r="X1042"/>
  <c r="C155" i="35"/>
  <c r="C143"/>
  <c r="X1024" i="21"/>
  <c r="X1033"/>
  <c r="X1080"/>
  <c r="M2241" i="33"/>
  <c r="X612" i="21"/>
  <c r="X922"/>
  <c r="M2268" i="33"/>
  <c r="X887" i="21"/>
  <c r="M2266" i="33"/>
  <c r="X1043" i="21"/>
  <c r="X603"/>
  <c r="M2201" i="33"/>
  <c r="C160" i="35"/>
  <c r="X898" i="21"/>
  <c r="C161" i="35"/>
  <c r="X932" i="21"/>
  <c r="X921"/>
  <c r="X966"/>
  <c r="X1021"/>
  <c r="X1002"/>
  <c r="M2060" i="33"/>
  <c r="X1101" i="21"/>
  <c r="X1056"/>
  <c r="X841"/>
  <c r="X1031"/>
  <c r="X1013"/>
  <c r="M2202" i="33"/>
  <c r="X1015" i="21"/>
  <c r="M2184" i="33"/>
  <c r="M2186"/>
  <c r="X1023" i="21"/>
  <c r="X9"/>
  <c r="X1049"/>
  <c r="X1050"/>
  <c r="X1096"/>
  <c r="M2280" i="33"/>
  <c r="X1093" i="21"/>
  <c r="X1048"/>
  <c r="X884"/>
  <c r="X1006"/>
  <c r="M2262" i="33"/>
  <c r="X947" i="21"/>
  <c r="X988"/>
  <c r="X1079"/>
  <c r="X930"/>
  <c r="M2229" i="33"/>
  <c r="M2037"/>
  <c r="M2197"/>
  <c r="X11" i="21"/>
  <c r="C135" i="35"/>
  <c r="X1098" i="21"/>
  <c r="C124" i="35"/>
  <c r="H124" s="1"/>
  <c r="X944" i="21"/>
  <c r="X963"/>
  <c r="X1082"/>
  <c r="C132" i="35"/>
  <c r="C126"/>
  <c r="X923" i="21"/>
  <c r="X19"/>
  <c r="X1094"/>
  <c r="X1007"/>
  <c r="X937"/>
  <c r="X1068"/>
  <c r="X918"/>
  <c r="X1047"/>
  <c r="M2273" i="33"/>
  <c r="M2264"/>
  <c r="X908" i="21"/>
  <c r="X1081"/>
  <c r="X909"/>
  <c r="X1037"/>
  <c r="X1084"/>
  <c r="M2261" i="33"/>
  <c r="M2206"/>
  <c r="X1044" i="21"/>
  <c r="X1107"/>
  <c r="X901"/>
  <c r="X1022"/>
  <c r="M2191" i="33"/>
  <c r="M2274"/>
  <c r="X979" i="21"/>
  <c r="X899"/>
  <c r="X1065"/>
  <c r="X618"/>
  <c r="X1029"/>
  <c r="X946"/>
  <c r="X1076"/>
  <c r="X1032"/>
  <c r="C150" i="35"/>
  <c r="X6" i="21"/>
  <c r="C158" i="35"/>
  <c r="X987" i="21"/>
  <c r="M2089" i="33"/>
  <c r="X1102" i="21"/>
  <c r="X1051"/>
  <c r="M2093" i="33"/>
  <c r="X939" i="21"/>
  <c r="M2200" i="33"/>
  <c r="X1108" i="21"/>
  <c r="X912"/>
  <c r="C159" i="35"/>
  <c r="X928" i="21"/>
  <c r="X1062"/>
  <c r="X985"/>
  <c r="X1030"/>
  <c r="M2192" i="33"/>
  <c r="X1004" i="21"/>
  <c r="X900"/>
  <c r="X938"/>
  <c r="X842"/>
  <c r="X614"/>
  <c r="X942"/>
  <c r="X12"/>
  <c r="C152" i="35"/>
  <c r="C146"/>
  <c r="X1000" i="21"/>
  <c r="C140" i="35"/>
  <c r="C134"/>
  <c r="C127"/>
  <c r="C125"/>
  <c r="X984" i="21"/>
  <c r="X15"/>
  <c r="C148" i="35"/>
  <c r="C142"/>
  <c r="X608" i="21"/>
  <c r="X1085"/>
  <c r="X1126"/>
  <c r="X1039"/>
  <c r="X896"/>
  <c r="X1017"/>
  <c r="X934"/>
  <c r="X1064"/>
  <c r="X1027"/>
  <c r="X940"/>
  <c r="X1113"/>
  <c r="X925"/>
  <c r="X970"/>
  <c r="X1100"/>
  <c r="M2248" i="33"/>
  <c r="X1078" i="21"/>
  <c r="X1123"/>
  <c r="X910"/>
  <c r="X1038"/>
  <c r="M2204" i="33"/>
  <c r="M2187"/>
  <c r="M2083"/>
  <c r="X886" i="21"/>
  <c r="X1053"/>
  <c r="X967"/>
  <c r="X981"/>
  <c r="X1111"/>
  <c r="X615"/>
  <c r="X1026"/>
  <c r="M2090" i="33"/>
  <c r="M2279"/>
  <c r="M2249"/>
  <c r="C122" i="35"/>
  <c r="N43" i="36"/>
  <c r="I43"/>
  <c r="N46" i="35"/>
  <c r="I63" i="36"/>
  <c r="N55"/>
  <c r="I55"/>
  <c r="N47"/>
  <c r="I47"/>
  <c r="I69" i="35"/>
  <c r="I61"/>
  <c r="I53"/>
  <c r="I64" i="36"/>
  <c r="N56"/>
  <c r="I56"/>
  <c r="N48"/>
  <c r="I48"/>
  <c r="I68" i="35"/>
  <c r="I60"/>
  <c r="I52"/>
  <c r="I44"/>
  <c r="I65" i="36"/>
  <c r="N57"/>
  <c r="I57"/>
  <c r="N49"/>
  <c r="I49"/>
  <c r="I63" i="35"/>
  <c r="O63" s="1"/>
  <c r="R63" s="1"/>
  <c r="I55"/>
  <c r="O55" s="1"/>
  <c r="R55" s="1"/>
  <c r="I47"/>
  <c r="O47" s="1"/>
  <c r="R47" s="1"/>
  <c r="I66" i="36"/>
  <c r="I58"/>
  <c r="N50"/>
  <c r="I50"/>
  <c r="C74"/>
  <c r="I43" i="35"/>
  <c r="O43" s="1"/>
  <c r="R43" s="1"/>
  <c r="I67" i="36"/>
  <c r="I59"/>
  <c r="N51"/>
  <c r="I51"/>
  <c r="I65" i="35"/>
  <c r="O65" s="1"/>
  <c r="R65" s="1"/>
  <c r="I57"/>
  <c r="O57" s="1"/>
  <c r="R57" s="1"/>
  <c r="I49"/>
  <c r="I68" i="36"/>
  <c r="I60"/>
  <c r="N52"/>
  <c r="I52"/>
  <c r="N44"/>
  <c r="I44"/>
  <c r="I64" i="35"/>
  <c r="I56"/>
  <c r="I48"/>
  <c r="I69" i="36"/>
  <c r="I61"/>
  <c r="N53"/>
  <c r="I53"/>
  <c r="N45"/>
  <c r="I45"/>
  <c r="I67" i="35"/>
  <c r="O67" s="1"/>
  <c r="R67" s="1"/>
  <c r="I59"/>
  <c r="O59" s="1"/>
  <c r="R59" s="1"/>
  <c r="I51"/>
  <c r="O51" s="1"/>
  <c r="R51" s="1"/>
  <c r="D153"/>
  <c r="B153"/>
  <c r="L124"/>
  <c r="D124"/>
  <c r="G124"/>
  <c r="M124"/>
  <c r="B126"/>
  <c r="D126"/>
  <c r="B158"/>
  <c r="D158"/>
  <c r="D133"/>
  <c r="B133"/>
  <c r="D139"/>
  <c r="B139"/>
  <c r="D138"/>
  <c r="B147"/>
  <c r="D147"/>
  <c r="G122"/>
  <c r="M122"/>
  <c r="D122"/>
  <c r="H122"/>
  <c r="B122"/>
  <c r="L122"/>
  <c r="B156"/>
  <c r="D156"/>
  <c r="B155"/>
  <c r="D155"/>
  <c r="D160"/>
  <c r="B160"/>
  <c r="D161"/>
  <c r="B161"/>
  <c r="M124" i="36"/>
  <c r="G124"/>
  <c r="L124"/>
  <c r="H124"/>
  <c r="D124"/>
  <c r="B124"/>
  <c r="D136" i="35"/>
  <c r="B136"/>
  <c r="B154"/>
  <c r="D154"/>
  <c r="D152"/>
  <c r="B152"/>
  <c r="B134"/>
  <c r="D134"/>
  <c r="D125"/>
  <c r="B125"/>
  <c r="B142"/>
  <c r="D142"/>
  <c r="C123"/>
  <c r="C123" i="36"/>
  <c r="D10" i="4"/>
  <c r="D12"/>
  <c r="M2188" i="33"/>
  <c r="M2226"/>
  <c r="D137" i="35"/>
  <c r="B137"/>
  <c r="D157"/>
  <c r="B157"/>
  <c r="D135"/>
  <c r="B135"/>
  <c r="D132"/>
  <c r="B132"/>
  <c r="B150"/>
  <c r="D150"/>
  <c r="D141"/>
  <c r="B141"/>
  <c r="B159"/>
  <c r="D159"/>
  <c r="B151"/>
  <c r="D151"/>
  <c r="B128"/>
  <c r="D128"/>
  <c r="D129"/>
  <c r="B129"/>
  <c r="F33" i="28"/>
  <c r="F35" s="1"/>
  <c r="E59" s="1"/>
  <c r="F61" s="1"/>
  <c r="K56" i="38"/>
  <c r="D149" i="35"/>
  <c r="B149"/>
  <c r="D144"/>
  <c r="B144"/>
  <c r="D145"/>
  <c r="B145"/>
  <c r="B143"/>
  <c r="D143"/>
  <c r="D130"/>
  <c r="B130"/>
  <c r="D131"/>
  <c r="B131"/>
  <c r="B162"/>
  <c r="D162"/>
  <c r="L125" i="36"/>
  <c r="B125"/>
  <c r="G125"/>
  <c r="D125"/>
  <c r="H125"/>
  <c r="M125"/>
  <c r="B146" i="35"/>
  <c r="D146"/>
  <c r="D140"/>
  <c r="B140"/>
  <c r="D127"/>
  <c r="B127"/>
  <c r="D148"/>
  <c r="B148"/>
  <c r="L122" i="36"/>
  <c r="G122"/>
  <c r="D122"/>
  <c r="M122"/>
  <c r="B122"/>
  <c r="H122"/>
  <c r="N40" i="4"/>
  <c r="O40" s="1"/>
  <c r="O35"/>
  <c r="Q20"/>
  <c r="P20"/>
  <c r="K16"/>
  <c r="K1"/>
  <c r="J1887" i="33"/>
  <c r="J1886"/>
  <c r="J1870"/>
  <c r="J1869"/>
  <c r="J1859"/>
  <c r="J1858"/>
  <c r="J1829"/>
  <c r="J1828"/>
  <c r="J1827"/>
  <c r="J1826"/>
  <c r="J1825"/>
  <c r="J1824"/>
  <c r="N124" i="35" l="1"/>
  <c r="B124"/>
  <c r="O45"/>
  <c r="R45" s="1"/>
  <c r="F52" i="28"/>
  <c r="H145" i="35"/>
  <c r="M145"/>
  <c r="L145"/>
  <c r="G145"/>
  <c r="D137" i="36"/>
  <c r="H137"/>
  <c r="G137"/>
  <c r="L137"/>
  <c r="M137"/>
  <c r="B137"/>
  <c r="D130"/>
  <c r="G130"/>
  <c r="H130"/>
  <c r="M130"/>
  <c r="L130"/>
  <c r="B130"/>
  <c r="D138"/>
  <c r="G138"/>
  <c r="L138"/>
  <c r="M138"/>
  <c r="H138"/>
  <c r="B138"/>
  <c r="D139"/>
  <c r="L139"/>
  <c r="G139"/>
  <c r="M139"/>
  <c r="H139"/>
  <c r="B139"/>
  <c r="D143"/>
  <c r="B143"/>
  <c r="D140"/>
  <c r="G140"/>
  <c r="L140"/>
  <c r="H140"/>
  <c r="M140"/>
  <c r="N140" s="1"/>
  <c r="B140"/>
  <c r="D142"/>
  <c r="B142"/>
  <c r="H143" i="35"/>
  <c r="G143"/>
  <c r="M143"/>
  <c r="L143"/>
  <c r="D127" i="36"/>
  <c r="H127"/>
  <c r="G127"/>
  <c r="L127"/>
  <c r="M127"/>
  <c r="B127"/>
  <c r="D141"/>
  <c r="B141"/>
  <c r="H144" i="35"/>
  <c r="M144"/>
  <c r="L144"/>
  <c r="G144"/>
  <c r="D136" i="36"/>
  <c r="G136"/>
  <c r="H136"/>
  <c r="M136"/>
  <c r="L136"/>
  <c r="B136"/>
  <c r="B138" i="35"/>
  <c r="H138"/>
  <c r="M138"/>
  <c r="L138"/>
  <c r="G138"/>
  <c r="M141"/>
  <c r="L141"/>
  <c r="H141"/>
  <c r="G141"/>
  <c r="H142"/>
  <c r="M142"/>
  <c r="L142"/>
  <c r="G142"/>
  <c r="H140"/>
  <c r="M140"/>
  <c r="L140"/>
  <c r="G140"/>
  <c r="H139"/>
  <c r="G139"/>
  <c r="M139"/>
  <c r="L139"/>
  <c r="I131"/>
  <c r="D128" i="36"/>
  <c r="G128"/>
  <c r="H128"/>
  <c r="M128"/>
  <c r="L128"/>
  <c r="B128"/>
  <c r="D131"/>
  <c r="H131"/>
  <c r="G131"/>
  <c r="L131"/>
  <c r="M131"/>
  <c r="B131"/>
  <c r="D133"/>
  <c r="H133"/>
  <c r="G133"/>
  <c r="L133"/>
  <c r="M133"/>
  <c r="B133"/>
  <c r="D134"/>
  <c r="G134"/>
  <c r="H134"/>
  <c r="M134"/>
  <c r="L134"/>
  <c r="B134"/>
  <c r="D135"/>
  <c r="H135"/>
  <c r="G135"/>
  <c r="L135"/>
  <c r="M135"/>
  <c r="B135"/>
  <c r="D132"/>
  <c r="G132"/>
  <c r="H132"/>
  <c r="M132"/>
  <c r="L132"/>
  <c r="B132"/>
  <c r="D129"/>
  <c r="H129"/>
  <c r="G129"/>
  <c r="L129"/>
  <c r="M129"/>
  <c r="B129"/>
  <c r="O49" i="35"/>
  <c r="R49" s="1"/>
  <c r="I130"/>
  <c r="AC27" i="8"/>
  <c r="AD27" s="1"/>
  <c r="M127" i="35"/>
  <c r="H127"/>
  <c r="L127"/>
  <c r="G127"/>
  <c r="M134"/>
  <c r="H134"/>
  <c r="G134"/>
  <c r="L134"/>
  <c r="M126"/>
  <c r="H126"/>
  <c r="L126"/>
  <c r="G126"/>
  <c r="M135"/>
  <c r="H135"/>
  <c r="L135"/>
  <c r="G135"/>
  <c r="L126" i="36"/>
  <c r="G126"/>
  <c r="M126"/>
  <c r="N126" s="1"/>
  <c r="H126"/>
  <c r="M133" i="35"/>
  <c r="H133"/>
  <c r="L133"/>
  <c r="G133"/>
  <c r="M137"/>
  <c r="H137"/>
  <c r="L137"/>
  <c r="G137"/>
  <c r="N130"/>
  <c r="N131"/>
  <c r="M125"/>
  <c r="H125"/>
  <c r="L125"/>
  <c r="G125"/>
  <c r="M132"/>
  <c r="H132"/>
  <c r="L132"/>
  <c r="G132"/>
  <c r="M129"/>
  <c r="H129"/>
  <c r="L129"/>
  <c r="G129"/>
  <c r="M128"/>
  <c r="H128"/>
  <c r="L128"/>
  <c r="G128"/>
  <c r="M136"/>
  <c r="H136"/>
  <c r="L136"/>
  <c r="G136"/>
  <c r="O130"/>
  <c r="R130" s="1"/>
  <c r="O64"/>
  <c r="R64" s="1"/>
  <c r="O68" i="36"/>
  <c r="R68" s="1"/>
  <c r="O44" i="35"/>
  <c r="R44" s="1"/>
  <c r="O60"/>
  <c r="R60" s="1"/>
  <c r="O64" i="36"/>
  <c r="R64" s="1"/>
  <c r="O60"/>
  <c r="R60" s="1"/>
  <c r="O65"/>
  <c r="R65" s="1"/>
  <c r="O52" i="35"/>
  <c r="R52" s="1"/>
  <c r="O68"/>
  <c r="R68" s="1"/>
  <c r="O69"/>
  <c r="R69" s="1"/>
  <c r="O53"/>
  <c r="R53" s="1"/>
  <c r="O61"/>
  <c r="R61" s="1"/>
  <c r="O61" i="36"/>
  <c r="R61" s="1"/>
  <c r="O48" i="35"/>
  <c r="R48" s="1"/>
  <c r="O59" i="36"/>
  <c r="R59" s="1"/>
  <c r="O58"/>
  <c r="R58" s="1"/>
  <c r="O63"/>
  <c r="R63" s="1"/>
  <c r="O54" i="35"/>
  <c r="R54" s="1"/>
  <c r="O62"/>
  <c r="R62" s="1"/>
  <c r="O69" i="36"/>
  <c r="R69" s="1"/>
  <c r="O56" i="35"/>
  <c r="R56" s="1"/>
  <c r="O67" i="36"/>
  <c r="R67" s="1"/>
  <c r="O66"/>
  <c r="R66" s="1"/>
  <c r="O46" i="35"/>
  <c r="R46" s="1"/>
  <c r="O50"/>
  <c r="R50" s="1"/>
  <c r="O58"/>
  <c r="R58" s="1"/>
  <c r="O66"/>
  <c r="R66" s="1"/>
  <c r="O62" i="36"/>
  <c r="R62" s="1"/>
  <c r="O45"/>
  <c r="R45" s="1"/>
  <c r="O53"/>
  <c r="R53" s="1"/>
  <c r="O43"/>
  <c r="R43" s="1"/>
  <c r="O54"/>
  <c r="R54" s="1"/>
  <c r="O51"/>
  <c r="R51" s="1"/>
  <c r="O50"/>
  <c r="R50" s="1"/>
  <c r="O49"/>
  <c r="R49" s="1"/>
  <c r="O48"/>
  <c r="R48" s="1"/>
  <c r="O46"/>
  <c r="R46" s="1"/>
  <c r="M74"/>
  <c r="G74"/>
  <c r="D74"/>
  <c r="L74"/>
  <c r="H74"/>
  <c r="B74"/>
  <c r="M72"/>
  <c r="G72"/>
  <c r="D72"/>
  <c r="L72"/>
  <c r="H72"/>
  <c r="B72"/>
  <c r="G90"/>
  <c r="H90"/>
  <c r="D90"/>
  <c r="L90"/>
  <c r="M90"/>
  <c r="B90"/>
  <c r="G108"/>
  <c r="H108"/>
  <c r="D108"/>
  <c r="L108"/>
  <c r="M108"/>
  <c r="B108"/>
  <c r="M75" i="35"/>
  <c r="H75"/>
  <c r="L75"/>
  <c r="G75"/>
  <c r="D75"/>
  <c r="B75"/>
  <c r="M91"/>
  <c r="H91"/>
  <c r="L91"/>
  <c r="G91"/>
  <c r="D91"/>
  <c r="B91"/>
  <c r="M107"/>
  <c r="H107"/>
  <c r="L107"/>
  <c r="G107"/>
  <c r="D107"/>
  <c r="B107"/>
  <c r="G77" i="36"/>
  <c r="H77"/>
  <c r="D77"/>
  <c r="L77"/>
  <c r="M77"/>
  <c r="B77"/>
  <c r="M93"/>
  <c r="L93"/>
  <c r="D93"/>
  <c r="G93"/>
  <c r="H93"/>
  <c r="B93"/>
  <c r="G109"/>
  <c r="H109"/>
  <c r="D109"/>
  <c r="L109"/>
  <c r="M109"/>
  <c r="B109"/>
  <c r="D76" i="35"/>
  <c r="M76"/>
  <c r="L76"/>
  <c r="G76"/>
  <c r="B76"/>
  <c r="H76"/>
  <c r="D92"/>
  <c r="M92"/>
  <c r="L92"/>
  <c r="G92"/>
  <c r="B92"/>
  <c r="H92"/>
  <c r="D110"/>
  <c r="B110"/>
  <c r="M110"/>
  <c r="L110"/>
  <c r="G110"/>
  <c r="H110"/>
  <c r="G88" i="36"/>
  <c r="H88"/>
  <c r="D88"/>
  <c r="L88"/>
  <c r="M88"/>
  <c r="B88"/>
  <c r="G106"/>
  <c r="H106"/>
  <c r="D106"/>
  <c r="L106"/>
  <c r="M106"/>
  <c r="B106"/>
  <c r="L73" i="35"/>
  <c r="B73"/>
  <c r="H73"/>
  <c r="D73"/>
  <c r="M73"/>
  <c r="N73" s="1"/>
  <c r="G73"/>
  <c r="M89"/>
  <c r="H89"/>
  <c r="L89"/>
  <c r="G89"/>
  <c r="D89"/>
  <c r="B89"/>
  <c r="M105"/>
  <c r="H105"/>
  <c r="L105"/>
  <c r="G105"/>
  <c r="D105"/>
  <c r="B105"/>
  <c r="M75" i="36"/>
  <c r="G75"/>
  <c r="D75"/>
  <c r="L75"/>
  <c r="H75"/>
  <c r="B75"/>
  <c r="G91"/>
  <c r="H91"/>
  <c r="D91"/>
  <c r="L91"/>
  <c r="M91"/>
  <c r="B91"/>
  <c r="G107"/>
  <c r="H107"/>
  <c r="D107"/>
  <c r="L107"/>
  <c r="M107"/>
  <c r="B107"/>
  <c r="D78" i="35"/>
  <c r="B78"/>
  <c r="M78"/>
  <c r="L78"/>
  <c r="G78"/>
  <c r="H78"/>
  <c r="D96"/>
  <c r="M96"/>
  <c r="L96"/>
  <c r="G96"/>
  <c r="B96"/>
  <c r="H96"/>
  <c r="M112"/>
  <c r="L112"/>
  <c r="G112"/>
  <c r="H112"/>
  <c r="D112"/>
  <c r="B112"/>
  <c r="L121" i="36"/>
  <c r="G121"/>
  <c r="M121"/>
  <c r="N121" s="1"/>
  <c r="B121"/>
  <c r="D121"/>
  <c r="H121"/>
  <c r="L119"/>
  <c r="M119"/>
  <c r="D119"/>
  <c r="G119"/>
  <c r="B119"/>
  <c r="H119"/>
  <c r="G86"/>
  <c r="H86"/>
  <c r="D86"/>
  <c r="L86"/>
  <c r="M86"/>
  <c r="B86"/>
  <c r="G104"/>
  <c r="H104"/>
  <c r="D104"/>
  <c r="L104"/>
  <c r="M104"/>
  <c r="B104"/>
  <c r="L71" i="35"/>
  <c r="B71"/>
  <c r="H71"/>
  <c r="D71"/>
  <c r="M71"/>
  <c r="N71" s="1"/>
  <c r="G71"/>
  <c r="M87"/>
  <c r="H87"/>
  <c r="L87"/>
  <c r="G87"/>
  <c r="D87"/>
  <c r="B87"/>
  <c r="M103"/>
  <c r="H103"/>
  <c r="L103"/>
  <c r="G103"/>
  <c r="D103"/>
  <c r="B103"/>
  <c r="M73" i="36"/>
  <c r="G73"/>
  <c r="D73"/>
  <c r="L73"/>
  <c r="H73"/>
  <c r="B73"/>
  <c r="G89"/>
  <c r="H89"/>
  <c r="L89"/>
  <c r="M89"/>
  <c r="B89"/>
  <c r="G105"/>
  <c r="H105"/>
  <c r="D105"/>
  <c r="L105"/>
  <c r="M105"/>
  <c r="B105"/>
  <c r="D80" i="35"/>
  <c r="M80"/>
  <c r="L80"/>
  <c r="G80"/>
  <c r="B80"/>
  <c r="H80"/>
  <c r="D98"/>
  <c r="B98"/>
  <c r="M98"/>
  <c r="L98"/>
  <c r="G98"/>
  <c r="H98"/>
  <c r="L114"/>
  <c r="M114"/>
  <c r="G114"/>
  <c r="H114"/>
  <c r="D114"/>
  <c r="B114"/>
  <c r="G76" i="36"/>
  <c r="H76"/>
  <c r="D76"/>
  <c r="L76"/>
  <c r="M76"/>
  <c r="B76"/>
  <c r="G92"/>
  <c r="H92"/>
  <c r="D92"/>
  <c r="L92"/>
  <c r="M92"/>
  <c r="B92"/>
  <c r="G110"/>
  <c r="H110"/>
  <c r="D110"/>
  <c r="L110"/>
  <c r="M110"/>
  <c r="B110"/>
  <c r="M85" i="35"/>
  <c r="H85"/>
  <c r="L85"/>
  <c r="G85"/>
  <c r="D85"/>
  <c r="B85"/>
  <c r="M101"/>
  <c r="H101"/>
  <c r="L101"/>
  <c r="G101"/>
  <c r="D101"/>
  <c r="B101"/>
  <c r="D117"/>
  <c r="B117"/>
  <c r="L117"/>
  <c r="M117"/>
  <c r="G117"/>
  <c r="H117"/>
  <c r="G79" i="36"/>
  <c r="H79"/>
  <c r="D79"/>
  <c r="L79"/>
  <c r="M79"/>
  <c r="B79"/>
  <c r="G95"/>
  <c r="H95"/>
  <c r="D95"/>
  <c r="L95"/>
  <c r="M95"/>
  <c r="B95"/>
  <c r="G111"/>
  <c r="H111"/>
  <c r="D111"/>
  <c r="L111"/>
  <c r="M111"/>
  <c r="B111"/>
  <c r="D82" i="35"/>
  <c r="B82"/>
  <c r="M82"/>
  <c r="L82"/>
  <c r="G82"/>
  <c r="H82"/>
  <c r="D100"/>
  <c r="M100"/>
  <c r="L100"/>
  <c r="G100"/>
  <c r="B100"/>
  <c r="H100"/>
  <c r="L116"/>
  <c r="M116"/>
  <c r="G116"/>
  <c r="H116"/>
  <c r="D116"/>
  <c r="B116"/>
  <c r="B120" i="36"/>
  <c r="D120"/>
  <c r="H120"/>
  <c r="L120"/>
  <c r="G120"/>
  <c r="I120" s="1"/>
  <c r="M120"/>
  <c r="N120" s="1"/>
  <c r="G120" i="35"/>
  <c r="M120"/>
  <c r="H120"/>
  <c r="B120"/>
  <c r="D120"/>
  <c r="L120"/>
  <c r="M70"/>
  <c r="L70"/>
  <c r="G70"/>
  <c r="H70"/>
  <c r="B70"/>
  <c r="D70"/>
  <c r="D74"/>
  <c r="B74"/>
  <c r="M74"/>
  <c r="L74"/>
  <c r="G74"/>
  <c r="H74"/>
  <c r="D121"/>
  <c r="L121"/>
  <c r="B121"/>
  <c r="H121"/>
  <c r="G121"/>
  <c r="M121"/>
  <c r="N121" s="1"/>
  <c r="G82" i="36"/>
  <c r="H82"/>
  <c r="D82"/>
  <c r="L82"/>
  <c r="M82"/>
  <c r="B82"/>
  <c r="G100"/>
  <c r="H100"/>
  <c r="D100"/>
  <c r="L100"/>
  <c r="M100"/>
  <c r="B100"/>
  <c r="G116"/>
  <c r="H116"/>
  <c r="D116"/>
  <c r="L116"/>
  <c r="M116"/>
  <c r="B116"/>
  <c r="M83" i="35"/>
  <c r="H83"/>
  <c r="L83"/>
  <c r="G83"/>
  <c r="D83"/>
  <c r="B83"/>
  <c r="M99"/>
  <c r="H99"/>
  <c r="L99"/>
  <c r="G99"/>
  <c r="D99"/>
  <c r="B99"/>
  <c r="D115"/>
  <c r="L115"/>
  <c r="M115"/>
  <c r="B115"/>
  <c r="G115"/>
  <c r="H115"/>
  <c r="G85" i="36"/>
  <c r="H85"/>
  <c r="D85"/>
  <c r="L85"/>
  <c r="M85"/>
  <c r="B85"/>
  <c r="G101"/>
  <c r="H101"/>
  <c r="D101"/>
  <c r="L101"/>
  <c r="M101"/>
  <c r="B101"/>
  <c r="G117"/>
  <c r="H117"/>
  <c r="D117"/>
  <c r="L117"/>
  <c r="M117"/>
  <c r="B117"/>
  <c r="D84" i="35"/>
  <c r="M84"/>
  <c r="L84"/>
  <c r="G84"/>
  <c r="B84"/>
  <c r="H84"/>
  <c r="D102"/>
  <c r="B102"/>
  <c r="M102"/>
  <c r="L102"/>
  <c r="G102"/>
  <c r="H102"/>
  <c r="G80" i="36"/>
  <c r="H80"/>
  <c r="D80"/>
  <c r="L80"/>
  <c r="M80"/>
  <c r="B80"/>
  <c r="G98"/>
  <c r="H98"/>
  <c r="D98"/>
  <c r="L98"/>
  <c r="M98"/>
  <c r="B98"/>
  <c r="G114"/>
  <c r="H114"/>
  <c r="D114"/>
  <c r="L114"/>
  <c r="M114"/>
  <c r="B114"/>
  <c r="M81" i="35"/>
  <c r="H81"/>
  <c r="L81"/>
  <c r="G81"/>
  <c r="D81"/>
  <c r="B81"/>
  <c r="M97"/>
  <c r="H97"/>
  <c r="L97"/>
  <c r="G97"/>
  <c r="D97"/>
  <c r="B97"/>
  <c r="D113"/>
  <c r="B113"/>
  <c r="M113"/>
  <c r="L113"/>
  <c r="H113"/>
  <c r="G113"/>
  <c r="G83" i="36"/>
  <c r="H83"/>
  <c r="D83"/>
  <c r="L83"/>
  <c r="M83"/>
  <c r="B83"/>
  <c r="G99"/>
  <c r="H99"/>
  <c r="D99"/>
  <c r="L99"/>
  <c r="M99"/>
  <c r="B99"/>
  <c r="G115"/>
  <c r="H115"/>
  <c r="D115"/>
  <c r="L115"/>
  <c r="M115"/>
  <c r="B115"/>
  <c r="D86" i="35"/>
  <c r="B86"/>
  <c r="M86"/>
  <c r="L86"/>
  <c r="G86"/>
  <c r="H86"/>
  <c r="D104"/>
  <c r="M104"/>
  <c r="L104"/>
  <c r="G104"/>
  <c r="B104"/>
  <c r="H104"/>
  <c r="G118" i="36"/>
  <c r="M118"/>
  <c r="H118"/>
  <c r="L118"/>
  <c r="D118"/>
  <c r="B118"/>
  <c r="B118" i="35"/>
  <c r="H118"/>
  <c r="D118"/>
  <c r="G118"/>
  <c r="M118"/>
  <c r="L118"/>
  <c r="G78" i="36"/>
  <c r="H78"/>
  <c r="D78"/>
  <c r="L78"/>
  <c r="M78"/>
  <c r="B78"/>
  <c r="G96"/>
  <c r="H96"/>
  <c r="D96"/>
  <c r="L96"/>
  <c r="M96"/>
  <c r="B96"/>
  <c r="G112"/>
  <c r="H112"/>
  <c r="D112"/>
  <c r="L112"/>
  <c r="M112"/>
  <c r="B112"/>
  <c r="M79" i="35"/>
  <c r="H79"/>
  <c r="L79"/>
  <c r="G79"/>
  <c r="D79"/>
  <c r="B79"/>
  <c r="M95"/>
  <c r="H95"/>
  <c r="L95"/>
  <c r="G95"/>
  <c r="D95"/>
  <c r="B95"/>
  <c r="M111"/>
  <c r="H111"/>
  <c r="L111"/>
  <c r="G111"/>
  <c r="D111"/>
  <c r="B111"/>
  <c r="G81" i="36"/>
  <c r="H81"/>
  <c r="D81"/>
  <c r="L81"/>
  <c r="M81"/>
  <c r="B81"/>
  <c r="G97"/>
  <c r="H97"/>
  <c r="D97"/>
  <c r="L97"/>
  <c r="M97"/>
  <c r="B97"/>
  <c r="G113"/>
  <c r="H113"/>
  <c r="D113"/>
  <c r="L113"/>
  <c r="M113"/>
  <c r="B113"/>
  <c r="D88" i="35"/>
  <c r="M88"/>
  <c r="L88"/>
  <c r="G88"/>
  <c r="B88"/>
  <c r="H88"/>
  <c r="D106"/>
  <c r="B106"/>
  <c r="M106"/>
  <c r="L106"/>
  <c r="G106"/>
  <c r="H106"/>
  <c r="D119"/>
  <c r="L119"/>
  <c r="G119"/>
  <c r="H119"/>
  <c r="B119"/>
  <c r="M119"/>
  <c r="G84" i="36"/>
  <c r="H84"/>
  <c r="D84"/>
  <c r="L84"/>
  <c r="M84"/>
  <c r="B84"/>
  <c r="G102"/>
  <c r="H102"/>
  <c r="D102"/>
  <c r="L102"/>
  <c r="M102"/>
  <c r="B102"/>
  <c r="M77" i="35"/>
  <c r="H77"/>
  <c r="L77"/>
  <c r="G77"/>
  <c r="D77"/>
  <c r="B77"/>
  <c r="M93"/>
  <c r="H93"/>
  <c r="L93"/>
  <c r="G93"/>
  <c r="D93"/>
  <c r="B93"/>
  <c r="M109"/>
  <c r="H109"/>
  <c r="L109"/>
  <c r="G109"/>
  <c r="D109"/>
  <c r="B109"/>
  <c r="M71" i="36"/>
  <c r="G71"/>
  <c r="D71"/>
  <c r="L71"/>
  <c r="H71"/>
  <c r="B71"/>
  <c r="G87"/>
  <c r="H87"/>
  <c r="D87"/>
  <c r="L87"/>
  <c r="M87"/>
  <c r="B87"/>
  <c r="G103"/>
  <c r="H103"/>
  <c r="D103"/>
  <c r="L103"/>
  <c r="M103"/>
  <c r="B103"/>
  <c r="M72" i="35"/>
  <c r="G72"/>
  <c r="H72"/>
  <c r="L72"/>
  <c r="B72"/>
  <c r="D72"/>
  <c r="D90"/>
  <c r="B90"/>
  <c r="M90"/>
  <c r="L90"/>
  <c r="G90"/>
  <c r="H90"/>
  <c r="D108"/>
  <c r="M108"/>
  <c r="L108"/>
  <c r="G108"/>
  <c r="B108"/>
  <c r="H108"/>
  <c r="D126" i="36"/>
  <c r="B126"/>
  <c r="M70"/>
  <c r="G70"/>
  <c r="D70"/>
  <c r="L70"/>
  <c r="H70"/>
  <c r="B70"/>
  <c r="O44"/>
  <c r="R44" s="1"/>
  <c r="O52"/>
  <c r="R52" s="1"/>
  <c r="O57"/>
  <c r="R57" s="1"/>
  <c r="O56"/>
  <c r="R56" s="1"/>
  <c r="O47"/>
  <c r="R47" s="1"/>
  <c r="O55"/>
  <c r="R55" s="1"/>
  <c r="I124" i="35"/>
  <c r="O124" s="1"/>
  <c r="R124" s="1"/>
  <c r="N122" i="36"/>
  <c r="N125"/>
  <c r="N122" i="35"/>
  <c r="D123"/>
  <c r="B123"/>
  <c r="H123"/>
  <c r="L123"/>
  <c r="G123"/>
  <c r="M123"/>
  <c r="N124" i="36"/>
  <c r="I122" i="35"/>
  <c r="I124" i="36"/>
  <c r="L123"/>
  <c r="G123"/>
  <c r="M123"/>
  <c r="B123"/>
  <c r="D123"/>
  <c r="H123"/>
  <c r="I122"/>
  <c r="I125"/>
  <c r="P1118" i="33"/>
  <c r="I87" i="35" l="1"/>
  <c r="I105"/>
  <c r="I91"/>
  <c r="N137" i="36"/>
  <c r="I127"/>
  <c r="N133"/>
  <c r="O131" i="35"/>
  <c r="R131" s="1"/>
  <c r="N139"/>
  <c r="I138" i="36"/>
  <c r="N145" i="35"/>
  <c r="N140"/>
  <c r="N142"/>
  <c r="N138"/>
  <c r="I85"/>
  <c r="I137"/>
  <c r="I133"/>
  <c r="I135"/>
  <c r="I126"/>
  <c r="I127"/>
  <c r="I131" i="36"/>
  <c r="N128"/>
  <c r="I139" i="35"/>
  <c r="O139" s="1"/>
  <c r="R139" s="1"/>
  <c r="N141"/>
  <c r="N136" i="36"/>
  <c r="N130"/>
  <c r="I137"/>
  <c r="O137" s="1"/>
  <c r="R137" s="1"/>
  <c r="N131"/>
  <c r="I128"/>
  <c r="I140"/>
  <c r="O140" s="1"/>
  <c r="R140" s="1"/>
  <c r="I145" i="35"/>
  <c r="O145" s="1"/>
  <c r="R145" s="1"/>
  <c r="I103"/>
  <c r="I89"/>
  <c r="I107"/>
  <c r="I75"/>
  <c r="I136" i="36"/>
  <c r="N144" i="35"/>
  <c r="I143"/>
  <c r="N138" i="36"/>
  <c r="I130"/>
  <c r="N129"/>
  <c r="I132"/>
  <c r="N135"/>
  <c r="I134"/>
  <c r="I144" i="35"/>
  <c r="N127" i="36"/>
  <c r="N139"/>
  <c r="I101" i="35"/>
  <c r="I136"/>
  <c r="I128"/>
  <c r="I129"/>
  <c r="I132"/>
  <c r="I125"/>
  <c r="I129" i="36"/>
  <c r="N132"/>
  <c r="I135"/>
  <c r="N134"/>
  <c r="I133"/>
  <c r="I140" i="35"/>
  <c r="I142"/>
  <c r="I141"/>
  <c r="I138"/>
  <c r="O127" i="36"/>
  <c r="R127" s="1"/>
  <c r="N143" i="35"/>
  <c r="I139" i="36"/>
  <c r="N123" i="35"/>
  <c r="I134"/>
  <c r="B3" i="36"/>
  <c r="N136" i="35"/>
  <c r="O136" s="1"/>
  <c r="R136" s="1"/>
  <c r="N128"/>
  <c r="O128" s="1"/>
  <c r="R128" s="1"/>
  <c r="N129"/>
  <c r="O129" s="1"/>
  <c r="R129" s="1"/>
  <c r="N132"/>
  <c r="O132" s="1"/>
  <c r="R132" s="1"/>
  <c r="N125"/>
  <c r="O125" s="1"/>
  <c r="R125" s="1"/>
  <c r="N137"/>
  <c r="N133"/>
  <c r="O133" s="1"/>
  <c r="R133" s="1"/>
  <c r="N135"/>
  <c r="N126"/>
  <c r="O126" s="1"/>
  <c r="R126" s="1"/>
  <c r="N134"/>
  <c r="N127"/>
  <c r="I126" i="36"/>
  <c r="O126" s="1"/>
  <c r="R126" s="1"/>
  <c r="I93" i="35"/>
  <c r="I111"/>
  <c r="I79"/>
  <c r="I118"/>
  <c r="I97"/>
  <c r="I99"/>
  <c r="I77"/>
  <c r="I95"/>
  <c r="I81"/>
  <c r="I83"/>
  <c r="N119"/>
  <c r="I109"/>
  <c r="I71"/>
  <c r="O71" s="1"/>
  <c r="R71" s="1"/>
  <c r="I113"/>
  <c r="N84"/>
  <c r="N116"/>
  <c r="N114"/>
  <c r="I73"/>
  <c r="O73" s="1"/>
  <c r="R73" s="1"/>
  <c r="N92"/>
  <c r="H1" i="36"/>
  <c r="H3" s="1"/>
  <c r="G1"/>
  <c r="G3" s="1"/>
  <c r="H1" i="35"/>
  <c r="H3" s="1"/>
  <c r="N70" i="36"/>
  <c r="N108" i="35"/>
  <c r="I72"/>
  <c r="I71" i="36"/>
  <c r="N88" i="35"/>
  <c r="N104"/>
  <c r="N109" i="36"/>
  <c r="I109"/>
  <c r="N93"/>
  <c r="N77"/>
  <c r="I77"/>
  <c r="N100" i="35"/>
  <c r="N117"/>
  <c r="N119" i="36"/>
  <c r="N80" i="35"/>
  <c r="N96"/>
  <c r="I108"/>
  <c r="M1" i="36"/>
  <c r="L1"/>
  <c r="L1" i="35"/>
  <c r="I70" i="36"/>
  <c r="I90" i="35"/>
  <c r="N90"/>
  <c r="N72"/>
  <c r="N103" i="36"/>
  <c r="I103"/>
  <c r="N87"/>
  <c r="I87"/>
  <c r="N71"/>
  <c r="N109" i="35"/>
  <c r="N93"/>
  <c r="N77"/>
  <c r="N102" i="36"/>
  <c r="I102"/>
  <c r="N84"/>
  <c r="I84"/>
  <c r="I119" i="35"/>
  <c r="I106"/>
  <c r="N106"/>
  <c r="N113" i="36"/>
  <c r="I113"/>
  <c r="N97"/>
  <c r="I97"/>
  <c r="N81"/>
  <c r="I81"/>
  <c r="N111" i="35"/>
  <c r="N95"/>
  <c r="N79"/>
  <c r="N112" i="36"/>
  <c r="I112"/>
  <c r="N96"/>
  <c r="I96"/>
  <c r="N78"/>
  <c r="I78"/>
  <c r="N118" i="35"/>
  <c r="I118" i="36"/>
  <c r="I86" i="35"/>
  <c r="N86"/>
  <c r="N115" i="36"/>
  <c r="I115"/>
  <c r="N99"/>
  <c r="I99"/>
  <c r="N83"/>
  <c r="I83"/>
  <c r="N113" i="35"/>
  <c r="N97"/>
  <c r="N81"/>
  <c r="N114" i="36"/>
  <c r="I114"/>
  <c r="N98"/>
  <c r="I98"/>
  <c r="N80"/>
  <c r="I80"/>
  <c r="I102" i="35"/>
  <c r="N102"/>
  <c r="N117" i="36"/>
  <c r="I117"/>
  <c r="N101"/>
  <c r="I101"/>
  <c r="N85"/>
  <c r="I85"/>
  <c r="I115" i="35"/>
  <c r="N115"/>
  <c r="N99"/>
  <c r="N83"/>
  <c r="N116" i="36"/>
  <c r="I116"/>
  <c r="N100"/>
  <c r="I100"/>
  <c r="N82"/>
  <c r="I82"/>
  <c r="I121" i="35"/>
  <c r="O121" s="1"/>
  <c r="R121" s="1"/>
  <c r="I74"/>
  <c r="N74"/>
  <c r="I70"/>
  <c r="N70"/>
  <c r="I120"/>
  <c r="O120" i="36"/>
  <c r="R120" s="1"/>
  <c r="I116" i="35"/>
  <c r="I82"/>
  <c r="N82"/>
  <c r="N111" i="36"/>
  <c r="I111"/>
  <c r="N95"/>
  <c r="I95"/>
  <c r="N79"/>
  <c r="I79"/>
  <c r="I117" i="35"/>
  <c r="N101"/>
  <c r="N85"/>
  <c r="N110" i="36"/>
  <c r="I110"/>
  <c r="N92"/>
  <c r="I92"/>
  <c r="N76"/>
  <c r="I76"/>
  <c r="I114" i="35"/>
  <c r="I98"/>
  <c r="N98"/>
  <c r="N105" i="36"/>
  <c r="I105"/>
  <c r="N89"/>
  <c r="I89"/>
  <c r="N73"/>
  <c r="N103" i="35"/>
  <c r="N87"/>
  <c r="O87" s="1"/>
  <c r="R87" s="1"/>
  <c r="N104" i="36"/>
  <c r="I104"/>
  <c r="N86"/>
  <c r="I86"/>
  <c r="I112" i="35"/>
  <c r="N112"/>
  <c r="I78"/>
  <c r="N78"/>
  <c r="N107" i="36"/>
  <c r="I107"/>
  <c r="N91"/>
  <c r="I91"/>
  <c r="N75"/>
  <c r="N105" i="35"/>
  <c r="O105" s="1"/>
  <c r="R105" s="1"/>
  <c r="N89"/>
  <c r="O89" s="1"/>
  <c r="R89" s="1"/>
  <c r="N106" i="36"/>
  <c r="I106"/>
  <c r="N88"/>
  <c r="I88"/>
  <c r="I110" i="35"/>
  <c r="N110"/>
  <c r="N107"/>
  <c r="N91"/>
  <c r="O91" s="1"/>
  <c r="R91" s="1"/>
  <c r="N75"/>
  <c r="N108" i="36"/>
  <c r="I108"/>
  <c r="N90"/>
  <c r="I90"/>
  <c r="N72"/>
  <c r="N74"/>
  <c r="I88" i="35"/>
  <c r="N118" i="36"/>
  <c r="I104" i="35"/>
  <c r="I84"/>
  <c r="N120"/>
  <c r="I100"/>
  <c r="I80"/>
  <c r="I73" i="36"/>
  <c r="I119"/>
  <c r="I121"/>
  <c r="O121" s="1"/>
  <c r="R121" s="1"/>
  <c r="I96" i="35"/>
  <c r="I75" i="36"/>
  <c r="I92" i="35"/>
  <c r="I76"/>
  <c r="N76"/>
  <c r="I93" i="36"/>
  <c r="I72"/>
  <c r="I74"/>
  <c r="O125"/>
  <c r="R125" s="1"/>
  <c r="O122"/>
  <c r="R122" s="1"/>
  <c r="M1" i="35"/>
  <c r="O124" i="36"/>
  <c r="R124" s="1"/>
  <c r="O122" i="35"/>
  <c r="R122" s="1"/>
  <c r="N123" i="36"/>
  <c r="I123" i="35"/>
  <c r="G1"/>
  <c r="G3" s="1"/>
  <c r="I123" i="36"/>
  <c r="I26" i="13"/>
  <c r="I10"/>
  <c r="I11"/>
  <c r="I9"/>
  <c r="O107" i="35" l="1"/>
  <c r="R107" s="1"/>
  <c r="O135"/>
  <c r="R135" s="1"/>
  <c r="O137"/>
  <c r="R137" s="1"/>
  <c r="O138"/>
  <c r="R138" s="1"/>
  <c r="O130" i="36"/>
  <c r="R130" s="1"/>
  <c r="O128"/>
  <c r="R128" s="1"/>
  <c r="O144" i="35"/>
  <c r="R144" s="1"/>
  <c r="O75"/>
  <c r="R75" s="1"/>
  <c r="O85"/>
  <c r="R85" s="1"/>
  <c r="O142"/>
  <c r="R142" s="1"/>
  <c r="O133" i="36"/>
  <c r="R133" s="1"/>
  <c r="O135"/>
  <c r="R135" s="1"/>
  <c r="O129"/>
  <c r="R129" s="1"/>
  <c r="O136"/>
  <c r="R136" s="1"/>
  <c r="O138"/>
  <c r="R138" s="1"/>
  <c r="O103" i="35"/>
  <c r="R103" s="1"/>
  <c r="O101"/>
  <c r="R101" s="1"/>
  <c r="O127"/>
  <c r="R127" s="1"/>
  <c r="O139" i="36"/>
  <c r="R139" s="1"/>
  <c r="O141" i="35"/>
  <c r="R141" s="1"/>
  <c r="O140"/>
  <c r="R140" s="1"/>
  <c r="O131" i="36"/>
  <c r="R131" s="1"/>
  <c r="O134"/>
  <c r="R134" s="1"/>
  <c r="O143" i="35"/>
  <c r="R143" s="1"/>
  <c r="O132" i="36"/>
  <c r="R132" s="1"/>
  <c r="O134" i="35"/>
  <c r="R134" s="1"/>
  <c r="O83"/>
  <c r="R83" s="1"/>
  <c r="O118"/>
  <c r="R118" s="1"/>
  <c r="O95"/>
  <c r="R95" s="1"/>
  <c r="O97"/>
  <c r="R97" s="1"/>
  <c r="O79"/>
  <c r="R79" s="1"/>
  <c r="O77"/>
  <c r="R77" s="1"/>
  <c r="O114"/>
  <c r="R114" s="1"/>
  <c r="O119"/>
  <c r="R119" s="1"/>
  <c r="O99"/>
  <c r="R99" s="1"/>
  <c r="O111"/>
  <c r="R111" s="1"/>
  <c r="O109"/>
  <c r="R109" s="1"/>
  <c r="O81"/>
  <c r="R81" s="1"/>
  <c r="O93"/>
  <c r="R93" s="1"/>
  <c r="O84"/>
  <c r="R84" s="1"/>
  <c r="O116"/>
  <c r="R116" s="1"/>
  <c r="O113"/>
  <c r="R113" s="1"/>
  <c r="O88"/>
  <c r="R88" s="1"/>
  <c r="O92"/>
  <c r="R92" s="1"/>
  <c r="O104"/>
  <c r="R104" s="1"/>
  <c r="O71" i="36"/>
  <c r="R71" s="1"/>
  <c r="O70"/>
  <c r="R70" s="1"/>
  <c r="O108" i="35"/>
  <c r="R108" s="1"/>
  <c r="O109" i="36"/>
  <c r="R109" s="1"/>
  <c r="O93"/>
  <c r="R93" s="1"/>
  <c r="O72" i="35"/>
  <c r="R72" s="1"/>
  <c r="O119" i="36"/>
  <c r="R119" s="1"/>
  <c r="O100" i="35"/>
  <c r="R100" s="1"/>
  <c r="O77" i="36"/>
  <c r="R77" s="1"/>
  <c r="O117" i="35"/>
  <c r="R117" s="1"/>
  <c r="O96"/>
  <c r="R96" s="1"/>
  <c r="O80"/>
  <c r="R80" s="1"/>
  <c r="N1" i="36"/>
  <c r="N2" s="1"/>
  <c r="O74"/>
  <c r="R74" s="1"/>
  <c r="N1" i="35"/>
  <c r="O73" i="36"/>
  <c r="R73" s="1"/>
  <c r="O88"/>
  <c r="R88" s="1"/>
  <c r="O106"/>
  <c r="R106" s="1"/>
  <c r="O78" i="35"/>
  <c r="R78" s="1"/>
  <c r="O112"/>
  <c r="R112" s="1"/>
  <c r="O89" i="36"/>
  <c r="R89" s="1"/>
  <c r="O105"/>
  <c r="R105" s="1"/>
  <c r="O79"/>
  <c r="R79" s="1"/>
  <c r="O95"/>
  <c r="R95" s="1"/>
  <c r="O111"/>
  <c r="R111" s="1"/>
  <c r="O70" i="35"/>
  <c r="R70" s="1"/>
  <c r="O74"/>
  <c r="R74" s="1"/>
  <c r="O82" i="36"/>
  <c r="R82" s="1"/>
  <c r="O100"/>
  <c r="R100" s="1"/>
  <c r="O116"/>
  <c r="R116" s="1"/>
  <c r="O85"/>
  <c r="R85" s="1"/>
  <c r="O101"/>
  <c r="R101" s="1"/>
  <c r="O117"/>
  <c r="R117" s="1"/>
  <c r="O80"/>
  <c r="R80" s="1"/>
  <c r="O98"/>
  <c r="R98" s="1"/>
  <c r="O114"/>
  <c r="R114" s="1"/>
  <c r="O86" i="35"/>
  <c r="R86" s="1"/>
  <c r="O81" i="36"/>
  <c r="R81" s="1"/>
  <c r="O97"/>
  <c r="R97" s="1"/>
  <c r="O113"/>
  <c r="R113" s="1"/>
  <c r="O120" i="35"/>
  <c r="R120" s="1"/>
  <c r="O72" i="36"/>
  <c r="R72" s="1"/>
  <c r="O76" i="35"/>
  <c r="R76" s="1"/>
  <c r="O75" i="36"/>
  <c r="R75" s="1"/>
  <c r="O90"/>
  <c r="R90" s="1"/>
  <c r="O108"/>
  <c r="R108" s="1"/>
  <c r="O110" i="35"/>
  <c r="R110" s="1"/>
  <c r="O91" i="36"/>
  <c r="R91" s="1"/>
  <c r="O107"/>
  <c r="R107" s="1"/>
  <c r="O86"/>
  <c r="R86" s="1"/>
  <c r="O104"/>
  <c r="R104" s="1"/>
  <c r="O98" i="35"/>
  <c r="R98" s="1"/>
  <c r="O76" i="36"/>
  <c r="R76" s="1"/>
  <c r="O92"/>
  <c r="R92" s="1"/>
  <c r="O110"/>
  <c r="R110" s="1"/>
  <c r="O82" i="35"/>
  <c r="R82" s="1"/>
  <c r="O115"/>
  <c r="R115" s="1"/>
  <c r="O102"/>
  <c r="R102" s="1"/>
  <c r="O83" i="36"/>
  <c r="R83" s="1"/>
  <c r="O99"/>
  <c r="R99" s="1"/>
  <c r="O115"/>
  <c r="R115" s="1"/>
  <c r="O118"/>
  <c r="R118" s="1"/>
  <c r="O78"/>
  <c r="R78" s="1"/>
  <c r="O96"/>
  <c r="R96" s="1"/>
  <c r="O112"/>
  <c r="R112" s="1"/>
  <c r="O106" i="35"/>
  <c r="R106" s="1"/>
  <c r="O84" i="36"/>
  <c r="R84" s="1"/>
  <c r="O102"/>
  <c r="R102" s="1"/>
  <c r="O87"/>
  <c r="R87" s="1"/>
  <c r="O103"/>
  <c r="R103" s="1"/>
  <c r="O90" i="35"/>
  <c r="R90" s="1"/>
  <c r="O123" i="36"/>
  <c r="R123" s="1"/>
  <c r="O123" i="35"/>
  <c r="R123" s="1"/>
  <c r="I1"/>
  <c r="I3" s="1"/>
  <c r="N37" i="4"/>
  <c r="O37" s="1"/>
  <c r="J74" i="33" l="1"/>
  <c r="G6" i="4"/>
  <c r="C5683" i="35"/>
  <c r="D5683" s="1"/>
  <c r="C5682"/>
  <c r="D5682" s="1"/>
  <c r="C5681"/>
  <c r="D5681" s="1"/>
  <c r="C5680"/>
  <c r="D5680" s="1"/>
  <c r="C5679"/>
  <c r="D5679" s="1"/>
  <c r="C5678"/>
  <c r="D5678" s="1"/>
  <c r="C5677"/>
  <c r="D5677" s="1"/>
  <c r="C5676"/>
  <c r="D5676" s="1"/>
  <c r="C5675"/>
  <c r="D5675" s="1"/>
  <c r="C5674"/>
  <c r="D5674" s="1"/>
  <c r="C5673"/>
  <c r="D5673" s="1"/>
  <c r="C5672"/>
  <c r="D5672" s="1"/>
  <c r="C5671"/>
  <c r="D5671" s="1"/>
  <c r="C5670"/>
  <c r="D5670" s="1"/>
  <c r="C5669"/>
  <c r="D5669" s="1"/>
  <c r="C5668"/>
  <c r="D5668" s="1"/>
  <c r="C5667"/>
  <c r="D5667" s="1"/>
  <c r="C5666"/>
  <c r="D5666" s="1"/>
  <c r="C5665"/>
  <c r="D5665" s="1"/>
  <c r="C5664"/>
  <c r="D5664" s="1"/>
  <c r="C5663"/>
  <c r="D5663" s="1"/>
  <c r="C5662"/>
  <c r="D5662" s="1"/>
  <c r="C5661"/>
  <c r="D5661" s="1"/>
  <c r="C5660"/>
  <c r="D5660" s="1"/>
  <c r="C5659"/>
  <c r="D5659" s="1"/>
  <c r="C5658"/>
  <c r="D5658" s="1"/>
  <c r="C5657"/>
  <c r="D5657" s="1"/>
  <c r="C5656"/>
  <c r="D5656" s="1"/>
  <c r="C5655"/>
  <c r="D5655" s="1"/>
  <c r="C5654"/>
  <c r="D5654" s="1"/>
  <c r="C5653"/>
  <c r="D5653" s="1"/>
  <c r="C5652"/>
  <c r="D5652" s="1"/>
  <c r="C5651"/>
  <c r="D5651" s="1"/>
  <c r="C5650"/>
  <c r="D5650" s="1"/>
  <c r="C5649"/>
  <c r="D5649" s="1"/>
  <c r="C5648"/>
  <c r="D5648" s="1"/>
  <c r="C5647"/>
  <c r="D5647" s="1"/>
  <c r="C5646"/>
  <c r="D5646" s="1"/>
  <c r="C5645"/>
  <c r="D5645" s="1"/>
  <c r="C5644"/>
  <c r="D5644" s="1"/>
  <c r="C5643"/>
  <c r="D5643" s="1"/>
  <c r="C5642"/>
  <c r="D5642" s="1"/>
  <c r="C5641"/>
  <c r="D5641" s="1"/>
  <c r="C5640"/>
  <c r="D5640" s="1"/>
  <c r="C5639"/>
  <c r="D5639" s="1"/>
  <c r="D5638"/>
  <c r="C5638"/>
  <c r="C5637"/>
  <c r="D5637" s="1"/>
  <c r="C5636"/>
  <c r="D5636" s="1"/>
  <c r="C5635"/>
  <c r="D5635" s="1"/>
  <c r="C5634"/>
  <c r="D5634" s="1"/>
  <c r="C5633"/>
  <c r="D5633" s="1"/>
  <c r="C5632"/>
  <c r="D5632" s="1"/>
  <c r="C5631"/>
  <c r="D5631" s="1"/>
  <c r="C5630"/>
  <c r="D5630" s="1"/>
  <c r="C5629"/>
  <c r="D5629" s="1"/>
  <c r="C5628"/>
  <c r="D5628" s="1"/>
  <c r="C5627"/>
  <c r="D5627" s="1"/>
  <c r="C5626"/>
  <c r="D5626" s="1"/>
  <c r="C5625"/>
  <c r="D5625" s="1"/>
  <c r="C5624"/>
  <c r="D5624" s="1"/>
  <c r="C5623"/>
  <c r="D5623" s="1"/>
  <c r="C5622"/>
  <c r="D5622" s="1"/>
  <c r="C5621"/>
  <c r="D5621" s="1"/>
  <c r="C5620"/>
  <c r="D5620" s="1"/>
  <c r="C5619"/>
  <c r="D5619" s="1"/>
  <c r="C5618"/>
  <c r="D5618" s="1"/>
  <c r="C5617"/>
  <c r="D5617" s="1"/>
  <c r="C5616"/>
  <c r="D5616" s="1"/>
  <c r="C5615"/>
  <c r="D5615" s="1"/>
  <c r="C5614"/>
  <c r="D5614" s="1"/>
  <c r="C5613"/>
  <c r="D5613" s="1"/>
  <c r="C5612"/>
  <c r="D5612" s="1"/>
  <c r="C5611"/>
  <c r="D5611" s="1"/>
  <c r="C5610"/>
  <c r="D5610" s="1"/>
  <c r="C5609"/>
  <c r="D5609" s="1"/>
  <c r="C5608"/>
  <c r="D5608" s="1"/>
  <c r="C5607"/>
  <c r="D5607" s="1"/>
  <c r="C5606"/>
  <c r="D5606" s="1"/>
  <c r="C5605"/>
  <c r="D5605" s="1"/>
  <c r="C5604"/>
  <c r="D5604" s="1"/>
  <c r="C5603"/>
  <c r="D5603" s="1"/>
  <c r="C5602"/>
  <c r="D5602" s="1"/>
  <c r="C5601"/>
  <c r="D5601" s="1"/>
  <c r="C5600"/>
  <c r="D5600" s="1"/>
  <c r="C5599"/>
  <c r="D5599" s="1"/>
  <c r="C5598"/>
  <c r="D5598" s="1"/>
  <c r="C5597"/>
  <c r="D5597" s="1"/>
  <c r="C5596"/>
  <c r="D5596" s="1"/>
  <c r="C5595"/>
  <c r="D5595" s="1"/>
  <c r="C5594"/>
  <c r="D5594" s="1"/>
  <c r="C5593"/>
  <c r="D5593" s="1"/>
  <c r="C5592"/>
  <c r="D5592" s="1"/>
  <c r="C5591"/>
  <c r="D5591" s="1"/>
  <c r="D5590"/>
  <c r="C5590"/>
  <c r="C5589"/>
  <c r="D5589" s="1"/>
  <c r="C5588"/>
  <c r="D5588" s="1"/>
  <c r="C5587"/>
  <c r="D5587" s="1"/>
  <c r="C5586"/>
  <c r="D5586" s="1"/>
  <c r="C5585"/>
  <c r="D5585" s="1"/>
  <c r="C5584"/>
  <c r="D5584" s="1"/>
  <c r="C5583"/>
  <c r="D5583" s="1"/>
  <c r="C5582"/>
  <c r="D5582" s="1"/>
  <c r="C5581"/>
  <c r="D5581" s="1"/>
  <c r="C5580"/>
  <c r="D5580" s="1"/>
  <c r="C5579"/>
  <c r="D5579" s="1"/>
  <c r="C5578"/>
  <c r="D5578" s="1"/>
  <c r="C5577"/>
  <c r="D5577" s="1"/>
  <c r="C5576"/>
  <c r="D5576" s="1"/>
  <c r="C5575"/>
  <c r="D5575" s="1"/>
  <c r="C5574"/>
  <c r="D5574" s="1"/>
  <c r="C5573"/>
  <c r="D5573" s="1"/>
  <c r="C5572"/>
  <c r="D5572" s="1"/>
  <c r="C5571"/>
  <c r="D5571" s="1"/>
  <c r="C5570"/>
  <c r="D5570" s="1"/>
  <c r="C5569"/>
  <c r="D5569" s="1"/>
  <c r="C5568"/>
  <c r="D5568" s="1"/>
  <c r="C5567"/>
  <c r="D5567" s="1"/>
  <c r="C5566"/>
  <c r="D5566" s="1"/>
  <c r="C5565"/>
  <c r="D5565" s="1"/>
  <c r="D5564"/>
  <c r="C5564"/>
  <c r="C5563"/>
  <c r="D5563" s="1"/>
  <c r="C5562"/>
  <c r="D5562" s="1"/>
  <c r="C5561"/>
  <c r="D5561" s="1"/>
  <c r="C5560"/>
  <c r="D5560" s="1"/>
  <c r="C5559"/>
  <c r="D5559" s="1"/>
  <c r="C5558"/>
  <c r="D5558" s="1"/>
  <c r="C5557"/>
  <c r="D5557" s="1"/>
  <c r="C5556"/>
  <c r="D5556" s="1"/>
  <c r="C5555"/>
  <c r="D5555" s="1"/>
  <c r="C5554"/>
  <c r="D5554" s="1"/>
  <c r="C5553"/>
  <c r="D5553" s="1"/>
  <c r="C5552"/>
  <c r="D5552" s="1"/>
  <c r="C5551"/>
  <c r="D5551" s="1"/>
  <c r="C5550"/>
  <c r="D5550" s="1"/>
  <c r="C5549"/>
  <c r="D5549" s="1"/>
  <c r="C5548"/>
  <c r="D5548" s="1"/>
  <c r="C5547"/>
  <c r="D5547" s="1"/>
  <c r="C5546"/>
  <c r="D5546" s="1"/>
  <c r="C5545"/>
  <c r="D5545" s="1"/>
  <c r="C5544"/>
  <c r="D5544" s="1"/>
  <c r="C5543"/>
  <c r="D5543" s="1"/>
  <c r="C5542"/>
  <c r="D5542" s="1"/>
  <c r="C5541"/>
  <c r="D5541" s="1"/>
  <c r="C5540"/>
  <c r="D5540" s="1"/>
  <c r="C5539"/>
  <c r="D5539" s="1"/>
  <c r="C5538"/>
  <c r="D5538" s="1"/>
  <c r="C5537"/>
  <c r="D5537" s="1"/>
  <c r="C5536"/>
  <c r="D5536" s="1"/>
  <c r="C5535"/>
  <c r="D5535" s="1"/>
  <c r="C5534"/>
  <c r="D5534" s="1"/>
  <c r="C5533"/>
  <c r="D5533" s="1"/>
  <c r="C5532"/>
  <c r="D5532" s="1"/>
  <c r="C5531"/>
  <c r="D5531" s="1"/>
  <c r="C5530"/>
  <c r="D5530" s="1"/>
  <c r="C5529"/>
  <c r="D5529" s="1"/>
  <c r="C5528"/>
  <c r="D5528" s="1"/>
  <c r="C5527"/>
  <c r="D5527" s="1"/>
  <c r="C5526"/>
  <c r="D5526" s="1"/>
  <c r="C5525"/>
  <c r="D5525" s="1"/>
  <c r="C5524"/>
  <c r="D5524" s="1"/>
  <c r="C5523"/>
  <c r="D5523" s="1"/>
  <c r="C5522"/>
  <c r="D5522" s="1"/>
  <c r="C5521"/>
  <c r="D5521" s="1"/>
  <c r="C5520"/>
  <c r="D5520" s="1"/>
  <c r="C5519"/>
  <c r="D5519" s="1"/>
  <c r="C5518"/>
  <c r="D5518" s="1"/>
  <c r="C5517"/>
  <c r="D5517" s="1"/>
  <c r="C5516"/>
  <c r="D5516" s="1"/>
  <c r="C5515"/>
  <c r="D5515" s="1"/>
  <c r="C5514"/>
  <c r="D5514" s="1"/>
  <c r="C5513"/>
  <c r="D5513" s="1"/>
  <c r="C5512"/>
  <c r="D5512" s="1"/>
  <c r="C5511"/>
  <c r="D5511" s="1"/>
  <c r="C5510"/>
  <c r="D5510" s="1"/>
  <c r="C5509"/>
  <c r="D5509" s="1"/>
  <c r="C5508"/>
  <c r="D5508" s="1"/>
  <c r="C5507"/>
  <c r="D5507" s="1"/>
  <c r="C5506"/>
  <c r="D5506" s="1"/>
  <c r="C5505"/>
  <c r="D5505" s="1"/>
  <c r="C5504"/>
  <c r="D5504" s="1"/>
  <c r="C5503"/>
  <c r="D5503" s="1"/>
  <c r="C5502"/>
  <c r="D5502" s="1"/>
  <c r="C5501"/>
  <c r="D5501" s="1"/>
  <c r="C5500"/>
  <c r="D5500" s="1"/>
  <c r="C5499"/>
  <c r="D5499" s="1"/>
  <c r="C5498"/>
  <c r="D5498" s="1"/>
  <c r="C5497"/>
  <c r="D5497" s="1"/>
  <c r="C5496"/>
  <c r="D5496" s="1"/>
  <c r="D5495"/>
  <c r="C5495"/>
  <c r="C5494"/>
  <c r="D5494" s="1"/>
  <c r="C5493"/>
  <c r="D5493" s="1"/>
  <c r="C5492"/>
  <c r="D5492" s="1"/>
  <c r="C5491"/>
  <c r="D5491" s="1"/>
  <c r="C5490"/>
  <c r="D5490" s="1"/>
  <c r="C5489"/>
  <c r="D5489" s="1"/>
  <c r="C5488"/>
  <c r="D5488" s="1"/>
  <c r="C5487"/>
  <c r="D5487" s="1"/>
  <c r="C5486"/>
  <c r="D5486" s="1"/>
  <c r="C5485"/>
  <c r="D5485" s="1"/>
  <c r="C5484"/>
  <c r="D5484" s="1"/>
  <c r="C5483"/>
  <c r="D5483" s="1"/>
  <c r="C5482"/>
  <c r="D5482" s="1"/>
  <c r="C5481"/>
  <c r="D5481" s="1"/>
  <c r="C5480"/>
  <c r="D5480" s="1"/>
  <c r="C5479"/>
  <c r="D5479" s="1"/>
  <c r="C5478"/>
  <c r="D5478" s="1"/>
  <c r="C5477"/>
  <c r="D5477" s="1"/>
  <c r="C5476"/>
  <c r="D5476" s="1"/>
  <c r="C5475"/>
  <c r="D5475" s="1"/>
  <c r="C5474"/>
  <c r="D5474" s="1"/>
  <c r="C5473"/>
  <c r="D5473" s="1"/>
  <c r="C5472"/>
  <c r="D5472" s="1"/>
  <c r="C5471"/>
  <c r="D5471" s="1"/>
  <c r="C5470"/>
  <c r="D5470" s="1"/>
  <c r="C5469"/>
  <c r="D5469" s="1"/>
  <c r="C5468"/>
  <c r="D5468" s="1"/>
  <c r="C5467"/>
  <c r="D5467" s="1"/>
  <c r="C5466"/>
  <c r="D5466" s="1"/>
  <c r="C5465"/>
  <c r="D5465" s="1"/>
  <c r="C5464"/>
  <c r="D5464" s="1"/>
  <c r="D5463"/>
  <c r="C5463"/>
  <c r="C5462"/>
  <c r="D5462" s="1"/>
  <c r="C5461"/>
  <c r="D5461" s="1"/>
  <c r="C5460"/>
  <c r="D5460" s="1"/>
  <c r="C5459"/>
  <c r="D5459" s="1"/>
  <c r="C5458"/>
  <c r="D5458" s="1"/>
  <c r="C5457"/>
  <c r="D5457" s="1"/>
  <c r="C5456"/>
  <c r="D5456" s="1"/>
  <c r="C5455"/>
  <c r="D5455" s="1"/>
  <c r="C5454"/>
  <c r="D5454" s="1"/>
  <c r="C5453"/>
  <c r="D5453" s="1"/>
  <c r="C5452"/>
  <c r="D5452" s="1"/>
  <c r="C5451"/>
  <c r="D5451" s="1"/>
  <c r="C5450"/>
  <c r="D5450" s="1"/>
  <c r="C5449"/>
  <c r="D5449" s="1"/>
  <c r="C5448"/>
  <c r="D5448" s="1"/>
  <c r="C5447"/>
  <c r="D5447" s="1"/>
  <c r="C5446"/>
  <c r="D5446" s="1"/>
  <c r="C5445"/>
  <c r="D5445" s="1"/>
  <c r="C5444"/>
  <c r="D5444" s="1"/>
  <c r="C5443"/>
  <c r="D5443" s="1"/>
  <c r="C5442"/>
  <c r="D5442" s="1"/>
  <c r="C5441"/>
  <c r="D5441" s="1"/>
  <c r="C5440"/>
  <c r="D5440" s="1"/>
  <c r="C5439"/>
  <c r="D5439" s="1"/>
  <c r="C5438"/>
  <c r="D5438" s="1"/>
  <c r="C5437"/>
  <c r="D5437" s="1"/>
  <c r="C5436"/>
  <c r="D5436" s="1"/>
  <c r="C5435"/>
  <c r="D5435" s="1"/>
  <c r="C5434"/>
  <c r="D5434" s="1"/>
  <c r="C5433"/>
  <c r="D5433" s="1"/>
  <c r="C5432"/>
  <c r="D5432" s="1"/>
  <c r="D5431"/>
  <c r="C5431"/>
  <c r="C5430"/>
  <c r="D5430" s="1"/>
  <c r="C5429"/>
  <c r="D5429" s="1"/>
  <c r="C5428"/>
  <c r="D5428" s="1"/>
  <c r="C5427"/>
  <c r="D5427" s="1"/>
  <c r="C5426"/>
  <c r="D5426" s="1"/>
  <c r="C5425"/>
  <c r="D5425" s="1"/>
  <c r="C5424"/>
  <c r="D5424" s="1"/>
  <c r="C5423"/>
  <c r="D5423" s="1"/>
  <c r="C5422"/>
  <c r="D5422" s="1"/>
  <c r="C5421"/>
  <c r="D5421" s="1"/>
  <c r="C5420"/>
  <c r="D5420" s="1"/>
  <c r="C5419"/>
  <c r="D5419" s="1"/>
  <c r="C5418"/>
  <c r="D5418" s="1"/>
  <c r="C5417"/>
  <c r="D5417" s="1"/>
  <c r="C5416"/>
  <c r="D5416" s="1"/>
  <c r="C5415"/>
  <c r="D5415" s="1"/>
  <c r="C5414"/>
  <c r="D5414" s="1"/>
  <c r="C5413"/>
  <c r="D5413" s="1"/>
  <c r="C5412"/>
  <c r="D5412" s="1"/>
  <c r="C5411"/>
  <c r="D5411" s="1"/>
  <c r="C5410"/>
  <c r="D5410" s="1"/>
  <c r="C5409"/>
  <c r="D5409" s="1"/>
  <c r="C5408"/>
  <c r="D5408" s="1"/>
  <c r="C5407"/>
  <c r="D5407" s="1"/>
  <c r="C5406"/>
  <c r="D5406" s="1"/>
  <c r="C5405"/>
  <c r="D5405" s="1"/>
  <c r="C5404"/>
  <c r="D5404" s="1"/>
  <c r="C5403"/>
  <c r="D5403" s="1"/>
  <c r="C5402"/>
  <c r="D5402" s="1"/>
  <c r="C5401"/>
  <c r="D5401" s="1"/>
  <c r="C5400"/>
  <c r="D5400" s="1"/>
  <c r="D5399"/>
  <c r="C5399"/>
  <c r="C5398"/>
  <c r="D5398" s="1"/>
  <c r="C5397"/>
  <c r="D5397" s="1"/>
  <c r="C5396"/>
  <c r="D5396" s="1"/>
  <c r="C5395"/>
  <c r="D5395" s="1"/>
  <c r="C5394"/>
  <c r="D5394" s="1"/>
  <c r="C5393"/>
  <c r="D5393" s="1"/>
  <c r="C5392"/>
  <c r="D5392" s="1"/>
  <c r="C5391"/>
  <c r="D5391" s="1"/>
  <c r="C5390"/>
  <c r="D5390" s="1"/>
  <c r="C5389"/>
  <c r="D5389" s="1"/>
  <c r="C5388"/>
  <c r="D5388" s="1"/>
  <c r="C5387"/>
  <c r="D5387" s="1"/>
  <c r="C5386"/>
  <c r="D5386" s="1"/>
  <c r="C5385"/>
  <c r="D5385" s="1"/>
  <c r="C5384"/>
  <c r="D5384" s="1"/>
  <c r="C5383"/>
  <c r="D5383" s="1"/>
  <c r="C5382"/>
  <c r="D5382" s="1"/>
  <c r="C5381"/>
  <c r="D5381" s="1"/>
  <c r="C5380"/>
  <c r="D5380" s="1"/>
  <c r="C5379"/>
  <c r="D5379" s="1"/>
  <c r="C5378"/>
  <c r="D5378" s="1"/>
  <c r="C5377"/>
  <c r="D5377" s="1"/>
  <c r="C5376"/>
  <c r="D5376" s="1"/>
  <c r="C5375"/>
  <c r="D5375" s="1"/>
  <c r="C5374"/>
  <c r="D5374" s="1"/>
  <c r="C5373"/>
  <c r="D5373" s="1"/>
  <c r="C5372"/>
  <c r="D5372" s="1"/>
  <c r="C5371"/>
  <c r="D5371" s="1"/>
  <c r="C5370"/>
  <c r="D5370" s="1"/>
  <c r="C5369"/>
  <c r="D5369" s="1"/>
  <c r="C5368"/>
  <c r="D5368" s="1"/>
  <c r="D5367"/>
  <c r="C5367"/>
  <c r="C5366"/>
  <c r="D5366" s="1"/>
  <c r="C5365"/>
  <c r="D5365" s="1"/>
  <c r="C5364"/>
  <c r="D5364" s="1"/>
  <c r="C5363"/>
  <c r="D5363" s="1"/>
  <c r="C5362"/>
  <c r="D5362" s="1"/>
  <c r="C5361"/>
  <c r="D5361" s="1"/>
  <c r="C5360"/>
  <c r="D5360" s="1"/>
  <c r="C5359"/>
  <c r="D5359" s="1"/>
  <c r="C5358"/>
  <c r="D5358" s="1"/>
  <c r="C5357"/>
  <c r="D5357" s="1"/>
  <c r="C5356"/>
  <c r="D5356" s="1"/>
  <c r="C5355"/>
  <c r="D5355" s="1"/>
  <c r="C5354"/>
  <c r="D5354" s="1"/>
  <c r="C5353"/>
  <c r="D5353" s="1"/>
  <c r="C5352"/>
  <c r="D5352" s="1"/>
  <c r="C5351"/>
  <c r="D5351" s="1"/>
  <c r="C5350"/>
  <c r="D5350" s="1"/>
  <c r="C5349"/>
  <c r="D5349" s="1"/>
  <c r="C5348"/>
  <c r="D5348" s="1"/>
  <c r="C5347"/>
  <c r="D5347" s="1"/>
  <c r="C5346"/>
  <c r="D5346" s="1"/>
  <c r="C5345"/>
  <c r="D5345" s="1"/>
  <c r="C5344"/>
  <c r="D5344" s="1"/>
  <c r="C5343"/>
  <c r="D5343" s="1"/>
  <c r="C5342"/>
  <c r="D5342" s="1"/>
  <c r="C5341"/>
  <c r="D5341" s="1"/>
  <c r="C5340"/>
  <c r="D5340" s="1"/>
  <c r="C5339"/>
  <c r="D5339" s="1"/>
  <c r="C5338"/>
  <c r="D5338" s="1"/>
  <c r="C5337"/>
  <c r="D5337" s="1"/>
  <c r="C5336"/>
  <c r="D5336" s="1"/>
  <c r="D5335"/>
  <c r="C5335"/>
  <c r="C5334"/>
  <c r="D5334" s="1"/>
  <c r="C5333"/>
  <c r="D5333" s="1"/>
  <c r="C5332"/>
  <c r="D5332" s="1"/>
  <c r="C5331"/>
  <c r="D5331" s="1"/>
  <c r="C5330"/>
  <c r="D5330" s="1"/>
  <c r="C5329"/>
  <c r="D5329" s="1"/>
  <c r="C5328"/>
  <c r="D5328" s="1"/>
  <c r="C5327"/>
  <c r="D5327" s="1"/>
  <c r="C5326"/>
  <c r="D5326" s="1"/>
  <c r="C5325"/>
  <c r="D5325" s="1"/>
  <c r="C5324"/>
  <c r="D5324" s="1"/>
  <c r="C5323"/>
  <c r="D5323" s="1"/>
  <c r="C5322"/>
  <c r="D5322" s="1"/>
  <c r="C5321"/>
  <c r="D5321" s="1"/>
  <c r="C5320"/>
  <c r="D5320" s="1"/>
  <c r="C5319"/>
  <c r="D5319" s="1"/>
  <c r="C5318"/>
  <c r="D5318" s="1"/>
  <c r="C5317"/>
  <c r="D5317" s="1"/>
  <c r="C5316"/>
  <c r="D5316" s="1"/>
  <c r="C5315"/>
  <c r="D5315" s="1"/>
  <c r="C5314"/>
  <c r="D5314" s="1"/>
  <c r="C5313"/>
  <c r="D5313" s="1"/>
  <c r="C5312"/>
  <c r="D5312" s="1"/>
  <c r="C5311"/>
  <c r="D5311" s="1"/>
  <c r="C5310"/>
  <c r="D5310" s="1"/>
  <c r="C5309"/>
  <c r="D5309" s="1"/>
  <c r="C5308"/>
  <c r="D5308" s="1"/>
  <c r="C5307"/>
  <c r="D5307" s="1"/>
  <c r="C5306"/>
  <c r="D5306" s="1"/>
  <c r="C5305"/>
  <c r="D5305" s="1"/>
  <c r="C5304"/>
  <c r="D5304" s="1"/>
  <c r="D5303"/>
  <c r="C5303"/>
  <c r="C5302"/>
  <c r="D5302" s="1"/>
  <c r="C5301"/>
  <c r="D5301" s="1"/>
  <c r="C5300"/>
  <c r="D5300" s="1"/>
  <c r="C5299"/>
  <c r="D5299" s="1"/>
  <c r="C5298"/>
  <c r="D5298" s="1"/>
  <c r="C5297"/>
  <c r="D5297" s="1"/>
  <c r="C5296"/>
  <c r="D5296" s="1"/>
  <c r="C5295"/>
  <c r="D5295" s="1"/>
  <c r="C5294"/>
  <c r="D5294" s="1"/>
  <c r="C5293"/>
  <c r="D5293" s="1"/>
  <c r="C5292"/>
  <c r="D5292" s="1"/>
  <c r="C5291"/>
  <c r="D5291" s="1"/>
  <c r="C5290"/>
  <c r="D5290" s="1"/>
  <c r="C5289"/>
  <c r="D5289" s="1"/>
  <c r="C5288"/>
  <c r="D5288" s="1"/>
  <c r="C5287"/>
  <c r="D5287" s="1"/>
  <c r="C5286"/>
  <c r="D5286" s="1"/>
  <c r="C5285"/>
  <c r="D5285" s="1"/>
  <c r="C5284"/>
  <c r="D5284" s="1"/>
  <c r="C5283"/>
  <c r="D5283" s="1"/>
  <c r="C5282"/>
  <c r="D5282" s="1"/>
  <c r="C5281"/>
  <c r="D5281" s="1"/>
  <c r="C5280"/>
  <c r="D5280" s="1"/>
  <c r="C5279"/>
  <c r="D5279" s="1"/>
  <c r="C5278"/>
  <c r="D5278" s="1"/>
  <c r="C5277"/>
  <c r="D5277" s="1"/>
  <c r="C5276"/>
  <c r="D5276" s="1"/>
  <c r="C5275"/>
  <c r="D5275" s="1"/>
  <c r="C5274"/>
  <c r="D5274" s="1"/>
  <c r="C5273"/>
  <c r="D5273" s="1"/>
  <c r="C5272"/>
  <c r="D5272" s="1"/>
  <c r="D5271"/>
  <c r="C5271"/>
  <c r="C5270"/>
  <c r="D5270" s="1"/>
  <c r="C5269"/>
  <c r="D5269" s="1"/>
  <c r="C5268"/>
  <c r="D5268" s="1"/>
  <c r="C5267"/>
  <c r="D5267" s="1"/>
  <c r="C5266"/>
  <c r="D5266" s="1"/>
  <c r="C5265"/>
  <c r="D5265" s="1"/>
  <c r="C5264"/>
  <c r="D5264" s="1"/>
  <c r="C5263"/>
  <c r="D5263" s="1"/>
  <c r="C5262"/>
  <c r="D5262" s="1"/>
  <c r="C5261"/>
  <c r="D5261" s="1"/>
  <c r="C5260"/>
  <c r="D5260" s="1"/>
  <c r="C5259"/>
  <c r="D5259" s="1"/>
  <c r="C5258"/>
  <c r="D5258" s="1"/>
  <c r="C5257"/>
  <c r="D5257" s="1"/>
  <c r="C5256"/>
  <c r="D5256" s="1"/>
  <c r="C5255"/>
  <c r="D5255" s="1"/>
  <c r="C5254"/>
  <c r="D5254" s="1"/>
  <c r="C5253"/>
  <c r="D5253" s="1"/>
  <c r="C5252"/>
  <c r="D5252" s="1"/>
  <c r="C5251"/>
  <c r="D5251" s="1"/>
  <c r="C5250"/>
  <c r="D5250" s="1"/>
  <c r="C5249"/>
  <c r="D5249" s="1"/>
  <c r="C5248"/>
  <c r="D5248" s="1"/>
  <c r="C5247"/>
  <c r="D5247" s="1"/>
  <c r="C5246"/>
  <c r="D5246" s="1"/>
  <c r="C5245"/>
  <c r="D5245" s="1"/>
  <c r="C5244"/>
  <c r="D5244" s="1"/>
  <c r="C5243"/>
  <c r="D5243" s="1"/>
  <c r="C5242"/>
  <c r="D5242" s="1"/>
  <c r="C5241"/>
  <c r="D5241" s="1"/>
  <c r="C5240"/>
  <c r="D5240" s="1"/>
  <c r="D5239"/>
  <c r="C5239"/>
  <c r="C5238"/>
  <c r="D5238" s="1"/>
  <c r="C5237"/>
  <c r="D5237" s="1"/>
  <c r="C5236"/>
  <c r="D5236" s="1"/>
  <c r="C5235"/>
  <c r="D5235" s="1"/>
  <c r="C5234"/>
  <c r="D5234" s="1"/>
  <c r="C5233"/>
  <c r="D5233" s="1"/>
  <c r="C5232"/>
  <c r="D5232" s="1"/>
  <c r="C5231"/>
  <c r="D5231" s="1"/>
  <c r="C5230"/>
  <c r="D5230" s="1"/>
  <c r="C5229"/>
  <c r="D5229" s="1"/>
  <c r="C5228"/>
  <c r="D5228" s="1"/>
  <c r="C5227"/>
  <c r="D5227" s="1"/>
  <c r="C5226"/>
  <c r="D5226" s="1"/>
  <c r="C5225"/>
  <c r="D5225" s="1"/>
  <c r="C5224"/>
  <c r="D5224" s="1"/>
  <c r="C5223"/>
  <c r="D5223" s="1"/>
  <c r="C5222"/>
  <c r="D5222" s="1"/>
  <c r="C5221"/>
  <c r="D5221" s="1"/>
  <c r="C5220"/>
  <c r="D5220" s="1"/>
  <c r="C5219"/>
  <c r="D5219" s="1"/>
  <c r="C5218"/>
  <c r="D5218" s="1"/>
  <c r="C5217"/>
  <c r="D5217" s="1"/>
  <c r="C5216"/>
  <c r="D5216" s="1"/>
  <c r="C5215"/>
  <c r="D5215" s="1"/>
  <c r="C5214"/>
  <c r="D5214" s="1"/>
  <c r="C5213"/>
  <c r="D5213" s="1"/>
  <c r="C5212"/>
  <c r="D5212" s="1"/>
  <c r="C5211"/>
  <c r="D5211" s="1"/>
  <c r="C5210"/>
  <c r="D5210" s="1"/>
  <c r="C5209"/>
  <c r="D5209" s="1"/>
  <c r="C5208"/>
  <c r="D5208" s="1"/>
  <c r="D5207"/>
  <c r="C5207"/>
  <c r="C5206"/>
  <c r="D5206" s="1"/>
  <c r="C5205"/>
  <c r="D5205" s="1"/>
  <c r="C5204"/>
  <c r="D5204" s="1"/>
  <c r="C5203"/>
  <c r="D5203" s="1"/>
  <c r="C5202"/>
  <c r="D5202" s="1"/>
  <c r="C5201"/>
  <c r="D5201" s="1"/>
  <c r="C5200"/>
  <c r="D5200" s="1"/>
  <c r="C5199"/>
  <c r="D5199" s="1"/>
  <c r="C5198"/>
  <c r="D5198" s="1"/>
  <c r="C5197"/>
  <c r="D5197" s="1"/>
  <c r="C5196"/>
  <c r="D5196" s="1"/>
  <c r="C5195"/>
  <c r="D5195" s="1"/>
  <c r="C5194"/>
  <c r="D5194" s="1"/>
  <c r="C5193"/>
  <c r="D5193" s="1"/>
  <c r="C5192"/>
  <c r="D5192" s="1"/>
  <c r="C5191"/>
  <c r="D5191" s="1"/>
  <c r="C5190"/>
  <c r="D5190" s="1"/>
  <c r="C5189"/>
  <c r="D5189" s="1"/>
  <c r="C5188"/>
  <c r="D5188" s="1"/>
  <c r="C5187"/>
  <c r="D5187" s="1"/>
  <c r="C5186"/>
  <c r="D5186" s="1"/>
  <c r="C5185"/>
  <c r="D5185" s="1"/>
  <c r="C5184"/>
  <c r="D5184" s="1"/>
  <c r="C5183"/>
  <c r="D5183" s="1"/>
  <c r="C5182"/>
  <c r="D5182" s="1"/>
  <c r="C5181"/>
  <c r="D5181" s="1"/>
  <c r="C5180"/>
  <c r="D5180" s="1"/>
  <c r="C5179"/>
  <c r="D5179" s="1"/>
  <c r="C5178"/>
  <c r="D5178" s="1"/>
  <c r="C5177"/>
  <c r="D5177" s="1"/>
  <c r="C5176"/>
  <c r="D5176" s="1"/>
  <c r="D5175"/>
  <c r="C5175"/>
  <c r="C5174"/>
  <c r="D5174" s="1"/>
  <c r="C5173"/>
  <c r="D5173" s="1"/>
  <c r="C5172"/>
  <c r="D5172" s="1"/>
  <c r="C5171"/>
  <c r="D5171" s="1"/>
  <c r="C5170"/>
  <c r="D5170" s="1"/>
  <c r="C5169"/>
  <c r="D5169" s="1"/>
  <c r="C5168"/>
  <c r="D5168" s="1"/>
  <c r="C5167"/>
  <c r="D5167" s="1"/>
  <c r="C5166"/>
  <c r="D5166" s="1"/>
  <c r="C5165"/>
  <c r="D5165" s="1"/>
  <c r="C5164"/>
  <c r="D5164" s="1"/>
  <c r="C5163"/>
  <c r="D5163" s="1"/>
  <c r="C5162"/>
  <c r="D5162" s="1"/>
  <c r="C5161"/>
  <c r="D5161" s="1"/>
  <c r="C5160"/>
  <c r="D5160" s="1"/>
  <c r="C5159"/>
  <c r="D5159" s="1"/>
  <c r="C5158"/>
  <c r="D5158" s="1"/>
  <c r="C5157"/>
  <c r="D5157" s="1"/>
  <c r="C5156"/>
  <c r="D5156" s="1"/>
  <c r="C5155"/>
  <c r="D5155" s="1"/>
  <c r="C5154"/>
  <c r="D5154" s="1"/>
  <c r="C5153"/>
  <c r="D5153" s="1"/>
  <c r="C5152"/>
  <c r="D5152" s="1"/>
  <c r="C5151"/>
  <c r="D5151" s="1"/>
  <c r="C5150"/>
  <c r="D5150" s="1"/>
  <c r="C5149"/>
  <c r="D5149" s="1"/>
  <c r="C5148"/>
  <c r="D5148" s="1"/>
  <c r="C5147"/>
  <c r="D5147" s="1"/>
  <c r="C5146"/>
  <c r="D5146" s="1"/>
  <c r="C5145"/>
  <c r="D5145" s="1"/>
  <c r="C5144"/>
  <c r="D5144" s="1"/>
  <c r="D5143"/>
  <c r="C5143"/>
  <c r="C5142"/>
  <c r="D5142" s="1"/>
  <c r="C5141"/>
  <c r="D5141" s="1"/>
  <c r="C5140"/>
  <c r="D5140" s="1"/>
  <c r="C5139"/>
  <c r="D5139" s="1"/>
  <c r="C5138"/>
  <c r="D5138" s="1"/>
  <c r="C5137"/>
  <c r="D5137" s="1"/>
  <c r="C5136"/>
  <c r="D5136" s="1"/>
  <c r="C5135"/>
  <c r="D5135" s="1"/>
  <c r="C5134"/>
  <c r="D5134" s="1"/>
  <c r="C5133"/>
  <c r="D5133" s="1"/>
  <c r="C5132"/>
  <c r="D5132" s="1"/>
  <c r="C5131"/>
  <c r="D5131" s="1"/>
  <c r="C5130"/>
  <c r="D5130" s="1"/>
  <c r="C5129"/>
  <c r="D5129" s="1"/>
  <c r="C5128"/>
  <c r="D5128" s="1"/>
  <c r="C5127"/>
  <c r="D5127" s="1"/>
  <c r="C5126"/>
  <c r="D5126" s="1"/>
  <c r="C5125"/>
  <c r="D5125" s="1"/>
  <c r="C5124"/>
  <c r="D5124" s="1"/>
  <c r="C5123"/>
  <c r="D5123" s="1"/>
  <c r="C5122"/>
  <c r="D5122" s="1"/>
  <c r="C5121"/>
  <c r="D5121" s="1"/>
  <c r="C5120"/>
  <c r="D5120" s="1"/>
  <c r="C5119"/>
  <c r="D5119" s="1"/>
  <c r="C5118"/>
  <c r="D5118" s="1"/>
  <c r="C5117"/>
  <c r="D5117" s="1"/>
  <c r="C5116"/>
  <c r="D5116" s="1"/>
  <c r="C5115"/>
  <c r="D5115" s="1"/>
  <c r="C5114"/>
  <c r="D5114" s="1"/>
  <c r="C5113"/>
  <c r="D5113" s="1"/>
  <c r="C5112"/>
  <c r="D5112" s="1"/>
  <c r="D5111"/>
  <c r="C5111"/>
  <c r="C5110"/>
  <c r="D5110" s="1"/>
  <c r="C5109"/>
  <c r="D5109" s="1"/>
  <c r="C5108"/>
  <c r="D5108" s="1"/>
  <c r="C5107"/>
  <c r="D5107" s="1"/>
  <c r="C5106"/>
  <c r="D5106" s="1"/>
  <c r="C5105"/>
  <c r="D5105" s="1"/>
  <c r="C5104"/>
  <c r="D5104" s="1"/>
  <c r="C5103"/>
  <c r="D5103" s="1"/>
  <c r="C5102"/>
  <c r="D5102" s="1"/>
  <c r="C5101"/>
  <c r="D5101" s="1"/>
  <c r="C5100"/>
  <c r="D5100" s="1"/>
  <c r="C5099"/>
  <c r="D5099" s="1"/>
  <c r="C5098"/>
  <c r="D5098" s="1"/>
  <c r="C5097"/>
  <c r="D5097" s="1"/>
  <c r="C5096"/>
  <c r="D5096" s="1"/>
  <c r="C5095"/>
  <c r="D5095" s="1"/>
  <c r="C5094"/>
  <c r="D5094" s="1"/>
  <c r="C5093"/>
  <c r="D5093" s="1"/>
  <c r="C5092"/>
  <c r="D5092" s="1"/>
  <c r="C5091"/>
  <c r="D5091" s="1"/>
  <c r="C5090"/>
  <c r="D5090" s="1"/>
  <c r="C5089"/>
  <c r="D5089" s="1"/>
  <c r="C5088"/>
  <c r="D5088" s="1"/>
  <c r="C5087"/>
  <c r="D5087" s="1"/>
  <c r="C5086"/>
  <c r="D5086" s="1"/>
  <c r="C5085"/>
  <c r="D5085" s="1"/>
  <c r="C5084"/>
  <c r="D5084" s="1"/>
  <c r="C5083"/>
  <c r="D5083" s="1"/>
  <c r="C5082"/>
  <c r="D5082" s="1"/>
  <c r="C5081"/>
  <c r="D5081" s="1"/>
  <c r="C5080"/>
  <c r="D5080" s="1"/>
  <c r="D5079"/>
  <c r="C5079"/>
  <c r="C5078"/>
  <c r="D5078" s="1"/>
  <c r="C5077"/>
  <c r="D5077" s="1"/>
  <c r="C5076"/>
  <c r="D5076" s="1"/>
  <c r="C5075"/>
  <c r="D5075" s="1"/>
  <c r="C5074"/>
  <c r="D5074" s="1"/>
  <c r="C5073"/>
  <c r="D5073" s="1"/>
  <c r="C5072"/>
  <c r="D5072" s="1"/>
  <c r="C5071"/>
  <c r="D5071" s="1"/>
  <c r="C5070"/>
  <c r="D5070" s="1"/>
  <c r="C5069"/>
  <c r="D5069" s="1"/>
  <c r="C5068"/>
  <c r="D5068" s="1"/>
  <c r="C5067"/>
  <c r="D5067" s="1"/>
  <c r="C5066"/>
  <c r="D5066" s="1"/>
  <c r="C5065"/>
  <c r="D5065" s="1"/>
  <c r="C5064"/>
  <c r="D5064" s="1"/>
  <c r="C5063"/>
  <c r="D5063" s="1"/>
  <c r="C5062"/>
  <c r="D5062" s="1"/>
  <c r="C5061"/>
  <c r="D5061" s="1"/>
  <c r="C5060"/>
  <c r="D5060" s="1"/>
  <c r="C5059"/>
  <c r="D5059" s="1"/>
  <c r="C5058"/>
  <c r="D5058" s="1"/>
  <c r="C5057"/>
  <c r="D5057" s="1"/>
  <c r="C5056"/>
  <c r="D5056" s="1"/>
  <c r="C5055"/>
  <c r="D5055" s="1"/>
  <c r="C5054"/>
  <c r="D5054" s="1"/>
  <c r="C5053"/>
  <c r="D5053" s="1"/>
  <c r="C5052"/>
  <c r="D5052" s="1"/>
  <c r="C5051"/>
  <c r="D5051" s="1"/>
  <c r="C5050"/>
  <c r="D5050" s="1"/>
  <c r="C5049"/>
  <c r="D5049" s="1"/>
  <c r="C5048"/>
  <c r="D5048" s="1"/>
  <c r="D5047"/>
  <c r="C5047"/>
  <c r="C5046"/>
  <c r="D5046" s="1"/>
  <c r="C5045"/>
  <c r="D5045" s="1"/>
  <c r="C5044"/>
  <c r="D5044" s="1"/>
  <c r="C5043"/>
  <c r="D5043" s="1"/>
  <c r="C5042"/>
  <c r="D5042" s="1"/>
  <c r="C5041"/>
  <c r="D5041" s="1"/>
  <c r="C5040"/>
  <c r="D5040" s="1"/>
  <c r="C5039"/>
  <c r="D5039" s="1"/>
  <c r="C5038"/>
  <c r="D5038" s="1"/>
  <c r="C5037"/>
  <c r="D5037" s="1"/>
  <c r="C5036"/>
  <c r="D5036" s="1"/>
  <c r="C5035"/>
  <c r="D5035" s="1"/>
  <c r="C5034"/>
  <c r="D5034" s="1"/>
  <c r="C5033"/>
  <c r="D5033" s="1"/>
  <c r="C5032"/>
  <c r="D5032" s="1"/>
  <c r="C5031"/>
  <c r="D5031" s="1"/>
  <c r="C5030"/>
  <c r="D5030" s="1"/>
  <c r="C5029"/>
  <c r="D5029" s="1"/>
  <c r="C5028"/>
  <c r="D5028" s="1"/>
  <c r="C5027"/>
  <c r="D5027" s="1"/>
  <c r="C5026"/>
  <c r="D5026" s="1"/>
  <c r="C5025"/>
  <c r="D5025" s="1"/>
  <c r="C5024"/>
  <c r="D5024" s="1"/>
  <c r="C5023"/>
  <c r="D5023" s="1"/>
  <c r="C5022"/>
  <c r="D5022" s="1"/>
  <c r="C5021"/>
  <c r="D5021" s="1"/>
  <c r="C5020"/>
  <c r="D5020" s="1"/>
  <c r="C5019"/>
  <c r="D5019" s="1"/>
  <c r="C5018"/>
  <c r="D5018" s="1"/>
  <c r="C5017"/>
  <c r="D5017" s="1"/>
  <c r="C5016"/>
  <c r="D5016" s="1"/>
  <c r="D5015"/>
  <c r="C5015"/>
  <c r="C5014"/>
  <c r="D5014" s="1"/>
  <c r="C5013"/>
  <c r="D5013" s="1"/>
  <c r="C5012"/>
  <c r="D5012" s="1"/>
  <c r="C5011"/>
  <c r="D5011" s="1"/>
  <c r="C5010"/>
  <c r="D5010" s="1"/>
  <c r="C5009"/>
  <c r="D5009" s="1"/>
  <c r="C5008"/>
  <c r="D5008" s="1"/>
  <c r="C5007"/>
  <c r="D5007" s="1"/>
  <c r="C5006"/>
  <c r="D5006" s="1"/>
  <c r="C5005"/>
  <c r="D5005" s="1"/>
  <c r="C5004"/>
  <c r="D5004" s="1"/>
  <c r="C5003"/>
  <c r="D5003" s="1"/>
  <c r="C5002"/>
  <c r="D5002" s="1"/>
  <c r="C5001"/>
  <c r="D5001" s="1"/>
  <c r="C5000"/>
  <c r="D5000" s="1"/>
  <c r="C4999"/>
  <c r="D4999" s="1"/>
  <c r="C4998"/>
  <c r="D4998" s="1"/>
  <c r="C4997"/>
  <c r="D4997" s="1"/>
  <c r="C4996"/>
  <c r="D4996" s="1"/>
  <c r="C4995"/>
  <c r="D4995" s="1"/>
  <c r="C4994"/>
  <c r="D4994" s="1"/>
  <c r="C4993"/>
  <c r="D4993" s="1"/>
  <c r="C4992"/>
  <c r="D4992" s="1"/>
  <c r="C4991"/>
  <c r="D4991" s="1"/>
  <c r="C4990"/>
  <c r="D4990" s="1"/>
  <c r="C4989"/>
  <c r="D4989" s="1"/>
  <c r="C4988"/>
  <c r="D4988" s="1"/>
  <c r="C4987"/>
  <c r="D4987" s="1"/>
  <c r="C4986"/>
  <c r="D4986" s="1"/>
  <c r="C4985"/>
  <c r="D4985" s="1"/>
  <c r="C4984"/>
  <c r="D4984" s="1"/>
  <c r="D4983"/>
  <c r="C4983"/>
  <c r="C4982"/>
  <c r="D4982" s="1"/>
  <c r="C4981"/>
  <c r="D4981" s="1"/>
  <c r="C4980"/>
  <c r="D4980" s="1"/>
  <c r="C4979"/>
  <c r="D4979" s="1"/>
  <c r="C4978"/>
  <c r="D4978" s="1"/>
  <c r="C4977"/>
  <c r="D4977" s="1"/>
  <c r="C4976"/>
  <c r="D4976" s="1"/>
  <c r="C4975"/>
  <c r="D4975" s="1"/>
  <c r="C4974"/>
  <c r="D4974" s="1"/>
  <c r="C4973"/>
  <c r="D4973" s="1"/>
  <c r="C4972"/>
  <c r="D4972" s="1"/>
  <c r="C4971"/>
  <c r="D4971" s="1"/>
  <c r="C4970"/>
  <c r="D4970" s="1"/>
  <c r="C4969"/>
  <c r="D4969" s="1"/>
  <c r="C4968"/>
  <c r="D4968" s="1"/>
  <c r="C4967"/>
  <c r="D4967" s="1"/>
  <c r="C4966"/>
  <c r="D4966" s="1"/>
  <c r="C4965"/>
  <c r="D4965" s="1"/>
  <c r="C4964"/>
  <c r="D4964" s="1"/>
  <c r="C4963"/>
  <c r="D4963" s="1"/>
  <c r="C4962"/>
  <c r="D4962" s="1"/>
  <c r="C4961"/>
  <c r="D4961" s="1"/>
  <c r="C4960"/>
  <c r="D4960" s="1"/>
  <c r="C4959"/>
  <c r="D4959" s="1"/>
  <c r="C4958"/>
  <c r="D4958" s="1"/>
  <c r="C4957"/>
  <c r="D4957" s="1"/>
  <c r="C4956"/>
  <c r="D4956" s="1"/>
  <c r="C4955"/>
  <c r="D4955" s="1"/>
  <c r="C4954"/>
  <c r="D4954" s="1"/>
  <c r="C4953"/>
  <c r="D4953" s="1"/>
  <c r="C4952"/>
  <c r="D4952" s="1"/>
  <c r="D4951"/>
  <c r="C4951"/>
  <c r="C4950"/>
  <c r="D4950" s="1"/>
  <c r="C4949"/>
  <c r="D4949" s="1"/>
  <c r="C4948"/>
  <c r="D4948" s="1"/>
  <c r="C4947"/>
  <c r="D4947" s="1"/>
  <c r="C4946"/>
  <c r="D4946" s="1"/>
  <c r="C4945"/>
  <c r="D4945" s="1"/>
  <c r="C4944"/>
  <c r="D4944" s="1"/>
  <c r="C4943"/>
  <c r="D4943" s="1"/>
  <c r="C4942"/>
  <c r="D4942" s="1"/>
  <c r="C4941"/>
  <c r="D4941" s="1"/>
  <c r="C4940"/>
  <c r="D4940" s="1"/>
  <c r="C4939"/>
  <c r="D4939" s="1"/>
  <c r="C4938"/>
  <c r="D4938" s="1"/>
  <c r="C4937"/>
  <c r="D4937" s="1"/>
  <c r="C4936"/>
  <c r="D4936" s="1"/>
  <c r="C4935"/>
  <c r="D4935" s="1"/>
  <c r="C4934"/>
  <c r="D4934" s="1"/>
  <c r="C4933"/>
  <c r="D4933" s="1"/>
  <c r="C4932"/>
  <c r="D4932" s="1"/>
  <c r="C4931"/>
  <c r="D4931" s="1"/>
  <c r="C4930"/>
  <c r="D4930" s="1"/>
  <c r="C4929"/>
  <c r="D4929" s="1"/>
  <c r="C4928"/>
  <c r="D4928" s="1"/>
  <c r="C4927"/>
  <c r="D4927" s="1"/>
  <c r="C4926"/>
  <c r="D4926" s="1"/>
  <c r="C4925"/>
  <c r="D4925" s="1"/>
  <c r="C4924"/>
  <c r="D4924" s="1"/>
  <c r="C4923"/>
  <c r="D4923" s="1"/>
  <c r="C4922"/>
  <c r="D4922" s="1"/>
  <c r="C4921"/>
  <c r="D4921" s="1"/>
  <c r="C4920"/>
  <c r="D4920" s="1"/>
  <c r="D4919"/>
  <c r="C4919"/>
  <c r="C4918"/>
  <c r="D4918" s="1"/>
  <c r="C4917"/>
  <c r="D4917" s="1"/>
  <c r="C4916"/>
  <c r="D4916" s="1"/>
  <c r="C4915"/>
  <c r="D4915" s="1"/>
  <c r="C4914"/>
  <c r="D4914" s="1"/>
  <c r="C4913"/>
  <c r="D4913" s="1"/>
  <c r="C4912"/>
  <c r="D4912" s="1"/>
  <c r="C4911"/>
  <c r="D4911" s="1"/>
  <c r="C4910"/>
  <c r="D4910" s="1"/>
  <c r="C4909"/>
  <c r="D4909" s="1"/>
  <c r="C4908"/>
  <c r="D4908" s="1"/>
  <c r="C4907"/>
  <c r="D4907" s="1"/>
  <c r="C4906"/>
  <c r="D4906" s="1"/>
  <c r="C4905"/>
  <c r="D4905" s="1"/>
  <c r="C4904"/>
  <c r="D4904" s="1"/>
  <c r="C4903"/>
  <c r="D4903" s="1"/>
  <c r="C4902"/>
  <c r="D4902" s="1"/>
  <c r="C4901"/>
  <c r="D4901" s="1"/>
  <c r="C4900"/>
  <c r="D4900" s="1"/>
  <c r="C4899"/>
  <c r="D4899" s="1"/>
  <c r="C4898"/>
  <c r="D4898" s="1"/>
  <c r="C4897"/>
  <c r="D4897" s="1"/>
  <c r="C4896"/>
  <c r="D4896" s="1"/>
  <c r="C4895"/>
  <c r="D4895" s="1"/>
  <c r="C4894"/>
  <c r="D4894" s="1"/>
  <c r="C4893"/>
  <c r="D4893" s="1"/>
  <c r="C4892"/>
  <c r="D4892" s="1"/>
  <c r="C4891"/>
  <c r="D4891" s="1"/>
  <c r="C4890"/>
  <c r="D4890" s="1"/>
  <c r="C4889"/>
  <c r="D4889" s="1"/>
  <c r="C4888"/>
  <c r="D4888" s="1"/>
  <c r="D4887"/>
  <c r="C4887"/>
  <c r="C4886"/>
  <c r="D4886" s="1"/>
  <c r="C4885"/>
  <c r="D4885" s="1"/>
  <c r="C4884"/>
  <c r="D4884" s="1"/>
  <c r="C4883"/>
  <c r="D4883" s="1"/>
  <c r="C4882"/>
  <c r="D4882" s="1"/>
  <c r="C4881"/>
  <c r="D4881" s="1"/>
  <c r="C4880"/>
  <c r="D4880" s="1"/>
  <c r="C4879"/>
  <c r="D4879" s="1"/>
  <c r="C4878"/>
  <c r="D4878" s="1"/>
  <c r="C4877"/>
  <c r="D4877" s="1"/>
  <c r="C4876"/>
  <c r="D4876" s="1"/>
  <c r="C4875"/>
  <c r="D4875" s="1"/>
  <c r="C4874"/>
  <c r="D4874" s="1"/>
  <c r="C4873"/>
  <c r="D4873" s="1"/>
  <c r="C4872"/>
  <c r="D4872" s="1"/>
  <c r="C4871"/>
  <c r="D4871" s="1"/>
  <c r="C4870"/>
  <c r="D4870" s="1"/>
  <c r="C4869"/>
  <c r="D4869" s="1"/>
  <c r="C4868"/>
  <c r="D4868" s="1"/>
  <c r="C4867"/>
  <c r="D4867" s="1"/>
  <c r="C4866"/>
  <c r="D4866" s="1"/>
  <c r="C4865"/>
  <c r="D4865" s="1"/>
  <c r="C4864"/>
  <c r="D4864" s="1"/>
  <c r="C4863"/>
  <c r="D4863" s="1"/>
  <c r="C4862"/>
  <c r="D4862" s="1"/>
  <c r="C4861"/>
  <c r="D4861" s="1"/>
  <c r="C4860"/>
  <c r="D4860" s="1"/>
  <c r="C4859"/>
  <c r="D4859" s="1"/>
  <c r="C4858"/>
  <c r="D4858" s="1"/>
  <c r="C4857"/>
  <c r="D4857" s="1"/>
  <c r="C4856"/>
  <c r="D4856" s="1"/>
  <c r="D4855"/>
  <c r="C4855"/>
  <c r="C4854"/>
  <c r="D4854" s="1"/>
  <c r="C4853"/>
  <c r="D4853" s="1"/>
  <c r="D4852"/>
  <c r="C4852"/>
  <c r="C4851"/>
  <c r="D4851" s="1"/>
  <c r="C4850"/>
  <c r="D4850" s="1"/>
  <c r="C4849"/>
  <c r="D4849" s="1"/>
  <c r="C4848"/>
  <c r="D4848" s="1"/>
  <c r="C4847"/>
  <c r="D4847" s="1"/>
  <c r="C4846"/>
  <c r="D4846" s="1"/>
  <c r="C4845"/>
  <c r="D4845" s="1"/>
  <c r="C4844"/>
  <c r="D4844" s="1"/>
  <c r="C4843"/>
  <c r="D4843" s="1"/>
  <c r="C4842"/>
  <c r="D4842" s="1"/>
  <c r="C4841"/>
  <c r="D4841" s="1"/>
  <c r="C4840"/>
  <c r="D4840" s="1"/>
  <c r="C4839"/>
  <c r="D4839" s="1"/>
  <c r="C4838"/>
  <c r="D4838" s="1"/>
  <c r="C4837"/>
  <c r="D4837" s="1"/>
  <c r="D4836"/>
  <c r="C4836"/>
  <c r="C4835"/>
  <c r="D4835" s="1"/>
  <c r="C4834"/>
  <c r="D4834" s="1"/>
  <c r="C4833"/>
  <c r="D4833" s="1"/>
  <c r="C4832"/>
  <c r="D4832" s="1"/>
  <c r="C4831"/>
  <c r="D4831" s="1"/>
  <c r="C4830"/>
  <c r="D4830" s="1"/>
  <c r="C4829"/>
  <c r="D4829" s="1"/>
  <c r="C4828"/>
  <c r="D4828" s="1"/>
  <c r="C4827"/>
  <c r="D4827" s="1"/>
  <c r="C4826"/>
  <c r="D4826" s="1"/>
  <c r="C4825"/>
  <c r="D4825" s="1"/>
  <c r="C4824"/>
  <c r="D4824" s="1"/>
  <c r="C4823"/>
  <c r="D4823" s="1"/>
  <c r="C4822"/>
  <c r="D4822" s="1"/>
  <c r="C4821"/>
  <c r="D4821" s="1"/>
  <c r="D4820"/>
  <c r="C4820"/>
  <c r="C4819"/>
  <c r="D4819" s="1"/>
  <c r="C4818"/>
  <c r="D4818" s="1"/>
  <c r="C4817"/>
  <c r="D4817" s="1"/>
  <c r="C4816"/>
  <c r="D4816" s="1"/>
  <c r="C4815"/>
  <c r="D4815" s="1"/>
  <c r="C4814"/>
  <c r="D4814" s="1"/>
  <c r="C4813"/>
  <c r="D4813" s="1"/>
  <c r="C4812"/>
  <c r="D4812" s="1"/>
  <c r="C4811"/>
  <c r="D4811" s="1"/>
  <c r="C4810"/>
  <c r="D4810" s="1"/>
  <c r="C4809"/>
  <c r="D4809" s="1"/>
  <c r="C4808"/>
  <c r="D4808" s="1"/>
  <c r="C4807"/>
  <c r="D4807" s="1"/>
  <c r="C4806"/>
  <c r="D4806" s="1"/>
  <c r="C4805"/>
  <c r="D4805" s="1"/>
  <c r="D4804"/>
  <c r="C4804"/>
  <c r="C4803"/>
  <c r="D4803" s="1"/>
  <c r="C4802"/>
  <c r="D4802" s="1"/>
  <c r="C4801"/>
  <c r="D4801" s="1"/>
  <c r="C4800"/>
  <c r="D4800" s="1"/>
  <c r="C4799"/>
  <c r="D4799" s="1"/>
  <c r="C4798"/>
  <c r="D4798" s="1"/>
  <c r="C4797"/>
  <c r="D4797" s="1"/>
  <c r="C4796"/>
  <c r="D4796" s="1"/>
  <c r="C4795"/>
  <c r="D4795" s="1"/>
  <c r="C4794"/>
  <c r="D4794" s="1"/>
  <c r="C4793"/>
  <c r="D4793" s="1"/>
  <c r="C4792"/>
  <c r="D4792" s="1"/>
  <c r="C4791"/>
  <c r="D4791" s="1"/>
  <c r="C4790"/>
  <c r="D4790" s="1"/>
  <c r="C4789"/>
  <c r="D4789" s="1"/>
  <c r="D4788"/>
  <c r="C4788"/>
  <c r="C4787"/>
  <c r="D4787" s="1"/>
  <c r="C4786"/>
  <c r="D4786" s="1"/>
  <c r="C4785"/>
  <c r="D4785" s="1"/>
  <c r="C4784"/>
  <c r="D4784" s="1"/>
  <c r="C4783"/>
  <c r="D4783" s="1"/>
  <c r="C4782"/>
  <c r="D4782" s="1"/>
  <c r="C4781"/>
  <c r="D4781" s="1"/>
  <c r="C4780"/>
  <c r="D4780" s="1"/>
  <c r="C4779"/>
  <c r="D4779" s="1"/>
  <c r="C4778"/>
  <c r="D4778" s="1"/>
  <c r="C4777"/>
  <c r="D4777" s="1"/>
  <c r="C4776"/>
  <c r="D4776" s="1"/>
  <c r="C4775"/>
  <c r="D4775" s="1"/>
  <c r="C4774"/>
  <c r="D4774" s="1"/>
  <c r="C4773"/>
  <c r="D4773" s="1"/>
  <c r="D4772"/>
  <c r="C4772"/>
  <c r="C4771"/>
  <c r="D4771" s="1"/>
  <c r="C4770"/>
  <c r="D4770" s="1"/>
  <c r="C4769"/>
  <c r="D4769" s="1"/>
  <c r="C4768"/>
  <c r="D4768" s="1"/>
  <c r="C4767"/>
  <c r="D4767" s="1"/>
  <c r="C4766"/>
  <c r="D4766" s="1"/>
  <c r="C4765"/>
  <c r="D4765" s="1"/>
  <c r="C4764"/>
  <c r="D4764" s="1"/>
  <c r="C4763"/>
  <c r="D4763" s="1"/>
  <c r="C4762"/>
  <c r="D4762" s="1"/>
  <c r="C4761"/>
  <c r="D4761" s="1"/>
  <c r="C4760"/>
  <c r="D4760" s="1"/>
  <c r="C4759"/>
  <c r="D4759" s="1"/>
  <c r="C4758"/>
  <c r="D4758" s="1"/>
  <c r="C4757"/>
  <c r="D4757" s="1"/>
  <c r="D4756"/>
  <c r="C4756"/>
  <c r="C4755"/>
  <c r="D4755" s="1"/>
  <c r="C4754"/>
  <c r="D4754" s="1"/>
  <c r="C4753"/>
  <c r="D4753" s="1"/>
  <c r="C4752"/>
  <c r="D4752" s="1"/>
  <c r="C4751"/>
  <c r="D4751" s="1"/>
  <c r="C4750"/>
  <c r="D4750" s="1"/>
  <c r="C4749"/>
  <c r="D4749" s="1"/>
  <c r="C4748"/>
  <c r="D4748" s="1"/>
  <c r="C4747"/>
  <c r="D4747" s="1"/>
  <c r="C4746"/>
  <c r="D4746" s="1"/>
  <c r="C4745"/>
  <c r="D4745" s="1"/>
  <c r="C4744"/>
  <c r="D4744" s="1"/>
  <c r="C4743"/>
  <c r="D4743" s="1"/>
  <c r="C4742"/>
  <c r="D4742" s="1"/>
  <c r="C4741"/>
  <c r="D4741" s="1"/>
  <c r="D4740"/>
  <c r="C4740"/>
  <c r="C4739"/>
  <c r="D4739" s="1"/>
  <c r="C4738"/>
  <c r="D4738" s="1"/>
  <c r="C4737"/>
  <c r="D4737" s="1"/>
  <c r="C4736"/>
  <c r="D4736" s="1"/>
  <c r="C4735"/>
  <c r="D4735" s="1"/>
  <c r="C4734"/>
  <c r="D4734" s="1"/>
  <c r="C4733"/>
  <c r="D4733" s="1"/>
  <c r="C4732"/>
  <c r="D4732" s="1"/>
  <c r="C4731"/>
  <c r="D4731" s="1"/>
  <c r="C4730"/>
  <c r="D4730" s="1"/>
  <c r="C4729"/>
  <c r="D4729" s="1"/>
  <c r="D4728"/>
  <c r="C4728"/>
  <c r="C4727"/>
  <c r="D4727" s="1"/>
  <c r="C4726"/>
  <c r="D4726" s="1"/>
  <c r="C4725"/>
  <c r="D4725" s="1"/>
  <c r="C4724"/>
  <c r="D4724" s="1"/>
  <c r="C4723"/>
  <c r="D4723" s="1"/>
  <c r="C4722"/>
  <c r="D4722" s="1"/>
  <c r="C4721"/>
  <c r="D4721" s="1"/>
  <c r="C4720"/>
  <c r="D4720" s="1"/>
  <c r="C4719"/>
  <c r="D4719" s="1"/>
  <c r="D4718"/>
  <c r="C4718"/>
  <c r="C4717"/>
  <c r="D4717" s="1"/>
  <c r="C4716"/>
  <c r="D4716" s="1"/>
  <c r="C4715"/>
  <c r="D4715" s="1"/>
  <c r="C4714"/>
  <c r="D4714" s="1"/>
  <c r="C4713"/>
  <c r="D4713" s="1"/>
  <c r="C4712"/>
  <c r="D4712" s="1"/>
  <c r="C4711"/>
  <c r="D4711" s="1"/>
  <c r="C4710"/>
  <c r="D4710" s="1"/>
  <c r="C4709"/>
  <c r="D4709" s="1"/>
  <c r="D4708"/>
  <c r="C4708"/>
  <c r="C4707"/>
  <c r="D4707" s="1"/>
  <c r="C4706"/>
  <c r="D4706" s="1"/>
  <c r="C4705"/>
  <c r="D4705" s="1"/>
  <c r="C4704"/>
  <c r="D4704" s="1"/>
  <c r="C4703"/>
  <c r="D4703" s="1"/>
  <c r="C4702"/>
  <c r="D4702" s="1"/>
  <c r="C4701"/>
  <c r="D4701" s="1"/>
  <c r="C4700"/>
  <c r="D4700" s="1"/>
  <c r="C4699"/>
  <c r="D4699" s="1"/>
  <c r="C4698"/>
  <c r="D4698" s="1"/>
  <c r="C4697"/>
  <c r="D4697" s="1"/>
  <c r="D4696"/>
  <c r="C4696"/>
  <c r="C4695"/>
  <c r="D4695" s="1"/>
  <c r="C4694"/>
  <c r="D4694" s="1"/>
  <c r="C4693"/>
  <c r="D4693" s="1"/>
  <c r="C4692"/>
  <c r="D4692" s="1"/>
  <c r="C4691"/>
  <c r="D4691" s="1"/>
  <c r="C4690"/>
  <c r="D4690" s="1"/>
  <c r="C4689"/>
  <c r="D4689" s="1"/>
  <c r="C4688"/>
  <c r="D4688" s="1"/>
  <c r="C4687"/>
  <c r="D4687" s="1"/>
  <c r="D4686"/>
  <c r="C4686"/>
  <c r="C4685"/>
  <c r="D4685" s="1"/>
  <c r="C4684"/>
  <c r="D4684" s="1"/>
  <c r="C4683"/>
  <c r="D4683" s="1"/>
  <c r="C4682"/>
  <c r="D4682" s="1"/>
  <c r="C4681"/>
  <c r="D4681" s="1"/>
  <c r="C4680"/>
  <c r="D4680" s="1"/>
  <c r="C4679"/>
  <c r="D4679" s="1"/>
  <c r="C4678"/>
  <c r="D4678" s="1"/>
  <c r="C4677"/>
  <c r="D4677" s="1"/>
  <c r="D4676"/>
  <c r="C4676"/>
  <c r="C4675"/>
  <c r="D4675" s="1"/>
  <c r="C4674"/>
  <c r="D4674" s="1"/>
  <c r="C4673"/>
  <c r="D4673" s="1"/>
  <c r="C4672"/>
  <c r="D4672" s="1"/>
  <c r="C4671"/>
  <c r="D4671" s="1"/>
  <c r="C4670"/>
  <c r="D4670" s="1"/>
  <c r="C4669"/>
  <c r="D4669" s="1"/>
  <c r="C4668"/>
  <c r="D4668" s="1"/>
  <c r="C4667"/>
  <c r="D4667" s="1"/>
  <c r="C4666"/>
  <c r="D4666" s="1"/>
  <c r="C4665"/>
  <c r="D4665" s="1"/>
  <c r="D4664"/>
  <c r="C4664"/>
  <c r="C4663"/>
  <c r="D4663" s="1"/>
  <c r="C4662"/>
  <c r="D4662" s="1"/>
  <c r="C4661"/>
  <c r="D4661" s="1"/>
  <c r="C4660"/>
  <c r="D4660" s="1"/>
  <c r="C4659"/>
  <c r="D4659" s="1"/>
  <c r="C4658"/>
  <c r="D4658" s="1"/>
  <c r="C4657"/>
  <c r="D4657" s="1"/>
  <c r="C4656"/>
  <c r="D4656" s="1"/>
  <c r="C4655"/>
  <c r="D4655" s="1"/>
  <c r="C4654"/>
  <c r="D4654" s="1"/>
  <c r="C4653"/>
  <c r="D4653" s="1"/>
  <c r="C4652"/>
  <c r="D4652" s="1"/>
  <c r="C4651"/>
  <c r="D4651" s="1"/>
  <c r="C4650"/>
  <c r="D4650" s="1"/>
  <c r="C4649"/>
  <c r="D4649" s="1"/>
  <c r="C4648"/>
  <c r="D4648" s="1"/>
  <c r="C4647"/>
  <c r="D4647" s="1"/>
  <c r="C4646"/>
  <c r="D4646" s="1"/>
  <c r="C4645"/>
  <c r="D4645" s="1"/>
  <c r="D4644"/>
  <c r="C4644"/>
  <c r="C4643"/>
  <c r="D4643" s="1"/>
  <c r="C4642"/>
  <c r="D4642" s="1"/>
  <c r="C4641"/>
  <c r="D4641" s="1"/>
  <c r="C4640"/>
  <c r="D4640" s="1"/>
  <c r="C4639"/>
  <c r="D4639" s="1"/>
  <c r="C4638"/>
  <c r="D4638" s="1"/>
  <c r="C4637"/>
  <c r="D4637" s="1"/>
  <c r="C4636"/>
  <c r="D4636" s="1"/>
  <c r="C4635"/>
  <c r="D4635" s="1"/>
  <c r="C4634"/>
  <c r="D4634" s="1"/>
  <c r="C4633"/>
  <c r="D4633" s="1"/>
  <c r="C4632"/>
  <c r="D4632" s="1"/>
  <c r="C4631"/>
  <c r="D4631" s="1"/>
  <c r="C4630"/>
  <c r="D4630" s="1"/>
  <c r="C4629"/>
  <c r="D4629" s="1"/>
  <c r="C4628"/>
  <c r="D4628" s="1"/>
  <c r="C4627"/>
  <c r="D4627" s="1"/>
  <c r="C4626"/>
  <c r="D4626" s="1"/>
  <c r="C4625"/>
  <c r="D4625" s="1"/>
  <c r="C4624"/>
  <c r="D4624" s="1"/>
  <c r="C4623"/>
  <c r="D4623" s="1"/>
  <c r="C4622"/>
  <c r="D4622" s="1"/>
  <c r="C4621"/>
  <c r="D4621" s="1"/>
  <c r="D4620"/>
  <c r="C4620"/>
  <c r="C4619"/>
  <c r="D4619" s="1"/>
  <c r="C4618"/>
  <c r="D4618" s="1"/>
  <c r="C4617"/>
  <c r="D4617" s="1"/>
  <c r="C4616"/>
  <c r="D4616" s="1"/>
  <c r="C4615"/>
  <c r="D4615" s="1"/>
  <c r="C4614"/>
  <c r="D4614" s="1"/>
  <c r="C4613"/>
  <c r="D4613" s="1"/>
  <c r="C4612"/>
  <c r="D4612" s="1"/>
  <c r="C4611"/>
  <c r="D4611" s="1"/>
  <c r="C4610"/>
  <c r="D4610" s="1"/>
  <c r="C4609"/>
  <c r="D4609" s="1"/>
  <c r="C4608"/>
  <c r="D4608" s="1"/>
  <c r="C4607"/>
  <c r="D4607" s="1"/>
  <c r="C4606"/>
  <c r="D4606" s="1"/>
  <c r="C4605"/>
  <c r="D4605" s="1"/>
  <c r="C4604"/>
  <c r="D4604" s="1"/>
  <c r="C4603"/>
  <c r="D4603" s="1"/>
  <c r="C4602"/>
  <c r="D4602" s="1"/>
  <c r="C4601"/>
  <c r="D4601" s="1"/>
  <c r="D4600"/>
  <c r="C4600"/>
  <c r="C4599"/>
  <c r="D4599" s="1"/>
  <c r="C4598"/>
  <c r="D4598" s="1"/>
  <c r="C4597"/>
  <c r="D4597" s="1"/>
  <c r="C4596"/>
  <c r="D4596" s="1"/>
  <c r="C4595"/>
  <c r="D4595" s="1"/>
  <c r="C4594"/>
  <c r="D4594" s="1"/>
  <c r="C4593"/>
  <c r="D4593" s="1"/>
  <c r="C4592"/>
  <c r="D4592" s="1"/>
  <c r="C4591"/>
  <c r="D4591" s="1"/>
  <c r="C4590"/>
  <c r="D4590" s="1"/>
  <c r="C4589"/>
  <c r="D4589" s="1"/>
  <c r="C4588"/>
  <c r="D4588" s="1"/>
  <c r="C4587"/>
  <c r="D4587" s="1"/>
  <c r="C4586"/>
  <c r="D4586" s="1"/>
  <c r="C4585"/>
  <c r="D4585" s="1"/>
  <c r="C4584"/>
  <c r="D4584" s="1"/>
  <c r="C4583"/>
  <c r="D4583" s="1"/>
  <c r="C4582"/>
  <c r="D4582" s="1"/>
  <c r="C4581"/>
  <c r="D4581" s="1"/>
  <c r="D4580"/>
  <c r="C4580"/>
  <c r="C4579"/>
  <c r="D4579" s="1"/>
  <c r="C4578"/>
  <c r="D4578" s="1"/>
  <c r="C4577"/>
  <c r="D4577" s="1"/>
  <c r="C4576"/>
  <c r="D4576" s="1"/>
  <c r="C4575"/>
  <c r="D4575" s="1"/>
  <c r="C4574"/>
  <c r="D4574" s="1"/>
  <c r="C4573"/>
  <c r="D4573" s="1"/>
  <c r="C4572"/>
  <c r="D4572" s="1"/>
  <c r="C4571"/>
  <c r="D4571" s="1"/>
  <c r="C4570"/>
  <c r="D4570" s="1"/>
  <c r="C4569"/>
  <c r="D4569" s="1"/>
  <c r="C4568"/>
  <c r="D4568" s="1"/>
  <c r="C4567"/>
  <c r="D4567" s="1"/>
  <c r="C4566"/>
  <c r="D4566" s="1"/>
  <c r="C4565"/>
  <c r="D4565" s="1"/>
  <c r="C4564"/>
  <c r="D4564" s="1"/>
  <c r="C4563"/>
  <c r="D4563" s="1"/>
  <c r="C4562"/>
  <c r="D4562" s="1"/>
  <c r="C4561"/>
  <c r="D4561" s="1"/>
  <c r="C4560"/>
  <c r="D4560" s="1"/>
  <c r="C4559"/>
  <c r="D4559" s="1"/>
  <c r="C4558"/>
  <c r="D4558" s="1"/>
  <c r="C4557"/>
  <c r="D4557" s="1"/>
  <c r="D4556"/>
  <c r="C4556"/>
  <c r="C4555"/>
  <c r="D4555" s="1"/>
  <c r="C4554"/>
  <c r="D4554" s="1"/>
  <c r="C4553"/>
  <c r="D4553" s="1"/>
  <c r="C4552"/>
  <c r="D4552" s="1"/>
  <c r="C4551"/>
  <c r="D4551" s="1"/>
  <c r="C4550"/>
  <c r="D4550" s="1"/>
  <c r="C4549"/>
  <c r="D4549" s="1"/>
  <c r="C4548"/>
  <c r="D4548" s="1"/>
  <c r="C4547"/>
  <c r="D4547" s="1"/>
  <c r="C4546"/>
  <c r="D4546" s="1"/>
  <c r="C4545"/>
  <c r="D4545" s="1"/>
  <c r="C4544"/>
  <c r="D4544" s="1"/>
  <c r="C4543"/>
  <c r="D4543" s="1"/>
  <c r="C4542"/>
  <c r="D4542" s="1"/>
  <c r="C4541"/>
  <c r="D4541" s="1"/>
  <c r="C4540"/>
  <c r="D4540" s="1"/>
  <c r="C4539"/>
  <c r="D4539" s="1"/>
  <c r="C4538"/>
  <c r="D4538" s="1"/>
  <c r="C4537"/>
  <c r="D4537" s="1"/>
  <c r="D4536"/>
  <c r="C4536"/>
  <c r="C4535"/>
  <c r="D4535" s="1"/>
  <c r="C4534"/>
  <c r="D4534" s="1"/>
  <c r="C4533"/>
  <c r="D4533" s="1"/>
  <c r="C4532"/>
  <c r="D4532" s="1"/>
  <c r="C4531"/>
  <c r="D4531" s="1"/>
  <c r="C4530"/>
  <c r="D4530" s="1"/>
  <c r="C4529"/>
  <c r="D4529" s="1"/>
  <c r="C4528"/>
  <c r="D4528" s="1"/>
  <c r="C4527"/>
  <c r="D4527" s="1"/>
  <c r="C4526"/>
  <c r="D4526" s="1"/>
  <c r="C4525"/>
  <c r="D4525" s="1"/>
  <c r="C4524"/>
  <c r="D4524" s="1"/>
  <c r="C4523"/>
  <c r="D4523" s="1"/>
  <c r="C4522"/>
  <c r="D4522" s="1"/>
  <c r="C4521"/>
  <c r="D4521" s="1"/>
  <c r="C4520"/>
  <c r="D4520" s="1"/>
  <c r="C4519"/>
  <c r="D4519" s="1"/>
  <c r="C4518"/>
  <c r="D4518" s="1"/>
  <c r="C4517"/>
  <c r="D4517" s="1"/>
  <c r="D4516"/>
  <c r="C4516"/>
  <c r="C4515"/>
  <c r="D4515" s="1"/>
  <c r="C4514"/>
  <c r="D4514" s="1"/>
  <c r="C4513"/>
  <c r="D4513" s="1"/>
  <c r="C4512"/>
  <c r="D4512" s="1"/>
  <c r="C4511"/>
  <c r="D4511" s="1"/>
  <c r="C4510"/>
  <c r="D4510" s="1"/>
  <c r="C4509"/>
  <c r="D4509" s="1"/>
  <c r="C4508"/>
  <c r="D4508" s="1"/>
  <c r="C4507"/>
  <c r="D4507" s="1"/>
  <c r="C4506"/>
  <c r="D4506" s="1"/>
  <c r="C4505"/>
  <c r="D4505" s="1"/>
  <c r="C4504"/>
  <c r="D4504" s="1"/>
  <c r="C4503"/>
  <c r="D4503" s="1"/>
  <c r="C4502"/>
  <c r="D4502" s="1"/>
  <c r="C4501"/>
  <c r="D4501" s="1"/>
  <c r="C4500"/>
  <c r="D4500" s="1"/>
  <c r="C4499"/>
  <c r="D4499" s="1"/>
  <c r="C4498"/>
  <c r="D4498" s="1"/>
  <c r="C4497"/>
  <c r="D4497" s="1"/>
  <c r="C4496"/>
  <c r="D4496" s="1"/>
  <c r="C4495"/>
  <c r="D4495" s="1"/>
  <c r="C4494"/>
  <c r="D4494" s="1"/>
  <c r="C4493"/>
  <c r="D4493" s="1"/>
  <c r="D4492"/>
  <c r="C4492"/>
  <c r="C4491"/>
  <c r="D4491" s="1"/>
  <c r="C4490"/>
  <c r="D4490" s="1"/>
  <c r="C4489"/>
  <c r="D4489" s="1"/>
  <c r="C4488"/>
  <c r="D4488" s="1"/>
  <c r="C4487"/>
  <c r="D4487" s="1"/>
  <c r="C4486"/>
  <c r="D4486" s="1"/>
  <c r="C4485"/>
  <c r="D4485" s="1"/>
  <c r="C4484"/>
  <c r="D4484" s="1"/>
  <c r="C4483"/>
  <c r="D4483" s="1"/>
  <c r="C4482"/>
  <c r="D4482" s="1"/>
  <c r="C4481"/>
  <c r="D4481" s="1"/>
  <c r="C4480"/>
  <c r="D4480" s="1"/>
  <c r="C4479"/>
  <c r="D4479" s="1"/>
  <c r="C4478"/>
  <c r="D4478" s="1"/>
  <c r="C4477"/>
  <c r="D4477" s="1"/>
  <c r="C4476"/>
  <c r="D4476" s="1"/>
  <c r="C4475"/>
  <c r="D4475" s="1"/>
  <c r="C4474"/>
  <c r="D4474" s="1"/>
  <c r="C4473"/>
  <c r="D4473" s="1"/>
  <c r="D4472"/>
  <c r="C4472"/>
  <c r="C4471"/>
  <c r="D4471" s="1"/>
  <c r="C4470"/>
  <c r="D4470" s="1"/>
  <c r="C4469"/>
  <c r="D4469" s="1"/>
  <c r="C4468"/>
  <c r="D4468" s="1"/>
  <c r="C4467"/>
  <c r="D4467" s="1"/>
  <c r="C4466"/>
  <c r="D4466" s="1"/>
  <c r="C4465"/>
  <c r="D4465" s="1"/>
  <c r="C4464"/>
  <c r="D4464" s="1"/>
  <c r="C4463"/>
  <c r="D4463" s="1"/>
  <c r="C4462"/>
  <c r="D4462" s="1"/>
  <c r="C4461"/>
  <c r="D4461" s="1"/>
  <c r="C4460"/>
  <c r="D4460" s="1"/>
  <c r="C4459"/>
  <c r="D4459" s="1"/>
  <c r="C4458"/>
  <c r="D4458" s="1"/>
  <c r="C4457"/>
  <c r="D4457" s="1"/>
  <c r="C4456"/>
  <c r="D4456" s="1"/>
  <c r="C4455"/>
  <c r="D4455" s="1"/>
  <c r="C4454"/>
  <c r="D4454" s="1"/>
  <c r="C4453"/>
  <c r="D4453" s="1"/>
  <c r="D4452"/>
  <c r="C4452"/>
  <c r="C4451"/>
  <c r="D4451" s="1"/>
  <c r="C4450"/>
  <c r="D4450" s="1"/>
  <c r="C4449"/>
  <c r="D4449" s="1"/>
  <c r="C4448"/>
  <c r="D4448" s="1"/>
  <c r="C4447"/>
  <c r="D4447" s="1"/>
  <c r="C4446"/>
  <c r="D4446" s="1"/>
  <c r="C4445"/>
  <c r="D4445" s="1"/>
  <c r="C4444"/>
  <c r="D4444" s="1"/>
  <c r="C4443"/>
  <c r="D4443" s="1"/>
  <c r="C4442"/>
  <c r="D4442" s="1"/>
  <c r="C4441"/>
  <c r="D4441" s="1"/>
  <c r="C4440"/>
  <c r="D4440" s="1"/>
  <c r="C4439"/>
  <c r="D4439" s="1"/>
  <c r="C4438"/>
  <c r="D4438" s="1"/>
  <c r="C4437"/>
  <c r="D4437" s="1"/>
  <c r="C4436"/>
  <c r="D4436" s="1"/>
  <c r="C4435"/>
  <c r="D4435" s="1"/>
  <c r="C4434"/>
  <c r="D4434" s="1"/>
  <c r="C4433"/>
  <c r="D4433" s="1"/>
  <c r="C4432"/>
  <c r="D4432" s="1"/>
  <c r="C4431"/>
  <c r="D4431" s="1"/>
  <c r="C4430"/>
  <c r="D4430" s="1"/>
  <c r="C4429"/>
  <c r="D4429" s="1"/>
  <c r="D4428"/>
  <c r="C4428"/>
  <c r="C4427"/>
  <c r="D4427" s="1"/>
  <c r="C4426"/>
  <c r="D4426" s="1"/>
  <c r="C4425"/>
  <c r="D4425" s="1"/>
  <c r="C4424"/>
  <c r="D4424" s="1"/>
  <c r="C4423"/>
  <c r="D4423" s="1"/>
  <c r="C4422"/>
  <c r="D4422" s="1"/>
  <c r="C4421"/>
  <c r="D4421" s="1"/>
  <c r="C4420"/>
  <c r="D4420" s="1"/>
  <c r="C4419"/>
  <c r="D4419" s="1"/>
  <c r="C4418"/>
  <c r="D4418" s="1"/>
  <c r="C4417"/>
  <c r="D4417" s="1"/>
  <c r="C4416"/>
  <c r="D4416" s="1"/>
  <c r="C4415"/>
  <c r="D4415" s="1"/>
  <c r="C4414"/>
  <c r="D4414" s="1"/>
  <c r="C4413"/>
  <c r="D4413" s="1"/>
  <c r="C4412"/>
  <c r="D4412" s="1"/>
  <c r="C4411"/>
  <c r="D4411" s="1"/>
  <c r="C4410"/>
  <c r="D4410" s="1"/>
  <c r="C4409"/>
  <c r="D4409" s="1"/>
  <c r="D4408"/>
  <c r="C4408"/>
  <c r="C4407"/>
  <c r="D4407" s="1"/>
  <c r="C4406"/>
  <c r="D4406" s="1"/>
  <c r="C4405"/>
  <c r="D4405" s="1"/>
  <c r="C4404"/>
  <c r="D4404" s="1"/>
  <c r="C4403"/>
  <c r="D4403" s="1"/>
  <c r="C4402"/>
  <c r="D4402" s="1"/>
  <c r="C4401"/>
  <c r="D4401" s="1"/>
  <c r="C4400"/>
  <c r="D4400" s="1"/>
  <c r="C4399"/>
  <c r="D4399" s="1"/>
  <c r="C4398"/>
  <c r="D4398" s="1"/>
  <c r="C4397"/>
  <c r="D4397" s="1"/>
  <c r="C4396"/>
  <c r="D4396" s="1"/>
  <c r="C4395"/>
  <c r="D4395" s="1"/>
  <c r="C4394"/>
  <c r="D4394" s="1"/>
  <c r="C4393"/>
  <c r="D4393" s="1"/>
  <c r="C4392"/>
  <c r="D4392" s="1"/>
  <c r="C4391"/>
  <c r="D4391" s="1"/>
  <c r="C4390"/>
  <c r="D4390" s="1"/>
  <c r="C4389"/>
  <c r="D4389" s="1"/>
  <c r="D4388"/>
  <c r="C4388"/>
  <c r="C4387"/>
  <c r="D4387" s="1"/>
  <c r="C4386"/>
  <c r="D4386" s="1"/>
  <c r="C4385"/>
  <c r="D4385" s="1"/>
  <c r="C4384"/>
  <c r="D4384" s="1"/>
  <c r="C4383"/>
  <c r="D4383" s="1"/>
  <c r="C4382"/>
  <c r="D4382" s="1"/>
  <c r="C4381"/>
  <c r="D4381" s="1"/>
  <c r="C4380"/>
  <c r="D4380" s="1"/>
  <c r="C4379"/>
  <c r="D4379" s="1"/>
  <c r="C4378"/>
  <c r="D4378" s="1"/>
  <c r="C4377"/>
  <c r="D4377" s="1"/>
  <c r="C4376"/>
  <c r="D4376" s="1"/>
  <c r="C4375"/>
  <c r="D4375" s="1"/>
  <c r="C4374"/>
  <c r="D4374" s="1"/>
  <c r="C4373"/>
  <c r="D4373" s="1"/>
  <c r="C4372"/>
  <c r="D4372" s="1"/>
  <c r="C4371"/>
  <c r="D4371" s="1"/>
  <c r="C4370"/>
  <c r="D4370" s="1"/>
  <c r="C4369"/>
  <c r="D4369" s="1"/>
  <c r="C4368"/>
  <c r="D4368" s="1"/>
  <c r="C4367"/>
  <c r="D4367" s="1"/>
  <c r="C4366"/>
  <c r="D4366" s="1"/>
  <c r="C4365"/>
  <c r="D4365" s="1"/>
  <c r="D4364"/>
  <c r="C4364"/>
  <c r="C4363"/>
  <c r="D4363" s="1"/>
  <c r="C4362"/>
  <c r="D4362" s="1"/>
  <c r="C4361"/>
  <c r="D4361" s="1"/>
  <c r="C4360"/>
  <c r="D4360" s="1"/>
  <c r="C4359"/>
  <c r="D4359" s="1"/>
  <c r="C4358"/>
  <c r="D4358" s="1"/>
  <c r="C4357"/>
  <c r="D4357" s="1"/>
  <c r="C4356"/>
  <c r="D4356" s="1"/>
  <c r="C4355"/>
  <c r="D4355" s="1"/>
  <c r="C4354"/>
  <c r="D4354" s="1"/>
  <c r="C4353"/>
  <c r="D4353" s="1"/>
  <c r="C4352"/>
  <c r="D4352" s="1"/>
  <c r="C4351"/>
  <c r="D4351" s="1"/>
  <c r="C4350"/>
  <c r="D4350" s="1"/>
  <c r="C4349"/>
  <c r="D4349" s="1"/>
  <c r="C4348"/>
  <c r="D4348" s="1"/>
  <c r="C4347"/>
  <c r="D4347" s="1"/>
  <c r="C4346"/>
  <c r="D4346" s="1"/>
  <c r="C4345"/>
  <c r="D4345" s="1"/>
  <c r="D4344"/>
  <c r="C4344"/>
  <c r="C4343"/>
  <c r="D4343" s="1"/>
  <c r="C4342"/>
  <c r="D4342" s="1"/>
  <c r="C4341"/>
  <c r="D4341" s="1"/>
  <c r="C4340"/>
  <c r="D4340" s="1"/>
  <c r="C4339"/>
  <c r="D4339" s="1"/>
  <c r="C4338"/>
  <c r="D4338" s="1"/>
  <c r="C4337"/>
  <c r="D4337" s="1"/>
  <c r="C4336"/>
  <c r="D4336" s="1"/>
  <c r="C4335"/>
  <c r="D4335" s="1"/>
  <c r="C4334"/>
  <c r="D4334" s="1"/>
  <c r="C4333"/>
  <c r="D4333" s="1"/>
  <c r="C4332"/>
  <c r="D4332" s="1"/>
  <c r="C4331"/>
  <c r="D4331" s="1"/>
  <c r="C4330"/>
  <c r="D4330" s="1"/>
  <c r="C4329"/>
  <c r="D4329" s="1"/>
  <c r="C4328"/>
  <c r="D4328" s="1"/>
  <c r="C4327"/>
  <c r="D4327" s="1"/>
  <c r="C4326"/>
  <c r="D4326" s="1"/>
  <c r="C4325"/>
  <c r="D4325" s="1"/>
  <c r="C4324"/>
  <c r="D4324" s="1"/>
  <c r="C4323"/>
  <c r="D4323" s="1"/>
  <c r="C4322"/>
  <c r="D4322" s="1"/>
  <c r="C4321"/>
  <c r="D4321" s="1"/>
  <c r="C4320"/>
  <c r="D4320" s="1"/>
  <c r="C4319"/>
  <c r="D4319" s="1"/>
  <c r="C4318"/>
  <c r="D4318" s="1"/>
  <c r="C4317"/>
  <c r="D4317" s="1"/>
  <c r="C4316"/>
  <c r="D4316" s="1"/>
  <c r="C4315"/>
  <c r="D4315" s="1"/>
  <c r="C4314"/>
  <c r="D4314" s="1"/>
  <c r="C4313"/>
  <c r="D4313" s="1"/>
  <c r="C4312"/>
  <c r="D4312" s="1"/>
  <c r="C4311"/>
  <c r="D4311" s="1"/>
  <c r="C4310"/>
  <c r="D4310" s="1"/>
  <c r="C4309"/>
  <c r="D4309" s="1"/>
  <c r="C4308"/>
  <c r="D4308" s="1"/>
  <c r="C4307"/>
  <c r="D4307" s="1"/>
  <c r="C4306"/>
  <c r="D4306" s="1"/>
  <c r="C4305"/>
  <c r="D4305" s="1"/>
  <c r="C4304"/>
  <c r="D4304" s="1"/>
  <c r="C4303"/>
  <c r="D4303" s="1"/>
  <c r="C4302"/>
  <c r="D4302" s="1"/>
  <c r="C4301"/>
  <c r="D4301" s="1"/>
  <c r="C4300"/>
  <c r="D4300" s="1"/>
  <c r="C4299"/>
  <c r="D4299" s="1"/>
  <c r="C4298"/>
  <c r="D4298" s="1"/>
  <c r="C4297"/>
  <c r="D4297" s="1"/>
  <c r="C4296"/>
  <c r="D4296" s="1"/>
  <c r="C4295"/>
  <c r="D4295" s="1"/>
  <c r="C4294"/>
  <c r="D4294" s="1"/>
  <c r="C4293"/>
  <c r="D4293" s="1"/>
  <c r="C4292"/>
  <c r="D4292" s="1"/>
  <c r="C4291"/>
  <c r="D4291" s="1"/>
  <c r="C4290"/>
  <c r="D4290" s="1"/>
  <c r="C4289"/>
  <c r="D4289" s="1"/>
  <c r="C4288"/>
  <c r="D4288" s="1"/>
  <c r="C4287"/>
  <c r="D4287" s="1"/>
  <c r="C4286"/>
  <c r="D4286" s="1"/>
  <c r="C4285"/>
  <c r="D4285" s="1"/>
  <c r="C4284"/>
  <c r="D4284" s="1"/>
  <c r="C4283"/>
  <c r="D4283" s="1"/>
  <c r="C4282"/>
  <c r="D4282" s="1"/>
  <c r="C4281"/>
  <c r="D4281" s="1"/>
  <c r="C4280"/>
  <c r="D4280" s="1"/>
  <c r="C4279"/>
  <c r="D4279" s="1"/>
  <c r="C4278"/>
  <c r="D4278" s="1"/>
  <c r="D4277"/>
  <c r="C4277"/>
  <c r="C4276"/>
  <c r="D4276" s="1"/>
  <c r="C4275"/>
  <c r="D4275" s="1"/>
  <c r="C4274"/>
  <c r="D4274" s="1"/>
  <c r="C4273"/>
  <c r="D4273" s="1"/>
  <c r="C4272"/>
  <c r="D4272" s="1"/>
  <c r="C4271"/>
  <c r="D4271" s="1"/>
  <c r="C4270"/>
  <c r="D4270" s="1"/>
  <c r="D4269"/>
  <c r="C4269"/>
  <c r="D4268"/>
  <c r="C4268"/>
  <c r="D4267"/>
  <c r="C4267"/>
  <c r="D4266"/>
  <c r="C4266"/>
  <c r="D4265"/>
  <c r="C4265"/>
  <c r="D4264"/>
  <c r="C4264"/>
  <c r="D4263"/>
  <c r="C4263"/>
  <c r="D4262"/>
  <c r="C4262"/>
  <c r="D4261"/>
  <c r="C4261"/>
  <c r="D4260"/>
  <c r="C4260"/>
  <c r="D4259"/>
  <c r="C4259"/>
  <c r="D4258"/>
  <c r="C4258"/>
  <c r="D4257"/>
  <c r="C4257"/>
  <c r="D4256"/>
  <c r="C4256"/>
  <c r="D4255"/>
  <c r="C4255"/>
  <c r="D4254"/>
  <c r="C4254"/>
  <c r="D4253"/>
  <c r="C4253"/>
  <c r="D4252"/>
  <c r="C4252"/>
  <c r="D4251"/>
  <c r="C4251"/>
  <c r="D4250"/>
  <c r="C4250"/>
  <c r="D4249"/>
  <c r="C4249"/>
  <c r="D4248"/>
  <c r="C4248"/>
  <c r="D4247"/>
  <c r="C4247"/>
  <c r="D4246"/>
  <c r="C4246"/>
  <c r="D4245"/>
  <c r="C4245"/>
  <c r="D4244"/>
  <c r="C4244"/>
  <c r="D4243"/>
  <c r="C4243"/>
  <c r="D4242"/>
  <c r="C4242"/>
  <c r="D4241"/>
  <c r="C4241"/>
  <c r="C4240"/>
  <c r="D4240" s="1"/>
  <c r="C4239"/>
  <c r="D4239" s="1"/>
  <c r="C4238"/>
  <c r="D4238" s="1"/>
  <c r="C4237"/>
  <c r="D4237" s="1"/>
  <c r="C4236"/>
  <c r="D4236" s="1"/>
  <c r="C4235"/>
  <c r="D4235" s="1"/>
  <c r="C4234"/>
  <c r="D4234" s="1"/>
  <c r="D4233"/>
  <c r="C4233"/>
  <c r="C4232"/>
  <c r="D4232" s="1"/>
  <c r="C4231"/>
  <c r="D4231" s="1"/>
  <c r="C4230"/>
  <c r="D4230" s="1"/>
  <c r="C4229"/>
  <c r="D4229" s="1"/>
  <c r="C4228"/>
  <c r="D4228" s="1"/>
  <c r="C4227"/>
  <c r="D4227" s="1"/>
  <c r="C4226"/>
  <c r="D4226" s="1"/>
  <c r="D4225"/>
  <c r="C4225"/>
  <c r="C4224"/>
  <c r="D4224" s="1"/>
  <c r="C4223"/>
  <c r="D4223" s="1"/>
  <c r="C4222"/>
  <c r="D4222" s="1"/>
  <c r="C4221"/>
  <c r="D4221" s="1"/>
  <c r="C4220"/>
  <c r="D4220" s="1"/>
  <c r="C4219"/>
  <c r="D4219" s="1"/>
  <c r="C4218"/>
  <c r="D4218" s="1"/>
  <c r="D4217"/>
  <c r="C4217"/>
  <c r="C4216"/>
  <c r="D4216" s="1"/>
  <c r="C4215"/>
  <c r="D4215" s="1"/>
  <c r="C4214"/>
  <c r="D4214" s="1"/>
  <c r="C4213"/>
  <c r="D4213" s="1"/>
  <c r="C4212"/>
  <c r="D4212" s="1"/>
  <c r="C4211"/>
  <c r="D4211" s="1"/>
  <c r="C4210"/>
  <c r="D4210" s="1"/>
  <c r="D4209"/>
  <c r="C4209"/>
  <c r="C4208"/>
  <c r="D4208" s="1"/>
  <c r="C4207"/>
  <c r="D4207" s="1"/>
  <c r="C4206"/>
  <c r="D4206" s="1"/>
  <c r="C4205"/>
  <c r="D4205" s="1"/>
  <c r="C4204"/>
  <c r="D4204" s="1"/>
  <c r="C4203"/>
  <c r="D4203" s="1"/>
  <c r="C4202"/>
  <c r="D4202" s="1"/>
  <c r="D4201"/>
  <c r="C4201"/>
  <c r="C4200"/>
  <c r="D4200" s="1"/>
  <c r="C4199"/>
  <c r="D4199" s="1"/>
  <c r="C4198"/>
  <c r="D4198" s="1"/>
  <c r="C4197"/>
  <c r="D4197" s="1"/>
  <c r="C4196"/>
  <c r="D4196" s="1"/>
  <c r="C4195"/>
  <c r="D4195" s="1"/>
  <c r="C4194"/>
  <c r="D4194" s="1"/>
  <c r="D4193"/>
  <c r="C4193"/>
  <c r="C4192"/>
  <c r="D4192" s="1"/>
  <c r="C4191"/>
  <c r="D4191" s="1"/>
  <c r="C4190"/>
  <c r="D4190" s="1"/>
  <c r="C4189"/>
  <c r="D4189" s="1"/>
  <c r="C4188"/>
  <c r="D4188" s="1"/>
  <c r="C4187"/>
  <c r="D4187" s="1"/>
  <c r="C4186"/>
  <c r="D4186" s="1"/>
  <c r="D4185"/>
  <c r="C4185"/>
  <c r="C4184"/>
  <c r="D4184" s="1"/>
  <c r="C4183"/>
  <c r="D4183" s="1"/>
  <c r="C4182"/>
  <c r="D4182" s="1"/>
  <c r="C4181"/>
  <c r="D4181" s="1"/>
  <c r="C4180"/>
  <c r="D4180" s="1"/>
  <c r="C4179"/>
  <c r="D4179" s="1"/>
  <c r="C4178"/>
  <c r="D4178" s="1"/>
  <c r="C4177"/>
  <c r="D4177" s="1"/>
  <c r="C4176"/>
  <c r="D4176" s="1"/>
  <c r="C4175"/>
  <c r="D4175" s="1"/>
  <c r="C4174"/>
  <c r="D4174" s="1"/>
  <c r="C4173"/>
  <c r="D4173" s="1"/>
  <c r="C4172"/>
  <c r="D4172" s="1"/>
  <c r="C4171"/>
  <c r="D4171" s="1"/>
  <c r="C4170"/>
  <c r="D4170" s="1"/>
  <c r="D4169"/>
  <c r="C4169"/>
  <c r="C4168"/>
  <c r="D4168" s="1"/>
  <c r="C4167"/>
  <c r="D4167" s="1"/>
  <c r="C4166"/>
  <c r="D4166" s="1"/>
  <c r="C4165"/>
  <c r="D4165" s="1"/>
  <c r="C4164"/>
  <c r="D4164" s="1"/>
  <c r="C4163"/>
  <c r="D4163" s="1"/>
  <c r="C4162"/>
  <c r="D4162" s="1"/>
  <c r="C4161"/>
  <c r="D4161" s="1"/>
  <c r="C4160"/>
  <c r="D4160" s="1"/>
  <c r="C4159"/>
  <c r="D4159" s="1"/>
  <c r="C4158"/>
  <c r="D4158" s="1"/>
  <c r="C4157"/>
  <c r="D4157" s="1"/>
  <c r="C4156"/>
  <c r="D4156" s="1"/>
  <c r="C4155"/>
  <c r="D4155" s="1"/>
  <c r="C4154"/>
  <c r="D4154" s="1"/>
  <c r="D4153"/>
  <c r="C4153"/>
  <c r="C4152"/>
  <c r="D4152" s="1"/>
  <c r="C4151"/>
  <c r="D4151" s="1"/>
  <c r="C4150"/>
  <c r="D4150" s="1"/>
  <c r="C4149"/>
  <c r="D4149" s="1"/>
  <c r="C4148"/>
  <c r="D4148" s="1"/>
  <c r="C4147"/>
  <c r="D4147" s="1"/>
  <c r="C4146"/>
  <c r="D4146" s="1"/>
  <c r="C4145"/>
  <c r="D4145" s="1"/>
  <c r="C4144"/>
  <c r="D4144" s="1"/>
  <c r="C4143"/>
  <c r="D4143" s="1"/>
  <c r="C4142"/>
  <c r="D4142" s="1"/>
  <c r="C4141"/>
  <c r="D4141" s="1"/>
  <c r="C4140"/>
  <c r="D4140" s="1"/>
  <c r="C4139"/>
  <c r="D4139" s="1"/>
  <c r="C4138"/>
  <c r="D4138" s="1"/>
  <c r="D4137"/>
  <c r="C4137"/>
  <c r="C4136"/>
  <c r="D4136" s="1"/>
  <c r="C4135"/>
  <c r="D4135" s="1"/>
  <c r="C4134"/>
  <c r="D4134" s="1"/>
  <c r="C4133"/>
  <c r="D4133" s="1"/>
  <c r="C4132"/>
  <c r="D4132" s="1"/>
  <c r="C4131"/>
  <c r="D4131" s="1"/>
  <c r="C4130"/>
  <c r="D4130" s="1"/>
  <c r="C4129"/>
  <c r="D4129" s="1"/>
  <c r="C4128"/>
  <c r="D4128" s="1"/>
  <c r="C4127"/>
  <c r="D4127" s="1"/>
  <c r="C4126"/>
  <c r="D4126" s="1"/>
  <c r="C4125"/>
  <c r="D4125" s="1"/>
  <c r="C4124"/>
  <c r="D4124" s="1"/>
  <c r="C4123"/>
  <c r="D4123" s="1"/>
  <c r="C4122"/>
  <c r="D4122" s="1"/>
  <c r="D4121"/>
  <c r="C4121"/>
  <c r="C4120"/>
  <c r="D4120" s="1"/>
  <c r="C4119"/>
  <c r="D4119" s="1"/>
  <c r="C4118"/>
  <c r="D4118" s="1"/>
  <c r="C4117"/>
  <c r="D4117" s="1"/>
  <c r="C4116"/>
  <c r="D4116" s="1"/>
  <c r="C4115"/>
  <c r="D4115" s="1"/>
  <c r="C4114"/>
  <c r="D4114" s="1"/>
  <c r="C4113"/>
  <c r="D4113" s="1"/>
  <c r="C4112"/>
  <c r="D4112" s="1"/>
  <c r="C4111"/>
  <c r="D4111" s="1"/>
  <c r="C4110"/>
  <c r="D4110" s="1"/>
  <c r="C4109"/>
  <c r="D4109" s="1"/>
  <c r="C4108"/>
  <c r="D4108" s="1"/>
  <c r="C4107"/>
  <c r="D4107" s="1"/>
  <c r="C4106"/>
  <c r="D4106" s="1"/>
  <c r="D4105"/>
  <c r="C4105"/>
  <c r="C4104"/>
  <c r="D4104" s="1"/>
  <c r="C4103"/>
  <c r="D4103" s="1"/>
  <c r="C4102"/>
  <c r="D4102" s="1"/>
  <c r="C4101"/>
  <c r="D4101" s="1"/>
  <c r="C4100"/>
  <c r="D4100" s="1"/>
  <c r="C4099"/>
  <c r="D4099" s="1"/>
  <c r="C4098"/>
  <c r="D4098" s="1"/>
  <c r="C4097"/>
  <c r="D4097" s="1"/>
  <c r="C4096"/>
  <c r="D4096" s="1"/>
  <c r="C4095"/>
  <c r="D4095" s="1"/>
  <c r="C4094"/>
  <c r="D4094" s="1"/>
  <c r="C4093"/>
  <c r="D4093" s="1"/>
  <c r="C4092"/>
  <c r="D4092" s="1"/>
  <c r="C4091"/>
  <c r="D4091" s="1"/>
  <c r="C4090"/>
  <c r="D4090" s="1"/>
  <c r="D4089"/>
  <c r="C4089"/>
  <c r="C4088"/>
  <c r="D4088" s="1"/>
  <c r="C4087"/>
  <c r="D4087" s="1"/>
  <c r="C4086"/>
  <c r="D4086" s="1"/>
  <c r="C4085"/>
  <c r="D4085" s="1"/>
  <c r="C4084"/>
  <c r="D4084" s="1"/>
  <c r="C4083"/>
  <c r="D4083" s="1"/>
  <c r="C4082"/>
  <c r="D4082" s="1"/>
  <c r="C4081"/>
  <c r="D4081" s="1"/>
  <c r="C4080"/>
  <c r="D4080" s="1"/>
  <c r="C4079"/>
  <c r="D4079" s="1"/>
  <c r="C4078"/>
  <c r="D4078" s="1"/>
  <c r="C4077"/>
  <c r="D4077" s="1"/>
  <c r="C4076"/>
  <c r="D4076" s="1"/>
  <c r="C4075"/>
  <c r="D4075" s="1"/>
  <c r="C4074"/>
  <c r="D4074" s="1"/>
  <c r="D4073"/>
  <c r="C4073"/>
  <c r="C4072"/>
  <c r="D4072" s="1"/>
  <c r="C4071"/>
  <c r="D4071" s="1"/>
  <c r="C4070"/>
  <c r="D4070" s="1"/>
  <c r="C4069"/>
  <c r="D4069" s="1"/>
  <c r="C4068"/>
  <c r="D4068" s="1"/>
  <c r="C4067"/>
  <c r="D4067" s="1"/>
  <c r="C4066"/>
  <c r="D4066" s="1"/>
  <c r="C4065"/>
  <c r="D4065" s="1"/>
  <c r="C4064"/>
  <c r="D4064" s="1"/>
  <c r="C4063"/>
  <c r="D4063" s="1"/>
  <c r="C4062"/>
  <c r="D4062" s="1"/>
  <c r="C4061"/>
  <c r="D4061" s="1"/>
  <c r="C4060"/>
  <c r="D4060" s="1"/>
  <c r="C4059"/>
  <c r="D4059" s="1"/>
  <c r="C4058"/>
  <c r="D4058" s="1"/>
  <c r="D4057"/>
  <c r="C4057"/>
  <c r="C4056"/>
  <c r="D4056" s="1"/>
  <c r="C4055"/>
  <c r="D4055" s="1"/>
  <c r="C4054"/>
  <c r="D4054" s="1"/>
  <c r="C4053"/>
  <c r="D4053" s="1"/>
  <c r="C4052"/>
  <c r="D4052" s="1"/>
  <c r="C4051"/>
  <c r="D4051" s="1"/>
  <c r="C4050"/>
  <c r="D4050" s="1"/>
  <c r="C4049"/>
  <c r="D4049" s="1"/>
  <c r="C4048"/>
  <c r="D4048" s="1"/>
  <c r="C4047"/>
  <c r="D4047" s="1"/>
  <c r="C4046"/>
  <c r="D4046" s="1"/>
  <c r="C4045"/>
  <c r="D4045" s="1"/>
  <c r="C4044"/>
  <c r="D4044" s="1"/>
  <c r="C4043"/>
  <c r="D4043" s="1"/>
  <c r="C4042"/>
  <c r="D4042" s="1"/>
  <c r="D4041"/>
  <c r="C4041"/>
  <c r="C4040"/>
  <c r="D4040" s="1"/>
  <c r="C4039"/>
  <c r="D4039" s="1"/>
  <c r="C4038"/>
  <c r="D4038" s="1"/>
  <c r="C4037"/>
  <c r="D4037" s="1"/>
  <c r="C4036"/>
  <c r="D4036" s="1"/>
  <c r="C4035"/>
  <c r="D4035" s="1"/>
  <c r="C4034"/>
  <c r="D4034" s="1"/>
  <c r="C4033"/>
  <c r="D4033" s="1"/>
  <c r="C4032"/>
  <c r="D4032" s="1"/>
  <c r="C4031"/>
  <c r="D4031" s="1"/>
  <c r="C4030"/>
  <c r="D4030" s="1"/>
  <c r="C4029"/>
  <c r="D4029" s="1"/>
  <c r="C4028"/>
  <c r="D4028" s="1"/>
  <c r="C4027"/>
  <c r="D4027" s="1"/>
  <c r="C4026"/>
  <c r="D4026" s="1"/>
  <c r="C4025"/>
  <c r="D4025" s="1"/>
  <c r="C4024"/>
  <c r="D4024" s="1"/>
  <c r="C4023"/>
  <c r="D4023" s="1"/>
  <c r="C4022"/>
  <c r="D4022" s="1"/>
  <c r="C4021"/>
  <c r="D4021" s="1"/>
  <c r="C4020"/>
  <c r="D4020" s="1"/>
  <c r="C4019"/>
  <c r="D4019" s="1"/>
  <c r="C4018"/>
  <c r="D4018" s="1"/>
  <c r="C4017"/>
  <c r="D4017" s="1"/>
  <c r="C4016"/>
  <c r="D4016" s="1"/>
  <c r="C4015"/>
  <c r="D4015" s="1"/>
  <c r="C4014"/>
  <c r="D4014" s="1"/>
  <c r="C4013"/>
  <c r="D4013" s="1"/>
  <c r="C4012"/>
  <c r="D4012" s="1"/>
  <c r="C4011"/>
  <c r="D4011" s="1"/>
  <c r="C4010"/>
  <c r="D4010" s="1"/>
  <c r="C4009"/>
  <c r="D4009" s="1"/>
  <c r="C4008"/>
  <c r="D4008" s="1"/>
  <c r="C4007"/>
  <c r="D4007" s="1"/>
  <c r="C4006"/>
  <c r="D4006" s="1"/>
  <c r="C4005"/>
  <c r="D4005" s="1"/>
  <c r="C4004"/>
  <c r="D4004" s="1"/>
  <c r="C4003"/>
  <c r="D4003" s="1"/>
  <c r="C4002"/>
  <c r="D4002" s="1"/>
  <c r="C4001"/>
  <c r="D4001" s="1"/>
  <c r="C4000"/>
  <c r="D4000" s="1"/>
  <c r="C3999"/>
  <c r="D3999" s="1"/>
  <c r="C3998"/>
  <c r="D3998" s="1"/>
  <c r="C3997"/>
  <c r="D3997" s="1"/>
  <c r="C3996"/>
  <c r="D3996" s="1"/>
  <c r="C3995"/>
  <c r="D3995" s="1"/>
  <c r="C3994"/>
  <c r="D3994" s="1"/>
  <c r="C3993"/>
  <c r="D3993" s="1"/>
  <c r="C3992"/>
  <c r="D3992" s="1"/>
  <c r="C3991"/>
  <c r="D3991" s="1"/>
  <c r="C3990"/>
  <c r="D3990" s="1"/>
  <c r="C3989"/>
  <c r="D3989" s="1"/>
  <c r="C3988"/>
  <c r="D3988" s="1"/>
  <c r="C3987"/>
  <c r="D3987" s="1"/>
  <c r="C3986"/>
  <c r="D3986" s="1"/>
  <c r="C3985"/>
  <c r="D3985" s="1"/>
  <c r="C3984"/>
  <c r="D3984" s="1"/>
  <c r="C3983"/>
  <c r="D3983" s="1"/>
  <c r="C3982"/>
  <c r="D3982" s="1"/>
  <c r="C3981"/>
  <c r="D3981" s="1"/>
  <c r="C3980"/>
  <c r="D3980" s="1"/>
  <c r="C3979"/>
  <c r="D3979" s="1"/>
  <c r="C3978"/>
  <c r="D3978" s="1"/>
  <c r="C3977"/>
  <c r="D3977" s="1"/>
  <c r="C3976"/>
  <c r="D3976" s="1"/>
  <c r="C3975"/>
  <c r="D3975" s="1"/>
  <c r="C3974"/>
  <c r="D3974" s="1"/>
  <c r="C3973"/>
  <c r="D3973" s="1"/>
  <c r="C3972"/>
  <c r="D3972" s="1"/>
  <c r="C3971"/>
  <c r="D3971" s="1"/>
  <c r="C3970"/>
  <c r="D3970" s="1"/>
  <c r="C3969"/>
  <c r="D3969" s="1"/>
  <c r="C3968"/>
  <c r="D3968" s="1"/>
  <c r="C3967"/>
  <c r="D3967" s="1"/>
  <c r="C3966"/>
  <c r="D3966" s="1"/>
  <c r="C3965"/>
  <c r="D3965" s="1"/>
  <c r="C3964"/>
  <c r="D3964" s="1"/>
  <c r="C3963"/>
  <c r="D3963" s="1"/>
  <c r="C3962"/>
  <c r="D3962" s="1"/>
  <c r="C3961"/>
  <c r="D3961" s="1"/>
  <c r="C3960"/>
  <c r="D3960" s="1"/>
  <c r="C3959"/>
  <c r="D3959" s="1"/>
  <c r="C3958"/>
  <c r="D3958" s="1"/>
  <c r="C3957"/>
  <c r="D3957" s="1"/>
  <c r="C3956"/>
  <c r="D3956" s="1"/>
  <c r="C3955"/>
  <c r="D3955" s="1"/>
  <c r="C3954"/>
  <c r="D3954" s="1"/>
  <c r="C3953"/>
  <c r="D3953" s="1"/>
  <c r="C3952"/>
  <c r="D3952" s="1"/>
  <c r="C3951"/>
  <c r="D3951" s="1"/>
  <c r="C3950"/>
  <c r="D3950" s="1"/>
  <c r="C3949"/>
  <c r="D3949" s="1"/>
  <c r="C3948"/>
  <c r="D3948" s="1"/>
  <c r="C3947"/>
  <c r="D3947" s="1"/>
  <c r="C3946"/>
  <c r="D3946" s="1"/>
  <c r="C3945"/>
  <c r="D3945" s="1"/>
  <c r="C3944"/>
  <c r="D3944" s="1"/>
  <c r="C3943"/>
  <c r="D3943" s="1"/>
  <c r="C3942"/>
  <c r="D3942" s="1"/>
  <c r="C3941"/>
  <c r="D3941" s="1"/>
  <c r="C3940"/>
  <c r="D3940" s="1"/>
  <c r="C3939"/>
  <c r="D3939" s="1"/>
  <c r="C3938"/>
  <c r="D3938" s="1"/>
  <c r="C3937"/>
  <c r="D3937" s="1"/>
  <c r="C3936"/>
  <c r="D3936" s="1"/>
  <c r="C3935"/>
  <c r="D3935" s="1"/>
  <c r="C3934"/>
  <c r="D3934" s="1"/>
  <c r="C3933"/>
  <c r="D3933" s="1"/>
  <c r="C3932"/>
  <c r="D3932" s="1"/>
  <c r="C3931"/>
  <c r="D3931" s="1"/>
  <c r="C3930"/>
  <c r="D3930" s="1"/>
  <c r="C3929"/>
  <c r="D3929" s="1"/>
  <c r="C3928"/>
  <c r="D3928" s="1"/>
  <c r="C3927"/>
  <c r="D3927" s="1"/>
  <c r="C3926"/>
  <c r="D3926" s="1"/>
  <c r="C3925"/>
  <c r="D3925" s="1"/>
  <c r="C3924"/>
  <c r="D3924" s="1"/>
  <c r="C3923"/>
  <c r="D3923" s="1"/>
  <c r="C3922"/>
  <c r="D3922" s="1"/>
  <c r="C3921"/>
  <c r="D3921" s="1"/>
  <c r="C3920"/>
  <c r="D3920" s="1"/>
  <c r="C3919"/>
  <c r="D3919" s="1"/>
  <c r="C3918"/>
  <c r="D3918" s="1"/>
  <c r="C3917"/>
  <c r="D3917" s="1"/>
  <c r="C3916"/>
  <c r="D3916" s="1"/>
  <c r="C3915"/>
  <c r="D3915" s="1"/>
  <c r="C3914"/>
  <c r="D3914" s="1"/>
  <c r="C3913"/>
  <c r="D3913" s="1"/>
  <c r="C3912"/>
  <c r="D3912" s="1"/>
  <c r="C3911"/>
  <c r="D3911" s="1"/>
  <c r="C3910"/>
  <c r="D3910" s="1"/>
  <c r="C3909"/>
  <c r="D3909" s="1"/>
  <c r="C3908"/>
  <c r="D3908" s="1"/>
  <c r="C3907"/>
  <c r="D3907" s="1"/>
  <c r="C3906"/>
  <c r="D3906" s="1"/>
  <c r="C3905"/>
  <c r="D3905" s="1"/>
  <c r="C3904"/>
  <c r="D3904" s="1"/>
  <c r="C3903"/>
  <c r="D3903" s="1"/>
  <c r="C3902"/>
  <c r="D3902" s="1"/>
  <c r="C3901"/>
  <c r="D3901" s="1"/>
  <c r="C3900"/>
  <c r="D3900" s="1"/>
  <c r="C3899"/>
  <c r="D3899" s="1"/>
  <c r="C3898"/>
  <c r="D3898" s="1"/>
  <c r="C3897"/>
  <c r="D3897" s="1"/>
  <c r="C3896"/>
  <c r="D3896" s="1"/>
  <c r="C3895"/>
  <c r="D3895" s="1"/>
  <c r="C3894"/>
  <c r="D3894" s="1"/>
  <c r="C3893"/>
  <c r="D3893" s="1"/>
  <c r="C3892"/>
  <c r="D3892" s="1"/>
  <c r="C3891"/>
  <c r="D3891" s="1"/>
  <c r="C3890"/>
  <c r="D3890" s="1"/>
  <c r="C3889"/>
  <c r="D3889" s="1"/>
  <c r="C3888"/>
  <c r="D3888" s="1"/>
  <c r="C3887"/>
  <c r="D3887" s="1"/>
  <c r="C3886"/>
  <c r="D3886" s="1"/>
  <c r="C3885"/>
  <c r="D3885" s="1"/>
  <c r="C3884"/>
  <c r="D3884" s="1"/>
  <c r="C3883"/>
  <c r="D3883" s="1"/>
  <c r="C3882"/>
  <c r="D3882" s="1"/>
  <c r="C3881"/>
  <c r="D3881" s="1"/>
  <c r="C3880"/>
  <c r="D3880" s="1"/>
  <c r="C3879"/>
  <c r="D3879" s="1"/>
  <c r="C3878"/>
  <c r="D3878" s="1"/>
  <c r="C3877"/>
  <c r="D3877" s="1"/>
  <c r="C3876"/>
  <c r="D3876" s="1"/>
  <c r="C3875"/>
  <c r="D3875" s="1"/>
  <c r="C3874"/>
  <c r="D3874" s="1"/>
  <c r="C3873"/>
  <c r="D3873" s="1"/>
  <c r="C3872"/>
  <c r="D3872" s="1"/>
  <c r="C3871"/>
  <c r="D3871" s="1"/>
  <c r="C3870"/>
  <c r="D3870" s="1"/>
  <c r="C3869"/>
  <c r="D3869" s="1"/>
  <c r="C3868"/>
  <c r="D3868" s="1"/>
  <c r="C3867"/>
  <c r="D3867" s="1"/>
  <c r="C3866"/>
  <c r="D3866" s="1"/>
  <c r="C3865"/>
  <c r="D3865" s="1"/>
  <c r="C3864"/>
  <c r="D3864" s="1"/>
  <c r="C3863"/>
  <c r="D3863" s="1"/>
  <c r="C3862"/>
  <c r="D3862" s="1"/>
  <c r="C3861"/>
  <c r="D3861" s="1"/>
  <c r="C3860"/>
  <c r="D3860" s="1"/>
  <c r="C3859"/>
  <c r="D3859" s="1"/>
  <c r="C3858"/>
  <c r="D3858" s="1"/>
  <c r="C3857"/>
  <c r="D3857" s="1"/>
  <c r="C3856"/>
  <c r="D3856" s="1"/>
  <c r="C3855"/>
  <c r="D3855" s="1"/>
  <c r="C3854"/>
  <c r="D3854" s="1"/>
  <c r="C3853"/>
  <c r="D3853" s="1"/>
  <c r="C3852"/>
  <c r="D3852" s="1"/>
  <c r="C3851"/>
  <c r="D3851" s="1"/>
  <c r="C3850"/>
  <c r="D3850" s="1"/>
  <c r="C3849"/>
  <c r="D3849" s="1"/>
  <c r="C3848"/>
  <c r="D3848" s="1"/>
  <c r="C3847"/>
  <c r="D3847" s="1"/>
  <c r="C3846"/>
  <c r="D3846" s="1"/>
  <c r="C3845"/>
  <c r="D3845" s="1"/>
  <c r="C3844"/>
  <c r="D3844" s="1"/>
  <c r="C3843"/>
  <c r="D3843" s="1"/>
  <c r="C3842"/>
  <c r="D3842" s="1"/>
  <c r="C3841"/>
  <c r="D3841" s="1"/>
  <c r="C3840"/>
  <c r="D3840" s="1"/>
  <c r="C3839"/>
  <c r="D3839" s="1"/>
  <c r="C3838"/>
  <c r="D3838" s="1"/>
  <c r="C3837"/>
  <c r="D3837" s="1"/>
  <c r="C3836"/>
  <c r="D3836" s="1"/>
  <c r="C3835"/>
  <c r="D3835" s="1"/>
  <c r="C3834"/>
  <c r="D3834" s="1"/>
  <c r="C3833"/>
  <c r="D3833" s="1"/>
  <c r="C3832"/>
  <c r="D3832" s="1"/>
  <c r="C3831"/>
  <c r="D3831" s="1"/>
  <c r="C3830"/>
  <c r="D3830" s="1"/>
  <c r="C3829"/>
  <c r="D3829" s="1"/>
  <c r="C3828"/>
  <c r="D3828" s="1"/>
  <c r="C3827"/>
  <c r="D3827" s="1"/>
  <c r="C3826"/>
  <c r="D3826" s="1"/>
  <c r="C3825"/>
  <c r="D3825" s="1"/>
  <c r="C3824"/>
  <c r="D3824" s="1"/>
  <c r="C3823"/>
  <c r="D3823" s="1"/>
  <c r="C3822"/>
  <c r="D3822" s="1"/>
  <c r="C3821"/>
  <c r="D3821" s="1"/>
  <c r="C3820"/>
  <c r="D3820" s="1"/>
  <c r="C3819"/>
  <c r="D3819" s="1"/>
  <c r="C3818"/>
  <c r="D3818" s="1"/>
  <c r="C3817"/>
  <c r="D3817" s="1"/>
  <c r="C3816"/>
  <c r="D3816" s="1"/>
  <c r="C3815"/>
  <c r="D3815" s="1"/>
  <c r="C3814"/>
  <c r="D3814" s="1"/>
  <c r="C3813"/>
  <c r="D3813" s="1"/>
  <c r="C3812"/>
  <c r="D3812" s="1"/>
  <c r="C3811"/>
  <c r="D3811" s="1"/>
  <c r="C3810"/>
  <c r="D3810" s="1"/>
  <c r="C3809"/>
  <c r="D3809" s="1"/>
  <c r="C3808"/>
  <c r="D3808" s="1"/>
  <c r="C3807"/>
  <c r="D3807" s="1"/>
  <c r="C3806"/>
  <c r="D3806" s="1"/>
  <c r="C3805"/>
  <c r="D3805" s="1"/>
  <c r="C3804"/>
  <c r="D3804" s="1"/>
  <c r="C3803"/>
  <c r="D3803" s="1"/>
  <c r="C3802"/>
  <c r="D3802" s="1"/>
  <c r="C3801"/>
  <c r="D3801" s="1"/>
  <c r="C3800"/>
  <c r="D3800" s="1"/>
  <c r="C3799"/>
  <c r="D3799" s="1"/>
  <c r="C3798"/>
  <c r="D3798" s="1"/>
  <c r="C3797"/>
  <c r="D3797" s="1"/>
  <c r="C3796"/>
  <c r="D3796" s="1"/>
  <c r="C3795"/>
  <c r="D3795" s="1"/>
  <c r="C3794"/>
  <c r="D3794" s="1"/>
  <c r="C3793"/>
  <c r="D3793" s="1"/>
  <c r="C3792"/>
  <c r="D3792" s="1"/>
  <c r="C3791"/>
  <c r="D3791" s="1"/>
  <c r="C3790"/>
  <c r="D3790" s="1"/>
  <c r="C3789"/>
  <c r="D3789" s="1"/>
  <c r="C3788"/>
  <c r="D3788" s="1"/>
  <c r="C3787"/>
  <c r="D3787" s="1"/>
  <c r="C3786"/>
  <c r="D3786" s="1"/>
  <c r="C3785"/>
  <c r="D3785" s="1"/>
  <c r="C3784"/>
  <c r="D3784" s="1"/>
  <c r="C3783"/>
  <c r="D3783" s="1"/>
  <c r="C3782"/>
  <c r="D3782" s="1"/>
  <c r="C3781"/>
  <c r="D3781" s="1"/>
  <c r="C3780"/>
  <c r="D3780" s="1"/>
  <c r="C3779"/>
  <c r="D3779" s="1"/>
  <c r="C3778"/>
  <c r="D3778" s="1"/>
  <c r="C3777"/>
  <c r="D3777" s="1"/>
  <c r="C3776"/>
  <c r="D3776" s="1"/>
  <c r="C3775"/>
  <c r="D3775" s="1"/>
  <c r="C3774"/>
  <c r="D3774" s="1"/>
  <c r="C3773"/>
  <c r="D3773" s="1"/>
  <c r="C3772"/>
  <c r="D3772" s="1"/>
  <c r="C3771"/>
  <c r="D3771" s="1"/>
  <c r="C3770"/>
  <c r="D3770" s="1"/>
  <c r="C3769"/>
  <c r="D3769" s="1"/>
  <c r="C3768"/>
  <c r="D3768" s="1"/>
  <c r="C3767"/>
  <c r="D3767" s="1"/>
  <c r="C3766"/>
  <c r="D3766" s="1"/>
  <c r="C3765"/>
  <c r="D3765" s="1"/>
  <c r="C3764"/>
  <c r="D3764" s="1"/>
  <c r="C3763"/>
  <c r="D3763" s="1"/>
  <c r="C3762"/>
  <c r="D3762" s="1"/>
  <c r="C3761"/>
  <c r="D3761" s="1"/>
  <c r="C3760"/>
  <c r="D3760" s="1"/>
  <c r="C3759"/>
  <c r="D3759" s="1"/>
  <c r="C3758"/>
  <c r="D3758" s="1"/>
  <c r="C3757"/>
  <c r="D3757" s="1"/>
  <c r="C3756"/>
  <c r="D3756" s="1"/>
  <c r="C3755"/>
  <c r="D3755" s="1"/>
  <c r="C3754"/>
  <c r="D3754" s="1"/>
  <c r="D3753"/>
  <c r="C3753"/>
  <c r="C3752"/>
  <c r="D3752" s="1"/>
  <c r="C3751"/>
  <c r="D3751" s="1"/>
  <c r="C3750"/>
  <c r="D3750" s="1"/>
  <c r="C3749"/>
  <c r="D3749" s="1"/>
  <c r="C3748"/>
  <c r="D3748" s="1"/>
  <c r="C3747"/>
  <c r="D3747" s="1"/>
  <c r="C3746"/>
  <c r="D3746" s="1"/>
  <c r="D3745"/>
  <c r="C3745"/>
  <c r="C3744"/>
  <c r="D3744" s="1"/>
  <c r="C3743"/>
  <c r="D3743" s="1"/>
  <c r="C3742"/>
  <c r="D3742" s="1"/>
  <c r="C3741"/>
  <c r="D3741" s="1"/>
  <c r="C3740"/>
  <c r="D3740" s="1"/>
  <c r="C3739"/>
  <c r="D3739" s="1"/>
  <c r="C3738"/>
  <c r="D3738" s="1"/>
  <c r="D3737"/>
  <c r="C3737"/>
  <c r="C3736"/>
  <c r="D3736" s="1"/>
  <c r="C3735"/>
  <c r="D3735" s="1"/>
  <c r="C3734"/>
  <c r="D3734" s="1"/>
  <c r="C3733"/>
  <c r="D3733" s="1"/>
  <c r="C3732"/>
  <c r="D3732" s="1"/>
  <c r="C3731"/>
  <c r="D3731" s="1"/>
  <c r="C3730"/>
  <c r="D3730" s="1"/>
  <c r="D3729"/>
  <c r="C3729"/>
  <c r="C3728"/>
  <c r="D3728" s="1"/>
  <c r="C3727"/>
  <c r="D3727" s="1"/>
  <c r="C3726"/>
  <c r="D3726" s="1"/>
  <c r="C3725"/>
  <c r="D3725" s="1"/>
  <c r="C3724"/>
  <c r="D3724" s="1"/>
  <c r="C3723"/>
  <c r="D3723" s="1"/>
  <c r="C3722"/>
  <c r="D3722" s="1"/>
  <c r="C3721"/>
  <c r="D3721" s="1"/>
  <c r="C3720"/>
  <c r="D3720" s="1"/>
  <c r="C3719"/>
  <c r="D3719" s="1"/>
  <c r="C3718"/>
  <c r="D3718" s="1"/>
  <c r="C3717"/>
  <c r="D3717" s="1"/>
  <c r="C3716"/>
  <c r="D3716" s="1"/>
  <c r="C3715"/>
  <c r="D3715" s="1"/>
  <c r="C3714"/>
  <c r="D3714" s="1"/>
  <c r="C3713"/>
  <c r="D3713" s="1"/>
  <c r="C3712"/>
  <c r="D3712" s="1"/>
  <c r="C3711"/>
  <c r="D3711" s="1"/>
  <c r="C3710"/>
  <c r="D3710" s="1"/>
  <c r="C3709"/>
  <c r="D3709" s="1"/>
  <c r="C3708"/>
  <c r="D3708" s="1"/>
  <c r="C3707"/>
  <c r="D3707" s="1"/>
  <c r="C3706"/>
  <c r="D3706" s="1"/>
  <c r="C3705"/>
  <c r="D3705" s="1"/>
  <c r="C3704"/>
  <c r="D3704" s="1"/>
  <c r="C3703"/>
  <c r="D3703" s="1"/>
  <c r="C3702"/>
  <c r="D3702" s="1"/>
  <c r="C3701"/>
  <c r="D3701" s="1"/>
  <c r="C3700"/>
  <c r="D3700" s="1"/>
  <c r="C3699"/>
  <c r="D3699" s="1"/>
  <c r="C3698"/>
  <c r="D3698" s="1"/>
  <c r="C3697"/>
  <c r="D3697" s="1"/>
  <c r="C3696"/>
  <c r="D3696" s="1"/>
  <c r="C3695"/>
  <c r="D3695" s="1"/>
  <c r="C3694"/>
  <c r="D3694" s="1"/>
  <c r="C3693"/>
  <c r="D3693" s="1"/>
  <c r="C3692"/>
  <c r="D3692" s="1"/>
  <c r="C3691"/>
  <c r="D3691" s="1"/>
  <c r="C3690"/>
  <c r="D3690" s="1"/>
  <c r="C3689"/>
  <c r="D3689" s="1"/>
  <c r="C3688"/>
  <c r="D3688" s="1"/>
  <c r="C3687"/>
  <c r="D3687" s="1"/>
  <c r="C3686"/>
  <c r="D3686" s="1"/>
  <c r="C3685"/>
  <c r="D3685" s="1"/>
  <c r="C3684"/>
  <c r="D3684" s="1"/>
  <c r="C3683"/>
  <c r="D3683" s="1"/>
  <c r="C3682"/>
  <c r="D3682" s="1"/>
  <c r="C3681"/>
  <c r="D3681" s="1"/>
  <c r="C3680"/>
  <c r="D3680" s="1"/>
  <c r="C3679"/>
  <c r="D3679" s="1"/>
  <c r="C3678"/>
  <c r="D3678" s="1"/>
  <c r="C3677"/>
  <c r="D3677" s="1"/>
  <c r="C3676"/>
  <c r="D3676" s="1"/>
  <c r="C3675"/>
  <c r="D3675" s="1"/>
  <c r="C3674"/>
  <c r="D3674" s="1"/>
  <c r="C3673"/>
  <c r="D3673" s="1"/>
  <c r="C3672"/>
  <c r="D3672" s="1"/>
  <c r="C3671"/>
  <c r="D3671" s="1"/>
  <c r="C3670"/>
  <c r="D3670" s="1"/>
  <c r="C3669"/>
  <c r="D3669" s="1"/>
  <c r="C3668"/>
  <c r="D3668" s="1"/>
  <c r="C3667"/>
  <c r="D3667" s="1"/>
  <c r="C3666"/>
  <c r="D3666" s="1"/>
  <c r="C3665"/>
  <c r="D3665" s="1"/>
  <c r="C3664"/>
  <c r="D3664" s="1"/>
  <c r="C3663"/>
  <c r="D3663" s="1"/>
  <c r="C3662"/>
  <c r="D3662" s="1"/>
  <c r="C3661"/>
  <c r="D3661" s="1"/>
  <c r="C3660"/>
  <c r="D3660" s="1"/>
  <c r="C3659"/>
  <c r="D3659" s="1"/>
  <c r="C3658"/>
  <c r="D3658" s="1"/>
  <c r="C3657"/>
  <c r="D3657" s="1"/>
  <c r="C3656"/>
  <c r="D3656" s="1"/>
  <c r="C3655"/>
  <c r="D3655" s="1"/>
  <c r="C3654"/>
  <c r="D3654" s="1"/>
  <c r="C3653"/>
  <c r="D3653" s="1"/>
  <c r="C3652"/>
  <c r="D3652" s="1"/>
  <c r="C3651"/>
  <c r="D3651" s="1"/>
  <c r="C3650"/>
  <c r="D3650" s="1"/>
  <c r="C3649"/>
  <c r="D3649" s="1"/>
  <c r="C3648"/>
  <c r="D3648" s="1"/>
  <c r="C3647"/>
  <c r="D3647" s="1"/>
  <c r="C3646"/>
  <c r="D3646" s="1"/>
  <c r="C3645"/>
  <c r="D3645" s="1"/>
  <c r="C3644"/>
  <c r="D3644" s="1"/>
  <c r="C3643"/>
  <c r="D3643" s="1"/>
  <c r="C3642"/>
  <c r="D3642" s="1"/>
  <c r="C3641"/>
  <c r="D3641" s="1"/>
  <c r="C3640"/>
  <c r="D3640" s="1"/>
  <c r="C3639"/>
  <c r="D3639" s="1"/>
  <c r="C3638"/>
  <c r="D3638" s="1"/>
  <c r="C3637"/>
  <c r="D3637" s="1"/>
  <c r="C3636"/>
  <c r="D3636" s="1"/>
  <c r="C3635"/>
  <c r="D3635" s="1"/>
  <c r="C3634"/>
  <c r="D3634" s="1"/>
  <c r="C3633"/>
  <c r="D3633" s="1"/>
  <c r="C3632"/>
  <c r="D3632" s="1"/>
  <c r="C3631"/>
  <c r="D3631" s="1"/>
  <c r="C3630"/>
  <c r="D3630" s="1"/>
  <c r="C3629"/>
  <c r="D3629" s="1"/>
  <c r="C3628"/>
  <c r="D3628" s="1"/>
  <c r="C3627"/>
  <c r="D3627" s="1"/>
  <c r="C3626"/>
  <c r="D3626" s="1"/>
  <c r="C3625"/>
  <c r="D3625" s="1"/>
  <c r="C3624"/>
  <c r="D3624" s="1"/>
  <c r="C3623"/>
  <c r="D3623" s="1"/>
  <c r="C3622"/>
  <c r="D3622" s="1"/>
  <c r="C3621"/>
  <c r="D3621" s="1"/>
  <c r="C3620"/>
  <c r="D3620" s="1"/>
  <c r="C3619"/>
  <c r="D3619" s="1"/>
  <c r="C3618"/>
  <c r="D3618" s="1"/>
  <c r="C3617"/>
  <c r="D3617" s="1"/>
  <c r="C3616"/>
  <c r="D3616" s="1"/>
  <c r="C3615"/>
  <c r="D3615" s="1"/>
  <c r="C3614"/>
  <c r="D3614" s="1"/>
  <c r="C3613"/>
  <c r="D3613" s="1"/>
  <c r="C3612"/>
  <c r="D3612" s="1"/>
  <c r="C3611"/>
  <c r="D3611" s="1"/>
  <c r="C3610"/>
  <c r="D3610" s="1"/>
  <c r="C3609"/>
  <c r="D3609" s="1"/>
  <c r="C3608"/>
  <c r="D3608" s="1"/>
  <c r="C3607"/>
  <c r="D3607" s="1"/>
  <c r="C3606"/>
  <c r="D3606" s="1"/>
  <c r="C3605"/>
  <c r="D3605" s="1"/>
  <c r="C3604"/>
  <c r="D3604" s="1"/>
  <c r="C3603"/>
  <c r="D3603" s="1"/>
  <c r="C3602"/>
  <c r="D3602" s="1"/>
  <c r="C3601"/>
  <c r="D3601" s="1"/>
  <c r="C3600"/>
  <c r="D3600" s="1"/>
  <c r="C3599"/>
  <c r="D3599" s="1"/>
  <c r="C3598"/>
  <c r="D3598" s="1"/>
  <c r="C3597"/>
  <c r="D3597" s="1"/>
  <c r="C3596"/>
  <c r="D3596" s="1"/>
  <c r="C3595"/>
  <c r="D3595" s="1"/>
  <c r="C3594"/>
  <c r="D3594" s="1"/>
  <c r="C3593"/>
  <c r="D3593" s="1"/>
  <c r="C3592"/>
  <c r="D3592" s="1"/>
  <c r="C3591"/>
  <c r="D3591" s="1"/>
  <c r="C3590"/>
  <c r="D3590" s="1"/>
  <c r="C3589"/>
  <c r="D3589" s="1"/>
  <c r="C3588"/>
  <c r="D3588" s="1"/>
  <c r="C3587"/>
  <c r="D3587" s="1"/>
  <c r="C3586"/>
  <c r="D3586" s="1"/>
  <c r="C3585"/>
  <c r="D3585" s="1"/>
  <c r="C3584"/>
  <c r="D3584" s="1"/>
  <c r="C3583"/>
  <c r="D3583" s="1"/>
  <c r="C3582"/>
  <c r="D3582" s="1"/>
  <c r="C3581"/>
  <c r="D3581" s="1"/>
  <c r="C3580"/>
  <c r="D3580" s="1"/>
  <c r="C3579"/>
  <c r="D3579" s="1"/>
  <c r="C3578"/>
  <c r="D3578" s="1"/>
  <c r="C3577"/>
  <c r="D3577" s="1"/>
  <c r="C3576"/>
  <c r="D3576" s="1"/>
  <c r="C3575"/>
  <c r="D3575" s="1"/>
  <c r="C3574"/>
  <c r="D3574" s="1"/>
  <c r="C3573"/>
  <c r="D3573" s="1"/>
  <c r="C3572"/>
  <c r="D3572" s="1"/>
  <c r="C3571"/>
  <c r="D3571" s="1"/>
  <c r="C3570"/>
  <c r="D3570" s="1"/>
  <c r="C3569"/>
  <c r="D3569" s="1"/>
  <c r="C3568"/>
  <c r="D3568" s="1"/>
  <c r="C3567"/>
  <c r="D3567" s="1"/>
  <c r="C3566"/>
  <c r="D3566" s="1"/>
  <c r="C3565"/>
  <c r="D3565" s="1"/>
  <c r="C3564"/>
  <c r="D3564" s="1"/>
  <c r="C3563"/>
  <c r="D3563" s="1"/>
  <c r="C3562"/>
  <c r="D3562" s="1"/>
  <c r="C3561"/>
  <c r="D3561" s="1"/>
  <c r="C3560"/>
  <c r="D3560" s="1"/>
  <c r="C3559"/>
  <c r="D3559" s="1"/>
  <c r="C3558"/>
  <c r="D3558" s="1"/>
  <c r="C3557"/>
  <c r="D3557" s="1"/>
  <c r="C3556"/>
  <c r="D3556" s="1"/>
  <c r="C3555"/>
  <c r="D3555" s="1"/>
  <c r="C3554"/>
  <c r="D3554" s="1"/>
  <c r="C3553"/>
  <c r="D3553" s="1"/>
  <c r="C3552"/>
  <c r="D3552" s="1"/>
  <c r="C3551"/>
  <c r="D3551" s="1"/>
  <c r="C3550"/>
  <c r="D3550" s="1"/>
  <c r="C3549"/>
  <c r="D3549" s="1"/>
  <c r="C3548"/>
  <c r="D3548" s="1"/>
  <c r="C3547"/>
  <c r="D3547" s="1"/>
  <c r="C3546"/>
  <c r="D3546" s="1"/>
  <c r="C3545"/>
  <c r="D3545" s="1"/>
  <c r="C3544"/>
  <c r="D3544" s="1"/>
  <c r="D3543"/>
  <c r="C3543"/>
  <c r="D3542"/>
  <c r="C3542"/>
  <c r="D3541"/>
  <c r="C3541"/>
  <c r="D3540"/>
  <c r="C3540"/>
  <c r="D3539"/>
  <c r="C3539"/>
  <c r="D3538"/>
  <c r="C3538"/>
  <c r="D3537"/>
  <c r="C3537"/>
  <c r="D3536"/>
  <c r="C3536"/>
  <c r="D3535"/>
  <c r="C3535"/>
  <c r="D3534"/>
  <c r="C3534"/>
  <c r="D3533"/>
  <c r="C3533"/>
  <c r="D3532"/>
  <c r="C3532"/>
  <c r="D3531"/>
  <c r="C3531"/>
  <c r="D3530"/>
  <c r="C3530"/>
  <c r="D3529"/>
  <c r="C3529"/>
  <c r="D3528"/>
  <c r="C3528"/>
  <c r="D3527"/>
  <c r="C3527"/>
  <c r="D3526"/>
  <c r="C3526"/>
  <c r="D3525"/>
  <c r="C3525"/>
  <c r="D3524"/>
  <c r="C3524"/>
  <c r="D3523"/>
  <c r="C3523"/>
  <c r="D3522"/>
  <c r="C3522"/>
  <c r="D3521"/>
  <c r="C3521"/>
  <c r="D3520"/>
  <c r="C3520"/>
  <c r="D3519"/>
  <c r="C3519"/>
  <c r="D3518"/>
  <c r="C3518"/>
  <c r="D3517"/>
  <c r="C3517"/>
  <c r="D3516"/>
  <c r="C3516"/>
  <c r="D3515"/>
  <c r="C3515"/>
  <c r="D3514"/>
  <c r="C3514"/>
  <c r="D3513"/>
  <c r="C3513"/>
  <c r="D3512"/>
  <c r="C3512"/>
  <c r="D3511"/>
  <c r="C3511"/>
  <c r="D3510"/>
  <c r="C3510"/>
  <c r="D3509"/>
  <c r="C3509"/>
  <c r="D3508"/>
  <c r="C3508"/>
  <c r="D3507"/>
  <c r="C3507"/>
  <c r="D3506"/>
  <c r="C3506"/>
  <c r="D3505"/>
  <c r="C3505"/>
  <c r="D3504"/>
  <c r="C3504"/>
  <c r="D3503"/>
  <c r="C3503"/>
  <c r="D3502"/>
  <c r="C3502"/>
  <c r="D3501"/>
  <c r="C3501"/>
  <c r="D3500"/>
  <c r="C3500"/>
  <c r="D3499"/>
  <c r="C3499"/>
  <c r="D3498"/>
  <c r="C3498"/>
  <c r="D3497"/>
  <c r="C3497"/>
  <c r="D3496"/>
  <c r="C3496"/>
  <c r="D3495"/>
  <c r="C3495"/>
  <c r="D3494"/>
  <c r="C3494"/>
  <c r="D3493"/>
  <c r="C3493"/>
  <c r="D3492"/>
  <c r="C3492"/>
  <c r="D3491"/>
  <c r="C3491"/>
  <c r="D3490"/>
  <c r="C3490"/>
  <c r="D3489"/>
  <c r="C3489"/>
  <c r="D3488"/>
  <c r="C3488"/>
  <c r="D3487"/>
  <c r="C3487"/>
  <c r="D3486"/>
  <c r="C3486"/>
  <c r="D3485"/>
  <c r="C3485"/>
  <c r="D3484"/>
  <c r="C3484"/>
  <c r="D3483"/>
  <c r="C3483"/>
  <c r="D3482"/>
  <c r="C3482"/>
  <c r="D3481"/>
  <c r="C3481"/>
  <c r="D3480"/>
  <c r="C3480"/>
  <c r="D3479"/>
  <c r="C3479"/>
  <c r="D3478"/>
  <c r="C3478"/>
  <c r="D3477"/>
  <c r="C3477"/>
  <c r="D3476"/>
  <c r="C3476"/>
  <c r="D3475"/>
  <c r="C3475"/>
  <c r="D3474"/>
  <c r="C3474"/>
  <c r="D3473"/>
  <c r="C3473"/>
  <c r="D3472"/>
  <c r="C3472"/>
  <c r="D3471"/>
  <c r="C3471"/>
  <c r="D3470"/>
  <c r="C3470"/>
  <c r="D3469"/>
  <c r="C3469"/>
  <c r="D3468"/>
  <c r="C3468"/>
  <c r="D3467"/>
  <c r="C3467"/>
  <c r="D3466"/>
  <c r="C3466"/>
  <c r="D3465"/>
  <c r="C3465"/>
  <c r="D3464"/>
  <c r="C3464"/>
  <c r="D3463"/>
  <c r="C3463"/>
  <c r="D3462"/>
  <c r="C3462"/>
  <c r="D3461"/>
  <c r="C3461"/>
  <c r="D3460"/>
  <c r="C3460"/>
  <c r="D3459"/>
  <c r="C3459"/>
  <c r="D3458"/>
  <c r="C3458"/>
  <c r="D3457"/>
  <c r="C3457"/>
  <c r="D3456"/>
  <c r="C3456"/>
  <c r="D3455"/>
  <c r="C3455"/>
  <c r="D3454"/>
  <c r="C3454"/>
  <c r="D3453"/>
  <c r="C3453"/>
  <c r="D3452"/>
  <c r="C3452"/>
  <c r="D3451"/>
  <c r="C3451"/>
  <c r="D3450"/>
  <c r="C3450"/>
  <c r="D3449"/>
  <c r="C3449"/>
  <c r="D3448"/>
  <c r="C3448"/>
  <c r="D3447"/>
  <c r="C3447"/>
  <c r="D3446"/>
  <c r="C3446"/>
  <c r="D3445"/>
  <c r="C3445"/>
  <c r="D3444"/>
  <c r="C3444"/>
  <c r="D3443"/>
  <c r="C3443"/>
  <c r="D3442"/>
  <c r="C3442"/>
  <c r="D3441"/>
  <c r="C3441"/>
  <c r="D3440"/>
  <c r="C3440"/>
  <c r="D3439"/>
  <c r="C3439"/>
  <c r="D3438"/>
  <c r="C3438"/>
  <c r="D3437"/>
  <c r="C3437"/>
  <c r="D3436"/>
  <c r="C3436"/>
  <c r="D3435"/>
  <c r="C3435"/>
  <c r="D3434"/>
  <c r="C3434"/>
  <c r="D3433"/>
  <c r="C3433"/>
  <c r="D3432"/>
  <c r="C3432"/>
  <c r="D3431"/>
  <c r="C3431"/>
  <c r="D3430"/>
  <c r="C3430"/>
  <c r="D3429"/>
  <c r="C3429"/>
  <c r="D3428"/>
  <c r="C3428"/>
  <c r="D3427"/>
  <c r="C3427"/>
  <c r="D3426"/>
  <c r="C3426"/>
  <c r="D3425"/>
  <c r="C3425"/>
  <c r="D3424"/>
  <c r="C3424"/>
  <c r="D3423"/>
  <c r="C3423"/>
  <c r="D3422"/>
  <c r="C3422"/>
  <c r="D3421"/>
  <c r="C3421"/>
  <c r="D3420"/>
  <c r="C3420"/>
  <c r="D3419"/>
  <c r="C3419"/>
  <c r="D3418"/>
  <c r="C3418"/>
  <c r="D3417"/>
  <c r="C3417"/>
  <c r="D3416"/>
  <c r="C3416"/>
  <c r="D3415"/>
  <c r="C3415"/>
  <c r="D3414"/>
  <c r="C3414"/>
  <c r="D3413"/>
  <c r="C3413"/>
  <c r="D3412"/>
  <c r="C3412"/>
  <c r="D3411"/>
  <c r="C3411"/>
  <c r="D3410"/>
  <c r="C3410"/>
  <c r="D3409"/>
  <c r="C3409"/>
  <c r="D3408"/>
  <c r="C3408"/>
  <c r="D3407"/>
  <c r="C3407"/>
  <c r="D3406"/>
  <c r="C3406"/>
  <c r="D3405"/>
  <c r="C3405"/>
  <c r="D3404"/>
  <c r="C3404"/>
  <c r="D3403"/>
  <c r="C3403"/>
  <c r="D3402"/>
  <c r="C3402"/>
  <c r="D3401"/>
  <c r="C3401"/>
  <c r="D3400"/>
  <c r="C3400"/>
  <c r="D3399"/>
  <c r="C3399"/>
  <c r="D3398"/>
  <c r="C3398"/>
  <c r="D3397"/>
  <c r="C3397"/>
  <c r="D3396"/>
  <c r="C3396"/>
  <c r="D3395"/>
  <c r="C3395"/>
  <c r="D3394"/>
  <c r="C3394"/>
  <c r="D3393"/>
  <c r="C3393"/>
  <c r="D3392"/>
  <c r="C3392"/>
  <c r="D3391"/>
  <c r="C3391"/>
  <c r="D3390"/>
  <c r="C3390"/>
  <c r="D3389"/>
  <c r="C3389"/>
  <c r="D3388"/>
  <c r="C3388"/>
  <c r="D3387"/>
  <c r="C3387"/>
  <c r="D3386"/>
  <c r="C3386"/>
  <c r="D3385"/>
  <c r="C3385"/>
  <c r="D3384"/>
  <c r="C3384"/>
  <c r="D3383"/>
  <c r="C3383"/>
  <c r="D3382"/>
  <c r="C3382"/>
  <c r="D3381"/>
  <c r="C3381"/>
  <c r="D3380"/>
  <c r="C3380"/>
  <c r="D3379"/>
  <c r="C3379"/>
  <c r="D3378"/>
  <c r="C3378"/>
  <c r="D3377"/>
  <c r="C3377"/>
  <c r="D3376"/>
  <c r="C3376"/>
  <c r="D3375"/>
  <c r="C3375"/>
  <c r="D3374"/>
  <c r="C3374"/>
  <c r="D3373"/>
  <c r="C3373"/>
  <c r="D3372"/>
  <c r="C3372"/>
  <c r="D3371"/>
  <c r="C3371"/>
  <c r="D3370"/>
  <c r="C3370"/>
  <c r="D3369"/>
  <c r="C3369"/>
  <c r="D3368"/>
  <c r="C3368"/>
  <c r="D3367"/>
  <c r="C3367"/>
  <c r="D3366"/>
  <c r="C3366"/>
  <c r="D3365"/>
  <c r="C3365"/>
  <c r="D3364"/>
  <c r="C3364"/>
  <c r="D3363"/>
  <c r="C3363"/>
  <c r="D3362"/>
  <c r="C3362"/>
  <c r="D3361"/>
  <c r="C3361"/>
  <c r="D3360"/>
  <c r="C3360"/>
  <c r="D3359"/>
  <c r="C3359"/>
  <c r="D3358"/>
  <c r="C3358"/>
  <c r="D3357"/>
  <c r="C3357"/>
  <c r="D3356"/>
  <c r="C3356"/>
  <c r="D3355"/>
  <c r="C3355"/>
  <c r="D3354"/>
  <c r="C3354"/>
  <c r="D3353"/>
  <c r="C3353"/>
  <c r="D3352"/>
  <c r="C3352"/>
  <c r="D3351"/>
  <c r="C3351"/>
  <c r="D3350"/>
  <c r="C3350"/>
  <c r="D3349"/>
  <c r="C3349"/>
  <c r="D3348"/>
  <c r="C3348"/>
  <c r="D3347"/>
  <c r="C3347"/>
  <c r="D3346"/>
  <c r="C3346"/>
  <c r="D3345"/>
  <c r="C3345"/>
  <c r="D3344"/>
  <c r="C3344"/>
  <c r="D3343"/>
  <c r="C3343"/>
  <c r="D3342"/>
  <c r="C3342"/>
  <c r="D3341"/>
  <c r="C3341"/>
  <c r="D3340"/>
  <c r="C3340"/>
  <c r="D3339"/>
  <c r="C3339"/>
  <c r="D3338"/>
  <c r="C3338"/>
  <c r="D3337"/>
  <c r="C3337"/>
  <c r="D3336"/>
  <c r="C3336"/>
  <c r="D3335"/>
  <c r="C3335"/>
  <c r="D3334"/>
  <c r="C3334"/>
  <c r="D3333"/>
  <c r="C3333"/>
  <c r="D3332"/>
  <c r="C3332"/>
  <c r="D3331"/>
  <c r="C3331"/>
  <c r="D3330"/>
  <c r="C3330"/>
  <c r="D3329"/>
  <c r="C3329"/>
  <c r="D3328"/>
  <c r="C3328"/>
  <c r="D3327"/>
  <c r="C3327"/>
  <c r="D3326"/>
  <c r="C3326"/>
  <c r="D3325"/>
  <c r="C3325"/>
  <c r="D3324"/>
  <c r="C3324"/>
  <c r="D3323"/>
  <c r="C3323"/>
  <c r="D3322"/>
  <c r="C3322"/>
  <c r="D3321"/>
  <c r="C3321"/>
  <c r="D3320"/>
  <c r="C3320"/>
  <c r="D3319"/>
  <c r="C3319"/>
  <c r="D3318"/>
  <c r="C3318"/>
  <c r="D3317"/>
  <c r="C3317"/>
  <c r="D3316"/>
  <c r="C3316"/>
  <c r="D3315"/>
  <c r="C3315"/>
  <c r="D3314"/>
  <c r="C3314"/>
  <c r="D3313"/>
  <c r="C3313"/>
  <c r="D3312"/>
  <c r="C3312"/>
  <c r="D3311"/>
  <c r="C3311"/>
  <c r="D3310"/>
  <c r="C3310"/>
  <c r="D3309"/>
  <c r="C3309"/>
  <c r="D3308"/>
  <c r="C3308"/>
  <c r="D3307"/>
  <c r="C3307"/>
  <c r="D3306"/>
  <c r="C3306"/>
  <c r="D3305"/>
  <c r="C3305"/>
  <c r="D3304"/>
  <c r="C3304"/>
  <c r="D3303"/>
  <c r="C3303"/>
  <c r="D3302"/>
  <c r="C3302"/>
  <c r="D3301"/>
  <c r="C3301"/>
  <c r="D3300"/>
  <c r="C3300"/>
  <c r="D3299"/>
  <c r="C3299"/>
  <c r="D3298"/>
  <c r="C3298"/>
  <c r="D3297"/>
  <c r="C3297"/>
  <c r="D3296"/>
  <c r="C3296"/>
  <c r="D3295"/>
  <c r="C3295"/>
  <c r="D3294"/>
  <c r="C3294"/>
  <c r="D3293"/>
  <c r="C3293"/>
  <c r="D3292"/>
  <c r="C3292"/>
  <c r="D3291"/>
  <c r="C3291"/>
  <c r="D3290"/>
  <c r="C3290"/>
  <c r="D3289"/>
  <c r="C3289"/>
  <c r="D3288"/>
  <c r="C3288"/>
  <c r="D3287"/>
  <c r="C3287"/>
  <c r="D3286"/>
  <c r="C3286"/>
  <c r="D3285"/>
  <c r="C3285"/>
  <c r="D3284"/>
  <c r="C3284"/>
  <c r="D3283"/>
  <c r="C3283"/>
  <c r="D3282"/>
  <c r="C3282"/>
  <c r="D3281"/>
  <c r="C3281"/>
  <c r="D3280"/>
  <c r="C3280"/>
  <c r="D3279"/>
  <c r="C3279"/>
  <c r="D3278"/>
  <c r="C3278"/>
  <c r="D3277"/>
  <c r="C3277"/>
  <c r="D3276"/>
  <c r="C3276"/>
  <c r="D3275"/>
  <c r="C3275"/>
  <c r="D3274"/>
  <c r="C3274"/>
  <c r="D3273"/>
  <c r="C3273"/>
  <c r="D3272"/>
  <c r="C3272"/>
  <c r="D3271"/>
  <c r="C3271"/>
  <c r="D3270"/>
  <c r="C3270"/>
  <c r="D3269"/>
  <c r="C3269"/>
  <c r="D3268"/>
  <c r="C3268"/>
  <c r="D3267"/>
  <c r="C3267"/>
  <c r="D3266"/>
  <c r="C3266"/>
  <c r="D3265"/>
  <c r="C3265"/>
  <c r="D3264"/>
  <c r="C3264"/>
  <c r="D3263"/>
  <c r="C3263"/>
  <c r="D3262"/>
  <c r="C3262"/>
  <c r="D3261"/>
  <c r="C3261"/>
  <c r="D3260"/>
  <c r="C3260"/>
  <c r="D3259"/>
  <c r="C3259"/>
  <c r="D3258"/>
  <c r="C3258"/>
  <c r="D3257"/>
  <c r="C3257"/>
  <c r="D3256"/>
  <c r="C3256"/>
  <c r="D3255"/>
  <c r="C3255"/>
  <c r="D3254"/>
  <c r="C3254"/>
  <c r="D3253"/>
  <c r="C3253"/>
  <c r="D3252"/>
  <c r="C3252"/>
  <c r="D3251"/>
  <c r="C3251"/>
  <c r="D3250"/>
  <c r="C3250"/>
  <c r="D3249"/>
  <c r="C3249"/>
  <c r="D3248"/>
  <c r="C3248"/>
  <c r="D3247"/>
  <c r="C3247"/>
  <c r="D3246"/>
  <c r="C3246"/>
  <c r="D3245"/>
  <c r="C3245"/>
  <c r="D3244"/>
  <c r="C3244"/>
  <c r="D3243"/>
  <c r="C3243"/>
  <c r="D3242"/>
  <c r="C3242"/>
  <c r="D3241"/>
  <c r="C3241"/>
  <c r="D3240"/>
  <c r="C3240"/>
  <c r="D3239"/>
  <c r="C3239"/>
  <c r="D3238"/>
  <c r="C3238"/>
  <c r="D3237"/>
  <c r="C3237"/>
  <c r="D3236"/>
  <c r="C3236"/>
  <c r="D3235"/>
  <c r="C3235"/>
  <c r="D3234"/>
  <c r="C3234"/>
  <c r="D3233"/>
  <c r="C3233"/>
  <c r="D3232"/>
  <c r="C3232"/>
  <c r="D3231"/>
  <c r="C3231"/>
  <c r="D3230"/>
  <c r="C3230"/>
  <c r="D3229"/>
  <c r="C3229"/>
  <c r="D3228"/>
  <c r="C3228"/>
  <c r="D3227"/>
  <c r="C3227"/>
  <c r="D3226"/>
  <c r="C3226"/>
  <c r="D3225"/>
  <c r="C3225"/>
  <c r="D3224"/>
  <c r="C3224"/>
  <c r="D3223"/>
  <c r="C3223"/>
  <c r="D3222"/>
  <c r="C3222"/>
  <c r="D3221"/>
  <c r="C3221"/>
  <c r="D3220"/>
  <c r="C3220"/>
  <c r="D3219"/>
  <c r="C3219"/>
  <c r="D3218"/>
  <c r="C3218"/>
  <c r="D3217"/>
  <c r="C3217"/>
  <c r="D3216"/>
  <c r="C3216"/>
  <c r="D3215"/>
  <c r="C3215"/>
  <c r="D3214"/>
  <c r="C3214"/>
  <c r="D3213"/>
  <c r="C3213"/>
  <c r="D3212"/>
  <c r="C3212"/>
  <c r="D3211"/>
  <c r="C3211"/>
  <c r="D3210"/>
  <c r="C3210"/>
  <c r="D3209"/>
  <c r="C3209"/>
  <c r="D3208"/>
  <c r="C3208"/>
  <c r="D3207"/>
  <c r="C3207"/>
  <c r="D3206"/>
  <c r="C3206"/>
  <c r="D3205"/>
  <c r="C3205"/>
  <c r="D3204"/>
  <c r="C3204"/>
  <c r="D3203"/>
  <c r="C3203"/>
  <c r="D3202"/>
  <c r="C3202"/>
  <c r="D3201"/>
  <c r="C3201"/>
  <c r="D3200"/>
  <c r="C3200"/>
  <c r="D3199"/>
  <c r="C3199"/>
  <c r="D3198"/>
  <c r="C3198"/>
  <c r="D3197"/>
  <c r="C3197"/>
  <c r="D3196"/>
  <c r="C3196"/>
  <c r="D3195"/>
  <c r="C3195"/>
  <c r="D3194"/>
  <c r="C3194"/>
  <c r="D3193"/>
  <c r="C3193"/>
  <c r="D3192"/>
  <c r="C3192"/>
  <c r="D3191"/>
  <c r="C3191"/>
  <c r="D3190"/>
  <c r="C3190"/>
  <c r="D3189"/>
  <c r="C3189"/>
  <c r="D3188"/>
  <c r="C3188"/>
  <c r="D3187"/>
  <c r="C3187"/>
  <c r="D3186"/>
  <c r="C3186"/>
  <c r="D3185"/>
  <c r="C3185"/>
  <c r="D3184"/>
  <c r="C3184"/>
  <c r="D3183"/>
  <c r="C3183"/>
  <c r="D3182"/>
  <c r="C3182"/>
  <c r="D3181"/>
  <c r="C3181"/>
  <c r="D3180"/>
  <c r="C3180"/>
  <c r="D3179"/>
  <c r="C3179"/>
  <c r="D3178"/>
  <c r="C3178"/>
  <c r="D3177"/>
  <c r="C3177"/>
  <c r="D3176"/>
  <c r="C3176"/>
  <c r="D3175"/>
  <c r="C3175"/>
  <c r="D3174"/>
  <c r="C3174"/>
  <c r="D3173"/>
  <c r="C3173"/>
  <c r="D3172"/>
  <c r="C3172"/>
  <c r="D3171"/>
  <c r="C3171"/>
  <c r="D3170"/>
  <c r="C3170"/>
  <c r="D3169"/>
  <c r="C3169"/>
  <c r="D3168"/>
  <c r="C3168"/>
  <c r="D3167"/>
  <c r="C3167"/>
  <c r="D3166"/>
  <c r="C3166"/>
  <c r="D3165"/>
  <c r="C3165"/>
  <c r="D3164"/>
  <c r="C3164"/>
  <c r="D3163"/>
  <c r="C3163"/>
  <c r="D3162"/>
  <c r="C3162"/>
  <c r="D3161"/>
  <c r="C3161"/>
  <c r="D3160"/>
  <c r="C3160"/>
  <c r="D3159"/>
  <c r="C3159"/>
  <c r="D3158"/>
  <c r="C3158"/>
  <c r="D3157"/>
  <c r="C3157"/>
  <c r="D3156"/>
  <c r="C3156"/>
  <c r="D3155"/>
  <c r="C3155"/>
  <c r="D3154"/>
  <c r="C3154"/>
  <c r="D3153"/>
  <c r="C3153"/>
  <c r="D3152"/>
  <c r="C3152"/>
  <c r="D3151"/>
  <c r="C3151"/>
  <c r="D3150"/>
  <c r="C3150"/>
  <c r="D3149"/>
  <c r="C3149"/>
  <c r="D3148"/>
  <c r="C3148"/>
  <c r="D3147"/>
  <c r="C3147"/>
  <c r="D3146"/>
  <c r="C3146"/>
  <c r="D3145"/>
  <c r="C3145"/>
  <c r="D3144"/>
  <c r="C3144"/>
  <c r="D3143"/>
  <c r="C3143"/>
  <c r="D3142"/>
  <c r="C3142"/>
  <c r="D3141"/>
  <c r="C3141"/>
  <c r="D3140"/>
  <c r="C3140"/>
  <c r="D3139"/>
  <c r="C3139"/>
  <c r="D3138"/>
  <c r="C3138"/>
  <c r="D3137"/>
  <c r="C3137"/>
  <c r="D3136"/>
  <c r="C3136"/>
  <c r="D3135"/>
  <c r="C3135"/>
  <c r="D3134"/>
  <c r="C3134"/>
  <c r="D3133"/>
  <c r="C3133"/>
  <c r="D3132"/>
  <c r="C3132"/>
  <c r="D3131"/>
  <c r="C3131"/>
  <c r="D3130"/>
  <c r="C3130"/>
  <c r="D3129"/>
  <c r="C3129"/>
  <c r="D3128"/>
  <c r="C3128"/>
  <c r="D3127"/>
  <c r="C3127"/>
  <c r="D3126"/>
  <c r="C3126"/>
  <c r="D3125"/>
  <c r="C3125"/>
  <c r="D3124"/>
  <c r="C3124"/>
  <c r="D3123"/>
  <c r="C3123"/>
  <c r="D3122"/>
  <c r="C3122"/>
  <c r="D3121"/>
  <c r="C3121"/>
  <c r="D3120"/>
  <c r="C3120"/>
  <c r="D3119"/>
  <c r="C3119"/>
  <c r="D3118"/>
  <c r="C3118"/>
  <c r="D3117"/>
  <c r="C3117"/>
  <c r="D3116"/>
  <c r="C3116"/>
  <c r="D3115"/>
  <c r="C3115"/>
  <c r="D3114"/>
  <c r="C3114"/>
  <c r="D3113"/>
  <c r="C3113"/>
  <c r="D3112"/>
  <c r="C3112"/>
  <c r="D3111"/>
  <c r="C3111"/>
  <c r="D3110"/>
  <c r="C3110"/>
  <c r="D3109"/>
  <c r="C3109"/>
  <c r="D3108"/>
  <c r="C3108"/>
  <c r="D3107"/>
  <c r="C3107"/>
  <c r="D3106"/>
  <c r="C3106"/>
  <c r="D3105"/>
  <c r="C3105"/>
  <c r="D3104"/>
  <c r="C3104"/>
  <c r="D3103"/>
  <c r="C3103"/>
  <c r="D3102"/>
  <c r="C3102"/>
  <c r="D3101"/>
  <c r="C3101"/>
  <c r="D3100"/>
  <c r="C3100"/>
  <c r="D3099"/>
  <c r="C3099"/>
  <c r="D3098"/>
  <c r="C3098"/>
  <c r="D3097"/>
  <c r="C3097"/>
  <c r="D3096"/>
  <c r="C3096"/>
  <c r="D3095"/>
  <c r="C3095"/>
  <c r="D3094"/>
  <c r="C3094"/>
  <c r="D3093"/>
  <c r="C3093"/>
  <c r="D3092"/>
  <c r="C3092"/>
  <c r="D3091"/>
  <c r="C3091"/>
  <c r="D3090"/>
  <c r="C3090"/>
  <c r="D3089"/>
  <c r="C3089"/>
  <c r="D3088"/>
  <c r="C3088"/>
  <c r="D3087"/>
  <c r="C3087"/>
  <c r="D3086"/>
  <c r="C3086"/>
  <c r="D3085"/>
  <c r="C3085"/>
  <c r="D3084"/>
  <c r="C3084"/>
  <c r="D3083"/>
  <c r="C3083"/>
  <c r="D3082"/>
  <c r="C3082"/>
  <c r="D3081"/>
  <c r="C3081"/>
  <c r="D3080"/>
  <c r="C3080"/>
  <c r="D3079"/>
  <c r="C3079"/>
  <c r="D3078"/>
  <c r="C3078"/>
  <c r="D3077"/>
  <c r="C3077"/>
  <c r="D3076"/>
  <c r="C3076"/>
  <c r="D3075"/>
  <c r="C3075"/>
  <c r="D3074"/>
  <c r="C3074"/>
  <c r="D3073"/>
  <c r="C3073"/>
  <c r="D3072"/>
  <c r="C3072"/>
  <c r="D3071"/>
  <c r="C3071"/>
  <c r="D3070"/>
  <c r="C3070"/>
  <c r="D3069"/>
  <c r="C3069"/>
  <c r="D3068"/>
  <c r="C3068"/>
  <c r="D3067"/>
  <c r="C3067"/>
  <c r="D3066"/>
  <c r="C3066"/>
  <c r="D3065"/>
  <c r="C3065"/>
  <c r="D3064"/>
  <c r="C3064"/>
  <c r="D3063"/>
  <c r="C3063"/>
  <c r="D3062"/>
  <c r="C3062"/>
  <c r="D3061"/>
  <c r="C3061"/>
  <c r="D3060"/>
  <c r="C3060"/>
  <c r="D3059"/>
  <c r="C3059"/>
  <c r="D3058"/>
  <c r="C3058"/>
  <c r="D3057"/>
  <c r="C3057"/>
  <c r="D3056"/>
  <c r="C3056"/>
  <c r="D3055"/>
  <c r="C3055"/>
  <c r="D3054"/>
  <c r="C3054"/>
  <c r="D3053"/>
  <c r="C3053"/>
  <c r="D3052"/>
  <c r="C3052"/>
  <c r="D3051"/>
  <c r="C3051"/>
  <c r="D3050"/>
  <c r="C3050"/>
  <c r="D3049"/>
  <c r="C3049"/>
  <c r="D3048"/>
  <c r="C3048"/>
  <c r="D3047"/>
  <c r="C3047"/>
  <c r="D3046"/>
  <c r="C3046"/>
  <c r="D3045"/>
  <c r="C3045"/>
  <c r="D3044"/>
  <c r="C3044"/>
  <c r="D3043"/>
  <c r="C3043"/>
  <c r="D3042"/>
  <c r="C3042"/>
  <c r="D3041"/>
  <c r="C3041"/>
  <c r="D3040"/>
  <c r="C3040"/>
  <c r="D3039"/>
  <c r="C3039"/>
  <c r="D3038"/>
  <c r="C3038"/>
  <c r="D3037"/>
  <c r="C3037"/>
  <c r="D3036"/>
  <c r="C3036"/>
  <c r="D3035"/>
  <c r="C3035"/>
  <c r="D3034"/>
  <c r="C3034"/>
  <c r="D3033"/>
  <c r="C3033"/>
  <c r="D3032"/>
  <c r="C3032"/>
  <c r="D3031"/>
  <c r="C3031"/>
  <c r="D3030"/>
  <c r="C3030"/>
  <c r="D3029"/>
  <c r="C3029"/>
  <c r="D3028"/>
  <c r="C3028"/>
  <c r="D3027"/>
  <c r="C3027"/>
  <c r="D3026"/>
  <c r="C3026"/>
  <c r="D3025"/>
  <c r="C3025"/>
  <c r="D3024"/>
  <c r="C3024"/>
  <c r="D3023"/>
  <c r="C3023"/>
  <c r="D3022"/>
  <c r="C3022"/>
  <c r="D3021"/>
  <c r="C3021"/>
  <c r="D3020"/>
  <c r="C3020"/>
  <c r="D3019"/>
  <c r="C3019"/>
  <c r="D3018"/>
  <c r="C3018"/>
  <c r="D3017"/>
  <c r="C3017"/>
  <c r="D3016"/>
  <c r="C3016"/>
  <c r="D3015"/>
  <c r="C3015"/>
  <c r="D3014"/>
  <c r="C3014"/>
  <c r="D3013"/>
  <c r="C3013"/>
  <c r="D3012"/>
  <c r="C3012"/>
  <c r="D3011"/>
  <c r="C3011"/>
  <c r="D3010"/>
  <c r="C3010"/>
  <c r="D3009"/>
  <c r="C3009"/>
  <c r="D3008"/>
  <c r="C3008"/>
  <c r="D3007"/>
  <c r="C3007"/>
  <c r="D3006"/>
  <c r="C3006"/>
  <c r="D3005"/>
  <c r="C3005"/>
  <c r="D3004"/>
  <c r="C3004"/>
  <c r="D3003"/>
  <c r="C3003"/>
  <c r="D3002"/>
  <c r="C3002"/>
  <c r="D3001"/>
  <c r="C3001"/>
  <c r="D3000"/>
  <c r="C3000"/>
  <c r="D2999"/>
  <c r="C2999"/>
  <c r="D2998"/>
  <c r="C2998"/>
  <c r="D2997"/>
  <c r="C2997"/>
  <c r="D2996"/>
  <c r="C2996"/>
  <c r="D2995"/>
  <c r="C2995"/>
  <c r="D2994"/>
  <c r="C2994"/>
  <c r="D2993"/>
  <c r="C2993"/>
  <c r="D2992"/>
  <c r="C2992"/>
  <c r="D2991"/>
  <c r="C2991"/>
  <c r="D2990"/>
  <c r="C2990"/>
  <c r="D2989"/>
  <c r="C2989"/>
  <c r="D2988"/>
  <c r="C2988"/>
  <c r="D2987"/>
  <c r="C2987"/>
  <c r="D2986"/>
  <c r="C2986"/>
  <c r="D2985"/>
  <c r="C2985"/>
  <c r="D2984"/>
  <c r="C2984"/>
  <c r="D2983"/>
  <c r="C2983"/>
  <c r="D2982"/>
  <c r="C2982"/>
  <c r="D2981"/>
  <c r="C2981"/>
  <c r="D2980"/>
  <c r="C2980"/>
  <c r="D2979"/>
  <c r="C2979"/>
  <c r="D2978"/>
  <c r="C2978"/>
  <c r="D2977"/>
  <c r="C2977"/>
  <c r="D2976"/>
  <c r="C2976"/>
  <c r="D2975"/>
  <c r="C2975"/>
  <c r="D2974"/>
  <c r="C2974"/>
  <c r="D2973"/>
  <c r="C2973"/>
  <c r="D2972"/>
  <c r="C2972"/>
  <c r="D2971"/>
  <c r="C2971"/>
  <c r="D2970"/>
  <c r="C2970"/>
  <c r="D2969"/>
  <c r="C2969"/>
  <c r="D2968"/>
  <c r="C2968"/>
  <c r="D2967"/>
  <c r="C2967"/>
  <c r="D2966"/>
  <c r="C2966"/>
  <c r="D2965"/>
  <c r="C2965"/>
  <c r="D2964"/>
  <c r="C2964"/>
  <c r="D2963"/>
  <c r="C2963"/>
  <c r="D2962"/>
  <c r="C2962"/>
  <c r="D2961"/>
  <c r="C2961"/>
  <c r="D2960"/>
  <c r="C2960"/>
  <c r="D2959"/>
  <c r="C2959"/>
  <c r="D2958"/>
  <c r="C2958"/>
  <c r="D2957"/>
  <c r="C2957"/>
  <c r="D2956"/>
  <c r="C2956"/>
  <c r="D2955"/>
  <c r="C2955"/>
  <c r="D2954"/>
  <c r="C2954"/>
  <c r="D2953"/>
  <c r="C2953"/>
  <c r="D2952"/>
  <c r="C2952"/>
  <c r="D2951"/>
  <c r="C2951"/>
  <c r="D2950"/>
  <c r="C2950"/>
  <c r="D2949"/>
  <c r="C2949"/>
  <c r="D2948"/>
  <c r="C2948"/>
  <c r="D2947"/>
  <c r="C2947"/>
  <c r="D2946"/>
  <c r="C2946"/>
  <c r="D2945"/>
  <c r="C2945"/>
  <c r="D2944"/>
  <c r="C2944"/>
  <c r="D2943"/>
  <c r="C2943"/>
  <c r="D2942"/>
  <c r="C2942"/>
  <c r="D2941"/>
  <c r="C2941"/>
  <c r="D2940"/>
  <c r="C2940"/>
  <c r="D2939"/>
  <c r="C2939"/>
  <c r="D2938"/>
  <c r="C2938"/>
  <c r="D2937"/>
  <c r="C2937"/>
  <c r="D2936"/>
  <c r="C2936"/>
  <c r="D2935"/>
  <c r="C2935"/>
  <c r="D2934"/>
  <c r="C2934"/>
  <c r="D2933"/>
  <c r="C2933"/>
  <c r="D2932"/>
  <c r="C2932"/>
  <c r="D2931"/>
  <c r="C2931"/>
  <c r="D2930"/>
  <c r="C2930"/>
  <c r="D2929"/>
  <c r="C2929"/>
  <c r="D2928"/>
  <c r="C2928"/>
  <c r="D2927"/>
  <c r="C2927"/>
  <c r="D2926"/>
  <c r="C2926"/>
  <c r="D2925"/>
  <c r="C2925"/>
  <c r="D2924"/>
  <c r="C2924"/>
  <c r="D2923"/>
  <c r="C2923"/>
  <c r="D2922"/>
  <c r="C2922"/>
  <c r="D2921"/>
  <c r="C2921"/>
  <c r="D2920"/>
  <c r="C2920"/>
  <c r="D2919"/>
  <c r="C2919"/>
  <c r="D2918"/>
  <c r="C2918"/>
  <c r="D2917"/>
  <c r="C2917"/>
  <c r="D2916"/>
  <c r="C2916"/>
  <c r="D2915"/>
  <c r="C2915"/>
  <c r="D2914"/>
  <c r="C2914"/>
  <c r="D2913"/>
  <c r="C2913"/>
  <c r="D2912"/>
  <c r="C2912"/>
  <c r="D2911"/>
  <c r="C2911"/>
  <c r="D2910"/>
  <c r="C2910"/>
  <c r="D2909"/>
  <c r="C2909"/>
  <c r="D2908"/>
  <c r="C2908"/>
  <c r="D2907"/>
  <c r="C2907"/>
  <c r="D2906"/>
  <c r="C2906"/>
  <c r="D2905"/>
  <c r="C2905"/>
  <c r="D2904"/>
  <c r="C2904"/>
  <c r="D2903"/>
  <c r="C2903"/>
  <c r="D2902"/>
  <c r="C2902"/>
  <c r="D2901"/>
  <c r="C2901"/>
  <c r="D2900"/>
  <c r="C2900"/>
  <c r="D2899"/>
  <c r="C2899"/>
  <c r="D2898"/>
  <c r="C2898"/>
  <c r="D2897"/>
  <c r="C2897"/>
  <c r="D2896"/>
  <c r="C2896"/>
  <c r="D2895"/>
  <c r="C2895"/>
  <c r="D2894"/>
  <c r="C2894"/>
  <c r="D2893"/>
  <c r="C2893"/>
  <c r="D2892"/>
  <c r="C2892"/>
  <c r="D2891"/>
  <c r="C2891"/>
  <c r="D2890"/>
  <c r="C2890"/>
  <c r="D2889"/>
  <c r="C2889"/>
  <c r="D2888"/>
  <c r="C2888"/>
  <c r="D2887"/>
  <c r="C2887"/>
  <c r="D2886"/>
  <c r="C2886"/>
  <c r="D2885"/>
  <c r="C2885"/>
  <c r="D2884"/>
  <c r="C2884"/>
  <c r="D2883"/>
  <c r="C2883"/>
  <c r="D2882"/>
  <c r="C2882"/>
  <c r="D2881"/>
  <c r="C2881"/>
  <c r="D2880"/>
  <c r="C2880"/>
  <c r="D2879"/>
  <c r="C2879"/>
  <c r="D2878"/>
  <c r="C2878"/>
  <c r="D2877"/>
  <c r="C2877"/>
  <c r="D2876"/>
  <c r="C2876"/>
  <c r="D2875"/>
  <c r="C2875"/>
  <c r="D2874"/>
  <c r="C2874"/>
  <c r="D2873"/>
  <c r="C2873"/>
  <c r="D2872"/>
  <c r="C2872"/>
  <c r="D2871"/>
  <c r="C2871"/>
  <c r="D2870"/>
  <c r="C2870"/>
  <c r="D2869"/>
  <c r="C2869"/>
  <c r="D2868"/>
  <c r="C2868"/>
  <c r="D2867"/>
  <c r="C2867"/>
  <c r="D2866"/>
  <c r="C2866"/>
  <c r="D2865"/>
  <c r="C2865"/>
  <c r="D2864"/>
  <c r="C2864"/>
  <c r="D2863"/>
  <c r="C2863"/>
  <c r="D2862"/>
  <c r="C2862"/>
  <c r="D2861"/>
  <c r="C2861"/>
  <c r="D2860"/>
  <c r="C2860"/>
  <c r="D2859"/>
  <c r="C2859"/>
  <c r="D2858"/>
  <c r="C2858"/>
  <c r="D2857"/>
  <c r="C2857"/>
  <c r="D2856"/>
  <c r="C2856"/>
  <c r="D2855"/>
  <c r="C2855"/>
  <c r="D2854"/>
  <c r="C2854"/>
  <c r="D2853"/>
  <c r="C2853"/>
  <c r="D2852"/>
  <c r="C2852"/>
  <c r="D2851"/>
  <c r="C2851"/>
  <c r="D2850"/>
  <c r="C2850"/>
  <c r="D2849"/>
  <c r="C2849"/>
  <c r="D2848"/>
  <c r="C2848"/>
  <c r="D2847"/>
  <c r="C2847"/>
  <c r="D2846"/>
  <c r="C2846"/>
  <c r="D2845"/>
  <c r="C2845"/>
  <c r="D2844"/>
  <c r="C2844"/>
  <c r="D2843"/>
  <c r="C2843"/>
  <c r="D2842"/>
  <c r="C2842"/>
  <c r="D2841"/>
  <c r="C2841"/>
  <c r="D2840"/>
  <c r="C2840"/>
  <c r="D2839"/>
  <c r="C2839"/>
  <c r="D2838"/>
  <c r="C2838"/>
  <c r="D2837"/>
  <c r="C2837"/>
  <c r="D2836"/>
  <c r="C2836"/>
  <c r="D2835"/>
  <c r="C2835"/>
  <c r="D2834"/>
  <c r="C2834"/>
  <c r="D2833"/>
  <c r="C2833"/>
  <c r="D2832"/>
  <c r="C2832"/>
  <c r="D2831"/>
  <c r="C2831"/>
  <c r="D2830"/>
  <c r="C2830"/>
  <c r="D2829"/>
  <c r="C2829"/>
  <c r="D2828"/>
  <c r="C2828"/>
  <c r="D2827"/>
  <c r="C2827"/>
  <c r="D2826"/>
  <c r="C2826"/>
  <c r="D2825"/>
  <c r="C2825"/>
  <c r="D2824"/>
  <c r="C2824"/>
  <c r="D2823"/>
  <c r="C2823"/>
  <c r="D2822"/>
  <c r="C2822"/>
  <c r="D2821"/>
  <c r="C2821"/>
  <c r="D2820"/>
  <c r="C2820"/>
  <c r="D2819"/>
  <c r="C2819"/>
  <c r="D2818"/>
  <c r="C2818"/>
  <c r="D2817"/>
  <c r="C2817"/>
  <c r="D2816"/>
  <c r="C2816"/>
  <c r="D2815"/>
  <c r="C2815"/>
  <c r="D2814"/>
  <c r="C2814"/>
  <c r="D2813"/>
  <c r="C2813"/>
  <c r="D2812"/>
  <c r="C2812"/>
  <c r="D2811"/>
  <c r="C2811"/>
  <c r="D2810"/>
  <c r="C2810"/>
  <c r="D2809"/>
  <c r="C2809"/>
  <c r="D2808"/>
  <c r="C2808"/>
  <c r="D2807"/>
  <c r="C2807"/>
  <c r="D2806"/>
  <c r="C2806"/>
  <c r="D2805"/>
  <c r="C2805"/>
  <c r="D2804"/>
  <c r="C2804"/>
  <c r="D2803"/>
  <c r="C2803"/>
  <c r="D2802"/>
  <c r="C2802"/>
  <c r="D2801"/>
  <c r="C2801"/>
  <c r="D2800"/>
  <c r="C2800"/>
  <c r="D2799"/>
  <c r="C2799"/>
  <c r="D2798"/>
  <c r="C2798"/>
  <c r="D2797"/>
  <c r="C2797"/>
  <c r="D2796"/>
  <c r="C2796"/>
  <c r="D2795"/>
  <c r="C2795"/>
  <c r="D2794"/>
  <c r="C2794"/>
  <c r="D2793"/>
  <c r="C2793"/>
  <c r="D2792"/>
  <c r="C2792"/>
  <c r="D2791"/>
  <c r="C2791"/>
  <c r="D2790"/>
  <c r="C2790"/>
  <c r="D2789"/>
  <c r="C2789"/>
  <c r="D2788"/>
  <c r="C2788"/>
  <c r="D2787"/>
  <c r="C2787"/>
  <c r="D2786"/>
  <c r="C2786"/>
  <c r="D2785"/>
  <c r="C2785"/>
  <c r="D2784"/>
  <c r="C2784"/>
  <c r="D2783"/>
  <c r="C2783"/>
  <c r="D2782"/>
  <c r="C2782"/>
  <c r="D2781"/>
  <c r="C2781"/>
  <c r="D2780"/>
  <c r="C2780"/>
  <c r="D2779"/>
  <c r="C2779"/>
  <c r="D2778"/>
  <c r="C2778"/>
  <c r="D2777"/>
  <c r="C2777"/>
  <c r="D2776"/>
  <c r="C2776"/>
  <c r="D2775"/>
  <c r="C2775"/>
  <c r="D2774"/>
  <c r="C2774"/>
  <c r="D2773"/>
  <c r="C2773"/>
  <c r="D2772"/>
  <c r="C2772"/>
  <c r="D2771"/>
  <c r="C2771"/>
  <c r="D2770"/>
  <c r="C2770"/>
  <c r="D2769"/>
  <c r="C2769"/>
  <c r="D2768"/>
  <c r="C2768"/>
  <c r="D2767"/>
  <c r="C2767"/>
  <c r="D2766"/>
  <c r="C2766"/>
  <c r="D2765"/>
  <c r="C2765"/>
  <c r="D2764"/>
  <c r="C2764"/>
  <c r="D2763"/>
  <c r="C2763"/>
  <c r="D2762"/>
  <c r="C2762"/>
  <c r="D2761"/>
  <c r="C2761"/>
  <c r="D2760"/>
  <c r="C2760"/>
  <c r="D2759"/>
  <c r="C2759"/>
  <c r="D2758"/>
  <c r="C2758"/>
  <c r="D2757"/>
  <c r="C2757"/>
  <c r="D2756"/>
  <c r="C2756"/>
  <c r="D2755"/>
  <c r="C2755"/>
  <c r="D2754"/>
  <c r="C2754"/>
  <c r="D2753"/>
  <c r="C2753"/>
  <c r="D2752"/>
  <c r="C2752"/>
  <c r="D2751"/>
  <c r="C2751"/>
  <c r="D2750"/>
  <c r="C2750"/>
  <c r="D2749"/>
  <c r="C2749"/>
  <c r="D2748"/>
  <c r="C2748"/>
  <c r="D2747"/>
  <c r="C2747"/>
  <c r="D2746"/>
  <c r="C2746"/>
  <c r="D2745"/>
  <c r="C2745"/>
  <c r="D2744"/>
  <c r="C2744"/>
  <c r="D2743"/>
  <c r="C2743"/>
  <c r="D2742"/>
  <c r="C2742"/>
  <c r="D2741"/>
  <c r="C2741"/>
  <c r="D2740"/>
  <c r="C2740"/>
  <c r="D2739"/>
  <c r="C2739"/>
  <c r="D2738"/>
  <c r="C2738"/>
  <c r="D2737"/>
  <c r="C2737"/>
  <c r="D2736"/>
  <c r="C2736"/>
  <c r="D2735"/>
  <c r="C2735"/>
  <c r="D2734"/>
  <c r="C2734"/>
  <c r="D2733"/>
  <c r="C2733"/>
  <c r="D2732"/>
  <c r="C2732"/>
  <c r="D2731"/>
  <c r="C2731"/>
  <c r="D2730"/>
  <c r="C2730"/>
  <c r="D2729"/>
  <c r="C2729"/>
  <c r="D2728"/>
  <c r="C2728"/>
  <c r="D2727"/>
  <c r="C2727"/>
  <c r="D2726"/>
  <c r="C2726"/>
  <c r="D2725"/>
  <c r="C2725"/>
  <c r="D2724"/>
  <c r="C2724"/>
  <c r="D2723"/>
  <c r="C2723"/>
  <c r="D2722"/>
  <c r="C2722"/>
  <c r="D2721"/>
  <c r="C2721"/>
  <c r="D2720"/>
  <c r="C2720"/>
  <c r="D2719"/>
  <c r="C2719"/>
  <c r="D2718"/>
  <c r="C2718"/>
  <c r="D2717"/>
  <c r="C2717"/>
  <c r="D2716"/>
  <c r="C2716"/>
  <c r="D2715"/>
  <c r="C2715"/>
  <c r="D2714"/>
  <c r="C2714"/>
  <c r="D2713"/>
  <c r="C2713"/>
  <c r="D2712"/>
  <c r="C2712"/>
  <c r="D2711"/>
  <c r="C2711"/>
  <c r="D2710"/>
  <c r="C2710"/>
  <c r="D2709"/>
  <c r="C2709"/>
  <c r="D2708"/>
  <c r="C2708"/>
  <c r="D2707"/>
  <c r="C2707"/>
  <c r="D2706"/>
  <c r="C2706"/>
  <c r="D2705"/>
  <c r="C2705"/>
  <c r="D2704"/>
  <c r="C2704"/>
  <c r="D2703"/>
  <c r="C2703"/>
  <c r="D2702"/>
  <c r="C2702"/>
  <c r="D2701"/>
  <c r="C2701"/>
  <c r="D2700"/>
  <c r="C2700"/>
  <c r="D2699"/>
  <c r="C2699"/>
  <c r="D2698"/>
  <c r="C2698"/>
  <c r="D2697"/>
  <c r="C2697"/>
  <c r="D2696"/>
  <c r="C2696"/>
  <c r="D2695"/>
  <c r="C2695"/>
  <c r="D2694"/>
  <c r="C2694"/>
  <c r="D2693"/>
  <c r="C2693"/>
  <c r="D2692"/>
  <c r="C2692"/>
  <c r="D2691"/>
  <c r="C2691"/>
  <c r="D2690"/>
  <c r="C2690"/>
  <c r="D2689"/>
  <c r="C2689"/>
  <c r="D2688"/>
  <c r="C2688"/>
  <c r="D2687"/>
  <c r="C2687"/>
  <c r="D2686"/>
  <c r="C2686"/>
  <c r="D2685"/>
  <c r="C2685"/>
  <c r="D2684"/>
  <c r="C2684"/>
  <c r="D2683"/>
  <c r="C2683"/>
  <c r="D2682"/>
  <c r="C2682"/>
  <c r="D2681"/>
  <c r="C2681"/>
  <c r="D2680"/>
  <c r="C2680"/>
  <c r="D2679"/>
  <c r="C2679"/>
  <c r="D2678"/>
  <c r="C2678"/>
  <c r="D2677"/>
  <c r="C2677"/>
  <c r="D2676"/>
  <c r="C2676"/>
  <c r="D2675"/>
  <c r="C2675"/>
  <c r="D2674"/>
  <c r="C2674"/>
  <c r="D2673"/>
  <c r="C2673"/>
  <c r="D2672"/>
  <c r="C2672"/>
  <c r="D2671"/>
  <c r="C2671"/>
  <c r="D2670"/>
  <c r="C2670"/>
  <c r="D2669"/>
  <c r="C2669"/>
  <c r="D2668"/>
  <c r="C2668"/>
  <c r="D2667"/>
  <c r="C2667"/>
  <c r="D2666"/>
  <c r="C2666"/>
  <c r="D2665"/>
  <c r="C2665"/>
  <c r="D2664"/>
  <c r="C2664"/>
  <c r="D2663"/>
  <c r="C2663"/>
  <c r="D2662"/>
  <c r="C2662"/>
  <c r="D2661"/>
  <c r="C2661"/>
  <c r="D2660"/>
  <c r="C2660"/>
  <c r="D2659"/>
  <c r="C2659"/>
  <c r="D2658"/>
  <c r="C2658"/>
  <c r="D2657"/>
  <c r="C2657"/>
  <c r="D2656"/>
  <c r="C2656"/>
  <c r="D2655"/>
  <c r="C2655"/>
  <c r="D2654"/>
  <c r="C2654"/>
  <c r="D2653"/>
  <c r="C2653"/>
  <c r="D2652"/>
  <c r="C2652"/>
  <c r="D2651"/>
  <c r="C2651"/>
  <c r="D2650"/>
  <c r="C2650"/>
  <c r="D2649"/>
  <c r="C2649"/>
  <c r="D2648"/>
  <c r="C2648"/>
  <c r="D2647"/>
  <c r="C2647"/>
  <c r="D2646"/>
  <c r="C2646"/>
  <c r="D2645"/>
  <c r="C2645"/>
  <c r="D2644"/>
  <c r="C2644"/>
  <c r="D2643"/>
  <c r="C2643"/>
  <c r="D2642"/>
  <c r="C2642"/>
  <c r="D2641"/>
  <c r="C2641"/>
  <c r="D2640"/>
  <c r="C2640"/>
  <c r="D2639"/>
  <c r="C2639"/>
  <c r="D2638"/>
  <c r="C2638"/>
  <c r="D2637"/>
  <c r="C2637"/>
  <c r="D2636"/>
  <c r="C2636"/>
  <c r="D2635"/>
  <c r="C2635"/>
  <c r="D2634"/>
  <c r="C2634"/>
  <c r="D2633"/>
  <c r="C2633"/>
  <c r="D2632"/>
  <c r="C2632"/>
  <c r="D2631"/>
  <c r="C2631"/>
  <c r="D2630"/>
  <c r="C2630"/>
  <c r="D2629"/>
  <c r="C2629"/>
  <c r="D2628"/>
  <c r="C2628"/>
  <c r="D2627"/>
  <c r="C2627"/>
  <c r="D2626"/>
  <c r="C2626"/>
  <c r="D2625"/>
  <c r="C2625"/>
  <c r="D2624"/>
  <c r="C2624"/>
  <c r="D2623"/>
  <c r="C2623"/>
  <c r="D2622"/>
  <c r="C2622"/>
  <c r="D2621"/>
  <c r="C2621"/>
  <c r="D2620"/>
  <c r="C2620"/>
  <c r="D2619"/>
  <c r="C2619"/>
  <c r="D2618"/>
  <c r="C2618"/>
  <c r="D2617"/>
  <c r="C2617"/>
  <c r="D2616"/>
  <c r="C2616"/>
  <c r="D2615"/>
  <c r="C2615"/>
  <c r="D2614"/>
  <c r="C2614"/>
  <c r="D2613"/>
  <c r="C2613"/>
  <c r="D2612"/>
  <c r="C2612"/>
  <c r="D2611"/>
  <c r="C2611"/>
  <c r="D2610"/>
  <c r="C2610"/>
  <c r="D2609"/>
  <c r="C2609"/>
  <c r="D2608"/>
  <c r="C2608"/>
  <c r="D2607"/>
  <c r="C2607"/>
  <c r="D2606"/>
  <c r="C2606"/>
  <c r="D2605"/>
  <c r="C2605"/>
  <c r="D2604"/>
  <c r="C2604"/>
  <c r="D2603"/>
  <c r="C2603"/>
  <c r="D2602"/>
  <c r="C2602"/>
  <c r="D2601"/>
  <c r="C2601"/>
  <c r="D2600"/>
  <c r="C2600"/>
  <c r="D2599"/>
  <c r="C2599"/>
  <c r="D2598"/>
  <c r="C2598"/>
  <c r="D2597"/>
  <c r="C2597"/>
  <c r="D2596"/>
  <c r="C2596"/>
  <c r="D2595"/>
  <c r="C2595"/>
  <c r="D2594"/>
  <c r="C2594"/>
  <c r="D2593"/>
  <c r="C2593"/>
  <c r="D2592"/>
  <c r="C2592"/>
  <c r="D2591"/>
  <c r="C2591"/>
  <c r="D2590"/>
  <c r="C2590"/>
  <c r="D2589"/>
  <c r="C2589"/>
  <c r="D2588"/>
  <c r="C2588"/>
  <c r="D2587"/>
  <c r="C2587"/>
  <c r="D2586"/>
  <c r="C2586"/>
  <c r="D2585"/>
  <c r="C2585"/>
  <c r="D2584"/>
  <c r="C2584"/>
  <c r="D2583"/>
  <c r="C2583"/>
  <c r="D2582"/>
  <c r="C2582"/>
  <c r="D2581"/>
  <c r="C2581"/>
  <c r="D2580"/>
  <c r="C2580"/>
  <c r="D2579"/>
  <c r="C2579"/>
  <c r="D2578"/>
  <c r="C2578"/>
  <c r="D2577"/>
  <c r="C2577"/>
  <c r="D2576"/>
  <c r="C2576"/>
  <c r="D2575"/>
  <c r="C2575"/>
  <c r="D2574"/>
  <c r="C2574"/>
  <c r="D2573"/>
  <c r="C2573"/>
  <c r="D2572"/>
  <c r="C2572"/>
  <c r="D2571"/>
  <c r="C2571"/>
  <c r="D2570"/>
  <c r="C2570"/>
  <c r="D2569"/>
  <c r="C2569"/>
  <c r="D2568"/>
  <c r="C2568"/>
  <c r="D2567"/>
  <c r="C2567"/>
  <c r="D2566"/>
  <c r="C2566"/>
  <c r="D2565"/>
  <c r="C2565"/>
  <c r="D2564"/>
  <c r="C2564"/>
  <c r="D2563"/>
  <c r="C2563"/>
  <c r="D2562"/>
  <c r="C2562"/>
  <c r="D2561"/>
  <c r="C2561"/>
  <c r="D2560"/>
  <c r="C2560"/>
  <c r="D2559"/>
  <c r="C2559"/>
  <c r="D2558"/>
  <c r="C2558"/>
  <c r="D2557"/>
  <c r="C2557"/>
  <c r="D2556"/>
  <c r="C2556"/>
  <c r="D2555"/>
  <c r="C2555"/>
  <c r="D2554"/>
  <c r="C2554"/>
  <c r="D2553"/>
  <c r="C2553"/>
  <c r="D2552"/>
  <c r="C2552"/>
  <c r="D2551"/>
  <c r="C2551"/>
  <c r="D2550"/>
  <c r="C2550"/>
  <c r="D2549"/>
  <c r="C2549"/>
  <c r="D2548"/>
  <c r="C2548"/>
  <c r="D2547"/>
  <c r="C2547"/>
  <c r="D2546"/>
  <c r="C2546"/>
  <c r="D2545"/>
  <c r="C2545"/>
  <c r="D2544"/>
  <c r="C2544"/>
  <c r="D2543"/>
  <c r="C2543"/>
  <c r="D2542"/>
  <c r="C2542"/>
  <c r="D2541"/>
  <c r="C2541"/>
  <c r="D2540"/>
  <c r="C2540"/>
  <c r="D2539"/>
  <c r="C2539"/>
  <c r="D2538"/>
  <c r="C2538"/>
  <c r="D2537"/>
  <c r="C2537"/>
  <c r="D2536"/>
  <c r="C2536"/>
  <c r="D2535"/>
  <c r="C2535"/>
  <c r="D2534"/>
  <c r="C2534"/>
  <c r="D2533"/>
  <c r="C2533"/>
  <c r="D2532"/>
  <c r="C2532"/>
  <c r="D2531"/>
  <c r="C2531"/>
  <c r="D2530"/>
  <c r="C2530"/>
  <c r="D2529"/>
  <c r="C2529"/>
  <c r="D2528"/>
  <c r="C2528"/>
  <c r="D2527"/>
  <c r="C2527"/>
  <c r="D2526"/>
  <c r="C2526"/>
  <c r="D2525"/>
  <c r="C2525"/>
  <c r="D2524"/>
  <c r="C2524"/>
  <c r="D2523"/>
  <c r="C2523"/>
  <c r="D2522"/>
  <c r="C2522"/>
  <c r="D2521"/>
  <c r="C2521"/>
  <c r="D2520"/>
  <c r="C2520"/>
  <c r="D2519"/>
  <c r="C2519"/>
  <c r="D2518"/>
  <c r="C2518"/>
  <c r="D2517"/>
  <c r="C2517"/>
  <c r="D2516"/>
  <c r="C2516"/>
  <c r="D2515"/>
  <c r="C2515"/>
  <c r="D2514"/>
  <c r="C2514"/>
  <c r="D2513"/>
  <c r="C2513"/>
  <c r="D2512"/>
  <c r="C2512"/>
  <c r="D2511"/>
  <c r="C2511"/>
  <c r="D2510"/>
  <c r="C2510"/>
  <c r="D2509"/>
  <c r="C2509"/>
  <c r="D2508"/>
  <c r="C2508"/>
  <c r="D2507"/>
  <c r="C2507"/>
  <c r="D2506"/>
  <c r="C2506"/>
  <c r="D2505"/>
  <c r="C2505"/>
  <c r="D2504"/>
  <c r="C2504"/>
  <c r="D2503"/>
  <c r="C2503"/>
  <c r="D2502"/>
  <c r="C2502"/>
  <c r="D2501"/>
  <c r="C2501"/>
  <c r="D2500"/>
  <c r="C2500"/>
  <c r="D2499"/>
  <c r="C2499"/>
  <c r="D2498"/>
  <c r="C2498"/>
  <c r="D2497"/>
  <c r="C2497"/>
  <c r="D2496"/>
  <c r="C2496"/>
  <c r="D2495"/>
  <c r="C2495"/>
  <c r="D2494"/>
  <c r="C2494"/>
  <c r="D2493"/>
  <c r="C2493"/>
  <c r="D2492"/>
  <c r="C2492"/>
  <c r="D2491"/>
  <c r="C2491"/>
  <c r="D2490"/>
  <c r="C2490"/>
  <c r="D2489"/>
  <c r="C2489"/>
  <c r="D2488"/>
  <c r="C2488"/>
  <c r="D2487"/>
  <c r="C2487"/>
  <c r="D2486"/>
  <c r="C2486"/>
  <c r="D2485"/>
  <c r="C2485"/>
  <c r="D2484"/>
  <c r="C2484"/>
  <c r="D2483"/>
  <c r="C2483"/>
  <c r="D2482"/>
  <c r="C2482"/>
  <c r="D2481"/>
  <c r="C2481"/>
  <c r="D2480"/>
  <c r="C2480"/>
  <c r="D2479"/>
  <c r="C2479"/>
  <c r="D2478"/>
  <c r="C2478"/>
  <c r="D2477"/>
  <c r="C2477"/>
  <c r="D2476"/>
  <c r="C2476"/>
  <c r="D2475"/>
  <c r="C2475"/>
  <c r="D2474"/>
  <c r="C2474"/>
  <c r="D2473"/>
  <c r="C2473"/>
  <c r="D2472"/>
  <c r="C2472"/>
  <c r="D2471"/>
  <c r="C2471"/>
  <c r="D2470"/>
  <c r="C2470"/>
  <c r="D2469"/>
  <c r="C2469"/>
  <c r="D2468"/>
  <c r="C2468"/>
  <c r="D2467"/>
  <c r="C2467"/>
  <c r="D2466"/>
  <c r="C2466"/>
  <c r="D2465"/>
  <c r="C2465"/>
  <c r="D2464"/>
  <c r="C2464"/>
  <c r="D2463"/>
  <c r="C2463"/>
  <c r="D2462"/>
  <c r="C2462"/>
  <c r="D2461"/>
  <c r="C2461"/>
  <c r="D2460"/>
  <c r="C2460"/>
  <c r="D2459"/>
  <c r="C2459"/>
  <c r="D2458"/>
  <c r="C2458"/>
  <c r="D2457"/>
  <c r="C2457"/>
  <c r="D2456"/>
  <c r="C2456"/>
  <c r="D2455"/>
  <c r="C2455"/>
  <c r="D2454"/>
  <c r="C2454"/>
  <c r="D2453"/>
  <c r="C2453"/>
  <c r="D2452"/>
  <c r="C2452"/>
  <c r="D2451"/>
  <c r="C2451"/>
  <c r="D2450"/>
  <c r="C2450"/>
  <c r="D2449"/>
  <c r="C2449"/>
  <c r="D2448"/>
  <c r="C2448"/>
  <c r="D2447"/>
  <c r="C2447"/>
  <c r="D2446"/>
  <c r="C2446"/>
  <c r="D2445"/>
  <c r="C2445"/>
  <c r="D2444"/>
  <c r="C2444"/>
  <c r="D2443"/>
  <c r="C2443"/>
  <c r="D2442"/>
  <c r="C2442"/>
  <c r="D2441"/>
  <c r="C2441"/>
  <c r="D2440"/>
  <c r="C2440"/>
  <c r="D2439"/>
  <c r="C2439"/>
  <c r="D2438"/>
  <c r="C2438"/>
  <c r="D2437"/>
  <c r="C2437"/>
  <c r="D2436"/>
  <c r="C2436"/>
  <c r="D2435"/>
  <c r="C2435"/>
  <c r="D2434"/>
  <c r="C2434"/>
  <c r="D2433"/>
  <c r="C2433"/>
  <c r="D2432"/>
  <c r="C2432"/>
  <c r="D2431"/>
  <c r="C2431"/>
  <c r="D2430"/>
  <c r="C2430"/>
  <c r="D2429"/>
  <c r="C2429"/>
  <c r="D2428"/>
  <c r="C2428"/>
  <c r="D2427"/>
  <c r="C2427"/>
  <c r="D2426"/>
  <c r="C2426"/>
  <c r="D2425"/>
  <c r="C2425"/>
  <c r="D2424"/>
  <c r="C2424"/>
  <c r="D2423"/>
  <c r="C2423"/>
  <c r="D2422"/>
  <c r="C2422"/>
  <c r="D2421"/>
  <c r="C2421"/>
  <c r="D2420"/>
  <c r="C2420"/>
  <c r="D2419"/>
  <c r="C2419"/>
  <c r="D2418"/>
  <c r="C2418"/>
  <c r="D2417"/>
  <c r="C2417"/>
  <c r="D2416"/>
  <c r="C2416"/>
  <c r="D2415"/>
  <c r="C2415"/>
  <c r="D2414"/>
  <c r="C2414"/>
  <c r="D2413"/>
  <c r="C2413"/>
  <c r="D2412"/>
  <c r="C2412"/>
  <c r="D2411"/>
  <c r="C2411"/>
  <c r="D2410"/>
  <c r="C2410"/>
  <c r="D2409"/>
  <c r="C2409"/>
  <c r="D2408"/>
  <c r="C2408"/>
  <c r="D2407"/>
  <c r="C2407"/>
  <c r="D2406"/>
  <c r="C2406"/>
  <c r="D2405"/>
  <c r="C2405"/>
  <c r="D2404"/>
  <c r="C2404"/>
  <c r="D2403"/>
  <c r="C2403"/>
  <c r="D2402"/>
  <c r="C2402"/>
  <c r="D2401"/>
  <c r="C2401"/>
  <c r="D2400"/>
  <c r="C2400"/>
  <c r="D2399"/>
  <c r="C2399"/>
  <c r="D2398"/>
  <c r="C2398"/>
  <c r="D2397"/>
  <c r="C2397"/>
  <c r="D2396"/>
  <c r="C2396"/>
  <c r="D2395"/>
  <c r="C2395"/>
  <c r="D2394"/>
  <c r="C2394"/>
  <c r="D2393"/>
  <c r="C2393"/>
  <c r="D2392"/>
  <c r="C2392"/>
  <c r="D2391"/>
  <c r="C2391"/>
  <c r="D2390"/>
  <c r="C2390"/>
  <c r="D2389"/>
  <c r="C2389"/>
  <c r="D2388"/>
  <c r="C2388"/>
  <c r="D2387"/>
  <c r="C2387"/>
  <c r="D2386"/>
  <c r="C2386"/>
  <c r="D2385"/>
  <c r="C2385"/>
  <c r="D2384"/>
  <c r="C2384"/>
  <c r="D2383"/>
  <c r="C2383"/>
  <c r="D2382"/>
  <c r="C2382"/>
  <c r="D2381"/>
  <c r="C2381"/>
  <c r="D2380"/>
  <c r="C2380"/>
  <c r="D2379"/>
  <c r="C2379"/>
  <c r="D2378"/>
  <c r="C2378"/>
  <c r="D2377"/>
  <c r="C2377"/>
  <c r="D2376"/>
  <c r="C2376"/>
  <c r="D2375"/>
  <c r="C2375"/>
  <c r="D2374"/>
  <c r="C2374"/>
  <c r="D2373"/>
  <c r="C2373"/>
  <c r="D2372"/>
  <c r="C2372"/>
  <c r="D2371"/>
  <c r="C2371"/>
  <c r="D2370"/>
  <c r="C2370"/>
  <c r="D2369"/>
  <c r="C2369"/>
  <c r="D2368"/>
  <c r="C2368"/>
  <c r="D2367"/>
  <c r="C2367"/>
  <c r="D2366"/>
  <c r="C2366"/>
  <c r="D2365"/>
  <c r="C2365"/>
  <c r="D2364"/>
  <c r="C2364"/>
  <c r="D2363"/>
  <c r="C2363"/>
  <c r="D2362"/>
  <c r="C2362"/>
  <c r="D2361"/>
  <c r="C2361"/>
  <c r="D2360"/>
  <c r="C2360"/>
  <c r="D2359"/>
  <c r="C2359"/>
  <c r="D2358"/>
  <c r="C2358"/>
  <c r="D2357"/>
  <c r="C2357"/>
  <c r="D2356"/>
  <c r="C2356"/>
  <c r="D2355"/>
  <c r="C2355"/>
  <c r="D2354"/>
  <c r="C2354"/>
  <c r="D2353"/>
  <c r="C2353"/>
  <c r="D2352"/>
  <c r="C2352"/>
  <c r="D2351"/>
  <c r="C2351"/>
  <c r="D2350"/>
  <c r="C2350"/>
  <c r="D2349"/>
  <c r="C2349"/>
  <c r="D2348"/>
  <c r="C2348"/>
  <c r="D2347"/>
  <c r="C2347"/>
  <c r="D2346"/>
  <c r="C2346"/>
  <c r="D2345"/>
  <c r="C2345"/>
  <c r="D2344"/>
  <c r="C2344"/>
  <c r="D2343"/>
  <c r="C2343"/>
  <c r="D2342"/>
  <c r="C2342"/>
  <c r="D2341"/>
  <c r="C2341"/>
  <c r="D2340"/>
  <c r="C2340"/>
  <c r="D2339"/>
  <c r="C2339"/>
  <c r="D2338"/>
  <c r="C2338"/>
  <c r="D2337"/>
  <c r="C2337"/>
  <c r="D2336"/>
  <c r="C2336"/>
  <c r="D2335"/>
  <c r="C2335"/>
  <c r="D2334"/>
  <c r="C2334"/>
  <c r="D2333"/>
  <c r="C2333"/>
  <c r="D2332"/>
  <c r="C2332"/>
  <c r="D2331"/>
  <c r="C2331"/>
  <c r="D2330"/>
  <c r="C2330"/>
  <c r="D2329"/>
  <c r="C2329"/>
  <c r="D2328"/>
  <c r="C2328"/>
  <c r="D2327"/>
  <c r="C2327"/>
  <c r="D2326"/>
  <c r="C2326"/>
  <c r="D2325"/>
  <c r="C2325"/>
  <c r="D2324"/>
  <c r="C2324"/>
  <c r="D2323"/>
  <c r="C2323"/>
  <c r="D2322"/>
  <c r="C2322"/>
  <c r="D2321"/>
  <c r="C2321"/>
  <c r="D2320"/>
  <c r="C2320"/>
  <c r="D2319"/>
  <c r="C2319"/>
  <c r="D2318"/>
  <c r="C2318"/>
  <c r="D2317"/>
  <c r="C2317"/>
  <c r="D2316"/>
  <c r="C2316"/>
  <c r="D2315"/>
  <c r="C2315"/>
  <c r="D2314"/>
  <c r="C2314"/>
  <c r="D2313"/>
  <c r="C2313"/>
  <c r="D2312"/>
  <c r="C2312"/>
  <c r="D2311"/>
  <c r="C2311"/>
  <c r="D2310"/>
  <c r="C2310"/>
  <c r="D2309"/>
  <c r="C2309"/>
  <c r="D2308"/>
  <c r="C2308"/>
  <c r="D2307"/>
  <c r="C2307"/>
  <c r="D2306"/>
  <c r="C2306"/>
  <c r="D2305"/>
  <c r="C2305"/>
  <c r="D2304"/>
  <c r="C2304"/>
  <c r="D2303"/>
  <c r="C2303"/>
  <c r="D2302"/>
  <c r="C2302"/>
  <c r="D2301"/>
  <c r="C2301"/>
  <c r="D2300"/>
  <c r="C2300"/>
  <c r="D2299"/>
  <c r="C2299"/>
  <c r="D2298"/>
  <c r="C2298"/>
  <c r="D2297"/>
  <c r="C2297"/>
  <c r="D2296"/>
  <c r="C2296"/>
  <c r="D2295"/>
  <c r="C2295"/>
  <c r="D2294"/>
  <c r="C2294"/>
  <c r="D2293"/>
  <c r="C2293"/>
  <c r="D2292"/>
  <c r="C2292"/>
  <c r="D2291"/>
  <c r="C2291"/>
  <c r="D2290"/>
  <c r="C2290"/>
  <c r="D2289"/>
  <c r="C2289"/>
  <c r="D2288"/>
  <c r="C2288"/>
  <c r="D2287"/>
  <c r="C2287"/>
  <c r="D2286"/>
  <c r="C2286"/>
  <c r="D2285"/>
  <c r="C2285"/>
  <c r="D2284"/>
  <c r="C2284"/>
  <c r="D2283"/>
  <c r="C2283"/>
  <c r="D2282"/>
  <c r="C2282"/>
  <c r="D2281"/>
  <c r="C2281"/>
  <c r="D2280"/>
  <c r="C2280"/>
  <c r="D2279"/>
  <c r="C2279"/>
  <c r="D2278"/>
  <c r="C2278"/>
  <c r="D2277"/>
  <c r="C2277"/>
  <c r="D2276"/>
  <c r="C2276"/>
  <c r="D2275"/>
  <c r="C2275"/>
  <c r="D2274"/>
  <c r="C2274"/>
  <c r="D2273"/>
  <c r="C2273"/>
  <c r="D2272"/>
  <c r="C2272"/>
  <c r="D2271"/>
  <c r="C2271"/>
  <c r="D2270"/>
  <c r="C2270"/>
  <c r="D2269"/>
  <c r="C2269"/>
  <c r="D2268"/>
  <c r="C2268"/>
  <c r="D2267"/>
  <c r="C2267"/>
  <c r="D2266"/>
  <c r="C2266"/>
  <c r="D2265"/>
  <c r="C2265"/>
  <c r="D2264"/>
  <c r="C2264"/>
  <c r="D2263"/>
  <c r="C2263"/>
  <c r="D2262"/>
  <c r="C2262"/>
  <c r="D2261"/>
  <c r="C2261"/>
  <c r="D2260"/>
  <c r="C2260"/>
  <c r="D2259"/>
  <c r="C2259"/>
  <c r="D2258"/>
  <c r="C2258"/>
  <c r="D2257"/>
  <c r="C2257"/>
  <c r="D2256"/>
  <c r="C2256"/>
  <c r="D2255"/>
  <c r="C2255"/>
  <c r="D2254"/>
  <c r="C2254"/>
  <c r="D2253"/>
  <c r="C2253"/>
  <c r="D2252"/>
  <c r="C2252"/>
  <c r="D2251"/>
  <c r="C2251"/>
  <c r="D2250"/>
  <c r="C2250"/>
  <c r="D2249"/>
  <c r="C2249"/>
  <c r="D2248"/>
  <c r="C2248"/>
  <c r="D2247"/>
  <c r="C2247"/>
  <c r="D2246"/>
  <c r="C2246"/>
  <c r="D2245"/>
  <c r="C2245"/>
  <c r="D2244"/>
  <c r="C2244"/>
  <c r="D2243"/>
  <c r="C2243"/>
  <c r="D2242"/>
  <c r="C2242"/>
  <c r="D2241"/>
  <c r="C2241"/>
  <c r="D2240"/>
  <c r="C2240"/>
  <c r="D2239"/>
  <c r="C2239"/>
  <c r="D2238"/>
  <c r="C2238"/>
  <c r="D2237"/>
  <c r="C2237"/>
  <c r="D2236"/>
  <c r="C2236"/>
  <c r="D2235"/>
  <c r="C2235"/>
  <c r="D2234"/>
  <c r="C2234"/>
  <c r="D2233"/>
  <c r="C2233"/>
  <c r="D2232"/>
  <c r="C2232"/>
  <c r="D2231"/>
  <c r="C2231"/>
  <c r="D2230"/>
  <c r="C2230"/>
  <c r="D2229"/>
  <c r="C2229"/>
  <c r="D2228"/>
  <c r="C2228"/>
  <c r="D2227"/>
  <c r="C2227"/>
  <c r="D2226"/>
  <c r="C2226"/>
  <c r="D2225"/>
  <c r="C2225"/>
  <c r="D2224"/>
  <c r="C2224"/>
  <c r="D2223"/>
  <c r="C2223"/>
  <c r="D2222"/>
  <c r="C2222"/>
  <c r="D2221"/>
  <c r="C2221"/>
  <c r="D2220"/>
  <c r="C2220"/>
  <c r="D2219"/>
  <c r="C2219"/>
  <c r="D2218"/>
  <c r="C2218"/>
  <c r="D2217"/>
  <c r="C2217"/>
  <c r="D2216"/>
  <c r="C2216"/>
  <c r="D2215"/>
  <c r="C2215"/>
  <c r="D2214"/>
  <c r="C2214"/>
  <c r="D2213"/>
  <c r="C2213"/>
  <c r="D2212"/>
  <c r="C2212"/>
  <c r="D2211"/>
  <c r="C2211"/>
  <c r="D2210"/>
  <c r="C2210"/>
  <c r="D2209"/>
  <c r="C2209"/>
  <c r="D2208"/>
  <c r="C2208"/>
  <c r="D2207"/>
  <c r="C2207"/>
  <c r="D2206"/>
  <c r="C2206"/>
  <c r="D2205"/>
  <c r="C2205"/>
  <c r="D2204"/>
  <c r="C2204"/>
  <c r="D2203"/>
  <c r="C2203"/>
  <c r="D2202"/>
  <c r="C2202"/>
  <c r="D2201"/>
  <c r="C2201"/>
  <c r="D2200"/>
  <c r="C2200"/>
  <c r="D2199"/>
  <c r="C2199"/>
  <c r="D2198"/>
  <c r="C2198"/>
  <c r="D2197"/>
  <c r="C2197"/>
  <c r="B2197"/>
  <c r="C2196"/>
  <c r="D2195"/>
  <c r="C2195"/>
  <c r="B2195" s="1"/>
  <c r="C2194"/>
  <c r="D2194" s="1"/>
  <c r="C2193"/>
  <c r="D2192"/>
  <c r="C2192"/>
  <c r="B2192" s="1"/>
  <c r="C2191"/>
  <c r="C2190"/>
  <c r="C2189"/>
  <c r="C2188"/>
  <c r="C2187"/>
  <c r="C2186"/>
  <c r="D2186" s="1"/>
  <c r="D2185"/>
  <c r="C2185"/>
  <c r="B2185"/>
  <c r="C2184"/>
  <c r="B2184" s="1"/>
  <c r="C2183"/>
  <c r="D2183" s="1"/>
  <c r="C2182"/>
  <c r="C2181"/>
  <c r="B2181" s="1"/>
  <c r="C2180"/>
  <c r="C2179"/>
  <c r="B2179" s="1"/>
  <c r="C2178"/>
  <c r="D2178" s="1"/>
  <c r="C2177"/>
  <c r="B2177" s="1"/>
  <c r="C2176"/>
  <c r="B2176" s="1"/>
  <c r="C2175"/>
  <c r="D2175" s="1"/>
  <c r="C2174"/>
  <c r="C2173"/>
  <c r="B2173" s="1"/>
  <c r="C2172"/>
  <c r="C2171"/>
  <c r="B2171" s="1"/>
  <c r="C2170"/>
  <c r="D2170" s="1"/>
  <c r="C2169"/>
  <c r="B2169" s="1"/>
  <c r="C2168"/>
  <c r="C2167"/>
  <c r="D2167" s="1"/>
  <c r="C2166"/>
  <c r="C2165"/>
  <c r="D2165" s="1"/>
  <c r="C2164"/>
  <c r="C2163"/>
  <c r="B2163" s="1"/>
  <c r="C2162"/>
  <c r="D2162" s="1"/>
  <c r="C2161"/>
  <c r="C2160"/>
  <c r="B2160" s="1"/>
  <c r="C2159"/>
  <c r="C2158"/>
  <c r="C2157"/>
  <c r="C2156"/>
  <c r="C2155"/>
  <c r="C2154"/>
  <c r="D2154" s="1"/>
  <c r="C2153"/>
  <c r="D2153" s="1"/>
  <c r="C2152"/>
  <c r="B2152" s="1"/>
  <c r="C2151"/>
  <c r="D2151" s="1"/>
  <c r="C2150"/>
  <c r="C2149"/>
  <c r="D2149" s="1"/>
  <c r="C2148"/>
  <c r="C2147"/>
  <c r="B2147" s="1"/>
  <c r="C2146"/>
  <c r="D2146" s="1"/>
  <c r="C2145"/>
  <c r="B2145" s="1"/>
  <c r="C2144"/>
  <c r="B2144" s="1"/>
  <c r="C2143"/>
  <c r="D2143" s="1"/>
  <c r="C2142"/>
  <c r="C2141"/>
  <c r="B2141" s="1"/>
  <c r="C2140"/>
  <c r="C2139"/>
  <c r="B2139" s="1"/>
  <c r="C2138"/>
  <c r="D2138" s="1"/>
  <c r="C2137"/>
  <c r="D2137" s="1"/>
  <c r="C2136"/>
  <c r="C2135"/>
  <c r="D2135" s="1"/>
  <c r="C2134"/>
  <c r="C2133"/>
  <c r="D2133" s="1"/>
  <c r="C2132"/>
  <c r="C2131"/>
  <c r="B2131" s="1"/>
  <c r="C2130"/>
  <c r="D2130" s="1"/>
  <c r="C2129"/>
  <c r="C2128"/>
  <c r="B2128" s="1"/>
  <c r="C2127"/>
  <c r="C2126"/>
  <c r="C2125"/>
  <c r="C2124"/>
  <c r="C2123"/>
  <c r="C2122"/>
  <c r="D2122" s="1"/>
  <c r="C2121"/>
  <c r="D2121" s="1"/>
  <c r="C2120"/>
  <c r="B2120" s="1"/>
  <c r="C2119"/>
  <c r="D2119" s="1"/>
  <c r="C2118"/>
  <c r="C2117"/>
  <c r="B2117" s="1"/>
  <c r="C2116"/>
  <c r="C2115"/>
  <c r="B2115" s="1"/>
  <c r="C2114"/>
  <c r="D2114" s="1"/>
  <c r="C2113"/>
  <c r="C2112"/>
  <c r="B2112" s="1"/>
  <c r="C2111"/>
  <c r="C2110"/>
  <c r="C2109"/>
  <c r="C2108"/>
  <c r="C2107"/>
  <c r="C2106"/>
  <c r="D2106" s="1"/>
  <c r="C2105"/>
  <c r="B2105" s="1"/>
  <c r="C2104"/>
  <c r="C2103"/>
  <c r="D2103" s="1"/>
  <c r="C2102"/>
  <c r="C2101"/>
  <c r="B2101" s="1"/>
  <c r="C2100"/>
  <c r="C2099"/>
  <c r="B2099" s="1"/>
  <c r="C2098"/>
  <c r="D2098" s="1"/>
  <c r="C2097"/>
  <c r="C2096"/>
  <c r="B2096" s="1"/>
  <c r="C2095"/>
  <c r="C2094"/>
  <c r="C2093"/>
  <c r="C2092"/>
  <c r="C2091"/>
  <c r="C2090"/>
  <c r="D2090" s="1"/>
  <c r="C2089"/>
  <c r="B2089" s="1"/>
  <c r="C2088"/>
  <c r="C2087"/>
  <c r="D2087" s="1"/>
  <c r="C2086"/>
  <c r="C2085"/>
  <c r="D2085" s="1"/>
  <c r="C2084"/>
  <c r="C2083"/>
  <c r="B2083" s="1"/>
  <c r="C2082"/>
  <c r="D2082" s="1"/>
  <c r="C2081"/>
  <c r="C2080"/>
  <c r="B2080" s="1"/>
  <c r="C2079"/>
  <c r="C2078"/>
  <c r="C2077"/>
  <c r="C2076"/>
  <c r="C2075"/>
  <c r="C2074"/>
  <c r="D2074" s="1"/>
  <c r="C2073"/>
  <c r="D2073" s="1"/>
  <c r="C2072"/>
  <c r="C2071"/>
  <c r="D2071" s="1"/>
  <c r="B2071"/>
  <c r="C2070"/>
  <c r="D2069"/>
  <c r="C2069"/>
  <c r="B2069"/>
  <c r="C2068"/>
  <c r="D2067"/>
  <c r="C2067"/>
  <c r="B2067" s="1"/>
  <c r="C2066"/>
  <c r="D2066" s="1"/>
  <c r="C2065"/>
  <c r="D2064"/>
  <c r="C2064"/>
  <c r="B2064" s="1"/>
  <c r="C2063"/>
  <c r="C2062"/>
  <c r="C2061"/>
  <c r="C2060"/>
  <c r="C2059"/>
  <c r="C2058"/>
  <c r="D2058" s="1"/>
  <c r="D2057"/>
  <c r="C2057"/>
  <c r="B2057"/>
  <c r="C2056"/>
  <c r="C2055"/>
  <c r="D2055" s="1"/>
  <c r="C2054"/>
  <c r="C2053"/>
  <c r="B2053" s="1"/>
  <c r="C2052"/>
  <c r="C2051"/>
  <c r="B2051" s="1"/>
  <c r="C2050"/>
  <c r="D2050" s="1"/>
  <c r="C2049"/>
  <c r="C2048"/>
  <c r="B2048" s="1"/>
  <c r="C2047"/>
  <c r="C2046"/>
  <c r="C2045"/>
  <c r="C2044"/>
  <c r="C2043"/>
  <c r="C2042"/>
  <c r="D2042" s="1"/>
  <c r="C2041"/>
  <c r="B2041" s="1"/>
  <c r="C2040"/>
  <c r="C2039"/>
  <c r="D2039" s="1"/>
  <c r="C2038"/>
  <c r="C2037"/>
  <c r="D2037" s="1"/>
  <c r="C2036"/>
  <c r="C2035"/>
  <c r="B2035" s="1"/>
  <c r="C2034"/>
  <c r="D2034" s="1"/>
  <c r="C2033"/>
  <c r="C2032"/>
  <c r="B2032" s="1"/>
  <c r="C2031"/>
  <c r="C2030"/>
  <c r="C2029"/>
  <c r="C2028"/>
  <c r="C2027"/>
  <c r="C2026"/>
  <c r="D2026" s="1"/>
  <c r="C2025"/>
  <c r="D2025" s="1"/>
  <c r="C2024"/>
  <c r="C2023"/>
  <c r="D2023" s="1"/>
  <c r="C2022"/>
  <c r="C2021"/>
  <c r="D2021" s="1"/>
  <c r="C2020"/>
  <c r="C2019"/>
  <c r="B2019" s="1"/>
  <c r="C2018"/>
  <c r="D2018" s="1"/>
  <c r="C2017"/>
  <c r="C2016"/>
  <c r="B2016" s="1"/>
  <c r="C2015"/>
  <c r="C2014"/>
  <c r="C2013"/>
  <c r="C2012"/>
  <c r="C2011"/>
  <c r="C2010"/>
  <c r="D2010" s="1"/>
  <c r="C2009"/>
  <c r="D2009" s="1"/>
  <c r="C2008"/>
  <c r="C2007"/>
  <c r="D2007" s="1"/>
  <c r="C2006"/>
  <c r="C2005"/>
  <c r="D2005" s="1"/>
  <c r="C2004"/>
  <c r="C2003"/>
  <c r="B2003" s="1"/>
  <c r="C2002"/>
  <c r="D2002" s="1"/>
  <c r="C2001"/>
  <c r="C2000"/>
  <c r="B2000" s="1"/>
  <c r="C1999"/>
  <c r="C1998"/>
  <c r="C1997"/>
  <c r="C1996"/>
  <c r="C1995"/>
  <c r="C1994"/>
  <c r="D1994" s="1"/>
  <c r="C1993"/>
  <c r="D1993" s="1"/>
  <c r="C1992"/>
  <c r="C1991"/>
  <c r="D1991" s="1"/>
  <c r="C1990"/>
  <c r="C1989"/>
  <c r="B1989" s="1"/>
  <c r="C1988"/>
  <c r="C1987"/>
  <c r="B1987" s="1"/>
  <c r="C1986"/>
  <c r="D1986" s="1"/>
  <c r="C1985"/>
  <c r="C1984"/>
  <c r="B1984" s="1"/>
  <c r="C1983"/>
  <c r="C1982"/>
  <c r="C1981"/>
  <c r="C1980"/>
  <c r="C1979"/>
  <c r="C1978"/>
  <c r="D1978" s="1"/>
  <c r="C1977"/>
  <c r="B1977" s="1"/>
  <c r="C1976"/>
  <c r="C1975"/>
  <c r="D1975" s="1"/>
  <c r="C1974"/>
  <c r="C1973"/>
  <c r="B1973" s="1"/>
  <c r="C1972"/>
  <c r="C1971"/>
  <c r="B1971" s="1"/>
  <c r="C1970"/>
  <c r="D1970" s="1"/>
  <c r="C1969"/>
  <c r="C1968"/>
  <c r="B1968" s="1"/>
  <c r="C1967"/>
  <c r="C1966"/>
  <c r="C1965"/>
  <c r="C1964"/>
  <c r="C1963"/>
  <c r="C1962"/>
  <c r="D1962" s="1"/>
  <c r="C1961"/>
  <c r="B1961" s="1"/>
  <c r="C1960"/>
  <c r="C1959"/>
  <c r="D1959" s="1"/>
  <c r="C1958"/>
  <c r="C1957"/>
  <c r="D1957" s="1"/>
  <c r="C1956"/>
  <c r="C1955"/>
  <c r="B1955" s="1"/>
  <c r="C1954"/>
  <c r="D1954" s="1"/>
  <c r="C1953"/>
  <c r="C1952"/>
  <c r="B1952" s="1"/>
  <c r="C1951"/>
  <c r="C1950"/>
  <c r="C1949"/>
  <c r="C1948"/>
  <c r="C1947"/>
  <c r="C1946"/>
  <c r="D1946" s="1"/>
  <c r="C1945"/>
  <c r="D1945" s="1"/>
  <c r="C1944"/>
  <c r="C1943"/>
  <c r="D1943" s="1"/>
  <c r="B1943"/>
  <c r="C1942"/>
  <c r="D1941"/>
  <c r="C1941"/>
  <c r="B1941"/>
  <c r="C1940"/>
  <c r="D1939"/>
  <c r="C1939"/>
  <c r="B1939" s="1"/>
  <c r="C1938"/>
  <c r="D1938" s="1"/>
  <c r="C1937"/>
  <c r="D1936"/>
  <c r="C1936"/>
  <c r="B1936" s="1"/>
  <c r="C1935"/>
  <c r="C1934"/>
  <c r="C1933"/>
  <c r="C1932"/>
  <c r="C1931"/>
  <c r="C1930"/>
  <c r="D1930" s="1"/>
  <c r="D1929"/>
  <c r="C1929"/>
  <c r="B1929"/>
  <c r="C1928"/>
  <c r="C1927"/>
  <c r="D1927" s="1"/>
  <c r="C1926"/>
  <c r="C1925"/>
  <c r="B1925" s="1"/>
  <c r="C1924"/>
  <c r="C1923"/>
  <c r="B1923" s="1"/>
  <c r="C1922"/>
  <c r="D1922" s="1"/>
  <c r="C1921"/>
  <c r="C1920"/>
  <c r="B1920" s="1"/>
  <c r="C1919"/>
  <c r="C1918"/>
  <c r="C1917"/>
  <c r="C1916"/>
  <c r="C1915"/>
  <c r="C1914"/>
  <c r="D1914" s="1"/>
  <c r="C1913"/>
  <c r="B1913" s="1"/>
  <c r="C1912"/>
  <c r="C1911"/>
  <c r="D1911" s="1"/>
  <c r="C1910"/>
  <c r="C1909"/>
  <c r="D1909" s="1"/>
  <c r="C1908"/>
  <c r="C1907"/>
  <c r="B1907" s="1"/>
  <c r="C1906"/>
  <c r="D1906" s="1"/>
  <c r="C1905"/>
  <c r="C1904"/>
  <c r="B1904" s="1"/>
  <c r="C1903"/>
  <c r="C1902"/>
  <c r="C1901"/>
  <c r="C1900"/>
  <c r="C1899"/>
  <c r="C1898"/>
  <c r="C1897"/>
  <c r="D1897" s="1"/>
  <c r="C1896"/>
  <c r="C1895"/>
  <c r="B1895" s="1"/>
  <c r="C1894"/>
  <c r="C1893"/>
  <c r="C1892"/>
  <c r="C1891"/>
  <c r="B1891" s="1"/>
  <c r="C1890"/>
  <c r="B1890" s="1"/>
  <c r="C1889"/>
  <c r="D1889" s="1"/>
  <c r="C1888"/>
  <c r="C1887"/>
  <c r="B1887" s="1"/>
  <c r="C1886"/>
  <c r="C1885"/>
  <c r="C1884"/>
  <c r="C1883"/>
  <c r="B1883" s="1"/>
  <c r="C1882"/>
  <c r="B1882" s="1"/>
  <c r="C1881"/>
  <c r="C1880"/>
  <c r="D1880" s="1"/>
  <c r="C1879"/>
  <c r="B1879" s="1"/>
  <c r="C1878"/>
  <c r="D1878" s="1"/>
  <c r="C1877"/>
  <c r="C1876"/>
  <c r="D1876" s="1"/>
  <c r="C1875"/>
  <c r="C1874"/>
  <c r="B1874" s="1"/>
  <c r="C1873"/>
  <c r="C1872"/>
  <c r="D1872" s="1"/>
  <c r="C1871"/>
  <c r="B1871" s="1"/>
  <c r="C1870"/>
  <c r="D1870" s="1"/>
  <c r="C1869"/>
  <c r="C1868"/>
  <c r="D1868" s="1"/>
  <c r="C1867"/>
  <c r="C1866"/>
  <c r="C1865"/>
  <c r="D1865" s="1"/>
  <c r="C1864"/>
  <c r="C1863"/>
  <c r="B1863" s="1"/>
  <c r="C1862"/>
  <c r="C1861"/>
  <c r="C1860"/>
  <c r="C1859"/>
  <c r="B1859" s="1"/>
  <c r="C1858"/>
  <c r="B1858" s="1"/>
  <c r="C1857"/>
  <c r="D1857" s="1"/>
  <c r="C1856"/>
  <c r="C1855"/>
  <c r="B1855" s="1"/>
  <c r="C1854"/>
  <c r="C1853"/>
  <c r="C1852"/>
  <c r="C1851"/>
  <c r="B1851" s="1"/>
  <c r="C1850"/>
  <c r="B1850" s="1"/>
  <c r="C1849"/>
  <c r="C1848"/>
  <c r="D1848" s="1"/>
  <c r="C1847"/>
  <c r="B1847" s="1"/>
  <c r="C1846"/>
  <c r="D1846" s="1"/>
  <c r="C1845"/>
  <c r="C1844"/>
  <c r="D1844" s="1"/>
  <c r="C1843"/>
  <c r="C1842"/>
  <c r="B1842" s="1"/>
  <c r="C1841"/>
  <c r="C1840"/>
  <c r="B1840" s="1"/>
  <c r="C1839"/>
  <c r="B1839" s="1"/>
  <c r="C1838"/>
  <c r="B1838" s="1"/>
  <c r="C1837"/>
  <c r="C1836"/>
  <c r="B1836" s="1"/>
  <c r="C1835"/>
  <c r="C1834"/>
  <c r="C1833"/>
  <c r="D1833" s="1"/>
  <c r="C1832"/>
  <c r="C1831"/>
  <c r="B1831" s="1"/>
  <c r="C1830"/>
  <c r="C1829"/>
  <c r="C1828"/>
  <c r="C1827"/>
  <c r="B1827" s="1"/>
  <c r="C1826"/>
  <c r="B1826" s="1"/>
  <c r="C1825"/>
  <c r="D1825" s="1"/>
  <c r="C1824"/>
  <c r="C1823"/>
  <c r="B1823" s="1"/>
  <c r="C1822"/>
  <c r="C1821"/>
  <c r="C1820"/>
  <c r="C1819"/>
  <c r="B1819" s="1"/>
  <c r="C1818"/>
  <c r="B1818" s="1"/>
  <c r="C1817"/>
  <c r="C1816"/>
  <c r="B1816" s="1"/>
  <c r="C1815"/>
  <c r="B1815" s="1"/>
  <c r="C1814"/>
  <c r="B1814" s="1"/>
  <c r="C1813"/>
  <c r="C1812"/>
  <c r="B1812" s="1"/>
  <c r="C1811"/>
  <c r="C1810"/>
  <c r="B1810" s="1"/>
  <c r="C1809"/>
  <c r="C1808"/>
  <c r="D1808" s="1"/>
  <c r="C1807"/>
  <c r="B1807" s="1"/>
  <c r="C1806"/>
  <c r="D1806" s="1"/>
  <c r="C1805"/>
  <c r="C1804"/>
  <c r="D1804" s="1"/>
  <c r="C1803"/>
  <c r="C1802"/>
  <c r="C1801"/>
  <c r="D1801" s="1"/>
  <c r="C1800"/>
  <c r="C1799"/>
  <c r="B1799" s="1"/>
  <c r="C1798"/>
  <c r="C1797"/>
  <c r="C1796"/>
  <c r="C1795"/>
  <c r="B1795" s="1"/>
  <c r="C1794"/>
  <c r="B1794" s="1"/>
  <c r="C1793"/>
  <c r="D1793" s="1"/>
  <c r="C1792"/>
  <c r="C1791"/>
  <c r="B1791" s="1"/>
  <c r="C1790"/>
  <c r="C1789"/>
  <c r="C1788"/>
  <c r="C1787"/>
  <c r="B1787" s="1"/>
  <c r="C1786"/>
  <c r="B1786" s="1"/>
  <c r="C1785"/>
  <c r="C1784"/>
  <c r="B1784" s="1"/>
  <c r="C1783"/>
  <c r="B1783" s="1"/>
  <c r="C1782"/>
  <c r="B1782" s="1"/>
  <c r="C1781"/>
  <c r="C1780"/>
  <c r="B1780" s="1"/>
  <c r="C1779"/>
  <c r="C1778"/>
  <c r="B1778" s="1"/>
  <c r="C1777"/>
  <c r="C1776"/>
  <c r="D1776" s="1"/>
  <c r="C1775"/>
  <c r="B1775" s="1"/>
  <c r="C1774"/>
  <c r="D1774" s="1"/>
  <c r="C1773"/>
  <c r="C1772"/>
  <c r="D1772" s="1"/>
  <c r="C1771"/>
  <c r="C1770"/>
  <c r="C1769"/>
  <c r="D1769" s="1"/>
  <c r="C1768"/>
  <c r="C1767"/>
  <c r="B1767" s="1"/>
  <c r="C1766"/>
  <c r="C1765"/>
  <c r="C1764"/>
  <c r="C1763"/>
  <c r="B1763" s="1"/>
  <c r="C1762"/>
  <c r="B1762" s="1"/>
  <c r="C1761"/>
  <c r="D1761" s="1"/>
  <c r="C1760"/>
  <c r="C1759"/>
  <c r="B1759" s="1"/>
  <c r="C1758"/>
  <c r="C1757"/>
  <c r="C1756"/>
  <c r="C1755"/>
  <c r="B1755" s="1"/>
  <c r="C1754"/>
  <c r="B1754" s="1"/>
  <c r="C1753"/>
  <c r="D1752"/>
  <c r="C1752"/>
  <c r="B1752"/>
  <c r="C1751"/>
  <c r="B1751" s="1"/>
  <c r="D1750"/>
  <c r="C1750"/>
  <c r="B1750"/>
  <c r="C1749"/>
  <c r="D1748"/>
  <c r="C1748"/>
  <c r="B1748"/>
  <c r="C1747"/>
  <c r="C1746"/>
  <c r="B1746" s="1"/>
  <c r="C1745"/>
  <c r="D1744"/>
  <c r="C1744"/>
  <c r="B1744"/>
  <c r="C1743"/>
  <c r="B1743" s="1"/>
  <c r="D1742"/>
  <c r="C1742"/>
  <c r="B1742"/>
  <c r="C1741"/>
  <c r="D1740"/>
  <c r="C1740"/>
  <c r="B1740"/>
  <c r="C1739"/>
  <c r="C1738"/>
  <c r="C1737"/>
  <c r="D1737" s="1"/>
  <c r="B1737"/>
  <c r="C1736"/>
  <c r="C1735"/>
  <c r="B1735" s="1"/>
  <c r="C1734"/>
  <c r="C1733"/>
  <c r="C1732"/>
  <c r="D1731"/>
  <c r="C1731"/>
  <c r="B1731" s="1"/>
  <c r="C1730"/>
  <c r="B1730" s="1"/>
  <c r="C1729"/>
  <c r="D1729" s="1"/>
  <c r="B1729"/>
  <c r="C1728"/>
  <c r="C1727"/>
  <c r="B1727" s="1"/>
  <c r="C1726"/>
  <c r="C1725"/>
  <c r="C1724"/>
  <c r="D1723"/>
  <c r="C1723"/>
  <c r="B1723" s="1"/>
  <c r="D1722"/>
  <c r="C1722"/>
  <c r="B1722" s="1"/>
  <c r="C1721"/>
  <c r="C1720"/>
  <c r="D1720" s="1"/>
  <c r="C1719"/>
  <c r="B1719" s="1"/>
  <c r="C1718"/>
  <c r="D1718" s="1"/>
  <c r="C1717"/>
  <c r="C1716"/>
  <c r="D1716" s="1"/>
  <c r="C1715"/>
  <c r="C1714"/>
  <c r="B1714" s="1"/>
  <c r="C1713"/>
  <c r="C1712"/>
  <c r="B1712" s="1"/>
  <c r="C1711"/>
  <c r="B1711" s="1"/>
  <c r="C1710"/>
  <c r="B1710" s="1"/>
  <c r="C1709"/>
  <c r="C1708"/>
  <c r="B1708" s="1"/>
  <c r="C1707"/>
  <c r="C1706"/>
  <c r="C1705"/>
  <c r="D1705" s="1"/>
  <c r="C1704"/>
  <c r="C1703"/>
  <c r="B1703" s="1"/>
  <c r="C1702"/>
  <c r="C1701"/>
  <c r="C1700"/>
  <c r="C1699"/>
  <c r="B1699" s="1"/>
  <c r="C1698"/>
  <c r="B1698" s="1"/>
  <c r="C1697"/>
  <c r="D1697" s="1"/>
  <c r="C1696"/>
  <c r="C1695"/>
  <c r="B1695" s="1"/>
  <c r="C1694"/>
  <c r="C1693"/>
  <c r="C1692"/>
  <c r="C1691"/>
  <c r="B1691" s="1"/>
  <c r="C1690"/>
  <c r="B1690" s="1"/>
  <c r="C1689"/>
  <c r="C1688"/>
  <c r="D1688" s="1"/>
  <c r="C1687"/>
  <c r="B1687" s="1"/>
  <c r="C1686"/>
  <c r="D1686" s="1"/>
  <c r="C1685"/>
  <c r="C1684"/>
  <c r="D1684" s="1"/>
  <c r="C1683"/>
  <c r="C1682"/>
  <c r="B1682" s="1"/>
  <c r="C1681"/>
  <c r="C1680"/>
  <c r="B1680" s="1"/>
  <c r="C1679"/>
  <c r="B1679" s="1"/>
  <c r="C1678"/>
  <c r="B1678" s="1"/>
  <c r="C1677"/>
  <c r="C1676"/>
  <c r="B1676" s="1"/>
  <c r="C1675"/>
  <c r="C1674"/>
  <c r="C1673"/>
  <c r="D1673" s="1"/>
  <c r="C1672"/>
  <c r="C1671"/>
  <c r="B1671" s="1"/>
  <c r="C1670"/>
  <c r="D1670" s="1"/>
  <c r="C1669"/>
  <c r="C1668"/>
  <c r="B1668" s="1"/>
  <c r="C1667"/>
  <c r="C1666"/>
  <c r="B1666" s="1"/>
  <c r="C1665"/>
  <c r="D1665" s="1"/>
  <c r="C1664"/>
  <c r="B1664" s="1"/>
  <c r="C1663"/>
  <c r="B1663" s="1"/>
  <c r="C1662"/>
  <c r="B1662" s="1"/>
  <c r="C1661"/>
  <c r="C1660"/>
  <c r="B1660" s="1"/>
  <c r="C1659"/>
  <c r="C1658"/>
  <c r="B1658" s="1"/>
  <c r="C1657"/>
  <c r="D1657" s="1"/>
  <c r="C1656"/>
  <c r="D1656" s="1"/>
  <c r="C1655"/>
  <c r="B1655" s="1"/>
  <c r="C1654"/>
  <c r="D1654" s="1"/>
  <c r="C1653"/>
  <c r="C1652"/>
  <c r="D1652" s="1"/>
  <c r="D1651"/>
  <c r="C1651"/>
  <c r="B1651" s="1"/>
  <c r="C1650"/>
  <c r="B1650" s="1"/>
  <c r="C1649"/>
  <c r="D1649" s="1"/>
  <c r="B1649"/>
  <c r="C1648"/>
  <c r="D1648" s="1"/>
  <c r="B1648"/>
  <c r="C1647"/>
  <c r="B1647" s="1"/>
  <c r="C1646"/>
  <c r="D1646" s="1"/>
  <c r="C1645"/>
  <c r="C1644"/>
  <c r="D1644" s="1"/>
  <c r="C1643"/>
  <c r="B1643" s="1"/>
  <c r="C1642"/>
  <c r="B1642" s="1"/>
  <c r="C1641"/>
  <c r="C1640"/>
  <c r="D1640" s="1"/>
  <c r="C1639"/>
  <c r="B1639" s="1"/>
  <c r="C1638"/>
  <c r="D1638" s="1"/>
  <c r="C1637"/>
  <c r="C1636"/>
  <c r="D1636" s="1"/>
  <c r="C1635"/>
  <c r="B1635" s="1"/>
  <c r="C1634"/>
  <c r="B1634" s="1"/>
  <c r="C1633"/>
  <c r="C1632"/>
  <c r="D1632" s="1"/>
  <c r="C1631"/>
  <c r="B1631" s="1"/>
  <c r="C1630"/>
  <c r="D1630" s="1"/>
  <c r="B1630"/>
  <c r="C1629"/>
  <c r="C1628"/>
  <c r="D1628" s="1"/>
  <c r="C1627"/>
  <c r="B1627" s="1"/>
  <c r="C1626"/>
  <c r="C1625"/>
  <c r="D1625" s="1"/>
  <c r="C1624"/>
  <c r="C1623"/>
  <c r="B1623" s="1"/>
  <c r="C1622"/>
  <c r="C1621"/>
  <c r="C1620"/>
  <c r="C1619"/>
  <c r="B1619" s="1"/>
  <c r="C1618"/>
  <c r="B1618" s="1"/>
  <c r="C1617"/>
  <c r="D1617" s="1"/>
  <c r="B1617"/>
  <c r="C1616"/>
  <c r="C1615"/>
  <c r="B1615" s="1"/>
  <c r="C1614"/>
  <c r="C1613"/>
  <c r="C1612"/>
  <c r="C1611"/>
  <c r="B1611" s="1"/>
  <c r="C1610"/>
  <c r="B1610" s="1"/>
  <c r="C1609"/>
  <c r="D1609" s="1"/>
  <c r="C1608"/>
  <c r="D1608" s="1"/>
  <c r="C1607"/>
  <c r="B1607" s="1"/>
  <c r="C1606"/>
  <c r="D1606" s="1"/>
  <c r="C1605"/>
  <c r="C1604"/>
  <c r="D1604" s="1"/>
  <c r="C1603"/>
  <c r="C1602"/>
  <c r="B1602" s="1"/>
  <c r="C1601"/>
  <c r="D1601" s="1"/>
  <c r="C1600"/>
  <c r="D1600" s="1"/>
  <c r="C1599"/>
  <c r="B1599" s="1"/>
  <c r="C1598"/>
  <c r="D1598" s="1"/>
  <c r="C1597"/>
  <c r="C1596"/>
  <c r="D1596" s="1"/>
  <c r="C1595"/>
  <c r="C1594"/>
  <c r="B1594" s="1"/>
  <c r="C1593"/>
  <c r="D1593" s="1"/>
  <c r="C1592"/>
  <c r="D1592" s="1"/>
  <c r="C1591"/>
  <c r="B1591" s="1"/>
  <c r="C1590"/>
  <c r="D1590" s="1"/>
  <c r="C1589"/>
  <c r="C1588"/>
  <c r="D1588" s="1"/>
  <c r="C1587"/>
  <c r="B1587" s="1"/>
  <c r="C1586"/>
  <c r="B1586" s="1"/>
  <c r="C1585"/>
  <c r="D1585" s="1"/>
  <c r="C1584"/>
  <c r="D1584" s="1"/>
  <c r="C1583"/>
  <c r="B1583" s="1"/>
  <c r="C1582"/>
  <c r="D1582" s="1"/>
  <c r="B1582"/>
  <c r="C1581"/>
  <c r="C1580"/>
  <c r="D1580" s="1"/>
  <c r="C1579"/>
  <c r="B1579" s="1"/>
  <c r="C1578"/>
  <c r="B1578" s="1"/>
  <c r="C1577"/>
  <c r="C1576"/>
  <c r="D1576" s="1"/>
  <c r="C1575"/>
  <c r="B1575" s="1"/>
  <c r="C1574"/>
  <c r="D1574" s="1"/>
  <c r="C1573"/>
  <c r="C1572"/>
  <c r="D1572" s="1"/>
  <c r="C1571"/>
  <c r="B1571" s="1"/>
  <c r="C1570"/>
  <c r="B1570" s="1"/>
  <c r="C1569"/>
  <c r="C1568"/>
  <c r="D1568" s="1"/>
  <c r="C1567"/>
  <c r="B1567" s="1"/>
  <c r="C1566"/>
  <c r="D1566" s="1"/>
  <c r="C1565"/>
  <c r="C1564"/>
  <c r="D1564" s="1"/>
  <c r="B1564"/>
  <c r="C1563"/>
  <c r="B1563" s="1"/>
  <c r="C1562"/>
  <c r="C1561"/>
  <c r="D1561" s="1"/>
  <c r="B1561"/>
  <c r="C1560"/>
  <c r="C1559"/>
  <c r="B1559" s="1"/>
  <c r="C1558"/>
  <c r="C1557"/>
  <c r="D1557" s="1"/>
  <c r="C1556"/>
  <c r="C1555"/>
  <c r="B1555" s="1"/>
  <c r="C1554"/>
  <c r="B1554" s="1"/>
  <c r="C1553"/>
  <c r="D1553" s="1"/>
  <c r="C1552"/>
  <c r="C1551"/>
  <c r="B1551" s="1"/>
  <c r="C1550"/>
  <c r="C1549"/>
  <c r="D1549" s="1"/>
  <c r="C1548"/>
  <c r="C1547"/>
  <c r="B1547" s="1"/>
  <c r="C1546"/>
  <c r="B1546" s="1"/>
  <c r="C1545"/>
  <c r="D1545" s="1"/>
  <c r="C1544"/>
  <c r="C1543"/>
  <c r="B1543" s="1"/>
  <c r="C1542"/>
  <c r="C1541"/>
  <c r="D1541" s="1"/>
  <c r="C1540"/>
  <c r="C1539"/>
  <c r="B1539" s="1"/>
  <c r="C1538"/>
  <c r="B1538" s="1"/>
  <c r="C1537"/>
  <c r="D1537" s="1"/>
  <c r="C1536"/>
  <c r="C1535"/>
  <c r="B1535" s="1"/>
  <c r="C1534"/>
  <c r="C1533"/>
  <c r="D1533" s="1"/>
  <c r="C1532"/>
  <c r="C1531"/>
  <c r="B1531" s="1"/>
  <c r="C1530"/>
  <c r="B1530" s="1"/>
  <c r="C1529"/>
  <c r="D1529" s="1"/>
  <c r="C1528"/>
  <c r="C1527"/>
  <c r="B1527" s="1"/>
  <c r="C1526"/>
  <c r="C1525"/>
  <c r="D1525" s="1"/>
  <c r="C1524"/>
  <c r="C1523"/>
  <c r="B1523" s="1"/>
  <c r="C1522"/>
  <c r="B1522" s="1"/>
  <c r="C1521"/>
  <c r="D1521" s="1"/>
  <c r="C1520"/>
  <c r="C1519"/>
  <c r="B1519" s="1"/>
  <c r="C1518"/>
  <c r="C1517"/>
  <c r="D1517" s="1"/>
  <c r="C1516"/>
  <c r="C1515"/>
  <c r="B1515" s="1"/>
  <c r="C1514"/>
  <c r="B1514" s="1"/>
  <c r="C1513"/>
  <c r="D1513" s="1"/>
  <c r="C1512"/>
  <c r="C1511"/>
  <c r="B1511" s="1"/>
  <c r="C1510"/>
  <c r="C1509"/>
  <c r="D1509" s="1"/>
  <c r="C1508"/>
  <c r="C1507"/>
  <c r="B1507" s="1"/>
  <c r="C1506"/>
  <c r="B1506" s="1"/>
  <c r="C1505"/>
  <c r="D1505" s="1"/>
  <c r="C1504"/>
  <c r="C1503"/>
  <c r="B1503" s="1"/>
  <c r="C1502"/>
  <c r="C1501"/>
  <c r="D1501" s="1"/>
  <c r="C1500"/>
  <c r="C1499"/>
  <c r="B1499" s="1"/>
  <c r="C1498"/>
  <c r="B1498" s="1"/>
  <c r="C1497"/>
  <c r="D1497" s="1"/>
  <c r="B1497"/>
  <c r="C1496"/>
  <c r="C1495"/>
  <c r="B1495" s="1"/>
  <c r="C1494"/>
  <c r="C1493"/>
  <c r="D1493" s="1"/>
  <c r="C1492"/>
  <c r="C1491"/>
  <c r="B1491" s="1"/>
  <c r="C1490"/>
  <c r="B1490" s="1"/>
  <c r="C1489"/>
  <c r="D1489" s="1"/>
  <c r="C1488"/>
  <c r="C1487"/>
  <c r="B1487" s="1"/>
  <c r="C1486"/>
  <c r="C1485"/>
  <c r="D1485" s="1"/>
  <c r="C1484"/>
  <c r="C1483"/>
  <c r="B1483" s="1"/>
  <c r="C1482"/>
  <c r="B1482" s="1"/>
  <c r="C1481"/>
  <c r="D1481" s="1"/>
  <c r="C1480"/>
  <c r="C1479"/>
  <c r="B1479" s="1"/>
  <c r="C1478"/>
  <c r="C1477"/>
  <c r="D1477" s="1"/>
  <c r="C1476"/>
  <c r="C1475"/>
  <c r="B1475" s="1"/>
  <c r="C1474"/>
  <c r="B1474" s="1"/>
  <c r="C1473"/>
  <c r="D1473" s="1"/>
  <c r="C1472"/>
  <c r="C1471"/>
  <c r="B1471" s="1"/>
  <c r="C1470"/>
  <c r="C1469"/>
  <c r="D1469" s="1"/>
  <c r="C1468"/>
  <c r="C1467"/>
  <c r="B1467" s="1"/>
  <c r="C1466"/>
  <c r="B1466" s="1"/>
  <c r="C1465"/>
  <c r="D1465" s="1"/>
  <c r="C1464"/>
  <c r="C1463"/>
  <c r="B1463" s="1"/>
  <c r="C1462"/>
  <c r="C1461"/>
  <c r="D1461" s="1"/>
  <c r="C1460"/>
  <c r="C1459"/>
  <c r="B1459" s="1"/>
  <c r="C1458"/>
  <c r="B1458" s="1"/>
  <c r="C1457"/>
  <c r="D1457" s="1"/>
  <c r="C1456"/>
  <c r="C1455"/>
  <c r="B1455" s="1"/>
  <c r="C1454"/>
  <c r="C1453"/>
  <c r="D1453" s="1"/>
  <c r="C1452"/>
  <c r="C1451"/>
  <c r="B1451" s="1"/>
  <c r="C1450"/>
  <c r="B1450" s="1"/>
  <c r="C1449"/>
  <c r="D1449" s="1"/>
  <c r="C1448"/>
  <c r="C1447"/>
  <c r="B1447" s="1"/>
  <c r="C1446"/>
  <c r="C1445"/>
  <c r="D1445" s="1"/>
  <c r="C1444"/>
  <c r="C1443"/>
  <c r="B1443" s="1"/>
  <c r="C1442"/>
  <c r="B1442" s="1"/>
  <c r="C1441"/>
  <c r="D1441" s="1"/>
  <c r="C1440"/>
  <c r="C1439"/>
  <c r="B1439" s="1"/>
  <c r="C1438"/>
  <c r="C1437"/>
  <c r="D1437" s="1"/>
  <c r="C1436"/>
  <c r="C1435"/>
  <c r="B1435" s="1"/>
  <c r="C1434"/>
  <c r="B1434" s="1"/>
  <c r="C1433"/>
  <c r="D1433" s="1"/>
  <c r="B1433"/>
  <c r="C1432"/>
  <c r="C1431"/>
  <c r="B1431" s="1"/>
  <c r="C1430"/>
  <c r="C1429"/>
  <c r="D1429" s="1"/>
  <c r="C1428"/>
  <c r="C1427"/>
  <c r="B1427" s="1"/>
  <c r="C1426"/>
  <c r="B1426" s="1"/>
  <c r="C1425"/>
  <c r="D1425" s="1"/>
  <c r="C1424"/>
  <c r="C1423"/>
  <c r="B1423" s="1"/>
  <c r="C1422"/>
  <c r="C1421"/>
  <c r="D1421" s="1"/>
  <c r="C1420"/>
  <c r="C1419"/>
  <c r="B1419" s="1"/>
  <c r="C1418"/>
  <c r="B1418" s="1"/>
  <c r="C1417"/>
  <c r="D1417" s="1"/>
  <c r="C1416"/>
  <c r="C1415"/>
  <c r="B1415" s="1"/>
  <c r="C1414"/>
  <c r="C1413"/>
  <c r="D1413" s="1"/>
  <c r="C1412"/>
  <c r="C1411"/>
  <c r="B1411" s="1"/>
  <c r="C1410"/>
  <c r="B1410" s="1"/>
  <c r="C1409"/>
  <c r="D1409" s="1"/>
  <c r="C1408"/>
  <c r="C1407"/>
  <c r="B1407" s="1"/>
  <c r="C1406"/>
  <c r="C1405"/>
  <c r="D1405" s="1"/>
  <c r="C1404"/>
  <c r="C1403"/>
  <c r="B1403" s="1"/>
  <c r="C1402"/>
  <c r="B1402" s="1"/>
  <c r="C1401"/>
  <c r="D1401" s="1"/>
  <c r="C1400"/>
  <c r="C1399"/>
  <c r="B1399" s="1"/>
  <c r="C1398"/>
  <c r="C1397"/>
  <c r="D1397" s="1"/>
  <c r="C1396"/>
  <c r="C1395"/>
  <c r="B1395" s="1"/>
  <c r="C1394"/>
  <c r="B1394" s="1"/>
  <c r="C1393"/>
  <c r="D1393" s="1"/>
  <c r="C1392"/>
  <c r="C1391"/>
  <c r="B1391" s="1"/>
  <c r="C1390"/>
  <c r="C1389"/>
  <c r="D1389" s="1"/>
  <c r="C1388"/>
  <c r="C1387"/>
  <c r="B1387" s="1"/>
  <c r="C1386"/>
  <c r="B1386" s="1"/>
  <c r="C1385"/>
  <c r="D1385" s="1"/>
  <c r="C1384"/>
  <c r="C1383"/>
  <c r="B1383" s="1"/>
  <c r="C1382"/>
  <c r="C1381"/>
  <c r="D1381" s="1"/>
  <c r="C1380"/>
  <c r="C1379"/>
  <c r="B1379" s="1"/>
  <c r="C1378"/>
  <c r="B1378" s="1"/>
  <c r="C1377"/>
  <c r="D1377" s="1"/>
  <c r="C1376"/>
  <c r="C1375"/>
  <c r="B1375" s="1"/>
  <c r="C1374"/>
  <c r="C1373"/>
  <c r="D1373" s="1"/>
  <c r="C1372"/>
  <c r="C1371"/>
  <c r="B1371" s="1"/>
  <c r="C1370"/>
  <c r="B1370" s="1"/>
  <c r="C1369"/>
  <c r="D1369" s="1"/>
  <c r="B1369"/>
  <c r="C1368"/>
  <c r="C1367"/>
  <c r="B1367" s="1"/>
  <c r="C1366"/>
  <c r="C1365"/>
  <c r="D1365" s="1"/>
  <c r="C1364"/>
  <c r="C1363"/>
  <c r="B1363" s="1"/>
  <c r="C1362"/>
  <c r="B1362" s="1"/>
  <c r="C1361"/>
  <c r="D1361" s="1"/>
  <c r="C1360"/>
  <c r="C1359"/>
  <c r="B1359" s="1"/>
  <c r="C1358"/>
  <c r="C1357"/>
  <c r="D1357" s="1"/>
  <c r="C1356"/>
  <c r="C1355"/>
  <c r="B1355" s="1"/>
  <c r="C1354"/>
  <c r="B1354" s="1"/>
  <c r="C1353"/>
  <c r="D1353" s="1"/>
  <c r="C1352"/>
  <c r="C1351"/>
  <c r="B1351" s="1"/>
  <c r="C1350"/>
  <c r="C1349"/>
  <c r="D1349" s="1"/>
  <c r="C1348"/>
  <c r="C1347"/>
  <c r="B1347" s="1"/>
  <c r="C1346"/>
  <c r="B1346" s="1"/>
  <c r="C1345"/>
  <c r="D1345" s="1"/>
  <c r="C1344"/>
  <c r="C1343"/>
  <c r="B1343" s="1"/>
  <c r="C1342"/>
  <c r="C1341"/>
  <c r="D1341" s="1"/>
  <c r="C1340"/>
  <c r="C1339"/>
  <c r="B1339" s="1"/>
  <c r="C1338"/>
  <c r="B1338" s="1"/>
  <c r="C1337"/>
  <c r="D1337" s="1"/>
  <c r="C1336"/>
  <c r="C1335"/>
  <c r="B1335" s="1"/>
  <c r="C1334"/>
  <c r="C1333"/>
  <c r="D1333" s="1"/>
  <c r="C1332"/>
  <c r="C1331"/>
  <c r="B1331" s="1"/>
  <c r="C1330"/>
  <c r="B1330" s="1"/>
  <c r="C1329"/>
  <c r="D1329" s="1"/>
  <c r="C1328"/>
  <c r="C1327"/>
  <c r="B1327" s="1"/>
  <c r="C1326"/>
  <c r="C1325"/>
  <c r="D1325" s="1"/>
  <c r="C1324"/>
  <c r="C1323"/>
  <c r="B1323" s="1"/>
  <c r="C1322"/>
  <c r="B1322" s="1"/>
  <c r="C1321"/>
  <c r="D1321" s="1"/>
  <c r="C1320"/>
  <c r="C1319"/>
  <c r="B1319" s="1"/>
  <c r="C1318"/>
  <c r="C1317"/>
  <c r="D1317" s="1"/>
  <c r="C1316"/>
  <c r="C1315"/>
  <c r="B1315" s="1"/>
  <c r="C1314"/>
  <c r="B1314" s="1"/>
  <c r="C1313"/>
  <c r="D1313" s="1"/>
  <c r="C1312"/>
  <c r="C1311"/>
  <c r="B1311" s="1"/>
  <c r="C1310"/>
  <c r="C1309"/>
  <c r="D1309" s="1"/>
  <c r="C1308"/>
  <c r="C1307"/>
  <c r="B1307" s="1"/>
  <c r="C1306"/>
  <c r="B1306" s="1"/>
  <c r="C1305"/>
  <c r="D1305" s="1"/>
  <c r="B1305"/>
  <c r="C1304"/>
  <c r="C1303"/>
  <c r="B1303" s="1"/>
  <c r="C1302"/>
  <c r="C1301"/>
  <c r="D1301" s="1"/>
  <c r="C1300"/>
  <c r="C1299"/>
  <c r="B1299" s="1"/>
  <c r="C1298"/>
  <c r="B1298" s="1"/>
  <c r="C1297"/>
  <c r="D1297" s="1"/>
  <c r="C1296"/>
  <c r="C1295"/>
  <c r="B1295" s="1"/>
  <c r="C1294"/>
  <c r="C1293"/>
  <c r="D1293" s="1"/>
  <c r="C1292"/>
  <c r="C1291"/>
  <c r="B1291" s="1"/>
  <c r="C1290"/>
  <c r="B1290" s="1"/>
  <c r="C1289"/>
  <c r="D1289" s="1"/>
  <c r="C1288"/>
  <c r="C1287"/>
  <c r="B1287" s="1"/>
  <c r="C1286"/>
  <c r="C1285"/>
  <c r="D1285" s="1"/>
  <c r="C1284"/>
  <c r="C1283"/>
  <c r="B1283" s="1"/>
  <c r="C1282"/>
  <c r="B1282" s="1"/>
  <c r="C1281"/>
  <c r="D1281" s="1"/>
  <c r="C1280"/>
  <c r="C1279"/>
  <c r="B1279" s="1"/>
  <c r="C1278"/>
  <c r="C1277"/>
  <c r="D1277" s="1"/>
  <c r="C1276"/>
  <c r="C1275"/>
  <c r="B1275" s="1"/>
  <c r="C1274"/>
  <c r="B1274" s="1"/>
  <c r="C1273"/>
  <c r="D1273" s="1"/>
  <c r="C1272"/>
  <c r="C1271"/>
  <c r="B1271" s="1"/>
  <c r="C1270"/>
  <c r="C1269"/>
  <c r="D1269" s="1"/>
  <c r="C1268"/>
  <c r="C1267"/>
  <c r="B1267" s="1"/>
  <c r="C1266"/>
  <c r="B1266" s="1"/>
  <c r="C1265"/>
  <c r="D1265" s="1"/>
  <c r="C1264"/>
  <c r="C1263"/>
  <c r="B1263" s="1"/>
  <c r="C1262"/>
  <c r="C1261"/>
  <c r="D1261" s="1"/>
  <c r="C1260"/>
  <c r="C1259"/>
  <c r="B1259" s="1"/>
  <c r="C1258"/>
  <c r="B1258" s="1"/>
  <c r="C1257"/>
  <c r="D1257" s="1"/>
  <c r="C1256"/>
  <c r="C1255"/>
  <c r="B1255" s="1"/>
  <c r="C1254"/>
  <c r="C1253"/>
  <c r="D1253" s="1"/>
  <c r="C1252"/>
  <c r="C1251"/>
  <c r="B1251" s="1"/>
  <c r="C1250"/>
  <c r="B1250" s="1"/>
  <c r="C1249"/>
  <c r="D1249" s="1"/>
  <c r="C1248"/>
  <c r="C1247"/>
  <c r="B1247" s="1"/>
  <c r="C1246"/>
  <c r="C1245"/>
  <c r="D1245" s="1"/>
  <c r="C1244"/>
  <c r="C1243"/>
  <c r="B1243" s="1"/>
  <c r="C1242"/>
  <c r="B1242" s="1"/>
  <c r="C1241"/>
  <c r="D1241" s="1"/>
  <c r="B1241"/>
  <c r="C1240"/>
  <c r="C1239"/>
  <c r="B1239" s="1"/>
  <c r="C1238"/>
  <c r="C1237"/>
  <c r="D1237" s="1"/>
  <c r="C1236"/>
  <c r="C1235"/>
  <c r="B1235" s="1"/>
  <c r="C1234"/>
  <c r="B1234" s="1"/>
  <c r="C1233"/>
  <c r="D1233" s="1"/>
  <c r="C1232"/>
  <c r="C1231"/>
  <c r="B1231" s="1"/>
  <c r="C1230"/>
  <c r="C1229"/>
  <c r="D1229" s="1"/>
  <c r="C1228"/>
  <c r="C1227"/>
  <c r="B1227" s="1"/>
  <c r="C1226"/>
  <c r="B1226" s="1"/>
  <c r="C1225"/>
  <c r="D1225" s="1"/>
  <c r="C1224"/>
  <c r="C1223"/>
  <c r="B1223" s="1"/>
  <c r="C1222"/>
  <c r="C1221"/>
  <c r="D1221" s="1"/>
  <c r="C1220"/>
  <c r="C1219"/>
  <c r="B1219" s="1"/>
  <c r="C1218"/>
  <c r="B1218" s="1"/>
  <c r="C1217"/>
  <c r="D1217" s="1"/>
  <c r="C1216"/>
  <c r="C1215"/>
  <c r="B1215" s="1"/>
  <c r="C1214"/>
  <c r="C1213"/>
  <c r="D1213" s="1"/>
  <c r="C1212"/>
  <c r="C1211"/>
  <c r="B1211" s="1"/>
  <c r="C1210"/>
  <c r="B1210" s="1"/>
  <c r="C1209"/>
  <c r="D1209" s="1"/>
  <c r="C1208"/>
  <c r="C1207"/>
  <c r="B1207" s="1"/>
  <c r="C1206"/>
  <c r="C1205"/>
  <c r="D1205" s="1"/>
  <c r="C1204"/>
  <c r="C1203"/>
  <c r="B1203" s="1"/>
  <c r="C1202"/>
  <c r="B1202" s="1"/>
  <c r="C1201"/>
  <c r="D1201" s="1"/>
  <c r="C1200"/>
  <c r="C1199"/>
  <c r="B1199" s="1"/>
  <c r="C1198"/>
  <c r="C1197"/>
  <c r="D1197" s="1"/>
  <c r="C1196"/>
  <c r="C1195"/>
  <c r="B1195" s="1"/>
  <c r="C1194"/>
  <c r="B1194" s="1"/>
  <c r="C1193"/>
  <c r="D1193" s="1"/>
  <c r="C1192"/>
  <c r="C1191"/>
  <c r="B1191" s="1"/>
  <c r="C1190"/>
  <c r="C1189"/>
  <c r="D1189" s="1"/>
  <c r="C1188"/>
  <c r="C1187"/>
  <c r="B1187" s="1"/>
  <c r="C1186"/>
  <c r="B1186" s="1"/>
  <c r="C1185"/>
  <c r="D1185" s="1"/>
  <c r="C1184"/>
  <c r="C1183"/>
  <c r="B1183" s="1"/>
  <c r="C1182"/>
  <c r="C1181"/>
  <c r="D1181" s="1"/>
  <c r="C1180"/>
  <c r="C1179"/>
  <c r="B1179" s="1"/>
  <c r="C1178"/>
  <c r="B1178" s="1"/>
  <c r="C1177"/>
  <c r="D1177" s="1"/>
  <c r="B1177"/>
  <c r="C1176"/>
  <c r="C1175"/>
  <c r="B1175" s="1"/>
  <c r="C1174"/>
  <c r="C1173"/>
  <c r="D1173" s="1"/>
  <c r="C1172"/>
  <c r="C1171"/>
  <c r="B1171" s="1"/>
  <c r="C1170"/>
  <c r="B1170" s="1"/>
  <c r="C1169"/>
  <c r="D1169" s="1"/>
  <c r="C1168"/>
  <c r="C1167"/>
  <c r="B1167" s="1"/>
  <c r="C1166"/>
  <c r="C1165"/>
  <c r="D1165" s="1"/>
  <c r="C1164"/>
  <c r="C1163"/>
  <c r="B1163" s="1"/>
  <c r="C1162"/>
  <c r="B1162" s="1"/>
  <c r="C1161"/>
  <c r="D1161" s="1"/>
  <c r="C1160"/>
  <c r="C1159"/>
  <c r="B1159" s="1"/>
  <c r="C1158"/>
  <c r="C1157"/>
  <c r="D1157" s="1"/>
  <c r="C1156"/>
  <c r="C1155"/>
  <c r="B1155" s="1"/>
  <c r="C1154"/>
  <c r="B1154" s="1"/>
  <c r="C1153"/>
  <c r="D1153" s="1"/>
  <c r="C1152"/>
  <c r="C1151"/>
  <c r="B1151" s="1"/>
  <c r="C1150"/>
  <c r="C1149"/>
  <c r="D1149" s="1"/>
  <c r="C1148"/>
  <c r="C1147"/>
  <c r="B1147" s="1"/>
  <c r="C1146"/>
  <c r="B1146" s="1"/>
  <c r="C1145"/>
  <c r="D1145" s="1"/>
  <c r="C1144"/>
  <c r="C1143"/>
  <c r="B1143" s="1"/>
  <c r="C1142"/>
  <c r="C1141"/>
  <c r="D1141" s="1"/>
  <c r="C1140"/>
  <c r="C1139"/>
  <c r="B1139" s="1"/>
  <c r="C1138"/>
  <c r="B1138" s="1"/>
  <c r="C1137"/>
  <c r="D1137" s="1"/>
  <c r="C1136"/>
  <c r="C1135"/>
  <c r="B1135" s="1"/>
  <c r="C1134"/>
  <c r="C1133"/>
  <c r="D1133" s="1"/>
  <c r="C1132"/>
  <c r="C1131"/>
  <c r="B1131" s="1"/>
  <c r="C1130"/>
  <c r="B1130" s="1"/>
  <c r="C1129"/>
  <c r="D1129" s="1"/>
  <c r="C1128"/>
  <c r="C1127"/>
  <c r="B1127" s="1"/>
  <c r="C1126"/>
  <c r="C1125"/>
  <c r="D1125" s="1"/>
  <c r="C1124"/>
  <c r="C1123"/>
  <c r="B1123" s="1"/>
  <c r="C1122"/>
  <c r="B1122" s="1"/>
  <c r="C1121"/>
  <c r="D1121" s="1"/>
  <c r="C1120"/>
  <c r="C1119"/>
  <c r="B1119" s="1"/>
  <c r="C1118"/>
  <c r="C1117"/>
  <c r="D1117" s="1"/>
  <c r="C1116"/>
  <c r="C1115"/>
  <c r="B1115" s="1"/>
  <c r="C1114"/>
  <c r="B1114" s="1"/>
  <c r="C1113"/>
  <c r="D1113" s="1"/>
  <c r="B1113"/>
  <c r="C1112"/>
  <c r="C1111"/>
  <c r="B1111" s="1"/>
  <c r="C1110"/>
  <c r="C1109"/>
  <c r="D1109" s="1"/>
  <c r="C1108"/>
  <c r="C1107"/>
  <c r="B1107" s="1"/>
  <c r="C1106"/>
  <c r="B1106" s="1"/>
  <c r="C1105"/>
  <c r="D1105" s="1"/>
  <c r="C1104"/>
  <c r="C1103"/>
  <c r="B1103" s="1"/>
  <c r="C1102"/>
  <c r="C1101"/>
  <c r="D1101" s="1"/>
  <c r="C1100"/>
  <c r="C1099"/>
  <c r="B1099" s="1"/>
  <c r="C1098"/>
  <c r="B1098" s="1"/>
  <c r="C1097"/>
  <c r="D1097" s="1"/>
  <c r="C1096"/>
  <c r="C1095"/>
  <c r="B1095" s="1"/>
  <c r="C1094"/>
  <c r="C1093"/>
  <c r="D1093" s="1"/>
  <c r="C1092"/>
  <c r="C1091"/>
  <c r="B1091" s="1"/>
  <c r="C1090"/>
  <c r="B1090" s="1"/>
  <c r="C1089"/>
  <c r="D1089" s="1"/>
  <c r="C1088"/>
  <c r="C1087"/>
  <c r="B1087" s="1"/>
  <c r="C1086"/>
  <c r="C1085"/>
  <c r="D1085" s="1"/>
  <c r="C1084"/>
  <c r="C1083"/>
  <c r="B1083" s="1"/>
  <c r="C1082"/>
  <c r="B1082" s="1"/>
  <c r="C1081"/>
  <c r="D1081" s="1"/>
  <c r="C1080"/>
  <c r="C1079"/>
  <c r="B1079" s="1"/>
  <c r="C1078"/>
  <c r="C1077"/>
  <c r="D1077" s="1"/>
  <c r="C1076"/>
  <c r="C1075"/>
  <c r="B1075" s="1"/>
  <c r="C1074"/>
  <c r="B1074" s="1"/>
  <c r="C1073"/>
  <c r="D1073" s="1"/>
  <c r="C1072"/>
  <c r="C1071"/>
  <c r="B1071" s="1"/>
  <c r="C1070"/>
  <c r="C1069"/>
  <c r="D1069" s="1"/>
  <c r="C1068"/>
  <c r="C1067"/>
  <c r="B1067" s="1"/>
  <c r="C1066"/>
  <c r="B1066" s="1"/>
  <c r="C1065"/>
  <c r="D1065" s="1"/>
  <c r="C1064"/>
  <c r="C1063"/>
  <c r="B1063" s="1"/>
  <c r="C1062"/>
  <c r="C1061"/>
  <c r="D1061" s="1"/>
  <c r="C1060"/>
  <c r="C1059"/>
  <c r="B1059" s="1"/>
  <c r="C1058"/>
  <c r="B1058" s="1"/>
  <c r="C1057"/>
  <c r="D1057" s="1"/>
  <c r="C1056"/>
  <c r="C1055"/>
  <c r="B1055" s="1"/>
  <c r="C1054"/>
  <c r="C1053"/>
  <c r="D1053" s="1"/>
  <c r="C1052"/>
  <c r="C1051"/>
  <c r="B1051" s="1"/>
  <c r="C1050"/>
  <c r="B1050" s="1"/>
  <c r="C1049"/>
  <c r="D1049" s="1"/>
  <c r="B1049"/>
  <c r="C1048"/>
  <c r="C1047"/>
  <c r="B1047" s="1"/>
  <c r="C1046"/>
  <c r="C1045"/>
  <c r="D1045" s="1"/>
  <c r="C1044"/>
  <c r="C1043"/>
  <c r="B1043" s="1"/>
  <c r="C1042"/>
  <c r="B1042" s="1"/>
  <c r="C1041"/>
  <c r="D1041" s="1"/>
  <c r="C1040"/>
  <c r="C1039"/>
  <c r="B1039" s="1"/>
  <c r="C1038"/>
  <c r="C1037"/>
  <c r="D1037" s="1"/>
  <c r="C1036"/>
  <c r="C1035"/>
  <c r="B1035" s="1"/>
  <c r="C1034"/>
  <c r="B1034" s="1"/>
  <c r="C1033"/>
  <c r="D1033" s="1"/>
  <c r="C1032"/>
  <c r="C1031"/>
  <c r="B1031" s="1"/>
  <c r="C1030"/>
  <c r="C1029"/>
  <c r="D1029" s="1"/>
  <c r="C1028"/>
  <c r="C1027"/>
  <c r="B1027" s="1"/>
  <c r="C1026"/>
  <c r="B1026" s="1"/>
  <c r="C1025"/>
  <c r="D1025" s="1"/>
  <c r="C1024"/>
  <c r="C1023"/>
  <c r="B1023" s="1"/>
  <c r="C1022"/>
  <c r="C1021"/>
  <c r="D1021" s="1"/>
  <c r="C1020"/>
  <c r="C1019"/>
  <c r="B1019" s="1"/>
  <c r="C1018"/>
  <c r="B1018" s="1"/>
  <c r="C1017"/>
  <c r="D1017" s="1"/>
  <c r="C1016"/>
  <c r="C1015"/>
  <c r="B1015" s="1"/>
  <c r="C1014"/>
  <c r="C1013"/>
  <c r="D1013" s="1"/>
  <c r="C1012"/>
  <c r="C1011"/>
  <c r="B1011" s="1"/>
  <c r="C1010"/>
  <c r="B1010" s="1"/>
  <c r="C1009"/>
  <c r="D1009" s="1"/>
  <c r="C1008"/>
  <c r="C1007"/>
  <c r="B1007" s="1"/>
  <c r="C1006"/>
  <c r="C1005"/>
  <c r="D1005" s="1"/>
  <c r="C1004"/>
  <c r="C1003"/>
  <c r="B1003" s="1"/>
  <c r="C1002"/>
  <c r="B1002" s="1"/>
  <c r="C1001"/>
  <c r="D1001" s="1"/>
  <c r="C1000"/>
  <c r="C999"/>
  <c r="B999" s="1"/>
  <c r="C998"/>
  <c r="C997"/>
  <c r="D997" s="1"/>
  <c r="C996"/>
  <c r="C995"/>
  <c r="B995" s="1"/>
  <c r="C994"/>
  <c r="B994" s="1"/>
  <c r="C993"/>
  <c r="D993" s="1"/>
  <c r="C992"/>
  <c r="C991"/>
  <c r="B991" s="1"/>
  <c r="C990"/>
  <c r="C989"/>
  <c r="D989" s="1"/>
  <c r="C988"/>
  <c r="C987"/>
  <c r="C986"/>
  <c r="B986" s="1"/>
  <c r="C985"/>
  <c r="D985" s="1"/>
  <c r="B985"/>
  <c r="C984"/>
  <c r="B984" s="1"/>
  <c r="C983"/>
  <c r="B983" s="1"/>
  <c r="C982"/>
  <c r="B982" s="1"/>
  <c r="C981"/>
  <c r="D981" s="1"/>
  <c r="C980"/>
  <c r="B980" s="1"/>
  <c r="C979"/>
  <c r="C978"/>
  <c r="B978" s="1"/>
  <c r="C977"/>
  <c r="D977" s="1"/>
  <c r="C976"/>
  <c r="B976" s="1"/>
  <c r="C975"/>
  <c r="B975" s="1"/>
  <c r="C974"/>
  <c r="B974" s="1"/>
  <c r="C973"/>
  <c r="D973" s="1"/>
  <c r="C972"/>
  <c r="B972" s="1"/>
  <c r="C971"/>
  <c r="C970"/>
  <c r="B970" s="1"/>
  <c r="C969"/>
  <c r="D969" s="1"/>
  <c r="C968"/>
  <c r="B968" s="1"/>
  <c r="C967"/>
  <c r="B967" s="1"/>
  <c r="C966"/>
  <c r="B966" s="1"/>
  <c r="C965"/>
  <c r="D965" s="1"/>
  <c r="C964"/>
  <c r="B964" s="1"/>
  <c r="C963"/>
  <c r="C962"/>
  <c r="B962" s="1"/>
  <c r="C961"/>
  <c r="D961" s="1"/>
  <c r="C960"/>
  <c r="B960" s="1"/>
  <c r="C959"/>
  <c r="B959" s="1"/>
  <c r="C958"/>
  <c r="B958" s="1"/>
  <c r="C957"/>
  <c r="D957" s="1"/>
  <c r="C956"/>
  <c r="B956" s="1"/>
  <c r="C955"/>
  <c r="C954"/>
  <c r="B954" s="1"/>
  <c r="C953"/>
  <c r="D953" s="1"/>
  <c r="C952"/>
  <c r="B952" s="1"/>
  <c r="C951"/>
  <c r="B951" s="1"/>
  <c r="C950"/>
  <c r="B950" s="1"/>
  <c r="C949"/>
  <c r="D949" s="1"/>
  <c r="C948"/>
  <c r="B948" s="1"/>
  <c r="C947"/>
  <c r="C946"/>
  <c r="B946" s="1"/>
  <c r="C945"/>
  <c r="D945" s="1"/>
  <c r="C944"/>
  <c r="B944" s="1"/>
  <c r="C943"/>
  <c r="B943" s="1"/>
  <c r="C942"/>
  <c r="B942" s="1"/>
  <c r="C941"/>
  <c r="D941" s="1"/>
  <c r="C940"/>
  <c r="B940" s="1"/>
  <c r="C939"/>
  <c r="C938"/>
  <c r="B938" s="1"/>
  <c r="C937"/>
  <c r="D937" s="1"/>
  <c r="C936"/>
  <c r="B936" s="1"/>
  <c r="C935"/>
  <c r="B935" s="1"/>
  <c r="C934"/>
  <c r="B934" s="1"/>
  <c r="C933"/>
  <c r="D933" s="1"/>
  <c r="C932"/>
  <c r="B932" s="1"/>
  <c r="C931"/>
  <c r="C930"/>
  <c r="B930" s="1"/>
  <c r="C929"/>
  <c r="D929" s="1"/>
  <c r="C928"/>
  <c r="B928" s="1"/>
  <c r="C927"/>
  <c r="B927" s="1"/>
  <c r="C926"/>
  <c r="B926" s="1"/>
  <c r="C925"/>
  <c r="D925" s="1"/>
  <c r="C924"/>
  <c r="B924" s="1"/>
  <c r="C923"/>
  <c r="C922"/>
  <c r="B922" s="1"/>
  <c r="C921"/>
  <c r="D921" s="1"/>
  <c r="B921"/>
  <c r="C920"/>
  <c r="B920" s="1"/>
  <c r="C919"/>
  <c r="B919" s="1"/>
  <c r="C918"/>
  <c r="B918" s="1"/>
  <c r="C917"/>
  <c r="D917" s="1"/>
  <c r="C916"/>
  <c r="B916" s="1"/>
  <c r="C915"/>
  <c r="C914"/>
  <c r="B914" s="1"/>
  <c r="C913"/>
  <c r="D913" s="1"/>
  <c r="C912"/>
  <c r="B912" s="1"/>
  <c r="C911"/>
  <c r="B911" s="1"/>
  <c r="C910"/>
  <c r="B910" s="1"/>
  <c r="C909"/>
  <c r="D909" s="1"/>
  <c r="C908"/>
  <c r="B908" s="1"/>
  <c r="C907"/>
  <c r="C906"/>
  <c r="B906" s="1"/>
  <c r="C905"/>
  <c r="D905" s="1"/>
  <c r="C904"/>
  <c r="B904" s="1"/>
  <c r="C903"/>
  <c r="B903" s="1"/>
  <c r="C902"/>
  <c r="B902" s="1"/>
  <c r="C901"/>
  <c r="D901" s="1"/>
  <c r="C900"/>
  <c r="B900" s="1"/>
  <c r="C899"/>
  <c r="C898"/>
  <c r="B898" s="1"/>
  <c r="C897"/>
  <c r="D897" s="1"/>
  <c r="C896"/>
  <c r="B896" s="1"/>
  <c r="C895"/>
  <c r="B895" s="1"/>
  <c r="C894"/>
  <c r="B894" s="1"/>
  <c r="C893"/>
  <c r="D893" s="1"/>
  <c r="C892"/>
  <c r="B892" s="1"/>
  <c r="C891"/>
  <c r="C890"/>
  <c r="B890" s="1"/>
  <c r="C889"/>
  <c r="D889" s="1"/>
  <c r="C888"/>
  <c r="B888" s="1"/>
  <c r="C887"/>
  <c r="B887" s="1"/>
  <c r="C886"/>
  <c r="B886" s="1"/>
  <c r="C885"/>
  <c r="D885" s="1"/>
  <c r="C884"/>
  <c r="B884" s="1"/>
  <c r="C883"/>
  <c r="C882"/>
  <c r="B882" s="1"/>
  <c r="C881"/>
  <c r="D881" s="1"/>
  <c r="C880"/>
  <c r="B880" s="1"/>
  <c r="C879"/>
  <c r="B879" s="1"/>
  <c r="C878"/>
  <c r="B878" s="1"/>
  <c r="C877"/>
  <c r="D877" s="1"/>
  <c r="C876"/>
  <c r="B876" s="1"/>
  <c r="C875"/>
  <c r="C874"/>
  <c r="B874" s="1"/>
  <c r="C873"/>
  <c r="D873" s="1"/>
  <c r="C872"/>
  <c r="B872" s="1"/>
  <c r="C871"/>
  <c r="B871" s="1"/>
  <c r="C870"/>
  <c r="B870" s="1"/>
  <c r="C869"/>
  <c r="D869" s="1"/>
  <c r="C868"/>
  <c r="B868" s="1"/>
  <c r="C867"/>
  <c r="C866"/>
  <c r="B866" s="1"/>
  <c r="C865"/>
  <c r="D865" s="1"/>
  <c r="C864"/>
  <c r="B864" s="1"/>
  <c r="C863"/>
  <c r="B863" s="1"/>
  <c r="C862"/>
  <c r="B862" s="1"/>
  <c r="C861"/>
  <c r="D861" s="1"/>
  <c r="C860"/>
  <c r="B860" s="1"/>
  <c r="C859"/>
  <c r="C858"/>
  <c r="B858" s="1"/>
  <c r="C857"/>
  <c r="D857" s="1"/>
  <c r="B857"/>
  <c r="C856"/>
  <c r="B856" s="1"/>
  <c r="C855"/>
  <c r="B855" s="1"/>
  <c r="C854"/>
  <c r="B854" s="1"/>
  <c r="C853"/>
  <c r="D853" s="1"/>
  <c r="C852"/>
  <c r="B852" s="1"/>
  <c r="C851"/>
  <c r="C850"/>
  <c r="B850" s="1"/>
  <c r="C849"/>
  <c r="D849" s="1"/>
  <c r="C848"/>
  <c r="B848" s="1"/>
  <c r="C847"/>
  <c r="B847" s="1"/>
  <c r="C846"/>
  <c r="B846" s="1"/>
  <c r="C845"/>
  <c r="C844"/>
  <c r="C843"/>
  <c r="D843" s="1"/>
  <c r="C842"/>
  <c r="B842" s="1"/>
  <c r="C841"/>
  <c r="B841" s="1"/>
  <c r="C840"/>
  <c r="B840" s="1"/>
  <c r="C839"/>
  <c r="D839" s="1"/>
  <c r="C838"/>
  <c r="D838" s="1"/>
  <c r="C837"/>
  <c r="B837" s="1"/>
  <c r="C836"/>
  <c r="D836" s="1"/>
  <c r="C835"/>
  <c r="C834"/>
  <c r="D834" s="1"/>
  <c r="C833"/>
  <c r="B833" s="1"/>
  <c r="C832"/>
  <c r="D832" s="1"/>
  <c r="B832"/>
  <c r="C831"/>
  <c r="D831" s="1"/>
  <c r="B831"/>
  <c r="C830"/>
  <c r="B830" s="1"/>
  <c r="C829"/>
  <c r="C828"/>
  <c r="C827"/>
  <c r="D827" s="1"/>
  <c r="C826"/>
  <c r="D826" s="1"/>
  <c r="C825"/>
  <c r="B825" s="1"/>
  <c r="C824"/>
  <c r="D824" s="1"/>
  <c r="C823"/>
  <c r="D823" s="1"/>
  <c r="C822"/>
  <c r="D822" s="1"/>
  <c r="D821"/>
  <c r="C821"/>
  <c r="B821" s="1"/>
  <c r="C820"/>
  <c r="D820" s="1"/>
  <c r="C819"/>
  <c r="C818"/>
  <c r="D818" s="1"/>
  <c r="C817"/>
  <c r="B817" s="1"/>
  <c r="C816"/>
  <c r="D816" s="1"/>
  <c r="C815"/>
  <c r="D815" s="1"/>
  <c r="C814"/>
  <c r="B814" s="1"/>
  <c r="C813"/>
  <c r="C812"/>
  <c r="C811"/>
  <c r="D811" s="1"/>
  <c r="B811"/>
  <c r="C810"/>
  <c r="D810" s="1"/>
  <c r="C809"/>
  <c r="B809" s="1"/>
  <c r="C808"/>
  <c r="D808" s="1"/>
  <c r="C807"/>
  <c r="D807" s="1"/>
  <c r="C806"/>
  <c r="D806" s="1"/>
  <c r="D805"/>
  <c r="C805"/>
  <c r="B805" s="1"/>
  <c r="C804"/>
  <c r="D804" s="1"/>
  <c r="C803"/>
  <c r="C802"/>
  <c r="D802" s="1"/>
  <c r="C801"/>
  <c r="B801" s="1"/>
  <c r="C800"/>
  <c r="D800" s="1"/>
  <c r="C799"/>
  <c r="D799" s="1"/>
  <c r="C798"/>
  <c r="B798" s="1"/>
  <c r="C797"/>
  <c r="C796"/>
  <c r="C795"/>
  <c r="D795" s="1"/>
  <c r="C794"/>
  <c r="D794" s="1"/>
  <c r="C793"/>
  <c r="B793" s="1"/>
  <c r="C792"/>
  <c r="D792" s="1"/>
  <c r="C791"/>
  <c r="D791" s="1"/>
  <c r="C790"/>
  <c r="D790" s="1"/>
  <c r="C789"/>
  <c r="B789" s="1"/>
  <c r="C788"/>
  <c r="D788" s="1"/>
  <c r="C787"/>
  <c r="C786"/>
  <c r="D786" s="1"/>
  <c r="C785"/>
  <c r="B785" s="1"/>
  <c r="C784"/>
  <c r="D784" s="1"/>
  <c r="C783"/>
  <c r="D783" s="1"/>
  <c r="C782"/>
  <c r="B782" s="1"/>
  <c r="C781"/>
  <c r="C780"/>
  <c r="C779"/>
  <c r="D779" s="1"/>
  <c r="C778"/>
  <c r="D778" s="1"/>
  <c r="C777"/>
  <c r="B777" s="1"/>
  <c r="C776"/>
  <c r="D776" s="1"/>
  <c r="C775"/>
  <c r="D775" s="1"/>
  <c r="C774"/>
  <c r="D774" s="1"/>
  <c r="C773"/>
  <c r="B773" s="1"/>
  <c r="C772"/>
  <c r="D772" s="1"/>
  <c r="C771"/>
  <c r="C770"/>
  <c r="D770" s="1"/>
  <c r="C769"/>
  <c r="B769" s="1"/>
  <c r="C768"/>
  <c r="D768" s="1"/>
  <c r="C767"/>
  <c r="D767" s="1"/>
  <c r="C766"/>
  <c r="B766" s="1"/>
  <c r="C765"/>
  <c r="C764"/>
  <c r="C763"/>
  <c r="D763" s="1"/>
  <c r="C762"/>
  <c r="D762" s="1"/>
  <c r="C761"/>
  <c r="B761" s="1"/>
  <c r="C760"/>
  <c r="D760" s="1"/>
  <c r="C759"/>
  <c r="D759" s="1"/>
  <c r="C758"/>
  <c r="D758" s="1"/>
  <c r="C757"/>
  <c r="B757" s="1"/>
  <c r="C756"/>
  <c r="D756" s="1"/>
  <c r="C755"/>
  <c r="C754"/>
  <c r="D754" s="1"/>
  <c r="B754"/>
  <c r="C753"/>
  <c r="B753" s="1"/>
  <c r="C752"/>
  <c r="D752" s="1"/>
  <c r="C751"/>
  <c r="D751" s="1"/>
  <c r="B751"/>
  <c r="C750"/>
  <c r="B750" s="1"/>
  <c r="C749"/>
  <c r="C748"/>
  <c r="C747"/>
  <c r="D747" s="1"/>
  <c r="C746"/>
  <c r="B746" s="1"/>
  <c r="C745"/>
  <c r="B745" s="1"/>
  <c r="C744"/>
  <c r="B744" s="1"/>
  <c r="C743"/>
  <c r="D743" s="1"/>
  <c r="C742"/>
  <c r="D742" s="1"/>
  <c r="C741"/>
  <c r="B741" s="1"/>
  <c r="C740"/>
  <c r="D740" s="1"/>
  <c r="C739"/>
  <c r="C738"/>
  <c r="D738" s="1"/>
  <c r="B738"/>
  <c r="C737"/>
  <c r="B737" s="1"/>
  <c r="C736"/>
  <c r="D736" s="1"/>
  <c r="C735"/>
  <c r="D735" s="1"/>
  <c r="C734"/>
  <c r="B734" s="1"/>
  <c r="C733"/>
  <c r="C732"/>
  <c r="C731"/>
  <c r="D731" s="1"/>
  <c r="B731"/>
  <c r="C730"/>
  <c r="B730" s="1"/>
  <c r="C729"/>
  <c r="B729" s="1"/>
  <c r="C728"/>
  <c r="B728" s="1"/>
  <c r="C727"/>
  <c r="D727" s="1"/>
  <c r="C726"/>
  <c r="D726" s="1"/>
  <c r="D725"/>
  <c r="C725"/>
  <c r="B725" s="1"/>
  <c r="C724"/>
  <c r="D724" s="1"/>
  <c r="C723"/>
  <c r="C722"/>
  <c r="D722" s="1"/>
  <c r="C721"/>
  <c r="B721" s="1"/>
  <c r="C720"/>
  <c r="D720" s="1"/>
  <c r="C719"/>
  <c r="D719" s="1"/>
  <c r="C718"/>
  <c r="B718" s="1"/>
  <c r="C717"/>
  <c r="C716"/>
  <c r="C715"/>
  <c r="D715" s="1"/>
  <c r="C714"/>
  <c r="B714" s="1"/>
  <c r="C713"/>
  <c r="B713" s="1"/>
  <c r="C712"/>
  <c r="B712" s="1"/>
  <c r="C711"/>
  <c r="D711" s="1"/>
  <c r="C710"/>
  <c r="D710" s="1"/>
  <c r="C709"/>
  <c r="B709" s="1"/>
  <c r="C708"/>
  <c r="D708" s="1"/>
  <c r="C707"/>
  <c r="C706"/>
  <c r="D706" s="1"/>
  <c r="C705"/>
  <c r="B705" s="1"/>
  <c r="C704"/>
  <c r="D704" s="1"/>
  <c r="C703"/>
  <c r="D703" s="1"/>
  <c r="C702"/>
  <c r="B702" s="1"/>
  <c r="C701"/>
  <c r="C700"/>
  <c r="C699"/>
  <c r="D699" s="1"/>
  <c r="C698"/>
  <c r="B698" s="1"/>
  <c r="C697"/>
  <c r="B697" s="1"/>
  <c r="C696"/>
  <c r="B696" s="1"/>
  <c r="C695"/>
  <c r="D695" s="1"/>
  <c r="C694"/>
  <c r="D694" s="1"/>
  <c r="C693"/>
  <c r="B693" s="1"/>
  <c r="C692"/>
  <c r="D692" s="1"/>
  <c r="C691"/>
  <c r="C690"/>
  <c r="D690" s="1"/>
  <c r="C689"/>
  <c r="B689" s="1"/>
  <c r="C688"/>
  <c r="D688" s="1"/>
  <c r="C687"/>
  <c r="D687" s="1"/>
  <c r="C686"/>
  <c r="B686" s="1"/>
  <c r="C685"/>
  <c r="C684"/>
  <c r="C683"/>
  <c r="D683" s="1"/>
  <c r="C682"/>
  <c r="D682" s="1"/>
  <c r="C681"/>
  <c r="B681" s="1"/>
  <c r="C680"/>
  <c r="D680" s="1"/>
  <c r="C679"/>
  <c r="D679" s="1"/>
  <c r="C678"/>
  <c r="D678" s="1"/>
  <c r="C677"/>
  <c r="B677" s="1"/>
  <c r="C676"/>
  <c r="D676" s="1"/>
  <c r="C675"/>
  <c r="C674"/>
  <c r="D674" s="1"/>
  <c r="C673"/>
  <c r="B673" s="1"/>
  <c r="C672"/>
  <c r="D672" s="1"/>
  <c r="C671"/>
  <c r="D671" s="1"/>
  <c r="C670"/>
  <c r="B670" s="1"/>
  <c r="C669"/>
  <c r="C668"/>
  <c r="C667"/>
  <c r="D667" s="1"/>
  <c r="C666"/>
  <c r="D666" s="1"/>
  <c r="C665"/>
  <c r="B665" s="1"/>
  <c r="C664"/>
  <c r="D664" s="1"/>
  <c r="C663"/>
  <c r="D663" s="1"/>
  <c r="C662"/>
  <c r="D662" s="1"/>
  <c r="C661"/>
  <c r="B661" s="1"/>
  <c r="C660"/>
  <c r="D660" s="1"/>
  <c r="C659"/>
  <c r="C658"/>
  <c r="D658" s="1"/>
  <c r="B658"/>
  <c r="C657"/>
  <c r="B657" s="1"/>
  <c r="C656"/>
  <c r="D656" s="1"/>
  <c r="C655"/>
  <c r="D655" s="1"/>
  <c r="C654"/>
  <c r="B654" s="1"/>
  <c r="C653"/>
  <c r="C652"/>
  <c r="C651"/>
  <c r="D651" s="1"/>
  <c r="B651"/>
  <c r="C650"/>
  <c r="D650" s="1"/>
  <c r="C649"/>
  <c r="B649" s="1"/>
  <c r="C648"/>
  <c r="D648" s="1"/>
  <c r="C647"/>
  <c r="D647" s="1"/>
  <c r="C646"/>
  <c r="D646" s="1"/>
  <c r="D645"/>
  <c r="C645"/>
  <c r="B645" s="1"/>
  <c r="C644"/>
  <c r="D644" s="1"/>
  <c r="C643"/>
  <c r="C642"/>
  <c r="D642" s="1"/>
  <c r="C641"/>
  <c r="B641" s="1"/>
  <c r="C640"/>
  <c r="D640" s="1"/>
  <c r="C639"/>
  <c r="D639" s="1"/>
  <c r="C638"/>
  <c r="B638" s="1"/>
  <c r="C637"/>
  <c r="C636"/>
  <c r="C635"/>
  <c r="D635" s="1"/>
  <c r="D634"/>
  <c r="C634"/>
  <c r="B634"/>
  <c r="C633"/>
  <c r="B633" s="1"/>
  <c r="D632"/>
  <c r="C632"/>
  <c r="B632"/>
  <c r="C631"/>
  <c r="D631" s="1"/>
  <c r="C630"/>
  <c r="D630" s="1"/>
  <c r="C629"/>
  <c r="B629" s="1"/>
  <c r="C628"/>
  <c r="D628" s="1"/>
  <c r="C627"/>
  <c r="C626"/>
  <c r="D626" s="1"/>
  <c r="C625"/>
  <c r="B625" s="1"/>
  <c r="C624"/>
  <c r="D624" s="1"/>
  <c r="C623"/>
  <c r="D623" s="1"/>
  <c r="C622"/>
  <c r="B622" s="1"/>
  <c r="C621"/>
  <c r="C620"/>
  <c r="C619"/>
  <c r="D619" s="1"/>
  <c r="C618"/>
  <c r="B618" s="1"/>
  <c r="C617"/>
  <c r="B617" s="1"/>
  <c r="C616"/>
  <c r="B616" s="1"/>
  <c r="C615"/>
  <c r="D615" s="1"/>
  <c r="C614"/>
  <c r="D614" s="1"/>
  <c r="C613"/>
  <c r="B613" s="1"/>
  <c r="C612"/>
  <c r="D612" s="1"/>
  <c r="C611"/>
  <c r="C610"/>
  <c r="D610" s="1"/>
  <c r="C609"/>
  <c r="B609" s="1"/>
  <c r="C608"/>
  <c r="D608" s="1"/>
  <c r="C607"/>
  <c r="D607" s="1"/>
  <c r="C606"/>
  <c r="B606" s="1"/>
  <c r="C605"/>
  <c r="C604"/>
  <c r="C603"/>
  <c r="D603" s="1"/>
  <c r="C602"/>
  <c r="B602" s="1"/>
  <c r="C601"/>
  <c r="B601" s="1"/>
  <c r="C600"/>
  <c r="B600" s="1"/>
  <c r="C599"/>
  <c r="D599" s="1"/>
  <c r="C598"/>
  <c r="D598" s="1"/>
  <c r="C597"/>
  <c r="B597" s="1"/>
  <c r="C596"/>
  <c r="D596" s="1"/>
  <c r="C595"/>
  <c r="C594"/>
  <c r="D594" s="1"/>
  <c r="C593"/>
  <c r="B593" s="1"/>
  <c r="C592"/>
  <c r="D592" s="1"/>
  <c r="C591"/>
  <c r="D591" s="1"/>
  <c r="C590"/>
  <c r="B590" s="1"/>
  <c r="C589"/>
  <c r="C588"/>
  <c r="C587"/>
  <c r="D587" s="1"/>
  <c r="C586"/>
  <c r="B586" s="1"/>
  <c r="C585"/>
  <c r="B585" s="1"/>
  <c r="C584"/>
  <c r="B584" s="1"/>
  <c r="C583"/>
  <c r="D583" s="1"/>
  <c r="C582"/>
  <c r="D582" s="1"/>
  <c r="C581"/>
  <c r="B581" s="1"/>
  <c r="C580"/>
  <c r="D580" s="1"/>
  <c r="C579"/>
  <c r="C578"/>
  <c r="D578" s="1"/>
  <c r="C577"/>
  <c r="B577" s="1"/>
  <c r="C576"/>
  <c r="D576" s="1"/>
  <c r="B576"/>
  <c r="C575"/>
  <c r="D575" s="1"/>
  <c r="B575"/>
  <c r="C574"/>
  <c r="B574" s="1"/>
  <c r="C573"/>
  <c r="C572"/>
  <c r="C571"/>
  <c r="D571" s="1"/>
  <c r="C570"/>
  <c r="D570" s="1"/>
  <c r="C569"/>
  <c r="B569" s="1"/>
  <c r="C568"/>
  <c r="D568" s="1"/>
  <c r="C567"/>
  <c r="D567" s="1"/>
  <c r="C566"/>
  <c r="D566" s="1"/>
  <c r="D565"/>
  <c r="C565"/>
  <c r="B565" s="1"/>
  <c r="C564"/>
  <c r="D564" s="1"/>
  <c r="C563"/>
  <c r="C562"/>
  <c r="D562" s="1"/>
  <c r="C561"/>
  <c r="B561" s="1"/>
  <c r="C560"/>
  <c r="D560" s="1"/>
  <c r="C559"/>
  <c r="D559" s="1"/>
  <c r="C558"/>
  <c r="B558" s="1"/>
  <c r="C557"/>
  <c r="C556"/>
  <c r="C555"/>
  <c r="D555" s="1"/>
  <c r="B555"/>
  <c r="C554"/>
  <c r="D554" s="1"/>
  <c r="C553"/>
  <c r="B553" s="1"/>
  <c r="C552"/>
  <c r="D552" s="1"/>
  <c r="C551"/>
  <c r="D551" s="1"/>
  <c r="C550"/>
  <c r="D550" s="1"/>
  <c r="D549"/>
  <c r="C549"/>
  <c r="B549" s="1"/>
  <c r="C548"/>
  <c r="D548" s="1"/>
  <c r="C547"/>
  <c r="C546"/>
  <c r="D546" s="1"/>
  <c r="C545"/>
  <c r="B545" s="1"/>
  <c r="C544"/>
  <c r="D544" s="1"/>
  <c r="C543"/>
  <c r="D543" s="1"/>
  <c r="C542"/>
  <c r="B542" s="1"/>
  <c r="C541"/>
  <c r="C540"/>
  <c r="C539"/>
  <c r="D539" s="1"/>
  <c r="C538"/>
  <c r="D538" s="1"/>
  <c r="C537"/>
  <c r="B537" s="1"/>
  <c r="C536"/>
  <c r="D536" s="1"/>
  <c r="C535"/>
  <c r="D535" s="1"/>
  <c r="C534"/>
  <c r="D534" s="1"/>
  <c r="C533"/>
  <c r="B533" s="1"/>
  <c r="C532"/>
  <c r="D532" s="1"/>
  <c r="C531"/>
  <c r="C530"/>
  <c r="D530" s="1"/>
  <c r="C529"/>
  <c r="B529" s="1"/>
  <c r="C528"/>
  <c r="D528" s="1"/>
  <c r="C527"/>
  <c r="D527" s="1"/>
  <c r="C526"/>
  <c r="B526" s="1"/>
  <c r="C525"/>
  <c r="C524"/>
  <c r="C523"/>
  <c r="D523" s="1"/>
  <c r="C522"/>
  <c r="D522" s="1"/>
  <c r="C521"/>
  <c r="B521" s="1"/>
  <c r="C520"/>
  <c r="D520" s="1"/>
  <c r="C519"/>
  <c r="D519" s="1"/>
  <c r="C518"/>
  <c r="D518" s="1"/>
  <c r="C517"/>
  <c r="B517" s="1"/>
  <c r="C516"/>
  <c r="D516" s="1"/>
  <c r="C515"/>
  <c r="C514"/>
  <c r="D514" s="1"/>
  <c r="C513"/>
  <c r="B513" s="1"/>
  <c r="C512"/>
  <c r="D512" s="1"/>
  <c r="C511"/>
  <c r="D511" s="1"/>
  <c r="C510"/>
  <c r="B510" s="1"/>
  <c r="C509"/>
  <c r="C508"/>
  <c r="C507"/>
  <c r="D507" s="1"/>
  <c r="C506"/>
  <c r="D506" s="1"/>
  <c r="C505"/>
  <c r="B505" s="1"/>
  <c r="C504"/>
  <c r="D504" s="1"/>
  <c r="C503"/>
  <c r="D503" s="1"/>
  <c r="C502"/>
  <c r="D502" s="1"/>
  <c r="C501"/>
  <c r="B501" s="1"/>
  <c r="C500"/>
  <c r="D500" s="1"/>
  <c r="C499"/>
  <c r="C498"/>
  <c r="D498" s="1"/>
  <c r="B498"/>
  <c r="C497"/>
  <c r="B497" s="1"/>
  <c r="C496"/>
  <c r="D496" s="1"/>
  <c r="C495"/>
  <c r="D495" s="1"/>
  <c r="B495"/>
  <c r="C494"/>
  <c r="B494" s="1"/>
  <c r="C493"/>
  <c r="C492"/>
  <c r="C491"/>
  <c r="D491" s="1"/>
  <c r="C490"/>
  <c r="B490" s="1"/>
  <c r="C489"/>
  <c r="B489" s="1"/>
  <c r="C488"/>
  <c r="B488" s="1"/>
  <c r="C487"/>
  <c r="D487" s="1"/>
  <c r="C486"/>
  <c r="D486" s="1"/>
  <c r="C485"/>
  <c r="B485" s="1"/>
  <c r="C484"/>
  <c r="D484" s="1"/>
  <c r="C483"/>
  <c r="C482"/>
  <c r="D482" s="1"/>
  <c r="B482"/>
  <c r="C481"/>
  <c r="B481" s="1"/>
  <c r="C480"/>
  <c r="D480" s="1"/>
  <c r="C479"/>
  <c r="D479" s="1"/>
  <c r="C478"/>
  <c r="B478" s="1"/>
  <c r="C477"/>
  <c r="C476"/>
  <c r="C475"/>
  <c r="D475" s="1"/>
  <c r="B475"/>
  <c r="C474"/>
  <c r="B474" s="1"/>
  <c r="C473"/>
  <c r="B473" s="1"/>
  <c r="C472"/>
  <c r="B472" s="1"/>
  <c r="C471"/>
  <c r="D471" s="1"/>
  <c r="C470"/>
  <c r="D470" s="1"/>
  <c r="D469"/>
  <c r="C469"/>
  <c r="B469" s="1"/>
  <c r="C468"/>
  <c r="D468" s="1"/>
  <c r="C467"/>
  <c r="C466"/>
  <c r="D466" s="1"/>
  <c r="C465"/>
  <c r="B465" s="1"/>
  <c r="C464"/>
  <c r="D464" s="1"/>
  <c r="C463"/>
  <c r="D463" s="1"/>
  <c r="C462"/>
  <c r="B462" s="1"/>
  <c r="C461"/>
  <c r="C460"/>
  <c r="C459"/>
  <c r="D459" s="1"/>
  <c r="C458"/>
  <c r="B458" s="1"/>
  <c r="C457"/>
  <c r="B457" s="1"/>
  <c r="C456"/>
  <c r="B456" s="1"/>
  <c r="C455"/>
  <c r="D455" s="1"/>
  <c r="C454"/>
  <c r="D454" s="1"/>
  <c r="C453"/>
  <c r="B453" s="1"/>
  <c r="C452"/>
  <c r="D452" s="1"/>
  <c r="C451"/>
  <c r="C450"/>
  <c r="D450" s="1"/>
  <c r="C449"/>
  <c r="B449" s="1"/>
  <c r="C448"/>
  <c r="D448" s="1"/>
  <c r="C447"/>
  <c r="D447" s="1"/>
  <c r="C446"/>
  <c r="B446" s="1"/>
  <c r="C445"/>
  <c r="C444"/>
  <c r="C443"/>
  <c r="D443" s="1"/>
  <c r="C442"/>
  <c r="B442" s="1"/>
  <c r="C441"/>
  <c r="B441" s="1"/>
  <c r="C440"/>
  <c r="B440" s="1"/>
  <c r="C439"/>
  <c r="D439" s="1"/>
  <c r="C438"/>
  <c r="D438" s="1"/>
  <c r="C437"/>
  <c r="B437" s="1"/>
  <c r="C436"/>
  <c r="D436" s="1"/>
  <c r="C435"/>
  <c r="C434"/>
  <c r="D434" s="1"/>
  <c r="C433"/>
  <c r="B433" s="1"/>
  <c r="C432"/>
  <c r="D432" s="1"/>
  <c r="C431"/>
  <c r="D431" s="1"/>
  <c r="C430"/>
  <c r="B430" s="1"/>
  <c r="C429"/>
  <c r="C428"/>
  <c r="C427"/>
  <c r="D427" s="1"/>
  <c r="C426"/>
  <c r="D426" s="1"/>
  <c r="C425"/>
  <c r="B425" s="1"/>
  <c r="C424"/>
  <c r="D424" s="1"/>
  <c r="C423"/>
  <c r="D423" s="1"/>
  <c r="C422"/>
  <c r="D422" s="1"/>
  <c r="C421"/>
  <c r="B421" s="1"/>
  <c r="C420"/>
  <c r="D420" s="1"/>
  <c r="C419"/>
  <c r="C418"/>
  <c r="D418" s="1"/>
  <c r="C417"/>
  <c r="B417" s="1"/>
  <c r="C416"/>
  <c r="D416" s="1"/>
  <c r="C415"/>
  <c r="D415" s="1"/>
  <c r="C414"/>
  <c r="B414" s="1"/>
  <c r="C413"/>
  <c r="C412"/>
  <c r="C411"/>
  <c r="D411" s="1"/>
  <c r="C410"/>
  <c r="D410" s="1"/>
  <c r="C409"/>
  <c r="B409" s="1"/>
  <c r="C408"/>
  <c r="D408" s="1"/>
  <c r="C407"/>
  <c r="D407" s="1"/>
  <c r="C406"/>
  <c r="D406" s="1"/>
  <c r="C405"/>
  <c r="B405" s="1"/>
  <c r="C404"/>
  <c r="D404" s="1"/>
  <c r="C403"/>
  <c r="C402"/>
  <c r="D402" s="1"/>
  <c r="B402"/>
  <c r="C401"/>
  <c r="B401" s="1"/>
  <c r="C400"/>
  <c r="D400" s="1"/>
  <c r="C399"/>
  <c r="D399" s="1"/>
  <c r="C398"/>
  <c r="B398" s="1"/>
  <c r="C397"/>
  <c r="C396"/>
  <c r="C395"/>
  <c r="D395" s="1"/>
  <c r="B395"/>
  <c r="C394"/>
  <c r="D394" s="1"/>
  <c r="C393"/>
  <c r="B393" s="1"/>
  <c r="C392"/>
  <c r="D392" s="1"/>
  <c r="C391"/>
  <c r="D391" s="1"/>
  <c r="C390"/>
  <c r="D390" s="1"/>
  <c r="D389"/>
  <c r="C389"/>
  <c r="B389" s="1"/>
  <c r="C388"/>
  <c r="D388" s="1"/>
  <c r="C387"/>
  <c r="C386"/>
  <c r="D386" s="1"/>
  <c r="C385"/>
  <c r="B385" s="1"/>
  <c r="C384"/>
  <c r="D384" s="1"/>
  <c r="C383"/>
  <c r="D383" s="1"/>
  <c r="C382"/>
  <c r="B382" s="1"/>
  <c r="C381"/>
  <c r="C380"/>
  <c r="C379"/>
  <c r="D379" s="1"/>
  <c r="D378"/>
  <c r="C378"/>
  <c r="B378"/>
  <c r="C377"/>
  <c r="B377" s="1"/>
  <c r="D376"/>
  <c r="C376"/>
  <c r="B376"/>
  <c r="C375"/>
  <c r="D375" s="1"/>
  <c r="C374"/>
  <c r="D374" s="1"/>
  <c r="C373"/>
  <c r="B373" s="1"/>
  <c r="C372"/>
  <c r="D372" s="1"/>
  <c r="C371"/>
  <c r="C370"/>
  <c r="D370" s="1"/>
  <c r="C369"/>
  <c r="B369" s="1"/>
  <c r="C368"/>
  <c r="D368" s="1"/>
  <c r="C367"/>
  <c r="D367" s="1"/>
  <c r="C366"/>
  <c r="B366" s="1"/>
  <c r="C365"/>
  <c r="C364"/>
  <c r="C363"/>
  <c r="D363" s="1"/>
  <c r="C362"/>
  <c r="B362" s="1"/>
  <c r="C361"/>
  <c r="B361" s="1"/>
  <c r="C360"/>
  <c r="B360" s="1"/>
  <c r="C359"/>
  <c r="D359" s="1"/>
  <c r="C358"/>
  <c r="D358" s="1"/>
  <c r="C357"/>
  <c r="B357" s="1"/>
  <c r="C356"/>
  <c r="D356" s="1"/>
  <c r="C355"/>
  <c r="C354"/>
  <c r="D354" s="1"/>
  <c r="C353"/>
  <c r="B353" s="1"/>
  <c r="C352"/>
  <c r="D352" s="1"/>
  <c r="C351"/>
  <c r="D351" s="1"/>
  <c r="C350"/>
  <c r="B350" s="1"/>
  <c r="C349"/>
  <c r="C348"/>
  <c r="C347"/>
  <c r="D347" s="1"/>
  <c r="C346"/>
  <c r="B346" s="1"/>
  <c r="C345"/>
  <c r="B345" s="1"/>
  <c r="C344"/>
  <c r="B344" s="1"/>
  <c r="C343"/>
  <c r="D343" s="1"/>
  <c r="C342"/>
  <c r="D342" s="1"/>
  <c r="C341"/>
  <c r="B341" s="1"/>
  <c r="C340"/>
  <c r="D340" s="1"/>
  <c r="C339"/>
  <c r="C338"/>
  <c r="D338" s="1"/>
  <c r="C337"/>
  <c r="B337" s="1"/>
  <c r="C336"/>
  <c r="D336" s="1"/>
  <c r="C335"/>
  <c r="D335" s="1"/>
  <c r="C334"/>
  <c r="B334" s="1"/>
  <c r="C333"/>
  <c r="C332"/>
  <c r="C331"/>
  <c r="D331" s="1"/>
  <c r="C330"/>
  <c r="B330" s="1"/>
  <c r="C329"/>
  <c r="B329" s="1"/>
  <c r="C328"/>
  <c r="B328" s="1"/>
  <c r="C327"/>
  <c r="D327" s="1"/>
  <c r="C326"/>
  <c r="D326" s="1"/>
  <c r="C325"/>
  <c r="B325" s="1"/>
  <c r="C324"/>
  <c r="D324" s="1"/>
  <c r="C323"/>
  <c r="C322"/>
  <c r="D322" s="1"/>
  <c r="C321"/>
  <c r="B321" s="1"/>
  <c r="C320"/>
  <c r="D320" s="1"/>
  <c r="B320"/>
  <c r="C319"/>
  <c r="D319" s="1"/>
  <c r="B319"/>
  <c r="C318"/>
  <c r="B318" s="1"/>
  <c r="C317"/>
  <c r="C316"/>
  <c r="C315"/>
  <c r="D315" s="1"/>
  <c r="C314"/>
  <c r="D314" s="1"/>
  <c r="C313"/>
  <c r="B313" s="1"/>
  <c r="C312"/>
  <c r="D312" s="1"/>
  <c r="C311"/>
  <c r="D311" s="1"/>
  <c r="C310"/>
  <c r="D310" s="1"/>
  <c r="D309"/>
  <c r="C309"/>
  <c r="B309" s="1"/>
  <c r="C308"/>
  <c r="D308" s="1"/>
  <c r="C307"/>
  <c r="C306"/>
  <c r="D306" s="1"/>
  <c r="C305"/>
  <c r="B305" s="1"/>
  <c r="C304"/>
  <c r="D304" s="1"/>
  <c r="C303"/>
  <c r="D303" s="1"/>
  <c r="C302"/>
  <c r="B302" s="1"/>
  <c r="C301"/>
  <c r="C300"/>
  <c r="C299"/>
  <c r="D299" s="1"/>
  <c r="B299"/>
  <c r="C298"/>
  <c r="D298" s="1"/>
  <c r="C297"/>
  <c r="B297" s="1"/>
  <c r="C296"/>
  <c r="D296" s="1"/>
  <c r="C295"/>
  <c r="D295" s="1"/>
  <c r="C294"/>
  <c r="D294" s="1"/>
  <c r="D293"/>
  <c r="C293"/>
  <c r="B293" s="1"/>
  <c r="C292"/>
  <c r="D292" s="1"/>
  <c r="C291"/>
  <c r="C290"/>
  <c r="D290" s="1"/>
  <c r="C289"/>
  <c r="B289" s="1"/>
  <c r="C288"/>
  <c r="D288" s="1"/>
  <c r="C287"/>
  <c r="D287" s="1"/>
  <c r="C286"/>
  <c r="B286" s="1"/>
  <c r="C285"/>
  <c r="C284"/>
  <c r="C283"/>
  <c r="D283" s="1"/>
  <c r="C282"/>
  <c r="D282" s="1"/>
  <c r="C281"/>
  <c r="B281" s="1"/>
  <c r="C280"/>
  <c r="D280" s="1"/>
  <c r="C279"/>
  <c r="D279" s="1"/>
  <c r="C278"/>
  <c r="D278" s="1"/>
  <c r="C277"/>
  <c r="B277" s="1"/>
  <c r="C276"/>
  <c r="D276" s="1"/>
  <c r="C275"/>
  <c r="C274"/>
  <c r="D274" s="1"/>
  <c r="C273"/>
  <c r="B273" s="1"/>
  <c r="C272"/>
  <c r="D272" s="1"/>
  <c r="C271"/>
  <c r="D271" s="1"/>
  <c r="C270"/>
  <c r="B270" s="1"/>
  <c r="C269"/>
  <c r="C268"/>
  <c r="C267"/>
  <c r="D267" s="1"/>
  <c r="C266"/>
  <c r="D266" s="1"/>
  <c r="C265"/>
  <c r="B265" s="1"/>
  <c r="C264"/>
  <c r="D264" s="1"/>
  <c r="C263"/>
  <c r="D263" s="1"/>
  <c r="C262"/>
  <c r="D262" s="1"/>
  <c r="C261"/>
  <c r="B261" s="1"/>
  <c r="C260"/>
  <c r="D260" s="1"/>
  <c r="C259"/>
  <c r="C258"/>
  <c r="D258" s="1"/>
  <c r="C257"/>
  <c r="B257" s="1"/>
  <c r="C256"/>
  <c r="D256" s="1"/>
  <c r="C255"/>
  <c r="D255" s="1"/>
  <c r="C254"/>
  <c r="B254" s="1"/>
  <c r="C253"/>
  <c r="C252"/>
  <c r="C251"/>
  <c r="D251" s="1"/>
  <c r="C250"/>
  <c r="D250" s="1"/>
  <c r="C249"/>
  <c r="B249" s="1"/>
  <c r="C248"/>
  <c r="D248" s="1"/>
  <c r="C247"/>
  <c r="D247" s="1"/>
  <c r="C246"/>
  <c r="D246" s="1"/>
  <c r="C245"/>
  <c r="B245" s="1"/>
  <c r="C244"/>
  <c r="D244" s="1"/>
  <c r="C243"/>
  <c r="C242"/>
  <c r="D242" s="1"/>
  <c r="B242"/>
  <c r="C241"/>
  <c r="B241" s="1"/>
  <c r="C240"/>
  <c r="D240" s="1"/>
  <c r="C239"/>
  <c r="D239" s="1"/>
  <c r="B239"/>
  <c r="C238"/>
  <c r="B238" s="1"/>
  <c r="C237"/>
  <c r="C236"/>
  <c r="C235"/>
  <c r="D235" s="1"/>
  <c r="C234"/>
  <c r="B234" s="1"/>
  <c r="C233"/>
  <c r="B233" s="1"/>
  <c r="C232"/>
  <c r="B232" s="1"/>
  <c r="C231"/>
  <c r="D231" s="1"/>
  <c r="C230"/>
  <c r="D230" s="1"/>
  <c r="C229"/>
  <c r="B229" s="1"/>
  <c r="C228"/>
  <c r="D228" s="1"/>
  <c r="C227"/>
  <c r="C226"/>
  <c r="D226" s="1"/>
  <c r="B226"/>
  <c r="C225"/>
  <c r="B225" s="1"/>
  <c r="C224"/>
  <c r="D224" s="1"/>
  <c r="C223"/>
  <c r="D223" s="1"/>
  <c r="C222"/>
  <c r="B222" s="1"/>
  <c r="C221"/>
  <c r="C220"/>
  <c r="C219"/>
  <c r="D219" s="1"/>
  <c r="B219"/>
  <c r="C218"/>
  <c r="B218" s="1"/>
  <c r="C217"/>
  <c r="B217" s="1"/>
  <c r="C216"/>
  <c r="B216" s="1"/>
  <c r="C215"/>
  <c r="D215" s="1"/>
  <c r="C214"/>
  <c r="D214" s="1"/>
  <c r="D213"/>
  <c r="C213"/>
  <c r="B213" s="1"/>
  <c r="C212"/>
  <c r="D212" s="1"/>
  <c r="C211"/>
  <c r="C210"/>
  <c r="D210" s="1"/>
  <c r="C209"/>
  <c r="B209" s="1"/>
  <c r="C208"/>
  <c r="D208" s="1"/>
  <c r="C207"/>
  <c r="D207" s="1"/>
  <c r="C206"/>
  <c r="B206" s="1"/>
  <c r="C205"/>
  <c r="C204"/>
  <c r="C203"/>
  <c r="D203" s="1"/>
  <c r="C202"/>
  <c r="B202" s="1"/>
  <c r="C201"/>
  <c r="B201" s="1"/>
  <c r="C200"/>
  <c r="B200" s="1"/>
  <c r="C199"/>
  <c r="D199" s="1"/>
  <c r="C198"/>
  <c r="D198" s="1"/>
  <c r="C197"/>
  <c r="B197" s="1"/>
  <c r="C196"/>
  <c r="D196" s="1"/>
  <c r="C195"/>
  <c r="C194"/>
  <c r="D194" s="1"/>
  <c r="C193"/>
  <c r="B193" s="1"/>
  <c r="C192"/>
  <c r="D192" s="1"/>
  <c r="C191"/>
  <c r="D191" s="1"/>
  <c r="C190"/>
  <c r="B190" s="1"/>
  <c r="C189"/>
  <c r="C188"/>
  <c r="C187"/>
  <c r="D187" s="1"/>
  <c r="C186"/>
  <c r="B186" s="1"/>
  <c r="C185"/>
  <c r="B185" s="1"/>
  <c r="C184"/>
  <c r="B184" s="1"/>
  <c r="C183"/>
  <c r="D183" s="1"/>
  <c r="C182"/>
  <c r="D182" s="1"/>
  <c r="C181"/>
  <c r="B181" s="1"/>
  <c r="C180"/>
  <c r="D180" s="1"/>
  <c r="C179"/>
  <c r="C178"/>
  <c r="D178" s="1"/>
  <c r="C177"/>
  <c r="B177" s="1"/>
  <c r="C176"/>
  <c r="D176" s="1"/>
  <c r="C175"/>
  <c r="D175" s="1"/>
  <c r="C174"/>
  <c r="B174" s="1"/>
  <c r="C173"/>
  <c r="C172"/>
  <c r="C171"/>
  <c r="D171" s="1"/>
  <c r="C170"/>
  <c r="D170" s="1"/>
  <c r="C169"/>
  <c r="B169" s="1"/>
  <c r="C168"/>
  <c r="D168" s="1"/>
  <c r="C167"/>
  <c r="D167" s="1"/>
  <c r="C166"/>
  <c r="D166" s="1"/>
  <c r="C165"/>
  <c r="B165" s="1"/>
  <c r="C164"/>
  <c r="D164" s="1"/>
  <c r="C163"/>
  <c r="Q6"/>
  <c r="P6"/>
  <c r="D6"/>
  <c r="B6"/>
  <c r="K2"/>
  <c r="D165" l="1"/>
  <c r="B171"/>
  <c r="D181"/>
  <c r="B191"/>
  <c r="B192"/>
  <c r="B248"/>
  <c r="B250"/>
  <c r="D261"/>
  <c r="B267"/>
  <c r="B274"/>
  <c r="D341"/>
  <c r="B347"/>
  <c r="B354"/>
  <c r="B367"/>
  <c r="B370"/>
  <c r="D421"/>
  <c r="B427"/>
  <c r="D437"/>
  <c r="B447"/>
  <c r="B448"/>
  <c r="B504"/>
  <c r="B506"/>
  <c r="D517"/>
  <c r="B523"/>
  <c r="B530"/>
  <c r="D597"/>
  <c r="B603"/>
  <c r="B610"/>
  <c r="B623"/>
  <c r="B626"/>
  <c r="D677"/>
  <c r="B683"/>
  <c r="D693"/>
  <c r="B703"/>
  <c r="B704"/>
  <c r="B760"/>
  <c r="B762"/>
  <c r="D773"/>
  <c r="B779"/>
  <c r="B786"/>
  <c r="B889"/>
  <c r="B953"/>
  <c r="B1017"/>
  <c r="B1081"/>
  <c r="B1145"/>
  <c r="B1209"/>
  <c r="B1273"/>
  <c r="B1337"/>
  <c r="B1401"/>
  <c r="B1465"/>
  <c r="B1529"/>
  <c r="B1574"/>
  <c r="B1592"/>
  <c r="B1593"/>
  <c r="B1596"/>
  <c r="B1598"/>
  <c r="B1600"/>
  <c r="B1640"/>
  <c r="D1850"/>
  <c r="D1851"/>
  <c r="B1857"/>
  <c r="D1859"/>
  <c r="B1865"/>
  <c r="B1868"/>
  <c r="B1870"/>
  <c r="B1872"/>
  <c r="B1876"/>
  <c r="B1878"/>
  <c r="B1880"/>
  <c r="B1993"/>
  <c r="D2000"/>
  <c r="D2003"/>
  <c r="B2005"/>
  <c r="B2007"/>
  <c r="B2121"/>
  <c r="D2128"/>
  <c r="D2131"/>
  <c r="B2133"/>
  <c r="B2135"/>
  <c r="D184"/>
  <c r="D186"/>
  <c r="B203"/>
  <c r="B210"/>
  <c r="D229"/>
  <c r="D245"/>
  <c r="B256"/>
  <c r="B283"/>
  <c r="B290"/>
  <c r="B303"/>
  <c r="B306"/>
  <c r="B312"/>
  <c r="B314"/>
  <c r="D325"/>
  <c r="B363"/>
  <c r="B383"/>
  <c r="D405"/>
  <c r="D440"/>
  <c r="D442"/>
  <c r="B459"/>
  <c r="B466"/>
  <c r="D485"/>
  <c r="D501"/>
  <c r="B512"/>
  <c r="B539"/>
  <c r="B546"/>
  <c r="B559"/>
  <c r="B562"/>
  <c r="B568"/>
  <c r="B570"/>
  <c r="D581"/>
  <c r="B619"/>
  <c r="B639"/>
  <c r="D661"/>
  <c r="D696"/>
  <c r="D698"/>
  <c r="B715"/>
  <c r="B722"/>
  <c r="D741"/>
  <c r="D757"/>
  <c r="B768"/>
  <c r="B795"/>
  <c r="B802"/>
  <c r="B815"/>
  <c r="B818"/>
  <c r="B824"/>
  <c r="B826"/>
  <c r="D837"/>
  <c r="B905"/>
  <c r="B969"/>
  <c r="B1033"/>
  <c r="B1097"/>
  <c r="B1161"/>
  <c r="B1225"/>
  <c r="B1289"/>
  <c r="B1353"/>
  <c r="B1417"/>
  <c r="B1481"/>
  <c r="B1545"/>
  <c r="D1579"/>
  <c r="B1609"/>
  <c r="B1644"/>
  <c r="D1668"/>
  <c r="D1676"/>
  <c r="D1678"/>
  <c r="D1680"/>
  <c r="B1684"/>
  <c r="B1686"/>
  <c r="B1688"/>
  <c r="D1787"/>
  <c r="B1801"/>
  <c r="B1804"/>
  <c r="B1806"/>
  <c r="B1808"/>
  <c r="D1812"/>
  <c r="D1814"/>
  <c r="D1816"/>
  <c r="B1909"/>
  <c r="B1911"/>
  <c r="D1961"/>
  <c r="D1968"/>
  <c r="D1971"/>
  <c r="D1973"/>
  <c r="B2025"/>
  <c r="B2037"/>
  <c r="B2039"/>
  <c r="D2089"/>
  <c r="D2096"/>
  <c r="D2099"/>
  <c r="D2101"/>
  <c r="B2153"/>
  <c r="B2165"/>
  <c r="B2167"/>
  <c r="B175"/>
  <c r="B178"/>
  <c r="D197"/>
  <c r="B235"/>
  <c r="B255"/>
  <c r="D277"/>
  <c r="B331"/>
  <c r="B338"/>
  <c r="D357"/>
  <c r="D373"/>
  <c r="B384"/>
  <c r="B411"/>
  <c r="B418"/>
  <c r="B431"/>
  <c r="B434"/>
  <c r="D453"/>
  <c r="B491"/>
  <c r="B511"/>
  <c r="D533"/>
  <c r="B587"/>
  <c r="B594"/>
  <c r="D613"/>
  <c r="D629"/>
  <c r="B640"/>
  <c r="B667"/>
  <c r="B674"/>
  <c r="B687"/>
  <c r="B690"/>
  <c r="D709"/>
  <c r="B747"/>
  <c r="B767"/>
  <c r="D789"/>
  <c r="B843"/>
  <c r="B873"/>
  <c r="B937"/>
  <c r="B1001"/>
  <c r="B1065"/>
  <c r="B1129"/>
  <c r="B1193"/>
  <c r="B1257"/>
  <c r="B1321"/>
  <c r="B1385"/>
  <c r="B1449"/>
  <c r="B1513"/>
  <c r="B1568"/>
  <c r="B1588"/>
  <c r="B1636"/>
  <c r="B1654"/>
  <c r="B1665"/>
  <c r="B1670"/>
  <c r="B1673"/>
  <c r="D1786"/>
  <c r="B1793"/>
  <c r="D1795"/>
  <c r="D1904"/>
  <c r="D1907"/>
  <c r="B1975"/>
  <c r="D2032"/>
  <c r="D2035"/>
  <c r="B2103"/>
  <c r="D2160"/>
  <c r="D2163"/>
  <c r="B164"/>
  <c r="B166"/>
  <c r="B168"/>
  <c r="B170"/>
  <c r="D174"/>
  <c r="B180"/>
  <c r="B182"/>
  <c r="B199"/>
  <c r="D200"/>
  <c r="D202"/>
  <c r="B208"/>
  <c r="B215"/>
  <c r="D216"/>
  <c r="D218"/>
  <c r="B224"/>
  <c r="B231"/>
  <c r="D232"/>
  <c r="D234"/>
  <c r="B251"/>
  <c r="B260"/>
  <c r="B262"/>
  <c r="B264"/>
  <c r="B266"/>
  <c r="B271"/>
  <c r="B276"/>
  <c r="B278"/>
  <c r="B280"/>
  <c r="B282"/>
  <c r="B287"/>
  <c r="B292"/>
  <c r="B294"/>
  <c r="B296"/>
  <c r="B298"/>
  <c r="D302"/>
  <c r="B308"/>
  <c r="B310"/>
  <c r="B327"/>
  <c r="D328"/>
  <c r="D330"/>
  <c r="B336"/>
  <c r="B343"/>
  <c r="D344"/>
  <c r="D346"/>
  <c r="B352"/>
  <c r="B359"/>
  <c r="D360"/>
  <c r="D362"/>
  <c r="B379"/>
  <c r="B388"/>
  <c r="B390"/>
  <c r="B392"/>
  <c r="B394"/>
  <c r="B399"/>
  <c r="B404"/>
  <c r="B406"/>
  <c r="B408"/>
  <c r="B410"/>
  <c r="B415"/>
  <c r="B420"/>
  <c r="B422"/>
  <c r="B424"/>
  <c r="B426"/>
  <c r="D430"/>
  <c r="B436"/>
  <c r="B438"/>
  <c r="B455"/>
  <c r="D456"/>
  <c r="D458"/>
  <c r="B464"/>
  <c r="B471"/>
  <c r="D472"/>
  <c r="D474"/>
  <c r="B480"/>
  <c r="B487"/>
  <c r="D488"/>
  <c r="D490"/>
  <c r="B507"/>
  <c r="B516"/>
  <c r="B518"/>
  <c r="B520"/>
  <c r="B522"/>
  <c r="B527"/>
  <c r="B532"/>
  <c r="B534"/>
  <c r="B536"/>
  <c r="B538"/>
  <c r="B543"/>
  <c r="B548"/>
  <c r="B550"/>
  <c r="B552"/>
  <c r="B554"/>
  <c r="D558"/>
  <c r="B564"/>
  <c r="B566"/>
  <c r="B583"/>
  <c r="D584"/>
  <c r="D586"/>
  <c r="B592"/>
  <c r="B599"/>
  <c r="D600"/>
  <c r="D602"/>
  <c r="B608"/>
  <c r="B615"/>
  <c r="D616"/>
  <c r="D618"/>
  <c r="B635"/>
  <c r="B644"/>
  <c r="B646"/>
  <c r="B648"/>
  <c r="B650"/>
  <c r="B655"/>
  <c r="B660"/>
  <c r="B662"/>
  <c r="B664"/>
  <c r="B666"/>
  <c r="B671"/>
  <c r="B676"/>
  <c r="B678"/>
  <c r="B680"/>
  <c r="B682"/>
  <c r="D686"/>
  <c r="B692"/>
  <c r="B694"/>
  <c r="B711"/>
  <c r="D712"/>
  <c r="D714"/>
  <c r="B720"/>
  <c r="B727"/>
  <c r="D728"/>
  <c r="D730"/>
  <c r="B736"/>
  <c r="B743"/>
  <c r="D744"/>
  <c r="D746"/>
  <c r="B763"/>
  <c r="B772"/>
  <c r="B774"/>
  <c r="B776"/>
  <c r="B778"/>
  <c r="B783"/>
  <c r="B788"/>
  <c r="B790"/>
  <c r="B792"/>
  <c r="B794"/>
  <c r="B799"/>
  <c r="B804"/>
  <c r="B806"/>
  <c r="B808"/>
  <c r="B810"/>
  <c r="D814"/>
  <c r="B820"/>
  <c r="B822"/>
  <c r="B839"/>
  <c r="D840"/>
  <c r="D842"/>
  <c r="B849"/>
  <c r="B881"/>
  <c r="B913"/>
  <c r="B945"/>
  <c r="B977"/>
  <c r="B1009"/>
  <c r="B1041"/>
  <c r="B1073"/>
  <c r="B1105"/>
  <c r="B1137"/>
  <c r="B1169"/>
  <c r="B1201"/>
  <c r="B1233"/>
  <c r="B1265"/>
  <c r="B1297"/>
  <c r="B1329"/>
  <c r="B1361"/>
  <c r="B1393"/>
  <c r="B1425"/>
  <c r="B1457"/>
  <c r="B1489"/>
  <c r="B1521"/>
  <c r="B1553"/>
  <c r="B1566"/>
  <c r="B1572"/>
  <c r="B1580"/>
  <c r="B1585"/>
  <c r="D1587"/>
  <c r="B1590"/>
  <c r="B1601"/>
  <c r="B1604"/>
  <c r="B1606"/>
  <c r="B1608"/>
  <c r="B1632"/>
  <c r="B1638"/>
  <c r="D1643"/>
  <c r="B1646"/>
  <c r="B1656"/>
  <c r="D1660"/>
  <c r="D1662"/>
  <c r="D1664"/>
  <c r="D1690"/>
  <c r="B1697"/>
  <c r="D1699"/>
  <c r="D1708"/>
  <c r="D1710"/>
  <c r="D1712"/>
  <c r="B1716"/>
  <c r="B1718"/>
  <c r="B1720"/>
  <c r="D1755"/>
  <c r="B1769"/>
  <c r="B1772"/>
  <c r="B1774"/>
  <c r="B1776"/>
  <c r="D1780"/>
  <c r="D1782"/>
  <c r="D1784"/>
  <c r="D1818"/>
  <c r="B1825"/>
  <c r="D1827"/>
  <c r="D1836"/>
  <c r="D1838"/>
  <c r="D1840"/>
  <c r="B1844"/>
  <c r="B1846"/>
  <c r="B1848"/>
  <c r="D1883"/>
  <c r="B1897"/>
  <c r="D1913"/>
  <c r="D1920"/>
  <c r="D1923"/>
  <c r="D1925"/>
  <c r="B1945"/>
  <c r="B1957"/>
  <c r="B1959"/>
  <c r="D1977"/>
  <c r="D1984"/>
  <c r="D1987"/>
  <c r="D1989"/>
  <c r="B2009"/>
  <c r="B2021"/>
  <c r="B2023"/>
  <c r="D2041"/>
  <c r="D2048"/>
  <c r="D2051"/>
  <c r="D2053"/>
  <c r="B2073"/>
  <c r="B2085"/>
  <c r="B2087"/>
  <c r="D2105"/>
  <c r="D2112"/>
  <c r="D2115"/>
  <c r="D2117"/>
  <c r="B2137"/>
  <c r="B2149"/>
  <c r="B2151"/>
  <c r="D2169"/>
  <c r="D2176"/>
  <c r="D2179"/>
  <c r="D2181"/>
  <c r="B167"/>
  <c r="B187"/>
  <c r="B196"/>
  <c r="B198"/>
  <c r="B207"/>
  <c r="B212"/>
  <c r="B214"/>
  <c r="B223"/>
  <c r="B228"/>
  <c r="B230"/>
  <c r="D238"/>
  <c r="B244"/>
  <c r="B246"/>
  <c r="B263"/>
  <c r="B272"/>
  <c r="B279"/>
  <c r="B288"/>
  <c r="B295"/>
  <c r="B315"/>
  <c r="B324"/>
  <c r="B326"/>
  <c r="B335"/>
  <c r="B340"/>
  <c r="B342"/>
  <c r="B351"/>
  <c r="B356"/>
  <c r="B358"/>
  <c r="D366"/>
  <c r="B372"/>
  <c r="B374"/>
  <c r="B391"/>
  <c r="B400"/>
  <c r="B407"/>
  <c r="B416"/>
  <c r="B423"/>
  <c r="B443"/>
  <c r="B452"/>
  <c r="B454"/>
  <c r="B463"/>
  <c r="B468"/>
  <c r="B470"/>
  <c r="B479"/>
  <c r="B484"/>
  <c r="B486"/>
  <c r="D494"/>
  <c r="B500"/>
  <c r="B502"/>
  <c r="B519"/>
  <c r="B528"/>
  <c r="B535"/>
  <c r="B544"/>
  <c r="B551"/>
  <c r="B571"/>
  <c r="B580"/>
  <c r="B582"/>
  <c r="B591"/>
  <c r="B596"/>
  <c r="B598"/>
  <c r="B607"/>
  <c r="B612"/>
  <c r="B614"/>
  <c r="D622"/>
  <c r="B628"/>
  <c r="B630"/>
  <c r="B647"/>
  <c r="B656"/>
  <c r="B663"/>
  <c r="B672"/>
  <c r="B679"/>
  <c r="B699"/>
  <c r="B708"/>
  <c r="B710"/>
  <c r="B719"/>
  <c r="B724"/>
  <c r="B726"/>
  <c r="B735"/>
  <c r="B740"/>
  <c r="B742"/>
  <c r="D750"/>
  <c r="B756"/>
  <c r="B758"/>
  <c r="B775"/>
  <c r="B784"/>
  <c r="B791"/>
  <c r="B800"/>
  <c r="B807"/>
  <c r="B827"/>
  <c r="B836"/>
  <c r="B838"/>
  <c r="B865"/>
  <c r="B897"/>
  <c r="B929"/>
  <c r="B961"/>
  <c r="B993"/>
  <c r="B1025"/>
  <c r="B1057"/>
  <c r="B1089"/>
  <c r="B1121"/>
  <c r="B1153"/>
  <c r="B1185"/>
  <c r="B1217"/>
  <c r="B1249"/>
  <c r="B1281"/>
  <c r="B1313"/>
  <c r="B1345"/>
  <c r="B1377"/>
  <c r="B1409"/>
  <c r="B1441"/>
  <c r="B1473"/>
  <c r="B1505"/>
  <c r="B1537"/>
  <c r="B1576"/>
  <c r="B1584"/>
  <c r="D1610"/>
  <c r="B1625"/>
  <c r="B1628"/>
  <c r="B1652"/>
  <c r="B1657"/>
  <c r="D1691"/>
  <c r="B1705"/>
  <c r="D1754"/>
  <c r="B1761"/>
  <c r="D1763"/>
  <c r="D1819"/>
  <c r="B1833"/>
  <c r="D1882"/>
  <c r="B1889"/>
  <c r="D1891"/>
  <c r="B1927"/>
  <c r="D1952"/>
  <c r="D1955"/>
  <c r="B1991"/>
  <c r="D2016"/>
  <c r="D2019"/>
  <c r="B2055"/>
  <c r="D2080"/>
  <c r="D2083"/>
  <c r="B2119"/>
  <c r="D2144"/>
  <c r="D2147"/>
  <c r="B2183"/>
  <c r="D220"/>
  <c r="B220"/>
  <c r="D243"/>
  <c r="B243"/>
  <c r="D348"/>
  <c r="B348"/>
  <c r="D412"/>
  <c r="B412"/>
  <c r="D604"/>
  <c r="B604"/>
  <c r="B653"/>
  <c r="D653"/>
  <c r="D668"/>
  <c r="B668"/>
  <c r="D691"/>
  <c r="B691"/>
  <c r="B1008"/>
  <c r="D1008"/>
  <c r="B1072"/>
  <c r="D1072"/>
  <c r="B1100"/>
  <c r="D1100"/>
  <c r="B1118"/>
  <c r="D1118"/>
  <c r="B1150"/>
  <c r="D1150"/>
  <c r="B1196"/>
  <c r="D1196"/>
  <c r="B1260"/>
  <c r="D1260"/>
  <c r="B1278"/>
  <c r="D1278"/>
  <c r="B1310"/>
  <c r="D1310"/>
  <c r="B1388"/>
  <c r="D1388"/>
  <c r="B1420"/>
  <c r="D1420"/>
  <c r="B1438"/>
  <c r="D1438"/>
  <c r="B1520"/>
  <c r="D1520"/>
  <c r="B1552"/>
  <c r="D1552"/>
  <c r="B1692"/>
  <c r="D1692"/>
  <c r="B1768"/>
  <c r="D1768"/>
  <c r="B1843"/>
  <c r="D1843"/>
  <c r="B1892"/>
  <c r="D1892"/>
  <c r="B1899"/>
  <c r="D1899"/>
  <c r="D1933"/>
  <c r="B1933"/>
  <c r="B1944"/>
  <c r="D1944"/>
  <c r="B1963"/>
  <c r="D1963"/>
  <c r="D259"/>
  <c r="B259"/>
  <c r="B285"/>
  <c r="D285"/>
  <c r="D300"/>
  <c r="B300"/>
  <c r="D318"/>
  <c r="D323"/>
  <c r="B323"/>
  <c r="B349"/>
  <c r="D349"/>
  <c r="D364"/>
  <c r="B364"/>
  <c r="D382"/>
  <c r="D387"/>
  <c r="B387"/>
  <c r="B413"/>
  <c r="D413"/>
  <c r="D428"/>
  <c r="B428"/>
  <c r="D446"/>
  <c r="D451"/>
  <c r="B451"/>
  <c r="B477"/>
  <c r="D477"/>
  <c r="D492"/>
  <c r="B492"/>
  <c r="D510"/>
  <c r="D515"/>
  <c r="B515"/>
  <c r="B541"/>
  <c r="D541"/>
  <c r="D556"/>
  <c r="B556"/>
  <c r="D574"/>
  <c r="D579"/>
  <c r="B579"/>
  <c r="B605"/>
  <c r="D605"/>
  <c r="D620"/>
  <c r="B620"/>
  <c r="D638"/>
  <c r="D643"/>
  <c r="B643"/>
  <c r="B669"/>
  <c r="D669"/>
  <c r="D684"/>
  <c r="B684"/>
  <c r="D702"/>
  <c r="D707"/>
  <c r="B707"/>
  <c r="B733"/>
  <c r="D733"/>
  <c r="D748"/>
  <c r="B748"/>
  <c r="D766"/>
  <c r="D771"/>
  <c r="B771"/>
  <c r="B797"/>
  <c r="D797"/>
  <c r="D812"/>
  <c r="B812"/>
  <c r="D830"/>
  <c r="D835"/>
  <c r="B835"/>
  <c r="D848"/>
  <c r="B851"/>
  <c r="D851"/>
  <c r="D856"/>
  <c r="B859"/>
  <c r="D859"/>
  <c r="D864"/>
  <c r="B867"/>
  <c r="D867"/>
  <c r="D872"/>
  <c r="B875"/>
  <c r="D875"/>
  <c r="D880"/>
  <c r="B883"/>
  <c r="D883"/>
  <c r="D888"/>
  <c r="B891"/>
  <c r="D891"/>
  <c r="D896"/>
  <c r="B899"/>
  <c r="D899"/>
  <c r="D904"/>
  <c r="B907"/>
  <c r="D907"/>
  <c r="D912"/>
  <c r="B915"/>
  <c r="D915"/>
  <c r="D920"/>
  <c r="B923"/>
  <c r="D923"/>
  <c r="D928"/>
  <c r="B931"/>
  <c r="D931"/>
  <c r="D936"/>
  <c r="B939"/>
  <c r="D939"/>
  <c r="D944"/>
  <c r="B947"/>
  <c r="D947"/>
  <c r="D952"/>
  <c r="B955"/>
  <c r="D955"/>
  <c r="D960"/>
  <c r="B963"/>
  <c r="D963"/>
  <c r="D968"/>
  <c r="B971"/>
  <c r="D971"/>
  <c r="D976"/>
  <c r="B979"/>
  <c r="D979"/>
  <c r="D984"/>
  <c r="B987"/>
  <c r="D987"/>
  <c r="B998"/>
  <c r="D998"/>
  <c r="B1012"/>
  <c r="D1012"/>
  <c r="B1016"/>
  <c r="D1016"/>
  <c r="B1030"/>
  <c r="D1030"/>
  <c r="B1044"/>
  <c r="D1044"/>
  <c r="B1048"/>
  <c r="D1048"/>
  <c r="B1062"/>
  <c r="D1062"/>
  <c r="B1076"/>
  <c r="D1076"/>
  <c r="B1080"/>
  <c r="D1080"/>
  <c r="B1094"/>
  <c r="D1094"/>
  <c r="B1108"/>
  <c r="D1108"/>
  <c r="B1112"/>
  <c r="D1112"/>
  <c r="B1126"/>
  <c r="D1126"/>
  <c r="B1140"/>
  <c r="D1140"/>
  <c r="B1144"/>
  <c r="D1144"/>
  <c r="B1158"/>
  <c r="D1158"/>
  <c r="B1172"/>
  <c r="D1172"/>
  <c r="B1176"/>
  <c r="D1176"/>
  <c r="B1190"/>
  <c r="D1190"/>
  <c r="B1204"/>
  <c r="D1204"/>
  <c r="B1208"/>
  <c r="D1208"/>
  <c r="B1222"/>
  <c r="D1222"/>
  <c r="B1236"/>
  <c r="D1236"/>
  <c r="B1240"/>
  <c r="D1240"/>
  <c r="B1254"/>
  <c r="D1254"/>
  <c r="B1268"/>
  <c r="D1268"/>
  <c r="B1272"/>
  <c r="D1272"/>
  <c r="B1286"/>
  <c r="D1286"/>
  <c r="B1300"/>
  <c r="D1300"/>
  <c r="B1304"/>
  <c r="D1304"/>
  <c r="B1318"/>
  <c r="D1318"/>
  <c r="B1332"/>
  <c r="D1332"/>
  <c r="B1336"/>
  <c r="D1336"/>
  <c r="B1350"/>
  <c r="D1350"/>
  <c r="B1364"/>
  <c r="D1364"/>
  <c r="B1368"/>
  <c r="D1368"/>
  <c r="B1382"/>
  <c r="D1382"/>
  <c r="B1396"/>
  <c r="D1396"/>
  <c r="B1400"/>
  <c r="D1400"/>
  <c r="B1414"/>
  <c r="D1414"/>
  <c r="B1428"/>
  <c r="D1428"/>
  <c r="B1432"/>
  <c r="D1432"/>
  <c r="B1446"/>
  <c r="D1446"/>
  <c r="B1460"/>
  <c r="D1460"/>
  <c r="B1464"/>
  <c r="D1464"/>
  <c r="B1478"/>
  <c r="D1478"/>
  <c r="B1492"/>
  <c r="D1492"/>
  <c r="B1496"/>
  <c r="D1496"/>
  <c r="B1510"/>
  <c r="D1510"/>
  <c r="B1524"/>
  <c r="D1524"/>
  <c r="B1528"/>
  <c r="D1528"/>
  <c r="B1542"/>
  <c r="D1542"/>
  <c r="B1556"/>
  <c r="D1556"/>
  <c r="B1560"/>
  <c r="D1560"/>
  <c r="D1577"/>
  <c r="B1577"/>
  <c r="B1595"/>
  <c r="D1595"/>
  <c r="B1612"/>
  <c r="D1612"/>
  <c r="B1616"/>
  <c r="D1616"/>
  <c r="B1626"/>
  <c r="D1626"/>
  <c r="B1667"/>
  <c r="D1667"/>
  <c r="B269"/>
  <c r="D269"/>
  <c r="B333"/>
  <c r="D333"/>
  <c r="B397"/>
  <c r="D397"/>
  <c r="D563"/>
  <c r="B563"/>
  <c r="D627"/>
  <c r="B627"/>
  <c r="B781"/>
  <c r="D781"/>
  <c r="D819"/>
  <c r="B819"/>
  <c r="B845"/>
  <c r="D845"/>
  <c r="B1004"/>
  <c r="D1004"/>
  <c r="B1040"/>
  <c r="D1040"/>
  <c r="B1054"/>
  <c r="D1054"/>
  <c r="B1086"/>
  <c r="D1086"/>
  <c r="B1168"/>
  <c r="D1168"/>
  <c r="B1200"/>
  <c r="D1200"/>
  <c r="B1228"/>
  <c r="D1228"/>
  <c r="B1292"/>
  <c r="D1292"/>
  <c r="B1324"/>
  <c r="D1324"/>
  <c r="B1342"/>
  <c r="D1342"/>
  <c r="B1374"/>
  <c r="D1374"/>
  <c r="B1452"/>
  <c r="D1452"/>
  <c r="B1470"/>
  <c r="D1470"/>
  <c r="B1502"/>
  <c r="D1502"/>
  <c r="B1534"/>
  <c r="D1534"/>
  <c r="B1562"/>
  <c r="D1562"/>
  <c r="B1622"/>
  <c r="D1622"/>
  <c r="B1696"/>
  <c r="D1696"/>
  <c r="D1721"/>
  <c r="B1721"/>
  <c r="D1777"/>
  <c r="B1777"/>
  <c r="B1802"/>
  <c r="D1802"/>
  <c r="B1820"/>
  <c r="D1820"/>
  <c r="B1896"/>
  <c r="D1896"/>
  <c r="D195"/>
  <c r="B195"/>
  <c r="B221"/>
  <c r="D221"/>
  <c r="D236"/>
  <c r="B236"/>
  <c r="D254"/>
  <c r="D206"/>
  <c r="D211"/>
  <c r="B211"/>
  <c r="D252"/>
  <c r="B252"/>
  <c r="D270"/>
  <c r="D275"/>
  <c r="B275"/>
  <c r="B301"/>
  <c r="D301"/>
  <c r="D316"/>
  <c r="B316"/>
  <c r="D334"/>
  <c r="D339"/>
  <c r="B339"/>
  <c r="B365"/>
  <c r="D365"/>
  <c r="D380"/>
  <c r="B380"/>
  <c r="D398"/>
  <c r="D403"/>
  <c r="B403"/>
  <c r="B429"/>
  <c r="D429"/>
  <c r="D444"/>
  <c r="B444"/>
  <c r="D462"/>
  <c r="D467"/>
  <c r="B467"/>
  <c r="B493"/>
  <c r="D493"/>
  <c r="D508"/>
  <c r="B508"/>
  <c r="D526"/>
  <c r="D531"/>
  <c r="B531"/>
  <c r="B557"/>
  <c r="D557"/>
  <c r="D572"/>
  <c r="B572"/>
  <c r="D590"/>
  <c r="D595"/>
  <c r="B595"/>
  <c r="B621"/>
  <c r="D621"/>
  <c r="D636"/>
  <c r="B636"/>
  <c r="D654"/>
  <c r="D659"/>
  <c r="B659"/>
  <c r="B685"/>
  <c r="D685"/>
  <c r="D700"/>
  <c r="B700"/>
  <c r="D718"/>
  <c r="D723"/>
  <c r="B723"/>
  <c r="B749"/>
  <c r="D749"/>
  <c r="D764"/>
  <c r="B764"/>
  <c r="D782"/>
  <c r="D787"/>
  <c r="B787"/>
  <c r="B813"/>
  <c r="D813"/>
  <c r="D828"/>
  <c r="B828"/>
  <c r="D846"/>
  <c r="D854"/>
  <c r="D862"/>
  <c r="D870"/>
  <c r="D878"/>
  <c r="D886"/>
  <c r="D894"/>
  <c r="D902"/>
  <c r="D910"/>
  <c r="D918"/>
  <c r="D926"/>
  <c r="D934"/>
  <c r="D942"/>
  <c r="D950"/>
  <c r="D958"/>
  <c r="D966"/>
  <c r="D974"/>
  <c r="D982"/>
  <c r="B988"/>
  <c r="D988"/>
  <c r="B992"/>
  <c r="D992"/>
  <c r="B1006"/>
  <c r="D1006"/>
  <c r="B1020"/>
  <c r="D1020"/>
  <c r="B1024"/>
  <c r="D1024"/>
  <c r="B1038"/>
  <c r="D1038"/>
  <c r="B1052"/>
  <c r="D1052"/>
  <c r="B1056"/>
  <c r="D1056"/>
  <c r="B1070"/>
  <c r="D1070"/>
  <c r="B1084"/>
  <c r="D1084"/>
  <c r="B1088"/>
  <c r="D1088"/>
  <c r="B1102"/>
  <c r="D1102"/>
  <c r="B1116"/>
  <c r="D1116"/>
  <c r="B1120"/>
  <c r="D1120"/>
  <c r="B1134"/>
  <c r="D1134"/>
  <c r="B1148"/>
  <c r="D1148"/>
  <c r="B1152"/>
  <c r="D1152"/>
  <c r="B1166"/>
  <c r="D1166"/>
  <c r="B1180"/>
  <c r="D1180"/>
  <c r="B1184"/>
  <c r="D1184"/>
  <c r="B1198"/>
  <c r="D1198"/>
  <c r="B1212"/>
  <c r="D1212"/>
  <c r="B1216"/>
  <c r="D1216"/>
  <c r="B1230"/>
  <c r="D1230"/>
  <c r="B1244"/>
  <c r="D1244"/>
  <c r="B1248"/>
  <c r="D1248"/>
  <c r="B1262"/>
  <c r="D1262"/>
  <c r="B1276"/>
  <c r="D1276"/>
  <c r="B1280"/>
  <c r="D1280"/>
  <c r="B1294"/>
  <c r="D1294"/>
  <c r="B1308"/>
  <c r="D1308"/>
  <c r="B1312"/>
  <c r="D1312"/>
  <c r="B1326"/>
  <c r="D1326"/>
  <c r="B1340"/>
  <c r="D1340"/>
  <c r="B1344"/>
  <c r="D1344"/>
  <c r="B1358"/>
  <c r="D1358"/>
  <c r="B1372"/>
  <c r="D1372"/>
  <c r="B1376"/>
  <c r="D1376"/>
  <c r="B1390"/>
  <c r="D1390"/>
  <c r="B1404"/>
  <c r="D1404"/>
  <c r="B1408"/>
  <c r="D1408"/>
  <c r="B1422"/>
  <c r="D1422"/>
  <c r="B1436"/>
  <c r="D1436"/>
  <c r="B1440"/>
  <c r="D1440"/>
  <c r="B1454"/>
  <c r="D1454"/>
  <c r="B1468"/>
  <c r="D1468"/>
  <c r="B1472"/>
  <c r="D1472"/>
  <c r="B1486"/>
  <c r="D1486"/>
  <c r="B1500"/>
  <c r="D1500"/>
  <c r="B1504"/>
  <c r="D1504"/>
  <c r="B1518"/>
  <c r="D1518"/>
  <c r="B1532"/>
  <c r="D1532"/>
  <c r="B1536"/>
  <c r="D1536"/>
  <c r="B1550"/>
  <c r="D1550"/>
  <c r="D1569"/>
  <c r="B1569"/>
  <c r="B1620"/>
  <c r="D1620"/>
  <c r="B1624"/>
  <c r="D1624"/>
  <c r="D1641"/>
  <c r="B1641"/>
  <c r="B1659"/>
  <c r="D1659"/>
  <c r="B205"/>
  <c r="D205"/>
  <c r="D284"/>
  <c r="B284"/>
  <c r="D307"/>
  <c r="B307"/>
  <c r="D371"/>
  <c r="B371"/>
  <c r="B461"/>
  <c r="D461"/>
  <c r="B525"/>
  <c r="D525"/>
  <c r="D540"/>
  <c r="B540"/>
  <c r="D755"/>
  <c r="B755"/>
  <c r="B990"/>
  <c r="D990"/>
  <c r="B1022"/>
  <c r="D1022"/>
  <c r="B1104"/>
  <c r="D1104"/>
  <c r="B1132"/>
  <c r="D1132"/>
  <c r="B1232"/>
  <c r="D1232"/>
  <c r="B1264"/>
  <c r="D1264"/>
  <c r="B1296"/>
  <c r="D1296"/>
  <c r="B1360"/>
  <c r="D1360"/>
  <c r="B1392"/>
  <c r="D1392"/>
  <c r="B1406"/>
  <c r="D1406"/>
  <c r="B1488"/>
  <c r="D1488"/>
  <c r="B1516"/>
  <c r="D1516"/>
  <c r="B1548"/>
  <c r="D1548"/>
  <c r="B1715"/>
  <c r="D1715"/>
  <c r="B1764"/>
  <c r="D1764"/>
  <c r="B1824"/>
  <c r="D1824"/>
  <c r="D1967"/>
  <c r="B1967"/>
  <c r="B2008"/>
  <c r="D2008"/>
  <c r="D2031"/>
  <c r="B2031"/>
  <c r="D172"/>
  <c r="B172"/>
  <c r="D190"/>
  <c r="B173"/>
  <c r="D173"/>
  <c r="D188"/>
  <c r="B188"/>
  <c r="B237"/>
  <c r="D237"/>
  <c r="D163"/>
  <c r="B163"/>
  <c r="B176"/>
  <c r="B183"/>
  <c r="B189"/>
  <c r="D189"/>
  <c r="B194"/>
  <c r="D204"/>
  <c r="B204"/>
  <c r="D222"/>
  <c r="D227"/>
  <c r="B227"/>
  <c r="B240"/>
  <c r="B247"/>
  <c r="B253"/>
  <c r="D253"/>
  <c r="B258"/>
  <c r="D268"/>
  <c r="B268"/>
  <c r="D286"/>
  <c r="D291"/>
  <c r="B291"/>
  <c r="B304"/>
  <c r="B311"/>
  <c r="B317"/>
  <c r="D317"/>
  <c r="B322"/>
  <c r="D332"/>
  <c r="B332"/>
  <c r="D350"/>
  <c r="D355"/>
  <c r="B355"/>
  <c r="B368"/>
  <c r="B375"/>
  <c r="B381"/>
  <c r="D381"/>
  <c r="B386"/>
  <c r="D396"/>
  <c r="B396"/>
  <c r="D414"/>
  <c r="D419"/>
  <c r="B419"/>
  <c r="B432"/>
  <c r="B439"/>
  <c r="B445"/>
  <c r="D445"/>
  <c r="B450"/>
  <c r="D460"/>
  <c r="B460"/>
  <c r="D478"/>
  <c r="D483"/>
  <c r="B483"/>
  <c r="B496"/>
  <c r="B503"/>
  <c r="B509"/>
  <c r="D509"/>
  <c r="B514"/>
  <c r="D524"/>
  <c r="B524"/>
  <c r="D542"/>
  <c r="D547"/>
  <c r="B547"/>
  <c r="B560"/>
  <c r="B567"/>
  <c r="B573"/>
  <c r="D573"/>
  <c r="B578"/>
  <c r="D588"/>
  <c r="B588"/>
  <c r="D606"/>
  <c r="D611"/>
  <c r="B611"/>
  <c r="B624"/>
  <c r="B631"/>
  <c r="B637"/>
  <c r="D637"/>
  <c r="B642"/>
  <c r="D652"/>
  <c r="B652"/>
  <c r="D670"/>
  <c r="D675"/>
  <c r="B675"/>
  <c r="B688"/>
  <c r="B695"/>
  <c r="B701"/>
  <c r="D701"/>
  <c r="B706"/>
  <c r="D716"/>
  <c r="B716"/>
  <c r="D734"/>
  <c r="D739"/>
  <c r="B739"/>
  <c r="B752"/>
  <c r="B759"/>
  <c r="B765"/>
  <c r="D765"/>
  <c r="B770"/>
  <c r="D780"/>
  <c r="B780"/>
  <c r="D798"/>
  <c r="D803"/>
  <c r="B803"/>
  <c r="B816"/>
  <c r="B823"/>
  <c r="B829"/>
  <c r="D829"/>
  <c r="B834"/>
  <c r="D844"/>
  <c r="B844"/>
  <c r="D852"/>
  <c r="D860"/>
  <c r="D868"/>
  <c r="D876"/>
  <c r="D884"/>
  <c r="D892"/>
  <c r="D900"/>
  <c r="D908"/>
  <c r="D916"/>
  <c r="D924"/>
  <c r="D932"/>
  <c r="D940"/>
  <c r="D948"/>
  <c r="D956"/>
  <c r="D964"/>
  <c r="D972"/>
  <c r="D980"/>
  <c r="B996"/>
  <c r="D996"/>
  <c r="B1000"/>
  <c r="D1000"/>
  <c r="B1014"/>
  <c r="D1014"/>
  <c r="B1028"/>
  <c r="D1028"/>
  <c r="B1032"/>
  <c r="D1032"/>
  <c r="B1046"/>
  <c r="D1046"/>
  <c r="B1060"/>
  <c r="D1060"/>
  <c r="B1064"/>
  <c r="D1064"/>
  <c r="B1078"/>
  <c r="D1078"/>
  <c r="B1092"/>
  <c r="D1092"/>
  <c r="B1096"/>
  <c r="D1096"/>
  <c r="B1110"/>
  <c r="D1110"/>
  <c r="B1124"/>
  <c r="D1124"/>
  <c r="B1128"/>
  <c r="D1128"/>
  <c r="B1142"/>
  <c r="D1142"/>
  <c r="B1156"/>
  <c r="D1156"/>
  <c r="B1160"/>
  <c r="D1160"/>
  <c r="B1174"/>
  <c r="D1174"/>
  <c r="B1188"/>
  <c r="D1188"/>
  <c r="B1192"/>
  <c r="D1192"/>
  <c r="B1206"/>
  <c r="D1206"/>
  <c r="B1220"/>
  <c r="D1220"/>
  <c r="B1224"/>
  <c r="D1224"/>
  <c r="B1238"/>
  <c r="D1238"/>
  <c r="B1252"/>
  <c r="D1252"/>
  <c r="B1256"/>
  <c r="D1256"/>
  <c r="B1270"/>
  <c r="D1270"/>
  <c r="B1284"/>
  <c r="D1284"/>
  <c r="B1288"/>
  <c r="D1288"/>
  <c r="B1302"/>
  <c r="D1302"/>
  <c r="B1316"/>
  <c r="D1316"/>
  <c r="B1320"/>
  <c r="D1320"/>
  <c r="B1334"/>
  <c r="D1334"/>
  <c r="B1348"/>
  <c r="D1348"/>
  <c r="B1352"/>
  <c r="D1352"/>
  <c r="B1366"/>
  <c r="D1366"/>
  <c r="B1380"/>
  <c r="D1380"/>
  <c r="B1384"/>
  <c r="D1384"/>
  <c r="B1398"/>
  <c r="D1398"/>
  <c r="B1412"/>
  <c r="D1412"/>
  <c r="B1416"/>
  <c r="D1416"/>
  <c r="B1430"/>
  <c r="D1430"/>
  <c r="B1444"/>
  <c r="D1444"/>
  <c r="B1448"/>
  <c r="D1448"/>
  <c r="B1462"/>
  <c r="D1462"/>
  <c r="B1476"/>
  <c r="D1476"/>
  <c r="B1480"/>
  <c r="D1480"/>
  <c r="B1494"/>
  <c r="D1494"/>
  <c r="B1508"/>
  <c r="D1508"/>
  <c r="B1512"/>
  <c r="D1512"/>
  <c r="B1526"/>
  <c r="D1526"/>
  <c r="B1540"/>
  <c r="D1540"/>
  <c r="B1544"/>
  <c r="D1544"/>
  <c r="B1558"/>
  <c r="D1558"/>
  <c r="B1614"/>
  <c r="D1614"/>
  <c r="D1633"/>
  <c r="B1633"/>
  <c r="D179"/>
  <c r="B179"/>
  <c r="D435"/>
  <c r="B435"/>
  <c r="D476"/>
  <c r="B476"/>
  <c r="D499"/>
  <c r="B499"/>
  <c r="B589"/>
  <c r="D589"/>
  <c r="B717"/>
  <c r="D717"/>
  <c r="D732"/>
  <c r="B732"/>
  <c r="D796"/>
  <c r="B796"/>
  <c r="B1036"/>
  <c r="D1036"/>
  <c r="B1068"/>
  <c r="D1068"/>
  <c r="B1136"/>
  <c r="D1136"/>
  <c r="B1164"/>
  <c r="D1164"/>
  <c r="B1182"/>
  <c r="D1182"/>
  <c r="B1214"/>
  <c r="D1214"/>
  <c r="B1246"/>
  <c r="D1246"/>
  <c r="B1328"/>
  <c r="D1328"/>
  <c r="B1356"/>
  <c r="D1356"/>
  <c r="B1424"/>
  <c r="D1424"/>
  <c r="B1456"/>
  <c r="D1456"/>
  <c r="B1484"/>
  <c r="D1484"/>
  <c r="B1603"/>
  <c r="D1603"/>
  <c r="B1674"/>
  <c r="D1674"/>
  <c r="B1702"/>
  <c r="D1702"/>
  <c r="B1758"/>
  <c r="D1758"/>
  <c r="B1771"/>
  <c r="D1771"/>
  <c r="B1830"/>
  <c r="D1830"/>
  <c r="D1849"/>
  <c r="B1849"/>
  <c r="B1886"/>
  <c r="D1886"/>
  <c r="D1903"/>
  <c r="B1903"/>
  <c r="B1953"/>
  <c r="D1953"/>
  <c r="D1997"/>
  <c r="B1997"/>
  <c r="B2017"/>
  <c r="D2017"/>
  <c r="B2027"/>
  <c r="D2027"/>
  <c r="D2061"/>
  <c r="B2061"/>
  <c r="B2072"/>
  <c r="D2072"/>
  <c r="B2081"/>
  <c r="D2081"/>
  <c r="B2091"/>
  <c r="D2091"/>
  <c r="D2095"/>
  <c r="B2095"/>
  <c r="D2125"/>
  <c r="B2125"/>
  <c r="B2136"/>
  <c r="D2136"/>
  <c r="B2155"/>
  <c r="D2155"/>
  <c r="D2159"/>
  <c r="B2159"/>
  <c r="D2189"/>
  <c r="B2189"/>
  <c r="B1675"/>
  <c r="D1675"/>
  <c r="D1724"/>
  <c r="B1724"/>
  <c r="D1734"/>
  <c r="B1734"/>
  <c r="D1796"/>
  <c r="B1796"/>
  <c r="B1803"/>
  <c r="D1803"/>
  <c r="B1834"/>
  <c r="D1834"/>
  <c r="D1856"/>
  <c r="B1856"/>
  <c r="B1875"/>
  <c r="D1875"/>
  <c r="B1917"/>
  <c r="D1917"/>
  <c r="B1928"/>
  <c r="D1928"/>
  <c r="D1937"/>
  <c r="B1937"/>
  <c r="B1947"/>
  <c r="D1947"/>
  <c r="D1951"/>
  <c r="B1951"/>
  <c r="B1981"/>
  <c r="D1981"/>
  <c r="B1992"/>
  <c r="D1992"/>
  <c r="D2001"/>
  <c r="B2001"/>
  <c r="B2011"/>
  <c r="D2011"/>
  <c r="D2015"/>
  <c r="B2015"/>
  <c r="B2045"/>
  <c r="D2045"/>
  <c r="B2056"/>
  <c r="D2056"/>
  <c r="D2065"/>
  <c r="B2065"/>
  <c r="B2075"/>
  <c r="D2075"/>
  <c r="D2079"/>
  <c r="B2079"/>
  <c r="B2109"/>
  <c r="D2109"/>
  <c r="D995"/>
  <c r="D1003"/>
  <c r="D1011"/>
  <c r="D1019"/>
  <c r="D1027"/>
  <c r="D1035"/>
  <c r="D1043"/>
  <c r="D1051"/>
  <c r="D1059"/>
  <c r="D1075"/>
  <c r="D1083"/>
  <c r="D1091"/>
  <c r="D1099"/>
  <c r="D1107"/>
  <c r="D1115"/>
  <c r="D1123"/>
  <c r="D1131"/>
  <c r="D1139"/>
  <c r="D1147"/>
  <c r="D1155"/>
  <c r="D1163"/>
  <c r="D1171"/>
  <c r="D1179"/>
  <c r="D1187"/>
  <c r="D1195"/>
  <c r="D1203"/>
  <c r="D1211"/>
  <c r="D1219"/>
  <c r="D1227"/>
  <c r="D1235"/>
  <c r="D1243"/>
  <c r="D1251"/>
  <c r="D1259"/>
  <c r="D1267"/>
  <c r="D1275"/>
  <c r="D1283"/>
  <c r="D1291"/>
  <c r="D1299"/>
  <c r="D1307"/>
  <c r="D1315"/>
  <c r="D1323"/>
  <c r="D1331"/>
  <c r="D1339"/>
  <c r="D1347"/>
  <c r="D1355"/>
  <c r="D1363"/>
  <c r="D1371"/>
  <c r="D1379"/>
  <c r="D1387"/>
  <c r="D1395"/>
  <c r="D1403"/>
  <c r="D1411"/>
  <c r="D1419"/>
  <c r="D1427"/>
  <c r="D1435"/>
  <c r="D1443"/>
  <c r="D1451"/>
  <c r="D1459"/>
  <c r="D1467"/>
  <c r="D1475"/>
  <c r="D1483"/>
  <c r="D1491"/>
  <c r="D1499"/>
  <c r="D1507"/>
  <c r="D1515"/>
  <c r="D1523"/>
  <c r="D1531"/>
  <c r="D1539"/>
  <c r="D1547"/>
  <c r="D1555"/>
  <c r="D1578"/>
  <c r="D1611"/>
  <c r="D1619"/>
  <c r="D1642"/>
  <c r="B1694"/>
  <c r="D1694"/>
  <c r="B1700"/>
  <c r="D1700"/>
  <c r="B1704"/>
  <c r="D1704"/>
  <c r="B1707"/>
  <c r="D1707"/>
  <c r="D1713"/>
  <c r="B1713"/>
  <c r="B1738"/>
  <c r="D1738"/>
  <c r="B1756"/>
  <c r="D1756"/>
  <c r="B1760"/>
  <c r="D1760"/>
  <c r="B1766"/>
  <c r="D1766"/>
  <c r="B1779"/>
  <c r="D1779"/>
  <c r="D1785"/>
  <c r="B1785"/>
  <c r="B1822"/>
  <c r="D1822"/>
  <c r="B1828"/>
  <c r="D1828"/>
  <c r="B1832"/>
  <c r="D1832"/>
  <c r="B1835"/>
  <c r="D1835"/>
  <c r="D1841"/>
  <c r="B1841"/>
  <c r="B1866"/>
  <c r="D1866"/>
  <c r="B1884"/>
  <c r="D1884"/>
  <c r="B1888"/>
  <c r="D1888"/>
  <c r="B1894"/>
  <c r="D1894"/>
  <c r="D1901"/>
  <c r="B1901"/>
  <c r="B1912"/>
  <c r="D1912"/>
  <c r="B1921"/>
  <c r="D1921"/>
  <c r="B1931"/>
  <c r="D1931"/>
  <c r="D1935"/>
  <c r="B1935"/>
  <c r="D1965"/>
  <c r="B1965"/>
  <c r="B1976"/>
  <c r="D1976"/>
  <c r="B1985"/>
  <c r="D1985"/>
  <c r="B1995"/>
  <c r="D1995"/>
  <c r="D1999"/>
  <c r="B1999"/>
  <c r="D2029"/>
  <c r="B2029"/>
  <c r="B2040"/>
  <c r="D2040"/>
  <c r="B2049"/>
  <c r="D2049"/>
  <c r="B2059"/>
  <c r="D2059"/>
  <c r="D2063"/>
  <c r="B2063"/>
  <c r="D2093"/>
  <c r="B2093"/>
  <c r="B2104"/>
  <c r="D2104"/>
  <c r="B2113"/>
  <c r="D2113"/>
  <c r="B2123"/>
  <c r="D2123"/>
  <c r="D2127"/>
  <c r="B2127"/>
  <c r="D2157"/>
  <c r="B2157"/>
  <c r="B2168"/>
  <c r="D2168"/>
  <c r="B2187"/>
  <c r="D2187"/>
  <c r="D2191"/>
  <c r="B2191"/>
  <c r="D1672"/>
  <c r="B1672"/>
  <c r="D1681"/>
  <c r="B1681"/>
  <c r="B1706"/>
  <c r="D1706"/>
  <c r="D1728"/>
  <c r="B1728"/>
  <c r="B1747"/>
  <c r="D1747"/>
  <c r="D1753"/>
  <c r="B1753"/>
  <c r="D1790"/>
  <c r="B1790"/>
  <c r="D1800"/>
  <c r="B1800"/>
  <c r="D1809"/>
  <c r="B1809"/>
  <c r="D1852"/>
  <c r="B1852"/>
  <c r="D1862"/>
  <c r="B1862"/>
  <c r="D1881"/>
  <c r="B1881"/>
  <c r="D2129"/>
  <c r="B2129"/>
  <c r="D2193"/>
  <c r="B2193"/>
  <c r="D1067"/>
  <c r="D1563"/>
  <c r="D1571"/>
  <c r="D1594"/>
  <c r="D1627"/>
  <c r="D1635"/>
  <c r="D1658"/>
  <c r="B1683"/>
  <c r="D1683"/>
  <c r="D1689"/>
  <c r="B1689"/>
  <c r="D1726"/>
  <c r="B1726"/>
  <c r="D1732"/>
  <c r="B1732"/>
  <c r="D1736"/>
  <c r="B1736"/>
  <c r="B1739"/>
  <c r="D1739"/>
  <c r="D1745"/>
  <c r="B1745"/>
  <c r="B1770"/>
  <c r="D1770"/>
  <c r="D1788"/>
  <c r="B1788"/>
  <c r="D1792"/>
  <c r="B1792"/>
  <c r="D1798"/>
  <c r="B1798"/>
  <c r="B1811"/>
  <c r="D1811"/>
  <c r="D1817"/>
  <c r="B1817"/>
  <c r="D1854"/>
  <c r="B1854"/>
  <c r="D1860"/>
  <c r="B1860"/>
  <c r="D1864"/>
  <c r="B1864"/>
  <c r="B1867"/>
  <c r="D1867"/>
  <c r="D1873"/>
  <c r="B1873"/>
  <c r="B1898"/>
  <c r="D1898"/>
  <c r="D1905"/>
  <c r="B1905"/>
  <c r="B1915"/>
  <c r="D1915"/>
  <c r="D1919"/>
  <c r="B1919"/>
  <c r="B1949"/>
  <c r="D1949"/>
  <c r="B1960"/>
  <c r="D1960"/>
  <c r="D1969"/>
  <c r="B1969"/>
  <c r="B1979"/>
  <c r="D1979"/>
  <c r="D1983"/>
  <c r="B1983"/>
  <c r="B2013"/>
  <c r="D2013"/>
  <c r="B2024"/>
  <c r="D2024"/>
  <c r="D2033"/>
  <c r="B2033"/>
  <c r="B2043"/>
  <c r="D2043"/>
  <c r="D2047"/>
  <c r="B2047"/>
  <c r="B2077"/>
  <c r="D2077"/>
  <c r="B2088"/>
  <c r="D2088"/>
  <c r="D2097"/>
  <c r="B2097"/>
  <c r="B2107"/>
  <c r="D2107"/>
  <c r="D2111"/>
  <c r="B2111"/>
  <c r="D2161"/>
  <c r="B2161"/>
  <c r="D2120"/>
  <c r="D2139"/>
  <c r="D2141"/>
  <c r="D2145"/>
  <c r="D2152"/>
  <c r="D2171"/>
  <c r="D2173"/>
  <c r="D2177"/>
  <c r="D2184"/>
  <c r="B2143"/>
  <c r="B2175"/>
  <c r="K3"/>
  <c r="D1573"/>
  <c r="B1573"/>
  <c r="D1589"/>
  <c r="B1589"/>
  <c r="D1605"/>
  <c r="B1605"/>
  <c r="D1621"/>
  <c r="B1621"/>
  <c r="D1637"/>
  <c r="B1637"/>
  <c r="D1653"/>
  <c r="B1653"/>
  <c r="D1669"/>
  <c r="B1669"/>
  <c r="D1685"/>
  <c r="B1685"/>
  <c r="D1701"/>
  <c r="B1701"/>
  <c r="D1717"/>
  <c r="B1717"/>
  <c r="D1733"/>
  <c r="B1733"/>
  <c r="D1749"/>
  <c r="B1749"/>
  <c r="D1765"/>
  <c r="B1765"/>
  <c r="D1781"/>
  <c r="B1781"/>
  <c r="D1797"/>
  <c r="B1797"/>
  <c r="D1813"/>
  <c r="B1813"/>
  <c r="D1829"/>
  <c r="B1829"/>
  <c r="D1845"/>
  <c r="B1845"/>
  <c r="D1861"/>
  <c r="B1861"/>
  <c r="D1877"/>
  <c r="B1877"/>
  <c r="D1893"/>
  <c r="B1893"/>
  <c r="D847"/>
  <c r="D850"/>
  <c r="D855"/>
  <c r="D858"/>
  <c r="D863"/>
  <c r="D866"/>
  <c r="D871"/>
  <c r="D874"/>
  <c r="D879"/>
  <c r="D882"/>
  <c r="D887"/>
  <c r="D890"/>
  <c r="D895"/>
  <c r="D898"/>
  <c r="D903"/>
  <c r="D906"/>
  <c r="D911"/>
  <c r="D914"/>
  <c r="D919"/>
  <c r="D922"/>
  <c r="D927"/>
  <c r="D930"/>
  <c r="D935"/>
  <c r="D938"/>
  <c r="D943"/>
  <c r="D946"/>
  <c r="D951"/>
  <c r="D954"/>
  <c r="D959"/>
  <c r="D962"/>
  <c r="D967"/>
  <c r="D970"/>
  <c r="D975"/>
  <c r="D978"/>
  <c r="D983"/>
  <c r="D986"/>
  <c r="D991"/>
  <c r="D994"/>
  <c r="D999"/>
  <c r="D1002"/>
  <c r="D1007"/>
  <c r="D1010"/>
  <c r="D1015"/>
  <c r="D1018"/>
  <c r="D1023"/>
  <c r="D1026"/>
  <c r="D1031"/>
  <c r="D1034"/>
  <c r="D1039"/>
  <c r="D1042"/>
  <c r="D1047"/>
  <c r="D1050"/>
  <c r="D1055"/>
  <c r="D1058"/>
  <c r="D1063"/>
  <c r="D1066"/>
  <c r="D1071"/>
  <c r="D1074"/>
  <c r="D1079"/>
  <c r="D1082"/>
  <c r="D1087"/>
  <c r="D1090"/>
  <c r="D1095"/>
  <c r="D1098"/>
  <c r="D1103"/>
  <c r="D1106"/>
  <c r="D1111"/>
  <c r="D1114"/>
  <c r="D1119"/>
  <c r="D1122"/>
  <c r="D1127"/>
  <c r="D1130"/>
  <c r="D1135"/>
  <c r="D1138"/>
  <c r="D1143"/>
  <c r="D1146"/>
  <c r="D1151"/>
  <c r="D1154"/>
  <c r="D1159"/>
  <c r="D1162"/>
  <c r="D1167"/>
  <c r="D1170"/>
  <c r="D1175"/>
  <c r="D1178"/>
  <c r="D1183"/>
  <c r="D1186"/>
  <c r="D1191"/>
  <c r="D1194"/>
  <c r="D1199"/>
  <c r="D1202"/>
  <c r="D1207"/>
  <c r="D1210"/>
  <c r="D1215"/>
  <c r="D1218"/>
  <c r="D1223"/>
  <c r="D1226"/>
  <c r="D1231"/>
  <c r="D1234"/>
  <c r="D1239"/>
  <c r="D1242"/>
  <c r="D1247"/>
  <c r="D1250"/>
  <c r="D1255"/>
  <c r="D1258"/>
  <c r="D1263"/>
  <c r="D1266"/>
  <c r="D1271"/>
  <c r="D1274"/>
  <c r="D1279"/>
  <c r="D1282"/>
  <c r="D1287"/>
  <c r="D1290"/>
  <c r="D1295"/>
  <c r="D1298"/>
  <c r="D1303"/>
  <c r="D1306"/>
  <c r="D1311"/>
  <c r="D1314"/>
  <c r="D1319"/>
  <c r="D1322"/>
  <c r="D1327"/>
  <c r="D1330"/>
  <c r="D1335"/>
  <c r="D1338"/>
  <c r="D1343"/>
  <c r="D1346"/>
  <c r="D1351"/>
  <c r="D1354"/>
  <c r="D1359"/>
  <c r="D1362"/>
  <c r="D1367"/>
  <c r="D1370"/>
  <c r="D1375"/>
  <c r="D1378"/>
  <c r="D1383"/>
  <c r="D1386"/>
  <c r="D1391"/>
  <c r="D1394"/>
  <c r="D1399"/>
  <c r="D1402"/>
  <c r="D1407"/>
  <c r="D1410"/>
  <c r="D1415"/>
  <c r="D1418"/>
  <c r="D1423"/>
  <c r="D1426"/>
  <c r="D1431"/>
  <c r="D1434"/>
  <c r="D1439"/>
  <c r="D1442"/>
  <c r="D1447"/>
  <c r="D1450"/>
  <c r="D1455"/>
  <c r="D1458"/>
  <c r="D1463"/>
  <c r="D1466"/>
  <c r="D1471"/>
  <c r="D1474"/>
  <c r="D1479"/>
  <c r="D1482"/>
  <c r="D1487"/>
  <c r="D1490"/>
  <c r="D1495"/>
  <c r="D1498"/>
  <c r="D1503"/>
  <c r="D1506"/>
  <c r="D1511"/>
  <c r="D1514"/>
  <c r="D1519"/>
  <c r="D1522"/>
  <c r="D1527"/>
  <c r="D1530"/>
  <c r="D1535"/>
  <c r="D1538"/>
  <c r="D1543"/>
  <c r="D1546"/>
  <c r="D1551"/>
  <c r="D1554"/>
  <c r="D1559"/>
  <c r="D1575"/>
  <c r="D1591"/>
  <c r="D1607"/>
  <c r="D1623"/>
  <c r="D1639"/>
  <c r="D1655"/>
  <c r="D1671"/>
  <c r="D1687"/>
  <c r="D1703"/>
  <c r="D1719"/>
  <c r="D1735"/>
  <c r="D1751"/>
  <c r="D1767"/>
  <c r="D1783"/>
  <c r="D1799"/>
  <c r="D1815"/>
  <c r="D1831"/>
  <c r="D1847"/>
  <c r="D1863"/>
  <c r="D1879"/>
  <c r="D1895"/>
  <c r="D169"/>
  <c r="D177"/>
  <c r="D185"/>
  <c r="D193"/>
  <c r="D201"/>
  <c r="D209"/>
  <c r="D217"/>
  <c r="D225"/>
  <c r="D233"/>
  <c r="D241"/>
  <c r="D249"/>
  <c r="D257"/>
  <c r="D265"/>
  <c r="D273"/>
  <c r="D281"/>
  <c r="D289"/>
  <c r="D297"/>
  <c r="D305"/>
  <c r="D313"/>
  <c r="D321"/>
  <c r="D329"/>
  <c r="D337"/>
  <c r="D345"/>
  <c r="D353"/>
  <c r="D361"/>
  <c r="D369"/>
  <c r="D377"/>
  <c r="D385"/>
  <c r="D393"/>
  <c r="D401"/>
  <c r="D409"/>
  <c r="D417"/>
  <c r="D425"/>
  <c r="D433"/>
  <c r="D441"/>
  <c r="D449"/>
  <c r="D457"/>
  <c r="D465"/>
  <c r="D473"/>
  <c r="D481"/>
  <c r="D489"/>
  <c r="D497"/>
  <c r="D505"/>
  <c r="D513"/>
  <c r="D521"/>
  <c r="D529"/>
  <c r="D537"/>
  <c r="D545"/>
  <c r="D553"/>
  <c r="D561"/>
  <c r="D569"/>
  <c r="D577"/>
  <c r="D585"/>
  <c r="D593"/>
  <c r="D601"/>
  <c r="D609"/>
  <c r="D617"/>
  <c r="D625"/>
  <c r="D633"/>
  <c r="D641"/>
  <c r="D649"/>
  <c r="D657"/>
  <c r="D665"/>
  <c r="D673"/>
  <c r="D681"/>
  <c r="D689"/>
  <c r="D697"/>
  <c r="D705"/>
  <c r="D713"/>
  <c r="D721"/>
  <c r="D729"/>
  <c r="D737"/>
  <c r="D745"/>
  <c r="D753"/>
  <c r="D761"/>
  <c r="D769"/>
  <c r="D777"/>
  <c r="D785"/>
  <c r="D793"/>
  <c r="D801"/>
  <c r="D809"/>
  <c r="D817"/>
  <c r="D825"/>
  <c r="D833"/>
  <c r="D841"/>
  <c r="D1565"/>
  <c r="B1565"/>
  <c r="D1570"/>
  <c r="D1581"/>
  <c r="B1581"/>
  <c r="D1586"/>
  <c r="D1597"/>
  <c r="B1597"/>
  <c r="D1602"/>
  <c r="D1613"/>
  <c r="B1613"/>
  <c r="D1618"/>
  <c r="D1629"/>
  <c r="B1629"/>
  <c r="D1634"/>
  <c r="D1645"/>
  <c r="B1645"/>
  <c r="D1650"/>
  <c r="D1661"/>
  <c r="B1661"/>
  <c r="D1666"/>
  <c r="D1677"/>
  <c r="B1677"/>
  <c r="D1682"/>
  <c r="D1693"/>
  <c r="B1693"/>
  <c r="D1698"/>
  <c r="D1709"/>
  <c r="B1709"/>
  <c r="D1714"/>
  <c r="D1725"/>
  <c r="B1725"/>
  <c r="D1730"/>
  <c r="D1741"/>
  <c r="B1741"/>
  <c r="D1746"/>
  <c r="D1757"/>
  <c r="B1757"/>
  <c r="D1762"/>
  <c r="D1773"/>
  <c r="B1773"/>
  <c r="D1778"/>
  <c r="D1789"/>
  <c r="B1789"/>
  <c r="D1794"/>
  <c r="D1805"/>
  <c r="B1805"/>
  <c r="D1810"/>
  <c r="D1821"/>
  <c r="B1821"/>
  <c r="D1826"/>
  <c r="D1837"/>
  <c r="B1837"/>
  <c r="D1842"/>
  <c r="D1853"/>
  <c r="B1853"/>
  <c r="D1858"/>
  <c r="D1869"/>
  <c r="B1869"/>
  <c r="D1874"/>
  <c r="D1885"/>
  <c r="B1885"/>
  <c r="D1890"/>
  <c r="B853"/>
  <c r="B861"/>
  <c r="B869"/>
  <c r="B877"/>
  <c r="B885"/>
  <c r="B893"/>
  <c r="B901"/>
  <c r="B909"/>
  <c r="B917"/>
  <c r="B925"/>
  <c r="B933"/>
  <c r="B941"/>
  <c r="B949"/>
  <c r="B957"/>
  <c r="B965"/>
  <c r="B973"/>
  <c r="B981"/>
  <c r="B989"/>
  <c r="B997"/>
  <c r="B1005"/>
  <c r="B1013"/>
  <c r="B1021"/>
  <c r="B1029"/>
  <c r="B1037"/>
  <c r="B1045"/>
  <c r="B1053"/>
  <c r="B1061"/>
  <c r="B1069"/>
  <c r="B1077"/>
  <c r="B1085"/>
  <c r="B1093"/>
  <c r="B1101"/>
  <c r="B1109"/>
  <c r="B1117"/>
  <c r="B1125"/>
  <c r="B1133"/>
  <c r="B1141"/>
  <c r="B1149"/>
  <c r="B1157"/>
  <c r="B1165"/>
  <c r="B1173"/>
  <c r="B1181"/>
  <c r="B1189"/>
  <c r="B1197"/>
  <c r="B1205"/>
  <c r="B1213"/>
  <c r="B1221"/>
  <c r="B1229"/>
  <c r="B1237"/>
  <c r="B1245"/>
  <c r="B1253"/>
  <c r="B1261"/>
  <c r="B1269"/>
  <c r="B1277"/>
  <c r="B1285"/>
  <c r="B1293"/>
  <c r="B1301"/>
  <c r="B1309"/>
  <c r="B1317"/>
  <c r="B1325"/>
  <c r="B1333"/>
  <c r="B1341"/>
  <c r="B1349"/>
  <c r="B1357"/>
  <c r="B1365"/>
  <c r="B1373"/>
  <c r="B1381"/>
  <c r="B1389"/>
  <c r="B1397"/>
  <c r="B1405"/>
  <c r="B1413"/>
  <c r="B1421"/>
  <c r="B1429"/>
  <c r="B1437"/>
  <c r="B1445"/>
  <c r="B1453"/>
  <c r="B1461"/>
  <c r="B1469"/>
  <c r="B1477"/>
  <c r="B1485"/>
  <c r="B1493"/>
  <c r="B1501"/>
  <c r="B1509"/>
  <c r="B1517"/>
  <c r="B1525"/>
  <c r="B1533"/>
  <c r="B1541"/>
  <c r="B1549"/>
  <c r="B1557"/>
  <c r="D1567"/>
  <c r="D1583"/>
  <c r="D1599"/>
  <c r="D1615"/>
  <c r="D1631"/>
  <c r="D1647"/>
  <c r="D1663"/>
  <c r="D1679"/>
  <c r="D1695"/>
  <c r="D1711"/>
  <c r="D1727"/>
  <c r="D1743"/>
  <c r="D1759"/>
  <c r="D1775"/>
  <c r="D1791"/>
  <c r="D1807"/>
  <c r="D1823"/>
  <c r="D1839"/>
  <c r="D1855"/>
  <c r="D1871"/>
  <c r="D1887"/>
  <c r="B1900"/>
  <c r="D1900"/>
  <c r="D1902"/>
  <c r="B1902"/>
  <c r="B1906"/>
  <c r="B1908"/>
  <c r="D1908"/>
  <c r="D1910"/>
  <c r="B1910"/>
  <c r="B1914"/>
  <c r="B1916"/>
  <c r="D1916"/>
  <c r="D1918"/>
  <c r="B1918"/>
  <c r="B1922"/>
  <c r="B1924"/>
  <c r="D1924"/>
  <c r="D1926"/>
  <c r="B1926"/>
  <c r="B1930"/>
  <c r="B1932"/>
  <c r="D1932"/>
  <c r="D1934"/>
  <c r="B1934"/>
  <c r="B1938"/>
  <c r="B1940"/>
  <c r="D1940"/>
  <c r="D1942"/>
  <c r="B1942"/>
  <c r="B1946"/>
  <c r="B1948"/>
  <c r="D1948"/>
  <c r="D1950"/>
  <c r="B1950"/>
  <c r="B1954"/>
  <c r="B1956"/>
  <c r="D1956"/>
  <c r="D1958"/>
  <c r="B1958"/>
  <c r="B1962"/>
  <c r="B1964"/>
  <c r="D1964"/>
  <c r="D1966"/>
  <c r="B1966"/>
  <c r="B1970"/>
  <c r="B1972"/>
  <c r="D1972"/>
  <c r="D1974"/>
  <c r="B1974"/>
  <c r="B1978"/>
  <c r="B1980"/>
  <c r="D1980"/>
  <c r="D1982"/>
  <c r="B1982"/>
  <c r="B1986"/>
  <c r="B1988"/>
  <c r="D1988"/>
  <c r="D1990"/>
  <c r="B1990"/>
  <c r="B1994"/>
  <c r="B1996"/>
  <c r="D1996"/>
  <c r="D1998"/>
  <c r="B1998"/>
  <c r="B2002"/>
  <c r="B2004"/>
  <c r="D2004"/>
  <c r="D2006"/>
  <c r="B2006"/>
  <c r="B2010"/>
  <c r="B2012"/>
  <c r="D2012"/>
  <c r="D2014"/>
  <c r="B2014"/>
  <c r="B2018"/>
  <c r="B2020"/>
  <c r="D2020"/>
  <c r="D2022"/>
  <c r="B2022"/>
  <c r="B2026"/>
  <c r="B2028"/>
  <c r="D2028"/>
  <c r="D2030"/>
  <c r="B2030"/>
  <c r="B2034"/>
  <c r="B2036"/>
  <c r="D2036"/>
  <c r="D2038"/>
  <c r="B2038"/>
  <c r="B2042"/>
  <c r="B2044"/>
  <c r="D2044"/>
  <c r="D2046"/>
  <c r="B2046"/>
  <c r="B2050"/>
  <c r="B2052"/>
  <c r="D2052"/>
  <c r="D2054"/>
  <c r="B2054"/>
  <c r="B2058"/>
  <c r="B2060"/>
  <c r="D2060"/>
  <c r="D2062"/>
  <c r="B2062"/>
  <c r="B2066"/>
  <c r="B2068"/>
  <c r="D2068"/>
  <c r="D2070"/>
  <c r="B2070"/>
  <c r="B2074"/>
  <c r="B2076"/>
  <c r="D2076"/>
  <c r="D2078"/>
  <c r="B2078"/>
  <c r="B2082"/>
  <c r="B2084"/>
  <c r="D2084"/>
  <c r="D2086"/>
  <c r="B2086"/>
  <c r="B2090"/>
  <c r="B2092"/>
  <c r="D2092"/>
  <c r="D2094"/>
  <c r="B2094"/>
  <c r="B2098"/>
  <c r="B2100"/>
  <c r="D2100"/>
  <c r="D2102"/>
  <c r="B2102"/>
  <c r="B2106"/>
  <c r="B2108"/>
  <c r="D2108"/>
  <c r="D2110"/>
  <c r="B2110"/>
  <c r="B2114"/>
  <c r="B2116"/>
  <c r="D2116"/>
  <c r="D2118"/>
  <c r="B2118"/>
  <c r="B2122"/>
  <c r="B2124"/>
  <c r="D2124"/>
  <c r="D2126"/>
  <c r="B2126"/>
  <c r="B2130"/>
  <c r="B2132"/>
  <c r="D2132"/>
  <c r="D2134"/>
  <c r="B2134"/>
  <c r="B2138"/>
  <c r="B2140"/>
  <c r="D2140"/>
  <c r="D2142"/>
  <c r="B2142"/>
  <c r="B2146"/>
  <c r="B2148"/>
  <c r="D2148"/>
  <c r="D2150"/>
  <c r="B2150"/>
  <c r="B2154"/>
  <c r="B2156"/>
  <c r="D2156"/>
  <c r="D2158"/>
  <c r="B2158"/>
  <c r="B2162"/>
  <c r="B2164"/>
  <c r="D2164"/>
  <c r="D2166"/>
  <c r="B2166"/>
  <c r="B2170"/>
  <c r="B2172"/>
  <c r="D2172"/>
  <c r="D2174"/>
  <c r="B2174"/>
  <c r="B2178"/>
  <c r="B2180"/>
  <c r="D2180"/>
  <c r="D2182"/>
  <c r="B2182"/>
  <c r="B2186"/>
  <c r="B2188"/>
  <c r="D2188"/>
  <c r="D2190"/>
  <c r="B2190"/>
  <c r="B2194"/>
  <c r="B2196"/>
  <c r="D2196"/>
  <c r="B3" l="1"/>
  <c r="G2" i="1"/>
  <c r="E2"/>
  <c r="E1"/>
  <c r="A58" i="13" l="1"/>
  <c r="A56"/>
  <c r="A32" i="12"/>
  <c r="A30"/>
  <c r="A39" i="11"/>
  <c r="A37"/>
  <c r="B71" i="10"/>
  <c r="B69"/>
  <c r="I201" i="33" l="1"/>
  <c r="Q201" s="1"/>
  <c r="D56" i="13"/>
  <c r="D58"/>
  <c r="E32" i="12"/>
  <c r="E30"/>
  <c r="A2" i="10"/>
  <c r="A2" i="13"/>
  <c r="A2" i="12"/>
  <c r="A3" i="11"/>
  <c r="Q6" i="33" l="1"/>
  <c r="P6"/>
  <c r="J971"/>
  <c r="J384"/>
  <c r="J911"/>
  <c r="J544"/>
  <c r="J1819"/>
  <c r="J553"/>
  <c r="G43" i="13" l="1"/>
  <c r="G44"/>
  <c r="G42"/>
  <c r="J116" i="33"/>
  <c r="J442"/>
  <c r="J399"/>
  <c r="J1807"/>
  <c r="J1806"/>
  <c r="J1798"/>
  <c r="J1797"/>
  <c r="J1770"/>
  <c r="J1769"/>
  <c r="J534"/>
  <c r="J533"/>
  <c r="J532"/>
  <c r="J529"/>
  <c r="J478"/>
  <c r="J477"/>
  <c r="J469"/>
  <c r="J468"/>
  <c r="J438"/>
  <c r="J436"/>
  <c r="J407"/>
  <c r="J406"/>
  <c r="J405"/>
  <c r="J404"/>
  <c r="J389"/>
  <c r="J387"/>
  <c r="J363"/>
  <c r="J362"/>
  <c r="J361"/>
  <c r="J358"/>
  <c r="J346"/>
  <c r="J344"/>
  <c r="J343"/>
  <c r="J341"/>
  <c r="J340"/>
  <c r="J337"/>
  <c r="J336"/>
  <c r="J334"/>
  <c r="J302"/>
  <c r="J300"/>
  <c r="J237"/>
  <c r="J236"/>
  <c r="J235"/>
  <c r="J234"/>
  <c r="J233"/>
  <c r="J232"/>
  <c r="J231"/>
  <c r="J230"/>
  <c r="J163"/>
  <c r="J161"/>
  <c r="J160"/>
  <c r="J158"/>
  <c r="J146"/>
  <c r="J144"/>
  <c r="J143"/>
  <c r="J142"/>
  <c r="J109"/>
  <c r="J105"/>
  <c r="J34"/>
  <c r="J32"/>
  <c r="J1885"/>
  <c r="J1884"/>
  <c r="J1868"/>
  <c r="J1867"/>
  <c r="J1866"/>
  <c r="J1865"/>
  <c r="J1857"/>
  <c r="J1856"/>
  <c r="J1805"/>
  <c r="J1804"/>
  <c r="J1796"/>
  <c r="J1795"/>
  <c r="J1789"/>
  <c r="J1788"/>
  <c r="J1787"/>
  <c r="J1786"/>
  <c r="J1764"/>
  <c r="J1763"/>
  <c r="J1758"/>
  <c r="J1757"/>
  <c r="J1756"/>
  <c r="J1755"/>
  <c r="J1124"/>
  <c r="J1123"/>
  <c r="J1229"/>
  <c r="J1228"/>
  <c r="J1227"/>
  <c r="J1226"/>
  <c r="J1225"/>
  <c r="J1202"/>
  <c r="J304"/>
  <c r="J303"/>
  <c r="J521"/>
  <c r="J519"/>
  <c r="J518"/>
  <c r="J517"/>
  <c r="J501"/>
  <c r="J497"/>
  <c r="J147"/>
  <c r="J31"/>
  <c r="J1244"/>
  <c r="J1230"/>
  <c r="J526"/>
  <c r="J522"/>
  <c r="J461"/>
  <c r="J457"/>
  <c r="J200"/>
  <c r="J199"/>
  <c r="J1126"/>
  <c r="J1125"/>
  <c r="J385"/>
  <c r="J375"/>
  <c r="J306"/>
  <c r="J305"/>
  <c r="J541"/>
  <c r="J539"/>
  <c r="J195"/>
  <c r="J114"/>
  <c r="J113"/>
  <c r="J1089"/>
  <c r="J1063"/>
  <c r="J1062"/>
  <c r="J1012"/>
  <c r="J224"/>
  <c r="J222"/>
  <c r="J251"/>
  <c r="J249"/>
  <c r="J221"/>
  <c r="J323"/>
  <c r="J322"/>
  <c r="J321"/>
  <c r="J319"/>
  <c r="J157"/>
  <c r="J156"/>
  <c r="J1096"/>
  <c r="J1095"/>
  <c r="J1094"/>
  <c r="J1090"/>
  <c r="J252"/>
  <c r="J227"/>
  <c r="J226"/>
  <c r="J288"/>
  <c r="J285"/>
  <c r="J255"/>
  <c r="J254"/>
  <c r="J506"/>
  <c r="J505"/>
  <c r="J504"/>
  <c r="J502"/>
  <c r="J94"/>
  <c r="J93"/>
  <c r="J92"/>
  <c r="J90"/>
  <c r="J193"/>
  <c r="J192"/>
  <c r="J185"/>
  <c r="J184"/>
  <c r="J1122"/>
  <c r="J1121"/>
  <c r="J1120"/>
  <c r="J1097"/>
  <c r="J374"/>
  <c r="J325"/>
  <c r="J324"/>
  <c r="J253"/>
  <c r="J295"/>
  <c r="J293"/>
  <c r="J292"/>
  <c r="J290"/>
  <c r="J456"/>
  <c r="J455"/>
  <c r="J454"/>
  <c r="J452"/>
  <c r="J194"/>
  <c r="J98"/>
  <c r="J97"/>
  <c r="J95"/>
  <c r="J974"/>
  <c r="J985"/>
  <c r="J1035"/>
  <c r="J1039"/>
  <c r="J986"/>
  <c r="J973"/>
  <c r="J1014"/>
  <c r="J1013"/>
  <c r="J952"/>
  <c r="J951"/>
  <c r="J935"/>
  <c r="J936"/>
  <c r="J802"/>
  <c r="J692"/>
  <c r="J726"/>
  <c r="J691"/>
  <c r="J668"/>
  <c r="J913"/>
  <c r="J434"/>
  <c r="J809"/>
  <c r="J667"/>
  <c r="J727"/>
  <c r="J810"/>
  <c r="J803"/>
  <c r="J914"/>
  <c r="J424"/>
  <c r="J718"/>
  <c r="J435"/>
  <c r="J383"/>
  <c r="J376"/>
  <c r="J377"/>
  <c r="J332"/>
  <c r="J333"/>
  <c r="J298"/>
  <c r="J299"/>
  <c r="J297"/>
  <c r="J229"/>
  <c r="J296"/>
  <c r="J228"/>
  <c r="J327"/>
  <c r="J329"/>
  <c r="J330"/>
  <c r="J326"/>
  <c r="J55"/>
  <c r="J104"/>
  <c r="J1822"/>
  <c r="J1823"/>
  <c r="J56"/>
  <c r="J103"/>
  <c r="J1289"/>
  <c r="J1301"/>
  <c r="J1288"/>
  <c r="J1290"/>
  <c r="J1302"/>
  <c r="J1286"/>
  <c r="J1287"/>
  <c r="J1142"/>
  <c r="J1168"/>
  <c r="J1141"/>
  <c r="J1285"/>
  <c r="J1257"/>
  <c r="J1256"/>
  <c r="J1246"/>
  <c r="J1128"/>
  <c r="J1129"/>
  <c r="J1127"/>
  <c r="J1198"/>
  <c r="J1174"/>
  <c r="J1199"/>
  <c r="J1197"/>
  <c r="J1201"/>
  <c r="J1169"/>
  <c r="J983"/>
  <c r="J1009"/>
  <c r="J984"/>
  <c r="J970"/>
  <c r="J958"/>
  <c r="J1010"/>
  <c r="J969"/>
  <c r="J1011"/>
  <c r="J949"/>
  <c r="J934"/>
  <c r="J957"/>
  <c r="J953"/>
  <c r="J942"/>
  <c r="J954"/>
  <c r="J933"/>
  <c r="J943"/>
  <c r="J910"/>
  <c r="J907"/>
  <c r="J908"/>
  <c r="J875"/>
  <c r="J862"/>
  <c r="J874"/>
  <c r="J861"/>
  <c r="J817"/>
  <c r="J818"/>
  <c r="J815"/>
  <c r="J816"/>
  <c r="J765"/>
  <c r="J717"/>
  <c r="J768"/>
  <c r="J755"/>
  <c r="J754"/>
  <c r="J690"/>
  <c r="J725"/>
  <c r="J686"/>
  <c r="J771"/>
  <c r="J764"/>
  <c r="J814"/>
  <c r="J813"/>
  <c r="J724"/>
  <c r="J767"/>
  <c r="J769"/>
  <c r="J766"/>
  <c r="J716"/>
  <c r="J687"/>
  <c r="J770"/>
  <c r="J788"/>
  <c r="J688"/>
  <c r="J684"/>
  <c r="J685"/>
  <c r="J683"/>
  <c r="J676"/>
  <c r="J677"/>
  <c r="J561"/>
  <c r="J657"/>
  <c r="J646"/>
  <c r="J643"/>
  <c r="J658"/>
  <c r="J560"/>
  <c r="J644"/>
  <c r="J422"/>
  <c r="J430"/>
  <c r="J421"/>
  <c r="J419"/>
  <c r="J420"/>
  <c r="J386"/>
  <c r="J476"/>
  <c r="J465"/>
  <c r="J445"/>
  <c r="J466"/>
  <c r="J464"/>
  <c r="J182"/>
  <c r="J475"/>
  <c r="J431"/>
  <c r="J171"/>
  <c r="J169"/>
  <c r="J1888"/>
  <c r="J138"/>
  <c r="J1767"/>
  <c r="J1768"/>
  <c r="J1889"/>
  <c r="J99"/>
  <c r="J101"/>
  <c r="J53"/>
  <c r="J54"/>
  <c r="J140"/>
  <c r="J1821"/>
  <c r="J1815"/>
  <c r="J1762"/>
  <c r="J1761"/>
  <c r="J1404"/>
  <c r="J1477"/>
  <c r="J557"/>
  <c r="J558"/>
  <c r="J620"/>
  <c r="J559"/>
  <c r="J556"/>
  <c r="J552"/>
  <c r="J528"/>
  <c r="J547"/>
  <c r="J548"/>
  <c r="J527"/>
  <c r="J546"/>
  <c r="J347"/>
  <c r="J351"/>
  <c r="J318"/>
  <c r="J316"/>
  <c r="J317"/>
  <c r="J313"/>
  <c r="J463"/>
  <c r="J462"/>
  <c r="J403"/>
  <c r="J401"/>
  <c r="J496"/>
  <c r="J402"/>
  <c r="J118"/>
  <c r="J112"/>
  <c r="J58"/>
  <c r="J52"/>
  <c r="J21"/>
  <c r="J50"/>
  <c r="J20"/>
  <c r="J18"/>
  <c r="J19"/>
  <c r="J483"/>
  <c r="J512"/>
  <c r="J418"/>
  <c r="J488"/>
  <c r="J416"/>
  <c r="J417"/>
  <c r="J487"/>
  <c r="J414"/>
  <c r="J486"/>
  <c r="J484"/>
  <c r="J493"/>
  <c r="J492"/>
  <c r="J491"/>
  <c r="J481"/>
  <c r="J482"/>
  <c r="J516"/>
  <c r="J489"/>
  <c r="J17"/>
  <c r="J16"/>
  <c r="J515"/>
  <c r="J479"/>
  <c r="J428"/>
  <c r="J429"/>
  <c r="J441"/>
  <c r="J439"/>
  <c r="J510"/>
  <c r="J509"/>
  <c r="J511"/>
  <c r="J543"/>
  <c r="J542"/>
  <c r="J507"/>
  <c r="J474"/>
  <c r="J472"/>
  <c r="J427"/>
  <c r="J473"/>
  <c r="J380"/>
  <c r="J378"/>
  <c r="J381"/>
  <c r="J248"/>
  <c r="J373"/>
  <c r="J247"/>
  <c r="J246"/>
  <c r="J369"/>
  <c r="J269"/>
  <c r="J244"/>
  <c r="J282"/>
  <c r="J382"/>
  <c r="J372"/>
  <c r="J270"/>
  <c r="J280"/>
  <c r="J371"/>
  <c r="J284"/>
  <c r="J268"/>
  <c r="J398"/>
  <c r="J397"/>
  <c r="J395"/>
  <c r="J394"/>
  <c r="J390"/>
  <c r="J392"/>
  <c r="J265"/>
  <c r="J264"/>
  <c r="J263"/>
  <c r="J261"/>
  <c r="J260"/>
  <c r="J259"/>
  <c r="J258"/>
  <c r="J367"/>
  <c r="J366"/>
  <c r="J364"/>
  <c r="J256"/>
  <c r="J213"/>
  <c r="J368"/>
  <c r="J209"/>
  <c r="J48"/>
  <c r="J49"/>
  <c r="J47"/>
  <c r="J64"/>
  <c r="J66"/>
  <c r="J39"/>
  <c r="J59"/>
  <c r="J38"/>
  <c r="J45"/>
  <c r="J73"/>
  <c r="J61"/>
  <c r="J63"/>
  <c r="J72"/>
  <c r="J62"/>
  <c r="J212"/>
  <c r="J211"/>
  <c r="J35"/>
  <c r="J70"/>
  <c r="J69"/>
  <c r="J68"/>
  <c r="J44"/>
  <c r="J40"/>
  <c r="J168"/>
  <c r="J167"/>
  <c r="J166"/>
  <c r="J27"/>
  <c r="J30"/>
  <c r="J125"/>
  <c r="J124"/>
  <c r="J126"/>
  <c r="J164"/>
  <c r="J150"/>
  <c r="J198"/>
  <c r="J151"/>
  <c r="J122"/>
  <c r="J11"/>
  <c r="J13"/>
  <c r="J10"/>
  <c r="J12"/>
  <c r="J79"/>
  <c r="J77"/>
  <c r="J207"/>
  <c r="J78"/>
  <c r="J76"/>
  <c r="J9"/>
  <c r="J205"/>
  <c r="J8"/>
  <c r="J204"/>
  <c r="J15"/>
  <c r="J80"/>
  <c r="J14"/>
  <c r="J7"/>
  <c r="J201"/>
  <c r="G41" i="13" l="1"/>
  <c r="G52" s="1"/>
  <c r="J208" i="33"/>
  <c r="I1" l="1"/>
  <c r="N220" i="8" l="1"/>
  <c r="U220" s="1"/>
  <c r="N218"/>
  <c r="U218" s="1"/>
  <c r="N219" i="7"/>
  <c r="U219" s="1"/>
  <c r="N219" i="8"/>
  <c r="U219" s="1"/>
  <c r="N220" i="7"/>
  <c r="U220" s="1"/>
  <c r="N218"/>
  <c r="U218" s="1"/>
  <c r="K1" i="5" l="1"/>
  <c r="J443" i="33" l="1"/>
  <c r="N219" i="6" l="1"/>
  <c r="U219" s="1"/>
  <c r="N220"/>
  <c r="U220" s="1"/>
  <c r="N218"/>
  <c r="U218" s="1"/>
  <c r="K219" i="7" l="1"/>
  <c r="K218" i="8"/>
  <c r="K218" i="7"/>
  <c r="K219" i="8"/>
  <c r="K220"/>
  <c r="K220" i="7"/>
  <c r="J1038" i="33" l="1"/>
  <c r="J1037"/>
  <c r="J1036"/>
  <c r="J972"/>
  <c r="J719"/>
  <c r="J423"/>
  <c r="J331"/>
  <c r="J328"/>
  <c r="J1247"/>
  <c r="J1245"/>
  <c r="J1200"/>
  <c r="J1175"/>
  <c r="J950"/>
  <c r="J912"/>
  <c r="J909"/>
  <c r="J689"/>
  <c r="J787"/>
  <c r="J645"/>
  <c r="J545"/>
  <c r="J467"/>
  <c r="J444"/>
  <c r="J1820" l="1"/>
  <c r="J1407"/>
  <c r="J555"/>
  <c r="J494"/>
  <c r="J400"/>
  <c r="J514"/>
  <c r="J425"/>
  <c r="J470"/>
  <c r="J283"/>
  <c r="J393"/>
  <c r="J266"/>
  <c r="J67"/>
  <c r="J43"/>
  <c r="F5" i="1" l="1"/>
  <c r="B102" i="26" l="1"/>
  <c r="K4" i="5"/>
  <c r="J4"/>
  <c r="J139" l="1"/>
  <c r="K139"/>
  <c r="M2" i="4"/>
  <c r="H30"/>
  <c r="G16"/>
  <c r="G30"/>
  <c r="L2"/>
  <c r="H16"/>
  <c r="G1" i="1"/>
  <c r="F2"/>
  <c r="F1"/>
  <c r="D2"/>
  <c r="D1"/>
  <c r="M201" i="33"/>
  <c r="K217" i="5" l="1"/>
  <c r="J217"/>
  <c r="R218" i="7"/>
  <c r="Y218" s="1"/>
  <c r="R220"/>
  <c r="Y220" s="1"/>
  <c r="R218" i="8"/>
  <c r="Y218" s="1"/>
  <c r="R220"/>
  <c r="Y220" s="1"/>
  <c r="R219" i="7"/>
  <c r="Y219" s="1"/>
  <c r="R219" i="8"/>
  <c r="Y219" s="1"/>
  <c r="M6" i="4"/>
  <c r="L6"/>
  <c r="H6"/>
  <c r="D6"/>
  <c r="L1" l="1"/>
  <c r="G1"/>
  <c r="G3" s="1"/>
  <c r="M1"/>
  <c r="H1"/>
  <c r="H3" s="1"/>
  <c r="I6"/>
  <c r="K220" i="6" l="1"/>
  <c r="R220" s="1"/>
  <c r="Y220" s="1"/>
  <c r="K219"/>
  <c r="R219" s="1"/>
  <c r="Y219" s="1"/>
  <c r="K218"/>
  <c r="R218" s="1"/>
  <c r="Y218" s="1"/>
  <c r="K219" i="5"/>
  <c r="R219" s="1"/>
  <c r="Y219" s="1"/>
  <c r="K220"/>
  <c r="R220" s="1"/>
  <c r="Y220" s="1"/>
  <c r="K218"/>
  <c r="R218" s="1"/>
  <c r="Y218" s="1"/>
  <c r="I1" i="4"/>
  <c r="D39" i="11"/>
  <c r="D37"/>
  <c r="I2" i="12"/>
  <c r="H3" i="10"/>
  <c r="I4" i="11"/>
  <c r="F27"/>
  <c r="F29"/>
  <c r="F30"/>
  <c r="F31"/>
  <c r="F32"/>
  <c r="H59" i="10" l="1"/>
  <c r="O6" i="35"/>
  <c r="R6" s="1"/>
  <c r="H31" i="32"/>
  <c r="H29"/>
  <c r="C9"/>
  <c r="K8"/>
  <c r="D8"/>
  <c r="B8"/>
  <c r="B9"/>
  <c r="E6"/>
  <c r="A7" i="31"/>
  <c r="B5"/>
  <c r="D4"/>
  <c r="O1" i="35" l="1"/>
  <c r="I31" i="13"/>
  <c r="I30"/>
  <c r="I29"/>
  <c r="I28"/>
  <c r="I27"/>
  <c r="I12"/>
  <c r="H70" i="27"/>
  <c r="H69"/>
  <c r="H68"/>
  <c r="H67"/>
  <c r="H66"/>
  <c r="H64"/>
  <c r="H63"/>
  <c r="H62"/>
  <c r="H61"/>
  <c r="H60"/>
  <c r="H59"/>
  <c r="H58"/>
  <c r="H57"/>
  <c r="H56"/>
  <c r="H55"/>
  <c r="H52"/>
  <c r="E32" i="11"/>
  <c r="E31"/>
  <c r="E30"/>
  <c r="E29"/>
  <c r="E27"/>
  <c r="E19" i="10" l="1"/>
  <c r="E17"/>
  <c r="A9" i="26" l="1"/>
  <c r="D20" i="1" l="1"/>
  <c r="E51" i="26"/>
  <c r="E49"/>
  <c r="A79" i="29"/>
  <c r="A77"/>
  <c r="A16"/>
  <c r="A15"/>
  <c r="A14"/>
  <c r="A13"/>
  <c r="A12"/>
  <c r="H73" i="27"/>
  <c r="B104" i="26"/>
  <c r="D89"/>
  <c r="D90" s="1"/>
  <c r="D91" s="1"/>
  <c r="D92" s="1"/>
  <c r="D93" s="1"/>
  <c r="D94" s="1"/>
  <c r="D95" s="1"/>
  <c r="D96" s="1"/>
  <c r="D97" s="1"/>
  <c r="D98" s="1"/>
  <c r="D75"/>
  <c r="D76" s="1"/>
  <c r="D77" s="1"/>
  <c r="D78" s="1"/>
  <c r="D79" s="1"/>
  <c r="D80" s="1"/>
  <c r="D81" s="1"/>
  <c r="D82" s="1"/>
  <c r="E63"/>
  <c r="E64" s="1"/>
  <c r="E59"/>
  <c r="D59"/>
  <c r="D60" s="1"/>
  <c r="D61" s="1"/>
  <c r="D62" s="1"/>
  <c r="D63" s="1"/>
  <c r="D64" s="1"/>
  <c r="D65" s="1"/>
  <c r="D66" s="1"/>
  <c r="D67" s="1"/>
  <c r="D68" s="1"/>
  <c r="D69" s="1"/>
  <c r="D70" s="1"/>
  <c r="D26"/>
  <c r="D27" s="1"/>
  <c r="D28" s="1"/>
  <c r="D29" s="1"/>
  <c r="D30" s="1"/>
  <c r="D31" s="1"/>
  <c r="D32" s="1"/>
  <c r="D33" s="1"/>
  <c r="D34" s="1"/>
  <c r="D35" s="1"/>
  <c r="D36" s="1"/>
  <c r="D37" s="1"/>
  <c r="D38" s="1"/>
  <c r="D39" s="1"/>
  <c r="D40" s="1"/>
  <c r="D41" s="1"/>
  <c r="D42" s="1"/>
  <c r="D43" s="1"/>
  <c r="D44" s="1"/>
  <c r="D45" s="1"/>
  <c r="D46" s="1"/>
  <c r="D47" s="1"/>
  <c r="D48" s="1"/>
  <c r="D49" s="1"/>
  <c r="D50" s="1"/>
  <c r="D51" s="1"/>
  <c r="D52" s="1"/>
  <c r="D53" s="1"/>
  <c r="D54" s="1"/>
  <c r="A19"/>
  <c r="A16"/>
  <c r="A15"/>
  <c r="A14"/>
  <c r="A13"/>
  <c r="A12"/>
  <c r="A11"/>
  <c r="J26" i="12" l="1"/>
  <c r="J25"/>
  <c r="J24"/>
  <c r="J23"/>
  <c r="J18"/>
  <c r="J17"/>
  <c r="H32" i="11"/>
  <c r="H31"/>
  <c r="H30"/>
  <c r="H29"/>
  <c r="H27"/>
  <c r="Q6" i="4" l="1"/>
  <c r="P6"/>
  <c r="C5681" l="1"/>
  <c r="D5681" s="1"/>
  <c r="C5680"/>
  <c r="D5680" s="1"/>
  <c r="C5679"/>
  <c r="D5679" s="1"/>
  <c r="C5678"/>
  <c r="D5678" s="1"/>
  <c r="C5677"/>
  <c r="D5677" s="1"/>
  <c r="C5676"/>
  <c r="D5676" s="1"/>
  <c r="C5675"/>
  <c r="D5675" s="1"/>
  <c r="C5674"/>
  <c r="D5674" s="1"/>
  <c r="C5673"/>
  <c r="D5673" s="1"/>
  <c r="C5672"/>
  <c r="D5672" s="1"/>
  <c r="C5671"/>
  <c r="D5671" s="1"/>
  <c r="C5670"/>
  <c r="D5670" s="1"/>
  <c r="C5669"/>
  <c r="D5669" s="1"/>
  <c r="C5668"/>
  <c r="D5668" s="1"/>
  <c r="C5667"/>
  <c r="D5667" s="1"/>
  <c r="C5666"/>
  <c r="D5666" s="1"/>
  <c r="C5665"/>
  <c r="D5665" s="1"/>
  <c r="C5664"/>
  <c r="D5664" s="1"/>
  <c r="C5663"/>
  <c r="D5663" s="1"/>
  <c r="C5662"/>
  <c r="D5662" s="1"/>
  <c r="C5661"/>
  <c r="D5661" s="1"/>
  <c r="C5660"/>
  <c r="D5660" s="1"/>
  <c r="C5659"/>
  <c r="D5659" s="1"/>
  <c r="C5658"/>
  <c r="D5658" s="1"/>
  <c r="C5657"/>
  <c r="D5657" s="1"/>
  <c r="C5656"/>
  <c r="D5656" s="1"/>
  <c r="C5655"/>
  <c r="D5655" s="1"/>
  <c r="C5654"/>
  <c r="D5654" s="1"/>
  <c r="C5653"/>
  <c r="D5653" s="1"/>
  <c r="C5652"/>
  <c r="D5652" s="1"/>
  <c r="C5651"/>
  <c r="D5651" s="1"/>
  <c r="C5650"/>
  <c r="D5650" s="1"/>
  <c r="C5649"/>
  <c r="D5649" s="1"/>
  <c r="C5648"/>
  <c r="D5648" s="1"/>
  <c r="C5647"/>
  <c r="D5647" s="1"/>
  <c r="C5646"/>
  <c r="D5646" s="1"/>
  <c r="C5645"/>
  <c r="D5645" s="1"/>
  <c r="C5644"/>
  <c r="D5644" s="1"/>
  <c r="C5643"/>
  <c r="D5643" s="1"/>
  <c r="C5642"/>
  <c r="D5642" s="1"/>
  <c r="C5641"/>
  <c r="D5641" s="1"/>
  <c r="C5640"/>
  <c r="D5640" s="1"/>
  <c r="C5639"/>
  <c r="D5639" s="1"/>
  <c r="C5638"/>
  <c r="D5638" s="1"/>
  <c r="C5637"/>
  <c r="D5637" s="1"/>
  <c r="C5636"/>
  <c r="D5636" s="1"/>
  <c r="C5635"/>
  <c r="D5635" s="1"/>
  <c r="C5634"/>
  <c r="D5634" s="1"/>
  <c r="C5633"/>
  <c r="D5633" s="1"/>
  <c r="C5632"/>
  <c r="D5632" s="1"/>
  <c r="C5631"/>
  <c r="D5631" s="1"/>
  <c r="C5630"/>
  <c r="D5630" s="1"/>
  <c r="C5629"/>
  <c r="D5629" s="1"/>
  <c r="C5628"/>
  <c r="D5628" s="1"/>
  <c r="C5627"/>
  <c r="D5627" s="1"/>
  <c r="C5626"/>
  <c r="D5626" s="1"/>
  <c r="C5625"/>
  <c r="D5625" s="1"/>
  <c r="C5624"/>
  <c r="D5624" s="1"/>
  <c r="C5623"/>
  <c r="D5623" s="1"/>
  <c r="C5622"/>
  <c r="D5622" s="1"/>
  <c r="C5621"/>
  <c r="D5621" s="1"/>
  <c r="C5620"/>
  <c r="D5620" s="1"/>
  <c r="C5619"/>
  <c r="D5619" s="1"/>
  <c r="C5618"/>
  <c r="D5618" s="1"/>
  <c r="C5617"/>
  <c r="D5617" s="1"/>
  <c r="C5616"/>
  <c r="D5616" s="1"/>
  <c r="C5615"/>
  <c r="D5615" s="1"/>
  <c r="C5614"/>
  <c r="D5614" s="1"/>
  <c r="C5613"/>
  <c r="D5613" s="1"/>
  <c r="C5612"/>
  <c r="D5612" s="1"/>
  <c r="C5611"/>
  <c r="D5611" s="1"/>
  <c r="C5610"/>
  <c r="D5610" s="1"/>
  <c r="C5609"/>
  <c r="D5609" s="1"/>
  <c r="C5608"/>
  <c r="D5608" s="1"/>
  <c r="C5607"/>
  <c r="D5607" s="1"/>
  <c r="C5606"/>
  <c r="D5606" s="1"/>
  <c r="C5605"/>
  <c r="D5605" s="1"/>
  <c r="C5604"/>
  <c r="D5604" s="1"/>
  <c r="C5603"/>
  <c r="D5603" s="1"/>
  <c r="C5602"/>
  <c r="D5602" s="1"/>
  <c r="C5601"/>
  <c r="D5601" s="1"/>
  <c r="C5600"/>
  <c r="D5600" s="1"/>
  <c r="C5599"/>
  <c r="D5599" s="1"/>
  <c r="C5598"/>
  <c r="D5598" s="1"/>
  <c r="C5597"/>
  <c r="D5597" s="1"/>
  <c r="C5596"/>
  <c r="D5596" s="1"/>
  <c r="C5595"/>
  <c r="D5595" s="1"/>
  <c r="C5594"/>
  <c r="D5594" s="1"/>
  <c r="C5593"/>
  <c r="D5593" s="1"/>
  <c r="C5592"/>
  <c r="D5592" s="1"/>
  <c r="C5591"/>
  <c r="D5591" s="1"/>
  <c r="C5590"/>
  <c r="D5590" s="1"/>
  <c r="C5589"/>
  <c r="D5589" s="1"/>
  <c r="C5588"/>
  <c r="D5588" s="1"/>
  <c r="C5587"/>
  <c r="D5587" s="1"/>
  <c r="C5586"/>
  <c r="D5586" s="1"/>
  <c r="C5585"/>
  <c r="D5585" s="1"/>
  <c r="C5584"/>
  <c r="D5584" s="1"/>
  <c r="C5583"/>
  <c r="D5583" s="1"/>
  <c r="C5582"/>
  <c r="D5582" s="1"/>
  <c r="C5581"/>
  <c r="D5581" s="1"/>
  <c r="C5580"/>
  <c r="D5580" s="1"/>
  <c r="C5579"/>
  <c r="D5579" s="1"/>
  <c r="C5578"/>
  <c r="D5578" s="1"/>
  <c r="C5577"/>
  <c r="D5577" s="1"/>
  <c r="C5576"/>
  <c r="D5576" s="1"/>
  <c r="C5575"/>
  <c r="D5575" s="1"/>
  <c r="C5574"/>
  <c r="D5574" s="1"/>
  <c r="C5573"/>
  <c r="D5573" s="1"/>
  <c r="C5572"/>
  <c r="D5572" s="1"/>
  <c r="C5571"/>
  <c r="D5571" s="1"/>
  <c r="C5570"/>
  <c r="D5570" s="1"/>
  <c r="C5569"/>
  <c r="D5569" s="1"/>
  <c r="C5568"/>
  <c r="D5568" s="1"/>
  <c r="C5567"/>
  <c r="D5567" s="1"/>
  <c r="C5566"/>
  <c r="D5566" s="1"/>
  <c r="C5565"/>
  <c r="D5565" s="1"/>
  <c r="C5564"/>
  <c r="D5564" s="1"/>
  <c r="C5563"/>
  <c r="D5563" s="1"/>
  <c r="C5562"/>
  <c r="D5562" s="1"/>
  <c r="C5561"/>
  <c r="D5561" s="1"/>
  <c r="C5560"/>
  <c r="D5560" s="1"/>
  <c r="C5559"/>
  <c r="D5559" s="1"/>
  <c r="C5558"/>
  <c r="D5558" s="1"/>
  <c r="C5557"/>
  <c r="D5557" s="1"/>
  <c r="C5556"/>
  <c r="D5556" s="1"/>
  <c r="C5555"/>
  <c r="D5555" s="1"/>
  <c r="C5554"/>
  <c r="D5554" s="1"/>
  <c r="C5553"/>
  <c r="D5553" s="1"/>
  <c r="C5552"/>
  <c r="D5552" s="1"/>
  <c r="C5551"/>
  <c r="D5551" s="1"/>
  <c r="C5550"/>
  <c r="D5550" s="1"/>
  <c r="C5549"/>
  <c r="D5549" s="1"/>
  <c r="C5548"/>
  <c r="D5548" s="1"/>
  <c r="C5547"/>
  <c r="D5547" s="1"/>
  <c r="C5546"/>
  <c r="D5546" s="1"/>
  <c r="C5545"/>
  <c r="D5545" s="1"/>
  <c r="C5544"/>
  <c r="D5544" s="1"/>
  <c r="C5543"/>
  <c r="D5543" s="1"/>
  <c r="C5542"/>
  <c r="D5542" s="1"/>
  <c r="C5541"/>
  <c r="D5541" s="1"/>
  <c r="C5540"/>
  <c r="D5540" s="1"/>
  <c r="C5539"/>
  <c r="D5539" s="1"/>
  <c r="C5538"/>
  <c r="D5538" s="1"/>
  <c r="C5537"/>
  <c r="D5537" s="1"/>
  <c r="C5536"/>
  <c r="D5536" s="1"/>
  <c r="C5535"/>
  <c r="D5535" s="1"/>
  <c r="C5534"/>
  <c r="D5534" s="1"/>
  <c r="C5533"/>
  <c r="D5533" s="1"/>
  <c r="C5532"/>
  <c r="D5532" s="1"/>
  <c r="C5531"/>
  <c r="D5531" s="1"/>
  <c r="C5530"/>
  <c r="D5530" s="1"/>
  <c r="C5529"/>
  <c r="D5529" s="1"/>
  <c r="C5528"/>
  <c r="D5528" s="1"/>
  <c r="C5527"/>
  <c r="D5527" s="1"/>
  <c r="C5526"/>
  <c r="D5526" s="1"/>
  <c r="C5525"/>
  <c r="D5525" s="1"/>
  <c r="C5524"/>
  <c r="D5524" s="1"/>
  <c r="C5523"/>
  <c r="D5523" s="1"/>
  <c r="C5522"/>
  <c r="D5522" s="1"/>
  <c r="C5521"/>
  <c r="D5521" s="1"/>
  <c r="C5520"/>
  <c r="D5520" s="1"/>
  <c r="C5519"/>
  <c r="D5519" s="1"/>
  <c r="C5518"/>
  <c r="D5518" s="1"/>
  <c r="C5517"/>
  <c r="D5517" s="1"/>
  <c r="C5516"/>
  <c r="D5516" s="1"/>
  <c r="C5515"/>
  <c r="D5515" s="1"/>
  <c r="C5514"/>
  <c r="D5514" s="1"/>
  <c r="C5513"/>
  <c r="D5513" s="1"/>
  <c r="C5512"/>
  <c r="D5512" s="1"/>
  <c r="C5511"/>
  <c r="D5511" s="1"/>
  <c r="C5510"/>
  <c r="D5510" s="1"/>
  <c r="C5509"/>
  <c r="D5509" s="1"/>
  <c r="C5508"/>
  <c r="D5508" s="1"/>
  <c r="C5507"/>
  <c r="D5507" s="1"/>
  <c r="C5506"/>
  <c r="D5506" s="1"/>
  <c r="C5505"/>
  <c r="D5505" s="1"/>
  <c r="C5504"/>
  <c r="D5504" s="1"/>
  <c r="C5503"/>
  <c r="D5503" s="1"/>
  <c r="C5502"/>
  <c r="D5502" s="1"/>
  <c r="C5501"/>
  <c r="D5501" s="1"/>
  <c r="C5500"/>
  <c r="D5500" s="1"/>
  <c r="C5499"/>
  <c r="D5499" s="1"/>
  <c r="C5498"/>
  <c r="D5498" s="1"/>
  <c r="C5497"/>
  <c r="D5497" s="1"/>
  <c r="C5496"/>
  <c r="D5496" s="1"/>
  <c r="C5495"/>
  <c r="D5495" s="1"/>
  <c r="C5494"/>
  <c r="D5494" s="1"/>
  <c r="C5493"/>
  <c r="D5493" s="1"/>
  <c r="C5492"/>
  <c r="D5492" s="1"/>
  <c r="C5491"/>
  <c r="D5491" s="1"/>
  <c r="C5490"/>
  <c r="D5490" s="1"/>
  <c r="C5489"/>
  <c r="D5489" s="1"/>
  <c r="C5488"/>
  <c r="D5488" s="1"/>
  <c r="C5487"/>
  <c r="D5487" s="1"/>
  <c r="C5486"/>
  <c r="D5486" s="1"/>
  <c r="C5485"/>
  <c r="D5485" s="1"/>
  <c r="C5484"/>
  <c r="D5484" s="1"/>
  <c r="C5483"/>
  <c r="D5483" s="1"/>
  <c r="C5482"/>
  <c r="D5482" s="1"/>
  <c r="C5481"/>
  <c r="D5481" s="1"/>
  <c r="C5480"/>
  <c r="D5480" s="1"/>
  <c r="C5479"/>
  <c r="D5479" s="1"/>
  <c r="C5478"/>
  <c r="D5478" s="1"/>
  <c r="C5477"/>
  <c r="D5477" s="1"/>
  <c r="C5476"/>
  <c r="D5476" s="1"/>
  <c r="C5475"/>
  <c r="D5475" s="1"/>
  <c r="C5474"/>
  <c r="D5474" s="1"/>
  <c r="C5473"/>
  <c r="D5473" s="1"/>
  <c r="C5472"/>
  <c r="D5472" s="1"/>
  <c r="C5471"/>
  <c r="D5471" s="1"/>
  <c r="C5470"/>
  <c r="D5470" s="1"/>
  <c r="C5469"/>
  <c r="D5469" s="1"/>
  <c r="C5468"/>
  <c r="D5468" s="1"/>
  <c r="C5467"/>
  <c r="D5467" s="1"/>
  <c r="C5466"/>
  <c r="D5466" s="1"/>
  <c r="C5465"/>
  <c r="D5465" s="1"/>
  <c r="C5464"/>
  <c r="D5464" s="1"/>
  <c r="C5463"/>
  <c r="D5463" s="1"/>
  <c r="C5462"/>
  <c r="D5462" s="1"/>
  <c r="C5461"/>
  <c r="D5461" s="1"/>
  <c r="C5460"/>
  <c r="D5460" s="1"/>
  <c r="C5459"/>
  <c r="D5459" s="1"/>
  <c r="C5458"/>
  <c r="D5458" s="1"/>
  <c r="C5457"/>
  <c r="D5457" s="1"/>
  <c r="C5456"/>
  <c r="D5456" s="1"/>
  <c r="C5455"/>
  <c r="D5455" s="1"/>
  <c r="C5454"/>
  <c r="D5454" s="1"/>
  <c r="C5453"/>
  <c r="D5453" s="1"/>
  <c r="C5452"/>
  <c r="D5452" s="1"/>
  <c r="C5451"/>
  <c r="D5451" s="1"/>
  <c r="C5450"/>
  <c r="D5450" s="1"/>
  <c r="C5449"/>
  <c r="D5449" s="1"/>
  <c r="C5448"/>
  <c r="D5448" s="1"/>
  <c r="C5447"/>
  <c r="D5447" s="1"/>
  <c r="C5446"/>
  <c r="D5446" s="1"/>
  <c r="C5445"/>
  <c r="D5445" s="1"/>
  <c r="C5444"/>
  <c r="D5444" s="1"/>
  <c r="C5443"/>
  <c r="D5443" s="1"/>
  <c r="C5442"/>
  <c r="D5442" s="1"/>
  <c r="C5441"/>
  <c r="D5441" s="1"/>
  <c r="C5440"/>
  <c r="D5440" s="1"/>
  <c r="C5439"/>
  <c r="D5439" s="1"/>
  <c r="C5438"/>
  <c r="D5438" s="1"/>
  <c r="C5437"/>
  <c r="D5437" s="1"/>
  <c r="C5436"/>
  <c r="D5436" s="1"/>
  <c r="C5435"/>
  <c r="D5435" s="1"/>
  <c r="C5434"/>
  <c r="D5434" s="1"/>
  <c r="C5433"/>
  <c r="D5433" s="1"/>
  <c r="C5432"/>
  <c r="D5432" s="1"/>
  <c r="C5431"/>
  <c r="D5431" s="1"/>
  <c r="C5430"/>
  <c r="D5430" s="1"/>
  <c r="C5429"/>
  <c r="D5429" s="1"/>
  <c r="C5428"/>
  <c r="D5428" s="1"/>
  <c r="C5427"/>
  <c r="D5427" s="1"/>
  <c r="C5426"/>
  <c r="D5426" s="1"/>
  <c r="C5425"/>
  <c r="D5425" s="1"/>
  <c r="C5424"/>
  <c r="D5424" s="1"/>
  <c r="C5423"/>
  <c r="D5423" s="1"/>
  <c r="C5422"/>
  <c r="D5422" s="1"/>
  <c r="C5421"/>
  <c r="D5421" s="1"/>
  <c r="C5420"/>
  <c r="D5420" s="1"/>
  <c r="C5419"/>
  <c r="D5419" s="1"/>
  <c r="C5418"/>
  <c r="D5418" s="1"/>
  <c r="C5417"/>
  <c r="D5417" s="1"/>
  <c r="C5416"/>
  <c r="D5416" s="1"/>
  <c r="C5415"/>
  <c r="D5415" s="1"/>
  <c r="C5414"/>
  <c r="D5414" s="1"/>
  <c r="C5413"/>
  <c r="D5413" s="1"/>
  <c r="C5412"/>
  <c r="D5412" s="1"/>
  <c r="C5411"/>
  <c r="D5411" s="1"/>
  <c r="C5410"/>
  <c r="D5410" s="1"/>
  <c r="C5409"/>
  <c r="D5409" s="1"/>
  <c r="C5408"/>
  <c r="D5408" s="1"/>
  <c r="C5407"/>
  <c r="D5407" s="1"/>
  <c r="C5406"/>
  <c r="D5406" s="1"/>
  <c r="C5405"/>
  <c r="D5405" s="1"/>
  <c r="C5404"/>
  <c r="D5404" s="1"/>
  <c r="C5403"/>
  <c r="D5403" s="1"/>
  <c r="C5402"/>
  <c r="D5402" s="1"/>
  <c r="C5401"/>
  <c r="D5401" s="1"/>
  <c r="C5400"/>
  <c r="D5400" s="1"/>
  <c r="C5399"/>
  <c r="D5399" s="1"/>
  <c r="C5398"/>
  <c r="D5398" s="1"/>
  <c r="C5397"/>
  <c r="D5397" s="1"/>
  <c r="C5396"/>
  <c r="D5396" s="1"/>
  <c r="C5395"/>
  <c r="D5395" s="1"/>
  <c r="C5394"/>
  <c r="D5394" s="1"/>
  <c r="C5393"/>
  <c r="D5393" s="1"/>
  <c r="C5392"/>
  <c r="D5392" s="1"/>
  <c r="C5391"/>
  <c r="D5391" s="1"/>
  <c r="C5390"/>
  <c r="D5390" s="1"/>
  <c r="C5389"/>
  <c r="D5389" s="1"/>
  <c r="C5388"/>
  <c r="D5388" s="1"/>
  <c r="C5387"/>
  <c r="D5387" s="1"/>
  <c r="C5386"/>
  <c r="D5386" s="1"/>
  <c r="C5385"/>
  <c r="D5385" s="1"/>
  <c r="C5384"/>
  <c r="D5384" s="1"/>
  <c r="C5383"/>
  <c r="D5383" s="1"/>
  <c r="C5382"/>
  <c r="D5382" s="1"/>
  <c r="C5381"/>
  <c r="D5381" s="1"/>
  <c r="C5380"/>
  <c r="D5380" s="1"/>
  <c r="C5379"/>
  <c r="D5379" s="1"/>
  <c r="C5378"/>
  <c r="D5378" s="1"/>
  <c r="C5377"/>
  <c r="D5377" s="1"/>
  <c r="C5376"/>
  <c r="D5376" s="1"/>
  <c r="C5375"/>
  <c r="D5375" s="1"/>
  <c r="C5374"/>
  <c r="D5374" s="1"/>
  <c r="C5373"/>
  <c r="D5373" s="1"/>
  <c r="C5372"/>
  <c r="D5372" s="1"/>
  <c r="C5371"/>
  <c r="D5371" s="1"/>
  <c r="C5370"/>
  <c r="D5370" s="1"/>
  <c r="C5369"/>
  <c r="D5369" s="1"/>
  <c r="C5368"/>
  <c r="D5368" s="1"/>
  <c r="C5367"/>
  <c r="D5367" s="1"/>
  <c r="C5366"/>
  <c r="D5366" s="1"/>
  <c r="C5365"/>
  <c r="D5365" s="1"/>
  <c r="C5364"/>
  <c r="D5364" s="1"/>
  <c r="C5363"/>
  <c r="D5363" s="1"/>
  <c r="C5362"/>
  <c r="D5362" s="1"/>
  <c r="C5361"/>
  <c r="D5361" s="1"/>
  <c r="C5360"/>
  <c r="D5360" s="1"/>
  <c r="C5359"/>
  <c r="D5359" s="1"/>
  <c r="C5358"/>
  <c r="D5358" s="1"/>
  <c r="C5357"/>
  <c r="D5357" s="1"/>
  <c r="C5356"/>
  <c r="D5356" s="1"/>
  <c r="C5355"/>
  <c r="D5355" s="1"/>
  <c r="C5354"/>
  <c r="D5354" s="1"/>
  <c r="C5353"/>
  <c r="D5353" s="1"/>
  <c r="C5352"/>
  <c r="D5352" s="1"/>
  <c r="C5351"/>
  <c r="D5351" s="1"/>
  <c r="C5350"/>
  <c r="D5350" s="1"/>
  <c r="C5349"/>
  <c r="D5349" s="1"/>
  <c r="C5348"/>
  <c r="D5348" s="1"/>
  <c r="C5347"/>
  <c r="D5347" s="1"/>
  <c r="C5346"/>
  <c r="D5346" s="1"/>
  <c r="C5345"/>
  <c r="D5345" s="1"/>
  <c r="C5344"/>
  <c r="D5344" s="1"/>
  <c r="C5343"/>
  <c r="D5343" s="1"/>
  <c r="C5342"/>
  <c r="D5342" s="1"/>
  <c r="C5341"/>
  <c r="D5341" s="1"/>
  <c r="C5340"/>
  <c r="D5340" s="1"/>
  <c r="C5339"/>
  <c r="D5339" s="1"/>
  <c r="C5338"/>
  <c r="D5338" s="1"/>
  <c r="C5337"/>
  <c r="D5337" s="1"/>
  <c r="C5336"/>
  <c r="D5336" s="1"/>
  <c r="C5335"/>
  <c r="D5335" s="1"/>
  <c r="C5334"/>
  <c r="D5334" s="1"/>
  <c r="C5333"/>
  <c r="D5333" s="1"/>
  <c r="C5332"/>
  <c r="D5332" s="1"/>
  <c r="C5331"/>
  <c r="D5331" s="1"/>
  <c r="C5330"/>
  <c r="D5330" s="1"/>
  <c r="C5329"/>
  <c r="D5329" s="1"/>
  <c r="C5328"/>
  <c r="D5328" s="1"/>
  <c r="C5327"/>
  <c r="D5327" s="1"/>
  <c r="C5326"/>
  <c r="D5326" s="1"/>
  <c r="C5325"/>
  <c r="D5325" s="1"/>
  <c r="C5324"/>
  <c r="D5324" s="1"/>
  <c r="C5323"/>
  <c r="D5323" s="1"/>
  <c r="C5322"/>
  <c r="D5322" s="1"/>
  <c r="C5321"/>
  <c r="D5321" s="1"/>
  <c r="C5320"/>
  <c r="D5320" s="1"/>
  <c r="C5319"/>
  <c r="D5319" s="1"/>
  <c r="C5318"/>
  <c r="D5318" s="1"/>
  <c r="C5317"/>
  <c r="D5317" s="1"/>
  <c r="C5316"/>
  <c r="D5316" s="1"/>
  <c r="C5315"/>
  <c r="D5315" s="1"/>
  <c r="C5314"/>
  <c r="D5314" s="1"/>
  <c r="C5313"/>
  <c r="D5313" s="1"/>
  <c r="C5312"/>
  <c r="D5312" s="1"/>
  <c r="C5311"/>
  <c r="D5311" s="1"/>
  <c r="C5310"/>
  <c r="D5310" s="1"/>
  <c r="C5309"/>
  <c r="D5309" s="1"/>
  <c r="C5308"/>
  <c r="D5308" s="1"/>
  <c r="C5307"/>
  <c r="D5307" s="1"/>
  <c r="C5306"/>
  <c r="D5306" s="1"/>
  <c r="C5305"/>
  <c r="D5305" s="1"/>
  <c r="C5304"/>
  <c r="D5304" s="1"/>
  <c r="C5303"/>
  <c r="D5303" s="1"/>
  <c r="C5302"/>
  <c r="D5302" s="1"/>
  <c r="C5301"/>
  <c r="D5301" s="1"/>
  <c r="C5300"/>
  <c r="D5300" s="1"/>
  <c r="C5299"/>
  <c r="D5299" s="1"/>
  <c r="C5298"/>
  <c r="D5298" s="1"/>
  <c r="C5297"/>
  <c r="D5297" s="1"/>
  <c r="C5296"/>
  <c r="D5296" s="1"/>
  <c r="C5295"/>
  <c r="D5295" s="1"/>
  <c r="C5294"/>
  <c r="D5294" s="1"/>
  <c r="C5293"/>
  <c r="D5293" s="1"/>
  <c r="C5292"/>
  <c r="D5292" s="1"/>
  <c r="C5291"/>
  <c r="D5291" s="1"/>
  <c r="C5290"/>
  <c r="D5290" s="1"/>
  <c r="C5289"/>
  <c r="D5289" s="1"/>
  <c r="C5288"/>
  <c r="D5288" s="1"/>
  <c r="C5287"/>
  <c r="D5287" s="1"/>
  <c r="C5286"/>
  <c r="D5286" s="1"/>
  <c r="C5285"/>
  <c r="D5285" s="1"/>
  <c r="C5284"/>
  <c r="D5284" s="1"/>
  <c r="C5283"/>
  <c r="D5283" s="1"/>
  <c r="C5282"/>
  <c r="D5282" s="1"/>
  <c r="C5281"/>
  <c r="D5281" s="1"/>
  <c r="C5280"/>
  <c r="D5280" s="1"/>
  <c r="C5279"/>
  <c r="D5279" s="1"/>
  <c r="C5278"/>
  <c r="D5278" s="1"/>
  <c r="C5277"/>
  <c r="D5277" s="1"/>
  <c r="C5276"/>
  <c r="D5276" s="1"/>
  <c r="C5275"/>
  <c r="D5275" s="1"/>
  <c r="C5274"/>
  <c r="D5274" s="1"/>
  <c r="C5273"/>
  <c r="D5273" s="1"/>
  <c r="C5272"/>
  <c r="D5272" s="1"/>
  <c r="C5271"/>
  <c r="D5271" s="1"/>
  <c r="C5270"/>
  <c r="D5270" s="1"/>
  <c r="C5269"/>
  <c r="D5269" s="1"/>
  <c r="C5268"/>
  <c r="D5268" s="1"/>
  <c r="C5267"/>
  <c r="D5267" s="1"/>
  <c r="C5266"/>
  <c r="D5266" s="1"/>
  <c r="C5265"/>
  <c r="D5265" s="1"/>
  <c r="C5264"/>
  <c r="D5264" s="1"/>
  <c r="C5263"/>
  <c r="D5263" s="1"/>
  <c r="C5262"/>
  <c r="D5262" s="1"/>
  <c r="C5261"/>
  <c r="D5261" s="1"/>
  <c r="C5260"/>
  <c r="D5260" s="1"/>
  <c r="C5259"/>
  <c r="D5259" s="1"/>
  <c r="C5258"/>
  <c r="D5258" s="1"/>
  <c r="C5257"/>
  <c r="D5257" s="1"/>
  <c r="C5256"/>
  <c r="D5256" s="1"/>
  <c r="C5255"/>
  <c r="D5255" s="1"/>
  <c r="C5254"/>
  <c r="D5254" s="1"/>
  <c r="C5253"/>
  <c r="D5253" s="1"/>
  <c r="C5252"/>
  <c r="D5252" s="1"/>
  <c r="C5251"/>
  <c r="D5251" s="1"/>
  <c r="C5250"/>
  <c r="D5250" s="1"/>
  <c r="C5249"/>
  <c r="D5249" s="1"/>
  <c r="C5248"/>
  <c r="D5248" s="1"/>
  <c r="C5247"/>
  <c r="D5247" s="1"/>
  <c r="C5246"/>
  <c r="D5246" s="1"/>
  <c r="C5245"/>
  <c r="D5245" s="1"/>
  <c r="C5244"/>
  <c r="D5244" s="1"/>
  <c r="C5243"/>
  <c r="D5243" s="1"/>
  <c r="C5242"/>
  <c r="D5242" s="1"/>
  <c r="C5241"/>
  <c r="D5241" s="1"/>
  <c r="C5240"/>
  <c r="D5240" s="1"/>
  <c r="C5239"/>
  <c r="D5239" s="1"/>
  <c r="C5238"/>
  <c r="D5238" s="1"/>
  <c r="C5237"/>
  <c r="D5237" s="1"/>
  <c r="C5236"/>
  <c r="D5236" s="1"/>
  <c r="C5235"/>
  <c r="D5235" s="1"/>
  <c r="C5234"/>
  <c r="D5234" s="1"/>
  <c r="C5233"/>
  <c r="D5233" s="1"/>
  <c r="C5232"/>
  <c r="D5232" s="1"/>
  <c r="C5231"/>
  <c r="D5231" s="1"/>
  <c r="C5230"/>
  <c r="D5230" s="1"/>
  <c r="C5229"/>
  <c r="D5229" s="1"/>
  <c r="C5228"/>
  <c r="D5228" s="1"/>
  <c r="C5227"/>
  <c r="D5227" s="1"/>
  <c r="C5226"/>
  <c r="D5226" s="1"/>
  <c r="C5225"/>
  <c r="D5225" s="1"/>
  <c r="C5224"/>
  <c r="D5224" s="1"/>
  <c r="C5223"/>
  <c r="D5223" s="1"/>
  <c r="C5222"/>
  <c r="D5222" s="1"/>
  <c r="C5221"/>
  <c r="D5221" s="1"/>
  <c r="C5220"/>
  <c r="D5220" s="1"/>
  <c r="C5219"/>
  <c r="D5219" s="1"/>
  <c r="C5218"/>
  <c r="D5218" s="1"/>
  <c r="C5217"/>
  <c r="D5217" s="1"/>
  <c r="C5216"/>
  <c r="D5216" s="1"/>
  <c r="C5215"/>
  <c r="D5215" s="1"/>
  <c r="C5214"/>
  <c r="D5214" s="1"/>
  <c r="C5213"/>
  <c r="D5213" s="1"/>
  <c r="C5212"/>
  <c r="D5212" s="1"/>
  <c r="C5211"/>
  <c r="D5211" s="1"/>
  <c r="C5210"/>
  <c r="D5210" s="1"/>
  <c r="C5209"/>
  <c r="D5209" s="1"/>
  <c r="C5208"/>
  <c r="D5208" s="1"/>
  <c r="C5207"/>
  <c r="D5207" s="1"/>
  <c r="C5206"/>
  <c r="D5206" s="1"/>
  <c r="C5205"/>
  <c r="D5205" s="1"/>
  <c r="C5204"/>
  <c r="D5204" s="1"/>
  <c r="C5203"/>
  <c r="D5203" s="1"/>
  <c r="C5202"/>
  <c r="D5202" s="1"/>
  <c r="C5201"/>
  <c r="D5201" s="1"/>
  <c r="C5200"/>
  <c r="D5200" s="1"/>
  <c r="C5199"/>
  <c r="D5199" s="1"/>
  <c r="C5198"/>
  <c r="D5198" s="1"/>
  <c r="C5197"/>
  <c r="D5197" s="1"/>
  <c r="C5196"/>
  <c r="D5196" s="1"/>
  <c r="C5195"/>
  <c r="D5195" s="1"/>
  <c r="C5194"/>
  <c r="D5194" s="1"/>
  <c r="C5193"/>
  <c r="D5193" s="1"/>
  <c r="C5192"/>
  <c r="D5192" s="1"/>
  <c r="C5191"/>
  <c r="D5191" s="1"/>
  <c r="C5190"/>
  <c r="D5190" s="1"/>
  <c r="C5189"/>
  <c r="D5189" s="1"/>
  <c r="C5188"/>
  <c r="D5188" s="1"/>
  <c r="C5187"/>
  <c r="D5187" s="1"/>
  <c r="C5186"/>
  <c r="D5186" s="1"/>
  <c r="C5185"/>
  <c r="D5185" s="1"/>
  <c r="C5184"/>
  <c r="D5184" s="1"/>
  <c r="C5183"/>
  <c r="D5183" s="1"/>
  <c r="C5182"/>
  <c r="D5182" s="1"/>
  <c r="C5181"/>
  <c r="D5181" s="1"/>
  <c r="C5180"/>
  <c r="D5180" s="1"/>
  <c r="C5179"/>
  <c r="D5179" s="1"/>
  <c r="C5178"/>
  <c r="D5178" s="1"/>
  <c r="C5177"/>
  <c r="D5177" s="1"/>
  <c r="C5176"/>
  <c r="D5176" s="1"/>
  <c r="C5175"/>
  <c r="D5175" s="1"/>
  <c r="C5174"/>
  <c r="D5174" s="1"/>
  <c r="C5173"/>
  <c r="D5173" s="1"/>
  <c r="C5172"/>
  <c r="D5172" s="1"/>
  <c r="C5171"/>
  <c r="D5171" s="1"/>
  <c r="C5170"/>
  <c r="D5170" s="1"/>
  <c r="C5169"/>
  <c r="D5169" s="1"/>
  <c r="C5168"/>
  <c r="D5168" s="1"/>
  <c r="C5167"/>
  <c r="D5167" s="1"/>
  <c r="C5166"/>
  <c r="D5166" s="1"/>
  <c r="C5165"/>
  <c r="D5165" s="1"/>
  <c r="C5164"/>
  <c r="D5164" s="1"/>
  <c r="C5163"/>
  <c r="D5163" s="1"/>
  <c r="C5162"/>
  <c r="D5162" s="1"/>
  <c r="C5161"/>
  <c r="D5161" s="1"/>
  <c r="C5160"/>
  <c r="D5160" s="1"/>
  <c r="C5159"/>
  <c r="D5159" s="1"/>
  <c r="C5158"/>
  <c r="D5158" s="1"/>
  <c r="C5157"/>
  <c r="D5157" s="1"/>
  <c r="C5156"/>
  <c r="D5156" s="1"/>
  <c r="C5155"/>
  <c r="D5155" s="1"/>
  <c r="C5154"/>
  <c r="D5154" s="1"/>
  <c r="C5153"/>
  <c r="D5153" s="1"/>
  <c r="C5152"/>
  <c r="D5152" s="1"/>
  <c r="C5151"/>
  <c r="D5151" s="1"/>
  <c r="C5150"/>
  <c r="D5150" s="1"/>
  <c r="C5149"/>
  <c r="D5149" s="1"/>
  <c r="C5148"/>
  <c r="D5148" s="1"/>
  <c r="C5147"/>
  <c r="D5147" s="1"/>
  <c r="C5146"/>
  <c r="D5146" s="1"/>
  <c r="C5145"/>
  <c r="D5145" s="1"/>
  <c r="C5144"/>
  <c r="D5144" s="1"/>
  <c r="C5143"/>
  <c r="D5143" s="1"/>
  <c r="C5142"/>
  <c r="D5142" s="1"/>
  <c r="C5141"/>
  <c r="D5141" s="1"/>
  <c r="C5140"/>
  <c r="D5140" s="1"/>
  <c r="C5139"/>
  <c r="D5139" s="1"/>
  <c r="C5138"/>
  <c r="D5138" s="1"/>
  <c r="C5137"/>
  <c r="D5137" s="1"/>
  <c r="C5136"/>
  <c r="D5136" s="1"/>
  <c r="C5135"/>
  <c r="D5135" s="1"/>
  <c r="C5134"/>
  <c r="D5134" s="1"/>
  <c r="C5133"/>
  <c r="D5133" s="1"/>
  <c r="C5132"/>
  <c r="D5132" s="1"/>
  <c r="C5131"/>
  <c r="D5131" s="1"/>
  <c r="C5130"/>
  <c r="D5130" s="1"/>
  <c r="C5129"/>
  <c r="D5129" s="1"/>
  <c r="C5128"/>
  <c r="D5128" s="1"/>
  <c r="C5127"/>
  <c r="D5127" s="1"/>
  <c r="C5126"/>
  <c r="D5126" s="1"/>
  <c r="C5125"/>
  <c r="D5125" s="1"/>
  <c r="C5124"/>
  <c r="D5124" s="1"/>
  <c r="C5123"/>
  <c r="D5123" s="1"/>
  <c r="C5122"/>
  <c r="D5122" s="1"/>
  <c r="C5121"/>
  <c r="D5121" s="1"/>
  <c r="C5120"/>
  <c r="D5120" s="1"/>
  <c r="C5119"/>
  <c r="D5119" s="1"/>
  <c r="C5118"/>
  <c r="D5118" s="1"/>
  <c r="C5117"/>
  <c r="D5117" s="1"/>
  <c r="C5116"/>
  <c r="D5116" s="1"/>
  <c r="C5115"/>
  <c r="D5115" s="1"/>
  <c r="C5114"/>
  <c r="D5114" s="1"/>
  <c r="C5113"/>
  <c r="D5113" s="1"/>
  <c r="C5112"/>
  <c r="D5112" s="1"/>
  <c r="C5111"/>
  <c r="D5111" s="1"/>
  <c r="C5110"/>
  <c r="D5110" s="1"/>
  <c r="C5109"/>
  <c r="D5109" s="1"/>
  <c r="C5108"/>
  <c r="D5108" s="1"/>
  <c r="C5107"/>
  <c r="D5107" s="1"/>
  <c r="C5106"/>
  <c r="D5106" s="1"/>
  <c r="C5105"/>
  <c r="D5105" s="1"/>
  <c r="C5104"/>
  <c r="D5104" s="1"/>
  <c r="C5103"/>
  <c r="D5103" s="1"/>
  <c r="C5102"/>
  <c r="D5102" s="1"/>
  <c r="C5101"/>
  <c r="D5101" s="1"/>
  <c r="C5100"/>
  <c r="D5100" s="1"/>
  <c r="C5099"/>
  <c r="D5099" s="1"/>
  <c r="C5098"/>
  <c r="D5098" s="1"/>
  <c r="C5097"/>
  <c r="D5097" s="1"/>
  <c r="C5096"/>
  <c r="D5096" s="1"/>
  <c r="C5095"/>
  <c r="D5095" s="1"/>
  <c r="C5094"/>
  <c r="D5094" s="1"/>
  <c r="C5093"/>
  <c r="D5093" s="1"/>
  <c r="C5092"/>
  <c r="D5092" s="1"/>
  <c r="C5091"/>
  <c r="D5091" s="1"/>
  <c r="C5090"/>
  <c r="D5090" s="1"/>
  <c r="C5089"/>
  <c r="D5089" s="1"/>
  <c r="C5088"/>
  <c r="D5088" s="1"/>
  <c r="C5087"/>
  <c r="D5087" s="1"/>
  <c r="C5086"/>
  <c r="D5086" s="1"/>
  <c r="C5085"/>
  <c r="D5085" s="1"/>
  <c r="C5084"/>
  <c r="D5084" s="1"/>
  <c r="C5083"/>
  <c r="D5083" s="1"/>
  <c r="C5082"/>
  <c r="D5082" s="1"/>
  <c r="C5081"/>
  <c r="D5081" s="1"/>
  <c r="C5080"/>
  <c r="D5080" s="1"/>
  <c r="C5079"/>
  <c r="D5079" s="1"/>
  <c r="C5078"/>
  <c r="D5078" s="1"/>
  <c r="C5077"/>
  <c r="D5077" s="1"/>
  <c r="C5076"/>
  <c r="D5076" s="1"/>
  <c r="C5075"/>
  <c r="D5075" s="1"/>
  <c r="C5074"/>
  <c r="D5074" s="1"/>
  <c r="C5073"/>
  <c r="D5073" s="1"/>
  <c r="C5072"/>
  <c r="D5072" s="1"/>
  <c r="C5071"/>
  <c r="D5071" s="1"/>
  <c r="C5070"/>
  <c r="D5070" s="1"/>
  <c r="C5069"/>
  <c r="D5069" s="1"/>
  <c r="C5068"/>
  <c r="D5068" s="1"/>
  <c r="C5067"/>
  <c r="D5067" s="1"/>
  <c r="C5066"/>
  <c r="D5066" s="1"/>
  <c r="C5065"/>
  <c r="D5065" s="1"/>
  <c r="C5064"/>
  <c r="D5064" s="1"/>
  <c r="C5063"/>
  <c r="D5063" s="1"/>
  <c r="C5062"/>
  <c r="D5062" s="1"/>
  <c r="C5061"/>
  <c r="D5061" s="1"/>
  <c r="C5060"/>
  <c r="D5060" s="1"/>
  <c r="C5059"/>
  <c r="D5059" s="1"/>
  <c r="C5058"/>
  <c r="D5058" s="1"/>
  <c r="C5057"/>
  <c r="D5057" s="1"/>
  <c r="C5056"/>
  <c r="D5056" s="1"/>
  <c r="C5055"/>
  <c r="D5055" s="1"/>
  <c r="C5054"/>
  <c r="D5054" s="1"/>
  <c r="C5053"/>
  <c r="D5053" s="1"/>
  <c r="C5052"/>
  <c r="D5052" s="1"/>
  <c r="C5051"/>
  <c r="D5051" s="1"/>
  <c r="C5050"/>
  <c r="D5050" s="1"/>
  <c r="C5049"/>
  <c r="D5049" s="1"/>
  <c r="C5048"/>
  <c r="D5048" s="1"/>
  <c r="C5047"/>
  <c r="D5047" s="1"/>
  <c r="C5046"/>
  <c r="D5046" s="1"/>
  <c r="C5045"/>
  <c r="D5045" s="1"/>
  <c r="C5044"/>
  <c r="D5044" s="1"/>
  <c r="C5043"/>
  <c r="D5043" s="1"/>
  <c r="C5042"/>
  <c r="D5042" s="1"/>
  <c r="C5041"/>
  <c r="D5041" s="1"/>
  <c r="C5040"/>
  <c r="D5040" s="1"/>
  <c r="C5039"/>
  <c r="D5039" s="1"/>
  <c r="C5038"/>
  <c r="D5038" s="1"/>
  <c r="C5037"/>
  <c r="D5037" s="1"/>
  <c r="C5036"/>
  <c r="D5036" s="1"/>
  <c r="C5035"/>
  <c r="D5035" s="1"/>
  <c r="C5034"/>
  <c r="D5034" s="1"/>
  <c r="C5033"/>
  <c r="D5033" s="1"/>
  <c r="C5032"/>
  <c r="D5032" s="1"/>
  <c r="C5031"/>
  <c r="D5031" s="1"/>
  <c r="C5030"/>
  <c r="D5030" s="1"/>
  <c r="C5029"/>
  <c r="D5029" s="1"/>
  <c r="C5028"/>
  <c r="D5028" s="1"/>
  <c r="C5027"/>
  <c r="D5027" s="1"/>
  <c r="C5026"/>
  <c r="D5026" s="1"/>
  <c r="C5025"/>
  <c r="D5025" s="1"/>
  <c r="C5024"/>
  <c r="D5024" s="1"/>
  <c r="C5023"/>
  <c r="D5023" s="1"/>
  <c r="C5022"/>
  <c r="D5022" s="1"/>
  <c r="C5021"/>
  <c r="D5021" s="1"/>
  <c r="C5020"/>
  <c r="D5020" s="1"/>
  <c r="C5019"/>
  <c r="D5019" s="1"/>
  <c r="C5018"/>
  <c r="D5018" s="1"/>
  <c r="C5017"/>
  <c r="D5017" s="1"/>
  <c r="C5016"/>
  <c r="D5016" s="1"/>
  <c r="C5015"/>
  <c r="D5015" s="1"/>
  <c r="C5014"/>
  <c r="D5014" s="1"/>
  <c r="C5013"/>
  <c r="D5013" s="1"/>
  <c r="C5012"/>
  <c r="D5012" s="1"/>
  <c r="C5011"/>
  <c r="D5011" s="1"/>
  <c r="C5010"/>
  <c r="D5010" s="1"/>
  <c r="C5009"/>
  <c r="D5009" s="1"/>
  <c r="C5008"/>
  <c r="D5008" s="1"/>
  <c r="C5007"/>
  <c r="D5007" s="1"/>
  <c r="C5006"/>
  <c r="D5006" s="1"/>
  <c r="C5005"/>
  <c r="D5005" s="1"/>
  <c r="C5004"/>
  <c r="D5004" s="1"/>
  <c r="C5003"/>
  <c r="D5003" s="1"/>
  <c r="C5002"/>
  <c r="D5002" s="1"/>
  <c r="C5001"/>
  <c r="D5001" s="1"/>
  <c r="C5000"/>
  <c r="D5000" s="1"/>
  <c r="C4999"/>
  <c r="D4999" s="1"/>
  <c r="C4998"/>
  <c r="D4998" s="1"/>
  <c r="C4997"/>
  <c r="D4997" s="1"/>
  <c r="C4996"/>
  <c r="D4996" s="1"/>
  <c r="C4995"/>
  <c r="D4995" s="1"/>
  <c r="C4994"/>
  <c r="D4994" s="1"/>
  <c r="C4993"/>
  <c r="D4993" s="1"/>
  <c r="C4992"/>
  <c r="D4992" s="1"/>
  <c r="C4991"/>
  <c r="D4991" s="1"/>
  <c r="C4990"/>
  <c r="D4990" s="1"/>
  <c r="C4989"/>
  <c r="D4989" s="1"/>
  <c r="C4988"/>
  <c r="D4988" s="1"/>
  <c r="C4987"/>
  <c r="D4987" s="1"/>
  <c r="C4986"/>
  <c r="D4986" s="1"/>
  <c r="C4985"/>
  <c r="D4985" s="1"/>
  <c r="C4984"/>
  <c r="D4984" s="1"/>
  <c r="C4983"/>
  <c r="D4983" s="1"/>
  <c r="C4982"/>
  <c r="D4982" s="1"/>
  <c r="C4981"/>
  <c r="D4981" s="1"/>
  <c r="C4980"/>
  <c r="D4980" s="1"/>
  <c r="C4979"/>
  <c r="D4979" s="1"/>
  <c r="C4978"/>
  <c r="D4978" s="1"/>
  <c r="C4977"/>
  <c r="D4977" s="1"/>
  <c r="C4976"/>
  <c r="D4976" s="1"/>
  <c r="C4975"/>
  <c r="D4975" s="1"/>
  <c r="C4974"/>
  <c r="D4974" s="1"/>
  <c r="C4973"/>
  <c r="D4973" s="1"/>
  <c r="C4972"/>
  <c r="D4972" s="1"/>
  <c r="C4971"/>
  <c r="D4971" s="1"/>
  <c r="C4970"/>
  <c r="D4970" s="1"/>
  <c r="C4969"/>
  <c r="D4969" s="1"/>
  <c r="C4968"/>
  <c r="D4968" s="1"/>
  <c r="C4967"/>
  <c r="D4967" s="1"/>
  <c r="C4966"/>
  <c r="D4966" s="1"/>
  <c r="C4965"/>
  <c r="D4965" s="1"/>
  <c r="C4964"/>
  <c r="D4964" s="1"/>
  <c r="C4963"/>
  <c r="D4963" s="1"/>
  <c r="C4962"/>
  <c r="D4962" s="1"/>
  <c r="C4961"/>
  <c r="D4961" s="1"/>
  <c r="C4960"/>
  <c r="D4960" s="1"/>
  <c r="C4959"/>
  <c r="D4959" s="1"/>
  <c r="C4958"/>
  <c r="D4958" s="1"/>
  <c r="C4957"/>
  <c r="D4957" s="1"/>
  <c r="C4956"/>
  <c r="D4956" s="1"/>
  <c r="C4955"/>
  <c r="D4955" s="1"/>
  <c r="C4954"/>
  <c r="D4954" s="1"/>
  <c r="C4953"/>
  <c r="D4953" s="1"/>
  <c r="C4952"/>
  <c r="D4952" s="1"/>
  <c r="C4951"/>
  <c r="D4951" s="1"/>
  <c r="C4950"/>
  <c r="D4950" s="1"/>
  <c r="C4949"/>
  <c r="D4949" s="1"/>
  <c r="C4948"/>
  <c r="D4948" s="1"/>
  <c r="C4947"/>
  <c r="D4947" s="1"/>
  <c r="C4946"/>
  <c r="D4946" s="1"/>
  <c r="C4945"/>
  <c r="D4945" s="1"/>
  <c r="C4944"/>
  <c r="D4944" s="1"/>
  <c r="C4943"/>
  <c r="D4943" s="1"/>
  <c r="C4942"/>
  <c r="D4942" s="1"/>
  <c r="C4941"/>
  <c r="D4941" s="1"/>
  <c r="C4940"/>
  <c r="D4940" s="1"/>
  <c r="C4939"/>
  <c r="D4939" s="1"/>
  <c r="C4938"/>
  <c r="D4938" s="1"/>
  <c r="C4937"/>
  <c r="D4937" s="1"/>
  <c r="C4936"/>
  <c r="D4936" s="1"/>
  <c r="C4935"/>
  <c r="D4935" s="1"/>
  <c r="C4934"/>
  <c r="D4934" s="1"/>
  <c r="C4933"/>
  <c r="D4933" s="1"/>
  <c r="C4932"/>
  <c r="D4932" s="1"/>
  <c r="C4931"/>
  <c r="D4931" s="1"/>
  <c r="C4930"/>
  <c r="D4930" s="1"/>
  <c r="C4929"/>
  <c r="D4929" s="1"/>
  <c r="C4928"/>
  <c r="D4928" s="1"/>
  <c r="C4927"/>
  <c r="D4927" s="1"/>
  <c r="C4926"/>
  <c r="D4926" s="1"/>
  <c r="C4925"/>
  <c r="D4925" s="1"/>
  <c r="C4924"/>
  <c r="D4924" s="1"/>
  <c r="C4923"/>
  <c r="D4923" s="1"/>
  <c r="C4922"/>
  <c r="D4922" s="1"/>
  <c r="C4921"/>
  <c r="D4921" s="1"/>
  <c r="C4920"/>
  <c r="D4920" s="1"/>
  <c r="C4919"/>
  <c r="D4919" s="1"/>
  <c r="C4918"/>
  <c r="D4918" s="1"/>
  <c r="C4917"/>
  <c r="D4917" s="1"/>
  <c r="C4916"/>
  <c r="D4916" s="1"/>
  <c r="C4915"/>
  <c r="D4915" s="1"/>
  <c r="C4914"/>
  <c r="D4914" s="1"/>
  <c r="C4913"/>
  <c r="D4913" s="1"/>
  <c r="C4912"/>
  <c r="D4912" s="1"/>
  <c r="C4911"/>
  <c r="D4911" s="1"/>
  <c r="C4910"/>
  <c r="D4910" s="1"/>
  <c r="C4909"/>
  <c r="D4909" s="1"/>
  <c r="C4908"/>
  <c r="D4908" s="1"/>
  <c r="C4907"/>
  <c r="D4907" s="1"/>
  <c r="C4906"/>
  <c r="D4906" s="1"/>
  <c r="C4905"/>
  <c r="D4905" s="1"/>
  <c r="C4904"/>
  <c r="D4904" s="1"/>
  <c r="C4903"/>
  <c r="D4903" s="1"/>
  <c r="C4902"/>
  <c r="D4902" s="1"/>
  <c r="C4901"/>
  <c r="D4901" s="1"/>
  <c r="C4900"/>
  <c r="D4900" s="1"/>
  <c r="C4899"/>
  <c r="D4899" s="1"/>
  <c r="C4898"/>
  <c r="D4898" s="1"/>
  <c r="C4897"/>
  <c r="D4897" s="1"/>
  <c r="C4896"/>
  <c r="D4896" s="1"/>
  <c r="C4895"/>
  <c r="D4895" s="1"/>
  <c r="C4894"/>
  <c r="D4894" s="1"/>
  <c r="C4893"/>
  <c r="D4893" s="1"/>
  <c r="C4892"/>
  <c r="D4892" s="1"/>
  <c r="C4891"/>
  <c r="D4891" s="1"/>
  <c r="C4890"/>
  <c r="D4890" s="1"/>
  <c r="C4889"/>
  <c r="D4889" s="1"/>
  <c r="C4888"/>
  <c r="D4888" s="1"/>
  <c r="C4887"/>
  <c r="D4887" s="1"/>
  <c r="C4886"/>
  <c r="D4886" s="1"/>
  <c r="C4885"/>
  <c r="D4885" s="1"/>
  <c r="C4884"/>
  <c r="D4884" s="1"/>
  <c r="C4883"/>
  <c r="D4883" s="1"/>
  <c r="C4882"/>
  <c r="D4882" s="1"/>
  <c r="C4881"/>
  <c r="D4881" s="1"/>
  <c r="C4880"/>
  <c r="D4880" s="1"/>
  <c r="C4879"/>
  <c r="D4879" s="1"/>
  <c r="C4878"/>
  <c r="D4878" s="1"/>
  <c r="C4877"/>
  <c r="D4877" s="1"/>
  <c r="C4876"/>
  <c r="D4876" s="1"/>
  <c r="C4875"/>
  <c r="D4875" s="1"/>
  <c r="C4874"/>
  <c r="D4874" s="1"/>
  <c r="C4873"/>
  <c r="D4873" s="1"/>
  <c r="C4872"/>
  <c r="D4872" s="1"/>
  <c r="C4871"/>
  <c r="D4871" s="1"/>
  <c r="C4870"/>
  <c r="D4870" s="1"/>
  <c r="C4869"/>
  <c r="D4869" s="1"/>
  <c r="C4868"/>
  <c r="D4868" s="1"/>
  <c r="C4867"/>
  <c r="D4867" s="1"/>
  <c r="C4866"/>
  <c r="D4866" s="1"/>
  <c r="C4865"/>
  <c r="D4865" s="1"/>
  <c r="C4864"/>
  <c r="D4864" s="1"/>
  <c r="C4863"/>
  <c r="D4863" s="1"/>
  <c r="C4862"/>
  <c r="D4862" s="1"/>
  <c r="C4861"/>
  <c r="D4861" s="1"/>
  <c r="C4860"/>
  <c r="D4860" s="1"/>
  <c r="C4859"/>
  <c r="D4859" s="1"/>
  <c r="C4858"/>
  <c r="D4858" s="1"/>
  <c r="C4857"/>
  <c r="D4857" s="1"/>
  <c r="C4856"/>
  <c r="D4856" s="1"/>
  <c r="C4855"/>
  <c r="D4855" s="1"/>
  <c r="C4854"/>
  <c r="D4854" s="1"/>
  <c r="C4853"/>
  <c r="D4853" s="1"/>
  <c r="C4852"/>
  <c r="D4852" s="1"/>
  <c r="C4851"/>
  <c r="D4851" s="1"/>
  <c r="C4850"/>
  <c r="D4850" s="1"/>
  <c r="C4849"/>
  <c r="D4849" s="1"/>
  <c r="C4848"/>
  <c r="D4848" s="1"/>
  <c r="C4847"/>
  <c r="D4847" s="1"/>
  <c r="C4846"/>
  <c r="D4846" s="1"/>
  <c r="C4845"/>
  <c r="D4845" s="1"/>
  <c r="C4844"/>
  <c r="D4844" s="1"/>
  <c r="C4843"/>
  <c r="D4843" s="1"/>
  <c r="C4842"/>
  <c r="D4842" s="1"/>
  <c r="C4841"/>
  <c r="D4841" s="1"/>
  <c r="C4840"/>
  <c r="D4840" s="1"/>
  <c r="C4839"/>
  <c r="D4839" s="1"/>
  <c r="C4838"/>
  <c r="D4838" s="1"/>
  <c r="C4837"/>
  <c r="D4837" s="1"/>
  <c r="C4836"/>
  <c r="D4836" s="1"/>
  <c r="C4835"/>
  <c r="D4835" s="1"/>
  <c r="C4834"/>
  <c r="D4834" s="1"/>
  <c r="C4833"/>
  <c r="D4833" s="1"/>
  <c r="C4832"/>
  <c r="D4832" s="1"/>
  <c r="C4831"/>
  <c r="D4831" s="1"/>
  <c r="C4830"/>
  <c r="D4830" s="1"/>
  <c r="C4829"/>
  <c r="D4829" s="1"/>
  <c r="C4828"/>
  <c r="D4828" s="1"/>
  <c r="C4827"/>
  <c r="D4827" s="1"/>
  <c r="C4826"/>
  <c r="D4826" s="1"/>
  <c r="C4825"/>
  <c r="D4825" s="1"/>
  <c r="C4824"/>
  <c r="D4824" s="1"/>
  <c r="C4823"/>
  <c r="D4823" s="1"/>
  <c r="C4822"/>
  <c r="D4822" s="1"/>
  <c r="C4821"/>
  <c r="D4821" s="1"/>
  <c r="C4820"/>
  <c r="D4820" s="1"/>
  <c r="C4819"/>
  <c r="D4819" s="1"/>
  <c r="C4818"/>
  <c r="D4818" s="1"/>
  <c r="C4817"/>
  <c r="D4817" s="1"/>
  <c r="C4816"/>
  <c r="D4816" s="1"/>
  <c r="C4815"/>
  <c r="D4815" s="1"/>
  <c r="C4814"/>
  <c r="D4814" s="1"/>
  <c r="C4813"/>
  <c r="D4813" s="1"/>
  <c r="C4812"/>
  <c r="D4812" s="1"/>
  <c r="C4811"/>
  <c r="D4811" s="1"/>
  <c r="C4810"/>
  <c r="D4810" s="1"/>
  <c r="C4809"/>
  <c r="D4809" s="1"/>
  <c r="C4808"/>
  <c r="D4808" s="1"/>
  <c r="C4807"/>
  <c r="D4807" s="1"/>
  <c r="C4806"/>
  <c r="D4806" s="1"/>
  <c r="C4805"/>
  <c r="D4805" s="1"/>
  <c r="C4804"/>
  <c r="D4804" s="1"/>
  <c r="C4803"/>
  <c r="D4803" s="1"/>
  <c r="C4802"/>
  <c r="D4802" s="1"/>
  <c r="C4801"/>
  <c r="D4801" s="1"/>
  <c r="C4800"/>
  <c r="D4800" s="1"/>
  <c r="C4799"/>
  <c r="D4799" s="1"/>
  <c r="C4798"/>
  <c r="D4798" s="1"/>
  <c r="C4797"/>
  <c r="D4797" s="1"/>
  <c r="C4796"/>
  <c r="D4796" s="1"/>
  <c r="C4795"/>
  <c r="D4795" s="1"/>
  <c r="C4794"/>
  <c r="D4794" s="1"/>
  <c r="C4793"/>
  <c r="D4793" s="1"/>
  <c r="C4792"/>
  <c r="D4792" s="1"/>
  <c r="C4791"/>
  <c r="D4791" s="1"/>
  <c r="C4790"/>
  <c r="D4790" s="1"/>
  <c r="C4789"/>
  <c r="D4789" s="1"/>
  <c r="C4788"/>
  <c r="D4788" s="1"/>
  <c r="C4787"/>
  <c r="D4787" s="1"/>
  <c r="C4786"/>
  <c r="D4786" s="1"/>
  <c r="C4785"/>
  <c r="D4785" s="1"/>
  <c r="C4784"/>
  <c r="D4784" s="1"/>
  <c r="C4783"/>
  <c r="D4783" s="1"/>
  <c r="C4782"/>
  <c r="D4782" s="1"/>
  <c r="C4781"/>
  <c r="D4781" s="1"/>
  <c r="C4780"/>
  <c r="D4780" s="1"/>
  <c r="C4779"/>
  <c r="D4779" s="1"/>
  <c r="C4778"/>
  <c r="D4778" s="1"/>
  <c r="C4777"/>
  <c r="D4777" s="1"/>
  <c r="C4776"/>
  <c r="D4776" s="1"/>
  <c r="C4775"/>
  <c r="D4775" s="1"/>
  <c r="C4774"/>
  <c r="D4774" s="1"/>
  <c r="C4773"/>
  <c r="D4773" s="1"/>
  <c r="C4772"/>
  <c r="D4772" s="1"/>
  <c r="C4771"/>
  <c r="D4771" s="1"/>
  <c r="C4770"/>
  <c r="D4770" s="1"/>
  <c r="C4769"/>
  <c r="D4769" s="1"/>
  <c r="C4768"/>
  <c r="D4768" s="1"/>
  <c r="C4767"/>
  <c r="D4767" s="1"/>
  <c r="C4766"/>
  <c r="D4766" s="1"/>
  <c r="C4765"/>
  <c r="D4765" s="1"/>
  <c r="C4764"/>
  <c r="D4764" s="1"/>
  <c r="C4763"/>
  <c r="D4763" s="1"/>
  <c r="C4762"/>
  <c r="D4762" s="1"/>
  <c r="C4761"/>
  <c r="D4761" s="1"/>
  <c r="C4760"/>
  <c r="D4760" s="1"/>
  <c r="C4759"/>
  <c r="D4759" s="1"/>
  <c r="C4758"/>
  <c r="D4758" s="1"/>
  <c r="C4757"/>
  <c r="D4757" s="1"/>
  <c r="C4756"/>
  <c r="D4756" s="1"/>
  <c r="C4755"/>
  <c r="D4755" s="1"/>
  <c r="C4754"/>
  <c r="D4754" s="1"/>
  <c r="C4753"/>
  <c r="D4753" s="1"/>
  <c r="C4752"/>
  <c r="D4752" s="1"/>
  <c r="C4751"/>
  <c r="D4751" s="1"/>
  <c r="C4750"/>
  <c r="D4750" s="1"/>
  <c r="C4749"/>
  <c r="D4749" s="1"/>
  <c r="C4748"/>
  <c r="D4748" s="1"/>
  <c r="C4747"/>
  <c r="D4747" s="1"/>
  <c r="C4746"/>
  <c r="D4746" s="1"/>
  <c r="C4745"/>
  <c r="D4745" s="1"/>
  <c r="C4744"/>
  <c r="D4744" s="1"/>
  <c r="C4743"/>
  <c r="D4743" s="1"/>
  <c r="C4742"/>
  <c r="D4742" s="1"/>
  <c r="C4741"/>
  <c r="D4741" s="1"/>
  <c r="C4740"/>
  <c r="D4740" s="1"/>
  <c r="C4739"/>
  <c r="D4739" s="1"/>
  <c r="C4738"/>
  <c r="D4738" s="1"/>
  <c r="C4737"/>
  <c r="D4737" s="1"/>
  <c r="C4736"/>
  <c r="D4736" s="1"/>
  <c r="C4735"/>
  <c r="D4735" s="1"/>
  <c r="C4734"/>
  <c r="D4734" s="1"/>
  <c r="C4733"/>
  <c r="D4733" s="1"/>
  <c r="C4732"/>
  <c r="D4732" s="1"/>
  <c r="C4731"/>
  <c r="D4731" s="1"/>
  <c r="C4730"/>
  <c r="D4730" s="1"/>
  <c r="C4729"/>
  <c r="D4729" s="1"/>
  <c r="C4728"/>
  <c r="D4728" s="1"/>
  <c r="C4727"/>
  <c r="D4727" s="1"/>
  <c r="C4726"/>
  <c r="D4726" s="1"/>
  <c r="C4725"/>
  <c r="D4725" s="1"/>
  <c r="C4724"/>
  <c r="D4724" s="1"/>
  <c r="C4723"/>
  <c r="D4723" s="1"/>
  <c r="C4722"/>
  <c r="D4722" s="1"/>
  <c r="C4721"/>
  <c r="D4721" s="1"/>
  <c r="C4720"/>
  <c r="D4720" s="1"/>
  <c r="C4719"/>
  <c r="D4719" s="1"/>
  <c r="C4718"/>
  <c r="D4718" s="1"/>
  <c r="C4717"/>
  <c r="D4717" s="1"/>
  <c r="C4716"/>
  <c r="D4716" s="1"/>
  <c r="C4715"/>
  <c r="D4715" s="1"/>
  <c r="C4714"/>
  <c r="D4714" s="1"/>
  <c r="C4713"/>
  <c r="D4713" s="1"/>
  <c r="C4712"/>
  <c r="D4712" s="1"/>
  <c r="C4711"/>
  <c r="D4711" s="1"/>
  <c r="C4710"/>
  <c r="D4710" s="1"/>
  <c r="C4709"/>
  <c r="D4709" s="1"/>
  <c r="C4708"/>
  <c r="D4708" s="1"/>
  <c r="C4707"/>
  <c r="D4707" s="1"/>
  <c r="C4706"/>
  <c r="D4706" s="1"/>
  <c r="C4705"/>
  <c r="D4705" s="1"/>
  <c r="C4704"/>
  <c r="D4704" s="1"/>
  <c r="C4703"/>
  <c r="D4703" s="1"/>
  <c r="C4702"/>
  <c r="D4702" s="1"/>
  <c r="C4701"/>
  <c r="D4701" s="1"/>
  <c r="C4700"/>
  <c r="D4700" s="1"/>
  <c r="C4699"/>
  <c r="D4699" s="1"/>
  <c r="C4698"/>
  <c r="D4698" s="1"/>
  <c r="C4697"/>
  <c r="D4697" s="1"/>
  <c r="C4696"/>
  <c r="D4696" s="1"/>
  <c r="C4695"/>
  <c r="D4695" s="1"/>
  <c r="C4694"/>
  <c r="D4694" s="1"/>
  <c r="C4693"/>
  <c r="D4693" s="1"/>
  <c r="C4692"/>
  <c r="D4692" s="1"/>
  <c r="C4691"/>
  <c r="D4691" s="1"/>
  <c r="C4690"/>
  <c r="D4690" s="1"/>
  <c r="C4689"/>
  <c r="D4689" s="1"/>
  <c r="C4688"/>
  <c r="D4688" s="1"/>
  <c r="C4687"/>
  <c r="D4687" s="1"/>
  <c r="C4686"/>
  <c r="D4686" s="1"/>
  <c r="C4685"/>
  <c r="D4685" s="1"/>
  <c r="C4684"/>
  <c r="D4684" s="1"/>
  <c r="C4683"/>
  <c r="D4683" s="1"/>
  <c r="C4682"/>
  <c r="D4682" s="1"/>
  <c r="C4681"/>
  <c r="D4681" s="1"/>
  <c r="C4680"/>
  <c r="D4680" s="1"/>
  <c r="C4679"/>
  <c r="D4679" s="1"/>
  <c r="C4678"/>
  <c r="D4678" s="1"/>
  <c r="C4677"/>
  <c r="D4677" s="1"/>
  <c r="C4676"/>
  <c r="D4676" s="1"/>
  <c r="C4675"/>
  <c r="D4675" s="1"/>
  <c r="C4674"/>
  <c r="D4674" s="1"/>
  <c r="C4673"/>
  <c r="D4673" s="1"/>
  <c r="C4672"/>
  <c r="D4672" s="1"/>
  <c r="C4671"/>
  <c r="D4671" s="1"/>
  <c r="C4670"/>
  <c r="D4670" s="1"/>
  <c r="C4669"/>
  <c r="D4669" s="1"/>
  <c r="C4668"/>
  <c r="D4668" s="1"/>
  <c r="C4667"/>
  <c r="D4667" s="1"/>
  <c r="C4666"/>
  <c r="D4666" s="1"/>
  <c r="C4665"/>
  <c r="D4665" s="1"/>
  <c r="C4664"/>
  <c r="D4664" s="1"/>
  <c r="C4663"/>
  <c r="D4663" s="1"/>
  <c r="C4662"/>
  <c r="D4662" s="1"/>
  <c r="C4661"/>
  <c r="D4661" s="1"/>
  <c r="C4660"/>
  <c r="D4660" s="1"/>
  <c r="C4659"/>
  <c r="D4659" s="1"/>
  <c r="C4658"/>
  <c r="D4658" s="1"/>
  <c r="C4657"/>
  <c r="D4657" s="1"/>
  <c r="C4656"/>
  <c r="D4656" s="1"/>
  <c r="C4655"/>
  <c r="D4655" s="1"/>
  <c r="C4654"/>
  <c r="D4654" s="1"/>
  <c r="C4653"/>
  <c r="D4653" s="1"/>
  <c r="C4652"/>
  <c r="D4652" s="1"/>
  <c r="C4651"/>
  <c r="D4651" s="1"/>
  <c r="C4650"/>
  <c r="D4650" s="1"/>
  <c r="C4649"/>
  <c r="D4649" s="1"/>
  <c r="C4648"/>
  <c r="D4648" s="1"/>
  <c r="C4647"/>
  <c r="D4647" s="1"/>
  <c r="C4646"/>
  <c r="D4646" s="1"/>
  <c r="C4645"/>
  <c r="D4645" s="1"/>
  <c r="C4644"/>
  <c r="D4644" s="1"/>
  <c r="C4643"/>
  <c r="D4643" s="1"/>
  <c r="C4642"/>
  <c r="D4642" s="1"/>
  <c r="C4641"/>
  <c r="D4641" s="1"/>
  <c r="C4640"/>
  <c r="D4640" s="1"/>
  <c r="C4639"/>
  <c r="D4639" s="1"/>
  <c r="C4638"/>
  <c r="D4638" s="1"/>
  <c r="C4637"/>
  <c r="D4637" s="1"/>
  <c r="C4636"/>
  <c r="D4636" s="1"/>
  <c r="C4635"/>
  <c r="D4635" s="1"/>
  <c r="C4634"/>
  <c r="D4634" s="1"/>
  <c r="C4633"/>
  <c r="D4633" s="1"/>
  <c r="C4632"/>
  <c r="D4632" s="1"/>
  <c r="C4631"/>
  <c r="D4631" s="1"/>
  <c r="C4630"/>
  <c r="D4630" s="1"/>
  <c r="C4629"/>
  <c r="D4629" s="1"/>
  <c r="C4628"/>
  <c r="D4628" s="1"/>
  <c r="C4627"/>
  <c r="D4627" s="1"/>
  <c r="C4626"/>
  <c r="D4626" s="1"/>
  <c r="C4625"/>
  <c r="D4625" s="1"/>
  <c r="C4624"/>
  <c r="D4624" s="1"/>
  <c r="C4623"/>
  <c r="D4623" s="1"/>
  <c r="C4622"/>
  <c r="D4622" s="1"/>
  <c r="C4621"/>
  <c r="D4621" s="1"/>
  <c r="C4620"/>
  <c r="D4620" s="1"/>
  <c r="C4619"/>
  <c r="D4619" s="1"/>
  <c r="C4618"/>
  <c r="D4618" s="1"/>
  <c r="C4617"/>
  <c r="D4617" s="1"/>
  <c r="C4616"/>
  <c r="D4616" s="1"/>
  <c r="C4615"/>
  <c r="D4615" s="1"/>
  <c r="C4614"/>
  <c r="D4614" s="1"/>
  <c r="C4613"/>
  <c r="D4613" s="1"/>
  <c r="C4612"/>
  <c r="D4612" s="1"/>
  <c r="C4611"/>
  <c r="D4611" s="1"/>
  <c r="C4610"/>
  <c r="D4610" s="1"/>
  <c r="C4609"/>
  <c r="D4609" s="1"/>
  <c r="C4608"/>
  <c r="D4608" s="1"/>
  <c r="C4607"/>
  <c r="D4607" s="1"/>
  <c r="C4606"/>
  <c r="D4606" s="1"/>
  <c r="C4605"/>
  <c r="D4605" s="1"/>
  <c r="C4604"/>
  <c r="D4604" s="1"/>
  <c r="C4603"/>
  <c r="D4603" s="1"/>
  <c r="C4602"/>
  <c r="D4602" s="1"/>
  <c r="C4601"/>
  <c r="D4601" s="1"/>
  <c r="C4600"/>
  <c r="D4600" s="1"/>
  <c r="C4599"/>
  <c r="D4599" s="1"/>
  <c r="C4598"/>
  <c r="D4598" s="1"/>
  <c r="C4597"/>
  <c r="D4597" s="1"/>
  <c r="C4596"/>
  <c r="D4596" s="1"/>
  <c r="C4595"/>
  <c r="D4595" s="1"/>
  <c r="C4594"/>
  <c r="D4594" s="1"/>
  <c r="C4593"/>
  <c r="D4593" s="1"/>
  <c r="C4592"/>
  <c r="D4592" s="1"/>
  <c r="C4591"/>
  <c r="D4591" s="1"/>
  <c r="C4590"/>
  <c r="D4590" s="1"/>
  <c r="C4589"/>
  <c r="D4589" s="1"/>
  <c r="C4588"/>
  <c r="D4588" s="1"/>
  <c r="C4587"/>
  <c r="D4587" s="1"/>
  <c r="C4586"/>
  <c r="D4586" s="1"/>
  <c r="C4585"/>
  <c r="D4585" s="1"/>
  <c r="C4584"/>
  <c r="D4584" s="1"/>
  <c r="C4583"/>
  <c r="D4583" s="1"/>
  <c r="C4582"/>
  <c r="D4582" s="1"/>
  <c r="C4581"/>
  <c r="D4581" s="1"/>
  <c r="C4580"/>
  <c r="D4580" s="1"/>
  <c r="C4579"/>
  <c r="D4579" s="1"/>
  <c r="C4578"/>
  <c r="D4578" s="1"/>
  <c r="C4577"/>
  <c r="D4577" s="1"/>
  <c r="C4576"/>
  <c r="D4576" s="1"/>
  <c r="C4575"/>
  <c r="D4575" s="1"/>
  <c r="C4574"/>
  <c r="D4574" s="1"/>
  <c r="C4573"/>
  <c r="D4573" s="1"/>
  <c r="C4572"/>
  <c r="D4572" s="1"/>
  <c r="C4571"/>
  <c r="D4571" s="1"/>
  <c r="C4570"/>
  <c r="D4570" s="1"/>
  <c r="C4569"/>
  <c r="D4569" s="1"/>
  <c r="C4568"/>
  <c r="D4568" s="1"/>
  <c r="C4567"/>
  <c r="D4567" s="1"/>
  <c r="C4566"/>
  <c r="D4566" s="1"/>
  <c r="C4565"/>
  <c r="D4565" s="1"/>
  <c r="C4564"/>
  <c r="D4564" s="1"/>
  <c r="C4563"/>
  <c r="D4563" s="1"/>
  <c r="C4562"/>
  <c r="D4562" s="1"/>
  <c r="C4561"/>
  <c r="D4561" s="1"/>
  <c r="C4560"/>
  <c r="D4560" s="1"/>
  <c r="C4559"/>
  <c r="D4559" s="1"/>
  <c r="C4558"/>
  <c r="D4558" s="1"/>
  <c r="C4557"/>
  <c r="D4557" s="1"/>
  <c r="C4556"/>
  <c r="D4556" s="1"/>
  <c r="C4555"/>
  <c r="D4555" s="1"/>
  <c r="C4554"/>
  <c r="D4554" s="1"/>
  <c r="C4553"/>
  <c r="D4553" s="1"/>
  <c r="C4552"/>
  <c r="D4552" s="1"/>
  <c r="C4551"/>
  <c r="D4551" s="1"/>
  <c r="C4550"/>
  <c r="D4550" s="1"/>
  <c r="C4549"/>
  <c r="D4549" s="1"/>
  <c r="C4548"/>
  <c r="D4548" s="1"/>
  <c r="C4547"/>
  <c r="D4547" s="1"/>
  <c r="C4546"/>
  <c r="D4546" s="1"/>
  <c r="C4545"/>
  <c r="D4545" s="1"/>
  <c r="C4544"/>
  <c r="D4544" s="1"/>
  <c r="C4543"/>
  <c r="D4543" s="1"/>
  <c r="C4542"/>
  <c r="D4542" s="1"/>
  <c r="C4541"/>
  <c r="D4541" s="1"/>
  <c r="C4540"/>
  <c r="D4540" s="1"/>
  <c r="C4539"/>
  <c r="D4539" s="1"/>
  <c r="C4538"/>
  <c r="D4538" s="1"/>
  <c r="C4537"/>
  <c r="D4537" s="1"/>
  <c r="C4536"/>
  <c r="D4536" s="1"/>
  <c r="C4535"/>
  <c r="D4535" s="1"/>
  <c r="C4534"/>
  <c r="D4534" s="1"/>
  <c r="C4533"/>
  <c r="D4533" s="1"/>
  <c r="C4532"/>
  <c r="D4532" s="1"/>
  <c r="C4531"/>
  <c r="D4531" s="1"/>
  <c r="C4530"/>
  <c r="D4530" s="1"/>
  <c r="C4529"/>
  <c r="D4529" s="1"/>
  <c r="C4528"/>
  <c r="D4528" s="1"/>
  <c r="C4527"/>
  <c r="D4527" s="1"/>
  <c r="C4526"/>
  <c r="D4526" s="1"/>
  <c r="C4525"/>
  <c r="D4525" s="1"/>
  <c r="C4524"/>
  <c r="D4524" s="1"/>
  <c r="C4523"/>
  <c r="D4523" s="1"/>
  <c r="C4522"/>
  <c r="D4522" s="1"/>
  <c r="C4521"/>
  <c r="D4521" s="1"/>
  <c r="C4520"/>
  <c r="D4520" s="1"/>
  <c r="C4519"/>
  <c r="D4519" s="1"/>
  <c r="C4518"/>
  <c r="D4518" s="1"/>
  <c r="C4517"/>
  <c r="D4517" s="1"/>
  <c r="C4516"/>
  <c r="D4516" s="1"/>
  <c r="C4515"/>
  <c r="D4515" s="1"/>
  <c r="C4514"/>
  <c r="D4514" s="1"/>
  <c r="C4513"/>
  <c r="D4513" s="1"/>
  <c r="C4512"/>
  <c r="D4512" s="1"/>
  <c r="C4511"/>
  <c r="D4511" s="1"/>
  <c r="C4510"/>
  <c r="D4510" s="1"/>
  <c r="C4509"/>
  <c r="D4509" s="1"/>
  <c r="C4508"/>
  <c r="D4508" s="1"/>
  <c r="C4507"/>
  <c r="D4507" s="1"/>
  <c r="C4506"/>
  <c r="D4506" s="1"/>
  <c r="C4505"/>
  <c r="D4505" s="1"/>
  <c r="C4504"/>
  <c r="D4504" s="1"/>
  <c r="C4503"/>
  <c r="D4503" s="1"/>
  <c r="C4502"/>
  <c r="D4502" s="1"/>
  <c r="C4501"/>
  <c r="D4501" s="1"/>
  <c r="C4500"/>
  <c r="D4500" s="1"/>
  <c r="C4499"/>
  <c r="D4499" s="1"/>
  <c r="C4498"/>
  <c r="D4498" s="1"/>
  <c r="C4497"/>
  <c r="D4497" s="1"/>
  <c r="C4496"/>
  <c r="D4496" s="1"/>
  <c r="C4495"/>
  <c r="D4495" s="1"/>
  <c r="C4494"/>
  <c r="D4494" s="1"/>
  <c r="C4493"/>
  <c r="D4493" s="1"/>
  <c r="C4492"/>
  <c r="D4492" s="1"/>
  <c r="C4491"/>
  <c r="D4491" s="1"/>
  <c r="C4490"/>
  <c r="D4490" s="1"/>
  <c r="C4489"/>
  <c r="D4489" s="1"/>
  <c r="C4488"/>
  <c r="D4488" s="1"/>
  <c r="C4487"/>
  <c r="D4487" s="1"/>
  <c r="C4486"/>
  <c r="D4486" s="1"/>
  <c r="C4485"/>
  <c r="D4485" s="1"/>
  <c r="C4484"/>
  <c r="D4484" s="1"/>
  <c r="C4483"/>
  <c r="D4483" s="1"/>
  <c r="C4482"/>
  <c r="D4482" s="1"/>
  <c r="C4481"/>
  <c r="D4481" s="1"/>
  <c r="C4480"/>
  <c r="D4480" s="1"/>
  <c r="C4479"/>
  <c r="D4479" s="1"/>
  <c r="C4478"/>
  <c r="D4478" s="1"/>
  <c r="C4477"/>
  <c r="D4477" s="1"/>
  <c r="C4476"/>
  <c r="D4476" s="1"/>
  <c r="C4475"/>
  <c r="D4475" s="1"/>
  <c r="C4474"/>
  <c r="D4474" s="1"/>
  <c r="C4473"/>
  <c r="D4473" s="1"/>
  <c r="C4472"/>
  <c r="D4472" s="1"/>
  <c r="C4471"/>
  <c r="D4471" s="1"/>
  <c r="C4470"/>
  <c r="D4470" s="1"/>
  <c r="C4469"/>
  <c r="D4469" s="1"/>
  <c r="C4468"/>
  <c r="D4468" s="1"/>
  <c r="C4467"/>
  <c r="D4467" s="1"/>
  <c r="C4466"/>
  <c r="D4466" s="1"/>
  <c r="C4465"/>
  <c r="D4465" s="1"/>
  <c r="C4464"/>
  <c r="D4464" s="1"/>
  <c r="C4463"/>
  <c r="D4463" s="1"/>
  <c r="C4462"/>
  <c r="D4462" s="1"/>
  <c r="C4461"/>
  <c r="D4461" s="1"/>
  <c r="C4460"/>
  <c r="D4460" s="1"/>
  <c r="C4459"/>
  <c r="D4459" s="1"/>
  <c r="C4458"/>
  <c r="D4458" s="1"/>
  <c r="C4457"/>
  <c r="D4457" s="1"/>
  <c r="C4456"/>
  <c r="D4456" s="1"/>
  <c r="C4455"/>
  <c r="D4455" s="1"/>
  <c r="C4454"/>
  <c r="D4454" s="1"/>
  <c r="C4453"/>
  <c r="D4453" s="1"/>
  <c r="C4452"/>
  <c r="D4452" s="1"/>
  <c r="C4451"/>
  <c r="D4451" s="1"/>
  <c r="C4450"/>
  <c r="D4450" s="1"/>
  <c r="C4449"/>
  <c r="D4449" s="1"/>
  <c r="C4448"/>
  <c r="D4448" s="1"/>
  <c r="C4447"/>
  <c r="D4447" s="1"/>
  <c r="C4446"/>
  <c r="D4446" s="1"/>
  <c r="C4445"/>
  <c r="D4445" s="1"/>
  <c r="C4444"/>
  <c r="D4444" s="1"/>
  <c r="C4443"/>
  <c r="D4443" s="1"/>
  <c r="C4442"/>
  <c r="D4442" s="1"/>
  <c r="C4441"/>
  <c r="D4441" s="1"/>
  <c r="C4440"/>
  <c r="D4440" s="1"/>
  <c r="C4439"/>
  <c r="D4439" s="1"/>
  <c r="C4438"/>
  <c r="D4438" s="1"/>
  <c r="C4437"/>
  <c r="D4437" s="1"/>
  <c r="C4436"/>
  <c r="D4436" s="1"/>
  <c r="C4435"/>
  <c r="D4435" s="1"/>
  <c r="C4434"/>
  <c r="D4434" s="1"/>
  <c r="C4433"/>
  <c r="D4433" s="1"/>
  <c r="C4432"/>
  <c r="D4432" s="1"/>
  <c r="C4431"/>
  <c r="D4431" s="1"/>
  <c r="C4430"/>
  <c r="D4430" s="1"/>
  <c r="C4429"/>
  <c r="D4429" s="1"/>
  <c r="C4428"/>
  <c r="D4428" s="1"/>
  <c r="C4427"/>
  <c r="D4427" s="1"/>
  <c r="C4426"/>
  <c r="D4426" s="1"/>
  <c r="C4425"/>
  <c r="D4425" s="1"/>
  <c r="C4424"/>
  <c r="D4424" s="1"/>
  <c r="C4423"/>
  <c r="D4423" s="1"/>
  <c r="C4422"/>
  <c r="D4422" s="1"/>
  <c r="C4421"/>
  <c r="D4421" s="1"/>
  <c r="C4420"/>
  <c r="D4420" s="1"/>
  <c r="C4419"/>
  <c r="D4419" s="1"/>
  <c r="C4418"/>
  <c r="D4418" s="1"/>
  <c r="C4417"/>
  <c r="D4417" s="1"/>
  <c r="C4416"/>
  <c r="D4416" s="1"/>
  <c r="C4415"/>
  <c r="D4415" s="1"/>
  <c r="C4414"/>
  <c r="D4414" s="1"/>
  <c r="C4413"/>
  <c r="D4413" s="1"/>
  <c r="C4412"/>
  <c r="D4412" s="1"/>
  <c r="C4411"/>
  <c r="D4411" s="1"/>
  <c r="C4410"/>
  <c r="D4410" s="1"/>
  <c r="C4409"/>
  <c r="D4409" s="1"/>
  <c r="C4408"/>
  <c r="D4408" s="1"/>
  <c r="C4407"/>
  <c r="D4407" s="1"/>
  <c r="C4406"/>
  <c r="D4406" s="1"/>
  <c r="C4405"/>
  <c r="D4405" s="1"/>
  <c r="C4404"/>
  <c r="D4404" s="1"/>
  <c r="C4403"/>
  <c r="D4403" s="1"/>
  <c r="C4402"/>
  <c r="D4402" s="1"/>
  <c r="C4401"/>
  <c r="D4401" s="1"/>
  <c r="C4400"/>
  <c r="D4400" s="1"/>
  <c r="C4399"/>
  <c r="D4399" s="1"/>
  <c r="C4398"/>
  <c r="D4398" s="1"/>
  <c r="C4397"/>
  <c r="D4397" s="1"/>
  <c r="C4396"/>
  <c r="D4396" s="1"/>
  <c r="C4395"/>
  <c r="D4395" s="1"/>
  <c r="C4394"/>
  <c r="D4394" s="1"/>
  <c r="C4393"/>
  <c r="D4393" s="1"/>
  <c r="C4392"/>
  <c r="D4392" s="1"/>
  <c r="C4391"/>
  <c r="D4391" s="1"/>
  <c r="C4390"/>
  <c r="D4390" s="1"/>
  <c r="C4389"/>
  <c r="D4389" s="1"/>
  <c r="C4388"/>
  <c r="D4388" s="1"/>
  <c r="C4387"/>
  <c r="D4387" s="1"/>
  <c r="C4386"/>
  <c r="D4386" s="1"/>
  <c r="C4385"/>
  <c r="D4385" s="1"/>
  <c r="C4384"/>
  <c r="D4384" s="1"/>
  <c r="C4383"/>
  <c r="D4383" s="1"/>
  <c r="C4382"/>
  <c r="D4382" s="1"/>
  <c r="C4381"/>
  <c r="D4381" s="1"/>
  <c r="C4380"/>
  <c r="D4380" s="1"/>
  <c r="C4379"/>
  <c r="D4379" s="1"/>
  <c r="C4378"/>
  <c r="D4378" s="1"/>
  <c r="C4377"/>
  <c r="D4377" s="1"/>
  <c r="C4376"/>
  <c r="D4376" s="1"/>
  <c r="C4375"/>
  <c r="D4375" s="1"/>
  <c r="C4374"/>
  <c r="D4374" s="1"/>
  <c r="C4373"/>
  <c r="D4373" s="1"/>
  <c r="C4372"/>
  <c r="D4372" s="1"/>
  <c r="C4371"/>
  <c r="D4371" s="1"/>
  <c r="C4370"/>
  <c r="D4370" s="1"/>
  <c r="C4369"/>
  <c r="D4369" s="1"/>
  <c r="C4368"/>
  <c r="D4368" s="1"/>
  <c r="C4367"/>
  <c r="D4367" s="1"/>
  <c r="C4366"/>
  <c r="D4366" s="1"/>
  <c r="C4365"/>
  <c r="D4365" s="1"/>
  <c r="C4364"/>
  <c r="D4364" s="1"/>
  <c r="C4363"/>
  <c r="D4363" s="1"/>
  <c r="C4362"/>
  <c r="D4362" s="1"/>
  <c r="C4361"/>
  <c r="D4361" s="1"/>
  <c r="C4360"/>
  <c r="D4360" s="1"/>
  <c r="C4359"/>
  <c r="D4359" s="1"/>
  <c r="C4358"/>
  <c r="D4358" s="1"/>
  <c r="C4357"/>
  <c r="D4357" s="1"/>
  <c r="C4356"/>
  <c r="D4356" s="1"/>
  <c r="C4355"/>
  <c r="D4355" s="1"/>
  <c r="C4354"/>
  <c r="D4354" s="1"/>
  <c r="C4353"/>
  <c r="D4353" s="1"/>
  <c r="C4352"/>
  <c r="D4352" s="1"/>
  <c r="C4351"/>
  <c r="D4351" s="1"/>
  <c r="C4350"/>
  <c r="D4350" s="1"/>
  <c r="C4349"/>
  <c r="D4349" s="1"/>
  <c r="C4348"/>
  <c r="D4348" s="1"/>
  <c r="C4347"/>
  <c r="D4347" s="1"/>
  <c r="C4346"/>
  <c r="D4346" s="1"/>
  <c r="C4345"/>
  <c r="D4345" s="1"/>
  <c r="C4344"/>
  <c r="D4344" s="1"/>
  <c r="C4343"/>
  <c r="D4343" s="1"/>
  <c r="C4342"/>
  <c r="D4342" s="1"/>
  <c r="C4341"/>
  <c r="D4341" s="1"/>
  <c r="C4340"/>
  <c r="D4340" s="1"/>
  <c r="C4339"/>
  <c r="D4339" s="1"/>
  <c r="C4338"/>
  <c r="D4338" s="1"/>
  <c r="C4337"/>
  <c r="D4337" s="1"/>
  <c r="C4336"/>
  <c r="D4336" s="1"/>
  <c r="C4335"/>
  <c r="D4335" s="1"/>
  <c r="C4334"/>
  <c r="D4334" s="1"/>
  <c r="C4333"/>
  <c r="D4333" s="1"/>
  <c r="C4332"/>
  <c r="D4332" s="1"/>
  <c r="C4331"/>
  <c r="D4331" s="1"/>
  <c r="C4330"/>
  <c r="D4330" s="1"/>
  <c r="C4329"/>
  <c r="D4329" s="1"/>
  <c r="C4328"/>
  <c r="D4328" s="1"/>
  <c r="C4327"/>
  <c r="D4327" s="1"/>
  <c r="C4326"/>
  <c r="D4326" s="1"/>
  <c r="C4325"/>
  <c r="D4325" s="1"/>
  <c r="C4324"/>
  <c r="D4324" s="1"/>
  <c r="C4323"/>
  <c r="D4323" s="1"/>
  <c r="C4322"/>
  <c r="D4322" s="1"/>
  <c r="C4321"/>
  <c r="D4321" s="1"/>
  <c r="C4320"/>
  <c r="D4320" s="1"/>
  <c r="C4319"/>
  <c r="D4319" s="1"/>
  <c r="C4318"/>
  <c r="D4318" s="1"/>
  <c r="C4317"/>
  <c r="D4317" s="1"/>
  <c r="C4316"/>
  <c r="D4316" s="1"/>
  <c r="C4315"/>
  <c r="D4315" s="1"/>
  <c r="C4314"/>
  <c r="D4314" s="1"/>
  <c r="C4313"/>
  <c r="D4313" s="1"/>
  <c r="C4312"/>
  <c r="D4312" s="1"/>
  <c r="C4311"/>
  <c r="D4311" s="1"/>
  <c r="C4310"/>
  <c r="D4310" s="1"/>
  <c r="C4309"/>
  <c r="D4309" s="1"/>
  <c r="C4308"/>
  <c r="D4308" s="1"/>
  <c r="C4307"/>
  <c r="D4307" s="1"/>
  <c r="C4306"/>
  <c r="D4306" s="1"/>
  <c r="C4305"/>
  <c r="D4305" s="1"/>
  <c r="C4304"/>
  <c r="D4304" s="1"/>
  <c r="C4303"/>
  <c r="D4303" s="1"/>
  <c r="C4302"/>
  <c r="D4302" s="1"/>
  <c r="C4301"/>
  <c r="D4301" s="1"/>
  <c r="C4300"/>
  <c r="D4300" s="1"/>
  <c r="C4299"/>
  <c r="D4299" s="1"/>
  <c r="C4298"/>
  <c r="D4298" s="1"/>
  <c r="C4297"/>
  <c r="D4297" s="1"/>
  <c r="C4296"/>
  <c r="D4296" s="1"/>
  <c r="C4295"/>
  <c r="D4295" s="1"/>
  <c r="C4294"/>
  <c r="D4294" s="1"/>
  <c r="C4293"/>
  <c r="D4293" s="1"/>
  <c r="C4292"/>
  <c r="D4292" s="1"/>
  <c r="C4291"/>
  <c r="D4291" s="1"/>
  <c r="C4290"/>
  <c r="D4290" s="1"/>
  <c r="C4289"/>
  <c r="D4289" s="1"/>
  <c r="C4288"/>
  <c r="D4288" s="1"/>
  <c r="C4287"/>
  <c r="D4287" s="1"/>
  <c r="C4286"/>
  <c r="D4286" s="1"/>
  <c r="C4285"/>
  <c r="D4285" s="1"/>
  <c r="C4284"/>
  <c r="D4284" s="1"/>
  <c r="C4283"/>
  <c r="D4283" s="1"/>
  <c r="C4282"/>
  <c r="D4282" s="1"/>
  <c r="C4281"/>
  <c r="D4281" s="1"/>
  <c r="C4280"/>
  <c r="D4280" s="1"/>
  <c r="C4279"/>
  <c r="D4279" s="1"/>
  <c r="C4278"/>
  <c r="D4278" s="1"/>
  <c r="C4277"/>
  <c r="D4277" s="1"/>
  <c r="C4276"/>
  <c r="D4276" s="1"/>
  <c r="C4275"/>
  <c r="D4275" s="1"/>
  <c r="C4274"/>
  <c r="D4274" s="1"/>
  <c r="C4273"/>
  <c r="D4273" s="1"/>
  <c r="C4272"/>
  <c r="D4272" s="1"/>
  <c r="C4271"/>
  <c r="D4271" s="1"/>
  <c r="C4270"/>
  <c r="D4270" s="1"/>
  <c r="C4269"/>
  <c r="D4269" s="1"/>
  <c r="C4268"/>
  <c r="D4268" s="1"/>
  <c r="C4267"/>
  <c r="D4267" s="1"/>
  <c r="C4266"/>
  <c r="D4266" s="1"/>
  <c r="C4265"/>
  <c r="D4265" s="1"/>
  <c r="C4264"/>
  <c r="D4264" s="1"/>
  <c r="C4263"/>
  <c r="D4263" s="1"/>
  <c r="C4262"/>
  <c r="D4262" s="1"/>
  <c r="C4261"/>
  <c r="D4261" s="1"/>
  <c r="C4260"/>
  <c r="D4260" s="1"/>
  <c r="C4259"/>
  <c r="D4259" s="1"/>
  <c r="C4258"/>
  <c r="D4258" s="1"/>
  <c r="C4257"/>
  <c r="D4257" s="1"/>
  <c r="C4256"/>
  <c r="D4256" s="1"/>
  <c r="C4255"/>
  <c r="D4255" s="1"/>
  <c r="C4254"/>
  <c r="D4254" s="1"/>
  <c r="C4253"/>
  <c r="D4253" s="1"/>
  <c r="C4252"/>
  <c r="D4252" s="1"/>
  <c r="C4251"/>
  <c r="D4251" s="1"/>
  <c r="C4250"/>
  <c r="D4250" s="1"/>
  <c r="C4249"/>
  <c r="D4249" s="1"/>
  <c r="C4248"/>
  <c r="D4248" s="1"/>
  <c r="C4247"/>
  <c r="D4247" s="1"/>
  <c r="C4246"/>
  <c r="D4246" s="1"/>
  <c r="C4245"/>
  <c r="D4245" s="1"/>
  <c r="C4244"/>
  <c r="D4244" s="1"/>
  <c r="C4243"/>
  <c r="D4243" s="1"/>
  <c r="C4242"/>
  <c r="D4242" s="1"/>
  <c r="C4241"/>
  <c r="D4241" s="1"/>
  <c r="C4240"/>
  <c r="D4240" s="1"/>
  <c r="C4239"/>
  <c r="D4239" s="1"/>
  <c r="C4238"/>
  <c r="D4238" s="1"/>
  <c r="C4237"/>
  <c r="D4237" s="1"/>
  <c r="C4236"/>
  <c r="D4236" s="1"/>
  <c r="C4235"/>
  <c r="D4235" s="1"/>
  <c r="C4234"/>
  <c r="D4234" s="1"/>
  <c r="C4233"/>
  <c r="D4233" s="1"/>
  <c r="C4232"/>
  <c r="D4232" s="1"/>
  <c r="C4231"/>
  <c r="D4231" s="1"/>
  <c r="C4230"/>
  <c r="D4230" s="1"/>
  <c r="C4229"/>
  <c r="D4229" s="1"/>
  <c r="C4228"/>
  <c r="D4228" s="1"/>
  <c r="C4227"/>
  <c r="D4227" s="1"/>
  <c r="C4226"/>
  <c r="D4226" s="1"/>
  <c r="C4225"/>
  <c r="D4225" s="1"/>
  <c r="C4224"/>
  <c r="D4224" s="1"/>
  <c r="C4223"/>
  <c r="D4223" s="1"/>
  <c r="C4222"/>
  <c r="D4222" s="1"/>
  <c r="C4221"/>
  <c r="D4221" s="1"/>
  <c r="C4220"/>
  <c r="D4220" s="1"/>
  <c r="C4219"/>
  <c r="D4219" s="1"/>
  <c r="C4218"/>
  <c r="D4218" s="1"/>
  <c r="C4217"/>
  <c r="D4217" s="1"/>
  <c r="C4216"/>
  <c r="D4216" s="1"/>
  <c r="C4215"/>
  <c r="D4215" s="1"/>
  <c r="C4214"/>
  <c r="D4214" s="1"/>
  <c r="C4213"/>
  <c r="D4213" s="1"/>
  <c r="C4212"/>
  <c r="D4212" s="1"/>
  <c r="C4211"/>
  <c r="D4211" s="1"/>
  <c r="C4210"/>
  <c r="D4210" s="1"/>
  <c r="C4209"/>
  <c r="D4209" s="1"/>
  <c r="C4208"/>
  <c r="D4208" s="1"/>
  <c r="C4207"/>
  <c r="D4207" s="1"/>
  <c r="C4206"/>
  <c r="D4206" s="1"/>
  <c r="C4205"/>
  <c r="D4205" s="1"/>
  <c r="C4204"/>
  <c r="D4204" s="1"/>
  <c r="C4203"/>
  <c r="D4203" s="1"/>
  <c r="C4202"/>
  <c r="D4202" s="1"/>
  <c r="C4201"/>
  <c r="D4201" s="1"/>
  <c r="C4200"/>
  <c r="D4200" s="1"/>
  <c r="C4199"/>
  <c r="D4199" s="1"/>
  <c r="C4198"/>
  <c r="D4198" s="1"/>
  <c r="C4197"/>
  <c r="D4197" s="1"/>
  <c r="C4196"/>
  <c r="D4196" s="1"/>
  <c r="C4195"/>
  <c r="D4195" s="1"/>
  <c r="C4194"/>
  <c r="D4194" s="1"/>
  <c r="C4193"/>
  <c r="D4193" s="1"/>
  <c r="C4192"/>
  <c r="D4192" s="1"/>
  <c r="C4191"/>
  <c r="D4191" s="1"/>
  <c r="C4190"/>
  <c r="D4190" s="1"/>
  <c r="C4189"/>
  <c r="D4189" s="1"/>
  <c r="C4188"/>
  <c r="D4188" s="1"/>
  <c r="C4187"/>
  <c r="D4187" s="1"/>
  <c r="C4186"/>
  <c r="D4186" s="1"/>
  <c r="C4185"/>
  <c r="D4185" s="1"/>
  <c r="C4184"/>
  <c r="D4184" s="1"/>
  <c r="C4183"/>
  <c r="D4183" s="1"/>
  <c r="C4182"/>
  <c r="D4182" s="1"/>
  <c r="C4181"/>
  <c r="D4181" s="1"/>
  <c r="C4180"/>
  <c r="D4180" s="1"/>
  <c r="C4179"/>
  <c r="D4179" s="1"/>
  <c r="C4178"/>
  <c r="D4178" s="1"/>
  <c r="C4177"/>
  <c r="D4177" s="1"/>
  <c r="C4176"/>
  <c r="D4176" s="1"/>
  <c r="C4175"/>
  <c r="D4175" s="1"/>
  <c r="C4174"/>
  <c r="D4174" s="1"/>
  <c r="C4173"/>
  <c r="D4173" s="1"/>
  <c r="C4172"/>
  <c r="D4172" s="1"/>
  <c r="C4171"/>
  <c r="D4171" s="1"/>
  <c r="C4170"/>
  <c r="D4170" s="1"/>
  <c r="C4169"/>
  <c r="D4169" s="1"/>
  <c r="C4168"/>
  <c r="D4168" s="1"/>
  <c r="C4167"/>
  <c r="D4167" s="1"/>
  <c r="C4166"/>
  <c r="D4166" s="1"/>
  <c r="C4165"/>
  <c r="D4165" s="1"/>
  <c r="C4164"/>
  <c r="D4164" s="1"/>
  <c r="C4163"/>
  <c r="D4163" s="1"/>
  <c r="C4162"/>
  <c r="D4162" s="1"/>
  <c r="C4161"/>
  <c r="D4161" s="1"/>
  <c r="C4160"/>
  <c r="D4160" s="1"/>
  <c r="C4159"/>
  <c r="D4159" s="1"/>
  <c r="C4158"/>
  <c r="D4158" s="1"/>
  <c r="C4157"/>
  <c r="D4157" s="1"/>
  <c r="C4156"/>
  <c r="D4156" s="1"/>
  <c r="C4155"/>
  <c r="D4155" s="1"/>
  <c r="C4154"/>
  <c r="D4154" s="1"/>
  <c r="C4153"/>
  <c r="D4153" s="1"/>
  <c r="C4152"/>
  <c r="D4152" s="1"/>
  <c r="C4151"/>
  <c r="D4151" s="1"/>
  <c r="C4150"/>
  <c r="D4150" s="1"/>
  <c r="C4149"/>
  <c r="D4149" s="1"/>
  <c r="C4148"/>
  <c r="D4148" s="1"/>
  <c r="C4147"/>
  <c r="D4147" s="1"/>
  <c r="C4146"/>
  <c r="D4146" s="1"/>
  <c r="C4145"/>
  <c r="D4145" s="1"/>
  <c r="C4144"/>
  <c r="D4144" s="1"/>
  <c r="C4143"/>
  <c r="D4143" s="1"/>
  <c r="C4142"/>
  <c r="D4142" s="1"/>
  <c r="C4141"/>
  <c r="D4141" s="1"/>
  <c r="C4140"/>
  <c r="D4140" s="1"/>
  <c r="C4139"/>
  <c r="D4139" s="1"/>
  <c r="C4138"/>
  <c r="D4138" s="1"/>
  <c r="C4137"/>
  <c r="D4137" s="1"/>
  <c r="C4136"/>
  <c r="D4136" s="1"/>
  <c r="C4135"/>
  <c r="D4135" s="1"/>
  <c r="C4134"/>
  <c r="D4134" s="1"/>
  <c r="C4133"/>
  <c r="D4133" s="1"/>
  <c r="C4132"/>
  <c r="D4132" s="1"/>
  <c r="C4131"/>
  <c r="D4131" s="1"/>
  <c r="C4130"/>
  <c r="D4130" s="1"/>
  <c r="C4129"/>
  <c r="D4129" s="1"/>
  <c r="C4128"/>
  <c r="D4128" s="1"/>
  <c r="C4127"/>
  <c r="D4127" s="1"/>
  <c r="C4126"/>
  <c r="D4126" s="1"/>
  <c r="C4125"/>
  <c r="D4125" s="1"/>
  <c r="C4124"/>
  <c r="D4124" s="1"/>
  <c r="C4123"/>
  <c r="D4123" s="1"/>
  <c r="C4122"/>
  <c r="D4122" s="1"/>
  <c r="C4121"/>
  <c r="D4121" s="1"/>
  <c r="C4120"/>
  <c r="D4120" s="1"/>
  <c r="C4119"/>
  <c r="D4119" s="1"/>
  <c r="C4118"/>
  <c r="D4118" s="1"/>
  <c r="C4117"/>
  <c r="D4117" s="1"/>
  <c r="C4116"/>
  <c r="D4116" s="1"/>
  <c r="C4115"/>
  <c r="D4115" s="1"/>
  <c r="C4114"/>
  <c r="D4114" s="1"/>
  <c r="C4113"/>
  <c r="D4113" s="1"/>
  <c r="C4112"/>
  <c r="D4112" s="1"/>
  <c r="C4111"/>
  <c r="D4111" s="1"/>
  <c r="C4110"/>
  <c r="D4110" s="1"/>
  <c r="C4109"/>
  <c r="D4109" s="1"/>
  <c r="C4108"/>
  <c r="D4108" s="1"/>
  <c r="C4107"/>
  <c r="D4107" s="1"/>
  <c r="C4106"/>
  <c r="D4106" s="1"/>
  <c r="C4105"/>
  <c r="D4105" s="1"/>
  <c r="C4104"/>
  <c r="D4104" s="1"/>
  <c r="C4103"/>
  <c r="D4103" s="1"/>
  <c r="C4102"/>
  <c r="D4102" s="1"/>
  <c r="C4101"/>
  <c r="D4101" s="1"/>
  <c r="C4100"/>
  <c r="D4100" s="1"/>
  <c r="C4099"/>
  <c r="D4099" s="1"/>
  <c r="C4098"/>
  <c r="D4098" s="1"/>
  <c r="C4097"/>
  <c r="D4097" s="1"/>
  <c r="C4096"/>
  <c r="D4096" s="1"/>
  <c r="C4095"/>
  <c r="D4095" s="1"/>
  <c r="C4094"/>
  <c r="D4094" s="1"/>
  <c r="C4093"/>
  <c r="D4093" s="1"/>
  <c r="C4092"/>
  <c r="D4092" s="1"/>
  <c r="C4091"/>
  <c r="D4091" s="1"/>
  <c r="C4090"/>
  <c r="D4090" s="1"/>
  <c r="C4089"/>
  <c r="D4089" s="1"/>
  <c r="C4088"/>
  <c r="D4088" s="1"/>
  <c r="C4087"/>
  <c r="D4087" s="1"/>
  <c r="C4086"/>
  <c r="D4086" s="1"/>
  <c r="C4085"/>
  <c r="D4085" s="1"/>
  <c r="C4084"/>
  <c r="D4084" s="1"/>
  <c r="C4083"/>
  <c r="D4083" s="1"/>
  <c r="C4082"/>
  <c r="D4082" s="1"/>
  <c r="C4081"/>
  <c r="D4081" s="1"/>
  <c r="C4080"/>
  <c r="D4080" s="1"/>
  <c r="C4079"/>
  <c r="D4079" s="1"/>
  <c r="C4078"/>
  <c r="D4078" s="1"/>
  <c r="C4077"/>
  <c r="D4077" s="1"/>
  <c r="C4076"/>
  <c r="D4076" s="1"/>
  <c r="C4075"/>
  <c r="D4075" s="1"/>
  <c r="C4074"/>
  <c r="D4074" s="1"/>
  <c r="C4073"/>
  <c r="D4073" s="1"/>
  <c r="C4072"/>
  <c r="D4072" s="1"/>
  <c r="C4071"/>
  <c r="D4071" s="1"/>
  <c r="C4070"/>
  <c r="D4070" s="1"/>
  <c r="C4069"/>
  <c r="D4069" s="1"/>
  <c r="C4068"/>
  <c r="D4068" s="1"/>
  <c r="C4067"/>
  <c r="D4067" s="1"/>
  <c r="C4066"/>
  <c r="D4066" s="1"/>
  <c r="C4065"/>
  <c r="D4065" s="1"/>
  <c r="C4064"/>
  <c r="D4064" s="1"/>
  <c r="C4063"/>
  <c r="D4063" s="1"/>
  <c r="C4062"/>
  <c r="D4062" s="1"/>
  <c r="C4061"/>
  <c r="D4061" s="1"/>
  <c r="C4060"/>
  <c r="D4060" s="1"/>
  <c r="C4059"/>
  <c r="D4059" s="1"/>
  <c r="C4058"/>
  <c r="D4058" s="1"/>
  <c r="C4057"/>
  <c r="D4057" s="1"/>
  <c r="C4056"/>
  <c r="D4056" s="1"/>
  <c r="C4055"/>
  <c r="D4055" s="1"/>
  <c r="C4054"/>
  <c r="D4054" s="1"/>
  <c r="C4053"/>
  <c r="D4053" s="1"/>
  <c r="C4052"/>
  <c r="D4052" s="1"/>
  <c r="C4051"/>
  <c r="D4051" s="1"/>
  <c r="C4050"/>
  <c r="D4050" s="1"/>
  <c r="C4049"/>
  <c r="D4049" s="1"/>
  <c r="C4048"/>
  <c r="D4048" s="1"/>
  <c r="C4047"/>
  <c r="D4047" s="1"/>
  <c r="C4046"/>
  <c r="D4046" s="1"/>
  <c r="C4045"/>
  <c r="D4045" s="1"/>
  <c r="C4044"/>
  <c r="D4044" s="1"/>
  <c r="C4043"/>
  <c r="D4043" s="1"/>
  <c r="C4042"/>
  <c r="D4042" s="1"/>
  <c r="C4041"/>
  <c r="D4041" s="1"/>
  <c r="C4040"/>
  <c r="D4040" s="1"/>
  <c r="C4039"/>
  <c r="D4039" s="1"/>
  <c r="C4038"/>
  <c r="D4038" s="1"/>
  <c r="C4037"/>
  <c r="D4037" s="1"/>
  <c r="C4036"/>
  <c r="D4036" s="1"/>
  <c r="C4035"/>
  <c r="D4035" s="1"/>
  <c r="C4034"/>
  <c r="D4034" s="1"/>
  <c r="C4033"/>
  <c r="D4033" s="1"/>
  <c r="C4032"/>
  <c r="D4032" s="1"/>
  <c r="C4031"/>
  <c r="D4031" s="1"/>
  <c r="C4030"/>
  <c r="D4030" s="1"/>
  <c r="C4029"/>
  <c r="D4029" s="1"/>
  <c r="C4028"/>
  <c r="D4028" s="1"/>
  <c r="C4027"/>
  <c r="D4027" s="1"/>
  <c r="C4026"/>
  <c r="D4026" s="1"/>
  <c r="C4025"/>
  <c r="D4025" s="1"/>
  <c r="C4024"/>
  <c r="D4024" s="1"/>
  <c r="C4023"/>
  <c r="D4023" s="1"/>
  <c r="C4022"/>
  <c r="D4022" s="1"/>
  <c r="C4021"/>
  <c r="D4021" s="1"/>
  <c r="C4020"/>
  <c r="D4020" s="1"/>
  <c r="C4019"/>
  <c r="D4019" s="1"/>
  <c r="C4018"/>
  <c r="D4018" s="1"/>
  <c r="C4017"/>
  <c r="D4017" s="1"/>
  <c r="C4016"/>
  <c r="D4016" s="1"/>
  <c r="C4015"/>
  <c r="D4015" s="1"/>
  <c r="C4014"/>
  <c r="D4014" s="1"/>
  <c r="C4013"/>
  <c r="D4013" s="1"/>
  <c r="C4012"/>
  <c r="D4012" s="1"/>
  <c r="C4011"/>
  <c r="D4011" s="1"/>
  <c r="C4010"/>
  <c r="D4010" s="1"/>
  <c r="C4009"/>
  <c r="D4009" s="1"/>
  <c r="C4008"/>
  <c r="D4008" s="1"/>
  <c r="C4007"/>
  <c r="D4007" s="1"/>
  <c r="C4006"/>
  <c r="D4006" s="1"/>
  <c r="C4005"/>
  <c r="D4005" s="1"/>
  <c r="C4004"/>
  <c r="D4004" s="1"/>
  <c r="C4003"/>
  <c r="D4003" s="1"/>
  <c r="C4002"/>
  <c r="D4002" s="1"/>
  <c r="C4001"/>
  <c r="D4001" s="1"/>
  <c r="C4000"/>
  <c r="D4000" s="1"/>
  <c r="C3999"/>
  <c r="D3999" s="1"/>
  <c r="C3998"/>
  <c r="D3998" s="1"/>
  <c r="C3997"/>
  <c r="D3997" s="1"/>
  <c r="C3996"/>
  <c r="D3996" s="1"/>
  <c r="C3995"/>
  <c r="D3995" s="1"/>
  <c r="C3994"/>
  <c r="D3994" s="1"/>
  <c r="C3993"/>
  <c r="D3993" s="1"/>
  <c r="C3992"/>
  <c r="D3992" s="1"/>
  <c r="C3991"/>
  <c r="D3991" s="1"/>
  <c r="C3990"/>
  <c r="D3990" s="1"/>
  <c r="C3989"/>
  <c r="D3989" s="1"/>
  <c r="C3988"/>
  <c r="D3988" s="1"/>
  <c r="C3987"/>
  <c r="D3987" s="1"/>
  <c r="C3986"/>
  <c r="D3986" s="1"/>
  <c r="C3985"/>
  <c r="D3985" s="1"/>
  <c r="C3984"/>
  <c r="D3984" s="1"/>
  <c r="C3983"/>
  <c r="D3983" s="1"/>
  <c r="C3982"/>
  <c r="D3982" s="1"/>
  <c r="C3981"/>
  <c r="D3981" s="1"/>
  <c r="C3980"/>
  <c r="D3980" s="1"/>
  <c r="C3979"/>
  <c r="D3979" s="1"/>
  <c r="C3978"/>
  <c r="D3978" s="1"/>
  <c r="C3977"/>
  <c r="D3977" s="1"/>
  <c r="C3976"/>
  <c r="D3976" s="1"/>
  <c r="C3975"/>
  <c r="D3975" s="1"/>
  <c r="C3974"/>
  <c r="D3974" s="1"/>
  <c r="C3973"/>
  <c r="D3973" s="1"/>
  <c r="C3972"/>
  <c r="D3972" s="1"/>
  <c r="C3971"/>
  <c r="D3971" s="1"/>
  <c r="C3970"/>
  <c r="D3970" s="1"/>
  <c r="C3969"/>
  <c r="D3969" s="1"/>
  <c r="C3968"/>
  <c r="D3968" s="1"/>
  <c r="C3967"/>
  <c r="D3967" s="1"/>
  <c r="C3966"/>
  <c r="D3966" s="1"/>
  <c r="C3965"/>
  <c r="D3965" s="1"/>
  <c r="C3964"/>
  <c r="D3964" s="1"/>
  <c r="C3963"/>
  <c r="D3963" s="1"/>
  <c r="C3962"/>
  <c r="D3962" s="1"/>
  <c r="C3961"/>
  <c r="D3961" s="1"/>
  <c r="C3960"/>
  <c r="D3960" s="1"/>
  <c r="C3959"/>
  <c r="D3959" s="1"/>
  <c r="C3958"/>
  <c r="D3958" s="1"/>
  <c r="C3957"/>
  <c r="D3957" s="1"/>
  <c r="C3956"/>
  <c r="D3956" s="1"/>
  <c r="C3955"/>
  <c r="D3955" s="1"/>
  <c r="C3954"/>
  <c r="D3954" s="1"/>
  <c r="C3953"/>
  <c r="D3953" s="1"/>
  <c r="C3952"/>
  <c r="D3952" s="1"/>
  <c r="C3951"/>
  <c r="D3951" s="1"/>
  <c r="C3950"/>
  <c r="D3950" s="1"/>
  <c r="C3949"/>
  <c r="D3949" s="1"/>
  <c r="C3948"/>
  <c r="D3948" s="1"/>
  <c r="C3947"/>
  <c r="D3947" s="1"/>
  <c r="C3946"/>
  <c r="D3946" s="1"/>
  <c r="C3945"/>
  <c r="D3945" s="1"/>
  <c r="C3944"/>
  <c r="D3944" s="1"/>
  <c r="C3943"/>
  <c r="D3943" s="1"/>
  <c r="C3942"/>
  <c r="D3942" s="1"/>
  <c r="C3941"/>
  <c r="D3941" s="1"/>
  <c r="C3940"/>
  <c r="D3940" s="1"/>
  <c r="C3939"/>
  <c r="D3939" s="1"/>
  <c r="C3938"/>
  <c r="D3938" s="1"/>
  <c r="C3937"/>
  <c r="D3937" s="1"/>
  <c r="C3936"/>
  <c r="D3936" s="1"/>
  <c r="C3935"/>
  <c r="D3935" s="1"/>
  <c r="C3934"/>
  <c r="D3934" s="1"/>
  <c r="C3933"/>
  <c r="D3933" s="1"/>
  <c r="C3932"/>
  <c r="D3932" s="1"/>
  <c r="C3931"/>
  <c r="D3931" s="1"/>
  <c r="C3930"/>
  <c r="D3930" s="1"/>
  <c r="C3929"/>
  <c r="D3929" s="1"/>
  <c r="C3928"/>
  <c r="D3928" s="1"/>
  <c r="C3927"/>
  <c r="D3927" s="1"/>
  <c r="C3926"/>
  <c r="D3926" s="1"/>
  <c r="C3925"/>
  <c r="D3925" s="1"/>
  <c r="C3924"/>
  <c r="D3924" s="1"/>
  <c r="C3923"/>
  <c r="D3923" s="1"/>
  <c r="C3922"/>
  <c r="D3922" s="1"/>
  <c r="C3921"/>
  <c r="D3921" s="1"/>
  <c r="C3920"/>
  <c r="D3920" s="1"/>
  <c r="C3919"/>
  <c r="D3919" s="1"/>
  <c r="C3918"/>
  <c r="D3918" s="1"/>
  <c r="C3917"/>
  <c r="D3917" s="1"/>
  <c r="C3916"/>
  <c r="D3916" s="1"/>
  <c r="C3915"/>
  <c r="D3915" s="1"/>
  <c r="C3914"/>
  <c r="D3914" s="1"/>
  <c r="C3913"/>
  <c r="D3913" s="1"/>
  <c r="C3912"/>
  <c r="D3912" s="1"/>
  <c r="C3911"/>
  <c r="D3911" s="1"/>
  <c r="C3910"/>
  <c r="D3910" s="1"/>
  <c r="C3909"/>
  <c r="D3909" s="1"/>
  <c r="C3908"/>
  <c r="D3908" s="1"/>
  <c r="C3907"/>
  <c r="D3907" s="1"/>
  <c r="C3906"/>
  <c r="D3906" s="1"/>
  <c r="C3905"/>
  <c r="D3905" s="1"/>
  <c r="C3904"/>
  <c r="D3904" s="1"/>
  <c r="C3903"/>
  <c r="D3903" s="1"/>
  <c r="C3902"/>
  <c r="D3902" s="1"/>
  <c r="C3901"/>
  <c r="D3901" s="1"/>
  <c r="C3900"/>
  <c r="D3900" s="1"/>
  <c r="C3899"/>
  <c r="D3899" s="1"/>
  <c r="C3898"/>
  <c r="D3898" s="1"/>
  <c r="C3897"/>
  <c r="D3897" s="1"/>
  <c r="C3896"/>
  <c r="D3896" s="1"/>
  <c r="C3895"/>
  <c r="D3895" s="1"/>
  <c r="C3894"/>
  <c r="D3894" s="1"/>
  <c r="C3893"/>
  <c r="D3893" s="1"/>
  <c r="C3892"/>
  <c r="D3892" s="1"/>
  <c r="C3891"/>
  <c r="D3891" s="1"/>
  <c r="C3890"/>
  <c r="D3890" s="1"/>
  <c r="C3889"/>
  <c r="D3889" s="1"/>
  <c r="C3888"/>
  <c r="D3888" s="1"/>
  <c r="C3887"/>
  <c r="D3887" s="1"/>
  <c r="C3886"/>
  <c r="D3886" s="1"/>
  <c r="C3885"/>
  <c r="D3885" s="1"/>
  <c r="C3884"/>
  <c r="D3884" s="1"/>
  <c r="C3883"/>
  <c r="D3883" s="1"/>
  <c r="C3882"/>
  <c r="D3882" s="1"/>
  <c r="C3881"/>
  <c r="D3881" s="1"/>
  <c r="C3880"/>
  <c r="D3880" s="1"/>
  <c r="C3879"/>
  <c r="D3879" s="1"/>
  <c r="C3878"/>
  <c r="D3878" s="1"/>
  <c r="C3877"/>
  <c r="D3877" s="1"/>
  <c r="C3876"/>
  <c r="D3876" s="1"/>
  <c r="C3875"/>
  <c r="D3875" s="1"/>
  <c r="C3874"/>
  <c r="D3874" s="1"/>
  <c r="C3873"/>
  <c r="D3873" s="1"/>
  <c r="C3872"/>
  <c r="D3872" s="1"/>
  <c r="C3871"/>
  <c r="D3871" s="1"/>
  <c r="C3870"/>
  <c r="D3870" s="1"/>
  <c r="C3869"/>
  <c r="D3869" s="1"/>
  <c r="C3868"/>
  <c r="D3868" s="1"/>
  <c r="C3867"/>
  <c r="D3867" s="1"/>
  <c r="C3866"/>
  <c r="D3866" s="1"/>
  <c r="C3865"/>
  <c r="D3865" s="1"/>
  <c r="C3864"/>
  <c r="D3864" s="1"/>
  <c r="C3863"/>
  <c r="D3863" s="1"/>
  <c r="C3862"/>
  <c r="D3862" s="1"/>
  <c r="C3861"/>
  <c r="D3861" s="1"/>
  <c r="C3860"/>
  <c r="D3860" s="1"/>
  <c r="C3859"/>
  <c r="D3859" s="1"/>
  <c r="C3858"/>
  <c r="D3858" s="1"/>
  <c r="C3857"/>
  <c r="D3857" s="1"/>
  <c r="C3856"/>
  <c r="D3856" s="1"/>
  <c r="C3855"/>
  <c r="D3855" s="1"/>
  <c r="C3854"/>
  <c r="D3854" s="1"/>
  <c r="C3853"/>
  <c r="D3853" s="1"/>
  <c r="C3852"/>
  <c r="D3852" s="1"/>
  <c r="C3851"/>
  <c r="D3851" s="1"/>
  <c r="C3850"/>
  <c r="D3850" s="1"/>
  <c r="C3849"/>
  <c r="D3849" s="1"/>
  <c r="C3848"/>
  <c r="D3848" s="1"/>
  <c r="C3847"/>
  <c r="D3847" s="1"/>
  <c r="C3846"/>
  <c r="D3846" s="1"/>
  <c r="C3845"/>
  <c r="D3845" s="1"/>
  <c r="C3844"/>
  <c r="D3844" s="1"/>
  <c r="C3843"/>
  <c r="D3843" s="1"/>
  <c r="C3842"/>
  <c r="D3842" s="1"/>
  <c r="C3841"/>
  <c r="D3841" s="1"/>
  <c r="C3840"/>
  <c r="D3840" s="1"/>
  <c r="C3839"/>
  <c r="D3839" s="1"/>
  <c r="C3838"/>
  <c r="D3838" s="1"/>
  <c r="C3837"/>
  <c r="D3837" s="1"/>
  <c r="C3836"/>
  <c r="D3836" s="1"/>
  <c r="C3835"/>
  <c r="D3835" s="1"/>
  <c r="C3834"/>
  <c r="D3834" s="1"/>
  <c r="C3833"/>
  <c r="D3833" s="1"/>
  <c r="C3832"/>
  <c r="D3832" s="1"/>
  <c r="C3831"/>
  <c r="D3831" s="1"/>
  <c r="C3830"/>
  <c r="D3830" s="1"/>
  <c r="C3829"/>
  <c r="D3829" s="1"/>
  <c r="C3828"/>
  <c r="D3828" s="1"/>
  <c r="C3827"/>
  <c r="D3827" s="1"/>
  <c r="C3826"/>
  <c r="D3826" s="1"/>
  <c r="C3825"/>
  <c r="D3825" s="1"/>
  <c r="C3824"/>
  <c r="D3824" s="1"/>
  <c r="C3823"/>
  <c r="D3823" s="1"/>
  <c r="C3822"/>
  <c r="D3822" s="1"/>
  <c r="C3821"/>
  <c r="D3821" s="1"/>
  <c r="C3820"/>
  <c r="D3820" s="1"/>
  <c r="C3819"/>
  <c r="D3819" s="1"/>
  <c r="C3818"/>
  <c r="D3818" s="1"/>
  <c r="C3817"/>
  <c r="D3817" s="1"/>
  <c r="C3816"/>
  <c r="D3816" s="1"/>
  <c r="C3815"/>
  <c r="D3815" s="1"/>
  <c r="C3814"/>
  <c r="D3814" s="1"/>
  <c r="C3813"/>
  <c r="D3813" s="1"/>
  <c r="C3812"/>
  <c r="D3812" s="1"/>
  <c r="C3811"/>
  <c r="D3811" s="1"/>
  <c r="C3810"/>
  <c r="D3810" s="1"/>
  <c r="C3809"/>
  <c r="D3809" s="1"/>
  <c r="C3808"/>
  <c r="D3808" s="1"/>
  <c r="C3807"/>
  <c r="D3807" s="1"/>
  <c r="C3806"/>
  <c r="D3806" s="1"/>
  <c r="C3805"/>
  <c r="D3805" s="1"/>
  <c r="C3804"/>
  <c r="D3804" s="1"/>
  <c r="C3803"/>
  <c r="D3803" s="1"/>
  <c r="C3802"/>
  <c r="D3802" s="1"/>
  <c r="C3801"/>
  <c r="D3801" s="1"/>
  <c r="C3800"/>
  <c r="D3800" s="1"/>
  <c r="C3799"/>
  <c r="D3799" s="1"/>
  <c r="C3798"/>
  <c r="D3798" s="1"/>
  <c r="C3797"/>
  <c r="D3797" s="1"/>
  <c r="C3796"/>
  <c r="D3796" s="1"/>
  <c r="C3795"/>
  <c r="D3795" s="1"/>
  <c r="C3794"/>
  <c r="D3794" s="1"/>
  <c r="C3793"/>
  <c r="D3793" s="1"/>
  <c r="C3792"/>
  <c r="D3792" s="1"/>
  <c r="C3791"/>
  <c r="D3791" s="1"/>
  <c r="C3790"/>
  <c r="D3790" s="1"/>
  <c r="C3789"/>
  <c r="D3789" s="1"/>
  <c r="C3788"/>
  <c r="D3788" s="1"/>
  <c r="C3787"/>
  <c r="D3787" s="1"/>
  <c r="C3786"/>
  <c r="D3786" s="1"/>
  <c r="C3785"/>
  <c r="D3785" s="1"/>
  <c r="C3784"/>
  <c r="D3784" s="1"/>
  <c r="C3783"/>
  <c r="D3783" s="1"/>
  <c r="C3782"/>
  <c r="D3782" s="1"/>
  <c r="C3781"/>
  <c r="D3781" s="1"/>
  <c r="C3780"/>
  <c r="D3780" s="1"/>
  <c r="C3779"/>
  <c r="D3779" s="1"/>
  <c r="C3778"/>
  <c r="D3778" s="1"/>
  <c r="C3777"/>
  <c r="D3777" s="1"/>
  <c r="C3776"/>
  <c r="D3776" s="1"/>
  <c r="C3775"/>
  <c r="D3775" s="1"/>
  <c r="C3774"/>
  <c r="D3774" s="1"/>
  <c r="C3773"/>
  <c r="D3773" s="1"/>
  <c r="C3772"/>
  <c r="D3772" s="1"/>
  <c r="C3771"/>
  <c r="D3771" s="1"/>
  <c r="C3770"/>
  <c r="D3770" s="1"/>
  <c r="C3769"/>
  <c r="D3769" s="1"/>
  <c r="C3768"/>
  <c r="D3768" s="1"/>
  <c r="C3767"/>
  <c r="D3767" s="1"/>
  <c r="C3766"/>
  <c r="D3766" s="1"/>
  <c r="C3765"/>
  <c r="D3765" s="1"/>
  <c r="C3764"/>
  <c r="D3764" s="1"/>
  <c r="C3763"/>
  <c r="D3763" s="1"/>
  <c r="C3762"/>
  <c r="D3762" s="1"/>
  <c r="C3761"/>
  <c r="D3761" s="1"/>
  <c r="C3760"/>
  <c r="D3760" s="1"/>
  <c r="C3759"/>
  <c r="D3759" s="1"/>
  <c r="C3758"/>
  <c r="D3758" s="1"/>
  <c r="C3757"/>
  <c r="D3757" s="1"/>
  <c r="C3756"/>
  <c r="D3756" s="1"/>
  <c r="C3755"/>
  <c r="D3755" s="1"/>
  <c r="C3754"/>
  <c r="D3754" s="1"/>
  <c r="C3753"/>
  <c r="D3753" s="1"/>
  <c r="C3752"/>
  <c r="D3752" s="1"/>
  <c r="C3751"/>
  <c r="D3751" s="1"/>
  <c r="C3750"/>
  <c r="D3750" s="1"/>
  <c r="C3749"/>
  <c r="D3749" s="1"/>
  <c r="C3748"/>
  <c r="D3748" s="1"/>
  <c r="C3747"/>
  <c r="D3747" s="1"/>
  <c r="C3746"/>
  <c r="D3746" s="1"/>
  <c r="C3745"/>
  <c r="D3745" s="1"/>
  <c r="C3744"/>
  <c r="D3744" s="1"/>
  <c r="C3743"/>
  <c r="D3743" s="1"/>
  <c r="C3742"/>
  <c r="D3742" s="1"/>
  <c r="C3741"/>
  <c r="D3741" s="1"/>
  <c r="C3740"/>
  <c r="D3740" s="1"/>
  <c r="C3739"/>
  <c r="D3739" s="1"/>
  <c r="C3738"/>
  <c r="D3738" s="1"/>
  <c r="C3737"/>
  <c r="D3737" s="1"/>
  <c r="C3736"/>
  <c r="D3736" s="1"/>
  <c r="C3735"/>
  <c r="D3735" s="1"/>
  <c r="C3734"/>
  <c r="D3734" s="1"/>
  <c r="C3733"/>
  <c r="D3733" s="1"/>
  <c r="C3732"/>
  <c r="D3732" s="1"/>
  <c r="C3731"/>
  <c r="D3731" s="1"/>
  <c r="C3730"/>
  <c r="D3730" s="1"/>
  <c r="C3729"/>
  <c r="D3729" s="1"/>
  <c r="C3728"/>
  <c r="D3728" s="1"/>
  <c r="C3727"/>
  <c r="D3727" s="1"/>
  <c r="C3726"/>
  <c r="D3726" s="1"/>
  <c r="C3725"/>
  <c r="D3725" s="1"/>
  <c r="C3724"/>
  <c r="D3724" s="1"/>
  <c r="C3723"/>
  <c r="D3723" s="1"/>
  <c r="C3722"/>
  <c r="D3722" s="1"/>
  <c r="C3721"/>
  <c r="D3721" s="1"/>
  <c r="C3720"/>
  <c r="D3720" s="1"/>
  <c r="C3719"/>
  <c r="D3719" s="1"/>
  <c r="C3718"/>
  <c r="D3718" s="1"/>
  <c r="C3717"/>
  <c r="D3717" s="1"/>
  <c r="C3716"/>
  <c r="D3716" s="1"/>
  <c r="C3715"/>
  <c r="D3715" s="1"/>
  <c r="C3714"/>
  <c r="D3714" s="1"/>
  <c r="C3713"/>
  <c r="D3713" s="1"/>
  <c r="C3712"/>
  <c r="D3712" s="1"/>
  <c r="C3711"/>
  <c r="D3711" s="1"/>
  <c r="C3710"/>
  <c r="D3710" s="1"/>
  <c r="C3709"/>
  <c r="D3709" s="1"/>
  <c r="C3708"/>
  <c r="D3708" s="1"/>
  <c r="C3707"/>
  <c r="D3707" s="1"/>
  <c r="C3706"/>
  <c r="D3706" s="1"/>
  <c r="C3705"/>
  <c r="D3705" s="1"/>
  <c r="C3704"/>
  <c r="D3704" s="1"/>
  <c r="C3703"/>
  <c r="D3703" s="1"/>
  <c r="C3702"/>
  <c r="D3702" s="1"/>
  <c r="C3701"/>
  <c r="D3701" s="1"/>
  <c r="C3700"/>
  <c r="D3700" s="1"/>
  <c r="C3699"/>
  <c r="D3699" s="1"/>
  <c r="C3698"/>
  <c r="D3698" s="1"/>
  <c r="C3697"/>
  <c r="D3697" s="1"/>
  <c r="C3696"/>
  <c r="D3696" s="1"/>
  <c r="C3695"/>
  <c r="D3695" s="1"/>
  <c r="C3694"/>
  <c r="D3694" s="1"/>
  <c r="C3693"/>
  <c r="D3693" s="1"/>
  <c r="C3692"/>
  <c r="D3692" s="1"/>
  <c r="C3691"/>
  <c r="D3691" s="1"/>
  <c r="C3690"/>
  <c r="D3690" s="1"/>
  <c r="C3689"/>
  <c r="D3689" s="1"/>
  <c r="C3688"/>
  <c r="D3688" s="1"/>
  <c r="C3687"/>
  <c r="D3687" s="1"/>
  <c r="C3686"/>
  <c r="D3686" s="1"/>
  <c r="C3685"/>
  <c r="D3685" s="1"/>
  <c r="C3684"/>
  <c r="D3684" s="1"/>
  <c r="C3683"/>
  <c r="D3683" s="1"/>
  <c r="C3682"/>
  <c r="D3682" s="1"/>
  <c r="C3681"/>
  <c r="D3681" s="1"/>
  <c r="C3680"/>
  <c r="D3680" s="1"/>
  <c r="C3679"/>
  <c r="D3679" s="1"/>
  <c r="C3678"/>
  <c r="D3678" s="1"/>
  <c r="C3677"/>
  <c r="D3677" s="1"/>
  <c r="C3676"/>
  <c r="D3676" s="1"/>
  <c r="C3675"/>
  <c r="D3675" s="1"/>
  <c r="C3674"/>
  <c r="D3674" s="1"/>
  <c r="C3673"/>
  <c r="D3673" s="1"/>
  <c r="C3672"/>
  <c r="D3672" s="1"/>
  <c r="C3671"/>
  <c r="D3671" s="1"/>
  <c r="C3670"/>
  <c r="D3670" s="1"/>
  <c r="C3669"/>
  <c r="D3669" s="1"/>
  <c r="C3668"/>
  <c r="D3668" s="1"/>
  <c r="C3667"/>
  <c r="D3667" s="1"/>
  <c r="C3666"/>
  <c r="D3666" s="1"/>
  <c r="C3665"/>
  <c r="D3665" s="1"/>
  <c r="C3664"/>
  <c r="D3664" s="1"/>
  <c r="C3663"/>
  <c r="D3663" s="1"/>
  <c r="C3662"/>
  <c r="D3662" s="1"/>
  <c r="C3661"/>
  <c r="D3661" s="1"/>
  <c r="C3660"/>
  <c r="D3660" s="1"/>
  <c r="C3659"/>
  <c r="D3659" s="1"/>
  <c r="C3658"/>
  <c r="D3658" s="1"/>
  <c r="C3657"/>
  <c r="D3657" s="1"/>
  <c r="C3656"/>
  <c r="D3656" s="1"/>
  <c r="C3655"/>
  <c r="D3655" s="1"/>
  <c r="C3654"/>
  <c r="D3654" s="1"/>
  <c r="C3653"/>
  <c r="D3653" s="1"/>
  <c r="C3652"/>
  <c r="D3652" s="1"/>
  <c r="C3651"/>
  <c r="D3651" s="1"/>
  <c r="C3650"/>
  <c r="D3650" s="1"/>
  <c r="C3649"/>
  <c r="D3649" s="1"/>
  <c r="C3648"/>
  <c r="D3648" s="1"/>
  <c r="C3647"/>
  <c r="D3647" s="1"/>
  <c r="C3646"/>
  <c r="D3646" s="1"/>
  <c r="C3645"/>
  <c r="D3645" s="1"/>
  <c r="C3644"/>
  <c r="D3644" s="1"/>
  <c r="C3643"/>
  <c r="D3643" s="1"/>
  <c r="C3642"/>
  <c r="D3642" s="1"/>
  <c r="C3641"/>
  <c r="D3641" s="1"/>
  <c r="C3640"/>
  <c r="D3640" s="1"/>
  <c r="C3639"/>
  <c r="D3639" s="1"/>
  <c r="C3638"/>
  <c r="D3638" s="1"/>
  <c r="C3637"/>
  <c r="D3637" s="1"/>
  <c r="C3636"/>
  <c r="D3636" s="1"/>
  <c r="C3635"/>
  <c r="D3635" s="1"/>
  <c r="C3634"/>
  <c r="D3634" s="1"/>
  <c r="C3633"/>
  <c r="D3633" s="1"/>
  <c r="C3632"/>
  <c r="D3632" s="1"/>
  <c r="C3631"/>
  <c r="D3631" s="1"/>
  <c r="C3630"/>
  <c r="D3630" s="1"/>
  <c r="C3629"/>
  <c r="D3629" s="1"/>
  <c r="C3628"/>
  <c r="D3628" s="1"/>
  <c r="C3627"/>
  <c r="D3627" s="1"/>
  <c r="C3626"/>
  <c r="D3626" s="1"/>
  <c r="C3625"/>
  <c r="D3625" s="1"/>
  <c r="C3624"/>
  <c r="D3624" s="1"/>
  <c r="C3623"/>
  <c r="D3623" s="1"/>
  <c r="C3622"/>
  <c r="D3622" s="1"/>
  <c r="C3621"/>
  <c r="D3621" s="1"/>
  <c r="C3620"/>
  <c r="D3620" s="1"/>
  <c r="C3619"/>
  <c r="D3619" s="1"/>
  <c r="C3618"/>
  <c r="D3618" s="1"/>
  <c r="C3617"/>
  <c r="D3617" s="1"/>
  <c r="C3616"/>
  <c r="D3616" s="1"/>
  <c r="C3615"/>
  <c r="D3615" s="1"/>
  <c r="C3614"/>
  <c r="D3614" s="1"/>
  <c r="C3613"/>
  <c r="D3613" s="1"/>
  <c r="C3612"/>
  <c r="D3612" s="1"/>
  <c r="C3611"/>
  <c r="D3611" s="1"/>
  <c r="C3610"/>
  <c r="D3610" s="1"/>
  <c r="C3609"/>
  <c r="D3609" s="1"/>
  <c r="C3608"/>
  <c r="D3608" s="1"/>
  <c r="C3607"/>
  <c r="D3607" s="1"/>
  <c r="C3606"/>
  <c r="D3606" s="1"/>
  <c r="C3605"/>
  <c r="D3605" s="1"/>
  <c r="C3604"/>
  <c r="D3604" s="1"/>
  <c r="C3603"/>
  <c r="D3603" s="1"/>
  <c r="C3602"/>
  <c r="D3602" s="1"/>
  <c r="C3601"/>
  <c r="D3601" s="1"/>
  <c r="C3600"/>
  <c r="D3600" s="1"/>
  <c r="C3599"/>
  <c r="D3599" s="1"/>
  <c r="C3598"/>
  <c r="D3598" s="1"/>
  <c r="C3597"/>
  <c r="D3597" s="1"/>
  <c r="C3596"/>
  <c r="D3596" s="1"/>
  <c r="C3595"/>
  <c r="D3595" s="1"/>
  <c r="C3594"/>
  <c r="D3594" s="1"/>
  <c r="C3593"/>
  <c r="D3593" s="1"/>
  <c r="C3592"/>
  <c r="D3592" s="1"/>
  <c r="C3591"/>
  <c r="D3591" s="1"/>
  <c r="C3590"/>
  <c r="D3590" s="1"/>
  <c r="C3589"/>
  <c r="D3589" s="1"/>
  <c r="C3588"/>
  <c r="D3588" s="1"/>
  <c r="C3587"/>
  <c r="D3587" s="1"/>
  <c r="C3586"/>
  <c r="D3586" s="1"/>
  <c r="C3585"/>
  <c r="D3585" s="1"/>
  <c r="C3584"/>
  <c r="D3584" s="1"/>
  <c r="C3583"/>
  <c r="D3583" s="1"/>
  <c r="C3582"/>
  <c r="D3582" s="1"/>
  <c r="C3581"/>
  <c r="D3581" s="1"/>
  <c r="C3580"/>
  <c r="D3580" s="1"/>
  <c r="C3579"/>
  <c r="D3579" s="1"/>
  <c r="C3578"/>
  <c r="D3578" s="1"/>
  <c r="C3577"/>
  <c r="D3577" s="1"/>
  <c r="C3576"/>
  <c r="D3576" s="1"/>
  <c r="C3575"/>
  <c r="D3575" s="1"/>
  <c r="C3574"/>
  <c r="D3574" s="1"/>
  <c r="C3573"/>
  <c r="D3573" s="1"/>
  <c r="C3572"/>
  <c r="D3572" s="1"/>
  <c r="C3571"/>
  <c r="D3571" s="1"/>
  <c r="C3570"/>
  <c r="D3570" s="1"/>
  <c r="C3569"/>
  <c r="D3569" s="1"/>
  <c r="C3568"/>
  <c r="D3568" s="1"/>
  <c r="C3567"/>
  <c r="D3567" s="1"/>
  <c r="C3566"/>
  <c r="D3566" s="1"/>
  <c r="C3565"/>
  <c r="D3565" s="1"/>
  <c r="C3564"/>
  <c r="D3564" s="1"/>
  <c r="C3563"/>
  <c r="D3563" s="1"/>
  <c r="C3562"/>
  <c r="D3562" s="1"/>
  <c r="C3561"/>
  <c r="D3561" s="1"/>
  <c r="C3560"/>
  <c r="D3560" s="1"/>
  <c r="C3559"/>
  <c r="D3559" s="1"/>
  <c r="C3558"/>
  <c r="D3558" s="1"/>
  <c r="C3557"/>
  <c r="D3557" s="1"/>
  <c r="C3556"/>
  <c r="D3556" s="1"/>
  <c r="C3555"/>
  <c r="D3555" s="1"/>
  <c r="C3554"/>
  <c r="D3554" s="1"/>
  <c r="C3553"/>
  <c r="D3553" s="1"/>
  <c r="C3552"/>
  <c r="D3552" s="1"/>
  <c r="C3551"/>
  <c r="D3551" s="1"/>
  <c r="C3550"/>
  <c r="D3550" s="1"/>
  <c r="C3549"/>
  <c r="D3549" s="1"/>
  <c r="C3548"/>
  <c r="D3548" s="1"/>
  <c r="C3547"/>
  <c r="D3547" s="1"/>
  <c r="C3546"/>
  <c r="D3546" s="1"/>
  <c r="C3545"/>
  <c r="D3545" s="1"/>
  <c r="C3544"/>
  <c r="D3544" s="1"/>
  <c r="C3543"/>
  <c r="D3543" s="1"/>
  <c r="C3542"/>
  <c r="D3542" s="1"/>
  <c r="C3541"/>
  <c r="D3541" s="1"/>
  <c r="C3540"/>
  <c r="D3540" s="1"/>
  <c r="C3539"/>
  <c r="D3539" s="1"/>
  <c r="C3538"/>
  <c r="D3538" s="1"/>
  <c r="C3537"/>
  <c r="D3537" s="1"/>
  <c r="C3536"/>
  <c r="D3536" s="1"/>
  <c r="C3535"/>
  <c r="D3535" s="1"/>
  <c r="C3534"/>
  <c r="D3534" s="1"/>
  <c r="C3533"/>
  <c r="D3533" s="1"/>
  <c r="C3532"/>
  <c r="D3532" s="1"/>
  <c r="C3531"/>
  <c r="D3531" s="1"/>
  <c r="C3530"/>
  <c r="D3530" s="1"/>
  <c r="C3529"/>
  <c r="D3529" s="1"/>
  <c r="C3528"/>
  <c r="D3528" s="1"/>
  <c r="C3527"/>
  <c r="D3527" s="1"/>
  <c r="C3526"/>
  <c r="D3526" s="1"/>
  <c r="C3525"/>
  <c r="D3525" s="1"/>
  <c r="C3524"/>
  <c r="D3524" s="1"/>
  <c r="C3523"/>
  <c r="D3523" s="1"/>
  <c r="C3522"/>
  <c r="D3522" s="1"/>
  <c r="C3521"/>
  <c r="D3521" s="1"/>
  <c r="C3520"/>
  <c r="D3520" s="1"/>
  <c r="C3519"/>
  <c r="D3519" s="1"/>
  <c r="C3518"/>
  <c r="D3518" s="1"/>
  <c r="C3517"/>
  <c r="D3517" s="1"/>
  <c r="C3516"/>
  <c r="D3516" s="1"/>
  <c r="C3515"/>
  <c r="D3515" s="1"/>
  <c r="C3514"/>
  <c r="D3514" s="1"/>
  <c r="C3513"/>
  <c r="D3513" s="1"/>
  <c r="C3512"/>
  <c r="D3512" s="1"/>
  <c r="C3511"/>
  <c r="D3511" s="1"/>
  <c r="C3510"/>
  <c r="D3510" s="1"/>
  <c r="C3509"/>
  <c r="D3509" s="1"/>
  <c r="C3508"/>
  <c r="D3508" s="1"/>
  <c r="C3507"/>
  <c r="D3507" s="1"/>
  <c r="C3506"/>
  <c r="D3506" s="1"/>
  <c r="C3505"/>
  <c r="D3505" s="1"/>
  <c r="C3504"/>
  <c r="D3504" s="1"/>
  <c r="C3503"/>
  <c r="D3503" s="1"/>
  <c r="C3502"/>
  <c r="D3502" s="1"/>
  <c r="C3501"/>
  <c r="D3501" s="1"/>
  <c r="C3500"/>
  <c r="D3500" s="1"/>
  <c r="C3499"/>
  <c r="D3499" s="1"/>
  <c r="C3498"/>
  <c r="D3498" s="1"/>
  <c r="C3497"/>
  <c r="D3497" s="1"/>
  <c r="C3496"/>
  <c r="D3496" s="1"/>
  <c r="C3495"/>
  <c r="D3495" s="1"/>
  <c r="C3494"/>
  <c r="D3494" s="1"/>
  <c r="C3493"/>
  <c r="D3493" s="1"/>
  <c r="C3492"/>
  <c r="D3492" s="1"/>
  <c r="C3491"/>
  <c r="D3491" s="1"/>
  <c r="C3490"/>
  <c r="D3490" s="1"/>
  <c r="C3489"/>
  <c r="D3489" s="1"/>
  <c r="C3488"/>
  <c r="D3488" s="1"/>
  <c r="C3487"/>
  <c r="D3487" s="1"/>
  <c r="C3486"/>
  <c r="D3486" s="1"/>
  <c r="C3485"/>
  <c r="D3485" s="1"/>
  <c r="C3484"/>
  <c r="D3484" s="1"/>
  <c r="C3483"/>
  <c r="D3483" s="1"/>
  <c r="C3482"/>
  <c r="D3482" s="1"/>
  <c r="C3481"/>
  <c r="D3481" s="1"/>
  <c r="C3480"/>
  <c r="D3480" s="1"/>
  <c r="C3479"/>
  <c r="D3479" s="1"/>
  <c r="C3478"/>
  <c r="D3478" s="1"/>
  <c r="C3477"/>
  <c r="D3477" s="1"/>
  <c r="C3476"/>
  <c r="D3476" s="1"/>
  <c r="C3475"/>
  <c r="D3475" s="1"/>
  <c r="C3474"/>
  <c r="D3474" s="1"/>
  <c r="C3473"/>
  <c r="D3473" s="1"/>
  <c r="C3472"/>
  <c r="D3472" s="1"/>
  <c r="C3471"/>
  <c r="D3471" s="1"/>
  <c r="C3470"/>
  <c r="D3470" s="1"/>
  <c r="C3469"/>
  <c r="D3469" s="1"/>
  <c r="C3468"/>
  <c r="D3468" s="1"/>
  <c r="C3467"/>
  <c r="D3467" s="1"/>
  <c r="C3466"/>
  <c r="D3466" s="1"/>
  <c r="C3465"/>
  <c r="D3465" s="1"/>
  <c r="C3464"/>
  <c r="D3464" s="1"/>
  <c r="C3463"/>
  <c r="D3463" s="1"/>
  <c r="C3462"/>
  <c r="D3462" s="1"/>
  <c r="C3461"/>
  <c r="D3461" s="1"/>
  <c r="C3460"/>
  <c r="D3460" s="1"/>
  <c r="C3459"/>
  <c r="D3459" s="1"/>
  <c r="C3458"/>
  <c r="D3458" s="1"/>
  <c r="C3457"/>
  <c r="D3457" s="1"/>
  <c r="C3456"/>
  <c r="D3456" s="1"/>
  <c r="C3455"/>
  <c r="D3455" s="1"/>
  <c r="C3454"/>
  <c r="D3454" s="1"/>
  <c r="C3453"/>
  <c r="D3453" s="1"/>
  <c r="C3452"/>
  <c r="D3452" s="1"/>
  <c r="C3451"/>
  <c r="D3451" s="1"/>
  <c r="C3450"/>
  <c r="D3450" s="1"/>
  <c r="C3449"/>
  <c r="D3449" s="1"/>
  <c r="C3448"/>
  <c r="D3448" s="1"/>
  <c r="C3447"/>
  <c r="D3447" s="1"/>
  <c r="C3446"/>
  <c r="D3446" s="1"/>
  <c r="C3445"/>
  <c r="D3445" s="1"/>
  <c r="C3444"/>
  <c r="D3444" s="1"/>
  <c r="C3443"/>
  <c r="D3443" s="1"/>
  <c r="C3442"/>
  <c r="D3442" s="1"/>
  <c r="C3441"/>
  <c r="D3441" s="1"/>
  <c r="C3440"/>
  <c r="D3440" s="1"/>
  <c r="C3439"/>
  <c r="D3439" s="1"/>
  <c r="C3438"/>
  <c r="D3438" s="1"/>
  <c r="C3437"/>
  <c r="D3437" s="1"/>
  <c r="C3436"/>
  <c r="D3436" s="1"/>
  <c r="C3435"/>
  <c r="D3435" s="1"/>
  <c r="C3434"/>
  <c r="D3434" s="1"/>
  <c r="C3433"/>
  <c r="D3433" s="1"/>
  <c r="C3432"/>
  <c r="D3432" s="1"/>
  <c r="C3431"/>
  <c r="D3431" s="1"/>
  <c r="C3430"/>
  <c r="D3430" s="1"/>
  <c r="C3429"/>
  <c r="D3429" s="1"/>
  <c r="C3428"/>
  <c r="D3428" s="1"/>
  <c r="C3427"/>
  <c r="D3427" s="1"/>
  <c r="C3426"/>
  <c r="D3426" s="1"/>
  <c r="C3425"/>
  <c r="D3425" s="1"/>
  <c r="C3424"/>
  <c r="D3424" s="1"/>
  <c r="C3423"/>
  <c r="D3423" s="1"/>
  <c r="C3422"/>
  <c r="D3422" s="1"/>
  <c r="C3421"/>
  <c r="D3421" s="1"/>
  <c r="C3420"/>
  <c r="D3420" s="1"/>
  <c r="C3419"/>
  <c r="D3419" s="1"/>
  <c r="C3418"/>
  <c r="D3418" s="1"/>
  <c r="C3417"/>
  <c r="D3417" s="1"/>
  <c r="C3416"/>
  <c r="D3416" s="1"/>
  <c r="C3415"/>
  <c r="D3415" s="1"/>
  <c r="C3414"/>
  <c r="D3414" s="1"/>
  <c r="C3413"/>
  <c r="D3413" s="1"/>
  <c r="C3412"/>
  <c r="D3412" s="1"/>
  <c r="C3411"/>
  <c r="D3411" s="1"/>
  <c r="C3410"/>
  <c r="D3410" s="1"/>
  <c r="C3409"/>
  <c r="D3409" s="1"/>
  <c r="C3408"/>
  <c r="D3408" s="1"/>
  <c r="C3407"/>
  <c r="D3407" s="1"/>
  <c r="C3406"/>
  <c r="D3406" s="1"/>
  <c r="C3405"/>
  <c r="D3405" s="1"/>
  <c r="C3404"/>
  <c r="D3404" s="1"/>
  <c r="C3403"/>
  <c r="D3403" s="1"/>
  <c r="C3402"/>
  <c r="D3402" s="1"/>
  <c r="C3401"/>
  <c r="D3401" s="1"/>
  <c r="C3400"/>
  <c r="D3400" s="1"/>
  <c r="C3399"/>
  <c r="D3399" s="1"/>
  <c r="C3398"/>
  <c r="D3398" s="1"/>
  <c r="C3397"/>
  <c r="D3397" s="1"/>
  <c r="C3396"/>
  <c r="D3396" s="1"/>
  <c r="C3395"/>
  <c r="D3395" s="1"/>
  <c r="C3394"/>
  <c r="D3394" s="1"/>
  <c r="C3393"/>
  <c r="D3393" s="1"/>
  <c r="C3392"/>
  <c r="D3392" s="1"/>
  <c r="C3391"/>
  <c r="D3391" s="1"/>
  <c r="C3390"/>
  <c r="D3390" s="1"/>
  <c r="C3389"/>
  <c r="D3389" s="1"/>
  <c r="C3388"/>
  <c r="D3388" s="1"/>
  <c r="C3387"/>
  <c r="D3387" s="1"/>
  <c r="C3386"/>
  <c r="D3386" s="1"/>
  <c r="C3385"/>
  <c r="D3385" s="1"/>
  <c r="C3384"/>
  <c r="D3384" s="1"/>
  <c r="C3383"/>
  <c r="D3383" s="1"/>
  <c r="C3382"/>
  <c r="D3382" s="1"/>
  <c r="C3381"/>
  <c r="D3381" s="1"/>
  <c r="C3380"/>
  <c r="D3380" s="1"/>
  <c r="C3379"/>
  <c r="D3379" s="1"/>
  <c r="C3378"/>
  <c r="D3378" s="1"/>
  <c r="C3377"/>
  <c r="D3377" s="1"/>
  <c r="C3376"/>
  <c r="D3376" s="1"/>
  <c r="C3375"/>
  <c r="D3375" s="1"/>
  <c r="C3374"/>
  <c r="D3374" s="1"/>
  <c r="C3373"/>
  <c r="D3373" s="1"/>
  <c r="C3372"/>
  <c r="D3372" s="1"/>
  <c r="C3371"/>
  <c r="D3371" s="1"/>
  <c r="C3370"/>
  <c r="D3370" s="1"/>
  <c r="C3369"/>
  <c r="D3369" s="1"/>
  <c r="C3368"/>
  <c r="D3368" s="1"/>
  <c r="C3367"/>
  <c r="D3367" s="1"/>
  <c r="C3366"/>
  <c r="D3366" s="1"/>
  <c r="C3365"/>
  <c r="D3365" s="1"/>
  <c r="C3364"/>
  <c r="D3364" s="1"/>
  <c r="C3363"/>
  <c r="D3363" s="1"/>
  <c r="C3362"/>
  <c r="D3362" s="1"/>
  <c r="C3361"/>
  <c r="D3361" s="1"/>
  <c r="C3360"/>
  <c r="D3360" s="1"/>
  <c r="C3359"/>
  <c r="D3359" s="1"/>
  <c r="C3358"/>
  <c r="D3358" s="1"/>
  <c r="C3357"/>
  <c r="D3357" s="1"/>
  <c r="C3356"/>
  <c r="D3356" s="1"/>
  <c r="C3355"/>
  <c r="D3355" s="1"/>
  <c r="C3354"/>
  <c r="D3354" s="1"/>
  <c r="C3353"/>
  <c r="D3353" s="1"/>
  <c r="C3352"/>
  <c r="D3352" s="1"/>
  <c r="C3351"/>
  <c r="D3351" s="1"/>
  <c r="C3350"/>
  <c r="D3350" s="1"/>
  <c r="C3349"/>
  <c r="D3349" s="1"/>
  <c r="C3348"/>
  <c r="D3348" s="1"/>
  <c r="C3347"/>
  <c r="D3347" s="1"/>
  <c r="C3346"/>
  <c r="D3346" s="1"/>
  <c r="C3345"/>
  <c r="D3345" s="1"/>
  <c r="C3344"/>
  <c r="D3344" s="1"/>
  <c r="C3343"/>
  <c r="D3343" s="1"/>
  <c r="C3342"/>
  <c r="D3342" s="1"/>
  <c r="C3341"/>
  <c r="D3341" s="1"/>
  <c r="C3340"/>
  <c r="D3340" s="1"/>
  <c r="C3339"/>
  <c r="D3339" s="1"/>
  <c r="C3338"/>
  <c r="D3338" s="1"/>
  <c r="C3337"/>
  <c r="D3337" s="1"/>
  <c r="C3336"/>
  <c r="D3336" s="1"/>
  <c r="C3335"/>
  <c r="D3335" s="1"/>
  <c r="C3334"/>
  <c r="D3334" s="1"/>
  <c r="C3333"/>
  <c r="D3333" s="1"/>
  <c r="C3332"/>
  <c r="D3332" s="1"/>
  <c r="C3331"/>
  <c r="D3331" s="1"/>
  <c r="C3330"/>
  <c r="D3330" s="1"/>
  <c r="C3329"/>
  <c r="D3329" s="1"/>
  <c r="C3328"/>
  <c r="D3328" s="1"/>
  <c r="C3327"/>
  <c r="D3327" s="1"/>
  <c r="C3326"/>
  <c r="D3326" s="1"/>
  <c r="C3325"/>
  <c r="D3325" s="1"/>
  <c r="C3324"/>
  <c r="D3324" s="1"/>
  <c r="C3323"/>
  <c r="D3323" s="1"/>
  <c r="C3322"/>
  <c r="D3322" s="1"/>
  <c r="C3321"/>
  <c r="D3321" s="1"/>
  <c r="C3320"/>
  <c r="D3320" s="1"/>
  <c r="C3319"/>
  <c r="D3319" s="1"/>
  <c r="C3318"/>
  <c r="D3318" s="1"/>
  <c r="C3317"/>
  <c r="D3317" s="1"/>
  <c r="C3316"/>
  <c r="D3316" s="1"/>
  <c r="C3315"/>
  <c r="D3315" s="1"/>
  <c r="C3314"/>
  <c r="D3314" s="1"/>
  <c r="C3313"/>
  <c r="D3313" s="1"/>
  <c r="C3312"/>
  <c r="D3312" s="1"/>
  <c r="C3311"/>
  <c r="D3311" s="1"/>
  <c r="C3310"/>
  <c r="D3310" s="1"/>
  <c r="C3309"/>
  <c r="D3309" s="1"/>
  <c r="C3308"/>
  <c r="D3308" s="1"/>
  <c r="C3307"/>
  <c r="D3307" s="1"/>
  <c r="C3306"/>
  <c r="D3306" s="1"/>
  <c r="C3305"/>
  <c r="D3305" s="1"/>
  <c r="C3304"/>
  <c r="D3304" s="1"/>
  <c r="C3303"/>
  <c r="D3303" s="1"/>
  <c r="C3302"/>
  <c r="D3302" s="1"/>
  <c r="C3301"/>
  <c r="D3301" s="1"/>
  <c r="C3300"/>
  <c r="D3300" s="1"/>
  <c r="C3299"/>
  <c r="D3299" s="1"/>
  <c r="C3298"/>
  <c r="D3298" s="1"/>
  <c r="C3297"/>
  <c r="D3297" s="1"/>
  <c r="C3296"/>
  <c r="D3296" s="1"/>
  <c r="C3295"/>
  <c r="D3295" s="1"/>
  <c r="C3294"/>
  <c r="D3294" s="1"/>
  <c r="C3293"/>
  <c r="D3293" s="1"/>
  <c r="C3292"/>
  <c r="D3292" s="1"/>
  <c r="C3291"/>
  <c r="D3291" s="1"/>
  <c r="C3290"/>
  <c r="D3290" s="1"/>
  <c r="C3289"/>
  <c r="D3289" s="1"/>
  <c r="C3288"/>
  <c r="D3288" s="1"/>
  <c r="C3287"/>
  <c r="D3287" s="1"/>
  <c r="C3286"/>
  <c r="D3286" s="1"/>
  <c r="C3285"/>
  <c r="D3285" s="1"/>
  <c r="C3284"/>
  <c r="D3284" s="1"/>
  <c r="C3283"/>
  <c r="D3283" s="1"/>
  <c r="C3282"/>
  <c r="D3282" s="1"/>
  <c r="C3281"/>
  <c r="D3281" s="1"/>
  <c r="C3280"/>
  <c r="D3280" s="1"/>
  <c r="C3279"/>
  <c r="D3279" s="1"/>
  <c r="C3278"/>
  <c r="D3278" s="1"/>
  <c r="C3277"/>
  <c r="D3277" s="1"/>
  <c r="C3276"/>
  <c r="D3276" s="1"/>
  <c r="C3275"/>
  <c r="D3275" s="1"/>
  <c r="C3274"/>
  <c r="D3274" s="1"/>
  <c r="C3273"/>
  <c r="D3273" s="1"/>
  <c r="C3272"/>
  <c r="D3272" s="1"/>
  <c r="C3271"/>
  <c r="D3271" s="1"/>
  <c r="C3270"/>
  <c r="D3270" s="1"/>
  <c r="C3269"/>
  <c r="D3269" s="1"/>
  <c r="C3268"/>
  <c r="D3268" s="1"/>
  <c r="C3267"/>
  <c r="D3267" s="1"/>
  <c r="C3266"/>
  <c r="D3266" s="1"/>
  <c r="C3265"/>
  <c r="D3265" s="1"/>
  <c r="C3264"/>
  <c r="D3264" s="1"/>
  <c r="C3263"/>
  <c r="D3263" s="1"/>
  <c r="C3262"/>
  <c r="D3262" s="1"/>
  <c r="C3261"/>
  <c r="D3261" s="1"/>
  <c r="C3260"/>
  <c r="D3260" s="1"/>
  <c r="C3259"/>
  <c r="D3259" s="1"/>
  <c r="C3258"/>
  <c r="D3258" s="1"/>
  <c r="C3257"/>
  <c r="D3257" s="1"/>
  <c r="C3256"/>
  <c r="D3256" s="1"/>
  <c r="C3255"/>
  <c r="D3255" s="1"/>
  <c r="C3254"/>
  <c r="D3254" s="1"/>
  <c r="C3253"/>
  <c r="D3253" s="1"/>
  <c r="C3252"/>
  <c r="D3252" s="1"/>
  <c r="C3251"/>
  <c r="D3251" s="1"/>
  <c r="C3250"/>
  <c r="D3250" s="1"/>
  <c r="C3249"/>
  <c r="D3249" s="1"/>
  <c r="C3248"/>
  <c r="D3248" s="1"/>
  <c r="C3247"/>
  <c r="D3247" s="1"/>
  <c r="C3246"/>
  <c r="D3246" s="1"/>
  <c r="C3245"/>
  <c r="D3245" s="1"/>
  <c r="C3244"/>
  <c r="D3244" s="1"/>
  <c r="C3243"/>
  <c r="D3243" s="1"/>
  <c r="C3242"/>
  <c r="D3242" s="1"/>
  <c r="C3241"/>
  <c r="D3241" s="1"/>
  <c r="C3240"/>
  <c r="D3240" s="1"/>
  <c r="C3239"/>
  <c r="D3239" s="1"/>
  <c r="C3238"/>
  <c r="D3238" s="1"/>
  <c r="C3237"/>
  <c r="D3237" s="1"/>
  <c r="C3236"/>
  <c r="D3236" s="1"/>
  <c r="C3235"/>
  <c r="D3235" s="1"/>
  <c r="C3234"/>
  <c r="D3234" s="1"/>
  <c r="C3233"/>
  <c r="D3233" s="1"/>
  <c r="C3232"/>
  <c r="D3232" s="1"/>
  <c r="C3231"/>
  <c r="D3231" s="1"/>
  <c r="C3230"/>
  <c r="D3230" s="1"/>
  <c r="C3229"/>
  <c r="D3229" s="1"/>
  <c r="C3228"/>
  <c r="D3228" s="1"/>
  <c r="C3227"/>
  <c r="D3227" s="1"/>
  <c r="C3226"/>
  <c r="D3226" s="1"/>
  <c r="C3225"/>
  <c r="D3225" s="1"/>
  <c r="C3224"/>
  <c r="D3224" s="1"/>
  <c r="C3223"/>
  <c r="D3223" s="1"/>
  <c r="C3222"/>
  <c r="D3222" s="1"/>
  <c r="C3221"/>
  <c r="D3221" s="1"/>
  <c r="C3220"/>
  <c r="D3220" s="1"/>
  <c r="C3219"/>
  <c r="D3219" s="1"/>
  <c r="C3218"/>
  <c r="D3218" s="1"/>
  <c r="C3217"/>
  <c r="D3217" s="1"/>
  <c r="C3216"/>
  <c r="D3216" s="1"/>
  <c r="C3215"/>
  <c r="D3215" s="1"/>
  <c r="C3214"/>
  <c r="D3214" s="1"/>
  <c r="C3213"/>
  <c r="D3213" s="1"/>
  <c r="C3212"/>
  <c r="D3212" s="1"/>
  <c r="C3211"/>
  <c r="D3211" s="1"/>
  <c r="C3210"/>
  <c r="D3210" s="1"/>
  <c r="C3209"/>
  <c r="D3209" s="1"/>
  <c r="C3208"/>
  <c r="D3208" s="1"/>
  <c r="C3207"/>
  <c r="D3207" s="1"/>
  <c r="C3206"/>
  <c r="D3206" s="1"/>
  <c r="C3205"/>
  <c r="D3205" s="1"/>
  <c r="C3204"/>
  <c r="D3204" s="1"/>
  <c r="C3203"/>
  <c r="D3203" s="1"/>
  <c r="C3202"/>
  <c r="D3202" s="1"/>
  <c r="C3201"/>
  <c r="D3201" s="1"/>
  <c r="C3200"/>
  <c r="D3200" s="1"/>
  <c r="C3199"/>
  <c r="D3199" s="1"/>
  <c r="C3198"/>
  <c r="D3198" s="1"/>
  <c r="C3197"/>
  <c r="D3197" s="1"/>
  <c r="C3196"/>
  <c r="D3196" s="1"/>
  <c r="C3195"/>
  <c r="D3195" s="1"/>
  <c r="C3194"/>
  <c r="D3194" s="1"/>
  <c r="C3193"/>
  <c r="D3193" s="1"/>
  <c r="C3192"/>
  <c r="D3192" s="1"/>
  <c r="C3191"/>
  <c r="D3191" s="1"/>
  <c r="C3190"/>
  <c r="D3190" s="1"/>
  <c r="C3189"/>
  <c r="D3189" s="1"/>
  <c r="C3188"/>
  <c r="D3188" s="1"/>
  <c r="C3187"/>
  <c r="D3187" s="1"/>
  <c r="C3186"/>
  <c r="D3186" s="1"/>
  <c r="C3185"/>
  <c r="D3185" s="1"/>
  <c r="C3184"/>
  <c r="D3184" s="1"/>
  <c r="C3183"/>
  <c r="D3183" s="1"/>
  <c r="C3182"/>
  <c r="D3182" s="1"/>
  <c r="C3181"/>
  <c r="D3181" s="1"/>
  <c r="C3180"/>
  <c r="D3180" s="1"/>
  <c r="C3179"/>
  <c r="D3179" s="1"/>
  <c r="C3178"/>
  <c r="D3178" s="1"/>
  <c r="C3177"/>
  <c r="D3177" s="1"/>
  <c r="C3176"/>
  <c r="D3176" s="1"/>
  <c r="C3175"/>
  <c r="D3175" s="1"/>
  <c r="C3174"/>
  <c r="D3174" s="1"/>
  <c r="C3173"/>
  <c r="D3173" s="1"/>
  <c r="C3172"/>
  <c r="D3172" s="1"/>
  <c r="C3171"/>
  <c r="D3171" s="1"/>
  <c r="C3170"/>
  <c r="D3170" s="1"/>
  <c r="C3169"/>
  <c r="D3169" s="1"/>
  <c r="C3168"/>
  <c r="D3168" s="1"/>
  <c r="C3167"/>
  <c r="D3167" s="1"/>
  <c r="C3166"/>
  <c r="D3166" s="1"/>
  <c r="C3165"/>
  <c r="D3165" s="1"/>
  <c r="C3164"/>
  <c r="D3164" s="1"/>
  <c r="C3163"/>
  <c r="D3163" s="1"/>
  <c r="C3162"/>
  <c r="D3162" s="1"/>
  <c r="C3161"/>
  <c r="D3161" s="1"/>
  <c r="C3160"/>
  <c r="D3160" s="1"/>
  <c r="C3159"/>
  <c r="D3159" s="1"/>
  <c r="C3158"/>
  <c r="D3158" s="1"/>
  <c r="C3157"/>
  <c r="D3157" s="1"/>
  <c r="C3156"/>
  <c r="D3156" s="1"/>
  <c r="C3155"/>
  <c r="D3155" s="1"/>
  <c r="C3154"/>
  <c r="D3154" s="1"/>
  <c r="C3153"/>
  <c r="D3153" s="1"/>
  <c r="C3152"/>
  <c r="D3152" s="1"/>
  <c r="C3151"/>
  <c r="D3151" s="1"/>
  <c r="C3150"/>
  <c r="D3150" s="1"/>
  <c r="C3149"/>
  <c r="D3149" s="1"/>
  <c r="C3148"/>
  <c r="D3148" s="1"/>
  <c r="C3147"/>
  <c r="D3147" s="1"/>
  <c r="C3146"/>
  <c r="D3146" s="1"/>
  <c r="C3145"/>
  <c r="D3145" s="1"/>
  <c r="C3144"/>
  <c r="D3144" s="1"/>
  <c r="C3143"/>
  <c r="D3143" s="1"/>
  <c r="C3142"/>
  <c r="D3142" s="1"/>
  <c r="C3141"/>
  <c r="D3141" s="1"/>
  <c r="C3140"/>
  <c r="D3140" s="1"/>
  <c r="C3139"/>
  <c r="D3139" s="1"/>
  <c r="C3138"/>
  <c r="D3138" s="1"/>
  <c r="C3137"/>
  <c r="D3137" s="1"/>
  <c r="C3136"/>
  <c r="D3136" s="1"/>
  <c r="C3135"/>
  <c r="D3135" s="1"/>
  <c r="C3134"/>
  <c r="D3134" s="1"/>
  <c r="C3133"/>
  <c r="D3133" s="1"/>
  <c r="C3132"/>
  <c r="D3132" s="1"/>
  <c r="C3131"/>
  <c r="D3131" s="1"/>
  <c r="C3130"/>
  <c r="D3130" s="1"/>
  <c r="C3129"/>
  <c r="D3129" s="1"/>
  <c r="C3128"/>
  <c r="D3128" s="1"/>
  <c r="C3127"/>
  <c r="D3127" s="1"/>
  <c r="C3126"/>
  <c r="D3126" s="1"/>
  <c r="C3125"/>
  <c r="D3125" s="1"/>
  <c r="C3124"/>
  <c r="D3124" s="1"/>
  <c r="C3123"/>
  <c r="D3123" s="1"/>
  <c r="C3122"/>
  <c r="D3122" s="1"/>
  <c r="C3121"/>
  <c r="D3121" s="1"/>
  <c r="C3120"/>
  <c r="D3120" s="1"/>
  <c r="C3119"/>
  <c r="D3119" s="1"/>
  <c r="C3118"/>
  <c r="D3118" s="1"/>
  <c r="C3117"/>
  <c r="D3117" s="1"/>
  <c r="C3116"/>
  <c r="D3116" s="1"/>
  <c r="C3115"/>
  <c r="D3115" s="1"/>
  <c r="C3114"/>
  <c r="D3114" s="1"/>
  <c r="C3113"/>
  <c r="D3113" s="1"/>
  <c r="C3112"/>
  <c r="D3112" s="1"/>
  <c r="C3111"/>
  <c r="D3111" s="1"/>
  <c r="C3110"/>
  <c r="D3110" s="1"/>
  <c r="C3109"/>
  <c r="D3109" s="1"/>
  <c r="C3108"/>
  <c r="D3108" s="1"/>
  <c r="C3107"/>
  <c r="D3107" s="1"/>
  <c r="C3106"/>
  <c r="D3106" s="1"/>
  <c r="C3105"/>
  <c r="D3105" s="1"/>
  <c r="C3104"/>
  <c r="D3104" s="1"/>
  <c r="C3103"/>
  <c r="D3103" s="1"/>
  <c r="C3102"/>
  <c r="D3102" s="1"/>
  <c r="C3101"/>
  <c r="D3101" s="1"/>
  <c r="C3100"/>
  <c r="D3100" s="1"/>
  <c r="C3099"/>
  <c r="D3099" s="1"/>
  <c r="C3098"/>
  <c r="D3098" s="1"/>
  <c r="C3097"/>
  <c r="D3097" s="1"/>
  <c r="C3096"/>
  <c r="D3096" s="1"/>
  <c r="C3095"/>
  <c r="D3095" s="1"/>
  <c r="C3094"/>
  <c r="D3094" s="1"/>
  <c r="C3093"/>
  <c r="D3093" s="1"/>
  <c r="C3092"/>
  <c r="D3092" s="1"/>
  <c r="C3091"/>
  <c r="D3091" s="1"/>
  <c r="C3090"/>
  <c r="D3090" s="1"/>
  <c r="C3089"/>
  <c r="D3089" s="1"/>
  <c r="C3088"/>
  <c r="D3088" s="1"/>
  <c r="C3087"/>
  <c r="D3087" s="1"/>
  <c r="C3086"/>
  <c r="D3086" s="1"/>
  <c r="C3085"/>
  <c r="D3085" s="1"/>
  <c r="C3084"/>
  <c r="D3084" s="1"/>
  <c r="C3083"/>
  <c r="D3083" s="1"/>
  <c r="C3082"/>
  <c r="D3082" s="1"/>
  <c r="C3081"/>
  <c r="D3081" s="1"/>
  <c r="C3080"/>
  <c r="D3080" s="1"/>
  <c r="C3079"/>
  <c r="D3079" s="1"/>
  <c r="C3078"/>
  <c r="D3078" s="1"/>
  <c r="C3077"/>
  <c r="D3077" s="1"/>
  <c r="C3076"/>
  <c r="D3076" s="1"/>
  <c r="C3075"/>
  <c r="D3075" s="1"/>
  <c r="C3074"/>
  <c r="D3074" s="1"/>
  <c r="C3073"/>
  <c r="D3073" s="1"/>
  <c r="C3072"/>
  <c r="D3072" s="1"/>
  <c r="C3071"/>
  <c r="D3071" s="1"/>
  <c r="C3070"/>
  <c r="D3070" s="1"/>
  <c r="C3069"/>
  <c r="D3069" s="1"/>
  <c r="C3068"/>
  <c r="D3068" s="1"/>
  <c r="C3067"/>
  <c r="D3067" s="1"/>
  <c r="C3066"/>
  <c r="D3066" s="1"/>
  <c r="C3065"/>
  <c r="D3065" s="1"/>
  <c r="C3064"/>
  <c r="D3064" s="1"/>
  <c r="C3063"/>
  <c r="D3063" s="1"/>
  <c r="C3062"/>
  <c r="D3062" s="1"/>
  <c r="C3061"/>
  <c r="D3061" s="1"/>
  <c r="C3060"/>
  <c r="D3060" s="1"/>
  <c r="C3059"/>
  <c r="D3059" s="1"/>
  <c r="C3058"/>
  <c r="D3058" s="1"/>
  <c r="C3057"/>
  <c r="D3057" s="1"/>
  <c r="C3056"/>
  <c r="D3056" s="1"/>
  <c r="C3055"/>
  <c r="D3055" s="1"/>
  <c r="C3054"/>
  <c r="D3054" s="1"/>
  <c r="C3053"/>
  <c r="D3053" s="1"/>
  <c r="C3052"/>
  <c r="D3052" s="1"/>
  <c r="C3051"/>
  <c r="D3051" s="1"/>
  <c r="C3050"/>
  <c r="D3050" s="1"/>
  <c r="C3049"/>
  <c r="D3049" s="1"/>
  <c r="C3048"/>
  <c r="D3048" s="1"/>
  <c r="C3047"/>
  <c r="D3047" s="1"/>
  <c r="C3046"/>
  <c r="D3046" s="1"/>
  <c r="C3045"/>
  <c r="D3045" s="1"/>
  <c r="C3044"/>
  <c r="D3044" s="1"/>
  <c r="C3043"/>
  <c r="D3043" s="1"/>
  <c r="C3042"/>
  <c r="D3042" s="1"/>
  <c r="C3041"/>
  <c r="D3041" s="1"/>
  <c r="C3040"/>
  <c r="D3040" s="1"/>
  <c r="C3039"/>
  <c r="D3039" s="1"/>
  <c r="C3038"/>
  <c r="D3038" s="1"/>
  <c r="C3037"/>
  <c r="D3037" s="1"/>
  <c r="C3036"/>
  <c r="D3036" s="1"/>
  <c r="C3035"/>
  <c r="D3035" s="1"/>
  <c r="C3034"/>
  <c r="D3034" s="1"/>
  <c r="C3033"/>
  <c r="D3033" s="1"/>
  <c r="C3032"/>
  <c r="D3032" s="1"/>
  <c r="C3031"/>
  <c r="D3031" s="1"/>
  <c r="C3030"/>
  <c r="D3030" s="1"/>
  <c r="C3029"/>
  <c r="D3029" s="1"/>
  <c r="C3028"/>
  <c r="D3028" s="1"/>
  <c r="C3027"/>
  <c r="D3027" s="1"/>
  <c r="C3026"/>
  <c r="D3026" s="1"/>
  <c r="C3025"/>
  <c r="D3025" s="1"/>
  <c r="C3024"/>
  <c r="D3024" s="1"/>
  <c r="C3023"/>
  <c r="D3023" s="1"/>
  <c r="C3022"/>
  <c r="D3022" s="1"/>
  <c r="C3021"/>
  <c r="D3021" s="1"/>
  <c r="C3020"/>
  <c r="D3020" s="1"/>
  <c r="C3019"/>
  <c r="D3019" s="1"/>
  <c r="C3018"/>
  <c r="D3018" s="1"/>
  <c r="C3017"/>
  <c r="D3017" s="1"/>
  <c r="C3016"/>
  <c r="D3016" s="1"/>
  <c r="C3015"/>
  <c r="D3015" s="1"/>
  <c r="C3014"/>
  <c r="D3014" s="1"/>
  <c r="C3013"/>
  <c r="D3013" s="1"/>
  <c r="C3012"/>
  <c r="D3012" s="1"/>
  <c r="C3011"/>
  <c r="D3011" s="1"/>
  <c r="C3010"/>
  <c r="D3010" s="1"/>
  <c r="C3009"/>
  <c r="D3009" s="1"/>
  <c r="C3008"/>
  <c r="D3008" s="1"/>
  <c r="C3007"/>
  <c r="D3007" s="1"/>
  <c r="C3006"/>
  <c r="D3006" s="1"/>
  <c r="C3005"/>
  <c r="D3005" s="1"/>
  <c r="C3004"/>
  <c r="D3004" s="1"/>
  <c r="C3003"/>
  <c r="D3003" s="1"/>
  <c r="C3002"/>
  <c r="D3002" s="1"/>
  <c r="C3001"/>
  <c r="D3001" s="1"/>
  <c r="C3000"/>
  <c r="D3000" s="1"/>
  <c r="C2999"/>
  <c r="D2999" s="1"/>
  <c r="C2998"/>
  <c r="D2998" s="1"/>
  <c r="C2997"/>
  <c r="D2997" s="1"/>
  <c r="C2996"/>
  <c r="D2996" s="1"/>
  <c r="C2995"/>
  <c r="D2995" s="1"/>
  <c r="C2994"/>
  <c r="D2994" s="1"/>
  <c r="C2993"/>
  <c r="D2993" s="1"/>
  <c r="C2992"/>
  <c r="D2992" s="1"/>
  <c r="C2991"/>
  <c r="D2991" s="1"/>
  <c r="C2990"/>
  <c r="D2990" s="1"/>
  <c r="C2989"/>
  <c r="D2989" s="1"/>
  <c r="C2988"/>
  <c r="D2988" s="1"/>
  <c r="C2987"/>
  <c r="D2987" s="1"/>
  <c r="C2986"/>
  <c r="D2986" s="1"/>
  <c r="C2985"/>
  <c r="D2985" s="1"/>
  <c r="C2984"/>
  <c r="D2984" s="1"/>
  <c r="C2983"/>
  <c r="D2983" s="1"/>
  <c r="C2982"/>
  <c r="D2982" s="1"/>
  <c r="C2981"/>
  <c r="D2981" s="1"/>
  <c r="C2980"/>
  <c r="D2980" s="1"/>
  <c r="C2979"/>
  <c r="D2979" s="1"/>
  <c r="C2978"/>
  <c r="D2978" s="1"/>
  <c r="C2977"/>
  <c r="D2977" s="1"/>
  <c r="C2976"/>
  <c r="D2976" s="1"/>
  <c r="C2975"/>
  <c r="D2975" s="1"/>
  <c r="C2974"/>
  <c r="D2974" s="1"/>
  <c r="C2973"/>
  <c r="D2973" s="1"/>
  <c r="C2972"/>
  <c r="D2972" s="1"/>
  <c r="C2971"/>
  <c r="D2971" s="1"/>
  <c r="C2970"/>
  <c r="D2970" s="1"/>
  <c r="C2969"/>
  <c r="D2969" s="1"/>
  <c r="C2968"/>
  <c r="D2968" s="1"/>
  <c r="C2967"/>
  <c r="D2967" s="1"/>
  <c r="C2966"/>
  <c r="D2966" s="1"/>
  <c r="C2965"/>
  <c r="D2965" s="1"/>
  <c r="C2964"/>
  <c r="D2964" s="1"/>
  <c r="C2963"/>
  <c r="D2963" s="1"/>
  <c r="C2962"/>
  <c r="D2962" s="1"/>
  <c r="C2961"/>
  <c r="D2961" s="1"/>
  <c r="C2960"/>
  <c r="D2960" s="1"/>
  <c r="C2959"/>
  <c r="D2959" s="1"/>
  <c r="C2958"/>
  <c r="D2958" s="1"/>
  <c r="C2957"/>
  <c r="D2957" s="1"/>
  <c r="C2956"/>
  <c r="D2956" s="1"/>
  <c r="C2955"/>
  <c r="D2955" s="1"/>
  <c r="C2954"/>
  <c r="D2954" s="1"/>
  <c r="C2953"/>
  <c r="D2953" s="1"/>
  <c r="C2952"/>
  <c r="D2952" s="1"/>
  <c r="C2951"/>
  <c r="D2951" s="1"/>
  <c r="C2950"/>
  <c r="D2950" s="1"/>
  <c r="C2949"/>
  <c r="D2949" s="1"/>
  <c r="C2948"/>
  <c r="D2948" s="1"/>
  <c r="C2947"/>
  <c r="D2947" s="1"/>
  <c r="C2946"/>
  <c r="D2946" s="1"/>
  <c r="C2945"/>
  <c r="D2945" s="1"/>
  <c r="C2944"/>
  <c r="D2944" s="1"/>
  <c r="C2943"/>
  <c r="D2943" s="1"/>
  <c r="C2942"/>
  <c r="D2942" s="1"/>
  <c r="C2941"/>
  <c r="D2941" s="1"/>
  <c r="C2940"/>
  <c r="D2940" s="1"/>
  <c r="C2939"/>
  <c r="D2939" s="1"/>
  <c r="C2938"/>
  <c r="D2938" s="1"/>
  <c r="C2937"/>
  <c r="D2937" s="1"/>
  <c r="C2936"/>
  <c r="D2936" s="1"/>
  <c r="C2935"/>
  <c r="D2935" s="1"/>
  <c r="C2934"/>
  <c r="D2934" s="1"/>
  <c r="C2933"/>
  <c r="D2933" s="1"/>
  <c r="C2932"/>
  <c r="D2932" s="1"/>
  <c r="C2931"/>
  <c r="D2931" s="1"/>
  <c r="C2930"/>
  <c r="D2930" s="1"/>
  <c r="C2929"/>
  <c r="D2929" s="1"/>
  <c r="C2928"/>
  <c r="D2928" s="1"/>
  <c r="C2927"/>
  <c r="D2927" s="1"/>
  <c r="C2926"/>
  <c r="D2926" s="1"/>
  <c r="C2925"/>
  <c r="D2925" s="1"/>
  <c r="C2924"/>
  <c r="D2924" s="1"/>
  <c r="C2923"/>
  <c r="D2923" s="1"/>
  <c r="C2922"/>
  <c r="D2922" s="1"/>
  <c r="C2921"/>
  <c r="D2921" s="1"/>
  <c r="C2920"/>
  <c r="D2920" s="1"/>
  <c r="C2919"/>
  <c r="D2919" s="1"/>
  <c r="C2918"/>
  <c r="D2918" s="1"/>
  <c r="C2917"/>
  <c r="D2917" s="1"/>
  <c r="C2916"/>
  <c r="D2916" s="1"/>
  <c r="C2915"/>
  <c r="D2915" s="1"/>
  <c r="C2914"/>
  <c r="D2914" s="1"/>
  <c r="C2913"/>
  <c r="D2913" s="1"/>
  <c r="C2912"/>
  <c r="D2912" s="1"/>
  <c r="C2911"/>
  <c r="D2911" s="1"/>
  <c r="C2910"/>
  <c r="D2910" s="1"/>
  <c r="C2909"/>
  <c r="D2909" s="1"/>
  <c r="C2908"/>
  <c r="D2908" s="1"/>
  <c r="C2907"/>
  <c r="D2907" s="1"/>
  <c r="C2906"/>
  <c r="D2906" s="1"/>
  <c r="C2905"/>
  <c r="D2905" s="1"/>
  <c r="C2904"/>
  <c r="D2904" s="1"/>
  <c r="C2903"/>
  <c r="D2903" s="1"/>
  <c r="C2902"/>
  <c r="D2902" s="1"/>
  <c r="C2901"/>
  <c r="D2901" s="1"/>
  <c r="C2900"/>
  <c r="D2900" s="1"/>
  <c r="C2899"/>
  <c r="D2899" s="1"/>
  <c r="C2898"/>
  <c r="D2898" s="1"/>
  <c r="C2897"/>
  <c r="D2897" s="1"/>
  <c r="C2896"/>
  <c r="D2896" s="1"/>
  <c r="C2895"/>
  <c r="D2895" s="1"/>
  <c r="C2894"/>
  <c r="D2894" s="1"/>
  <c r="C2893"/>
  <c r="D2893" s="1"/>
  <c r="C2892"/>
  <c r="D2892" s="1"/>
  <c r="C2891"/>
  <c r="D2891" s="1"/>
  <c r="C2890"/>
  <c r="D2890" s="1"/>
  <c r="C2889"/>
  <c r="D2889" s="1"/>
  <c r="C2888"/>
  <c r="D2888" s="1"/>
  <c r="C2887"/>
  <c r="D2887" s="1"/>
  <c r="C2886"/>
  <c r="D2886" s="1"/>
  <c r="C2885"/>
  <c r="D2885" s="1"/>
  <c r="C2884"/>
  <c r="D2884" s="1"/>
  <c r="C2883"/>
  <c r="D2883" s="1"/>
  <c r="C2882"/>
  <c r="D2882" s="1"/>
  <c r="C2881"/>
  <c r="D2881" s="1"/>
  <c r="C2880"/>
  <c r="D2880" s="1"/>
  <c r="C2879"/>
  <c r="D2879" s="1"/>
  <c r="C2878"/>
  <c r="D2878" s="1"/>
  <c r="C2877"/>
  <c r="D2877" s="1"/>
  <c r="C2876"/>
  <c r="D2876" s="1"/>
  <c r="C2875"/>
  <c r="D2875" s="1"/>
  <c r="C2874"/>
  <c r="D2874" s="1"/>
  <c r="C2873"/>
  <c r="D2873" s="1"/>
  <c r="C2872"/>
  <c r="D2872" s="1"/>
  <c r="C2871"/>
  <c r="D2871" s="1"/>
  <c r="C2870"/>
  <c r="D2870" s="1"/>
  <c r="C2869"/>
  <c r="D2869" s="1"/>
  <c r="C2868"/>
  <c r="D2868" s="1"/>
  <c r="C2867"/>
  <c r="D2867" s="1"/>
  <c r="C2866"/>
  <c r="D2866" s="1"/>
  <c r="C2865"/>
  <c r="D2865" s="1"/>
  <c r="C2864"/>
  <c r="D2864" s="1"/>
  <c r="C2863"/>
  <c r="D2863" s="1"/>
  <c r="C2862"/>
  <c r="D2862" s="1"/>
  <c r="C2861"/>
  <c r="D2861" s="1"/>
  <c r="C2860"/>
  <c r="D2860" s="1"/>
  <c r="C2859"/>
  <c r="D2859" s="1"/>
  <c r="C2858"/>
  <c r="D2858" s="1"/>
  <c r="C2857"/>
  <c r="D2857" s="1"/>
  <c r="C2856"/>
  <c r="D2856" s="1"/>
  <c r="C2855"/>
  <c r="D2855" s="1"/>
  <c r="C2854"/>
  <c r="D2854" s="1"/>
  <c r="C2853"/>
  <c r="D2853" s="1"/>
  <c r="C2852"/>
  <c r="D2852" s="1"/>
  <c r="C2851"/>
  <c r="D2851" s="1"/>
  <c r="C2850"/>
  <c r="D2850" s="1"/>
  <c r="C2849"/>
  <c r="D2849" s="1"/>
  <c r="C2848"/>
  <c r="D2848" s="1"/>
  <c r="C2847"/>
  <c r="D2847" s="1"/>
  <c r="C2846"/>
  <c r="D2846" s="1"/>
  <c r="C2845"/>
  <c r="D2845" s="1"/>
  <c r="C2844"/>
  <c r="D2844" s="1"/>
  <c r="C2843"/>
  <c r="D2843" s="1"/>
  <c r="C2842"/>
  <c r="D2842" s="1"/>
  <c r="C2841"/>
  <c r="D2841" s="1"/>
  <c r="C2840"/>
  <c r="D2840" s="1"/>
  <c r="C2839"/>
  <c r="D2839" s="1"/>
  <c r="C2838"/>
  <c r="D2838" s="1"/>
  <c r="C2837"/>
  <c r="D2837" s="1"/>
  <c r="C2836"/>
  <c r="D2836" s="1"/>
  <c r="C2835"/>
  <c r="D2835" s="1"/>
  <c r="C2834"/>
  <c r="D2834" s="1"/>
  <c r="C2833"/>
  <c r="D2833" s="1"/>
  <c r="C2832"/>
  <c r="D2832" s="1"/>
  <c r="C2831"/>
  <c r="D2831" s="1"/>
  <c r="C2830"/>
  <c r="D2830" s="1"/>
  <c r="C2829"/>
  <c r="D2829" s="1"/>
  <c r="C2828"/>
  <c r="D2828" s="1"/>
  <c r="C2827"/>
  <c r="D2827" s="1"/>
  <c r="C2826"/>
  <c r="D2826" s="1"/>
  <c r="C2825"/>
  <c r="D2825" s="1"/>
  <c r="C2824"/>
  <c r="D2824" s="1"/>
  <c r="C2823"/>
  <c r="D2823" s="1"/>
  <c r="C2822"/>
  <c r="D2822" s="1"/>
  <c r="C2821"/>
  <c r="D2821" s="1"/>
  <c r="C2820"/>
  <c r="D2820" s="1"/>
  <c r="C2819"/>
  <c r="D2819" s="1"/>
  <c r="C2818"/>
  <c r="D2818" s="1"/>
  <c r="C2817"/>
  <c r="D2817" s="1"/>
  <c r="C2816"/>
  <c r="D2816" s="1"/>
  <c r="C2815"/>
  <c r="D2815" s="1"/>
  <c r="C2814"/>
  <c r="D2814" s="1"/>
  <c r="C2813"/>
  <c r="D2813" s="1"/>
  <c r="C2812"/>
  <c r="D2812" s="1"/>
  <c r="C2811"/>
  <c r="D2811" s="1"/>
  <c r="C2810"/>
  <c r="D2810" s="1"/>
  <c r="C2809"/>
  <c r="D2809" s="1"/>
  <c r="C2808"/>
  <c r="D2808" s="1"/>
  <c r="C2807"/>
  <c r="D2807" s="1"/>
  <c r="C2806"/>
  <c r="D2806" s="1"/>
  <c r="C2805"/>
  <c r="D2805" s="1"/>
  <c r="C2804"/>
  <c r="D2804" s="1"/>
  <c r="C2803"/>
  <c r="D2803" s="1"/>
  <c r="C2802"/>
  <c r="D2802" s="1"/>
  <c r="C2801"/>
  <c r="D2801" s="1"/>
  <c r="C2800"/>
  <c r="D2800" s="1"/>
  <c r="C2799"/>
  <c r="D2799" s="1"/>
  <c r="C2798"/>
  <c r="D2798" s="1"/>
  <c r="C2797"/>
  <c r="D2797" s="1"/>
  <c r="C2796"/>
  <c r="D2796" s="1"/>
  <c r="C2795"/>
  <c r="D2795" s="1"/>
  <c r="C2794"/>
  <c r="D2794" s="1"/>
  <c r="C2793"/>
  <c r="D2793" s="1"/>
  <c r="C2792"/>
  <c r="D2792" s="1"/>
  <c r="C2791"/>
  <c r="D2791" s="1"/>
  <c r="C2790"/>
  <c r="D2790" s="1"/>
  <c r="C2789"/>
  <c r="D2789" s="1"/>
  <c r="C2788"/>
  <c r="D2788" s="1"/>
  <c r="C2787"/>
  <c r="D2787" s="1"/>
  <c r="C2786"/>
  <c r="D2786" s="1"/>
  <c r="C2785"/>
  <c r="D2785" s="1"/>
  <c r="C2784"/>
  <c r="D2784" s="1"/>
  <c r="C2783"/>
  <c r="D2783" s="1"/>
  <c r="C2782"/>
  <c r="D2782" s="1"/>
  <c r="C2781"/>
  <c r="D2781" s="1"/>
  <c r="C2780"/>
  <c r="D2780" s="1"/>
  <c r="C2779"/>
  <c r="D2779" s="1"/>
  <c r="C2778"/>
  <c r="D2778" s="1"/>
  <c r="C2777"/>
  <c r="D2777" s="1"/>
  <c r="C2776"/>
  <c r="D2776" s="1"/>
  <c r="C2775"/>
  <c r="D2775" s="1"/>
  <c r="C2774"/>
  <c r="D2774" s="1"/>
  <c r="C2773"/>
  <c r="D2773" s="1"/>
  <c r="C2772"/>
  <c r="D2772" s="1"/>
  <c r="C2771"/>
  <c r="D2771" s="1"/>
  <c r="C2770"/>
  <c r="D2770" s="1"/>
  <c r="C2769"/>
  <c r="D2769" s="1"/>
  <c r="C2768"/>
  <c r="D2768" s="1"/>
  <c r="C2767"/>
  <c r="D2767" s="1"/>
  <c r="C2766"/>
  <c r="D2766" s="1"/>
  <c r="C2765"/>
  <c r="D2765" s="1"/>
  <c r="C2764"/>
  <c r="D2764" s="1"/>
  <c r="C2763"/>
  <c r="D2763" s="1"/>
  <c r="C2762"/>
  <c r="D2762" s="1"/>
  <c r="C2761"/>
  <c r="D2761" s="1"/>
  <c r="C2760"/>
  <c r="D2760" s="1"/>
  <c r="C2759"/>
  <c r="D2759" s="1"/>
  <c r="C2758"/>
  <c r="D2758" s="1"/>
  <c r="C2757"/>
  <c r="D2757" s="1"/>
  <c r="C2756"/>
  <c r="D2756" s="1"/>
  <c r="C2755"/>
  <c r="D2755" s="1"/>
  <c r="C2754"/>
  <c r="D2754" s="1"/>
  <c r="C2753"/>
  <c r="D2753" s="1"/>
  <c r="C2752"/>
  <c r="D2752" s="1"/>
  <c r="C2751"/>
  <c r="D2751" s="1"/>
  <c r="C2750"/>
  <c r="D2750" s="1"/>
  <c r="C2749"/>
  <c r="D2749" s="1"/>
  <c r="C2748"/>
  <c r="D2748" s="1"/>
  <c r="C2747"/>
  <c r="D2747" s="1"/>
  <c r="C2746"/>
  <c r="D2746" s="1"/>
  <c r="C2745"/>
  <c r="D2745" s="1"/>
  <c r="C2744"/>
  <c r="D2744" s="1"/>
  <c r="C2743"/>
  <c r="D2743" s="1"/>
  <c r="C2742"/>
  <c r="D2742" s="1"/>
  <c r="C2741"/>
  <c r="D2741" s="1"/>
  <c r="C2740"/>
  <c r="D2740" s="1"/>
  <c r="C2739"/>
  <c r="D2739" s="1"/>
  <c r="C2738"/>
  <c r="D2738" s="1"/>
  <c r="C2737"/>
  <c r="D2737" s="1"/>
  <c r="C2736"/>
  <c r="D2736" s="1"/>
  <c r="C2735"/>
  <c r="D2735" s="1"/>
  <c r="C2734"/>
  <c r="D2734" s="1"/>
  <c r="C2733"/>
  <c r="D2733" s="1"/>
  <c r="C2732"/>
  <c r="D2732" s="1"/>
  <c r="C2731"/>
  <c r="D2731" s="1"/>
  <c r="C2730"/>
  <c r="D2730" s="1"/>
  <c r="C2729"/>
  <c r="D2729" s="1"/>
  <c r="C2728"/>
  <c r="D2728" s="1"/>
  <c r="C2727"/>
  <c r="D2727" s="1"/>
  <c r="C2726"/>
  <c r="D2726" s="1"/>
  <c r="C2725"/>
  <c r="D2725" s="1"/>
  <c r="C2724"/>
  <c r="D2724" s="1"/>
  <c r="C2723"/>
  <c r="D2723" s="1"/>
  <c r="C2722"/>
  <c r="D2722" s="1"/>
  <c r="C2721"/>
  <c r="D2721" s="1"/>
  <c r="C2720"/>
  <c r="D2720" s="1"/>
  <c r="C2719"/>
  <c r="D2719" s="1"/>
  <c r="C2718"/>
  <c r="D2718" s="1"/>
  <c r="C2717"/>
  <c r="D2717" s="1"/>
  <c r="C2716"/>
  <c r="D2716" s="1"/>
  <c r="C2715"/>
  <c r="D2715" s="1"/>
  <c r="C2714"/>
  <c r="D2714" s="1"/>
  <c r="C2713"/>
  <c r="D2713" s="1"/>
  <c r="C2712"/>
  <c r="D2712" s="1"/>
  <c r="C2711"/>
  <c r="D2711" s="1"/>
  <c r="C2710"/>
  <c r="D2710" s="1"/>
  <c r="C2709"/>
  <c r="D2709" s="1"/>
  <c r="C2708"/>
  <c r="D2708" s="1"/>
  <c r="C2707"/>
  <c r="D2707" s="1"/>
  <c r="C2706"/>
  <c r="D2706" s="1"/>
  <c r="C2705"/>
  <c r="D2705" s="1"/>
  <c r="C2704"/>
  <c r="D2704" s="1"/>
  <c r="C2703"/>
  <c r="D2703" s="1"/>
  <c r="C2702"/>
  <c r="D2702" s="1"/>
  <c r="C2701"/>
  <c r="D2701" s="1"/>
  <c r="C2700"/>
  <c r="D2700" s="1"/>
  <c r="C2699"/>
  <c r="D2699" s="1"/>
  <c r="C2698"/>
  <c r="D2698" s="1"/>
  <c r="C2697"/>
  <c r="D2697" s="1"/>
  <c r="C2696"/>
  <c r="D2696" s="1"/>
  <c r="C2695"/>
  <c r="D2695" s="1"/>
  <c r="C2694"/>
  <c r="D2694" s="1"/>
  <c r="C2693"/>
  <c r="D2693" s="1"/>
  <c r="C2692"/>
  <c r="D2692" s="1"/>
  <c r="C2691"/>
  <c r="D2691" s="1"/>
  <c r="C2690"/>
  <c r="D2690" s="1"/>
  <c r="C2689"/>
  <c r="D2689" s="1"/>
  <c r="C2688"/>
  <c r="D2688" s="1"/>
  <c r="C2687"/>
  <c r="D2687" s="1"/>
  <c r="C2686"/>
  <c r="D2686" s="1"/>
  <c r="C2685"/>
  <c r="D2685" s="1"/>
  <c r="C2684"/>
  <c r="D2684" s="1"/>
  <c r="C2683"/>
  <c r="D2683" s="1"/>
  <c r="C2682"/>
  <c r="D2682" s="1"/>
  <c r="C2681"/>
  <c r="D2681" s="1"/>
  <c r="C2680"/>
  <c r="D2680" s="1"/>
  <c r="C2679"/>
  <c r="D2679" s="1"/>
  <c r="C2678"/>
  <c r="D2678" s="1"/>
  <c r="C2677"/>
  <c r="D2677" s="1"/>
  <c r="C2676"/>
  <c r="D2676" s="1"/>
  <c r="C2675"/>
  <c r="D2675" s="1"/>
  <c r="C2674"/>
  <c r="D2674" s="1"/>
  <c r="C2673"/>
  <c r="D2673" s="1"/>
  <c r="C2672"/>
  <c r="D2672" s="1"/>
  <c r="C2671"/>
  <c r="D2671" s="1"/>
  <c r="C2670"/>
  <c r="D2670" s="1"/>
  <c r="C2669"/>
  <c r="D2669" s="1"/>
  <c r="C2668"/>
  <c r="D2668" s="1"/>
  <c r="C2667"/>
  <c r="D2667" s="1"/>
  <c r="C2666"/>
  <c r="D2666" s="1"/>
  <c r="C2665"/>
  <c r="D2665" s="1"/>
  <c r="C2664"/>
  <c r="D2664" s="1"/>
  <c r="C2663"/>
  <c r="D2663" s="1"/>
  <c r="C2662"/>
  <c r="D2662" s="1"/>
  <c r="C2661"/>
  <c r="D2661" s="1"/>
  <c r="C2660"/>
  <c r="D2660" s="1"/>
  <c r="C2659"/>
  <c r="D2659" s="1"/>
  <c r="C2658"/>
  <c r="D2658" s="1"/>
  <c r="C2657"/>
  <c r="D2657" s="1"/>
  <c r="C2656"/>
  <c r="D2656" s="1"/>
  <c r="C2655"/>
  <c r="D2655" s="1"/>
  <c r="C2654"/>
  <c r="D2654" s="1"/>
  <c r="C2653"/>
  <c r="D2653" s="1"/>
  <c r="C2652"/>
  <c r="D2652" s="1"/>
  <c r="C2651"/>
  <c r="D2651" s="1"/>
  <c r="C2650"/>
  <c r="D2650" s="1"/>
  <c r="C2649"/>
  <c r="D2649" s="1"/>
  <c r="C2648"/>
  <c r="D2648" s="1"/>
  <c r="C2647"/>
  <c r="D2647" s="1"/>
  <c r="C2646"/>
  <c r="D2646" s="1"/>
  <c r="C2645"/>
  <c r="D2645" s="1"/>
  <c r="C2644"/>
  <c r="D2644" s="1"/>
  <c r="C2643"/>
  <c r="D2643" s="1"/>
  <c r="C2642"/>
  <c r="D2642" s="1"/>
  <c r="C2641"/>
  <c r="D2641" s="1"/>
  <c r="C2640"/>
  <c r="D2640" s="1"/>
  <c r="C2639"/>
  <c r="D2639" s="1"/>
  <c r="C2638"/>
  <c r="D2638" s="1"/>
  <c r="C2637"/>
  <c r="D2637" s="1"/>
  <c r="C2636"/>
  <c r="D2636" s="1"/>
  <c r="C2635"/>
  <c r="D2635" s="1"/>
  <c r="C2634"/>
  <c r="D2634" s="1"/>
  <c r="C2633"/>
  <c r="D2633" s="1"/>
  <c r="C2632"/>
  <c r="D2632" s="1"/>
  <c r="C2631"/>
  <c r="D2631" s="1"/>
  <c r="C2630"/>
  <c r="D2630" s="1"/>
  <c r="C2629"/>
  <c r="D2629" s="1"/>
  <c r="C2628"/>
  <c r="D2628" s="1"/>
  <c r="C2627"/>
  <c r="D2627" s="1"/>
  <c r="C2626"/>
  <c r="D2626" s="1"/>
  <c r="C2625"/>
  <c r="D2625" s="1"/>
  <c r="C2624"/>
  <c r="D2624" s="1"/>
  <c r="C2623"/>
  <c r="D2623" s="1"/>
  <c r="C2622"/>
  <c r="D2622" s="1"/>
  <c r="C2621"/>
  <c r="D2621" s="1"/>
  <c r="C2620"/>
  <c r="D2620" s="1"/>
  <c r="C2619"/>
  <c r="D2619" s="1"/>
  <c r="C2618"/>
  <c r="D2618" s="1"/>
  <c r="C2617"/>
  <c r="D2617" s="1"/>
  <c r="C2616"/>
  <c r="D2616" s="1"/>
  <c r="C2615"/>
  <c r="D2615" s="1"/>
  <c r="C2614"/>
  <c r="D2614" s="1"/>
  <c r="C2613"/>
  <c r="D2613" s="1"/>
  <c r="C2612"/>
  <c r="D2612" s="1"/>
  <c r="C2611"/>
  <c r="D2611" s="1"/>
  <c r="C2610"/>
  <c r="D2610" s="1"/>
  <c r="C2609"/>
  <c r="D2609" s="1"/>
  <c r="C2608"/>
  <c r="D2608" s="1"/>
  <c r="C2607"/>
  <c r="D2607" s="1"/>
  <c r="C2606"/>
  <c r="D2606" s="1"/>
  <c r="C2605"/>
  <c r="D2605" s="1"/>
  <c r="C2604"/>
  <c r="D2604" s="1"/>
  <c r="C2603"/>
  <c r="D2603" s="1"/>
  <c r="C2602"/>
  <c r="D2602" s="1"/>
  <c r="C2601"/>
  <c r="D2601" s="1"/>
  <c r="C2600"/>
  <c r="D2600" s="1"/>
  <c r="C2599"/>
  <c r="D2599" s="1"/>
  <c r="C2598"/>
  <c r="D2598" s="1"/>
  <c r="C2597"/>
  <c r="D2597" s="1"/>
  <c r="C2596"/>
  <c r="D2596" s="1"/>
  <c r="C2595"/>
  <c r="D2595" s="1"/>
  <c r="C2594"/>
  <c r="D2594" s="1"/>
  <c r="C2593"/>
  <c r="D2593" s="1"/>
  <c r="C2592"/>
  <c r="D2592" s="1"/>
  <c r="C2591"/>
  <c r="D2591" s="1"/>
  <c r="C2590"/>
  <c r="D2590" s="1"/>
  <c r="C2589"/>
  <c r="D2589" s="1"/>
  <c r="C2588"/>
  <c r="D2588" s="1"/>
  <c r="C2587"/>
  <c r="D2587" s="1"/>
  <c r="C2586"/>
  <c r="D2586" s="1"/>
  <c r="C2585"/>
  <c r="D2585" s="1"/>
  <c r="C2584"/>
  <c r="D2584" s="1"/>
  <c r="C2583"/>
  <c r="D2583" s="1"/>
  <c r="C2582"/>
  <c r="D2582" s="1"/>
  <c r="C2581"/>
  <c r="D2581" s="1"/>
  <c r="C2580"/>
  <c r="D2580" s="1"/>
  <c r="C2579"/>
  <c r="D2579" s="1"/>
  <c r="C2578"/>
  <c r="D2578" s="1"/>
  <c r="C2577"/>
  <c r="D2577" s="1"/>
  <c r="C2576"/>
  <c r="D2576" s="1"/>
  <c r="C2575"/>
  <c r="D2575" s="1"/>
  <c r="C2574"/>
  <c r="D2574" s="1"/>
  <c r="C2573"/>
  <c r="D2573" s="1"/>
  <c r="C2572"/>
  <c r="D2572" s="1"/>
  <c r="C2571"/>
  <c r="D2571" s="1"/>
  <c r="C2570"/>
  <c r="D2570" s="1"/>
  <c r="C2569"/>
  <c r="D2569" s="1"/>
  <c r="C2568"/>
  <c r="D2568" s="1"/>
  <c r="C2567"/>
  <c r="D2567" s="1"/>
  <c r="C2566"/>
  <c r="D2566" s="1"/>
  <c r="C2565"/>
  <c r="D2565" s="1"/>
  <c r="C2564"/>
  <c r="D2564" s="1"/>
  <c r="C2563"/>
  <c r="D2563" s="1"/>
  <c r="C2562"/>
  <c r="D2562" s="1"/>
  <c r="C2561"/>
  <c r="D2561" s="1"/>
  <c r="C2560"/>
  <c r="D2560" s="1"/>
  <c r="C2559"/>
  <c r="D2559" s="1"/>
  <c r="C2558"/>
  <c r="D2558" s="1"/>
  <c r="C2557"/>
  <c r="D2557" s="1"/>
  <c r="C2556"/>
  <c r="D2556" s="1"/>
  <c r="C2555"/>
  <c r="D2555" s="1"/>
  <c r="C2554"/>
  <c r="D2554" s="1"/>
  <c r="C2553"/>
  <c r="D2553" s="1"/>
  <c r="C2552"/>
  <c r="D2552" s="1"/>
  <c r="C2551"/>
  <c r="D2551" s="1"/>
  <c r="C2550"/>
  <c r="D2550" s="1"/>
  <c r="C2549"/>
  <c r="D2549" s="1"/>
  <c r="C2548"/>
  <c r="D2548" s="1"/>
  <c r="C2547"/>
  <c r="D2547" s="1"/>
  <c r="C2546"/>
  <c r="D2546" s="1"/>
  <c r="C2545"/>
  <c r="D2545" s="1"/>
  <c r="C2544"/>
  <c r="D2544" s="1"/>
  <c r="C2543"/>
  <c r="D2543" s="1"/>
  <c r="C2542"/>
  <c r="D2542" s="1"/>
  <c r="C2541"/>
  <c r="D2541" s="1"/>
  <c r="C2540"/>
  <c r="D2540" s="1"/>
  <c r="C2539"/>
  <c r="D2539" s="1"/>
  <c r="C2538"/>
  <c r="D2538" s="1"/>
  <c r="C2537"/>
  <c r="D2537" s="1"/>
  <c r="C2536"/>
  <c r="D2536" s="1"/>
  <c r="C2535"/>
  <c r="D2535" s="1"/>
  <c r="C2534"/>
  <c r="D2534" s="1"/>
  <c r="C2533"/>
  <c r="D2533" s="1"/>
  <c r="C2532"/>
  <c r="D2532" s="1"/>
  <c r="C2531"/>
  <c r="D2531" s="1"/>
  <c r="C2530"/>
  <c r="D2530" s="1"/>
  <c r="C2529"/>
  <c r="D2529" s="1"/>
  <c r="C2528"/>
  <c r="D2528" s="1"/>
  <c r="C2527"/>
  <c r="D2527" s="1"/>
  <c r="C2526"/>
  <c r="D2526" s="1"/>
  <c r="C2525"/>
  <c r="D2525" s="1"/>
  <c r="C2524"/>
  <c r="D2524" s="1"/>
  <c r="C2523"/>
  <c r="D2523" s="1"/>
  <c r="C2522"/>
  <c r="D2522" s="1"/>
  <c r="C2521"/>
  <c r="D2521" s="1"/>
  <c r="C2520"/>
  <c r="D2520" s="1"/>
  <c r="C2519"/>
  <c r="D2519" s="1"/>
  <c r="C2518"/>
  <c r="D2518" s="1"/>
  <c r="C2517"/>
  <c r="D2517" s="1"/>
  <c r="C2516"/>
  <c r="D2516" s="1"/>
  <c r="C2515"/>
  <c r="D2515" s="1"/>
  <c r="C2514"/>
  <c r="D2514" s="1"/>
  <c r="C2513"/>
  <c r="D2513" s="1"/>
  <c r="C2512"/>
  <c r="D2512" s="1"/>
  <c r="C2511"/>
  <c r="D2511" s="1"/>
  <c r="C2510"/>
  <c r="D2510" s="1"/>
  <c r="C2509"/>
  <c r="D2509" s="1"/>
  <c r="C2508"/>
  <c r="D2508" s="1"/>
  <c r="C2507"/>
  <c r="D2507" s="1"/>
  <c r="C2506"/>
  <c r="D2506" s="1"/>
  <c r="C2505"/>
  <c r="D2505" s="1"/>
  <c r="C2504"/>
  <c r="D2504" s="1"/>
  <c r="C2503"/>
  <c r="D2503" s="1"/>
  <c r="C2502"/>
  <c r="D2502" s="1"/>
  <c r="C2501"/>
  <c r="D2501" s="1"/>
  <c r="C2500"/>
  <c r="D2500" s="1"/>
  <c r="C2499"/>
  <c r="D2499" s="1"/>
  <c r="C2498"/>
  <c r="D2498" s="1"/>
  <c r="C2497"/>
  <c r="D2497" s="1"/>
  <c r="C2496"/>
  <c r="D2496" s="1"/>
  <c r="C2495"/>
  <c r="D2495" s="1"/>
  <c r="C2494"/>
  <c r="D2494" s="1"/>
  <c r="C2493"/>
  <c r="D2493" s="1"/>
  <c r="C2492"/>
  <c r="D2492" s="1"/>
  <c r="C2491"/>
  <c r="D2491" s="1"/>
  <c r="C2490"/>
  <c r="D2490" s="1"/>
  <c r="C2489"/>
  <c r="D2489" s="1"/>
  <c r="C2488"/>
  <c r="D2488" s="1"/>
  <c r="C2487"/>
  <c r="D2487" s="1"/>
  <c r="C2486"/>
  <c r="D2486" s="1"/>
  <c r="C2485"/>
  <c r="D2485" s="1"/>
  <c r="C2484"/>
  <c r="D2484" s="1"/>
  <c r="C2483"/>
  <c r="D2483" s="1"/>
  <c r="C2482"/>
  <c r="D2482" s="1"/>
  <c r="C2481"/>
  <c r="D2481" s="1"/>
  <c r="C2480"/>
  <c r="D2480" s="1"/>
  <c r="C2479"/>
  <c r="D2479" s="1"/>
  <c r="C2478"/>
  <c r="D2478" s="1"/>
  <c r="C2477"/>
  <c r="D2477" s="1"/>
  <c r="C2476"/>
  <c r="D2476" s="1"/>
  <c r="C2475"/>
  <c r="D2475" s="1"/>
  <c r="C2474"/>
  <c r="D2474" s="1"/>
  <c r="C2473"/>
  <c r="D2473" s="1"/>
  <c r="C2472"/>
  <c r="D2472" s="1"/>
  <c r="C2471"/>
  <c r="D2471" s="1"/>
  <c r="C2470"/>
  <c r="D2470" s="1"/>
  <c r="C2469"/>
  <c r="D2469" s="1"/>
  <c r="C2468"/>
  <c r="D2468" s="1"/>
  <c r="C2467"/>
  <c r="D2467" s="1"/>
  <c r="C2466"/>
  <c r="D2466" s="1"/>
  <c r="C2465"/>
  <c r="D2465" s="1"/>
  <c r="C2464"/>
  <c r="D2464" s="1"/>
  <c r="C2463"/>
  <c r="D2463" s="1"/>
  <c r="C2462"/>
  <c r="D2462" s="1"/>
  <c r="C2461"/>
  <c r="D2461" s="1"/>
  <c r="C2460"/>
  <c r="D2460" s="1"/>
  <c r="C2459"/>
  <c r="D2459" s="1"/>
  <c r="C2458"/>
  <c r="D2458" s="1"/>
  <c r="C2457"/>
  <c r="D2457" s="1"/>
  <c r="C2456"/>
  <c r="D2456" s="1"/>
  <c r="C2455"/>
  <c r="D2455" s="1"/>
  <c r="C2454"/>
  <c r="D2454" s="1"/>
  <c r="C2453"/>
  <c r="D2453" s="1"/>
  <c r="C2452"/>
  <c r="D2452" s="1"/>
  <c r="C2451"/>
  <c r="D2451" s="1"/>
  <c r="C2450"/>
  <c r="D2450" s="1"/>
  <c r="C2449"/>
  <c r="D2449" s="1"/>
  <c r="C2448"/>
  <c r="D2448" s="1"/>
  <c r="C2447"/>
  <c r="D2447" s="1"/>
  <c r="C2446"/>
  <c r="D2446" s="1"/>
  <c r="C2445"/>
  <c r="D2445" s="1"/>
  <c r="C2444"/>
  <c r="D2444" s="1"/>
  <c r="C2443"/>
  <c r="D2443" s="1"/>
  <c r="C2442"/>
  <c r="D2442" s="1"/>
  <c r="C2441"/>
  <c r="D2441" s="1"/>
  <c r="C2440"/>
  <c r="D2440" s="1"/>
  <c r="C2439"/>
  <c r="D2439" s="1"/>
  <c r="C2438"/>
  <c r="D2438" s="1"/>
  <c r="C2437"/>
  <c r="D2437" s="1"/>
  <c r="C2436"/>
  <c r="D2436" s="1"/>
  <c r="C2435"/>
  <c r="D2435" s="1"/>
  <c r="C2434"/>
  <c r="D2434" s="1"/>
  <c r="C2433"/>
  <c r="D2433" s="1"/>
  <c r="C2432"/>
  <c r="D2432" s="1"/>
  <c r="C2431"/>
  <c r="D2431" s="1"/>
  <c r="C2430"/>
  <c r="D2430" s="1"/>
  <c r="C2429"/>
  <c r="D2429" s="1"/>
  <c r="C2428"/>
  <c r="D2428" s="1"/>
  <c r="C2427"/>
  <c r="D2427" s="1"/>
  <c r="C2426"/>
  <c r="D2426" s="1"/>
  <c r="C2425"/>
  <c r="D2425" s="1"/>
  <c r="C2424"/>
  <c r="D2424" s="1"/>
  <c r="C2423"/>
  <c r="D2423" s="1"/>
  <c r="C2422"/>
  <c r="D2422" s="1"/>
  <c r="C2421"/>
  <c r="D2421" s="1"/>
  <c r="C2420"/>
  <c r="D2420" s="1"/>
  <c r="C2419"/>
  <c r="D2419" s="1"/>
  <c r="C2418"/>
  <c r="D2418" s="1"/>
  <c r="C2417"/>
  <c r="D2417" s="1"/>
  <c r="C2416"/>
  <c r="D2416" s="1"/>
  <c r="C2415"/>
  <c r="D2415" s="1"/>
  <c r="C2414"/>
  <c r="D2414" s="1"/>
  <c r="C2413"/>
  <c r="D2413" s="1"/>
  <c r="C2412"/>
  <c r="D2412" s="1"/>
  <c r="C2411"/>
  <c r="D2411" s="1"/>
  <c r="C2410"/>
  <c r="D2410" s="1"/>
  <c r="C2409"/>
  <c r="D2409" s="1"/>
  <c r="C2408"/>
  <c r="D2408" s="1"/>
  <c r="C2407"/>
  <c r="D2407" s="1"/>
  <c r="C2406"/>
  <c r="D2406" s="1"/>
  <c r="C2405"/>
  <c r="D2405" s="1"/>
  <c r="C2404"/>
  <c r="D2404" s="1"/>
  <c r="C2403"/>
  <c r="D2403" s="1"/>
  <c r="C2402"/>
  <c r="D2402" s="1"/>
  <c r="C2401"/>
  <c r="D2401" s="1"/>
  <c r="C2400"/>
  <c r="D2400" s="1"/>
  <c r="C2399"/>
  <c r="D2399" s="1"/>
  <c r="C2398"/>
  <c r="D2398" s="1"/>
  <c r="C2397"/>
  <c r="D2397" s="1"/>
  <c r="C2396"/>
  <c r="D2396" s="1"/>
  <c r="C2395"/>
  <c r="D2395" s="1"/>
  <c r="C2394"/>
  <c r="D2394" s="1"/>
  <c r="C2393"/>
  <c r="D2393" s="1"/>
  <c r="C2392"/>
  <c r="D2392" s="1"/>
  <c r="C2391"/>
  <c r="D2391" s="1"/>
  <c r="C2390"/>
  <c r="D2390" s="1"/>
  <c r="C2389"/>
  <c r="D2389" s="1"/>
  <c r="C2388"/>
  <c r="D2388" s="1"/>
  <c r="C2387"/>
  <c r="D2387" s="1"/>
  <c r="C2386"/>
  <c r="D2386" s="1"/>
  <c r="C2385"/>
  <c r="D2385" s="1"/>
  <c r="C2384"/>
  <c r="D2384" s="1"/>
  <c r="C2383"/>
  <c r="D2383" s="1"/>
  <c r="C2382"/>
  <c r="D2382" s="1"/>
  <c r="C2381"/>
  <c r="D2381" s="1"/>
  <c r="C2380"/>
  <c r="D2380" s="1"/>
  <c r="C2379"/>
  <c r="D2379" s="1"/>
  <c r="C2378"/>
  <c r="D2378" s="1"/>
  <c r="C2377"/>
  <c r="D2377" s="1"/>
  <c r="C2376"/>
  <c r="D2376" s="1"/>
  <c r="C2375"/>
  <c r="D2375" s="1"/>
  <c r="C2374"/>
  <c r="D2374" s="1"/>
  <c r="C2373"/>
  <c r="D2373" s="1"/>
  <c r="C2372"/>
  <c r="D2372" s="1"/>
  <c r="C2371"/>
  <c r="D2371" s="1"/>
  <c r="C2370"/>
  <c r="D2370" s="1"/>
  <c r="C2369"/>
  <c r="D2369" s="1"/>
  <c r="C2368"/>
  <c r="D2368" s="1"/>
  <c r="C2367"/>
  <c r="D2367" s="1"/>
  <c r="C2366"/>
  <c r="D2366" s="1"/>
  <c r="C2365"/>
  <c r="D2365" s="1"/>
  <c r="C2364"/>
  <c r="D2364" s="1"/>
  <c r="C2363"/>
  <c r="D2363" s="1"/>
  <c r="C2362"/>
  <c r="D2362" s="1"/>
  <c r="C2361"/>
  <c r="D2361" s="1"/>
  <c r="C2360"/>
  <c r="D2360" s="1"/>
  <c r="C2359"/>
  <c r="D2359" s="1"/>
  <c r="C2358"/>
  <c r="D2358" s="1"/>
  <c r="C2357"/>
  <c r="D2357" s="1"/>
  <c r="C2356"/>
  <c r="D2356" s="1"/>
  <c r="C2355"/>
  <c r="D2355" s="1"/>
  <c r="C2354"/>
  <c r="D2354" s="1"/>
  <c r="C2353"/>
  <c r="D2353" s="1"/>
  <c r="C2352"/>
  <c r="D2352" s="1"/>
  <c r="C2351"/>
  <c r="D2351" s="1"/>
  <c r="C2350"/>
  <c r="D2350" s="1"/>
  <c r="C2349"/>
  <c r="D2349" s="1"/>
  <c r="C2348"/>
  <c r="D2348" s="1"/>
  <c r="C2347"/>
  <c r="D2347" s="1"/>
  <c r="C2346"/>
  <c r="D2346" s="1"/>
  <c r="C2345"/>
  <c r="D2345" s="1"/>
  <c r="C2344"/>
  <c r="D2344" s="1"/>
  <c r="C2343"/>
  <c r="D2343" s="1"/>
  <c r="C2342"/>
  <c r="D2342" s="1"/>
  <c r="C2341"/>
  <c r="D2341" s="1"/>
  <c r="C2340"/>
  <c r="D2340" s="1"/>
  <c r="C2339"/>
  <c r="D2339" s="1"/>
  <c r="C2338"/>
  <c r="D2338" s="1"/>
  <c r="C2337"/>
  <c r="D2337" s="1"/>
  <c r="C2336"/>
  <c r="D2336" s="1"/>
  <c r="C2335"/>
  <c r="D2335" s="1"/>
  <c r="C2334"/>
  <c r="D2334" s="1"/>
  <c r="C2333"/>
  <c r="D2333" s="1"/>
  <c r="C2332"/>
  <c r="D2332" s="1"/>
  <c r="C2331"/>
  <c r="D2331" s="1"/>
  <c r="C2330"/>
  <c r="D2330" s="1"/>
  <c r="C2329"/>
  <c r="D2329" s="1"/>
  <c r="C2328"/>
  <c r="D2328" s="1"/>
  <c r="C2327"/>
  <c r="D2327" s="1"/>
  <c r="C2326"/>
  <c r="D2326" s="1"/>
  <c r="C2325"/>
  <c r="D2325" s="1"/>
  <c r="C2324"/>
  <c r="D2324" s="1"/>
  <c r="C2323"/>
  <c r="D2323" s="1"/>
  <c r="C2322"/>
  <c r="D2322" s="1"/>
  <c r="C2321"/>
  <c r="D2321" s="1"/>
  <c r="C2320"/>
  <c r="D2320" s="1"/>
  <c r="C2319"/>
  <c r="D2319" s="1"/>
  <c r="C2318"/>
  <c r="D2318" s="1"/>
  <c r="C2317"/>
  <c r="D2317" s="1"/>
  <c r="C2316"/>
  <c r="D2316" s="1"/>
  <c r="C2315"/>
  <c r="D2315" s="1"/>
  <c r="C2314"/>
  <c r="D2314" s="1"/>
  <c r="C2313"/>
  <c r="D2313" s="1"/>
  <c r="C2312"/>
  <c r="D2312" s="1"/>
  <c r="C2311"/>
  <c r="D2311" s="1"/>
  <c r="C2310"/>
  <c r="D2310" s="1"/>
  <c r="C2309"/>
  <c r="D2309" s="1"/>
  <c r="C2308"/>
  <c r="D2308" s="1"/>
  <c r="C2307"/>
  <c r="D2307" s="1"/>
  <c r="C2306"/>
  <c r="D2306" s="1"/>
  <c r="C2305"/>
  <c r="D2305" s="1"/>
  <c r="C2304"/>
  <c r="D2304" s="1"/>
  <c r="C2303"/>
  <c r="D2303" s="1"/>
  <c r="C2302"/>
  <c r="D2302" s="1"/>
  <c r="C2301"/>
  <c r="D2301" s="1"/>
  <c r="C2300"/>
  <c r="D2300" s="1"/>
  <c r="C2299"/>
  <c r="D2299" s="1"/>
  <c r="C2298"/>
  <c r="D2298" s="1"/>
  <c r="C2297"/>
  <c r="D2297" s="1"/>
  <c r="C2296"/>
  <c r="D2296" s="1"/>
  <c r="C2295"/>
  <c r="D2295" s="1"/>
  <c r="C2294"/>
  <c r="D2294" s="1"/>
  <c r="C2293"/>
  <c r="D2293" s="1"/>
  <c r="C2292"/>
  <c r="D2292" s="1"/>
  <c r="C2291"/>
  <c r="D2291" s="1"/>
  <c r="C2290"/>
  <c r="D2290" s="1"/>
  <c r="C2289"/>
  <c r="D2289" s="1"/>
  <c r="C2288"/>
  <c r="D2288" s="1"/>
  <c r="C2287"/>
  <c r="D2287" s="1"/>
  <c r="C2286"/>
  <c r="D2286" s="1"/>
  <c r="C2285"/>
  <c r="D2285" s="1"/>
  <c r="C2284"/>
  <c r="D2284" s="1"/>
  <c r="C2283"/>
  <c r="D2283" s="1"/>
  <c r="C2282"/>
  <c r="D2282" s="1"/>
  <c r="C2281"/>
  <c r="D2281" s="1"/>
  <c r="C2280"/>
  <c r="D2280" s="1"/>
  <c r="C2279"/>
  <c r="D2279" s="1"/>
  <c r="C2278"/>
  <c r="D2278" s="1"/>
  <c r="C2277"/>
  <c r="D2277" s="1"/>
  <c r="C2276"/>
  <c r="D2276" s="1"/>
  <c r="C2275"/>
  <c r="D2275" s="1"/>
  <c r="C2274"/>
  <c r="D2274" s="1"/>
  <c r="C2273"/>
  <c r="D2273" s="1"/>
  <c r="C2272"/>
  <c r="D2272" s="1"/>
  <c r="C2271"/>
  <c r="D2271" s="1"/>
  <c r="C2270"/>
  <c r="D2270" s="1"/>
  <c r="C2269"/>
  <c r="D2269" s="1"/>
  <c r="C2268"/>
  <c r="D2268" s="1"/>
  <c r="C2267"/>
  <c r="D2267" s="1"/>
  <c r="C2266"/>
  <c r="D2266" s="1"/>
  <c r="C2265"/>
  <c r="D2265" s="1"/>
  <c r="C2264"/>
  <c r="D2264" s="1"/>
  <c r="C2263"/>
  <c r="D2263" s="1"/>
  <c r="C2262"/>
  <c r="D2262" s="1"/>
  <c r="C2261"/>
  <c r="D2261" s="1"/>
  <c r="C2260"/>
  <c r="D2260" s="1"/>
  <c r="C2259"/>
  <c r="D2259" s="1"/>
  <c r="C2258"/>
  <c r="D2258" s="1"/>
  <c r="C2257"/>
  <c r="D2257" s="1"/>
  <c r="C2256"/>
  <c r="D2256" s="1"/>
  <c r="C2255"/>
  <c r="D2255" s="1"/>
  <c r="C2254"/>
  <c r="D2254" s="1"/>
  <c r="C2253"/>
  <c r="D2253" s="1"/>
  <c r="C2252"/>
  <c r="D2252" s="1"/>
  <c r="C2251"/>
  <c r="D2251" s="1"/>
  <c r="C2250"/>
  <c r="D2250" s="1"/>
  <c r="C2249"/>
  <c r="D2249" s="1"/>
  <c r="C2248"/>
  <c r="D2248" s="1"/>
  <c r="C2247"/>
  <c r="D2247" s="1"/>
  <c r="C2246"/>
  <c r="D2246" s="1"/>
  <c r="C2245"/>
  <c r="D2245" s="1"/>
  <c r="C2244"/>
  <c r="D2244" s="1"/>
  <c r="C2243"/>
  <c r="D2243" s="1"/>
  <c r="C2242"/>
  <c r="D2242" s="1"/>
  <c r="C2241"/>
  <c r="D2241" s="1"/>
  <c r="C2240"/>
  <c r="D2240" s="1"/>
  <c r="C2239"/>
  <c r="D2239" s="1"/>
  <c r="C2238"/>
  <c r="D2238" s="1"/>
  <c r="C2237"/>
  <c r="D2237" s="1"/>
  <c r="C2236"/>
  <c r="D2236" s="1"/>
  <c r="C2235"/>
  <c r="D2235" s="1"/>
  <c r="C2234"/>
  <c r="D2234" s="1"/>
  <c r="C2233"/>
  <c r="D2233" s="1"/>
  <c r="C2232"/>
  <c r="D2232" s="1"/>
  <c r="C2231"/>
  <c r="D2231" s="1"/>
  <c r="C2230"/>
  <c r="D2230" s="1"/>
  <c r="C2229"/>
  <c r="D2229" s="1"/>
  <c r="C2228"/>
  <c r="D2228" s="1"/>
  <c r="C2227"/>
  <c r="D2227" s="1"/>
  <c r="C2226"/>
  <c r="D2226" s="1"/>
  <c r="C2225"/>
  <c r="D2225" s="1"/>
  <c r="C2224"/>
  <c r="D2224" s="1"/>
  <c r="C2223"/>
  <c r="D2223" s="1"/>
  <c r="C2222"/>
  <c r="D2222" s="1"/>
  <c r="C2221"/>
  <c r="D2221" s="1"/>
  <c r="C2220"/>
  <c r="D2220" s="1"/>
  <c r="C2219"/>
  <c r="D2219" s="1"/>
  <c r="C2218"/>
  <c r="D2218" s="1"/>
  <c r="C2217"/>
  <c r="D2217" s="1"/>
  <c r="C2216"/>
  <c r="D2216" s="1"/>
  <c r="C2215"/>
  <c r="D2215" s="1"/>
  <c r="C2214"/>
  <c r="D2214" s="1"/>
  <c r="C2213"/>
  <c r="D2213" s="1"/>
  <c r="C2212"/>
  <c r="D2212" s="1"/>
  <c r="C2211"/>
  <c r="D2211" s="1"/>
  <c r="C2210"/>
  <c r="D2210" s="1"/>
  <c r="C2209"/>
  <c r="D2209" s="1"/>
  <c r="C2208"/>
  <c r="D2208" s="1"/>
  <c r="C2207"/>
  <c r="D2207" s="1"/>
  <c r="C2206"/>
  <c r="D2206" s="1"/>
  <c r="C2205"/>
  <c r="D2205" s="1"/>
  <c r="C2204"/>
  <c r="D2204" s="1"/>
  <c r="C2203"/>
  <c r="D2203" s="1"/>
  <c r="C2202"/>
  <c r="D2202" s="1"/>
  <c r="C2201"/>
  <c r="D2201" s="1"/>
  <c r="C2200"/>
  <c r="D2200" s="1"/>
  <c r="C2199"/>
  <c r="D2199" s="1"/>
  <c r="C2198"/>
  <c r="D2198" s="1"/>
  <c r="C2197"/>
  <c r="D2197" s="1"/>
  <c r="C2196"/>
  <c r="D2196" s="1"/>
  <c r="C2195"/>
  <c r="D2195" s="1"/>
  <c r="C2194"/>
  <c r="C2193"/>
  <c r="C2192"/>
  <c r="C2191"/>
  <c r="C2190"/>
  <c r="C2189"/>
  <c r="C2188"/>
  <c r="C2187"/>
  <c r="C2186"/>
  <c r="C2185"/>
  <c r="C2184"/>
  <c r="C2183"/>
  <c r="B2183" s="1"/>
  <c r="C2182"/>
  <c r="C2181"/>
  <c r="C2180"/>
  <c r="C2179"/>
  <c r="C2178"/>
  <c r="C2177"/>
  <c r="C2176"/>
  <c r="C2175"/>
  <c r="C2174"/>
  <c r="C2173"/>
  <c r="B2173" s="1"/>
  <c r="C2172"/>
  <c r="C2171"/>
  <c r="C2170"/>
  <c r="C2169"/>
  <c r="C2168"/>
  <c r="C2167"/>
  <c r="C2166"/>
  <c r="C2165"/>
  <c r="C2164"/>
  <c r="C2163"/>
  <c r="C2162"/>
  <c r="C2161"/>
  <c r="C2160"/>
  <c r="C2159"/>
  <c r="C2158"/>
  <c r="C2157"/>
  <c r="B2157" s="1"/>
  <c r="C2156"/>
  <c r="C2155"/>
  <c r="C2154"/>
  <c r="C2153"/>
  <c r="C2152"/>
  <c r="C2151"/>
  <c r="C2150"/>
  <c r="C2149"/>
  <c r="C2148"/>
  <c r="C2147"/>
  <c r="C2146"/>
  <c r="C2145"/>
  <c r="C2144"/>
  <c r="C2143"/>
  <c r="C2142"/>
  <c r="C2141"/>
  <c r="C2140"/>
  <c r="C2139"/>
  <c r="C2138"/>
  <c r="C2137"/>
  <c r="C2136"/>
  <c r="C2135"/>
  <c r="C2134"/>
  <c r="C2133"/>
  <c r="C2132"/>
  <c r="C2131"/>
  <c r="C2130"/>
  <c r="C2129"/>
  <c r="C2128"/>
  <c r="C2127"/>
  <c r="B2127" s="1"/>
  <c r="C2126"/>
  <c r="C2125"/>
  <c r="B2125" s="1"/>
  <c r="C2124"/>
  <c r="C2123"/>
  <c r="C2122"/>
  <c r="C2121"/>
  <c r="C2120"/>
  <c r="C2119"/>
  <c r="C2118"/>
  <c r="C2117"/>
  <c r="C2116"/>
  <c r="C2115"/>
  <c r="C2114"/>
  <c r="C2113"/>
  <c r="C2112"/>
  <c r="C2111"/>
  <c r="B2111" s="1"/>
  <c r="C2110"/>
  <c r="C2109"/>
  <c r="C2108"/>
  <c r="C2107"/>
  <c r="C2106"/>
  <c r="C2105"/>
  <c r="C2104"/>
  <c r="C2103"/>
  <c r="C2102"/>
  <c r="C2101"/>
  <c r="B2101" s="1"/>
  <c r="C2100"/>
  <c r="C2099"/>
  <c r="C2098"/>
  <c r="C2097"/>
  <c r="C2096"/>
  <c r="C2095"/>
  <c r="C2094"/>
  <c r="C2093"/>
  <c r="C2092"/>
  <c r="C2091"/>
  <c r="C2090"/>
  <c r="C2089"/>
  <c r="C2088"/>
  <c r="C2087"/>
  <c r="C2086"/>
  <c r="C2085"/>
  <c r="C2084"/>
  <c r="C2083"/>
  <c r="C2082"/>
  <c r="C2081"/>
  <c r="C2080"/>
  <c r="C2079"/>
  <c r="C2078"/>
  <c r="C2077"/>
  <c r="B2077" s="1"/>
  <c r="C2076"/>
  <c r="C2075"/>
  <c r="C2074"/>
  <c r="C2073"/>
  <c r="C2072"/>
  <c r="C2071"/>
  <c r="C2070"/>
  <c r="C2069"/>
  <c r="C2068"/>
  <c r="C2067"/>
  <c r="C2066"/>
  <c r="C2065"/>
  <c r="C2064"/>
  <c r="C2063"/>
  <c r="B2063" s="1"/>
  <c r="C2062"/>
  <c r="C2061"/>
  <c r="B2061" s="1"/>
  <c r="C2060"/>
  <c r="C2059"/>
  <c r="C2058"/>
  <c r="C2057"/>
  <c r="C2056"/>
  <c r="C2055"/>
  <c r="C2054"/>
  <c r="C2053"/>
  <c r="C2052"/>
  <c r="C2051"/>
  <c r="C2050"/>
  <c r="C2049"/>
  <c r="C2048"/>
  <c r="C2047"/>
  <c r="B2047" s="1"/>
  <c r="C2046"/>
  <c r="C2045"/>
  <c r="C2044"/>
  <c r="C2043"/>
  <c r="C2042"/>
  <c r="C2041"/>
  <c r="C2040"/>
  <c r="C2039"/>
  <c r="C2038"/>
  <c r="C2037"/>
  <c r="C2036"/>
  <c r="C2035"/>
  <c r="C2034"/>
  <c r="C2033"/>
  <c r="C2032"/>
  <c r="C2031"/>
  <c r="C2030"/>
  <c r="C2029"/>
  <c r="B2029" s="1"/>
  <c r="C2028"/>
  <c r="C2027"/>
  <c r="C2026"/>
  <c r="C2025"/>
  <c r="C2024"/>
  <c r="C2023"/>
  <c r="C2022"/>
  <c r="C2021"/>
  <c r="B2021" s="1"/>
  <c r="C2020"/>
  <c r="C2019"/>
  <c r="C2018"/>
  <c r="C2017"/>
  <c r="C2016"/>
  <c r="C2015"/>
  <c r="B2015" s="1"/>
  <c r="C2014"/>
  <c r="C2013"/>
  <c r="B2013" s="1"/>
  <c r="C2012"/>
  <c r="C2011"/>
  <c r="C2010"/>
  <c r="C2009"/>
  <c r="C2008"/>
  <c r="C2007"/>
  <c r="C2006"/>
  <c r="C2005"/>
  <c r="C2004"/>
  <c r="C2003"/>
  <c r="C2002"/>
  <c r="C2001"/>
  <c r="C2000"/>
  <c r="C1999"/>
  <c r="C1998"/>
  <c r="C1997"/>
  <c r="B1997" s="1"/>
  <c r="C1996"/>
  <c r="C1995"/>
  <c r="C1994"/>
  <c r="C1993"/>
  <c r="C1992"/>
  <c r="C1991"/>
  <c r="C1990"/>
  <c r="C1989"/>
  <c r="B1989" s="1"/>
  <c r="C1988"/>
  <c r="C1987"/>
  <c r="C1986"/>
  <c r="C1985"/>
  <c r="C1984"/>
  <c r="C1983"/>
  <c r="C1982"/>
  <c r="C1981"/>
  <c r="C1980"/>
  <c r="C1979"/>
  <c r="C1978"/>
  <c r="C1977"/>
  <c r="C1976"/>
  <c r="C1975"/>
  <c r="C1974"/>
  <c r="C1973"/>
  <c r="B1973" s="1"/>
  <c r="C1972"/>
  <c r="C1971"/>
  <c r="C1970"/>
  <c r="C1969"/>
  <c r="C1968"/>
  <c r="C1967"/>
  <c r="C1966"/>
  <c r="C1965"/>
  <c r="C1964"/>
  <c r="C1963"/>
  <c r="C1962"/>
  <c r="C1961"/>
  <c r="C1960"/>
  <c r="C1959"/>
  <c r="C1958"/>
  <c r="C1957"/>
  <c r="C1956"/>
  <c r="C1955"/>
  <c r="C1954"/>
  <c r="C1953"/>
  <c r="C1952"/>
  <c r="C1951"/>
  <c r="B1951" s="1"/>
  <c r="C1950"/>
  <c r="C1949"/>
  <c r="B1949" s="1"/>
  <c r="C1948"/>
  <c r="C1947"/>
  <c r="C1946"/>
  <c r="C1945"/>
  <c r="C1944"/>
  <c r="C1943"/>
  <c r="C1942"/>
  <c r="C1941"/>
  <c r="C1940"/>
  <c r="C1939"/>
  <c r="C1938"/>
  <c r="C1937"/>
  <c r="C1936"/>
  <c r="C1935"/>
  <c r="B1935" s="1"/>
  <c r="C1934"/>
  <c r="C1933"/>
  <c r="B1933" s="1"/>
  <c r="C1932"/>
  <c r="C1931"/>
  <c r="C1930"/>
  <c r="C1929"/>
  <c r="C1928"/>
  <c r="C1927"/>
  <c r="C1926"/>
  <c r="C1925"/>
  <c r="C1924"/>
  <c r="C1923"/>
  <c r="C1922"/>
  <c r="C1921"/>
  <c r="C1920"/>
  <c r="C1919"/>
  <c r="B1919" s="1"/>
  <c r="C1918"/>
  <c r="C1917"/>
  <c r="C1916"/>
  <c r="C1915"/>
  <c r="C1914"/>
  <c r="C1913"/>
  <c r="C1912"/>
  <c r="C1911"/>
  <c r="C1910"/>
  <c r="C1909"/>
  <c r="B1909" s="1"/>
  <c r="C1908"/>
  <c r="C1907"/>
  <c r="C1906"/>
  <c r="C1905"/>
  <c r="C1904"/>
  <c r="C1903"/>
  <c r="C1902"/>
  <c r="C1901"/>
  <c r="B1901" s="1"/>
  <c r="C1900"/>
  <c r="C1899"/>
  <c r="C1898"/>
  <c r="C1897"/>
  <c r="C1896"/>
  <c r="C1895"/>
  <c r="C1894"/>
  <c r="C1893"/>
  <c r="C1892"/>
  <c r="C1891"/>
  <c r="C1890"/>
  <c r="C1889"/>
  <c r="C1888"/>
  <c r="C1887"/>
  <c r="B1887" s="1"/>
  <c r="C1886"/>
  <c r="C1885"/>
  <c r="B1885" s="1"/>
  <c r="C1884"/>
  <c r="C1883"/>
  <c r="C1882"/>
  <c r="C1881"/>
  <c r="C1880"/>
  <c r="C1879"/>
  <c r="C1878"/>
  <c r="C1877"/>
  <c r="C1876"/>
  <c r="C1875"/>
  <c r="C1874"/>
  <c r="C1873"/>
  <c r="C1872"/>
  <c r="C1871"/>
  <c r="C1870"/>
  <c r="C1869"/>
  <c r="B1869" s="1"/>
  <c r="C1868"/>
  <c r="C1867"/>
  <c r="C1866"/>
  <c r="C1865"/>
  <c r="C1864"/>
  <c r="C1863"/>
  <c r="C1862"/>
  <c r="C1861"/>
  <c r="B1861" s="1"/>
  <c r="C1860"/>
  <c r="C1859"/>
  <c r="C1858"/>
  <c r="C1857"/>
  <c r="C1856"/>
  <c r="C1855"/>
  <c r="C1854"/>
  <c r="C1853"/>
  <c r="C1852"/>
  <c r="C1851"/>
  <c r="C1850"/>
  <c r="C1849"/>
  <c r="C1848"/>
  <c r="C1847"/>
  <c r="C1846"/>
  <c r="C1845"/>
  <c r="B1845" s="1"/>
  <c r="C1844"/>
  <c r="C1843"/>
  <c r="C1842"/>
  <c r="C1841"/>
  <c r="C1840"/>
  <c r="C1839"/>
  <c r="C1838"/>
  <c r="C1837"/>
  <c r="B1837" s="1"/>
  <c r="C1836"/>
  <c r="C1835"/>
  <c r="C1834"/>
  <c r="C1833"/>
  <c r="C1832"/>
  <c r="C1831"/>
  <c r="C1830"/>
  <c r="C1829"/>
  <c r="C1828"/>
  <c r="C1827"/>
  <c r="C1826"/>
  <c r="C1825"/>
  <c r="C1824"/>
  <c r="C1823"/>
  <c r="C1822"/>
  <c r="C1821"/>
  <c r="B1821" s="1"/>
  <c r="C1820"/>
  <c r="C1819"/>
  <c r="C1818"/>
  <c r="C1817"/>
  <c r="C1816"/>
  <c r="C1815"/>
  <c r="C1814"/>
  <c r="C1813"/>
  <c r="B1813" s="1"/>
  <c r="C1812"/>
  <c r="C1811"/>
  <c r="C1810"/>
  <c r="C1809"/>
  <c r="C1808"/>
  <c r="C1807"/>
  <c r="C1806"/>
  <c r="C1805"/>
  <c r="B1805" s="1"/>
  <c r="C1804"/>
  <c r="C1803"/>
  <c r="C1802"/>
  <c r="C1801"/>
  <c r="C1800"/>
  <c r="C1799"/>
  <c r="C1798"/>
  <c r="C1797"/>
  <c r="C1796"/>
  <c r="C1795"/>
  <c r="C1794"/>
  <c r="C1793"/>
  <c r="C1792"/>
  <c r="C1791"/>
  <c r="B1791" s="1"/>
  <c r="C1790"/>
  <c r="C1789"/>
  <c r="C1788"/>
  <c r="C1787"/>
  <c r="C1786"/>
  <c r="C1785"/>
  <c r="C1784"/>
  <c r="C1783"/>
  <c r="C1782"/>
  <c r="C1781"/>
  <c r="B1781" s="1"/>
  <c r="C1780"/>
  <c r="C1779"/>
  <c r="C1778"/>
  <c r="C1777"/>
  <c r="C1776"/>
  <c r="C1775"/>
  <c r="C1774"/>
  <c r="C1773"/>
  <c r="B1773" s="1"/>
  <c r="C1772"/>
  <c r="C1771"/>
  <c r="C1770"/>
  <c r="C1769"/>
  <c r="C1768"/>
  <c r="C1767"/>
  <c r="C1766"/>
  <c r="C1765"/>
  <c r="B1765" s="1"/>
  <c r="C1764"/>
  <c r="C1763"/>
  <c r="C1762"/>
  <c r="C1761"/>
  <c r="C1760"/>
  <c r="C1759"/>
  <c r="B1759" s="1"/>
  <c r="C1758"/>
  <c r="C1757"/>
  <c r="B1757" s="1"/>
  <c r="C1756"/>
  <c r="C1755"/>
  <c r="C1754"/>
  <c r="C1753"/>
  <c r="C1752"/>
  <c r="C1751"/>
  <c r="C1750"/>
  <c r="C1749"/>
  <c r="C1748"/>
  <c r="C1747"/>
  <c r="C1746"/>
  <c r="C1745"/>
  <c r="C1744"/>
  <c r="C1743"/>
  <c r="B1743" s="1"/>
  <c r="C1742"/>
  <c r="C1741"/>
  <c r="B1741" s="1"/>
  <c r="C1740"/>
  <c r="C1739"/>
  <c r="C1738"/>
  <c r="C1737"/>
  <c r="C1736"/>
  <c r="C1735"/>
  <c r="C1734"/>
  <c r="C1733"/>
  <c r="B1733" s="1"/>
  <c r="C1732"/>
  <c r="C1731"/>
  <c r="C1730"/>
  <c r="C1729"/>
  <c r="C1728"/>
  <c r="C1727"/>
  <c r="B1727" s="1"/>
  <c r="C1726"/>
  <c r="C1725"/>
  <c r="C1724"/>
  <c r="C1723"/>
  <c r="C1722"/>
  <c r="C1721"/>
  <c r="C1720"/>
  <c r="C1719"/>
  <c r="C1718"/>
  <c r="C1717"/>
  <c r="B1717" s="1"/>
  <c r="C1716"/>
  <c r="C1715"/>
  <c r="C1714"/>
  <c r="C1713"/>
  <c r="C1712"/>
  <c r="C1711"/>
  <c r="C1710"/>
  <c r="C1709"/>
  <c r="B1709" s="1"/>
  <c r="C1708"/>
  <c r="C1707"/>
  <c r="C1706"/>
  <c r="C1705"/>
  <c r="C1704"/>
  <c r="D1704" s="1"/>
  <c r="C1703"/>
  <c r="C1702"/>
  <c r="C1701"/>
  <c r="C1700"/>
  <c r="C1699"/>
  <c r="C1698"/>
  <c r="C1697"/>
  <c r="C1696"/>
  <c r="C1695"/>
  <c r="B1695" s="1"/>
  <c r="C1694"/>
  <c r="C1693"/>
  <c r="B1693" s="1"/>
  <c r="C1692"/>
  <c r="C1691"/>
  <c r="C1690"/>
  <c r="C1689"/>
  <c r="C1688"/>
  <c r="C1687"/>
  <c r="C1686"/>
  <c r="C1685"/>
  <c r="B1685" s="1"/>
  <c r="C1684"/>
  <c r="C1683"/>
  <c r="C1682"/>
  <c r="C1681"/>
  <c r="C1680"/>
  <c r="C1679"/>
  <c r="C1678"/>
  <c r="C1677"/>
  <c r="B1677" s="1"/>
  <c r="C1676"/>
  <c r="C1675"/>
  <c r="C1674"/>
  <c r="C1673"/>
  <c r="C1672"/>
  <c r="C1671"/>
  <c r="C1670"/>
  <c r="C1669"/>
  <c r="C1668"/>
  <c r="C1667"/>
  <c r="C1666"/>
  <c r="C1665"/>
  <c r="C1664"/>
  <c r="C1663"/>
  <c r="B1663" s="1"/>
  <c r="C1662"/>
  <c r="C1661"/>
  <c r="C1660"/>
  <c r="C1659"/>
  <c r="C1658"/>
  <c r="C1657"/>
  <c r="C1656"/>
  <c r="C1655"/>
  <c r="C1654"/>
  <c r="C1653"/>
  <c r="B1653" s="1"/>
  <c r="C1652"/>
  <c r="C1651"/>
  <c r="C1650"/>
  <c r="C1649"/>
  <c r="C1648"/>
  <c r="C1647"/>
  <c r="C1646"/>
  <c r="C1645"/>
  <c r="B1645" s="1"/>
  <c r="C1644"/>
  <c r="C1643"/>
  <c r="C1642"/>
  <c r="C1641"/>
  <c r="C1640"/>
  <c r="C1639"/>
  <c r="C1638"/>
  <c r="C1637"/>
  <c r="B1637" s="1"/>
  <c r="C1636"/>
  <c r="C1635"/>
  <c r="C1634"/>
  <c r="C1633"/>
  <c r="C1632"/>
  <c r="C1631"/>
  <c r="B1631" s="1"/>
  <c r="C1630"/>
  <c r="C1629"/>
  <c r="B1629" s="1"/>
  <c r="C1628"/>
  <c r="C1627"/>
  <c r="C1626"/>
  <c r="C1625"/>
  <c r="C1624"/>
  <c r="C1623"/>
  <c r="C1622"/>
  <c r="C1621"/>
  <c r="C1620"/>
  <c r="C1619"/>
  <c r="C1618"/>
  <c r="C1617"/>
  <c r="C1616"/>
  <c r="C1615"/>
  <c r="B1615" s="1"/>
  <c r="C1614"/>
  <c r="C1613"/>
  <c r="B1613" s="1"/>
  <c r="C1612"/>
  <c r="C1611"/>
  <c r="C1610"/>
  <c r="C1609"/>
  <c r="C1608"/>
  <c r="C1607"/>
  <c r="C1606"/>
  <c r="C1605"/>
  <c r="B1605" s="1"/>
  <c r="C1604"/>
  <c r="C1603"/>
  <c r="C1602"/>
  <c r="C1601"/>
  <c r="C1600"/>
  <c r="C1599"/>
  <c r="B1599" s="1"/>
  <c r="C1598"/>
  <c r="C1597"/>
  <c r="C1596"/>
  <c r="C1595"/>
  <c r="C1594"/>
  <c r="C1593"/>
  <c r="C1592"/>
  <c r="C1591"/>
  <c r="C1590"/>
  <c r="C1589"/>
  <c r="B1589" s="1"/>
  <c r="C1588"/>
  <c r="C1587"/>
  <c r="C1586"/>
  <c r="C1585"/>
  <c r="C1584"/>
  <c r="C1583"/>
  <c r="C1582"/>
  <c r="C1581"/>
  <c r="B1581" s="1"/>
  <c r="C1580"/>
  <c r="C1579"/>
  <c r="C1578"/>
  <c r="C1577"/>
  <c r="C1576"/>
  <c r="C1575"/>
  <c r="C1574"/>
  <c r="C1573"/>
  <c r="B1573" s="1"/>
  <c r="C1572"/>
  <c r="C1571"/>
  <c r="C1570"/>
  <c r="C1569"/>
  <c r="C1568"/>
  <c r="C1567"/>
  <c r="B1567" s="1"/>
  <c r="C1566"/>
  <c r="C1565"/>
  <c r="B1565" s="1"/>
  <c r="C1564"/>
  <c r="C1563"/>
  <c r="C1562"/>
  <c r="C1561"/>
  <c r="C1560"/>
  <c r="C1559"/>
  <c r="C1558"/>
  <c r="C1557"/>
  <c r="C1556"/>
  <c r="C1555"/>
  <c r="C1554"/>
  <c r="C1553"/>
  <c r="C1552"/>
  <c r="C1551"/>
  <c r="B1551" s="1"/>
  <c r="C1550"/>
  <c r="C1549"/>
  <c r="B1549" s="1"/>
  <c r="C1548"/>
  <c r="C1547"/>
  <c r="C1546"/>
  <c r="C1545"/>
  <c r="C1544"/>
  <c r="C1543"/>
  <c r="C1542"/>
  <c r="C1541"/>
  <c r="C1540"/>
  <c r="C1539"/>
  <c r="C1538"/>
  <c r="C1537"/>
  <c r="C1536"/>
  <c r="C1535"/>
  <c r="B1535" s="1"/>
  <c r="C1534"/>
  <c r="C1533"/>
  <c r="B1533" s="1"/>
  <c r="C1532"/>
  <c r="C1531"/>
  <c r="C1530"/>
  <c r="C1529"/>
  <c r="C1528"/>
  <c r="C1527"/>
  <c r="C1526"/>
  <c r="C1525"/>
  <c r="B1525" s="1"/>
  <c r="C1524"/>
  <c r="C1523"/>
  <c r="C1522"/>
  <c r="C1521"/>
  <c r="C1520"/>
  <c r="C1519"/>
  <c r="B1519" s="1"/>
  <c r="C1518"/>
  <c r="C1517"/>
  <c r="C1516"/>
  <c r="C1515"/>
  <c r="C1514"/>
  <c r="C1513"/>
  <c r="C1512"/>
  <c r="C1511"/>
  <c r="C1510"/>
  <c r="C1509"/>
  <c r="C1508"/>
  <c r="C1507"/>
  <c r="C1506"/>
  <c r="C1505"/>
  <c r="C1504"/>
  <c r="C1503"/>
  <c r="C1502"/>
  <c r="C1501"/>
  <c r="B1501" s="1"/>
  <c r="C1500"/>
  <c r="C1499"/>
  <c r="C1498"/>
  <c r="C1497"/>
  <c r="C1496"/>
  <c r="C1495"/>
  <c r="C1494"/>
  <c r="C1493"/>
  <c r="C1492"/>
  <c r="C1491"/>
  <c r="C1490"/>
  <c r="C1489"/>
  <c r="C1488"/>
  <c r="C1487"/>
  <c r="B1487" s="1"/>
  <c r="C1486"/>
  <c r="C1485"/>
  <c r="B1485" s="1"/>
  <c r="C1484"/>
  <c r="C1483"/>
  <c r="C1482"/>
  <c r="C1481"/>
  <c r="C1480"/>
  <c r="C1479"/>
  <c r="C1478"/>
  <c r="C1477"/>
  <c r="B1477" s="1"/>
  <c r="C1476"/>
  <c r="C1475"/>
  <c r="C1474"/>
  <c r="C1473"/>
  <c r="C1472"/>
  <c r="C1471"/>
  <c r="B1471" s="1"/>
  <c r="C1470"/>
  <c r="C1469"/>
  <c r="C1468"/>
  <c r="C1467"/>
  <c r="C1466"/>
  <c r="C1465"/>
  <c r="C1464"/>
  <c r="C1463"/>
  <c r="C1462"/>
  <c r="C1461"/>
  <c r="B1461" s="1"/>
  <c r="C1460"/>
  <c r="C1459"/>
  <c r="C1458"/>
  <c r="C1457"/>
  <c r="C1456"/>
  <c r="C1455"/>
  <c r="C1454"/>
  <c r="C1453"/>
  <c r="B1453" s="1"/>
  <c r="C1452"/>
  <c r="C1451"/>
  <c r="C1450"/>
  <c r="C1449"/>
  <c r="C1448"/>
  <c r="C1447"/>
  <c r="C1446"/>
  <c r="C1445"/>
  <c r="C1444"/>
  <c r="C1443"/>
  <c r="C1442"/>
  <c r="C1441"/>
  <c r="C1440"/>
  <c r="C1439"/>
  <c r="B1439" s="1"/>
  <c r="C1438"/>
  <c r="C1437"/>
  <c r="B1437" s="1"/>
  <c r="C1436"/>
  <c r="C1435"/>
  <c r="C1434"/>
  <c r="C1433"/>
  <c r="C1432"/>
  <c r="C1431"/>
  <c r="C1430"/>
  <c r="C1429"/>
  <c r="C1428"/>
  <c r="C1427"/>
  <c r="C1426"/>
  <c r="C1425"/>
  <c r="C1424"/>
  <c r="C1423"/>
  <c r="B1423" s="1"/>
  <c r="C1422"/>
  <c r="C1421"/>
  <c r="B1421" s="1"/>
  <c r="C1420"/>
  <c r="C1419"/>
  <c r="C1418"/>
  <c r="C1417"/>
  <c r="C1416"/>
  <c r="C1415"/>
  <c r="C1414"/>
  <c r="C1413"/>
  <c r="B1413" s="1"/>
  <c r="C1412"/>
  <c r="C1411"/>
  <c r="C1410"/>
  <c r="C1409"/>
  <c r="C1408"/>
  <c r="C1407"/>
  <c r="B1407" s="1"/>
  <c r="C1406"/>
  <c r="C1405"/>
  <c r="C1404"/>
  <c r="C1403"/>
  <c r="C1402"/>
  <c r="C1401"/>
  <c r="C1400"/>
  <c r="C1399"/>
  <c r="C1398"/>
  <c r="C1397"/>
  <c r="B1397" s="1"/>
  <c r="C1396"/>
  <c r="C1395"/>
  <c r="C1394"/>
  <c r="C1393"/>
  <c r="C1392"/>
  <c r="C1391"/>
  <c r="C1390"/>
  <c r="C1389"/>
  <c r="B1389" s="1"/>
  <c r="C1388"/>
  <c r="C1387"/>
  <c r="C1386"/>
  <c r="C1385"/>
  <c r="C1384"/>
  <c r="C1383"/>
  <c r="C1382"/>
  <c r="C1381"/>
  <c r="B1381" s="1"/>
  <c r="C1380"/>
  <c r="C1379"/>
  <c r="C1378"/>
  <c r="C1377"/>
  <c r="C1376"/>
  <c r="C1375"/>
  <c r="B1375" s="1"/>
  <c r="C1374"/>
  <c r="C1373"/>
  <c r="B1373" s="1"/>
  <c r="C1372"/>
  <c r="C1371"/>
  <c r="C1370"/>
  <c r="C1369"/>
  <c r="C1368"/>
  <c r="C1367"/>
  <c r="C1366"/>
  <c r="C1365"/>
  <c r="C1364"/>
  <c r="C1363"/>
  <c r="C1362"/>
  <c r="C1361"/>
  <c r="C1360"/>
  <c r="C1359"/>
  <c r="B1359" s="1"/>
  <c r="C1358"/>
  <c r="C1357"/>
  <c r="B1357" s="1"/>
  <c r="C1356"/>
  <c r="C1355"/>
  <c r="C1354"/>
  <c r="C1353"/>
  <c r="D1353" s="1"/>
  <c r="C1352"/>
  <c r="C1351"/>
  <c r="C1350"/>
  <c r="C1349"/>
  <c r="B1349" s="1"/>
  <c r="C1348"/>
  <c r="C1347"/>
  <c r="C1346"/>
  <c r="C1345"/>
  <c r="C1344"/>
  <c r="C1343"/>
  <c r="B1343" s="1"/>
  <c r="C1342"/>
  <c r="C1341"/>
  <c r="C1340"/>
  <c r="C1339"/>
  <c r="C1338"/>
  <c r="C1337"/>
  <c r="C1336"/>
  <c r="C1335"/>
  <c r="C1334"/>
  <c r="C1333"/>
  <c r="B1333" s="1"/>
  <c r="C1332"/>
  <c r="C1331"/>
  <c r="C1330"/>
  <c r="C1329"/>
  <c r="C1328"/>
  <c r="C1327"/>
  <c r="C1326"/>
  <c r="C1325"/>
  <c r="B1325" s="1"/>
  <c r="C1324"/>
  <c r="C1323"/>
  <c r="C1322"/>
  <c r="C1321"/>
  <c r="C1320"/>
  <c r="C1319"/>
  <c r="C1318"/>
  <c r="C1317"/>
  <c r="B1317" s="1"/>
  <c r="C1316"/>
  <c r="C1315"/>
  <c r="C1314"/>
  <c r="C1313"/>
  <c r="C1312"/>
  <c r="C1311"/>
  <c r="B1311" s="1"/>
  <c r="C1310"/>
  <c r="C1309"/>
  <c r="B1309" s="1"/>
  <c r="C1308"/>
  <c r="C1307"/>
  <c r="C1306"/>
  <c r="C1305"/>
  <c r="C1304"/>
  <c r="C1303"/>
  <c r="C1302"/>
  <c r="C1301"/>
  <c r="C1300"/>
  <c r="C1299"/>
  <c r="C1298"/>
  <c r="C1297"/>
  <c r="D1297" s="1"/>
  <c r="C1296"/>
  <c r="C1295"/>
  <c r="B1295" s="1"/>
  <c r="C1294"/>
  <c r="C1293"/>
  <c r="B1293" s="1"/>
  <c r="C1292"/>
  <c r="C1291"/>
  <c r="C1290"/>
  <c r="C1289"/>
  <c r="C1288"/>
  <c r="C1287"/>
  <c r="C1286"/>
  <c r="C1285"/>
  <c r="C1284"/>
  <c r="C1283"/>
  <c r="C1282"/>
  <c r="C1281"/>
  <c r="C1280"/>
  <c r="C1279"/>
  <c r="C1278"/>
  <c r="C1277"/>
  <c r="C1276"/>
  <c r="C1275"/>
  <c r="C1274"/>
  <c r="C1273"/>
  <c r="C1272"/>
  <c r="B1272" s="1"/>
  <c r="C1271"/>
  <c r="C1270"/>
  <c r="C1269"/>
  <c r="C1268"/>
  <c r="C1267"/>
  <c r="C1266"/>
  <c r="B1266" s="1"/>
  <c r="C1265"/>
  <c r="C1264"/>
  <c r="B1264" s="1"/>
  <c r="C1263"/>
  <c r="C1262"/>
  <c r="C1261"/>
  <c r="C1260"/>
  <c r="B1260" s="1"/>
  <c r="C1259"/>
  <c r="C1258"/>
  <c r="B1258" s="1"/>
  <c r="C1257"/>
  <c r="C1256"/>
  <c r="B1256" s="1"/>
  <c r="C1255"/>
  <c r="C1254"/>
  <c r="C1253"/>
  <c r="C1252"/>
  <c r="B1252" s="1"/>
  <c r="C1251"/>
  <c r="C1250"/>
  <c r="B1250" s="1"/>
  <c r="C1249"/>
  <c r="C1248"/>
  <c r="B1248" s="1"/>
  <c r="C1247"/>
  <c r="C1246"/>
  <c r="C1245"/>
  <c r="C1244"/>
  <c r="C1243"/>
  <c r="C1242"/>
  <c r="B1242" s="1"/>
  <c r="C1241"/>
  <c r="C1240"/>
  <c r="B1240" s="1"/>
  <c r="C1239"/>
  <c r="C1238"/>
  <c r="C1237"/>
  <c r="C1236"/>
  <c r="B1236" s="1"/>
  <c r="C1235"/>
  <c r="C1234"/>
  <c r="B1234" s="1"/>
  <c r="C1233"/>
  <c r="C1232"/>
  <c r="B1232" s="1"/>
  <c r="C1231"/>
  <c r="C1230"/>
  <c r="C1229"/>
  <c r="C1228"/>
  <c r="B1228" s="1"/>
  <c r="C1227"/>
  <c r="C1226"/>
  <c r="B1226" s="1"/>
  <c r="C1225"/>
  <c r="C1224"/>
  <c r="B1224" s="1"/>
  <c r="C1223"/>
  <c r="C1222"/>
  <c r="C1221"/>
  <c r="C1220"/>
  <c r="C1219"/>
  <c r="C1218"/>
  <c r="B1218" s="1"/>
  <c r="C1217"/>
  <c r="C1216"/>
  <c r="B1216" s="1"/>
  <c r="C1215"/>
  <c r="C1214"/>
  <c r="C1213"/>
  <c r="C1212"/>
  <c r="C1211"/>
  <c r="C1210"/>
  <c r="C1209"/>
  <c r="C1208"/>
  <c r="B1208" s="1"/>
  <c r="C1207"/>
  <c r="C1206"/>
  <c r="C1205"/>
  <c r="C1204"/>
  <c r="C1203"/>
  <c r="C1202"/>
  <c r="B1202" s="1"/>
  <c r="C1201"/>
  <c r="C1200"/>
  <c r="B1200" s="1"/>
  <c r="C1199"/>
  <c r="C1198"/>
  <c r="C1197"/>
  <c r="C1196"/>
  <c r="B1196" s="1"/>
  <c r="C1195"/>
  <c r="C1194"/>
  <c r="B1194" s="1"/>
  <c r="C1193"/>
  <c r="C1192"/>
  <c r="B1192" s="1"/>
  <c r="C1191"/>
  <c r="C1190"/>
  <c r="C1189"/>
  <c r="C1188"/>
  <c r="C1187"/>
  <c r="C1186"/>
  <c r="B1186" s="1"/>
  <c r="C1185"/>
  <c r="C1184"/>
  <c r="B1184" s="1"/>
  <c r="C1183"/>
  <c r="D1183" s="1"/>
  <c r="C1182"/>
  <c r="C1181"/>
  <c r="C1180"/>
  <c r="C1179"/>
  <c r="C1178"/>
  <c r="C1177"/>
  <c r="C1176"/>
  <c r="B1176" s="1"/>
  <c r="C1175"/>
  <c r="C1174"/>
  <c r="C1173"/>
  <c r="C1172"/>
  <c r="C1171"/>
  <c r="C1170"/>
  <c r="B1170" s="1"/>
  <c r="C1169"/>
  <c r="C1168"/>
  <c r="B1168" s="1"/>
  <c r="C1167"/>
  <c r="C1166"/>
  <c r="C1165"/>
  <c r="C1164"/>
  <c r="C1163"/>
  <c r="C1162"/>
  <c r="B1162" s="1"/>
  <c r="C1161"/>
  <c r="C1160"/>
  <c r="B1160" s="1"/>
  <c r="C1159"/>
  <c r="C1158"/>
  <c r="C1157"/>
  <c r="C1156"/>
  <c r="B1156" s="1"/>
  <c r="C1155"/>
  <c r="C1154"/>
  <c r="B1154" s="1"/>
  <c r="C1153"/>
  <c r="C1152"/>
  <c r="B1152" s="1"/>
  <c r="C1151"/>
  <c r="C1150"/>
  <c r="C1149"/>
  <c r="C1148"/>
  <c r="C1147"/>
  <c r="C1146"/>
  <c r="B1146" s="1"/>
  <c r="C1145"/>
  <c r="C1144"/>
  <c r="C1143"/>
  <c r="C1142"/>
  <c r="C1141"/>
  <c r="C1140"/>
  <c r="B1140" s="1"/>
  <c r="C1139"/>
  <c r="C1138"/>
  <c r="C1137"/>
  <c r="C1136"/>
  <c r="B1136" s="1"/>
  <c r="C1135"/>
  <c r="C1134"/>
  <c r="C1133"/>
  <c r="C1132"/>
  <c r="B1132" s="1"/>
  <c r="C1131"/>
  <c r="C1130"/>
  <c r="B1130" s="1"/>
  <c r="C1129"/>
  <c r="C1128"/>
  <c r="B1128" s="1"/>
  <c r="C1127"/>
  <c r="C1126"/>
  <c r="C1125"/>
  <c r="C1124"/>
  <c r="C1123"/>
  <c r="C1122"/>
  <c r="B1122" s="1"/>
  <c r="C1121"/>
  <c r="C1120"/>
  <c r="C1119"/>
  <c r="C1118"/>
  <c r="C1117"/>
  <c r="C1116"/>
  <c r="C1115"/>
  <c r="C1114"/>
  <c r="C1113"/>
  <c r="C1112"/>
  <c r="B1112" s="1"/>
  <c r="C1111"/>
  <c r="C1110"/>
  <c r="C1109"/>
  <c r="C1108"/>
  <c r="C1107"/>
  <c r="C1106"/>
  <c r="C1105"/>
  <c r="C1104"/>
  <c r="B1104" s="1"/>
  <c r="C1103"/>
  <c r="C1102"/>
  <c r="C1101"/>
  <c r="C1100"/>
  <c r="B1100" s="1"/>
  <c r="C1099"/>
  <c r="C1098"/>
  <c r="B1098" s="1"/>
  <c r="C1097"/>
  <c r="C1096"/>
  <c r="B1096" s="1"/>
  <c r="C1095"/>
  <c r="C1094"/>
  <c r="C1093"/>
  <c r="C1092"/>
  <c r="B1092" s="1"/>
  <c r="C1091"/>
  <c r="C1090"/>
  <c r="B1090" s="1"/>
  <c r="C1089"/>
  <c r="C1088"/>
  <c r="B1088" s="1"/>
  <c r="C1087"/>
  <c r="D1087" s="1"/>
  <c r="C1086"/>
  <c r="C1085"/>
  <c r="C1084"/>
  <c r="C1083"/>
  <c r="C1082"/>
  <c r="B1082" s="1"/>
  <c r="C1081"/>
  <c r="C1080"/>
  <c r="B1080" s="1"/>
  <c r="C1079"/>
  <c r="C1078"/>
  <c r="C1077"/>
  <c r="C1076"/>
  <c r="B1076" s="1"/>
  <c r="C1075"/>
  <c r="C1074"/>
  <c r="B1074" s="1"/>
  <c r="C1073"/>
  <c r="C1072"/>
  <c r="B1072" s="1"/>
  <c r="C1071"/>
  <c r="C1070"/>
  <c r="C1069"/>
  <c r="C1068"/>
  <c r="B1068" s="1"/>
  <c r="C1067"/>
  <c r="C1066"/>
  <c r="B1066" s="1"/>
  <c r="C1065"/>
  <c r="C1064"/>
  <c r="B1064" s="1"/>
  <c r="C1063"/>
  <c r="C1062"/>
  <c r="C1061"/>
  <c r="C1060"/>
  <c r="B1060" s="1"/>
  <c r="C1059"/>
  <c r="C1058"/>
  <c r="B1058" s="1"/>
  <c r="C1057"/>
  <c r="C1056"/>
  <c r="B1056" s="1"/>
  <c r="C1055"/>
  <c r="D1055" s="1"/>
  <c r="C1054"/>
  <c r="C1053"/>
  <c r="C1052"/>
  <c r="C1051"/>
  <c r="C1050"/>
  <c r="B1050" s="1"/>
  <c r="C1049"/>
  <c r="C1048"/>
  <c r="B1048" s="1"/>
  <c r="C1047"/>
  <c r="C1046"/>
  <c r="C1045"/>
  <c r="C1044"/>
  <c r="C1043"/>
  <c r="C1042"/>
  <c r="B1042" s="1"/>
  <c r="C1041"/>
  <c r="C1040"/>
  <c r="B1040" s="1"/>
  <c r="C1039"/>
  <c r="C1038"/>
  <c r="C1037"/>
  <c r="C1036"/>
  <c r="C1035"/>
  <c r="C1034"/>
  <c r="B1034" s="1"/>
  <c r="C1033"/>
  <c r="C1032"/>
  <c r="B1032" s="1"/>
  <c r="C1031"/>
  <c r="C1030"/>
  <c r="C1029"/>
  <c r="C1028"/>
  <c r="B1028" s="1"/>
  <c r="C1027"/>
  <c r="C1026"/>
  <c r="B1026" s="1"/>
  <c r="C1025"/>
  <c r="C1024"/>
  <c r="B1024" s="1"/>
  <c r="C1023"/>
  <c r="C1022"/>
  <c r="C1021"/>
  <c r="C1020"/>
  <c r="C1019"/>
  <c r="C1018"/>
  <c r="B1018" s="1"/>
  <c r="C1017"/>
  <c r="C1016"/>
  <c r="C1015"/>
  <c r="C1014"/>
  <c r="C1013"/>
  <c r="C1012"/>
  <c r="B1012" s="1"/>
  <c r="C1011"/>
  <c r="C1010"/>
  <c r="C1009"/>
  <c r="C1008"/>
  <c r="B1008" s="1"/>
  <c r="C1007"/>
  <c r="C1006"/>
  <c r="C1005"/>
  <c r="C1004"/>
  <c r="B1004" s="1"/>
  <c r="C1003"/>
  <c r="C1002"/>
  <c r="B1002" s="1"/>
  <c r="C1001"/>
  <c r="C1000"/>
  <c r="B1000" s="1"/>
  <c r="C999"/>
  <c r="C998"/>
  <c r="C997"/>
  <c r="C996"/>
  <c r="C995"/>
  <c r="C994"/>
  <c r="B994" s="1"/>
  <c r="C993"/>
  <c r="C992"/>
  <c r="B992" s="1"/>
  <c r="C991"/>
  <c r="C990"/>
  <c r="C989"/>
  <c r="C988"/>
  <c r="C987"/>
  <c r="C986"/>
  <c r="C985"/>
  <c r="C984"/>
  <c r="C983"/>
  <c r="C982"/>
  <c r="C981"/>
  <c r="C980"/>
  <c r="C979"/>
  <c r="C978"/>
  <c r="B978" s="1"/>
  <c r="C977"/>
  <c r="C976"/>
  <c r="B976" s="1"/>
  <c r="C975"/>
  <c r="C974"/>
  <c r="C973"/>
  <c r="C972"/>
  <c r="B972" s="1"/>
  <c r="C971"/>
  <c r="C970"/>
  <c r="B970" s="1"/>
  <c r="C969"/>
  <c r="C968"/>
  <c r="B968" s="1"/>
  <c r="C967"/>
  <c r="C966"/>
  <c r="C965"/>
  <c r="C964"/>
  <c r="B964" s="1"/>
  <c r="C963"/>
  <c r="C962"/>
  <c r="B962" s="1"/>
  <c r="C961"/>
  <c r="C960"/>
  <c r="B960" s="1"/>
  <c r="C959"/>
  <c r="C958"/>
  <c r="C957"/>
  <c r="C956"/>
  <c r="C955"/>
  <c r="C954"/>
  <c r="B954" s="1"/>
  <c r="C953"/>
  <c r="C952"/>
  <c r="B952" s="1"/>
  <c r="C951"/>
  <c r="C950"/>
  <c r="C949"/>
  <c r="C948"/>
  <c r="B948" s="1"/>
  <c r="C947"/>
  <c r="C946"/>
  <c r="B946" s="1"/>
  <c r="C945"/>
  <c r="C944"/>
  <c r="B944" s="1"/>
  <c r="C943"/>
  <c r="C942"/>
  <c r="C941"/>
  <c r="C940"/>
  <c r="B940" s="1"/>
  <c r="C939"/>
  <c r="C938"/>
  <c r="B938" s="1"/>
  <c r="C937"/>
  <c r="C936"/>
  <c r="B936" s="1"/>
  <c r="C935"/>
  <c r="C934"/>
  <c r="C933"/>
  <c r="C932"/>
  <c r="B932" s="1"/>
  <c r="C931"/>
  <c r="C930"/>
  <c r="B930" s="1"/>
  <c r="C929"/>
  <c r="C928"/>
  <c r="B928" s="1"/>
  <c r="C927"/>
  <c r="D927" s="1"/>
  <c r="C926"/>
  <c r="C925"/>
  <c r="C924"/>
  <c r="C923"/>
  <c r="C922"/>
  <c r="B922" s="1"/>
  <c r="C921"/>
  <c r="C920"/>
  <c r="B920" s="1"/>
  <c r="C919"/>
  <c r="C918"/>
  <c r="C917"/>
  <c r="C916"/>
  <c r="C915"/>
  <c r="C914"/>
  <c r="B914" s="1"/>
  <c r="C913"/>
  <c r="C912"/>
  <c r="B912" s="1"/>
  <c r="C911"/>
  <c r="C910"/>
  <c r="C909"/>
  <c r="C908"/>
  <c r="B908" s="1"/>
  <c r="C907"/>
  <c r="C906"/>
  <c r="B906" s="1"/>
  <c r="C905"/>
  <c r="C904"/>
  <c r="B904" s="1"/>
  <c r="C903"/>
  <c r="C902"/>
  <c r="C901"/>
  <c r="C900"/>
  <c r="B900" s="1"/>
  <c r="C899"/>
  <c r="C898"/>
  <c r="B898" s="1"/>
  <c r="C897"/>
  <c r="C896"/>
  <c r="C895"/>
  <c r="C894"/>
  <c r="C893"/>
  <c r="C892"/>
  <c r="C891"/>
  <c r="C890"/>
  <c r="B890" s="1"/>
  <c r="C889"/>
  <c r="C888"/>
  <c r="C887"/>
  <c r="C886"/>
  <c r="C885"/>
  <c r="C884"/>
  <c r="B884" s="1"/>
  <c r="C883"/>
  <c r="C882"/>
  <c r="C881"/>
  <c r="C880"/>
  <c r="B880" s="1"/>
  <c r="C879"/>
  <c r="C878"/>
  <c r="C877"/>
  <c r="C876"/>
  <c r="B876" s="1"/>
  <c r="C875"/>
  <c r="C874"/>
  <c r="B874" s="1"/>
  <c r="C873"/>
  <c r="C872"/>
  <c r="B872" s="1"/>
  <c r="C871"/>
  <c r="C870"/>
  <c r="C869"/>
  <c r="C868"/>
  <c r="C867"/>
  <c r="C866"/>
  <c r="B866" s="1"/>
  <c r="C865"/>
  <c r="C864"/>
  <c r="B864" s="1"/>
  <c r="C863"/>
  <c r="C862"/>
  <c r="C861"/>
  <c r="C860"/>
  <c r="C859"/>
  <c r="C858"/>
  <c r="C857"/>
  <c r="C856"/>
  <c r="B856" s="1"/>
  <c r="C855"/>
  <c r="C854"/>
  <c r="C853"/>
  <c r="C852"/>
  <c r="C851"/>
  <c r="C850"/>
  <c r="B850" s="1"/>
  <c r="C849"/>
  <c r="C848"/>
  <c r="B848" s="1"/>
  <c r="C847"/>
  <c r="C846"/>
  <c r="C845"/>
  <c r="C844"/>
  <c r="B844" s="1"/>
  <c r="C843"/>
  <c r="C842"/>
  <c r="B842" s="1"/>
  <c r="C841"/>
  <c r="C840"/>
  <c r="B840" s="1"/>
  <c r="C839"/>
  <c r="C838"/>
  <c r="C837"/>
  <c r="C836"/>
  <c r="B836" s="1"/>
  <c r="C835"/>
  <c r="C834"/>
  <c r="B834" s="1"/>
  <c r="C833"/>
  <c r="C832"/>
  <c r="B832" s="1"/>
  <c r="C831"/>
  <c r="D831" s="1"/>
  <c r="C830"/>
  <c r="C829"/>
  <c r="C828"/>
  <c r="C827"/>
  <c r="C826"/>
  <c r="B826" s="1"/>
  <c r="C825"/>
  <c r="C824"/>
  <c r="B824" s="1"/>
  <c r="C823"/>
  <c r="C822"/>
  <c r="C821"/>
  <c r="C820"/>
  <c r="B820" s="1"/>
  <c r="C819"/>
  <c r="C818"/>
  <c r="B818" s="1"/>
  <c r="C817"/>
  <c r="C816"/>
  <c r="B816" s="1"/>
  <c r="C815"/>
  <c r="C814"/>
  <c r="C813"/>
  <c r="C812"/>
  <c r="B812" s="1"/>
  <c r="C811"/>
  <c r="C810"/>
  <c r="B810" s="1"/>
  <c r="C809"/>
  <c r="C808"/>
  <c r="B808" s="1"/>
  <c r="C807"/>
  <c r="C806"/>
  <c r="C805"/>
  <c r="C804"/>
  <c r="B804" s="1"/>
  <c r="C803"/>
  <c r="C802"/>
  <c r="B802" s="1"/>
  <c r="C801"/>
  <c r="C800"/>
  <c r="B800" s="1"/>
  <c r="C799"/>
  <c r="D799" s="1"/>
  <c r="C798"/>
  <c r="C797"/>
  <c r="C796"/>
  <c r="C795"/>
  <c r="C794"/>
  <c r="B794" s="1"/>
  <c r="C793"/>
  <c r="C792"/>
  <c r="B792" s="1"/>
  <c r="C791"/>
  <c r="C790"/>
  <c r="C789"/>
  <c r="C788"/>
  <c r="C787"/>
  <c r="C786"/>
  <c r="B786" s="1"/>
  <c r="C785"/>
  <c r="C784"/>
  <c r="B784" s="1"/>
  <c r="C783"/>
  <c r="C782"/>
  <c r="C781"/>
  <c r="C780"/>
  <c r="B780" s="1"/>
  <c r="C779"/>
  <c r="C778"/>
  <c r="B778" s="1"/>
  <c r="C777"/>
  <c r="C776"/>
  <c r="B776" s="1"/>
  <c r="C775"/>
  <c r="C774"/>
  <c r="C773"/>
  <c r="C772"/>
  <c r="B772" s="1"/>
  <c r="C771"/>
  <c r="C770"/>
  <c r="B770" s="1"/>
  <c r="C769"/>
  <c r="C768"/>
  <c r="B768" s="1"/>
  <c r="C767"/>
  <c r="C766"/>
  <c r="C765"/>
  <c r="C764"/>
  <c r="C763"/>
  <c r="C762"/>
  <c r="B762" s="1"/>
  <c r="C761"/>
  <c r="C760"/>
  <c r="C759"/>
  <c r="C758"/>
  <c r="C757"/>
  <c r="C756"/>
  <c r="C755"/>
  <c r="C754"/>
  <c r="C753"/>
  <c r="C752"/>
  <c r="B752" s="1"/>
  <c r="C751"/>
  <c r="C750"/>
  <c r="C749"/>
  <c r="C748"/>
  <c r="B748" s="1"/>
  <c r="C747"/>
  <c r="C746"/>
  <c r="B746" s="1"/>
  <c r="C745"/>
  <c r="C744"/>
  <c r="B744" s="1"/>
  <c r="C743"/>
  <c r="C742"/>
  <c r="C741"/>
  <c r="C740"/>
  <c r="C739"/>
  <c r="C738"/>
  <c r="B738" s="1"/>
  <c r="C737"/>
  <c r="C736"/>
  <c r="B736" s="1"/>
  <c r="C735"/>
  <c r="C734"/>
  <c r="C733"/>
  <c r="C732"/>
  <c r="C731"/>
  <c r="D731" s="1"/>
  <c r="C730"/>
  <c r="C729"/>
  <c r="C728"/>
  <c r="B728" s="1"/>
  <c r="C727"/>
  <c r="C726"/>
  <c r="C725"/>
  <c r="C724"/>
  <c r="C723"/>
  <c r="C722"/>
  <c r="B722" s="1"/>
  <c r="C721"/>
  <c r="C720"/>
  <c r="B720" s="1"/>
  <c r="C719"/>
  <c r="C718"/>
  <c r="C717"/>
  <c r="C716"/>
  <c r="B716" s="1"/>
  <c r="C715"/>
  <c r="C714"/>
  <c r="B714" s="1"/>
  <c r="C713"/>
  <c r="C712"/>
  <c r="B712" s="1"/>
  <c r="C711"/>
  <c r="C710"/>
  <c r="C709"/>
  <c r="C708"/>
  <c r="C707"/>
  <c r="C706"/>
  <c r="B706" s="1"/>
  <c r="C705"/>
  <c r="C704"/>
  <c r="B704" s="1"/>
  <c r="C703"/>
  <c r="C702"/>
  <c r="C701"/>
  <c r="C700"/>
  <c r="C699"/>
  <c r="C698"/>
  <c r="C697"/>
  <c r="C696"/>
  <c r="B696" s="1"/>
  <c r="C695"/>
  <c r="C694"/>
  <c r="C693"/>
  <c r="C692"/>
  <c r="B692" s="1"/>
  <c r="C691"/>
  <c r="C690"/>
  <c r="B690" s="1"/>
  <c r="C689"/>
  <c r="C688"/>
  <c r="B688" s="1"/>
  <c r="C687"/>
  <c r="C686"/>
  <c r="C685"/>
  <c r="C684"/>
  <c r="B684" s="1"/>
  <c r="C683"/>
  <c r="D683" s="1"/>
  <c r="C682"/>
  <c r="B682" s="1"/>
  <c r="C681"/>
  <c r="C680"/>
  <c r="B680" s="1"/>
  <c r="C679"/>
  <c r="C678"/>
  <c r="C677"/>
  <c r="C676"/>
  <c r="B676" s="1"/>
  <c r="C675"/>
  <c r="C674"/>
  <c r="B674" s="1"/>
  <c r="C673"/>
  <c r="C672"/>
  <c r="C671"/>
  <c r="C670"/>
  <c r="C669"/>
  <c r="C668"/>
  <c r="C667"/>
  <c r="D667" s="1"/>
  <c r="C666"/>
  <c r="B666" s="1"/>
  <c r="C665"/>
  <c r="C664"/>
  <c r="B664" s="1"/>
  <c r="C663"/>
  <c r="C662"/>
  <c r="C661"/>
  <c r="C660"/>
  <c r="C659"/>
  <c r="C658"/>
  <c r="B658" s="1"/>
  <c r="C657"/>
  <c r="C656"/>
  <c r="B656" s="1"/>
  <c r="C655"/>
  <c r="C654"/>
  <c r="C653"/>
  <c r="C652"/>
  <c r="B652" s="1"/>
  <c r="C651"/>
  <c r="C650"/>
  <c r="B650" s="1"/>
  <c r="C649"/>
  <c r="C648"/>
  <c r="B648" s="1"/>
  <c r="C647"/>
  <c r="C646"/>
  <c r="C645"/>
  <c r="C644"/>
  <c r="B644" s="1"/>
  <c r="C643"/>
  <c r="C642"/>
  <c r="B642" s="1"/>
  <c r="C641"/>
  <c r="C640"/>
  <c r="B640" s="1"/>
  <c r="C639"/>
  <c r="C638"/>
  <c r="C637"/>
  <c r="C636"/>
  <c r="C635"/>
  <c r="C634"/>
  <c r="B634" s="1"/>
  <c r="C633"/>
  <c r="C632"/>
  <c r="C631"/>
  <c r="C630"/>
  <c r="C629"/>
  <c r="C628"/>
  <c r="B628" s="1"/>
  <c r="C627"/>
  <c r="C626"/>
  <c r="C625"/>
  <c r="C624"/>
  <c r="B624" s="1"/>
  <c r="C623"/>
  <c r="C622"/>
  <c r="C621"/>
  <c r="C620"/>
  <c r="B620" s="1"/>
  <c r="C619"/>
  <c r="C618"/>
  <c r="B618" s="1"/>
  <c r="C617"/>
  <c r="C616"/>
  <c r="B616" s="1"/>
  <c r="C615"/>
  <c r="C614"/>
  <c r="C613"/>
  <c r="C612"/>
  <c r="C611"/>
  <c r="C610"/>
  <c r="B610" s="1"/>
  <c r="C609"/>
  <c r="C608"/>
  <c r="C607"/>
  <c r="C606"/>
  <c r="C605"/>
  <c r="C604"/>
  <c r="C603"/>
  <c r="D603" s="1"/>
  <c r="C602"/>
  <c r="C601"/>
  <c r="C600"/>
  <c r="B600" s="1"/>
  <c r="C599"/>
  <c r="C598"/>
  <c r="C597"/>
  <c r="C596"/>
  <c r="C595"/>
  <c r="C594"/>
  <c r="C593"/>
  <c r="C592"/>
  <c r="B592" s="1"/>
  <c r="C591"/>
  <c r="C590"/>
  <c r="C589"/>
  <c r="C588"/>
  <c r="B588" s="1"/>
  <c r="C587"/>
  <c r="C586"/>
  <c r="B586" s="1"/>
  <c r="C585"/>
  <c r="C584"/>
  <c r="B584" s="1"/>
  <c r="C583"/>
  <c r="C582"/>
  <c r="C581"/>
  <c r="C580"/>
  <c r="B580" s="1"/>
  <c r="C579"/>
  <c r="C578"/>
  <c r="B578" s="1"/>
  <c r="C577"/>
  <c r="C576"/>
  <c r="B576" s="1"/>
  <c r="C575"/>
  <c r="C574"/>
  <c r="C573"/>
  <c r="C572"/>
  <c r="C571"/>
  <c r="C570"/>
  <c r="B570" s="1"/>
  <c r="C569"/>
  <c r="C568"/>
  <c r="B568" s="1"/>
  <c r="C567"/>
  <c r="C566"/>
  <c r="C565"/>
  <c r="C564"/>
  <c r="B564" s="1"/>
  <c r="C563"/>
  <c r="C562"/>
  <c r="B562" s="1"/>
  <c r="C561"/>
  <c r="C560"/>
  <c r="B560" s="1"/>
  <c r="C559"/>
  <c r="C558"/>
  <c r="C557"/>
  <c r="C556"/>
  <c r="B556" s="1"/>
  <c r="C555"/>
  <c r="D555" s="1"/>
  <c r="C554"/>
  <c r="B554" s="1"/>
  <c r="C553"/>
  <c r="C552"/>
  <c r="B552" s="1"/>
  <c r="C551"/>
  <c r="C550"/>
  <c r="C549"/>
  <c r="C548"/>
  <c r="B548" s="1"/>
  <c r="C547"/>
  <c r="C546"/>
  <c r="B546" s="1"/>
  <c r="C545"/>
  <c r="C544"/>
  <c r="B544" s="1"/>
  <c r="C543"/>
  <c r="C542"/>
  <c r="B542" s="1"/>
  <c r="C541"/>
  <c r="C540"/>
  <c r="B540" s="1"/>
  <c r="C539"/>
  <c r="C538"/>
  <c r="B538" s="1"/>
  <c r="C537"/>
  <c r="C536"/>
  <c r="B536" s="1"/>
  <c r="C535"/>
  <c r="C534"/>
  <c r="C533"/>
  <c r="C532"/>
  <c r="B532" s="1"/>
  <c r="C531"/>
  <c r="C530"/>
  <c r="B530" s="1"/>
  <c r="C529"/>
  <c r="C528"/>
  <c r="C527"/>
  <c r="C526"/>
  <c r="B526" s="1"/>
  <c r="C525"/>
  <c r="C524"/>
  <c r="B524" s="1"/>
  <c r="C523"/>
  <c r="C522"/>
  <c r="B522" s="1"/>
  <c r="C521"/>
  <c r="C520"/>
  <c r="C519"/>
  <c r="C518"/>
  <c r="C517"/>
  <c r="C516"/>
  <c r="B516" s="1"/>
  <c r="C515"/>
  <c r="C514"/>
  <c r="B514" s="1"/>
  <c r="C513"/>
  <c r="C512"/>
  <c r="B512" s="1"/>
  <c r="C511"/>
  <c r="C510"/>
  <c r="C509"/>
  <c r="C508"/>
  <c r="B508" s="1"/>
  <c r="C507"/>
  <c r="C506"/>
  <c r="B506" s="1"/>
  <c r="C505"/>
  <c r="C504"/>
  <c r="B504" s="1"/>
  <c r="C503"/>
  <c r="C502"/>
  <c r="C501"/>
  <c r="C500"/>
  <c r="B500" s="1"/>
  <c r="C499"/>
  <c r="C498"/>
  <c r="B498" s="1"/>
  <c r="C497"/>
  <c r="C496"/>
  <c r="C495"/>
  <c r="C494"/>
  <c r="B494" s="1"/>
  <c r="C493"/>
  <c r="C492"/>
  <c r="B492" s="1"/>
  <c r="C491"/>
  <c r="D491" s="1"/>
  <c r="C490"/>
  <c r="B490" s="1"/>
  <c r="C489"/>
  <c r="C488"/>
  <c r="B488" s="1"/>
  <c r="C487"/>
  <c r="C486"/>
  <c r="C485"/>
  <c r="C484"/>
  <c r="B484" s="1"/>
  <c r="C483"/>
  <c r="C482"/>
  <c r="B482" s="1"/>
  <c r="C481"/>
  <c r="C480"/>
  <c r="C479"/>
  <c r="C478"/>
  <c r="B478" s="1"/>
  <c r="C477"/>
  <c r="C476"/>
  <c r="B476" s="1"/>
  <c r="C475"/>
  <c r="D475" s="1"/>
  <c r="C474"/>
  <c r="B474" s="1"/>
  <c r="C473"/>
  <c r="C472"/>
  <c r="B472" s="1"/>
  <c r="C471"/>
  <c r="C470"/>
  <c r="C469"/>
  <c r="C468"/>
  <c r="B468" s="1"/>
  <c r="C467"/>
  <c r="C466"/>
  <c r="B466" s="1"/>
  <c r="C465"/>
  <c r="C464"/>
  <c r="B464" s="1"/>
  <c r="C463"/>
  <c r="C462"/>
  <c r="B462" s="1"/>
  <c r="C461"/>
  <c r="C460"/>
  <c r="B460" s="1"/>
  <c r="C459"/>
  <c r="C458"/>
  <c r="B458" s="1"/>
  <c r="C457"/>
  <c r="C456"/>
  <c r="C455"/>
  <c r="C454"/>
  <c r="C453"/>
  <c r="C452"/>
  <c r="B452" s="1"/>
  <c r="C451"/>
  <c r="C450"/>
  <c r="B450" s="1"/>
  <c r="C449"/>
  <c r="C448"/>
  <c r="B448" s="1"/>
  <c r="C447"/>
  <c r="C446"/>
  <c r="C445"/>
  <c r="C444"/>
  <c r="B444" s="1"/>
  <c r="C443"/>
  <c r="C442"/>
  <c r="B442" s="1"/>
  <c r="C441"/>
  <c r="C440"/>
  <c r="B440" s="1"/>
  <c r="C439"/>
  <c r="C438"/>
  <c r="C437"/>
  <c r="C436"/>
  <c r="B436" s="1"/>
  <c r="C435"/>
  <c r="C434"/>
  <c r="B434" s="1"/>
  <c r="C433"/>
  <c r="C432"/>
  <c r="C431"/>
  <c r="C430"/>
  <c r="B430" s="1"/>
  <c r="C429"/>
  <c r="C428"/>
  <c r="B428" s="1"/>
  <c r="C427"/>
  <c r="C426"/>
  <c r="B426" s="1"/>
  <c r="C425"/>
  <c r="C424"/>
  <c r="B424" s="1"/>
  <c r="C423"/>
  <c r="C422"/>
  <c r="C421"/>
  <c r="C420"/>
  <c r="B420" s="1"/>
  <c r="C419"/>
  <c r="C418"/>
  <c r="B418" s="1"/>
  <c r="C417"/>
  <c r="C416"/>
  <c r="C415"/>
  <c r="C414"/>
  <c r="B414" s="1"/>
  <c r="C413"/>
  <c r="C412"/>
  <c r="B412" s="1"/>
  <c r="C411"/>
  <c r="C410"/>
  <c r="B410" s="1"/>
  <c r="C409"/>
  <c r="C408"/>
  <c r="B408" s="1"/>
  <c r="C407"/>
  <c r="C406"/>
  <c r="C405"/>
  <c r="C404"/>
  <c r="B404" s="1"/>
  <c r="C403"/>
  <c r="C402"/>
  <c r="B402" s="1"/>
  <c r="C401"/>
  <c r="C400"/>
  <c r="B400" s="1"/>
  <c r="C399"/>
  <c r="C398"/>
  <c r="B398" s="1"/>
  <c r="C397"/>
  <c r="C396"/>
  <c r="B396" s="1"/>
  <c r="C395"/>
  <c r="C394"/>
  <c r="B394" s="1"/>
  <c r="C393"/>
  <c r="C392"/>
  <c r="C391"/>
  <c r="C390"/>
  <c r="C389"/>
  <c r="C388"/>
  <c r="B388" s="1"/>
  <c r="C387"/>
  <c r="C386"/>
  <c r="B386" s="1"/>
  <c r="C385"/>
  <c r="C384"/>
  <c r="B384" s="1"/>
  <c r="C383"/>
  <c r="C382"/>
  <c r="C381"/>
  <c r="C380"/>
  <c r="B380" s="1"/>
  <c r="C379"/>
  <c r="C378"/>
  <c r="B378" s="1"/>
  <c r="C377"/>
  <c r="C376"/>
  <c r="B376" s="1"/>
  <c r="C375"/>
  <c r="C374"/>
  <c r="C373"/>
  <c r="C372"/>
  <c r="B372" s="1"/>
  <c r="C371"/>
  <c r="C370"/>
  <c r="B370" s="1"/>
  <c r="C369"/>
  <c r="C368"/>
  <c r="C367"/>
  <c r="C366"/>
  <c r="B366" s="1"/>
  <c r="C365"/>
  <c r="C364"/>
  <c r="B364" s="1"/>
  <c r="C363"/>
  <c r="C362"/>
  <c r="B362" s="1"/>
  <c r="C361"/>
  <c r="C360"/>
  <c r="B360" s="1"/>
  <c r="C359"/>
  <c r="C358"/>
  <c r="C357"/>
  <c r="C356"/>
  <c r="B356" s="1"/>
  <c r="C355"/>
  <c r="C354"/>
  <c r="B354" s="1"/>
  <c r="C353"/>
  <c r="C352"/>
  <c r="B352" s="1"/>
  <c r="C351"/>
  <c r="C350"/>
  <c r="B350" s="1"/>
  <c r="C349"/>
  <c r="C348"/>
  <c r="B348" s="1"/>
  <c r="C347"/>
  <c r="C346"/>
  <c r="B346" s="1"/>
  <c r="C345"/>
  <c r="C344"/>
  <c r="B344" s="1"/>
  <c r="C343"/>
  <c r="C342"/>
  <c r="C341"/>
  <c r="C340"/>
  <c r="B340" s="1"/>
  <c r="C339"/>
  <c r="C338"/>
  <c r="B338" s="1"/>
  <c r="C337"/>
  <c r="C336"/>
  <c r="C335"/>
  <c r="C334"/>
  <c r="B334" s="1"/>
  <c r="C333"/>
  <c r="C332"/>
  <c r="B332" s="1"/>
  <c r="C331"/>
  <c r="C330"/>
  <c r="B330" s="1"/>
  <c r="C329"/>
  <c r="C328"/>
  <c r="C327"/>
  <c r="C326"/>
  <c r="C325"/>
  <c r="C324"/>
  <c r="B324" s="1"/>
  <c r="C323"/>
  <c r="C322"/>
  <c r="B322" s="1"/>
  <c r="C321"/>
  <c r="C320"/>
  <c r="B320" s="1"/>
  <c r="C319"/>
  <c r="C318"/>
  <c r="C317"/>
  <c r="C316"/>
  <c r="B316" s="1"/>
  <c r="C315"/>
  <c r="C314"/>
  <c r="B314" s="1"/>
  <c r="C313"/>
  <c r="C312"/>
  <c r="B312" s="1"/>
  <c r="C311"/>
  <c r="C310"/>
  <c r="C309"/>
  <c r="C308"/>
  <c r="B308" s="1"/>
  <c r="C307"/>
  <c r="C306"/>
  <c r="B306" s="1"/>
  <c r="C305"/>
  <c r="C304"/>
  <c r="C303"/>
  <c r="C302"/>
  <c r="B302" s="1"/>
  <c r="C301"/>
  <c r="C300"/>
  <c r="B300" s="1"/>
  <c r="C299"/>
  <c r="C298"/>
  <c r="B298" s="1"/>
  <c r="C297"/>
  <c r="C296"/>
  <c r="B296" s="1"/>
  <c r="C295"/>
  <c r="C294"/>
  <c r="C293"/>
  <c r="C292"/>
  <c r="B292" s="1"/>
  <c r="C291"/>
  <c r="C290"/>
  <c r="B290" s="1"/>
  <c r="C289"/>
  <c r="C288"/>
  <c r="B288" s="1"/>
  <c r="C287"/>
  <c r="C286"/>
  <c r="B286" s="1"/>
  <c r="C285"/>
  <c r="C284"/>
  <c r="B284" s="1"/>
  <c r="C283"/>
  <c r="C282"/>
  <c r="B282" s="1"/>
  <c r="C281"/>
  <c r="C280"/>
  <c r="B280" s="1"/>
  <c r="C279"/>
  <c r="C278"/>
  <c r="C277"/>
  <c r="C276"/>
  <c r="B276" s="1"/>
  <c r="C275"/>
  <c r="C274"/>
  <c r="B274" s="1"/>
  <c r="C273"/>
  <c r="C272"/>
  <c r="C271"/>
  <c r="C270"/>
  <c r="B270" s="1"/>
  <c r="C269"/>
  <c r="C268"/>
  <c r="B268" s="1"/>
  <c r="C267"/>
  <c r="C266"/>
  <c r="B266" s="1"/>
  <c r="C265"/>
  <c r="C264"/>
  <c r="C263"/>
  <c r="C262"/>
  <c r="C261"/>
  <c r="C260"/>
  <c r="B260" s="1"/>
  <c r="C259"/>
  <c r="C258"/>
  <c r="B258" s="1"/>
  <c r="C257"/>
  <c r="C256"/>
  <c r="B256" s="1"/>
  <c r="C255"/>
  <c r="C254"/>
  <c r="C253"/>
  <c r="C252"/>
  <c r="B252" s="1"/>
  <c r="C251"/>
  <c r="C250"/>
  <c r="B250" s="1"/>
  <c r="C249"/>
  <c r="C248"/>
  <c r="B248" s="1"/>
  <c r="C247"/>
  <c r="C246"/>
  <c r="C245"/>
  <c r="C244"/>
  <c r="B244" s="1"/>
  <c r="C243"/>
  <c r="C242"/>
  <c r="B242" s="1"/>
  <c r="C241"/>
  <c r="C240"/>
  <c r="C239"/>
  <c r="C238"/>
  <c r="B238" s="1"/>
  <c r="C237"/>
  <c r="C236"/>
  <c r="B236" s="1"/>
  <c r="C235"/>
  <c r="C234"/>
  <c r="B234" s="1"/>
  <c r="C233"/>
  <c r="C232"/>
  <c r="B232" s="1"/>
  <c r="C231"/>
  <c r="C230"/>
  <c r="C229"/>
  <c r="C228"/>
  <c r="B228" s="1"/>
  <c r="C227"/>
  <c r="C226"/>
  <c r="B226" s="1"/>
  <c r="C225"/>
  <c r="C224"/>
  <c r="C223"/>
  <c r="C222"/>
  <c r="B222" s="1"/>
  <c r="C221"/>
  <c r="C220"/>
  <c r="B220" s="1"/>
  <c r="C219"/>
  <c r="C218"/>
  <c r="B218" s="1"/>
  <c r="C217"/>
  <c r="C216"/>
  <c r="B216" s="1"/>
  <c r="C215"/>
  <c r="C214"/>
  <c r="C213"/>
  <c r="C212"/>
  <c r="B212" s="1"/>
  <c r="C211"/>
  <c r="C210"/>
  <c r="B210" s="1"/>
  <c r="C209"/>
  <c r="C208"/>
  <c r="B208" s="1"/>
  <c r="C207"/>
  <c r="C206"/>
  <c r="B206" s="1"/>
  <c r="C205"/>
  <c r="C204"/>
  <c r="B204" s="1"/>
  <c r="C203"/>
  <c r="C202"/>
  <c r="B202" s="1"/>
  <c r="C201"/>
  <c r="C200"/>
  <c r="C199"/>
  <c r="C198"/>
  <c r="C197"/>
  <c r="C196"/>
  <c r="B196" s="1"/>
  <c r="C195"/>
  <c r="C194"/>
  <c r="B194" s="1"/>
  <c r="C193"/>
  <c r="C192"/>
  <c r="B192" s="1"/>
  <c r="C191"/>
  <c r="C190"/>
  <c r="C189"/>
  <c r="C188"/>
  <c r="B188" s="1"/>
  <c r="C187"/>
  <c r="C186"/>
  <c r="B186" s="1"/>
  <c r="C185"/>
  <c r="C184"/>
  <c r="B184" s="1"/>
  <c r="C183"/>
  <c r="C182"/>
  <c r="C181"/>
  <c r="C180"/>
  <c r="B180" s="1"/>
  <c r="C179"/>
  <c r="C178"/>
  <c r="B178" s="1"/>
  <c r="C177"/>
  <c r="C176"/>
  <c r="C175"/>
  <c r="C174"/>
  <c r="B174" s="1"/>
  <c r="C173"/>
  <c r="C172"/>
  <c r="B172" s="1"/>
  <c r="C171"/>
  <c r="C170"/>
  <c r="B170" s="1"/>
  <c r="C169"/>
  <c r="C168"/>
  <c r="B168" s="1"/>
  <c r="C167"/>
  <c r="C166"/>
  <c r="C165"/>
  <c r="C164"/>
  <c r="B164" s="1"/>
  <c r="C163"/>
  <c r="C162"/>
  <c r="B162" s="1"/>
  <c r="C161"/>
  <c r="C160"/>
  <c r="C159"/>
  <c r="C158"/>
  <c r="B158" s="1"/>
  <c r="C157"/>
  <c r="C156"/>
  <c r="B156" s="1"/>
  <c r="C155"/>
  <c r="C154"/>
  <c r="B154" s="1"/>
  <c r="C153"/>
  <c r="C152"/>
  <c r="B152" s="1"/>
  <c r="C151"/>
  <c r="C150"/>
  <c r="C149"/>
  <c r="C148"/>
  <c r="B148" s="1"/>
  <c r="C147"/>
  <c r="C146"/>
  <c r="B146" s="1"/>
  <c r="C145"/>
  <c r="C144"/>
  <c r="B144" s="1"/>
  <c r="C143"/>
  <c r="C142"/>
  <c r="B142" s="1"/>
  <c r="C141"/>
  <c r="C140"/>
  <c r="B140" s="1"/>
  <c r="C139"/>
  <c r="C138"/>
  <c r="B138" s="1"/>
  <c r="C137"/>
  <c r="C136"/>
  <c r="C135"/>
  <c r="C134"/>
  <c r="C133"/>
  <c r="C132"/>
  <c r="B132" s="1"/>
  <c r="C131"/>
  <c r="C130"/>
  <c r="B130" s="1"/>
  <c r="C129"/>
  <c r="C128"/>
  <c r="B128" s="1"/>
  <c r="C127"/>
  <c r="C126"/>
  <c r="C125"/>
  <c r="C124"/>
  <c r="B124" s="1"/>
  <c r="C123"/>
  <c r="C122"/>
  <c r="B122" s="1"/>
  <c r="C121"/>
  <c r="C120"/>
  <c r="B120" s="1"/>
  <c r="C119"/>
  <c r="C118"/>
  <c r="C117"/>
  <c r="C116"/>
  <c r="B116" s="1"/>
  <c r="C115"/>
  <c r="C114"/>
  <c r="B114" s="1"/>
  <c r="C113"/>
  <c r="C112"/>
  <c r="C111"/>
  <c r="C110"/>
  <c r="B110" s="1"/>
  <c r="C109"/>
  <c r="C108"/>
  <c r="B108" s="1"/>
  <c r="C107"/>
  <c r="C106"/>
  <c r="B106" s="1"/>
  <c r="C105"/>
  <c r="C104"/>
  <c r="B104" s="1"/>
  <c r="C103"/>
  <c r="C102"/>
  <c r="C101"/>
  <c r="C100"/>
  <c r="B100" s="1"/>
  <c r="C99"/>
  <c r="C98"/>
  <c r="B98" s="1"/>
  <c r="C97"/>
  <c r="C96"/>
  <c r="B96" s="1"/>
  <c r="C95"/>
  <c r="C94"/>
  <c r="B94" s="1"/>
  <c r="C93"/>
  <c r="C92"/>
  <c r="B92" s="1"/>
  <c r="C91"/>
  <c r="C90"/>
  <c r="B90" s="1"/>
  <c r="C89"/>
  <c r="C88"/>
  <c r="B88" s="1"/>
  <c r="C87"/>
  <c r="C86"/>
  <c r="D86" s="1"/>
  <c r="C85"/>
  <c r="C84"/>
  <c r="B84" s="1"/>
  <c r="C83"/>
  <c r="C82"/>
  <c r="B82" s="1"/>
  <c r="C81"/>
  <c r="C80"/>
  <c r="C79"/>
  <c r="C78"/>
  <c r="B78" s="1"/>
  <c r="C77"/>
  <c r="C76"/>
  <c r="B76" s="1"/>
  <c r="C75"/>
  <c r="C74"/>
  <c r="B74" s="1"/>
  <c r="C73"/>
  <c r="C72"/>
  <c r="C71"/>
  <c r="C70"/>
  <c r="C69"/>
  <c r="C68"/>
  <c r="B68" s="1"/>
  <c r="C67"/>
  <c r="C66"/>
  <c r="B66" s="1"/>
  <c r="C65"/>
  <c r="C64"/>
  <c r="B64" s="1"/>
  <c r="C63"/>
  <c r="C62"/>
  <c r="C61"/>
  <c r="C60"/>
  <c r="B60" s="1"/>
  <c r="C59"/>
  <c r="C58"/>
  <c r="B58" s="1"/>
  <c r="C57"/>
  <c r="C56"/>
  <c r="B56" s="1"/>
  <c r="C43"/>
  <c r="C42"/>
  <c r="B42" s="1"/>
  <c r="C41"/>
  <c r="C28"/>
  <c r="B28" s="1"/>
  <c r="C27"/>
  <c r="D120" l="1"/>
  <c r="D1208"/>
  <c r="D2173"/>
  <c r="D504"/>
  <c r="D1453"/>
  <c r="D1887"/>
  <c r="D728"/>
  <c r="D1837"/>
  <c r="D1252"/>
  <c r="D1439"/>
  <c r="D1477"/>
  <c r="D376"/>
  <c r="D964"/>
  <c r="D1242"/>
  <c r="D1733"/>
  <c r="D1909"/>
  <c r="D248"/>
  <c r="D864"/>
  <c r="D1759"/>
  <c r="D2047"/>
  <c r="D110"/>
  <c r="D238"/>
  <c r="D256"/>
  <c r="D366"/>
  <c r="D494"/>
  <c r="D722"/>
  <c r="D850"/>
  <c r="D954"/>
  <c r="D1012"/>
  <c r="D1236"/>
  <c r="D1333"/>
  <c r="D1791"/>
  <c r="D1861"/>
  <c r="D56"/>
  <c r="D184"/>
  <c r="D312"/>
  <c r="D440"/>
  <c r="D640"/>
  <c r="D780"/>
  <c r="D928"/>
  <c r="D1152"/>
  <c r="D1637"/>
  <c r="D1773"/>
  <c r="D1951"/>
  <c r="D144"/>
  <c r="D400"/>
  <c r="D512"/>
  <c r="D748"/>
  <c r="D876"/>
  <c r="D1202"/>
  <c r="D1573"/>
  <c r="D1695"/>
  <c r="D1989"/>
  <c r="D2127"/>
  <c r="B160"/>
  <c r="D160"/>
  <c r="B594"/>
  <c r="D594"/>
  <c r="B672"/>
  <c r="D672"/>
  <c r="B756"/>
  <c r="D756"/>
  <c r="B1178"/>
  <c r="D1178"/>
  <c r="B1268"/>
  <c r="D1268"/>
  <c r="B2079"/>
  <c r="D2079"/>
  <c r="D64"/>
  <c r="B80"/>
  <c r="D80"/>
  <c r="D302"/>
  <c r="D320"/>
  <c r="B336"/>
  <c r="D336"/>
  <c r="D704"/>
  <c r="B708"/>
  <c r="D708"/>
  <c r="D922"/>
  <c r="D948"/>
  <c r="D1112"/>
  <c r="B1120"/>
  <c r="D1120"/>
  <c r="B1285"/>
  <c r="D1285"/>
  <c r="D1781"/>
  <c r="D2021"/>
  <c r="B2037"/>
  <c r="D2037"/>
  <c r="B416"/>
  <c r="D416"/>
  <c r="B1036"/>
  <c r="D1036"/>
  <c r="B1391"/>
  <c r="D1391"/>
  <c r="B272"/>
  <c r="D272"/>
  <c r="B528"/>
  <c r="D528"/>
  <c r="B698"/>
  <c r="D698"/>
  <c r="B896"/>
  <c r="D896"/>
  <c r="B1106"/>
  <c r="D1106"/>
  <c r="B1172"/>
  <c r="D1172"/>
  <c r="B1274"/>
  <c r="D1274"/>
  <c r="B1341"/>
  <c r="D1341"/>
  <c r="B1509"/>
  <c r="D1509"/>
  <c r="D174"/>
  <c r="D208"/>
  <c r="B224"/>
  <c r="D224"/>
  <c r="D430"/>
  <c r="D464"/>
  <c r="B480"/>
  <c r="D480"/>
  <c r="D600"/>
  <c r="B608"/>
  <c r="D608"/>
  <c r="D762"/>
  <c r="D832"/>
  <c r="B984"/>
  <c r="D984"/>
  <c r="D1184"/>
  <c r="B1188"/>
  <c r="D1188"/>
  <c r="B1327"/>
  <c r="D1327"/>
  <c r="D1397"/>
  <c r="B1405"/>
  <c r="D1405"/>
  <c r="D2101"/>
  <c r="D576"/>
  <c r="D620"/>
  <c r="D666"/>
  <c r="D692"/>
  <c r="D856"/>
  <c r="D960"/>
  <c r="D978"/>
  <c r="D1004"/>
  <c r="D1018"/>
  <c r="D1088"/>
  <c r="D1132"/>
  <c r="D1170"/>
  <c r="D1176"/>
  <c r="D1248"/>
  <c r="D1266"/>
  <c r="D1272"/>
  <c r="D1317"/>
  <c r="D1381"/>
  <c r="D1525"/>
  <c r="D1709"/>
  <c r="D1743"/>
  <c r="D1765"/>
  <c r="D1813"/>
  <c r="D1901"/>
  <c r="D1919"/>
  <c r="D1973"/>
  <c r="D2157"/>
  <c r="D2183"/>
  <c r="B254"/>
  <c r="D254"/>
  <c r="B510"/>
  <c r="D510"/>
  <c r="B612"/>
  <c r="D612"/>
  <c r="B868"/>
  <c r="D868"/>
  <c r="B1517"/>
  <c r="D1517"/>
  <c r="B1807"/>
  <c r="D1807"/>
  <c r="B1917"/>
  <c r="D1917"/>
  <c r="D128"/>
  <c r="B240"/>
  <c r="D240"/>
  <c r="D544"/>
  <c r="D580"/>
  <c r="B660"/>
  <c r="D660"/>
  <c r="D1056"/>
  <c r="D1092"/>
  <c r="D1234"/>
  <c r="D1589"/>
  <c r="D1685"/>
  <c r="B1941"/>
  <c r="D1941"/>
  <c r="B1983"/>
  <c r="D1983"/>
  <c r="B2117"/>
  <c r="D2117"/>
  <c r="B2189"/>
  <c r="D2189"/>
  <c r="B72"/>
  <c r="D72"/>
  <c r="B176"/>
  <c r="D176"/>
  <c r="B432"/>
  <c r="D432"/>
  <c r="B724"/>
  <c r="D724"/>
  <c r="B760"/>
  <c r="D760"/>
  <c r="B980"/>
  <c r="D980"/>
  <c r="B1204"/>
  <c r="D1204"/>
  <c r="B1445"/>
  <c r="D1445"/>
  <c r="B1647"/>
  <c r="D1647"/>
  <c r="B2093"/>
  <c r="D2093"/>
  <c r="B2181"/>
  <c r="D2181"/>
  <c r="B136"/>
  <c r="D136"/>
  <c r="D288"/>
  <c r="B392"/>
  <c r="D392"/>
  <c r="B496"/>
  <c r="D496"/>
  <c r="D570"/>
  <c r="B602"/>
  <c r="D602"/>
  <c r="D836"/>
  <c r="D890"/>
  <c r="D908"/>
  <c r="B1010"/>
  <c r="D1010"/>
  <c r="D1082"/>
  <c r="B1114"/>
  <c r="D1114"/>
  <c r="D1156"/>
  <c r="D1260"/>
  <c r="B1503"/>
  <c r="D1503"/>
  <c r="B1597"/>
  <c r="D1597"/>
  <c r="B1789"/>
  <c r="D1789"/>
  <c r="B2167"/>
  <c r="D2167"/>
  <c r="D96"/>
  <c r="B126"/>
  <c r="D126"/>
  <c r="D192"/>
  <c r="B200"/>
  <c r="D200"/>
  <c r="B304"/>
  <c r="D304"/>
  <c r="D352"/>
  <c r="B382"/>
  <c r="D382"/>
  <c r="D448"/>
  <c r="B456"/>
  <c r="D456"/>
  <c r="D564"/>
  <c r="B596"/>
  <c r="D596"/>
  <c r="D628"/>
  <c r="B632"/>
  <c r="D632"/>
  <c r="D736"/>
  <c r="B740"/>
  <c r="D740"/>
  <c r="D768"/>
  <c r="D794"/>
  <c r="D820"/>
  <c r="B852"/>
  <c r="D852"/>
  <c r="D884"/>
  <c r="B888"/>
  <c r="D888"/>
  <c r="D992"/>
  <c r="B996"/>
  <c r="D996"/>
  <c r="D1024"/>
  <c r="D1050"/>
  <c r="D1076"/>
  <c r="B1108"/>
  <c r="D1108"/>
  <c r="D1140"/>
  <c r="B1144"/>
  <c r="D1144"/>
  <c r="D1216"/>
  <c r="B1220"/>
  <c r="D1220"/>
  <c r="D1461"/>
  <c r="B1469"/>
  <c r="D1469"/>
  <c r="B1583"/>
  <c r="D1583"/>
  <c r="D1663"/>
  <c r="B1679"/>
  <c r="D1679"/>
  <c r="B328"/>
  <c r="D328"/>
  <c r="B1016"/>
  <c r="D1016"/>
  <c r="B1124"/>
  <c r="D1124"/>
  <c r="B62"/>
  <c r="D62"/>
  <c r="B318"/>
  <c r="D318"/>
  <c r="D384"/>
  <c r="D634"/>
  <c r="D652"/>
  <c r="B754"/>
  <c r="D754"/>
  <c r="D800"/>
  <c r="D826"/>
  <c r="B858"/>
  <c r="D858"/>
  <c r="B916"/>
  <c r="D916"/>
  <c r="D1146"/>
  <c r="B1164"/>
  <c r="D1164"/>
  <c r="D1240"/>
  <c r="B1280"/>
  <c r="D1280"/>
  <c r="B1823"/>
  <c r="D1823"/>
  <c r="B1903"/>
  <c r="D1903"/>
  <c r="B112"/>
  <c r="D112"/>
  <c r="B190"/>
  <c r="D190"/>
  <c r="B264"/>
  <c r="D264"/>
  <c r="B368"/>
  <c r="D368"/>
  <c r="B446"/>
  <c r="D446"/>
  <c r="B520"/>
  <c r="D520"/>
  <c r="B626"/>
  <c r="D626"/>
  <c r="B730"/>
  <c r="D730"/>
  <c r="B788"/>
  <c r="D788"/>
  <c r="B882"/>
  <c r="D882"/>
  <c r="B986"/>
  <c r="D986"/>
  <c r="B1044"/>
  <c r="D1044"/>
  <c r="B1138"/>
  <c r="D1138"/>
  <c r="B1210"/>
  <c r="D1210"/>
  <c r="B1455"/>
  <c r="D1455"/>
  <c r="D1519"/>
  <c r="D1533"/>
  <c r="B1541"/>
  <c r="D1541"/>
  <c r="D1653"/>
  <c r="B1661"/>
  <c r="D1661"/>
  <c r="B1775"/>
  <c r="D1775"/>
  <c r="B1855"/>
  <c r="D1855"/>
  <c r="B1893"/>
  <c r="D1893"/>
  <c r="B1965"/>
  <c r="D1965"/>
  <c r="B1999"/>
  <c r="D1999"/>
  <c r="B2045"/>
  <c r="D2045"/>
  <c r="B2141"/>
  <c r="D2141"/>
  <c r="B1871"/>
  <c r="D1871"/>
  <c r="B2031"/>
  <c r="D2031"/>
  <c r="B2069"/>
  <c r="D2069"/>
  <c r="B134"/>
  <c r="D134"/>
  <c r="B892"/>
  <c r="D892"/>
  <c r="B1493"/>
  <c r="D1493"/>
  <c r="B2165"/>
  <c r="D2165"/>
  <c r="B118"/>
  <c r="D118"/>
  <c r="D158"/>
  <c r="D222"/>
  <c r="D296"/>
  <c r="B374"/>
  <c r="D374"/>
  <c r="D414"/>
  <c r="B502"/>
  <c r="D502"/>
  <c r="D548"/>
  <c r="D676"/>
  <c r="D818"/>
  <c r="D932"/>
  <c r="D952"/>
  <c r="D972"/>
  <c r="B988"/>
  <c r="D988"/>
  <c r="D1060"/>
  <c r="D1074"/>
  <c r="D1080"/>
  <c r="D1100"/>
  <c r="B1116"/>
  <c r="D1116"/>
  <c r="D1215"/>
  <c r="B1215"/>
  <c r="D1228"/>
  <c r="B1244"/>
  <c r="D1244"/>
  <c r="D1375"/>
  <c r="D1389"/>
  <c r="D1413"/>
  <c r="B1429"/>
  <c r="D1429"/>
  <c r="D1631"/>
  <c r="D1645"/>
  <c r="B1669"/>
  <c r="D1669"/>
  <c r="D1727"/>
  <c r="B1749"/>
  <c r="D1749"/>
  <c r="D1845"/>
  <c r="B1853"/>
  <c r="D1853"/>
  <c r="B1967"/>
  <c r="D1967"/>
  <c r="D2063"/>
  <c r="B2085"/>
  <c r="D2085"/>
  <c r="B2151"/>
  <c r="D2151"/>
  <c r="B70"/>
  <c r="D70"/>
  <c r="B262"/>
  <c r="D262"/>
  <c r="B326"/>
  <c r="D326"/>
  <c r="B390"/>
  <c r="D390"/>
  <c r="B454"/>
  <c r="D454"/>
  <c r="B518"/>
  <c r="D518"/>
  <c r="B764"/>
  <c r="D764"/>
  <c r="B1148"/>
  <c r="D1148"/>
  <c r="B1276"/>
  <c r="D1276"/>
  <c r="B1701"/>
  <c r="D1701"/>
  <c r="B1981"/>
  <c r="D1981"/>
  <c r="B2095"/>
  <c r="D2095"/>
  <c r="D94"/>
  <c r="D104"/>
  <c r="D168"/>
  <c r="B182"/>
  <c r="D182"/>
  <c r="D232"/>
  <c r="B246"/>
  <c r="D246"/>
  <c r="D286"/>
  <c r="B310"/>
  <c r="D310"/>
  <c r="D350"/>
  <c r="D360"/>
  <c r="D424"/>
  <c r="B438"/>
  <c r="D438"/>
  <c r="D478"/>
  <c r="D488"/>
  <c r="D539"/>
  <c r="B539"/>
  <c r="D542"/>
  <c r="D562"/>
  <c r="D568"/>
  <c r="D588"/>
  <c r="B604"/>
  <c r="D604"/>
  <c r="D690"/>
  <c r="D696"/>
  <c r="D716"/>
  <c r="B732"/>
  <c r="D732"/>
  <c r="D804"/>
  <c r="D824"/>
  <c r="D844"/>
  <c r="B860"/>
  <c r="D860"/>
  <c r="D946"/>
  <c r="D959"/>
  <c r="B959"/>
  <c r="D78"/>
  <c r="D88"/>
  <c r="B102"/>
  <c r="D102"/>
  <c r="D142"/>
  <c r="D152"/>
  <c r="B166"/>
  <c r="D166"/>
  <c r="D206"/>
  <c r="D216"/>
  <c r="B230"/>
  <c r="D230"/>
  <c r="D270"/>
  <c r="D280"/>
  <c r="B294"/>
  <c r="D294"/>
  <c r="D334"/>
  <c r="D344"/>
  <c r="B358"/>
  <c r="D358"/>
  <c r="D398"/>
  <c r="D408"/>
  <c r="B422"/>
  <c r="D422"/>
  <c r="D462"/>
  <c r="D472"/>
  <c r="B486"/>
  <c r="D486"/>
  <c r="D526"/>
  <c r="D536"/>
  <c r="D556"/>
  <c r="B572"/>
  <c r="D572"/>
  <c r="D619"/>
  <c r="B619"/>
  <c r="D644"/>
  <c r="D658"/>
  <c r="D664"/>
  <c r="D684"/>
  <c r="B700"/>
  <c r="D700"/>
  <c r="D747"/>
  <c r="B747"/>
  <c r="D772"/>
  <c r="D786"/>
  <c r="D792"/>
  <c r="D812"/>
  <c r="B828"/>
  <c r="D828"/>
  <c r="D900"/>
  <c r="D914"/>
  <c r="D920"/>
  <c r="D940"/>
  <c r="B956"/>
  <c r="D956"/>
  <c r="D1028"/>
  <c r="D1042"/>
  <c r="D1048"/>
  <c r="D1068"/>
  <c r="B1084"/>
  <c r="D1084"/>
  <c r="D1196"/>
  <c r="B1212"/>
  <c r="D1212"/>
  <c r="D1311"/>
  <c r="D1325"/>
  <c r="D1349"/>
  <c r="B1365"/>
  <c r="D1365"/>
  <c r="D1567"/>
  <c r="D1581"/>
  <c r="D1605"/>
  <c r="B1621"/>
  <c r="D1621"/>
  <c r="D1717"/>
  <c r="B1725"/>
  <c r="D1725"/>
  <c r="B1839"/>
  <c r="D1839"/>
  <c r="D1935"/>
  <c r="B1957"/>
  <c r="D1957"/>
  <c r="D2015"/>
  <c r="D2029"/>
  <c r="B2053"/>
  <c r="D2053"/>
  <c r="D2111"/>
  <c r="B2133"/>
  <c r="D2133"/>
  <c r="B86"/>
  <c r="B198"/>
  <c r="D198"/>
  <c r="B636"/>
  <c r="D636"/>
  <c r="B1020"/>
  <c r="D1020"/>
  <c r="B1797"/>
  <c r="D1797"/>
  <c r="B1877"/>
  <c r="D1877"/>
  <c r="D150"/>
  <c r="B150"/>
  <c r="B214"/>
  <c r="D214"/>
  <c r="B278"/>
  <c r="D278"/>
  <c r="B342"/>
  <c r="D342"/>
  <c r="B406"/>
  <c r="D406"/>
  <c r="B470"/>
  <c r="D470"/>
  <c r="B534"/>
  <c r="D534"/>
  <c r="B668"/>
  <c r="D668"/>
  <c r="B796"/>
  <c r="D796"/>
  <c r="B924"/>
  <c r="D924"/>
  <c r="B1052"/>
  <c r="D1052"/>
  <c r="B1180"/>
  <c r="D1180"/>
  <c r="B1301"/>
  <c r="D1301"/>
  <c r="B1557"/>
  <c r="D1557"/>
  <c r="B1711"/>
  <c r="D1711"/>
  <c r="B1829"/>
  <c r="D1829"/>
  <c r="B1925"/>
  <c r="D1925"/>
  <c r="B2005"/>
  <c r="D2005"/>
  <c r="B2109"/>
  <c r="D2109"/>
  <c r="B491"/>
  <c r="D1438"/>
  <c r="B1438"/>
  <c r="D41"/>
  <c r="B41"/>
  <c r="D65"/>
  <c r="B65"/>
  <c r="D81"/>
  <c r="B81"/>
  <c r="D89"/>
  <c r="B89"/>
  <c r="D105"/>
  <c r="B105"/>
  <c r="D121"/>
  <c r="B121"/>
  <c r="D137"/>
  <c r="B137"/>
  <c r="D153"/>
  <c r="B153"/>
  <c r="D169"/>
  <c r="B169"/>
  <c r="D177"/>
  <c r="B177"/>
  <c r="D193"/>
  <c r="B193"/>
  <c r="D209"/>
  <c r="B209"/>
  <c r="D225"/>
  <c r="B225"/>
  <c r="D241"/>
  <c r="B241"/>
  <c r="D257"/>
  <c r="B257"/>
  <c r="D273"/>
  <c r="B273"/>
  <c r="D289"/>
  <c r="B289"/>
  <c r="D305"/>
  <c r="B305"/>
  <c r="D321"/>
  <c r="B321"/>
  <c r="D337"/>
  <c r="B337"/>
  <c r="D353"/>
  <c r="B353"/>
  <c r="D369"/>
  <c r="B369"/>
  <c r="D377"/>
  <c r="B377"/>
  <c r="D393"/>
  <c r="B393"/>
  <c r="D409"/>
  <c r="B409"/>
  <c r="D425"/>
  <c r="B425"/>
  <c r="D441"/>
  <c r="B441"/>
  <c r="D457"/>
  <c r="B457"/>
  <c r="D473"/>
  <c r="B473"/>
  <c r="D489"/>
  <c r="B489"/>
  <c r="D513"/>
  <c r="B513"/>
  <c r="D529"/>
  <c r="B529"/>
  <c r="D551"/>
  <c r="B551"/>
  <c r="B574"/>
  <c r="D574"/>
  <c r="D597"/>
  <c r="B597"/>
  <c r="B606"/>
  <c r="D606"/>
  <c r="D629"/>
  <c r="B629"/>
  <c r="D635"/>
  <c r="B635"/>
  <c r="D647"/>
  <c r="B647"/>
  <c r="D679"/>
  <c r="B679"/>
  <c r="B702"/>
  <c r="D702"/>
  <c r="D711"/>
  <c r="B711"/>
  <c r="D725"/>
  <c r="B725"/>
  <c r="B734"/>
  <c r="D734"/>
  <c r="B766"/>
  <c r="D766"/>
  <c r="D789"/>
  <c r="B789"/>
  <c r="D795"/>
  <c r="B795"/>
  <c r="D807"/>
  <c r="B807"/>
  <c r="B830"/>
  <c r="D830"/>
  <c r="D853"/>
  <c r="B853"/>
  <c r="D859"/>
  <c r="B859"/>
  <c r="D871"/>
  <c r="B871"/>
  <c r="B894"/>
  <c r="D894"/>
  <c r="D917"/>
  <c r="B917"/>
  <c r="D923"/>
  <c r="B923"/>
  <c r="D935"/>
  <c r="B935"/>
  <c r="B958"/>
  <c r="D958"/>
  <c r="D981"/>
  <c r="B981"/>
  <c r="D987"/>
  <c r="B987"/>
  <c r="D999"/>
  <c r="B999"/>
  <c r="B1022"/>
  <c r="D1022"/>
  <c r="D1031"/>
  <c r="B1031"/>
  <c r="B1054"/>
  <c r="D1054"/>
  <c r="D1077"/>
  <c r="B1077"/>
  <c r="D1083"/>
  <c r="B1083"/>
  <c r="B1118"/>
  <c r="D1118"/>
  <c r="D1141"/>
  <c r="B1141"/>
  <c r="D1147"/>
  <c r="B1147"/>
  <c r="D1159"/>
  <c r="B1159"/>
  <c r="B1182"/>
  <c r="D1182"/>
  <c r="D1205"/>
  <c r="B1205"/>
  <c r="D1211"/>
  <c r="B1211"/>
  <c r="D1223"/>
  <c r="B1223"/>
  <c r="B1246"/>
  <c r="D1246"/>
  <c r="D1269"/>
  <c r="B1269"/>
  <c r="D1275"/>
  <c r="B1275"/>
  <c r="D1288"/>
  <c r="B1288"/>
  <c r="D1315"/>
  <c r="B1315"/>
  <c r="D1322"/>
  <c r="B1322"/>
  <c r="D1328"/>
  <c r="B1328"/>
  <c r="B1335"/>
  <c r="D1335"/>
  <c r="D1356"/>
  <c r="B1356"/>
  <c r="D1362"/>
  <c r="B1362"/>
  <c r="D1369"/>
  <c r="B1369"/>
  <c r="D1382"/>
  <c r="B1382"/>
  <c r="D1392"/>
  <c r="B1392"/>
  <c r="D1416"/>
  <c r="B1416"/>
  <c r="D1433"/>
  <c r="B1433"/>
  <c r="D1446"/>
  <c r="B1446"/>
  <c r="D1460"/>
  <c r="B1460"/>
  <c r="D1480"/>
  <c r="B1480"/>
  <c r="D1507"/>
  <c r="B1507"/>
  <c r="D1514"/>
  <c r="B1514"/>
  <c r="D1520"/>
  <c r="B1520"/>
  <c r="B1527"/>
  <c r="D1527"/>
  <c r="D1548"/>
  <c r="B1548"/>
  <c r="D1554"/>
  <c r="B1554"/>
  <c r="D1561"/>
  <c r="B1561"/>
  <c r="D1574"/>
  <c r="B1574"/>
  <c r="D1588"/>
  <c r="B1588"/>
  <c r="D1608"/>
  <c r="B1608"/>
  <c r="D1635"/>
  <c r="B1635"/>
  <c r="D1642"/>
  <c r="B1642"/>
  <c r="D1648"/>
  <c r="B1648"/>
  <c r="B1655"/>
  <c r="D1655"/>
  <c r="D1699"/>
  <c r="B1699"/>
  <c r="D1706"/>
  <c r="B1706"/>
  <c r="D1712"/>
  <c r="B1712"/>
  <c r="B1719"/>
  <c r="D1719"/>
  <c r="D1763"/>
  <c r="B1763"/>
  <c r="D1770"/>
  <c r="B1770"/>
  <c r="D1776"/>
  <c r="B1776"/>
  <c r="B1783"/>
  <c r="D1783"/>
  <c r="D1827"/>
  <c r="B1827"/>
  <c r="D1834"/>
  <c r="B1834"/>
  <c r="D1840"/>
  <c r="B1840"/>
  <c r="B1847"/>
  <c r="D1847"/>
  <c r="D1891"/>
  <c r="B1891"/>
  <c r="D1898"/>
  <c r="B1898"/>
  <c r="D1908"/>
  <c r="B1908"/>
  <c r="D1955"/>
  <c r="B1955"/>
  <c r="D1962"/>
  <c r="B1962"/>
  <c r="D1968"/>
  <c r="B1968"/>
  <c r="B1975"/>
  <c r="D1975"/>
  <c r="D2019"/>
  <c r="B2019"/>
  <c r="D2026"/>
  <c r="B2026"/>
  <c r="D2032"/>
  <c r="B2032"/>
  <c r="B2039"/>
  <c r="D2039"/>
  <c r="D2083"/>
  <c r="B2083"/>
  <c r="D2090"/>
  <c r="B2090"/>
  <c r="D2096"/>
  <c r="B2096"/>
  <c r="B2103"/>
  <c r="D2103"/>
  <c r="D2148"/>
  <c r="B2148"/>
  <c r="D2155"/>
  <c r="B2155"/>
  <c r="D2162"/>
  <c r="B2162"/>
  <c r="D2168"/>
  <c r="B2168"/>
  <c r="B2175"/>
  <c r="D2175"/>
  <c r="D2192"/>
  <c r="B2192"/>
  <c r="D28"/>
  <c r="D60"/>
  <c r="D63"/>
  <c r="B63"/>
  <c r="D68"/>
  <c r="D76"/>
  <c r="D84"/>
  <c r="D92"/>
  <c r="D100"/>
  <c r="D108"/>
  <c r="D111"/>
  <c r="B111"/>
  <c r="D116"/>
  <c r="D124"/>
  <c r="D132"/>
  <c r="D140"/>
  <c r="D156"/>
  <c r="D159"/>
  <c r="B159"/>
  <c r="D172"/>
  <c r="D188"/>
  <c r="D196"/>
  <c r="D204"/>
  <c r="D212"/>
  <c r="D220"/>
  <c r="D228"/>
  <c r="D236"/>
  <c r="D244"/>
  <c r="D247"/>
  <c r="B247"/>
  <c r="D252"/>
  <c r="D268"/>
  <c r="D271"/>
  <c r="B271"/>
  <c r="D284"/>
  <c r="D292"/>
  <c r="D300"/>
  <c r="D308"/>
  <c r="D316"/>
  <c r="D324"/>
  <c r="D332"/>
  <c r="D340"/>
  <c r="D348"/>
  <c r="D356"/>
  <c r="D364"/>
  <c r="D372"/>
  <c r="D380"/>
  <c r="D388"/>
  <c r="D396"/>
  <c r="D404"/>
  <c r="D412"/>
  <c r="D420"/>
  <c r="D428"/>
  <c r="D436"/>
  <c r="D444"/>
  <c r="D452"/>
  <c r="D460"/>
  <c r="D468"/>
  <c r="D471"/>
  <c r="B471"/>
  <c r="D484"/>
  <c r="D487"/>
  <c r="B487"/>
  <c r="D500"/>
  <c r="D508"/>
  <c r="D511"/>
  <c r="B511"/>
  <c r="D519"/>
  <c r="B519"/>
  <c r="D527"/>
  <c r="B527"/>
  <c r="D535"/>
  <c r="B535"/>
  <c r="D543"/>
  <c r="B543"/>
  <c r="D557"/>
  <c r="B557"/>
  <c r="D560"/>
  <c r="B566"/>
  <c r="D566"/>
  <c r="D586"/>
  <c r="D595"/>
  <c r="B595"/>
  <c r="D607"/>
  <c r="B607"/>
  <c r="D621"/>
  <c r="B621"/>
  <c r="D624"/>
  <c r="B630"/>
  <c r="D630"/>
  <c r="D653"/>
  <c r="B653"/>
  <c r="D656"/>
  <c r="B662"/>
  <c r="D662"/>
  <c r="D682"/>
  <c r="D691"/>
  <c r="B691"/>
  <c r="D703"/>
  <c r="B703"/>
  <c r="D717"/>
  <c r="B717"/>
  <c r="D720"/>
  <c r="B726"/>
  <c r="D726"/>
  <c r="D735"/>
  <c r="B735"/>
  <c r="D749"/>
  <c r="B749"/>
  <c r="D752"/>
  <c r="B758"/>
  <c r="D758"/>
  <c r="D778"/>
  <c r="D787"/>
  <c r="B787"/>
  <c r="B790"/>
  <c r="D790"/>
  <c r="D810"/>
  <c r="D819"/>
  <c r="B819"/>
  <c r="B822"/>
  <c r="D822"/>
  <c r="D842"/>
  <c r="D851"/>
  <c r="B851"/>
  <c r="D863"/>
  <c r="B863"/>
  <c r="D877"/>
  <c r="B877"/>
  <c r="D880"/>
  <c r="B886"/>
  <c r="D886"/>
  <c r="D906"/>
  <c r="D915"/>
  <c r="B915"/>
  <c r="B918"/>
  <c r="D918"/>
  <c r="D938"/>
  <c r="D947"/>
  <c r="B947"/>
  <c r="B950"/>
  <c r="D950"/>
  <c r="D970"/>
  <c r="D979"/>
  <c r="B979"/>
  <c r="D991"/>
  <c r="B991"/>
  <c r="D1005"/>
  <c r="B1005"/>
  <c r="D1008"/>
  <c r="B1014"/>
  <c r="D1014"/>
  <c r="D1034"/>
  <c r="D1043"/>
  <c r="B1043"/>
  <c r="B1046"/>
  <c r="D1046"/>
  <c r="D1066"/>
  <c r="D1075"/>
  <c r="B1075"/>
  <c r="B1078"/>
  <c r="D1078"/>
  <c r="D1098"/>
  <c r="D1107"/>
  <c r="B1107"/>
  <c r="D1119"/>
  <c r="B1119"/>
  <c r="D1133"/>
  <c r="B1133"/>
  <c r="D1136"/>
  <c r="B1142"/>
  <c r="D1142"/>
  <c r="D1162"/>
  <c r="D1171"/>
  <c r="B1171"/>
  <c r="B1174"/>
  <c r="D1174"/>
  <c r="D1194"/>
  <c r="D1203"/>
  <c r="B1203"/>
  <c r="B1206"/>
  <c r="D1206"/>
  <c r="D1226"/>
  <c r="D1235"/>
  <c r="B1235"/>
  <c r="D1247"/>
  <c r="B1247"/>
  <c r="D1261"/>
  <c r="B1261"/>
  <c r="D1264"/>
  <c r="B1270"/>
  <c r="D1270"/>
  <c r="D1282"/>
  <c r="B1282"/>
  <c r="D1289"/>
  <c r="B1289"/>
  <c r="D1299"/>
  <c r="B1299"/>
  <c r="D1306"/>
  <c r="B1306"/>
  <c r="D1309"/>
  <c r="D1316"/>
  <c r="B1316"/>
  <c r="D1336"/>
  <c r="B1336"/>
  <c r="D1363"/>
  <c r="B1363"/>
  <c r="D1370"/>
  <c r="B1370"/>
  <c r="D1373"/>
  <c r="D1380"/>
  <c r="B1380"/>
  <c r="D1400"/>
  <c r="B1400"/>
  <c r="D1423"/>
  <c r="D1430"/>
  <c r="B1430"/>
  <c r="D1434"/>
  <c r="B1434"/>
  <c r="D1437"/>
  <c r="D1444"/>
  <c r="B1444"/>
  <c r="D1464"/>
  <c r="B1464"/>
  <c r="D1487"/>
  <c r="D1494"/>
  <c r="B1494"/>
  <c r="D1504"/>
  <c r="B1504"/>
  <c r="B1511"/>
  <c r="D1511"/>
  <c r="D1532"/>
  <c r="B1532"/>
  <c r="D1538"/>
  <c r="B1538"/>
  <c r="D1545"/>
  <c r="B1545"/>
  <c r="D1555"/>
  <c r="B1555"/>
  <c r="D1562"/>
  <c r="B1562"/>
  <c r="D1565"/>
  <c r="D1572"/>
  <c r="B1572"/>
  <c r="D1592"/>
  <c r="B1592"/>
  <c r="D1615"/>
  <c r="D1622"/>
  <c r="B1622"/>
  <c r="D1632"/>
  <c r="B1632"/>
  <c r="B1639"/>
  <c r="D1639"/>
  <c r="D1683"/>
  <c r="B1683"/>
  <c r="D1690"/>
  <c r="B1690"/>
  <c r="D1693"/>
  <c r="D1700"/>
  <c r="B1700"/>
  <c r="D1737"/>
  <c r="B1737"/>
  <c r="D1750"/>
  <c r="B1750"/>
  <c r="D1760"/>
  <c r="B1760"/>
  <c r="B1767"/>
  <c r="D1767"/>
  <c r="D1811"/>
  <c r="B1811"/>
  <c r="D1818"/>
  <c r="B1818"/>
  <c r="D1821"/>
  <c r="D1828"/>
  <c r="B1828"/>
  <c r="D1865"/>
  <c r="B1865"/>
  <c r="D1878"/>
  <c r="B1878"/>
  <c r="D1888"/>
  <c r="B1888"/>
  <c r="B1895"/>
  <c r="D1895"/>
  <c r="D1939"/>
  <c r="B1939"/>
  <c r="D1946"/>
  <c r="B1946"/>
  <c r="D1949"/>
  <c r="D1956"/>
  <c r="B1956"/>
  <c r="D1993"/>
  <c r="B1993"/>
  <c r="D2003"/>
  <c r="B2003"/>
  <c r="D2010"/>
  <c r="B2010"/>
  <c r="D2013"/>
  <c r="D2020"/>
  <c r="B2020"/>
  <c r="D2057"/>
  <c r="B2057"/>
  <c r="D2070"/>
  <c r="B2070"/>
  <c r="D2080"/>
  <c r="B2080"/>
  <c r="B2087"/>
  <c r="D2087"/>
  <c r="D2131"/>
  <c r="B2131"/>
  <c r="B2149"/>
  <c r="D2149"/>
  <c r="B667"/>
  <c r="B799"/>
  <c r="B1055"/>
  <c r="B1353"/>
  <c r="B14"/>
  <c r="D42"/>
  <c r="D58"/>
  <c r="D61"/>
  <c r="B61"/>
  <c r="D66"/>
  <c r="D69"/>
  <c r="B69"/>
  <c r="D74"/>
  <c r="D77"/>
  <c r="B77"/>
  <c r="D82"/>
  <c r="D85"/>
  <c r="B85"/>
  <c r="D90"/>
  <c r="D93"/>
  <c r="B93"/>
  <c r="D98"/>
  <c r="D101"/>
  <c r="B101"/>
  <c r="D106"/>
  <c r="D109"/>
  <c r="B109"/>
  <c r="D114"/>
  <c r="D117"/>
  <c r="B117"/>
  <c r="D122"/>
  <c r="D125"/>
  <c r="B125"/>
  <c r="D130"/>
  <c r="D133"/>
  <c r="B133"/>
  <c r="D138"/>
  <c r="D141"/>
  <c r="B141"/>
  <c r="D146"/>
  <c r="D149"/>
  <c r="B149"/>
  <c r="D154"/>
  <c r="D157"/>
  <c r="B157"/>
  <c r="D162"/>
  <c r="D165"/>
  <c r="B165"/>
  <c r="D170"/>
  <c r="D173"/>
  <c r="B173"/>
  <c r="D178"/>
  <c r="D181"/>
  <c r="B181"/>
  <c r="D186"/>
  <c r="D189"/>
  <c r="B189"/>
  <c r="D194"/>
  <c r="D197"/>
  <c r="B197"/>
  <c r="D202"/>
  <c r="D205"/>
  <c r="B205"/>
  <c r="D210"/>
  <c r="D213"/>
  <c r="B213"/>
  <c r="D218"/>
  <c r="D221"/>
  <c r="B221"/>
  <c r="D226"/>
  <c r="D229"/>
  <c r="B229"/>
  <c r="D234"/>
  <c r="D237"/>
  <c r="B237"/>
  <c r="D242"/>
  <c r="D245"/>
  <c r="B245"/>
  <c r="D250"/>
  <c r="D253"/>
  <c r="B253"/>
  <c r="D258"/>
  <c r="D261"/>
  <c r="B261"/>
  <c r="D266"/>
  <c r="D269"/>
  <c r="B269"/>
  <c r="D274"/>
  <c r="D277"/>
  <c r="B277"/>
  <c r="D282"/>
  <c r="D285"/>
  <c r="B285"/>
  <c r="D290"/>
  <c r="D293"/>
  <c r="B293"/>
  <c r="D298"/>
  <c r="D301"/>
  <c r="B301"/>
  <c r="D306"/>
  <c r="D309"/>
  <c r="B309"/>
  <c r="D314"/>
  <c r="D317"/>
  <c r="B317"/>
  <c r="D322"/>
  <c r="D325"/>
  <c r="B325"/>
  <c r="D330"/>
  <c r="D333"/>
  <c r="B333"/>
  <c r="D338"/>
  <c r="D341"/>
  <c r="B341"/>
  <c r="D346"/>
  <c r="D349"/>
  <c r="B349"/>
  <c r="D354"/>
  <c r="D357"/>
  <c r="B357"/>
  <c r="D362"/>
  <c r="D365"/>
  <c r="B365"/>
  <c r="D370"/>
  <c r="D373"/>
  <c r="B373"/>
  <c r="D378"/>
  <c r="D381"/>
  <c r="B381"/>
  <c r="D386"/>
  <c r="D389"/>
  <c r="B389"/>
  <c r="D394"/>
  <c r="D397"/>
  <c r="B397"/>
  <c r="D402"/>
  <c r="D405"/>
  <c r="B405"/>
  <c r="D410"/>
  <c r="D413"/>
  <c r="B413"/>
  <c r="D418"/>
  <c r="D421"/>
  <c r="B421"/>
  <c r="D426"/>
  <c r="D429"/>
  <c r="B429"/>
  <c r="D434"/>
  <c r="D437"/>
  <c r="B437"/>
  <c r="D442"/>
  <c r="D445"/>
  <c r="B445"/>
  <c r="D450"/>
  <c r="D453"/>
  <c r="B453"/>
  <c r="D458"/>
  <c r="D461"/>
  <c r="B461"/>
  <c r="D466"/>
  <c r="D469"/>
  <c r="B469"/>
  <c r="D474"/>
  <c r="D477"/>
  <c r="B477"/>
  <c r="D482"/>
  <c r="D485"/>
  <c r="B485"/>
  <c r="D490"/>
  <c r="D493"/>
  <c r="B493"/>
  <c r="D498"/>
  <c r="D501"/>
  <c r="B501"/>
  <c r="D506"/>
  <c r="D509"/>
  <c r="B509"/>
  <c r="D514"/>
  <c r="D517"/>
  <c r="B517"/>
  <c r="D522"/>
  <c r="D525"/>
  <c r="B525"/>
  <c r="D530"/>
  <c r="D533"/>
  <c r="B533"/>
  <c r="D538"/>
  <c r="D541"/>
  <c r="B541"/>
  <c r="D546"/>
  <c r="D549"/>
  <c r="B549"/>
  <c r="D552"/>
  <c r="B558"/>
  <c r="D558"/>
  <c r="D567"/>
  <c r="B567"/>
  <c r="D578"/>
  <c r="D581"/>
  <c r="B581"/>
  <c r="D584"/>
  <c r="D587"/>
  <c r="B587"/>
  <c r="B590"/>
  <c r="D590"/>
  <c r="D599"/>
  <c r="B599"/>
  <c r="D610"/>
  <c r="D613"/>
  <c r="B613"/>
  <c r="D616"/>
  <c r="B622"/>
  <c r="D622"/>
  <c r="D631"/>
  <c r="B631"/>
  <c r="D642"/>
  <c r="D645"/>
  <c r="B645"/>
  <c r="D648"/>
  <c r="D651"/>
  <c r="B651"/>
  <c r="B654"/>
  <c r="D654"/>
  <c r="D663"/>
  <c r="B663"/>
  <c r="D674"/>
  <c r="D677"/>
  <c r="B677"/>
  <c r="D680"/>
  <c r="B686"/>
  <c r="D686"/>
  <c r="D695"/>
  <c r="B695"/>
  <c r="D706"/>
  <c r="D709"/>
  <c r="B709"/>
  <c r="D712"/>
  <c r="D715"/>
  <c r="B715"/>
  <c r="B718"/>
  <c r="D718"/>
  <c r="D727"/>
  <c r="B727"/>
  <c r="D738"/>
  <c r="D741"/>
  <c r="B741"/>
  <c r="D744"/>
  <c r="B750"/>
  <c r="D750"/>
  <c r="D759"/>
  <c r="B759"/>
  <c r="D770"/>
  <c r="D773"/>
  <c r="B773"/>
  <c r="D776"/>
  <c r="D779"/>
  <c r="B779"/>
  <c r="B782"/>
  <c r="D782"/>
  <c r="D791"/>
  <c r="B791"/>
  <c r="D802"/>
  <c r="D805"/>
  <c r="B805"/>
  <c r="D808"/>
  <c r="D811"/>
  <c r="B811"/>
  <c r="B814"/>
  <c r="D814"/>
  <c r="D823"/>
  <c r="B823"/>
  <c r="D834"/>
  <c r="D837"/>
  <c r="B837"/>
  <c r="D840"/>
  <c r="D843"/>
  <c r="B843"/>
  <c r="B846"/>
  <c r="D846"/>
  <c r="D855"/>
  <c r="B855"/>
  <c r="D866"/>
  <c r="D869"/>
  <c r="B869"/>
  <c r="D872"/>
  <c r="D875"/>
  <c r="B875"/>
  <c r="B878"/>
  <c r="D878"/>
  <c r="D887"/>
  <c r="B887"/>
  <c r="D898"/>
  <c r="D901"/>
  <c r="B901"/>
  <c r="D904"/>
  <c r="D907"/>
  <c r="B907"/>
  <c r="B910"/>
  <c r="D910"/>
  <c r="D919"/>
  <c r="B919"/>
  <c r="D930"/>
  <c r="D933"/>
  <c r="B933"/>
  <c r="D936"/>
  <c r="D939"/>
  <c r="B939"/>
  <c r="B942"/>
  <c r="D942"/>
  <c r="D951"/>
  <c r="B951"/>
  <c r="D962"/>
  <c r="D965"/>
  <c r="B965"/>
  <c r="D968"/>
  <c r="D971"/>
  <c r="B971"/>
  <c r="B974"/>
  <c r="D974"/>
  <c r="D983"/>
  <c r="B983"/>
  <c r="D994"/>
  <c r="D997"/>
  <c r="B997"/>
  <c r="D1000"/>
  <c r="D1003"/>
  <c r="B1003"/>
  <c r="B1006"/>
  <c r="D1006"/>
  <c r="D1015"/>
  <c r="B1015"/>
  <c r="D1026"/>
  <c r="D1029"/>
  <c r="B1029"/>
  <c r="D1032"/>
  <c r="D1035"/>
  <c r="B1035"/>
  <c r="B1038"/>
  <c r="D1038"/>
  <c r="D1047"/>
  <c r="B1047"/>
  <c r="D1058"/>
  <c r="D1061"/>
  <c r="B1061"/>
  <c r="D1064"/>
  <c r="D1067"/>
  <c r="B1067"/>
  <c r="B1070"/>
  <c r="D1070"/>
  <c r="D1079"/>
  <c r="B1079"/>
  <c r="D1090"/>
  <c r="D1093"/>
  <c r="B1093"/>
  <c r="D1096"/>
  <c r="D1099"/>
  <c r="B1099"/>
  <c r="B1102"/>
  <c r="D1102"/>
  <c r="D1111"/>
  <c r="B1111"/>
  <c r="D1122"/>
  <c r="D1125"/>
  <c r="B1125"/>
  <c r="D1128"/>
  <c r="D1131"/>
  <c r="B1131"/>
  <c r="B1134"/>
  <c r="D1134"/>
  <c r="D1143"/>
  <c r="B1143"/>
  <c r="D1154"/>
  <c r="D1157"/>
  <c r="B1157"/>
  <c r="D1160"/>
  <c r="D1163"/>
  <c r="B1163"/>
  <c r="B1166"/>
  <c r="D1166"/>
  <c r="D1175"/>
  <c r="B1175"/>
  <c r="D1186"/>
  <c r="D1189"/>
  <c r="B1189"/>
  <c r="D1192"/>
  <c r="D1195"/>
  <c r="B1195"/>
  <c r="B1198"/>
  <c r="D1198"/>
  <c r="D1207"/>
  <c r="B1207"/>
  <c r="D1218"/>
  <c r="D1221"/>
  <c r="B1221"/>
  <c r="D1224"/>
  <c r="D1227"/>
  <c r="B1227"/>
  <c r="B1230"/>
  <c r="D1230"/>
  <c r="D1239"/>
  <c r="B1239"/>
  <c r="D1250"/>
  <c r="D1253"/>
  <c r="B1253"/>
  <c r="D1256"/>
  <c r="D1259"/>
  <c r="B1259"/>
  <c r="B1262"/>
  <c r="D1262"/>
  <c r="D1271"/>
  <c r="B1271"/>
  <c r="D1283"/>
  <c r="B1283"/>
  <c r="D1286"/>
  <c r="B1286"/>
  <c r="D1290"/>
  <c r="B1290"/>
  <c r="D1293"/>
  <c r="D1296"/>
  <c r="B1296"/>
  <c r="D1300"/>
  <c r="B1300"/>
  <c r="B1303"/>
  <c r="D1303"/>
  <c r="D1320"/>
  <c r="B1320"/>
  <c r="D1324"/>
  <c r="B1324"/>
  <c r="D1330"/>
  <c r="B1330"/>
  <c r="D1337"/>
  <c r="B1337"/>
  <c r="D1343"/>
  <c r="D1347"/>
  <c r="B1347"/>
  <c r="D1350"/>
  <c r="B1350"/>
  <c r="D1354"/>
  <c r="B1354"/>
  <c r="D1357"/>
  <c r="D1360"/>
  <c r="B1360"/>
  <c r="D1364"/>
  <c r="B1364"/>
  <c r="B1367"/>
  <c r="D1367"/>
  <c r="D1384"/>
  <c r="B1384"/>
  <c r="D1388"/>
  <c r="B1388"/>
  <c r="D1394"/>
  <c r="B1394"/>
  <c r="D1401"/>
  <c r="B1401"/>
  <c r="D1407"/>
  <c r="D1411"/>
  <c r="B1411"/>
  <c r="D1414"/>
  <c r="B1414"/>
  <c r="D1418"/>
  <c r="B1418"/>
  <c r="D1421"/>
  <c r="D1424"/>
  <c r="B1424"/>
  <c r="D1428"/>
  <c r="B1428"/>
  <c r="B1431"/>
  <c r="D1431"/>
  <c r="D1448"/>
  <c r="B1448"/>
  <c r="D1452"/>
  <c r="B1452"/>
  <c r="D1458"/>
  <c r="B1458"/>
  <c r="D1465"/>
  <c r="B1465"/>
  <c r="D1471"/>
  <c r="D1475"/>
  <c r="B1475"/>
  <c r="D1478"/>
  <c r="B1478"/>
  <c r="D1482"/>
  <c r="B1482"/>
  <c r="D1485"/>
  <c r="D1488"/>
  <c r="B1488"/>
  <c r="D1492"/>
  <c r="B1492"/>
  <c r="B1495"/>
  <c r="D1495"/>
  <c r="D1512"/>
  <c r="B1512"/>
  <c r="D1516"/>
  <c r="B1516"/>
  <c r="D1522"/>
  <c r="B1522"/>
  <c r="D1529"/>
  <c r="B1529"/>
  <c r="D1535"/>
  <c r="D1539"/>
  <c r="B1539"/>
  <c r="D1542"/>
  <c r="B1542"/>
  <c r="D1546"/>
  <c r="B1546"/>
  <c r="D1549"/>
  <c r="D1552"/>
  <c r="B1552"/>
  <c r="D1556"/>
  <c r="B1556"/>
  <c r="B1559"/>
  <c r="D1559"/>
  <c r="D1576"/>
  <c r="B1576"/>
  <c r="D1580"/>
  <c r="B1580"/>
  <c r="D1586"/>
  <c r="B1586"/>
  <c r="D1593"/>
  <c r="B1593"/>
  <c r="D1599"/>
  <c r="D1603"/>
  <c r="B1603"/>
  <c r="D1606"/>
  <c r="B1606"/>
  <c r="D1610"/>
  <c r="B1610"/>
  <c r="D1613"/>
  <c r="D1616"/>
  <c r="B1616"/>
  <c r="D1620"/>
  <c r="B1620"/>
  <c r="B1623"/>
  <c r="D1623"/>
  <c r="D1640"/>
  <c r="B1640"/>
  <c r="D1644"/>
  <c r="B1644"/>
  <c r="D1657"/>
  <c r="B1657"/>
  <c r="D1667"/>
  <c r="B1667"/>
  <c r="D1670"/>
  <c r="B1670"/>
  <c r="D1674"/>
  <c r="B1674"/>
  <c r="D1677"/>
  <c r="D1680"/>
  <c r="B1680"/>
  <c r="D1684"/>
  <c r="B1684"/>
  <c r="B1687"/>
  <c r="D1687"/>
  <c r="D1721"/>
  <c r="B1721"/>
  <c r="D1731"/>
  <c r="B1731"/>
  <c r="D1734"/>
  <c r="B1734"/>
  <c r="D1738"/>
  <c r="B1738"/>
  <c r="D1741"/>
  <c r="D1744"/>
  <c r="B1744"/>
  <c r="D1748"/>
  <c r="B1748"/>
  <c r="B1751"/>
  <c r="D1751"/>
  <c r="D1785"/>
  <c r="B1785"/>
  <c r="D1795"/>
  <c r="B1795"/>
  <c r="D1798"/>
  <c r="B1798"/>
  <c r="D1802"/>
  <c r="B1802"/>
  <c r="D1805"/>
  <c r="D1808"/>
  <c r="B1808"/>
  <c r="D1812"/>
  <c r="B1812"/>
  <c r="B1815"/>
  <c r="D1815"/>
  <c r="D1849"/>
  <c r="B1849"/>
  <c r="D1859"/>
  <c r="B1859"/>
  <c r="D1862"/>
  <c r="B1862"/>
  <c r="D1866"/>
  <c r="B1866"/>
  <c r="D1869"/>
  <c r="D1872"/>
  <c r="B1872"/>
  <c r="D1876"/>
  <c r="B1876"/>
  <c r="B1879"/>
  <c r="D1879"/>
  <c r="D1913"/>
  <c r="B1913"/>
  <c r="D1923"/>
  <c r="B1923"/>
  <c r="D1926"/>
  <c r="B1926"/>
  <c r="D1930"/>
  <c r="B1930"/>
  <c r="D1933"/>
  <c r="D1936"/>
  <c r="B1936"/>
  <c r="D1940"/>
  <c r="B1940"/>
  <c r="B1943"/>
  <c r="D1943"/>
  <c r="D1977"/>
  <c r="B1977"/>
  <c r="D1987"/>
  <c r="B1987"/>
  <c r="D1990"/>
  <c r="B1990"/>
  <c r="D1994"/>
  <c r="B1994"/>
  <c r="D1997"/>
  <c r="D2000"/>
  <c r="B2000"/>
  <c r="D2004"/>
  <c r="B2004"/>
  <c r="B2007"/>
  <c r="D2007"/>
  <c r="D2041"/>
  <c r="B2041"/>
  <c r="D2051"/>
  <c r="B2051"/>
  <c r="D2054"/>
  <c r="B2054"/>
  <c r="D2058"/>
  <c r="B2058"/>
  <c r="D2061"/>
  <c r="D2064"/>
  <c r="B2064"/>
  <c r="D2068"/>
  <c r="B2068"/>
  <c r="B2071"/>
  <c r="D2071"/>
  <c r="D2105"/>
  <c r="B2105"/>
  <c r="D2115"/>
  <c r="B2115"/>
  <c r="D2118"/>
  <c r="B2118"/>
  <c r="D2122"/>
  <c r="B2122"/>
  <c r="D2125"/>
  <c r="D2128"/>
  <c r="B2128"/>
  <c r="D2132"/>
  <c r="B2132"/>
  <c r="B2135"/>
  <c r="D2135"/>
  <c r="B555"/>
  <c r="B683"/>
  <c r="B831"/>
  <c r="B1087"/>
  <c r="D57"/>
  <c r="B57"/>
  <c r="B46" s="1"/>
  <c r="D73"/>
  <c r="B73"/>
  <c r="D97"/>
  <c r="B97"/>
  <c r="D113"/>
  <c r="B113"/>
  <c r="D129"/>
  <c r="B129"/>
  <c r="D145"/>
  <c r="B145"/>
  <c r="D161"/>
  <c r="B161"/>
  <c r="D185"/>
  <c r="B185"/>
  <c r="D201"/>
  <c r="B201"/>
  <c r="D217"/>
  <c r="B217"/>
  <c r="D233"/>
  <c r="B233"/>
  <c r="D249"/>
  <c r="B249"/>
  <c r="D265"/>
  <c r="B265"/>
  <c r="D281"/>
  <c r="B281"/>
  <c r="D297"/>
  <c r="B297"/>
  <c r="D313"/>
  <c r="B313"/>
  <c r="D329"/>
  <c r="B329"/>
  <c r="D345"/>
  <c r="B345"/>
  <c r="D361"/>
  <c r="B361"/>
  <c r="D385"/>
  <c r="B385"/>
  <c r="D401"/>
  <c r="B401"/>
  <c r="D417"/>
  <c r="B417"/>
  <c r="D433"/>
  <c r="B433"/>
  <c r="D449"/>
  <c r="B449"/>
  <c r="D465"/>
  <c r="B465"/>
  <c r="D481"/>
  <c r="B481"/>
  <c r="D497"/>
  <c r="B497"/>
  <c r="D505"/>
  <c r="B505"/>
  <c r="D521"/>
  <c r="B521"/>
  <c r="D537"/>
  <c r="B537"/>
  <c r="D565"/>
  <c r="B565"/>
  <c r="D571"/>
  <c r="B571"/>
  <c r="D583"/>
  <c r="B583"/>
  <c r="D615"/>
  <c r="B615"/>
  <c r="B638"/>
  <c r="D638"/>
  <c r="D661"/>
  <c r="B661"/>
  <c r="B670"/>
  <c r="D670"/>
  <c r="D693"/>
  <c r="B693"/>
  <c r="D699"/>
  <c r="B699"/>
  <c r="D743"/>
  <c r="B743"/>
  <c r="D757"/>
  <c r="B757"/>
  <c r="D763"/>
  <c r="B763"/>
  <c r="D775"/>
  <c r="B775"/>
  <c r="B798"/>
  <c r="D798"/>
  <c r="D821"/>
  <c r="B821"/>
  <c r="D827"/>
  <c r="B827"/>
  <c r="D839"/>
  <c r="B839"/>
  <c r="B862"/>
  <c r="D862"/>
  <c r="D885"/>
  <c r="B885"/>
  <c r="D891"/>
  <c r="B891"/>
  <c r="D903"/>
  <c r="B903"/>
  <c r="B926"/>
  <c r="D926"/>
  <c r="D949"/>
  <c r="B949"/>
  <c r="D955"/>
  <c r="B955"/>
  <c r="D967"/>
  <c r="B967"/>
  <c r="B990"/>
  <c r="D990"/>
  <c r="D1013"/>
  <c r="B1013"/>
  <c r="D1019"/>
  <c r="B1019"/>
  <c r="D1045"/>
  <c r="B1045"/>
  <c r="D1051"/>
  <c r="B1051"/>
  <c r="D1063"/>
  <c r="B1063"/>
  <c r="B1086"/>
  <c r="D1086"/>
  <c r="D1095"/>
  <c r="B1095"/>
  <c r="D1109"/>
  <c r="B1109"/>
  <c r="D1115"/>
  <c r="B1115"/>
  <c r="D1127"/>
  <c r="B1127"/>
  <c r="B1150"/>
  <c r="D1150"/>
  <c r="D1173"/>
  <c r="B1173"/>
  <c r="D1179"/>
  <c r="B1179"/>
  <c r="D1191"/>
  <c r="B1191"/>
  <c r="B1214"/>
  <c r="D1214"/>
  <c r="D1237"/>
  <c r="B1237"/>
  <c r="D1243"/>
  <c r="B1243"/>
  <c r="D1255"/>
  <c r="B1255"/>
  <c r="B1278"/>
  <c r="D1278"/>
  <c r="D1292"/>
  <c r="B1292"/>
  <c r="D1298"/>
  <c r="B1298"/>
  <c r="D1305"/>
  <c r="B1305"/>
  <c r="D1318"/>
  <c r="B1318"/>
  <c r="D1332"/>
  <c r="B1332"/>
  <c r="D1352"/>
  <c r="B1352"/>
  <c r="D1379"/>
  <c r="B1379"/>
  <c r="D1386"/>
  <c r="B1386"/>
  <c r="D1396"/>
  <c r="B1396"/>
  <c r="B1399"/>
  <c r="D1399"/>
  <c r="D1420"/>
  <c r="B1420"/>
  <c r="D1426"/>
  <c r="B1426"/>
  <c r="D1443"/>
  <c r="B1443"/>
  <c r="D1450"/>
  <c r="B1450"/>
  <c r="D1456"/>
  <c r="B1456"/>
  <c r="B1463"/>
  <c r="D1463"/>
  <c r="D1484"/>
  <c r="B1484"/>
  <c r="D1490"/>
  <c r="B1490"/>
  <c r="D1497"/>
  <c r="B1497"/>
  <c r="D1510"/>
  <c r="B1510"/>
  <c r="D1524"/>
  <c r="B1524"/>
  <c r="D1544"/>
  <c r="B1544"/>
  <c r="D1571"/>
  <c r="B1571"/>
  <c r="D1578"/>
  <c r="B1578"/>
  <c r="D1584"/>
  <c r="B1584"/>
  <c r="B1591"/>
  <c r="D1591"/>
  <c r="D1612"/>
  <c r="B1612"/>
  <c r="D1618"/>
  <c r="B1618"/>
  <c r="D1625"/>
  <c r="B1625"/>
  <c r="D1638"/>
  <c r="B1638"/>
  <c r="D1652"/>
  <c r="B1652"/>
  <c r="D1689"/>
  <c r="B1689"/>
  <c r="D1702"/>
  <c r="B1702"/>
  <c r="D1716"/>
  <c r="B1716"/>
  <c r="D1753"/>
  <c r="B1753"/>
  <c r="D1766"/>
  <c r="B1766"/>
  <c r="D1780"/>
  <c r="B1780"/>
  <c r="D1817"/>
  <c r="B1817"/>
  <c r="D1830"/>
  <c r="B1830"/>
  <c r="D1844"/>
  <c r="B1844"/>
  <c r="D1881"/>
  <c r="B1881"/>
  <c r="D1894"/>
  <c r="B1894"/>
  <c r="D1904"/>
  <c r="B1904"/>
  <c r="B1911"/>
  <c r="D1911"/>
  <c r="D1945"/>
  <c r="B1945"/>
  <c r="D1958"/>
  <c r="B1958"/>
  <c r="D1972"/>
  <c r="B1972"/>
  <c r="D2009"/>
  <c r="B2009"/>
  <c r="D2022"/>
  <c r="B2022"/>
  <c r="D2036"/>
  <c r="B2036"/>
  <c r="D2073"/>
  <c r="B2073"/>
  <c r="D2086"/>
  <c r="B2086"/>
  <c r="D2100"/>
  <c r="B2100"/>
  <c r="D2144"/>
  <c r="B2144"/>
  <c r="D2158"/>
  <c r="B2158"/>
  <c r="D2172"/>
  <c r="B2172"/>
  <c r="D71"/>
  <c r="B71"/>
  <c r="D79"/>
  <c r="B79"/>
  <c r="D87"/>
  <c r="B87"/>
  <c r="D95"/>
  <c r="B95"/>
  <c r="D103"/>
  <c r="B103"/>
  <c r="D119"/>
  <c r="B119"/>
  <c r="D127"/>
  <c r="B127"/>
  <c r="D135"/>
  <c r="B135"/>
  <c r="D143"/>
  <c r="B143"/>
  <c r="D148"/>
  <c r="D151"/>
  <c r="B151"/>
  <c r="D164"/>
  <c r="D167"/>
  <c r="B167"/>
  <c r="D175"/>
  <c r="B175"/>
  <c r="D180"/>
  <c r="D183"/>
  <c r="B183"/>
  <c r="D191"/>
  <c r="B191"/>
  <c r="D199"/>
  <c r="B199"/>
  <c r="D207"/>
  <c r="B207"/>
  <c r="D215"/>
  <c r="B215"/>
  <c r="D223"/>
  <c r="B223"/>
  <c r="D231"/>
  <c r="B231"/>
  <c r="D239"/>
  <c r="B239"/>
  <c r="D255"/>
  <c r="B255"/>
  <c r="D260"/>
  <c r="D263"/>
  <c r="B263"/>
  <c r="D276"/>
  <c r="D279"/>
  <c r="B279"/>
  <c r="D287"/>
  <c r="B287"/>
  <c r="D295"/>
  <c r="B295"/>
  <c r="D303"/>
  <c r="B303"/>
  <c r="D311"/>
  <c r="B311"/>
  <c r="D319"/>
  <c r="B319"/>
  <c r="D327"/>
  <c r="B327"/>
  <c r="D335"/>
  <c r="B335"/>
  <c r="D343"/>
  <c r="B343"/>
  <c r="D351"/>
  <c r="B351"/>
  <c r="D359"/>
  <c r="B359"/>
  <c r="D367"/>
  <c r="B367"/>
  <c r="D375"/>
  <c r="B375"/>
  <c r="D383"/>
  <c r="B383"/>
  <c r="D391"/>
  <c r="B391"/>
  <c r="D399"/>
  <c r="B399"/>
  <c r="D407"/>
  <c r="B407"/>
  <c r="D415"/>
  <c r="B415"/>
  <c r="D423"/>
  <c r="B423"/>
  <c r="D431"/>
  <c r="B431"/>
  <c r="D439"/>
  <c r="B439"/>
  <c r="D447"/>
  <c r="B447"/>
  <c r="D455"/>
  <c r="B455"/>
  <c r="D463"/>
  <c r="B463"/>
  <c r="D476"/>
  <c r="D479"/>
  <c r="B479"/>
  <c r="D492"/>
  <c r="D495"/>
  <c r="B495"/>
  <c r="D503"/>
  <c r="B503"/>
  <c r="D516"/>
  <c r="D524"/>
  <c r="D532"/>
  <c r="D540"/>
  <c r="D554"/>
  <c r="D563"/>
  <c r="B563"/>
  <c r="D575"/>
  <c r="B575"/>
  <c r="D589"/>
  <c r="B589"/>
  <c r="D592"/>
  <c r="B598"/>
  <c r="D598"/>
  <c r="D618"/>
  <c r="D627"/>
  <c r="B627"/>
  <c r="D639"/>
  <c r="B639"/>
  <c r="D650"/>
  <c r="D659"/>
  <c r="B659"/>
  <c r="D671"/>
  <c r="B671"/>
  <c r="D685"/>
  <c r="B685"/>
  <c r="D688"/>
  <c r="B694"/>
  <c r="D694"/>
  <c r="D714"/>
  <c r="D723"/>
  <c r="B723"/>
  <c r="D746"/>
  <c r="D755"/>
  <c r="B755"/>
  <c r="D767"/>
  <c r="B767"/>
  <c r="D781"/>
  <c r="B781"/>
  <c r="D784"/>
  <c r="D813"/>
  <c r="B813"/>
  <c r="D816"/>
  <c r="D845"/>
  <c r="B845"/>
  <c r="D848"/>
  <c r="B854"/>
  <c r="D854"/>
  <c r="D874"/>
  <c r="D883"/>
  <c r="B883"/>
  <c r="D895"/>
  <c r="B895"/>
  <c r="D909"/>
  <c r="B909"/>
  <c r="D912"/>
  <c r="D941"/>
  <c r="B941"/>
  <c r="D944"/>
  <c r="D973"/>
  <c r="B973"/>
  <c r="D976"/>
  <c r="B982"/>
  <c r="D982"/>
  <c r="D1002"/>
  <c r="D1011"/>
  <c r="B1011"/>
  <c r="D1023"/>
  <c r="B1023"/>
  <c r="D1037"/>
  <c r="B1037"/>
  <c r="D1040"/>
  <c r="D1069"/>
  <c r="B1069"/>
  <c r="D1072"/>
  <c r="D1101"/>
  <c r="B1101"/>
  <c r="D1104"/>
  <c r="B1110"/>
  <c r="D1110"/>
  <c r="D1130"/>
  <c r="D1139"/>
  <c r="B1139"/>
  <c r="D1151"/>
  <c r="B1151"/>
  <c r="D1165"/>
  <c r="B1165"/>
  <c r="D1168"/>
  <c r="D1197"/>
  <c r="B1197"/>
  <c r="D1200"/>
  <c r="D1229"/>
  <c r="B1229"/>
  <c r="D1232"/>
  <c r="B1238"/>
  <c r="D1238"/>
  <c r="D1258"/>
  <c r="D1267"/>
  <c r="B1267"/>
  <c r="D1279"/>
  <c r="B1279"/>
  <c r="D1295"/>
  <c r="D1302"/>
  <c r="B1302"/>
  <c r="D1312"/>
  <c r="B1312"/>
  <c r="B1319"/>
  <c r="D1319"/>
  <c r="D1340"/>
  <c r="B1340"/>
  <c r="D1346"/>
  <c r="B1346"/>
  <c r="D1359"/>
  <c r="D1366"/>
  <c r="B1366"/>
  <c r="D1376"/>
  <c r="B1376"/>
  <c r="B1383"/>
  <c r="D1383"/>
  <c r="D1404"/>
  <c r="B1404"/>
  <c r="D1410"/>
  <c r="B1410"/>
  <c r="D1417"/>
  <c r="B1417"/>
  <c r="D1427"/>
  <c r="B1427"/>
  <c r="D1440"/>
  <c r="B1440"/>
  <c r="B1447"/>
  <c r="D1447"/>
  <c r="D1468"/>
  <c r="B1468"/>
  <c r="D1474"/>
  <c r="B1474"/>
  <c r="D1481"/>
  <c r="B1481"/>
  <c r="D1491"/>
  <c r="B1491"/>
  <c r="D1498"/>
  <c r="B1498"/>
  <c r="D1501"/>
  <c r="D1508"/>
  <c r="B1508"/>
  <c r="D1528"/>
  <c r="B1528"/>
  <c r="D1551"/>
  <c r="D1558"/>
  <c r="B1558"/>
  <c r="D1568"/>
  <c r="B1568"/>
  <c r="B1575"/>
  <c r="D1575"/>
  <c r="D1596"/>
  <c r="B1596"/>
  <c r="D1602"/>
  <c r="B1602"/>
  <c r="D1609"/>
  <c r="B1609"/>
  <c r="D1619"/>
  <c r="B1619"/>
  <c r="D1626"/>
  <c r="B1626"/>
  <c r="D1629"/>
  <c r="D1636"/>
  <c r="B1636"/>
  <c r="D1673"/>
  <c r="B1673"/>
  <c r="D1686"/>
  <c r="B1686"/>
  <c r="D1696"/>
  <c r="B1696"/>
  <c r="B1703"/>
  <c r="D1703"/>
  <c r="D1747"/>
  <c r="B1747"/>
  <c r="D1754"/>
  <c r="B1754"/>
  <c r="D1757"/>
  <c r="D1764"/>
  <c r="B1764"/>
  <c r="D1801"/>
  <c r="B1801"/>
  <c r="D1814"/>
  <c r="B1814"/>
  <c r="D1824"/>
  <c r="B1824"/>
  <c r="B1831"/>
  <c r="D1831"/>
  <c r="D1875"/>
  <c r="B1875"/>
  <c r="D1882"/>
  <c r="B1882"/>
  <c r="D1885"/>
  <c r="D1892"/>
  <c r="B1892"/>
  <c r="D1929"/>
  <c r="B1929"/>
  <c r="D1942"/>
  <c r="B1942"/>
  <c r="D1952"/>
  <c r="B1952"/>
  <c r="B1959"/>
  <c r="D1959"/>
  <c r="D2006"/>
  <c r="B2006"/>
  <c r="D2016"/>
  <c r="B2016"/>
  <c r="B2023"/>
  <c r="D2023"/>
  <c r="D2067"/>
  <c r="B2067"/>
  <c r="D2074"/>
  <c r="B2074"/>
  <c r="D2077"/>
  <c r="D2084"/>
  <c r="B2084"/>
  <c r="D2121"/>
  <c r="B2121"/>
  <c r="D2138"/>
  <c r="B2138"/>
  <c r="D2145"/>
  <c r="B2145"/>
  <c r="D27"/>
  <c r="B27"/>
  <c r="B17" s="1"/>
  <c r="D43"/>
  <c r="B43"/>
  <c r="D59"/>
  <c r="B59"/>
  <c r="D67"/>
  <c r="B67"/>
  <c r="D75"/>
  <c r="B75"/>
  <c r="D83"/>
  <c r="B83"/>
  <c r="D91"/>
  <c r="B91"/>
  <c r="D99"/>
  <c r="B99"/>
  <c r="D107"/>
  <c r="B107"/>
  <c r="D115"/>
  <c r="B115"/>
  <c r="D123"/>
  <c r="B123"/>
  <c r="D131"/>
  <c r="B131"/>
  <c r="D139"/>
  <c r="B139"/>
  <c r="D147"/>
  <c r="B147"/>
  <c r="D155"/>
  <c r="B155"/>
  <c r="D163"/>
  <c r="B163"/>
  <c r="D171"/>
  <c r="B171"/>
  <c r="D179"/>
  <c r="B179"/>
  <c r="D187"/>
  <c r="B187"/>
  <c r="D195"/>
  <c r="B195"/>
  <c r="D203"/>
  <c r="B203"/>
  <c r="D211"/>
  <c r="B211"/>
  <c r="D219"/>
  <c r="B219"/>
  <c r="D227"/>
  <c r="B227"/>
  <c r="D235"/>
  <c r="B235"/>
  <c r="D243"/>
  <c r="B243"/>
  <c r="D251"/>
  <c r="B251"/>
  <c r="D259"/>
  <c r="B259"/>
  <c r="D267"/>
  <c r="B267"/>
  <c r="D275"/>
  <c r="B275"/>
  <c r="D283"/>
  <c r="B283"/>
  <c r="D291"/>
  <c r="B291"/>
  <c r="D299"/>
  <c r="B299"/>
  <c r="D307"/>
  <c r="B307"/>
  <c r="D315"/>
  <c r="B315"/>
  <c r="D323"/>
  <c r="B323"/>
  <c r="D331"/>
  <c r="B331"/>
  <c r="D339"/>
  <c r="B339"/>
  <c r="D347"/>
  <c r="B347"/>
  <c r="D355"/>
  <c r="B355"/>
  <c r="D363"/>
  <c r="B363"/>
  <c r="D371"/>
  <c r="B371"/>
  <c r="D379"/>
  <c r="B379"/>
  <c r="D387"/>
  <c r="B387"/>
  <c r="D395"/>
  <c r="B395"/>
  <c r="D403"/>
  <c r="B403"/>
  <c r="D411"/>
  <c r="B411"/>
  <c r="D419"/>
  <c r="B419"/>
  <c r="D427"/>
  <c r="B427"/>
  <c r="D435"/>
  <c r="B435"/>
  <c r="D443"/>
  <c r="B443"/>
  <c r="D451"/>
  <c r="B451"/>
  <c r="D459"/>
  <c r="B459"/>
  <c r="D467"/>
  <c r="B467"/>
  <c r="D483"/>
  <c r="B483"/>
  <c r="D499"/>
  <c r="B499"/>
  <c r="D507"/>
  <c r="B507"/>
  <c r="D515"/>
  <c r="B515"/>
  <c r="D523"/>
  <c r="B523"/>
  <c r="D531"/>
  <c r="B531"/>
  <c r="D547"/>
  <c r="B547"/>
  <c r="B550"/>
  <c r="D550"/>
  <c r="D559"/>
  <c r="B559"/>
  <c r="D573"/>
  <c r="B573"/>
  <c r="D579"/>
  <c r="B579"/>
  <c r="B582"/>
  <c r="D582"/>
  <c r="D591"/>
  <c r="B591"/>
  <c r="D605"/>
  <c r="B605"/>
  <c r="D611"/>
  <c r="B611"/>
  <c r="B614"/>
  <c r="D614"/>
  <c r="D623"/>
  <c r="B623"/>
  <c r="D637"/>
  <c r="B637"/>
  <c r="D643"/>
  <c r="B643"/>
  <c r="B646"/>
  <c r="D646"/>
  <c r="D655"/>
  <c r="B655"/>
  <c r="D669"/>
  <c r="B669"/>
  <c r="D675"/>
  <c r="B675"/>
  <c r="B678"/>
  <c r="D678"/>
  <c r="D687"/>
  <c r="B687"/>
  <c r="D701"/>
  <c r="B701"/>
  <c r="D707"/>
  <c r="B707"/>
  <c r="B710"/>
  <c r="D710"/>
  <c r="D719"/>
  <c r="B719"/>
  <c r="D733"/>
  <c r="B733"/>
  <c r="D739"/>
  <c r="B739"/>
  <c r="B742"/>
  <c r="D742"/>
  <c r="D751"/>
  <c r="B751"/>
  <c r="D765"/>
  <c r="B765"/>
  <c r="D771"/>
  <c r="B771"/>
  <c r="B774"/>
  <c r="D774"/>
  <c r="D783"/>
  <c r="B783"/>
  <c r="D797"/>
  <c r="B797"/>
  <c r="D803"/>
  <c r="B803"/>
  <c r="B806"/>
  <c r="D806"/>
  <c r="D815"/>
  <c r="B815"/>
  <c r="D829"/>
  <c r="B829"/>
  <c r="D835"/>
  <c r="B835"/>
  <c r="B838"/>
  <c r="D838"/>
  <c r="D847"/>
  <c r="B847"/>
  <c r="D861"/>
  <c r="B861"/>
  <c r="D867"/>
  <c r="B867"/>
  <c r="B870"/>
  <c r="D870"/>
  <c r="D879"/>
  <c r="B879"/>
  <c r="D893"/>
  <c r="B893"/>
  <c r="D899"/>
  <c r="B899"/>
  <c r="B902"/>
  <c r="D902"/>
  <c r="D911"/>
  <c r="B911"/>
  <c r="D925"/>
  <c r="B925"/>
  <c r="D931"/>
  <c r="B931"/>
  <c r="B934"/>
  <c r="D934"/>
  <c r="D943"/>
  <c r="B943"/>
  <c r="D957"/>
  <c r="B957"/>
  <c r="D963"/>
  <c r="B963"/>
  <c r="B966"/>
  <c r="D966"/>
  <c r="D975"/>
  <c r="B975"/>
  <c r="D989"/>
  <c r="B989"/>
  <c r="D995"/>
  <c r="B995"/>
  <c r="B998"/>
  <c r="D998"/>
  <c r="D1007"/>
  <c r="B1007"/>
  <c r="D1021"/>
  <c r="B1021"/>
  <c r="D1027"/>
  <c r="B1027"/>
  <c r="B1030"/>
  <c r="D1030"/>
  <c r="D1039"/>
  <c r="B1039"/>
  <c r="D1053"/>
  <c r="B1053"/>
  <c r="D1059"/>
  <c r="B1059"/>
  <c r="B1062"/>
  <c r="D1062"/>
  <c r="D1071"/>
  <c r="B1071"/>
  <c r="D1085"/>
  <c r="B1085"/>
  <c r="D1091"/>
  <c r="B1091"/>
  <c r="B1094"/>
  <c r="D1094"/>
  <c r="D1103"/>
  <c r="B1103"/>
  <c r="D1117"/>
  <c r="B1117"/>
  <c r="D1123"/>
  <c r="B1123"/>
  <c r="B1126"/>
  <c r="D1126"/>
  <c r="D1135"/>
  <c r="B1135"/>
  <c r="D1149"/>
  <c r="B1149"/>
  <c r="D1155"/>
  <c r="B1155"/>
  <c r="B1158"/>
  <c r="D1158"/>
  <c r="D1167"/>
  <c r="B1167"/>
  <c r="D1181"/>
  <c r="B1181"/>
  <c r="D1187"/>
  <c r="B1187"/>
  <c r="B1190"/>
  <c r="D1190"/>
  <c r="D1199"/>
  <c r="B1199"/>
  <c r="D1213"/>
  <c r="B1213"/>
  <c r="D1219"/>
  <c r="B1219"/>
  <c r="B1222"/>
  <c r="D1222"/>
  <c r="D1231"/>
  <c r="B1231"/>
  <c r="D1245"/>
  <c r="B1245"/>
  <c r="D1251"/>
  <c r="B1251"/>
  <c r="B1254"/>
  <c r="D1254"/>
  <c r="D1263"/>
  <c r="B1263"/>
  <c r="D1277"/>
  <c r="B1277"/>
  <c r="D1284"/>
  <c r="B1284"/>
  <c r="B1287"/>
  <c r="D1287"/>
  <c r="D1304"/>
  <c r="B1304"/>
  <c r="D1308"/>
  <c r="B1308"/>
  <c r="D1314"/>
  <c r="B1314"/>
  <c r="D1321"/>
  <c r="B1321"/>
  <c r="D1331"/>
  <c r="B1331"/>
  <c r="D1334"/>
  <c r="B1334"/>
  <c r="D1338"/>
  <c r="B1338"/>
  <c r="D1344"/>
  <c r="B1344"/>
  <c r="D1348"/>
  <c r="B1348"/>
  <c r="B1351"/>
  <c r="D1351"/>
  <c r="D1368"/>
  <c r="B1368"/>
  <c r="D1372"/>
  <c r="B1372"/>
  <c r="D1378"/>
  <c r="B1378"/>
  <c r="D1385"/>
  <c r="B1385"/>
  <c r="D1395"/>
  <c r="B1395"/>
  <c r="D1398"/>
  <c r="B1398"/>
  <c r="D1402"/>
  <c r="B1402"/>
  <c r="D1408"/>
  <c r="B1408"/>
  <c r="D1412"/>
  <c r="B1412"/>
  <c r="B1415"/>
  <c r="D1415"/>
  <c r="D1432"/>
  <c r="B1432"/>
  <c r="D1436"/>
  <c r="B1436"/>
  <c r="D1442"/>
  <c r="B1442"/>
  <c r="D1449"/>
  <c r="B1449"/>
  <c r="D1459"/>
  <c r="B1459"/>
  <c r="D1462"/>
  <c r="B1462"/>
  <c r="D1466"/>
  <c r="B1466"/>
  <c r="D1472"/>
  <c r="B1472"/>
  <c r="D1476"/>
  <c r="B1476"/>
  <c r="B1479"/>
  <c r="D1479"/>
  <c r="D1496"/>
  <c r="B1496"/>
  <c r="D1500"/>
  <c r="B1500"/>
  <c r="D1506"/>
  <c r="B1506"/>
  <c r="D1513"/>
  <c r="B1513"/>
  <c r="D1523"/>
  <c r="B1523"/>
  <c r="D1526"/>
  <c r="B1526"/>
  <c r="D1530"/>
  <c r="B1530"/>
  <c r="D1536"/>
  <c r="B1536"/>
  <c r="D1540"/>
  <c r="B1540"/>
  <c r="B1543"/>
  <c r="D1543"/>
  <c r="D1560"/>
  <c r="B1560"/>
  <c r="D1564"/>
  <c r="B1564"/>
  <c r="D1570"/>
  <c r="B1570"/>
  <c r="D1577"/>
  <c r="B1577"/>
  <c r="D1587"/>
  <c r="B1587"/>
  <c r="D1590"/>
  <c r="B1590"/>
  <c r="D1594"/>
  <c r="B1594"/>
  <c r="D1600"/>
  <c r="B1600"/>
  <c r="D1604"/>
  <c r="B1604"/>
  <c r="B1607"/>
  <c r="D1607"/>
  <c r="D1624"/>
  <c r="B1624"/>
  <c r="D1628"/>
  <c r="B1628"/>
  <c r="D1634"/>
  <c r="B1634"/>
  <c r="D1641"/>
  <c r="B1641"/>
  <c r="D1651"/>
  <c r="B1651"/>
  <c r="D1654"/>
  <c r="B1654"/>
  <c r="D1658"/>
  <c r="B1658"/>
  <c r="D1664"/>
  <c r="B1664"/>
  <c r="D1668"/>
  <c r="B1668"/>
  <c r="B1671"/>
  <c r="D1671"/>
  <c r="D1705"/>
  <c r="B1705"/>
  <c r="D1715"/>
  <c r="B1715"/>
  <c r="D1718"/>
  <c r="B1718"/>
  <c r="D1722"/>
  <c r="B1722"/>
  <c r="D1728"/>
  <c r="B1728"/>
  <c r="D1732"/>
  <c r="B1732"/>
  <c r="B1735"/>
  <c r="D1735"/>
  <c r="D1769"/>
  <c r="B1769"/>
  <c r="D1779"/>
  <c r="B1779"/>
  <c r="D1782"/>
  <c r="B1782"/>
  <c r="D1786"/>
  <c r="B1786"/>
  <c r="D1792"/>
  <c r="B1792"/>
  <c r="D1796"/>
  <c r="B1796"/>
  <c r="B1799"/>
  <c r="D1799"/>
  <c r="D1833"/>
  <c r="B1833"/>
  <c r="D1843"/>
  <c r="B1843"/>
  <c r="D1846"/>
  <c r="B1846"/>
  <c r="D1850"/>
  <c r="B1850"/>
  <c r="D1856"/>
  <c r="B1856"/>
  <c r="D1860"/>
  <c r="B1860"/>
  <c r="B1863"/>
  <c r="D1863"/>
  <c r="D1897"/>
  <c r="B1897"/>
  <c r="D1907"/>
  <c r="B1907"/>
  <c r="D1910"/>
  <c r="B1910"/>
  <c r="D1914"/>
  <c r="B1914"/>
  <c r="D1920"/>
  <c r="B1920"/>
  <c r="D1924"/>
  <c r="B1924"/>
  <c r="B1927"/>
  <c r="D1927"/>
  <c r="D1961"/>
  <c r="B1961"/>
  <c r="D1971"/>
  <c r="B1971"/>
  <c r="D1974"/>
  <c r="B1974"/>
  <c r="D1978"/>
  <c r="B1978"/>
  <c r="D1984"/>
  <c r="B1984"/>
  <c r="D1988"/>
  <c r="B1988"/>
  <c r="B1991"/>
  <c r="D1991"/>
  <c r="D2025"/>
  <c r="B2025"/>
  <c r="D2035"/>
  <c r="B2035"/>
  <c r="D2038"/>
  <c r="B2038"/>
  <c r="D2042"/>
  <c r="B2042"/>
  <c r="D2048"/>
  <c r="B2048"/>
  <c r="D2052"/>
  <c r="B2052"/>
  <c r="B2055"/>
  <c r="D2055"/>
  <c r="D2089"/>
  <c r="B2089"/>
  <c r="D2099"/>
  <c r="B2099"/>
  <c r="D2102"/>
  <c r="B2102"/>
  <c r="D2106"/>
  <c r="B2106"/>
  <c r="D2112"/>
  <c r="B2112"/>
  <c r="D2116"/>
  <c r="B2116"/>
  <c r="B2119"/>
  <c r="D2119"/>
  <c r="D2154"/>
  <c r="B2154"/>
  <c r="D2161"/>
  <c r="B2161"/>
  <c r="D2171"/>
  <c r="B2171"/>
  <c r="D2174"/>
  <c r="B2174"/>
  <c r="D2178"/>
  <c r="B2178"/>
  <c r="D2184"/>
  <c r="B2184"/>
  <c r="D2188"/>
  <c r="B2188"/>
  <c r="B2191"/>
  <c r="D2191"/>
  <c r="B475"/>
  <c r="B603"/>
  <c r="B731"/>
  <c r="B927"/>
  <c r="B1183"/>
  <c r="D545"/>
  <c r="B545"/>
  <c r="D553"/>
  <c r="B553"/>
  <c r="D561"/>
  <c r="B561"/>
  <c r="D569"/>
  <c r="B569"/>
  <c r="D577"/>
  <c r="B577"/>
  <c r="D585"/>
  <c r="B585"/>
  <c r="D593"/>
  <c r="B593"/>
  <c r="D601"/>
  <c r="B601"/>
  <c r="D609"/>
  <c r="B609"/>
  <c r="D617"/>
  <c r="B617"/>
  <c r="D625"/>
  <c r="B625"/>
  <c r="D633"/>
  <c r="B633"/>
  <c r="D641"/>
  <c r="B641"/>
  <c r="D649"/>
  <c r="B649"/>
  <c r="D657"/>
  <c r="B657"/>
  <c r="D665"/>
  <c r="B665"/>
  <c r="D673"/>
  <c r="B673"/>
  <c r="D681"/>
  <c r="B681"/>
  <c r="D689"/>
  <c r="B689"/>
  <c r="D697"/>
  <c r="B697"/>
  <c r="D705"/>
  <c r="B705"/>
  <c r="D713"/>
  <c r="B713"/>
  <c r="D721"/>
  <c r="B721"/>
  <c r="D729"/>
  <c r="B729"/>
  <c r="D737"/>
  <c r="B737"/>
  <c r="D745"/>
  <c r="B745"/>
  <c r="D753"/>
  <c r="B753"/>
  <c r="D761"/>
  <c r="B761"/>
  <c r="D769"/>
  <c r="B769"/>
  <c r="D777"/>
  <c r="B777"/>
  <c r="D785"/>
  <c r="B785"/>
  <c r="D793"/>
  <c r="B793"/>
  <c r="D801"/>
  <c r="B801"/>
  <c r="D809"/>
  <c r="B809"/>
  <c r="D817"/>
  <c r="B817"/>
  <c r="D825"/>
  <c r="B825"/>
  <c r="D833"/>
  <c r="B833"/>
  <c r="D841"/>
  <c r="B841"/>
  <c r="D849"/>
  <c r="B849"/>
  <c r="D857"/>
  <c r="B857"/>
  <c r="D865"/>
  <c r="B865"/>
  <c r="D873"/>
  <c r="B873"/>
  <c r="D881"/>
  <c r="B881"/>
  <c r="D889"/>
  <c r="B889"/>
  <c r="D897"/>
  <c r="B897"/>
  <c r="D905"/>
  <c r="B905"/>
  <c r="D913"/>
  <c r="B913"/>
  <c r="D921"/>
  <c r="B921"/>
  <c r="D929"/>
  <c r="B929"/>
  <c r="D937"/>
  <c r="B937"/>
  <c r="D945"/>
  <c r="B945"/>
  <c r="D953"/>
  <c r="B953"/>
  <c r="D961"/>
  <c r="B961"/>
  <c r="D969"/>
  <c r="B969"/>
  <c r="D977"/>
  <c r="B977"/>
  <c r="D985"/>
  <c r="B985"/>
  <c r="D993"/>
  <c r="B993"/>
  <c r="D1001"/>
  <c r="B1001"/>
  <c r="D1009"/>
  <c r="B1009"/>
  <c r="D1017"/>
  <c r="B1017"/>
  <c r="D1025"/>
  <c r="B1025"/>
  <c r="D1033"/>
  <c r="B1033"/>
  <c r="D1041"/>
  <c r="B1041"/>
  <c r="D1049"/>
  <c r="B1049"/>
  <c r="D1057"/>
  <c r="B1057"/>
  <c r="D1065"/>
  <c r="B1065"/>
  <c r="D1073"/>
  <c r="B1073"/>
  <c r="D1081"/>
  <c r="B1081"/>
  <c r="D1089"/>
  <c r="B1089"/>
  <c r="D1097"/>
  <c r="B1097"/>
  <c r="D1105"/>
  <c r="B1105"/>
  <c r="D1113"/>
  <c r="B1113"/>
  <c r="D1121"/>
  <c r="B1121"/>
  <c r="D1129"/>
  <c r="B1129"/>
  <c r="D1137"/>
  <c r="B1137"/>
  <c r="D1145"/>
  <c r="B1145"/>
  <c r="D1153"/>
  <c r="B1153"/>
  <c r="D1161"/>
  <c r="B1161"/>
  <c r="D1169"/>
  <c r="B1169"/>
  <c r="D1177"/>
  <c r="B1177"/>
  <c r="D1185"/>
  <c r="B1185"/>
  <c r="D1193"/>
  <c r="B1193"/>
  <c r="D1201"/>
  <c r="B1201"/>
  <c r="D1209"/>
  <c r="B1209"/>
  <c r="D1217"/>
  <c r="B1217"/>
  <c r="D1225"/>
  <c r="B1225"/>
  <c r="D1233"/>
  <c r="B1233"/>
  <c r="D1241"/>
  <c r="B1241"/>
  <c r="D1249"/>
  <c r="B1249"/>
  <c r="D1257"/>
  <c r="B1257"/>
  <c r="D1265"/>
  <c r="B1265"/>
  <c r="D1273"/>
  <c r="B1273"/>
  <c r="D1281"/>
  <c r="B1281"/>
  <c r="D1291"/>
  <c r="B1291"/>
  <c r="D1294"/>
  <c r="B1294"/>
  <c r="D1307"/>
  <c r="B1307"/>
  <c r="D1310"/>
  <c r="B1310"/>
  <c r="D1313"/>
  <c r="B1313"/>
  <c r="D1323"/>
  <c r="B1323"/>
  <c r="D1326"/>
  <c r="B1326"/>
  <c r="D1329"/>
  <c r="B1329"/>
  <c r="D1339"/>
  <c r="B1339"/>
  <c r="D1342"/>
  <c r="B1342"/>
  <c r="D1345"/>
  <c r="B1345"/>
  <c r="D1355"/>
  <c r="B1355"/>
  <c r="D1358"/>
  <c r="B1358"/>
  <c r="D1361"/>
  <c r="B1361"/>
  <c r="D1371"/>
  <c r="B1371"/>
  <c r="D1374"/>
  <c r="B1374"/>
  <c r="D1377"/>
  <c r="B1377"/>
  <c r="D1387"/>
  <c r="B1387"/>
  <c r="D1390"/>
  <c r="B1390"/>
  <c r="D1393"/>
  <c r="B1393"/>
  <c r="D1403"/>
  <c r="B1403"/>
  <c r="D1406"/>
  <c r="B1406"/>
  <c r="D1409"/>
  <c r="B1409"/>
  <c r="D1419"/>
  <c r="B1419"/>
  <c r="D1422"/>
  <c r="B1422"/>
  <c r="D1425"/>
  <c r="B1425"/>
  <c r="D1435"/>
  <c r="B1435"/>
  <c r="D1441"/>
  <c r="B1441"/>
  <c r="D1451"/>
  <c r="B1451"/>
  <c r="D1454"/>
  <c r="B1454"/>
  <c r="D1457"/>
  <c r="B1457"/>
  <c r="D1467"/>
  <c r="B1467"/>
  <c r="D1470"/>
  <c r="B1470"/>
  <c r="D1473"/>
  <c r="B1473"/>
  <c r="D1483"/>
  <c r="B1483"/>
  <c r="D1486"/>
  <c r="B1486"/>
  <c r="D1489"/>
  <c r="B1489"/>
  <c r="D1499"/>
  <c r="B1499"/>
  <c r="D1502"/>
  <c r="B1502"/>
  <c r="D1505"/>
  <c r="B1505"/>
  <c r="D1515"/>
  <c r="B1515"/>
  <c r="D1518"/>
  <c r="B1518"/>
  <c r="D1521"/>
  <c r="B1521"/>
  <c r="D1531"/>
  <c r="B1531"/>
  <c r="D1534"/>
  <c r="B1534"/>
  <c r="D1537"/>
  <c r="B1537"/>
  <c r="D1547"/>
  <c r="B1547"/>
  <c r="D1550"/>
  <c r="B1550"/>
  <c r="D1553"/>
  <c r="B1553"/>
  <c r="D1563"/>
  <c r="B1563"/>
  <c r="D1566"/>
  <c r="B1566"/>
  <c r="D1569"/>
  <c r="B1569"/>
  <c r="D1579"/>
  <c r="B1579"/>
  <c r="D1582"/>
  <c r="B1582"/>
  <c r="D1585"/>
  <c r="B1585"/>
  <c r="D1595"/>
  <c r="B1595"/>
  <c r="D1598"/>
  <c r="B1598"/>
  <c r="D1601"/>
  <c r="B1601"/>
  <c r="D1611"/>
  <c r="B1611"/>
  <c r="D1614"/>
  <c r="B1614"/>
  <c r="D1617"/>
  <c r="B1617"/>
  <c r="D1627"/>
  <c r="B1627"/>
  <c r="D1630"/>
  <c r="B1630"/>
  <c r="D1633"/>
  <c r="B1633"/>
  <c r="D1643"/>
  <c r="B1643"/>
  <c r="D1646"/>
  <c r="B1646"/>
  <c r="D1649"/>
  <c r="B1649"/>
  <c r="D1659"/>
  <c r="B1659"/>
  <c r="D1662"/>
  <c r="B1662"/>
  <c r="D1665"/>
  <c r="B1665"/>
  <c r="D1675"/>
  <c r="B1675"/>
  <c r="D1678"/>
  <c r="B1678"/>
  <c r="D1681"/>
  <c r="B1681"/>
  <c r="D1691"/>
  <c r="B1691"/>
  <c r="D1694"/>
  <c r="B1694"/>
  <c r="D1697"/>
  <c r="B1697"/>
  <c r="D1707"/>
  <c r="B1707"/>
  <c r="D1710"/>
  <c r="B1710"/>
  <c r="D1713"/>
  <c r="B1713"/>
  <c r="D1723"/>
  <c r="B1723"/>
  <c r="D1726"/>
  <c r="B1726"/>
  <c r="D1729"/>
  <c r="B1729"/>
  <c r="D1739"/>
  <c r="B1739"/>
  <c r="D1742"/>
  <c r="B1742"/>
  <c r="D1745"/>
  <c r="B1745"/>
  <c r="D1755"/>
  <c r="B1755"/>
  <c r="D1758"/>
  <c r="B1758"/>
  <c r="D1761"/>
  <c r="B1761"/>
  <c r="D1771"/>
  <c r="B1771"/>
  <c r="D1774"/>
  <c r="B1774"/>
  <c r="D1777"/>
  <c r="B1777"/>
  <c r="D1787"/>
  <c r="B1787"/>
  <c r="D1790"/>
  <c r="B1790"/>
  <c r="D1793"/>
  <c r="B1793"/>
  <c r="D1803"/>
  <c r="B1803"/>
  <c r="D1806"/>
  <c r="B1806"/>
  <c r="D1809"/>
  <c r="B1809"/>
  <c r="D1819"/>
  <c r="B1819"/>
  <c r="D1822"/>
  <c r="B1822"/>
  <c r="D1825"/>
  <c r="B1825"/>
  <c r="D1835"/>
  <c r="B1835"/>
  <c r="D1838"/>
  <c r="B1838"/>
  <c r="D1841"/>
  <c r="B1841"/>
  <c r="D1851"/>
  <c r="B1851"/>
  <c r="D1854"/>
  <c r="B1854"/>
  <c r="D1857"/>
  <c r="B1857"/>
  <c r="D1867"/>
  <c r="B1867"/>
  <c r="D1870"/>
  <c r="B1870"/>
  <c r="D1873"/>
  <c r="B1873"/>
  <c r="D1883"/>
  <c r="B1883"/>
  <c r="D1886"/>
  <c r="B1886"/>
  <c r="D1889"/>
  <c r="B1889"/>
  <c r="D1899"/>
  <c r="B1899"/>
  <c r="D1902"/>
  <c r="B1902"/>
  <c r="D1905"/>
  <c r="B1905"/>
  <c r="D1915"/>
  <c r="B1915"/>
  <c r="D1918"/>
  <c r="B1918"/>
  <c r="D1921"/>
  <c r="B1921"/>
  <c r="D1931"/>
  <c r="B1931"/>
  <c r="D1934"/>
  <c r="B1934"/>
  <c r="D1937"/>
  <c r="B1937"/>
  <c r="D1947"/>
  <c r="B1947"/>
  <c r="D1950"/>
  <c r="B1950"/>
  <c r="D1953"/>
  <c r="B1953"/>
  <c r="D1963"/>
  <c r="B1963"/>
  <c r="D1966"/>
  <c r="B1966"/>
  <c r="D1969"/>
  <c r="B1969"/>
  <c r="D1979"/>
  <c r="B1979"/>
  <c r="D1982"/>
  <c r="B1982"/>
  <c r="D1985"/>
  <c r="B1985"/>
  <c r="D1995"/>
  <c r="B1995"/>
  <c r="D1998"/>
  <c r="B1998"/>
  <c r="D2001"/>
  <c r="B2001"/>
  <c r="D2011"/>
  <c r="B2011"/>
  <c r="D2014"/>
  <c r="B2014"/>
  <c r="D2017"/>
  <c r="B2017"/>
  <c r="D2027"/>
  <c r="B2027"/>
  <c r="D2030"/>
  <c r="B2030"/>
  <c r="D2033"/>
  <c r="B2033"/>
  <c r="D2043"/>
  <c r="B2043"/>
  <c r="D2046"/>
  <c r="B2046"/>
  <c r="D2049"/>
  <c r="B2049"/>
  <c r="D2059"/>
  <c r="B2059"/>
  <c r="D2062"/>
  <c r="B2062"/>
  <c r="D2065"/>
  <c r="B2065"/>
  <c r="D2075"/>
  <c r="B2075"/>
  <c r="D2078"/>
  <c r="B2078"/>
  <c r="D2081"/>
  <c r="B2081"/>
  <c r="D2091"/>
  <c r="B2091"/>
  <c r="D2094"/>
  <c r="B2094"/>
  <c r="D2097"/>
  <c r="B2097"/>
  <c r="D2107"/>
  <c r="B2107"/>
  <c r="D2110"/>
  <c r="B2110"/>
  <c r="D2113"/>
  <c r="B2113"/>
  <c r="D2123"/>
  <c r="B2123"/>
  <c r="D2126"/>
  <c r="B2126"/>
  <c r="D2129"/>
  <c r="B2129"/>
  <c r="D2139"/>
  <c r="B2139"/>
  <c r="D2142"/>
  <c r="B2142"/>
  <c r="D2146"/>
  <c r="B2146"/>
  <c r="D2152"/>
  <c r="B2152"/>
  <c r="D2156"/>
  <c r="B2156"/>
  <c r="B2159"/>
  <c r="D2159"/>
  <c r="D2176"/>
  <c r="B2176"/>
  <c r="D2180"/>
  <c r="B2180"/>
  <c r="D2186"/>
  <c r="B2186"/>
  <c r="D2193"/>
  <c r="B2193"/>
  <c r="D1650"/>
  <c r="B1650"/>
  <c r="D1656"/>
  <c r="B1656"/>
  <c r="D1660"/>
  <c r="B1660"/>
  <c r="D1666"/>
  <c r="B1666"/>
  <c r="D1672"/>
  <c r="B1672"/>
  <c r="D1676"/>
  <c r="B1676"/>
  <c r="D1682"/>
  <c r="B1682"/>
  <c r="D1688"/>
  <c r="B1688"/>
  <c r="D1692"/>
  <c r="B1692"/>
  <c r="D1698"/>
  <c r="B1698"/>
  <c r="D1708"/>
  <c r="B1708"/>
  <c r="D1714"/>
  <c r="B1714"/>
  <c r="D1720"/>
  <c r="B1720"/>
  <c r="D1724"/>
  <c r="B1724"/>
  <c r="D1730"/>
  <c r="B1730"/>
  <c r="D1736"/>
  <c r="B1736"/>
  <c r="D1740"/>
  <c r="B1740"/>
  <c r="D1746"/>
  <c r="B1746"/>
  <c r="D1752"/>
  <c r="B1752"/>
  <c r="D1756"/>
  <c r="B1756"/>
  <c r="D1762"/>
  <c r="B1762"/>
  <c r="D1768"/>
  <c r="B1768"/>
  <c r="D1772"/>
  <c r="B1772"/>
  <c r="D1778"/>
  <c r="B1778"/>
  <c r="D1784"/>
  <c r="B1784"/>
  <c r="D1788"/>
  <c r="B1788"/>
  <c r="D1794"/>
  <c r="B1794"/>
  <c r="D1800"/>
  <c r="B1800"/>
  <c r="D1804"/>
  <c r="B1804"/>
  <c r="D1810"/>
  <c r="B1810"/>
  <c r="D1816"/>
  <c r="B1816"/>
  <c r="D1820"/>
  <c r="B1820"/>
  <c r="D1826"/>
  <c r="B1826"/>
  <c r="D1832"/>
  <c r="B1832"/>
  <c r="D1836"/>
  <c r="B1836"/>
  <c r="D1842"/>
  <c r="B1842"/>
  <c r="D1848"/>
  <c r="B1848"/>
  <c r="D1852"/>
  <c r="B1852"/>
  <c r="D1858"/>
  <c r="B1858"/>
  <c r="D1864"/>
  <c r="B1864"/>
  <c r="D1868"/>
  <c r="B1868"/>
  <c r="D1874"/>
  <c r="B1874"/>
  <c r="D1880"/>
  <c r="B1880"/>
  <c r="D1884"/>
  <c r="B1884"/>
  <c r="D1890"/>
  <c r="B1890"/>
  <c r="D1896"/>
  <c r="B1896"/>
  <c r="D1900"/>
  <c r="B1900"/>
  <c r="D1906"/>
  <c r="B1906"/>
  <c r="D1912"/>
  <c r="B1912"/>
  <c r="D1916"/>
  <c r="B1916"/>
  <c r="D1922"/>
  <c r="B1922"/>
  <c r="D1928"/>
  <c r="B1928"/>
  <c r="D1932"/>
  <c r="B1932"/>
  <c r="D1938"/>
  <c r="B1938"/>
  <c r="D1944"/>
  <c r="B1944"/>
  <c r="D1948"/>
  <c r="B1948"/>
  <c r="D1954"/>
  <c r="B1954"/>
  <c r="D1960"/>
  <c r="B1960"/>
  <c r="D1964"/>
  <c r="B1964"/>
  <c r="D1970"/>
  <c r="B1970"/>
  <c r="D1976"/>
  <c r="B1976"/>
  <c r="D1980"/>
  <c r="B1980"/>
  <c r="D1986"/>
  <c r="B1986"/>
  <c r="D1992"/>
  <c r="B1992"/>
  <c r="D1996"/>
  <c r="B1996"/>
  <c r="D2002"/>
  <c r="B2002"/>
  <c r="D2008"/>
  <c r="B2008"/>
  <c r="D2012"/>
  <c r="B2012"/>
  <c r="D2018"/>
  <c r="B2018"/>
  <c r="D2024"/>
  <c r="B2024"/>
  <c r="D2028"/>
  <c r="B2028"/>
  <c r="D2034"/>
  <c r="B2034"/>
  <c r="D2040"/>
  <c r="B2040"/>
  <c r="D2044"/>
  <c r="B2044"/>
  <c r="D2050"/>
  <c r="B2050"/>
  <c r="D2056"/>
  <c r="B2056"/>
  <c r="D2060"/>
  <c r="B2060"/>
  <c r="D2066"/>
  <c r="B2066"/>
  <c r="D2072"/>
  <c r="B2072"/>
  <c r="D2076"/>
  <c r="B2076"/>
  <c r="D2082"/>
  <c r="B2082"/>
  <c r="D2088"/>
  <c r="B2088"/>
  <c r="D2092"/>
  <c r="B2092"/>
  <c r="D2098"/>
  <c r="B2098"/>
  <c r="D2104"/>
  <c r="B2104"/>
  <c r="D2108"/>
  <c r="B2108"/>
  <c r="D2114"/>
  <c r="B2114"/>
  <c r="D2120"/>
  <c r="B2120"/>
  <c r="D2124"/>
  <c r="B2124"/>
  <c r="D2130"/>
  <c r="B2130"/>
  <c r="D2136"/>
  <c r="B2136"/>
  <c r="D2140"/>
  <c r="B2140"/>
  <c r="B2143"/>
  <c r="D2143"/>
  <c r="D2160"/>
  <c r="B2160"/>
  <c r="D2164"/>
  <c r="B2164"/>
  <c r="D2170"/>
  <c r="B2170"/>
  <c r="D2177"/>
  <c r="B2177"/>
  <c r="D2187"/>
  <c r="B2187"/>
  <c r="D2190"/>
  <c r="B2190"/>
  <c r="D2194"/>
  <c r="B2194"/>
  <c r="B1297"/>
  <c r="B1704"/>
  <c r="D2134"/>
  <c r="B2134"/>
  <c r="D2137"/>
  <c r="B2137"/>
  <c r="D2147"/>
  <c r="B2147"/>
  <c r="D2150"/>
  <c r="B2150"/>
  <c r="D2153"/>
  <c r="B2153"/>
  <c r="D2163"/>
  <c r="B2163"/>
  <c r="D2166"/>
  <c r="B2166"/>
  <c r="D2169"/>
  <c r="B2169"/>
  <c r="D2179"/>
  <c r="B2179"/>
  <c r="D2182"/>
  <c r="B2182"/>
  <c r="D2185"/>
  <c r="B2185"/>
  <c r="B2195"/>
  <c r="B31" l="1"/>
  <c r="B8" i="15" l="1"/>
  <c r="B9" s="1"/>
  <c r="B10" s="1"/>
  <c r="H63"/>
  <c r="B11" l="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N8"/>
  <c r="N7"/>
  <c r="N63" s="1"/>
  <c r="E1" i="20"/>
  <c r="F1"/>
  <c r="AD189" i="5"/>
  <c r="AE189" s="1"/>
  <c r="AF189" s="1"/>
  <c r="AD188"/>
  <c r="AE188" s="1"/>
  <c r="AD187"/>
  <c r="AE187" s="1"/>
  <c r="AD186"/>
  <c r="AE186" s="1"/>
  <c r="AF186" s="1"/>
  <c r="AD185"/>
  <c r="AE185" s="1"/>
  <c r="AF185" s="1"/>
  <c r="AD184"/>
  <c r="AE184" s="1"/>
  <c r="AD183"/>
  <c r="AE183" s="1"/>
  <c r="AD182"/>
  <c r="AE182" s="1"/>
  <c r="AF182" s="1"/>
  <c r="AD181"/>
  <c r="AE181" s="1"/>
  <c r="AF181" s="1"/>
  <c r="AD180"/>
  <c r="AE180" s="1"/>
  <c r="AD179"/>
  <c r="AE179" s="1"/>
  <c r="AD178"/>
  <c r="AE178" s="1"/>
  <c r="AF178" s="1"/>
  <c r="AD177"/>
  <c r="AE177" s="1"/>
  <c r="AF177" s="1"/>
  <c r="AD176"/>
  <c r="AE176" s="1"/>
  <c r="AD175"/>
  <c r="AE175" s="1"/>
  <c r="AD174"/>
  <c r="AE174" s="1"/>
  <c r="AF174" s="1"/>
  <c r="AD173"/>
  <c r="AE173" s="1"/>
  <c r="AD172"/>
  <c r="AE172" s="1"/>
  <c r="AD171"/>
  <c r="AE171" s="1"/>
  <c r="AF171" s="1"/>
  <c r="AD170"/>
  <c r="AE170" s="1"/>
  <c r="AF170" s="1"/>
  <c r="AD169"/>
  <c r="AE169" s="1"/>
  <c r="AD168"/>
  <c r="AE168" s="1"/>
  <c r="AD167"/>
  <c r="AE167" s="1"/>
  <c r="AF167" s="1"/>
  <c r="AD166"/>
  <c r="AE166" s="1"/>
  <c r="AF166" s="1"/>
  <c r="AD165"/>
  <c r="AE165" s="1"/>
  <c r="AD164"/>
  <c r="AE164" s="1"/>
  <c r="AD163"/>
  <c r="AE163" s="1"/>
  <c r="AF163" s="1"/>
  <c r="AD162"/>
  <c r="AE162" s="1"/>
  <c r="AF162" s="1"/>
  <c r="AD161"/>
  <c r="AE161" s="1"/>
  <c r="AD160"/>
  <c r="AE160" s="1"/>
  <c r="AD159"/>
  <c r="AE159" s="1"/>
  <c r="AF159" s="1"/>
  <c r="AD158"/>
  <c r="AE158" s="1"/>
  <c r="AF158" s="1"/>
  <c r="AD157"/>
  <c r="AE157" s="1"/>
  <c r="AD156"/>
  <c r="AE156" s="1"/>
  <c r="AD155"/>
  <c r="AE155" s="1"/>
  <c r="AF155" s="1"/>
  <c r="AD154"/>
  <c r="AE154" s="1"/>
  <c r="AF154" s="1"/>
  <c r="AD153"/>
  <c r="AE153" s="1"/>
  <c r="AD152"/>
  <c r="AE152" s="1"/>
  <c r="AD151"/>
  <c r="AE151" s="1"/>
  <c r="AF151" s="1"/>
  <c r="AD150"/>
  <c r="AE150" s="1"/>
  <c r="AF150" s="1"/>
  <c r="AD149"/>
  <c r="AE149" s="1"/>
  <c r="AD148"/>
  <c r="AE148" s="1"/>
  <c r="AD147"/>
  <c r="AE147" s="1"/>
  <c r="AF147" s="1"/>
  <c r="AD146"/>
  <c r="AE146" s="1"/>
  <c r="AF146" s="1"/>
  <c r="AD145"/>
  <c r="AE145" s="1"/>
  <c r="AD144"/>
  <c r="AE144" s="1"/>
  <c r="AD143"/>
  <c r="AE143" s="1"/>
  <c r="AF143" s="1"/>
  <c r="AD142"/>
  <c r="AE142" s="1"/>
  <c r="AF142" s="1"/>
  <c r="AD141"/>
  <c r="AE141" s="1"/>
  <c r="AD140"/>
  <c r="AE140" s="1"/>
  <c r="AD139"/>
  <c r="AE139" s="1"/>
  <c r="AD138"/>
  <c r="AE138" s="1"/>
  <c r="AF138" s="1"/>
  <c r="AD137"/>
  <c r="AD136"/>
  <c r="AD135"/>
  <c r="AE135" s="1"/>
  <c r="AF135" s="1"/>
  <c r="AD134"/>
  <c r="AE134" s="1"/>
  <c r="AF134" s="1"/>
  <c r="AD133"/>
  <c r="AD132"/>
  <c r="AD131"/>
  <c r="AE131" s="1"/>
  <c r="AD130"/>
  <c r="AE130" s="1"/>
  <c r="AF130" s="1"/>
  <c r="AD129"/>
  <c r="AD128"/>
  <c r="AE128" s="1"/>
  <c r="AD127"/>
  <c r="AE127" s="1"/>
  <c r="AF127" s="1"/>
  <c r="AD126"/>
  <c r="AE126" s="1"/>
  <c r="AF126" s="1"/>
  <c r="AD125"/>
  <c r="AD124"/>
  <c r="AE124" s="1"/>
  <c r="AD123"/>
  <c r="AE123" s="1"/>
  <c r="AD122"/>
  <c r="AE122" s="1"/>
  <c r="AF122" s="1"/>
  <c r="AD121"/>
  <c r="AD120"/>
  <c r="AD119"/>
  <c r="AE119" s="1"/>
  <c r="AF119" s="1"/>
  <c r="AD118"/>
  <c r="AE118" s="1"/>
  <c r="AF118" s="1"/>
  <c r="AD117"/>
  <c r="AD116"/>
  <c r="AD115"/>
  <c r="AE115" s="1"/>
  <c r="AD114"/>
  <c r="AD113"/>
  <c r="AD112"/>
  <c r="AE112" s="1"/>
  <c r="AD111"/>
  <c r="AE111" s="1"/>
  <c r="AF111" s="1"/>
  <c r="AD110"/>
  <c r="AE110" s="1"/>
  <c r="AF110" s="1"/>
  <c r="AD109"/>
  <c r="AD108"/>
  <c r="AE108" s="1"/>
  <c r="AD106"/>
  <c r="AE106" s="1"/>
  <c r="AD105"/>
  <c r="AE105" s="1"/>
  <c r="AF105" s="1"/>
  <c r="AD104"/>
  <c r="AD103"/>
  <c r="AD102"/>
  <c r="AE102" s="1"/>
  <c r="AF102" s="1"/>
  <c r="AD101"/>
  <c r="AE101" s="1"/>
  <c r="AF101" s="1"/>
  <c r="AD100"/>
  <c r="AD99"/>
  <c r="AD98"/>
  <c r="AE98" s="1"/>
  <c r="AD97"/>
  <c r="AE97" s="1"/>
  <c r="AF97" s="1"/>
  <c r="AD96"/>
  <c r="AD95"/>
  <c r="AE95" s="1"/>
  <c r="AD94"/>
  <c r="AE94" s="1"/>
  <c r="AD93"/>
  <c r="AE93" s="1"/>
  <c r="AF93" s="1"/>
  <c r="AD92"/>
  <c r="AE92" s="1"/>
  <c r="AD91"/>
  <c r="AE91" s="1"/>
  <c r="AD90"/>
  <c r="AE90" s="1"/>
  <c r="AD89"/>
  <c r="AE89" s="1"/>
  <c r="AF89" s="1"/>
  <c r="AD88"/>
  <c r="AE88" s="1"/>
  <c r="AD87"/>
  <c r="AE87" s="1"/>
  <c r="AD86"/>
  <c r="AE86" s="1"/>
  <c r="AD83"/>
  <c r="AE83" s="1"/>
  <c r="AD82"/>
  <c r="AE82" s="1"/>
  <c r="AD81"/>
  <c r="AE81" s="1"/>
  <c r="AF81" s="1"/>
  <c r="AD80"/>
  <c r="AE80" s="1"/>
  <c r="AD79"/>
  <c r="AE79" s="1"/>
  <c r="AD78"/>
  <c r="AE78" s="1"/>
  <c r="AF78" s="1"/>
  <c r="AD77"/>
  <c r="AE77" s="1"/>
  <c r="AD76"/>
  <c r="AE76" s="1"/>
  <c r="AD75"/>
  <c r="AE75" s="1"/>
  <c r="AD74"/>
  <c r="AE74" s="1"/>
  <c r="AF74" s="1"/>
  <c r="AD73"/>
  <c r="AE73" s="1"/>
  <c r="AD72"/>
  <c r="AE72" s="1"/>
  <c r="AF72" s="1"/>
  <c r="AD71"/>
  <c r="AE71" s="1"/>
  <c r="AD70"/>
  <c r="AD69"/>
  <c r="AE69" s="1"/>
  <c r="AF69" s="1"/>
  <c r="AD68"/>
  <c r="AE68" s="1"/>
  <c r="AF68" s="1"/>
  <c r="AD67"/>
  <c r="AE67" s="1"/>
  <c r="AD66"/>
  <c r="AD65"/>
  <c r="AE65" s="1"/>
  <c r="AF65" s="1"/>
  <c r="AD64"/>
  <c r="AE64" s="1"/>
  <c r="AF64" s="1"/>
  <c r="AD63"/>
  <c r="AE63" s="1"/>
  <c r="AD62"/>
  <c r="AD61"/>
  <c r="AE61" s="1"/>
  <c r="AF61" s="1"/>
  <c r="AD60"/>
  <c r="AE60" s="1"/>
  <c r="AF60" s="1"/>
  <c r="AD59"/>
  <c r="AE59" s="1"/>
  <c r="AD58"/>
  <c r="AD57"/>
  <c r="AE57" s="1"/>
  <c r="AF57" s="1"/>
  <c r="AD56"/>
  <c r="AE56" s="1"/>
  <c r="AF56" s="1"/>
  <c r="AD55"/>
  <c r="AE55" s="1"/>
  <c r="AF55" s="1"/>
  <c r="AD54"/>
  <c r="AE54" s="1"/>
  <c r="AD53"/>
  <c r="AD52"/>
  <c r="AE52" s="1"/>
  <c r="AF52" s="1"/>
  <c r="AD51"/>
  <c r="AE51" s="1"/>
  <c r="AF51" s="1"/>
  <c r="AD50"/>
  <c r="AE50" s="1"/>
  <c r="AD49"/>
  <c r="AD48"/>
  <c r="AE48" s="1"/>
  <c r="AF48" s="1"/>
  <c r="AD47"/>
  <c r="AE47" s="1"/>
  <c r="AF47" s="1"/>
  <c r="AD46"/>
  <c r="AE46" s="1"/>
  <c r="AD45"/>
  <c r="AD44"/>
  <c r="AD43"/>
  <c r="AE43" s="1"/>
  <c r="AF43" s="1"/>
  <c r="AD42"/>
  <c r="AE42" s="1"/>
  <c r="AF42" s="1"/>
  <c r="AD41"/>
  <c r="AE41" s="1"/>
  <c r="AD40"/>
  <c r="AD39"/>
  <c r="AE39" s="1"/>
  <c r="AF39" s="1"/>
  <c r="AD38"/>
  <c r="AE38" s="1"/>
  <c r="AF38" s="1"/>
  <c r="AD37"/>
  <c r="AD36"/>
  <c r="AE36" s="1"/>
  <c r="AF36" s="1"/>
  <c r="AD34"/>
  <c r="AE34" s="1"/>
  <c r="AF34" s="1"/>
  <c r="AD33"/>
  <c r="AE33" s="1"/>
  <c r="AD32"/>
  <c r="AD31"/>
  <c r="AD30"/>
  <c r="AE30" s="1"/>
  <c r="AF30" s="1"/>
  <c r="AD29"/>
  <c r="AD28"/>
  <c r="AD27"/>
  <c r="AE27" s="1"/>
  <c r="AD26"/>
  <c r="AE26" s="1"/>
  <c r="AF26" s="1"/>
  <c r="AD25"/>
  <c r="AD24"/>
  <c r="AD23"/>
  <c r="AE23" s="1"/>
  <c r="AD22"/>
  <c r="AE22" s="1"/>
  <c r="AF22" s="1"/>
  <c r="AD21"/>
  <c r="AD20"/>
  <c r="AD19"/>
  <c r="AE19" s="1"/>
  <c r="AF19" s="1"/>
  <c r="AD18"/>
  <c r="AE18" s="1"/>
  <c r="AF18" s="1"/>
  <c r="AD17"/>
  <c r="AD16"/>
  <c r="AD15"/>
  <c r="AE15" s="1"/>
  <c r="AF15" s="1"/>
  <c r="AD14"/>
  <c r="AE14" s="1"/>
  <c r="AF14" s="1"/>
  <c r="AD13"/>
  <c r="AD12"/>
  <c r="AD11"/>
  <c r="AE11" s="1"/>
  <c r="AD10"/>
  <c r="AE10" s="1"/>
  <c r="AF10" s="1"/>
  <c r="AD9"/>
  <c r="AE9" s="1"/>
  <c r="AF9" s="1"/>
  <c r="AD8"/>
  <c r="AD7"/>
  <c r="AD6"/>
  <c r="AE6" s="1"/>
  <c r="AF6" s="1"/>
  <c r="AD5"/>
  <c r="AE5" s="1"/>
  <c r="AF5" s="1"/>
  <c r="AD4"/>
  <c r="I32" i="11"/>
  <c r="I31"/>
  <c r="I30"/>
  <c r="I29"/>
  <c r="I27"/>
  <c r="B4" i="15" l="1"/>
  <c r="S67"/>
  <c r="AF123" i="5"/>
  <c r="AE114"/>
  <c r="AF114" s="1"/>
  <c r="S8" i="15"/>
  <c r="AF23" i="5"/>
  <c r="AF33"/>
  <c r="AF106"/>
  <c r="AF139"/>
  <c r="AF11"/>
  <c r="AF27"/>
  <c r="AE37"/>
  <c r="AF37" s="1"/>
  <c r="AE44"/>
  <c r="AF44" s="1"/>
  <c r="AE49"/>
  <c r="AF49" s="1"/>
  <c r="AE62"/>
  <c r="AF62" s="1"/>
  <c r="AE70"/>
  <c r="AF70" s="1"/>
  <c r="AF80"/>
  <c r="AF83"/>
  <c r="AF91"/>
  <c r="AF98"/>
  <c r="AE103"/>
  <c r="AF103" s="1"/>
  <c r="AF112"/>
  <c r="AE116"/>
  <c r="AF116" s="1"/>
  <c r="AF124"/>
  <c r="AF131"/>
  <c r="AE136"/>
  <c r="AF136" s="1"/>
  <c r="AF144"/>
  <c r="AF152"/>
  <c r="AF160"/>
  <c r="AF168"/>
  <c r="AF175"/>
  <c r="AF183"/>
  <c r="AE40"/>
  <c r="AF40" s="1"/>
  <c r="AE45"/>
  <c r="AF45" s="1"/>
  <c r="AE53"/>
  <c r="AF53" s="1"/>
  <c r="AE58"/>
  <c r="AF58" s="1"/>
  <c r="AE66"/>
  <c r="AF66" s="1"/>
  <c r="AF76"/>
  <c r="AF87"/>
  <c r="AF95"/>
  <c r="AE99"/>
  <c r="AF99" s="1"/>
  <c r="AF108"/>
  <c r="AF115"/>
  <c r="AE120"/>
  <c r="AF120" s="1"/>
  <c r="AF128"/>
  <c r="AE132"/>
  <c r="AF132" s="1"/>
  <c r="AF140"/>
  <c r="AF148"/>
  <c r="AF156"/>
  <c r="AF164"/>
  <c r="AF172"/>
  <c r="AF179"/>
  <c r="AF187"/>
  <c r="AE104"/>
  <c r="AF104" s="1"/>
  <c r="AE121"/>
  <c r="AF121" s="1"/>
  <c r="AE96"/>
  <c r="AF96" s="1"/>
  <c r="AE113"/>
  <c r="AF113" s="1"/>
  <c r="AE129"/>
  <c r="AF129" s="1"/>
  <c r="AF73"/>
  <c r="AF75"/>
  <c r="AF77"/>
  <c r="AF79"/>
  <c r="AF82"/>
  <c r="AF86"/>
  <c r="AF88"/>
  <c r="AF90"/>
  <c r="AF92"/>
  <c r="AF94"/>
  <c r="AE109"/>
  <c r="AF109" s="1"/>
  <c r="AE125"/>
  <c r="AF125" s="1"/>
  <c r="AE137"/>
  <c r="AF137" s="1"/>
  <c r="AE100"/>
  <c r="AF100" s="1"/>
  <c r="AE117"/>
  <c r="AF117" s="1"/>
  <c r="AE133"/>
  <c r="AF133" s="1"/>
  <c r="AF141"/>
  <c r="AF145"/>
  <c r="AF149"/>
  <c r="AF153"/>
  <c r="AF157"/>
  <c r="AF161"/>
  <c r="AF165"/>
  <c r="AF169"/>
  <c r="AF173"/>
  <c r="AF176"/>
  <c r="AF180"/>
  <c r="AF184"/>
  <c r="AF188"/>
  <c r="AF41"/>
  <c r="AF46"/>
  <c r="AF50"/>
  <c r="AF54"/>
  <c r="AF59"/>
  <c r="AF63"/>
  <c r="AF67"/>
  <c r="AF71"/>
  <c r="AE8"/>
  <c r="AF8" s="1"/>
  <c r="AE13"/>
  <c r="AF13" s="1"/>
  <c r="AE17"/>
  <c r="AF17" s="1"/>
  <c r="AE21"/>
  <c r="AF21" s="1"/>
  <c r="AE25"/>
  <c r="AF25" s="1"/>
  <c r="AE29"/>
  <c r="AF29" s="1"/>
  <c r="AE31"/>
  <c r="AF31" s="1"/>
  <c r="AE7"/>
  <c r="AF7" s="1"/>
  <c r="AE12"/>
  <c r="AF12" s="1"/>
  <c r="AE16"/>
  <c r="AF16" s="1"/>
  <c r="AE20"/>
  <c r="AF20" s="1"/>
  <c r="AE24"/>
  <c r="AF24" s="1"/>
  <c r="AE28"/>
  <c r="AF28" s="1"/>
  <c r="AE32"/>
  <c r="AF32" s="1"/>
  <c r="T8" i="15" l="1"/>
  <c r="S63"/>
  <c r="R66"/>
  <c r="T63" l="1"/>
  <c r="B1" i="6"/>
  <c r="M34" i="1"/>
  <c r="L37"/>
  <c r="D19" l="1"/>
  <c r="B1" i="7" l="1"/>
  <c r="G10" i="1"/>
  <c r="K10" s="1"/>
  <c r="G6"/>
  <c r="K6" s="1"/>
  <c r="G9"/>
  <c r="K9" s="1"/>
  <c r="X24" i="21"/>
  <c r="X22" l="1"/>
  <c r="X23"/>
  <c r="M140" i="5"/>
  <c r="M216" s="1"/>
  <c r="L140"/>
  <c r="L216" s="1"/>
  <c r="X1" i="21" l="1"/>
  <c r="S140" i="5"/>
  <c r="R140"/>
  <c r="T140" l="1"/>
  <c r="S216"/>
  <c r="U140"/>
  <c r="R216"/>
  <c r="D71" i="27"/>
  <c r="D48" s="1"/>
  <c r="D45" s="1"/>
  <c r="E7" i="11" l="1"/>
  <c r="U216" i="5"/>
  <c r="T216"/>
  <c r="T217" s="1"/>
  <c r="V140"/>
  <c r="W140"/>
  <c r="E9" i="11" l="1"/>
  <c r="U217" i="5"/>
  <c r="T222" s="1"/>
  <c r="I140" i="6"/>
  <c r="I216" s="1"/>
  <c r="V216" i="5"/>
  <c r="H140" i="6"/>
  <c r="AA140" i="5"/>
  <c r="E24" i="11"/>
  <c r="E26" s="1"/>
  <c r="E28" s="1"/>
  <c r="I19" i="12" s="1"/>
  <c r="H216" i="6" l="1"/>
  <c r="L140"/>
  <c r="M140"/>
  <c r="M216" s="1"/>
  <c r="H71" i="27"/>
  <c r="E33" i="11"/>
  <c r="E36" s="1"/>
  <c r="I17"/>
  <c r="I13"/>
  <c r="I23"/>
  <c r="I10"/>
  <c r="E32" i="26" s="1"/>
  <c r="I18" i="11"/>
  <c r="I21"/>
  <c r="I22"/>
  <c r="I20"/>
  <c r="I14"/>
  <c r="H49" i="27"/>
  <c r="H65"/>
  <c r="H50"/>
  <c r="H72"/>
  <c r="J19" i="12"/>
  <c r="S140" i="6" l="1"/>
  <c r="L216"/>
  <c r="R140"/>
  <c r="I19" i="11"/>
  <c r="K390" i="40" s="1"/>
  <c r="J394" s="1"/>
  <c r="D52" i="29"/>
  <c r="E46" i="26" s="1"/>
  <c r="H91" i="27"/>
  <c r="H51"/>
  <c r="I8" i="11"/>
  <c r="I15"/>
  <c r="M431" i="40" s="1"/>
  <c r="N431" s="1"/>
  <c r="I11" i="11"/>
  <c r="J384" i="40" s="1"/>
  <c r="J386" s="1"/>
  <c r="E42" i="26" l="1"/>
  <c r="M375" i="40"/>
  <c r="N375" s="1"/>
  <c r="H28" i="29"/>
  <c r="E65" i="26"/>
  <c r="U140" i="6"/>
  <c r="R216"/>
  <c r="S216"/>
  <c r="T140"/>
  <c r="H53" i="27"/>
  <c r="G66" i="29"/>
  <c r="F21" i="10"/>
  <c r="F7" i="11" l="1"/>
  <c r="T216" i="6"/>
  <c r="W140"/>
  <c r="I140" i="7" s="1"/>
  <c r="I216" s="1"/>
  <c r="U216" i="6"/>
  <c r="V140"/>
  <c r="H140" i="7" s="1"/>
  <c r="H216" l="1"/>
  <c r="M140"/>
  <c r="M216" s="1"/>
  <c r="L140"/>
  <c r="T217" i="6"/>
  <c r="U217"/>
  <c r="V216"/>
  <c r="W216"/>
  <c r="F9" i="11"/>
  <c r="F24" s="1"/>
  <c r="F26" s="1"/>
  <c r="AA140" i="6"/>
  <c r="T222" l="1"/>
  <c r="R140" i="7"/>
  <c r="L216"/>
  <c r="S140"/>
  <c r="H49" i="10"/>
  <c r="H40"/>
  <c r="H41"/>
  <c r="H14"/>
  <c r="H23"/>
  <c r="H16"/>
  <c r="H35"/>
  <c r="H22"/>
  <c r="T140" i="7" l="1"/>
  <c r="S216"/>
  <c r="R216"/>
  <c r="U140"/>
  <c r="H15" i="10"/>
  <c r="H26"/>
  <c r="H25"/>
  <c r="H47"/>
  <c r="H52" s="1"/>
  <c r="H12"/>
  <c r="H56"/>
  <c r="H43"/>
  <c r="H62"/>
  <c r="H44"/>
  <c r="H61"/>
  <c r="H38"/>
  <c r="H10"/>
  <c r="G7" i="11" l="1"/>
  <c r="U216" i="7"/>
  <c r="V140"/>
  <c r="T216"/>
  <c r="W140"/>
  <c r="H28" i="10"/>
  <c r="H37"/>
  <c r="H34"/>
  <c r="H11"/>
  <c r="H21"/>
  <c r="H27"/>
  <c r="A96" i="20"/>
  <c r="A97"/>
  <c r="A98"/>
  <c r="A99"/>
  <c r="B3433" i="21"/>
  <c r="B3432"/>
  <c r="B3431"/>
  <c r="B3430"/>
  <c r="B3429"/>
  <c r="B3428"/>
  <c r="B3427"/>
  <c r="B3426"/>
  <c r="B3425"/>
  <c r="B3424"/>
  <c r="B3423"/>
  <c r="B3422"/>
  <c r="B3421"/>
  <c r="B3420"/>
  <c r="B3419"/>
  <c r="B3418"/>
  <c r="B3417"/>
  <c r="B3416"/>
  <c r="B3415"/>
  <c r="B3414"/>
  <c r="B3413"/>
  <c r="B3412"/>
  <c r="B3411"/>
  <c r="B3410"/>
  <c r="B3409"/>
  <c r="B3408"/>
  <c r="B3407"/>
  <c r="B3406"/>
  <c r="B3405"/>
  <c r="B3404"/>
  <c r="B3403"/>
  <c r="B3402"/>
  <c r="B3401"/>
  <c r="B3400"/>
  <c r="B3399"/>
  <c r="B3398"/>
  <c r="B3397"/>
  <c r="B3396"/>
  <c r="B3395"/>
  <c r="B3394"/>
  <c r="B3393"/>
  <c r="B3392"/>
  <c r="B3391"/>
  <c r="B3390"/>
  <c r="B3389"/>
  <c r="B3388"/>
  <c r="B3387"/>
  <c r="B3386"/>
  <c r="B3385"/>
  <c r="B3384"/>
  <c r="B3383"/>
  <c r="B3382"/>
  <c r="B3381"/>
  <c r="B3380"/>
  <c r="B3379"/>
  <c r="B3378"/>
  <c r="B3377"/>
  <c r="B3376"/>
  <c r="B3375"/>
  <c r="B3374"/>
  <c r="B3373"/>
  <c r="B3372"/>
  <c r="B3371"/>
  <c r="B3370"/>
  <c r="B3369"/>
  <c r="B3368"/>
  <c r="B3367"/>
  <c r="B3366"/>
  <c r="B3365"/>
  <c r="B3364"/>
  <c r="B3363"/>
  <c r="B3362"/>
  <c r="B3361"/>
  <c r="B3360"/>
  <c r="B3359"/>
  <c r="B3358"/>
  <c r="B3357"/>
  <c r="B3356"/>
  <c r="B3355"/>
  <c r="B3354"/>
  <c r="B3353"/>
  <c r="B3352"/>
  <c r="B3351"/>
  <c r="B3350"/>
  <c r="B3349"/>
  <c r="B3348"/>
  <c r="B3347"/>
  <c r="B3346"/>
  <c r="B3345"/>
  <c r="B3344"/>
  <c r="B3343"/>
  <c r="B3342"/>
  <c r="B3341"/>
  <c r="B3340"/>
  <c r="B3339"/>
  <c r="B3338"/>
  <c r="B3337"/>
  <c r="B3336"/>
  <c r="B3335"/>
  <c r="B3334"/>
  <c r="B3333"/>
  <c r="B3332"/>
  <c r="B3331"/>
  <c r="B3330"/>
  <c r="B3329"/>
  <c r="B3328"/>
  <c r="B3327"/>
  <c r="B3326"/>
  <c r="B3325"/>
  <c r="B3324"/>
  <c r="B3323"/>
  <c r="B3322"/>
  <c r="B3321"/>
  <c r="B3320"/>
  <c r="B3319"/>
  <c r="B3318"/>
  <c r="B3317"/>
  <c r="B3316"/>
  <c r="B3315"/>
  <c r="B3314"/>
  <c r="B3313"/>
  <c r="B3312"/>
  <c r="B3311"/>
  <c r="B3310"/>
  <c r="B3309"/>
  <c r="B3308"/>
  <c r="B3307"/>
  <c r="B3306"/>
  <c r="B3305"/>
  <c r="B3304"/>
  <c r="B3303"/>
  <c r="B3302"/>
  <c r="B3301"/>
  <c r="B3300"/>
  <c r="B3299"/>
  <c r="B3298"/>
  <c r="B3297"/>
  <c r="B3296"/>
  <c r="B3295"/>
  <c r="B3294"/>
  <c r="B3293"/>
  <c r="B3292"/>
  <c r="B3291"/>
  <c r="B3290"/>
  <c r="B3289"/>
  <c r="B3288"/>
  <c r="B3287"/>
  <c r="B3286"/>
  <c r="B3285"/>
  <c r="B3284"/>
  <c r="B3283"/>
  <c r="B3282"/>
  <c r="B3281"/>
  <c r="B3280"/>
  <c r="B3279"/>
  <c r="B3278"/>
  <c r="B3277"/>
  <c r="B3276"/>
  <c r="B3275"/>
  <c r="B3274"/>
  <c r="B3273"/>
  <c r="B3272"/>
  <c r="B3271"/>
  <c r="B3270"/>
  <c r="B3269"/>
  <c r="B3268"/>
  <c r="B3267"/>
  <c r="B3266"/>
  <c r="B3265"/>
  <c r="B3264"/>
  <c r="B3263"/>
  <c r="B3262"/>
  <c r="B3261"/>
  <c r="B3260"/>
  <c r="B3259"/>
  <c r="B3258"/>
  <c r="B3257"/>
  <c r="B3256"/>
  <c r="B3255"/>
  <c r="B3254"/>
  <c r="B3253"/>
  <c r="B3252"/>
  <c r="B3251"/>
  <c r="B3250"/>
  <c r="B3249"/>
  <c r="B3248"/>
  <c r="B3247"/>
  <c r="B3246"/>
  <c r="B3245"/>
  <c r="B3244"/>
  <c r="B3243"/>
  <c r="B3242"/>
  <c r="B3241"/>
  <c r="B3240"/>
  <c r="B3239"/>
  <c r="B3238"/>
  <c r="B3237"/>
  <c r="B3236"/>
  <c r="B3235"/>
  <c r="B3234"/>
  <c r="B3233"/>
  <c r="B3232"/>
  <c r="B3231"/>
  <c r="B3230"/>
  <c r="B3229"/>
  <c r="B3228"/>
  <c r="B3227"/>
  <c r="B3226"/>
  <c r="B3225"/>
  <c r="B3224"/>
  <c r="B3223"/>
  <c r="B3222"/>
  <c r="B3221"/>
  <c r="B3220"/>
  <c r="B3219"/>
  <c r="B3218"/>
  <c r="B3217"/>
  <c r="B3216"/>
  <c r="B3215"/>
  <c r="B3214"/>
  <c r="B3213"/>
  <c r="B3212"/>
  <c r="B3211"/>
  <c r="B3210"/>
  <c r="B3209"/>
  <c r="B3208"/>
  <c r="B3207"/>
  <c r="B3206"/>
  <c r="B3205"/>
  <c r="B3204"/>
  <c r="B3203"/>
  <c r="B3202"/>
  <c r="B3201"/>
  <c r="B3200"/>
  <c r="B3199"/>
  <c r="B3198"/>
  <c r="B3197"/>
  <c r="B3196"/>
  <c r="B3195"/>
  <c r="B3194"/>
  <c r="B3193"/>
  <c r="B3192"/>
  <c r="B3191"/>
  <c r="B3190"/>
  <c r="B3189"/>
  <c r="B3188"/>
  <c r="B3187"/>
  <c r="B3186"/>
  <c r="B3185"/>
  <c r="B3184"/>
  <c r="B3183"/>
  <c r="B3182"/>
  <c r="B3181"/>
  <c r="B3180"/>
  <c r="B3179"/>
  <c r="B3178"/>
  <c r="B3177"/>
  <c r="B3176"/>
  <c r="B3175"/>
  <c r="B3174"/>
  <c r="B3173"/>
  <c r="B3172"/>
  <c r="B3171"/>
  <c r="B3170"/>
  <c r="B3169"/>
  <c r="B3168"/>
  <c r="B3167"/>
  <c r="B3166"/>
  <c r="B3165"/>
  <c r="B3164"/>
  <c r="B3163"/>
  <c r="B3162"/>
  <c r="B3161"/>
  <c r="B3160"/>
  <c r="B3159"/>
  <c r="B3158"/>
  <c r="B3157"/>
  <c r="B3156"/>
  <c r="B3155"/>
  <c r="B3154"/>
  <c r="B3153"/>
  <c r="B3152"/>
  <c r="B3151"/>
  <c r="B3150"/>
  <c r="B3149"/>
  <c r="B3148"/>
  <c r="B3147"/>
  <c r="B3146"/>
  <c r="B3145"/>
  <c r="B3144"/>
  <c r="B3143"/>
  <c r="B3142"/>
  <c r="B3141"/>
  <c r="B3140"/>
  <c r="B3139"/>
  <c r="B3138"/>
  <c r="B3137"/>
  <c r="B3136"/>
  <c r="B3135"/>
  <c r="B3134"/>
  <c r="B3133"/>
  <c r="B3132"/>
  <c r="B3131"/>
  <c r="B3130"/>
  <c r="B3129"/>
  <c r="B3128"/>
  <c r="B3127"/>
  <c r="B3126"/>
  <c r="B3125"/>
  <c r="B3124"/>
  <c r="B3123"/>
  <c r="B3122"/>
  <c r="B3121"/>
  <c r="B3120"/>
  <c r="B3119"/>
  <c r="B3118"/>
  <c r="B3117"/>
  <c r="B3116"/>
  <c r="B3115"/>
  <c r="B3114"/>
  <c r="B3113"/>
  <c r="B3112"/>
  <c r="B3111"/>
  <c r="B3110"/>
  <c r="B3109"/>
  <c r="B3108"/>
  <c r="B3107"/>
  <c r="B3106"/>
  <c r="B3105"/>
  <c r="B3104"/>
  <c r="B3103"/>
  <c r="B3102"/>
  <c r="B3101"/>
  <c r="B3100"/>
  <c r="B3099"/>
  <c r="B3098"/>
  <c r="B3097"/>
  <c r="B3096"/>
  <c r="B3095"/>
  <c r="B3094"/>
  <c r="B3093"/>
  <c r="B3092"/>
  <c r="B3091"/>
  <c r="B3090"/>
  <c r="B3089"/>
  <c r="B3088"/>
  <c r="B3087"/>
  <c r="B3086"/>
  <c r="B3085"/>
  <c r="B3084"/>
  <c r="B3083"/>
  <c r="B3082"/>
  <c r="B3081"/>
  <c r="B3080"/>
  <c r="B3079"/>
  <c r="B3078"/>
  <c r="B3077"/>
  <c r="B3076"/>
  <c r="B3075"/>
  <c r="B3074"/>
  <c r="B3073"/>
  <c r="B3072"/>
  <c r="B3071"/>
  <c r="B3070"/>
  <c r="B3069"/>
  <c r="B3068"/>
  <c r="B3067"/>
  <c r="B3066"/>
  <c r="B3065"/>
  <c r="B3064"/>
  <c r="B3063"/>
  <c r="B3062"/>
  <c r="B3061"/>
  <c r="B3060"/>
  <c r="B3059"/>
  <c r="B3058"/>
  <c r="B3057"/>
  <c r="B3056"/>
  <c r="B3055"/>
  <c r="B3054"/>
  <c r="B3053"/>
  <c r="B3052"/>
  <c r="B3051"/>
  <c r="B3050"/>
  <c r="B3049"/>
  <c r="B3048"/>
  <c r="B3047"/>
  <c r="B3046"/>
  <c r="B3045"/>
  <c r="B3044"/>
  <c r="B3043"/>
  <c r="B3042"/>
  <c r="B3041"/>
  <c r="B3040"/>
  <c r="B3039"/>
  <c r="B3038"/>
  <c r="B3037"/>
  <c r="B3036"/>
  <c r="B3035"/>
  <c r="B3034"/>
  <c r="B3033"/>
  <c r="B3032"/>
  <c r="B3031"/>
  <c r="B3030"/>
  <c r="B3029"/>
  <c r="B3028"/>
  <c r="B3027"/>
  <c r="B3026"/>
  <c r="B3025"/>
  <c r="B3024"/>
  <c r="B3023"/>
  <c r="B3022"/>
  <c r="B3021"/>
  <c r="B3020"/>
  <c r="B3019"/>
  <c r="B3018"/>
  <c r="B3017"/>
  <c r="B3016"/>
  <c r="B3015"/>
  <c r="B3014"/>
  <c r="B3013"/>
  <c r="B3012"/>
  <c r="B3011"/>
  <c r="B3010"/>
  <c r="B3009"/>
  <c r="B3008"/>
  <c r="B3007"/>
  <c r="B3006"/>
  <c r="B3005"/>
  <c r="B3004"/>
  <c r="B3003"/>
  <c r="B3002"/>
  <c r="B3001"/>
  <c r="B3000"/>
  <c r="B2999"/>
  <c r="B2998"/>
  <c r="B2997"/>
  <c r="B2996"/>
  <c r="B2995"/>
  <c r="B2994"/>
  <c r="B2993"/>
  <c r="B2992"/>
  <c r="B2991"/>
  <c r="B2990"/>
  <c r="B2989"/>
  <c r="B2988"/>
  <c r="B2987"/>
  <c r="B2986"/>
  <c r="B2985"/>
  <c r="B2984"/>
  <c r="B2983"/>
  <c r="B2982"/>
  <c r="B2981"/>
  <c r="B2980"/>
  <c r="B2979"/>
  <c r="B2978"/>
  <c r="B2977"/>
  <c r="B2976"/>
  <c r="B2975"/>
  <c r="B2974"/>
  <c r="B2973"/>
  <c r="B2972"/>
  <c r="B2971"/>
  <c r="B2970"/>
  <c r="B2969"/>
  <c r="B2968"/>
  <c r="B2967"/>
  <c r="B2966"/>
  <c r="B2965"/>
  <c r="B2964"/>
  <c r="B2963"/>
  <c r="B2962"/>
  <c r="B2961"/>
  <c r="B2960"/>
  <c r="B2959"/>
  <c r="B2958"/>
  <c r="B2957"/>
  <c r="B2956"/>
  <c r="B2955"/>
  <c r="B2954"/>
  <c r="B2953"/>
  <c r="B2952"/>
  <c r="B2951"/>
  <c r="B2950"/>
  <c r="B2949"/>
  <c r="B2948"/>
  <c r="B2947"/>
  <c r="B2946"/>
  <c r="B2945"/>
  <c r="B2944"/>
  <c r="B2943"/>
  <c r="B2942"/>
  <c r="B2941"/>
  <c r="B2940"/>
  <c r="B2939"/>
  <c r="B2938"/>
  <c r="B2937"/>
  <c r="B2936"/>
  <c r="B2935"/>
  <c r="B2934"/>
  <c r="B2933"/>
  <c r="B2932"/>
  <c r="B2931"/>
  <c r="B2930"/>
  <c r="B2929"/>
  <c r="B2928"/>
  <c r="B2927"/>
  <c r="B2926"/>
  <c r="B2925"/>
  <c r="B2924"/>
  <c r="B2923"/>
  <c r="B2922"/>
  <c r="B2921"/>
  <c r="B2920"/>
  <c r="B2919"/>
  <c r="B2918"/>
  <c r="B2917"/>
  <c r="B2916"/>
  <c r="B2915"/>
  <c r="B2914"/>
  <c r="B2913"/>
  <c r="B2912"/>
  <c r="B2911"/>
  <c r="B2910"/>
  <c r="B2909"/>
  <c r="B2908"/>
  <c r="B2907"/>
  <c r="B2906"/>
  <c r="B2905"/>
  <c r="B2904"/>
  <c r="B2903"/>
  <c r="B2902"/>
  <c r="B2901"/>
  <c r="B2900"/>
  <c r="B2899"/>
  <c r="B2898"/>
  <c r="B2897"/>
  <c r="B2896"/>
  <c r="B2895"/>
  <c r="B2894"/>
  <c r="B2893"/>
  <c r="B2892"/>
  <c r="B2891"/>
  <c r="B2890"/>
  <c r="B2889"/>
  <c r="B2888"/>
  <c r="B2887"/>
  <c r="B2886"/>
  <c r="B2885"/>
  <c r="B2884"/>
  <c r="B2883"/>
  <c r="B2882"/>
  <c r="B2881"/>
  <c r="B2880"/>
  <c r="B2879"/>
  <c r="B2878"/>
  <c r="B2877"/>
  <c r="B2876"/>
  <c r="B2875"/>
  <c r="B2874"/>
  <c r="B2873"/>
  <c r="B2872"/>
  <c r="B2871"/>
  <c r="B2870"/>
  <c r="B2869"/>
  <c r="B2868"/>
  <c r="B2867"/>
  <c r="B2866"/>
  <c r="B2865"/>
  <c r="B2864"/>
  <c r="B2863"/>
  <c r="B2862"/>
  <c r="B2861"/>
  <c r="B2860"/>
  <c r="B2859"/>
  <c r="B2858"/>
  <c r="B2857"/>
  <c r="B2856"/>
  <c r="B2855"/>
  <c r="B2854"/>
  <c r="B2853"/>
  <c r="B2852"/>
  <c r="B2851"/>
  <c r="B2850"/>
  <c r="B2849"/>
  <c r="B2848"/>
  <c r="B2847"/>
  <c r="B2846"/>
  <c r="B2845"/>
  <c r="B2844"/>
  <c r="B2843"/>
  <c r="B2842"/>
  <c r="B2841"/>
  <c r="B2840"/>
  <c r="B2839"/>
  <c r="B2838"/>
  <c r="B2837"/>
  <c r="B2836"/>
  <c r="B2835"/>
  <c r="B2834"/>
  <c r="B2833"/>
  <c r="B2832"/>
  <c r="B2831"/>
  <c r="B2830"/>
  <c r="B2829"/>
  <c r="B2828"/>
  <c r="B2827"/>
  <c r="B2826"/>
  <c r="B2825"/>
  <c r="B2824"/>
  <c r="B2823"/>
  <c r="B2822"/>
  <c r="B2821"/>
  <c r="B2820"/>
  <c r="B2819"/>
  <c r="B2818"/>
  <c r="B2817"/>
  <c r="B2816"/>
  <c r="B2815"/>
  <c r="B2814"/>
  <c r="B2813"/>
  <c r="B2812"/>
  <c r="B2811"/>
  <c r="B2810"/>
  <c r="B2809"/>
  <c r="B2808"/>
  <c r="B2807"/>
  <c r="B2806"/>
  <c r="B2805"/>
  <c r="B2804"/>
  <c r="B2803"/>
  <c r="B2802"/>
  <c r="B2801"/>
  <c r="B2800"/>
  <c r="B2799"/>
  <c r="B2798"/>
  <c r="B2797"/>
  <c r="B2796"/>
  <c r="B2795"/>
  <c r="B2794"/>
  <c r="B2793"/>
  <c r="B2792"/>
  <c r="B2791"/>
  <c r="B2790"/>
  <c r="B2789"/>
  <c r="B2788"/>
  <c r="B2787"/>
  <c r="B2786"/>
  <c r="B2785"/>
  <c r="B2784"/>
  <c r="B2783"/>
  <c r="B2782"/>
  <c r="B2781"/>
  <c r="B2780"/>
  <c r="B2779"/>
  <c r="B2778"/>
  <c r="B2777"/>
  <c r="B2776"/>
  <c r="B2775"/>
  <c r="B2774"/>
  <c r="B2773"/>
  <c r="B2772"/>
  <c r="B2771"/>
  <c r="B2770"/>
  <c r="B2769"/>
  <c r="B2768"/>
  <c r="B2767"/>
  <c r="B2766"/>
  <c r="B2765"/>
  <c r="B2764"/>
  <c r="B2763"/>
  <c r="B2762"/>
  <c r="B2761"/>
  <c r="B2760"/>
  <c r="B2759"/>
  <c r="B2758"/>
  <c r="B2757"/>
  <c r="B2756"/>
  <c r="B2755"/>
  <c r="B2754"/>
  <c r="B2753"/>
  <c r="B2752"/>
  <c r="B2751"/>
  <c r="B2750"/>
  <c r="B2749"/>
  <c r="B2748"/>
  <c r="B2747"/>
  <c r="B2746"/>
  <c r="B2745"/>
  <c r="B2744"/>
  <c r="B2743"/>
  <c r="B2742"/>
  <c r="B2741"/>
  <c r="B2740"/>
  <c r="B2739"/>
  <c r="B2738"/>
  <c r="B2737"/>
  <c r="B2736"/>
  <c r="B2735"/>
  <c r="B2734"/>
  <c r="B2733"/>
  <c r="B2732"/>
  <c r="B2731"/>
  <c r="B2730"/>
  <c r="B2729"/>
  <c r="B2728"/>
  <c r="B2727"/>
  <c r="B2726"/>
  <c r="B2725"/>
  <c r="B2724"/>
  <c r="B2723"/>
  <c r="B2722"/>
  <c r="B2721"/>
  <c r="B2720"/>
  <c r="B2719"/>
  <c r="B2718"/>
  <c r="B2717"/>
  <c r="B2716"/>
  <c r="B2715"/>
  <c r="B2714"/>
  <c r="B2713"/>
  <c r="B2712"/>
  <c r="B2711"/>
  <c r="B2710"/>
  <c r="B2709"/>
  <c r="B2708"/>
  <c r="B2707"/>
  <c r="B2706"/>
  <c r="B2705"/>
  <c r="B2704"/>
  <c r="B2703"/>
  <c r="B2702"/>
  <c r="B2701"/>
  <c r="B2700"/>
  <c r="B2699"/>
  <c r="B2698"/>
  <c r="B2697"/>
  <c r="B2696"/>
  <c r="B2695"/>
  <c r="B2694"/>
  <c r="B2693"/>
  <c r="B2692"/>
  <c r="B2691"/>
  <c r="B2690"/>
  <c r="B2689"/>
  <c r="B2688"/>
  <c r="B2687"/>
  <c r="B2686"/>
  <c r="B2685"/>
  <c r="B2684"/>
  <c r="B2683"/>
  <c r="B2682"/>
  <c r="B2681"/>
  <c r="B2680"/>
  <c r="B2679"/>
  <c r="B2678"/>
  <c r="B2677"/>
  <c r="B2676"/>
  <c r="B2675"/>
  <c r="B2674"/>
  <c r="B2673"/>
  <c r="B2672"/>
  <c r="B2671"/>
  <c r="B2670"/>
  <c r="B2669"/>
  <c r="B2668"/>
  <c r="B2667"/>
  <c r="B2666"/>
  <c r="B2665"/>
  <c r="B2664"/>
  <c r="B2663"/>
  <c r="B2662"/>
  <c r="B2661"/>
  <c r="B2660"/>
  <c r="B2659"/>
  <c r="B2658"/>
  <c r="B2657"/>
  <c r="B2656"/>
  <c r="B2655"/>
  <c r="B2654"/>
  <c r="B2653"/>
  <c r="B2652"/>
  <c r="B2651"/>
  <c r="B2650"/>
  <c r="B2649"/>
  <c r="B2648"/>
  <c r="B2647"/>
  <c r="B2646"/>
  <c r="B2645"/>
  <c r="B2644"/>
  <c r="B2643"/>
  <c r="B2642"/>
  <c r="B2641"/>
  <c r="B2640"/>
  <c r="B2639"/>
  <c r="B2638"/>
  <c r="B2637"/>
  <c r="B2636"/>
  <c r="B2635"/>
  <c r="B2634"/>
  <c r="B2633"/>
  <c r="B2632"/>
  <c r="B2631"/>
  <c r="B2630"/>
  <c r="B2629"/>
  <c r="B2628"/>
  <c r="B2627"/>
  <c r="B2626"/>
  <c r="B2625"/>
  <c r="B2624"/>
  <c r="B2623"/>
  <c r="B2622"/>
  <c r="B2621"/>
  <c r="B2620"/>
  <c r="B2619"/>
  <c r="B2618"/>
  <c r="B2617"/>
  <c r="B2616"/>
  <c r="B2615"/>
  <c r="B2614"/>
  <c r="B2613"/>
  <c r="B2612"/>
  <c r="B2611"/>
  <c r="B2610"/>
  <c r="B2609"/>
  <c r="B2608"/>
  <c r="B2607"/>
  <c r="B2606"/>
  <c r="B2605"/>
  <c r="B2604"/>
  <c r="B2603"/>
  <c r="B2602"/>
  <c r="B2601"/>
  <c r="B2600"/>
  <c r="B2599"/>
  <c r="B2598"/>
  <c r="B2597"/>
  <c r="B2596"/>
  <c r="B2595"/>
  <c r="B2594"/>
  <c r="B2593"/>
  <c r="B2592"/>
  <c r="B2591"/>
  <c r="B2590"/>
  <c r="B2589"/>
  <c r="B2588"/>
  <c r="B2587"/>
  <c r="B2586"/>
  <c r="B2585"/>
  <c r="B2584"/>
  <c r="B2583"/>
  <c r="B2582"/>
  <c r="B2581"/>
  <c r="B2580"/>
  <c r="B2579"/>
  <c r="B2578"/>
  <c r="B2577"/>
  <c r="B2576"/>
  <c r="B2575"/>
  <c r="B2574"/>
  <c r="B2573"/>
  <c r="B2572"/>
  <c r="B2571"/>
  <c r="B2570"/>
  <c r="B2569"/>
  <c r="B2568"/>
  <c r="B2567"/>
  <c r="B2566"/>
  <c r="B2565"/>
  <c r="B2564"/>
  <c r="B2563"/>
  <c r="B2562"/>
  <c r="B2561"/>
  <c r="B2560"/>
  <c r="B2559"/>
  <c r="B2558"/>
  <c r="B2557"/>
  <c r="B2556"/>
  <c r="B2555"/>
  <c r="B2554"/>
  <c r="B2553"/>
  <c r="B2552"/>
  <c r="B2551"/>
  <c r="B2550"/>
  <c r="B2549"/>
  <c r="B2548"/>
  <c r="B2547"/>
  <c r="B2546"/>
  <c r="B2545"/>
  <c r="B2544"/>
  <c r="B2543"/>
  <c r="B2542"/>
  <c r="B2541"/>
  <c r="B2540"/>
  <c r="B2539"/>
  <c r="B2538"/>
  <c r="B2537"/>
  <c r="B2536"/>
  <c r="B2535"/>
  <c r="B2534"/>
  <c r="B2533"/>
  <c r="B2532"/>
  <c r="B2531"/>
  <c r="B2530"/>
  <c r="B2529"/>
  <c r="B2528"/>
  <c r="B2527"/>
  <c r="B2526"/>
  <c r="B2525"/>
  <c r="B2524"/>
  <c r="B2523"/>
  <c r="B2522"/>
  <c r="B2521"/>
  <c r="B2520"/>
  <c r="B2519"/>
  <c r="B2518"/>
  <c r="B2517"/>
  <c r="B2516"/>
  <c r="B2515"/>
  <c r="B2514"/>
  <c r="B2513"/>
  <c r="B2512"/>
  <c r="B2511"/>
  <c r="B2510"/>
  <c r="B2509"/>
  <c r="B2508"/>
  <c r="B2507"/>
  <c r="B2506"/>
  <c r="B2505"/>
  <c r="B2504"/>
  <c r="B2503"/>
  <c r="B2502"/>
  <c r="B2501"/>
  <c r="B2500"/>
  <c r="B2499"/>
  <c r="B2498"/>
  <c r="B2497"/>
  <c r="B2496"/>
  <c r="B2495"/>
  <c r="B2494"/>
  <c r="B2493"/>
  <c r="B2492"/>
  <c r="B2491"/>
  <c r="B2490"/>
  <c r="B2489"/>
  <c r="B2488"/>
  <c r="B2487"/>
  <c r="B2486"/>
  <c r="B2485"/>
  <c r="B2484"/>
  <c r="B2483"/>
  <c r="B2482"/>
  <c r="B2481"/>
  <c r="B2480"/>
  <c r="B2479"/>
  <c r="B2478"/>
  <c r="B2477"/>
  <c r="B2476"/>
  <c r="B2475"/>
  <c r="B2474"/>
  <c r="B2473"/>
  <c r="B2472"/>
  <c r="B2471"/>
  <c r="B2470"/>
  <c r="B2469"/>
  <c r="B2468"/>
  <c r="B2467"/>
  <c r="B2466"/>
  <c r="B2465"/>
  <c r="B2464"/>
  <c r="B2463"/>
  <c r="B2462"/>
  <c r="B2461"/>
  <c r="B2460"/>
  <c r="B2459"/>
  <c r="B2458"/>
  <c r="B2457"/>
  <c r="B2456"/>
  <c r="B2455"/>
  <c r="B2454"/>
  <c r="B2453"/>
  <c r="B2452"/>
  <c r="B2451"/>
  <c r="B2450"/>
  <c r="B2449"/>
  <c r="B2448"/>
  <c r="B2447"/>
  <c r="B2446"/>
  <c r="B2445"/>
  <c r="B2444"/>
  <c r="B2443"/>
  <c r="B2442"/>
  <c r="B2441"/>
  <c r="B2440"/>
  <c r="B2439"/>
  <c r="B2438"/>
  <c r="B2437"/>
  <c r="B2436"/>
  <c r="B2435"/>
  <c r="B2434"/>
  <c r="B2433"/>
  <c r="B2432"/>
  <c r="B2431"/>
  <c r="B2430"/>
  <c r="B2429"/>
  <c r="B2428"/>
  <c r="B2427"/>
  <c r="B2426"/>
  <c r="B2425"/>
  <c r="B2424"/>
  <c r="B2423"/>
  <c r="B2422"/>
  <c r="B2421"/>
  <c r="B2420"/>
  <c r="B2419"/>
  <c r="B2418"/>
  <c r="B2417"/>
  <c r="B2416"/>
  <c r="B2415"/>
  <c r="B2414"/>
  <c r="B2413"/>
  <c r="B2412"/>
  <c r="B2411"/>
  <c r="B2410"/>
  <c r="B2409"/>
  <c r="B2408"/>
  <c r="B2407"/>
  <c r="B2406"/>
  <c r="B2405"/>
  <c r="B2404"/>
  <c r="B2403"/>
  <c r="B2402"/>
  <c r="B2401"/>
  <c r="B2400"/>
  <c r="B2399"/>
  <c r="B2398"/>
  <c r="B2397"/>
  <c r="B2396"/>
  <c r="B2395"/>
  <c r="B2394"/>
  <c r="B2393"/>
  <c r="B2392"/>
  <c r="B2391"/>
  <c r="B2390"/>
  <c r="B2389"/>
  <c r="B2388"/>
  <c r="B2387"/>
  <c r="B2386"/>
  <c r="B2385"/>
  <c r="B2384"/>
  <c r="B2383"/>
  <c r="B2382"/>
  <c r="B2381"/>
  <c r="B2380"/>
  <c r="B2379"/>
  <c r="B2378"/>
  <c r="B2377"/>
  <c r="B2376"/>
  <c r="B2375"/>
  <c r="B2374"/>
  <c r="B2373"/>
  <c r="B2372"/>
  <c r="B2371"/>
  <c r="B2370"/>
  <c r="B2369"/>
  <c r="B2368"/>
  <c r="B2367"/>
  <c r="B2366"/>
  <c r="B2365"/>
  <c r="B2364"/>
  <c r="B2363"/>
  <c r="B2362"/>
  <c r="B2361"/>
  <c r="B2360"/>
  <c r="B2359"/>
  <c r="B2358"/>
  <c r="B2357"/>
  <c r="B2356"/>
  <c r="B2355"/>
  <c r="B2354"/>
  <c r="B2353"/>
  <c r="B2352"/>
  <c r="B2351"/>
  <c r="B2350"/>
  <c r="B2349"/>
  <c r="B2348"/>
  <c r="B2347"/>
  <c r="B2346"/>
  <c r="B2345"/>
  <c r="B2344"/>
  <c r="B2343"/>
  <c r="B2342"/>
  <c r="B2341"/>
  <c r="B2340"/>
  <c r="B2339"/>
  <c r="B2338"/>
  <c r="B2337"/>
  <c r="B2336"/>
  <c r="B2335"/>
  <c r="B2334"/>
  <c r="B2333"/>
  <c r="B2332"/>
  <c r="B2331"/>
  <c r="B2330"/>
  <c r="B2329"/>
  <c r="B2328"/>
  <c r="B2327"/>
  <c r="B2326"/>
  <c r="B2325"/>
  <c r="B2324"/>
  <c r="B2323"/>
  <c r="B2322"/>
  <c r="B2321"/>
  <c r="B2320"/>
  <c r="B2319"/>
  <c r="B2318"/>
  <c r="B2317"/>
  <c r="B2316"/>
  <c r="B2315"/>
  <c r="B2314"/>
  <c r="B2313"/>
  <c r="B2312"/>
  <c r="B2311"/>
  <c r="B2310"/>
  <c r="B2309"/>
  <c r="B2308"/>
  <c r="B2307"/>
  <c r="B2306"/>
  <c r="B2305"/>
  <c r="B2304"/>
  <c r="B2303"/>
  <c r="B2302"/>
  <c r="B2301"/>
  <c r="B2300"/>
  <c r="B2299"/>
  <c r="B2298"/>
  <c r="B2297"/>
  <c r="B2296"/>
  <c r="B2295"/>
  <c r="B2294"/>
  <c r="B2293"/>
  <c r="B2292"/>
  <c r="B2291"/>
  <c r="B2290"/>
  <c r="B2289"/>
  <c r="B2288"/>
  <c r="B2287"/>
  <c r="B2286"/>
  <c r="B2285"/>
  <c r="B2284"/>
  <c r="B2283"/>
  <c r="B2282"/>
  <c r="B2281"/>
  <c r="B2280"/>
  <c r="B2279"/>
  <c r="B2278"/>
  <c r="B2277"/>
  <c r="B2276"/>
  <c r="B2275"/>
  <c r="B2274"/>
  <c r="B2273"/>
  <c r="B2272"/>
  <c r="B2271"/>
  <c r="B2270"/>
  <c r="B2269"/>
  <c r="B2268"/>
  <c r="B2267"/>
  <c r="B2266"/>
  <c r="B2265"/>
  <c r="B2264"/>
  <c r="B2263"/>
  <c r="B2262"/>
  <c r="B2261"/>
  <c r="B2260"/>
  <c r="B2259"/>
  <c r="B2258"/>
  <c r="B2257"/>
  <c r="B2256"/>
  <c r="B2255"/>
  <c r="B2254"/>
  <c r="B2253"/>
  <c r="B2252"/>
  <c r="B2251"/>
  <c r="B2250"/>
  <c r="B2249"/>
  <c r="B2248"/>
  <c r="B2247"/>
  <c r="B2246"/>
  <c r="B2245"/>
  <c r="B2244"/>
  <c r="B2243"/>
  <c r="B2242"/>
  <c r="B2241"/>
  <c r="B2240"/>
  <c r="B2239"/>
  <c r="B2238"/>
  <c r="B2237"/>
  <c r="B2236"/>
  <c r="B2235"/>
  <c r="B2234"/>
  <c r="B2233"/>
  <c r="B2232"/>
  <c r="B2231"/>
  <c r="B2230"/>
  <c r="B2229"/>
  <c r="B2228"/>
  <c r="B2227"/>
  <c r="B2226"/>
  <c r="B2225"/>
  <c r="B2224"/>
  <c r="B2223"/>
  <c r="B2222"/>
  <c r="B2221"/>
  <c r="B2220"/>
  <c r="B2219"/>
  <c r="B2218"/>
  <c r="B2217"/>
  <c r="B2216"/>
  <c r="B2215"/>
  <c r="B2214"/>
  <c r="B2213"/>
  <c r="B2212"/>
  <c r="B2211"/>
  <c r="B2210"/>
  <c r="B2209"/>
  <c r="B2208"/>
  <c r="B2207"/>
  <c r="B2206"/>
  <c r="B2205"/>
  <c r="B2204"/>
  <c r="B2203"/>
  <c r="B2202"/>
  <c r="B2201"/>
  <c r="B2200"/>
  <c r="B2199"/>
  <c r="B2198"/>
  <c r="B2197"/>
  <c r="B2196"/>
  <c r="B2195"/>
  <c r="B2194"/>
  <c r="B2193"/>
  <c r="B2192"/>
  <c r="B2191"/>
  <c r="B2190"/>
  <c r="B2189"/>
  <c r="B2188"/>
  <c r="B2187"/>
  <c r="B2186"/>
  <c r="B2185"/>
  <c r="B2184"/>
  <c r="B2183"/>
  <c r="B2182"/>
  <c r="B2181"/>
  <c r="B2180"/>
  <c r="B2179"/>
  <c r="B2178"/>
  <c r="B2177"/>
  <c r="B2176"/>
  <c r="B2175"/>
  <c r="B2174"/>
  <c r="B2173"/>
  <c r="B2172"/>
  <c r="B2171"/>
  <c r="B2170"/>
  <c r="B2169"/>
  <c r="B2168"/>
  <c r="B2167"/>
  <c r="B2166"/>
  <c r="B2165"/>
  <c r="B2164"/>
  <c r="B2163"/>
  <c r="B2162"/>
  <c r="B2161"/>
  <c r="B2160"/>
  <c r="B2159"/>
  <c r="B2158"/>
  <c r="B2157"/>
  <c r="B2156"/>
  <c r="B2155"/>
  <c r="B2154"/>
  <c r="B2153"/>
  <c r="B2152"/>
  <c r="B2151"/>
  <c r="B2150"/>
  <c r="B2149"/>
  <c r="B2148"/>
  <c r="B2147"/>
  <c r="B2146"/>
  <c r="B2145"/>
  <c r="B2144"/>
  <c r="B2143"/>
  <c r="B2142"/>
  <c r="B2141"/>
  <c r="B2140"/>
  <c r="B2139"/>
  <c r="B2138"/>
  <c r="B2137"/>
  <c r="B2136"/>
  <c r="B2135"/>
  <c r="B2134"/>
  <c r="B2133"/>
  <c r="B2132"/>
  <c r="B2131"/>
  <c r="B2130"/>
  <c r="B2129"/>
  <c r="B2128"/>
  <c r="B2127"/>
  <c r="B2126"/>
  <c r="B2125"/>
  <c r="B2124"/>
  <c r="B2123"/>
  <c r="B2122"/>
  <c r="B2121"/>
  <c r="B2120"/>
  <c r="B2119"/>
  <c r="B2118"/>
  <c r="B2117"/>
  <c r="B2116"/>
  <c r="B2115"/>
  <c r="B2114"/>
  <c r="B2113"/>
  <c r="B2112"/>
  <c r="B2111"/>
  <c r="B2110"/>
  <c r="B2109"/>
  <c r="B2108"/>
  <c r="B2107"/>
  <c r="B2106"/>
  <c r="B2105"/>
  <c r="B2104"/>
  <c r="B2103"/>
  <c r="B2102"/>
  <c r="B2101"/>
  <c r="B2100"/>
  <c r="B2099"/>
  <c r="B2098"/>
  <c r="B2097"/>
  <c r="B2096"/>
  <c r="B2095"/>
  <c r="B2094"/>
  <c r="B2093"/>
  <c r="B2092"/>
  <c r="B2091"/>
  <c r="B2090"/>
  <c r="B2089"/>
  <c r="B2088"/>
  <c r="B2087"/>
  <c r="B2086"/>
  <c r="B2085"/>
  <c r="B2084"/>
  <c r="B2083"/>
  <c r="B2082"/>
  <c r="B2081"/>
  <c r="B2080"/>
  <c r="B2079"/>
  <c r="B2078"/>
  <c r="B2077"/>
  <c r="B2076"/>
  <c r="B2075"/>
  <c r="B2074"/>
  <c r="B2073"/>
  <c r="B2072"/>
  <c r="B2071"/>
  <c r="B2070"/>
  <c r="B2069"/>
  <c r="B2068"/>
  <c r="B2067"/>
  <c r="B2066"/>
  <c r="B2065"/>
  <c r="B2064"/>
  <c r="B2063"/>
  <c r="B2062"/>
  <c r="B2061"/>
  <c r="B2060"/>
  <c r="B2059"/>
  <c r="B2058"/>
  <c r="B2057"/>
  <c r="B2056"/>
  <c r="B2055"/>
  <c r="B2054"/>
  <c r="B2053"/>
  <c r="B2052"/>
  <c r="B2051"/>
  <c r="B2050"/>
  <c r="B2049"/>
  <c r="B2048"/>
  <c r="B2047"/>
  <c r="B2046"/>
  <c r="B2045"/>
  <c r="B2044"/>
  <c r="B2043"/>
  <c r="B2042"/>
  <c r="B2041"/>
  <c r="B2040"/>
  <c r="B2039"/>
  <c r="B2038"/>
  <c r="B2037"/>
  <c r="B2036"/>
  <c r="B2035"/>
  <c r="B2034"/>
  <c r="B2033"/>
  <c r="B2032"/>
  <c r="B2031"/>
  <c r="B2030"/>
  <c r="B2029"/>
  <c r="B2028"/>
  <c r="B2027"/>
  <c r="B2026"/>
  <c r="B2025"/>
  <c r="B2024"/>
  <c r="B2023"/>
  <c r="B2022"/>
  <c r="B2021"/>
  <c r="B2020"/>
  <c r="B2019"/>
  <c r="B2018"/>
  <c r="B2017"/>
  <c r="B2016"/>
  <c r="B2015"/>
  <c r="B2014"/>
  <c r="B2013"/>
  <c r="B2012"/>
  <c r="B2011"/>
  <c r="B2010"/>
  <c r="B2009"/>
  <c r="B2008"/>
  <c r="B2007"/>
  <c r="B2006"/>
  <c r="B2005"/>
  <c r="B2004"/>
  <c r="B2003"/>
  <c r="B2002"/>
  <c r="B2001"/>
  <c r="B2000"/>
  <c r="B1999"/>
  <c r="B1998"/>
  <c r="B1997"/>
  <c r="B1996"/>
  <c r="B1995"/>
  <c r="B1994"/>
  <c r="B1993"/>
  <c r="B1992"/>
  <c r="B1991"/>
  <c r="B1990"/>
  <c r="B1989"/>
  <c r="B1988"/>
  <c r="B1987"/>
  <c r="B1986"/>
  <c r="B1985"/>
  <c r="B1984"/>
  <c r="B1983"/>
  <c r="B1982"/>
  <c r="B1981"/>
  <c r="B1980"/>
  <c r="B1979"/>
  <c r="B1978"/>
  <c r="B1977"/>
  <c r="B1976"/>
  <c r="B1975"/>
  <c r="B1974"/>
  <c r="B1973"/>
  <c r="B1972"/>
  <c r="B1971"/>
  <c r="B1970"/>
  <c r="B1969"/>
  <c r="B1968"/>
  <c r="B1967"/>
  <c r="B1966"/>
  <c r="B1965"/>
  <c r="B1964"/>
  <c r="B1963"/>
  <c r="B1962"/>
  <c r="B1961"/>
  <c r="B1960"/>
  <c r="B1959"/>
  <c r="B1958"/>
  <c r="B1957"/>
  <c r="B1956"/>
  <c r="B1955"/>
  <c r="B1954"/>
  <c r="B1953"/>
  <c r="B1952"/>
  <c r="B1951"/>
  <c r="B1950"/>
  <c r="B1949"/>
  <c r="B1948"/>
  <c r="B1947"/>
  <c r="B1946"/>
  <c r="B1945"/>
  <c r="B1944"/>
  <c r="B1943"/>
  <c r="B1942"/>
  <c r="B1941"/>
  <c r="B1940"/>
  <c r="B1939"/>
  <c r="B1938"/>
  <c r="B1937"/>
  <c r="B1936"/>
  <c r="B1935"/>
  <c r="B1934"/>
  <c r="B1933"/>
  <c r="B1932"/>
  <c r="B1931"/>
  <c r="B1930"/>
  <c r="B1929"/>
  <c r="B1928"/>
  <c r="B1927"/>
  <c r="B1926"/>
  <c r="B1925"/>
  <c r="B1924"/>
  <c r="B1923"/>
  <c r="B1922"/>
  <c r="B1921"/>
  <c r="B1920"/>
  <c r="B1919"/>
  <c r="B1918"/>
  <c r="B1917"/>
  <c r="B1916"/>
  <c r="B1915"/>
  <c r="B1914"/>
  <c r="B1913"/>
  <c r="B1912"/>
  <c r="B1911"/>
  <c r="B1910"/>
  <c r="B1909"/>
  <c r="B1908"/>
  <c r="B1907"/>
  <c r="B1906"/>
  <c r="B1905"/>
  <c r="B1904"/>
  <c r="B1903"/>
  <c r="B1902"/>
  <c r="B1901"/>
  <c r="B1900"/>
  <c r="B1899"/>
  <c r="B1898"/>
  <c r="B1897"/>
  <c r="B1896"/>
  <c r="B1895"/>
  <c r="B1894"/>
  <c r="B1893"/>
  <c r="B1892"/>
  <c r="B1891"/>
  <c r="B1890"/>
  <c r="B1889"/>
  <c r="B1888"/>
  <c r="B1887"/>
  <c r="B1886"/>
  <c r="B1885"/>
  <c r="B1884"/>
  <c r="B1883"/>
  <c r="B1882"/>
  <c r="B1881"/>
  <c r="B1880"/>
  <c r="B1879"/>
  <c r="B1878"/>
  <c r="B1877"/>
  <c r="B1876"/>
  <c r="B1875"/>
  <c r="B1874"/>
  <c r="B1873"/>
  <c r="B1872"/>
  <c r="B1871"/>
  <c r="B1870"/>
  <c r="B1869"/>
  <c r="B1868"/>
  <c r="B1867"/>
  <c r="B1866"/>
  <c r="B1865"/>
  <c r="B1864"/>
  <c r="B1863"/>
  <c r="B1862"/>
  <c r="B1861"/>
  <c r="B1860"/>
  <c r="B1859"/>
  <c r="B1858"/>
  <c r="B1857"/>
  <c r="B1856"/>
  <c r="B1855"/>
  <c r="B1854"/>
  <c r="B1853"/>
  <c r="B1852"/>
  <c r="B1851"/>
  <c r="B1850"/>
  <c r="B1849"/>
  <c r="B1848"/>
  <c r="B1847"/>
  <c r="B1846"/>
  <c r="B1845"/>
  <c r="B1844"/>
  <c r="B1843"/>
  <c r="B1842"/>
  <c r="B1841"/>
  <c r="B1840"/>
  <c r="B1839"/>
  <c r="B1838"/>
  <c r="B1837"/>
  <c r="B1836"/>
  <c r="B1835"/>
  <c r="B1834"/>
  <c r="B1833"/>
  <c r="B1832"/>
  <c r="B1831"/>
  <c r="B1830"/>
  <c r="B1829"/>
  <c r="B1828"/>
  <c r="B1827"/>
  <c r="B1826"/>
  <c r="B1825"/>
  <c r="B1824"/>
  <c r="B1823"/>
  <c r="B1822"/>
  <c r="B1821"/>
  <c r="B1820"/>
  <c r="B1819"/>
  <c r="B1818"/>
  <c r="B1817"/>
  <c r="B1816"/>
  <c r="B1815"/>
  <c r="B1814"/>
  <c r="B1813"/>
  <c r="B1812"/>
  <c r="B1811"/>
  <c r="B1810"/>
  <c r="B1809"/>
  <c r="B1808"/>
  <c r="B1807"/>
  <c r="B1806"/>
  <c r="B1805"/>
  <c r="B1804"/>
  <c r="B1803"/>
  <c r="B1802"/>
  <c r="B1801"/>
  <c r="B1800"/>
  <c r="B1799"/>
  <c r="B1798"/>
  <c r="B1797"/>
  <c r="B1796"/>
  <c r="B1795"/>
  <c r="B1794"/>
  <c r="B1793"/>
  <c r="B1792"/>
  <c r="B1791"/>
  <c r="B1790"/>
  <c r="B1789"/>
  <c r="B1788"/>
  <c r="B1787"/>
  <c r="B1786"/>
  <c r="B1785"/>
  <c r="B1784"/>
  <c r="B1783"/>
  <c r="B1782"/>
  <c r="B1781"/>
  <c r="B1780"/>
  <c r="B1779"/>
  <c r="B1778"/>
  <c r="B1777"/>
  <c r="B1776"/>
  <c r="B1775"/>
  <c r="B1774"/>
  <c r="B1773"/>
  <c r="B1772"/>
  <c r="B1771"/>
  <c r="B1770"/>
  <c r="B1769"/>
  <c r="B1768"/>
  <c r="B1767"/>
  <c r="B1766"/>
  <c r="B1765"/>
  <c r="B1764"/>
  <c r="B1763"/>
  <c r="B1762"/>
  <c r="B1761"/>
  <c r="B1760"/>
  <c r="B1759"/>
  <c r="B1758"/>
  <c r="B1757"/>
  <c r="B1756"/>
  <c r="B1755"/>
  <c r="B1754"/>
  <c r="B1753"/>
  <c r="B1752"/>
  <c r="B1751"/>
  <c r="B1750"/>
  <c r="B1749"/>
  <c r="B1748"/>
  <c r="B1747"/>
  <c r="B1746"/>
  <c r="B1745"/>
  <c r="B1744"/>
  <c r="B1743"/>
  <c r="B1742"/>
  <c r="B1741"/>
  <c r="B1740"/>
  <c r="B1739"/>
  <c r="B1738"/>
  <c r="B1737"/>
  <c r="B1736"/>
  <c r="B1735"/>
  <c r="B1734"/>
  <c r="B1733"/>
  <c r="B1732"/>
  <c r="B1731"/>
  <c r="B1730"/>
  <c r="B1729"/>
  <c r="B1728"/>
  <c r="B1727"/>
  <c r="B1726"/>
  <c r="B1725"/>
  <c r="B1724"/>
  <c r="B1723"/>
  <c r="B1722"/>
  <c r="B1721"/>
  <c r="B1720"/>
  <c r="B1719"/>
  <c r="B1718"/>
  <c r="B1717"/>
  <c r="B1716"/>
  <c r="B1715"/>
  <c r="B1714"/>
  <c r="B1713"/>
  <c r="B1712"/>
  <c r="B1711"/>
  <c r="B1710"/>
  <c r="B1709"/>
  <c r="B1708"/>
  <c r="B1707"/>
  <c r="B1706"/>
  <c r="B1705"/>
  <c r="B1704"/>
  <c r="B1703"/>
  <c r="B1702"/>
  <c r="B1701"/>
  <c r="B1700"/>
  <c r="B1699"/>
  <c r="B1698"/>
  <c r="B1697"/>
  <c r="B1696"/>
  <c r="B1695"/>
  <c r="B1694"/>
  <c r="B1693"/>
  <c r="B1692"/>
  <c r="B1691"/>
  <c r="B1690"/>
  <c r="B1689"/>
  <c r="B1688"/>
  <c r="B1687"/>
  <c r="B1686"/>
  <c r="B1685"/>
  <c r="B1684"/>
  <c r="B1683"/>
  <c r="B1682"/>
  <c r="B1681"/>
  <c r="B1680"/>
  <c r="B1679"/>
  <c r="B1678"/>
  <c r="B1677"/>
  <c r="B1676"/>
  <c r="B1675"/>
  <c r="B1674"/>
  <c r="B1673"/>
  <c r="B1672"/>
  <c r="B1671"/>
  <c r="B1670"/>
  <c r="B1669"/>
  <c r="B1668"/>
  <c r="B1667"/>
  <c r="B1666"/>
  <c r="B1665"/>
  <c r="B1664"/>
  <c r="B1663"/>
  <c r="B1662"/>
  <c r="B1661"/>
  <c r="B1660"/>
  <c r="B1659"/>
  <c r="B1658"/>
  <c r="B1657"/>
  <c r="B1656"/>
  <c r="B1655"/>
  <c r="B1654"/>
  <c r="B1653"/>
  <c r="B1652"/>
  <c r="B1651"/>
  <c r="B1650"/>
  <c r="B1649"/>
  <c r="B1648"/>
  <c r="B1647"/>
  <c r="B1646"/>
  <c r="B1645"/>
  <c r="B1644"/>
  <c r="B1643"/>
  <c r="B1642"/>
  <c r="B1641"/>
  <c r="B1640"/>
  <c r="B1639"/>
  <c r="B1638"/>
  <c r="B1637"/>
  <c r="B1636"/>
  <c r="B1635"/>
  <c r="B1634"/>
  <c r="B1633"/>
  <c r="B1632"/>
  <c r="B1631"/>
  <c r="B1630"/>
  <c r="B1629"/>
  <c r="B1628"/>
  <c r="B1627"/>
  <c r="B1626"/>
  <c r="B1625"/>
  <c r="B1624"/>
  <c r="B1623"/>
  <c r="B1622"/>
  <c r="B1621"/>
  <c r="B1620"/>
  <c r="B1619"/>
  <c r="B1618"/>
  <c r="B1617"/>
  <c r="B1616"/>
  <c r="B1615"/>
  <c r="B1614"/>
  <c r="B1613"/>
  <c r="B1612"/>
  <c r="B1611"/>
  <c r="B1610"/>
  <c r="B1609"/>
  <c r="B1608"/>
  <c r="B1607"/>
  <c r="B1606"/>
  <c r="B1605"/>
  <c r="B1604"/>
  <c r="B1603"/>
  <c r="B1602"/>
  <c r="B1601"/>
  <c r="B1600"/>
  <c r="B1599"/>
  <c r="B1598"/>
  <c r="B1597"/>
  <c r="B1596"/>
  <c r="B1595"/>
  <c r="B1594"/>
  <c r="B1593"/>
  <c r="B1592"/>
  <c r="B1591"/>
  <c r="B1590"/>
  <c r="B1589"/>
  <c r="B1588"/>
  <c r="B1587"/>
  <c r="B1586"/>
  <c r="B1585"/>
  <c r="B1584"/>
  <c r="B1583"/>
  <c r="B1582"/>
  <c r="B1581"/>
  <c r="B1580"/>
  <c r="B1579"/>
  <c r="B1578"/>
  <c r="B1577"/>
  <c r="B1576"/>
  <c r="B1575"/>
  <c r="B1574"/>
  <c r="B1573"/>
  <c r="B1572"/>
  <c r="B1571"/>
  <c r="B1570"/>
  <c r="B1569"/>
  <c r="B1568"/>
  <c r="B1567"/>
  <c r="B1566"/>
  <c r="B1565"/>
  <c r="B1564"/>
  <c r="B1563"/>
  <c r="B1562"/>
  <c r="B1561"/>
  <c r="B1560"/>
  <c r="B1559"/>
  <c r="B1558"/>
  <c r="B1557"/>
  <c r="B1556"/>
  <c r="B1555"/>
  <c r="B1554"/>
  <c r="B1553"/>
  <c r="B1552"/>
  <c r="B1551"/>
  <c r="B1550"/>
  <c r="B1549"/>
  <c r="B1548"/>
  <c r="B1547"/>
  <c r="B1546"/>
  <c r="B1545"/>
  <c r="B1544"/>
  <c r="B1543"/>
  <c r="B1542"/>
  <c r="B1541"/>
  <c r="B1540"/>
  <c r="B1539"/>
  <c r="B1538"/>
  <c r="B1537"/>
  <c r="B1536"/>
  <c r="B1535"/>
  <c r="B1534"/>
  <c r="B1533"/>
  <c r="B1532"/>
  <c r="B1531"/>
  <c r="B1530"/>
  <c r="B1529"/>
  <c r="B1528"/>
  <c r="B1527"/>
  <c r="B1526"/>
  <c r="B1525"/>
  <c r="B1524"/>
  <c r="B1523"/>
  <c r="B1522"/>
  <c r="B1521"/>
  <c r="B1520"/>
  <c r="B1519"/>
  <c r="B1518"/>
  <c r="B1517"/>
  <c r="B1516"/>
  <c r="B1515"/>
  <c r="B1514"/>
  <c r="B1513"/>
  <c r="B1512"/>
  <c r="B1511"/>
  <c r="B1510"/>
  <c r="B1509"/>
  <c r="B1508"/>
  <c r="B1507"/>
  <c r="B1506"/>
  <c r="B1505"/>
  <c r="B1504"/>
  <c r="B1503"/>
  <c r="B1502"/>
  <c r="B1501"/>
  <c r="B1500"/>
  <c r="B1499"/>
  <c r="B1498"/>
  <c r="B1497"/>
  <c r="B1496"/>
  <c r="B1495"/>
  <c r="B1494"/>
  <c r="B1493"/>
  <c r="B1492"/>
  <c r="B1491"/>
  <c r="B1490"/>
  <c r="B1489"/>
  <c r="B1488"/>
  <c r="B1487"/>
  <c r="B1486"/>
  <c r="B1485"/>
  <c r="B1484"/>
  <c r="B1483"/>
  <c r="B1482"/>
  <c r="B1481"/>
  <c r="B1480"/>
  <c r="B1479"/>
  <c r="B1478"/>
  <c r="B1477"/>
  <c r="B1476"/>
  <c r="B1475"/>
  <c r="B1474"/>
  <c r="B1473"/>
  <c r="B1472"/>
  <c r="B1471"/>
  <c r="B1470"/>
  <c r="B1469"/>
  <c r="B1468"/>
  <c r="B1467"/>
  <c r="B1466"/>
  <c r="B1465"/>
  <c r="B1464"/>
  <c r="B1463"/>
  <c r="B1462"/>
  <c r="B1461"/>
  <c r="B1460"/>
  <c r="B1459"/>
  <c r="B1458"/>
  <c r="B1457"/>
  <c r="B1456"/>
  <c r="B1455"/>
  <c r="B1454"/>
  <c r="B1453"/>
  <c r="B1452"/>
  <c r="B1451"/>
  <c r="B1450"/>
  <c r="B1449"/>
  <c r="B1448"/>
  <c r="B1447"/>
  <c r="B1446"/>
  <c r="B1445"/>
  <c r="B1444"/>
  <c r="B1443"/>
  <c r="B1442"/>
  <c r="B1441"/>
  <c r="B1440"/>
  <c r="B1439"/>
  <c r="B1438"/>
  <c r="B1437"/>
  <c r="B1436"/>
  <c r="B1435"/>
  <c r="B1434"/>
  <c r="B1433"/>
  <c r="B1432"/>
  <c r="B1431"/>
  <c r="B1430"/>
  <c r="B1429"/>
  <c r="B1428"/>
  <c r="B1427"/>
  <c r="B1426"/>
  <c r="B1425"/>
  <c r="B1424"/>
  <c r="B1423"/>
  <c r="B1422"/>
  <c r="B1421"/>
  <c r="B1420"/>
  <c r="B1419"/>
  <c r="B1418"/>
  <c r="B1417"/>
  <c r="B1416"/>
  <c r="B1415"/>
  <c r="B1414"/>
  <c r="B1413"/>
  <c r="B1412"/>
  <c r="B1411"/>
  <c r="B1410"/>
  <c r="B1409"/>
  <c r="B1408"/>
  <c r="B1407"/>
  <c r="B1406"/>
  <c r="B1405"/>
  <c r="B1404"/>
  <c r="B1403"/>
  <c r="B1402"/>
  <c r="B1401"/>
  <c r="B1400"/>
  <c r="B1399"/>
  <c r="B1398"/>
  <c r="B1397"/>
  <c r="B1396"/>
  <c r="B1395"/>
  <c r="B1394"/>
  <c r="B1393"/>
  <c r="B1392"/>
  <c r="B1391"/>
  <c r="B1390"/>
  <c r="B1389"/>
  <c r="B1388"/>
  <c r="B1387"/>
  <c r="B1386"/>
  <c r="B1385"/>
  <c r="B1384"/>
  <c r="B1383"/>
  <c r="B1382"/>
  <c r="B1381"/>
  <c r="B1380"/>
  <c r="B1379"/>
  <c r="B1378"/>
  <c r="B1377"/>
  <c r="B1376"/>
  <c r="B1375"/>
  <c r="B1374"/>
  <c r="B1373"/>
  <c r="B1372"/>
  <c r="B1371"/>
  <c r="B1370"/>
  <c r="B1369"/>
  <c r="B1368"/>
  <c r="B1367"/>
  <c r="B1366"/>
  <c r="B1365"/>
  <c r="B1364"/>
  <c r="B1363"/>
  <c r="B1362"/>
  <c r="B1361"/>
  <c r="B1360"/>
  <c r="B1359"/>
  <c r="B1358"/>
  <c r="B1357"/>
  <c r="B1356"/>
  <c r="B1355"/>
  <c r="B1354"/>
  <c r="B1353"/>
  <c r="B1352"/>
  <c r="B1351"/>
  <c r="B1350"/>
  <c r="B1349"/>
  <c r="B1348"/>
  <c r="B1347"/>
  <c r="B1346"/>
  <c r="B1345"/>
  <c r="B1344"/>
  <c r="B1343"/>
  <c r="B1342"/>
  <c r="B1341"/>
  <c r="B1340"/>
  <c r="B1339"/>
  <c r="B1338"/>
  <c r="B1337"/>
  <c r="B1336"/>
  <c r="B1335"/>
  <c r="B1334"/>
  <c r="B1333"/>
  <c r="B1332"/>
  <c r="B1331"/>
  <c r="B1330"/>
  <c r="B1329"/>
  <c r="B1328"/>
  <c r="B1327"/>
  <c r="B1326"/>
  <c r="B1325"/>
  <c r="B1324"/>
  <c r="B1323"/>
  <c r="B1322"/>
  <c r="B1321"/>
  <c r="B1320"/>
  <c r="B1319"/>
  <c r="B1318"/>
  <c r="B1317"/>
  <c r="B1316"/>
  <c r="B1315"/>
  <c r="B1314"/>
  <c r="B1313"/>
  <c r="B1312"/>
  <c r="B1311"/>
  <c r="B1310"/>
  <c r="B1309"/>
  <c r="B1308"/>
  <c r="B1307"/>
  <c r="B1306"/>
  <c r="B1305"/>
  <c r="B1304"/>
  <c r="B1303"/>
  <c r="B1302"/>
  <c r="B1301"/>
  <c r="B1300"/>
  <c r="B1299"/>
  <c r="B1298"/>
  <c r="B1297"/>
  <c r="B1296"/>
  <c r="B1295"/>
  <c r="B1294"/>
  <c r="B1293"/>
  <c r="B1292"/>
  <c r="B1291"/>
  <c r="B1290"/>
  <c r="B1289"/>
  <c r="B1288"/>
  <c r="B1287"/>
  <c r="B1286"/>
  <c r="B1285"/>
  <c r="B1284"/>
  <c r="B1283"/>
  <c r="B1282"/>
  <c r="B1281"/>
  <c r="B1280"/>
  <c r="B1279"/>
  <c r="B1278"/>
  <c r="B1277"/>
  <c r="B1276"/>
  <c r="B1275"/>
  <c r="B1274"/>
  <c r="B1273"/>
  <c r="B1272"/>
  <c r="B1271"/>
  <c r="B1270"/>
  <c r="B1269"/>
  <c r="B1268"/>
  <c r="B1267"/>
  <c r="B1266"/>
  <c r="B1265"/>
  <c r="B1264"/>
  <c r="B1263"/>
  <c r="B1262"/>
  <c r="B1261"/>
  <c r="B1260"/>
  <c r="B1259"/>
  <c r="B1258"/>
  <c r="B1257"/>
  <c r="B1256"/>
  <c r="B1255"/>
  <c r="B1254"/>
  <c r="B1253"/>
  <c r="B1252"/>
  <c r="B1251"/>
  <c r="B1250"/>
  <c r="B1249"/>
  <c r="B1248"/>
  <c r="B1247"/>
  <c r="B1246"/>
  <c r="B1245"/>
  <c r="B1244"/>
  <c r="B1243"/>
  <c r="B1242"/>
  <c r="B1241"/>
  <c r="B1240"/>
  <c r="B1239"/>
  <c r="B1238"/>
  <c r="B1237"/>
  <c r="B1236"/>
  <c r="B1235"/>
  <c r="B1234"/>
  <c r="B1233"/>
  <c r="B1232"/>
  <c r="B1231"/>
  <c r="B1230"/>
  <c r="B1229"/>
  <c r="B1228"/>
  <c r="B1227"/>
  <c r="B1226"/>
  <c r="B1225"/>
  <c r="B1224"/>
  <c r="B1223"/>
  <c r="B1222"/>
  <c r="B1221"/>
  <c r="B1220"/>
  <c r="B1219"/>
  <c r="B1218"/>
  <c r="B1217"/>
  <c r="B1216"/>
  <c r="B1215"/>
  <c r="B1214"/>
  <c r="B1213"/>
  <c r="B1212"/>
  <c r="B1211"/>
  <c r="B1210"/>
  <c r="B1209"/>
  <c r="B1208"/>
  <c r="B1207"/>
  <c r="B1206"/>
  <c r="B1205"/>
  <c r="B1204"/>
  <c r="B1203"/>
  <c r="B1202"/>
  <c r="B1201"/>
  <c r="B1200"/>
  <c r="B1199"/>
  <c r="B1198"/>
  <c r="B1197"/>
  <c r="B1196"/>
  <c r="B1195"/>
  <c r="B1194"/>
  <c r="B1193"/>
  <c r="B1192"/>
  <c r="B1191"/>
  <c r="B1190"/>
  <c r="B1189"/>
  <c r="B1188"/>
  <c r="B1187"/>
  <c r="B1186"/>
  <c r="B1185"/>
  <c r="B1184"/>
  <c r="B1183"/>
  <c r="B1182"/>
  <c r="B1181"/>
  <c r="B1180"/>
  <c r="B1179"/>
  <c r="B1178"/>
  <c r="B1177"/>
  <c r="B1176"/>
  <c r="B1175"/>
  <c r="B1174"/>
  <c r="B1173"/>
  <c r="B1172"/>
  <c r="B1171"/>
  <c r="B1170"/>
  <c r="B1169"/>
  <c r="B1168"/>
  <c r="B1167"/>
  <c r="B1166"/>
  <c r="B1165"/>
  <c r="B1164"/>
  <c r="B1163"/>
  <c r="B1162"/>
  <c r="B1161"/>
  <c r="B1160"/>
  <c r="B1159"/>
  <c r="B1158"/>
  <c r="B1157"/>
  <c r="B1156"/>
  <c r="B1155"/>
  <c r="B1154"/>
  <c r="B1153"/>
  <c r="B1152"/>
  <c r="B1151"/>
  <c r="B1150"/>
  <c r="B1149"/>
  <c r="B1148"/>
  <c r="B1147"/>
  <c r="B1146"/>
  <c r="B1145"/>
  <c r="B1144"/>
  <c r="B1143"/>
  <c r="B1142"/>
  <c r="B1141"/>
  <c r="B1140"/>
  <c r="B1139"/>
  <c r="B1138"/>
  <c r="B1137"/>
  <c r="B1136"/>
  <c r="B1135"/>
  <c r="B1134"/>
  <c r="B1133"/>
  <c r="B1132"/>
  <c r="B1131"/>
  <c r="B1130"/>
  <c r="B1129"/>
  <c r="B1128"/>
  <c r="B1127"/>
  <c r="B1126"/>
  <c r="B1125"/>
  <c r="B1124"/>
  <c r="B1123"/>
  <c r="B1122"/>
  <c r="B1121"/>
  <c r="B1120"/>
  <c r="B1119"/>
  <c r="B1118"/>
  <c r="B1117"/>
  <c r="B1116"/>
  <c r="B1115"/>
  <c r="B1114"/>
  <c r="B1113"/>
  <c r="B1112"/>
  <c r="B1111"/>
  <c r="B1110"/>
  <c r="B1109"/>
  <c r="B1108"/>
  <c r="B1107"/>
  <c r="B1106"/>
  <c r="B1105"/>
  <c r="B1104"/>
  <c r="B1103"/>
  <c r="B1102"/>
  <c r="B1101"/>
  <c r="B1100"/>
  <c r="B1099"/>
  <c r="B1098"/>
  <c r="B1097"/>
  <c r="B1096"/>
  <c r="B1095"/>
  <c r="B1094"/>
  <c r="B1093"/>
  <c r="B1092"/>
  <c r="B1091"/>
  <c r="B1090"/>
  <c r="B1089"/>
  <c r="B1088"/>
  <c r="B1087"/>
  <c r="B1086"/>
  <c r="B1085"/>
  <c r="B1084"/>
  <c r="B1083"/>
  <c r="B1082"/>
  <c r="B1081"/>
  <c r="B1080"/>
  <c r="B1079"/>
  <c r="B1078"/>
  <c r="B1077"/>
  <c r="B1076"/>
  <c r="B1075"/>
  <c r="B1074"/>
  <c r="B1073"/>
  <c r="B1072"/>
  <c r="B1071"/>
  <c r="B1070"/>
  <c r="B1069"/>
  <c r="B1066"/>
  <c r="B1065"/>
  <c r="B1064"/>
  <c r="B1063"/>
  <c r="B1062"/>
  <c r="B1060"/>
  <c r="B1059"/>
  <c r="B1058"/>
  <c r="B1057"/>
  <c r="B1056"/>
  <c r="B1055"/>
  <c r="B1054"/>
  <c r="B1053"/>
  <c r="B1052"/>
  <c r="B1051"/>
  <c r="B1050"/>
  <c r="B1049"/>
  <c r="B1048"/>
  <c r="B1047"/>
  <c r="B1046"/>
  <c r="B1044"/>
  <c r="B1043"/>
  <c r="B1042"/>
  <c r="B1041"/>
  <c r="B1040"/>
  <c r="B1039"/>
  <c r="B1038"/>
  <c r="B1037"/>
  <c r="B1036"/>
  <c r="B1035"/>
  <c r="B1034"/>
  <c r="B1033"/>
  <c r="B1032"/>
  <c r="B1031"/>
  <c r="B1030"/>
  <c r="B1029"/>
  <c r="B1028"/>
  <c r="B1027"/>
  <c r="B1026"/>
  <c r="B1025"/>
  <c r="B1024"/>
  <c r="B1023"/>
  <c r="B1022"/>
  <c r="B1021"/>
  <c r="B1020"/>
  <c r="B1019"/>
  <c r="B1018"/>
  <c r="B1017"/>
  <c r="B1016"/>
  <c r="B1015"/>
  <c r="B1014"/>
  <c r="B1013"/>
  <c r="B1012"/>
  <c r="B1011"/>
  <c r="B1010"/>
  <c r="B1009"/>
  <c r="B1008"/>
  <c r="B1007"/>
  <c r="B1006"/>
  <c r="B1005"/>
  <c r="B1004"/>
  <c r="B1003"/>
  <c r="B1002"/>
  <c r="B1001"/>
  <c r="B1000"/>
  <c r="B999"/>
  <c r="B998"/>
  <c r="B997"/>
  <c r="B996"/>
  <c r="B995"/>
  <c r="B994"/>
  <c r="B993"/>
  <c r="B992"/>
  <c r="B991"/>
  <c r="B990"/>
  <c r="B989"/>
  <c r="B987"/>
  <c r="B986"/>
  <c r="B985"/>
  <c r="B984"/>
  <c r="B983"/>
  <c r="B982"/>
  <c r="B981"/>
  <c r="B980"/>
  <c r="B979"/>
  <c r="B978"/>
  <c r="B977"/>
  <c r="B976"/>
  <c r="B975"/>
  <c r="B974"/>
  <c r="B973"/>
  <c r="B972"/>
  <c r="B971"/>
  <c r="B970"/>
  <c r="B969"/>
  <c r="B968"/>
  <c r="B967"/>
  <c r="B966"/>
  <c r="B965"/>
  <c r="B964"/>
  <c r="B988"/>
  <c r="B963"/>
  <c r="B962"/>
  <c r="B961"/>
  <c r="B960"/>
  <c r="B959"/>
  <c r="B958"/>
  <c r="B957"/>
  <c r="B956"/>
  <c r="B955"/>
  <c r="B954"/>
  <c r="B953"/>
  <c r="B952"/>
  <c r="B951"/>
  <c r="B950"/>
  <c r="B949"/>
  <c r="B948"/>
  <c r="B947"/>
  <c r="B946"/>
  <c r="B945"/>
  <c r="B944"/>
  <c r="B943"/>
  <c r="B942"/>
  <c r="B941"/>
  <c r="B940"/>
  <c r="B939"/>
  <c r="B938"/>
  <c r="B937"/>
  <c r="B936"/>
  <c r="B935"/>
  <c r="B934"/>
  <c r="B933"/>
  <c r="B932"/>
  <c r="B931"/>
  <c r="B930"/>
  <c r="B929"/>
  <c r="B928"/>
  <c r="B927"/>
  <c r="B926"/>
  <c r="B925"/>
  <c r="B924"/>
  <c r="B923"/>
  <c r="B922"/>
  <c r="B921"/>
  <c r="B920"/>
  <c r="B919"/>
  <c r="B918"/>
  <c r="B907"/>
  <c r="B906"/>
  <c r="B905"/>
  <c r="B904"/>
  <c r="B903"/>
  <c r="B912"/>
  <c r="B911"/>
  <c r="B910"/>
  <c r="B909"/>
  <c r="B908"/>
  <c r="B917"/>
  <c r="B916"/>
  <c r="B915"/>
  <c r="B914"/>
  <c r="B913"/>
  <c r="B625"/>
  <c r="B624"/>
  <c r="B623"/>
  <c r="B622"/>
  <c r="B621"/>
  <c r="B620"/>
  <c r="B619"/>
  <c r="B900"/>
  <c r="B899"/>
  <c r="B898"/>
  <c r="B897"/>
  <c r="B896"/>
  <c r="B895"/>
  <c r="B894"/>
  <c r="B618"/>
  <c r="B617"/>
  <c r="B880"/>
  <c r="B879"/>
  <c r="B878"/>
  <c r="B877"/>
  <c r="B876"/>
  <c r="B837"/>
  <c r="B836"/>
  <c r="B835"/>
  <c r="B834"/>
  <c r="B833"/>
  <c r="B817"/>
  <c r="B816"/>
  <c r="B815"/>
  <c r="B814"/>
  <c r="B813"/>
  <c r="B812"/>
  <c r="B811"/>
  <c r="B810"/>
  <c r="B809"/>
  <c r="B808"/>
  <c r="B847"/>
  <c r="B846"/>
  <c r="B845"/>
  <c r="B844"/>
  <c r="B843"/>
  <c r="B822"/>
  <c r="B821"/>
  <c r="B820"/>
  <c r="B819"/>
  <c r="B818"/>
  <c r="B832"/>
  <c r="B831"/>
  <c r="B830"/>
  <c r="B829"/>
  <c r="B828"/>
  <c r="B842"/>
  <c r="B841"/>
  <c r="B840"/>
  <c r="B839"/>
  <c r="B838"/>
  <c r="B852"/>
  <c r="B851"/>
  <c r="B850"/>
  <c r="B849"/>
  <c r="B848"/>
  <c r="B865"/>
  <c r="B864"/>
  <c r="B863"/>
  <c r="B862"/>
  <c r="B861"/>
  <c r="B875"/>
  <c r="B874"/>
  <c r="B873"/>
  <c r="B872"/>
  <c r="B871"/>
  <c r="B870"/>
  <c r="B869"/>
  <c r="B868"/>
  <c r="B867"/>
  <c r="B866"/>
  <c r="B885"/>
  <c r="B884"/>
  <c r="B883"/>
  <c r="B882"/>
  <c r="B881"/>
  <c r="B890"/>
  <c r="B889"/>
  <c r="B888"/>
  <c r="B887"/>
  <c r="B886"/>
  <c r="B802"/>
  <c r="B801"/>
  <c r="B800"/>
  <c r="B799"/>
  <c r="B798"/>
  <c r="B860"/>
  <c r="B859"/>
  <c r="B858"/>
  <c r="B857"/>
  <c r="B856"/>
  <c r="B807"/>
  <c r="B806"/>
  <c r="B805"/>
  <c r="B804"/>
  <c r="B803"/>
  <c r="B827"/>
  <c r="B826"/>
  <c r="B825"/>
  <c r="B824"/>
  <c r="B823"/>
  <c r="B902"/>
  <c r="B901"/>
  <c r="B891"/>
  <c r="B893"/>
  <c r="B892"/>
  <c r="B855"/>
  <c r="B854"/>
  <c r="B853"/>
  <c r="B767"/>
  <c r="B766"/>
  <c r="B765"/>
  <c r="B616"/>
  <c r="B626"/>
  <c r="B724"/>
  <c r="B723"/>
  <c r="B722"/>
  <c r="B721"/>
  <c r="B719"/>
  <c r="B718"/>
  <c r="B717"/>
  <c r="B716"/>
  <c r="B715"/>
  <c r="B700"/>
  <c r="B699"/>
  <c r="B698"/>
  <c r="B697"/>
  <c r="B696"/>
  <c r="B713"/>
  <c r="B712"/>
  <c r="B711"/>
  <c r="B710"/>
  <c r="B714"/>
  <c r="B739"/>
  <c r="B738"/>
  <c r="B737"/>
  <c r="B736"/>
  <c r="B735"/>
  <c r="B764"/>
  <c r="B763"/>
  <c r="B762"/>
  <c r="B761"/>
  <c r="B760"/>
  <c r="B772"/>
  <c r="B771"/>
  <c r="B770"/>
  <c r="B769"/>
  <c r="B768"/>
  <c r="B759"/>
  <c r="B758"/>
  <c r="B757"/>
  <c r="B756"/>
  <c r="B755"/>
  <c r="B734"/>
  <c r="B733"/>
  <c r="B732"/>
  <c r="B731"/>
  <c r="B730"/>
  <c r="B729"/>
  <c r="B728"/>
  <c r="B727"/>
  <c r="B726"/>
  <c r="B725"/>
  <c r="B744"/>
  <c r="B743"/>
  <c r="B742"/>
  <c r="B741"/>
  <c r="B740"/>
  <c r="B749"/>
  <c r="B748"/>
  <c r="B747"/>
  <c r="B746"/>
  <c r="B745"/>
  <c r="B754"/>
  <c r="B753"/>
  <c r="B752"/>
  <c r="B751"/>
  <c r="B750"/>
  <c r="B782"/>
  <c r="B781"/>
  <c r="B780"/>
  <c r="B779"/>
  <c r="B778"/>
  <c r="B777"/>
  <c r="B776"/>
  <c r="B775"/>
  <c r="B774"/>
  <c r="B773"/>
  <c r="B787"/>
  <c r="B786"/>
  <c r="B785"/>
  <c r="B784"/>
  <c r="B783"/>
  <c r="B792"/>
  <c r="B791"/>
  <c r="B790"/>
  <c r="B789"/>
  <c r="B788"/>
  <c r="B695"/>
  <c r="B694"/>
  <c r="B693"/>
  <c r="B692"/>
  <c r="B691"/>
  <c r="B690"/>
  <c r="B689"/>
  <c r="B688"/>
  <c r="B687"/>
  <c r="B686"/>
  <c r="B797"/>
  <c r="B796"/>
  <c r="B795"/>
  <c r="B794"/>
  <c r="B793"/>
  <c r="B615"/>
  <c r="B614"/>
  <c r="B709"/>
  <c r="B708"/>
  <c r="B707"/>
  <c r="B706"/>
  <c r="B705"/>
  <c r="B704"/>
  <c r="B703"/>
  <c r="B702"/>
  <c r="B701"/>
  <c r="B685"/>
  <c r="B684"/>
  <c r="B683"/>
  <c r="B682"/>
  <c r="B681"/>
  <c r="B680"/>
  <c r="B679"/>
  <c r="B678"/>
  <c r="B677"/>
  <c r="B611"/>
  <c r="B612"/>
  <c r="B609"/>
  <c r="B610"/>
  <c r="B608"/>
  <c r="B607"/>
  <c r="B606"/>
  <c r="B605"/>
  <c r="B661"/>
  <c r="B660"/>
  <c r="B659"/>
  <c r="I109"/>
  <c r="I24"/>
  <c r="I23"/>
  <c r="I22"/>
  <c r="I119"/>
  <c r="I118"/>
  <c r="I117"/>
  <c r="A95" i="20"/>
  <c r="A5" s="1"/>
  <c r="E1104" i="21"/>
  <c r="E1082"/>
  <c r="E1103"/>
  <c r="E1060"/>
  <c r="E1059"/>
  <c r="E1083"/>
  <c r="E1102"/>
  <c r="E1101"/>
  <c r="G9" i="11" l="1"/>
  <c r="I1" i="21"/>
  <c r="G95" i="20"/>
  <c r="G96"/>
  <c r="T217" i="7"/>
  <c r="U217"/>
  <c r="W216"/>
  <c r="I140" i="8"/>
  <c r="I216" s="1"/>
  <c r="H140"/>
  <c r="V216" i="7"/>
  <c r="AA140"/>
  <c r="H60" i="10"/>
  <c r="H66" s="1"/>
  <c r="K27" i="12" s="1"/>
  <c r="J117" i="21"/>
  <c r="K117" s="1"/>
  <c r="G100" i="20"/>
  <c r="G98"/>
  <c r="G97"/>
  <c r="G101"/>
  <c r="G99"/>
  <c r="J118" i="21"/>
  <c r="J109"/>
  <c r="J23"/>
  <c r="K23" s="1"/>
  <c r="J119"/>
  <c r="K119" s="1"/>
  <c r="B3"/>
  <c r="J22"/>
  <c r="J24"/>
  <c r="K24" s="1"/>
  <c r="Q117"/>
  <c r="J50" i="20"/>
  <c r="F1061" i="21"/>
  <c r="H104" i="20"/>
  <c r="H95"/>
  <c r="J53"/>
  <c r="H17"/>
  <c r="J74"/>
  <c r="M34"/>
  <c r="M28"/>
  <c r="J101"/>
  <c r="J48"/>
  <c r="H44"/>
  <c r="N76"/>
  <c r="H10"/>
  <c r="J49"/>
  <c r="J91"/>
  <c r="H41"/>
  <c r="H15"/>
  <c r="J56"/>
  <c r="H47"/>
  <c r="J94"/>
  <c r="H77"/>
  <c r="J41"/>
  <c r="Q907" i="21"/>
  <c r="F1126"/>
  <c r="F1077"/>
  <c r="H51" i="20"/>
  <c r="F1081" i="21"/>
  <c r="E964"/>
  <c r="F1118"/>
  <c r="E1089"/>
  <c r="H98" i="20"/>
  <c r="J82"/>
  <c r="F1124" i="21"/>
  <c r="H18" i="20"/>
  <c r="M33"/>
  <c r="H14"/>
  <c r="J79"/>
  <c r="H28"/>
  <c r="J43"/>
  <c r="J42"/>
  <c r="H37"/>
  <c r="J78"/>
  <c r="H97"/>
  <c r="F1117" i="21"/>
  <c r="H85" i="20"/>
  <c r="F1067" i="21"/>
  <c r="J46" i="20"/>
  <c r="Q908" i="21"/>
  <c r="J38" i="20"/>
  <c r="F1116" i="21"/>
  <c r="J102" i="20"/>
  <c r="H72"/>
  <c r="H105"/>
  <c r="J97"/>
  <c r="F1106" i="21"/>
  <c r="J45" i="20"/>
  <c r="M31"/>
  <c r="H27"/>
  <c r="J64"/>
  <c r="N35"/>
  <c r="K28"/>
  <c r="H36"/>
  <c r="F1062" i="21"/>
  <c r="J27" i="20"/>
  <c r="E1066" i="21"/>
  <c r="J31" i="20"/>
  <c r="H12"/>
  <c r="H76"/>
  <c r="J60"/>
  <c r="N34"/>
  <c r="H13"/>
  <c r="J51"/>
  <c r="M76"/>
  <c r="J93"/>
  <c r="H56"/>
  <c r="H57"/>
  <c r="J100"/>
  <c r="H68"/>
  <c r="J57"/>
  <c r="E1067" i="21"/>
  <c r="K34" i="20"/>
  <c r="F1123" i="21"/>
  <c r="H54" i="20"/>
  <c r="H101"/>
  <c r="E959" i="21"/>
  <c r="H65" i="20"/>
  <c r="H20"/>
  <c r="K31"/>
  <c r="N33"/>
  <c r="J103"/>
  <c r="H61"/>
  <c r="J83"/>
  <c r="F1063" i="21"/>
  <c r="F1078"/>
  <c r="H78" i="20"/>
  <c r="J33"/>
  <c r="H71"/>
  <c r="F1079" i="21"/>
  <c r="H81" i="20"/>
  <c r="F1089" i="21"/>
  <c r="H92" i="20"/>
  <c r="H84"/>
  <c r="H23"/>
  <c r="F1070" i="21"/>
  <c r="E1088"/>
  <c r="H33" i="20"/>
  <c r="J32"/>
  <c r="F1080" i="21"/>
  <c r="H69" i="20"/>
  <c r="Q984" i="21"/>
  <c r="H96" i="20"/>
  <c r="H8"/>
  <c r="H90"/>
  <c r="H26"/>
  <c r="H82"/>
  <c r="H30"/>
  <c r="F1128" i="21"/>
  <c r="H52" i="20"/>
  <c r="K38"/>
  <c r="J92"/>
  <c r="H9"/>
  <c r="J67"/>
  <c r="H40"/>
  <c r="H60"/>
  <c r="E1087" i="21"/>
  <c r="J54" i="20"/>
  <c r="H48"/>
  <c r="E1085" i="21"/>
  <c r="Q982"/>
  <c r="J105" i="20"/>
  <c r="J34"/>
  <c r="N38"/>
  <c r="K33"/>
  <c r="H31"/>
  <c r="H91"/>
  <c r="J28"/>
  <c r="H22"/>
  <c r="H100"/>
  <c r="F1066" i="21"/>
  <c r="H67" i="20"/>
  <c r="H102"/>
  <c r="J104"/>
  <c r="E1084" i="21"/>
  <c r="H39" i="20"/>
  <c r="H64"/>
  <c r="H80"/>
  <c r="Q1028" i="21"/>
  <c r="N28" i="20"/>
  <c r="Q1018" i="21"/>
  <c r="H75" i="20"/>
  <c r="H83"/>
  <c r="F1119" i="21"/>
  <c r="Q985"/>
  <c r="J62" i="20"/>
  <c r="H38"/>
  <c r="H89"/>
  <c r="E960" i="21"/>
  <c r="H59" i="20"/>
  <c r="H19"/>
  <c r="Q1126" i="21"/>
  <c r="H99" i="20"/>
  <c r="F1071" i="21"/>
  <c r="H21" i="20"/>
  <c r="J65"/>
  <c r="J89"/>
  <c r="F1107" i="21"/>
  <c r="H62" i="20"/>
  <c r="F1127" i="21"/>
  <c r="F1088"/>
  <c r="H86" i="20"/>
  <c r="J23"/>
  <c r="J86"/>
  <c r="H16"/>
  <c r="F1069" i="21"/>
  <c r="H103" i="20"/>
  <c r="M38"/>
  <c r="H106"/>
  <c r="H70"/>
  <c r="J95"/>
  <c r="E1070" i="21"/>
  <c r="H32" i="20"/>
  <c r="H11"/>
  <c r="J98"/>
  <c r="N31"/>
  <c r="H88"/>
  <c r="E1069" i="21"/>
  <c r="J87" i="20"/>
  <c r="F1115" i="21"/>
  <c r="Q983"/>
  <c r="J52" i="20"/>
  <c r="F1085" i="21"/>
  <c r="H46" i="20"/>
  <c r="H66"/>
  <c r="F1087" i="21"/>
  <c r="K76" i="20"/>
  <c r="H87"/>
  <c r="F1110" i="21"/>
  <c r="K32" i="20"/>
  <c r="H34"/>
  <c r="F1105" i="21"/>
  <c r="Q1031"/>
  <c r="H50" i="20"/>
  <c r="J84"/>
  <c r="H74"/>
  <c r="J81"/>
  <c r="H43"/>
  <c r="F1064" i="21"/>
  <c r="F1125"/>
  <c r="N32" i="20"/>
  <c r="F1065" i="21"/>
  <c r="J75" i="20"/>
  <c r="H94"/>
  <c r="J19"/>
  <c r="H25"/>
  <c r="J96"/>
  <c r="H35"/>
  <c r="J99"/>
  <c r="F1120" i="21"/>
  <c r="F1122"/>
  <c r="H73" i="20"/>
  <c r="J85"/>
  <c r="H53"/>
  <c r="H29"/>
  <c r="H55"/>
  <c r="H58"/>
  <c r="H42"/>
  <c r="E1071" i="21"/>
  <c r="F1109"/>
  <c r="J47" i="20"/>
  <c r="H45"/>
  <c r="E965" i="21"/>
  <c r="H24" i="20"/>
  <c r="J20"/>
  <c r="Q1008" i="21"/>
  <c r="J88" i="20"/>
  <c r="H49"/>
  <c r="H79"/>
  <c r="H93"/>
  <c r="F1108" i="21"/>
  <c r="F1121"/>
  <c r="M32" i="20"/>
  <c r="J16"/>
  <c r="J55"/>
  <c r="Q954" i="21"/>
  <c r="F1084"/>
  <c r="H63" i="20"/>
  <c r="X7" l="1"/>
  <c r="G24" i="11"/>
  <c r="G26" s="1"/>
  <c r="G28" s="1"/>
  <c r="I32" i="20"/>
  <c r="I28"/>
  <c r="I31"/>
  <c r="I34"/>
  <c r="I33"/>
  <c r="I38"/>
  <c r="I67"/>
  <c r="I27"/>
  <c r="I23"/>
  <c r="I20"/>
  <c r="I19"/>
  <c r="I16"/>
  <c r="I65"/>
  <c r="I64"/>
  <c r="I62"/>
  <c r="I60"/>
  <c r="I57"/>
  <c r="I56"/>
  <c r="I55"/>
  <c r="I54"/>
  <c r="I53"/>
  <c r="I52"/>
  <c r="I51"/>
  <c r="I50"/>
  <c r="I49"/>
  <c r="I48"/>
  <c r="I47"/>
  <c r="I46"/>
  <c r="I45"/>
  <c r="I43"/>
  <c r="I42"/>
  <c r="I41"/>
  <c r="I75"/>
  <c r="I74"/>
  <c r="I86"/>
  <c r="I85"/>
  <c r="I84"/>
  <c r="I83"/>
  <c r="I82"/>
  <c r="I81"/>
  <c r="I79"/>
  <c r="I78"/>
  <c r="I87"/>
  <c r="I89"/>
  <c r="I94"/>
  <c r="I93"/>
  <c r="I92"/>
  <c r="I91"/>
  <c r="I88"/>
  <c r="I105"/>
  <c r="I104"/>
  <c r="I103"/>
  <c r="I102"/>
  <c r="J1" i="21"/>
  <c r="I99" i="20"/>
  <c r="I97"/>
  <c r="I100"/>
  <c r="I95"/>
  <c r="I101"/>
  <c r="I98"/>
  <c r="I96"/>
  <c r="T222" i="7"/>
  <c r="R1126" i="21"/>
  <c r="Q34" i="20"/>
  <c r="L34"/>
  <c r="R1008" i="21"/>
  <c r="R1018"/>
  <c r="R1031"/>
  <c r="R1028"/>
  <c r="Q33" i="20"/>
  <c r="L33"/>
  <c r="Q32"/>
  <c r="L32"/>
  <c r="Q31"/>
  <c r="L31"/>
  <c r="R984" i="21"/>
  <c r="R982"/>
  <c r="R985"/>
  <c r="R983"/>
  <c r="R908"/>
  <c r="R907"/>
  <c r="L28" i="20"/>
  <c r="Q28"/>
  <c r="L38"/>
  <c r="Q38"/>
  <c r="L76"/>
  <c r="Q76"/>
  <c r="R954" i="21"/>
  <c r="L140" i="8"/>
  <c r="M140"/>
  <c r="M216" s="1"/>
  <c r="H216"/>
  <c r="K109" i="21"/>
  <c r="K22"/>
  <c r="N117"/>
  <c r="G1" i="20"/>
  <c r="G3" s="1"/>
  <c r="R117" i="21"/>
  <c r="K118"/>
  <c r="Q737"/>
  <c r="Q1033"/>
  <c r="Q1048"/>
  <c r="Q1054"/>
  <c r="Q1095"/>
  <c r="J73" i="20"/>
  <c r="K1" i="21" l="1"/>
  <c r="I21" i="12"/>
  <c r="J21" s="1"/>
  <c r="G33" i="11"/>
  <c r="G36" s="1"/>
  <c r="R1095" i="21"/>
  <c r="I73" i="20"/>
  <c r="O117" i="21"/>
  <c r="R1048"/>
  <c r="R1054"/>
  <c r="R1033"/>
  <c r="S140" i="8"/>
  <c r="S216" s="1"/>
  <c r="R140"/>
  <c r="R216" s="1"/>
  <c r="L216"/>
  <c r="R737" i="21"/>
  <c r="P117"/>
  <c r="Q738"/>
  <c r="Q792"/>
  <c r="Q695"/>
  <c r="T140" i="8" l="1"/>
  <c r="AC140" s="1"/>
  <c r="U140"/>
  <c r="AD140" s="1"/>
  <c r="R738" i="21"/>
  <c r="R792"/>
  <c r="R695"/>
  <c r="Q694"/>
  <c r="J363" i="40" l="1"/>
  <c r="H7" i="11"/>
  <c r="J367" i="40"/>
  <c r="U216" i="8"/>
  <c r="W140"/>
  <c r="W216" s="1"/>
  <c r="T216"/>
  <c r="V140"/>
  <c r="V216" s="1"/>
  <c r="R694" i="21"/>
  <c r="F890"/>
  <c r="P28" i="20"/>
  <c r="F968" i="21"/>
  <c r="F1041"/>
  <c r="F933"/>
  <c r="F881"/>
  <c r="F892"/>
  <c r="F943"/>
  <c r="F1092"/>
  <c r="F891"/>
  <c r="F993"/>
  <c r="F958"/>
  <c r="F859"/>
  <c r="F982"/>
  <c r="F849"/>
  <c r="F841"/>
  <c r="F1053"/>
  <c r="F855"/>
  <c r="F1091"/>
  <c r="F617"/>
  <c r="F880"/>
  <c r="F998"/>
  <c r="F623"/>
  <c r="F1017"/>
  <c r="F988"/>
  <c r="F802"/>
  <c r="F885"/>
  <c r="F951"/>
  <c r="F996"/>
  <c r="F810"/>
  <c r="F934"/>
  <c r="F1094"/>
  <c r="F1009"/>
  <c r="F960"/>
  <c r="F936"/>
  <c r="F798"/>
  <c r="F807"/>
  <c r="F827"/>
  <c r="F975"/>
  <c r="F821"/>
  <c r="F925"/>
  <c r="F618"/>
  <c r="F930"/>
  <c r="F965"/>
  <c r="F861"/>
  <c r="F954"/>
  <c r="F956"/>
  <c r="F992"/>
  <c r="F897"/>
  <c r="J76" i="20"/>
  <c r="P34"/>
  <c r="F851" i="21"/>
  <c r="F896"/>
  <c r="F899"/>
  <c r="F953"/>
  <c r="F866"/>
  <c r="F1005"/>
  <c r="J68" i="20"/>
  <c r="F1006" i="21"/>
  <c r="F846"/>
  <c r="F818"/>
  <c r="F1013"/>
  <c r="F940"/>
  <c r="F620"/>
  <c r="Q900"/>
  <c r="F1033"/>
  <c r="F931"/>
  <c r="F875"/>
  <c r="Q980"/>
  <c r="F822"/>
  <c r="F799"/>
  <c r="F964"/>
  <c r="F883"/>
  <c r="F905"/>
  <c r="F888"/>
  <c r="F923"/>
  <c r="F889"/>
  <c r="E891"/>
  <c r="F1049"/>
  <c r="F948"/>
  <c r="F863"/>
  <c r="F811"/>
  <c r="F1043"/>
  <c r="F860"/>
  <c r="F969"/>
  <c r="F877"/>
  <c r="F908"/>
  <c r="F886"/>
  <c r="F878"/>
  <c r="F1045"/>
  <c r="F833"/>
  <c r="F1048"/>
  <c r="F981"/>
  <c r="F995"/>
  <c r="F873"/>
  <c r="F935"/>
  <c r="Q899"/>
  <c r="F864"/>
  <c r="F1004"/>
  <c r="F884"/>
  <c r="F907"/>
  <c r="F985"/>
  <c r="F895"/>
  <c r="F817"/>
  <c r="F826"/>
  <c r="F865"/>
  <c r="F927"/>
  <c r="F852"/>
  <c r="F830"/>
  <c r="F929"/>
  <c r="F991"/>
  <c r="F1073"/>
  <c r="F946"/>
  <c r="F1036"/>
  <c r="F900"/>
  <c r="F831"/>
  <c r="F924"/>
  <c r="F803"/>
  <c r="F949"/>
  <c r="F838"/>
  <c r="F971"/>
  <c r="F1001"/>
  <c r="F997"/>
  <c r="F1011"/>
  <c r="F893"/>
  <c r="F967"/>
  <c r="F1072"/>
  <c r="F1042"/>
  <c r="F1057"/>
  <c r="F957"/>
  <c r="F942"/>
  <c r="F937"/>
  <c r="F1058"/>
  <c r="F1074"/>
  <c r="F928"/>
  <c r="F1046"/>
  <c r="F986"/>
  <c r="F961"/>
  <c r="F837"/>
  <c r="F1034"/>
  <c r="F1090"/>
  <c r="F939"/>
  <c r="F904"/>
  <c r="F1024"/>
  <c r="F1054"/>
  <c r="N30" i="20"/>
  <c r="F801" i="21"/>
  <c r="F872"/>
  <c r="F856"/>
  <c r="F832"/>
  <c r="F999"/>
  <c r="F824"/>
  <c r="F1038"/>
  <c r="F1016"/>
  <c r="F870"/>
  <c r="F944"/>
  <c r="F625"/>
  <c r="F922"/>
  <c r="F920"/>
  <c r="F963"/>
  <c r="F972"/>
  <c r="F839"/>
  <c r="F621"/>
  <c r="F984"/>
  <c r="F941"/>
  <c r="F862"/>
  <c r="F857"/>
  <c r="F1075"/>
  <c r="F1093"/>
  <c r="F973"/>
  <c r="F850"/>
  <c r="F844"/>
  <c r="F1052"/>
  <c r="F1030"/>
  <c r="F1018"/>
  <c r="Q896"/>
  <c r="F868"/>
  <c r="F979"/>
  <c r="F1003"/>
  <c r="F815"/>
  <c r="F871"/>
  <c r="F1021"/>
  <c r="F1015"/>
  <c r="F989"/>
  <c r="F1002"/>
  <c r="F1035"/>
  <c r="F1025"/>
  <c r="F800"/>
  <c r="F869"/>
  <c r="J58" i="20"/>
  <c r="F1076" i="21"/>
  <c r="F1031"/>
  <c r="J63" i="20"/>
  <c r="F808" i="21"/>
  <c r="F823"/>
  <c r="F816"/>
  <c r="F619"/>
  <c r="F1010"/>
  <c r="F812"/>
  <c r="F1007"/>
  <c r="F1012"/>
  <c r="F932"/>
  <c r="F840"/>
  <c r="F990"/>
  <c r="M30" i="20"/>
  <c r="F1026" i="21"/>
  <c r="F987"/>
  <c r="F898"/>
  <c r="F1047"/>
  <c r="F983"/>
  <c r="F836"/>
  <c r="F1000"/>
  <c r="F1027"/>
  <c r="F887"/>
  <c r="F906"/>
  <c r="F1029"/>
  <c r="F848"/>
  <c r="F825"/>
  <c r="F938"/>
  <c r="F894"/>
  <c r="F1051"/>
  <c r="F814"/>
  <c r="F858"/>
  <c r="F867"/>
  <c r="F959"/>
  <c r="K30" i="20"/>
  <c r="F903" i="21"/>
  <c r="F1032"/>
  <c r="F921"/>
  <c r="P32" i="20"/>
  <c r="F806" i="21"/>
  <c r="F977"/>
  <c r="F901"/>
  <c r="F955"/>
  <c r="F1056"/>
  <c r="F835"/>
  <c r="F805"/>
  <c r="F1040"/>
  <c r="F843"/>
  <c r="F966"/>
  <c r="F847"/>
  <c r="F1044"/>
  <c r="F952"/>
  <c r="F926"/>
  <c r="Q897"/>
  <c r="F976"/>
  <c r="F919"/>
  <c r="F829"/>
  <c r="F834"/>
  <c r="P33" i="20"/>
  <c r="F1037" i="21"/>
  <c r="F947"/>
  <c r="F624"/>
  <c r="F820"/>
  <c r="F1028"/>
  <c r="F842"/>
  <c r="F1023"/>
  <c r="F980"/>
  <c r="F994"/>
  <c r="F622"/>
  <c r="F879"/>
  <c r="F1014"/>
  <c r="F902"/>
  <c r="F945"/>
  <c r="F1019"/>
  <c r="F813"/>
  <c r="F962"/>
  <c r="F828"/>
  <c r="F1055"/>
  <c r="F974"/>
  <c r="F819"/>
  <c r="F978"/>
  <c r="F950"/>
  <c r="F1022"/>
  <c r="F804"/>
  <c r="F845"/>
  <c r="F882"/>
  <c r="F1039"/>
  <c r="F876"/>
  <c r="P31" i="20"/>
  <c r="F874" i="21"/>
  <c r="F1008"/>
  <c r="F1020"/>
  <c r="F970"/>
  <c r="F809"/>
  <c r="Q30" i="20" l="1"/>
  <c r="I58"/>
  <c r="S32"/>
  <c r="R32" s="1"/>
  <c r="O32"/>
  <c r="R899" i="21"/>
  <c r="R896"/>
  <c r="S31" i="20"/>
  <c r="R31" s="1"/>
  <c r="O31"/>
  <c r="R900" i="21"/>
  <c r="I63" i="20"/>
  <c r="R980" i="21"/>
  <c r="O34" i="20"/>
  <c r="S34"/>
  <c r="R34" s="1"/>
  <c r="S28"/>
  <c r="R28" s="1"/>
  <c r="O28"/>
  <c r="O33"/>
  <c r="S33"/>
  <c r="R33" s="1"/>
  <c r="L30"/>
  <c r="R897" i="21"/>
  <c r="I76" i="20"/>
  <c r="I68"/>
  <c r="I7" i="11"/>
  <c r="M367" i="40" s="1"/>
  <c r="N367" s="1"/>
  <c r="AA140" i="8"/>
  <c r="T217"/>
  <c r="H9" i="11"/>
  <c r="U217" i="8"/>
  <c r="Q867" i="21"/>
  <c r="P76" i="20"/>
  <c r="Q1127" i="21"/>
  <c r="Q1125"/>
  <c r="Q1052"/>
  <c r="R1127" l="1"/>
  <c r="R1052"/>
  <c r="R1125"/>
  <c r="S76" i="20"/>
  <c r="R76" s="1"/>
  <c r="O76"/>
  <c r="H24" i="11"/>
  <c r="H26" s="1"/>
  <c r="H28" s="1"/>
  <c r="I9"/>
  <c r="T222" i="8"/>
  <c r="E31" i="26"/>
  <c r="E30" s="1"/>
  <c r="R867" i="21"/>
  <c r="N6" i="4"/>
  <c r="K20" s="1"/>
  <c r="K15" s="1"/>
  <c r="B3"/>
  <c r="P38" i="20"/>
  <c r="O38" l="1"/>
  <c r="S38"/>
  <c r="R38" s="1"/>
  <c r="I22" i="12"/>
  <c r="J22" s="1"/>
  <c r="H33" i="11"/>
  <c r="H36" s="1"/>
  <c r="N20" i="4"/>
  <c r="O6"/>
  <c r="R6" s="1"/>
  <c r="O20" l="1"/>
  <c r="O15" s="1"/>
  <c r="N15"/>
  <c r="K17"/>
  <c r="N1"/>
  <c r="A6" i="12"/>
  <c r="A7" s="1"/>
  <c r="A8" s="1"/>
  <c r="A9" s="1"/>
  <c r="A10" s="1"/>
  <c r="A11" s="1"/>
  <c r="A12" s="1"/>
  <c r="A13" s="1"/>
  <c r="A14" s="1"/>
  <c r="A15" s="1"/>
  <c r="A16" s="1"/>
  <c r="A17" s="1"/>
  <c r="A18" s="1"/>
  <c r="A19" s="1"/>
  <c r="A20" s="1"/>
  <c r="A21" s="1"/>
  <c r="A22" s="1"/>
  <c r="A23" s="1"/>
  <c r="A24" s="1"/>
  <c r="A25" s="1"/>
  <c r="A26" s="1"/>
  <c r="A27" s="1"/>
  <c r="H16" l="1"/>
  <c r="H27" s="1"/>
  <c r="G16"/>
  <c r="G27" s="1"/>
  <c r="F16"/>
  <c r="F27" s="1"/>
  <c r="E16"/>
  <c r="E27" s="1"/>
  <c r="D16"/>
  <c r="D27" s="1"/>
  <c r="C16"/>
  <c r="D66" i="10" l="1"/>
  <c r="K16" i="12" s="1"/>
  <c r="I16"/>
  <c r="C27"/>
  <c r="D45" i="10"/>
  <c r="D29"/>
  <c r="J16" i="12" l="1"/>
  <c r="J5"/>
  <c r="L16" l="1"/>
  <c r="I50" i="13" l="1"/>
  <c r="I49"/>
  <c r="I48"/>
  <c r="I47"/>
  <c r="D46"/>
  <c r="I45"/>
  <c r="I44"/>
  <c r="I43"/>
  <c r="I42"/>
  <c r="D41"/>
  <c r="I38"/>
  <c r="I37"/>
  <c r="I36"/>
  <c r="I35"/>
  <c r="I34"/>
  <c r="D33"/>
  <c r="I32"/>
  <c r="I25" s="1"/>
  <c r="H39"/>
  <c r="H53" s="1"/>
  <c r="G39"/>
  <c r="F39"/>
  <c r="E39"/>
  <c r="D25"/>
  <c r="J19"/>
  <c r="J18"/>
  <c r="J17"/>
  <c r="J16"/>
  <c r="J15"/>
  <c r="G13"/>
  <c r="G23" s="1"/>
  <c r="I41" l="1"/>
  <c r="G53"/>
  <c r="D52"/>
  <c r="I33"/>
  <c r="I39" s="1"/>
  <c r="I46"/>
  <c r="D39"/>
  <c r="J22"/>
  <c r="J20"/>
  <c r="Q739" i="21"/>
  <c r="I52" i="13" l="1"/>
  <c r="R739" i="21"/>
  <c r="D54" i="10"/>
  <c r="D53"/>
  <c r="D67" l="1"/>
  <c r="Q402" i="21"/>
  <c r="R402" l="1"/>
  <c r="M4" i="5"/>
  <c r="M139" s="1"/>
  <c r="M217" s="1"/>
  <c r="L4" l="1"/>
  <c r="L139" s="1"/>
  <c r="L217" s="1"/>
  <c r="S4" l="1"/>
  <c r="S139" s="1"/>
  <c r="S217" s="1"/>
  <c r="R4"/>
  <c r="R139" s="1"/>
  <c r="R217" s="1"/>
  <c r="R222" l="1"/>
  <c r="V4"/>
  <c r="W4"/>
  <c r="E8" i="10" l="1"/>
  <c r="H4" i="6"/>
  <c r="H139" s="1"/>
  <c r="H217" s="1"/>
  <c r="W139" i="5"/>
  <c r="I4" i="6"/>
  <c r="I139" s="1"/>
  <c r="I217" s="1"/>
  <c r="AA4" i="5"/>
  <c r="AA139" s="1"/>
  <c r="V139"/>
  <c r="AA190"/>
  <c r="E29" i="10"/>
  <c r="E66"/>
  <c r="I220" i="6" l="1"/>
  <c r="P220" s="1"/>
  <c r="W220" s="1"/>
  <c r="M4"/>
  <c r="M139" s="1"/>
  <c r="M217" s="1"/>
  <c r="L4"/>
  <c r="L139" s="1"/>
  <c r="L217" s="1"/>
  <c r="V217" i="5"/>
  <c r="R4" i="6" l="1"/>
  <c r="R139" s="1"/>
  <c r="R217" s="1"/>
  <c r="S4"/>
  <c r="S139" s="1"/>
  <c r="S217" s="1"/>
  <c r="V4" l="1"/>
  <c r="W4"/>
  <c r="W139" s="1"/>
  <c r="H4" i="7" l="1"/>
  <c r="F8" i="10"/>
  <c r="J8" s="1"/>
  <c r="V139" i="6"/>
  <c r="W217"/>
  <c r="I4" i="7"/>
  <c r="I139" s="1"/>
  <c r="I217" s="1"/>
  <c r="AA4" i="6"/>
  <c r="AA139" s="1"/>
  <c r="H139" i="7"/>
  <c r="H217" s="1"/>
  <c r="F28" i="11"/>
  <c r="E43" i="26"/>
  <c r="H54" i="27"/>
  <c r="E48"/>
  <c r="I220" i="7" l="1"/>
  <c r="P220" s="1"/>
  <c r="W220" s="1"/>
  <c r="F18" i="10"/>
  <c r="M4" i="7"/>
  <c r="M139" s="1"/>
  <c r="M217" s="1"/>
  <c r="L4"/>
  <c r="V217" i="6"/>
  <c r="V222" s="1"/>
  <c r="F33" i="11"/>
  <c r="F36" s="1"/>
  <c r="I20" i="12"/>
  <c r="I27" s="1"/>
  <c r="I24" i="11"/>
  <c r="H45" i="26" s="1"/>
  <c r="K21" i="29" l="1"/>
  <c r="G21"/>
  <c r="S4" i="7"/>
  <c r="L139"/>
  <c r="L217" s="1"/>
  <c r="R4"/>
  <c r="I26" i="11"/>
  <c r="I28" s="1"/>
  <c r="I33" s="1"/>
  <c r="I35" s="1"/>
  <c r="J20" i="12"/>
  <c r="J27" s="1"/>
  <c r="L27" s="1"/>
  <c r="G5" i="1"/>
  <c r="W4" i="7" l="1"/>
  <c r="V4"/>
  <c r="Q736" i="21"/>
  <c r="I4" i="8" l="1"/>
  <c r="H4"/>
  <c r="AA4" i="7"/>
  <c r="R736" i="21"/>
  <c r="J21" i="13"/>
  <c r="M4" i="8" l="1"/>
  <c r="L4"/>
  <c r="E54" i="10"/>
  <c r="S4" i="8" l="1"/>
  <c r="R4"/>
  <c r="F54" i="10"/>
  <c r="V4" i="8" l="1"/>
  <c r="J5" i="1" s="1"/>
  <c r="K5" s="1"/>
  <c r="W4" i="8"/>
  <c r="F29" i="10"/>
  <c r="F30" s="1"/>
  <c r="J57" i="40" l="1"/>
  <c r="AA4" i="8"/>
  <c r="G54" i="10"/>
  <c r="G29" l="1"/>
  <c r="H54" l="1"/>
  <c r="H29" l="1"/>
  <c r="E77" i="26" l="1"/>
  <c r="E79"/>
  <c r="E81"/>
  <c r="E75" l="1"/>
  <c r="E82" s="1"/>
  <c r="H42" i="29" s="1"/>
  <c r="H29"/>
  <c r="H1" i="20" l="1"/>
  <c r="H90" i="27"/>
  <c r="H89" l="1"/>
  <c r="Q968" i="21"/>
  <c r="R968" l="1"/>
  <c r="H86" i="27"/>
  <c r="H74" l="1"/>
  <c r="I52" i="29" l="1"/>
  <c r="E29" i="26" s="1"/>
  <c r="H75" i="27"/>
  <c r="H88" l="1"/>
  <c r="E45" l="1"/>
  <c r="H87" l="1"/>
  <c r="H48" s="1"/>
  <c r="E66" i="26" l="1"/>
  <c r="E27"/>
  <c r="E25" s="1"/>
  <c r="E71" l="1"/>
  <c r="I66" i="29"/>
  <c r="I65" s="1"/>
  <c r="G65"/>
  <c r="H39" l="1"/>
  <c r="E47" i="26" s="1"/>
  <c r="G48" i="27" l="1"/>
  <c r="G45" s="1"/>
  <c r="E45" i="26" l="1"/>
  <c r="N909" i="21" l="1"/>
  <c r="E48" i="26"/>
  <c r="O909" i="21" l="1"/>
  <c r="E50" i="26"/>
  <c r="E52" s="1"/>
  <c r="F98"/>
  <c r="F99" s="1"/>
  <c r="F48" i="27"/>
  <c r="F45" s="1"/>
  <c r="P909" i="21" l="1"/>
  <c r="E53" i="26"/>
  <c r="E55" s="1"/>
  <c r="E84" s="1"/>
  <c r="E90" s="1"/>
  <c r="H40" i="29"/>
  <c r="G55" s="1"/>
  <c r="K22"/>
  <c r="G59" l="1"/>
  <c r="H41"/>
  <c r="E302" i="21"/>
  <c r="F279"/>
  <c r="E863"/>
  <c r="Q684"/>
  <c r="F648"/>
  <c r="F321"/>
  <c r="E529"/>
  <c r="F149"/>
  <c r="F49"/>
  <c r="E868"/>
  <c r="F674"/>
  <c r="E1033"/>
  <c r="F344"/>
  <c r="E564"/>
  <c r="F256"/>
  <c r="E545"/>
  <c r="F612"/>
  <c r="F306"/>
  <c r="N54" i="20"/>
  <c r="F453" i="21"/>
  <c r="E92"/>
  <c r="E642"/>
  <c r="F614"/>
  <c r="J77" i="20"/>
  <c r="Q634" i="21"/>
  <c r="E991"/>
  <c r="F489"/>
  <c r="F584"/>
  <c r="E706"/>
  <c r="E373"/>
  <c r="M50" i="20"/>
  <c r="J9"/>
  <c r="E812" i="21"/>
  <c r="P64" i="20"/>
  <c r="F673" i="21"/>
  <c r="E65"/>
  <c r="N99" i="20"/>
  <c r="F771" i="21"/>
  <c r="F173"/>
  <c r="N106" i="20"/>
  <c r="E948" i="21"/>
  <c r="E510"/>
  <c r="E350"/>
  <c r="F475"/>
  <c r="F158"/>
  <c r="J80" i="20"/>
  <c r="N78"/>
  <c r="E762" i="21"/>
  <c r="E438"/>
  <c r="F241"/>
  <c r="J106" i="20"/>
  <c r="E176" i="21"/>
  <c r="N22" i="20"/>
  <c r="E711" i="21"/>
  <c r="E404"/>
  <c r="F14"/>
  <c r="E402"/>
  <c r="E710"/>
  <c r="P104" i="20"/>
  <c r="F170" i="21"/>
  <c r="P94" i="20"/>
  <c r="E928" i="21"/>
  <c r="E1035"/>
  <c r="E315"/>
  <c r="E626"/>
  <c r="E984"/>
  <c r="E705"/>
  <c r="E721"/>
  <c r="F47"/>
  <c r="E250"/>
  <c r="F779"/>
  <c r="M16" i="20"/>
  <c r="K8"/>
  <c r="E717" i="21"/>
  <c r="F782"/>
  <c r="F432"/>
  <c r="F330"/>
  <c r="E194"/>
  <c r="F296"/>
  <c r="E1081"/>
  <c r="F399"/>
  <c r="E516"/>
  <c r="F776"/>
  <c r="F454"/>
  <c r="M68" i="20"/>
  <c r="Q396" i="21"/>
  <c r="F588"/>
  <c r="F458"/>
  <c r="E310"/>
  <c r="F379"/>
  <c r="F602"/>
  <c r="E969"/>
  <c r="E79"/>
  <c r="E172"/>
  <c r="E20"/>
  <c r="E504"/>
  <c r="F288"/>
  <c r="E52"/>
  <c r="E111"/>
  <c r="N68" i="20"/>
  <c r="F244" i="21"/>
  <c r="M75" i="20"/>
  <c r="E135" i="21"/>
  <c r="K19" i="20"/>
  <c r="E643" i="21"/>
  <c r="E365"/>
  <c r="F114"/>
  <c r="E801"/>
  <c r="F681"/>
  <c r="E1054"/>
  <c r="E827"/>
  <c r="F120"/>
  <c r="E35"/>
  <c r="F501"/>
  <c r="E220"/>
  <c r="F264"/>
  <c r="E612"/>
  <c r="E704"/>
  <c r="F183"/>
  <c r="K103" i="20"/>
  <c r="E945" i="21"/>
  <c r="F494"/>
  <c r="E59"/>
  <c r="E659"/>
  <c r="F653"/>
  <c r="E837"/>
  <c r="F103"/>
  <c r="E872"/>
  <c r="E968"/>
  <c r="E242"/>
  <c r="F441"/>
  <c r="N69" i="20"/>
  <c r="E881" i="21"/>
  <c r="Q635"/>
  <c r="F566"/>
  <c r="F378"/>
  <c r="F478"/>
  <c r="E115"/>
  <c r="E1107"/>
  <c r="F236"/>
  <c r="E523"/>
  <c r="F536"/>
  <c r="E744"/>
  <c r="F337"/>
  <c r="E64"/>
  <c r="F413"/>
  <c r="M29" i="20"/>
  <c r="E167" i="21"/>
  <c r="F203"/>
  <c r="M103" i="20"/>
  <c r="N26"/>
  <c r="E893" i="21"/>
  <c r="P16" i="20"/>
  <c r="E931" i="21"/>
  <c r="Q400"/>
  <c r="F267"/>
  <c r="F502"/>
  <c r="E181"/>
  <c r="Q682"/>
  <c r="F23"/>
  <c r="E1051"/>
  <c r="F285"/>
  <c r="F758"/>
  <c r="F692"/>
  <c r="E1115"/>
  <c r="F58"/>
  <c r="K73" i="20"/>
  <c r="E846" i="21"/>
  <c r="Q60"/>
  <c r="F464"/>
  <c r="F356"/>
  <c r="E8"/>
  <c r="E731"/>
  <c r="F797"/>
  <c r="N70" i="20"/>
  <c r="E535" i="21"/>
  <c r="F451"/>
  <c r="F534"/>
  <c r="F96"/>
  <c r="E631"/>
  <c r="F724"/>
  <c r="F433"/>
  <c r="F105"/>
  <c r="E990"/>
  <c r="E446"/>
  <c r="F703"/>
  <c r="E526"/>
  <c r="E804"/>
  <c r="F477"/>
  <c r="F150"/>
  <c r="M86" i="20"/>
  <c r="M90"/>
  <c r="P63"/>
  <c r="F63" i="21"/>
  <c r="E430"/>
  <c r="E999"/>
  <c r="F107"/>
  <c r="E638"/>
  <c r="K51" i="20"/>
  <c r="E24" i="21"/>
  <c r="J22" i="20"/>
  <c r="E155" i="21"/>
  <c r="J44" i="20"/>
  <c r="E142" i="21"/>
  <c r="E372"/>
  <c r="F101"/>
  <c r="F632"/>
  <c r="E466"/>
  <c r="F631"/>
  <c r="M42" i="20"/>
  <c r="E807" i="21"/>
  <c r="E709"/>
  <c r="E901"/>
  <c r="F331"/>
  <c r="E663"/>
  <c r="Q55"/>
  <c r="F437"/>
  <c r="E898"/>
  <c r="F314"/>
  <c r="F388"/>
  <c r="P54" i="20"/>
  <c r="E122" i="21"/>
  <c r="K27" i="20"/>
  <c r="M21"/>
  <c r="F471" i="21"/>
  <c r="E740"/>
  <c r="E1023"/>
  <c r="E341"/>
  <c r="E276"/>
  <c r="E1037"/>
  <c r="E265"/>
  <c r="E138"/>
  <c r="E277"/>
  <c r="E605"/>
  <c r="E63"/>
  <c r="F303"/>
  <c r="F213"/>
  <c r="F396"/>
  <c r="E306"/>
  <c r="E320"/>
  <c r="E840"/>
  <c r="F777"/>
  <c r="F702"/>
  <c r="F512"/>
  <c r="F152"/>
  <c r="E720"/>
  <c r="F394"/>
  <c r="E495"/>
  <c r="E1112"/>
  <c r="E832"/>
  <c r="E1062"/>
  <c r="E1024"/>
  <c r="F373"/>
  <c r="E569"/>
  <c r="E216"/>
  <c r="E749"/>
  <c r="E345"/>
  <c r="E930"/>
  <c r="F384"/>
  <c r="E281"/>
  <c r="K72" i="20"/>
  <c r="E1025" i="21"/>
  <c r="F738"/>
  <c r="K71" i="20"/>
  <c r="F338" i="21"/>
  <c r="K64" i="20"/>
  <c r="M95"/>
  <c r="F358" i="21"/>
  <c r="F230"/>
  <c r="E231"/>
  <c r="E769"/>
  <c r="E386"/>
  <c r="E820"/>
  <c r="E660"/>
  <c r="E437"/>
  <c r="E125"/>
  <c r="E596"/>
  <c r="E741"/>
  <c r="F193"/>
  <c r="E158"/>
  <c r="F166"/>
  <c r="M69" i="20"/>
  <c r="N72"/>
  <c r="E286" i="21"/>
  <c r="F713"/>
  <c r="E775"/>
  <c r="E580"/>
  <c r="K16" i="20"/>
  <c r="E1078" i="21"/>
  <c r="E1036"/>
  <c r="E566"/>
  <c r="P93" i="20"/>
  <c r="F40" i="21"/>
  <c r="F793"/>
  <c r="E603"/>
  <c r="M25" i="20"/>
  <c r="E478" i="21"/>
  <c r="E90"/>
  <c r="E470"/>
  <c r="E680"/>
  <c r="E54"/>
  <c r="E594"/>
  <c r="E42"/>
  <c r="F689"/>
  <c r="E852"/>
  <c r="P58" i="20"/>
  <c r="K96"/>
  <c r="F194" i="21"/>
  <c r="F683"/>
  <c r="F770"/>
  <c r="E246"/>
  <c r="F552"/>
  <c r="F175"/>
  <c r="E188"/>
  <c r="F721"/>
  <c r="E649"/>
  <c r="N24" i="20"/>
  <c r="N66"/>
  <c r="E1026" i="21"/>
  <c r="E22"/>
  <c r="E800"/>
  <c r="F176"/>
  <c r="E636"/>
  <c r="E479"/>
  <c r="E692"/>
  <c r="K54" i="20"/>
  <c r="E568" i="21"/>
  <c r="E698"/>
  <c r="J69" i="20"/>
  <c r="J14"/>
  <c r="E1005" i="21"/>
  <c r="E766"/>
  <c r="F790"/>
  <c r="E30"/>
  <c r="E833"/>
  <c r="E392"/>
  <c r="F476"/>
  <c r="F190"/>
  <c r="E200"/>
  <c r="J37" i="20"/>
  <c r="F363" i="21"/>
  <c r="E153"/>
  <c r="E1073"/>
  <c r="F209"/>
  <c r="F564"/>
  <c r="E755"/>
  <c r="E946"/>
  <c r="E348"/>
  <c r="F77"/>
  <c r="E497"/>
  <c r="F196"/>
  <c r="E723"/>
  <c r="M55" i="20"/>
  <c r="E102" i="21"/>
  <c r="E91"/>
  <c r="F531"/>
  <c r="E1093"/>
  <c r="F260"/>
  <c r="E1049"/>
  <c r="E331"/>
  <c r="F226"/>
  <c r="E549"/>
  <c r="N104" i="20"/>
  <c r="N19"/>
  <c r="F21" i="21"/>
  <c r="F455"/>
  <c r="E977"/>
  <c r="E226"/>
  <c r="K49" i="20"/>
  <c r="N86"/>
  <c r="E361" i="21"/>
  <c r="M100" i="20"/>
  <c r="F186" i="21"/>
  <c r="E334"/>
  <c r="F342"/>
  <c r="Q274"/>
  <c r="F629"/>
  <c r="E74"/>
  <c r="E907"/>
  <c r="E128"/>
  <c r="F104"/>
  <c r="E983"/>
  <c r="F294"/>
  <c r="F690"/>
  <c r="F106"/>
  <c r="Q16"/>
  <c r="E798"/>
  <c r="E191"/>
  <c r="E924"/>
  <c r="E1095"/>
  <c r="F500"/>
  <c r="N92" i="20"/>
  <c r="E748" i="21"/>
  <c r="M37" i="20"/>
  <c r="E629" i="21"/>
  <c r="F726"/>
  <c r="N74" i="20"/>
  <c r="E917" i="21"/>
  <c r="E869"/>
  <c r="F181"/>
  <c r="E343"/>
  <c r="F168"/>
  <c r="E369"/>
  <c r="F633"/>
  <c r="K29" i="20"/>
  <c r="E321" i="21"/>
  <c r="F195"/>
  <c r="E773"/>
  <c r="F133"/>
  <c r="E413"/>
  <c r="E737"/>
  <c r="E809"/>
  <c r="N100" i="20"/>
  <c r="F309" i="21"/>
  <c r="E318"/>
  <c r="F122"/>
  <c r="F222"/>
  <c r="M92" i="20"/>
  <c r="E157" i="21"/>
  <c r="E1114"/>
  <c r="E793"/>
  <c r="F13"/>
  <c r="E620"/>
  <c r="J11" i="20"/>
  <c r="F232" i="21"/>
  <c r="E255"/>
  <c r="E547"/>
  <c r="E781"/>
  <c r="E903"/>
  <c r="N23" i="20"/>
  <c r="F414" i="21"/>
  <c r="E955"/>
  <c r="Q290"/>
  <c r="F551"/>
  <c r="F424"/>
  <c r="F524"/>
  <c r="F109"/>
  <c r="K24" i="20"/>
  <c r="E1043" i="21"/>
  <c r="K81" i="20"/>
  <c r="E376" i="21"/>
  <c r="F92"/>
  <c r="E532"/>
  <c r="M11" i="20"/>
  <c r="E700" i="21"/>
  <c r="E556"/>
  <c r="F352"/>
  <c r="F474"/>
  <c r="E770"/>
  <c r="F568"/>
  <c r="K88" i="20"/>
  <c r="M71"/>
  <c r="F405" i="21"/>
  <c r="F598"/>
  <c r="M17" i="20"/>
  <c r="E787" i="21"/>
  <c r="F269"/>
  <c r="E554"/>
  <c r="P47" i="20"/>
  <c r="F723" i="21"/>
  <c r="F572"/>
  <c r="E524"/>
  <c r="F556"/>
  <c r="K82" i="20"/>
  <c r="F719" i="21"/>
  <c r="E488"/>
  <c r="E37"/>
  <c r="E1122"/>
  <c r="M58" i="20"/>
  <c r="N90"/>
  <c r="F417" i="21"/>
  <c r="F769"/>
  <c r="N37" i="20"/>
  <c r="E346" i="21"/>
  <c r="F157"/>
  <c r="F210"/>
  <c r="F778"/>
  <c r="F741"/>
  <c r="E844"/>
  <c r="E894"/>
  <c r="E802"/>
  <c r="E108"/>
  <c r="E849"/>
  <c r="F725"/>
  <c r="M74" i="20"/>
  <c r="F591" i="21"/>
  <c r="F10"/>
  <c r="E1092"/>
  <c r="M60" i="20"/>
  <c r="E378" i="21"/>
  <c r="E189"/>
  <c r="E975"/>
  <c r="E738"/>
  <c r="E538"/>
  <c r="E905"/>
  <c r="E838"/>
  <c r="E724"/>
  <c r="E624"/>
  <c r="F278"/>
  <c r="F491"/>
  <c r="F597"/>
  <c r="F50"/>
  <c r="F592"/>
  <c r="E489"/>
  <c r="F495"/>
  <c r="E540"/>
  <c r="M8" i="20"/>
  <c r="E950" i="21"/>
  <c r="E249"/>
  <c r="F792"/>
  <c r="F765"/>
  <c r="E137"/>
  <c r="F368"/>
  <c r="J59" i="20"/>
  <c r="E364" i="21"/>
  <c r="E652"/>
  <c r="F142"/>
  <c r="P86" i="20"/>
  <c r="K42"/>
  <c r="F231" i="21"/>
  <c r="E106"/>
  <c r="E553"/>
  <c r="F585"/>
  <c r="M27" i="20"/>
  <c r="N61"/>
  <c r="F715" i="21"/>
  <c r="E236"/>
  <c r="E330"/>
  <c r="F670"/>
  <c r="E359"/>
  <c r="E795"/>
  <c r="F749"/>
  <c r="F707"/>
  <c r="K59" i="20"/>
  <c r="F608" i="21"/>
  <c r="E664"/>
  <c r="E227"/>
  <c r="E241"/>
  <c r="E536"/>
  <c r="F641"/>
  <c r="F139"/>
  <c r="E337"/>
  <c r="E985"/>
  <c r="E179"/>
  <c r="F642"/>
  <c r="M70" i="20"/>
  <c r="F415" i="21"/>
  <c r="F102"/>
  <c r="E530"/>
  <c r="E494"/>
  <c r="F735"/>
  <c r="N87" i="20"/>
  <c r="F722" i="21"/>
  <c r="E952"/>
  <c r="F319"/>
  <c r="F292"/>
  <c r="E1034"/>
  <c r="F661"/>
  <c r="F345"/>
  <c r="F84"/>
  <c r="E259"/>
  <c r="E1079"/>
  <c r="F163"/>
  <c r="F761"/>
  <c r="F446"/>
  <c r="E637"/>
  <c r="F247"/>
  <c r="P89" i="20"/>
  <c r="E237" i="21"/>
  <c r="E492"/>
  <c r="E539"/>
  <c r="E689"/>
  <c r="M84" i="20"/>
  <c r="F498" i="21"/>
  <c r="K77" i="20"/>
  <c r="F787" i="21"/>
  <c r="E739"/>
  <c r="F734"/>
  <c r="F381"/>
  <c r="E300"/>
  <c r="F517"/>
  <c r="E774"/>
  <c r="E177"/>
  <c r="F756"/>
  <c r="E1111"/>
  <c r="E611"/>
  <c r="F421"/>
  <c r="F603"/>
  <c r="F638"/>
  <c r="E1012"/>
  <c r="E913"/>
  <c r="E85"/>
  <c r="E808"/>
  <c r="E919"/>
  <c r="N39" i="20"/>
  <c r="E332" i="21"/>
  <c r="F347"/>
  <c r="E826"/>
  <c r="F290"/>
  <c r="E309"/>
  <c r="F119"/>
  <c r="E283"/>
  <c r="E25"/>
  <c r="F283"/>
  <c r="Q65"/>
  <c r="E513"/>
  <c r="E961"/>
  <c r="E210"/>
  <c r="E275"/>
  <c r="N21" i="20"/>
  <c r="F73" i="21"/>
  <c r="E371"/>
  <c r="F457"/>
  <c r="E1009"/>
  <c r="E859"/>
  <c r="E477"/>
  <c r="M18" i="20"/>
  <c r="K106"/>
  <c r="E224" i="21"/>
  <c r="E451"/>
  <c r="M20" i="20"/>
  <c r="E208" i="21"/>
  <c r="E1013"/>
  <c r="F280"/>
  <c r="K100" i="20"/>
  <c r="E162" i="21"/>
  <c r="F374"/>
  <c r="F62"/>
  <c r="E571"/>
  <c r="P96" i="20"/>
  <c r="F640" i="21"/>
  <c r="E1027"/>
  <c r="Q677"/>
  <c r="F717"/>
  <c r="E644"/>
  <c r="E834"/>
  <c r="F430"/>
  <c r="K55" i="20"/>
  <c r="F11" i="21"/>
  <c r="E792"/>
  <c r="F237"/>
  <c r="F80"/>
  <c r="E671"/>
  <c r="N10" i="20"/>
  <c r="F613" i="21"/>
  <c r="F369"/>
  <c r="F137"/>
  <c r="K61" i="20"/>
  <c r="F35" i="21"/>
  <c r="E159"/>
  <c r="M35" i="20"/>
  <c r="F422" i="21"/>
  <c r="E362"/>
  <c r="F684"/>
  <c r="P84" i="20"/>
  <c r="F697" i="21"/>
  <c r="E161"/>
  <c r="P19" i="20"/>
  <c r="P87"/>
  <c r="E797" i="21"/>
  <c r="E98"/>
  <c r="M53" i="20"/>
  <c r="E573" i="21"/>
  <c r="F541"/>
  <c r="E151"/>
  <c r="F796"/>
  <c r="F42"/>
  <c r="F686"/>
  <c r="E606"/>
  <c r="F33"/>
  <c r="E926"/>
  <c r="E708"/>
  <c r="E684"/>
  <c r="F354"/>
  <c r="E411"/>
  <c r="F155"/>
  <c r="N41" i="20"/>
  <c r="E422" i="21"/>
  <c r="E1007"/>
  <c r="M9" i="20"/>
  <c r="E469" i="21"/>
  <c r="E560"/>
  <c r="N88" i="20"/>
  <c r="E264" i="21"/>
  <c r="F148"/>
  <c r="F739"/>
  <c r="F669"/>
  <c r="F600"/>
  <c r="F775"/>
  <c r="E269"/>
  <c r="K12" i="20"/>
  <c r="P50"/>
  <c r="M22"/>
  <c r="F666" i="21"/>
  <c r="F86"/>
  <c r="F172"/>
  <c r="E956"/>
  <c r="E193"/>
  <c r="E213"/>
  <c r="N77" i="20"/>
  <c r="N102"/>
  <c r="E103" i="21"/>
  <c r="E448"/>
  <c r="E1008"/>
  <c r="F599"/>
  <c r="F333"/>
  <c r="F447"/>
  <c r="E391"/>
  <c r="F651"/>
  <c r="E582"/>
  <c r="F271"/>
  <c r="E962"/>
  <c r="E339"/>
  <c r="E462"/>
  <c r="F30"/>
  <c r="E441"/>
  <c r="P91" i="20"/>
  <c r="F324" i="21"/>
  <c r="E697"/>
  <c r="Q285"/>
  <c r="E886"/>
  <c r="F339"/>
  <c r="K95" i="20"/>
  <c r="F553" i="21"/>
  <c r="E472"/>
  <c r="E1000"/>
  <c r="F699"/>
  <c r="F32"/>
  <c r="F465"/>
  <c r="F526"/>
  <c r="M23" i="20"/>
  <c r="E778" i="21"/>
  <c r="E944"/>
  <c r="E1010"/>
  <c r="E906"/>
  <c r="E751"/>
  <c r="E303"/>
  <c r="E481"/>
  <c r="F590"/>
  <c r="F529"/>
  <c r="F78"/>
  <c r="F774"/>
  <c r="F644"/>
  <c r="E1031"/>
  <c r="E758"/>
  <c r="E247"/>
  <c r="E855"/>
  <c r="F729"/>
  <c r="F662"/>
  <c r="F359"/>
  <c r="E904"/>
  <c r="M102" i="20"/>
  <c r="F610" i="21"/>
  <c r="F593"/>
  <c r="F406"/>
  <c r="M99" i="20"/>
  <c r="F543" i="21"/>
  <c r="E129"/>
  <c r="F390"/>
  <c r="E436"/>
  <c r="E825"/>
  <c r="F147"/>
  <c r="E817"/>
  <c r="F404"/>
  <c r="E480"/>
  <c r="F365"/>
  <c r="E358"/>
  <c r="E572"/>
  <c r="M73" i="20"/>
  <c r="E1094" i="21"/>
  <c r="E716"/>
  <c r="F55"/>
  <c r="F762"/>
  <c r="E634"/>
  <c r="F20"/>
  <c r="F329"/>
  <c r="E1090"/>
  <c r="E139"/>
  <c r="E101"/>
  <c r="Q1069"/>
  <c r="F766"/>
  <c r="E1077"/>
  <c r="F118"/>
  <c r="F6"/>
  <c r="E95"/>
  <c r="F245"/>
  <c r="F611"/>
  <c r="K92" i="20"/>
  <c r="F234" i="21"/>
  <c r="E390"/>
  <c r="E127"/>
  <c r="F505"/>
  <c r="K39" i="20"/>
  <c r="E537" i="21"/>
  <c r="E927"/>
  <c r="E587"/>
  <c r="K70" i="20"/>
  <c r="E407" i="21"/>
  <c r="E18"/>
  <c r="F130"/>
  <c r="F255"/>
  <c r="E434"/>
  <c r="N55" i="20"/>
  <c r="E311" i="21"/>
  <c r="F480"/>
  <c r="N57" i="20"/>
  <c r="E67" i="21"/>
  <c r="F235"/>
  <c r="N46" i="20"/>
  <c r="E55" i="21"/>
  <c r="F533"/>
  <c r="E119"/>
  <c r="E57"/>
  <c r="E666"/>
  <c r="E468"/>
  <c r="E747"/>
  <c r="F327"/>
  <c r="Q20"/>
  <c r="F727"/>
  <c r="F198"/>
  <c r="E313"/>
  <c r="E170"/>
  <c r="E951"/>
  <c r="E48"/>
  <c r="F299"/>
  <c r="F487"/>
  <c r="F97"/>
  <c r="F134"/>
  <c r="F391"/>
  <c r="E100"/>
  <c r="F357"/>
  <c r="E203"/>
  <c r="E632"/>
  <c r="E998"/>
  <c r="F523"/>
  <c r="E239"/>
  <c r="E824"/>
  <c r="F643"/>
  <c r="M82" i="20"/>
  <c r="E1053" i="21"/>
  <c r="J15" i="20"/>
  <c r="E319" i="21"/>
  <c r="E610"/>
  <c r="F348"/>
  <c r="E841"/>
  <c r="F276"/>
  <c r="E457"/>
  <c r="E725"/>
  <c r="E50"/>
  <c r="E454"/>
  <c r="E790"/>
  <c r="E439"/>
  <c r="F156"/>
  <c r="K21" i="20"/>
  <c r="F219" i="21"/>
  <c r="M10" i="20"/>
  <c r="F125" i="21"/>
  <c r="E130"/>
  <c r="N89" i="20"/>
  <c r="K48"/>
  <c r="F497" i="21"/>
  <c r="E866"/>
  <c r="E178"/>
  <c r="N85" i="20"/>
  <c r="E19" i="21"/>
  <c r="F555"/>
  <c r="K37" i="20"/>
  <c r="E385" i="21"/>
  <c r="E375"/>
  <c r="F206"/>
  <c r="P85" i="20"/>
  <c r="E1048" i="21"/>
  <c r="E622"/>
  <c r="E860"/>
  <c r="F387"/>
  <c r="K94" i="20"/>
  <c r="E368" i="21"/>
  <c r="E285"/>
  <c r="E986"/>
  <c r="F743"/>
  <c r="E867"/>
  <c r="F539"/>
  <c r="E1004"/>
  <c r="E257"/>
  <c r="E873"/>
  <c r="F576"/>
  <c r="E507"/>
  <c r="F746"/>
  <c r="E805"/>
  <c r="E487"/>
  <c r="E885"/>
  <c r="E889"/>
  <c r="F647"/>
  <c r="E435"/>
  <c r="E132"/>
  <c r="E819"/>
  <c r="E973"/>
  <c r="E329"/>
  <c r="F132"/>
  <c r="E452"/>
  <c r="E47"/>
  <c r="F733"/>
  <c r="F411"/>
  <c r="E848"/>
  <c r="F577"/>
  <c r="J40" i="20"/>
  <c r="E803" i="21"/>
  <c r="E490"/>
  <c r="P23" i="20"/>
  <c r="E520" i="21"/>
  <c r="E929"/>
  <c r="F687"/>
  <c r="F530"/>
  <c r="E443"/>
  <c r="E938"/>
  <c r="K44" i="20"/>
  <c r="E87" i="21"/>
  <c r="E412"/>
  <c r="E144"/>
  <c r="E425"/>
  <c r="F88"/>
  <c r="E1125"/>
  <c r="E1030"/>
  <c r="E500"/>
  <c r="K40" i="20"/>
  <c r="E921" i="21"/>
  <c r="F567"/>
  <c r="E937"/>
  <c r="E562"/>
  <c r="F521"/>
  <c r="F740"/>
  <c r="F117"/>
  <c r="M66" i="20"/>
  <c r="E688" i="21"/>
  <c r="E625"/>
  <c r="E882"/>
  <c r="F575"/>
  <c r="F19"/>
  <c r="F39"/>
  <c r="P95" i="20"/>
  <c r="E559" i="21"/>
  <c r="E491"/>
  <c r="F615"/>
  <c r="E418"/>
  <c r="E581"/>
  <c r="E970"/>
  <c r="E483"/>
  <c r="F240"/>
  <c r="E77"/>
  <c r="E398"/>
  <c r="F191"/>
  <c r="E316"/>
  <c r="F57"/>
  <c r="F445"/>
  <c r="E551"/>
  <c r="F164"/>
  <c r="E252"/>
  <c r="E482"/>
  <c r="E234"/>
  <c r="E776"/>
  <c r="F665"/>
  <c r="P102" i="20"/>
  <c r="E458" i="21"/>
  <c r="F708"/>
  <c r="E148"/>
  <c r="F559"/>
  <c r="E1108"/>
  <c r="F383"/>
  <c r="E715"/>
  <c r="F204"/>
  <c r="F310"/>
  <c r="E879"/>
  <c r="F154"/>
  <c r="E796"/>
  <c r="K20" i="20"/>
  <c r="E1046" i="21"/>
  <c r="E232"/>
  <c r="F468"/>
  <c r="E444"/>
  <c r="N103" i="20"/>
  <c r="E199" i="21"/>
  <c r="E395"/>
  <c r="F28"/>
  <c r="F270"/>
  <c r="E942"/>
  <c r="F659"/>
  <c r="F392"/>
  <c r="K18" i="20"/>
  <c r="K23"/>
  <c r="F60" i="21"/>
  <c r="E45"/>
  <c r="E463"/>
  <c r="F87"/>
  <c r="E613"/>
  <c r="K9" i="20"/>
  <c r="E609" i="21"/>
  <c r="E707"/>
  <c r="M94" i="20"/>
  <c r="E675" i="21"/>
  <c r="E918"/>
  <c r="F578"/>
  <c r="E506"/>
  <c r="E107"/>
  <c r="E579"/>
  <c r="P105" i="20"/>
  <c r="F377" i="21"/>
  <c r="E836"/>
  <c r="E561"/>
  <c r="E635"/>
  <c r="E1097"/>
  <c r="M24" i="20"/>
  <c r="K26"/>
  <c r="N64"/>
  <c r="K86"/>
  <c r="E410" i="21"/>
  <c r="F781"/>
  <c r="M44" i="20"/>
  <c r="F29" i="21"/>
  <c r="Q681"/>
  <c r="F520"/>
  <c r="E382"/>
  <c r="F562"/>
  <c r="F54"/>
  <c r="E104"/>
  <c r="E60"/>
  <c r="E935"/>
  <c r="E768"/>
  <c r="F579"/>
  <c r="E69"/>
  <c r="E431"/>
  <c r="F48"/>
  <c r="E416"/>
  <c r="F763"/>
  <c r="E282"/>
  <c r="N15" i="20"/>
  <c r="E661" i="21"/>
  <c r="E828"/>
  <c r="E780"/>
  <c r="E870"/>
  <c r="E829"/>
  <c r="E474"/>
  <c r="E1017"/>
  <c r="M101" i="20"/>
  <c r="E335" i="21"/>
  <c r="E338"/>
  <c r="K36" i="20"/>
  <c r="E679" i="21"/>
  <c r="F772"/>
  <c r="E874"/>
  <c r="F518"/>
  <c r="J36" i="20"/>
  <c r="N16"/>
  <c r="F185" i="21"/>
  <c r="F448"/>
  <c r="E34"/>
  <c r="E163"/>
  <c r="E80"/>
  <c r="F144"/>
  <c r="E166"/>
  <c r="K66" i="20"/>
  <c r="M98"/>
  <c r="E116" i="21"/>
  <c r="F696"/>
  <c r="E485"/>
  <c r="F785"/>
  <c r="E1040"/>
  <c r="E344"/>
  <c r="E786"/>
  <c r="F589"/>
  <c r="P20" i="20"/>
  <c r="E75" i="21"/>
  <c r="E654"/>
  <c r="E389"/>
  <c r="N83" i="20"/>
  <c r="F747" i="21"/>
  <c r="E1120"/>
  <c r="E464"/>
  <c r="N67" i="20"/>
  <c r="P100"/>
  <c r="K83"/>
  <c r="E53" i="21"/>
  <c r="Q272"/>
  <c r="K87" i="20"/>
  <c r="E1099" i="21"/>
  <c r="F442"/>
  <c r="E853"/>
  <c r="E576"/>
  <c r="P51" i="20"/>
  <c r="F484" i="21"/>
  <c r="E753"/>
  <c r="F655"/>
  <c r="E43"/>
  <c r="F162"/>
  <c r="F676"/>
  <c r="E615"/>
  <c r="E96"/>
  <c r="F37"/>
  <c r="Q75"/>
  <c r="E1109"/>
  <c r="M88" i="20"/>
  <c r="E915" i="21"/>
  <c r="N94" i="20"/>
  <c r="E1041" i="21"/>
  <c r="E897"/>
  <c r="F688"/>
  <c r="E908"/>
  <c r="F300"/>
  <c r="E149"/>
  <c r="F167"/>
  <c r="E1110"/>
  <c r="E186"/>
  <c r="F129"/>
  <c r="E272"/>
  <c r="F595"/>
  <c r="F586"/>
  <c r="E552"/>
  <c r="E722"/>
  <c r="E996"/>
  <c r="E779"/>
  <c r="E204"/>
  <c r="E910"/>
  <c r="F789"/>
  <c r="K74" i="20"/>
  <c r="E639" i="21"/>
  <c r="P52" i="20"/>
  <c r="F224" i="21"/>
  <c r="F308"/>
  <c r="F712"/>
  <c r="Q354"/>
  <c r="K84" i="20"/>
  <c r="F199" i="21"/>
  <c r="E730"/>
  <c r="E508"/>
  <c r="E499"/>
  <c r="F22"/>
  <c r="E732"/>
  <c r="F252"/>
  <c r="K102" i="20"/>
  <c r="F637" i="21"/>
  <c r="E143"/>
  <c r="F174"/>
  <c r="F364"/>
  <c r="F304"/>
  <c r="E861"/>
  <c r="M54" i="20"/>
  <c r="N13"/>
  <c r="F65" i="21"/>
  <c r="F672"/>
  <c r="E619"/>
  <c r="E653"/>
  <c r="M46" i="20"/>
  <c r="F440" i="21"/>
  <c r="F259"/>
  <c r="F275"/>
  <c r="E453"/>
  <c r="E858"/>
  <c r="E1032"/>
  <c r="E169"/>
  <c r="F646"/>
  <c r="F519"/>
  <c r="E271"/>
  <c r="P68" i="20"/>
  <c r="E360" i="21"/>
  <c r="E254"/>
  <c r="F626"/>
  <c r="M87" i="20"/>
  <c r="E1003" i="21"/>
  <c r="E40"/>
  <c r="F127"/>
  <c r="F326"/>
  <c r="E982"/>
  <c r="F732"/>
  <c r="F429"/>
  <c r="F322"/>
  <c r="F693"/>
  <c r="M93" i="20"/>
  <c r="E471" i="21"/>
  <c r="F386"/>
  <c r="E701"/>
  <c r="K79" i="20"/>
  <c r="K11"/>
  <c r="F53" i="21"/>
  <c r="F67"/>
  <c r="E765"/>
  <c r="E662"/>
  <c r="N18" i="20"/>
  <c r="E304" i="21"/>
  <c r="E821"/>
  <c r="E1119"/>
  <c r="E887"/>
  <c r="F490"/>
  <c r="F205"/>
  <c r="E695"/>
  <c r="K67" i="20"/>
  <c r="M49"/>
  <c r="F438" i="21"/>
  <c r="Q18"/>
  <c r="E992"/>
  <c r="N91" i="20"/>
  <c r="F427" i="21"/>
  <c r="E278"/>
  <c r="E140"/>
  <c r="E599"/>
  <c r="N53" i="20"/>
  <c r="E995" i="21"/>
  <c r="E1042"/>
  <c r="F227"/>
  <c r="F570"/>
  <c r="E892"/>
  <c r="E899"/>
  <c r="Q288"/>
  <c r="E699"/>
  <c r="P46" i="20"/>
  <c r="F547" i="21"/>
  <c r="E415"/>
  <c r="F594"/>
  <c r="E525"/>
  <c r="E367"/>
  <c r="K104" i="20"/>
  <c r="K57"/>
  <c r="M48"/>
  <c r="E424" i="21"/>
  <c r="E279"/>
  <c r="E989"/>
  <c r="M26" i="20"/>
  <c r="M81"/>
  <c r="F514" i="21"/>
  <c r="F558"/>
  <c r="F410"/>
  <c r="E336"/>
  <c r="F184"/>
  <c r="F393"/>
  <c r="P78" i="20"/>
  <c r="E442" i="21"/>
  <c r="F509"/>
  <c r="F511"/>
  <c r="N40" i="20"/>
  <c r="E323" i="21"/>
  <c r="J72" i="20"/>
  <c r="F277" i="21"/>
  <c r="F449"/>
  <c r="F434"/>
  <c r="F609"/>
  <c r="E1045"/>
  <c r="E467"/>
  <c r="K93" i="20"/>
  <c r="F452" i="21"/>
  <c r="E760"/>
  <c r="E379"/>
  <c r="F714"/>
  <c r="E1113"/>
  <c r="E198"/>
  <c r="E414"/>
  <c r="E244"/>
  <c r="E147"/>
  <c r="N47" i="20"/>
  <c r="E600" i="21"/>
  <c r="E941"/>
  <c r="E602"/>
  <c r="E514"/>
  <c r="E726"/>
  <c r="E623"/>
  <c r="E84"/>
  <c r="F560"/>
  <c r="F704"/>
  <c r="E784"/>
  <c r="E1075"/>
  <c r="F350"/>
  <c r="N12" i="20"/>
  <c r="E806" i="21"/>
  <c r="M104" i="20"/>
  <c r="F335" i="21"/>
  <c r="J90" i="20"/>
  <c r="P88"/>
  <c r="E314" i="21"/>
  <c r="F349"/>
  <c r="P99" i="20"/>
  <c r="E307" i="21"/>
  <c r="N62" i="20"/>
  <c r="E923" i="21"/>
  <c r="E39"/>
  <c r="E493"/>
  <c r="F656"/>
  <c r="N75" i="20"/>
  <c r="P75"/>
  <c r="P56"/>
  <c r="Q685" i="21"/>
  <c r="E1061"/>
  <c r="E586"/>
  <c r="E1118"/>
  <c r="F522"/>
  <c r="E260"/>
  <c r="E383"/>
  <c r="F216"/>
  <c r="F658"/>
  <c r="K52" i="20"/>
  <c r="F116" i="21"/>
  <c r="E432"/>
  <c r="F302"/>
  <c r="N82" i="20"/>
  <c r="P49"/>
  <c r="E851" i="21"/>
  <c r="F341"/>
  <c r="F419"/>
  <c r="F527"/>
  <c r="F208"/>
  <c r="M72" i="20"/>
  <c r="E565" i="21"/>
  <c r="E1002"/>
  <c r="K46" i="20"/>
  <c r="P43"/>
  <c r="E557" i="21"/>
  <c r="E953"/>
  <c r="F225"/>
  <c r="F540"/>
  <c r="K53" i="20"/>
  <c r="K68"/>
  <c r="E522" i="21"/>
  <c r="F382"/>
  <c r="F635"/>
  <c r="F367"/>
  <c r="E7"/>
  <c r="F153"/>
  <c r="E342"/>
  <c r="E58"/>
  <c r="E712"/>
  <c r="F456"/>
  <c r="E1055"/>
  <c r="Q679"/>
  <c r="E284"/>
  <c r="F583"/>
  <c r="F79"/>
  <c r="F214"/>
  <c r="F123"/>
  <c r="F607"/>
  <c r="F783"/>
  <c r="M52" i="20"/>
  <c r="F462" i="21"/>
  <c r="F316"/>
  <c r="E742"/>
  <c r="E683"/>
  <c r="F17"/>
  <c r="E68"/>
  <c r="F332"/>
  <c r="F745"/>
  <c r="E426"/>
  <c r="K98" i="20"/>
  <c r="E593" i="21"/>
  <c r="F418"/>
  <c r="E114"/>
  <c r="E110"/>
  <c r="E752"/>
  <c r="F486"/>
  <c r="E972"/>
  <c r="E440"/>
  <c r="F320"/>
  <c r="E871"/>
  <c r="F537"/>
  <c r="F435"/>
  <c r="E994"/>
  <c r="E729"/>
  <c r="E735"/>
  <c r="E976"/>
  <c r="M40" i="20"/>
  <c r="F151" i="21"/>
  <c r="E317"/>
  <c r="F143"/>
  <c r="E733"/>
  <c r="E11"/>
  <c r="E767"/>
  <c r="F503"/>
  <c r="E209"/>
  <c r="J30" i="20"/>
  <c r="F249" i="21"/>
  <c r="F254"/>
  <c r="E154"/>
  <c r="E1011"/>
  <c r="F483"/>
  <c r="F601"/>
  <c r="N14" i="20"/>
  <c r="E646" i="21"/>
  <c r="F757"/>
  <c r="N43" i="20"/>
  <c r="F472" i="21"/>
  <c r="M64" i="20"/>
  <c r="P97"/>
  <c r="F24" i="21"/>
  <c r="E655"/>
  <c r="E287"/>
  <c r="F854"/>
  <c r="M105" i="20"/>
  <c r="E184" i="21"/>
  <c r="E728"/>
  <c r="E902"/>
  <c r="F200"/>
  <c r="F423"/>
  <c r="F286"/>
  <c r="F305"/>
  <c r="F398"/>
  <c r="E9"/>
  <c r="E28"/>
  <c r="E614"/>
  <c r="E326"/>
  <c r="E49"/>
  <c r="E854"/>
  <c r="F402"/>
  <c r="F287"/>
  <c r="E608"/>
  <c r="F38"/>
  <c r="F375"/>
  <c r="E266"/>
  <c r="E933"/>
  <c r="E925"/>
  <c r="E750"/>
  <c r="E633"/>
  <c r="M12" i="20"/>
  <c r="F242" i="21"/>
  <c r="E88"/>
  <c r="F372"/>
  <c r="E240"/>
  <c r="E195"/>
  <c r="E534"/>
  <c r="P62" i="20"/>
  <c r="E394" i="21"/>
  <c r="E1063"/>
  <c r="F389"/>
  <c r="E16"/>
  <c r="N96" i="20"/>
  <c r="F700" i="21"/>
  <c r="E502"/>
  <c r="J25" i="20"/>
  <c r="P67"/>
  <c r="K62"/>
  <c r="E1096" i="21"/>
  <c r="F262"/>
  <c r="K22" i="20"/>
  <c r="E843" i="21"/>
  <c r="E884"/>
  <c r="E558"/>
  <c r="E648"/>
  <c r="F362"/>
  <c r="F470"/>
  <c r="E668"/>
  <c r="F705"/>
  <c r="E205"/>
  <c r="F188"/>
  <c r="N58" i="20"/>
  <c r="F408" i="21"/>
  <c r="E460"/>
  <c r="E347"/>
  <c r="E180"/>
  <c r="F677"/>
  <c r="F488"/>
  <c r="E845"/>
  <c r="E1080"/>
  <c r="M36" i="20"/>
  <c r="Q292" i="21"/>
  <c r="E1127"/>
  <c r="E570"/>
  <c r="E112"/>
  <c r="E880"/>
  <c r="E214"/>
  <c r="E519"/>
  <c r="E693"/>
  <c r="E1006"/>
  <c r="F791"/>
  <c r="E595"/>
  <c r="N95" i="20"/>
  <c r="P73"/>
  <c r="N105"/>
  <c r="E665" i="21"/>
  <c r="M63" i="20"/>
  <c r="E912" i="21"/>
  <c r="K50" i="20"/>
  <c r="F165" i="21"/>
  <c r="F532"/>
  <c r="E305"/>
  <c r="F691"/>
  <c r="F239"/>
  <c r="E218"/>
  <c r="E165"/>
  <c r="F250"/>
  <c r="E512"/>
  <c r="F64"/>
  <c r="E993"/>
  <c r="E423"/>
  <c r="F439"/>
  <c r="F542"/>
  <c r="E363"/>
  <c r="E567"/>
  <c r="E393"/>
  <c r="E911"/>
  <c r="F351"/>
  <c r="K47" i="20"/>
  <c r="E501" i="21"/>
  <c r="E813"/>
  <c r="E578"/>
  <c r="E21"/>
  <c r="E420"/>
  <c r="F426"/>
  <c r="E475"/>
  <c r="E831"/>
  <c r="F654"/>
  <c r="N36" i="20"/>
  <c r="E251" i="21"/>
  <c r="F764"/>
  <c r="E759"/>
  <c r="E133"/>
  <c r="F795"/>
  <c r="E1106"/>
  <c r="E1091"/>
  <c r="N97" i="20"/>
  <c r="F52" i="21"/>
  <c r="F8"/>
  <c r="F334"/>
  <c r="E696"/>
  <c r="F7"/>
  <c r="F376"/>
  <c r="E727"/>
  <c r="E966"/>
  <c r="E618"/>
  <c r="F535"/>
  <c r="E498"/>
  <c r="K99" i="20"/>
  <c r="E173" i="21"/>
  <c r="E957"/>
  <c r="F525"/>
  <c r="F701"/>
  <c r="F650"/>
  <c r="F189"/>
  <c r="F675"/>
  <c r="F159"/>
  <c r="E757"/>
  <c r="F436"/>
  <c r="F361"/>
  <c r="E616"/>
  <c r="J10" i="20"/>
  <c r="E459" i="21"/>
  <c r="Q296"/>
  <c r="F34"/>
  <c r="M19" i="20"/>
  <c r="K89"/>
  <c r="E583" i="21"/>
  <c r="E83"/>
  <c r="E328"/>
  <c r="F730"/>
  <c r="P83" i="20"/>
  <c r="F315" i="21"/>
  <c r="E703"/>
  <c r="F366"/>
  <c r="F636"/>
  <c r="F473"/>
  <c r="E450"/>
  <c r="F755"/>
  <c r="N93" i="20"/>
  <c r="E916" i="21"/>
  <c r="E922"/>
  <c r="E702"/>
  <c r="E785"/>
  <c r="E351"/>
  <c r="E878"/>
  <c r="E947"/>
  <c r="F12"/>
  <c r="E349"/>
  <c r="P27" i="20"/>
  <c r="F98" i="21"/>
  <c r="E811"/>
  <c r="P60" i="20"/>
  <c r="E235" i="21"/>
  <c r="E788"/>
  <c r="E756"/>
  <c r="J61" i="20"/>
  <c r="E763" i="21"/>
  <c r="E370"/>
  <c r="M51" i="20"/>
  <c r="E541" i="21"/>
  <c r="F403"/>
  <c r="E883"/>
  <c r="E667"/>
  <c r="E44"/>
  <c r="E601"/>
  <c r="E14"/>
  <c r="F680"/>
  <c r="E496"/>
  <c r="E222"/>
  <c r="F671"/>
  <c r="F135"/>
  <c r="F678"/>
  <c r="F538"/>
  <c r="F709"/>
  <c r="F220"/>
  <c r="E267"/>
  <c r="E6"/>
  <c r="F768"/>
  <c r="F507"/>
  <c r="F298"/>
  <c r="N50" i="20"/>
  <c r="E408" i="21"/>
  <c r="F748"/>
  <c r="E1057"/>
  <c r="F380"/>
  <c r="F504"/>
  <c r="E815"/>
  <c r="M106" i="20"/>
  <c r="Q25" i="21"/>
  <c r="M62" i="20"/>
  <c r="P82"/>
  <c r="E713" i="21"/>
  <c r="F16"/>
  <c r="F112"/>
  <c r="E511"/>
  <c r="K56" i="20"/>
  <c r="E690" i="21"/>
  <c r="M97" i="20"/>
  <c r="F563" i="21"/>
  <c r="F409"/>
  <c r="E301"/>
  <c r="F574"/>
  <c r="M83" i="20"/>
  <c r="E427" i="21"/>
  <c r="E86"/>
  <c r="N71" i="20"/>
  <c r="E621" i="21"/>
  <c r="E1029"/>
  <c r="E677"/>
  <c r="E118"/>
  <c r="F161"/>
  <c r="E682"/>
  <c r="F544"/>
  <c r="F15"/>
  <c r="K10" i="20"/>
  <c r="E156" i="21"/>
  <c r="N51" i="20"/>
  <c r="E954" i="21"/>
  <c r="F311"/>
  <c r="P101" i="20"/>
  <c r="M47"/>
  <c r="E486" i="21"/>
  <c r="F759"/>
  <c r="M39" i="20"/>
  <c r="P92"/>
  <c r="P74"/>
  <c r="E211" i="21"/>
  <c r="E1028"/>
  <c r="F587"/>
  <c r="M15" i="20"/>
  <c r="M43"/>
  <c r="F371" i="21"/>
  <c r="E449"/>
  <c r="F606"/>
  <c r="E810"/>
  <c r="E357"/>
  <c r="E875"/>
  <c r="M89" i="20"/>
  <c r="E896" i="21"/>
  <c r="N25" i="20"/>
  <c r="F312" i="21"/>
  <c r="E73"/>
  <c r="E909"/>
  <c r="F313"/>
  <c r="P53" i="20"/>
  <c r="F27" i="21"/>
  <c r="J12" i="20"/>
  <c r="E15" i="21"/>
  <c r="E1015"/>
  <c r="F412"/>
  <c r="E1044"/>
  <c r="N81" i="20"/>
  <c r="F9" i="21"/>
  <c r="E1065"/>
  <c r="E117"/>
  <c r="E842"/>
  <c r="K45" i="20"/>
  <c r="E864" i="21"/>
  <c r="E669"/>
  <c r="F788"/>
  <c r="F649"/>
  <c r="F751"/>
  <c r="E17"/>
  <c r="E517"/>
  <c r="E1074"/>
  <c r="E876"/>
  <c r="E575"/>
  <c r="F616"/>
  <c r="E33"/>
  <c r="N52" i="20"/>
  <c r="E124" i="21"/>
  <c r="E261"/>
  <c r="K97" i="20"/>
  <c r="N20"/>
  <c r="F282" i="21"/>
  <c r="F124"/>
  <c r="K65" i="20"/>
  <c r="F760" i="21"/>
  <c r="E428"/>
  <c r="E206"/>
  <c r="K60" i="20"/>
  <c r="M14"/>
  <c r="F664" i="21"/>
  <c r="F274"/>
  <c r="M96" i="20"/>
  <c r="F569" i="21"/>
  <c r="F582"/>
  <c r="E967"/>
  <c r="F111"/>
  <c r="F43"/>
  <c r="Q294"/>
  <c r="E1076"/>
  <c r="N8" i="20"/>
  <c r="E219" i="21"/>
  <c r="E327"/>
  <c r="E949"/>
  <c r="M61" i="20"/>
  <c r="E936" i="21"/>
  <c r="N27" i="20"/>
  <c r="F550" i="21"/>
  <c r="E888"/>
  <c r="E185"/>
  <c r="F450"/>
  <c r="F83"/>
  <c r="F718"/>
  <c r="F459"/>
  <c r="K25" i="20"/>
  <c r="E997" i="21"/>
  <c r="E521"/>
  <c r="N48" i="20"/>
  <c r="E400" i="21"/>
  <c r="E932"/>
  <c r="F685"/>
  <c r="E584"/>
  <c r="E377"/>
  <c r="F516"/>
  <c r="E865"/>
  <c r="F201"/>
  <c r="F645"/>
  <c r="J8" i="20"/>
  <c r="M91"/>
  <c r="E387" i="21"/>
  <c r="E221"/>
  <c r="E270"/>
  <c r="F328"/>
  <c r="E974"/>
  <c r="F336"/>
  <c r="F528"/>
  <c r="J13" i="20"/>
  <c r="E1116" i="21"/>
  <c r="E229"/>
  <c r="E830"/>
  <c r="K15" i="20"/>
  <c r="E783" i="21"/>
  <c r="E823"/>
  <c r="E245"/>
  <c r="E505"/>
  <c r="E190"/>
  <c r="E1020"/>
  <c r="E1098"/>
  <c r="K43" i="20"/>
  <c r="F499" i="21"/>
  <c r="F407"/>
  <c r="F428"/>
  <c r="K101" i="20"/>
  <c r="E1022" i="21"/>
  <c r="E914"/>
  <c r="E13"/>
  <c r="P57" i="20"/>
  <c r="F93" i="21"/>
  <c r="E23"/>
  <c r="F485"/>
  <c r="Q614"/>
  <c r="P79" i="20"/>
  <c r="E175" i="21"/>
  <c r="F110"/>
  <c r="E419"/>
  <c r="F580"/>
  <c r="N11" i="20"/>
  <c r="E940" i="21"/>
  <c r="F70"/>
  <c r="P48" i="20"/>
  <c r="E799" i="21"/>
  <c r="F82"/>
  <c r="F605"/>
  <c r="E857"/>
  <c r="E201"/>
  <c r="F660"/>
  <c r="P45" i="20"/>
  <c r="Q186" i="21"/>
  <c r="F571"/>
  <c r="P103" i="20"/>
  <c r="E862" i="21"/>
  <c r="E761"/>
  <c r="E789"/>
  <c r="F481"/>
  <c r="F596"/>
  <c r="F737"/>
  <c r="E325"/>
  <c r="E333"/>
  <c r="F68"/>
  <c r="E455"/>
  <c r="F634"/>
  <c r="F91"/>
  <c r="F265"/>
  <c r="E981"/>
  <c r="N73" i="20"/>
  <c r="F513" i="21"/>
  <c r="F370"/>
  <c r="F218"/>
  <c r="E771"/>
  <c r="E979"/>
  <c r="F100"/>
  <c r="E822"/>
  <c r="F325"/>
  <c r="E515"/>
  <c r="F420"/>
  <c r="E1019"/>
  <c r="E772"/>
  <c r="E433"/>
  <c r="F317"/>
  <c r="N42" i="20"/>
  <c r="F69" i="21"/>
  <c r="E417"/>
  <c r="J66" i="20"/>
  <c r="F773" i="21"/>
  <c r="E1123"/>
  <c r="Q35"/>
  <c r="E406"/>
  <c r="E980"/>
  <c r="F508"/>
  <c r="F657"/>
  <c r="E461"/>
  <c r="F639"/>
  <c r="K14" i="20"/>
  <c r="E484" i="21"/>
  <c r="Q683"/>
  <c r="K91" i="20"/>
  <c r="Q70" i="21"/>
  <c r="E563"/>
  <c r="F711"/>
  <c r="F460"/>
  <c r="E145"/>
  <c r="F246"/>
  <c r="F401"/>
  <c r="M77" i="20"/>
  <c r="F261" i="21"/>
  <c r="K90" i="20"/>
  <c r="E546" i="21"/>
  <c r="E719"/>
  <c r="E818"/>
  <c r="E816"/>
  <c r="E531"/>
  <c r="E641"/>
  <c r="F177"/>
  <c r="N17" i="20"/>
  <c r="E447" i="21"/>
  <c r="F679"/>
  <c r="E939"/>
  <c r="F784"/>
  <c r="N44" i="20"/>
  <c r="F548" i="21"/>
  <c r="E280"/>
  <c r="F463"/>
  <c r="E1039"/>
  <c r="K69" i="20"/>
  <c r="F346" i="21"/>
  <c r="F115"/>
  <c r="E150"/>
  <c r="E814"/>
  <c r="E401"/>
  <c r="F140"/>
  <c r="F736"/>
  <c r="E27"/>
  <c r="E934"/>
  <c r="F416"/>
  <c r="F266"/>
  <c r="E1056"/>
  <c r="E1038"/>
  <c r="E597"/>
  <c r="F752"/>
  <c r="F750"/>
  <c r="N9" i="20"/>
  <c r="E174" i="21"/>
  <c r="E82"/>
  <c r="E743"/>
  <c r="E10"/>
  <c r="K105" i="20"/>
  <c r="E62" i="21"/>
  <c r="N63" i="20"/>
  <c r="F395" i="21"/>
  <c r="F652"/>
  <c r="E988"/>
  <c r="F581"/>
  <c r="J35" i="20"/>
  <c r="M13"/>
  <c r="E528" i="21"/>
  <c r="F710"/>
  <c r="E409"/>
  <c r="M41" i="20"/>
  <c r="M57"/>
  <c r="N60"/>
  <c r="K13"/>
  <c r="E1064" i="21"/>
  <c r="E223"/>
  <c r="E274"/>
  <c r="E225"/>
  <c r="F479"/>
  <c r="N49" i="20"/>
  <c r="F853" i="21"/>
  <c r="E714"/>
  <c r="E630"/>
  <c r="E322"/>
  <c r="E527"/>
  <c r="E839"/>
  <c r="F360"/>
  <c r="Q605"/>
  <c r="E1018"/>
  <c r="E588"/>
  <c r="E640"/>
  <c r="F496"/>
  <c r="E168"/>
  <c r="E670"/>
  <c r="E429"/>
  <c r="M67" i="20"/>
  <c r="E403" i="21"/>
  <c r="F667"/>
  <c r="P41" i="20"/>
  <c r="F753" i="21"/>
  <c r="M79" i="20"/>
  <c r="E1016" i="21"/>
  <c r="F565"/>
  <c r="E943"/>
  <c r="E658"/>
  <c r="F786"/>
  <c r="F545"/>
  <c r="F515"/>
  <c r="M45" i="20"/>
  <c r="F179" i="21"/>
  <c r="E405"/>
  <c r="E656"/>
  <c r="F493"/>
  <c r="E746"/>
  <c r="F698"/>
  <c r="F492"/>
  <c r="E518"/>
  <c r="F284"/>
  <c r="E421"/>
  <c r="F431"/>
  <c r="E764"/>
  <c r="E1121"/>
  <c r="E1014"/>
  <c r="M80" i="20"/>
  <c r="N79"/>
  <c r="N59"/>
  <c r="F557" i="21"/>
  <c r="F169"/>
  <c r="N45" i="20"/>
  <c r="E308" i="21"/>
  <c r="F307"/>
  <c r="F469"/>
  <c r="F461"/>
  <c r="E32"/>
  <c r="E1128"/>
  <c r="E299"/>
  <c r="E877"/>
  <c r="F554"/>
  <c r="E685"/>
  <c r="F323"/>
  <c r="E856"/>
  <c r="E958"/>
  <c r="J39" i="20"/>
  <c r="J26"/>
  <c r="E262" i="21"/>
  <c r="F221"/>
  <c r="E736"/>
  <c r="E93"/>
  <c r="E555"/>
  <c r="F229"/>
  <c r="E1124"/>
  <c r="K41" i="20"/>
  <c r="K17"/>
  <c r="E381" i="21"/>
  <c r="F506"/>
  <c r="E577"/>
  <c r="P98" i="20"/>
  <c r="M65"/>
  <c r="F385" i="21"/>
  <c r="F178"/>
  <c r="P81" i="20"/>
  <c r="E120" i="21"/>
  <c r="F720"/>
  <c r="E550"/>
  <c r="E745"/>
  <c r="M85" i="20"/>
  <c r="E900" i="21"/>
  <c r="F85"/>
  <c r="E963"/>
  <c r="E850"/>
  <c r="E503"/>
  <c r="E1001"/>
  <c r="E164"/>
  <c r="F251"/>
  <c r="F706"/>
  <c r="F74"/>
  <c r="M78" i="20"/>
  <c r="E691" i="21"/>
  <c r="E445"/>
  <c r="M59" i="20"/>
  <c r="E456" i="21"/>
  <c r="F716"/>
  <c r="E607"/>
  <c r="K85" i="20"/>
  <c r="F561" i="21"/>
  <c r="F211"/>
  <c r="E657"/>
  <c r="F95"/>
  <c r="F128"/>
  <c r="P65" i="20"/>
  <c r="N101"/>
  <c r="E1021" i="21"/>
  <c r="J71" i="20"/>
  <c r="E256" i="21"/>
  <c r="E70"/>
  <c r="E617"/>
  <c r="E473"/>
  <c r="E123"/>
  <c r="F682"/>
  <c r="E978"/>
  <c r="E388"/>
  <c r="K58" i="20"/>
  <c r="N56"/>
  <c r="F257" i="21"/>
  <c r="E1047"/>
  <c r="Q298"/>
  <c r="F444"/>
  <c r="E38"/>
  <c r="E895"/>
  <c r="E72"/>
  <c r="F18"/>
  <c r="F546"/>
  <c r="F630"/>
  <c r="E791"/>
  <c r="F281"/>
  <c r="F668"/>
  <c r="E1126"/>
  <c r="F754"/>
  <c r="E183"/>
  <c r="N98" i="20"/>
  <c r="M56"/>
  <c r="F90" i="21"/>
  <c r="F780"/>
  <c r="F467"/>
  <c r="F223"/>
  <c r="E533"/>
  <c r="F59"/>
  <c r="N65" i="20"/>
  <c r="E548" i="21"/>
  <c r="F108"/>
  <c r="F215"/>
  <c r="E890"/>
  <c r="E312"/>
  <c r="E650"/>
  <c r="E574"/>
  <c r="F742"/>
  <c r="F343"/>
  <c r="F728"/>
  <c r="E380"/>
  <c r="E399"/>
  <c r="E465"/>
  <c r="K78" i="20"/>
  <c r="F549" i="21"/>
  <c r="E647"/>
  <c r="E674"/>
  <c r="E835"/>
  <c r="E324"/>
  <c r="K35" i="20"/>
  <c r="K63"/>
  <c r="N84"/>
  <c r="E97" i="21"/>
  <c r="E374"/>
  <c r="F145"/>
  <c r="E598"/>
  <c r="E794"/>
  <c r="E847"/>
  <c r="E1105"/>
  <c r="F731"/>
  <c r="F318"/>
  <c r="E782"/>
  <c r="K75" i="20"/>
  <c r="E230" i="21"/>
  <c r="F25"/>
  <c r="F510"/>
  <c r="E152"/>
  <c r="J70" i="20"/>
  <c r="F695" i="21"/>
  <c r="E1052"/>
  <c r="E509"/>
  <c r="E1072"/>
  <c r="E687"/>
  <c r="E12"/>
  <c r="F272"/>
  <c r="E645"/>
  <c r="F301"/>
  <c r="E971"/>
  <c r="E476"/>
  <c r="F443"/>
  <c r="E1100"/>
  <c r="F794"/>
  <c r="E651"/>
  <c r="P55" i="20"/>
  <c r="F744" i="21"/>
  <c r="E196"/>
  <c r="J29" i="20"/>
  <c r="E920" i="21"/>
  <c r="F482"/>
  <c r="E987"/>
  <c r="E676"/>
  <c r="F180"/>
  <c r="E134"/>
  <c r="F694"/>
  <c r="F663"/>
  <c r="E734"/>
  <c r="F573"/>
  <c r="F400"/>
  <c r="E686"/>
  <c r="E384"/>
  <c r="E215"/>
  <c r="F138"/>
  <c r="F767"/>
  <c r="E777"/>
  <c r="F425"/>
  <c r="E1117"/>
  <c r="K80" i="20"/>
  <c r="E109" i="21"/>
  <c r="E78"/>
  <c r="E681"/>
  <c r="F466"/>
  <c r="F45"/>
  <c r="E29"/>
  <c r="E754"/>
  <c r="F75"/>
  <c r="N80" i="20"/>
  <c r="F44" i="21"/>
  <c r="E678"/>
  <c r="F72"/>
  <c r="E1058"/>
  <c r="N29" i="20"/>
  <c r="E718" i="21"/>
  <c r="Q80" i="20" l="1"/>
  <c r="I29"/>
  <c r="O55"/>
  <c r="I70"/>
  <c r="Q75"/>
  <c r="Q63"/>
  <c r="Q35"/>
  <c r="Q78"/>
  <c r="S56"/>
  <c r="L56"/>
  <c r="R298" i="21"/>
  <c r="Q58" i="20"/>
  <c r="I71"/>
  <c r="O65"/>
  <c r="Q85"/>
  <c r="L59"/>
  <c r="L78"/>
  <c r="S78"/>
  <c r="R78" s="1"/>
  <c r="S85"/>
  <c r="R85" s="1"/>
  <c r="L85"/>
  <c r="O81"/>
  <c r="S65"/>
  <c r="L65"/>
  <c r="O98"/>
  <c r="Q17"/>
  <c r="Q41"/>
  <c r="I26"/>
  <c r="I39"/>
  <c r="L80"/>
  <c r="S45"/>
  <c r="L45"/>
  <c r="S79"/>
  <c r="L79"/>
  <c r="O41"/>
  <c r="S67"/>
  <c r="L67"/>
  <c r="R605" i="21"/>
  <c r="Q13" i="20"/>
  <c r="L57"/>
  <c r="S57"/>
  <c r="L41"/>
  <c r="S41"/>
  <c r="R41" s="1"/>
  <c r="L13"/>
  <c r="Y4"/>
  <c r="X3"/>
  <c r="I35"/>
  <c r="Q105"/>
  <c r="Q69"/>
  <c r="Q90"/>
  <c r="L77"/>
  <c r="R70" i="21"/>
  <c r="Q91" i="20"/>
  <c r="R683" i="21"/>
  <c r="Q14" i="20"/>
  <c r="R35" i="21"/>
  <c r="I66" i="20"/>
  <c r="O103"/>
  <c r="R186" i="21"/>
  <c r="O45" i="20"/>
  <c r="O48"/>
  <c r="O79"/>
  <c r="R614" i="21"/>
  <c r="O57" i="20"/>
  <c r="Q101"/>
  <c r="Q43"/>
  <c r="Q15"/>
  <c r="I13"/>
  <c r="L91"/>
  <c r="S91"/>
  <c r="I8"/>
  <c r="X2"/>
  <c r="Q25"/>
  <c r="L61"/>
  <c r="N1"/>
  <c r="L2" i="21" s="1"/>
  <c r="L3" s="1"/>
  <c r="R294"/>
  <c r="L96" i="20"/>
  <c r="Y7"/>
  <c r="S96"/>
  <c r="L14"/>
  <c r="Q60"/>
  <c r="Q65"/>
  <c r="Q97"/>
  <c r="Q45"/>
  <c r="I12"/>
  <c r="O53"/>
  <c r="L89"/>
  <c r="S89"/>
  <c r="S43"/>
  <c r="L43"/>
  <c r="L15"/>
  <c r="O74"/>
  <c r="O92"/>
  <c r="L39"/>
  <c r="L47"/>
  <c r="S47"/>
  <c r="O101"/>
  <c r="Q10"/>
  <c r="L83"/>
  <c r="S83"/>
  <c r="L97"/>
  <c r="S97"/>
  <c r="Q56"/>
  <c r="O82"/>
  <c r="L62"/>
  <c r="S62"/>
  <c r="R25" i="21"/>
  <c r="L106" i="20"/>
  <c r="S51"/>
  <c r="L51"/>
  <c r="I61"/>
  <c r="O60"/>
  <c r="O27"/>
  <c r="O83"/>
  <c r="Q89"/>
  <c r="S19"/>
  <c r="L19"/>
  <c r="R296" i="21"/>
  <c r="I10" i="20"/>
  <c r="Q99"/>
  <c r="Q47"/>
  <c r="Q50"/>
  <c r="S63"/>
  <c r="L63"/>
  <c r="O73"/>
  <c r="R292" i="21"/>
  <c r="L36" i="20"/>
  <c r="Q22"/>
  <c r="Q62"/>
  <c r="O67"/>
  <c r="I25"/>
  <c r="O62"/>
  <c r="L12"/>
  <c r="L105"/>
  <c r="S105"/>
  <c r="O97"/>
  <c r="S64"/>
  <c r="L64"/>
  <c r="I30"/>
  <c r="L40"/>
  <c r="Q98"/>
  <c r="L52"/>
  <c r="S52"/>
  <c r="R679" i="21"/>
  <c r="Q68" i="20"/>
  <c r="Q53"/>
  <c r="O43"/>
  <c r="Q46"/>
  <c r="L72"/>
  <c r="Y6"/>
  <c r="O49"/>
  <c r="Q52"/>
  <c r="R685" i="21"/>
  <c r="O56" i="20"/>
  <c r="O75"/>
  <c r="O99"/>
  <c r="O88"/>
  <c r="I90"/>
  <c r="L104"/>
  <c r="S104"/>
  <c r="Q93"/>
  <c r="I72"/>
  <c r="X6"/>
  <c r="O78"/>
  <c r="L81"/>
  <c r="S81"/>
  <c r="L26"/>
  <c r="L48"/>
  <c r="S48"/>
  <c r="Q57"/>
  <c r="Q104"/>
  <c r="O46"/>
  <c r="R288" i="21"/>
  <c r="R18"/>
  <c r="L49" i="20"/>
  <c r="S49"/>
  <c r="Q67"/>
  <c r="Q11"/>
  <c r="Q79"/>
  <c r="S93"/>
  <c r="L93"/>
  <c r="S87"/>
  <c r="L87"/>
  <c r="O68"/>
  <c r="S46"/>
  <c r="L46"/>
  <c r="S54"/>
  <c r="L54"/>
  <c r="Q102"/>
  <c r="Q84"/>
  <c r="R354" i="21"/>
  <c r="O52" i="20"/>
  <c r="Q74"/>
  <c r="L88"/>
  <c r="S88"/>
  <c r="R75" i="21"/>
  <c r="O51" i="20"/>
  <c r="Q87"/>
  <c r="R272" i="21"/>
  <c r="Q83" i="20"/>
  <c r="O100"/>
  <c r="O20"/>
  <c r="S98"/>
  <c r="L98"/>
  <c r="Q66"/>
  <c r="I36"/>
  <c r="Q36"/>
  <c r="S101"/>
  <c r="L101"/>
  <c r="R681" i="21"/>
  <c r="L44" i="20"/>
  <c r="Q86"/>
  <c r="Q26"/>
  <c r="L24"/>
  <c r="O105"/>
  <c r="S94"/>
  <c r="L94"/>
  <c r="Q9"/>
  <c r="Q23"/>
  <c r="Q18"/>
  <c r="Q20"/>
  <c r="O102"/>
  <c r="O95"/>
  <c r="L66"/>
  <c r="Q40"/>
  <c r="Q44"/>
  <c r="O23"/>
  <c r="I40"/>
  <c r="Q94"/>
  <c r="O85"/>
  <c r="Q37"/>
  <c r="Q48"/>
  <c r="L10"/>
  <c r="Q21"/>
  <c r="I15"/>
  <c r="S82"/>
  <c r="L82"/>
  <c r="R20" i="21"/>
  <c r="Q70" i="20"/>
  <c r="Q39"/>
  <c r="Q92"/>
  <c r="R1069" i="21"/>
  <c r="L73" i="20"/>
  <c r="S73"/>
  <c r="S99"/>
  <c r="L99"/>
  <c r="L102"/>
  <c r="S102"/>
  <c r="L23"/>
  <c r="S23"/>
  <c r="Q95"/>
  <c r="R285" i="21"/>
  <c r="O91" i="20"/>
  <c r="L22"/>
  <c r="O50"/>
  <c r="Q12"/>
  <c r="L9"/>
  <c r="L53"/>
  <c r="S53"/>
  <c r="O87"/>
  <c r="O19"/>
  <c r="O84"/>
  <c r="Y3"/>
  <c r="L35"/>
  <c r="Q61"/>
  <c r="Q55"/>
  <c r="R677" i="21"/>
  <c r="Z7" i="20"/>
  <c r="O96"/>
  <c r="Q100"/>
  <c r="L20"/>
  <c r="S20"/>
  <c r="Q106"/>
  <c r="L18"/>
  <c r="R65" i="21"/>
  <c r="Q77" i="20"/>
  <c r="S84"/>
  <c r="L84"/>
  <c r="O89"/>
  <c r="L70"/>
  <c r="Q59"/>
  <c r="S27"/>
  <c r="L27"/>
  <c r="Q42"/>
  <c r="O86"/>
  <c r="I59"/>
  <c r="L8"/>
  <c r="M1"/>
  <c r="I2" i="21" s="1"/>
  <c r="I3" s="1"/>
  <c r="Y2" i="20"/>
  <c r="S60"/>
  <c r="R60" s="1"/>
  <c r="L60"/>
  <c r="L74"/>
  <c r="S74"/>
  <c r="R74" s="1"/>
  <c r="S58"/>
  <c r="R58" s="1"/>
  <c r="L58"/>
  <c r="Q82"/>
  <c r="O47"/>
  <c r="L17"/>
  <c r="L71"/>
  <c r="Q88"/>
  <c r="L11"/>
  <c r="Q81"/>
  <c r="R81" s="1"/>
  <c r="Q24"/>
  <c r="R290" i="21"/>
  <c r="I11" i="20"/>
  <c r="S92"/>
  <c r="L92"/>
  <c r="Q29"/>
  <c r="L37"/>
  <c r="Y5"/>
  <c r="R16" i="21"/>
  <c r="R274"/>
  <c r="L100" i="20"/>
  <c r="S100"/>
  <c r="R100" s="1"/>
  <c r="Q49"/>
  <c r="L55"/>
  <c r="S55"/>
  <c r="R55" s="1"/>
  <c r="I37"/>
  <c r="X5"/>
  <c r="I14"/>
  <c r="I69"/>
  <c r="Q54"/>
  <c r="Q96"/>
  <c r="R96" s="1"/>
  <c r="O58"/>
  <c r="L25"/>
  <c r="O93"/>
  <c r="Q16"/>
  <c r="L69"/>
  <c r="S95"/>
  <c r="R95" s="1"/>
  <c r="L95"/>
  <c r="Q64"/>
  <c r="R64" s="1"/>
  <c r="Q71"/>
  <c r="Q72"/>
  <c r="L21"/>
  <c r="Q27"/>
  <c r="O54"/>
  <c r="R55" i="21"/>
  <c r="L42" i="20"/>
  <c r="I44"/>
  <c r="I22"/>
  <c r="Q51"/>
  <c r="R51" s="1"/>
  <c r="O63"/>
  <c r="L90"/>
  <c r="S86"/>
  <c r="R86" s="1"/>
  <c r="L86"/>
  <c r="R60" i="21"/>
  <c r="Q73" i="20"/>
  <c r="R682" i="21"/>
  <c r="R400"/>
  <c r="O16" i="20"/>
  <c r="S103"/>
  <c r="L103"/>
  <c r="L29"/>
  <c r="R635" i="21"/>
  <c r="Q103" i="20"/>
  <c r="Q19"/>
  <c r="R19" s="1"/>
  <c r="S75"/>
  <c r="L75"/>
  <c r="R396" i="21"/>
  <c r="S68" i="20"/>
  <c r="R68" s="1"/>
  <c r="L68"/>
  <c r="K1"/>
  <c r="Q8"/>
  <c r="S16"/>
  <c r="L16"/>
  <c r="O94"/>
  <c r="O104"/>
  <c r="I106"/>
  <c r="I80"/>
  <c r="O64"/>
  <c r="I9"/>
  <c r="L50"/>
  <c r="S50"/>
  <c r="R634" i="21"/>
  <c r="I77" i="20"/>
  <c r="R684" i="21"/>
  <c r="R67" i="20"/>
  <c r="R63"/>
  <c r="R27"/>
  <c r="Y8"/>
  <c r="R87"/>
  <c r="R56"/>
  <c r="R73"/>
  <c r="R98"/>
  <c r="R57"/>
  <c r="R83"/>
  <c r="R103"/>
  <c r="R79"/>
  <c r="I60" i="29"/>
  <c r="I68" s="1"/>
  <c r="G68"/>
  <c r="H43"/>
  <c r="Q257" i="21"/>
  <c r="P69" i="20"/>
  <c r="Q30" i="21"/>
  <c r="Q706"/>
  <c r="P8" i="20"/>
  <c r="Q1059" i="21"/>
  <c r="P59" i="20"/>
  <c r="Q895" i="21"/>
  <c r="Q835"/>
  <c r="P36" i="20"/>
  <c r="Q80" i="21"/>
  <c r="Q405"/>
  <c r="P11" i="20"/>
  <c r="Q716" i="21"/>
  <c r="Q710"/>
  <c r="Q707"/>
  <c r="Q720"/>
  <c r="Q242"/>
  <c r="Q704"/>
  <c r="Q88"/>
  <c r="P90" i="20"/>
  <c r="P72"/>
  <c r="Q352" i="21"/>
  <c r="Q705"/>
  <c r="Q341"/>
  <c r="Q181"/>
  <c r="P70" i="20"/>
  <c r="Q603" i="21"/>
  <c r="P42" i="20"/>
  <c r="Q678" i="21"/>
  <c r="P10" i="20"/>
  <c r="P61"/>
  <c r="P71"/>
  <c r="Q672" i="21"/>
  <c r="Q702"/>
  <c r="Q894"/>
  <c r="R94" i="20" l="1"/>
  <c r="R54"/>
  <c r="R92"/>
  <c r="R88"/>
  <c r="R20"/>
  <c r="R23"/>
  <c r="R102"/>
  <c r="R48"/>
  <c r="R101"/>
  <c r="R93"/>
  <c r="R104"/>
  <c r="R52"/>
  <c r="R62"/>
  <c r="R97"/>
  <c r="R45"/>
  <c r="R65"/>
  <c r="R91"/>
  <c r="R82"/>
  <c r="R49"/>
  <c r="R46"/>
  <c r="AA7"/>
  <c r="AD7" s="1"/>
  <c r="M3"/>
  <c r="R50"/>
  <c r="R75"/>
  <c r="R84"/>
  <c r="R53"/>
  <c r="R99"/>
  <c r="R105"/>
  <c r="R43"/>
  <c r="Q1"/>
  <c r="L1"/>
  <c r="R16"/>
  <c r="R894" i="21"/>
  <c r="R702"/>
  <c r="R672"/>
  <c r="S71" i="20"/>
  <c r="R71" s="1"/>
  <c r="O71"/>
  <c r="O61"/>
  <c r="S61"/>
  <c r="R61" s="1"/>
  <c r="O10"/>
  <c r="S10"/>
  <c r="R10" s="1"/>
  <c r="R678" i="21"/>
  <c r="S42" i="20"/>
  <c r="R42" s="1"/>
  <c r="O42"/>
  <c r="R603" i="21"/>
  <c r="S70" i="20"/>
  <c r="R70" s="1"/>
  <c r="O70"/>
  <c r="R181" i="21"/>
  <c r="R341"/>
  <c r="R705"/>
  <c r="R352"/>
  <c r="S72" i="20"/>
  <c r="R72" s="1"/>
  <c r="O72"/>
  <c r="O90"/>
  <c r="S90"/>
  <c r="R90" s="1"/>
  <c r="R88" i="21"/>
  <c r="R704"/>
  <c r="R242"/>
  <c r="R720"/>
  <c r="R707"/>
  <c r="R710"/>
  <c r="R716"/>
  <c r="O11" i="20"/>
  <c r="S11"/>
  <c r="R11" s="1"/>
  <c r="R405" i="21"/>
  <c r="R80"/>
  <c r="O36" i="20"/>
  <c r="S36"/>
  <c r="R36" s="1"/>
  <c r="R835" i="21"/>
  <c r="R895"/>
  <c r="O59" i="20"/>
  <c r="S59"/>
  <c r="R59" s="1"/>
  <c r="R1059" i="21"/>
  <c r="O8" i="20"/>
  <c r="S8"/>
  <c r="R8" s="1"/>
  <c r="R706" i="21"/>
  <c r="R30"/>
  <c r="S69" i="20"/>
  <c r="R69" s="1"/>
  <c r="O69"/>
  <c r="R257" i="21"/>
  <c r="K3" i="20"/>
  <c r="G2" i="21"/>
  <c r="G3" s="1"/>
  <c r="R47" i="20"/>
  <c r="R89"/>
  <c r="Q750" i="21"/>
  <c r="P37" i="20"/>
  <c r="Q191" i="21"/>
  <c r="Q898"/>
  <c r="Q130"/>
  <c r="Q247"/>
  <c r="P39" i="20"/>
  <c r="Q98" i="21"/>
  <c r="P80" i="20"/>
  <c r="Q905" i="21"/>
  <c r="Q310"/>
  <c r="P77" i="20"/>
  <c r="Q696" i="21"/>
  <c r="Q618"/>
  <c r="Q617"/>
  <c r="P12" i="20"/>
  <c r="Q906" i="21"/>
  <c r="Q798"/>
  <c r="Q745"/>
  <c r="Q425"/>
  <c r="Q904"/>
  <c r="P9" i="20"/>
  <c r="Q40" i="21"/>
  <c r="J21" i="20"/>
  <c r="R40" i="21" l="1"/>
  <c r="O9" i="20"/>
  <c r="S9"/>
  <c r="R9" s="1"/>
  <c r="R904" i="21"/>
  <c r="R425"/>
  <c r="R745"/>
  <c r="R798"/>
  <c r="R906"/>
  <c r="S12" i="20"/>
  <c r="R12" s="1"/>
  <c r="O12"/>
  <c r="R617" i="21"/>
  <c r="R618"/>
  <c r="R696"/>
  <c r="S77" i="20"/>
  <c r="Z6"/>
  <c r="O77"/>
  <c r="R310" i="21"/>
  <c r="R905"/>
  <c r="S80" i="20"/>
  <c r="R80" s="1"/>
  <c r="O80"/>
  <c r="R98" i="21"/>
  <c r="S39" i="20"/>
  <c r="R39" s="1"/>
  <c r="O39"/>
  <c r="R247" i="21"/>
  <c r="R130"/>
  <c r="R898"/>
  <c r="R191"/>
  <c r="O37" i="20"/>
  <c r="S37"/>
  <c r="R37" s="1"/>
  <c r="R750" i="21"/>
  <c r="R77" i="20"/>
  <c r="I21"/>
  <c r="P22"/>
  <c r="Q755" i="21"/>
  <c r="Q979"/>
  <c r="P106" i="20"/>
  <c r="Q981" i="21"/>
  <c r="Q315"/>
  <c r="P66" i="20"/>
  <c r="Q769" i="21"/>
  <c r="Q711"/>
  <c r="Q703"/>
  <c r="Q120"/>
  <c r="Q125"/>
  <c r="Q45"/>
  <c r="Q430"/>
  <c r="Q876"/>
  <c r="Q909"/>
  <c r="Q420"/>
  <c r="Q159"/>
  <c r="Q211"/>
  <c r="AA6" i="20" l="1"/>
  <c r="AD6" s="1"/>
  <c r="R211" i="21"/>
  <c r="R159"/>
  <c r="R420"/>
  <c r="R909"/>
  <c r="R876"/>
  <c r="R430"/>
  <c r="R45"/>
  <c r="R125"/>
  <c r="R120"/>
  <c r="R703"/>
  <c r="R711"/>
  <c r="R769"/>
  <c r="O66" i="20"/>
  <c r="S66"/>
  <c r="R66" s="1"/>
  <c r="R315" i="21"/>
  <c r="R981"/>
  <c r="O106" i="20"/>
  <c r="S106"/>
  <c r="AA2" s="1"/>
  <c r="AD2" s="1"/>
  <c r="Z2"/>
  <c r="R979" i="21"/>
  <c r="R755"/>
  <c r="O22" i="20"/>
  <c r="S22"/>
  <c r="R22" s="1"/>
  <c r="R106"/>
  <c r="E45" i="10"/>
  <c r="E53" s="1"/>
  <c r="E67" s="1"/>
  <c r="Q196" i="21"/>
  <c r="Q201"/>
  <c r="P35" i="20"/>
  <c r="Q440" i="21"/>
  <c r="Q788"/>
  <c r="Q783"/>
  <c r="Q1070"/>
  <c r="Q1051"/>
  <c r="J24" i="20"/>
  <c r="Q135" i="21"/>
  <c r="Q140"/>
  <c r="Q267"/>
  <c r="Q484"/>
  <c r="Q939"/>
  <c r="Q50"/>
  <c r="Q356"/>
  <c r="Q1049"/>
  <c r="R1049" l="1"/>
  <c r="R356"/>
  <c r="R50"/>
  <c r="R939"/>
  <c r="R484"/>
  <c r="R267"/>
  <c r="R140"/>
  <c r="R135"/>
  <c r="R1051"/>
  <c r="R1070"/>
  <c r="R783"/>
  <c r="R788"/>
  <c r="R440"/>
  <c r="Z3" i="20"/>
  <c r="O35"/>
  <c r="S35"/>
  <c r="AA3" s="1"/>
  <c r="R201" i="21"/>
  <c r="R196"/>
  <c r="I24" i="20"/>
  <c r="F45" i="10"/>
  <c r="F53" s="1"/>
  <c r="F67" s="1"/>
  <c r="F68" s="1"/>
  <c r="Q410" i="21"/>
  <c r="P14" i="20"/>
  <c r="Q305" i="21"/>
  <c r="Q206"/>
  <c r="Q1088"/>
  <c r="Q809"/>
  <c r="Q1062"/>
  <c r="Q93"/>
  <c r="Q504"/>
  <c r="Q1087"/>
  <c r="Q793"/>
  <c r="Q449"/>
  <c r="J17" i="20"/>
  <c r="Q252" i="21"/>
  <c r="R35" i="20" l="1"/>
  <c r="R252" i="21"/>
  <c r="R449"/>
  <c r="R793"/>
  <c r="R1087"/>
  <c r="R504"/>
  <c r="R93"/>
  <c r="R1062"/>
  <c r="R809"/>
  <c r="R1088"/>
  <c r="R206"/>
  <c r="R305"/>
  <c r="O14" i="20"/>
  <c r="S14"/>
  <c r="R14" s="1"/>
  <c r="R410" i="21"/>
  <c r="I17" i="20"/>
  <c r="G45" i="10"/>
  <c r="G53" s="1"/>
  <c r="G67" s="1"/>
  <c r="Q464" i="21"/>
  <c r="P44" i="20"/>
  <c r="Q112" i="21"/>
  <c r="Q814"/>
  <c r="Q237"/>
  <c r="Q533"/>
  <c r="Q342"/>
  <c r="Q808"/>
  <c r="Q536"/>
  <c r="Q1067"/>
  <c r="P40" i="20"/>
  <c r="Q330" i="21"/>
  <c r="R330" l="1"/>
  <c r="Z5" i="20"/>
  <c r="O40"/>
  <c r="S40"/>
  <c r="R40" s="1"/>
  <c r="R1067" i="21"/>
  <c r="R536"/>
  <c r="R808"/>
  <c r="R342"/>
  <c r="R533"/>
  <c r="R237"/>
  <c r="R814"/>
  <c r="R112"/>
  <c r="O44" i="20"/>
  <c r="S44"/>
  <c r="R44" s="1"/>
  <c r="R464" i="21"/>
  <c r="AA5" i="20"/>
  <c r="AD5" s="1"/>
  <c r="H36" i="10"/>
  <c r="G7" i="1"/>
  <c r="K7" s="1"/>
  <c r="Q560" i="21"/>
  <c r="Q555"/>
  <c r="Q347"/>
  <c r="Q1085"/>
  <c r="Q813"/>
  <c r="Q823"/>
  <c r="Q469"/>
  <c r="Q537"/>
  <c r="Q371"/>
  <c r="Q262"/>
  <c r="Q145"/>
  <c r="R145" l="1"/>
  <c r="R262"/>
  <c r="R371"/>
  <c r="R537"/>
  <c r="R469"/>
  <c r="R823"/>
  <c r="R813"/>
  <c r="R1085"/>
  <c r="R347"/>
  <c r="R555"/>
  <c r="R560"/>
  <c r="H45" i="10"/>
  <c r="H53" s="1"/>
  <c r="H67" s="1"/>
  <c r="Q325" i="21"/>
  <c r="Q320"/>
  <c r="Q829"/>
  <c r="Q834"/>
  <c r="Q545"/>
  <c r="P25" i="20"/>
  <c r="Q609" i="21"/>
  <c r="Q398"/>
  <c r="Q399"/>
  <c r="Q361"/>
  <c r="Q366"/>
  <c r="Q170"/>
  <c r="Q495"/>
  <c r="Q824"/>
  <c r="R824" l="1"/>
  <c r="R495"/>
  <c r="R170"/>
  <c r="R366"/>
  <c r="R361"/>
  <c r="R399"/>
  <c r="R398"/>
  <c r="R609"/>
  <c r="O25" i="20"/>
  <c r="S25"/>
  <c r="R25" s="1"/>
  <c r="R545" i="21"/>
  <c r="R834"/>
  <c r="R829"/>
  <c r="R320"/>
  <c r="R325"/>
  <c r="D18" i="10"/>
  <c r="D30" s="1"/>
  <c r="D68" s="1"/>
  <c r="Q381" i="21"/>
  <c r="Q391"/>
  <c r="Q519"/>
  <c r="Q987"/>
  <c r="Q833"/>
  <c r="Q828"/>
  <c r="Q499"/>
  <c r="Q509"/>
  <c r="Q216"/>
  <c r="Q415"/>
  <c r="Q774"/>
  <c r="Q856"/>
  <c r="R856" l="1"/>
  <c r="R774"/>
  <c r="R415"/>
  <c r="R216"/>
  <c r="R509"/>
  <c r="R499"/>
  <c r="R828"/>
  <c r="R833"/>
  <c r="R987"/>
  <c r="R519"/>
  <c r="R391"/>
  <c r="R381"/>
  <c r="AA196" i="5"/>
  <c r="Q610" i="21"/>
  <c r="Q607"/>
  <c r="Q929"/>
  <c r="Q227"/>
  <c r="Q606"/>
  <c r="Q435"/>
  <c r="Q886"/>
  <c r="Q474"/>
  <c r="Q838"/>
  <c r="Q1023"/>
  <c r="R1023" l="1"/>
  <c r="R838"/>
  <c r="R474"/>
  <c r="R886"/>
  <c r="R435"/>
  <c r="R606"/>
  <c r="R227"/>
  <c r="R929"/>
  <c r="R607"/>
  <c r="R610"/>
  <c r="AA197" i="5"/>
  <c r="Q857" i="21"/>
  <c r="Q920"/>
  <c r="Q644"/>
  <c r="Q934"/>
  <c r="Q1091"/>
  <c r="Q494"/>
  <c r="Q514"/>
  <c r="Q232"/>
  <c r="Q652"/>
  <c r="R652" l="1"/>
  <c r="R232"/>
  <c r="R514"/>
  <c r="R494"/>
  <c r="R1091"/>
  <c r="R934"/>
  <c r="R644"/>
  <c r="R920"/>
  <c r="R857"/>
  <c r="U219" i="5"/>
  <c r="U218"/>
  <c r="U220"/>
  <c r="F19" i="1"/>
  <c r="E19"/>
  <c r="J1" i="33"/>
  <c r="Q300" i="21"/>
  <c r="Q524"/>
  <c r="Q1090"/>
  <c r="Q960"/>
  <c r="Q680"/>
  <c r="Q570"/>
  <c r="P26" i="20"/>
  <c r="Q657" i="21"/>
  <c r="Q871"/>
  <c r="R871" l="1"/>
  <c r="R657"/>
  <c r="O26" i="20"/>
  <c r="S26"/>
  <c r="R26" s="1"/>
  <c r="R570" i="21"/>
  <c r="R680"/>
  <c r="R960"/>
  <c r="R1090"/>
  <c r="R524"/>
  <c r="R300"/>
  <c r="V220" i="5"/>
  <c r="V219"/>
  <c r="V218"/>
  <c r="G8" i="1"/>
  <c r="K8" s="1"/>
  <c r="Q691" i="21"/>
  <c r="Q803"/>
  <c r="P15" i="20"/>
  <c r="Q335" i="21"/>
  <c r="Q588"/>
  <c r="Q593"/>
  <c r="Q881"/>
  <c r="Q990"/>
  <c r="Q575"/>
  <c r="R575" l="1"/>
  <c r="R990"/>
  <c r="R881"/>
  <c r="R593"/>
  <c r="R588"/>
  <c r="R335"/>
  <c r="S15" i="20"/>
  <c r="R15" s="1"/>
  <c r="O15"/>
  <c r="R803" i="21"/>
  <c r="R691"/>
  <c r="G19" i="1"/>
  <c r="Q715" i="21"/>
  <c r="Q712"/>
  <c r="Q993"/>
  <c r="Q376"/>
  <c r="Q580"/>
  <c r="Q887"/>
  <c r="Q598"/>
  <c r="P13" i="20"/>
  <c r="O13" l="1"/>
  <c r="S13"/>
  <c r="R13" s="1"/>
  <c r="R598" i="21"/>
  <c r="R887"/>
  <c r="R580"/>
  <c r="R376"/>
  <c r="R993"/>
  <c r="R712"/>
  <c r="R715"/>
  <c r="AA191" i="5"/>
  <c r="W216"/>
  <c r="AA194"/>
  <c r="E18" i="10"/>
  <c r="E30" s="1"/>
  <c r="E68" s="1"/>
  <c r="E55" i="13"/>
  <c r="F54" s="1"/>
  <c r="Q919" i="21"/>
  <c r="Q924"/>
  <c r="Q386"/>
  <c r="Q725"/>
  <c r="Q611"/>
  <c r="Q662"/>
  <c r="Q1004"/>
  <c r="R1004" l="1"/>
  <c r="R662"/>
  <c r="R611"/>
  <c r="R725"/>
  <c r="R386"/>
  <c r="R924"/>
  <c r="R919"/>
  <c r="W217" i="5"/>
  <c r="V221" s="1"/>
  <c r="Q686" i="21"/>
  <c r="Q730"/>
  <c r="Q1034"/>
  <c r="Q1029"/>
  <c r="Q639"/>
  <c r="Q401"/>
  <c r="Q949"/>
  <c r="R949" l="1"/>
  <c r="R401"/>
  <c r="R639"/>
  <c r="R1029"/>
  <c r="R1034"/>
  <c r="R730"/>
  <c r="R686"/>
  <c r="F55" i="13"/>
  <c r="G54" s="1"/>
  <c r="Q454" i="21"/>
  <c r="Q1043"/>
  <c r="Q843"/>
  <c r="Q959"/>
  <c r="Q667"/>
  <c r="Q709"/>
  <c r="J18" i="20"/>
  <c r="R709" i="21" l="1"/>
  <c r="R667"/>
  <c r="R959"/>
  <c r="R843"/>
  <c r="R1043"/>
  <c r="R454"/>
  <c r="X4" i="20"/>
  <c r="X8" s="1"/>
  <c r="I18"/>
  <c r="I17" i="4"/>
  <c r="Q701" i="21"/>
  <c r="Q866"/>
  <c r="Q459"/>
  <c r="Q735"/>
  <c r="Q964"/>
  <c r="Q1061"/>
  <c r="R1061" l="1"/>
  <c r="R964"/>
  <c r="R735"/>
  <c r="R459"/>
  <c r="R866"/>
  <c r="R701"/>
  <c r="J1" i="20"/>
  <c r="J3" s="1"/>
  <c r="I1"/>
  <c r="I3" i="4"/>
  <c r="K3" s="1"/>
  <c r="Q489" i="21"/>
  <c r="Q479"/>
  <c r="Q989"/>
  <c r="Q760"/>
  <c r="Q1105"/>
  <c r="Q740"/>
  <c r="Q969"/>
  <c r="R969" l="1"/>
  <c r="R740"/>
  <c r="R1105"/>
  <c r="R760"/>
  <c r="R989"/>
  <c r="R479"/>
  <c r="R489"/>
  <c r="V2"/>
  <c r="N36" i="4"/>
  <c r="M29"/>
  <c r="Q861" i="21"/>
  <c r="Q768"/>
  <c r="Q532"/>
  <c r="Q986"/>
  <c r="P30" i="20"/>
  <c r="Q998" i="21"/>
  <c r="R998" l="1"/>
  <c r="S30" i="20"/>
  <c r="R30" s="1"/>
  <c r="O30"/>
  <c r="R986" i="21"/>
  <c r="R532"/>
  <c r="R768"/>
  <c r="R861"/>
  <c r="U2"/>
  <c r="U3" s="1"/>
  <c r="O36" i="4"/>
  <c r="O29" s="1"/>
  <c r="O1" s="1"/>
  <c r="N29"/>
  <c r="Q1066" i="21"/>
  <c r="Q773"/>
  <c r="Q1003"/>
  <c r="Q550"/>
  <c r="Q903"/>
  <c r="R903" l="1"/>
  <c r="R550"/>
  <c r="R1003"/>
  <c r="R773"/>
  <c r="R1066"/>
  <c r="V3"/>
  <c r="I17" i="36"/>
  <c r="Q565" i="21"/>
  <c r="Q1038"/>
  <c r="Q1030"/>
  <c r="Q1035"/>
  <c r="Q1013"/>
  <c r="Q1084"/>
  <c r="R1084" l="1"/>
  <c r="R1013"/>
  <c r="R1035"/>
  <c r="R1030"/>
  <c r="R1038"/>
  <c r="R565"/>
  <c r="I1" i="36"/>
  <c r="I3" s="1"/>
  <c r="O17"/>
  <c r="R17" s="1"/>
  <c r="Q613" i="21"/>
  <c r="Q608"/>
  <c r="Q612"/>
  <c r="P24" i="20"/>
  <c r="Q1044" i="21"/>
  <c r="P21" i="20"/>
  <c r="Q1072" i="21"/>
  <c r="R1072" l="1"/>
  <c r="S21" i="20"/>
  <c r="R21" s="1"/>
  <c r="O21"/>
  <c r="R1044" i="21"/>
  <c r="O24" i="20"/>
  <c r="S24"/>
  <c r="R24" s="1"/>
  <c r="R612" i="21"/>
  <c r="R608"/>
  <c r="R613"/>
  <c r="O1" i="36"/>
  <c r="O139" i="7"/>
  <c r="O217" s="1"/>
  <c r="S11"/>
  <c r="S139" s="1"/>
  <c r="S217" s="1"/>
  <c r="R11"/>
  <c r="R139" s="1"/>
  <c r="R217" s="1"/>
  <c r="Q1063" i="21"/>
  <c r="Q629"/>
  <c r="Q1110"/>
  <c r="R1110" l="1"/>
  <c r="R629"/>
  <c r="R1063"/>
  <c r="W11" i="7"/>
  <c r="V11"/>
  <c r="Q663" i="21"/>
  <c r="P17" i="20"/>
  <c r="Q1100" i="21"/>
  <c r="R1100" l="1"/>
  <c r="O17" i="20"/>
  <c r="S17"/>
  <c r="R17" s="1"/>
  <c r="R663" i="21"/>
  <c r="I11" i="8"/>
  <c r="I139" s="1"/>
  <c r="I217" s="1"/>
  <c r="G8" i="10"/>
  <c r="H11" i="8"/>
  <c r="H139" s="1"/>
  <c r="H217" s="1"/>
  <c r="AA11" i="7"/>
  <c r="AA139" s="1"/>
  <c r="W139"/>
  <c r="W217" s="1"/>
  <c r="I31" i="4"/>
  <c r="V139" i="7"/>
  <c r="V217" s="1"/>
  <c r="Q673" i="21"/>
  <c r="Q1115"/>
  <c r="Q1120"/>
  <c r="R1120" l="1"/>
  <c r="R1115"/>
  <c r="R673"/>
  <c r="I221" i="8"/>
  <c r="V222" i="7"/>
  <c r="I220" i="8"/>
  <c r="P220" s="1"/>
  <c r="W220" s="1"/>
  <c r="G55" i="13"/>
  <c r="G56" s="1"/>
  <c r="L11" i="8"/>
  <c r="M11"/>
  <c r="G18" i="10"/>
  <c r="G30" s="1"/>
  <c r="G68" s="1"/>
  <c r="P29" i="20"/>
  <c r="Q714" i="21"/>
  <c r="Q708"/>
  <c r="R708" l="1"/>
  <c r="R714"/>
  <c r="O29" i="20"/>
  <c r="S29"/>
  <c r="R29" s="1"/>
  <c r="R11" i="8"/>
  <c r="H54" i="13"/>
  <c r="H9" i="10"/>
  <c r="Q778" i="21"/>
  <c r="R778" l="1"/>
  <c r="I8" i="13"/>
  <c r="E13"/>
  <c r="Q810" i="21"/>
  <c r="R810" l="1"/>
  <c r="I6" i="13"/>
  <c r="E23"/>
  <c r="E53" s="1"/>
  <c r="E56" s="1"/>
  <c r="Q818" i="21"/>
  <c r="R818" l="1"/>
  <c r="D6" i="13"/>
  <c r="I23"/>
  <c r="I53" s="1"/>
  <c r="F13"/>
  <c r="F23" s="1"/>
  <c r="F53" s="1"/>
  <c r="F56" s="1"/>
  <c r="D13"/>
  <c r="Q848" i="21"/>
  <c r="R848" l="1"/>
  <c r="M1"/>
  <c r="N617"/>
  <c r="D23" i="13"/>
  <c r="D53" s="1"/>
  <c r="J14"/>
  <c r="J13" s="1"/>
  <c r="J23" s="1"/>
  <c r="N139" i="8"/>
  <c r="N217" s="1"/>
  <c r="O221" s="1"/>
  <c r="S11"/>
  <c r="Q944" i="21"/>
  <c r="R944" l="1"/>
  <c r="Q1"/>
  <c r="R1"/>
  <c r="O617"/>
  <c r="N1"/>
  <c r="V11" i="8"/>
  <c r="W11"/>
  <c r="P18" i="20"/>
  <c r="Z4" l="1"/>
  <c r="Z8" s="1"/>
  <c r="S18"/>
  <c r="S1" s="1"/>
  <c r="P1"/>
  <c r="R2" i="21" s="1"/>
  <c r="O18" i="20"/>
  <c r="O1" s="1"/>
  <c r="R3" i="21"/>
  <c r="AA4" i="20"/>
  <c r="P617" i="21"/>
  <c r="P1" s="1"/>
  <c r="O1"/>
  <c r="M60" i="40"/>
  <c r="J12" i="1"/>
  <c r="K12" s="1"/>
  <c r="J58" i="40"/>
  <c r="J60" s="1"/>
  <c r="H8" i="10"/>
  <c r="AA11" i="8"/>
  <c r="R18" i="20" l="1"/>
  <c r="R1" s="1"/>
  <c r="AD4"/>
  <c r="AA8"/>
  <c r="N60" i="40"/>
  <c r="I55" i="13"/>
  <c r="I56" s="1"/>
  <c r="H55"/>
  <c r="H56" s="1"/>
  <c r="O219" i="8" l="1"/>
  <c r="V219" s="1"/>
  <c r="O218" i="7"/>
  <c r="V218" s="1"/>
  <c r="O218" i="8"/>
  <c r="V218" s="1"/>
  <c r="O220" i="6"/>
  <c r="V220" s="1"/>
  <c r="O219"/>
  <c r="V219" s="1"/>
  <c r="O220" i="7"/>
  <c r="V220" s="1"/>
  <c r="O220" i="8"/>
  <c r="V220" s="1"/>
  <c r="O219" i="7"/>
  <c r="V219" s="1"/>
  <c r="O218" i="6"/>
  <c r="V218" s="1"/>
  <c r="H3" i="33"/>
  <c r="K57" i="8"/>
  <c r="H4" i="33" l="1"/>
  <c r="M219" i="6" s="1"/>
  <c r="T219" s="1"/>
  <c r="AA219" s="1"/>
  <c r="M57" i="8"/>
  <c r="M139" s="1"/>
  <c r="M217" s="1"/>
  <c r="G107" i="40"/>
  <c r="P2" i="20"/>
  <c r="P3" s="1"/>
  <c r="G4" i="33"/>
  <c r="K139" i="8"/>
  <c r="K217" s="1"/>
  <c r="K221" s="1"/>
  <c r="L57"/>
  <c r="M220" i="7" l="1"/>
  <c r="T220" s="1"/>
  <c r="AA220" s="1"/>
  <c r="M220" i="8"/>
  <c r="T220" s="1"/>
  <c r="AA220" s="1"/>
  <c r="M219" i="5"/>
  <c r="T219" s="1"/>
  <c r="AA219" s="1"/>
  <c r="M219" i="8"/>
  <c r="T219" s="1"/>
  <c r="AA219" s="1"/>
  <c r="M218" i="7"/>
  <c r="T218" s="1"/>
  <c r="AA218" s="1"/>
  <c r="M218" i="6"/>
  <c r="T218" s="1"/>
  <c r="AA218" s="1"/>
  <c r="M218" i="8"/>
  <c r="T218" s="1"/>
  <c r="AA218" s="1"/>
  <c r="M219" i="7"/>
  <c r="T219" s="1"/>
  <c r="AA219" s="1"/>
  <c r="M218" i="5"/>
  <c r="T218" s="1"/>
  <c r="AA218" s="1"/>
  <c r="M220" i="6"/>
  <c r="T220" s="1"/>
  <c r="AA220" s="1"/>
  <c r="M220" i="5"/>
  <c r="T220" s="1"/>
  <c r="AA220" s="1"/>
  <c r="S57" i="8"/>
  <c r="S139" s="1"/>
  <c r="S217" s="1"/>
  <c r="R57"/>
  <c r="L139"/>
  <c r="L217" s="1"/>
  <c r="L219"/>
  <c r="S219" s="1"/>
  <c r="Z219" s="1"/>
  <c r="L218" i="6"/>
  <c r="S218" s="1"/>
  <c r="Z218" s="1"/>
  <c r="L220" i="7"/>
  <c r="S220" s="1"/>
  <c r="Z220" s="1"/>
  <c r="L220" i="6"/>
  <c r="S220" s="1"/>
  <c r="Z220" s="1"/>
  <c r="L219"/>
  <c r="S219" s="1"/>
  <c r="Z219" s="1"/>
  <c r="L220" i="8"/>
  <c r="S220" s="1"/>
  <c r="Z220" s="1"/>
  <c r="L218" i="7"/>
  <c r="S218" s="1"/>
  <c r="Z218" s="1"/>
  <c r="L219"/>
  <c r="S219" s="1"/>
  <c r="Z219" s="1"/>
  <c r="L218" i="8"/>
  <c r="S218" s="1"/>
  <c r="Z218" s="1"/>
  <c r="L219" i="5"/>
  <c r="S219" s="1"/>
  <c r="Z219" s="1"/>
  <c r="L218"/>
  <c r="S218" s="1"/>
  <c r="Z218" s="1"/>
  <c r="L220"/>
  <c r="S220" s="1"/>
  <c r="Z220" s="1"/>
  <c r="K107" i="40"/>
  <c r="G108"/>
  <c r="K108" s="1"/>
  <c r="M221" i="8"/>
  <c r="W57" l="1"/>
  <c r="W139" s="1"/>
  <c r="W217" s="1"/>
  <c r="V57"/>
  <c r="R139"/>
  <c r="R217" s="1"/>
  <c r="S221" s="1"/>
  <c r="M113" i="40" l="1"/>
  <c r="V139" i="8"/>
  <c r="V217" s="1"/>
  <c r="S2" i="20"/>
  <c r="S3" s="1"/>
  <c r="G113" i="40"/>
  <c r="K113" s="1"/>
  <c r="H13" i="10"/>
  <c r="H18" s="1"/>
  <c r="H30" s="1"/>
  <c r="H68" s="1"/>
  <c r="AC3" i="20"/>
  <c r="AA57" i="8"/>
  <c r="AA139" s="1"/>
  <c r="W222"/>
  <c r="AD3" i="20" l="1"/>
  <c r="AC8"/>
  <c r="AD8" s="1"/>
  <c r="N113" i="40"/>
</calcChain>
</file>

<file path=xl/comments1.xml><?xml version="1.0" encoding="utf-8"?>
<comments xmlns="http://schemas.openxmlformats.org/spreadsheetml/2006/main">
  <authors>
    <author>bayarmaa.a</author>
  </authors>
  <commentList>
    <comment ref="C21" authorId="0">
      <text>
        <r>
          <rPr>
            <b/>
            <sz val="9"/>
            <color indexed="81"/>
            <rFont val="Tahoma"/>
            <family val="2"/>
          </rPr>
          <t>bayarmaa.a:</t>
        </r>
        <r>
          <rPr>
            <sz val="9"/>
            <color indexed="81"/>
            <rFont val="Tahoma"/>
            <family val="2"/>
          </rPr>
          <t xml:space="preserve">
Засах данс</t>
        </r>
      </text>
    </comment>
  </commentList>
</comments>
</file>

<file path=xl/comments2.xml><?xml version="1.0" encoding="utf-8"?>
<comments xmlns="http://schemas.openxmlformats.org/spreadsheetml/2006/main">
  <authors>
    <author>user</author>
  </authors>
  <commentList>
    <comment ref="P4" authorId="0">
      <text>
        <r>
          <rPr>
            <b/>
            <sz val="9"/>
            <color indexed="81"/>
            <rFont val="Tahoma"/>
            <family val="2"/>
          </rPr>
          <t xml:space="preserve">user:Эхлэх огноог гараас оруулж өгөх </t>
        </r>
        <r>
          <rPr>
            <sz val="9"/>
            <color indexed="81"/>
            <rFont val="Tahoma"/>
            <family val="2"/>
          </rPr>
          <t xml:space="preserve">
</t>
        </r>
      </text>
    </comment>
    <comment ref="S4" authorId="0">
      <text>
        <r>
          <rPr>
            <b/>
            <sz val="9"/>
            <color indexed="81"/>
            <rFont val="Tahoma"/>
            <family val="2"/>
          </rPr>
          <t xml:space="preserve">user:Дуусах огноог гараас оруулж өгөх </t>
        </r>
        <r>
          <rPr>
            <sz val="9"/>
            <color indexed="81"/>
            <rFont val="Tahoma"/>
            <family val="2"/>
          </rPr>
          <t xml:space="preserve">
</t>
        </r>
      </text>
    </comment>
  </commentList>
</comments>
</file>

<file path=xl/comments3.xml><?xml version="1.0" encoding="utf-8"?>
<comments xmlns="http://schemas.openxmlformats.org/spreadsheetml/2006/main">
  <authors>
    <author>user</author>
  </authors>
  <commentList>
    <comment ref="J2" authorId="0">
      <text>
        <r>
          <rPr>
            <sz val="9"/>
            <color indexed="81"/>
            <rFont val="Tahoma"/>
            <family val="2"/>
          </rPr>
          <t xml:space="preserve">Хувиарлагдах зардалын дүнг оруулж өгвөл төсөвт өртөгийн дүнд харьцуулж хувиарлах 
</t>
        </r>
      </text>
    </comment>
    <comment ref="J18" authorId="0">
      <text>
        <r>
          <rPr>
            <sz val="9"/>
            <color indexed="81"/>
            <rFont val="Tahoma"/>
            <family val="2"/>
          </rPr>
          <t xml:space="preserve">Хувиарлагдах зардалын дүнг оруулж өгвөл төсөвт өртөгийн дүнд харьцуулж хувиарлах 
</t>
        </r>
      </text>
    </comment>
    <comment ref="J31" authorId="0">
      <text>
        <r>
          <rPr>
            <sz val="9"/>
            <color indexed="81"/>
            <rFont val="Tahoma"/>
            <family val="2"/>
          </rPr>
          <t xml:space="preserve">Хувиарлагдах зардалын дүнг оруулж өгвөл төсөвт өртөгийн дүнд харьцуулж хувиарлах 
</t>
        </r>
      </text>
    </comment>
    <comment ref="J52" authorId="0">
      <text>
        <r>
          <rPr>
            <sz val="9"/>
            <color indexed="81"/>
            <rFont val="Tahoma"/>
            <family val="2"/>
          </rPr>
          <t xml:space="preserve">Хувиарлагдах зардалын дүнг оруулж өгвөл төсөвт өртөгийн дүнд харьцуулж хувиарлах 
</t>
        </r>
      </text>
    </comment>
  </commentList>
</comments>
</file>

<file path=xl/sharedStrings.xml><?xml version="1.0" encoding="utf-8"?>
<sst xmlns="http://schemas.openxmlformats.org/spreadsheetml/2006/main" count="10791" uniqueCount="2768">
  <si>
    <t>Код</t>
  </si>
  <si>
    <t>№</t>
  </si>
  <si>
    <t xml:space="preserve">Дансны нэр </t>
  </si>
  <si>
    <t xml:space="preserve">Дт </t>
  </si>
  <si>
    <t xml:space="preserve">Кт </t>
  </si>
  <si>
    <t xml:space="preserve">Дүн </t>
  </si>
  <si>
    <t xml:space="preserve">Бүгд дүн </t>
  </si>
  <si>
    <t xml:space="preserve">Код </t>
  </si>
  <si>
    <t>ДТ</t>
  </si>
  <si>
    <t>КТ</t>
  </si>
  <si>
    <t>С2</t>
  </si>
  <si>
    <t>С1</t>
  </si>
  <si>
    <t>д/д</t>
  </si>
  <si>
    <t>Дансны</t>
  </si>
  <si>
    <t>Эхний үлдэгдэл</t>
  </si>
  <si>
    <t>Эцсийн үлдэгдэл</t>
  </si>
  <si>
    <t>дугаар</t>
  </si>
  <si>
    <t>Дебет</t>
  </si>
  <si>
    <t>Кредит</t>
  </si>
  <si>
    <t>tax</t>
  </si>
  <si>
    <t>(sum)</t>
  </si>
  <si>
    <t>Дүн</t>
  </si>
  <si>
    <t>Нийт орлого</t>
  </si>
  <si>
    <t>Нийт зардал</t>
  </si>
  <si>
    <t>Нийт ашиг</t>
  </si>
  <si>
    <t>Валют</t>
  </si>
  <si>
    <t>Ханш</t>
  </si>
  <si>
    <t>нэр</t>
  </si>
  <si>
    <t>төрөл</t>
  </si>
  <si>
    <t>Валютын</t>
  </si>
  <si>
    <t>USD</t>
  </si>
  <si>
    <t>RUB</t>
  </si>
  <si>
    <t>MNT</t>
  </si>
  <si>
    <t>CNY</t>
  </si>
  <si>
    <t xml:space="preserve">Ерөнхий журнал </t>
  </si>
  <si>
    <t>Шалгах баланс</t>
  </si>
  <si>
    <t>Тохируулах бичилт</t>
  </si>
  <si>
    <t xml:space="preserve">Орлогын тайлан </t>
  </si>
  <si>
    <t>Баланс</t>
  </si>
  <si>
    <t>Орлого үр дүнгийн тайлангийн ДҮН</t>
  </si>
  <si>
    <t>C1</t>
  </si>
  <si>
    <t>АВЛАГА</t>
  </si>
  <si>
    <t>ӨГЛӨГ</t>
  </si>
  <si>
    <t>Тайлант үе_</t>
  </si>
  <si>
    <t>САНХҮҮГИЙН БАЙДЛЫН ТАЙЛАН</t>
  </si>
  <si>
    <t>(Аж ахуйн нэгжийн нэр )</t>
  </si>
  <si>
    <t>Тайлант үе:</t>
  </si>
  <si>
    <t>/төгрөгөөр/</t>
  </si>
  <si>
    <t>Мөрийн дугаар</t>
  </si>
  <si>
    <t>Үзүүлэлт</t>
  </si>
  <si>
    <t>1</t>
  </si>
  <si>
    <t xml:space="preserve"> ХӨРӨНГӨ</t>
  </si>
  <si>
    <t>1.1</t>
  </si>
  <si>
    <t xml:space="preserve">   Эргэлтийн хөрөнгө</t>
  </si>
  <si>
    <t>1.1.1</t>
  </si>
  <si>
    <t xml:space="preserve">     Мөнгө, түүнтэй адилтгах хөрөнгө</t>
  </si>
  <si>
    <t>1.1.2</t>
  </si>
  <si>
    <t xml:space="preserve">     Дансны авлага</t>
  </si>
  <si>
    <t>1.1.3</t>
  </si>
  <si>
    <t xml:space="preserve">     Татвар, НДШ-ийн авлага</t>
  </si>
  <si>
    <t>1.1.4</t>
  </si>
  <si>
    <t xml:space="preserve">     Бусад авлага</t>
  </si>
  <si>
    <t>1.1.5</t>
  </si>
  <si>
    <t xml:space="preserve">     Бусад санхүүгийн хөрөнгө</t>
  </si>
  <si>
    <t>1.1.6</t>
  </si>
  <si>
    <t xml:space="preserve">     Бараа материал</t>
  </si>
  <si>
    <t>1.1.7</t>
  </si>
  <si>
    <t xml:space="preserve">     Урьдчилж төлсөн зардал тооцоо</t>
  </si>
  <si>
    <t>1.1.8</t>
  </si>
  <si>
    <t xml:space="preserve">     Бусад эргэлтийн хөрөнгө</t>
  </si>
  <si>
    <t>1.1.9</t>
  </si>
  <si>
    <t xml:space="preserve">     Борлуулах зорилгоор эзэмшиж буй эргэлтийн бус хөрөнгө (борлуулах бүлэг хөрөнгө)</t>
  </si>
  <si>
    <t>1.1.10</t>
  </si>
  <si>
    <t xml:space="preserve">     ...</t>
  </si>
  <si>
    <t>1.1.11</t>
  </si>
  <si>
    <t xml:space="preserve">   Эргэлтийн хөрөнгийн дүн</t>
  </si>
  <si>
    <t>1.2</t>
  </si>
  <si>
    <t xml:space="preserve">   Эргэлтийн бус хөрөнгө</t>
  </si>
  <si>
    <t>1.2.1</t>
  </si>
  <si>
    <t xml:space="preserve">     Үндсэн хөрөнгө</t>
  </si>
  <si>
    <t>1.2.2</t>
  </si>
  <si>
    <t>1.2.3</t>
  </si>
  <si>
    <t xml:space="preserve">     Биологийн хөрөнгө</t>
  </si>
  <si>
    <t>1.2.4</t>
  </si>
  <si>
    <t xml:space="preserve">     Урт хугацаат хөрөнгө оруулалт</t>
  </si>
  <si>
    <t>1.2.5</t>
  </si>
  <si>
    <t xml:space="preserve">     Хайгуул ба үнэлгээний хөрөнгө</t>
  </si>
  <si>
    <t>1.2.6</t>
  </si>
  <si>
    <t xml:space="preserve">     Хойшлогдсон татварын хөрөнгө</t>
  </si>
  <si>
    <t>1.2.7</t>
  </si>
  <si>
    <t xml:space="preserve">     Хөрөнгө оруулалтын зориулалттай үл хөдлөх хөрөнгө</t>
  </si>
  <si>
    <t>1.2.8</t>
  </si>
  <si>
    <t xml:space="preserve">     Бусад эргэлтийн бус хөрөнгө</t>
  </si>
  <si>
    <t>1.2.9</t>
  </si>
  <si>
    <t xml:space="preserve">Дуусаагүй барилга </t>
  </si>
  <si>
    <t>1.2.10</t>
  </si>
  <si>
    <t xml:space="preserve">   Эргэлтийн бус хөрөнгийн дүн</t>
  </si>
  <si>
    <t>1.3</t>
  </si>
  <si>
    <t xml:space="preserve"> НИЙТ ХӨРӨНГИЙН ДҮН</t>
  </si>
  <si>
    <t>2</t>
  </si>
  <si>
    <t xml:space="preserve"> ӨР ТӨЛБӨР БА ЭЗДИЙН ӨМЧ</t>
  </si>
  <si>
    <t>2.1</t>
  </si>
  <si>
    <t xml:space="preserve">   ӨР ТӨЛБӨР</t>
  </si>
  <si>
    <t>2.1.1</t>
  </si>
  <si>
    <t xml:space="preserve">   Богино хугацаат өр төлбөр</t>
  </si>
  <si>
    <t>2.1.1.1</t>
  </si>
  <si>
    <t xml:space="preserve">      Дансны өглөг</t>
  </si>
  <si>
    <t>2.1.1.2</t>
  </si>
  <si>
    <t xml:space="preserve">      Цалингийн өглөг</t>
  </si>
  <si>
    <t>2.1.1.3</t>
  </si>
  <si>
    <t xml:space="preserve">      Татварын өр</t>
  </si>
  <si>
    <t>2.1.1.4</t>
  </si>
  <si>
    <t xml:space="preserve">      НДШ-ийн өглөг</t>
  </si>
  <si>
    <t>2.1.1.5</t>
  </si>
  <si>
    <t xml:space="preserve">      Богино хугацаат зээл</t>
  </si>
  <si>
    <t>2.1.1.6</t>
  </si>
  <si>
    <t xml:space="preserve">      Хүүний өглөг</t>
  </si>
  <si>
    <t>2.1.1.7</t>
  </si>
  <si>
    <t xml:space="preserve">      Ногдол ашгийн өглөг</t>
  </si>
  <si>
    <t>2.1.1.8</t>
  </si>
  <si>
    <t xml:space="preserve">      Урьдчилж орсон орлого</t>
  </si>
  <si>
    <t>2.1.1.9</t>
  </si>
  <si>
    <t xml:space="preserve">      Нөөц /өр төлбөр/</t>
  </si>
  <si>
    <t>2.1.1.10</t>
  </si>
  <si>
    <t xml:space="preserve">      Бусад богино хугацаат өр төлбөр</t>
  </si>
  <si>
    <t>2.1.1.11</t>
  </si>
  <si>
    <t>Борлуулах зорилгоор эзэмшиж буй эргэлтийн бус хөрөнгө (борлуулах бүлэг хөрөнгө )- нд хамаарах өр төлбөр</t>
  </si>
  <si>
    <t>2.1.1.13</t>
  </si>
  <si>
    <t xml:space="preserve">   Богино хугацаат өр төлбөрийн дүн</t>
  </si>
  <si>
    <t>2.1.2</t>
  </si>
  <si>
    <t xml:space="preserve">   Урт хугацаат өр төлбөр</t>
  </si>
  <si>
    <t>2.1.2.1</t>
  </si>
  <si>
    <t xml:space="preserve">      Урт хугацаат  зээл</t>
  </si>
  <si>
    <t>2.1.2.2</t>
  </si>
  <si>
    <t>2.1.2.3</t>
  </si>
  <si>
    <t xml:space="preserve">      Хойшлогдсон татварын өр</t>
  </si>
  <si>
    <t>2.1.2.4</t>
  </si>
  <si>
    <t xml:space="preserve">      Бусад урт хугацаат өр төлбөр</t>
  </si>
  <si>
    <t>2.1.2.5</t>
  </si>
  <si>
    <t xml:space="preserve">      ...</t>
  </si>
  <si>
    <t>2.1.2.6</t>
  </si>
  <si>
    <t xml:space="preserve">   Урт хугацаат өр төлбөрийн дүн</t>
  </si>
  <si>
    <t>2.2</t>
  </si>
  <si>
    <t xml:space="preserve">   Өр төлбөрийн нийт дүн</t>
  </si>
  <si>
    <t>2.3</t>
  </si>
  <si>
    <t xml:space="preserve">   Эздийн өмч</t>
  </si>
  <si>
    <t>2.3.1</t>
  </si>
  <si>
    <t xml:space="preserve">      Өмч:                        -  Төрийн өмч</t>
  </si>
  <si>
    <t>2.3.2</t>
  </si>
  <si>
    <t xml:space="preserve">                                       -  Хувийн өмч</t>
  </si>
  <si>
    <t>2.3.3</t>
  </si>
  <si>
    <t xml:space="preserve">                                       -  Хувьцаат өр төлбөр</t>
  </si>
  <si>
    <t>2.3.4</t>
  </si>
  <si>
    <t xml:space="preserve">      Халаасны хувьцаа</t>
  </si>
  <si>
    <t>2.3.5</t>
  </si>
  <si>
    <t xml:space="preserve">      Нэмж төлөгдсөн капитал</t>
  </si>
  <si>
    <t>2.3.6</t>
  </si>
  <si>
    <t xml:space="preserve">      Хөрөнгийн дахин үнэлгээний нэмэгдэл</t>
  </si>
  <si>
    <t>2.3.7</t>
  </si>
  <si>
    <t xml:space="preserve">      Гадаад валютын хөрвүүлэлтийн нөөц</t>
  </si>
  <si>
    <t>2.3.8</t>
  </si>
  <si>
    <t xml:space="preserve">      Эздийн өмчийн бусад хэсэг</t>
  </si>
  <si>
    <t>2.3.9</t>
  </si>
  <si>
    <t xml:space="preserve">      Хуримтлагдсан ашиг:</t>
  </si>
  <si>
    <t>2.3.10</t>
  </si>
  <si>
    <t>- Өмнөх үеийн</t>
  </si>
  <si>
    <t>2.3.11</t>
  </si>
  <si>
    <t>- Тайлант үеийн</t>
  </si>
  <si>
    <t>2.3.12</t>
  </si>
  <si>
    <t xml:space="preserve">   Эздийн өмчийн дүн</t>
  </si>
  <si>
    <t>2.4</t>
  </si>
  <si>
    <t>3</t>
  </si>
  <si>
    <t>4</t>
  </si>
  <si>
    <t>5</t>
  </si>
  <si>
    <t>6</t>
  </si>
  <si>
    <t>Өмчийн өөрчлөлтийн тайлан</t>
  </si>
  <si>
    <t>Өмч</t>
  </si>
  <si>
    <t>Халаасны хувьцаа</t>
  </si>
  <si>
    <t>Нэмж төлөгдсөн капитал</t>
  </si>
  <si>
    <t>Хөрөнгийн дахин үнэлгээний нөөц</t>
  </si>
  <si>
    <t>Гадаад валютын хөрвүүлэлтийн нөөц</t>
  </si>
  <si>
    <t>Эздийн өмчийн бусад хэсэг</t>
  </si>
  <si>
    <t>Хуримтлагдсан ашиг /алдагдал/</t>
  </si>
  <si>
    <t>Нийт дүн</t>
  </si>
  <si>
    <t>Нягтлан бодох бүртгэлийн бодлогын өөрчлөлтийн нөлөө, алдааны залруулга</t>
  </si>
  <si>
    <t>Залруулсан үлдэгдэл</t>
  </si>
  <si>
    <t>Бусад дэлгэрэнгүй орлого</t>
  </si>
  <si>
    <t>Өмчид гарсан өөрчлөлт</t>
  </si>
  <si>
    <t>Зарласан ногдол ашиг</t>
  </si>
  <si>
    <t>Дахин үнэлгээний нэмэгдлийн хэрэгжсэн дүн</t>
  </si>
  <si>
    <t>Мөнгөн гүйлгээний тайлан</t>
  </si>
  <si>
    <t>ҮЗҮҮЛЭЛТ</t>
  </si>
  <si>
    <t xml:space="preserve">  Үндсэн үйл ажиллагааны мөнгөн гүйлгээ</t>
  </si>
  <si>
    <t xml:space="preserve">  Мөнгөн орлогын дүн (+)</t>
  </si>
  <si>
    <t xml:space="preserve">        Бараа борлуулсан, үйлчилгээ үзүүлсэний орлого</t>
  </si>
  <si>
    <t xml:space="preserve">        Эрхийн шимтгэл, хураамж, төлбөрийн орлого</t>
  </si>
  <si>
    <t xml:space="preserve">        Даатгалын нөхвөрөөс хүлээн авсан мөнгө</t>
  </si>
  <si>
    <t xml:space="preserve">        Буцаан авсан албан татвар</t>
  </si>
  <si>
    <t xml:space="preserve">        Татаас, санхүүжилтийн орлого</t>
  </si>
  <si>
    <t xml:space="preserve">        Бусад мөнгөн орлого</t>
  </si>
  <si>
    <t xml:space="preserve">  Мөнгөн зарлагын дүн (-)</t>
  </si>
  <si>
    <t xml:space="preserve">        Ажиллагчдад төлсөн</t>
  </si>
  <si>
    <t xml:space="preserve">        Нийгмийн даатгалын байгууллагад төлсөн</t>
  </si>
  <si>
    <t xml:space="preserve">        Бараа материал худалдан авахад төлсөн</t>
  </si>
  <si>
    <t xml:space="preserve">        Ашиглалтын зардалд төлсөн</t>
  </si>
  <si>
    <t xml:space="preserve">        Түлш, шатахуун, тээврийн хөлс, сэлбэг хэрэгсэлд төлсөн</t>
  </si>
  <si>
    <t xml:space="preserve">        Хүүний төлбөрт төлсөн</t>
  </si>
  <si>
    <t xml:space="preserve">        Татварын байгууллагад төлсөн</t>
  </si>
  <si>
    <t xml:space="preserve">        Даатгалын төлбөрт төлсөн</t>
  </si>
  <si>
    <t xml:space="preserve">        Бусад мөнгөн зарлага</t>
  </si>
  <si>
    <t xml:space="preserve">  Үндсэн үйл ажиллагааны цэвэр мөнгөн гүйлгээний дүн</t>
  </si>
  <si>
    <t xml:space="preserve">  Хөрөнгө оруулалтын үйл ажиллагааны мөнгөн гүйлгээ</t>
  </si>
  <si>
    <t xml:space="preserve">        Үндсэн хөрөнгө борлуулсаны орлого</t>
  </si>
  <si>
    <t xml:space="preserve">        Биет бус хөрөнгө борлуулсаны орлого</t>
  </si>
  <si>
    <t>2.1.3</t>
  </si>
  <si>
    <t xml:space="preserve">        Хөрөнгө оруулалт борлуулсаны орлого</t>
  </si>
  <si>
    <t>2.1.4</t>
  </si>
  <si>
    <t xml:space="preserve">        Бусад урт хугацаат хөрөнгө боруулсаны орлого</t>
  </si>
  <si>
    <t>2.1.5</t>
  </si>
  <si>
    <t xml:space="preserve">        Бусдад олгосон зээл, мөнгөн урьдчилгааны буцаан төлөлт</t>
  </si>
  <si>
    <t>2.1.6</t>
  </si>
  <si>
    <t xml:space="preserve">        Хүлээн авсан хүүний орлого</t>
  </si>
  <si>
    <t>2.1.7</t>
  </si>
  <si>
    <t xml:space="preserve">        Хүлээн авсан ногдол ашиг</t>
  </si>
  <si>
    <t>2.2.1</t>
  </si>
  <si>
    <t xml:space="preserve">        Үндсэн хөрөнгө олж эзэмшихэд төлсөн</t>
  </si>
  <si>
    <t>2.2.2</t>
  </si>
  <si>
    <t xml:space="preserve">        Биет бус хөрөнгө олж эзэмшихэд төлсөн</t>
  </si>
  <si>
    <t>2.2.3</t>
  </si>
  <si>
    <t xml:space="preserve">        Хөрөнгө оруулалт олж эзэмшихэд төлсөн</t>
  </si>
  <si>
    <t>2.2.4</t>
  </si>
  <si>
    <t xml:space="preserve">        Бусад урт хугацаат хөрөнгө олж эзэмшихэд төлсөн</t>
  </si>
  <si>
    <t>2.2.5</t>
  </si>
  <si>
    <t xml:space="preserve">        Бусдад олгосон зээл болон урьдчилгаа</t>
  </si>
  <si>
    <t xml:space="preserve">  Хөрөнгө оруулалтын үйл ажиллагааны цэвэр мөнгөн гүйлгээний дүн</t>
  </si>
  <si>
    <t xml:space="preserve">  Санхүүгийн үйл ажиллагааны мөнгөн гүйлгээ</t>
  </si>
  <si>
    <t>3.1</t>
  </si>
  <si>
    <t>3.1.1</t>
  </si>
  <si>
    <t xml:space="preserve">        Зээл авсан, өрийн үнэт цаас гаргаснаас хүлээн авсан</t>
  </si>
  <si>
    <t>3.1.2</t>
  </si>
  <si>
    <t xml:space="preserve">        Хувьцаа болон өмчийн бусад үнэт цаас гаргаснаас хүлээн авсан</t>
  </si>
  <si>
    <t>3.1.3</t>
  </si>
  <si>
    <t xml:space="preserve">        Төрөл бүрийн хандив</t>
  </si>
  <si>
    <t xml:space="preserve">        Валютын ханшийн тэгшитгэлийн ашиг</t>
  </si>
  <si>
    <t>3.2</t>
  </si>
  <si>
    <t>3.2.1</t>
  </si>
  <si>
    <t xml:space="preserve">        Зээл, өрийн үнэт цаасны төлбөрт төлсөн</t>
  </si>
  <si>
    <t>3.2.2</t>
  </si>
  <si>
    <t xml:space="preserve">        Санхүүгийн түрээсийн өглөгт төлсөн</t>
  </si>
  <si>
    <t>3.2.3</t>
  </si>
  <si>
    <t xml:space="preserve">        Хувьцаа буцаан худалдаж төлсөн</t>
  </si>
  <si>
    <t>3.2.4</t>
  </si>
  <si>
    <t xml:space="preserve">        Төлсөн ногдол ашиг</t>
  </si>
  <si>
    <t>3.2.5</t>
  </si>
  <si>
    <t xml:space="preserve">  Валютын ханшийн тэгшитгэлийн алдагдал</t>
  </si>
  <si>
    <t>3.3</t>
  </si>
  <si>
    <t xml:space="preserve">  Санхүүгийн үйл ажиллагааны цэвэр мөнгөн гүйлгээний дүн</t>
  </si>
  <si>
    <t xml:space="preserve">  Бүх цэвэр мөнгөн гүйлгээ</t>
  </si>
  <si>
    <t xml:space="preserve">  Мөнгө, түүнтэй адилтгах хөрөнгийн эхний үлдэгдэл</t>
  </si>
  <si>
    <t xml:space="preserve">  Мөнгө, түүнтэй адилтгах хөрөнгийн эцсийн үлдэгдэл</t>
  </si>
  <si>
    <t>SUM</t>
  </si>
  <si>
    <t>Дт</t>
  </si>
  <si>
    <t>Кт</t>
  </si>
  <si>
    <t>2017 оны 03 сарын 31</t>
  </si>
  <si>
    <t>2017 оны 06 сарын 30</t>
  </si>
  <si>
    <t>2017 оны 09 сарын 30</t>
  </si>
  <si>
    <t>2017 оны 12 сарын 31</t>
  </si>
  <si>
    <t>Тайлант үеийн цэвэр ашиг (алдагдал)-1</t>
  </si>
  <si>
    <t>Тайлант үеийн цэвэр ашиг (алдагдал)-2</t>
  </si>
  <si>
    <t>Тайлант үеийн цэвэр ашиг (алдагдал)-3</t>
  </si>
  <si>
    <t>Тайлант үеийн цэвэр ашиг (алдагдал)-4</t>
  </si>
  <si>
    <t xml:space="preserve">     Үндсэн хөрөнгө.Хур элэгдэл </t>
  </si>
  <si>
    <t>2016 оны 12 сарын 31</t>
  </si>
  <si>
    <t>2016 оны 01 сарын 01 үлдэгдэл</t>
  </si>
  <si>
    <t>2017 оны 12 сарын 31 үлдэгдэл</t>
  </si>
  <si>
    <t>2016 оны 12 сарын 31 үлдэгдэл</t>
  </si>
  <si>
    <t>Цалин хөлс, шагнал</t>
  </si>
  <si>
    <t>Засвар үйлчилгээний зардал</t>
  </si>
  <si>
    <t>Түрээсийн зардал</t>
  </si>
  <si>
    <t>Албан томилолтын зардал</t>
  </si>
  <si>
    <t>Тээврийн зардал</t>
  </si>
  <si>
    <t>Зар сурталчилгааны зардал</t>
  </si>
  <si>
    <t>Найдваргүй авлагын зардал</t>
  </si>
  <si>
    <t>Зээлийн хүүгийн зардал</t>
  </si>
  <si>
    <t>Татварын зардал</t>
  </si>
  <si>
    <t xml:space="preserve"> Код</t>
  </si>
  <si>
    <t>............................</t>
  </si>
  <si>
    <t>BS/IS</t>
  </si>
  <si>
    <t>CF</t>
  </si>
  <si>
    <t>ҮНДСЭН ХӨРӨНГИЙН ДЭЛГЭРЭНГҮЙ БҮРТГЭЛ</t>
  </si>
  <si>
    <t>Эд хариуцагчийн нэр.............</t>
  </si>
  <si>
    <t>Тайлант огноо:</t>
  </si>
  <si>
    <t>Бэлтгэсэн огноо:</t>
  </si>
  <si>
    <t>Орлого</t>
  </si>
  <si>
    <t>Зарлага</t>
  </si>
  <si>
    <t>Өртөг</t>
  </si>
  <si>
    <t>Нэгж үнэ</t>
  </si>
  <si>
    <t>Нийт үнэ</t>
  </si>
  <si>
    <t>Огноо</t>
  </si>
  <si>
    <t xml:space="preserve">Дансны </t>
  </si>
  <si>
    <t xml:space="preserve">дугаар </t>
  </si>
  <si>
    <t>C2</t>
  </si>
  <si>
    <t>Харилцагч</t>
  </si>
  <si>
    <t xml:space="preserve">Эхлэх огноо: </t>
  </si>
  <si>
    <t xml:space="preserve">Дуусах огноо: </t>
  </si>
  <si>
    <t>Balance C1</t>
  </si>
  <si>
    <t>Report C1</t>
  </si>
  <si>
    <t>Report C2</t>
  </si>
  <si>
    <t>Мат.код</t>
  </si>
  <si>
    <t xml:space="preserve">Материалын нэр </t>
  </si>
  <si>
    <t>Тоо. шир</t>
  </si>
  <si>
    <t>Нийт</t>
  </si>
  <si>
    <t>ОРЛОГО</t>
  </si>
  <si>
    <t>ЗАРЛАГА</t>
  </si>
  <si>
    <t>Тоо.шир</t>
  </si>
  <si>
    <t xml:space="preserve">Нэгж өртөг </t>
  </si>
  <si>
    <t xml:space="preserve">Нийт өртөг </t>
  </si>
  <si>
    <t>НӨАТ-авлага</t>
  </si>
  <si>
    <t>НӨАТ-өглөг</t>
  </si>
  <si>
    <t>Бүгд үнэ</t>
  </si>
  <si>
    <t>Нэгж өртөг</t>
  </si>
  <si>
    <t>Нийт өртөг</t>
  </si>
  <si>
    <t>Бэлэн бүтээгдэхүүн</t>
  </si>
  <si>
    <t>Данс</t>
  </si>
  <si>
    <t>Тавилга эд хогшил</t>
  </si>
  <si>
    <t>Хэм</t>
  </si>
  <si>
    <t>нэгж</t>
  </si>
  <si>
    <t xml:space="preserve">Хаалтын </t>
  </si>
  <si>
    <t>бичилт</t>
  </si>
  <si>
    <t>Тайлант үе</t>
  </si>
  <si>
    <t>Касс мөнгө USD-100200</t>
  </si>
  <si>
    <t>Мөнгөн хөрөнгийн клиринг-900100</t>
  </si>
  <si>
    <t>Компани хоорондын авлага MNT-120200</t>
  </si>
  <si>
    <t>Компани хоорондын авлага USD-120201</t>
  </si>
  <si>
    <t>Компани хоорондын авлага - Зээлийн хүүгийн авлага MNT-120202</t>
  </si>
  <si>
    <t>Бусад авлага MNT-120400</t>
  </si>
  <si>
    <t>Бусад авлага USD-120401</t>
  </si>
  <si>
    <t>НӨАТ авлага-120600</t>
  </si>
  <si>
    <t>ААНОАТ авлага-120700</t>
  </si>
  <si>
    <t>ХАОАТ авлага-120800</t>
  </si>
  <si>
    <t>НД-ын байгууллагаас авах авлага-120900</t>
  </si>
  <si>
    <t>Бусад татварын авлага-121000</t>
  </si>
  <si>
    <t>Ажилчдаас авах авлага-121100</t>
  </si>
  <si>
    <t>Ажилчидын дараа тайлангийн тооцоо -121200</t>
  </si>
  <si>
    <t>Борлуулалтын авлагын түр тооцоо MNT-122000</t>
  </si>
  <si>
    <t>Борлуулалтын авлагын түр тооцооUSD-122001</t>
  </si>
  <si>
    <t>Богино хугацаат хөрөнгө оруулалт -130100</t>
  </si>
  <si>
    <t>БХХО-ын хасалдуулга-130500</t>
  </si>
  <si>
    <t>Түүхий эд материал-140100</t>
  </si>
  <si>
    <t>ШМЗардал ХАТААХ ЦЕХ /нарс/-140200</t>
  </si>
  <si>
    <t>ШХЗардал ХАТААХ ЦЕХ /нарс/-140300</t>
  </si>
  <si>
    <t>ҮНЗардал ХАТААХ ЦЕХ /нарс/-140400</t>
  </si>
  <si>
    <t>Нэгтгэл зардал ХАТААХ ЦЕХ /нарс/-140500</t>
  </si>
  <si>
    <t>Бараа бэлэн бүтээгдэхүүн ХАТААХ ЦЕХ /нарс/-150100</t>
  </si>
  <si>
    <t>Барилгын материал -160100</t>
  </si>
  <si>
    <t>Агуулахад байгаа материал, хангамж-160200</t>
  </si>
  <si>
    <t>Сэлбэг хэрэгсэл -160300</t>
  </si>
  <si>
    <t>Бараа материалын үнэлгээний хасагдуулга-150500</t>
  </si>
  <si>
    <t>Бусад эргэлтийн хөрөнгө-150800</t>
  </si>
  <si>
    <t>Борлуулах зорилгоор эзэмшиж буй эргэлтийн бус хөрөнгө (Борлуулах бүлэг хөрөнгө)-150900</t>
  </si>
  <si>
    <t>Урьдчилж төлсөн тооцоо MNT-180100</t>
  </si>
  <si>
    <t>Урьдчилж төлсөн тооцоо USD-180101</t>
  </si>
  <si>
    <t>Урьдчилж төлсөн зардал MNT - Тоног төхөөрөмж -180200</t>
  </si>
  <si>
    <t>Урьдчилж төлсөн зардал USD-180300</t>
  </si>
  <si>
    <t>Материал татан авалт-180400</t>
  </si>
  <si>
    <t>Газрын сайжруулалт-200100</t>
  </si>
  <si>
    <t>Барилга байгууламж-200200</t>
  </si>
  <si>
    <t>Тавилга эд хогшил-200300</t>
  </si>
  <si>
    <t>Машин, тоног төхөөрөмж -200400</t>
  </si>
  <si>
    <t>Тээврийн хэрэгсэл-200500</t>
  </si>
  <si>
    <t>Компьютер, дагалдах хэрэгсэл-201000</t>
  </si>
  <si>
    <t>Төмөр зам -200201</t>
  </si>
  <si>
    <t>Бусад үндсэн хөрөнгө-200600</t>
  </si>
  <si>
    <t>Дуусаагүй барилга-1 /Кувейт/-200700</t>
  </si>
  <si>
    <t>Багаж хэрэгсэл-200800</t>
  </si>
  <si>
    <t>Биологийн хөрөнгө-200900</t>
  </si>
  <si>
    <t>Хуримтлагдсан элэгдэл - Барилга байгууламж-201200</t>
  </si>
  <si>
    <t>Хуримтлагдсан элэгдэл - Тавилга эд хогшил-201300</t>
  </si>
  <si>
    <t>Хуримтлагдсан элэгдэл - Машин тоног төхөөрөмж-201400</t>
  </si>
  <si>
    <t>Хуримтлагдсан элэгдэл - Тээврийн хэрэгсэл-201500</t>
  </si>
  <si>
    <t>Хуримтлагдсан элэгдэл - Бусад үндсэн хөрөнгө-201600</t>
  </si>
  <si>
    <t>Хуримтлагдсан элэгдэл - Багаж хэрэгсэл-201800</t>
  </si>
  <si>
    <t>Хуримтлагдсан элэгдэл - Комъпютер, дагалдах хэрэгсэл-202000</t>
  </si>
  <si>
    <t>Гүдвилл-210100</t>
  </si>
  <si>
    <t>Патент-210200</t>
  </si>
  <si>
    <t>Зохиогчийн эрх-210300</t>
  </si>
  <si>
    <t>Барааны тэмдэгт-210400</t>
  </si>
  <si>
    <t>Бусад биет бус хөрөнгө-210500</t>
  </si>
  <si>
    <t>Программ хангамж-210600</t>
  </si>
  <si>
    <t>Түрээсийн сайжруулалт-210700</t>
  </si>
  <si>
    <t>Газар эзэмших эрх-211000</t>
  </si>
  <si>
    <t>Урт хугацаат хөрөнгө оруулалт-220100</t>
  </si>
  <si>
    <t>Урт хугацаат компани хоорондын авлага-220200</t>
  </si>
  <si>
    <t>Урт хугацаат хөрөнгө оруулалтын үнэлгээний хасалдуулга-220400</t>
  </si>
  <si>
    <t>Хойшлогдсон татварын хөрөнгө-230100</t>
  </si>
  <si>
    <t>Хөрөнгө оруулалтын зориулалттай үл хөдлөх хөрөнгө-230200</t>
  </si>
  <si>
    <t>Дансны өглөг MNT-310100</t>
  </si>
  <si>
    <t>Дансны өглөг USD-310101</t>
  </si>
  <si>
    <t>Компани хоорондын өглөг - Шинэст Констракшн ХХК -311700</t>
  </si>
  <si>
    <t>Ногдол ашгийн өглөг -310300</t>
  </si>
  <si>
    <t>Банкны богино хугацаат зээл MNT-310400</t>
  </si>
  <si>
    <t>Банкны богино хугацаат зээл USD-310401</t>
  </si>
  <si>
    <t>ХАОАТ өглөг-310700</t>
  </si>
  <si>
    <t>НД-ын байгууллагад өгөх өглөг-310800</t>
  </si>
  <si>
    <t>Бусад татварын өглөг-310900</t>
  </si>
  <si>
    <t>Цалингийн өглөг-311000</t>
  </si>
  <si>
    <t>Бусад богино хугацаат өглөг -311100</t>
  </si>
  <si>
    <t>Ажилчдад өгөх өглөг-311200</t>
  </si>
  <si>
    <t>Хувь хүнд өгөх өглөг MNT-311300</t>
  </si>
  <si>
    <t>Хувь хүнд өгөх өглөг USD-311301</t>
  </si>
  <si>
    <t>Çээлийн хүүгийн өглөг MNT-311400</t>
  </si>
  <si>
    <t>Çээлийн хүүгийн өглөг USD-311401</t>
  </si>
  <si>
    <t>Борлуулах зорилгоор эзэмшиж буй эргэлтийн бус хөрөнгөд хамаарах өр төлбөр-311600</t>
  </si>
  <si>
    <t>Баталгаат засварын өглөг-312000</t>
  </si>
  <si>
    <t>Урьдчилж орсон орлого MNT-320100</t>
  </si>
  <si>
    <t>Урьдчилж орсон орлого USD-320101</t>
  </si>
  <si>
    <t>ХО-д өгөх өглөг MNT /ЭНХБАТ/-340100</t>
  </si>
  <si>
    <t>ХО-д өгөх өглөг USD /БАХДАМДЭМБЭРЭЛ/-350100</t>
  </si>
  <si>
    <t>Богино хугацаат өглөгийн хасагдуулга-320200</t>
  </si>
  <si>
    <t>Урт хугацаат зээл MNT-330200</t>
  </si>
  <si>
    <t>Урт хугацаат зээл USD-330201</t>
  </si>
  <si>
    <t>Хойшлогдсон татварын өр төлбөр-330800</t>
  </si>
  <si>
    <t>Хувийн өмч-410200</t>
  </si>
  <si>
    <t>Дахин үнэлгээний нөөц-420100</t>
  </si>
  <si>
    <t>Гадаад валютын хөрвүүлэлтийн нөөц-420200</t>
  </si>
  <si>
    <t>Эзэмшигчдийн өмчийн бусад хэсэг-430300</t>
  </si>
  <si>
    <t>Өмнөх үеийн ашиг/алдагдал-440100</t>
  </si>
  <si>
    <t>Тайлант үеийн ашиг/алдагдал-440200</t>
  </si>
  <si>
    <t>Үндсэн үйл ажиллагааны борлуулалт-510000</t>
  </si>
  <si>
    <t>Үзүүлсэн ажил үйлчилгээний орлого-510100</t>
  </si>
  <si>
    <t>Борлуулалтын хорогдол, буцаалт-510200</t>
  </si>
  <si>
    <t>Борлуулалтын хөнгөлөлт-510300</t>
  </si>
  <si>
    <t>Бусад борлуулалт-510400</t>
  </si>
  <si>
    <t>Үл хөдлөх хөрөнгө борлуулсны орлого-511000</t>
  </si>
  <si>
    <t>Хөдлөх хөрөнгө борлуулсны орлого-511100</t>
  </si>
  <si>
    <t>Хүүгийн орлого-511200</t>
  </si>
  <si>
    <t>Хөрөнгө түрээслүүлсний орлого-511300</t>
  </si>
  <si>
    <t>Ногдол ашгийн орлого-511400</t>
  </si>
  <si>
    <t>Эрхийн шимтгэлийн орлого-511500</t>
  </si>
  <si>
    <t>Борлуулсан барааны өртөг-610100</t>
  </si>
  <si>
    <t>Борлуулсан барааны өртөг - Бусад-610101</t>
  </si>
  <si>
    <t>Үзүүлсэн ажил үйлчилгээний өртөг-610200</t>
  </si>
  <si>
    <t>Бусад барааны өртөг-610300</t>
  </si>
  <si>
    <t>Цалин хөлс, шагнал-700100</t>
  </si>
  <si>
    <t>НДШимтгэл-700200</t>
  </si>
  <si>
    <t>Цахилгаан эрчим хүч-700700</t>
  </si>
  <si>
    <t>Дулаан-700800</t>
  </si>
  <si>
    <t>Уур, ус-700900</t>
  </si>
  <si>
    <t>Сэлбэг хэрэгсэл-701000</t>
  </si>
  <si>
    <t>Түрээсийн зардал-701100</t>
  </si>
  <si>
    <t>Албан томилолтын зардал-701200</t>
  </si>
  <si>
    <t>Тээврийн зардал-701300</t>
  </si>
  <si>
    <t>Засвар үйлчилгээний зардал-701400</t>
  </si>
  <si>
    <t>Урсгал засварын зардал-701500</t>
  </si>
  <si>
    <t>Элэгдэл, хорогдлын зардал-701600</t>
  </si>
  <si>
    <t>Зар сурталчилгааны зардал-701700</t>
  </si>
  <si>
    <t>Шуудан илгээмж-701800</t>
  </si>
  <si>
    <t>Харилцаа холбоо-701900</t>
  </si>
  <si>
    <t>Түлш, шатахуун-702000</t>
  </si>
  <si>
    <t>Тослох материал-702100</t>
  </si>
  <si>
    <t>Шагнал, урамшуулал-702300</t>
  </si>
  <si>
    <t>Зээлийн хүүгийн зардал-702500</t>
  </si>
  <si>
    <t>Захиргааны зардал-702400</t>
  </si>
  <si>
    <t>Сайн дурын даатгалын хураамж-702600</t>
  </si>
  <si>
    <t>Заавал даатгуулах даатгалын хураамж-702700</t>
  </si>
  <si>
    <t>Аудитын төлбөр-702800</t>
  </si>
  <si>
    <t>Орчуулгын хөлс-703300</t>
  </si>
  <si>
    <t>Мэргэжлийн байгууллагаар гүйцэтгүүслэн ажил үйлчилгээ-703400</t>
  </si>
  <si>
    <t>Бичиг хэргийн зардал-703700</t>
  </si>
  <si>
    <t>Хоол унааны зардал-703800</t>
  </si>
  <si>
    <t>Үл хөдлөхийн татвар-703900</t>
  </si>
  <si>
    <t>Авто тээвэр, өөрөө явагч хэрэгслийн татвар-704000</t>
  </si>
  <si>
    <t>Газар, байгалийн нөөц ашигласны төлбөр, хураамж-704100</t>
  </si>
  <si>
    <t>Бууны татвар-704200</t>
  </si>
  <si>
    <t>Лицензийн зардал-704300</t>
  </si>
  <si>
    <t>Хэвлэл захиалга-704400</t>
  </si>
  <si>
    <t>Хөдөлмөр хамгаалалын зардал-704600</t>
  </si>
  <si>
    <t>Цэвэрлэгээ-704700</t>
  </si>
  <si>
    <t>Хангамжийн зүйлс-704800</t>
  </si>
  <si>
    <t>Банкны үйлчилгээ-704900</t>
  </si>
  <si>
    <t>Бараа материалын хэвийн хорогдол-705000</t>
  </si>
  <si>
    <t>Харуул хамгаалалт-705800</t>
  </si>
  <si>
    <t>Эрэл хайгуулын зардал, БОНС зардал-705900</t>
  </si>
  <si>
    <t>Бусад зардал-706000</t>
  </si>
  <si>
    <t>Үндсэн бус үйл ажиллагааны орлого-840000</t>
  </si>
  <si>
    <t>Валютын ханшийн зөрүүнээс үүссэн хэрэгжсэн ашиг-840100</t>
  </si>
  <si>
    <t>Валютын ханшийн зөрүүнээс үүссэн хэрэгжээгүй ашиг-840200</t>
  </si>
  <si>
    <t>Хүү торгууль, хөнгөлөлтийн орлого-840400</t>
  </si>
  <si>
    <t>Биет бус хөрөнгө борлуулсны орлого-840500</t>
  </si>
  <si>
    <t>Үндсэн бус үйл ажиллагааны бусад орлого-840800</t>
  </si>
  <si>
    <t>Хөрөнгө оруулалт борлуулсны орлого-840900</t>
  </si>
  <si>
    <t>Үндсэн бус үйл ажиллагааны зарлага-870000</t>
  </si>
  <si>
    <t>Валютын ханшийн зөрүүнээс үүссэн хэрэгжсэн алдагдал-870100</t>
  </si>
  <si>
    <t>Валютын ханшийн зөрүүнээс үүссэн хэрэгжээгүй алдагдал-870200</t>
  </si>
  <si>
    <t>Найдваргүй авлагын зардал-870300</t>
  </si>
  <si>
    <t>Хүү торгууль, хөнгөлөлт-870400</t>
  </si>
  <si>
    <t>Биет бус хөрөнгийн үлдэгдэл өртөг-870500</t>
  </si>
  <si>
    <t>Үндсэн бус үйл ажиллагааны бусад зардал-870700</t>
  </si>
  <si>
    <t>Түрээсийн орлого олохтой холбогдож гарсан зардал-870800</t>
  </si>
  <si>
    <t>Хөрөнгө оруулалтын өртөг-870900</t>
  </si>
  <si>
    <t>Худалдаж борлуулсан хөдлөх хөрөнгийн өртөг-871100</t>
  </si>
  <si>
    <t>Худалдаж борлуулсан үл хөдлөх хөрөнгийн өртөг-871200</t>
  </si>
  <si>
    <t>Татварын зардал-910100</t>
  </si>
  <si>
    <t>Орлого зардлын нэгдсэн данс-920100</t>
  </si>
  <si>
    <t>ДАНСДЫН МЭДЭЭЛЭЛ</t>
  </si>
  <si>
    <t>Актив данс</t>
  </si>
  <si>
    <t>Пасив данс</t>
  </si>
  <si>
    <t>Орлогын тайлан</t>
  </si>
  <si>
    <t xml:space="preserve">Гадаад валютын төрөл </t>
  </si>
  <si>
    <t>Кассанд байгаа бэлэн мөнгө MNT</t>
  </si>
  <si>
    <t>3101</t>
  </si>
  <si>
    <t>Дансны өглөг MNT</t>
  </si>
  <si>
    <t>5100</t>
  </si>
  <si>
    <t>Үндсэн үйл ажиллагааны борлуулалт</t>
  </si>
  <si>
    <t xml:space="preserve">Төгрөг </t>
  </si>
  <si>
    <t>Кассанд байгаа бэлэн мөнгө USD</t>
  </si>
  <si>
    <t>Компани хоорондын өглөг - Санхүүжилт MNT</t>
  </si>
  <si>
    <t>5101</t>
  </si>
  <si>
    <t>Үзүүлсэн ажил үйлчилгээний орлого</t>
  </si>
  <si>
    <t xml:space="preserve">Доллар </t>
  </si>
  <si>
    <t>Харилцах дах бэлэн мөнгө MNT</t>
  </si>
  <si>
    <t>Компани хоорондын өглөг - Бусад тооцоо MNT</t>
  </si>
  <si>
    <t>5102</t>
  </si>
  <si>
    <t>Борлуулалтын хорогдол, буцаалт</t>
  </si>
  <si>
    <t>Рубель</t>
  </si>
  <si>
    <t>Харилцах дах бэлэн мөнгө USD</t>
  </si>
  <si>
    <t>Компани хоорондын өглөг - Зээлийн хүү, шимтгэл MNT</t>
  </si>
  <si>
    <t>5103</t>
  </si>
  <si>
    <t>Борлуулалтын хөнгөлөлт</t>
  </si>
  <si>
    <t>Юань</t>
  </si>
  <si>
    <t>Дансны авлага MNT</t>
  </si>
  <si>
    <t>3103</t>
  </si>
  <si>
    <t xml:space="preserve">Ногдол ашгийн өглөг </t>
  </si>
  <si>
    <t>5104</t>
  </si>
  <si>
    <t>Бусад борлуулалт</t>
  </si>
  <si>
    <t>Вон</t>
  </si>
  <si>
    <t>KRW</t>
  </si>
  <si>
    <t>Компани хоорондын авлага</t>
  </si>
  <si>
    <t>3104</t>
  </si>
  <si>
    <t>Банкны богино хугацаат зээл MNT</t>
  </si>
  <si>
    <t>5110</t>
  </si>
  <si>
    <t>Үл хөдлөх хөрөнгө борлуулсны орлого</t>
  </si>
  <si>
    <t>Иен</t>
  </si>
  <si>
    <t>JPY</t>
  </si>
  <si>
    <t>Найдваргүй авлагын хасагдуулга</t>
  </si>
  <si>
    <t>3105</t>
  </si>
  <si>
    <t>НӨАТ өглөг</t>
  </si>
  <si>
    <t>5111</t>
  </si>
  <si>
    <t>Хөдлөх хөрөнгө борлуулсны орлого</t>
  </si>
  <si>
    <t>Бусад авлага MNT</t>
  </si>
  <si>
    <t>3106</t>
  </si>
  <si>
    <t>ААНБОАТ өглөг</t>
  </si>
  <si>
    <t>5112</t>
  </si>
  <si>
    <t>Хүүгийн орлого</t>
  </si>
  <si>
    <t>НӨАТ авлага</t>
  </si>
  <si>
    <t>3107</t>
  </si>
  <si>
    <t>ХАОАТ өглөг</t>
  </si>
  <si>
    <t>5113</t>
  </si>
  <si>
    <t>Хөрөнгө түрээслүүлсний орлого</t>
  </si>
  <si>
    <t>ААНОАТ авлага</t>
  </si>
  <si>
    <t>3108</t>
  </si>
  <si>
    <t>НД-ын байгууллагад өгөх өглөг</t>
  </si>
  <si>
    <t>5114</t>
  </si>
  <si>
    <t>Ногдол ашгийн орлого</t>
  </si>
  <si>
    <t>ХАОАТ авлага</t>
  </si>
  <si>
    <t>3109</t>
  </si>
  <si>
    <t>Бусад татварын өглөг</t>
  </si>
  <si>
    <t>5115</t>
  </si>
  <si>
    <t>Эрхийн шимтгэлийн орлого</t>
  </si>
  <si>
    <t>НД-ын байгууллагаас авах авлага</t>
  </si>
  <si>
    <t>3110</t>
  </si>
  <si>
    <t>Цалингийн өглөг</t>
  </si>
  <si>
    <t>6101</t>
  </si>
  <si>
    <t>Борлуулсан барааны өртөг</t>
  </si>
  <si>
    <t>Бусад татварын авлага</t>
  </si>
  <si>
    <t>3111</t>
  </si>
  <si>
    <t xml:space="preserve">Бусад богино хугацаат өглөг </t>
  </si>
  <si>
    <t>6102</t>
  </si>
  <si>
    <t>Үзүүлсэн ажил үйлчилгээний өртөг</t>
  </si>
  <si>
    <t>Ажилчдаас авах авлага</t>
  </si>
  <si>
    <t>3112</t>
  </si>
  <si>
    <t>Ажилчдад өгөх өглөг</t>
  </si>
  <si>
    <t>6103</t>
  </si>
  <si>
    <t>Бусад барааны өртөг</t>
  </si>
  <si>
    <t>Хувь хүнээс авах авлага</t>
  </si>
  <si>
    <t>3113</t>
  </si>
  <si>
    <t>Хувь хүнд өгөх өглөг MNT</t>
  </si>
  <si>
    <t/>
  </si>
  <si>
    <t xml:space="preserve">Богино хугацаат хөрөнгө оруулалт </t>
  </si>
  <si>
    <t>3114</t>
  </si>
  <si>
    <t>Банкны зээлийн хүүгийн өглөг MNT</t>
  </si>
  <si>
    <t>7001</t>
  </si>
  <si>
    <t>БХХО-ын хасалдуулга</t>
  </si>
  <si>
    <t>3116</t>
  </si>
  <si>
    <t>Борлуулах зорилгоор эзэмшиж буй эргэлтийн бус хөрөнгөд хамаарах өр төлбөр</t>
  </si>
  <si>
    <t>7002</t>
  </si>
  <si>
    <t>НДШимтгэл</t>
  </si>
  <si>
    <t>Түүхий эд материал</t>
  </si>
  <si>
    <t>3120</t>
  </si>
  <si>
    <t>Баталгаат засварын өглөг</t>
  </si>
  <si>
    <t>7007</t>
  </si>
  <si>
    <t>Цахилгаан эрчим хүч</t>
  </si>
  <si>
    <t>Шууд материал</t>
  </si>
  <si>
    <t>3201</t>
  </si>
  <si>
    <t>Урьдчилж орсон орлого MNT</t>
  </si>
  <si>
    <t>7008</t>
  </si>
  <si>
    <t>Дулаан</t>
  </si>
  <si>
    <t>Шууд хөдөлмөр</t>
  </si>
  <si>
    <t>3202</t>
  </si>
  <si>
    <t>Богино хугацаат өглөгийн хасагдуулга</t>
  </si>
  <si>
    <t>7009</t>
  </si>
  <si>
    <t>Уур, ус</t>
  </si>
  <si>
    <t>Үйлдвэрлэлийн нэмэгдэл зардал</t>
  </si>
  <si>
    <t>3302</t>
  </si>
  <si>
    <t>Урт хугацаат зээл MNT</t>
  </si>
  <si>
    <t>7010</t>
  </si>
  <si>
    <t>Сэлбэг хэрэгсэл</t>
  </si>
  <si>
    <t xml:space="preserve">Дуусаагүй үйлдвэрлэл - Нэгтгэл данс </t>
  </si>
  <si>
    <t>3308</t>
  </si>
  <si>
    <t>Хойшлогдсон татварын өр төлбөр</t>
  </si>
  <si>
    <t>7011</t>
  </si>
  <si>
    <t>4102</t>
  </si>
  <si>
    <t xml:space="preserve">Хувийн өмч </t>
  </si>
  <si>
    <t>7012</t>
  </si>
  <si>
    <t>Ашиглалтанд байгаа материал, хангамж</t>
  </si>
  <si>
    <t>4201</t>
  </si>
  <si>
    <t>Дахин үнэлгээний нөөц</t>
  </si>
  <si>
    <t>7013</t>
  </si>
  <si>
    <t>Агуулахад байгаа материал, хангамж</t>
  </si>
  <si>
    <t>4202</t>
  </si>
  <si>
    <t>7014</t>
  </si>
  <si>
    <t>Бараа материалын үнэлгээний хасагдуулга</t>
  </si>
  <si>
    <t>4303</t>
  </si>
  <si>
    <t>Эзэмшигчдийн өмчийн бусад хэсэг</t>
  </si>
  <si>
    <t>7015</t>
  </si>
  <si>
    <t>Урсгал засварын зардал</t>
  </si>
  <si>
    <t>1508</t>
  </si>
  <si>
    <t>Бусад эргэлтийн хөрөнгө</t>
  </si>
  <si>
    <t>4401</t>
  </si>
  <si>
    <t>Өмнөх үеийн ашиг/алдагдал</t>
  </si>
  <si>
    <t>7016</t>
  </si>
  <si>
    <t>Элэгдэл, хорогдлын зардал</t>
  </si>
  <si>
    <t>1509</t>
  </si>
  <si>
    <t>Борлуулах зорилгоор эзэмшиж буй эргэлтийн бус хөрөнгө (Борлуулах бүлэг хөрөнгө)</t>
  </si>
  <si>
    <t>4402</t>
  </si>
  <si>
    <t>Тайлант үеийн ашиг/алдагдал</t>
  </si>
  <si>
    <t>7017</t>
  </si>
  <si>
    <t>1801</t>
  </si>
  <si>
    <t>Урьдчилж төлсөн тооцоо MNT</t>
  </si>
  <si>
    <t>7018</t>
  </si>
  <si>
    <t>Шуудан илгээмж</t>
  </si>
  <si>
    <t>1802</t>
  </si>
  <si>
    <t>Урьдчилж төлсөн зардал MNT</t>
  </si>
  <si>
    <t>7019</t>
  </si>
  <si>
    <t>Харилцаа холбоо</t>
  </si>
  <si>
    <t>1803</t>
  </si>
  <si>
    <t>Материал татан авалт</t>
  </si>
  <si>
    <t>7020</t>
  </si>
  <si>
    <t>Түлш, шатахуун</t>
  </si>
  <si>
    <t>2001</t>
  </si>
  <si>
    <t>Газрын сайжруулалт</t>
  </si>
  <si>
    <t>7021</t>
  </si>
  <si>
    <t>Тослох материал</t>
  </si>
  <si>
    <t>2002</t>
  </si>
  <si>
    <t>Барилга байгууламж</t>
  </si>
  <si>
    <t>7023</t>
  </si>
  <si>
    <t>Шагнал, урамшуулал</t>
  </si>
  <si>
    <t>2003</t>
  </si>
  <si>
    <t>7025</t>
  </si>
  <si>
    <t>2004</t>
  </si>
  <si>
    <t xml:space="preserve">Машин, тоног төхөөрөмж </t>
  </si>
  <si>
    <t>7024</t>
  </si>
  <si>
    <t>Байр орон сууцны хөнгөлөлт</t>
  </si>
  <si>
    <t>2005</t>
  </si>
  <si>
    <t>Тээврийн хэрэгсэл</t>
  </si>
  <si>
    <t>7026</t>
  </si>
  <si>
    <t>Сайн дурын даатгалын хураамж</t>
  </si>
  <si>
    <t>2006</t>
  </si>
  <si>
    <t>Бусад үндсэн хөрөнгө</t>
  </si>
  <si>
    <t>7027</t>
  </si>
  <si>
    <t>Заавал даатгуулах даатгалын хураамж</t>
  </si>
  <si>
    <t>2007</t>
  </si>
  <si>
    <t>Дуусаагүй барилга</t>
  </si>
  <si>
    <t>7028</t>
  </si>
  <si>
    <t>Аудитын төлбөр</t>
  </si>
  <si>
    <t>2008</t>
  </si>
  <si>
    <t>Багаж хэрэгсэл</t>
  </si>
  <si>
    <t>7033</t>
  </si>
  <si>
    <t>Орчуулгын хөлс</t>
  </si>
  <si>
    <t>2009</t>
  </si>
  <si>
    <t>Биологийн хөрөнгө</t>
  </si>
  <si>
    <t>7034</t>
  </si>
  <si>
    <t>Бусад бусдаар гүйцэтгүүлсэн ажил, үйлчилгээ</t>
  </si>
  <si>
    <t>2010</t>
  </si>
  <si>
    <t>Компьютер, дагалдах хэрэгсэл</t>
  </si>
  <si>
    <t>7037</t>
  </si>
  <si>
    <t>Бичиг хэргийн зардал</t>
  </si>
  <si>
    <t>2012</t>
  </si>
  <si>
    <t>Хуримтлагдсан элэгдэл - Барилга байгууламж</t>
  </si>
  <si>
    <t>7038</t>
  </si>
  <si>
    <t>Хоол унааны зардал</t>
  </si>
  <si>
    <t>2013</t>
  </si>
  <si>
    <t>Хуримтлагдсан элэгдэл - Тавилга эд хогшил</t>
  </si>
  <si>
    <t>7039</t>
  </si>
  <si>
    <t>Үл хөдлөхийн татвар</t>
  </si>
  <si>
    <t>2014</t>
  </si>
  <si>
    <t>Хуримтлагдсан элэгдэл - Машин тоног төхөөрөмж</t>
  </si>
  <si>
    <t>7040</t>
  </si>
  <si>
    <t>Авто тээвэр, өөрөө явагч хэрэгслийн татвар</t>
  </si>
  <si>
    <t>2015</t>
  </si>
  <si>
    <t>Хуримтлагдсан элэгдэл - Тээврийн хэрэгсэл</t>
  </si>
  <si>
    <t>7041</t>
  </si>
  <si>
    <t>Газар, байгалийн нөөц ашигласны төлбөр, хураамж</t>
  </si>
  <si>
    <t>2016</t>
  </si>
  <si>
    <t>Хуримтлагдсан элэгдэл - Бусад үндсэн хөрөнгө</t>
  </si>
  <si>
    <t>7042</t>
  </si>
  <si>
    <t>Ус рашаан ашигласны төлбөр</t>
  </si>
  <si>
    <t>2018</t>
  </si>
  <si>
    <t>Хуримтлагдсан элэгдэл - Багаж хэрэгсэл</t>
  </si>
  <si>
    <t>7043</t>
  </si>
  <si>
    <t>Лицензийн зардал</t>
  </si>
  <si>
    <t>2020</t>
  </si>
  <si>
    <t>Хуримтлагдсан элэгдэл - Комъпютер, дагалдах хэрэгсэл</t>
  </si>
  <si>
    <t>7044</t>
  </si>
  <si>
    <t>Хэвлэл захиалга</t>
  </si>
  <si>
    <t>2101</t>
  </si>
  <si>
    <t>Гүдвилл</t>
  </si>
  <si>
    <t>7046</t>
  </si>
  <si>
    <t>Хөдөлмөр хамгаалалын зардал</t>
  </si>
  <si>
    <t>2102</t>
  </si>
  <si>
    <t>Патент</t>
  </si>
  <si>
    <t>7047</t>
  </si>
  <si>
    <t>Цэвэрлэгээ</t>
  </si>
  <si>
    <t>2103</t>
  </si>
  <si>
    <t>Зохиогчийн эрх</t>
  </si>
  <si>
    <t>7048</t>
  </si>
  <si>
    <t>Хангамжийн зүйлс</t>
  </si>
  <si>
    <t>2104</t>
  </si>
  <si>
    <t>Барааны тэмдэгт</t>
  </si>
  <si>
    <t>7049</t>
  </si>
  <si>
    <t>Банкны үйлчилгээ</t>
  </si>
  <si>
    <t>2105</t>
  </si>
  <si>
    <t>Бусад биет бус хөрөнгө</t>
  </si>
  <si>
    <t>7050</t>
  </si>
  <si>
    <t>Бараа материалын хэвийн хорогдол</t>
  </si>
  <si>
    <t>2106</t>
  </si>
  <si>
    <t>Программ хангамж</t>
  </si>
  <si>
    <t>7058</t>
  </si>
  <si>
    <t>Харуул хамгаалалт</t>
  </si>
  <si>
    <t>2107</t>
  </si>
  <si>
    <t>Түрээсийн сайжруулалт</t>
  </si>
  <si>
    <t>7059</t>
  </si>
  <si>
    <t>Эрэл хайгуулын зардал</t>
  </si>
  <si>
    <t>2108</t>
  </si>
  <si>
    <t>Тусгай зөвшөөрөл</t>
  </si>
  <si>
    <t>7060</t>
  </si>
  <si>
    <t>Бусад зардал</t>
  </si>
  <si>
    <t>2109</t>
  </si>
  <si>
    <t>Хайгуул үнэлгээний хөрөнгө</t>
  </si>
  <si>
    <t>7101</t>
  </si>
  <si>
    <t xml:space="preserve">Бор - Цалин хөлс, шагнал </t>
  </si>
  <si>
    <t>2110</t>
  </si>
  <si>
    <t>Газар эзэмших эрх</t>
  </si>
  <si>
    <t>7102</t>
  </si>
  <si>
    <t>Бор - НДШимтгэл</t>
  </si>
  <si>
    <t>2111</t>
  </si>
  <si>
    <t>Хуримтлагдсан элэгдэл - Гүдвилл</t>
  </si>
  <si>
    <t>7110</t>
  </si>
  <si>
    <t>Бор - Сэлбэг хэрэгсэл</t>
  </si>
  <si>
    <t>2112</t>
  </si>
  <si>
    <t>Хуримтлагдсан элэгдэл - Патент</t>
  </si>
  <si>
    <t>7111</t>
  </si>
  <si>
    <t>Бор - Түрээсийн зардал</t>
  </si>
  <si>
    <t>2113</t>
  </si>
  <si>
    <t>Хуримтлагдсан элэгдэл - Зохиогчийн эрх</t>
  </si>
  <si>
    <t>7112</t>
  </si>
  <si>
    <t>Бор - Албан томилолтын зардал</t>
  </si>
  <si>
    <t>2114</t>
  </si>
  <si>
    <t>Хуримтлагдсан элэгдэл - Барааны тэмдэгт</t>
  </si>
  <si>
    <t>7113</t>
  </si>
  <si>
    <t>Бор - Тээврийн зардал</t>
  </si>
  <si>
    <t>2115</t>
  </si>
  <si>
    <t>Хуримтлагдсан элэгдэл - Бусад биет бус хөрөнгө</t>
  </si>
  <si>
    <t>7116</t>
  </si>
  <si>
    <t>Бор - Элэгдэл, хорогдлын зардал</t>
  </si>
  <si>
    <t>2116</t>
  </si>
  <si>
    <t>Хуримтлагдсан элэгдэл - Программ хангамж</t>
  </si>
  <si>
    <t>7117</t>
  </si>
  <si>
    <t>Бор - Зар сурталчилгааны зардал</t>
  </si>
  <si>
    <t>2117</t>
  </si>
  <si>
    <t>Хуримтлагдсан элэгдэл - Түрээсийн сайжруулалт</t>
  </si>
  <si>
    <t>7118</t>
  </si>
  <si>
    <t>Бор - Шуудан илгээмж</t>
  </si>
  <si>
    <t>2119</t>
  </si>
  <si>
    <t>Хуримтлагдсан элэгдэл - Тусгай зөвшөөрөл</t>
  </si>
  <si>
    <t>7119</t>
  </si>
  <si>
    <t>Бор - Харилцаа холбоо</t>
  </si>
  <si>
    <t>2120</t>
  </si>
  <si>
    <t>Хуримтлагдсан элэгдэл - Газар эзэмших эрх</t>
  </si>
  <si>
    <t>7120</t>
  </si>
  <si>
    <t>Бор - Түлш, шатахуун</t>
  </si>
  <si>
    <t>2201</t>
  </si>
  <si>
    <t>Урт хугацаат хөрөнгө оруулалт</t>
  </si>
  <si>
    <t>7137</t>
  </si>
  <si>
    <t>Бор - Бичиг хэргийн зардал</t>
  </si>
  <si>
    <t>2202</t>
  </si>
  <si>
    <t>Урт хугацаат компани хоорондын авлага</t>
  </si>
  <si>
    <t>7138</t>
  </si>
  <si>
    <t>Бор - Хоол унааны зардал</t>
  </si>
  <si>
    <t>2204</t>
  </si>
  <si>
    <t>Урт хугацаат хөрөнгө оруулалтын үнэлгээний хасалдуулга</t>
  </si>
  <si>
    <t>7147</t>
  </si>
  <si>
    <t>Бор - Цэвэрлэгээ</t>
  </si>
  <si>
    <t>2301</t>
  </si>
  <si>
    <t>Хойшлогдсон татварын хөрөнгө</t>
  </si>
  <si>
    <t>7148</t>
  </si>
  <si>
    <t>Бор - Хангамжийн зүйлс</t>
  </si>
  <si>
    <t>2302</t>
  </si>
  <si>
    <t>Хөрөнгө оруулалтын зориулалттай үл хөдлөх хөрөнгө</t>
  </si>
  <si>
    <t>7160</t>
  </si>
  <si>
    <t>Бор - Бусад зардал</t>
  </si>
  <si>
    <t>8400</t>
  </si>
  <si>
    <t>Үндсэн бус үйл ажиллагааны орлого</t>
  </si>
  <si>
    <t>Бараа борлуулсан, үйлчилгээ үзүүлсэний орлого</t>
  </si>
  <si>
    <t>8401</t>
  </si>
  <si>
    <t>Валютын ханшийн зөрүүнээс үүссэн хэрэгжсэн ашиг</t>
  </si>
  <si>
    <t>Эрхийн шимтгэл, хураамж, төлбөрийн орлого</t>
  </si>
  <si>
    <t>8402</t>
  </si>
  <si>
    <t>Валютын ханшийн зөрүүнээс үүссэн хэрэгжээгүй ашиг</t>
  </si>
  <si>
    <t>Даатгалын нөхвөрөөс хүлээн авсан мөнгө</t>
  </si>
  <si>
    <t>8404</t>
  </si>
  <si>
    <t>Хүү торгууль, хөнгөлөлтийн орлого</t>
  </si>
  <si>
    <t>Буцаан авсан албан татвар</t>
  </si>
  <si>
    <t>8405</t>
  </si>
  <si>
    <t>Биет бус хөрөнгө борлуулсны орлого</t>
  </si>
  <si>
    <t>Татаас, санхүүжилтийн орлого</t>
  </si>
  <si>
    <t>8406</t>
  </si>
  <si>
    <t>Эрх борлуулсны орлого</t>
  </si>
  <si>
    <t>Бусад мөнгөн орлого</t>
  </si>
  <si>
    <t>8408</t>
  </si>
  <si>
    <t>Үндсэн бус үйл ажиллагааны бусад орлого</t>
  </si>
  <si>
    <t>8409</t>
  </si>
  <si>
    <t>Хөрөнгө оруулалт борлуулсны орлого</t>
  </si>
  <si>
    <t>Ажиллагчдад төлсөн</t>
  </si>
  <si>
    <t>Нийгмийн даатгалын байгууллагад төлсөн</t>
  </si>
  <si>
    <t>8700</t>
  </si>
  <si>
    <t>Үндсэн бус үйл ажиллагааны зарлага</t>
  </si>
  <si>
    <t>Бараа материал худалдан авахад төлсөн</t>
  </si>
  <si>
    <t>8701</t>
  </si>
  <si>
    <t>Валютын ханшийн зөрүүнээс үүссэн хэрэгжсэн алдагдал</t>
  </si>
  <si>
    <t>Ашиглалтын зардалд төлсөн</t>
  </si>
  <si>
    <t>8702</t>
  </si>
  <si>
    <t>Валютын ханшийн зөрүүнээс үүссэн хэрэгжээгүй алдагдал</t>
  </si>
  <si>
    <t>Түлш, шатахуун, тээврийн хөлс, сэлбэг хэрэгсэлд төлсөн</t>
  </si>
  <si>
    <t>8703</t>
  </si>
  <si>
    <t>Хүүний төлбөрт төлсөн</t>
  </si>
  <si>
    <t>8704</t>
  </si>
  <si>
    <t>Хүү торгууль, хөнгөлөлт</t>
  </si>
  <si>
    <t>Татварын байгууллагад төлсөн</t>
  </si>
  <si>
    <t>8705</t>
  </si>
  <si>
    <t>Биет бус хөрөнгийн үлдэгдэл өртөг</t>
  </si>
  <si>
    <t>Даатгалын төлбөрт төлсөн</t>
  </si>
  <si>
    <t>8707</t>
  </si>
  <si>
    <t>Үндсэн бус үйл ажиллагааны бусад зардал</t>
  </si>
  <si>
    <t>Бусад мөнгөн зарлага</t>
  </si>
  <si>
    <t>8708</t>
  </si>
  <si>
    <t>Түрээсийн орлого олохтой холбогдож гарсан зардал</t>
  </si>
  <si>
    <t>8709</t>
  </si>
  <si>
    <t>Хөрөнгө оруулалтын өртөг</t>
  </si>
  <si>
    <t>Үндсэн хөрөнгө борлуулсаны орлого</t>
  </si>
  <si>
    <t>8711</t>
  </si>
  <si>
    <t>Худалдаж борлуулсан хөдлөх хөрөнгийн өртөг</t>
  </si>
  <si>
    <t>Биет бус хөрөнгө борлуулсаны орлого</t>
  </si>
  <si>
    <t>8712</t>
  </si>
  <si>
    <t>Худалдаж борлуулсан үл хөдлөх хөрөнгийн өртөг</t>
  </si>
  <si>
    <t>Хөрөнгө оруулалт борлуулсаны орлого</t>
  </si>
  <si>
    <t>Бусад урт хугацаат хөрөнгө боруулсаны орлого</t>
  </si>
  <si>
    <t>9101</t>
  </si>
  <si>
    <t>Бусдад олгосон зээл, мөнгөн урьдчилгааны буцаан төлөлт</t>
  </si>
  <si>
    <t>9201</t>
  </si>
  <si>
    <t>Орлого зардлын нэгдсэн данс</t>
  </si>
  <si>
    <t>Хүлээн авсан хүүний орлого</t>
  </si>
  <si>
    <t>Хүлээн авсан ногдол ашиг</t>
  </si>
  <si>
    <t>Үндсэн хөрөнгө олж эзэмшихэд төлсөн</t>
  </si>
  <si>
    <t>Биет бус хөрөнгө олж эзэмшихэд төлсөн</t>
  </si>
  <si>
    <t>Хөрөнгө оруулалт олж эзэмшихэд төлсөн</t>
  </si>
  <si>
    <t>Бусад урт хугацаат хөрөнгө олж эзэмшихэд төлсөн</t>
  </si>
  <si>
    <t>Бусдад олгосон зээл болон урьдчилгаа</t>
  </si>
  <si>
    <t>Хаан Банк 5024654020-110100</t>
  </si>
  <si>
    <t>ХХБ 406094330-110102</t>
  </si>
  <si>
    <t>Хас Банк 5000558299-110103</t>
  </si>
  <si>
    <t>ХХБ 404052927-110104</t>
  </si>
  <si>
    <t>Харилцагч- Байгууллага</t>
  </si>
  <si>
    <t>Дансны авлага MNT -120100</t>
  </si>
  <si>
    <t>Дансны авлага USD-120201</t>
  </si>
  <si>
    <t>Касс мөнгө MNT</t>
  </si>
  <si>
    <t xml:space="preserve">Ажилчидын нэр </t>
  </si>
  <si>
    <t>код</t>
  </si>
  <si>
    <t xml:space="preserve">  Борлуулалтын орлого ( цэвэр )</t>
  </si>
  <si>
    <t xml:space="preserve">  Борлуулалтын өртөг</t>
  </si>
  <si>
    <t xml:space="preserve">  Нийт ашиг ( алдагдал )</t>
  </si>
  <si>
    <t xml:space="preserve">  Түрээсийн орлого</t>
  </si>
  <si>
    <t xml:space="preserve">  Хүүгийн орлого</t>
  </si>
  <si>
    <t xml:space="preserve">  Ногдол ашгийн орлого</t>
  </si>
  <si>
    <t>7</t>
  </si>
  <si>
    <t xml:space="preserve">  Эрхийн шимтгэлийн орлого</t>
  </si>
  <si>
    <t>8</t>
  </si>
  <si>
    <t xml:space="preserve">  Бусад орлого</t>
  </si>
  <si>
    <t>9</t>
  </si>
  <si>
    <t xml:space="preserve">  Борлуулалт, маркетингийн зардал</t>
  </si>
  <si>
    <t>10</t>
  </si>
  <si>
    <t xml:space="preserve">  Ерөнхий ба удирдлагын зардал</t>
  </si>
  <si>
    <t>11</t>
  </si>
  <si>
    <t xml:space="preserve">  Санхүүгийн зардал</t>
  </si>
  <si>
    <t>12</t>
  </si>
  <si>
    <t xml:space="preserve">  Бусад зардал</t>
  </si>
  <si>
    <t>13</t>
  </si>
  <si>
    <t xml:space="preserve">  Гадаад валютын ханшийн зөрүүний олз ( гарз )</t>
  </si>
  <si>
    <t>14</t>
  </si>
  <si>
    <t xml:space="preserve">  Үндсэн хөрөнгө данснаас хассаны олз ( гарз )</t>
  </si>
  <si>
    <t>15</t>
  </si>
  <si>
    <t xml:space="preserve">  Биет бус хөрөнгө данснаас хассаны олз ( гарз )</t>
  </si>
  <si>
    <t>16</t>
  </si>
  <si>
    <t xml:space="preserve">  Хөрөнгө орлуулалт борлуулсанаас үүссэн олз ( гарз )</t>
  </si>
  <si>
    <t>17</t>
  </si>
  <si>
    <t xml:space="preserve">  Бусад ашиг ( алдагдал )</t>
  </si>
  <si>
    <t>18</t>
  </si>
  <si>
    <t xml:space="preserve">  Татвар төлөхийн өмнөх ашиг ( алдагдал )</t>
  </si>
  <si>
    <t>19</t>
  </si>
  <si>
    <t xml:space="preserve">  Орлогын татварын зардал</t>
  </si>
  <si>
    <t>20</t>
  </si>
  <si>
    <t xml:space="preserve">  Татварын дараах ашиг ( алдагдал )</t>
  </si>
  <si>
    <t>21</t>
  </si>
  <si>
    <t xml:space="preserve">  Зогсоосон үйл ажиллагааны татварын дараах ашиг ( алдагдал )</t>
  </si>
  <si>
    <t>22</t>
  </si>
  <si>
    <t xml:space="preserve">  Тайлант үеийн цэвэр ашиг ( алдагдал )</t>
  </si>
  <si>
    <t>23</t>
  </si>
  <si>
    <t xml:space="preserve">  Бусад дэлгэрэнгүй орлого</t>
  </si>
  <si>
    <t>23.1</t>
  </si>
  <si>
    <t xml:space="preserve">  Хөрөнгийн дахин үнэлгээний нэмэгдэлийн зөрүү</t>
  </si>
  <si>
    <t>23.2</t>
  </si>
  <si>
    <t xml:space="preserve">  Гадаад валютын хөрвүүлэлтийн зөрүү</t>
  </si>
  <si>
    <t>23.3</t>
  </si>
  <si>
    <t xml:space="preserve">  Бусад олз ( гарз )</t>
  </si>
  <si>
    <t>24</t>
  </si>
  <si>
    <t xml:space="preserve">  Орлогын нийт дүн</t>
  </si>
  <si>
    <t>25</t>
  </si>
  <si>
    <t xml:space="preserve">  Нэгж хувьцаанд ноогдох суурь ашиг ( алдагдал )</t>
  </si>
  <si>
    <t xml:space="preserve">Өссөн дүн </t>
  </si>
  <si>
    <t>ОРЛОГЫН ДЭЛГЭРЭНГҮЙ ТАЙЛАН</t>
  </si>
  <si>
    <t>Касс мөнгө USD</t>
  </si>
  <si>
    <t>Мөнгөн хөрөнгийн клиринг</t>
  </si>
  <si>
    <t xml:space="preserve">Дансны авлага MNT </t>
  </si>
  <si>
    <t>Дансны авлага USD</t>
  </si>
  <si>
    <t>Компани хоорондын авлага MNT</t>
  </si>
  <si>
    <t>Компани хоорондын авлага USD</t>
  </si>
  <si>
    <t>Компани хоорондын авлага - Зээлийн хүүгийн авлага MNT</t>
  </si>
  <si>
    <t>Бусад авлага USD</t>
  </si>
  <si>
    <t xml:space="preserve">Ажилчидын дараа тайлангийн тооцоо </t>
  </si>
  <si>
    <t>Борлуулалтын авлагын түр тооцоо MNT</t>
  </si>
  <si>
    <t>Борлуулалтын авлагын түр тооцооUSD</t>
  </si>
  <si>
    <t xml:space="preserve">Барилгын материал </t>
  </si>
  <si>
    <t xml:space="preserve">Сэлбэг хэрэгсэл </t>
  </si>
  <si>
    <t>Урьдчилж төлсөн тооцоо USD</t>
  </si>
  <si>
    <t>Урьдчилж төлсөн зардал USD</t>
  </si>
  <si>
    <t xml:space="preserve">Төмөр зам </t>
  </si>
  <si>
    <t>Дансны өглөг USD</t>
  </si>
  <si>
    <t xml:space="preserve">Компани хоорондын өглөг - Шинэст Констракшн ХХК </t>
  </si>
  <si>
    <t>Банкны богино хугацаат зээл USD</t>
  </si>
  <si>
    <t>Хувь хүнд өгөх өглөг USD</t>
  </si>
  <si>
    <t>Урьдчилж орсон орлого USD</t>
  </si>
  <si>
    <t>Урт хугацаат зээл USD</t>
  </si>
  <si>
    <t>Хувийн өмч</t>
  </si>
  <si>
    <t>Борлуулсан барааны өртөг - Бусад</t>
  </si>
  <si>
    <t>Захиргааны зардал</t>
  </si>
  <si>
    <t>Мэргэжлийн байгууллагаар гүйцэтгүүслэн ажил үйлчилгээ</t>
  </si>
  <si>
    <t>Эрэл хайгуулын зардал, БОНС зардал</t>
  </si>
  <si>
    <t xml:space="preserve">Урьдчилж төлсөн зардал MNT </t>
  </si>
  <si>
    <t xml:space="preserve">Дуусаагүй барилга-1 </t>
  </si>
  <si>
    <t>Хур. элэгдэл - Барилга байгууламж</t>
  </si>
  <si>
    <t>Хур. элэгдэл - Тавилга эд хогшил</t>
  </si>
  <si>
    <t>Хур. элэгдэл - Машин тоног төхөөрөмж</t>
  </si>
  <si>
    <t>Хур. элэгдэл - Тээврийн хэрэгсэл</t>
  </si>
  <si>
    <t>Хур. элэгдэл - Бусад үндсэн хөрөнгө</t>
  </si>
  <si>
    <t>Хур. элэгдэл - Багаж хэрэгсэл</t>
  </si>
  <si>
    <t>Хур. элэгдэл - Комъпютер, дагалдах хэрэгсэл</t>
  </si>
  <si>
    <t xml:space="preserve">Хөрөнгийн нэр </t>
  </si>
  <si>
    <t>огноо</t>
  </si>
  <si>
    <t>тоо</t>
  </si>
  <si>
    <t xml:space="preserve">өртөг </t>
  </si>
  <si>
    <t>Эхний үлд</t>
  </si>
  <si>
    <t xml:space="preserve">Орлого </t>
  </si>
  <si>
    <t>Эцсийн үлд</t>
  </si>
  <si>
    <t xml:space="preserve">Элэгдэл </t>
  </si>
  <si>
    <t xml:space="preserve">Хур.Элэгдэл-С1 </t>
  </si>
  <si>
    <t xml:space="preserve">Хур.Элэгдэл-С2 </t>
  </si>
  <si>
    <t>Дансны үнэ</t>
  </si>
  <si>
    <t>Хас.Элэгдэл</t>
  </si>
  <si>
    <t>Жил</t>
  </si>
  <si>
    <t xml:space="preserve">Газар эзэмших эрх </t>
  </si>
  <si>
    <t>Зээлийн хүүгийн өглөг MNT</t>
  </si>
  <si>
    <t>Зээлийн хүүгийн өглөг USD</t>
  </si>
  <si>
    <t>ш</t>
  </si>
  <si>
    <t xml:space="preserve">Балансын дүн </t>
  </si>
  <si>
    <t xml:space="preserve">Маягт ТТ- 02        </t>
  </si>
  <si>
    <t>Татварын Ерөнхий Газрын даргын 2012 оны 05 сарын</t>
  </si>
  <si>
    <t xml:space="preserve"> 10-ны өдрийн 492 дугаар тушаалын 2 дүгээр хавсралт</t>
  </si>
  <si>
    <t xml:space="preserve"> Үндэсний татварын алба</t>
  </si>
  <si>
    <t xml:space="preserve">Аж ахуйн нэгжийн орлогын албан татварын тайлан </t>
  </si>
  <si>
    <t xml:space="preserve">5. Татвар төлөгчийн одоогийн хаяг :          </t>
  </si>
  <si>
    <t xml:space="preserve"> </t>
  </si>
  <si>
    <t>8. Салбар компанийн тоо |__|__|__|,  нэрс ________________</t>
  </si>
  <si>
    <t>9. Гадаадын хөрөнгө оруулалтын эзлэх хувь |__|__|, хэмжээ _____________________</t>
  </si>
  <si>
    <t xml:space="preserve">А. Нийтлэг хувь хэмжээгээр ногдуулах татварын тооцоолол:  </t>
  </si>
  <si>
    <t xml:space="preserve">       </t>
  </si>
  <si>
    <t xml:space="preserve">   (төгрөгөөр)        </t>
  </si>
  <si>
    <t>Үзүүлэлтүүд</t>
  </si>
  <si>
    <t>Мөр</t>
  </si>
  <si>
    <t>Татвар төлөгчийн тодорхойл-сон</t>
  </si>
  <si>
    <t>Татварын алба хүлээн авсан</t>
  </si>
  <si>
    <t>1. Нийт борлуулалтын орлогын дүн (мөр 2+3+4+5+6)</t>
  </si>
  <si>
    <t>үүнээс:</t>
  </si>
  <si>
    <t>1.1. Татвараас чөлөөлөгдөх орлогын дүн (ТТ-02б маягтын А хэсгийн дүн)</t>
  </si>
  <si>
    <t>1.2. Тусгай хувь хэмжээгээр татвар ногдох орлогын дүн (Хүснэгт Б, мөр 32+34+39+41+43)</t>
  </si>
  <si>
    <t>1.3. Хуулийн дагуу бусдад татвар суутгуулсан орлогын дүн (Хүснэгт В, мөр 46+48+50+52)</t>
  </si>
  <si>
    <t>1.4. Бусад орлогын дүн</t>
  </si>
  <si>
    <t>1.5. Нийтлэг хувь хэмжээгээр татвар ногдох орлогын дүн (мөр 7+8+...+21)</t>
  </si>
  <si>
    <t xml:space="preserve">Үндсэн үйлдвэрлэл, ажил үйлчилгээний борлуулалтын орлого </t>
  </si>
  <si>
    <t>Туслах үйлдвэрлэл, ажил үйлчилгээний борлуулалтын орлого</t>
  </si>
  <si>
    <t>Хувьцаа, үнэт цаас борлуулсны орлого</t>
  </si>
  <si>
    <t>Үнэ төлбөргүйгээр бусдаас авсан бараа, ажил, үйлчилгээ</t>
  </si>
  <si>
    <t>Техникийн, удирдлагын зөвлөх болон бусад үйлчилгээний орлого</t>
  </si>
  <si>
    <t>Гэрээгээр хүлээсэн үүргээ биелүүлээгүй этгээдээс авсан хүү, анз /торгууль, алданги/, хохирлын нөхөн төлбөрийн орлого</t>
  </si>
  <si>
    <t>Гадаад валютын ханшны зөрүүгийн бодит орлого</t>
  </si>
  <si>
    <t>Хөдлөх болон үл хөдлөх эд хөрөнгийн түрээсийн орлого</t>
  </si>
  <si>
    <t>Хөдлөх эд хөрөнгө борлуулсны орлого</t>
  </si>
  <si>
    <t>Албан татвар ногдох бусад орлого</t>
  </si>
  <si>
    <t>2. Борлуулсан бүтээгдэхүүний өртөг</t>
  </si>
  <si>
    <t xml:space="preserve">3. Удирдлагын болон борлуулалтын үйл ажиллагааны зардал </t>
  </si>
  <si>
    <t>4. Үндсэн бус үйл ажиллагааны зардал</t>
  </si>
  <si>
    <t>5. Татварын өмнөх ашиг +, алдагдал-   (мөр 1-18-19-20)</t>
  </si>
  <si>
    <t>6. Хуульд заасан татвар ногдох орлогоос хасагдахгүй зардлын дүн буюу “Санхүүгийн болон орлогын албан татварын тайлангийн үзүүлэлт хоорондын зөрүүг зохицуулах тайлан”-гийн А1, В3 мөрийн нийлбэр дүн /татварын өмнөх ашгийг нэмэгдүүлэх дүн/</t>
  </si>
  <si>
    <t>7. “Санхүүгийн болон орлогын албан татварын тайлангийн үзүүлэлт хоорондын зөрүүг зохицуулах тайлан”-гийн А2, В4 мөрийн дүн буюу татвар ногдуулах орлогыг бууруулах дүн</t>
  </si>
  <si>
    <t>8. Татвар ногдуулах орлогын дүн (мөр 21+22-23)</t>
  </si>
  <si>
    <t>9. Сайн дурын даатгалын хураамжийн хэтрэлт (“Санхүүгийн болон орлогын албан татварын тайлангийн үзүүлэлт хоорондын зөрүүг зохицуулах тайлан”-гийн 5.1 дэх мөрийн дүн)</t>
  </si>
  <si>
    <t>10. Зохицуулагдсан татвар ногдуулах орлогын дүн (мөр 24+25)</t>
  </si>
  <si>
    <t>11. Өмнөх жилүүдийн татварын тайлангаар гарсан татварын албаар баталгаажуулсан алдагдлаас тайлант хугацаанд шилжүүлсэн дүн (ТТ-02в маягтын А хэсгийн 3-р дахь хэсгийн дүн)</t>
  </si>
  <si>
    <t>12. Нийтлэг хувь хэмжээгээр татвар ногдуулах орлогын дүн (мөр 26-27)</t>
  </si>
  <si>
    <t>13. Ногдуулсан татвар (мөр 28* хуулийн 17.1-д заасан хувиар)</t>
  </si>
  <si>
    <t>14. Хөнгөлөгдөх татварын дүн  (ТТ-02б маягтын Б хэсгийн дүн)</t>
  </si>
  <si>
    <t>15. НИЙТЛЭГ ХУВЬ ХЭМЖЭЭГЭЭР ТӨЛБӨЛ ЗОХИХ АЛБАН ТАТВАР (мөр 29-30)</t>
  </si>
  <si>
    <t>Б. Тусгай хувь хэмжээгээр ногдуулах татварын тооцоолол:</t>
  </si>
  <si>
    <t>16. Эротик хэвлэл, ном зохиол, дүрс бичлэг худалдсан буюу төлбөртэй ашиглуулсан, эротик тоглолт явуулсан үйлчилгээний орлого</t>
  </si>
  <si>
    <t>Эротик хэвлэл, ном зохиол, дүрс бичлэг худалдсан буюу төлбөртэй ашиглуулсан, эротик тоглолт явуулсан үйлчилгээний орлогод ногдуулсан татвар (32х40%)</t>
  </si>
  <si>
    <t>17.Төлбөрт таавар, бооцоот тоглоом, эд мөнгөний хонжворт сугалааны орлого</t>
  </si>
  <si>
    <t>Баримтаар нотлогдох зардал</t>
  </si>
  <si>
    <t>Хонжворт олгосон мөнгө болон барааны үнэ</t>
  </si>
  <si>
    <t>Татвар ногдуулах орлого (мөр 34-35-36)</t>
  </si>
  <si>
    <t>Ногдуулсан татвар (37x40%)</t>
  </si>
  <si>
    <t>18.Хүүгийн орлого</t>
  </si>
  <si>
    <t>Хүүгийн орлогод ногдуулсан татвар (39 x 10%)</t>
  </si>
  <si>
    <t>19. Давхар татварын гэрээтэй гадаад улсад олсон тухайн гэрээнд заасны дагуу Монгол Улсад татвар ногдуулах ногдол ашиг, хүүгийн орлого</t>
  </si>
  <si>
    <t>Давхар татварын гэрээний заалтын дагуу Монгол Улсад татвар төлөх ногдол ашиг, хүүгийн орлогод ногдох татвар (мөр 41 x гэрээнд заасан хувиар)</t>
  </si>
  <si>
    <t>20. Гадаад улсад олсон ААНОАТ-ын хуульд заасан тусгайлсан хувь хэмжээгээр албан татвар ногдуулах орлого /суутгагч нь оршин суугч бус этгээд бол/</t>
  </si>
  <si>
    <t xml:space="preserve"> Гадаад улсад олсон ААНОАТ-ын хуульд заасан тусгайлсан хувь хэмжээгээр албан татвар ногдуулах орлогод суутгасан татвар (мөр 43 x хуульд  заасан хувиар)</t>
  </si>
  <si>
    <t xml:space="preserve">21. ТУСГАЙ ХУВЬ ХЭМЖЭЭГЭЭР ТӨЛБӨЛ ЗОХИХ АЛБАН ТАТВАРЫН ДҮН 
                                                  (мөр 33+38+40+42+44) </t>
  </si>
  <si>
    <t>В. Хуулийн дагуу бусдад суутгуулсан татварын тооцоолол:</t>
  </si>
  <si>
    <t>22. Ногдол ашгийн орлого</t>
  </si>
  <si>
    <t>Ногдол ашгийн орлогод суутгуулсан татвар (мөр 46*10 хувь)</t>
  </si>
  <si>
    <t>23. Эрхийн шимтгэлийн орлого</t>
  </si>
  <si>
    <t>Эрхийн шимтгэлийн орлогод суутгуулсан татвар (мөр 48*10 хувь)</t>
  </si>
  <si>
    <t>24. Эрх борлуулсны орлого</t>
  </si>
  <si>
    <t>Эрх борлуулсны орлогод суутгуулсан татвар (мөр 50*10 хувь)</t>
  </si>
  <si>
    <t>25. Үл хөдлөх эд хөрөнгө борлуулсны орлого</t>
  </si>
  <si>
    <t>Үл хөдлөх эд хөрөнгө борлуулсны орлогод ногдуулсан татвар (мөр 52х2% )</t>
  </si>
  <si>
    <t xml:space="preserve">26. ХУУЛИЙН ДАГУУ БУСДАД СУУТГУУЛСАН АЛБАН ТАТВАРЫН ДҮН 
                                                  (мөр 47+49+51+53) </t>
  </si>
  <si>
    <t>23. НИЙТ ТӨЛБӨЛ ЗОХИХ ТАТВАРЫН ДҮН (Хүснгэт А, мөр 31+ХүснэгтБ, мөр 45+ Маягт ТТ-13, мөр24 )</t>
  </si>
  <si>
    <t xml:space="preserve">Г.Татварын тооцоолол:              </t>
  </si>
  <si>
    <t xml:space="preserve">Дебет  </t>
  </si>
  <si>
    <t>Илүү</t>
  </si>
  <si>
    <t>Дутуу</t>
  </si>
  <si>
    <t>Тайлант хугацаанд хогдуулсан татвар (мөр 55)</t>
  </si>
  <si>
    <t>Тайлант хугацаанд дансаар төлсөн</t>
  </si>
  <si>
    <t>Гүйцэтгэл</t>
  </si>
  <si>
    <t>Өөрчлөлт /+,-/</t>
  </si>
  <si>
    <t>Татварын алба болон татвар төлөгч хоорондын тооцоогоор төлсөн</t>
  </si>
  <si>
    <t>Бусад татварын илүү төлөлтөөс суутган тооцсон</t>
  </si>
  <si>
    <t>Буцаан олгосон болон хүчингүй болгосон татвар</t>
  </si>
  <si>
    <t>Илүү төлөлтөөс бусад татварын өрөнд суутган тооцсон</t>
  </si>
  <si>
    <t xml:space="preserve">Тайланг үнэн зөв гаргасан:                                           </t>
  </si>
  <si>
    <t>Тайланг хүлээн авсан:</t>
  </si>
  <si>
    <t xml:space="preserve">Татварын улсын байцаагч:  . . . . . . . . . . . . </t>
  </si>
  <si>
    <t>20   оны     сарын       өдөр</t>
  </si>
  <si>
    <t>Албан татвар төлөгч нь улирлын тайланг дараа улирлын эхний сарын 20-ны дотор, жилийн тайланг дараа оны 2 сарын 10-ны дотор</t>
  </si>
  <si>
    <t>харъяалах татварын албанд тушаана.</t>
  </si>
  <si>
    <t>Татвар төлөгчийн тодорхойлсон</t>
  </si>
  <si>
    <t>Албан татвар ногдох орлогоос хасагдах нийт зардлын дүн /мөр 2+…+44/</t>
  </si>
  <si>
    <t>ҮҮНЭЭС:</t>
  </si>
  <si>
    <t>Түүхий эд, үндсэн болон туслах материал, хагас боловсруулсан бүтээгдэхүүн, уур, ус, эрчим хүч, түлш, шатахуун, сэлбэг хэрэгсэл, сав, баглаа боодлын зэрэг бүх төрлийн материалын зардал;</t>
  </si>
  <si>
    <t>Цалин, хөдөлмөрийн хөлс, нэмэгдэл хөлс /нийгмийн болон ЭМД-ын шимтгэл, хувь хүний орлогын албан татвар ногдуулж төлсөн/</t>
  </si>
  <si>
    <t xml:space="preserve">Эрүүл мэнд, нийгмийн даатгалын шимтгэл </t>
  </si>
  <si>
    <t>Ажиллагчдад олгосон шагнал урамшуулал, байр, орон сууцны хөлсний болон унаа, хоол, түлшний үнийн хөнгөлөлт</t>
  </si>
  <si>
    <t>Үндсэн хөрөнгийн элэгдэл, хорогдлын шимтгэл</t>
  </si>
  <si>
    <t>Урсгал засварын зардал (үл хөдлөх эд хөрөнгийн хувьд үлдэгдэл өртгийн 2 хувь, бусад хөрөнгийн хувьд үлдэгдэл өртгийн 5 хувиас хэтрээгүй дүн )</t>
  </si>
  <si>
    <t xml:space="preserve">Үндсэн болон туслах үйлдвэрлэл, ажил үйлчилгээг явуулах, хөрөнгө худалдан авах зорилгоор авсан зээлийн хүүгийн зардал </t>
  </si>
  <si>
    <t>Гадаад валютын ханшийн зөрүүгийн бодит алдагдал</t>
  </si>
  <si>
    <t>Бусдаар гүйцэтгүүлсэн ажил, үйлчилгээний хөлс</t>
  </si>
  <si>
    <t>Түрээсийн төлбөр</t>
  </si>
  <si>
    <t>Санхүүгийн түрээсийн төлбөрийн хүү</t>
  </si>
  <si>
    <t>Мэргэжлийн сонин, сэтгүүлийн захиалга</t>
  </si>
  <si>
    <t xml:space="preserve">Заавал даатгуулах даатгалын хураамж </t>
  </si>
  <si>
    <t>Сайн дурын даатгалын хураамж /татвар ногдуулах орлогын 15 хувиас хэтрээгүй дүн/</t>
  </si>
  <si>
    <t xml:space="preserve">Хадгаламж зээлийн үйл ажиллагаа эрхэлдэг хоршооны зээлийн эрсдэлийн санд, бусад үйл ажиллагаа эрхэлдэг хоршооны болзошгүй алдагдлын нөөц санд төвлөрүүлсэн хөрөнгө /хэвийн зээлийн үлдэгдэлд нөөц байгуулж, санд төвлөрүүлсэн хөрөнгө орохгүй/   </t>
  </si>
  <si>
    <t>Банк, банк бус санхүүгийн байгууллагын зээл төлөгдөхөд учирч болзошгүй алдагдлаас хамгаалах санд төвлөрүүлсэн хөрөнгө / хэвийн зээлийн үлдэгдэлд нөөц байгуулж, санд төвлөрүүлсэн хөрөнгө орохгүй /</t>
  </si>
  <si>
    <t>Мэргэжлийн сургалт үйлдвэрлэлийн төвийн сурагчдын үйлдвэрлэл дээрхи дадлага хийхтэй холбогдон гарсан зардал</t>
  </si>
  <si>
    <t>Албан томилолтын зардал /төрийн албан хаагчийн албан томилолтын зардлыг 2 дахин нэмэгдүүлснээс хэтрээгүй дүн/</t>
  </si>
  <si>
    <t>Үр бордоо, мал амьтны тэжээл, эм тарилга, ургамал хамгааллын арга хэмжээнд зарцуулсан зардал</t>
  </si>
  <si>
    <t>Бага үнэтэй түргэн элэгдэх зүйлийн зардал</t>
  </si>
  <si>
    <t>Хөдөлмөр хамгааллын зардал</t>
  </si>
  <si>
    <t>Холбоо, бичиг хэрэг, цэвэрлэгээ, харуул хамгаалалтын зардал</t>
  </si>
  <si>
    <t>Гамшгийн улмаас учирсан хохирлыг арилгахад гарсан зардал</t>
  </si>
  <si>
    <t>Бараа материалын хэвийн хорогдол /Засгийн газрын тогтоолоор батлагдсан хэмжээнээс хэтрээгүй дүн , Засгийн газрын тогтоолоор хэмжээг нь батлаагүй бүтээгдэхүүн, бараа, материалд тооцсон хэвийн хорогдлын дүнг оруулахгүй/</t>
  </si>
  <si>
    <t>Ашигт малтмалын тухай хуулийн 38.1.8, 39.1.9-т заасны дагуу байгаль орчныг нөхөн сэргээх зорилгоор төвлөрүүлсэн мөнгөн хөрөнгө</t>
  </si>
  <si>
    <t>Мэргэжлийн сургалт-үйлдвэрлэлийн төвийн  сургалтын орчныг бүрдүүлэх, дадлагын газрыг тоног төхөөрөмжөөр хангах, дадлагын байрыг засварласан зардал</t>
  </si>
  <si>
    <t>Мэргэжлийн сургалт-үйлдвэрлэлийн төвийн багш нарыг дадлагажуулсан зардал</t>
  </si>
  <si>
    <t xml:space="preserve">Өөрийн захиалгаар мэргэжилтэн бэлтгүүлэх зорилгоор мэргэжлийн боловсрол, сургалтын байгууллагад үзүүлсэн санхүүгийн дэмжлэг </t>
  </si>
  <si>
    <t xml:space="preserve">Мэргэжлийн боловсрол, сургалтыг дэмжих санд оруулсан хандив, хөрөнгө </t>
  </si>
  <si>
    <t>Хувьцаа худалдаж авсан үнэ, эсхүл тухайн хувьцаанд ногдох эзэмшигчийн өмчийн хэсэг</t>
  </si>
  <si>
    <t>Үйлдвэрлэл, технологийн паркийн эрчим хүч үйлдвэрлэх, дамжуулах шугам сүлжээ, цэвэр усан хангамж, бохир усны шугам, цэвэрлэх байгууламж, авто зам, төмөр зам, харилцаа холбооны дэд бүтэц бий болгоход оруулсан хөрөнгө</t>
  </si>
  <si>
    <t>Тусгай зориулалтын компани болон орон сууцны санхүүжилтийн компаниас хөрөнгөөр баталгаажсан үнэт цаас эзэмшигчид шилжүүлсэн үнэт цаасны төлбөр болон хүүгийн төлбөр.</t>
  </si>
  <si>
    <t>Нийслэлийн агаарын бохирдлыг бууруулах зорилгоор өгсөн хандив</t>
  </si>
  <si>
    <t>Хөгжлийн бэрхшээлтэй иргэдээс үүсгэн байгуулсан төрийн бус байгууллагыг дэмжих зорилгоор хандивласан 1 сая хүртэлх төгрөгийн хандив</t>
  </si>
  <si>
    <t>Төсөвт төлөхөөр тайлагнасан онцгой албан татвар</t>
  </si>
  <si>
    <t>Төсөвт төлөхөөр тайлагнасан үл хөдлөх эд хөрөнгийн албан татвар</t>
  </si>
  <si>
    <t>Төсөвт төлөхөөр тайлагнасан АТБӨЯХ-ийн албан татвар</t>
  </si>
  <si>
    <t xml:space="preserve">Төсөвт төлөхөөр тайлагнасан газрын төлбөр </t>
  </si>
  <si>
    <t>Төсөвт төлөхөөр тайлагнасан ашигт малтмалын нөөц ашигласны төлбөр</t>
  </si>
  <si>
    <t>Төсөвт төлөхөөр тайлагнасан ашигт малтмалаас бусад байгалийн баялаг ашигласны төлбөр, хураамж</t>
  </si>
  <si>
    <t>Тодруулгыг үнэн зөв тайлагнасан:                                                    Тодруулгыг хүлээн авсан:</t>
  </si>
  <si>
    <t>20   оны   сарын   өдөр</t>
  </si>
  <si>
    <t>өдрийн 02 тоот тушаалын 3 дóгààр хавсралт</t>
  </si>
  <si>
    <t xml:space="preserve">       ҮНДЭСНИЙ ТАТВАРЫН АЛБА   маягт ТТ-11</t>
  </si>
  <si>
    <t xml:space="preserve">Öàëèí, õºäºëìºðèéí õºëñ, òýäãýýðòýé àäèëòãàõ </t>
  </si>
  <si>
    <t xml:space="preserve">îðëîãî áîëîí øóóä áóñ îðëîãîîñ ñóóòãàñàí àëáàí òàòâàðûí òàéëàí </t>
  </si>
  <si>
    <t>Зєвхєн татварын албан ажлын хэрэгцээнд</t>
  </si>
  <si>
    <t>БТД: /_/_/_/_/_/_/_/_/_/_/_/_/_/_/</t>
  </si>
  <si>
    <t>Татварын байцаагч:/_/_/_/_/_/_/</t>
  </si>
  <si>
    <t>(Тайлангийн їзїїлэлтїїдийг оны эхнээс єссєн дїнгээр бєглєíº)</t>
  </si>
  <si>
    <t xml:space="preserve">Хүлээн авсан огноо </t>
  </si>
  <si>
    <t>_ _ _ _ _ _ _ _ _ _ _ _ _ _ _ _ _</t>
  </si>
  <si>
    <t xml:space="preserve">      I.ØÓÓÄ ÎÐËÎÃÎ                                                                                                                                                          </t>
  </si>
  <si>
    <t>¯ç¿¿ëýëò</t>
  </si>
  <si>
    <t>Ìºð</t>
  </si>
  <si>
    <t>Òàòâàð òºëºã÷èéí òîî</t>
  </si>
  <si>
    <t>Ä¿í</t>
  </si>
  <si>
    <t>I</t>
  </si>
  <si>
    <t>II</t>
  </si>
  <si>
    <t>III</t>
  </si>
  <si>
    <t>IV</t>
  </si>
  <si>
    <t>1.Öàëèí, õºäºëìºðèéí õºëñ, øàãíàë, óðàìøóóëàë áîëîí òýäãýýðòýé àäèëòãàõ õºäºëìºð ýðõëýëòèéí îðëîãî    (2+3)</t>
  </si>
  <si>
    <t>1.2 ¯íäñýí àæëûí ãàçðààñ áóñàä õóóëèéí ýòãýýä áîëîí õóâü õ¿íòýé áàéãóóëñàí ãýðýýíèé ¿íäñýí äýýð àæèë, ¿¿ðýã ã¿éöýòãýæ àâñàí õºäºëìºðèéí õºëñ, øàãíàë, óðàìøóóëàë, òýäãýýðòýé àäèëòãàõ îðëîãî (мян.тєг)</t>
  </si>
  <si>
    <t>2. Эрїїл мэндийн болон нийгмийн даатгалын шимтгэлийн дїн</t>
  </si>
  <si>
    <t>3. Татвар ногдуулах орлогын дїн    (1-4)</t>
  </si>
  <si>
    <t>4. Íîãäóóëñàí òàòâàð  (5*10 õóâü)</t>
  </si>
  <si>
    <t>5. Àæèë îëãîã÷îîñ àæèëòàí, ò¿¿íèé ãýð á¿ëèéí ãèø¿¿íä îëãîñîí òýòãýìæ áîëîí ò¿¿íòýé àäèëòãàõ áóñàä îðëîãîä íîãäóóëñàí òàòâàð  (8*10 õóâü)</t>
  </si>
  <si>
    <t>5.1 Àæèë îëãîã÷îîñ àæèëòàí, ò¿¿íèé ãýð á¿ëèéí ãèø¿¿íä îëãîñîí òýòãýìæ áîëîí ò¿¿íòýé àäèëòãàõ áóñàä îðëîãî</t>
  </si>
  <si>
    <t>6. Àæèë îëãîã÷îîñ àæèëòàí, ò¿¿íèé ãýð á¿ëèéí ãèø¿¿íä ºãñºí áýëãýíä íîãäóóëñàí òàòâàð      (10*10 õóâü)</t>
  </si>
  <si>
    <t>6.1Àæèë îëãîã÷îîñ àæèëòàí, ò¿¿íèé ãýð á¿ëèéí ãèø¿¿íä ºãñºí áýëýã</t>
  </si>
  <si>
    <t>7.1 Òºëººëºí óäèðäàõ çºâëºë, õÿíàëòûí çºâëºë, îðîí òîîíû áóñ çºâëºë áîëîí áóñàä çºâëºë, õîðîî, àæëûí õýñãèéí ãèø¿¿íèé öàëèí õºëñ, øàãíàë, óðàìøóóëàë, òýäãýýðòýé àäèëòãàõ îðëîãî</t>
  </si>
  <si>
    <t>8. Ãàäààä, äîòîîäûí àæ àõóéí íýãæ, áàéãóóëëàãà, èðãýí áîëîí áóñàä ýòãýýäýýñ ºãñºí á¿õ òºðëèéí øàãíàë, óðàìøóóëàëä íîãäóóëñàí òàòâàð   (14*10 õóâü)</t>
  </si>
  <si>
    <t>8.1 Ãàäààä, äîòîîäûí àæ àõóéí íýãæ, áàéãóóëëàãà, èðãýí áîëîí áóñàä ýòãýýäýýñ ºãñºí á¿õ òºðëèéí øàãíàë, óðàìøóóëàë</t>
  </si>
  <si>
    <t>10. Õºíãºëºãäºõ  òàòâàðûí ä¿í</t>
  </si>
  <si>
    <t xml:space="preserve"> à/ õóóëèéí 24.1-ä çààñàí òàòâàðûí õºíãºëºëò ¿ç¿¿ëñíèé äàðàà òàòâàð íîãäîõ  èðãýäèéí òîî, õºíãºëºãäñºí òàòâàðûí ä¿í</t>
  </si>
  <si>
    <t>á/ õóóëèéí 24.1-ä çààñàí òàòâàðûí õºíãºëºëò ¿ç¿¿ëñíèé äàðàà òàòâàð íîãäîõã¿é èðãýäèéí òîî, õºíãºëºãäñºí òàòâàðûí ä¿í</t>
  </si>
  <si>
    <t>11. Ñóóòãàâàë çîõèõ òàòâàðûí ä¿í</t>
  </si>
  <si>
    <t>II.ØÓÓÄ ÁÓÑ ÎÐËÎÃÎ</t>
  </si>
  <si>
    <t>12. Øóóä áóñ îðëîãûí íèéò ä¿í (20)</t>
  </si>
  <si>
    <t>12.1.1 ¯íý òºëáºðã¿é, ýñõ¿ë õºíãºëºëòòýé ¿íýýð òýýâðèéí õýðýãñëýýð ¿éë÷ëýõ, ò¿¿í÷ëýí óíààíû ìºíãèéã áýëíýýð îëãîõ</t>
  </si>
  <si>
    <t>12.1.2 îðîí ñóóöíû àøèãëàëòûí çàðäëûí òºëáºð, áàéðíû õºëñ, ò¿ëøíèé ìºíãèéã áýëíýýð îëãîõ</t>
  </si>
  <si>
    <t>12.1.3 õîîëíû ìºíãèéã áýëíýýð îëãîõ, ¿çâýð ¿éë÷èëãýýíèé îëãîâîð</t>
  </si>
  <si>
    <t>12.1.4. àõóéí ¿éë÷ëýã÷, æîëîî÷, öýöýðëýã÷èéí áîëîí áóñàä ¿éë÷èëãýý ¿ç¿¿ëýõ</t>
  </si>
  <si>
    <t>12.1.5 àæèë îëãîã÷èä, ýñõ¿ë áóñàä ýòãýýäýä òºëºõ ºð áàðàãäóóëñíû òºëáºð</t>
  </si>
  <si>
    <t>12.1.6 àðèëæààíû çýýëèéí õ¿¿ãýýñ äîîãóóð õ¿¿òýé îëãîñîí õ¿¿ãèéí çºð¿¿</t>
  </si>
  <si>
    <t>12.1.7 àäèëòãàõ áóñàä îðëîãî</t>
  </si>
  <si>
    <t xml:space="preserve">12.2.1 Òóõàéí àæëûí áàéðàíä àæëûí öàãààð àæèëëóóëäàã öàéíû ãàçàð, êàôå, àìðàëòûí ºðººíä á¿õ àæèëòíûã àäèë íºõöºëººð õîîëîîð õàíãàñàí    </t>
  </si>
  <si>
    <t>12.2.2 Ñóóðèí ãàçðààñ àëñëàãäñàí àæëûí áàéðàíä àæèëëàäàã àæèëëàãñäûã àìðàõ áàéð, áóñàä ¿éë÷èëãýýãýýð õàíãàõ, òóõàéí àæëûí áàéðàíä èðýõ, áóöàõàä íýãäñýí æóðìààð óíààãààð ¿éë÷ëýõ</t>
  </si>
  <si>
    <t xml:space="preserve">12.2.3 Îðîí ñóóö õóäàëäàí àâàõ áàðèõàä çîðèóëæ àæèëòàíä àðèëæààíû çýýëèéí õ¿¿ãýýñ äîîãóóð õ¿¿òýé îëãîñîí çýýëèéí õ¿¿ãèéí çºð¿¿    </t>
  </si>
  <si>
    <t xml:space="preserve">12.2.4 Ýì÷èëãýýíèé çàðäàë </t>
  </si>
  <si>
    <t>13. Øóóä áóñ îðëîãîä íîãäóóëñàí òàòâàð  (20*10 õóâü)</t>
  </si>
  <si>
    <t>14. Ñóóòãàâàë çîõèõ íèéò òàòâàðûí ä¿í   (18+33)</t>
  </si>
  <si>
    <t>15. Шинээр орон сууц барьсан, худалдан авсан ажиллагсдын татварын илүү төлөлтийг ажил олгогчоос буцаан олгосон орлогын дүн</t>
  </si>
  <si>
    <t>16. Сургалтын төлбөр төлсөн ажиллагсдын татварын илүү төлөлтийг ажил олгогчоос буцаан олгосон орлогын дүн</t>
  </si>
  <si>
    <t>17. Илүү төлөлтийн буцаан олголтыг суутгасны дараахь төлбөл зохих татварын дүн</t>
  </si>
  <si>
    <t>III.ТАТВАР ТООЦООЛОЛ</t>
  </si>
  <si>
    <t>Äò</t>
  </si>
  <si>
    <t>Êò</t>
  </si>
  <si>
    <t>Óðüä òàéëàíãèéí ýöñèéí èë¿¿ /Êò/, äóòóó /Äò/</t>
  </si>
  <si>
    <t>Òàéëàíò õóãöààíû òºëáºë çîõèõ òàòâàðûí ä¿í /Äò/</t>
  </si>
  <si>
    <t>Ñóóòãàí òîîöîæ òºñºâò øèëæ¿¿ëñýí òàòâàðûí ä¿í /Êò/</t>
  </si>
  <si>
    <t>Òàéëàíãèéí ýöñèéí èë¿¿ /Êò/, äóòóó /Äò/</t>
  </si>
  <si>
    <t>Тодруулгыг үнэн зөв тайлагнасан:                                                        Тодруулгыг хүлээн авсан:</t>
  </si>
  <si>
    <t>Дарга  /Захирал/:   ...............................                                                    Татварын улсын байцаагч...............................</t>
  </si>
  <si>
    <t xml:space="preserve">Ерөнхий нягтлан бодогч: . . . . . . . . . . . . . . </t>
  </si>
  <si>
    <t>20   оны     сарын       өдөр                                                                             20   оны     сарын       өдөр</t>
  </si>
  <si>
    <t xml:space="preserve">Сангийн сайдын 2010 оны 121 дүгээр </t>
  </si>
  <si>
    <t>тушаалын 2 дугаар хавсралт</t>
  </si>
  <si>
    <t>САНХҮҮГИЙН БОЛОН ОРЛОГЫН АЛБАН ТАТВАРЫН ТАЙЛАНГИЙН</t>
  </si>
  <si>
    <t>ҮЗҮҮЛЭЛТ ХООРОНДЫН ЗӨРҮҮГ ЗОХИЦУУЛАХ ТАЙЛАН</t>
  </si>
  <si>
    <t xml:space="preserve">4. Эрхлэх үйл ажиллагаа: </t>
  </si>
  <si>
    <t>Үндсэн:  __|__|__|__|__|__|  - Гадаад худалдаа</t>
  </si>
  <si>
    <t>Санхүүгийн тайлангийн татварын өмнөх ашгийн дүн</t>
  </si>
  <si>
    <t>А</t>
  </si>
  <si>
    <t>БАЙНГЫН ЗӨРҮҮ</t>
  </si>
  <si>
    <t>Нэмэгдүүлэх утга</t>
  </si>
  <si>
    <t>Бууруулах утга</t>
  </si>
  <si>
    <t>Хасагдахгүй зардал:</t>
  </si>
  <si>
    <t xml:space="preserve">Чөлөөлөгдөх орлого </t>
  </si>
  <si>
    <t>- албан татвар төлөгчийн буруутай үйл ажиллагааны улмаас төлсөн хүү, торгууль, нөхөн төлбөр</t>
  </si>
  <si>
    <t>-Засгийн газрын баталснаас бусад хэвийн хорогдол</t>
  </si>
  <si>
    <t xml:space="preserve">Хөнгөлөлт эдлэх орлого </t>
  </si>
  <si>
    <t>-Баримтаар нотлогдохгүй байгаа зардал</t>
  </si>
  <si>
    <t>Тусгайлсан хувь хэмжээтэй орлого</t>
  </si>
  <si>
    <t>-хандив, хувийн хэрэглээний зардал</t>
  </si>
  <si>
    <t xml:space="preserve">Татвар нь суутгагдсан  орлого </t>
  </si>
  <si>
    <t>Хязгаарлалтаас хэтэрсэн зардал</t>
  </si>
  <si>
    <t>Бусад</t>
  </si>
  <si>
    <t>-       Томилолтын зардал</t>
  </si>
  <si>
    <t>-        </t>
  </si>
  <si>
    <t>Хүүгийн зардлаар хүлээн зөвшөөрөгдөхгүй зээлийн хүүгийн зардал</t>
  </si>
  <si>
    <t>Харилцан хамаарал бүхий ажил гүйлгээ</t>
  </si>
  <si>
    <t xml:space="preserve">Бараа материалын </t>
  </si>
  <si>
    <t xml:space="preserve">Бусад </t>
  </si>
  <si>
    <t>А1</t>
  </si>
  <si>
    <t>А2</t>
  </si>
  <si>
    <t>Б</t>
  </si>
  <si>
    <t>Б1</t>
  </si>
  <si>
    <t>Б2</t>
  </si>
  <si>
    <t>Нэмэх нь: Суутган тооцоололтоор төлөгдсөн татварын зардал</t>
  </si>
  <si>
    <t>Б3</t>
  </si>
  <si>
    <t xml:space="preserve">Тайлант үеийн татварын зардал </t>
  </si>
  <si>
    <t>В</t>
  </si>
  <si>
    <t>ТҮР ЗӨРҮҮ</t>
  </si>
  <si>
    <t>Элэгдлийн зардал –</t>
  </si>
  <si>
    <t>Элэгдлийн зардал –Татварын тайлангийн</t>
  </si>
  <si>
    <t>Санхүүгийн тайлангийн</t>
  </si>
  <si>
    <t>Валютын ханшийн зөрүүгийн бодит бус алдагдал</t>
  </si>
  <si>
    <t>Валютын ханшийн зөрүүгийн бодит бус ашиг</t>
  </si>
  <si>
    <t>В3</t>
  </si>
  <si>
    <t>Нийт дүн (3.1+3.2+3.3)</t>
  </si>
  <si>
    <t>Татвар ногдуулах</t>
  </si>
  <si>
    <t>ОАТатварын өглөг/Кт</t>
  </si>
  <si>
    <t>орлогын дүн</t>
  </si>
  <si>
    <t xml:space="preserve">5. Нийтлэг хувь хэмжээгээр татвар ногдуулах орлого </t>
  </si>
  <si>
    <t xml:space="preserve">                       (Б + В3– В4) </t>
  </si>
  <si>
    <t xml:space="preserve">5.1  Нэмэх нь: Сайн дурын даатгалын хэтрэлт                          </t>
  </si>
  <si>
    <t>5.2   Хасах нь: Шилжүүлэх алдагдлын дүн</t>
  </si>
  <si>
    <t>6. Татвар ногдуулах орлогын дүн (5+5.1-5.2)</t>
  </si>
  <si>
    <t xml:space="preserve"> (0-3000000,0 бол 10%, 3000000,0-аас дээш дүнгийн 25% + 300000,0)</t>
  </si>
  <si>
    <t xml:space="preserve">8.Хөнгөлөгдөх татварын дүн </t>
  </si>
  <si>
    <t>ААНОАТ-ын хуулийн .... заалтын дагуу</t>
  </si>
  <si>
    <t xml:space="preserve"> 9. Тусгайлсан хувь хэмжээгээр татвар ногдуулах орлого, ногдох татвар</t>
  </si>
  <si>
    <t xml:space="preserve">      9.1        Хүүгийн орлого                               татварын хувь 10%</t>
  </si>
  <si>
    <t xml:space="preserve">      9.2                                                              татварын хувь ......</t>
  </si>
  <si>
    <t>10.  Нийт дүн (Татвар ногдуулах орлого 6+9), (Төлбөл зохих татвар 7-8+9)</t>
  </si>
  <si>
    <t xml:space="preserve">11. Хойшлогдсон татварын хөрөнгө </t>
  </si>
  <si>
    <t xml:space="preserve">12. Хойшлогдсон татварын өглөг </t>
  </si>
  <si>
    <t xml:space="preserve">Тайланг үнэн зөв гаргасан:                               </t>
  </si>
  <si>
    <t xml:space="preserve"> Татварын улсын байцаагч: . . . . . . . . . </t>
  </si>
  <si>
    <t xml:space="preserve">Татварын итгэмжлэгдсэн нягтлан бодогч: . . . . . . . . . . . . . .       </t>
  </si>
  <si>
    <t xml:space="preserve">20 ... оны ... р сарын ...                                            </t>
  </si>
  <si>
    <t>Компанийн мэдээллийг доорх table-д оруулвал бусад шийтэнд авоматаар татагдан</t>
  </si>
  <si>
    <t>Компанийн нэр:</t>
  </si>
  <si>
    <t>Регистрийн дугаар:</t>
  </si>
  <si>
    <t>Хариуцлагын хэлбэр:</t>
  </si>
  <si>
    <t>ХК</t>
  </si>
  <si>
    <t>Хаяг: Аймаг, хот</t>
  </si>
  <si>
    <t>Улаанбаатар</t>
  </si>
  <si>
    <t>Сум, дүүрэг:</t>
  </si>
  <si>
    <t>Хан уул дүүрэг</t>
  </si>
  <si>
    <t>Баг, хороо:</t>
  </si>
  <si>
    <t xml:space="preserve">3-р хороо </t>
  </si>
  <si>
    <t>Гудамж, хороолол:</t>
  </si>
  <si>
    <t>Байр:</t>
  </si>
  <si>
    <t>Хашаа, хаалга:</t>
  </si>
  <si>
    <t>Утас:</t>
  </si>
  <si>
    <t>Факс:</t>
  </si>
  <si>
    <t>Шуудангийн хайрцаг:</t>
  </si>
  <si>
    <t xml:space="preserve">Эрхэлж буй үйл ажиллагаа: </t>
  </si>
  <si>
    <t>Толгой компанийн код:</t>
  </si>
  <si>
    <t xml:space="preserve">|__|__|__|__|__|__|__| </t>
  </si>
  <si>
    <t>Тайлангийн эхний үлдэгдэлийн огноо</t>
  </si>
  <si>
    <t>Тайлангийн эцсийн үлдэгдлийн огноо</t>
  </si>
  <si>
    <t>Ерөнхий захирал</t>
  </si>
  <si>
    <t>Овог:</t>
  </si>
  <si>
    <t>Нэр:</t>
  </si>
  <si>
    <t>Нягтлан бодогч</t>
  </si>
  <si>
    <t>ХХК</t>
  </si>
  <si>
    <t>ББСБ</t>
  </si>
  <si>
    <t>САН</t>
  </si>
  <si>
    <t>2017 оны 01 сарын 01</t>
  </si>
  <si>
    <t>1.1 Àæèë îëãîã÷òîé áàéãóóëñàí õºäºëìºðèéí ãýðýýíä çààñíû äàãóó àâ÷ áàéãàà ¿íäñýí öàëèí, íýìýãäýë õºëñ, íýìýãäýë, øàãíàë, óðàìøóóëàë, àìðàëòûí íºõºí îëãîâîð, òýòãýâýð òýòãýìæ òýäãýýðòýé àäèëòãàõ îðëîãî (мян.тєг)</t>
  </si>
  <si>
    <t>Сангийн сайдын 2012 оны</t>
  </si>
  <si>
    <t>77 тоот тушаалын</t>
  </si>
  <si>
    <t>3-р хавсралт</t>
  </si>
  <si>
    <t xml:space="preserve">Регистрийн дугаар </t>
  </si>
  <si>
    <t xml:space="preserve">Хаяг: </t>
  </si>
  <si>
    <t>Шуудангийн хаяг:</t>
  </si>
  <si>
    <t>Өмчийн хэлбэр:     Төрийн .......... Хувь                          Хувийн 100 хувь</t>
  </si>
  <si>
    <t xml:space="preserve">ОНЫ </t>
  </si>
  <si>
    <t>-Р УЛИРЛЫН</t>
  </si>
  <si>
    <t>САНХҮҮГИЙН ТАЙЛАН</t>
  </si>
  <si>
    <t>Хянаж хүлээж авсан
байгууллагын нэр</t>
  </si>
  <si>
    <t>Сар, өдөр</t>
  </si>
  <si>
    <t>Гарын үсэг</t>
  </si>
  <si>
    <t xml:space="preserve">оны санхүүгийн тайлангийн </t>
  </si>
  <si>
    <t xml:space="preserve">            бодит байдлын тухай мэдэгдэл</t>
  </si>
  <si>
    <t>Захирал</t>
  </si>
  <si>
    <t xml:space="preserve">овогтой </t>
  </si>
  <si>
    <t>, ерөнхий нягтлан бодогч</t>
  </si>
  <si>
    <t xml:space="preserve"> өдрөөр тасалбар болгон гаргасан санхүүгийн тайланд тайлант хугацааны</t>
  </si>
  <si>
    <t>үйл ажиллагааны үр дүн, санхүүгийн байдлыг "Нягтлан бодох бүртгэлийн тухай"</t>
  </si>
  <si>
    <t xml:space="preserve">хуулийн 17.1 дэх заалтын дагуу үнэн зөв, бүрэн тусгасан болохыг баталж байна. </t>
  </si>
  <si>
    <t>Үүнд:</t>
  </si>
  <si>
    <t xml:space="preserve">Бүх ажил гүйлгээ бодитоор гарсан бөгөөд холбогдох анхан шатны баримтыг </t>
  </si>
  <si>
    <t>үндэслэн нягтлан бодох бүртгэл, санхүүгийн тайланд үнэн зөв тусгасан:</t>
  </si>
  <si>
    <t>Санхүүгийн тайланд тусгасан бүх тооцоолол үнэн зөв хийгдсэн:</t>
  </si>
  <si>
    <t xml:space="preserve">Аж ахуйн нэгжийн үйл ажиллагааны эдийн засаг, санхүүгийн бүхий л үйл </t>
  </si>
  <si>
    <t>явцыг иж бүрэн хамарсан:</t>
  </si>
  <si>
    <t>Тайлант үеийн үр дүнд өмнөх орны ажил гүйлгээнээс шилжин тусгагдаагүй,</t>
  </si>
  <si>
    <t>мөн тайлант оны ажил гүйлгээнээс орхигдсон зүйл байхгүй:</t>
  </si>
  <si>
    <t xml:space="preserve">Бүх хөрөнгө, авлага, өр төлбөр, орлого, зардлыг Санхүүгийн тайлагналын </t>
  </si>
  <si>
    <t>олон улсын стандартын дагуу үнэн зөв тусгасан:</t>
  </si>
  <si>
    <t xml:space="preserve">Энэ тайланд тусгагдсан бүхий л зүйл манай байгууллагын албан ёсны </t>
  </si>
  <si>
    <t xml:space="preserve">өмчлөлд байдаг бөгөөд орхигдсон зүйл үгүй болно. </t>
  </si>
  <si>
    <t>Ерөнхий нягтлан бодогч</t>
  </si>
  <si>
    <t>ГҮЙЛГЭЭ БАЛАНС IV УЛИРАЛ</t>
  </si>
  <si>
    <t>ГҮЙЛГЭЭ БАЛАНС III УЛИРАЛ</t>
  </si>
  <si>
    <t>ГҮЙЛГЭЭ БАЛАНС II УЛИРАЛ</t>
  </si>
  <si>
    <t>ГҮЙЛГЭЭ БАЛАНС I УЛИРАЛ</t>
  </si>
  <si>
    <t xml:space="preserve">Харилцагчидын нэр </t>
  </si>
  <si>
    <t>Гүйлгээний утга</t>
  </si>
  <si>
    <t>Мөнгөн гүйлгээ</t>
  </si>
  <si>
    <t>Санхүү, эдийн засгийн сайдын 2002 оны</t>
  </si>
  <si>
    <t xml:space="preserve">191 тоот тушаалаар батлав. </t>
  </si>
  <si>
    <t>ПАДААНЫ ЖАГСААЛТ</t>
  </si>
  <si>
    <t xml:space="preserve">Нэр </t>
  </si>
  <si>
    <t xml:space="preserve">АВЛАГА, ӨГЛӨГ </t>
  </si>
  <si>
    <r>
      <rPr>
        <sz val="10"/>
        <color indexed="8"/>
        <rFont val="Times New Roman"/>
        <family val="1"/>
      </rPr>
      <t xml:space="preserve">3. Татвар төлөгчийн одоогийн хаяг :          </t>
    </r>
  </si>
  <si>
    <r>
      <t>Байнгын зөрүүгээр зохицуулагдсан дүн</t>
    </r>
    <r>
      <rPr>
        <sz val="10"/>
        <color indexed="8"/>
        <rFont val="Times New Roman"/>
        <family val="1"/>
      </rPr>
      <t xml:space="preserve">    (санхүүгийн тайлангийн татварын өмнөх ашиг +А1-А2)</t>
    </r>
  </si>
  <si>
    <r>
      <t>Татварын зардал</t>
    </r>
    <r>
      <rPr>
        <b/>
        <sz val="10"/>
        <color indexed="8"/>
        <rFont val="Times New Roman"/>
        <family val="1"/>
      </rPr>
      <t xml:space="preserve"> (</t>
    </r>
    <r>
      <rPr>
        <sz val="10"/>
        <color indexed="8"/>
        <rFont val="Times New Roman"/>
        <family val="1"/>
      </rPr>
      <t>0-3000000,0 бол 10%, 3000000,0-аас дээш дүнгийн 25% + 300000,0 хувиар тооцно)</t>
    </r>
  </si>
  <si>
    <r>
      <t xml:space="preserve">7. Ногдуулсан татвар </t>
    </r>
    <r>
      <rPr>
        <sz val="10"/>
        <color indexed="8"/>
        <rFont val="Times New Roman"/>
        <family val="1"/>
      </rPr>
      <t xml:space="preserve">          </t>
    </r>
  </si>
  <si>
    <t xml:space="preserve">Банкны үйлчилгээний шимтгэл </t>
  </si>
  <si>
    <t xml:space="preserve">Утасны төлбөр </t>
  </si>
  <si>
    <t xml:space="preserve">ЕРӨНХИЙ ЖУРНАЛ </t>
  </si>
  <si>
    <t>STAT</t>
  </si>
  <si>
    <t xml:space="preserve">Шатахуун </t>
  </si>
  <si>
    <t>Нэр</t>
  </si>
  <si>
    <t>Албан тушаал</t>
  </si>
  <si>
    <t>ХХБАНК</t>
  </si>
  <si>
    <t>/Б.Түмэндэлгэр/</t>
  </si>
  <si>
    <t xml:space="preserve">Түмэндэлгэр </t>
  </si>
  <si>
    <t>Батсуурь</t>
  </si>
  <si>
    <t>Ханшийн зөрүү</t>
  </si>
  <si>
    <t xml:space="preserve">Элэгдэлийн зардал </t>
  </si>
  <si>
    <t xml:space="preserve">Тавилга эд хогшил. Хур элэгдэл </t>
  </si>
  <si>
    <t>АГУУЛХАД БАЙГАА ХАНГАМЖИЙН МАТЕРИАЛ</t>
  </si>
  <si>
    <t>aaa</t>
  </si>
  <si>
    <t>not</t>
  </si>
  <si>
    <t>утохг. Ааноат</t>
  </si>
  <si>
    <t>утохг. НӨТ</t>
  </si>
  <si>
    <t>АВЛАГА, ӨГЛӨГ 3-р УЛИРАЛ</t>
  </si>
  <si>
    <t>АВЛАГА, ӨГЛӨГ 2-р УЛИРАЛ</t>
  </si>
  <si>
    <t>|_2_|_0_|_1_|_8_|_9_|_4_|_2_|</t>
  </si>
  <si>
    <t>ШИНЭСТ ХК</t>
  </si>
  <si>
    <t>Эв нэгдэлийн гудамж</t>
  </si>
  <si>
    <t xml:space="preserve">Шинэст ХК -н өөрийн байр </t>
  </si>
  <si>
    <t>70114414</t>
  </si>
  <si>
    <t>99119765 99066093 86001044</t>
  </si>
  <si>
    <t>70114404</t>
  </si>
  <si>
    <t>|_3_|_6_|_1_|_0_|_0_|_0_|  -  Барилга, гэр ахуйн модон эдлэл үйлдвэрлэх</t>
  </si>
  <si>
    <t>/Д.Бахдамдэмбэрэл /</t>
  </si>
  <si>
    <t>Дашдэмбэрэл</t>
  </si>
  <si>
    <t>Бахдамдэмбэрэл</t>
  </si>
  <si>
    <t>Түмэндэлгэр</t>
  </si>
  <si>
    <t>ХУД-н ТАТВАРЫН ХЭЛТЭС</t>
  </si>
  <si>
    <t xml:space="preserve">ХУД-н ЭМНД ХЭЛТЭС </t>
  </si>
  <si>
    <t xml:space="preserve">УБЦТС ТӨХК </t>
  </si>
  <si>
    <t xml:space="preserve">ДЦС-3 ТӨХК </t>
  </si>
  <si>
    <t xml:space="preserve">УСУГ ТӨХК </t>
  </si>
  <si>
    <t xml:space="preserve">МЦХОЛБОО </t>
  </si>
  <si>
    <t xml:space="preserve">МХБИРЖ -ТӨХК </t>
  </si>
  <si>
    <t xml:space="preserve">САНХҮҮГИЙН ЗОХИЦУУЛАХ ХОРОО </t>
  </si>
  <si>
    <t>ХААН БАНК</t>
  </si>
  <si>
    <t>ХУРД ГРУПП ХХК</t>
  </si>
  <si>
    <t>ЭКО КОНСТРАКШН ХХК</t>
  </si>
  <si>
    <t xml:space="preserve">МУХИА ХХК </t>
  </si>
  <si>
    <t xml:space="preserve">ИЭСОМ ХХК </t>
  </si>
  <si>
    <t xml:space="preserve">ОРГИЛ ХҮНС ХХК </t>
  </si>
  <si>
    <t xml:space="preserve">ПАЙОНЕРИНГ ИНТЕРНЭШНЛ ХХК </t>
  </si>
  <si>
    <t xml:space="preserve">АЯНЧИН АУТФИТТЕРС ХХК </t>
  </si>
  <si>
    <t xml:space="preserve">ГЭГЭЭН ДАЛАЙ ХХК </t>
  </si>
  <si>
    <t xml:space="preserve">СЭРҮҮН ХАРААТ ХХК </t>
  </si>
  <si>
    <t xml:space="preserve">РЕНДЕР ХХК </t>
  </si>
  <si>
    <t xml:space="preserve">САКУРА КОНСТРАКШН ХХК </t>
  </si>
  <si>
    <t xml:space="preserve">УБПК ХХК </t>
  </si>
  <si>
    <t xml:space="preserve">МИАТ ХК </t>
  </si>
  <si>
    <t xml:space="preserve">БОЛОР ШИЛЭН ТОЛЬ ХХК </t>
  </si>
  <si>
    <t xml:space="preserve">АТМОР ГРУПП ХХК </t>
  </si>
  <si>
    <t xml:space="preserve">СТИЙЛ АРТ ХХК </t>
  </si>
  <si>
    <t xml:space="preserve">ВОС ХХК </t>
  </si>
  <si>
    <t xml:space="preserve">ВЮРТ МОНГОЛИЯ ХХК </t>
  </si>
  <si>
    <t xml:space="preserve">ГЭСЭР БИЛЭГ ХХК </t>
  </si>
  <si>
    <t>Сайннямбуу</t>
  </si>
  <si>
    <t xml:space="preserve">Хувь хүн </t>
  </si>
  <si>
    <t>ИХ ТУГЧ ХХК</t>
  </si>
  <si>
    <t>УБДС ТӨХК</t>
  </si>
  <si>
    <t xml:space="preserve">ЖЭЙ ЭЛ КЭЙ ЭМ ХХК </t>
  </si>
  <si>
    <t>БАНДИА ХХК</t>
  </si>
  <si>
    <t xml:space="preserve">ИННОМН ХХК </t>
  </si>
  <si>
    <t>ЭГЭЛ ХХК</t>
  </si>
  <si>
    <t xml:space="preserve">ЭМБАССИ РЭЗИДЭНС ХХК </t>
  </si>
  <si>
    <t xml:space="preserve">ТОСОН ВҮҮД ХХК </t>
  </si>
  <si>
    <t xml:space="preserve">ВОРЛДНЬЮ МЕДИА ХХК </t>
  </si>
  <si>
    <t xml:space="preserve">МОНГОЛЫН ХҮҮХДИЙН САН </t>
  </si>
  <si>
    <t>УБТЗам БОС1-р анги</t>
  </si>
  <si>
    <t xml:space="preserve">ДУГАН ХАД ЖУУЛЧИН ХХК </t>
  </si>
  <si>
    <t xml:space="preserve">МОНГОЛ ГЛОБАЛ ХХК </t>
  </si>
  <si>
    <t xml:space="preserve">БОДЬ ЦАМХАГ ХХК </t>
  </si>
  <si>
    <t xml:space="preserve">МАКС АГРО ХХК </t>
  </si>
  <si>
    <t xml:space="preserve">ЭН ТИ ЭМ ХХК </t>
  </si>
  <si>
    <t xml:space="preserve">ГОЛДЕН ЖИМ ХХК </t>
  </si>
  <si>
    <t>ИХ БАГА ХОНГОР ХХК</t>
  </si>
  <si>
    <t xml:space="preserve">ЯВУУ ИМПЕКС ХХК </t>
  </si>
  <si>
    <t xml:space="preserve">ТЭХ БАРИЛГЫН МАТЕРИАЛЫН ДЭЛГҮҮР </t>
  </si>
  <si>
    <t xml:space="preserve">САССИР ХХК </t>
  </si>
  <si>
    <t xml:space="preserve">АР ПИ ДИ ХХК </t>
  </si>
  <si>
    <t>БҮТЭЭГЧ ХХК</t>
  </si>
  <si>
    <t xml:space="preserve">ЖУРМАК ХХК </t>
  </si>
  <si>
    <t xml:space="preserve">ДЕКОР ВҮҮД ХХК </t>
  </si>
  <si>
    <t>ЛАНС КОНСТРАКШН ХХК</t>
  </si>
  <si>
    <t xml:space="preserve">МОНГОЛ ИДЕАЛ ХХК </t>
  </si>
  <si>
    <t xml:space="preserve">ТЭГШРЭХ ГУРВАН ЭРДЭНЭ ХХК </t>
  </si>
  <si>
    <t>ГЛОБАЛ ГАЗАР ХХК</t>
  </si>
  <si>
    <t xml:space="preserve">МАК ХХК </t>
  </si>
  <si>
    <t xml:space="preserve">НОЁН ХХК </t>
  </si>
  <si>
    <t>БАЯЛАГ ОД ХХК</t>
  </si>
  <si>
    <t xml:space="preserve">НОМАДС ТУР ХХК </t>
  </si>
  <si>
    <t>ШИНЭ ОРОН СУУЦ ХХК</t>
  </si>
  <si>
    <t>ЧИНГИС ТРЕЙД ХХК</t>
  </si>
  <si>
    <t>3 МЕН ХХК</t>
  </si>
  <si>
    <t xml:space="preserve">МЧБС ХХК </t>
  </si>
  <si>
    <t xml:space="preserve">САНТ-АСАР ХХК </t>
  </si>
  <si>
    <t>ЕНТҮМ ТРЭЙВЭЛ ХХК</t>
  </si>
  <si>
    <t>БЕСТ СТАЙЛ ХХК</t>
  </si>
  <si>
    <t>ЦАМХАГТ АСАР КОНСТРАКШН ХХК</t>
  </si>
  <si>
    <t>САУНД ОФ МОНГОЛИЯ ХХК</t>
  </si>
  <si>
    <t>СТИМО ХХК</t>
  </si>
  <si>
    <t>УНДРУУЛАН ФҮҮД ХХК</t>
  </si>
  <si>
    <t>МЭЖИК ДООР ХХК</t>
  </si>
  <si>
    <t xml:space="preserve">МИОТ ХХ </t>
  </si>
  <si>
    <t>СИТИ ПАЛАС ХХК</t>
  </si>
  <si>
    <t>МСҮТөв</t>
  </si>
  <si>
    <t>ЦЭЦЭН УРЧУУД ХХК</t>
  </si>
  <si>
    <t>ҮЛЭМЖИТ ХХК</t>
  </si>
  <si>
    <t>УУЛЫН ЗАМ ХХК</t>
  </si>
  <si>
    <t>ВОТЕР ФОРД КАСТОМ ХӨҮМ ХХК</t>
  </si>
  <si>
    <t>ЭЛ ВИ ЭЙС ХХК</t>
  </si>
  <si>
    <t>МЕТАЛ ХАУС ХХК</t>
  </si>
  <si>
    <t>ХАНГАЛ КОНСТРАКШН ХХК</t>
  </si>
  <si>
    <t>КАМДЕР ХХК</t>
  </si>
  <si>
    <t>СИ АЙ ТИ ХХК</t>
  </si>
  <si>
    <t>ЖИ ЭЙ БИ ӨҮ ТИ ХХК</t>
  </si>
  <si>
    <t>КАРАНДАШ ХХК</t>
  </si>
  <si>
    <t>МӨНХ ЭНХРИЙ ХХК</t>
  </si>
  <si>
    <t>ДА ХОТ ХХК</t>
  </si>
  <si>
    <t>ДИ ЭЙЧ ЭЛ ГЭЙТВЭЙ ХХК</t>
  </si>
  <si>
    <t>ПИ АЙ ЭМ ЭМ ХХК</t>
  </si>
  <si>
    <t xml:space="preserve">ӨСӨХ БЭЙС ХХК </t>
  </si>
  <si>
    <t xml:space="preserve">БЧГ ХХК </t>
  </si>
  <si>
    <t xml:space="preserve">ТОРГО ЗАГВАР </t>
  </si>
  <si>
    <t>УС ЭЛЕКТРО МОНТАЖ ХХК</t>
  </si>
  <si>
    <t xml:space="preserve">УНИВЕРСАЛ АВТО КОМПЛЕКС ХХК </t>
  </si>
  <si>
    <t xml:space="preserve">ОРГИЛ ХАУС ХХК </t>
  </si>
  <si>
    <t xml:space="preserve">ОГТОРГУЙН ХУДАГ ХХК </t>
  </si>
  <si>
    <t>ГУУЛИЙН ДӨШ ХХК</t>
  </si>
  <si>
    <t>ЭНХ ЭРХЭС ХХК</t>
  </si>
  <si>
    <t xml:space="preserve">ДЭРСТЭЙ ТАВАН САЛАА ХХК </t>
  </si>
  <si>
    <t>МӨНХ ВҮҮД ХХК</t>
  </si>
  <si>
    <t xml:space="preserve">НЬЮ ЭРА ТУР МОНГОЛИА ХХК </t>
  </si>
  <si>
    <t xml:space="preserve">ТОД УНДАРГА ХХК </t>
  </si>
  <si>
    <t xml:space="preserve">БАТС ӨРГӨӨ ХХК </t>
  </si>
  <si>
    <t>ЭРДЭНЭДРИЙЛИНГ ХХК</t>
  </si>
  <si>
    <t xml:space="preserve">Энхбат </t>
  </si>
  <si>
    <t>Бурмаа</t>
  </si>
  <si>
    <t>Золжаргал</t>
  </si>
  <si>
    <t>Оюундэлгэр /нярав/</t>
  </si>
  <si>
    <t xml:space="preserve">Нэргүй </t>
  </si>
  <si>
    <t>АВЛАГА, ӨГЛӨГ 1-р УЛИРАЛ</t>
  </si>
  <si>
    <t xml:space="preserve"> Шинэст ХК 2017 оны 1-р сарын  ажилчидын цалин </t>
  </si>
  <si>
    <t>.</t>
  </si>
  <si>
    <t>Регистрийн дугаар</t>
  </si>
  <si>
    <t>Үндсэн цалин .</t>
  </si>
  <si>
    <t>Ажилла-сан хоног</t>
  </si>
  <si>
    <t xml:space="preserve">Өдрийн цалин </t>
  </si>
  <si>
    <t>Ажилласан 
хоногийн 
цалин</t>
  </si>
  <si>
    <t>НДШ</t>
  </si>
  <si>
    <t>ХАОАТ</t>
  </si>
  <si>
    <t>Гарт олгох</t>
  </si>
  <si>
    <t>Байгууллага  ЭМ,НДШимтгэл</t>
  </si>
  <si>
    <t xml:space="preserve">Нийт </t>
  </si>
  <si>
    <t xml:space="preserve">Төмөрхуягийн Энхбат </t>
  </si>
  <si>
    <t>ХД59121479</t>
  </si>
  <si>
    <t xml:space="preserve">Е.Захирал </t>
  </si>
  <si>
    <t>Дашдэмбэрэлийн Бахдамдэмбэрэл</t>
  </si>
  <si>
    <t>ХК74113079</t>
  </si>
  <si>
    <t xml:space="preserve">Г.захирал </t>
  </si>
  <si>
    <t xml:space="preserve">Батсуурийн Түмэндэлгэр </t>
  </si>
  <si>
    <t>ОЭ80062131</t>
  </si>
  <si>
    <t>Е.ня-бо</t>
  </si>
  <si>
    <t xml:space="preserve">Баасанжавын Золжаргал </t>
  </si>
  <si>
    <t>ФМ85101862</t>
  </si>
  <si>
    <t>А.ня-бо</t>
  </si>
  <si>
    <t xml:space="preserve">Дорждангийн Ганбаатар </t>
  </si>
  <si>
    <t>МВ78032816</t>
  </si>
  <si>
    <t xml:space="preserve">Үйлдвэрийн  дарга </t>
  </si>
  <si>
    <t xml:space="preserve">Түмэннасангийн Оюунтүлхүүр </t>
  </si>
  <si>
    <t>ПМ91111004</t>
  </si>
  <si>
    <t xml:space="preserve">Ня-бо </t>
  </si>
  <si>
    <t xml:space="preserve">Шаравын Цэцэнпил </t>
  </si>
  <si>
    <t>ОЮ61072408</t>
  </si>
  <si>
    <t xml:space="preserve">Үйлчлэгч </t>
  </si>
  <si>
    <t xml:space="preserve">Алтангэрэлийн Алтансүх </t>
  </si>
  <si>
    <t>ЖГ78031477</t>
  </si>
  <si>
    <t xml:space="preserve">Ажилчин </t>
  </si>
  <si>
    <t xml:space="preserve">Цэндсүрэнгийн Амарсанаа </t>
  </si>
  <si>
    <t>УУ85051012</t>
  </si>
  <si>
    <t xml:space="preserve">Сийлбэрчин </t>
  </si>
  <si>
    <t xml:space="preserve">Чогдонгийн Батжигүүр </t>
  </si>
  <si>
    <t>ЙН89022131</t>
  </si>
  <si>
    <t>Чулуунбатын Бат-Эрдэнэ</t>
  </si>
  <si>
    <t>ЧБ87101577</t>
  </si>
  <si>
    <t>Нямсүрэнгийн Даариймаа</t>
  </si>
  <si>
    <t>РЙ72083122</t>
  </si>
  <si>
    <t xml:space="preserve">Баярмагнайн Лхагвасүрэн </t>
  </si>
  <si>
    <t>ОЭ78082015</t>
  </si>
  <si>
    <t xml:space="preserve">Түвдэндоржийн Мөнхбаатар </t>
  </si>
  <si>
    <t>ИИ88070513</t>
  </si>
  <si>
    <t xml:space="preserve">Цэрэндондогийн Насанхүү </t>
  </si>
  <si>
    <t>ЧТ82120915</t>
  </si>
  <si>
    <t xml:space="preserve">Дашнямын Нэргүй </t>
  </si>
  <si>
    <t>АЖ79011118</t>
  </si>
  <si>
    <t xml:space="preserve">Юнгэрэнгийн Оюундэлгэр </t>
  </si>
  <si>
    <t>ОЭ77082665</t>
  </si>
  <si>
    <t xml:space="preserve">Нярав </t>
  </si>
  <si>
    <t xml:space="preserve">Төмөрпүрэвийн Оюунжаргал </t>
  </si>
  <si>
    <t>ИВ78072005</t>
  </si>
  <si>
    <t xml:space="preserve">Жаргалын Улаансүх </t>
  </si>
  <si>
    <t>УШ91030771</t>
  </si>
  <si>
    <t>Эрдэнбулганы Цог-Эрдэнэ</t>
  </si>
  <si>
    <t>ГА82111970</t>
  </si>
  <si>
    <t xml:space="preserve">Дашдаваагийн Шинэбаяр </t>
  </si>
  <si>
    <t>ПН90010105</t>
  </si>
  <si>
    <t>Журналын бичилт</t>
  </si>
  <si>
    <t>ЭМ,НД-н шимтгэл Байгууллага 1-сар</t>
  </si>
  <si>
    <t>ЭМ,НД-н шимтгэл Хувь хүн 1-сар</t>
  </si>
  <si>
    <t>ХХОАТатвар 1-р сар</t>
  </si>
  <si>
    <t>Гарт олгох 1-р сар</t>
  </si>
  <si>
    <t xml:space="preserve"> Шинэст ХК 2017 оны 2-р сарын  ажилчидын цалин </t>
  </si>
  <si>
    <t>ЭМ,НД-н шимтгэл Байгууллага 2-сар</t>
  </si>
  <si>
    <t>ЭМ,НД-н шимтгэл Хувь хүн 2-сар</t>
  </si>
  <si>
    <t>ХХОАТатвар 2-р сар</t>
  </si>
  <si>
    <t>Гарт олгох 2-р сар</t>
  </si>
  <si>
    <t xml:space="preserve"> Шинэст ХК 2017 оны 3-р сарын  ажилчидын цалин </t>
  </si>
  <si>
    <t xml:space="preserve">Будын Мөнхтүвшин </t>
  </si>
  <si>
    <t>ЭМ,НД-н шимтгэл Байгууллага 3-сар</t>
  </si>
  <si>
    <t>ЭМ,НД-н шимтгэл Хувь хүн 3-сар</t>
  </si>
  <si>
    <t>ХХОАТатвар 3-р сар</t>
  </si>
  <si>
    <t>Гарт олгох 3-р сар</t>
  </si>
  <si>
    <t xml:space="preserve"> Шинэст ХК 2017 оны 4-р сарын  ажилчидын цалин </t>
  </si>
  <si>
    <t>ЭМ,НД-н шимтгэл Байгууллага 4-сар</t>
  </si>
  <si>
    <t>ЭМ,НД-н шимтгэл Хувь хүн 4-сар</t>
  </si>
  <si>
    <t>ХХОАТатвар 4-р сар</t>
  </si>
  <si>
    <t>Гарт олгох 4-р сар</t>
  </si>
  <si>
    <t xml:space="preserve"> Шинэст ХК 2017 оны 5-р сарын  ажилчидын цалин </t>
  </si>
  <si>
    <t>ЭМ,НД-н шимтгэл Байгууллага 5-сар</t>
  </si>
  <si>
    <t>ЭМ,НД-н шимтгэл Хувь хүн 5-сар</t>
  </si>
  <si>
    <t>ХХОАТатвар 5-р сар</t>
  </si>
  <si>
    <t>Гарт олгох 5-р сар</t>
  </si>
  <si>
    <t xml:space="preserve"> Шинэст ХК 2017 оны 6-р сарын  ажилчидын цалин </t>
  </si>
  <si>
    <t xml:space="preserve">Дамдинсүрэнгийн Оюунбаатар </t>
  </si>
  <si>
    <t>ЖЯ84060276</t>
  </si>
  <si>
    <t xml:space="preserve">Энхбаатарын Цэрэнхүү </t>
  </si>
  <si>
    <t>ТЗ87103060</t>
  </si>
  <si>
    <t>ЭМ,НД-н шимтгэл Байгууллага 6-сар</t>
  </si>
  <si>
    <t>ЭМ,НД-н шимтгэл Хувь хүн 6-сар</t>
  </si>
  <si>
    <t>ХХОАТатвар 6-р сар</t>
  </si>
  <si>
    <t>Гарт олгох 6-р сар</t>
  </si>
  <si>
    <t xml:space="preserve"> Шинэст ХК 2017 оны 7-р сарын  ажилчидын цалин </t>
  </si>
  <si>
    <t xml:space="preserve">Жаргалсайханы Дулмаа </t>
  </si>
  <si>
    <t xml:space="preserve">Технологич </t>
  </si>
  <si>
    <t>СЭ92021701</t>
  </si>
  <si>
    <t>ЭМ,НД-н шимтгэл Байгууллага 7сар</t>
  </si>
  <si>
    <t>ЭМ,НД-н шимтгэл Хувь хүн 7-сар</t>
  </si>
  <si>
    <t>ХХОАТатвар 7-р сар</t>
  </si>
  <si>
    <t>Гарт олгох 7-р сар</t>
  </si>
  <si>
    <t xml:space="preserve"> Шинэст ХК 2017 оны 8-р сарын  ажилчидын цалин </t>
  </si>
  <si>
    <t>ЭМ,НД-н шимтгэл Байгууллага 8-сар</t>
  </si>
  <si>
    <t>ЭМ,НД-н шимтгэл Хувь хүн 8-сар</t>
  </si>
  <si>
    <t>ХХОАТатвар 8-р сар</t>
  </si>
  <si>
    <t>Гарт олгох 8-р сар</t>
  </si>
  <si>
    <t xml:space="preserve"> Шинэст ХК 2017 оны 9-р сарын  ажилчидын цалин </t>
  </si>
  <si>
    <t xml:space="preserve">Öàëèíãèéí çàðäàë ºðòºãò øèíãýýâ </t>
  </si>
  <si>
    <t>Õóðä</t>
  </si>
  <si>
    <t xml:space="preserve">Öàëèí </t>
  </si>
  <si>
    <t xml:space="preserve">ÍÄØ </t>
  </si>
  <si>
    <t xml:space="preserve">Áàòæèã¿¿ð </t>
  </si>
  <si>
    <t xml:space="preserve">Ìºíõáààòàð </t>
  </si>
  <si>
    <t xml:space="preserve">Øèíýáàÿð </t>
  </si>
  <si>
    <t>Äààðèéìàà</t>
  </si>
  <si>
    <t xml:space="preserve">Óëààíñ¿õ </t>
  </si>
  <si>
    <t xml:space="preserve">Камдер ХХК </t>
  </si>
  <si>
    <t>Амарсанаа</t>
  </si>
  <si>
    <t xml:space="preserve">Бат-Эрдэнэ </t>
  </si>
  <si>
    <t xml:space="preserve">Насанхүү </t>
  </si>
  <si>
    <t xml:space="preserve">Цог-Эрдэнэ </t>
  </si>
  <si>
    <t xml:space="preserve">Цэрэнхүү </t>
  </si>
  <si>
    <t>ЭМ,НД-н шимтгэл Байгууллага 9-сар</t>
  </si>
  <si>
    <t>ЭМ,НД-н шимтгэл Хувь хүн 9-сар</t>
  </si>
  <si>
    <t>ХХОАТатвар 9-р сар</t>
  </si>
  <si>
    <t>Гарт олгох 9-р сар</t>
  </si>
  <si>
    <t>Keyboard</t>
  </si>
  <si>
    <t>Mouse</t>
  </si>
  <si>
    <t>Hard disk</t>
  </si>
  <si>
    <t xml:space="preserve">Ýñãèé </t>
  </si>
  <si>
    <t>м</t>
  </si>
  <si>
    <t xml:space="preserve">Сэлбэг </t>
  </si>
  <si>
    <t>Ëèñò 2ñì</t>
  </si>
  <si>
    <t xml:space="preserve">Будаг шингэлэгч </t>
  </si>
  <si>
    <t>Áóäàã /Õîíêà/</t>
  </si>
  <si>
    <t>кг</t>
  </si>
  <si>
    <t xml:space="preserve">НЦ-лак </t>
  </si>
  <si>
    <t>м2</t>
  </si>
  <si>
    <t>м3</t>
  </si>
  <si>
    <t xml:space="preserve">James Hardie </t>
  </si>
  <si>
    <t>Í-Åâðîâàãîíêà /çóçààí-1.2ñì/-ÿðòàé</t>
  </si>
  <si>
    <t>Í-Õàâòàí /çóçààí-2ñì/</t>
  </si>
  <si>
    <t>Í-Õàâòàí /çóçààí-1.8ñì/</t>
  </si>
  <si>
    <t>Íàðñàí áàíç /5ñì/Ìîíðóñ</t>
  </si>
  <si>
    <t>Íàðñàí áàíç /5ñì/ Áóÿí Îä</t>
  </si>
  <si>
    <t>Íàðñàí áàíç /5ñì/ Áàéêàëèíâåñòñåðâèñ</t>
  </si>
  <si>
    <t xml:space="preserve">Íàðñàí áàíç /5ñì/ Ýðäýíýáààòàð </t>
  </si>
  <si>
    <t xml:space="preserve">Íàðñàí áàíç /5ñì/ Ëóóò Õàíãàé </t>
  </si>
  <si>
    <t xml:space="preserve">Модны замаска </t>
  </si>
  <si>
    <t xml:space="preserve">Өрөм </t>
  </si>
  <si>
    <t>Ажлын хувцас</t>
  </si>
  <si>
    <t>Будгийн буу</t>
  </si>
  <si>
    <t xml:space="preserve">Хатаасан шил </t>
  </si>
  <si>
    <t xml:space="preserve">Боолт </t>
  </si>
  <si>
    <t xml:space="preserve">Квадрат төмөр </t>
  </si>
  <si>
    <t xml:space="preserve">Ембүү </t>
  </si>
  <si>
    <t xml:space="preserve">Уголок </t>
  </si>
  <si>
    <t>Хаан Банк 5024654020</t>
  </si>
  <si>
    <t>ХХБ 406094330</t>
  </si>
  <si>
    <t>Хас Банк 5000558299</t>
  </si>
  <si>
    <t>ХХБ 404052927</t>
  </si>
  <si>
    <t>Голомт Банк 2101004077</t>
  </si>
  <si>
    <t>Хаан Банк 5022577237</t>
  </si>
  <si>
    <t>ХХБ БАНК 404187557</t>
  </si>
  <si>
    <t>ГОЛОМТ БАНК 2101004089</t>
  </si>
  <si>
    <t>ХАС БАНК 5000558440</t>
  </si>
  <si>
    <t>ХХБ БАНК 406094331</t>
  </si>
  <si>
    <t>ЧИНГИС ХААН БАНК 3920120001</t>
  </si>
  <si>
    <t>ШМЗардал ХАТААХ ЦЕХ /нарс/</t>
  </si>
  <si>
    <t>ШМЗардал БОЛОВСРУУЛАХ ЦЕХ /нарс/</t>
  </si>
  <si>
    <t xml:space="preserve">ШМЗардал МУЖААН ЦЕХ </t>
  </si>
  <si>
    <t>ШХЗардал ХАТААХ ЦЕХ /нарс/</t>
  </si>
  <si>
    <t>ШХЗрдал БОЛОВСРУУЛАХ ЦЕХ /нарс/</t>
  </si>
  <si>
    <t>ШХЗардал МУЖААН ЦЕХ</t>
  </si>
  <si>
    <t>ҮНЗардал ХАТААХ ЦЕХ /нарс/</t>
  </si>
  <si>
    <t>ҮНЗардал БОЛОВСРУУЛАХ ЦЕХ /нарс/</t>
  </si>
  <si>
    <t xml:space="preserve">ҮНЗардал МУЖААН ЦЕХ </t>
  </si>
  <si>
    <t>Нэгтгэл зардал ХАТААХ ЦЕХ /нарс/</t>
  </si>
  <si>
    <t>Нэгтгэл зардал БОЛОВСРУУЛАХ ЦЕХ /нарс/</t>
  </si>
  <si>
    <t xml:space="preserve">Нэгтгэл зардал МУЖААН ЦЕХ </t>
  </si>
  <si>
    <t>ШМЗардал ХАТААХ ЦЕХ /хар мод/</t>
  </si>
  <si>
    <t>ШХЗардал ХАТААХ ЦЕХ /хар мод/</t>
  </si>
  <si>
    <t>ҮНЗардал ХАТААХ ЦЕХ /хар мод/</t>
  </si>
  <si>
    <t>Нэгтгэл зардал ХАТААХ ЦЕХ /хар мод/</t>
  </si>
  <si>
    <t>Бараа бэлэн бүтээгдэхүүн ХАТААХ ЦЕХ /нарс/</t>
  </si>
  <si>
    <t>Бараа бэлэн бүтээгдэхүүн БОЛОВСРУУЛАХ ЦЕХ /нарс/</t>
  </si>
  <si>
    <t>Бараа бэлэн бүтээгдэхүүн МУЖААН ЦЕХ</t>
  </si>
  <si>
    <t>Бараа бэлэн бүтээгдэхүүн ХАТААХ ЦЕХ /хар мод/</t>
  </si>
  <si>
    <t>Бараа бэлэн бүтээгдэхүүн БОЛОВСРУУЛАХ ЦЕХ /хар мод/</t>
  </si>
  <si>
    <t xml:space="preserve">Ашиглалтанд буй хангамжийн материал </t>
  </si>
  <si>
    <t>ХО-д өгөх өглөг MNT /ЭНХБАТ/</t>
  </si>
  <si>
    <t>ХО-д өгөх өглөг USD /БАХДАМДЭМБЭРЭЛ/</t>
  </si>
  <si>
    <t xml:space="preserve">Тусгай тэмдэглэл </t>
  </si>
  <si>
    <t xml:space="preserve">НД-хавтас авахаар </t>
  </si>
  <si>
    <t xml:space="preserve">Хангамжийн материал </t>
  </si>
  <si>
    <t xml:space="preserve">Хааны данс луу зарлага </t>
  </si>
  <si>
    <t>Дараа тооцоо</t>
  </si>
  <si>
    <t xml:space="preserve">Харуул хамгаалалт </t>
  </si>
  <si>
    <t>Ëàê àâàâ</t>
  </si>
  <si>
    <t xml:space="preserve">Сэлбэг авахаар </t>
  </si>
  <si>
    <t>Будийн буу авав</t>
  </si>
  <si>
    <t xml:space="preserve">Шил захиалга </t>
  </si>
  <si>
    <t xml:space="preserve">Цалин олгов 1-р сар </t>
  </si>
  <si>
    <t xml:space="preserve">Төмөр захиалга </t>
  </si>
  <si>
    <t xml:space="preserve">Боолт авахаар </t>
  </si>
  <si>
    <t xml:space="preserve">Шингэлэгч авав </t>
  </si>
  <si>
    <t xml:space="preserve">Бичиг хэргийн хангамж </t>
  </si>
  <si>
    <t xml:space="preserve">Цалин олгов 2-р сар </t>
  </si>
  <si>
    <t xml:space="preserve">ХЭХурлын зар </t>
  </si>
  <si>
    <t xml:space="preserve">Шал засахад элс </t>
  </si>
  <si>
    <t xml:space="preserve">Цахилгааны төлбөр </t>
  </si>
  <si>
    <t xml:space="preserve">Цэвэр, бохир усны төлбөр </t>
  </si>
  <si>
    <t xml:space="preserve">Шал засахад хайрга авав </t>
  </si>
  <si>
    <t xml:space="preserve">Цалин олгов 3-р сар </t>
  </si>
  <si>
    <t xml:space="preserve">Санхүүгийн баримт авав </t>
  </si>
  <si>
    <t xml:space="preserve">Төмөрний үнэ </t>
  </si>
  <si>
    <t xml:space="preserve">Өөрөө өргөгч По-түлш </t>
  </si>
  <si>
    <t>Дулааны төлбөр төлөв</t>
  </si>
  <si>
    <t xml:space="preserve">Потрон авав </t>
  </si>
  <si>
    <t xml:space="preserve">Уртасгагч авав </t>
  </si>
  <si>
    <t xml:space="preserve">Хог ачиж хаяхаар түлш </t>
  </si>
  <si>
    <t xml:space="preserve">Цалин олгов. 4-р сар </t>
  </si>
  <si>
    <t xml:space="preserve">Цайны хангамж </t>
  </si>
  <si>
    <t xml:space="preserve">Кабелийн утас авав </t>
  </si>
  <si>
    <t xml:space="preserve">Лак авав </t>
  </si>
  <si>
    <t xml:space="preserve">Татварууд төлөв </t>
  </si>
  <si>
    <t xml:space="preserve">Усны тоолуур баталгаажуулах </t>
  </si>
  <si>
    <t xml:space="preserve">Хүүхдийн баярын бэлэг </t>
  </si>
  <si>
    <t xml:space="preserve">Будаг авав </t>
  </si>
  <si>
    <t xml:space="preserve">Цалин олгов. 5-р сар </t>
  </si>
  <si>
    <t xml:space="preserve">Түлш </t>
  </si>
  <si>
    <t xml:space="preserve">НӨАТ </t>
  </si>
  <si>
    <t xml:space="preserve">Цалин олгов. 6-р сар </t>
  </si>
  <si>
    <t xml:space="preserve">МЦХ утасны төлбөр </t>
  </si>
  <si>
    <t xml:space="preserve">Цалин олгов. 7-р сар </t>
  </si>
  <si>
    <t xml:space="preserve">Цалин олгов. 8-р сар </t>
  </si>
  <si>
    <t>Хөрөөний ир авав</t>
  </si>
  <si>
    <t xml:space="preserve">Бэлдэцийн үнэ </t>
  </si>
  <si>
    <t>Хаан банкнаас орлого</t>
  </si>
  <si>
    <t xml:space="preserve">Гэрээний үлдэгдэл тооцоо </t>
  </si>
  <si>
    <t xml:space="preserve">Хурд-бэлдэцийн үнэ </t>
  </si>
  <si>
    <t xml:space="preserve">Утасны төлбөр төлөв </t>
  </si>
  <si>
    <t xml:space="preserve">100саяын зээл эргэн төлөлт </t>
  </si>
  <si>
    <t>Ланд 200-н зээлийн эргэн төлөлт</t>
  </si>
  <si>
    <t xml:space="preserve">Дулааны төлбөр </t>
  </si>
  <si>
    <t xml:space="preserve">Касс луу зарлага </t>
  </si>
  <si>
    <t xml:space="preserve">Гүйлгээний шимтгэл </t>
  </si>
  <si>
    <t xml:space="preserve">Данс хөтөлсөн шимтгэл </t>
  </si>
  <si>
    <t>Бүртгэлийн хураамж</t>
  </si>
  <si>
    <t xml:space="preserve">Төмрийн үлдэгдэл төлбөр </t>
  </si>
  <si>
    <t xml:space="preserve">Лакны тооцоо </t>
  </si>
  <si>
    <t xml:space="preserve">Дулааны тоолуур шалгуулах </t>
  </si>
  <si>
    <t>Дулааны тоолуур батарей</t>
  </si>
  <si>
    <t xml:space="preserve">Дулааны тоолуур баталгаажуулах </t>
  </si>
  <si>
    <t xml:space="preserve">Шинэст.мн-ий төлбөр </t>
  </si>
  <si>
    <t xml:space="preserve">Усны тоолуур баталгаажуулалт </t>
  </si>
  <si>
    <t xml:space="preserve">Усны тоолуур авав </t>
  </si>
  <si>
    <t xml:space="preserve">Нийгмийн даатгал </t>
  </si>
  <si>
    <t xml:space="preserve">Усны нөөц ашигласан татвар 2014-2017.01улирал </t>
  </si>
  <si>
    <t>Нэгтгэл-ШМЗ</t>
  </si>
  <si>
    <t>Нэгтгэл-ҮНЗ</t>
  </si>
  <si>
    <t>ҮНЗ</t>
  </si>
  <si>
    <t>Элэгдэлийн зардал барилга</t>
  </si>
  <si>
    <t>Элэгдэлийн зардал тавилга</t>
  </si>
  <si>
    <t>Элэгдэлийн зардал машин тоног төх</t>
  </si>
  <si>
    <t xml:space="preserve">Дулааны төлбөрөөр өглөг үүсгэв </t>
  </si>
  <si>
    <t xml:space="preserve">Цалингийн зардал 2-р сар </t>
  </si>
  <si>
    <t xml:space="preserve">Цалингийн зардал 1-р сар </t>
  </si>
  <si>
    <t xml:space="preserve">Цалингийн зардал 3-р сар </t>
  </si>
  <si>
    <t>Урьдчилж гарсан зардлыг хаав</t>
  </si>
  <si>
    <t xml:space="preserve">Боловсруулах цехээс орлого </t>
  </si>
  <si>
    <t xml:space="preserve">Хатаах цехээс орлого </t>
  </si>
  <si>
    <t xml:space="preserve">Өглөг авлага хаав </t>
  </si>
  <si>
    <t xml:space="preserve">Хувьцаа эзэмшигчидийн хурал -НӨАТ </t>
  </si>
  <si>
    <t xml:space="preserve">Нэгтгэл-ШМЗ хатаах цех </t>
  </si>
  <si>
    <t xml:space="preserve">Нэгтгэл-ШМЗ боловсруулах цех </t>
  </si>
  <si>
    <t xml:space="preserve">Нэгтгэл-ҮНЗ боловсруулах </t>
  </si>
  <si>
    <t xml:space="preserve">Нэгтгэл-ҮНЗ хатаах </t>
  </si>
  <si>
    <t xml:space="preserve">ШХЗ-Хатаах цех </t>
  </si>
  <si>
    <t xml:space="preserve">ҮНЗ-Боловсруулах цех </t>
  </si>
  <si>
    <t xml:space="preserve">Цалин 9-р сар </t>
  </si>
  <si>
    <t xml:space="preserve">Кассаас орлого </t>
  </si>
  <si>
    <t xml:space="preserve">ХӨВСГӨЛ ТРЕЙВЛ ХХК </t>
  </si>
  <si>
    <t xml:space="preserve">ЗАЛРУУЛГА </t>
  </si>
  <si>
    <t xml:space="preserve">Хурд Групп ХХК-д хийсэн ажлыг БО-р хүлээн зөвшөөрөв </t>
  </si>
  <si>
    <t xml:space="preserve">Камдер ХХК-д хийсэн ажлыг БО-р хүлээн зөвшөөрөв </t>
  </si>
  <si>
    <t>Камдер ХХК-д ажилласан хүмүүсийн цалин</t>
  </si>
  <si>
    <t xml:space="preserve">Камдер ХХК-д гарсан цахилгааны зардал </t>
  </si>
  <si>
    <t xml:space="preserve">Хурд ХХК-н цалингийн зардлбг ББӨ-р хүлээн зөвшөөрөв </t>
  </si>
  <si>
    <t xml:space="preserve">Хөрөөний ир </t>
  </si>
  <si>
    <t xml:space="preserve">ш </t>
  </si>
  <si>
    <t>Морилка</t>
  </si>
  <si>
    <t xml:space="preserve">ЭБСО ХХК </t>
  </si>
  <si>
    <t>"ШИНЭСТ" ХК ҮБ-ний ӨРТӨГИЙН ХУВИАРЛАЛТ</t>
  </si>
  <si>
    <t>Хувиарлагдах өртөгийн дүнг оруулна уу!!!!</t>
  </si>
  <si>
    <t>2017.01.31</t>
  </si>
  <si>
    <t>Боловсруулах цех /нарс/</t>
  </si>
  <si>
    <t xml:space="preserve">ТӨСӨВТ ӨРТӨГ </t>
  </si>
  <si>
    <t>БОДИТ ӨРТӨГ</t>
  </si>
  <si>
    <t>Журнал</t>
  </si>
  <si>
    <t>Хэм.нэгж</t>
  </si>
  <si>
    <t xml:space="preserve">Нэгж.өртөг </t>
  </si>
  <si>
    <t>Тоо.хэм</t>
  </si>
  <si>
    <t xml:space="preserve">Хувь </t>
  </si>
  <si>
    <t>ÕÀÒÀÀÕ ÖÅÕ /нарс/</t>
  </si>
  <si>
    <t>2017.06.30</t>
  </si>
  <si>
    <t>2017.09.30</t>
  </si>
  <si>
    <t xml:space="preserve">Öàëèíãèéí çàðäàë 9-ð ñàð </t>
  </si>
  <si>
    <t xml:space="preserve">Í-Õàâòàí /çóçààí-4сì/-ÿðòàé </t>
  </si>
  <si>
    <t xml:space="preserve">Çàõèðãàà </t>
  </si>
  <si>
    <t xml:space="preserve">íèéò </t>
  </si>
  <si>
    <t xml:space="preserve">ØÕÇ </t>
  </si>
  <si>
    <t xml:space="preserve">ШХЗ-Боловсруулах цех </t>
  </si>
  <si>
    <t xml:space="preserve">ҮНЗ-Боловсруулах цех 3-р улирал </t>
  </si>
  <si>
    <t>Боловсруулах цехэд хаьсан банз олгов</t>
  </si>
  <si>
    <t xml:space="preserve">Боловсруулах цехэд тараган цавуу олгов </t>
  </si>
  <si>
    <t>ҮНЗ-боловсруулах цех /материал/</t>
  </si>
  <si>
    <t xml:space="preserve">Дуусаагүй үйлдвэрлэлээс орлого авав </t>
  </si>
  <si>
    <t xml:space="preserve">ДҮН -Боловсруулах цех </t>
  </si>
  <si>
    <t>ҮНЗ- г ДҮН лүү хаав</t>
  </si>
  <si>
    <t xml:space="preserve">ШХЗ-г ДҮН лүү хаав </t>
  </si>
  <si>
    <t>ШМЗ-г ДҮН лүү хаав</t>
  </si>
  <si>
    <t>Мөнгөн гүйлгээний код</t>
  </si>
  <si>
    <t>Үндсэн үйл ажиллагааны мөнгөн гүйлгээ</t>
  </si>
  <si>
    <t>Мөнгөн орлогын дүн (+)</t>
  </si>
  <si>
    <t>Мөнгөн зарлагын дүн (-)</t>
  </si>
  <si>
    <t>Үндсэн үйл ажиллагааны цэвэр мөнгөн гүйлгээний дүн</t>
  </si>
  <si>
    <t>Хөрөнгө оруулалтын үйл ажиллагааны мөнгөн гүйлгээ</t>
  </si>
  <si>
    <t>Хөрөнгө оруулалтын үйл ажиллагааны цэвэр мөнгөн гүйлгээний дүн</t>
  </si>
  <si>
    <t>Санхүүгийн үйл ажиллагааны мөнгөн гүйлгээ</t>
  </si>
  <si>
    <t>Зээл авсан, өрийн үнэт цаас гаргаснаас хүлээн авсан</t>
  </si>
  <si>
    <t>Хувьцаа болон өмчийн бусад үнэт цаас гаргаснаас хүлээн авсан</t>
  </si>
  <si>
    <t>Төрөл бүрийн хандив</t>
  </si>
  <si>
    <t>Валютын ханшийн тэгшитгэлийн ашиг</t>
  </si>
  <si>
    <t>Зээл, өрийн үнэт цаасны төлбөрт төлсөн</t>
  </si>
  <si>
    <t>Санхүүгийн түрээсийн өглөгт төлсөн</t>
  </si>
  <si>
    <t>Хувьцаа буцаан худалдаж төлсөн</t>
  </si>
  <si>
    <t>Төлсөн ногдол ашиг</t>
  </si>
  <si>
    <t>Валютын ханшийн тэгшитгэлийн алдагдал</t>
  </si>
  <si>
    <t>Санхүүгийн үйл ажиллагааны цэвэр мөнгөн гүйлгээний дүн</t>
  </si>
  <si>
    <t>Өглөг авлагыг хаав</t>
  </si>
  <si>
    <t xml:space="preserve">ТЕГ-ын даргын 2011 оны 10 дугаар сарын 12-ны </t>
  </si>
  <si>
    <t xml:space="preserve">ºдрийн  584 дүгээр  тушаалын 1-р хавсралт </t>
  </si>
  <si>
    <t xml:space="preserve">    Маягт ТТ- 11(1)              Үндэсний татварын алба    </t>
  </si>
  <si>
    <t xml:space="preserve">Үндсэн цалин, хөдөлмөрийн хөлс болон түүнтэй адилтгах </t>
  </si>
  <si>
    <t>орлогоос суутган тооцсон татварын мэдээ</t>
  </si>
  <si>
    <t>Зөвхөн татварын албан ажлын хэрэгцээнд:</t>
  </si>
  <si>
    <t>ТБД  |__|__|__|__|__|__|__|__|__|__|__|__|__|</t>
  </si>
  <si>
    <t xml:space="preserve">                                                              Тэмдэг  </t>
  </si>
  <si>
    <t xml:space="preserve">Хүлээн авсан </t>
  </si>
  <si>
    <t>Он сар өдөр: __ __ . __ __ . __ __</t>
  </si>
  <si>
    <t>(өссөн дүнгээр)                                                                     (мянган төгрөгөөр)</t>
  </si>
  <si>
    <t xml:space="preserve">Суутгуулагчийн </t>
  </si>
  <si>
    <t>Үндсэн цалин, хөдөлмөрийн хөлс болон түүнтэй адилтгах орлого</t>
  </si>
  <si>
    <t>Татвар ногдох шууд бус орлого</t>
  </si>
  <si>
    <t>Татвар ногдох орлогын дүн               (4+5)</t>
  </si>
  <si>
    <t>ЭМД болон НДШ-ийн дүн             (6*10%)</t>
  </si>
  <si>
    <t>Татвар ногдуулах орлогын дүн                       (6-7)</t>
  </si>
  <si>
    <t>Ногдуулсан татвар           (8*10%)</t>
  </si>
  <si>
    <t xml:space="preserve">Хөнгөлөгдөх татварын дүн               </t>
  </si>
  <si>
    <t>Суутгуулсан татвар                     (9-10)</t>
  </si>
  <si>
    <t>Овог</t>
  </si>
  <si>
    <t xml:space="preserve">Тайланг үнэн зөв гаргасан: </t>
  </si>
  <si>
    <t>Дарга /Захирал/     .  . . . . . . . . . . . .  /                                              /</t>
  </si>
  <si>
    <t xml:space="preserve">Тайланг хянаж хїлээн авсан: </t>
  </si>
  <si>
    <t>Ерєнхий нягтлан бодогч   . . . . . . . . . . . /                                           /</t>
  </si>
  <si>
    <t>Татварын улсын байцаагч  . . . . . . . . . . . . . /                                     /</t>
  </si>
  <si>
    <t>20. . . оны . . . сарын  . . . єдєр</t>
  </si>
  <si>
    <t>Төмөрхуяг</t>
  </si>
  <si>
    <t>Энхбат</t>
  </si>
  <si>
    <t xml:space="preserve">Дашдэмбэрэл </t>
  </si>
  <si>
    <t xml:space="preserve">Бахдамдэмбэрэл </t>
  </si>
  <si>
    <t>Хөнгөлөлт</t>
  </si>
  <si>
    <t xml:space="preserve">Золжаргал </t>
  </si>
  <si>
    <t xml:space="preserve">Ганбаатар </t>
  </si>
  <si>
    <t xml:space="preserve">Оюунтүлхүүр </t>
  </si>
  <si>
    <t xml:space="preserve">Цэцэнпил </t>
  </si>
  <si>
    <t xml:space="preserve">Алтансүх </t>
  </si>
  <si>
    <t xml:space="preserve"> Амарсанаа </t>
  </si>
  <si>
    <t xml:space="preserve">Батжигүүр </t>
  </si>
  <si>
    <t>Бат-Эрдэнэ</t>
  </si>
  <si>
    <t>Даариймаа</t>
  </si>
  <si>
    <t xml:space="preserve"> Лхагвасүрэн </t>
  </si>
  <si>
    <t xml:space="preserve">Мөнхбаатар </t>
  </si>
  <si>
    <t xml:space="preserve"> Насанхүү </t>
  </si>
  <si>
    <t xml:space="preserve">Оюундэлгэр </t>
  </si>
  <si>
    <t xml:space="preserve">Оюунжаргал </t>
  </si>
  <si>
    <t xml:space="preserve">Улаансүх </t>
  </si>
  <si>
    <t>Цог-Эрдэнэ</t>
  </si>
  <si>
    <t xml:space="preserve">Шинэбаяр </t>
  </si>
  <si>
    <t>Дашдаваа</t>
  </si>
  <si>
    <t>Эрдэнбулган</t>
  </si>
  <si>
    <t>Жаргал</t>
  </si>
  <si>
    <t>Баасанжав</t>
  </si>
  <si>
    <t>Дорждан</t>
  </si>
  <si>
    <t>Түмэннасан</t>
  </si>
  <si>
    <t>Шарав</t>
  </si>
  <si>
    <t>Алтангэрэл</t>
  </si>
  <si>
    <t>Цэндсүрэн</t>
  </si>
  <si>
    <t>Чогдон</t>
  </si>
  <si>
    <t>Чулуунбат</t>
  </si>
  <si>
    <t>Нямсүрэн</t>
  </si>
  <si>
    <t>Баярмагнай</t>
  </si>
  <si>
    <t>Түвдэндорж</t>
  </si>
  <si>
    <t>Цэрэндондог</t>
  </si>
  <si>
    <t>Дашням</t>
  </si>
  <si>
    <t>Юнгэрэн</t>
  </si>
  <si>
    <t>Төмөрпүрэв</t>
  </si>
  <si>
    <t xml:space="preserve">Жаргалсайхан </t>
  </si>
  <si>
    <t xml:space="preserve">Дулмаа </t>
  </si>
  <si>
    <t xml:space="preserve">Дамдминсүрэн </t>
  </si>
  <si>
    <t xml:space="preserve">Оюунбаатар </t>
  </si>
  <si>
    <t>ЕТ75032819</t>
  </si>
  <si>
    <t xml:space="preserve">Буд </t>
  </si>
  <si>
    <t xml:space="preserve">Мөнхтүвшин </t>
  </si>
  <si>
    <t xml:space="preserve">Энхбаатар </t>
  </si>
  <si>
    <t>Цэрэнхүү</t>
  </si>
  <si>
    <t>ББӨ</t>
  </si>
  <si>
    <t>ÃÐÀÍÄ ÑËÀÁ ÕÕÊ</t>
  </si>
  <si>
    <t xml:space="preserve">БАРИЛГА БАЙГУУЛАМЖ </t>
  </si>
  <si>
    <t xml:space="preserve">Барилга байгууламж </t>
  </si>
  <si>
    <t xml:space="preserve">Òºìºð çàì </t>
  </si>
  <si>
    <t xml:space="preserve">Программ хангамж </t>
  </si>
  <si>
    <t>Компьютер /Dell/</t>
  </si>
  <si>
    <t>Компьютер /зургийн/</t>
  </si>
  <si>
    <t xml:space="preserve">Мөнгө тоологч </t>
  </si>
  <si>
    <t xml:space="preserve">Телевизор </t>
  </si>
  <si>
    <t xml:space="preserve">Фрезерийн суурь машин </t>
  </si>
  <si>
    <t xml:space="preserve">Бутлагч </t>
  </si>
  <si>
    <t>5тн-н өөрөө өргөгч По</t>
  </si>
  <si>
    <t>Ирлэгч машин / шүдлэн залгагч/</t>
  </si>
  <si>
    <t>Ирлэгч машин / харуулын хутга ирлэгч/</t>
  </si>
  <si>
    <t xml:space="preserve">Хавтан тайрагч машин </t>
  </si>
  <si>
    <t xml:space="preserve">Дүнзний ховил гаргагч </t>
  </si>
  <si>
    <t xml:space="preserve">Үртэс шахагч машин </t>
  </si>
  <si>
    <t xml:space="preserve">Яр бутлагч машин </t>
  </si>
  <si>
    <t xml:space="preserve">Үртэс сорогч вентилятор </t>
  </si>
  <si>
    <t xml:space="preserve">Уур гаргагч машин </t>
  </si>
  <si>
    <t xml:space="preserve">Компрессор том </t>
  </si>
  <si>
    <t xml:space="preserve">Компрессор жижиг </t>
  </si>
  <si>
    <t xml:space="preserve">Зүлгүүрийн машин </t>
  </si>
  <si>
    <t>Шахагч пресс</t>
  </si>
  <si>
    <t xml:space="preserve">Шүдлэн залгагч </t>
  </si>
  <si>
    <t xml:space="preserve">Таслагч хөрөө </t>
  </si>
  <si>
    <t xml:space="preserve">Яр тайрагч </t>
  </si>
  <si>
    <t>4талт харуул /8булт/</t>
  </si>
  <si>
    <t>4талт харуул /5булт/</t>
  </si>
  <si>
    <t xml:space="preserve">Бөөнөөр цувлагч хөрөө </t>
  </si>
  <si>
    <t>2 талт харуул /2булт/</t>
  </si>
  <si>
    <t xml:space="preserve">Цувлагч хөрөө </t>
  </si>
  <si>
    <t xml:space="preserve">Хатаалгын камер </t>
  </si>
  <si>
    <t xml:space="preserve">Үртэс сорогч машин </t>
  </si>
  <si>
    <t xml:space="preserve">Үртэс цуглуулагч бункер </t>
  </si>
  <si>
    <t xml:space="preserve">Халаалтын цогц төхөөрөмж </t>
  </si>
  <si>
    <t xml:space="preserve">Тавцантай хөрөө </t>
  </si>
  <si>
    <t xml:space="preserve">Градустай хөрөө </t>
  </si>
  <si>
    <t xml:space="preserve">Үртэс шахагч  </t>
  </si>
  <si>
    <t>Ширээ /1тумбочкх/</t>
  </si>
  <si>
    <t xml:space="preserve">Зөөлөн хар сандал </t>
  </si>
  <si>
    <t>Хар шкаф</t>
  </si>
  <si>
    <t>Сейф</t>
  </si>
  <si>
    <t>Хар түшлэгтэй /оффис/</t>
  </si>
  <si>
    <t>Ланд 200</t>
  </si>
  <si>
    <t xml:space="preserve">Интернэтийн антенн </t>
  </si>
  <si>
    <t xml:space="preserve">Сүлжээ салаалагч </t>
  </si>
  <si>
    <t>Принтер /3үйлдэлт хувилагч/</t>
  </si>
  <si>
    <t xml:space="preserve">УЛЬТРАСОНИК ХХК </t>
  </si>
  <si>
    <t xml:space="preserve">АЛТАН ТАРИА ХХК </t>
  </si>
  <si>
    <t xml:space="preserve">ВОРК ШОП ХХК </t>
  </si>
  <si>
    <t xml:space="preserve">СКАЙ ФОРТУН ХХК </t>
  </si>
  <si>
    <t xml:space="preserve">Банкны гүйлгээний шимтгэл </t>
  </si>
  <si>
    <t xml:space="preserve"> Шинэст ХК 2017 оны 10-р сарын  ажилчидын цалин </t>
  </si>
  <si>
    <t xml:space="preserve">Хорлоогийн Эрдэнэбилэг </t>
  </si>
  <si>
    <t>ЭМ,НД-н шимтгэл Байгууллага 10-сар</t>
  </si>
  <si>
    <t>ЭМ,НД-н шимтгэл Хувь хүн 10-сар</t>
  </si>
  <si>
    <t>ХХОАТатвар 10-р сар</t>
  </si>
  <si>
    <t>Гарт олгох 10-р сар</t>
  </si>
  <si>
    <t xml:space="preserve">Öàëèíãèéí çàðäàë 10-ð ñàð </t>
  </si>
  <si>
    <t>|_2_|_0_|_1_|_7_|  улирал |_4_|</t>
  </si>
  <si>
    <t>2017.01.01-2017.12.31</t>
  </si>
  <si>
    <t xml:space="preserve">ГТЕГ-ын даргын 2016 оны 01 дүгээр сарын </t>
  </si>
  <si>
    <t xml:space="preserve">Төлсөн </t>
  </si>
  <si>
    <t>Өглөг, авлага</t>
  </si>
  <si>
    <t xml:space="preserve">Үлдэгдэл </t>
  </si>
  <si>
    <t>28-ны өдрийн А/21 тоот тушаалын 1 дүгээр хавсаралт</t>
  </si>
  <si>
    <t xml:space="preserve">Эхлэх </t>
  </si>
  <si>
    <t xml:space="preserve">Дуусах </t>
  </si>
  <si>
    <t xml:space="preserve">төлбөр </t>
  </si>
  <si>
    <t>Дт-120600</t>
  </si>
  <si>
    <t>Кт-310500</t>
  </si>
  <si>
    <t>Маягт</t>
  </si>
  <si>
    <t>ТТ-03а</t>
  </si>
  <si>
    <t>Нэмэгдсэн өртгийн албан татвар суутган төлөгчийн тайлан</t>
  </si>
  <si>
    <t>Татвар төлөгчийн мэдээлэл:</t>
  </si>
  <si>
    <t>Татварын албаны мэдээлэл</t>
  </si>
  <si>
    <t xml:space="preserve">Татварын код </t>
  </si>
  <si>
    <t>Татварын албаны код</t>
  </si>
  <si>
    <t>ДҮН</t>
  </si>
  <si>
    <t>Татварын байцаагч</t>
  </si>
  <si>
    <t>Хүлээн авсан огноо</t>
  </si>
  <si>
    <t xml:space="preserve">Тухайн тайлант хугацаанд үйл ажиллагаа эрхлээгүй бол </t>
  </si>
  <si>
    <t>энд тэмдэглэн үү.</t>
  </si>
  <si>
    <t>(төгрөгөөр)</t>
  </si>
  <si>
    <t>А. ТУХАЙН САРЫНЫН БОРЛУУЛСАН БАРАА,  ГҮЙЦЭТГЭСЭН АЖИЛ, ҮЗҮҮЛСЭН  ҮЙЛЧИЛГЭЭНИЙ НЭМЭГДСЭН ӨРТГИЙН АЛБАН ТАТВАРЫН ТООЦОО</t>
  </si>
  <si>
    <t>Тухайн сарын нийт борлуулалтын орлого</t>
  </si>
  <si>
    <t>1(2+3)</t>
  </si>
  <si>
    <t>Хуулийн 13 дугаар зүйлд заасан тухайн сарын НӨАТ-аас чөлөөлөгдөх борлуулалт          /хавсралтаас өөрт хамаарах  чөлөөлөгдөх борлуулалтын орлогыг сонгоно /</t>
  </si>
  <si>
    <t>Нэмэгдсэн өртгийн албан татвар ногдох бараа, ажил, үйлчилгээний нийт борлуулалтын орлого</t>
  </si>
  <si>
    <t>3(4+10+30)</t>
  </si>
  <si>
    <t xml:space="preserve">НӨАТ ногдох бараа борлуулсны орлого </t>
  </si>
  <si>
    <t>4(5+…+9)</t>
  </si>
  <si>
    <t>Үүнээс:</t>
  </si>
  <si>
    <t xml:space="preserve">Дотоодын зах зээлд борлуулсан барааны борлуулалтын орлого </t>
  </si>
  <si>
    <t>Бусад барааны борлуулалтын орлого</t>
  </si>
  <si>
    <t>Татан буугдах үед өөрт үлдээсэн барааны орлого</t>
  </si>
  <si>
    <t>Өрийн төлбөрт шилжүүлсэн  барааны орлого</t>
  </si>
  <si>
    <t xml:space="preserve">НӨАТ ногдох ажил, үйлчилгээний  орлого </t>
  </si>
  <si>
    <t>10(11+…+25)</t>
  </si>
  <si>
    <t>Наториатын үйлчилгээний орлого</t>
  </si>
  <si>
    <t>Өрийн төлбөрт тооцсон ажил гүйцэтгэх, үйлчилгээ үзүүлсний орлого</t>
  </si>
  <si>
    <t>Цахилгаан,  дулаан, хий, ус хангамж, ариутгах татуурга, шуудан, харилцаа холбооны болон бусад үйлчилгээ үзүүлсний  орлого</t>
  </si>
  <si>
    <t>Бараа түрээслүүлэх, бусад хэлбэрээр эзэмшүүлэх, ашиглуулах үйлчилгээний орлого</t>
  </si>
  <si>
    <t>Зочид буудал буюу түүнтэй адилтгах байранд байр түрээслүүлэх, бусад хэлбэрээр эзэмшүүлэх, ашиглуулах үйлчилгээний орлого</t>
  </si>
  <si>
    <t xml:space="preserve"> Үл хөдлөх,  хөдлөх эд хөрөнгө түрээслүүлэх буюу бусад хэлбэрээр эзэмшүүлэх ашиглуулах үйлчилгээий орлого</t>
  </si>
  <si>
    <t>Шинэ бүтээл, бүтээгдэхүүний загвар, ашигтай загвар, зохиогчийн эрхэд хамаарах бүтээл, барааны тэмдэг, ноу-хау, хөрөнгийн мэдээллийг шилжүүлсэн, түрээсэлсэн, худалдсаны орлого</t>
  </si>
  <si>
    <t>Эд мөнгөний хонжворт сугалаа,төлбөрт таавар бооцоот тоглоомын үйл ажиллагааны орлого</t>
  </si>
  <si>
    <t>Зуучлалын үйлчилгээний орлого</t>
  </si>
  <si>
    <t>Бусдын буруутай үйл ажиллагааны улмаас авсан хүү, торгууль, алдангийн орлого</t>
  </si>
  <si>
    <t>Хөрөнгийн үнэлгээний үйлчилгээний орлого</t>
  </si>
  <si>
    <t>Төрөөс олгож буй төсвийн санхүүжилт, татаас, урамшууллын орлого</t>
  </si>
  <si>
    <t>Өмгөөлөл, хууль зүйн зөвлөлгөө өгөх үйлчилгээний орлого</t>
  </si>
  <si>
    <t>Үсчин, гоо сайхан, засвар үйлчилгээ, угаалга, хими цэвэрлэгээний үйлчилгээний орлого</t>
  </si>
  <si>
    <t>Хуулийн 13 дугаар зүйлд зааснаас  бусад бүх төрлийн үйлчилгээний  орлого</t>
  </si>
  <si>
    <t>Тухайн сарын НӨАТ ногдох дотоодын бараа, ажил, үйлчилгээний орлого</t>
  </si>
  <si>
    <t>26(4+10)</t>
  </si>
  <si>
    <t>Ногдуулсан татвар</t>
  </si>
  <si>
    <t>27(26*10%)</t>
  </si>
  <si>
    <t>Экспортонд гаргасан барааны борлуулалтын орлого</t>
  </si>
  <si>
    <t>28</t>
  </si>
  <si>
    <t>Экспортолсон үйлчилгээний  борлуулалтын орлого</t>
  </si>
  <si>
    <t>29</t>
  </si>
  <si>
    <t>Тухайн сарын НӨАТ ногдох экспортын бараа, ажил, үйлчилгээний орлого</t>
  </si>
  <si>
    <t>30(28+29)</t>
  </si>
  <si>
    <t>31(30*0%)</t>
  </si>
  <si>
    <t>Тухайн сард ногдуулсан НӨАТ-ын нийт татвар</t>
  </si>
  <si>
    <t>32(27+31)</t>
  </si>
  <si>
    <t>Б. ТУХАЙН САРД ХУДАЛДАН АВСАН  БАРАА,  ГҮЙЦЭТГЭСЭН АЖИЛ, ҮЗҮҮЛСЭН  ҮЙЛЧИЛГЭЭНИЙ НЭМЭГДСЭН ӨРТГИЙН АЛБАН ТАТВАРЫН ТООЦОО</t>
  </si>
  <si>
    <t xml:space="preserve">Тухайн сард худалдан авсан бараа, ажил үйлчилгээний нийт дүн  </t>
  </si>
  <si>
    <t>33</t>
  </si>
  <si>
    <t>Тухайн сард худалдан авсан БАҮ-нээс НӨАТ-тай худалдан авсан бараа, ажил, үйлчилгээний дүн</t>
  </si>
  <si>
    <t>34(35+…+38)</t>
  </si>
  <si>
    <t>Импортын бараа, ажил үйлчилгээний дүн ( НӨАТ-гүй дүн)</t>
  </si>
  <si>
    <t>35</t>
  </si>
  <si>
    <t>Дотоодын зах зээлээс худалдан авсан бараа, ажил, үйлчилгээнд төлсөн дүн ( НӨАТ-гүй дүн)</t>
  </si>
  <si>
    <t>36</t>
  </si>
  <si>
    <t>Суутган төлөгчөөр бүртгүүлэх үед импортоор оруулсан болон бусдаас худалдан авсан  бараа, ажил, үйлчилгээний дүн  /НӨАТ-гүй дүн/</t>
  </si>
  <si>
    <t>37</t>
  </si>
  <si>
    <t>Мал аж ахуй, газар тариалангийн үйлдвэрлэл эрхлэгчээс худалдан авсан мах, сүү, өндөг, арьс шир,  төмс,  хүнсний ногоо, жимс жимсгэнэ болон  дотоодод үйлдвэрлэсэн  гурилыг худалдан авсан дүн / НӨАТ-гүй дүн/</t>
  </si>
  <si>
    <t>38</t>
  </si>
  <si>
    <t>Худалдан авсан бараа, ажил, үйлчилгээнд төлсөн  НӨАТ-ын  нийт дүн</t>
  </si>
  <si>
    <t>39(34*10%)</t>
  </si>
  <si>
    <t>Худалдан авсан бараа, ажил, үйлчилгээнд төлсөн хасагдахгүй  НӨАТ-ын  дүн</t>
  </si>
  <si>
    <t>+40(41+…+46)</t>
  </si>
  <si>
    <t>Суудлын автомашин, түүний эд анги сэлбэгт төлсөн  НӨАТ</t>
  </si>
  <si>
    <t>41</t>
  </si>
  <si>
    <t>Хувьдаа болон ажиллагсдын хэрэгцээнд зориулж худалдан авсан бараа, ажил,  үйлчилгээнд төлсөн НӨАТ</t>
  </si>
  <si>
    <t>42</t>
  </si>
  <si>
    <t>Үндсэн хөрөнгө бэлтгэхэд зориулж импортоор оруулсан буюу худалдан авсан бараа, ажил, үйлчилгээнд төлсөн  НӨАТ</t>
  </si>
  <si>
    <t>43</t>
  </si>
  <si>
    <t>Хуулийн 13 дугаар зүйлд заасан чөлөөлөгдөх үйлдвэрлэл, үйлчилгээнд зориулж импортолсон болон  худалдаж авсан бараа, ажил, үйлчилгээнд төлсөн НӨАТ</t>
  </si>
  <si>
    <t>44</t>
  </si>
  <si>
    <t>Хайгуулын ажил болон ашиглалтын өмнөх үйл ажиллагаанд зориулж импортоор  оруулсан болон худалдан авсан бараа, ажил, үйлчилгээнд төлсөн НӨАТ</t>
  </si>
  <si>
    <t>45</t>
  </si>
  <si>
    <t>Тайлант хугацааны албан татвар ногдох бараа, ажил, үйлчилгээтэй хамааралгүй импортоор оруулсан болон худалдан авсан бараа, ажил, үйлчилгээнд төлсөн НӨАТ</t>
  </si>
  <si>
    <t>46</t>
  </si>
  <si>
    <t>Тухайн сард хасагдах НӨАТ-ын дүн</t>
  </si>
  <si>
    <t>47(39-40)</t>
  </si>
  <si>
    <t>В. САНХҮҮГИЙН ТҮРЭЭСИЙН ЗҮЙЛИЙН БОЛОН САНХҮҮЖИЛТИЙН ХЭЛЭЛЦЭЭРИЙН  ЗҮЙЛИЙН НЭМЭГДСЭН  ӨРТГИЙН АЛБАН ТАТВАРЫН ТООЦОО</t>
  </si>
  <si>
    <t>Санхүүгийн түрээсийн зүйлийг санхүүгийн түрээсээр дотоодын зах зээлд борлуулсны орлого</t>
  </si>
  <si>
    <t>48</t>
  </si>
  <si>
    <t>Факторинг, форфайтинг зэрэг тэдгээртэй адилтгах хэлцлийн үйлчилгээний орлого</t>
  </si>
  <si>
    <t>49</t>
  </si>
  <si>
    <t xml:space="preserve">Ногдуулсан НӨАТ </t>
  </si>
  <si>
    <t>+50(48+49)*10%</t>
  </si>
  <si>
    <t>Санхүүгийн түрээсийн зүйлийг санхүүгийн түрээсээр дотоодын зах зээлээс худалдан авахад төлсөн түрээсийн төлбөр /төлбөр хийхээр тохирсон хуваарийг баримтлан/</t>
  </si>
  <si>
    <t>51</t>
  </si>
  <si>
    <t>Факторинг, форфайтинг зэрэг тэдгээртэй адилтгах хэлцлийг худалдан авахад төлсөн төлбөр /төлбөр хийхээр тохирсон хуваарийг баримтлан/</t>
  </si>
  <si>
    <t>52</t>
  </si>
  <si>
    <t>Хасагдах НӨАТ</t>
  </si>
  <si>
    <t>53(51+52)*10%</t>
  </si>
  <si>
    <t>Г. ТУХАЙН САРЫН НЭМЭГДСЭН ӨРТГИЙН АЛБАН ТАТВАРЫН ТООЦООЛОЛ</t>
  </si>
  <si>
    <t>Тухайн сард төлбөл зохих НӨАТ</t>
  </si>
  <si>
    <t>54(32+50)</t>
  </si>
  <si>
    <t>Тухайн сард буцаан авах НӨАТ</t>
  </si>
  <si>
    <t>55(47+53)</t>
  </si>
  <si>
    <t>Д. ӨМНӨХ  САРЫН ТАЙЛАНГИЙН  ЗАЛРУУЛГА</t>
  </si>
  <si>
    <t>Борлуулалтын орлогын буцаалт, хөнгөлөлтийн дүн</t>
  </si>
  <si>
    <t>56</t>
  </si>
  <si>
    <t xml:space="preserve">Төлсөн НӨАТ </t>
  </si>
  <si>
    <t>57(56*10%)</t>
  </si>
  <si>
    <t>Худалдан авалтын буцаалт, хөнгөлөлтийн дүн</t>
  </si>
  <si>
    <t>58</t>
  </si>
  <si>
    <t>59(58*10%)</t>
  </si>
  <si>
    <t>Е. ТУХАЙН САРЫН НЭМЭГДСЭН ӨРТГИЙН АЛБАН ТАТВАРЫН ТООЦООЛОЛ</t>
  </si>
  <si>
    <t>НИЙТ ТӨЛБӨЛ ЗОХИХ  НӨАТ</t>
  </si>
  <si>
    <t>60(54-57)</t>
  </si>
  <si>
    <t xml:space="preserve">НИЙТ БУЦААН АВАХ НӨАТ   </t>
  </si>
  <si>
    <t>61(55-59)</t>
  </si>
  <si>
    <t>ЭЦСИЙН ТООЦООГООР ТӨЛБӨЛ ЗОХИХ НӨАТ</t>
  </si>
  <si>
    <t>62(60-61)</t>
  </si>
  <si>
    <t>ЭЦСИЙН ТООЦООГООР БУЦААН АВАХ НӨАТ</t>
  </si>
  <si>
    <t>63-(60-61)</t>
  </si>
  <si>
    <t xml:space="preserve">Ё.ТАТВАРЫН ТООЦООЛОЛ              </t>
  </si>
  <si>
    <t>ДЕБЕТ</t>
  </si>
  <si>
    <t>КРЕДИТ</t>
  </si>
  <si>
    <t>Тайлангийн эхний үлдэгдэл</t>
  </si>
  <si>
    <t>Тайлант хугацаанд ногдуулсан татвар</t>
  </si>
  <si>
    <t>Тайлант хугацаанд төсвөөс буцаан авсан</t>
  </si>
  <si>
    <t>Тайлант хугацаанд хүлээн авсан үлдэгдэл</t>
  </si>
  <si>
    <t>Тайлант хугацаанд шилжүүлсэн үлдэгдэл</t>
  </si>
  <si>
    <t>Тайлант хугацаанд хүчингүй болсон</t>
  </si>
  <si>
    <t>Суутган тооцоолсон</t>
  </si>
  <si>
    <t>Тайлангийн эцсийн үлдэгдэл</t>
  </si>
  <si>
    <t>Тайланг үнэн зөв гаргасан:</t>
  </si>
  <si>
    <t xml:space="preserve">Татварын улсын байцаагч . . . . . . . . . . . . . .  . . .  . . . . </t>
  </si>
  <si>
    <t xml:space="preserve">10-р сарын цалин </t>
  </si>
  <si>
    <t>МВ73111111</t>
  </si>
  <si>
    <t xml:space="preserve">Хорлоо </t>
  </si>
  <si>
    <t>Эрдэнэбилэг</t>
  </si>
  <si>
    <t>Аж ахуйн хангамж, цэвэрлэгээ</t>
  </si>
  <si>
    <t xml:space="preserve">Өөрөө өргөгч По-д түлш </t>
  </si>
  <si>
    <t xml:space="preserve"> Хөрөөний ир </t>
  </si>
  <si>
    <t xml:space="preserve">Морилка </t>
  </si>
  <si>
    <t xml:space="preserve">Гранд Слаб-цалингийн зардал </t>
  </si>
  <si>
    <t xml:space="preserve">Сургуулийн сандал, тейк-БОр хүлээн зөвшөөрөв </t>
  </si>
  <si>
    <t xml:space="preserve">Хурд ХХК - иог БОр хүлээн зөвшөөрөв </t>
  </si>
  <si>
    <t xml:space="preserve">10-р сарын шатахууны НӨАТ </t>
  </si>
  <si>
    <t>Н-Ембүү /20*30мм/</t>
  </si>
  <si>
    <t>Н-Шатны бариул /58*68мм/</t>
  </si>
  <si>
    <t>Н-Хэлбэртэй плинтус /20*80мм/</t>
  </si>
  <si>
    <t>Н-Хагас хэлбэртэй плинтус /20*30мм/</t>
  </si>
  <si>
    <t>ХҮРЭЭ ЦАМХАГ ХХК</t>
  </si>
  <si>
    <t xml:space="preserve">ÆÈÍÑÒ ÕÀÉÐÕÀÍ ÕÕÊ </t>
  </si>
  <si>
    <t xml:space="preserve">Хааны данснаас касс луу зарлага </t>
  </si>
  <si>
    <t xml:space="preserve">ГАН ЗОСОН КОНСТРАКШН ХХК </t>
  </si>
  <si>
    <t>Ган Зосон Констракшн ХХК -захиалга буцаав</t>
  </si>
  <si>
    <t xml:space="preserve"> Шинэст ХК 2017 оны 11-р сарын  ажилчидын цалин </t>
  </si>
  <si>
    <t>ЭМ,НД-н шимтгэл Байгууллага 11-сар</t>
  </si>
  <si>
    <t>ЭМ,НД-н шимтгэл Хувь хүн 11-сар</t>
  </si>
  <si>
    <t>ХХОАТатвар 11-р сар</t>
  </si>
  <si>
    <t>Гарт олгох 11-р сар</t>
  </si>
  <si>
    <t xml:space="preserve">Öàëèíãèéí çàðäàë 11-ð ñàð </t>
  </si>
  <si>
    <t>Бөхчулууны Балжмаа</t>
  </si>
  <si>
    <t xml:space="preserve">Архитектор </t>
  </si>
  <si>
    <t>ЖЯ95071002</t>
  </si>
  <si>
    <t>Ня-бо</t>
  </si>
  <si>
    <t xml:space="preserve">Лхагвагийн Ариунболд </t>
  </si>
  <si>
    <t xml:space="preserve">Жолооч </t>
  </si>
  <si>
    <t>ОС83092834</t>
  </si>
  <si>
    <t xml:space="preserve">Булганы Буянтогтох </t>
  </si>
  <si>
    <t>УЛ91061815</t>
  </si>
  <si>
    <t xml:space="preserve">Цалин олгов 11-р сар </t>
  </si>
  <si>
    <t>Гүйлгээний шимтгэл</t>
  </si>
  <si>
    <t>СЭФИЛО ХХК</t>
  </si>
  <si>
    <t xml:space="preserve">ГОЛОМТ БАНК </t>
  </si>
  <si>
    <t xml:space="preserve">ГРИЙН АРТ ПАРК ХХК </t>
  </si>
  <si>
    <t>ИХ ГОВИЙН ЭРЧИМ ХУРД ХХК</t>
  </si>
  <si>
    <t xml:space="preserve">Уурын тоолуур баталгаажуулах </t>
  </si>
  <si>
    <t xml:space="preserve">СИЛК РӨҮТ ТЕКСТИЛЬ ХХК </t>
  </si>
  <si>
    <t>2017.12.31</t>
  </si>
  <si>
    <t>АЖ АХУЙН НЭГЖИЙН ОРЛОГЫН АЛБАН ТАТВАРЫН ТАЙЛАНГИЙН ХАВСРАЛТ</t>
  </si>
  <si>
    <t>2. БОРЛУУЛСАН БҮТЭЭГДЭХҮҮНИЙ ӨРТӨГ</t>
  </si>
  <si>
    <t>2.1 Үйлдвэрлэл, үйлчилгээ бусад чиглэлээр үйл ажиллагаа эрхэлдэг аж ахуйн нэгжийн борлуулсан бүтээгдэхүүний өртөгийн тооцоолол/оны эхнээс өссөн дүнгээр, төгрөг мөнгөөр/</t>
  </si>
  <si>
    <t>Үзүүэлт</t>
  </si>
  <si>
    <t xml:space="preserve">Тоо </t>
  </si>
  <si>
    <t>Өртөг 1</t>
  </si>
  <si>
    <t>Өртөг 2</t>
  </si>
  <si>
    <t>Өртөг 3</t>
  </si>
  <si>
    <t>Өртөг 4</t>
  </si>
  <si>
    <t xml:space="preserve">Бэлэн бүтээгдэхүүн дансны эхний үлдэгдэл </t>
  </si>
  <si>
    <t>Тайлант онд үйлдвэрлэсэн бүтээгдэхүүний өртөг (2.1+2.2+2.3+2.4-2.5)</t>
  </si>
  <si>
    <t>Дуусаагүй үйлдвэрлэл дансны тайлант оны эхний үлдэгдэл (+)</t>
  </si>
  <si>
    <t>Шууд материалын зардал (+)</t>
  </si>
  <si>
    <t>Шууд хөдөлмөрийн зардал (+)</t>
  </si>
  <si>
    <t>Үйлдвэрлэлийн нэмэгдэл зардал (+)</t>
  </si>
  <si>
    <t>Дуусаагүй үйлдвэрлэл дансны тайлант оны эцсийн үлдэгдэл (+)</t>
  </si>
  <si>
    <t>Бүтээгдэхүүний бусад зарлага</t>
  </si>
  <si>
    <t>Борлуулхад бэлэн бүтээгдэхүүний өртөг (1+2-3)</t>
  </si>
  <si>
    <t xml:space="preserve">Бэлэн бүтээгдэхүүн дансны эцсийн үлдэгдэл </t>
  </si>
  <si>
    <t>Борлуулсан бүтээгдэхүүний өртөг (4-5)</t>
  </si>
  <si>
    <t>2.2 Худалдааны чиглэлийн аж ахуйн нэгжийн борлуулсан барааны өртөгийн тооцоолол/оны эхнээс өссөн дүнгээр, төгрөг мөнгөөр/</t>
  </si>
  <si>
    <t xml:space="preserve">Бараа дансны тайлант оны эхний үлдэгдэл </t>
  </si>
  <si>
    <t>Тайлант үед худалдан авсан барааны цэвэр өртөг (2.1+2.2-2.3-2.4)</t>
  </si>
  <si>
    <t>Худалдан авсан барааны үнэ (+)</t>
  </si>
  <si>
    <t>Бараа бэлтгэлийн зардал (+)</t>
  </si>
  <si>
    <t xml:space="preserve">Тээврийн зардал </t>
  </si>
  <si>
    <t>Даатгалын зардал</t>
  </si>
  <si>
    <t>Татвар, хураамж</t>
  </si>
  <si>
    <t xml:space="preserve">Ачиж буулгах зардал </t>
  </si>
  <si>
    <t xml:space="preserve">Бусад зардал </t>
  </si>
  <si>
    <t>Худалдан авалтын үнийн хөнгөлөлт (-)</t>
  </si>
  <si>
    <t>Худалдан авалтаас буцаасан барааны өртөг (-)</t>
  </si>
  <si>
    <t>Барааны бусад зарлага (-)</t>
  </si>
  <si>
    <t>Борлуулхад бэлэн бараа (1+2-3)</t>
  </si>
  <si>
    <t xml:space="preserve">Бараа дансны тайлант оны эцсийн үлдэгдэл </t>
  </si>
  <si>
    <t>3. АЛБАН ТАТВАР НОГДОХ ОРЛОГООС ХАСАГДАХ ЗАРДАЛ/оны эхнээс өссөн дүнгээр, төгрөг мөнгөөр/</t>
  </si>
  <si>
    <t>4. АЛБАН ТАТВАР НОГДОХ ОРЛОГООС ХАСАГДАХГҮЙ ЗАРДАЛ/оны эхнээс өссөн дүнгээр, төгрөг мөнгөөр/</t>
  </si>
  <si>
    <t xml:space="preserve">Албан томилолтын зардал /төрийн албан хаагчийн албан томилолтын зардал 2 дахин нэмэгдүүлсэнээс хэтэрсэн дүн </t>
  </si>
  <si>
    <t>Сайн дурын даатгалын хураамж/татвар ногдуулах орлогын 15 хувиас хэтэрсэн дүн/</t>
  </si>
  <si>
    <t>Урсгал засварын зардал /үл хөдлөх эд хөрөнгийн хувьд үлдэгдэл өртөгийн 2 хувь бусад хөрөнгийн хувьд үлдэгдэл өртөгийн 5 хувиас хэтэрсэн дүн /</t>
  </si>
  <si>
    <t xml:space="preserve">Бараа материалын хэвийн бус хорогдол </t>
  </si>
  <si>
    <t xml:space="preserve">Санхүүгийн түрээсийн төлбөр </t>
  </si>
  <si>
    <t xml:space="preserve">Албан татвар төлөгчийн буруутай үйл ажиллагаатай холбогдон төлсөн торгууль алданги, бусад учируулсан хохирлыг нөхөн төлсөн төлбөр </t>
  </si>
  <si>
    <t>Чөлөөлөгдөх орлого олохтой холбоотой гарсан зардал</t>
  </si>
  <si>
    <t>Валютын ханшын бодит бус алдагдал</t>
  </si>
  <si>
    <t>Албан татвар ногдох орлогоос хасагдахгүй нийт зардалын дүн /1+.....+9/</t>
  </si>
  <si>
    <t>7. ХАРИЛЦАН ХАМААРАЛ БҮХИЙ ЭТГЭЭДҮҮДИЙН ХООРОНД ХИЙГДСЭН САНХҮҮГИЙН ГҮЙЛГЭЭНИЙ ТАЛААРХИ МЭДЭЭЛЭЛ</t>
  </si>
  <si>
    <t>7.1 харилцан хамаарал бүхий талуудын хооронд хийгдсэн ажил гүйлгээний жагсаалт /Гүйлгээ хийгдсэн харилцан хамаарал бүхий компани тус бүрээр 7.2, 7.3-ыг тодруулга хэсгийг бөглөнө.</t>
  </si>
  <si>
    <t>Д/д</t>
  </si>
  <si>
    <t xml:space="preserve">Гүйлгээний төрөл </t>
  </si>
  <si>
    <t>Дүн 1</t>
  </si>
  <si>
    <t>Дүн 2</t>
  </si>
  <si>
    <t>Дүн 3</t>
  </si>
  <si>
    <t>Дүн 4</t>
  </si>
  <si>
    <t xml:space="preserve">Гүйлгээний дүн </t>
  </si>
  <si>
    <t xml:space="preserve">Бараа бүтээгдэхүүн борлуулсаны орлого </t>
  </si>
  <si>
    <t xml:space="preserve">Үл хөдлөх хөрөнгө борлуулсаны орлого </t>
  </si>
  <si>
    <t xml:space="preserve">Хөдлөх хөрөнгө борлуулсаны орлого </t>
  </si>
  <si>
    <t xml:space="preserve">Хөрөнгийн түрээсийн орлого </t>
  </si>
  <si>
    <t xml:space="preserve">Биет бус хөрөнгө борлуулсаны орлого </t>
  </si>
  <si>
    <t xml:space="preserve">Биет бус хөрөнгө түрээслүүлсэний орлого </t>
  </si>
  <si>
    <t xml:space="preserve">Ажил үйлчилгээ үзүүлсэний орлого </t>
  </si>
  <si>
    <t xml:space="preserve">Хураамжийн орлого </t>
  </si>
  <si>
    <t xml:space="preserve">Хүүгийн орлого </t>
  </si>
  <si>
    <t xml:space="preserve">Даатгалын хураамжийн орлого </t>
  </si>
  <si>
    <t xml:space="preserve">Зөвлөх үйлчилгээний орлого </t>
  </si>
  <si>
    <t xml:space="preserve">Бусад орлого </t>
  </si>
  <si>
    <t xml:space="preserve">НИЙТ ДҮН </t>
  </si>
  <si>
    <t xml:space="preserve">Бараа бүтээгдэхүүн худалаж авсаны зардал </t>
  </si>
  <si>
    <t xml:space="preserve">Үл хөдлөх хөрөнгө худалдаж авсаны зардал </t>
  </si>
  <si>
    <t xml:space="preserve">Хөдлөх хөрөнгө худалдан авсаны зардал </t>
  </si>
  <si>
    <t xml:space="preserve">Хөрөнгийн түрээсийн зардал </t>
  </si>
  <si>
    <t xml:space="preserve">Биет бус хөрөнгө худалдаж авсаны зардал </t>
  </si>
  <si>
    <t xml:space="preserve">Биет бус хөрөнгө түрээслэсний зардал </t>
  </si>
  <si>
    <t xml:space="preserve">Ажил үйлчилгээний төлбөр </t>
  </si>
  <si>
    <t xml:space="preserve">Хураамжийн төлбөр </t>
  </si>
  <si>
    <t xml:space="preserve">Хүүгийн зардал </t>
  </si>
  <si>
    <t xml:space="preserve">Даатгалын хураамжийн зардал </t>
  </si>
  <si>
    <t xml:space="preserve">Зөвлөх үйлчилгээний зардал </t>
  </si>
  <si>
    <t>Зээлдүүлсэн мөнгөний дүн а. Тайлант хугацааны эхэнд</t>
  </si>
  <si>
    <t xml:space="preserve">                                                    б. Тайлант хугацааны эцэст</t>
  </si>
  <si>
    <t>Зээлсэн мөнгөний дүн          а. Тайлант хугацааны эхэнд</t>
  </si>
  <si>
    <t>7.1 Харилцан хамаарал бүхий талуудын хооронд бараа солилцоогоор болон  өрийн төлбөрт өгсөн гүйлгээний жагсаалт /оны эхнээс өссөн дүнгээр, төгрөг мөнгөөр/</t>
  </si>
  <si>
    <t xml:space="preserve">Зах зээлийн үнэлгээний дүн </t>
  </si>
  <si>
    <t xml:space="preserve">Бараа солилцоо, өрийн төлбөрт өгсөн дүн </t>
  </si>
  <si>
    <t xml:space="preserve">Хөдлөх болон үл хөдлөх хөрөнгийн борлуулалтын орлого </t>
  </si>
  <si>
    <t xml:space="preserve">Үйлчилгээний орлого </t>
  </si>
  <si>
    <t>Нийт орлогын дүн /мөр 1+2+3/</t>
  </si>
  <si>
    <t xml:space="preserve">Хөдлөх болон үл хөдлөх хөрөнгийн худалдан авалтын дүн  </t>
  </si>
  <si>
    <t xml:space="preserve">Үйлчилгээний төлбөр </t>
  </si>
  <si>
    <t xml:space="preserve">Биет бус хөрөнгө худалдан авалтын дүн </t>
  </si>
  <si>
    <t>Нийт төлбөрийн дүн /мөр 4+5+6/</t>
  </si>
  <si>
    <t>1-сар</t>
  </si>
  <si>
    <t>2-сар</t>
  </si>
  <si>
    <t>3-сар</t>
  </si>
  <si>
    <t>4-сар</t>
  </si>
  <si>
    <t>5-сар</t>
  </si>
  <si>
    <t>6-сар</t>
  </si>
  <si>
    <t>7-сар</t>
  </si>
  <si>
    <t>8-сар</t>
  </si>
  <si>
    <t>9-сар</t>
  </si>
  <si>
    <t>10-сар</t>
  </si>
  <si>
    <t>11-сар</t>
  </si>
  <si>
    <t>12-сар</t>
  </si>
  <si>
    <t>Регистрийн дугаар:|_2_|_0_|_1_|_8_|_9_|_4_|_2_|</t>
  </si>
  <si>
    <t>Компанийн нэр:ШИНЭСТ ХК</t>
  </si>
  <si>
    <t>Хаяг: Аймаг, хотУлаанбаатар</t>
  </si>
  <si>
    <t>Сум, дүүрэг:Хан уул дүүрэг</t>
  </si>
  <si>
    <t xml:space="preserve">Баг, хороо:3-р хороо </t>
  </si>
  <si>
    <t>Гудамж, хороолол:Эв нэгдэлийн гудамж</t>
  </si>
  <si>
    <t xml:space="preserve">Байр:Шинэст ХК -н өөрийн байр </t>
  </si>
  <si>
    <t>Утас:7011441499119765 99066093 86001044</t>
  </si>
  <si>
    <t>Хуудас1</t>
  </si>
  <si>
    <t>САНХҮҮГИЙН ТАЙЛАНГИЙН ТОДРУУЛГА</t>
  </si>
  <si>
    <t>( Аж ахуйн нэгжийн нэр )</t>
  </si>
  <si>
    <t>Үндсэн үйл ажиллагааны чиглэл /төрөл /:</t>
  </si>
  <si>
    <t>( а )</t>
  </si>
  <si>
    <t>( б )</t>
  </si>
  <si>
    <t>( в )</t>
  </si>
  <si>
    <t>Туслах үйл ажиллагааны чиглэл / төрөл /:</t>
  </si>
  <si>
    <t>Салбар төлөөлөгчийн газарын нэр, байршил :</t>
  </si>
  <si>
    <t>1. ТАЙЛАН БЭЛТГЭХ ҮНДЭСЛЭЛ</t>
  </si>
  <si>
    <t>2. НЯГТЛАН БОДОХ БҮРТГЭЛИЙН БОДЛОГЫН ӨӨРЧЛӨЛТ</t>
  </si>
  <si>
    <t>3. МӨНГӨ ТҮҮНТЭЙ АДИЛТГАХ ХӨРӨНГӨ</t>
  </si>
  <si>
    <t>Хуудас2</t>
  </si>
  <si>
    <t xml:space="preserve">Мөнгөн хөрөнгийн зүйлс </t>
  </si>
  <si>
    <t xml:space="preserve">Эхний үлдэгдэл </t>
  </si>
  <si>
    <t xml:space="preserve">Эцсийн үлдэгдэл </t>
  </si>
  <si>
    <t>Касс дахь мөнгө</t>
  </si>
  <si>
    <t>Банкин дахь мөнгө</t>
  </si>
  <si>
    <t xml:space="preserve">Мөнгөтэй адилтгах хөрөнгө </t>
  </si>
  <si>
    <t xml:space="preserve">Нийт дүн </t>
  </si>
  <si>
    <t>4. ДАНСНЫ БОЛОН БУСАД АВЛАГА</t>
  </si>
  <si>
    <t>4.1 Дансны авлага</t>
  </si>
  <si>
    <t>Дансны авлага</t>
  </si>
  <si>
    <t>Дансны авлага/Цэвэр дүнгээр/</t>
  </si>
  <si>
    <t xml:space="preserve">Нэмэгдсэн </t>
  </si>
  <si>
    <t xml:space="preserve">Хасагдсан </t>
  </si>
  <si>
    <t xml:space="preserve">Төлөгдсөн </t>
  </si>
  <si>
    <t xml:space="preserve">Найдваргүй болсон </t>
  </si>
  <si>
    <t>4.2 Татвар нийгмийн даатгалын шимтгэл/НДШ/-н авлага</t>
  </si>
  <si>
    <t>Төрөл</t>
  </si>
  <si>
    <t>ААНОАТ-ын авлага</t>
  </si>
  <si>
    <t>НӨАТ-ын авлага</t>
  </si>
  <si>
    <t>НДШ-н авлага</t>
  </si>
  <si>
    <t>ХХОАТ</t>
  </si>
  <si>
    <t>4.3 Бусад богино хугацаат авлага/төрлөөр нь ангилна/</t>
  </si>
  <si>
    <t>Холбоотой талаас авах авлага/эргэлтийн хөрөнгөнд хамаарах дүн/</t>
  </si>
  <si>
    <t>Ажилчидаас авах авлага</t>
  </si>
  <si>
    <t>Ногдол ашгын авлага</t>
  </si>
  <si>
    <t>Хүүний авлага</t>
  </si>
  <si>
    <t xml:space="preserve">Богино хугацаат авлагын бичиг </t>
  </si>
  <si>
    <t>Бусад талуудаас авах авлага</t>
  </si>
  <si>
    <t>Тэмдэглэл./Дансны авлагыг төлөгдөх хугацаандаа байгаа, хугацаа хэтэрсэн, төлөгдөх найдваргүй гэж ангилна. Найдваргүй авлагын хасагдуулга байгуулсан арга, гадаад валютаар илэрхийлэгдсэн авлагын талаар болон бусад тайлбар тэмдэглэлийг хийнэ.</t>
  </si>
  <si>
    <t xml:space="preserve">5. БУСАД САНХҮҮГИЙН ХӨРӨНГӨ </t>
  </si>
  <si>
    <t>Хуудас3</t>
  </si>
  <si>
    <t xml:space="preserve">Төрөл </t>
  </si>
  <si>
    <t xml:space="preserve">6. БАРАА МАТЕРИАЛ </t>
  </si>
  <si>
    <t>Үзүүэлэлт</t>
  </si>
  <si>
    <t xml:space="preserve">Түүхий эд материал </t>
  </si>
  <si>
    <t>Дуусаагүй үйлдэв</t>
  </si>
  <si>
    <t xml:space="preserve">Бэлэн бүтээгдэхүүн </t>
  </si>
  <si>
    <t>Бараа</t>
  </si>
  <si>
    <t>Хангамжийн материал</t>
  </si>
  <si>
    <t>Эхний үлдэгдэл/өртөгөөр/</t>
  </si>
  <si>
    <t xml:space="preserve">Нэмэгдсэн дүн </t>
  </si>
  <si>
    <t>Хасагдсан дүн (-)</t>
  </si>
  <si>
    <t>Эцсийн үлдэгдэл/өртөгөөр/</t>
  </si>
  <si>
    <t>Үнийн бууралт гарз (-)</t>
  </si>
  <si>
    <t>Үнийн бууралтын буцаалт</t>
  </si>
  <si>
    <t>Дансны цэвэр дүн *:</t>
  </si>
  <si>
    <t xml:space="preserve">7. БОРЛУУЛАХ ЗОРИЛГООР ЭЗЭМШИЖ БУЙ ЭРГЭЛТИЙН БУС ХӨРӨНГӨ /ЭСВЭЛ БОРЛУУЛАХ БҮЛЭГ ХӨРӨНГӨ/ БОЛОН ӨР ТӨЛБӨР </t>
  </si>
  <si>
    <t>Тэмдэглэл/Борлуулах зорилгоор эзэмшиж буй эргэлтийн бус хөрөнгө /эсвэл борлуулах бүлэг хөрөнгө/ болон өр төлбөрийн тодорхойлолт, хэмжилтийн суурь, борлуулалт хийгдсэн аль эсвэл хийгдэхэд хүргэсэн нөхцөл байдал, борлуулах арга, хугацаа, хүлээн зөвшөөрсөн олз ба гарз болон бусад тайлбар, тэмдэглэлийг хийнэ.</t>
  </si>
  <si>
    <t>8. УРЬДЧИЛЖ ТӨЛСӨН ЗАРДАЛ/ТООЦОО</t>
  </si>
  <si>
    <t xml:space="preserve">Урьдчилж төлсөн зардал </t>
  </si>
  <si>
    <t>Урьдчилж төлсөн түрээс, даатгал</t>
  </si>
  <si>
    <t xml:space="preserve">Бэлтгэн нийлүүлэгчдэд төлсөн урьдчилгаа төлбөр </t>
  </si>
  <si>
    <t>Хуудас4</t>
  </si>
  <si>
    <t>9. ҮНДСЭН ХӨРӨНГӨ</t>
  </si>
  <si>
    <t>Газарын сайжируулалт</t>
  </si>
  <si>
    <t>Машин тоног төхөөрөмж</t>
  </si>
  <si>
    <t xml:space="preserve">Тээврийн хэрэгсэл </t>
  </si>
  <si>
    <t xml:space="preserve">Тавилга эд хогшил </t>
  </si>
  <si>
    <t xml:space="preserve">Компьютер бусад хэрэгсэл </t>
  </si>
  <si>
    <t xml:space="preserve">Бусад үндсэн хөрөнгө </t>
  </si>
  <si>
    <t xml:space="preserve">ҮНДСЭН ХӨРӨНГӨ </t>
  </si>
  <si>
    <t xml:space="preserve">Өөрөө үйлдвэрлэсэн </t>
  </si>
  <si>
    <t xml:space="preserve">Худалдаж авсан </t>
  </si>
  <si>
    <t xml:space="preserve">Үнэ төлбөргүй авсан </t>
  </si>
  <si>
    <t xml:space="preserve">Дахин үнэлгээний нэмэгдэл </t>
  </si>
  <si>
    <t xml:space="preserve">Хасагдсан дүн </t>
  </si>
  <si>
    <t xml:space="preserve">Худалдсан </t>
  </si>
  <si>
    <t xml:space="preserve">Үнэгүй шилжүүлсэн </t>
  </si>
  <si>
    <t xml:space="preserve">Акталсан </t>
  </si>
  <si>
    <t xml:space="preserve">Үндсэн хөрөнгө дахин ангилсан </t>
  </si>
  <si>
    <r>
      <t>Үндсэн хөрөнгө, ХОЗҮХХ</t>
    </r>
    <r>
      <rPr>
        <vertAlign val="superscript"/>
        <sz val="10"/>
        <color theme="1"/>
        <rFont val="Times New Roman"/>
        <family val="1"/>
      </rPr>
      <t xml:space="preserve">26 </t>
    </r>
    <r>
      <rPr>
        <sz val="10"/>
        <color theme="1"/>
        <rFont val="Times New Roman"/>
        <family val="1"/>
      </rPr>
      <t xml:space="preserve">хооронд дахин ангилсан </t>
    </r>
  </si>
  <si>
    <t xml:space="preserve">ХУРИМТЛАГДСАН ЭЛЭГДЭЛ </t>
  </si>
  <si>
    <t xml:space="preserve">Байгуулсан элэгдэл </t>
  </si>
  <si>
    <t xml:space="preserve">Дахин үнэлгээгээр нэмэгдсэн </t>
  </si>
  <si>
    <t>Үнэ цэнийн бууралтын буцаалт</t>
  </si>
  <si>
    <t xml:space="preserve">Хасагдах дүн </t>
  </si>
  <si>
    <t xml:space="preserve">Данснаас хассан хөрөнгийн элэгдэл </t>
  </si>
  <si>
    <t xml:space="preserve">Дахин үнэлгээгээр хасагдсан </t>
  </si>
  <si>
    <t>Үнэ цэнийн бууралт</t>
  </si>
  <si>
    <t>ДАНСНЫ ЦЭВЭР ҮНЭ</t>
  </si>
  <si>
    <t>Эхний үлдэгдэл /1.1-2.1/</t>
  </si>
  <si>
    <t>Эцсийн үлдэгдэл /1.4-2.4/</t>
  </si>
  <si>
    <t>Тэмдэглэл/Үндсэн хөрөнгийн анги бүрийн хувьд ашигласан хэмжилтийнсуурь: элэгдэл тооцох арга ашиглалтын хугацаа, дахин үнэлсэн бол дахин үнэлгээний хүчинтэй болсон хугацаа, хараат бус үнэлгээчин үнэлсэн эсэх талаар, үдсэн хөрөнгийн дахин ангилал, түүний шалтгаан, бусад тайлбар тэмдэглэлийг хийнэ./</t>
  </si>
  <si>
    <t>Хуудас5</t>
  </si>
  <si>
    <t>10. БИЕТ БУС ХӨРӨНГӨ</t>
  </si>
  <si>
    <t xml:space="preserve">Бусад биет бус хөрөнгө </t>
  </si>
  <si>
    <t>БИЕТ БУС ХӨРӨНГӨ/ӨРТӨГ/</t>
  </si>
  <si>
    <t>ХУРИМТЛАГДСАН ХОРОГДОЛ</t>
  </si>
  <si>
    <t>Байгуулсан хорогдол</t>
  </si>
  <si>
    <t>Данснаас хассан хөрөнгийн хорогдол</t>
  </si>
  <si>
    <t>Тэмдэглэл/Биет бус хөрөнгийн анги бүрийн хувьд ашигласан хэмжилтийн суурь, хорогдол тооцох арга, ашиглалтын хугацаа, дахин үнэлсэн бол дахин үнэлгээ хүчинтэй болсон хугацаа, хараат бус үнэлгээчин үнэлсэн эсэх, бусад биет бус хөрөнгийн бүрэлдхүүн болон бусад тайлбар тэмдэглэлийг хийнэ./</t>
  </si>
  <si>
    <t>11. ДУУСААГҮЙ БАРИЛГА</t>
  </si>
  <si>
    <t>Хуудас6</t>
  </si>
  <si>
    <t xml:space="preserve">Дуусаагүй барилгын нэр </t>
  </si>
  <si>
    <t xml:space="preserve">Эхэлсэн он </t>
  </si>
  <si>
    <t>Дуусгалтын хувь</t>
  </si>
  <si>
    <t xml:space="preserve">Нийт төсөвт өртөг </t>
  </si>
  <si>
    <t>Ашиглалтанд орох эцсийн хугацаа</t>
  </si>
  <si>
    <t xml:space="preserve">12. БИОЛОГИЙН ХӨРӨНГӨ </t>
  </si>
  <si>
    <t xml:space="preserve">Хөрөнгө оруулалтын төрөл </t>
  </si>
  <si>
    <t>Тэмдэглэл: /Биологийн хөрөнгийн хэмжилтийн суурь болон бусад тайлбар, тэмдэглэлийг хийнэ./</t>
  </si>
  <si>
    <t>13. УРТ ХУГАЦААТ ХӨРӨНГӨ ОРУУЛАЛТ</t>
  </si>
  <si>
    <t xml:space="preserve">Хөрөнгө оруулалтын хувь </t>
  </si>
  <si>
    <t xml:space="preserve">Хөрөнгө оруулалтын дүн </t>
  </si>
  <si>
    <r>
      <t xml:space="preserve">Тэмдэглэл: /Урт хугацаат хөрөнгө оруулалттай хобоотой бий болсон олз, гарзын дүн, бүртгэсэн аргыг тодоруулна. Охин компани, хамтын хяналттай аж ахуйн нэгж, хараат команид оруулсан хөрөнгө оруулалтыг НББОУС </t>
    </r>
    <r>
      <rPr>
        <vertAlign val="superscript"/>
        <sz val="10"/>
        <color theme="1"/>
        <rFont val="Times New Roman"/>
        <family val="1"/>
      </rPr>
      <t>27</t>
    </r>
    <r>
      <rPr>
        <sz val="10"/>
        <color theme="1"/>
        <rFont val="Times New Roman"/>
        <family val="1"/>
      </rPr>
      <t xml:space="preserve"> </t>
    </r>
    <r>
      <rPr>
        <i/>
        <sz val="10"/>
        <color theme="1"/>
        <rFont val="Times New Roman"/>
        <family val="1"/>
      </rPr>
      <t>нэгтгэсэн болон тусдаа санхүүгийн тайлан</t>
    </r>
    <r>
      <rPr>
        <sz val="10"/>
        <color theme="1"/>
        <rFont val="Times New Roman"/>
        <family val="1"/>
      </rPr>
      <t xml:space="preserve"> -ийн дагуу тодоруулна./</t>
    </r>
  </si>
  <si>
    <t>14.  ХӨРӨНГӨ ОРУУЛАЛТЫН ЗОРИУЛАЛТТАЙ ҮЛ ХӨДЛӨХ ХӨРӨНГӨ</t>
  </si>
  <si>
    <r>
      <t xml:space="preserve">Тэмдэглэл: /Хөрөнгө оруулалтын зориулалттай үл хөдлөх хөрөнгийн хувьд ашигласан хэмжилтийн суурь: бодит үнэ цэнийн загвар ашигладаг бол бодит үнэ цэнийг тодорхойлхол ашигласан арга, бодит үнэ цэнийн тохируулгаас үүссэн олз, гарз : хэрэв түрээслэдэг бол түрээсийн орлого, түрээслэсэн хөрөнгөтэй холбоотой гарсан зардалууд. Хэрэв өртөгийн загвар ашигладаг бол хөрөнгийн ашиглалтын хугацаа, элэгдэл тооцох арга болон НББОУС </t>
    </r>
    <r>
      <rPr>
        <vertAlign val="superscript"/>
        <sz val="10"/>
        <color theme="1"/>
        <rFont val="Times New Roman"/>
        <family val="1"/>
      </rPr>
      <t>40</t>
    </r>
    <r>
      <rPr>
        <sz val="10"/>
        <color theme="1"/>
        <rFont val="Times New Roman"/>
        <family val="1"/>
      </rPr>
      <t xml:space="preserve"> </t>
    </r>
    <r>
      <rPr>
        <i/>
        <sz val="10"/>
        <color theme="1"/>
        <rFont val="Times New Roman"/>
        <family val="1"/>
      </rPr>
      <t>Хөрөнгө оруулалтын зориулалттай үл хөдлөх хөрөнгө</t>
    </r>
    <r>
      <rPr>
        <sz val="10"/>
        <color theme="1"/>
        <rFont val="Times New Roman"/>
        <family val="1"/>
      </rPr>
      <t>-д заасны дагуу бусад тодруулгыг хийнэ./</t>
    </r>
  </si>
  <si>
    <t>15.  БУСАД ЭРГЭЛТИЙН БУС ХӨРӨНГӨ</t>
  </si>
  <si>
    <t>Хуудас7</t>
  </si>
  <si>
    <t>Тэмдэглэл: /Бусад эргэлтийн бус хөрөнгийн төрөл тус бүрээр тайлбар, тэмдэглэлийг хийнэ. Урт хугацаат авлагыг тодоруулна./</t>
  </si>
  <si>
    <t>16.  ӨР ТӨЛБӨР</t>
  </si>
  <si>
    <t xml:space="preserve">16.1 Дансны өглөг </t>
  </si>
  <si>
    <t>-Төлөгдөх хугацаандаа байгаа</t>
  </si>
  <si>
    <t>-Хугацаандаа хэтэрсэн</t>
  </si>
  <si>
    <t xml:space="preserve">16.2 Татварын өр </t>
  </si>
  <si>
    <t xml:space="preserve">ААНОАТ-ын өр </t>
  </si>
  <si>
    <t xml:space="preserve">НӨАТ-ын өр </t>
  </si>
  <si>
    <t xml:space="preserve">ХХОАТ-ын өр </t>
  </si>
  <si>
    <t>ОАТ-ын өр</t>
  </si>
  <si>
    <t>Бусад татварын өр</t>
  </si>
  <si>
    <t xml:space="preserve">16.3 Богино хугацаат ээл </t>
  </si>
  <si>
    <t xml:space="preserve">төгрөгөөр </t>
  </si>
  <si>
    <t>валютаар</t>
  </si>
  <si>
    <t xml:space="preserve">16.4 Богино хугацаат нөөц/өр төлбөр/ </t>
  </si>
  <si>
    <t xml:space="preserve">Нөөцийн төрөл </t>
  </si>
  <si>
    <t>Хасагдсан /ашигласан нөөц/ /-/</t>
  </si>
  <si>
    <t xml:space="preserve">Ашиглаагүй буцаан бичсэн дүн </t>
  </si>
  <si>
    <t xml:space="preserve">Баталгаат засварын </t>
  </si>
  <si>
    <t xml:space="preserve">Нөхөн сэргээлтийн </t>
  </si>
  <si>
    <t>Тэмдэглэл: /Урт хугацаат нөөцийн дүнг тодоруулна. Нөөцийн төрлөөр тайлбар, тэмдэглэл хийнэ./</t>
  </si>
  <si>
    <t>Хуудас8</t>
  </si>
  <si>
    <t xml:space="preserve">16.5 Бусад богино хугацаат өр төлбөр  </t>
  </si>
  <si>
    <t>Тэмдэглэл: /Гадаад валютаар илэрхийлэгдсэн богино хугацаат өр төлбөрийн дүнг тусад нь тодоруулна./</t>
  </si>
  <si>
    <t xml:space="preserve">16.6 Урт хугацаат зээл болон бусад урт хугацаат өр төлбөр  </t>
  </si>
  <si>
    <t xml:space="preserve">Урт хугацаат зээлийн дүн </t>
  </si>
  <si>
    <t xml:space="preserve">Гадаадын байгууллагаас шууд авсан зээл </t>
  </si>
  <si>
    <t xml:space="preserve">Гадаадын байгууллагаас дамжуулан авсан зээл </t>
  </si>
  <si>
    <t xml:space="preserve">Дотоодын эх үүсвэрээс авсан зээл </t>
  </si>
  <si>
    <t>Бусад урт хугацаат өр төлбөрийн дүн /гадаад, дотоодын зах зээлд гагасан бонд, өрийн бичиг/</t>
  </si>
  <si>
    <t>Тэмдэглэл: /Урт хугацаат зээл болон бусад урт хугацаат өр төлбөрийн тайлбар, тэмдэглэл хийнэ./</t>
  </si>
  <si>
    <t>17.  ЭЗДИЙН ӨМЧ</t>
  </si>
  <si>
    <t>17.1 Өмч</t>
  </si>
  <si>
    <t>Эргэлтэнд байгаа бүрэн төлөгдсөн энгийн хувьцаа</t>
  </si>
  <si>
    <t xml:space="preserve">Давуу эрхтэй хувьцаа </t>
  </si>
  <si>
    <t xml:space="preserve">Өмчийн дүн /төгрөгөөр/ </t>
  </si>
  <si>
    <t>Тоо ширхэг</t>
  </si>
  <si>
    <t>Дүн /төгрөгөөр/</t>
  </si>
  <si>
    <t xml:space="preserve">17.2 Хөрөнгийн дахин үнэлгээний нэмэгдэл </t>
  </si>
  <si>
    <t xml:space="preserve">Үндсэн хөрөнгийн дахин үнэлгээний нэмэгдэл </t>
  </si>
  <si>
    <t xml:space="preserve">Биет бус хөрөнгийн дахин үнэлгээний нэмэгдэл </t>
  </si>
  <si>
    <t>Дахин үнэлгээний нэмэгдэлийн зөрүү</t>
  </si>
  <si>
    <t>Хуудас9</t>
  </si>
  <si>
    <t>Дахин үнэлсэн хөрөнгийн үнэ цэнийн бууралтын газрын буцаалт</t>
  </si>
  <si>
    <t>Хасагдсан дүн /-/</t>
  </si>
  <si>
    <t xml:space="preserve">Дахин үнэлгээний нэмэгдэлийн хэрэгжсэн дүн </t>
  </si>
  <si>
    <t>Дахин үнэлсэн хөрөнгийн үнэ цэнийн бууралтын гарз</t>
  </si>
  <si>
    <t xml:space="preserve">17.3 Гадаад валютын хөрвүүлэлтийн нөөц </t>
  </si>
  <si>
    <t>Нэмэгдсэн</t>
  </si>
  <si>
    <t>Хасагдсан/-/</t>
  </si>
  <si>
    <t>Гадаад үйл ажиллагааны хөрвүүлэлтээс үүссэн зөрүү</t>
  </si>
  <si>
    <t>Бүртгэлийн валютыг толилуулгын валют руу хөрвүүлснээс үүссэн зөрүү</t>
  </si>
  <si>
    <t xml:space="preserve">17.4 Эздийн өмчийн бусад хэсэг </t>
  </si>
  <si>
    <t>Тэмдэглэл: /Эздийн өмчийн бусад хэсгийн бүрэлдхүүн тус бүрээр тодруулж тайлбар, тэмдэглэл хийнэ./</t>
  </si>
  <si>
    <t xml:space="preserve">18.  БОРЛУУЛАЛТЫН ОРЛОГО БОЛОН БОРЛУУЛАЛТЫН ӨРТӨГ </t>
  </si>
  <si>
    <t xml:space="preserve">Өмнөх оны дүн </t>
  </si>
  <si>
    <t xml:space="preserve">Тайлант оны дүн </t>
  </si>
  <si>
    <t>Борлуулалтын орлого :</t>
  </si>
  <si>
    <t>Ажил, үйлчилгээ борлуулсны орлого:</t>
  </si>
  <si>
    <t>Нийт борлуулалтын орлого</t>
  </si>
  <si>
    <t>Борлуулалтын буцаалт, хөнгөлөлт, үнийн бууралт/-/</t>
  </si>
  <si>
    <t>Хуудас10</t>
  </si>
  <si>
    <t>Цэвэр борлуулалт:</t>
  </si>
  <si>
    <t>Борлуулалтын өртөг:</t>
  </si>
  <si>
    <t xml:space="preserve">Борлуулсан бараа, бүтээгдэхүүний өртөг </t>
  </si>
  <si>
    <t xml:space="preserve">Борлуулсан ажил үйлчилгээний өртөг </t>
  </si>
  <si>
    <t xml:space="preserve">Нийт борлуулалтын өртөг </t>
  </si>
  <si>
    <t>Дахин үнэлсэн хөрөнгийн өмнөх тайлант хугацаанд ашиг, алдагдлаар хүлээн зөвшөөрсөн үнэ цэнийн бууралтын гарзын дүнгээс хэтэрсэн дүн.</t>
  </si>
  <si>
    <t>Дахин үнэлсэн хөрөнгийн үнэ цэнийн бууралтын гарз нь тухайн хөрөнгийн дахин үнэлгээний нэмэгдлийн лүнгээс хэтрэхгүй хэмжээ хүртэл байхаар дахин үнэлсэн хөрөнгийн үнэ цэнийн бууралтын гарзыг бусад дэлгэрэнгүй орлогод хүлээн зөвшөөрнө. Үлдсэн дүнг ашиг, алдагдлаар хүлээн зөвшөөрнө.</t>
  </si>
  <si>
    <t xml:space="preserve">19.  БУСАД ОРЛОГО, ОЛЗ/ГАРЗ/, АШИГ/АЛДАГДАЛ/ </t>
  </si>
  <si>
    <t xml:space="preserve">19.1 Бусад орлого </t>
  </si>
  <si>
    <t xml:space="preserve">Оролгын төрөл </t>
  </si>
  <si>
    <t xml:space="preserve">19.2 Гадаад валютын ханшийн зөрүүний олз, гарз </t>
  </si>
  <si>
    <t>Мөнгөн хөрөнгийн үлдэгдэл хийсэн ханшийн тэгшитгэлийн ханшийн зөрүү</t>
  </si>
  <si>
    <t>Эргэлтийн авлага, өр төлбөртэй холбоотой үүссэн ханшийн зөрүү</t>
  </si>
  <si>
    <t>Эргэлтийн бус авлага, өр төлбөртэй холбоотой үүссэн ханшийн зөрүү</t>
  </si>
  <si>
    <t>Валютын арилжаанаас үүссэн олз/гарз</t>
  </si>
  <si>
    <t xml:space="preserve">19.3 Бусад ашиг/ алдагдал </t>
  </si>
  <si>
    <t>Ашиг /алдагдал</t>
  </si>
  <si>
    <t>Хөрөнгийн үнэ цэнийн бууралтын гарз</t>
  </si>
  <si>
    <t>ХОЗҮХХ-ийн бодит үнэ цэнийн өөрчлөлтийн олз гарз</t>
  </si>
  <si>
    <t>ХОЗҮХХ данснаас хассаны олз, гарз</t>
  </si>
  <si>
    <t>Хөрөнгийн үнэ цэнийн бууралтын гарз/гарзын буцаалт/</t>
  </si>
  <si>
    <t>20.  ЗАРДАЛ</t>
  </si>
  <si>
    <t xml:space="preserve">20.1 Борлуулалт маркетингийн болон ерөнхий ба удирдлагын зардлууд </t>
  </si>
  <si>
    <t xml:space="preserve">Зардалын төрөл </t>
  </si>
  <si>
    <t>Бор Мар</t>
  </si>
  <si>
    <t>ЕрУд</t>
  </si>
  <si>
    <t xml:space="preserve">Ажилчидын цалингийн зардал </t>
  </si>
  <si>
    <t xml:space="preserve">Аж ахуйн нэгжээс төлсөн НДШ-ийн зардал </t>
  </si>
  <si>
    <t>Албан татвар, төлбөр, хураамжийн зардал</t>
  </si>
  <si>
    <t xml:space="preserve">Томилолтын зардал </t>
  </si>
  <si>
    <t xml:space="preserve">Бичиг хэргийн зардал </t>
  </si>
  <si>
    <t xml:space="preserve">Шуудан холбооны зардал </t>
  </si>
  <si>
    <t xml:space="preserve">Мэргэжлийн үйлчилгээний зардал </t>
  </si>
  <si>
    <t xml:space="preserve">Сургалтын зардал </t>
  </si>
  <si>
    <t>Хуудас11</t>
  </si>
  <si>
    <t xml:space="preserve">Сонин сэтгүүлийн зардал </t>
  </si>
  <si>
    <t xml:space="preserve">Даатгалын зардал </t>
  </si>
  <si>
    <t xml:space="preserve">Ашиглалтын зардал </t>
  </si>
  <si>
    <t xml:space="preserve">Засварын зардал </t>
  </si>
  <si>
    <t>Элэгдэл, хорогдолын зардал</t>
  </si>
  <si>
    <t xml:space="preserve">Түрээсийн зардал </t>
  </si>
  <si>
    <t xml:space="preserve">Харуул хамгаалалтын зардал </t>
  </si>
  <si>
    <t xml:space="preserve">Цэврэлгээ үйлчилгээний зардал </t>
  </si>
  <si>
    <t xml:space="preserve">Шатхууны зардал </t>
  </si>
  <si>
    <t xml:space="preserve">Хүлээн авалтын зардал </t>
  </si>
  <si>
    <t xml:space="preserve">Зар сурталчилгааны зардал </t>
  </si>
  <si>
    <t xml:space="preserve">20.2 Бусад зардал </t>
  </si>
  <si>
    <t xml:space="preserve">Алданги, торгуулийн зардал </t>
  </si>
  <si>
    <t xml:space="preserve">Хандивийн зардал </t>
  </si>
  <si>
    <t xml:space="preserve">Найдваргүй авлагын зардал </t>
  </si>
  <si>
    <t xml:space="preserve">20.3 Цалингийн зардал </t>
  </si>
  <si>
    <t>Ажилчидын дундаж тоо</t>
  </si>
  <si>
    <t xml:space="preserve">Цалингийн зардалын дүн </t>
  </si>
  <si>
    <t>Үйлдвэрлэл, үйлчилгээний</t>
  </si>
  <si>
    <t xml:space="preserve">Борлуулалт маркетингийн </t>
  </si>
  <si>
    <t xml:space="preserve">Ерөнхий ба удирдлагын </t>
  </si>
  <si>
    <t>21. ОРЛОГЫН ТАТВАРЫН ЗАРДАЛ</t>
  </si>
  <si>
    <t>Хуудас12</t>
  </si>
  <si>
    <t xml:space="preserve">Тайлант үеийн орлогын татварын зардал </t>
  </si>
  <si>
    <t>Хойшлогдсон татварын зардал/орлого/</t>
  </si>
  <si>
    <t xml:space="preserve">Орлогын татварын зардал/орлого/-ын нийт дүн </t>
  </si>
  <si>
    <t>Тэмдэглэл: /Орлогын татварын зардал/орлого/-ын бүрэлдхүүн тус бүрээр тайлбар, тэмдэглэл хийнэ./</t>
  </si>
  <si>
    <t>22. ХОЛБООТОЙ ТАЛУУДЫН ТОДРУУЛГА</t>
  </si>
  <si>
    <t xml:space="preserve">22.1 Толгой компани, хамгийн дээд хяналт тавигч компани, хувь хүний талаарх мэдээлэл </t>
  </si>
  <si>
    <t>Толгой компани</t>
  </si>
  <si>
    <t>Хамгийн дээд хяналт тавигч толгой компани</t>
  </si>
  <si>
    <t>Хамгийн дээд хяналт тавигч хувь хүн</t>
  </si>
  <si>
    <t xml:space="preserve">Тайлбар </t>
  </si>
  <si>
    <t xml:space="preserve">Бүртгэгдсэн оршин суугаа улс </t>
  </si>
  <si>
    <t xml:space="preserve">Эзэмшилийн хувь </t>
  </si>
  <si>
    <t>22.2 Тэргүүлэх удирдлагын бүрэлдхүүнд олгосон нөхөн олговрын тухай мэдээлэл</t>
  </si>
  <si>
    <t>Тэргүүлэх удирдлага гэдэгт.........................................................бүрэлдхүүнийг хамруулна.</t>
  </si>
  <si>
    <t xml:space="preserve">Нөхөн олговрын нэр </t>
  </si>
  <si>
    <t>Богино болон урт хугацааны тэтгэмж</t>
  </si>
  <si>
    <t>Ажил эрхлэлтийн дараах, ажлаас халагдсаны тэтгэмж</t>
  </si>
  <si>
    <t xml:space="preserve">Хувьцаанд суурилсан төлбөр </t>
  </si>
  <si>
    <t>22.3 Холбоотой талуудын хийсэн ажил гүйлгээ</t>
  </si>
  <si>
    <t xml:space="preserve">Холбоотой талын нэр </t>
  </si>
  <si>
    <t>Ажил гүйлгээний утга</t>
  </si>
  <si>
    <t>23. БОЛЗОШГҮЙ ХӨРӨНГӨ БА ӨР ТӨЛБӨР</t>
  </si>
  <si>
    <t>Тэмдэглэл: /Болзошгүй хөрөнгө ба өр төлбөрийн мөн чанар, хэрэв практик боломжтой бол тэдгээрийн санхүүгийн нөлөөний тооцооллыг тодруулна./</t>
  </si>
  <si>
    <t>24. ТАЙЛАНГИЙН ҮЕИЙН ДАРААХ ҮЙЛ ЯВДАЛ</t>
  </si>
  <si>
    <t>Тэмдэглэл: /Тайлагналын өдрийн дараах үл залруулагдах үйл явдалын материаллаг ангилал тус бүрийн хувьд мөн чанар, санхүүгийн нөлөөллийн тооцоолол зэргийг тодруулж бусад тайлбар, тэмдэглэл хийнэ./</t>
  </si>
  <si>
    <t>Хуудас13</t>
  </si>
  <si>
    <t>25. ХӨРӨНГӨ ОРУУЛАЛТ</t>
  </si>
  <si>
    <t>Тайлант хугацаанд хийгдсэн хөрөнгө оруулалт/төгрөгөөр/</t>
  </si>
  <si>
    <t xml:space="preserve">Эцмийн үлдэгдэл </t>
  </si>
  <si>
    <t xml:space="preserve">Аж ахуйн нэгжийн өөрийн хөрөнгөөр </t>
  </si>
  <si>
    <t xml:space="preserve">Улсын төсөвийн хөрөнгөөр </t>
  </si>
  <si>
    <t xml:space="preserve">Орон нутгийн төсвийн хөрөнгөөр </t>
  </si>
  <si>
    <t>Банкны зээл</t>
  </si>
  <si>
    <t>Гадаадын шууд хөрөнгө оруулалт</t>
  </si>
  <si>
    <t xml:space="preserve">Гадаадын зээл </t>
  </si>
  <si>
    <t>Гадаадын буцалтгүй тусламж</t>
  </si>
  <si>
    <t>Төсөл хөтөлбөрийн хандив</t>
  </si>
  <si>
    <t xml:space="preserve">Бусад эх үүсвэр </t>
  </si>
  <si>
    <t xml:space="preserve">Биет бус хөрөнгө: </t>
  </si>
  <si>
    <t>Үүнээс: Орон сууцны барилга</t>
  </si>
  <si>
    <t xml:space="preserve">Авто зам </t>
  </si>
  <si>
    <t xml:space="preserve">Биологийн хөрөнгө </t>
  </si>
  <si>
    <t xml:space="preserve">Бусад биет хөрөнгө </t>
  </si>
  <si>
    <t>Үүнээс:  ХОЗҮХХ</t>
  </si>
  <si>
    <t xml:space="preserve">Биет хөрөнгийн дүн </t>
  </si>
  <si>
    <t xml:space="preserve">Зохиогчийн эрх </t>
  </si>
  <si>
    <t xml:space="preserve">Компьютер программ хангамж </t>
  </si>
  <si>
    <t>Үүнээс:      Программ хангамж</t>
  </si>
  <si>
    <t xml:space="preserve">               Мэдээллийн сан </t>
  </si>
  <si>
    <t xml:space="preserve">Барааны тэмдэг </t>
  </si>
  <si>
    <t xml:space="preserve">Тусгай зөвшөөрөл </t>
  </si>
  <si>
    <t>2.7.1</t>
  </si>
  <si>
    <t>Үүнээс: Зураг төсвийн        ажил,ТЭЗҮ боловсруулах, Туршилт судалгаа</t>
  </si>
  <si>
    <t xml:space="preserve">Биет бус хөрөнгийн дүн </t>
  </si>
  <si>
    <t xml:space="preserve">Хайгуул үнэлгээний хөрөнгө </t>
  </si>
  <si>
    <t>Үүнээс: Биет хөрөнгө</t>
  </si>
  <si>
    <t xml:space="preserve">Борлуулалтын авлагын түр тооцоо </t>
  </si>
  <si>
    <t xml:space="preserve">Элэгдэлийн зардал тээврийн хэрэгсэл </t>
  </si>
  <si>
    <t xml:space="preserve">Элэгдэлийн зардал компьютер дагалдах </t>
  </si>
  <si>
    <t>БО-эко шатны бэлдэц</t>
  </si>
  <si>
    <t xml:space="preserve">Лак, шингэлэгч авав </t>
  </si>
  <si>
    <t xml:space="preserve">ХХОАТ, ҮХЭХАТ, Газрын төлбөр </t>
  </si>
  <si>
    <t xml:space="preserve">ЗУЛЗАГАН ДӨЛ ХХК </t>
  </si>
  <si>
    <t xml:space="preserve">СҮЙХЭНТ ХХК </t>
  </si>
  <si>
    <t xml:space="preserve">Үйлдвэрийн цонх дулаалахаар хөөс </t>
  </si>
  <si>
    <t>АЛИА ДАРХАН ХХК</t>
  </si>
  <si>
    <t>Ажилласан хоног</t>
  </si>
  <si>
    <t xml:space="preserve">Бөхчулуун </t>
  </si>
  <si>
    <t>Балжмаа</t>
  </si>
  <si>
    <t>Лхагва</t>
  </si>
  <si>
    <t xml:space="preserve">Ариунболд </t>
  </si>
  <si>
    <t>ШМЗардал БУСАД</t>
  </si>
  <si>
    <t xml:space="preserve">ҮНЗардал БУСАД </t>
  </si>
  <si>
    <t xml:space="preserve">Нэгтгэл зардал БУСАД </t>
  </si>
  <si>
    <t xml:space="preserve">ШХЗардал БУСАД </t>
  </si>
  <si>
    <t xml:space="preserve">Бусад борлуулалтыг ББӨ-р хүлээн зөвшөөрөв </t>
  </si>
  <si>
    <t xml:space="preserve"> Шинэст ХК 2017 оны 12-р сарын  ажилчидын цалин </t>
  </si>
  <si>
    <t>ЭМ,НД-н шимтгэл Байгууллага 12-сар</t>
  </si>
  <si>
    <t>ЭМ,НД-н шимтгэл Хувь хүн 12-сар</t>
  </si>
  <si>
    <t>ХХОАТатвар 12-р сар</t>
  </si>
  <si>
    <t>Гарт олгох 12-р сар</t>
  </si>
  <si>
    <t xml:space="preserve">Öàëèíãèéí çàðäàë 12-ð ñàð </t>
  </si>
  <si>
    <t xml:space="preserve">1-р улирал </t>
  </si>
  <si>
    <t xml:space="preserve">2-р улирал </t>
  </si>
  <si>
    <t xml:space="preserve">3-р улирал </t>
  </si>
  <si>
    <t xml:space="preserve">4-р улирал </t>
  </si>
  <si>
    <t>Суутган 2</t>
  </si>
  <si>
    <t xml:space="preserve">Булган </t>
  </si>
  <si>
    <t xml:space="preserve">Буянтогтох </t>
  </si>
  <si>
    <t xml:space="preserve">Öàëèíãèéí çàðäàë 8-ð ñàð </t>
  </si>
  <si>
    <t>ЭМ,НД-н шимтгэл Байгууллага 7-сар</t>
  </si>
  <si>
    <t xml:space="preserve">Öàëèíãèéí çàðäàë 7-ð ñàð </t>
  </si>
  <si>
    <t xml:space="preserve">Öàëèíãèéí çàðäàë 6-ð ñàð </t>
  </si>
  <si>
    <t xml:space="preserve">Öàëèíãèéí çàðäàë 5-ð ñàð </t>
  </si>
  <si>
    <t xml:space="preserve">Öàëèíãèéí çàðäàë 4-ð ñàð </t>
  </si>
  <si>
    <t xml:space="preserve">Öàëèíãèéí çàðäàë 1-ð ñàð </t>
  </si>
  <si>
    <t xml:space="preserve">Öàëèíãèéí çàðäàë 2-ð ñàð </t>
  </si>
  <si>
    <t xml:space="preserve">Öàëèíãèéí çàðäàë 3-ð ñàð </t>
  </si>
  <si>
    <t xml:space="preserve">НӨАТ төлөв </t>
  </si>
  <si>
    <t xml:space="preserve">ХАВТГАЙН ГОЛ ХХК </t>
  </si>
  <si>
    <t xml:space="preserve">                                                             ТЕГ-ын даргын 2009 оны 1 д¿гýýр сарын  5-ны </t>
  </si>
  <si>
    <t xml:space="preserve">Ном авав </t>
  </si>
  <si>
    <t xml:space="preserve">Хүүхдийн бэлэг авав </t>
  </si>
  <si>
    <t xml:space="preserve">Н-Уголок </t>
  </si>
  <si>
    <t xml:space="preserve">Óäèðäëàãà </t>
  </si>
  <si>
    <t xml:space="preserve">ØÕÇ ÁÓÑÀÄ </t>
  </si>
  <si>
    <t xml:space="preserve">ØÕÇ ÁÎËÎÂÑÐÓÓËÀÕ </t>
  </si>
  <si>
    <t xml:space="preserve">Цалингийн зардал өртөгт шингээв </t>
  </si>
  <si>
    <t xml:space="preserve">НДШ-н зардлыг өртөгт шингээв </t>
  </si>
  <si>
    <t xml:space="preserve">Цахилгааны зардлыг өртөгт шингээв </t>
  </si>
  <si>
    <t xml:space="preserve">Дулааны зардлыг өртөгт шингээв </t>
  </si>
  <si>
    <t xml:space="preserve">Цэвэр, бохир усны зардлыг өртөгт шингээв </t>
  </si>
  <si>
    <t>Барилгын элэгдлийн зардлыг өртөгт шингээв</t>
  </si>
  <si>
    <t xml:space="preserve">Тоног төхөөрөмжийн элэгдлийн зардлыг өртөгт шингээв </t>
  </si>
  <si>
    <t>БМ-ҮНЗ-д материал зарлагадав</t>
  </si>
  <si>
    <t xml:space="preserve">БМ-Боловсруулах цехэд хатсан банз олгов </t>
  </si>
  <si>
    <t xml:space="preserve">Боловсруулах цехийн ҮНЗ-г хаав </t>
  </si>
  <si>
    <t xml:space="preserve">Боловсруулах цехийн ШХЗ-г хаав </t>
  </si>
  <si>
    <t xml:space="preserve">Боловсруулах цехийн ШМЗ-г хаав </t>
  </si>
  <si>
    <t xml:space="preserve">БМ-Дуусаагүй үйлдвэрлэлээс орлого </t>
  </si>
  <si>
    <t xml:space="preserve">1-р сар </t>
  </si>
  <si>
    <t xml:space="preserve">2-р сар </t>
  </si>
  <si>
    <t xml:space="preserve">3-р сар </t>
  </si>
  <si>
    <t xml:space="preserve">4-р сар </t>
  </si>
  <si>
    <t xml:space="preserve">5-р сар </t>
  </si>
  <si>
    <t xml:space="preserve">6-р сар </t>
  </si>
  <si>
    <t xml:space="preserve">7-р сар </t>
  </si>
  <si>
    <t xml:space="preserve">8-р сар </t>
  </si>
  <si>
    <t xml:space="preserve">9-р сар </t>
  </si>
  <si>
    <t xml:space="preserve">10-р сар </t>
  </si>
  <si>
    <t xml:space="preserve">11-р сар </t>
  </si>
  <si>
    <t xml:space="preserve">12-р сар </t>
  </si>
  <si>
    <t xml:space="preserve">Н-Сауны шал </t>
  </si>
  <si>
    <t xml:space="preserve">Ажил үйлчилгээ үзүүлсэн өртгийг хаав </t>
  </si>
  <si>
    <t xml:space="preserve">Ажил үйлчилгээ үзүүлсэн зардлыг ББӨ-лүү хаав </t>
  </si>
  <si>
    <t>Залруулга- компьютерын элэгдэл илүү тооцсонг залруулав</t>
  </si>
  <si>
    <t xml:space="preserve">Уурын төлбөр </t>
  </si>
  <si>
    <t xml:space="preserve">Хатаах цехэд нарсан банз олгов </t>
  </si>
  <si>
    <t xml:space="preserve">Уурын зардлыг өртөгт шингээв </t>
  </si>
  <si>
    <t xml:space="preserve">Хатсан нарсан банз орлогот авав </t>
  </si>
  <si>
    <t xml:space="preserve">Хатаах цехийн ҮНЗ-г нэгтгэл зардал луу хаав </t>
  </si>
  <si>
    <t>…………………………………………………………………………………………………………………………………………………………………………………..</t>
  </si>
  <si>
    <t>…………………………………………………………………………………………………………………………………………………………………………………….</t>
  </si>
  <si>
    <r>
      <t>Татварын</t>
    </r>
    <r>
      <rPr>
        <b/>
        <sz val="10"/>
        <color theme="1"/>
        <rFont val="Times New Roman"/>
        <family val="1"/>
      </rPr>
      <t xml:space="preserve"> </t>
    </r>
    <r>
      <rPr>
        <sz val="10"/>
        <color theme="1"/>
        <rFont val="Times New Roman"/>
        <family val="1"/>
      </rPr>
      <t xml:space="preserve">байцаагч: |__|__|__|__|__| </t>
    </r>
  </si>
  <si>
    <r>
      <t>7.Òºëººëºí óäèðäàõ çºâëºë, õÿíàëòûí çºâëºë, îðîí òîîíû áóñ çºâëºë áîëîí áóñàä çºâëºë, õîðîî, àæëûí õýñãèéí ãèø¿¿íèé öàëèí õºëñ, øàãíàë, óðàìøóóëàë, òýäãýýðòýé àäèëòãàõ îðëîãîä íîãäóóëñàí òàòâàð</t>
    </r>
    <r>
      <rPr>
        <sz val="10"/>
        <color theme="1"/>
        <rFont val="Arial Mon"/>
        <family val="2"/>
      </rPr>
      <t xml:space="preserve">  </t>
    </r>
    <r>
      <rPr>
        <b/>
        <sz val="10"/>
        <color theme="1"/>
        <rFont val="Arial Mon"/>
        <family val="2"/>
      </rPr>
      <t>(12*10 õóâü)</t>
    </r>
  </si>
  <si>
    <r>
      <t>9. Íîãäóóëñàí íèéò òàòâàðûí ä¿í</t>
    </r>
    <r>
      <rPr>
        <sz val="10"/>
        <color theme="1"/>
        <rFont val="Arial Mon"/>
        <family val="2"/>
      </rPr>
      <t xml:space="preserve">  </t>
    </r>
    <r>
      <rPr>
        <b/>
        <sz val="10"/>
        <color theme="1"/>
        <rFont val="Arial Mon"/>
        <family val="2"/>
      </rPr>
      <t>(6+7+9+11+13)</t>
    </r>
  </si>
  <si>
    <r>
      <t>12.1 Òàòâàð íîãäîõ øóóä áóñ îðëîãûí íèéò ä¿í (21+22+23+24+25+26+27)</t>
    </r>
    <r>
      <rPr>
        <sz val="10"/>
        <color theme="1"/>
        <rFont val="Arial Mon"/>
        <family val="2"/>
      </rPr>
      <t>(òàòâàð íîãäîõ øóóä áóñ îðëîãîä öàëèí, õºäºëìºðèéí õºëñ, øàãíàë, óðàìøóóëàë äýýð àæèë îëãîã÷îîñ íýìæ îëãîæ áàéãàà òóõàéí àæèëòíààñ àëáàí ¿¿ðãýý ã¿éöýòãýõýä øóóä õîëáîãäîëã¿é äàðààõü áàðàà, ¿éë÷èëãýýíèé îðëîãûã õàìðóóëíà)</t>
    </r>
  </si>
  <si>
    <r>
      <t xml:space="preserve">12.2 Òàòâàð íîãäîõ îðëîãîä õàìààðàõã¿é øóóä áóñ îðëîãûí íèéò ä¿í (29+30+31+32) </t>
    </r>
    <r>
      <rPr>
        <sz val="10"/>
        <color theme="1"/>
        <rFont val="Arial Mon"/>
        <family val="2"/>
      </rPr>
      <t>(àæèë ¿¿ðãýý áèåë¿¿ëýõ íºõöºëèéã íü ñàéæðóóëàõ çîðèëãîîð àæèë îëãîã÷îîñ àæèëòàíä îëãîæ áàéãàà äàðààõü øóóä áóñ îðëîãûã àëáàí òàòâàð íîãäîõ îðëîãîä õàìààðóóëàõã¿é )</t>
    </r>
  </si>
  <si>
    <r>
      <rPr>
        <sz val="10"/>
        <color indexed="8"/>
        <rFont val="Times New Roman"/>
        <family val="1"/>
      </rPr>
      <t xml:space="preserve">                                                  Туслах</t>
    </r>
    <r>
      <rPr>
        <b/>
        <sz val="10"/>
        <color indexed="8"/>
        <rFont val="Times New Roman"/>
        <family val="1"/>
      </rPr>
      <t xml:space="preserve">:  </t>
    </r>
    <r>
      <rPr>
        <sz val="10"/>
        <color indexed="8"/>
        <rFont val="Times New Roman"/>
        <family val="1"/>
      </rPr>
      <t>код</t>
    </r>
    <r>
      <rPr>
        <b/>
        <sz val="10"/>
        <color indexed="8"/>
        <rFont val="Times New Roman"/>
        <family val="1"/>
      </rPr>
      <t xml:space="preserve"> |__|__|__|__|__|__|</t>
    </r>
  </si>
  <si>
    <t xml:space="preserve"> ХААНБАНК-С2</t>
  </si>
  <si>
    <t>Н-Евровагонка /зузаан-1.2см/</t>
  </si>
  <si>
    <t xml:space="preserve">Н-Хавтан /зузаан-3см/-яртай </t>
  </si>
  <si>
    <t>Н-Хавтан /зузаан-1.8см/</t>
  </si>
  <si>
    <t>Н-Хавтан /зузаан-2см/</t>
  </si>
  <si>
    <t>Н-Наамал дүнз</t>
  </si>
  <si>
    <t xml:space="preserve">Хатаасан нарсан банз </t>
  </si>
  <si>
    <t>Цавуу 505</t>
  </si>
  <si>
    <t>Н-Евровагонка /зузаан-1.2см/-яртай</t>
  </si>
  <si>
    <t xml:space="preserve">Н-Хавтан /зузаан-2см/-яртай </t>
  </si>
  <si>
    <t>Н-Хавтан /зузаан-2.6см/</t>
  </si>
  <si>
    <t>Будаг /Хонка/</t>
  </si>
  <si>
    <t>Н-Евровагонка /зузаан-2.2см/</t>
  </si>
  <si>
    <t xml:space="preserve">Кабелийн номер </t>
  </si>
  <si>
    <t>Хайрга</t>
  </si>
  <si>
    <t>Нарсан банз /5см/ Монрус</t>
  </si>
  <si>
    <t xml:space="preserve">Нарсан банз /5см/ БайкалИнвест </t>
  </si>
  <si>
    <t xml:space="preserve">Нарсан банз /5см/ Луут Хангай </t>
  </si>
  <si>
    <t xml:space="preserve">Эсгий </t>
  </si>
  <si>
    <t>Лист 2см</t>
  </si>
  <si>
    <t xml:space="preserve">Нарсан банз /5см/ Буян Од </t>
  </si>
  <si>
    <t>Рейк борлуулав</t>
  </si>
  <si>
    <t xml:space="preserve">Нарсан банз /5см/ Эрдэнэбаатар </t>
  </si>
  <si>
    <t xml:space="preserve">Хавтан борлуулав </t>
  </si>
  <si>
    <t xml:space="preserve">Газрын төлбөр </t>
  </si>
  <si>
    <t xml:space="preserve">Бэлдэц борлуулав </t>
  </si>
  <si>
    <t xml:space="preserve">Блок хаус борлуулав </t>
  </si>
  <si>
    <t xml:space="preserve">Цалингийн зардал 10-р сар </t>
  </si>
  <si>
    <t xml:space="preserve">Дулаан, цахилгааны төлбөр </t>
  </si>
  <si>
    <t xml:space="preserve">Цалингийн зардал 11-р сар </t>
  </si>
  <si>
    <t xml:space="preserve">Цалингийн зардал 12-р сар </t>
  </si>
  <si>
    <t xml:space="preserve">Дансны өглөгийг авлага луу хаав </t>
  </si>
  <si>
    <t xml:space="preserve">Н-Блок Хаус  /4.3*16.5см/-яртай </t>
  </si>
  <si>
    <t xml:space="preserve">Н-Евровагонка /зузаан-2.2см/-яртай </t>
  </si>
  <si>
    <t xml:space="preserve">Н-Евровагонка /зузаан-1.2см/-яртай </t>
  </si>
  <si>
    <t>Н-Вагонка 2 талт/зузаан-2.2см/</t>
  </si>
  <si>
    <t xml:space="preserve">Н-Вагонка 2 талт/зузаан-2.2см/-яртай </t>
  </si>
  <si>
    <t xml:space="preserve">Н-Хавтан /зузаан-2.6см/-яртай </t>
  </si>
  <si>
    <t xml:space="preserve">Н-Хавтан /зузаан-1.8см/-яртай </t>
  </si>
  <si>
    <t xml:space="preserve">Дээврийн төмөр </t>
  </si>
  <si>
    <t xml:space="preserve">ОСП хавтан </t>
  </si>
  <si>
    <t xml:space="preserve">Гипсэн хавтан </t>
  </si>
  <si>
    <t>Чулуу</t>
  </si>
  <si>
    <t>Тоолуур</t>
  </si>
  <si>
    <t xml:space="preserve">Угаалтуур </t>
  </si>
  <si>
    <t xml:space="preserve">Цахилгаан зуух </t>
  </si>
  <si>
    <t xml:space="preserve">Бойлор </t>
  </si>
  <si>
    <t xml:space="preserve">Тэлэлтийн сав </t>
  </si>
  <si>
    <t xml:space="preserve">Радиатор </t>
  </si>
  <si>
    <t xml:space="preserve">Дээврийн карниз </t>
  </si>
  <si>
    <t xml:space="preserve">Нуруу төмөр </t>
  </si>
  <si>
    <t xml:space="preserve">Ёндов орос </t>
  </si>
  <si>
    <t xml:space="preserve">Вакуум цонх </t>
  </si>
  <si>
    <t xml:space="preserve">Нөөцийн сав </t>
  </si>
  <si>
    <t>Кабель/галд тэсвэртэй/</t>
  </si>
  <si>
    <t>Ниви</t>
  </si>
  <si>
    <t xml:space="preserve">Хайрга </t>
  </si>
  <si>
    <t xml:space="preserve">Контактор </t>
  </si>
  <si>
    <t xml:space="preserve">Элс </t>
  </si>
  <si>
    <t xml:space="preserve">Цахилгаан үүсгүүр </t>
  </si>
  <si>
    <t xml:space="preserve">Плёнка </t>
  </si>
  <si>
    <t xml:space="preserve">HERA хөлдөөгч </t>
  </si>
  <si>
    <t xml:space="preserve">Тавган жин 20кг </t>
  </si>
  <si>
    <t xml:space="preserve">Макита хөрөө </t>
  </si>
  <si>
    <t>Дрель</t>
  </si>
  <si>
    <t xml:space="preserve">Чангалагч </t>
  </si>
  <si>
    <t xml:space="preserve">Вибратор </t>
  </si>
  <si>
    <t>Ус цэвэршүүлэх төхөөрөмж</t>
  </si>
  <si>
    <t xml:space="preserve">Гагнуурын аппарат </t>
  </si>
  <si>
    <t xml:space="preserve">Бетон зуурагч </t>
  </si>
  <si>
    <t xml:space="preserve">Газов </t>
  </si>
  <si>
    <t xml:space="preserve">Вагоны ивүүр </t>
  </si>
  <si>
    <t xml:space="preserve">Аж ахуйн хэрэглэл </t>
  </si>
  <si>
    <t>Хаяавч</t>
  </si>
  <si>
    <t xml:space="preserve">Компанийн логотой туг </t>
  </si>
  <si>
    <t xml:space="preserve">Тоос сорогч </t>
  </si>
  <si>
    <t xml:space="preserve">Чанга яригч </t>
  </si>
  <si>
    <t>Утасны аппарат</t>
  </si>
  <si>
    <t xml:space="preserve">антенн </t>
  </si>
  <si>
    <t xml:space="preserve">НДШ-н хуулийн ном </t>
  </si>
  <si>
    <t>Тооны машин</t>
  </si>
  <si>
    <t xml:space="preserve">Үдээсний машин </t>
  </si>
  <si>
    <t>Бичгийн цаас</t>
  </si>
  <si>
    <t>Цаасны цавуу</t>
  </si>
  <si>
    <t xml:space="preserve">Цаас зүсэгч </t>
  </si>
  <si>
    <t>Норм, нормативын ном</t>
  </si>
  <si>
    <t xml:space="preserve">Бараа матеиалын дансны нэр </t>
  </si>
  <si>
    <t>Мат-код</t>
  </si>
  <si>
    <t>АВЛАГА, ӨГЛӨГ 4-р УЛИРАЛ</t>
  </si>
  <si>
    <t>Кт-310700</t>
  </si>
  <si>
    <t>Дт-120800</t>
  </si>
</sst>
</file>

<file path=xl/styles.xml><?xml version="1.0" encoding="utf-8"?>
<styleSheet xmlns="http://schemas.openxmlformats.org/spreadsheetml/2006/main">
  <numFmts count="10">
    <numFmt numFmtId="43" formatCode="_(* #,##0.00_);_(* \(#,##0.00\);_(* &quot;-&quot;??_);_(@_)"/>
    <numFmt numFmtId="164" formatCode="_(* #,##0_);_(* \(#,##0\);_(* &quot;-&quot;??_);_(@_)"/>
    <numFmt numFmtId="165" formatCode="#,##0.0"/>
    <numFmt numFmtId="166" formatCode="_(* #,##0.0_);_(* \(#,##0.0\);_(* &quot;-&quot;??_);_(@_)"/>
    <numFmt numFmtId="167" formatCode="_(* #,##0.0000000000_);_(* \(#,##0.0000000000\);_(* &quot;-&quot;??_);_(@_)"/>
    <numFmt numFmtId="168" formatCode="_(* #,##0.000_);_(* \(#,##0.000\);_(* &quot;-&quot;??_);_(@_)"/>
    <numFmt numFmtId="169" formatCode="_(* #,##0.0_);_(* \(#,##0.0\);_(* &quot;-&quot;?_);_(@_)"/>
    <numFmt numFmtId="170" formatCode="0.00_);[Red]\(0.00\)"/>
    <numFmt numFmtId="171" formatCode="_(* #,##0.00000_);_(* \(#,##0.00000\);_(* &quot;-&quot;??_);_(@_)"/>
    <numFmt numFmtId="172" formatCode="_(* #,##0.000000_);_(* \(#,##0.000000\);_(* &quot;-&quot;??_);_(@_)"/>
  </numFmts>
  <fonts count="71">
    <font>
      <sz val="11"/>
      <color theme="1"/>
      <name val="Calibri"/>
      <family val="2"/>
      <scheme val="minor"/>
    </font>
    <font>
      <sz val="11"/>
      <color theme="1"/>
      <name val="Calibri"/>
      <family val="2"/>
      <scheme val="minor"/>
    </font>
    <font>
      <sz val="11"/>
      <color theme="1"/>
      <name val="Times New Roman"/>
      <family val="1"/>
    </font>
    <font>
      <sz val="10"/>
      <name val="Times New Roman"/>
      <family val="1"/>
    </font>
    <font>
      <sz val="10"/>
      <name val="Ch ForeignerLight"/>
      <family val="2"/>
    </font>
    <font>
      <sz val="12"/>
      <name val="A_Antiqua"/>
    </font>
    <font>
      <sz val="10"/>
      <name val="Arial Mon"/>
      <family val="2"/>
    </font>
    <font>
      <sz val="10"/>
      <color theme="1"/>
      <name val="Times New Roman"/>
      <family val="1"/>
    </font>
    <font>
      <b/>
      <sz val="10"/>
      <color theme="1"/>
      <name val="Times New Roman"/>
      <family val="1"/>
    </font>
    <font>
      <b/>
      <u/>
      <sz val="10"/>
      <color theme="1"/>
      <name val="Times New Roman"/>
      <family val="1"/>
    </font>
    <font>
      <b/>
      <u val="singleAccounting"/>
      <sz val="10"/>
      <color theme="1"/>
      <name val="Times New Roman"/>
      <family val="1"/>
    </font>
    <font>
      <b/>
      <sz val="10"/>
      <color rgb="FF000000"/>
      <name val="Times New Roman"/>
      <family val="1"/>
    </font>
    <font>
      <sz val="10"/>
      <color rgb="FF000000"/>
      <name val="Times New Roman"/>
      <family val="1"/>
    </font>
    <font>
      <b/>
      <sz val="10"/>
      <name val="Times New Roman"/>
      <family val="1"/>
    </font>
    <font>
      <sz val="10"/>
      <color rgb="FFD2B48C"/>
      <name val="Times New Roman"/>
      <family val="1"/>
    </font>
    <font>
      <sz val="10"/>
      <name val="Arial"/>
      <family val="2"/>
    </font>
    <font>
      <b/>
      <sz val="12"/>
      <name val="Times New Roman"/>
      <family val="1"/>
    </font>
    <font>
      <sz val="10"/>
      <color rgb="FFFF0000"/>
      <name val="Times New Roman"/>
      <family val="1"/>
    </font>
    <font>
      <u/>
      <sz val="11"/>
      <color theme="10"/>
      <name val="Calibri"/>
      <family val="2"/>
      <scheme val="minor"/>
    </font>
    <font>
      <sz val="9"/>
      <color indexed="81"/>
      <name val="Tahoma"/>
      <family val="2"/>
    </font>
    <font>
      <b/>
      <sz val="9"/>
      <color indexed="81"/>
      <name val="Tahoma"/>
      <family val="2"/>
    </font>
    <font>
      <b/>
      <sz val="11"/>
      <color theme="1"/>
      <name val="Times New Roman"/>
      <family val="1"/>
    </font>
    <font>
      <b/>
      <sz val="10"/>
      <color rgb="FF002060"/>
      <name val="Times New Roman"/>
      <family val="1"/>
    </font>
    <font>
      <sz val="11"/>
      <color theme="1"/>
      <name val="Calibri"/>
      <family val="2"/>
      <charset val="1"/>
      <scheme val="minor"/>
    </font>
    <font>
      <sz val="9"/>
      <name val="Times New Roman"/>
      <family val="1"/>
    </font>
    <font>
      <sz val="10"/>
      <color theme="1"/>
      <name val="Arial Mon"/>
      <family val="2"/>
    </font>
    <font>
      <b/>
      <sz val="10"/>
      <color theme="3"/>
      <name val="Times New Roman"/>
      <family val="1"/>
    </font>
    <font>
      <sz val="10"/>
      <color theme="3"/>
      <name val="Times New Roman"/>
      <family val="1"/>
    </font>
    <font>
      <sz val="9"/>
      <color rgb="FF000000"/>
      <name val="Times New Roman"/>
      <family val="1"/>
    </font>
    <font>
      <b/>
      <sz val="9"/>
      <name val="Times New Roman"/>
      <family val="1"/>
    </font>
    <font>
      <sz val="14"/>
      <color theme="1"/>
      <name val="Times New Roman"/>
      <family val="1"/>
    </font>
    <font>
      <sz val="9"/>
      <color theme="1"/>
      <name val="Times New Roman"/>
      <family val="1"/>
    </font>
    <font>
      <sz val="8"/>
      <color theme="1"/>
      <name val="Times New Roman"/>
      <family val="1"/>
    </font>
    <font>
      <b/>
      <sz val="9"/>
      <color theme="1"/>
      <name val="Times New Roman"/>
      <family val="1"/>
    </font>
    <font>
      <b/>
      <sz val="24"/>
      <color theme="1"/>
      <name val="Times New Roman"/>
      <family val="1"/>
    </font>
    <font>
      <b/>
      <sz val="12"/>
      <color theme="1"/>
      <name val="Times New Roman"/>
      <family val="1"/>
    </font>
    <font>
      <b/>
      <sz val="14"/>
      <color theme="1"/>
      <name val="Times New Roman"/>
      <family val="1"/>
    </font>
    <font>
      <b/>
      <sz val="8"/>
      <color theme="1"/>
      <name val="Times New Roman"/>
      <family val="1"/>
    </font>
    <font>
      <sz val="10"/>
      <name val="Arial"/>
      <family val="2"/>
      <charset val="204"/>
    </font>
    <font>
      <sz val="10"/>
      <color rgb="FF002060"/>
      <name val="Arial"/>
      <family val="2"/>
    </font>
    <font>
      <sz val="9"/>
      <color theme="1"/>
      <name val="Arial"/>
      <family val="2"/>
    </font>
    <font>
      <sz val="11"/>
      <color theme="0"/>
      <name val="Calibri"/>
      <family val="2"/>
      <charset val="1"/>
      <scheme val="minor"/>
    </font>
    <font>
      <sz val="12"/>
      <color theme="1"/>
      <name val="Times New Roman"/>
      <family val="1"/>
    </font>
    <font>
      <b/>
      <sz val="26"/>
      <color theme="0"/>
      <name val="Times New Roman"/>
      <family val="1"/>
    </font>
    <font>
      <b/>
      <u/>
      <sz val="22"/>
      <color theme="1"/>
      <name val="Times New Roman"/>
      <family val="1"/>
    </font>
    <font>
      <b/>
      <sz val="22"/>
      <color theme="1"/>
      <name val="Times New Roman"/>
      <family val="1"/>
    </font>
    <font>
      <b/>
      <sz val="18"/>
      <color theme="1"/>
      <name val="Times New Roman"/>
      <family val="1"/>
    </font>
    <font>
      <b/>
      <sz val="20"/>
      <color theme="1"/>
      <name val="Times New Roman"/>
      <family val="1"/>
    </font>
    <font>
      <sz val="9"/>
      <color rgb="FF333333"/>
      <name val="Times New Roman"/>
      <family val="1"/>
    </font>
    <font>
      <b/>
      <sz val="9"/>
      <color rgb="FF000000"/>
      <name val="Times New Roman"/>
      <family val="1"/>
    </font>
    <font>
      <b/>
      <sz val="12"/>
      <color rgb="FF000000"/>
      <name val="Times New Roman"/>
      <family val="1"/>
    </font>
    <font>
      <sz val="10"/>
      <color indexed="8"/>
      <name val="Times New Roman"/>
      <family val="1"/>
    </font>
    <font>
      <b/>
      <i/>
      <sz val="10"/>
      <color rgb="FF000000"/>
      <name val="Times New Roman"/>
      <family val="1"/>
    </font>
    <font>
      <b/>
      <sz val="10"/>
      <color indexed="8"/>
      <name val="Times New Roman"/>
      <family val="1"/>
    </font>
    <font>
      <sz val="10"/>
      <color theme="1"/>
      <name val="Times New Roman Mon"/>
      <family val="1"/>
    </font>
    <font>
      <sz val="11"/>
      <name val="Times New Roman"/>
      <family val="1"/>
    </font>
    <font>
      <sz val="16"/>
      <color theme="1"/>
      <name val="Times New Roman"/>
      <family val="1"/>
    </font>
    <font>
      <b/>
      <sz val="8"/>
      <color rgb="FF000000"/>
      <name val="Times New Roman"/>
      <family val="1"/>
    </font>
    <font>
      <sz val="10"/>
      <name val="Times New Roman Mon"/>
      <family val="1"/>
    </font>
    <font>
      <vertAlign val="superscript"/>
      <sz val="10"/>
      <color theme="1"/>
      <name val="Times New Roman"/>
      <family val="1"/>
    </font>
    <font>
      <i/>
      <sz val="10"/>
      <color theme="1"/>
      <name val="Times New Roman"/>
      <family val="1"/>
    </font>
    <font>
      <sz val="11"/>
      <color theme="5"/>
      <name val="Times New Roman"/>
      <family val="1"/>
    </font>
    <font>
      <u val="singleAccounting"/>
      <sz val="10"/>
      <name val="Times New Roman"/>
      <family val="1"/>
    </font>
    <font>
      <sz val="10"/>
      <color theme="2" tint="-0.89999084444715716"/>
      <name val="Times New Roman"/>
      <family val="1"/>
    </font>
    <font>
      <b/>
      <sz val="10"/>
      <color theme="1"/>
      <name val="Arial Mon"/>
      <family val="2"/>
    </font>
    <font>
      <sz val="10"/>
      <color rgb="FF000000"/>
      <name val="Arial Mon"/>
      <family val="2"/>
    </font>
    <font>
      <b/>
      <sz val="15"/>
      <color theme="1"/>
      <name val="Times New Roman"/>
      <family val="1"/>
    </font>
    <font>
      <i/>
      <sz val="11"/>
      <color theme="1"/>
      <name val="Times New Roman"/>
      <family val="1"/>
    </font>
    <font>
      <b/>
      <i/>
      <sz val="11"/>
      <color theme="1"/>
      <name val="Times New Roman"/>
      <family val="1"/>
    </font>
    <font>
      <b/>
      <sz val="15"/>
      <color rgb="FF000000"/>
      <name val="Times New Roman"/>
      <family val="1"/>
    </font>
    <font>
      <sz val="8"/>
      <name val="Times New Roman"/>
      <family val="1"/>
    </font>
  </fonts>
  <fills count="2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CD3B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FF"/>
        <bgColor indexed="64"/>
      </patternFill>
    </fill>
    <fill>
      <patternFill patternType="solid">
        <fgColor rgb="FFA6A6A6"/>
        <bgColor indexed="64"/>
      </patternFill>
    </fill>
    <fill>
      <patternFill patternType="solid">
        <fgColor rgb="FFBFBFBF"/>
        <bgColor indexed="64"/>
      </patternFill>
    </fill>
    <fill>
      <patternFill patternType="solid">
        <fgColor rgb="FFD9D9D9"/>
        <bgColor indexed="64"/>
      </patternFill>
    </fill>
    <fill>
      <patternFill patternType="solid">
        <fgColor theme="7"/>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s>
  <borders count="56">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right/>
      <top style="thin">
        <color rgb="FF000000"/>
      </top>
      <bottom/>
      <diagonal/>
    </border>
    <border>
      <left/>
      <right style="thin">
        <color rgb="FFD2B48C"/>
      </right>
      <top style="thin">
        <color rgb="FFD2B48C"/>
      </top>
      <bottom style="medium">
        <color rgb="FFD2B48C"/>
      </bottom>
      <diagonal/>
    </border>
    <border>
      <left/>
      <right style="thin">
        <color rgb="FFD2B48C"/>
      </right>
      <top style="thin">
        <color rgb="FFD2B48C"/>
      </top>
      <bottom/>
      <diagonal/>
    </border>
    <border>
      <left style="hair">
        <color theme="1"/>
      </left>
      <right style="hair">
        <color theme="1"/>
      </right>
      <top style="hair">
        <color theme="1"/>
      </top>
      <bottom style="hair">
        <color theme="1"/>
      </bottom>
      <diagonal/>
    </border>
    <border>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theme="1"/>
      </left>
      <right/>
      <top style="hair">
        <color theme="1"/>
      </top>
      <bottom style="hair">
        <color theme="1"/>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indexed="64"/>
      </top>
      <bottom/>
      <diagonal/>
    </border>
    <border>
      <left/>
      <right style="thin">
        <color rgb="FFFCD3B2"/>
      </right>
      <top/>
      <bottom style="thin">
        <color rgb="FFFCD3B2"/>
      </bottom>
      <diagonal/>
    </border>
    <border>
      <left style="thin">
        <color rgb="FFFCD3B2"/>
      </left>
      <right/>
      <top/>
      <bottom style="thin">
        <color rgb="FFFCD3B2"/>
      </bottom>
      <diagonal/>
    </border>
    <border>
      <left/>
      <right style="thin">
        <color rgb="FFFCD3B2"/>
      </right>
      <top style="thin">
        <color rgb="FFFCD3B2"/>
      </top>
      <bottom style="thin">
        <color rgb="FFFCD3B2"/>
      </bottom>
      <diagonal/>
    </border>
    <border>
      <left style="thin">
        <color rgb="FFFCD3B2"/>
      </left>
      <right/>
      <top style="thin">
        <color rgb="FFFCD3B2"/>
      </top>
      <bottom style="thin">
        <color rgb="FFFCD3B2"/>
      </bottom>
      <diagonal/>
    </border>
    <border>
      <left style="thin">
        <color rgb="FFFCD3B2"/>
      </left>
      <right/>
      <top style="thin">
        <color rgb="FFFCD3B2"/>
      </top>
      <bottom/>
      <diagonal/>
    </border>
    <border>
      <left/>
      <right style="thin">
        <color rgb="FFFCD3B2"/>
      </right>
      <top style="thin">
        <color rgb="FFFCD3B2"/>
      </top>
      <bottom/>
      <diagonal/>
    </border>
    <border>
      <left/>
      <right/>
      <top/>
      <bottom style="dotted">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theme="1"/>
      </left>
      <right/>
      <top style="hair">
        <color theme="1"/>
      </top>
      <bottom/>
      <diagonal/>
    </border>
    <border>
      <left style="hair">
        <color theme="1"/>
      </left>
      <right/>
      <top/>
      <bottom style="hair">
        <color theme="1"/>
      </bottom>
      <diagonal/>
    </border>
    <border>
      <left/>
      <right style="hair">
        <color theme="1"/>
      </right>
      <top style="hair">
        <color theme="1"/>
      </top>
      <bottom/>
      <diagonal/>
    </border>
    <border>
      <left/>
      <right style="hair">
        <color theme="1"/>
      </right>
      <top/>
      <bottom style="hair">
        <color theme="1"/>
      </bottom>
      <diagonal/>
    </border>
    <border>
      <left/>
      <right/>
      <top/>
      <bottom style="hair">
        <color indexed="64"/>
      </bottom>
      <diagonal/>
    </border>
    <border>
      <left/>
      <right style="hair">
        <color indexed="64"/>
      </right>
      <top/>
      <bottom style="hair">
        <color indexed="64"/>
      </bottom>
      <diagonal/>
    </border>
    <border>
      <left style="thin">
        <color rgb="FFD2B48C"/>
      </left>
      <right style="thin">
        <color rgb="FFD2B48C"/>
      </right>
      <top style="thin">
        <color rgb="FFD2B48C"/>
      </top>
      <bottom style="thin">
        <color rgb="FFD2B48C"/>
      </bottom>
      <diagonal/>
    </border>
    <border>
      <left style="hair">
        <color indexed="64"/>
      </left>
      <right style="hair">
        <color indexed="64"/>
      </right>
      <top style="hair">
        <color indexed="64"/>
      </top>
      <bottom style="hair">
        <color theme="1"/>
      </bottom>
      <diagonal/>
    </border>
    <border>
      <left style="hair">
        <color indexed="64"/>
      </left>
      <right style="hair">
        <color indexed="64"/>
      </right>
      <top style="hair">
        <color theme="1"/>
      </top>
      <bottom style="hair">
        <color theme="1"/>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hair">
        <color indexed="64"/>
      </left>
      <right style="hair">
        <color indexed="64"/>
      </right>
      <top style="thin">
        <color indexed="64"/>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5" fillId="0" borderId="0"/>
    <xf numFmtId="43" fontId="15" fillId="0" borderId="0" applyFont="0" applyFill="0" applyBorder="0" applyAlignment="0" applyProtection="0"/>
    <xf numFmtId="0" fontId="23" fillId="0" borderId="0"/>
    <xf numFmtId="43" fontId="38" fillId="0" borderId="0" applyFont="0" applyFill="0" applyBorder="0" applyAlignment="0" applyProtection="0"/>
    <xf numFmtId="168" fontId="41" fillId="17" borderId="0"/>
    <xf numFmtId="43" fontId="1" fillId="0" borderId="0" applyFont="0" applyFill="0" applyBorder="0" applyAlignment="0" applyProtection="0"/>
  </cellStyleXfs>
  <cellXfs count="1242">
    <xf numFmtId="0" fontId="0" fillId="0" borderId="0" xfId="0"/>
    <xf numFmtId="0" fontId="2" fillId="0" borderId="0" xfId="0" applyFont="1"/>
    <xf numFmtId="0" fontId="2" fillId="0" borderId="0" xfId="0" applyFont="1" applyAlignment="1">
      <alignment horizontal="center"/>
    </xf>
    <xf numFmtId="0" fontId="3" fillId="3" borderId="2" xfId="3" applyNumberFormat="1" applyFont="1" applyFill="1" applyBorder="1"/>
    <xf numFmtId="0" fontId="3" fillId="3" borderId="2" xfId="2" applyNumberFormat="1" applyFont="1" applyFill="1" applyBorder="1"/>
    <xf numFmtId="1" fontId="3" fillId="3" borderId="2" xfId="3" applyNumberFormat="1" applyFont="1" applyFill="1" applyBorder="1"/>
    <xf numFmtId="0" fontId="3" fillId="3" borderId="2" xfId="3" applyFont="1" applyFill="1" applyBorder="1"/>
    <xf numFmtId="0" fontId="3" fillId="0" borderId="0" xfId="3" applyFont="1"/>
    <xf numFmtId="39" fontId="3" fillId="0" borderId="0" xfId="3" applyNumberFormat="1" applyFont="1"/>
    <xf numFmtId="0" fontId="3" fillId="3" borderId="2" xfId="3" applyFont="1" applyFill="1" applyBorder="1" applyAlignment="1">
      <alignment horizontal="center"/>
    </xf>
    <xf numFmtId="0" fontId="3" fillId="0" borderId="0" xfId="3" applyFont="1" applyAlignment="1">
      <alignment horizontal="center"/>
    </xf>
    <xf numFmtId="40" fontId="3" fillId="3" borderId="2" xfId="3" applyNumberFormat="1" applyFont="1" applyFill="1" applyBorder="1"/>
    <xf numFmtId="165" fontId="3" fillId="3" borderId="2" xfId="4" applyNumberFormat="1" applyFont="1" applyFill="1" applyBorder="1"/>
    <xf numFmtId="40" fontId="3" fillId="5" borderId="2" xfId="3" applyNumberFormat="1" applyFont="1" applyFill="1" applyBorder="1"/>
    <xf numFmtId="0" fontId="3" fillId="5" borderId="2" xfId="2" applyNumberFormat="1" applyFont="1" applyFill="1" applyBorder="1"/>
    <xf numFmtId="164" fontId="7" fillId="0" borderId="0" xfId="1" applyNumberFormat="1" applyFont="1"/>
    <xf numFmtId="0" fontId="7" fillId="0" borderId="0" xfId="1" applyNumberFormat="1" applyFont="1"/>
    <xf numFmtId="43" fontId="7" fillId="0" borderId="0" xfId="1" applyFont="1"/>
    <xf numFmtId="40" fontId="7" fillId="0" borderId="0" xfId="1" applyNumberFormat="1" applyFont="1"/>
    <xf numFmtId="43" fontId="7" fillId="3" borderId="0" xfId="1" applyFont="1" applyFill="1" applyBorder="1"/>
    <xf numFmtId="43" fontId="7" fillId="0" borderId="0" xfId="1" applyFont="1" applyBorder="1"/>
    <xf numFmtId="0" fontId="7" fillId="0" borderId="0" xfId="0" applyFont="1"/>
    <xf numFmtId="0" fontId="7" fillId="0" borderId="0" xfId="0" applyFont="1" applyAlignment="1">
      <alignment horizontal="center"/>
    </xf>
    <xf numFmtId="0" fontId="8" fillId="0" borderId="0" xfId="0" applyFont="1"/>
    <xf numFmtId="0" fontId="6" fillId="3" borderId="0" xfId="3" applyFont="1" applyFill="1" applyBorder="1"/>
    <xf numFmtId="0" fontId="2" fillId="0" borderId="0" xfId="0" applyFont="1" applyBorder="1"/>
    <xf numFmtId="43" fontId="7" fillId="4" borderId="2" xfId="1" applyFont="1" applyFill="1" applyBorder="1"/>
    <xf numFmtId="43" fontId="3" fillId="3" borderId="2" xfId="1" applyFont="1" applyFill="1" applyBorder="1"/>
    <xf numFmtId="43" fontId="7" fillId="5" borderId="2" xfId="1" applyFont="1" applyFill="1" applyBorder="1"/>
    <xf numFmtId="0" fontId="3" fillId="6" borderId="2" xfId="3" applyFont="1" applyFill="1" applyBorder="1"/>
    <xf numFmtId="0" fontId="3" fillId="6" borderId="2" xfId="3" applyFont="1" applyFill="1" applyBorder="1" applyAlignment="1">
      <alignment horizontal="center"/>
    </xf>
    <xf numFmtId="40" fontId="3" fillId="6" borderId="2" xfId="3" applyNumberFormat="1" applyFont="1" applyFill="1" applyBorder="1"/>
    <xf numFmtId="39" fontId="3" fillId="3" borderId="2" xfId="3" applyNumberFormat="1" applyFont="1" applyFill="1" applyBorder="1"/>
    <xf numFmtId="0" fontId="2" fillId="0" borderId="0" xfId="0" applyFont="1" applyAlignment="1">
      <alignment horizontal="left"/>
    </xf>
    <xf numFmtId="0" fontId="12" fillId="3" borderId="0" xfId="0" applyNumberFormat="1" applyFont="1" applyFill="1" applyBorder="1" applyAlignment="1">
      <alignment wrapText="1"/>
    </xf>
    <xf numFmtId="0" fontId="12" fillId="3" borderId="0" xfId="0" applyNumberFormat="1" applyFont="1" applyFill="1" applyBorder="1" applyAlignment="1">
      <alignment vertical="center" wrapText="1"/>
    </xf>
    <xf numFmtId="43" fontId="7" fillId="3" borderId="0" xfId="1" applyFont="1" applyFill="1"/>
    <xf numFmtId="43" fontId="3" fillId="3" borderId="0" xfId="1" applyFont="1" applyFill="1"/>
    <xf numFmtId="0" fontId="12" fillId="3" borderId="0" xfId="0" applyNumberFormat="1" applyFont="1" applyFill="1" applyBorder="1" applyAlignment="1">
      <alignment horizontal="center" wrapText="1"/>
    </xf>
    <xf numFmtId="0" fontId="7" fillId="0" borderId="0" xfId="0" applyFont="1" applyAlignment="1">
      <alignment horizontal="left"/>
    </xf>
    <xf numFmtId="43" fontId="7" fillId="0" borderId="0" xfId="1" applyFont="1" applyAlignment="1"/>
    <xf numFmtId="40" fontId="2" fillId="0" borderId="0" xfId="0" applyNumberFormat="1" applyFont="1"/>
    <xf numFmtId="0" fontId="3" fillId="3" borderId="0" xfId="0" applyNumberFormat="1" applyFont="1" applyFill="1"/>
    <xf numFmtId="0" fontId="7" fillId="3" borderId="0" xfId="0" applyNumberFormat="1" applyFont="1" applyFill="1"/>
    <xf numFmtId="43" fontId="7" fillId="3" borderId="0" xfId="0" applyNumberFormat="1" applyFont="1" applyFill="1"/>
    <xf numFmtId="0" fontId="12" fillId="3" borderId="0" xfId="0" applyNumberFormat="1" applyFont="1" applyFill="1" applyBorder="1" applyAlignment="1">
      <alignment vertical="center"/>
    </xf>
    <xf numFmtId="0" fontId="7" fillId="3" borderId="0" xfId="0" applyNumberFormat="1" applyFont="1" applyFill="1" applyAlignment="1">
      <alignment vertical="center"/>
    </xf>
    <xf numFmtId="0" fontId="14" fillId="3" borderId="0" xfId="0" applyNumberFormat="1" applyFont="1" applyFill="1" applyBorder="1" applyAlignment="1">
      <alignment vertical="center" wrapText="1"/>
    </xf>
    <xf numFmtId="0" fontId="8" fillId="2" borderId="8" xfId="0" applyFont="1" applyFill="1" applyBorder="1" applyAlignment="1">
      <alignment horizontal="right"/>
    </xf>
    <xf numFmtId="0" fontId="8" fillId="2" borderId="8" xfId="0" applyFont="1" applyFill="1" applyBorder="1"/>
    <xf numFmtId="43" fontId="8" fillId="2" borderId="8" xfId="1" applyFont="1" applyFill="1" applyBorder="1" applyAlignment="1">
      <alignment horizontal="center"/>
    </xf>
    <xf numFmtId="0" fontId="8" fillId="2" borderId="8" xfId="0" applyFont="1" applyFill="1" applyBorder="1" applyAlignment="1">
      <alignment horizontal="center"/>
    </xf>
    <xf numFmtId="0" fontId="7" fillId="0" borderId="8" xfId="0" applyFont="1" applyBorder="1"/>
    <xf numFmtId="43" fontId="7" fillId="0" borderId="8" xfId="1" applyFont="1" applyBorder="1"/>
    <xf numFmtId="43" fontId="7" fillId="0" borderId="8" xfId="0" applyNumberFormat="1" applyFont="1" applyBorder="1" applyAlignment="1">
      <alignment horizontal="center"/>
    </xf>
    <xf numFmtId="0" fontId="9" fillId="0" borderId="8" xfId="0" applyFont="1" applyBorder="1"/>
    <xf numFmtId="43" fontId="10" fillId="0" borderId="8" xfId="1" applyFont="1" applyBorder="1"/>
    <xf numFmtId="164" fontId="7" fillId="2" borderId="2" xfId="1" applyNumberFormat="1" applyFont="1" applyFill="1" applyBorder="1"/>
    <xf numFmtId="0" fontId="7" fillId="2" borderId="2" xfId="1" applyNumberFormat="1" applyFont="1" applyFill="1" applyBorder="1" applyAlignment="1">
      <alignment vertical="top"/>
    </xf>
    <xf numFmtId="43" fontId="7" fillId="2" borderId="2" xfId="1" applyFont="1" applyFill="1" applyBorder="1" applyAlignment="1">
      <alignment vertical="top"/>
    </xf>
    <xf numFmtId="43" fontId="3" fillId="2" borderId="2" xfId="1" applyFont="1" applyFill="1" applyBorder="1" applyAlignment="1">
      <alignment horizontal="center" wrapText="1"/>
    </xf>
    <xf numFmtId="0" fontId="3" fillId="2" borderId="2" xfId="3" applyFont="1" applyFill="1" applyBorder="1"/>
    <xf numFmtId="0" fontId="3" fillId="2" borderId="2" xfId="3" applyFont="1" applyFill="1" applyBorder="1" applyAlignment="1">
      <alignment horizontal="center"/>
    </xf>
    <xf numFmtId="0" fontId="3" fillId="2" borderId="2" xfId="3" applyFont="1" applyFill="1" applyBorder="1" applyAlignment="1">
      <alignment vertical="center"/>
    </xf>
    <xf numFmtId="0" fontId="3" fillId="2" borderId="2" xfId="3" applyFont="1" applyFill="1" applyBorder="1" applyAlignment="1">
      <alignment horizontal="center" vertical="center"/>
    </xf>
    <xf numFmtId="0" fontId="3" fillId="2" borderId="2" xfId="3" quotePrefix="1" applyFont="1" applyFill="1" applyBorder="1"/>
    <xf numFmtId="0" fontId="12" fillId="7" borderId="8" xfId="0" applyNumberFormat="1" applyFont="1" applyFill="1" applyBorder="1" applyAlignment="1">
      <alignment horizontal="center" vertical="center" wrapText="1"/>
    </xf>
    <xf numFmtId="0" fontId="3" fillId="3" borderId="8" xfId="0" applyNumberFormat="1" applyFont="1" applyFill="1" applyBorder="1" applyAlignment="1">
      <alignment horizontal="right" vertical="center" wrapText="1"/>
    </xf>
    <xf numFmtId="164" fontId="14" fillId="3" borderId="0" xfId="0" applyNumberFormat="1" applyFont="1" applyFill="1" applyBorder="1" applyAlignment="1">
      <alignment vertical="center" wrapText="1"/>
    </xf>
    <xf numFmtId="0" fontId="3" fillId="3" borderId="8" xfId="0" applyNumberFormat="1" applyFont="1" applyFill="1" applyBorder="1" applyAlignment="1">
      <alignment horizontal="center" vertical="center" wrapText="1"/>
    </xf>
    <xf numFmtId="0" fontId="12" fillId="7" borderId="2" xfId="0" applyNumberFormat="1" applyFont="1" applyFill="1" applyBorder="1" applyAlignment="1">
      <alignment horizontal="right" vertical="center" wrapText="1"/>
    </xf>
    <xf numFmtId="0" fontId="7" fillId="3" borderId="0" xfId="0" applyNumberFormat="1" applyFont="1" applyFill="1" applyAlignment="1">
      <alignment horizontal="right"/>
    </xf>
    <xf numFmtId="0" fontId="7" fillId="3" borderId="0" xfId="1" applyNumberFormat="1" applyFont="1" applyFill="1"/>
    <xf numFmtId="40" fontId="7" fillId="0" borderId="0" xfId="1" applyNumberFormat="1" applyFont="1" applyBorder="1"/>
    <xf numFmtId="0" fontId="7" fillId="0" borderId="0" xfId="0" applyNumberFormat="1" applyFont="1"/>
    <xf numFmtId="0" fontId="7" fillId="2" borderId="11" xfId="1" applyNumberFormat="1" applyFont="1" applyFill="1" applyBorder="1" applyAlignment="1">
      <alignment vertical="top"/>
    </xf>
    <xf numFmtId="40" fontId="3" fillId="2" borderId="11" xfId="1" applyNumberFormat="1" applyFont="1" applyFill="1" applyBorder="1" applyAlignment="1">
      <alignment horizontal="center" wrapText="1"/>
    </xf>
    <xf numFmtId="43" fontId="7" fillId="9" borderId="0" xfId="1" applyFont="1" applyFill="1"/>
    <xf numFmtId="43" fontId="7" fillId="9" borderId="1" xfId="1" applyFont="1" applyFill="1" applyBorder="1"/>
    <xf numFmtId="0" fontId="3" fillId="2" borderId="2" xfId="0" applyFont="1" applyFill="1" applyBorder="1"/>
    <xf numFmtId="43" fontId="7" fillId="0" borderId="0" xfId="0" applyNumberFormat="1" applyFont="1"/>
    <xf numFmtId="43" fontId="3" fillId="0" borderId="2" xfId="1" applyFont="1" applyBorder="1"/>
    <xf numFmtId="43" fontId="2" fillId="0" borderId="0" xfId="1" applyFont="1"/>
    <xf numFmtId="43" fontId="7" fillId="0" borderId="0" xfId="1" applyFont="1" applyAlignment="1">
      <alignment horizontal="center"/>
    </xf>
    <xf numFmtId="43" fontId="2" fillId="0" borderId="0" xfId="0" applyNumberFormat="1" applyFont="1"/>
    <xf numFmtId="43" fontId="7" fillId="0" borderId="15" xfId="1" applyFont="1" applyBorder="1" applyAlignment="1">
      <alignment horizontal="center"/>
    </xf>
    <xf numFmtId="0" fontId="8" fillId="0" borderId="0" xfId="5" applyNumberFormat="1" applyFont="1"/>
    <xf numFmtId="0" fontId="7" fillId="0" borderId="0" xfId="5" applyNumberFormat="1" applyFont="1"/>
    <xf numFmtId="43" fontId="7" fillId="0" borderId="0" xfId="5" applyFont="1"/>
    <xf numFmtId="164" fontId="7" fillId="0" borderId="0" xfId="5" applyNumberFormat="1" applyFont="1" applyAlignment="1">
      <alignment horizontal="center" vertical="center"/>
    </xf>
    <xf numFmtId="14" fontId="7" fillId="0" borderId="0" xfId="5" applyNumberFormat="1" applyFont="1"/>
    <xf numFmtId="0" fontId="3" fillId="0" borderId="0" xfId="5" applyNumberFormat="1" applyFont="1" applyAlignment="1">
      <alignment horizontal="center" vertical="center"/>
    </xf>
    <xf numFmtId="164" fontId="7" fillId="0" borderId="0" xfId="5" applyNumberFormat="1" applyFont="1"/>
    <xf numFmtId="43" fontId="7" fillId="10" borderId="0" xfId="5" applyFont="1" applyFill="1" applyBorder="1"/>
    <xf numFmtId="43" fontId="7" fillId="0" borderId="0" xfId="5" applyFont="1" applyBorder="1"/>
    <xf numFmtId="0" fontId="7" fillId="0" borderId="0" xfId="5" applyNumberFormat="1" applyFont="1" applyAlignment="1">
      <alignment horizontal="center" vertical="center"/>
    </xf>
    <xf numFmtId="43" fontId="7" fillId="0" borderId="0" xfId="5" applyFont="1" applyAlignment="1">
      <alignment horizontal="right" vertical="center"/>
    </xf>
    <xf numFmtId="43" fontId="7" fillId="4" borderId="0" xfId="5" applyNumberFormat="1" applyFont="1" applyFill="1" applyBorder="1" applyAlignment="1" applyProtection="1">
      <alignment horizontal="left" vertical="center"/>
      <protection locked="0"/>
    </xf>
    <xf numFmtId="0" fontId="7" fillId="2" borderId="2" xfId="5" applyNumberFormat="1" applyFont="1" applyFill="1" applyBorder="1"/>
    <xf numFmtId="164" fontId="7" fillId="2" borderId="2" xfId="5" applyNumberFormat="1" applyFont="1" applyFill="1" applyBorder="1" applyAlignment="1">
      <alignment horizontal="left" vertical="center"/>
    </xf>
    <xf numFmtId="14" fontId="7" fillId="2" borderId="2" xfId="5" applyNumberFormat="1" applyFont="1" applyFill="1" applyBorder="1" applyAlignment="1">
      <alignment horizontal="left" vertical="center"/>
    </xf>
    <xf numFmtId="0" fontId="3" fillId="2" borderId="2" xfId="5" applyNumberFormat="1" applyFont="1" applyFill="1" applyBorder="1" applyAlignment="1">
      <alignment horizontal="left" vertical="center"/>
    </xf>
    <xf numFmtId="43" fontId="7" fillId="2" borderId="2" xfId="5" applyFont="1" applyFill="1" applyBorder="1" applyAlignment="1">
      <alignment horizontal="left" vertical="center" wrapText="1"/>
    </xf>
    <xf numFmtId="43" fontId="7" fillId="9" borderId="10" xfId="5" applyFont="1" applyFill="1" applyBorder="1"/>
    <xf numFmtId="43" fontId="7" fillId="9" borderId="2" xfId="5" applyFont="1" applyFill="1" applyBorder="1"/>
    <xf numFmtId="0" fontId="7" fillId="0" borderId="0" xfId="5" applyNumberFormat="1" applyFont="1" applyBorder="1"/>
    <xf numFmtId="0" fontId="7" fillId="2" borderId="2" xfId="5" applyNumberFormat="1" applyFont="1" applyFill="1" applyBorder="1" applyAlignment="1">
      <alignment horizontal="center" vertical="center"/>
    </xf>
    <xf numFmtId="43" fontId="7" fillId="2" borderId="2" xfId="5" applyFont="1" applyFill="1" applyBorder="1" applyAlignment="1">
      <alignment horizontal="right" vertical="top"/>
    </xf>
    <xf numFmtId="43" fontId="7" fillId="11" borderId="2" xfId="1" applyFont="1" applyFill="1" applyBorder="1"/>
    <xf numFmtId="14" fontId="7" fillId="11" borderId="2" xfId="1" applyNumberFormat="1" applyFont="1" applyFill="1" applyBorder="1"/>
    <xf numFmtId="0" fontId="7" fillId="12" borderId="2" xfId="0" applyFont="1" applyFill="1" applyBorder="1" applyAlignment="1">
      <alignment horizontal="left"/>
    </xf>
    <xf numFmtId="0" fontId="7" fillId="12" borderId="2" xfId="0" applyFont="1" applyFill="1" applyBorder="1"/>
    <xf numFmtId="14" fontId="7" fillId="12" borderId="2" xfId="0" applyNumberFormat="1" applyFont="1" applyFill="1" applyBorder="1"/>
    <xf numFmtId="14" fontId="7" fillId="2" borderId="2" xfId="5" applyNumberFormat="1" applyFont="1" applyFill="1" applyBorder="1" applyAlignment="1" applyProtection="1">
      <alignment horizontal="left" vertical="center"/>
      <protection locked="0"/>
    </xf>
    <xf numFmtId="0" fontId="7" fillId="3" borderId="0" xfId="1" applyNumberFormat="1" applyFont="1" applyFill="1" applyAlignment="1">
      <alignment vertical="center"/>
    </xf>
    <xf numFmtId="0" fontId="7" fillId="3" borderId="0" xfId="1" applyNumberFormat="1" applyFont="1" applyFill="1" applyAlignment="1">
      <alignment horizontal="right"/>
    </xf>
    <xf numFmtId="0" fontId="3" fillId="3" borderId="0" xfId="1" applyNumberFormat="1" applyFont="1" applyFill="1"/>
    <xf numFmtId="0" fontId="3" fillId="2" borderId="2" xfId="3" applyFont="1" applyFill="1" applyBorder="1" applyAlignment="1">
      <alignment horizontal="center" vertical="center"/>
    </xf>
    <xf numFmtId="43" fontId="3" fillId="3" borderId="2" xfId="3" applyNumberFormat="1" applyFont="1" applyFill="1" applyBorder="1"/>
    <xf numFmtId="43" fontId="3" fillId="3" borderId="2" xfId="0" applyNumberFormat="1" applyFont="1" applyFill="1" applyBorder="1"/>
    <xf numFmtId="49" fontId="7" fillId="3" borderId="0" xfId="0" applyNumberFormat="1" applyFont="1" applyFill="1" applyAlignment="1">
      <alignment horizontal="center"/>
    </xf>
    <xf numFmtId="0" fontId="22" fillId="3" borderId="0" xfId="0" applyFont="1" applyFill="1" applyAlignment="1">
      <alignment horizontal="center"/>
    </xf>
    <xf numFmtId="0" fontId="3" fillId="3" borderId="0" xfId="0" applyFont="1" applyFill="1"/>
    <xf numFmtId="0" fontId="3" fillId="3" borderId="0" xfId="0" applyFont="1" applyFill="1" applyAlignment="1">
      <alignment horizontal="left"/>
    </xf>
    <xf numFmtId="0" fontId="7" fillId="3" borderId="0" xfId="6" applyNumberFormat="1" applyFont="1" applyFill="1" applyAlignment="1">
      <alignment horizontal="center"/>
    </xf>
    <xf numFmtId="0" fontId="7" fillId="3" borderId="0" xfId="6" applyFont="1" applyFill="1"/>
    <xf numFmtId="0" fontId="7" fillId="3" borderId="0" xfId="0" applyNumberFormat="1" applyFont="1" applyFill="1" applyAlignment="1">
      <alignment horizontal="center"/>
    </xf>
    <xf numFmtId="0" fontId="7" fillId="3" borderId="0" xfId="0" applyFont="1" applyFill="1"/>
    <xf numFmtId="0" fontId="24" fillId="3" borderId="0" xfId="0" applyNumberFormat="1" applyFont="1" applyFill="1" applyBorder="1" applyAlignment="1">
      <alignment horizontal="left"/>
    </xf>
    <xf numFmtId="0" fontId="3" fillId="3" borderId="0" xfId="0" applyFont="1" applyFill="1" applyBorder="1" applyAlignment="1">
      <alignment horizontal="left"/>
    </xf>
    <xf numFmtId="0" fontId="3" fillId="3" borderId="0" xfId="6" applyNumberFormat="1" applyFont="1" applyFill="1" applyAlignment="1">
      <alignment horizontal="center"/>
    </xf>
    <xf numFmtId="0" fontId="17" fillId="3" borderId="0" xfId="0" applyFont="1" applyFill="1"/>
    <xf numFmtId="0" fontId="17" fillId="3" borderId="0" xfId="0" applyNumberFormat="1" applyFont="1" applyFill="1" applyAlignment="1">
      <alignment horizontal="center"/>
    </xf>
    <xf numFmtId="0" fontId="3" fillId="3" borderId="0" xfId="0" applyNumberFormat="1" applyFont="1" applyFill="1" applyAlignment="1">
      <alignment horizontal="center"/>
    </xf>
    <xf numFmtId="0" fontId="7" fillId="0" borderId="0" xfId="0" applyFont="1" applyAlignment="1">
      <alignment horizontal="right"/>
    </xf>
    <xf numFmtId="0" fontId="3" fillId="5" borderId="13" xfId="3" applyFont="1" applyFill="1" applyBorder="1" applyAlignment="1"/>
    <xf numFmtId="0" fontId="3" fillId="5" borderId="14" xfId="3" applyFont="1" applyFill="1" applyBorder="1" applyAlignment="1"/>
    <xf numFmtId="0" fontId="26" fillId="3" borderId="0" xfId="0" applyFont="1" applyFill="1" applyAlignment="1">
      <alignment horizontal="center"/>
    </xf>
    <xf numFmtId="0" fontId="7" fillId="0" borderId="0" xfId="1" applyNumberFormat="1" applyFont="1" applyAlignment="1">
      <alignment horizontal="center"/>
    </xf>
    <xf numFmtId="0" fontId="7" fillId="0" borderId="0" xfId="0" applyNumberFormat="1" applyFont="1" applyAlignment="1">
      <alignment horizontal="center"/>
    </xf>
    <xf numFmtId="43" fontId="25" fillId="0" borderId="0" xfId="5" applyFont="1"/>
    <xf numFmtId="0" fontId="22" fillId="2" borderId="2" xfId="0" applyFont="1" applyFill="1" applyBorder="1" applyAlignment="1">
      <alignment horizontal="center"/>
    </xf>
    <xf numFmtId="0" fontId="22" fillId="2" borderId="2" xfId="0" applyFont="1" applyFill="1" applyBorder="1" applyAlignment="1">
      <alignment horizontal="left"/>
    </xf>
    <xf numFmtId="0" fontId="3" fillId="2" borderId="2" xfId="0" applyFont="1" applyFill="1" applyBorder="1" applyAlignment="1">
      <alignment horizontal="left"/>
    </xf>
    <xf numFmtId="49" fontId="7" fillId="2" borderId="2" xfId="0" applyNumberFormat="1" applyFont="1" applyFill="1" applyBorder="1" applyAlignment="1">
      <alignment horizontal="center"/>
    </xf>
    <xf numFmtId="0" fontId="7" fillId="0" borderId="0" xfId="0" applyNumberFormat="1" applyFont="1" applyAlignment="1">
      <alignment horizontal="left"/>
    </xf>
    <xf numFmtId="43" fontId="3" fillId="2" borderId="2" xfId="1" applyFont="1" applyFill="1" applyBorder="1" applyAlignment="1">
      <alignment horizontal="center"/>
    </xf>
    <xf numFmtId="0" fontId="3" fillId="3" borderId="0" xfId="0" applyNumberFormat="1" applyFont="1" applyFill="1" applyBorder="1" applyAlignment="1">
      <alignment horizontal="center" vertical="center" wrapText="1"/>
    </xf>
    <xf numFmtId="0" fontId="13" fillId="3" borderId="0" xfId="0" applyNumberFormat="1" applyFont="1" applyFill="1" applyBorder="1" applyAlignment="1">
      <alignment horizontal="left" vertical="center" wrapText="1"/>
    </xf>
    <xf numFmtId="43" fontId="3" fillId="3" borderId="0" xfId="0" applyNumberFormat="1" applyFont="1" applyFill="1" applyBorder="1" applyAlignment="1">
      <alignment horizontal="right" vertical="center" wrapText="1"/>
    </xf>
    <xf numFmtId="166" fontId="3" fillId="3" borderId="0" xfId="0"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wrapText="1"/>
    </xf>
    <xf numFmtId="43" fontId="3" fillId="0" borderId="0" xfId="1" applyFont="1"/>
    <xf numFmtId="164" fontId="3" fillId="0" borderId="0" xfId="1" applyNumberFormat="1" applyFont="1"/>
    <xf numFmtId="43" fontId="16" fillId="0" borderId="0" xfId="1" applyFont="1"/>
    <xf numFmtId="43" fontId="18" fillId="0" borderId="0" xfId="1" applyFont="1"/>
    <xf numFmtId="43" fontId="3" fillId="0" borderId="0" xfId="1" applyFont="1" applyAlignment="1"/>
    <xf numFmtId="43" fontId="3" fillId="0" borderId="0" xfId="1" applyFont="1" applyAlignment="1">
      <alignment horizontal="left" indent="3"/>
    </xf>
    <xf numFmtId="43" fontId="3" fillId="2" borderId="2" xfId="1" applyFont="1" applyFill="1" applyBorder="1"/>
    <xf numFmtId="43" fontId="3" fillId="0" borderId="0" xfId="1" applyFont="1" applyBorder="1" applyAlignment="1">
      <alignment horizontal="center"/>
    </xf>
    <xf numFmtId="0" fontId="3" fillId="0" borderId="0" xfId="1" applyNumberFormat="1" applyFont="1"/>
    <xf numFmtId="0" fontId="3" fillId="2" borderId="2" xfId="1" applyNumberFormat="1" applyFont="1" applyFill="1" applyBorder="1"/>
    <xf numFmtId="0" fontId="3" fillId="2" borderId="2" xfId="1" applyNumberFormat="1" applyFont="1" applyFill="1" applyBorder="1" applyAlignment="1">
      <alignment horizontal="center"/>
    </xf>
    <xf numFmtId="14" fontId="3" fillId="0" borderId="2" xfId="1" applyNumberFormat="1" applyFont="1" applyBorder="1"/>
    <xf numFmtId="0" fontId="3" fillId="0" borderId="2" xfId="1" applyNumberFormat="1" applyFont="1" applyBorder="1"/>
    <xf numFmtId="164" fontId="3" fillId="2" borderId="2" xfId="1" applyNumberFormat="1" applyFont="1" applyFill="1" applyBorder="1"/>
    <xf numFmtId="164" fontId="3" fillId="0" borderId="2" xfId="1" applyNumberFormat="1" applyFont="1" applyBorder="1"/>
    <xf numFmtId="13" fontId="3" fillId="0" borderId="0" xfId="1" applyNumberFormat="1" applyFont="1"/>
    <xf numFmtId="0" fontId="7" fillId="0" borderId="0" xfId="5" applyNumberFormat="1" applyFont="1" applyAlignment="1">
      <alignment vertical="center"/>
    </xf>
    <xf numFmtId="43" fontId="7" fillId="3" borderId="0" xfId="5" applyFont="1" applyFill="1"/>
    <xf numFmtId="168" fontId="7" fillId="0" borderId="0" xfId="5" applyNumberFormat="1" applyFont="1" applyAlignment="1">
      <alignment vertical="center"/>
    </xf>
    <xf numFmtId="43" fontId="7" fillId="0" borderId="0" xfId="5" applyFont="1" applyAlignment="1">
      <alignment horizontal="center" vertical="center"/>
    </xf>
    <xf numFmtId="43" fontId="7" fillId="9" borderId="0" xfId="5" applyFont="1" applyFill="1" applyAlignment="1">
      <alignment horizontal="center"/>
    </xf>
    <xf numFmtId="43" fontId="7" fillId="0" borderId="0" xfId="5" applyFont="1" applyAlignment="1">
      <alignment horizontal="center"/>
    </xf>
    <xf numFmtId="43" fontId="7" fillId="2" borderId="2" xfId="5" applyFont="1" applyFill="1" applyBorder="1" applyAlignment="1">
      <alignment horizontal="center" wrapText="1"/>
    </xf>
    <xf numFmtId="43" fontId="7" fillId="2" borderId="2" xfId="5" applyFont="1" applyFill="1" applyBorder="1" applyAlignment="1">
      <alignment horizontal="center" vertical="center"/>
    </xf>
    <xf numFmtId="0" fontId="7" fillId="9" borderId="0" xfId="1" applyNumberFormat="1" applyFont="1" applyFill="1" applyBorder="1"/>
    <xf numFmtId="0" fontId="7" fillId="0" borderId="0" xfId="1" applyNumberFormat="1" applyFont="1" applyAlignment="1"/>
    <xf numFmtId="0" fontId="7" fillId="3" borderId="0" xfId="1" applyNumberFormat="1" applyFont="1" applyFill="1" applyAlignment="1">
      <alignment horizontal="right" vertical="center"/>
    </xf>
    <xf numFmtId="169" fontId="7" fillId="3" borderId="0" xfId="0" applyNumberFormat="1" applyFont="1" applyFill="1"/>
    <xf numFmtId="43" fontId="7" fillId="3" borderId="0" xfId="1" applyNumberFormat="1" applyFont="1" applyFill="1"/>
    <xf numFmtId="0" fontId="3" fillId="5" borderId="12" xfId="3" applyFont="1" applyFill="1" applyBorder="1" applyAlignment="1"/>
    <xf numFmtId="0" fontId="7" fillId="3" borderId="0" xfId="0" applyFont="1" applyFill="1" applyAlignment="1">
      <alignment horizontal="left"/>
    </xf>
    <xf numFmtId="168" fontId="3" fillId="3" borderId="2" xfId="1" applyNumberFormat="1" applyFont="1" applyFill="1" applyBorder="1"/>
    <xf numFmtId="43" fontId="12" fillId="3" borderId="0" xfId="1" applyFont="1" applyFill="1" applyBorder="1" applyAlignment="1">
      <alignment horizontal="right" vertical="center" wrapText="1"/>
    </xf>
    <xf numFmtId="43" fontId="12" fillId="3" borderId="0" xfId="1" applyFont="1" applyFill="1" applyBorder="1" applyAlignment="1">
      <alignment vertical="center" wrapText="1"/>
    </xf>
    <xf numFmtId="0" fontId="21" fillId="0" borderId="0" xfId="0" applyFont="1" applyFill="1" applyAlignment="1">
      <alignment horizontal="left"/>
    </xf>
    <xf numFmtId="0" fontId="31" fillId="0" borderId="0" xfId="0" applyFont="1" applyFill="1" applyAlignment="1">
      <alignment horizontal="left"/>
    </xf>
    <xf numFmtId="0" fontId="31" fillId="0" borderId="0" xfId="0" applyFont="1" applyFill="1" applyAlignment="1">
      <alignment horizontal="left" wrapText="1"/>
    </xf>
    <xf numFmtId="0" fontId="31" fillId="0" borderId="0" xfId="0" applyFont="1"/>
    <xf numFmtId="0" fontId="32" fillId="0" borderId="0" xfId="0" applyFont="1" applyFill="1" applyAlignment="1">
      <alignment horizontal="right"/>
    </xf>
    <xf numFmtId="43" fontId="31" fillId="0" borderId="0" xfId="5" applyFont="1"/>
    <xf numFmtId="0" fontId="33" fillId="0" borderId="0" xfId="0" applyFont="1" applyFill="1" applyAlignment="1">
      <alignment horizontal="left"/>
    </xf>
    <xf numFmtId="0" fontId="31" fillId="0" borderId="17" xfId="0" applyFont="1" applyBorder="1"/>
    <xf numFmtId="0" fontId="31" fillId="0" borderId="17" xfId="0" applyFont="1" applyFill="1" applyBorder="1" applyAlignment="1">
      <alignment horizontal="left"/>
    </xf>
    <xf numFmtId="0" fontId="35" fillId="0" borderId="0" xfId="0" applyFont="1" applyFill="1" applyAlignment="1"/>
    <xf numFmtId="0" fontId="28" fillId="0" borderId="0" xfId="0" applyFont="1"/>
    <xf numFmtId="0" fontId="31" fillId="0" borderId="0" xfId="0" applyFont="1" applyAlignment="1">
      <alignment wrapText="1"/>
    </xf>
    <xf numFmtId="0" fontId="7" fillId="0" borderId="0" xfId="0" applyFont="1" applyFill="1" applyAlignment="1">
      <alignment horizontal="left"/>
    </xf>
    <xf numFmtId="0" fontId="7" fillId="0" borderId="0" xfId="0" applyFont="1" applyFill="1"/>
    <xf numFmtId="0" fontId="15" fillId="0" borderId="0" xfId="0" applyFont="1"/>
    <xf numFmtId="0" fontId="12" fillId="3" borderId="0" xfId="0" applyNumberFormat="1" applyFont="1" applyFill="1" applyBorder="1" applyAlignment="1">
      <alignment horizontal="right" vertical="center" wrapText="1"/>
    </xf>
    <xf numFmtId="0" fontId="12" fillId="3" borderId="2" xfId="0" applyNumberFormat="1" applyFont="1" applyFill="1" applyBorder="1" applyAlignment="1">
      <alignment horizontal="left" vertical="center" wrapText="1"/>
    </xf>
    <xf numFmtId="0" fontId="12" fillId="7" borderId="2" xfId="0" applyNumberFormat="1" applyFont="1" applyFill="1" applyBorder="1" applyAlignment="1">
      <alignment horizontal="center" vertical="center" wrapText="1"/>
    </xf>
    <xf numFmtId="0" fontId="39" fillId="0" borderId="29" xfId="0" applyFont="1" applyBorder="1" applyAlignment="1">
      <alignment horizontal="left" vertical="center"/>
    </xf>
    <xf numFmtId="0" fontId="39" fillId="0" borderId="30" xfId="0" applyFont="1" applyBorder="1" applyAlignment="1">
      <alignment horizontal="left" vertical="center"/>
    </xf>
    <xf numFmtId="0" fontId="15" fillId="0" borderId="0" xfId="0" applyFont="1" applyAlignment="1">
      <alignment horizontal="left" vertical="center"/>
    </xf>
    <xf numFmtId="0" fontId="15" fillId="0" borderId="31" xfId="0" applyFont="1" applyBorder="1"/>
    <xf numFmtId="49" fontId="15" fillId="0" borderId="32" xfId="0" applyNumberFormat="1" applyFont="1" applyBorder="1"/>
    <xf numFmtId="0" fontId="15" fillId="0" borderId="31" xfId="0" applyFont="1" applyBorder="1" applyAlignment="1">
      <alignment horizontal="left"/>
    </xf>
    <xf numFmtId="0" fontId="15" fillId="0" borderId="32" xfId="0" applyFont="1" applyBorder="1"/>
    <xf numFmtId="0" fontId="15" fillId="0" borderId="31" xfId="0" applyFont="1" applyBorder="1" applyAlignment="1">
      <alignment wrapText="1"/>
    </xf>
    <xf numFmtId="0" fontId="40" fillId="0" borderId="33" xfId="0" applyFont="1" applyFill="1" applyBorder="1" applyAlignment="1">
      <alignment horizontal="left"/>
    </xf>
    <xf numFmtId="0" fontId="15" fillId="0" borderId="31" xfId="0" applyFont="1" applyBorder="1" applyAlignment="1">
      <alignment horizontal="right"/>
    </xf>
    <xf numFmtId="0" fontId="15" fillId="0" borderId="34" xfId="0" applyFont="1" applyBorder="1"/>
    <xf numFmtId="0" fontId="15" fillId="0" borderId="33" xfId="0" applyFont="1" applyBorder="1"/>
    <xf numFmtId="43" fontId="15" fillId="0" borderId="0" xfId="5" applyFont="1"/>
    <xf numFmtId="43" fontId="7" fillId="3" borderId="0" xfId="5" applyFont="1" applyFill="1" applyAlignment="1">
      <alignment horizontal="center"/>
    </xf>
    <xf numFmtId="43" fontId="12" fillId="3" borderId="0" xfId="5" applyFont="1" applyFill="1" applyBorder="1" applyAlignment="1">
      <alignment horizontal="center" vertical="center" wrapText="1"/>
    </xf>
    <xf numFmtId="43" fontId="12" fillId="3" borderId="0" xfId="5" applyFont="1" applyFill="1" applyBorder="1" applyAlignment="1">
      <alignment horizontal="right" vertical="center" wrapText="1"/>
    </xf>
    <xf numFmtId="43" fontId="12" fillId="3" borderId="0" xfId="5" applyFont="1" applyFill="1" applyBorder="1" applyAlignment="1">
      <alignment vertical="center" wrapText="1"/>
    </xf>
    <xf numFmtId="43" fontId="3" fillId="3" borderId="2" xfId="5" applyFont="1" applyFill="1" applyBorder="1" applyAlignment="1">
      <alignment horizontal="center" vertical="center" wrapText="1"/>
    </xf>
    <xf numFmtId="43" fontId="3" fillId="3" borderId="2" xfId="0" applyNumberFormat="1" applyFont="1" applyFill="1" applyBorder="1" applyAlignment="1">
      <alignment horizontal="center" vertical="center" wrapText="1"/>
    </xf>
    <xf numFmtId="43" fontId="3" fillId="3" borderId="2" xfId="0" applyNumberFormat="1" applyFont="1" applyFill="1" applyBorder="1" applyAlignment="1">
      <alignment horizontal="right" vertical="center" wrapText="1"/>
    </xf>
    <xf numFmtId="43" fontId="13" fillId="3" borderId="2" xfId="0" applyNumberFormat="1" applyFont="1" applyFill="1" applyBorder="1" applyAlignment="1">
      <alignment horizontal="right" vertical="center" wrapText="1"/>
    </xf>
    <xf numFmtId="0" fontId="17" fillId="3" borderId="2" xfId="0" applyNumberFormat="1" applyFont="1" applyFill="1" applyBorder="1" applyAlignment="1">
      <alignment horizontal="left" vertical="center" wrapText="1"/>
    </xf>
    <xf numFmtId="43" fontId="13" fillId="3" borderId="2" xfId="0" applyNumberFormat="1" applyFont="1" applyFill="1" applyBorder="1" applyAlignment="1">
      <alignment horizontal="center" vertical="center" wrapText="1"/>
    </xf>
    <xf numFmtId="43" fontId="13" fillId="3" borderId="2" xfId="5" applyFont="1" applyFill="1" applyBorder="1" applyAlignment="1">
      <alignment horizontal="center" vertical="center" wrapText="1"/>
    </xf>
    <xf numFmtId="43" fontId="13" fillId="3" borderId="2" xfId="5" applyFont="1" applyFill="1" applyBorder="1" applyAlignment="1">
      <alignment horizontal="right" vertical="center" wrapText="1"/>
    </xf>
    <xf numFmtId="0" fontId="13" fillId="3" borderId="2" xfId="0" applyNumberFormat="1" applyFont="1" applyFill="1" applyBorder="1" applyAlignment="1">
      <alignment horizontal="right" vertical="center" wrapText="1"/>
    </xf>
    <xf numFmtId="43" fontId="7" fillId="0" borderId="0" xfId="1" applyFont="1"/>
    <xf numFmtId="0" fontId="7" fillId="0" borderId="0" xfId="0" applyFont="1"/>
    <xf numFmtId="170" fontId="7" fillId="9" borderId="10" xfId="5" applyNumberFormat="1" applyFont="1" applyFill="1" applyBorder="1"/>
    <xf numFmtId="170" fontId="7" fillId="0" borderId="0" xfId="5" applyNumberFormat="1" applyFont="1"/>
    <xf numFmtId="170" fontId="7" fillId="2" borderId="2" xfId="5" applyNumberFormat="1" applyFont="1" applyFill="1" applyBorder="1" applyAlignment="1">
      <alignment horizontal="right" vertical="top"/>
    </xf>
    <xf numFmtId="170" fontId="7" fillId="0" borderId="0" xfId="5" applyNumberFormat="1" applyFont="1" applyBorder="1"/>
    <xf numFmtId="0" fontId="12" fillId="7" borderId="2" xfId="0" applyNumberFormat="1" applyFont="1" applyFill="1" applyBorder="1" applyAlignment="1">
      <alignment horizontal="center" vertical="center" wrapText="1"/>
    </xf>
    <xf numFmtId="0" fontId="12" fillId="7" borderId="2" xfId="0" applyNumberFormat="1" applyFont="1" applyFill="1" applyBorder="1" applyAlignment="1">
      <alignment horizontal="center" vertical="center" wrapText="1"/>
    </xf>
    <xf numFmtId="43" fontId="7" fillId="3" borderId="0" xfId="0" applyNumberFormat="1" applyFont="1" applyFill="1" applyAlignment="1">
      <alignment horizontal="center"/>
    </xf>
    <xf numFmtId="40" fontId="7" fillId="3" borderId="0" xfId="0" applyNumberFormat="1" applyFont="1" applyFill="1"/>
    <xf numFmtId="0" fontId="2" fillId="3" borderId="0" xfId="0" applyFont="1" applyFill="1"/>
    <xf numFmtId="0" fontId="42" fillId="3" borderId="0" xfId="0" applyFont="1" applyFill="1"/>
    <xf numFmtId="49" fontId="42" fillId="3" borderId="0" xfId="0" applyNumberFormat="1" applyFont="1" applyFill="1"/>
    <xf numFmtId="0" fontId="2" fillId="3" borderId="0" xfId="0" applyFont="1" applyFill="1" applyAlignment="1">
      <alignment horizontal="left"/>
    </xf>
    <xf numFmtId="0" fontId="43" fillId="3" borderId="0" xfId="0" applyFont="1" applyFill="1" applyAlignment="1"/>
    <xf numFmtId="0" fontId="2" fillId="3" borderId="0" xfId="0" applyFont="1" applyFill="1" applyAlignment="1">
      <alignment horizontal="center"/>
    </xf>
    <xf numFmtId="0" fontId="43" fillId="18" borderId="0" xfId="0" applyFont="1" applyFill="1" applyAlignment="1">
      <alignment horizontal="center"/>
    </xf>
    <xf numFmtId="0" fontId="44" fillId="3" borderId="0" xfId="0" applyFont="1" applyFill="1" applyBorder="1" applyAlignment="1"/>
    <xf numFmtId="0" fontId="45" fillId="3" borderId="0" xfId="0" applyFont="1" applyFill="1" applyBorder="1" applyAlignment="1"/>
    <xf numFmtId="0" fontId="45" fillId="3" borderId="0" xfId="0" applyFont="1" applyFill="1" applyBorder="1" applyAlignment="1">
      <alignment horizontal="center"/>
    </xf>
    <xf numFmtId="49" fontId="46" fillId="3" borderId="0" xfId="0" applyNumberFormat="1" applyFont="1" applyFill="1" applyAlignment="1"/>
    <xf numFmtId="0" fontId="21" fillId="3" borderId="0" xfId="0" applyFont="1" applyFill="1"/>
    <xf numFmtId="0" fontId="47" fillId="3" borderId="0" xfId="0" applyFont="1" applyFill="1"/>
    <xf numFmtId="0" fontId="45" fillId="3" borderId="0" xfId="0" applyFont="1" applyFill="1" applyAlignment="1">
      <alignment horizontal="center"/>
    </xf>
    <xf numFmtId="49" fontId="46" fillId="3" borderId="0" xfId="0" applyNumberFormat="1" applyFont="1" applyFill="1"/>
    <xf numFmtId="0" fontId="46" fillId="3" borderId="0" xfId="0" applyFont="1" applyFill="1"/>
    <xf numFmtId="43" fontId="2" fillId="3" borderId="0" xfId="5" applyFont="1" applyFill="1"/>
    <xf numFmtId="0" fontId="3" fillId="3" borderId="2" xfId="5" applyNumberFormat="1" applyFont="1" applyFill="1" applyBorder="1" applyAlignment="1">
      <alignment horizontal="center" vertical="center" wrapText="1"/>
    </xf>
    <xf numFmtId="49" fontId="7" fillId="0" borderId="0" xfId="0" applyNumberFormat="1" applyFont="1" applyAlignment="1">
      <alignment horizontal="left"/>
    </xf>
    <xf numFmtId="14" fontId="8" fillId="0" borderId="0" xfId="5" applyNumberFormat="1" applyFont="1"/>
    <xf numFmtId="43" fontId="7" fillId="2" borderId="2" xfId="5" applyFont="1" applyFill="1" applyBorder="1"/>
    <xf numFmtId="0" fontId="21" fillId="0" borderId="0" xfId="0" applyFont="1"/>
    <xf numFmtId="0" fontId="24" fillId="0" borderId="0" xfId="0" applyFont="1"/>
    <xf numFmtId="0" fontId="24" fillId="0" borderId="0" xfId="0" applyFont="1" applyAlignment="1"/>
    <xf numFmtId="0" fontId="24" fillId="0" borderId="0" xfId="0" applyFont="1" applyAlignment="1">
      <alignment horizontal="center" vertical="center"/>
    </xf>
    <xf numFmtId="43" fontId="24" fillId="0" borderId="0" xfId="5" applyFont="1" applyAlignment="1">
      <alignment horizontal="center" vertical="center"/>
    </xf>
    <xf numFmtId="0" fontId="29" fillId="0" borderId="0" xfId="0" applyFont="1" applyAlignment="1"/>
    <xf numFmtId="43" fontId="24" fillId="0" borderId="0" xfId="0" applyNumberFormat="1" applyFont="1" applyAlignment="1">
      <alignment horizontal="center" vertical="center"/>
    </xf>
    <xf numFmtId="43" fontId="24" fillId="0" borderId="0" xfId="0" applyNumberFormat="1" applyFont="1" applyAlignment="1"/>
    <xf numFmtId="166" fontId="24" fillId="0" borderId="0" xfId="0" applyNumberFormat="1" applyFont="1" applyAlignment="1"/>
    <xf numFmtId="43" fontId="24" fillId="0" borderId="0" xfId="0" applyNumberFormat="1" applyFont="1"/>
    <xf numFmtId="169" fontId="24" fillId="0" borderId="0" xfId="0" applyNumberFormat="1" applyFont="1"/>
    <xf numFmtId="0" fontId="49" fillId="0" borderId="0" xfId="0" applyFont="1" applyAlignment="1"/>
    <xf numFmtId="0" fontId="24" fillId="0" borderId="0" xfId="0" applyFont="1" applyAlignment="1">
      <alignment vertical="center"/>
    </xf>
    <xf numFmtId="43" fontId="24" fillId="0" borderId="0" xfId="5" applyFont="1" applyAlignment="1">
      <alignment vertical="center"/>
    </xf>
    <xf numFmtId="0" fontId="12" fillId="0" borderId="0" xfId="0" applyFont="1"/>
    <xf numFmtId="0" fontId="12" fillId="0" borderId="0" xfId="0" applyFont="1" applyAlignment="1"/>
    <xf numFmtId="0" fontId="12" fillId="0" borderId="0" xfId="0" applyFont="1" applyAlignment="1">
      <alignment horizontal="right"/>
    </xf>
    <xf numFmtId="0" fontId="12" fillId="0" borderId="0" xfId="0" applyFont="1" applyAlignment="1">
      <alignment horizontal="justify"/>
    </xf>
    <xf numFmtId="0" fontId="11" fillId="0" borderId="0" xfId="0" applyFont="1"/>
    <xf numFmtId="0" fontId="12" fillId="0" borderId="0" xfId="0" applyFont="1" applyAlignment="1">
      <alignment horizontal="right" indent="3"/>
    </xf>
    <xf numFmtId="169" fontId="7" fillId="0" borderId="0" xfId="0" applyNumberFormat="1" applyFont="1"/>
    <xf numFmtId="0" fontId="7" fillId="0" borderId="0" xfId="0" applyFont="1" applyAlignment="1">
      <alignment wrapText="1"/>
    </xf>
    <xf numFmtId="0" fontId="12" fillId="0" borderId="0" xfId="0" applyFont="1" applyAlignment="1">
      <alignment horizontal="left"/>
    </xf>
    <xf numFmtId="43" fontId="7" fillId="0" borderId="0" xfId="1" applyFont="1" applyAlignment="1">
      <alignment horizontal="right"/>
    </xf>
    <xf numFmtId="43" fontId="13" fillId="2" borderId="2" xfId="1" applyFont="1" applyFill="1" applyBorder="1" applyAlignment="1">
      <alignment horizontal="center" vertical="center" wrapText="1"/>
    </xf>
    <xf numFmtId="14" fontId="13" fillId="2" borderId="2" xfId="1" applyNumberFormat="1" applyFont="1" applyFill="1" applyBorder="1" applyAlignment="1">
      <alignment horizontal="right" vertical="center" wrapText="1"/>
    </xf>
    <xf numFmtId="43" fontId="7" fillId="0" borderId="0" xfId="1" applyNumberFormat="1" applyFont="1"/>
    <xf numFmtId="0" fontId="12" fillId="3" borderId="0" xfId="0" applyNumberFormat="1" applyFont="1" applyFill="1" applyBorder="1" applyAlignment="1">
      <alignment horizontal="right" vertical="center" wrapText="1"/>
    </xf>
    <xf numFmtId="0" fontId="12" fillId="7" borderId="2" xfId="0" applyNumberFormat="1" applyFont="1" applyFill="1" applyBorder="1" applyAlignment="1">
      <alignment horizontal="center" vertical="center" wrapText="1"/>
    </xf>
    <xf numFmtId="0" fontId="12" fillId="3" borderId="0" xfId="0" applyNumberFormat="1" applyFont="1" applyFill="1" applyBorder="1" applyAlignment="1">
      <alignment horizontal="right" wrapText="1"/>
    </xf>
    <xf numFmtId="166" fontId="3" fillId="3" borderId="8" xfId="0" applyNumberFormat="1" applyFont="1" applyFill="1" applyBorder="1" applyAlignment="1">
      <alignment horizontal="right" vertical="center" wrapText="1"/>
    </xf>
    <xf numFmtId="166" fontId="3" fillId="3" borderId="8" xfId="1" applyNumberFormat="1" applyFont="1" applyFill="1" applyBorder="1" applyAlignment="1">
      <alignment horizontal="right" vertical="center" wrapText="1"/>
    </xf>
    <xf numFmtId="0" fontId="3" fillId="3" borderId="8" xfId="0" applyNumberFormat="1" applyFont="1" applyFill="1" applyBorder="1" applyAlignment="1">
      <alignment horizontal="left" vertical="center" wrapText="1"/>
    </xf>
    <xf numFmtId="43" fontId="3" fillId="3" borderId="8" xfId="0" applyNumberFormat="1" applyFont="1" applyFill="1" applyBorder="1" applyAlignment="1">
      <alignment horizontal="right" vertical="center" wrapText="1"/>
    </xf>
    <xf numFmtId="43" fontId="12" fillId="7" borderId="2" xfId="1" applyFont="1" applyFill="1" applyBorder="1" applyAlignment="1">
      <alignment horizontal="center" vertical="center" wrapText="1"/>
    </xf>
    <xf numFmtId="0" fontId="3" fillId="3" borderId="2" xfId="0" applyNumberFormat="1" applyFont="1" applyFill="1" applyBorder="1" applyAlignment="1">
      <alignment horizontal="right" vertical="center" wrapText="1"/>
    </xf>
    <xf numFmtId="43" fontId="3" fillId="3" borderId="2" xfId="1" applyFont="1" applyFill="1" applyBorder="1" applyAlignment="1">
      <alignment horizontal="right" vertical="center" wrapText="1"/>
    </xf>
    <xf numFmtId="43" fontId="13" fillId="3" borderId="2" xfId="1" applyFont="1" applyFill="1" applyBorder="1" applyAlignment="1">
      <alignment horizontal="right" vertical="center" wrapText="1"/>
    </xf>
    <xf numFmtId="43" fontId="13" fillId="3" borderId="7" xfId="1" applyFont="1" applyFill="1" applyBorder="1" applyAlignment="1">
      <alignment horizontal="right" vertical="center" wrapText="1"/>
    </xf>
    <xf numFmtId="43" fontId="13" fillId="3" borderId="6" xfId="1" applyFont="1" applyFill="1" applyBorder="1" applyAlignment="1">
      <alignment horizontal="right" vertical="center" wrapText="1"/>
    </xf>
    <xf numFmtId="167" fontId="3" fillId="3" borderId="0" xfId="1" applyNumberFormat="1" applyFont="1" applyFill="1"/>
    <xf numFmtId="43" fontId="7" fillId="8" borderId="0" xfId="1" applyFont="1" applyFill="1"/>
    <xf numFmtId="43" fontId="3" fillId="0" borderId="2" xfId="1" applyFont="1" applyBorder="1" applyAlignment="1">
      <alignment horizontal="right"/>
    </xf>
    <xf numFmtId="43" fontId="3" fillId="0" borderId="2" xfId="1" applyFont="1" applyBorder="1" applyAlignment="1">
      <alignment horizontal="center"/>
    </xf>
    <xf numFmtId="164" fontId="3" fillId="0" borderId="2" xfId="1" applyNumberFormat="1" applyFont="1" applyBorder="1" applyAlignment="1">
      <alignment horizontal="center"/>
    </xf>
    <xf numFmtId="43" fontId="7" fillId="12" borderId="2" xfId="1" applyFont="1" applyFill="1" applyBorder="1"/>
    <xf numFmtId="43" fontId="3" fillId="2" borderId="2" xfId="1" applyFont="1" applyFill="1" applyBorder="1" applyAlignment="1">
      <alignment vertical="center"/>
    </xf>
    <xf numFmtId="43" fontId="3" fillId="2" borderId="2" xfId="1" applyFont="1" applyFill="1" applyBorder="1" applyAlignment="1">
      <alignment horizontal="center" vertical="center"/>
    </xf>
    <xf numFmtId="1" fontId="7" fillId="0" borderId="0" xfId="0" applyNumberFormat="1" applyFont="1"/>
    <xf numFmtId="43" fontId="7" fillId="9" borderId="0" xfId="1" applyFont="1" applyFill="1" applyAlignment="1">
      <alignment horizontal="right"/>
    </xf>
    <xf numFmtId="0" fontId="7" fillId="0" borderId="0" xfId="1" applyNumberFormat="1" applyFont="1" applyAlignment="1">
      <alignment horizontal="right"/>
    </xf>
    <xf numFmtId="0" fontId="7" fillId="2" borderId="2" xfId="1" applyNumberFormat="1" applyFont="1" applyFill="1" applyBorder="1" applyAlignment="1">
      <alignment horizontal="right" vertical="top"/>
    </xf>
    <xf numFmtId="0" fontId="7" fillId="2" borderId="11" xfId="1" applyNumberFormat="1" applyFont="1" applyFill="1" applyBorder="1" applyAlignment="1">
      <alignment horizontal="right" vertical="top"/>
    </xf>
    <xf numFmtId="0" fontId="3" fillId="3" borderId="2" xfId="3" applyFont="1" applyFill="1" applyBorder="1" applyAlignment="1">
      <alignment horizontal="right"/>
    </xf>
    <xf numFmtId="164" fontId="7" fillId="0" borderId="0" xfId="1" applyNumberFormat="1" applyFont="1" applyAlignment="1">
      <alignment horizontal="right"/>
    </xf>
    <xf numFmtId="164" fontId="7" fillId="9" borderId="2" xfId="5" applyNumberFormat="1" applyFont="1" applyFill="1" applyBorder="1"/>
    <xf numFmtId="43" fontId="7" fillId="3" borderId="0" xfId="1" applyNumberFormat="1" applyFont="1" applyFill="1" applyBorder="1"/>
    <xf numFmtId="0" fontId="3" fillId="5" borderId="2" xfId="3" applyFont="1" applyFill="1" applyBorder="1" applyAlignment="1">
      <alignment horizontal="center"/>
    </xf>
    <xf numFmtId="43" fontId="7" fillId="0" borderId="0" xfId="5" applyFont="1" applyFill="1" applyBorder="1"/>
    <xf numFmtId="14" fontId="7" fillId="0" borderId="0" xfId="5" applyNumberFormat="1" applyFont="1" applyFill="1"/>
    <xf numFmtId="0" fontId="7" fillId="0" borderId="0" xfId="5" applyNumberFormat="1" applyFont="1" applyFill="1"/>
    <xf numFmtId="43" fontId="7" fillId="0" borderId="0" xfId="5" applyFont="1" applyFill="1" applyAlignment="1">
      <alignment horizontal="center"/>
    </xf>
    <xf numFmtId="43" fontId="7" fillId="0" borderId="0" xfId="5" applyFont="1" applyFill="1"/>
    <xf numFmtId="43" fontId="7" fillId="0" borderId="0" xfId="1" applyFont="1" applyFill="1"/>
    <xf numFmtId="164" fontId="7" fillId="0" borderId="0" xfId="5" applyNumberFormat="1" applyFont="1" applyFill="1"/>
    <xf numFmtId="0" fontId="7" fillId="0" borderId="0" xfId="5" applyNumberFormat="1" applyFont="1" applyFill="1" applyAlignment="1">
      <alignment vertical="center"/>
    </xf>
    <xf numFmtId="0" fontId="7" fillId="0" borderId="0" xfId="5" applyNumberFormat="1" applyFont="1" applyFill="1" applyBorder="1" applyAlignment="1">
      <alignment vertical="center"/>
    </xf>
    <xf numFmtId="0" fontId="7" fillId="0" borderId="0" xfId="1" applyNumberFormat="1" applyFont="1" applyFill="1" applyAlignment="1">
      <alignment vertical="center"/>
    </xf>
    <xf numFmtId="43" fontId="3" fillId="3" borderId="45" xfId="5" applyFont="1" applyFill="1" applyBorder="1"/>
    <xf numFmtId="43" fontId="3" fillId="3" borderId="0" xfId="0" applyNumberFormat="1" applyFont="1" applyFill="1"/>
    <xf numFmtId="43" fontId="7" fillId="0" borderId="0" xfId="1" applyFont="1" applyAlignment="1">
      <alignment horizontal="left"/>
    </xf>
    <xf numFmtId="0" fontId="22" fillId="2" borderId="2" xfId="0" applyNumberFormat="1" applyFont="1" applyFill="1" applyBorder="1" applyAlignment="1">
      <alignment horizontal="center"/>
    </xf>
    <xf numFmtId="0" fontId="7" fillId="9" borderId="2" xfId="5" applyNumberFormat="1" applyFont="1" applyFill="1" applyBorder="1"/>
    <xf numFmtId="40" fontId="3" fillId="3" borderId="2" xfId="1" applyNumberFormat="1" applyFont="1" applyFill="1" applyBorder="1"/>
    <xf numFmtId="43" fontId="7" fillId="0" borderId="0" xfId="1" applyFont="1" applyAlignment="1">
      <alignment vertical="center"/>
    </xf>
    <xf numFmtId="43" fontId="3" fillId="2" borderId="11" xfId="1" applyFont="1" applyFill="1" applyBorder="1" applyAlignment="1">
      <alignment horizontal="center" wrapText="1"/>
    </xf>
    <xf numFmtId="43" fontId="7" fillId="8" borderId="2" xfId="1" applyFont="1" applyFill="1" applyBorder="1"/>
    <xf numFmtId="40" fontId="7" fillId="0" borderId="0" xfId="0" applyNumberFormat="1" applyFont="1"/>
    <xf numFmtId="0" fontId="3" fillId="2" borderId="2" xfId="0" applyNumberFormat="1" applyFont="1" applyFill="1" applyBorder="1" applyAlignment="1">
      <alignment horizontal="center"/>
    </xf>
    <xf numFmtId="0" fontId="27" fillId="3" borderId="0" xfId="0" applyNumberFormat="1" applyFont="1" applyFill="1" applyAlignment="1">
      <alignment horizontal="center"/>
    </xf>
    <xf numFmtId="43" fontId="3" fillId="0" borderId="0" xfId="5" applyFont="1"/>
    <xf numFmtId="0" fontId="3" fillId="0" borderId="0" xfId="0" applyFont="1"/>
    <xf numFmtId="43" fontId="3" fillId="0" borderId="0" xfId="5" applyFont="1" applyAlignment="1">
      <alignment horizontal="right"/>
    </xf>
    <xf numFmtId="43" fontId="3" fillId="2" borderId="2" xfId="5" applyFont="1" applyFill="1" applyBorder="1"/>
    <xf numFmtId="43" fontId="3" fillId="2" borderId="2" xfId="5" applyFont="1" applyFill="1" applyBorder="1" applyAlignment="1">
      <alignment vertical="center"/>
    </xf>
    <xf numFmtId="0" fontId="3" fillId="2" borderId="2" xfId="0" applyFont="1" applyFill="1" applyBorder="1" applyAlignment="1">
      <alignment vertical="center"/>
    </xf>
    <xf numFmtId="164" fontId="7" fillId="0" borderId="0" xfId="5" applyNumberFormat="1" applyFont="1" applyBorder="1"/>
    <xf numFmtId="0" fontId="3" fillId="10" borderId="0" xfId="0" applyFont="1" applyFill="1" applyBorder="1"/>
    <xf numFmtId="43" fontId="54" fillId="0" borderId="0" xfId="5" applyFont="1" applyBorder="1"/>
    <xf numFmtId="43" fontId="3" fillId="10" borderId="0" xfId="5" applyFont="1" applyFill="1" applyBorder="1"/>
    <xf numFmtId="43" fontId="3" fillId="0" borderId="0" xfId="5" applyFont="1" applyBorder="1"/>
    <xf numFmtId="9" fontId="3" fillId="0" borderId="0" xfId="2" applyFont="1" applyBorder="1"/>
    <xf numFmtId="0" fontId="7" fillId="0" borderId="0" xfId="0" applyFont="1" applyBorder="1"/>
    <xf numFmtId="164" fontId="7" fillId="0" borderId="0" xfId="5" applyNumberFormat="1" applyFont="1" applyFill="1" applyBorder="1"/>
    <xf numFmtId="0" fontId="3" fillId="0" borderId="0" xfId="0" applyFont="1" applyFill="1" applyBorder="1"/>
    <xf numFmtId="43" fontId="54" fillId="0" borderId="0" xfId="5" applyFont="1" applyFill="1" applyBorder="1"/>
    <xf numFmtId="43" fontId="3" fillId="0" borderId="0" xfId="5" applyFont="1" applyFill="1" applyBorder="1"/>
    <xf numFmtId="9" fontId="3" fillId="0" borderId="0" xfId="2" applyFont="1" applyFill="1" applyBorder="1"/>
    <xf numFmtId="0" fontId="7" fillId="0" borderId="0" xfId="5" applyNumberFormat="1" applyFont="1" applyFill="1" applyBorder="1"/>
    <xf numFmtId="0" fontId="7" fillId="0" borderId="0" xfId="0" applyFont="1" applyFill="1" applyBorder="1"/>
    <xf numFmtId="43" fontId="7" fillId="0" borderId="0" xfId="0" applyNumberFormat="1" applyFont="1" applyFill="1"/>
    <xf numFmtId="0" fontId="8" fillId="0" borderId="0" xfId="5" applyNumberFormat="1" applyFont="1" applyFill="1" applyBorder="1"/>
    <xf numFmtId="0" fontId="7" fillId="0" borderId="0" xfId="0" applyNumberFormat="1" applyFont="1" applyFill="1" applyBorder="1"/>
    <xf numFmtId="43" fontId="7" fillId="0" borderId="0" xfId="1" applyFont="1" applyFill="1" applyBorder="1"/>
    <xf numFmtId="43" fontId="3" fillId="2" borderId="36" xfId="5" applyFont="1" applyFill="1" applyBorder="1"/>
    <xf numFmtId="0" fontId="3" fillId="10" borderId="0" xfId="0" applyFont="1" applyFill="1"/>
    <xf numFmtId="43" fontId="3" fillId="10" borderId="0" xfId="5" applyFont="1" applyFill="1"/>
    <xf numFmtId="9" fontId="3" fillId="0" borderId="0" xfId="2" applyFont="1"/>
    <xf numFmtId="164" fontId="7" fillId="0" borderId="2" xfId="5" applyNumberFormat="1" applyFont="1" applyBorder="1"/>
    <xf numFmtId="0" fontId="3" fillId="10" borderId="2" xfId="0" applyFont="1" applyFill="1" applyBorder="1"/>
    <xf numFmtId="43" fontId="54" fillId="0" borderId="2" xfId="5" applyFont="1" applyBorder="1"/>
    <xf numFmtId="43" fontId="3" fillId="10" borderId="2" xfId="5" applyFont="1" applyFill="1" applyBorder="1"/>
    <xf numFmtId="43" fontId="3" fillId="0" borderId="2" xfId="5" applyFont="1" applyBorder="1"/>
    <xf numFmtId="9" fontId="3" fillId="0" borderId="2" xfId="2" applyFont="1" applyBorder="1"/>
    <xf numFmtId="0" fontId="7" fillId="0" borderId="2" xfId="5" applyNumberFormat="1" applyFont="1" applyBorder="1"/>
    <xf numFmtId="0" fontId="7" fillId="0" borderId="2" xfId="0" applyFont="1" applyBorder="1"/>
    <xf numFmtId="43" fontId="3" fillId="10" borderId="2" xfId="1" applyFont="1" applyFill="1" applyBorder="1"/>
    <xf numFmtId="164" fontId="7" fillId="0" borderId="2" xfId="5" applyNumberFormat="1" applyFont="1" applyFill="1" applyBorder="1"/>
    <xf numFmtId="0" fontId="3" fillId="0" borderId="2" xfId="0" applyFont="1" applyFill="1" applyBorder="1"/>
    <xf numFmtId="43" fontId="3" fillId="0" borderId="2" xfId="1" applyFont="1" applyFill="1" applyBorder="1"/>
    <xf numFmtId="43" fontId="3" fillId="0" borderId="2" xfId="5" applyFont="1" applyFill="1" applyBorder="1"/>
    <xf numFmtId="43" fontId="7" fillId="0" borderId="2" xfId="1" applyFont="1" applyBorder="1"/>
    <xf numFmtId="16" fontId="7" fillId="0" borderId="0" xfId="0" applyNumberFormat="1" applyFont="1"/>
    <xf numFmtId="0" fontId="3" fillId="2" borderId="0" xfId="0" applyFont="1" applyFill="1"/>
    <xf numFmtId="43" fontId="54" fillId="0" borderId="36" xfId="5" applyFont="1" applyBorder="1"/>
    <xf numFmtId="43" fontId="7" fillId="0" borderId="36" xfId="1" applyFont="1" applyBorder="1"/>
    <xf numFmtId="43" fontId="54" fillId="0" borderId="46" xfId="5" applyFont="1" applyBorder="1"/>
    <xf numFmtId="43" fontId="3" fillId="0" borderId="46" xfId="1" applyFont="1" applyFill="1" applyBorder="1"/>
    <xf numFmtId="43" fontId="54" fillId="0" borderId="47" xfId="5" applyFont="1" applyBorder="1"/>
    <xf numFmtId="4" fontId="3" fillId="2" borderId="2" xfId="5" applyNumberFormat="1" applyFont="1" applyFill="1" applyBorder="1"/>
    <xf numFmtId="0" fontId="13" fillId="3" borderId="0" xfId="0" applyFont="1" applyFill="1" applyAlignment="1">
      <alignment horizontal="left"/>
    </xf>
    <xf numFmtId="0" fontId="3" fillId="3" borderId="0" xfId="0" applyFont="1" applyFill="1" applyAlignment="1">
      <alignment horizontal="center"/>
    </xf>
    <xf numFmtId="0" fontId="7" fillId="3" borderId="0" xfId="0" applyNumberFormat="1" applyFont="1" applyFill="1" applyAlignment="1"/>
    <xf numFmtId="14" fontId="7" fillId="3" borderId="0" xfId="0" applyNumberFormat="1" applyFont="1" applyFill="1"/>
    <xf numFmtId="0" fontId="7" fillId="3" borderId="12" xfId="0" applyNumberFormat="1" applyFont="1" applyFill="1" applyBorder="1" applyAlignment="1"/>
    <xf numFmtId="14" fontId="7" fillId="3" borderId="2" xfId="0" applyNumberFormat="1" applyFont="1" applyFill="1" applyBorder="1"/>
    <xf numFmtId="0" fontId="7" fillId="3" borderId="2" xfId="0" applyNumberFormat="1" applyFont="1" applyFill="1" applyBorder="1" applyAlignment="1"/>
    <xf numFmtId="0" fontId="17" fillId="8" borderId="2" xfId="0" applyNumberFormat="1" applyFont="1" applyFill="1" applyBorder="1" applyAlignment="1"/>
    <xf numFmtId="14" fontId="7" fillId="3" borderId="0" xfId="1" applyNumberFormat="1" applyFont="1" applyFill="1"/>
    <xf numFmtId="0" fontId="8" fillId="3" borderId="0" xfId="0" applyNumberFormat="1" applyFont="1" applyFill="1"/>
    <xf numFmtId="0" fontId="8" fillId="3" borderId="2" xfId="0" applyNumberFormat="1" applyFont="1" applyFill="1" applyBorder="1" applyAlignment="1"/>
    <xf numFmtId="14" fontId="8" fillId="3" borderId="0" xfId="0" applyNumberFormat="1" applyFont="1" applyFill="1"/>
    <xf numFmtId="43" fontId="3" fillId="0" borderId="2" xfId="1" applyFont="1" applyFill="1" applyBorder="1" applyAlignment="1">
      <alignment horizontal="right" vertical="center" wrapText="1"/>
    </xf>
    <xf numFmtId="0" fontId="3" fillId="5" borderId="2" xfId="3" applyFont="1" applyFill="1" applyBorder="1" applyAlignment="1">
      <alignment horizontal="center"/>
    </xf>
    <xf numFmtId="40" fontId="3" fillId="3" borderId="2" xfId="0" applyNumberFormat="1" applyFont="1" applyFill="1" applyBorder="1" applyAlignment="1">
      <alignment horizontal="right" vertical="center" wrapText="1"/>
    </xf>
    <xf numFmtId="12" fontId="7" fillId="0" borderId="0" xfId="1" applyNumberFormat="1" applyFont="1"/>
    <xf numFmtId="43" fontId="7" fillId="3" borderId="0" xfId="1" applyFont="1" applyFill="1" applyAlignment="1">
      <alignment horizontal="center"/>
    </xf>
    <xf numFmtId="40" fontId="24" fillId="0" borderId="0" xfId="0" applyNumberFormat="1" applyFont="1" applyAlignment="1">
      <alignment horizontal="center" vertical="center"/>
    </xf>
    <xf numFmtId="0" fontId="7" fillId="0" borderId="0" xfId="0" applyFont="1" applyAlignment="1">
      <alignment vertical="center"/>
    </xf>
    <xf numFmtId="0" fontId="7" fillId="0" borderId="17" xfId="0" applyFont="1" applyBorder="1"/>
    <xf numFmtId="43" fontId="7" fillId="0" borderId="0" xfId="1" applyFont="1" applyAlignment="1">
      <alignment horizontal="center" vertical="center"/>
    </xf>
    <xf numFmtId="0" fontId="2" fillId="0" borderId="0" xfId="0" applyFont="1" applyFill="1"/>
    <xf numFmtId="43" fontId="2" fillId="0" borderId="0" xfId="0" applyNumberFormat="1" applyFont="1" applyFill="1"/>
    <xf numFmtId="40" fontId="2" fillId="0" borderId="0" xfId="0" applyNumberFormat="1" applyFont="1" applyFill="1"/>
    <xf numFmtId="172" fontId="3" fillId="3" borderId="2" xfId="1" applyNumberFormat="1" applyFont="1" applyFill="1" applyBorder="1"/>
    <xf numFmtId="40" fontId="55" fillId="3" borderId="2" xfId="3" applyNumberFormat="1" applyFont="1" applyFill="1" applyBorder="1"/>
    <xf numFmtId="43" fontId="7" fillId="0" borderId="2" xfId="1" applyFont="1" applyFill="1" applyBorder="1"/>
    <xf numFmtId="171" fontId="3" fillId="0" borderId="2" xfId="1" applyNumberFormat="1" applyFont="1" applyFill="1" applyBorder="1"/>
    <xf numFmtId="40" fontId="3" fillId="3" borderId="45" xfId="5" applyNumberFormat="1" applyFont="1" applyFill="1" applyBorder="1"/>
    <xf numFmtId="0" fontId="12" fillId="3" borderId="0" xfId="0" applyNumberFormat="1" applyFont="1" applyFill="1" applyBorder="1" applyAlignment="1">
      <alignment horizontal="right" vertical="center" wrapText="1"/>
    </xf>
    <xf numFmtId="0" fontId="13" fillId="3" borderId="8" xfId="0" applyNumberFormat="1" applyFont="1" applyFill="1" applyBorder="1" applyAlignment="1">
      <alignment horizontal="left" vertical="center" wrapText="1"/>
    </xf>
    <xf numFmtId="0" fontId="7" fillId="3" borderId="0" xfId="1" applyNumberFormat="1" applyFont="1" applyFill="1" applyAlignment="1"/>
    <xf numFmtId="0" fontId="7" fillId="3" borderId="2" xfId="0" applyNumberFormat="1" applyFont="1" applyFill="1" applyBorder="1" applyAlignment="1">
      <alignment horizontal="right"/>
    </xf>
    <xf numFmtId="0" fontId="7" fillId="3" borderId="2" xfId="1" applyNumberFormat="1" applyFont="1" applyFill="1" applyBorder="1" applyAlignment="1"/>
    <xf numFmtId="43" fontId="7" fillId="0" borderId="2" xfId="5" applyFont="1" applyFill="1" applyBorder="1"/>
    <xf numFmtId="0" fontId="7" fillId="0" borderId="2" xfId="5" applyNumberFormat="1" applyFont="1" applyFill="1" applyBorder="1"/>
    <xf numFmtId="14" fontId="7" fillId="0" borderId="2" xfId="5" applyNumberFormat="1" applyFont="1" applyFill="1" applyBorder="1"/>
    <xf numFmtId="43" fontId="7" fillId="0" borderId="2" xfId="5" applyFont="1" applyFill="1" applyBorder="1" applyAlignment="1">
      <alignment horizontal="center"/>
    </xf>
    <xf numFmtId="43" fontId="7" fillId="0" borderId="2" xfId="1" applyFont="1" applyBorder="1" applyAlignment="1">
      <alignment vertical="center"/>
    </xf>
    <xf numFmtId="0" fontId="3" fillId="10" borderId="2" xfId="1" applyNumberFormat="1" applyFont="1" applyFill="1" applyBorder="1" applyAlignment="1">
      <alignment horizontal="center"/>
    </xf>
    <xf numFmtId="43" fontId="3" fillId="10" borderId="2" xfId="1" applyFont="1" applyFill="1" applyBorder="1" applyAlignment="1">
      <alignment horizontal="center"/>
    </xf>
    <xf numFmtId="43" fontId="3" fillId="3" borderId="2" xfId="1" applyFont="1" applyFill="1" applyBorder="1" applyAlignment="1">
      <alignment horizontal="center"/>
    </xf>
    <xf numFmtId="14" fontId="3" fillId="10" borderId="2" xfId="1" applyNumberFormat="1" applyFont="1" applyFill="1" applyBorder="1" applyAlignment="1">
      <alignment horizontal="right"/>
    </xf>
    <xf numFmtId="43" fontId="3" fillId="10" borderId="2" xfId="1" applyFont="1" applyFill="1" applyBorder="1" applyAlignment="1">
      <alignment horizontal="left" vertical="center"/>
    </xf>
    <xf numFmtId="164" fontId="3" fillId="10" borderId="2" xfId="1" applyNumberFormat="1" applyFont="1" applyFill="1" applyBorder="1"/>
    <xf numFmtId="164" fontId="7" fillId="0" borderId="2" xfId="1" applyNumberFormat="1" applyFont="1" applyBorder="1"/>
    <xf numFmtId="164" fontId="13" fillId="0" borderId="2" xfId="1" applyNumberFormat="1" applyFont="1" applyBorder="1"/>
    <xf numFmtId="0" fontId="13" fillId="0" borderId="2" xfId="1" applyNumberFormat="1" applyFont="1" applyBorder="1"/>
    <xf numFmtId="43" fontId="13" fillId="0" borderId="2" xfId="1" applyFont="1" applyBorder="1"/>
    <xf numFmtId="43" fontId="13" fillId="0" borderId="0" xfId="1" applyFont="1"/>
    <xf numFmtId="164" fontId="3" fillId="3" borderId="0" xfId="1" applyNumberFormat="1" applyFont="1" applyFill="1"/>
    <xf numFmtId="0" fontId="7" fillId="0" borderId="0" xfId="1" applyNumberFormat="1" applyFont="1" applyFill="1" applyBorder="1" applyAlignment="1">
      <alignment vertical="center"/>
    </xf>
    <xf numFmtId="0" fontId="7" fillId="0" borderId="41" xfId="5" applyNumberFormat="1" applyFont="1" applyFill="1" applyBorder="1" applyAlignment="1">
      <alignment vertical="center"/>
    </xf>
    <xf numFmtId="0" fontId="7" fillId="0" borderId="8" xfId="1" applyNumberFormat="1" applyFont="1" applyFill="1" applyBorder="1" applyAlignment="1">
      <alignment vertical="center"/>
    </xf>
    <xf numFmtId="0" fontId="32" fillId="0" borderId="0" xfId="0" applyFont="1" applyAlignment="1">
      <alignment vertical="center" wrapText="1"/>
    </xf>
    <xf numFmtId="14" fontId="7" fillId="19" borderId="12" xfId="0" applyNumberFormat="1" applyFont="1" applyFill="1" applyBorder="1" applyAlignment="1">
      <alignment horizontal="center"/>
    </xf>
    <xf numFmtId="14" fontId="7" fillId="19" borderId="14" xfId="0" applyNumberFormat="1" applyFont="1" applyFill="1" applyBorder="1" applyAlignment="1">
      <alignment horizontal="center"/>
    </xf>
    <xf numFmtId="0" fontId="7" fillId="19" borderId="2" xfId="0" applyFont="1" applyFill="1" applyBorder="1" applyAlignment="1">
      <alignment horizontal="center"/>
    </xf>
    <xf numFmtId="14" fontId="7" fillId="0" borderId="0" xfId="0" applyNumberFormat="1" applyFont="1" applyAlignment="1">
      <alignment horizontal="left"/>
    </xf>
    <xf numFmtId="14" fontId="7" fillId="19" borderId="2" xfId="0" applyNumberFormat="1" applyFont="1" applyFill="1" applyBorder="1"/>
    <xf numFmtId="43" fontId="7" fillId="19" borderId="2" xfId="1" applyFont="1" applyFill="1" applyBorder="1"/>
    <xf numFmtId="49" fontId="30" fillId="0" borderId="0" xfId="1" applyNumberFormat="1" applyFont="1" applyAlignment="1">
      <alignment horizontal="center" vertical="center"/>
    </xf>
    <xf numFmtId="43" fontId="30" fillId="0" borderId="0" xfId="1" applyFont="1" applyAlignment="1">
      <alignment vertical="center"/>
    </xf>
    <xf numFmtId="14" fontId="7" fillId="0" borderId="2" xfId="0" applyNumberFormat="1" applyFont="1" applyBorder="1"/>
    <xf numFmtId="49" fontId="7" fillId="0" borderId="0" xfId="1" applyNumberFormat="1" applyFont="1" applyAlignment="1">
      <alignment horizontal="center" vertical="center"/>
    </xf>
    <xf numFmtId="43" fontId="7" fillId="0" borderId="2" xfId="1" applyFont="1" applyBorder="1" applyAlignment="1">
      <alignment horizontal="center" vertical="center"/>
    </xf>
    <xf numFmtId="49" fontId="7" fillId="0" borderId="0" xfId="1" applyNumberFormat="1" applyFont="1" applyBorder="1" applyAlignment="1">
      <alignment horizontal="center" vertical="center"/>
    </xf>
    <xf numFmtId="43" fontId="7" fillId="0" borderId="0" xfId="1" applyFont="1" applyBorder="1" applyAlignment="1">
      <alignment vertical="center"/>
    </xf>
    <xf numFmtId="0" fontId="7" fillId="0" borderId="2" xfId="0" applyFont="1" applyBorder="1" applyAlignment="1">
      <alignment horizontal="left"/>
    </xf>
    <xf numFmtId="49" fontId="7" fillId="0" borderId="2" xfId="1" applyNumberFormat="1" applyFont="1" applyBorder="1" applyAlignment="1">
      <alignment horizontal="center" vertical="center"/>
    </xf>
    <xf numFmtId="43" fontId="8" fillId="0" borderId="2" xfId="1" applyFont="1" applyBorder="1" applyAlignment="1">
      <alignment vertical="center"/>
    </xf>
    <xf numFmtId="49" fontId="7" fillId="0" borderId="14" xfId="1" applyNumberFormat="1" applyFont="1" applyBorder="1" applyAlignment="1">
      <alignment horizontal="center" vertical="center"/>
    </xf>
    <xf numFmtId="49" fontId="57" fillId="0" borderId="43" xfId="0" applyNumberFormat="1" applyFont="1" applyBorder="1" applyAlignment="1">
      <alignment horizontal="center" vertical="center" wrapText="1"/>
    </xf>
    <xf numFmtId="0" fontId="57" fillId="0" borderId="43" xfId="0" applyFont="1" applyBorder="1" applyAlignment="1">
      <alignment horizontal="center" vertical="center" wrapText="1"/>
    </xf>
    <xf numFmtId="0" fontId="31" fillId="0" borderId="2" xfId="0" applyFont="1" applyBorder="1" applyAlignment="1">
      <alignment vertical="center" wrapText="1"/>
    </xf>
    <xf numFmtId="0" fontId="31" fillId="0" borderId="2" xfId="0" applyFont="1" applyBorder="1" applyAlignment="1">
      <alignment horizontal="center" vertical="center"/>
    </xf>
    <xf numFmtId="43" fontId="7" fillId="19" borderId="2" xfId="1" applyNumberFormat="1" applyFont="1" applyFill="1" applyBorder="1" applyAlignment="1">
      <alignment horizontal="center" vertical="center"/>
    </xf>
    <xf numFmtId="0" fontId="7" fillId="0" borderId="2" xfId="1" applyNumberFormat="1" applyFont="1" applyBorder="1" applyAlignment="1">
      <alignment vertical="center"/>
    </xf>
    <xf numFmtId="0" fontId="7" fillId="0" borderId="2" xfId="1" applyNumberFormat="1" applyFont="1" applyBorder="1" applyAlignment="1">
      <alignment horizontal="center" vertical="center"/>
    </xf>
    <xf numFmtId="43" fontId="7" fillId="19" borderId="2" xfId="1" applyNumberFormat="1" applyFont="1" applyFill="1" applyBorder="1" applyAlignment="1">
      <alignment vertical="center"/>
    </xf>
    <xf numFmtId="0" fontId="7" fillId="19" borderId="2" xfId="1" applyNumberFormat="1" applyFont="1" applyFill="1" applyBorder="1" applyAlignment="1">
      <alignment vertical="center"/>
    </xf>
    <xf numFmtId="0" fontId="7" fillId="19" borderId="2" xfId="1" applyNumberFormat="1" applyFont="1" applyFill="1" applyBorder="1" applyAlignment="1">
      <alignment horizontal="center" vertical="center"/>
    </xf>
    <xf numFmtId="0" fontId="7" fillId="3" borderId="2" xfId="1" applyNumberFormat="1" applyFont="1" applyFill="1" applyBorder="1" applyAlignment="1">
      <alignment horizontal="center" vertical="center"/>
    </xf>
    <xf numFmtId="0" fontId="7" fillId="0" borderId="12" xfId="5" applyNumberFormat="1" applyFont="1" applyBorder="1"/>
    <xf numFmtId="43" fontId="7" fillId="10" borderId="14" xfId="5" applyFont="1" applyFill="1" applyBorder="1"/>
    <xf numFmtId="43" fontId="7" fillId="0" borderId="0" xfId="5" applyFont="1" applyFill="1" applyBorder="1" applyAlignment="1">
      <alignment horizontal="center" vertical="center"/>
    </xf>
    <xf numFmtId="0" fontId="7" fillId="0" borderId="10" xfId="5" applyNumberFormat="1" applyFont="1" applyFill="1" applyBorder="1"/>
    <xf numFmtId="43" fontId="7" fillId="0" borderId="10" xfId="5" applyFont="1" applyFill="1" applyBorder="1" applyAlignment="1">
      <alignment horizontal="center" vertical="center"/>
    </xf>
    <xf numFmtId="0" fontId="7" fillId="0" borderId="21" xfId="5" applyNumberFormat="1" applyFont="1" applyFill="1" applyBorder="1"/>
    <xf numFmtId="43" fontId="7" fillId="0" borderId="53" xfId="5" applyFont="1" applyFill="1" applyBorder="1" applyAlignment="1">
      <alignment horizontal="center" vertical="center"/>
    </xf>
    <xf numFmtId="0" fontId="7" fillId="0" borderId="11" xfId="5" applyNumberFormat="1" applyFont="1" applyFill="1" applyBorder="1"/>
    <xf numFmtId="43" fontId="7" fillId="0" borderId="54" xfId="5" applyFont="1" applyFill="1" applyBorder="1" applyAlignment="1">
      <alignment horizontal="center" vertical="center"/>
    </xf>
    <xf numFmtId="43" fontId="7" fillId="0" borderId="49" xfId="5" applyFont="1" applyFill="1" applyBorder="1" applyAlignment="1">
      <alignment horizontal="center" vertical="center"/>
    </xf>
    <xf numFmtId="0" fontId="7" fillId="0" borderId="36" xfId="5" applyNumberFormat="1" applyFont="1" applyFill="1" applyBorder="1"/>
    <xf numFmtId="43" fontId="7" fillId="0" borderId="52" xfId="5" applyFont="1" applyFill="1" applyBorder="1" applyAlignment="1">
      <alignment horizontal="center" vertical="center"/>
    </xf>
    <xf numFmtId="0" fontId="32" fillId="0" borderId="0" xfId="0" applyFont="1" applyAlignment="1">
      <alignment horizontal="right" vertical="center" wrapText="1"/>
    </xf>
    <xf numFmtId="0" fontId="7" fillId="0" borderId="0" xfId="0" applyFont="1" applyBorder="1" applyAlignment="1">
      <alignment horizontal="left"/>
    </xf>
    <xf numFmtId="43" fontId="3" fillId="8" borderId="2" xfId="1" applyFont="1" applyFill="1" applyBorder="1"/>
    <xf numFmtId="0" fontId="13" fillId="0" borderId="0" xfId="0" applyFont="1"/>
    <xf numFmtId="0" fontId="3" fillId="0" borderId="0" xfId="0" applyFont="1" applyAlignment="1">
      <alignment horizontal="center" vertical="center"/>
    </xf>
    <xf numFmtId="43" fontId="3" fillId="0" borderId="0" xfId="5" applyFont="1" applyAlignment="1">
      <alignment horizontal="center" vertical="center"/>
    </xf>
    <xf numFmtId="0" fontId="13" fillId="0" borderId="2" xfId="0" applyFont="1" applyBorder="1"/>
    <xf numFmtId="0" fontId="13" fillId="0" borderId="2" xfId="0" applyFont="1" applyBorder="1" applyAlignment="1">
      <alignment horizontal="center" vertical="center"/>
    </xf>
    <xf numFmtId="0" fontId="3" fillId="0" borderId="2" xfId="0" applyFont="1" applyBorder="1"/>
    <xf numFmtId="0" fontId="3" fillId="0" borderId="2" xfId="0" applyFont="1" applyBorder="1" applyAlignment="1">
      <alignment horizontal="center" vertical="center"/>
    </xf>
    <xf numFmtId="43" fontId="3" fillId="0" borderId="2" xfId="5" applyFont="1" applyBorder="1" applyAlignment="1">
      <alignment horizontal="center" vertical="center"/>
    </xf>
    <xf numFmtId="0" fontId="24" fillId="0" borderId="0" xfId="0" applyFont="1" applyBorder="1" applyAlignment="1">
      <alignment horizontal="center" vertical="center" textRotation="90" wrapText="1"/>
    </xf>
    <xf numFmtId="0" fontId="24" fillId="0" borderId="0" xfId="0" applyFont="1" applyBorder="1" applyAlignment="1">
      <alignment wrapText="1"/>
    </xf>
    <xf numFmtId="0" fontId="24" fillId="0" borderId="0" xfId="0" applyFont="1" applyBorder="1" applyAlignment="1">
      <alignment horizontal="center" vertical="center" wrapText="1"/>
    </xf>
    <xf numFmtId="166" fontId="29" fillId="0" borderId="0" xfId="7" applyNumberFormat="1" applyFont="1" applyBorder="1" applyAlignment="1">
      <alignment wrapText="1"/>
    </xf>
    <xf numFmtId="43" fontId="24" fillId="0" borderId="0" xfId="5" applyFont="1" applyBorder="1" applyAlignment="1">
      <alignment horizontal="center" vertical="center" wrapText="1"/>
    </xf>
    <xf numFmtId="0" fontId="3" fillId="0" borderId="0" xfId="0" applyFont="1" applyAlignment="1"/>
    <xf numFmtId="0" fontId="13" fillId="0" borderId="2" xfId="0" applyFont="1" applyBorder="1" applyAlignment="1">
      <alignment horizontal="center" vertical="center" wrapText="1"/>
    </xf>
    <xf numFmtId="0" fontId="3" fillId="0" borderId="2" xfId="0" applyFont="1" applyBorder="1" applyAlignment="1">
      <alignment vertical="top" wrapText="1"/>
    </xf>
    <xf numFmtId="0" fontId="3" fillId="0" borderId="2" xfId="0" applyFont="1" applyBorder="1" applyAlignment="1">
      <alignment horizontal="center" vertical="center" wrapText="1"/>
    </xf>
    <xf numFmtId="166" fontId="3" fillId="0" borderId="2" xfId="7" applyNumberFormat="1" applyFont="1" applyBorder="1" applyAlignment="1">
      <alignment horizontal="center" vertical="center" wrapText="1"/>
    </xf>
    <xf numFmtId="43" fontId="3" fillId="0" borderId="2" xfId="5" applyFont="1" applyBorder="1" applyAlignment="1">
      <alignment horizontal="center" vertical="center" wrapText="1"/>
    </xf>
    <xf numFmtId="43" fontId="3" fillId="0" borderId="2" xfId="7" applyNumberFormat="1" applyFont="1" applyBorder="1" applyAlignment="1">
      <alignment wrapText="1"/>
    </xf>
    <xf numFmtId="0" fontId="3" fillId="0" borderId="2" xfId="0" applyFont="1" applyBorder="1" applyAlignment="1">
      <alignment wrapText="1"/>
    </xf>
    <xf numFmtId="166" fontId="3" fillId="0" borderId="2" xfId="7" applyNumberFormat="1" applyFont="1" applyBorder="1" applyAlignment="1">
      <alignment wrapText="1"/>
    </xf>
    <xf numFmtId="0" fontId="3" fillId="0" borderId="11" xfId="0" applyFont="1" applyBorder="1" applyAlignment="1">
      <alignment wrapText="1"/>
    </xf>
    <xf numFmtId="0" fontId="3" fillId="0" borderId="11" xfId="0" applyFont="1" applyBorder="1" applyAlignment="1">
      <alignment horizontal="center" vertical="center" wrapText="1"/>
    </xf>
    <xf numFmtId="166" fontId="3" fillId="0" borderId="11" xfId="7" applyNumberFormat="1" applyFont="1" applyBorder="1" applyAlignment="1">
      <alignment horizontal="center" vertical="center" wrapText="1"/>
    </xf>
    <xf numFmtId="43" fontId="3" fillId="0" borderId="11" xfId="5" applyFont="1" applyBorder="1" applyAlignment="1">
      <alignment horizontal="center" vertical="center" wrapText="1"/>
    </xf>
    <xf numFmtId="166" fontId="3" fillId="0" borderId="11" xfId="7" applyNumberFormat="1" applyFont="1" applyBorder="1" applyAlignment="1">
      <alignment wrapText="1"/>
    </xf>
    <xf numFmtId="166" fontId="13" fillId="0" borderId="2" xfId="0" applyNumberFormat="1" applyFont="1" applyBorder="1" applyAlignment="1">
      <alignment horizontal="center" vertical="center"/>
    </xf>
    <xf numFmtId="0" fontId="13" fillId="0" borderId="2" xfId="0" applyFont="1" applyBorder="1" applyAlignment="1">
      <alignment wrapText="1"/>
    </xf>
    <xf numFmtId="43" fontId="3" fillId="0" borderId="2" xfId="1" applyFont="1" applyBorder="1" applyAlignment="1">
      <alignment horizontal="center" vertical="center"/>
    </xf>
    <xf numFmtId="43" fontId="3" fillId="0" borderId="0" xfId="1" applyFont="1" applyAlignment="1">
      <alignment horizontal="center" vertical="center"/>
    </xf>
    <xf numFmtId="43" fontId="7" fillId="19" borderId="2" xfId="1" applyFont="1" applyFill="1" applyBorder="1" applyAlignment="1">
      <alignment vertical="center"/>
    </xf>
    <xf numFmtId="43" fontId="8" fillId="0" borderId="0" xfId="1" applyFont="1" applyAlignment="1">
      <alignment horizontal="left"/>
    </xf>
    <xf numFmtId="43" fontId="8" fillId="0" borderId="0" xfId="1" applyFont="1"/>
    <xf numFmtId="164" fontId="7" fillId="0" borderId="3" xfId="1" applyNumberFormat="1" applyFont="1" applyBorder="1" applyAlignment="1">
      <alignment horizontal="left"/>
    </xf>
    <xf numFmtId="43" fontId="7" fillId="0" borderId="3" xfId="1" applyFont="1" applyBorder="1" applyAlignment="1">
      <alignment horizontal="left"/>
    </xf>
    <xf numFmtId="43" fontId="7" fillId="0" borderId="3" xfId="1" applyFont="1" applyBorder="1"/>
    <xf numFmtId="164" fontId="7" fillId="0" borderId="0" xfId="1" applyNumberFormat="1" applyFont="1" applyAlignment="1">
      <alignment horizontal="left"/>
    </xf>
    <xf numFmtId="43" fontId="7" fillId="0" borderId="19" xfId="1" applyFont="1" applyBorder="1" applyAlignment="1">
      <alignment horizontal="left"/>
    </xf>
    <xf numFmtId="43" fontId="7" fillId="0" borderId="19" xfId="1" applyFont="1" applyBorder="1"/>
    <xf numFmtId="164" fontId="7" fillId="0" borderId="10" xfId="1" applyNumberFormat="1" applyFont="1" applyBorder="1" applyAlignment="1">
      <alignment horizontal="right"/>
    </xf>
    <xf numFmtId="164" fontId="7" fillId="0" borderId="10" xfId="1" applyNumberFormat="1" applyFont="1" applyBorder="1" applyAlignment="1">
      <alignment horizontal="right" vertical="top"/>
    </xf>
    <xf numFmtId="43" fontId="7" fillId="0" borderId="18" xfId="1" applyFont="1" applyBorder="1" applyAlignment="1">
      <alignment horizontal="left" vertical="top"/>
    </xf>
    <xf numFmtId="43" fontId="7" fillId="0" borderId="19" xfId="1" applyFont="1" applyBorder="1" applyAlignment="1">
      <alignment horizontal="left" vertical="top"/>
    </xf>
    <xf numFmtId="43" fontId="7" fillId="0" borderId="10" xfId="1" applyFont="1" applyBorder="1" applyAlignment="1">
      <alignment vertical="top"/>
    </xf>
    <xf numFmtId="43" fontId="7" fillId="0" borderId="10" xfId="1" applyFont="1" applyBorder="1" applyAlignment="1"/>
    <xf numFmtId="43" fontId="7" fillId="0" borderId="18" xfId="1" applyFont="1" applyBorder="1" applyAlignment="1">
      <alignment horizontal="left"/>
    </xf>
    <xf numFmtId="43" fontId="7" fillId="0" borderId="10" xfId="1" applyFont="1" applyBorder="1" applyAlignment="1">
      <alignment horizontal="left"/>
    </xf>
    <xf numFmtId="43" fontId="7" fillId="0" borderId="10" xfId="1" applyFont="1" applyBorder="1"/>
    <xf numFmtId="43" fontId="7" fillId="0" borderId="20" xfId="1" applyFont="1" applyBorder="1" applyAlignment="1">
      <alignment horizontal="left"/>
    </xf>
    <xf numFmtId="43" fontId="7" fillId="0" borderId="10" xfId="1" applyFont="1" applyBorder="1" applyAlignment="1">
      <alignment wrapText="1"/>
    </xf>
    <xf numFmtId="43" fontId="7" fillId="0" borderId="10" xfId="1" applyFont="1" applyBorder="1" applyAlignment="1">
      <alignment horizontal="left" wrapText="1"/>
    </xf>
    <xf numFmtId="166" fontId="7" fillId="0" borderId="10" xfId="1" applyNumberFormat="1" applyFont="1" applyBorder="1" applyAlignment="1">
      <alignment horizontal="right"/>
    </xf>
    <xf numFmtId="43" fontId="7" fillId="20" borderId="0" xfId="1" applyFont="1" applyFill="1" applyAlignment="1"/>
    <xf numFmtId="164" fontId="8" fillId="0" borderId="10" xfId="1" applyNumberFormat="1" applyFont="1" applyBorder="1" applyAlignment="1">
      <alignment horizontal="right"/>
    </xf>
    <xf numFmtId="43" fontId="7" fillId="0" borderId="10" xfId="1" applyFont="1" applyBorder="1" applyAlignment="1">
      <alignment vertical="top" wrapText="1"/>
    </xf>
    <xf numFmtId="43" fontId="7" fillId="0" borderId="18" xfId="1" applyFont="1" applyBorder="1" applyAlignment="1">
      <alignment wrapText="1"/>
    </xf>
    <xf numFmtId="164" fontId="7" fillId="0" borderId="0" xfId="1" applyNumberFormat="1" applyFont="1" applyBorder="1" applyAlignment="1">
      <alignment horizontal="right"/>
    </xf>
    <xf numFmtId="43" fontId="7" fillId="0" borderId="0" xfId="1" applyFont="1" applyBorder="1" applyAlignment="1">
      <alignment horizontal="left"/>
    </xf>
    <xf numFmtId="43" fontId="7" fillId="0" borderId="0" xfId="1" applyFont="1" applyBorder="1" applyAlignment="1"/>
    <xf numFmtId="49" fontId="7" fillId="0" borderId="0" xfId="1" applyNumberFormat="1" applyFont="1" applyBorder="1" applyAlignment="1">
      <alignment horizontal="right" wrapText="1"/>
    </xf>
    <xf numFmtId="49" fontId="7" fillId="0" borderId="0" xfId="1" applyNumberFormat="1" applyFont="1" applyBorder="1" applyAlignment="1">
      <alignment horizontal="left" wrapText="1"/>
    </xf>
    <xf numFmtId="49" fontId="7" fillId="0" borderId="18" xfId="1" applyNumberFormat="1" applyFont="1" applyBorder="1" applyAlignment="1">
      <alignment horizontal="left"/>
    </xf>
    <xf numFmtId="49" fontId="7" fillId="0" borderId="19" xfId="1" applyNumberFormat="1" applyFont="1" applyBorder="1" applyAlignment="1">
      <alignment horizontal="left"/>
    </xf>
    <xf numFmtId="49" fontId="7" fillId="0" borderId="20" xfId="1" applyNumberFormat="1" applyFont="1" applyBorder="1" applyAlignment="1">
      <alignment horizontal="left"/>
    </xf>
    <xf numFmtId="43" fontId="7" fillId="0" borderId="18" xfId="1" applyFont="1" applyBorder="1" applyAlignment="1">
      <alignment horizontal="center"/>
    </xf>
    <xf numFmtId="43" fontId="7" fillId="0" borderId="20" xfId="1" applyFont="1" applyBorder="1" applyAlignment="1">
      <alignment horizontal="center"/>
    </xf>
    <xf numFmtId="43" fontId="7" fillId="0" borderId="10" xfId="1" applyFont="1" applyBorder="1" applyAlignment="1">
      <alignment horizontal="center"/>
    </xf>
    <xf numFmtId="49" fontId="7" fillId="0" borderId="20" xfId="1" applyNumberFormat="1" applyFont="1" applyBorder="1" applyAlignment="1"/>
    <xf numFmtId="49" fontId="7" fillId="0" borderId="10" xfId="1" applyNumberFormat="1" applyFont="1" applyBorder="1" applyAlignment="1">
      <alignment horizontal="left"/>
    </xf>
    <xf numFmtId="166" fontId="8" fillId="0" borderId="10" xfId="1" applyNumberFormat="1" applyFont="1" applyBorder="1" applyAlignment="1">
      <alignment horizontal="right"/>
    </xf>
    <xf numFmtId="164" fontId="7" fillId="19" borderId="0" xfId="1" applyNumberFormat="1" applyFont="1" applyFill="1" applyAlignment="1"/>
    <xf numFmtId="43" fontId="8" fillId="0" borderId="10" xfId="1" applyNumberFormat="1" applyFont="1" applyBorder="1" applyAlignment="1">
      <alignment horizontal="right"/>
    </xf>
    <xf numFmtId="43" fontId="8" fillId="0" borderId="18" xfId="1" applyFont="1" applyBorder="1" applyAlignment="1">
      <alignment horizontal="left"/>
    </xf>
    <xf numFmtId="166" fontId="7" fillId="0" borderId="10" xfId="1" applyNumberFormat="1" applyFont="1" applyBorder="1" applyAlignment="1">
      <alignment horizontal="right" vertical="center"/>
    </xf>
    <xf numFmtId="43" fontId="8" fillId="0" borderId="10" xfId="1" applyFont="1" applyBorder="1"/>
    <xf numFmtId="43" fontId="7" fillId="0" borderId="10" xfId="1" applyFont="1" applyFill="1" applyBorder="1"/>
    <xf numFmtId="43" fontId="3" fillId="3" borderId="0" xfId="1" applyFont="1" applyFill="1" applyBorder="1" applyAlignment="1">
      <alignment horizontal="left"/>
    </xf>
    <xf numFmtId="14" fontId="7" fillId="0" borderId="0" xfId="1" applyNumberFormat="1" applyFont="1" applyAlignment="1">
      <alignment horizontal="left"/>
    </xf>
    <xf numFmtId="43" fontId="61" fillId="0" borderId="0" xfId="0" applyNumberFormat="1" applyFont="1"/>
    <xf numFmtId="40" fontId="3" fillId="0" borderId="0" xfId="0" applyNumberFormat="1" applyFont="1" applyAlignment="1">
      <alignment horizontal="center" vertical="center"/>
    </xf>
    <xf numFmtId="166" fontId="3" fillId="0" borderId="2" xfId="1" applyNumberFormat="1" applyFont="1" applyBorder="1"/>
    <xf numFmtId="0" fontId="13" fillId="2" borderId="2" xfId="1" applyNumberFormat="1" applyFont="1" applyFill="1" applyBorder="1" applyAlignment="1">
      <alignment vertical="center" wrapText="1"/>
    </xf>
    <xf numFmtId="0" fontId="3" fillId="10" borderId="2" xfId="1" applyNumberFormat="1" applyFont="1" applyFill="1" applyBorder="1" applyAlignment="1"/>
    <xf numFmtId="0" fontId="3" fillId="10" borderId="2" xfId="1" applyNumberFormat="1" applyFont="1" applyFill="1" applyBorder="1" applyAlignment="1">
      <alignment vertical="center"/>
    </xf>
    <xf numFmtId="40" fontId="7" fillId="8" borderId="0" xfId="1" applyNumberFormat="1" applyFont="1" applyFill="1"/>
    <xf numFmtId="40" fontId="7" fillId="0" borderId="0" xfId="0" applyNumberFormat="1" applyFont="1" applyFill="1"/>
    <xf numFmtId="39" fontId="7" fillId="3" borderId="2" xfId="0" applyNumberFormat="1" applyFont="1" applyFill="1" applyBorder="1" applyAlignment="1">
      <alignment horizontal="right" vertical="center" wrapText="1"/>
    </xf>
    <xf numFmtId="0" fontId="3" fillId="10" borderId="0" xfId="1" applyNumberFormat="1" applyFont="1" applyFill="1" applyBorder="1" applyAlignment="1"/>
    <xf numFmtId="0" fontId="8" fillId="0" borderId="0" xfId="0" applyFont="1" applyFill="1" applyAlignment="1">
      <alignment horizontal="left"/>
    </xf>
    <xf numFmtId="0" fontId="7" fillId="0" borderId="0" xfId="0" applyFont="1" applyAlignment="1">
      <alignment horizontal="left" vertical="center"/>
    </xf>
    <xf numFmtId="164" fontId="7" fillId="0" borderId="0" xfId="1" applyNumberFormat="1" applyFont="1" applyBorder="1" applyAlignment="1">
      <alignment horizontal="left"/>
    </xf>
    <xf numFmtId="49" fontId="7" fillId="0" borderId="0" xfId="1" applyNumberFormat="1" applyFont="1" applyBorder="1" applyAlignment="1">
      <alignment horizontal="left" wrapText="1"/>
    </xf>
    <xf numFmtId="164" fontId="7" fillId="0" borderId="0" xfId="1" applyNumberFormat="1" applyFont="1" applyAlignment="1">
      <alignment horizontal="left"/>
    </xf>
    <xf numFmtId="14" fontId="3" fillId="0" borderId="0" xfId="1" applyNumberFormat="1" applyFont="1" applyAlignment="1">
      <alignment horizontal="right"/>
    </xf>
    <xf numFmtId="0" fontId="3" fillId="0" borderId="0" xfId="1" applyNumberFormat="1" applyFont="1" applyAlignment="1">
      <alignment vertical="center"/>
    </xf>
    <xf numFmtId="43" fontId="3" fillId="3" borderId="0" xfId="1" applyFont="1" applyFill="1" applyAlignment="1">
      <alignment horizontal="left"/>
    </xf>
    <xf numFmtId="43" fontId="62" fillId="2" borderId="0" xfId="1" applyFont="1" applyFill="1"/>
    <xf numFmtId="40" fontId="62" fillId="2" borderId="0" xfId="1" applyNumberFormat="1" applyFont="1" applyFill="1"/>
    <xf numFmtId="43" fontId="3" fillId="0" borderId="0" xfId="1" applyFont="1" applyAlignment="1">
      <alignment horizontal="right"/>
    </xf>
    <xf numFmtId="43" fontId="3" fillId="0" borderId="0" xfId="1" applyNumberFormat="1" applyFont="1"/>
    <xf numFmtId="40" fontId="3" fillId="0" borderId="0" xfId="1" applyNumberFormat="1" applyFont="1"/>
    <xf numFmtId="43" fontId="3" fillId="0" borderId="0" xfId="1" applyFont="1" applyAlignment="1">
      <alignment wrapText="1"/>
    </xf>
    <xf numFmtId="43" fontId="13" fillId="2" borderId="2" xfId="1" applyFont="1" applyFill="1" applyBorder="1" applyAlignment="1">
      <alignment horizontal="center" vertical="center"/>
    </xf>
    <xf numFmtId="40" fontId="13" fillId="2" borderId="2" xfId="1" applyNumberFormat="1" applyFont="1" applyFill="1" applyBorder="1" applyAlignment="1">
      <alignment horizontal="right" vertical="center" wrapText="1"/>
    </xf>
    <xf numFmtId="164" fontId="13" fillId="2" borderId="2" xfId="1" applyNumberFormat="1" applyFont="1" applyFill="1" applyBorder="1" applyAlignment="1">
      <alignment vertical="center"/>
    </xf>
    <xf numFmtId="43" fontId="13" fillId="2" borderId="2" xfId="1" applyFont="1" applyFill="1" applyBorder="1" applyAlignment="1">
      <alignment vertical="center"/>
    </xf>
    <xf numFmtId="40" fontId="3" fillId="3" borderId="2" xfId="1" applyNumberFormat="1" applyFont="1" applyFill="1" applyBorder="1" applyAlignment="1">
      <alignment horizontal="right"/>
    </xf>
    <xf numFmtId="0" fontId="3" fillId="10" borderId="2" xfId="1" applyNumberFormat="1" applyFont="1" applyFill="1" applyBorder="1"/>
    <xf numFmtId="14" fontId="3" fillId="10" borderId="2" xfId="1" applyNumberFormat="1" applyFont="1" applyFill="1" applyBorder="1"/>
    <xf numFmtId="43" fontId="3" fillId="0" borderId="0" xfId="1" applyFont="1" applyFill="1"/>
    <xf numFmtId="43" fontId="3" fillId="8" borderId="0" xfId="1" applyFont="1" applyFill="1"/>
    <xf numFmtId="14" fontId="3" fillId="10" borderId="2" xfId="5" applyNumberFormat="1" applyFont="1" applyFill="1" applyBorder="1"/>
    <xf numFmtId="0" fontId="3" fillId="0" borderId="2" xfId="5" applyNumberFormat="1" applyFont="1" applyFill="1" applyBorder="1"/>
    <xf numFmtId="40" fontId="3" fillId="0" borderId="2" xfId="1" applyNumberFormat="1" applyFont="1" applyBorder="1"/>
    <xf numFmtId="40" fontId="3" fillId="3" borderId="0" xfId="1" applyNumberFormat="1" applyFont="1" applyFill="1" applyAlignment="1">
      <alignment horizontal="right"/>
    </xf>
    <xf numFmtId="0" fontId="3" fillId="0" borderId="0" xfId="1" applyNumberFormat="1" applyFont="1" applyAlignment="1"/>
    <xf numFmtId="40" fontId="3" fillId="0" borderId="0" xfId="1" applyNumberFormat="1" applyFont="1" applyBorder="1"/>
    <xf numFmtId="40" fontId="3" fillId="3" borderId="0" xfId="1" applyNumberFormat="1" applyFont="1" applyFill="1" applyBorder="1" applyAlignment="1">
      <alignment horizontal="right"/>
    </xf>
    <xf numFmtId="0" fontId="3" fillId="0" borderId="0" xfId="1" applyNumberFormat="1" applyFont="1" applyFill="1" applyBorder="1" applyAlignment="1"/>
    <xf numFmtId="0" fontId="3" fillId="0" borderId="0" xfId="5" applyNumberFormat="1" applyFont="1" applyFill="1"/>
    <xf numFmtId="43" fontId="3" fillId="0" borderId="49" xfId="1" applyFont="1" applyBorder="1"/>
    <xf numFmtId="43" fontId="3" fillId="0" borderId="50" xfId="1" applyFont="1" applyBorder="1"/>
    <xf numFmtId="43" fontId="3" fillId="0" borderId="44" xfId="1" applyFont="1" applyBorder="1"/>
    <xf numFmtId="0" fontId="3" fillId="0" borderId="0" xfId="5" applyNumberFormat="1" applyFont="1" applyFill="1" applyBorder="1"/>
    <xf numFmtId="43" fontId="3" fillId="10" borderId="0" xfId="1" applyFont="1" applyFill="1"/>
    <xf numFmtId="168" fontId="3" fillId="0" borderId="0" xfId="1" applyNumberFormat="1" applyFont="1"/>
    <xf numFmtId="43" fontId="13" fillId="2" borderId="2" xfId="1" applyFont="1" applyFill="1" applyBorder="1" applyAlignment="1">
      <alignment horizontal="left" vertical="center"/>
    </xf>
    <xf numFmtId="0" fontId="7" fillId="0" borderId="2" xfId="0" applyFont="1" applyFill="1" applyBorder="1"/>
    <xf numFmtId="1" fontId="7" fillId="0" borderId="2" xfId="5" applyNumberFormat="1" applyFont="1" applyFill="1" applyBorder="1"/>
    <xf numFmtId="43" fontId="3" fillId="0" borderId="0" xfId="1" applyFont="1" applyFill="1" applyBorder="1" applyAlignment="1">
      <alignment horizontal="left"/>
    </xf>
    <xf numFmtId="0" fontId="3" fillId="0" borderId="0" xfId="5" applyNumberFormat="1" applyFont="1"/>
    <xf numFmtId="164" fontId="7" fillId="0" borderId="0" xfId="1" applyNumberFormat="1" applyFont="1" applyFill="1"/>
    <xf numFmtId="164" fontId="7" fillId="21" borderId="0" xfId="1" applyNumberFormat="1" applyFont="1" applyFill="1"/>
    <xf numFmtId="0" fontId="7" fillId="3" borderId="0" xfId="0" applyNumberFormat="1" applyFont="1" applyFill="1" applyAlignment="1">
      <alignment horizontal="right" vertical="center" wrapText="1"/>
    </xf>
    <xf numFmtId="43" fontId="7" fillId="3" borderId="0" xfId="1" applyFont="1" applyFill="1" applyBorder="1" applyAlignment="1">
      <alignment vertical="center" wrapText="1"/>
    </xf>
    <xf numFmtId="0" fontId="13" fillId="0" borderId="0" xfId="0" applyFont="1" applyFill="1" applyBorder="1" applyAlignment="1"/>
    <xf numFmtId="0" fontId="3" fillId="0" borderId="0" xfId="0" applyFont="1" applyFill="1" applyBorder="1" applyAlignment="1"/>
    <xf numFmtId="0" fontId="3" fillId="0" borderId="0" xfId="0" applyFont="1" applyFill="1"/>
    <xf numFmtId="0" fontId="3" fillId="0" borderId="0" xfId="0" applyFont="1" applyFill="1" applyAlignment="1">
      <alignment horizontal="center"/>
    </xf>
    <xf numFmtId="43" fontId="3" fillId="0" borderId="0" xfId="5" applyFont="1" applyFill="1"/>
    <xf numFmtId="0" fontId="3"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43" fontId="7" fillId="0" borderId="2" xfId="5" applyFont="1" applyFill="1" applyBorder="1" applyAlignment="1">
      <alignment horizontal="center" vertical="center" wrapText="1"/>
    </xf>
    <xf numFmtId="43" fontId="7" fillId="0" borderId="2" xfId="5" applyFont="1" applyFill="1" applyBorder="1" applyAlignment="1">
      <alignment horizontal="center" vertical="center"/>
    </xf>
    <xf numFmtId="4" fontId="7" fillId="0" borderId="2" xfId="0" applyNumberFormat="1" applyFont="1" applyFill="1" applyBorder="1" applyAlignment="1">
      <alignment horizontal="left" vertical="center"/>
    </xf>
    <xf numFmtId="4" fontId="7" fillId="0" borderId="2" xfId="0" applyNumberFormat="1" applyFont="1" applyBorder="1" applyAlignment="1">
      <alignment horizontal="left" vertical="center" wrapText="1"/>
    </xf>
    <xf numFmtId="43" fontId="7" fillId="0" borderId="2" xfId="5" applyFont="1" applyFill="1" applyBorder="1" applyAlignment="1">
      <alignment horizontal="right" vertical="center" wrapText="1"/>
    </xf>
    <xf numFmtId="166" fontId="7" fillId="0" borderId="2" xfId="5" applyNumberFormat="1" applyFont="1" applyBorder="1"/>
    <xf numFmtId="43" fontId="3" fillId="3" borderId="2" xfId="5" applyFont="1" applyFill="1" applyBorder="1"/>
    <xf numFmtId="4" fontId="7" fillId="0" borderId="2" xfId="0" applyNumberFormat="1" applyFont="1" applyFill="1" applyBorder="1" applyAlignment="1">
      <alignment horizontal="left"/>
    </xf>
    <xf numFmtId="4" fontId="7" fillId="0" borderId="2" xfId="0" applyNumberFormat="1" applyFont="1" applyBorder="1" applyAlignment="1">
      <alignment horizontal="left"/>
    </xf>
    <xf numFmtId="4" fontId="7" fillId="0" borderId="2" xfId="0" applyNumberFormat="1" applyFont="1" applyFill="1" applyBorder="1" applyAlignment="1">
      <alignment horizontal="left" vertical="center" wrapText="1"/>
    </xf>
    <xf numFmtId="43" fontId="7" fillId="0" borderId="2" xfId="5" applyFont="1" applyFill="1" applyBorder="1" applyAlignment="1">
      <alignment horizontal="right"/>
    </xf>
    <xf numFmtId="4" fontId="7" fillId="0" borderId="2" xfId="0" applyNumberFormat="1" applyFont="1" applyBorder="1"/>
    <xf numFmtId="4" fontId="7" fillId="8" borderId="2" xfId="0" applyNumberFormat="1" applyFont="1" applyFill="1" applyBorder="1" applyAlignment="1">
      <alignment horizontal="left"/>
    </xf>
    <xf numFmtId="1" fontId="7" fillId="0" borderId="2" xfId="0" applyNumberFormat="1" applyFont="1" applyBorder="1" applyAlignment="1">
      <alignment horizontal="left"/>
    </xf>
    <xf numFmtId="1" fontId="7" fillId="0" borderId="2" xfId="0" applyNumberFormat="1" applyFont="1" applyBorder="1"/>
    <xf numFmtId="43" fontId="7" fillId="0" borderId="2" xfId="0" applyNumberFormat="1" applyFont="1" applyBorder="1"/>
    <xf numFmtId="43" fontId="7" fillId="0" borderId="2" xfId="0" applyNumberFormat="1" applyFont="1" applyBorder="1" applyAlignment="1">
      <alignment horizontal="left"/>
    </xf>
    <xf numFmtId="4" fontId="7" fillId="0" borderId="2" xfId="0" applyNumberFormat="1" applyFont="1" applyFill="1" applyBorder="1" applyAlignment="1"/>
    <xf numFmtId="4" fontId="7" fillId="0" borderId="2" xfId="0" applyNumberFormat="1" applyFont="1" applyBorder="1" applyAlignment="1"/>
    <xf numFmtId="0" fontId="7" fillId="0" borderId="2" xfId="0" applyFont="1" applyBorder="1" applyAlignment="1">
      <alignment horizontal="left" vertical="center"/>
    </xf>
    <xf numFmtId="4" fontId="63" fillId="0" borderId="2" xfId="0" applyNumberFormat="1" applyFont="1" applyFill="1" applyBorder="1" applyAlignment="1"/>
    <xf numFmtId="0" fontId="7" fillId="3" borderId="2" xfId="0" applyFont="1" applyFill="1" applyBorder="1"/>
    <xf numFmtId="4" fontId="7" fillId="0" borderId="2" xfId="0" applyNumberFormat="1" applyFont="1" applyBorder="1" applyAlignment="1">
      <alignment horizontal="left" vertical="center"/>
    </xf>
    <xf numFmtId="43" fontId="13" fillId="0" borderId="36" xfId="0" applyNumberFormat="1" applyFont="1" applyBorder="1"/>
    <xf numFmtId="0" fontId="13" fillId="0" borderId="36" xfId="0" applyFont="1" applyBorder="1"/>
    <xf numFmtId="0" fontId="7" fillId="0" borderId="2" xfId="0" applyFont="1" applyBorder="1" applyAlignment="1"/>
    <xf numFmtId="0" fontId="7" fillId="0" borderId="2" xfId="0" applyNumberFormat="1" applyFont="1" applyBorder="1"/>
    <xf numFmtId="43" fontId="13" fillId="0" borderId="2" xfId="0" applyNumberFormat="1" applyFont="1" applyBorder="1"/>
    <xf numFmtId="43" fontId="3" fillId="0" borderId="0" xfId="0" applyNumberFormat="1" applyFont="1" applyFill="1" applyBorder="1" applyAlignment="1"/>
    <xf numFmtId="43" fontId="7" fillId="0" borderId="2" xfId="1" applyFont="1" applyFill="1" applyBorder="1" applyAlignment="1">
      <alignment horizontal="right" vertical="center" wrapText="1"/>
    </xf>
    <xf numFmtId="43" fontId="7" fillId="0" borderId="2" xfId="1" applyFont="1" applyFill="1" applyBorder="1" applyAlignment="1">
      <alignment horizontal="right"/>
    </xf>
    <xf numFmtId="166" fontId="7" fillId="0" borderId="2" xfId="1" applyNumberFormat="1" applyFont="1" applyBorder="1"/>
    <xf numFmtId="0" fontId="7" fillId="8" borderId="0" xfId="0" applyFont="1" applyFill="1"/>
    <xf numFmtId="43" fontId="8" fillId="0" borderId="0" xfId="0" applyNumberFormat="1" applyFont="1"/>
    <xf numFmtId="43" fontId="7" fillId="0" borderId="2" xfId="1" applyFont="1" applyFill="1" applyBorder="1" applyAlignment="1">
      <alignment horizontal="left"/>
    </xf>
    <xf numFmtId="0" fontId="7" fillId="3" borderId="2" xfId="0" applyFont="1" applyFill="1" applyBorder="1" applyAlignment="1">
      <alignment horizontal="left"/>
    </xf>
    <xf numFmtId="4" fontId="7" fillId="0" borderId="0" xfId="0" applyNumberFormat="1" applyFont="1"/>
    <xf numFmtId="43" fontId="13" fillId="0" borderId="2" xfId="1" applyFont="1" applyBorder="1" applyAlignment="1">
      <alignment vertical="center"/>
    </xf>
    <xf numFmtId="164" fontId="3" fillId="3" borderId="2" xfId="1" applyNumberFormat="1" applyFont="1" applyFill="1" applyBorder="1"/>
    <xf numFmtId="164" fontId="3" fillId="3" borderId="0" xfId="1" applyNumberFormat="1" applyFont="1" applyFill="1" applyBorder="1"/>
    <xf numFmtId="43" fontId="3" fillId="10" borderId="2" xfId="1" applyFont="1" applyFill="1" applyBorder="1" applyAlignment="1">
      <alignment horizontal="left"/>
    </xf>
    <xf numFmtId="0" fontId="3" fillId="10" borderId="2" xfId="5" applyNumberFormat="1" applyFont="1" applyFill="1" applyBorder="1" applyAlignment="1">
      <alignment vertical="center"/>
    </xf>
    <xf numFmtId="0" fontId="3" fillId="10" borderId="2" xfId="5" applyNumberFormat="1" applyFont="1" applyFill="1" applyBorder="1" applyAlignment="1"/>
    <xf numFmtId="0" fontId="3" fillId="10" borderId="0" xfId="5" applyNumberFormat="1" applyFont="1" applyFill="1" applyBorder="1" applyAlignment="1"/>
    <xf numFmtId="0" fontId="3" fillId="10" borderId="0" xfId="5" applyNumberFormat="1" applyFont="1" applyFill="1" applyBorder="1" applyAlignment="1">
      <alignment vertical="center"/>
    </xf>
    <xf numFmtId="0" fontId="3" fillId="10" borderId="0" xfId="5" applyNumberFormat="1" applyFont="1" applyFill="1" applyAlignment="1"/>
    <xf numFmtId="0" fontId="3" fillId="10" borderId="0" xfId="5" applyNumberFormat="1" applyFont="1" applyFill="1" applyAlignment="1">
      <alignment vertical="center"/>
    </xf>
    <xf numFmtId="43" fontId="58" fillId="10" borderId="2" xfId="0" applyNumberFormat="1" applyFont="1" applyFill="1" applyBorder="1"/>
    <xf numFmtId="0" fontId="58" fillId="10" borderId="2" xfId="0" applyFont="1" applyFill="1" applyBorder="1"/>
    <xf numFmtId="0" fontId="3" fillId="10" borderId="2" xfId="5" applyNumberFormat="1" applyFont="1" applyFill="1" applyBorder="1"/>
    <xf numFmtId="43" fontId="3" fillId="10" borderId="2" xfId="5" applyFont="1" applyFill="1" applyBorder="1" applyAlignment="1">
      <alignment vertical="center"/>
    </xf>
    <xf numFmtId="43" fontId="6" fillId="10" borderId="2" xfId="5" applyFont="1" applyFill="1" applyBorder="1"/>
    <xf numFmtId="43" fontId="3" fillId="10" borderId="2" xfId="1" applyFont="1" applyFill="1" applyBorder="1" applyAlignment="1">
      <alignment vertical="center"/>
    </xf>
    <xf numFmtId="14" fontId="3" fillId="10" borderId="0" xfId="1" applyNumberFormat="1" applyFont="1" applyFill="1" applyAlignment="1">
      <alignment horizontal="right"/>
    </xf>
    <xf numFmtId="43" fontId="3" fillId="10" borderId="0" xfId="1" applyFont="1" applyFill="1" applyBorder="1" applyAlignment="1">
      <alignment horizontal="left"/>
    </xf>
    <xf numFmtId="40" fontId="3" fillId="10" borderId="0" xfId="1" applyNumberFormat="1" applyFont="1" applyFill="1"/>
    <xf numFmtId="0" fontId="3" fillId="10" borderId="0" xfId="5" applyNumberFormat="1" applyFont="1" applyFill="1" applyBorder="1"/>
    <xf numFmtId="164" fontId="3" fillId="10" borderId="0" xfId="5" applyNumberFormat="1" applyFont="1" applyFill="1" applyBorder="1"/>
    <xf numFmtId="43" fontId="3" fillId="10" borderId="0" xfId="1" applyFont="1" applyFill="1" applyAlignment="1">
      <alignment vertical="center"/>
    </xf>
    <xf numFmtId="14" fontId="3" fillId="10" borderId="0" xfId="1" applyNumberFormat="1" applyFont="1" applyFill="1" applyBorder="1" applyAlignment="1">
      <alignment horizontal="right"/>
    </xf>
    <xf numFmtId="0" fontId="3" fillId="10" borderId="0" xfId="1" applyNumberFormat="1" applyFont="1" applyFill="1" applyAlignment="1"/>
    <xf numFmtId="43" fontId="3" fillId="10" borderId="0" xfId="1" applyFont="1" applyFill="1" applyBorder="1"/>
    <xf numFmtId="14" fontId="3" fillId="10" borderId="0" xfId="5" applyNumberFormat="1" applyFont="1" applyFill="1" applyBorder="1"/>
    <xf numFmtId="14" fontId="3" fillId="10" borderId="0" xfId="5" applyNumberFormat="1" applyFont="1" applyFill="1"/>
    <xf numFmtId="0" fontId="58" fillId="10" borderId="0" xfId="0" applyFont="1" applyFill="1" applyBorder="1"/>
    <xf numFmtId="0" fontId="3" fillId="10" borderId="2" xfId="0" applyNumberFormat="1" applyFont="1" applyFill="1" applyBorder="1" applyAlignment="1"/>
    <xf numFmtId="43" fontId="58" fillId="10" borderId="0" xfId="3" applyNumberFormat="1" applyFont="1" applyFill="1" applyBorder="1"/>
    <xf numFmtId="0" fontId="58" fillId="10" borderId="0" xfId="3" applyFont="1" applyFill="1" applyBorder="1"/>
    <xf numFmtId="0" fontId="3" fillId="10" borderId="0" xfId="0" applyNumberFormat="1" applyFont="1" applyFill="1" applyBorder="1" applyAlignment="1"/>
    <xf numFmtId="43" fontId="58" fillId="10" borderId="0" xfId="0" applyNumberFormat="1" applyFont="1" applyFill="1" applyBorder="1"/>
    <xf numFmtId="14" fontId="3" fillId="10" borderId="0" xfId="1" applyNumberFormat="1" applyFont="1" applyFill="1"/>
    <xf numFmtId="0" fontId="3" fillId="10" borderId="0" xfId="1" applyNumberFormat="1" applyFont="1" applyFill="1"/>
    <xf numFmtId="43" fontId="6" fillId="10" borderId="0" xfId="5" applyFont="1" applyFill="1" applyBorder="1"/>
    <xf numFmtId="0" fontId="3" fillId="10" borderId="0" xfId="5" applyNumberFormat="1" applyFont="1" applyFill="1"/>
    <xf numFmtId="14" fontId="3" fillId="10" borderId="0" xfId="1" applyNumberFormat="1" applyFont="1" applyFill="1" applyBorder="1"/>
    <xf numFmtId="43" fontId="3" fillId="3" borderId="2" xfId="1" applyFont="1" applyFill="1" applyBorder="1" applyAlignment="1">
      <alignment horizontal="center" vertical="center"/>
    </xf>
    <xf numFmtId="0" fontId="29" fillId="0" borderId="2" xfId="0" applyFont="1" applyBorder="1" applyAlignment="1">
      <alignment horizontal="center" vertical="center" wrapText="1"/>
    </xf>
    <xf numFmtId="43" fontId="29" fillId="0" borderId="2" xfId="5" applyFont="1" applyBorder="1" applyAlignment="1">
      <alignment horizontal="center" vertical="center" wrapText="1"/>
    </xf>
    <xf numFmtId="166" fontId="24" fillId="0" borderId="2" xfId="7" applyNumberFormat="1" applyFont="1" applyBorder="1" applyAlignment="1">
      <alignment vertical="top" wrapText="1"/>
    </xf>
    <xf numFmtId="43" fontId="24" fillId="0" borderId="2" xfId="5" applyFont="1" applyBorder="1" applyAlignment="1">
      <alignment vertical="top" wrapText="1"/>
    </xf>
    <xf numFmtId="43" fontId="24" fillId="0" borderId="2" xfId="1" applyFont="1" applyBorder="1" applyAlignment="1">
      <alignment vertical="top" wrapText="1"/>
    </xf>
    <xf numFmtId="0" fontId="24" fillId="0" borderId="2" xfId="0" applyFont="1" applyBorder="1" applyAlignment="1">
      <alignment vertical="top" wrapText="1"/>
    </xf>
    <xf numFmtId="0" fontId="24" fillId="0" borderId="2" xfId="0" applyFont="1" applyBorder="1" applyAlignment="1">
      <alignment horizontal="center" vertical="center" wrapText="1"/>
    </xf>
    <xf numFmtId="166" fontId="24" fillId="0" borderId="2" xfId="7" applyNumberFormat="1" applyFont="1" applyBorder="1" applyAlignment="1">
      <alignment horizontal="center" vertical="center" wrapText="1"/>
    </xf>
    <xf numFmtId="43" fontId="24" fillId="0" borderId="2" xfId="5" applyFont="1" applyBorder="1" applyAlignment="1">
      <alignment horizontal="center" vertical="center" wrapText="1"/>
    </xf>
    <xf numFmtId="43" fontId="29" fillId="0" borderId="2" xfId="7" applyNumberFormat="1" applyFont="1" applyBorder="1" applyAlignment="1">
      <alignment wrapText="1"/>
    </xf>
    <xf numFmtId="0" fontId="24" fillId="0" borderId="2" xfId="0" applyFont="1" applyBorder="1" applyAlignment="1">
      <alignment wrapText="1"/>
    </xf>
    <xf numFmtId="166" fontId="24" fillId="3" borderId="2" xfId="7" applyNumberFormat="1" applyFont="1" applyFill="1" applyBorder="1" applyAlignment="1">
      <alignment vertical="top" wrapText="1"/>
    </xf>
    <xf numFmtId="166" fontId="24" fillId="3" borderId="2" xfId="7" applyNumberFormat="1" applyFont="1" applyFill="1" applyBorder="1" applyAlignment="1">
      <alignment wrapText="1"/>
    </xf>
    <xf numFmtId="166" fontId="24" fillId="0" borderId="2" xfId="7" applyNumberFormat="1" applyFont="1" applyBorder="1" applyAlignment="1">
      <alignment wrapText="1"/>
    </xf>
    <xf numFmtId="166" fontId="24" fillId="3" borderId="2" xfId="7"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43" fontId="24" fillId="0" borderId="2" xfId="5" applyFont="1" applyFill="1" applyBorder="1" applyAlignment="1">
      <alignment horizontal="center" vertical="center" wrapText="1"/>
    </xf>
    <xf numFmtId="43" fontId="24" fillId="0" borderId="2" xfId="0" applyNumberFormat="1" applyFont="1" applyFill="1" applyBorder="1" applyAlignment="1">
      <alignment horizontal="center" vertical="center" wrapText="1"/>
    </xf>
    <xf numFmtId="43" fontId="24" fillId="0" borderId="2" xfId="5" applyFont="1" applyBorder="1" applyAlignment="1">
      <alignment wrapText="1"/>
    </xf>
    <xf numFmtId="43" fontId="24" fillId="0" borderId="2" xfId="7" applyNumberFormat="1" applyFont="1" applyBorder="1" applyAlignment="1">
      <alignment wrapText="1"/>
    </xf>
    <xf numFmtId="0" fontId="48" fillId="0" borderId="2" xfId="0" applyFont="1" applyBorder="1" applyAlignment="1">
      <alignment wrapText="1"/>
    </xf>
    <xf numFmtId="43" fontId="24" fillId="0" borderId="2" xfId="0" applyNumberFormat="1" applyFont="1" applyBorder="1" applyAlignment="1">
      <alignment horizontal="center" vertical="center" wrapText="1"/>
    </xf>
    <xf numFmtId="43" fontId="24" fillId="0" borderId="2" xfId="1" applyFont="1" applyBorder="1" applyAlignment="1">
      <alignment horizontal="center" vertical="center" wrapText="1"/>
    </xf>
    <xf numFmtId="166" fontId="29" fillId="0" borderId="2" xfId="7" applyNumberFormat="1" applyFont="1" applyBorder="1" applyAlignment="1">
      <alignment wrapText="1"/>
    </xf>
    <xf numFmtId="0" fontId="11" fillId="0" borderId="2" xfId="0" applyFont="1" applyBorder="1" applyAlignment="1">
      <alignment vertical="top" wrapText="1"/>
    </xf>
    <xf numFmtId="0" fontId="11" fillId="0" borderId="2" xfId="0" applyFont="1" applyBorder="1" applyAlignment="1">
      <alignment horizontal="center" vertical="top" wrapText="1"/>
    </xf>
    <xf numFmtId="0" fontId="52" fillId="0" borderId="2" xfId="0" applyFont="1" applyBorder="1" applyAlignment="1">
      <alignment vertical="top" wrapText="1"/>
    </xf>
    <xf numFmtId="0" fontId="11" fillId="0" borderId="2" xfId="0" applyFont="1" applyBorder="1" applyAlignment="1">
      <alignment horizontal="center" vertical="center" wrapText="1"/>
    </xf>
    <xf numFmtId="0" fontId="12" fillId="0" borderId="2" xfId="0" applyFont="1" applyBorder="1" applyAlignment="1">
      <alignment vertical="top" wrapText="1"/>
    </xf>
    <xf numFmtId="0" fontId="12" fillId="0" borderId="2" xfId="0" applyFont="1" applyBorder="1" applyAlignment="1">
      <alignment horizontal="center" vertical="top" wrapText="1"/>
    </xf>
    <xf numFmtId="0" fontId="12" fillId="0" borderId="2" xfId="0" applyFont="1" applyBorder="1" applyAlignment="1">
      <alignment horizontal="left" vertical="top" wrapText="1"/>
    </xf>
    <xf numFmtId="166" fontId="12" fillId="0" borderId="2" xfId="0" applyNumberFormat="1" applyFont="1" applyBorder="1" applyAlignment="1">
      <alignment vertical="top" wrapText="1"/>
    </xf>
    <xf numFmtId="166" fontId="12" fillId="0" borderId="2" xfId="7" applyNumberFormat="1" applyFont="1" applyBorder="1" applyAlignment="1">
      <alignment vertical="top" wrapText="1"/>
    </xf>
    <xf numFmtId="166" fontId="12" fillId="15" borderId="2" xfId="7" applyNumberFormat="1" applyFont="1" applyFill="1" applyBorder="1" applyAlignment="1">
      <alignment vertical="top" wrapText="1"/>
    </xf>
    <xf numFmtId="166" fontId="11" fillId="0" borderId="2" xfId="7" applyNumberFormat="1" applyFont="1" applyBorder="1" applyAlignment="1">
      <alignment vertical="top" wrapText="1"/>
    </xf>
    <xf numFmtId="166" fontId="12" fillId="16" borderId="2" xfId="7" applyNumberFormat="1" applyFont="1" applyFill="1" applyBorder="1" applyAlignment="1">
      <alignment vertical="top" wrapText="1"/>
    </xf>
    <xf numFmtId="43" fontId="12" fillId="0" borderId="2" xfId="5" applyFont="1" applyBorder="1" applyAlignment="1">
      <alignment vertical="top" wrapText="1"/>
    </xf>
    <xf numFmtId="0" fontId="7" fillId="0" borderId="2" xfId="0" applyFont="1" applyBorder="1" applyAlignment="1">
      <alignment vertical="center"/>
    </xf>
    <xf numFmtId="0" fontId="3" fillId="10" borderId="0" xfId="1" applyNumberFormat="1" applyFont="1" applyFill="1" applyBorder="1"/>
    <xf numFmtId="164" fontId="7" fillId="0" borderId="0" xfId="1" applyNumberFormat="1" applyFont="1" applyAlignment="1"/>
    <xf numFmtId="43" fontId="7" fillId="0" borderId="2" xfId="1" applyFont="1" applyBorder="1" applyAlignment="1">
      <alignment wrapText="1"/>
    </xf>
    <xf numFmtId="164" fontId="8" fillId="0" borderId="0" xfId="1" applyNumberFormat="1" applyFont="1"/>
    <xf numFmtId="164" fontId="8" fillId="0" borderId="0" xfId="1" applyNumberFormat="1" applyFont="1" applyAlignment="1">
      <alignment horizontal="left"/>
    </xf>
    <xf numFmtId="43" fontId="60" fillId="0" borderId="0" xfId="1" applyFont="1" applyAlignment="1">
      <alignment horizontal="left"/>
    </xf>
    <xf numFmtId="43" fontId="60" fillId="0" borderId="0" xfId="1" applyFont="1"/>
    <xf numFmtId="43" fontId="60" fillId="0" borderId="0" xfId="1" applyFont="1" applyBorder="1" applyAlignment="1">
      <alignment horizontal="center" vertical="top" wrapText="1"/>
    </xf>
    <xf numFmtId="43" fontId="60" fillId="0" borderId="0" xfId="1" applyFont="1" applyAlignment="1">
      <alignment horizontal="right"/>
    </xf>
    <xf numFmtId="43" fontId="7" fillId="0" borderId="2" xfId="1" applyFont="1" applyBorder="1" applyAlignment="1">
      <alignment horizontal="left" vertical="center" wrapText="1"/>
    </xf>
    <xf numFmtId="164" fontId="7" fillId="0" borderId="2" xfId="1" applyNumberFormat="1" applyFont="1" applyBorder="1" applyAlignment="1">
      <alignment horizontal="left" wrapText="1"/>
    </xf>
    <xf numFmtId="4" fontId="7" fillId="0" borderId="2" xfId="0" applyNumberFormat="1" applyFont="1" applyBorder="1" applyAlignment="1">
      <alignment vertical="center" wrapText="1"/>
    </xf>
    <xf numFmtId="4" fontId="7" fillId="0" borderId="2" xfId="0" applyNumberFormat="1" applyFont="1" applyFill="1" applyBorder="1" applyAlignment="1">
      <alignment vertical="center"/>
    </xf>
    <xf numFmtId="166" fontId="7" fillId="0" borderId="2" xfId="1" applyNumberFormat="1" applyFont="1" applyBorder="1" applyAlignment="1">
      <alignment wrapText="1"/>
    </xf>
    <xf numFmtId="4" fontId="7" fillId="0" borderId="2" xfId="1" applyNumberFormat="1" applyFont="1" applyBorder="1" applyAlignment="1">
      <alignment wrapText="1"/>
    </xf>
    <xf numFmtId="164" fontId="7" fillId="0" borderId="12" xfId="1" applyNumberFormat="1" applyFont="1" applyBorder="1" applyAlignment="1">
      <alignment horizontal="left" wrapText="1"/>
    </xf>
    <xf numFmtId="4" fontId="7" fillId="0" borderId="14" xfId="1" applyNumberFormat="1" applyFont="1" applyBorder="1" applyAlignment="1">
      <alignment wrapText="1"/>
    </xf>
    <xf numFmtId="0" fontId="7" fillId="3" borderId="2" xfId="0" applyFont="1" applyFill="1" applyBorder="1" applyAlignment="1"/>
    <xf numFmtId="4" fontId="7" fillId="0" borderId="2" xfId="0" applyNumberFormat="1" applyFont="1" applyBorder="1" applyAlignment="1">
      <alignment vertical="center"/>
    </xf>
    <xf numFmtId="4" fontId="7" fillId="0" borderId="2" xfId="1" applyNumberFormat="1" applyFont="1" applyBorder="1" applyAlignment="1">
      <alignment horizontal="left" wrapText="1"/>
    </xf>
    <xf numFmtId="43" fontId="7" fillId="0" borderId="2" xfId="1" applyFont="1" applyBorder="1" applyAlignment="1">
      <alignment horizontal="left" wrapText="1"/>
    </xf>
    <xf numFmtId="166" fontId="7" fillId="0" borderId="2" xfId="1" applyNumberFormat="1" applyFont="1" applyBorder="1" applyAlignment="1">
      <alignment horizontal="center" wrapText="1"/>
    </xf>
    <xf numFmtId="164" fontId="7" fillId="0" borderId="2" xfId="1" applyNumberFormat="1" applyFont="1" applyBorder="1" applyAlignment="1">
      <alignment horizontal="center" wrapText="1"/>
    </xf>
    <xf numFmtId="43" fontId="7" fillId="0" borderId="0" xfId="1" applyFont="1" applyAlignment="1">
      <alignment horizontal="left" vertical="top" wrapText="1" indent="1"/>
    </xf>
    <xf numFmtId="43" fontId="7" fillId="0" borderId="0" xfId="1" applyFont="1" applyAlignment="1">
      <alignment horizontal="center"/>
    </xf>
    <xf numFmtId="0" fontId="25" fillId="0" borderId="0" xfId="0" applyFont="1"/>
    <xf numFmtId="43" fontId="25" fillId="0" borderId="0" xfId="5" applyFont="1" applyAlignment="1">
      <alignment horizontal="center" vertical="center"/>
    </xf>
    <xf numFmtId="164" fontId="25" fillId="0" borderId="0" xfId="5" applyNumberFormat="1" applyFont="1" applyAlignment="1">
      <alignment horizontal="center" vertical="center"/>
    </xf>
    <xf numFmtId="43" fontId="25" fillId="0" borderId="0" xfId="1" applyFont="1"/>
    <xf numFmtId="0" fontId="25" fillId="0" borderId="0" xfId="0" applyFont="1" applyAlignment="1">
      <alignment vertical="center"/>
    </xf>
    <xf numFmtId="0" fontId="25" fillId="0" borderId="17" xfId="0" applyFont="1" applyBorder="1"/>
    <xf numFmtId="0" fontId="64" fillId="0" borderId="0" xfId="0" applyFont="1" applyBorder="1" applyAlignment="1"/>
    <xf numFmtId="0" fontId="65" fillId="0" borderId="0" xfId="0" applyFont="1"/>
    <xf numFmtId="0" fontId="64" fillId="0" borderId="0" xfId="0" applyFont="1" applyAlignment="1">
      <alignment horizontal="center"/>
    </xf>
    <xf numFmtId="164" fontId="64" fillId="0" borderId="0" xfId="5" applyNumberFormat="1" applyFont="1" applyAlignment="1">
      <alignment horizontal="center" vertical="center"/>
    </xf>
    <xf numFmtId="43" fontId="64" fillId="0" borderId="0" xfId="5" applyFont="1" applyAlignment="1">
      <alignment horizontal="center" vertical="center"/>
    </xf>
    <xf numFmtId="0" fontId="64" fillId="0" borderId="0" xfId="0" applyFont="1" applyFill="1" applyAlignment="1">
      <alignment horizontal="left"/>
    </xf>
    <xf numFmtId="0" fontId="64" fillId="0" borderId="0" xfId="0" applyFont="1"/>
    <xf numFmtId="0" fontId="25" fillId="0" borderId="2" xfId="0" applyFont="1" applyBorder="1" applyAlignment="1">
      <alignment horizontal="left"/>
    </xf>
    <xf numFmtId="0" fontId="64" fillId="0" borderId="2" xfId="0" applyFont="1" applyBorder="1" applyAlignment="1">
      <alignment horizontal="center" vertical="center" wrapText="1"/>
    </xf>
    <xf numFmtId="164" fontId="64" fillId="0" borderId="2" xfId="5" applyNumberFormat="1" applyFont="1" applyBorder="1" applyAlignment="1">
      <alignment horizontal="center" vertical="center" wrapText="1"/>
    </xf>
    <xf numFmtId="43" fontId="64" fillId="0" borderId="2" xfId="5" applyFont="1" applyBorder="1" applyAlignment="1">
      <alignment horizontal="center" vertical="center" wrapText="1"/>
    </xf>
    <xf numFmtId="1" fontId="25" fillId="0" borderId="2" xfId="0" applyNumberFormat="1" applyFont="1" applyBorder="1" applyAlignment="1">
      <alignment horizontal="center" vertical="center" wrapText="1"/>
    </xf>
    <xf numFmtId="37" fontId="25" fillId="0" borderId="2" xfId="5" applyNumberFormat="1" applyFont="1" applyBorder="1" applyAlignment="1">
      <alignment horizontal="center" vertical="center"/>
    </xf>
    <xf numFmtId="43" fontId="25" fillId="0" borderId="2" xfId="5" applyFont="1" applyBorder="1" applyAlignment="1">
      <alignment horizontal="center" vertical="center"/>
    </xf>
    <xf numFmtId="0" fontId="25" fillId="0" borderId="0" xfId="0" applyFont="1" applyAlignment="1">
      <alignment horizontal="center" vertical="center"/>
    </xf>
    <xf numFmtId="43" fontId="25" fillId="0" borderId="0" xfId="1" applyFont="1" applyAlignment="1">
      <alignment horizontal="center" vertical="center"/>
    </xf>
    <xf numFmtId="0" fontId="25" fillId="0" borderId="2" xfId="0" applyFont="1" applyBorder="1" applyAlignment="1">
      <alignment horizontal="left" textRotation="90" wrapText="1"/>
    </xf>
    <xf numFmtId="37" fontId="25" fillId="0" borderId="2" xfId="5" applyNumberFormat="1" applyFont="1" applyBorder="1" applyAlignment="1">
      <alignment horizontal="center" vertical="center" wrapText="1"/>
    </xf>
    <xf numFmtId="43" fontId="25" fillId="0" borderId="2" xfId="5" applyFont="1" applyBorder="1" applyAlignment="1">
      <alignment horizontal="center" vertical="center" wrapText="1"/>
    </xf>
    <xf numFmtId="0" fontId="25" fillId="0" borderId="0" xfId="0" applyFont="1" applyAlignment="1">
      <alignment wrapText="1"/>
    </xf>
    <xf numFmtId="43" fontId="25" fillId="0" borderId="0" xfId="1" applyFont="1" applyAlignment="1">
      <alignment wrapText="1"/>
    </xf>
    <xf numFmtId="43" fontId="25" fillId="0" borderId="0" xfId="0" applyNumberFormat="1" applyFont="1" applyAlignment="1">
      <alignment wrapText="1"/>
    </xf>
    <xf numFmtId="0" fontId="25" fillId="0" borderId="2" xfId="0" applyFont="1" applyBorder="1" applyAlignment="1">
      <alignment horizontal="left" wrapText="1"/>
    </xf>
    <xf numFmtId="0" fontId="25" fillId="0" borderId="2" xfId="0" applyFont="1" applyBorder="1" applyAlignment="1">
      <alignment wrapText="1"/>
    </xf>
    <xf numFmtId="0" fontId="64" fillId="0" borderId="2" xfId="0" applyFont="1" applyBorder="1"/>
    <xf numFmtId="0" fontId="64" fillId="0" borderId="2" xfId="0" applyFont="1" applyBorder="1" applyAlignment="1">
      <alignment horizontal="left" wrapText="1"/>
    </xf>
    <xf numFmtId="43" fontId="25" fillId="0" borderId="0" xfId="0" applyNumberFormat="1" applyFont="1"/>
    <xf numFmtId="0" fontId="25" fillId="0" borderId="2" xfId="0" applyFont="1" applyBorder="1"/>
    <xf numFmtId="43" fontId="25" fillId="0" borderId="2" xfId="1" applyFont="1" applyBorder="1" applyAlignment="1">
      <alignment horizontal="center" vertical="center"/>
    </xf>
    <xf numFmtId="37" fontId="25" fillId="0" borderId="0" xfId="5" applyNumberFormat="1" applyFont="1" applyAlignment="1">
      <alignment horizontal="center" vertical="center"/>
    </xf>
    <xf numFmtId="0" fontId="25" fillId="0" borderId="2" xfId="0" applyFont="1" applyBorder="1" applyAlignment="1">
      <alignment vertical="center"/>
    </xf>
    <xf numFmtId="39" fontId="25" fillId="0" borderId="2" xfId="0" applyNumberFormat="1" applyFont="1" applyBorder="1"/>
    <xf numFmtId="39" fontId="25" fillId="0" borderId="0" xfId="0" applyNumberFormat="1" applyFont="1"/>
    <xf numFmtId="43" fontId="25" fillId="0" borderId="0" xfId="5" applyFont="1" applyAlignment="1">
      <alignment horizontal="left"/>
    </xf>
    <xf numFmtId="0" fontId="7" fillId="0" borderId="0" xfId="0" applyFont="1" applyFill="1" applyAlignment="1">
      <alignment horizontal="left" wrapText="1"/>
    </xf>
    <xf numFmtId="0" fontId="51" fillId="0" borderId="0" xfId="0" applyFont="1" applyFill="1" applyAlignment="1">
      <alignment horizontal="left"/>
    </xf>
    <xf numFmtId="0" fontId="7" fillId="0" borderId="0" xfId="0" applyFont="1" applyFill="1" applyAlignment="1">
      <alignment horizontal="left" indent="15"/>
    </xf>
    <xf numFmtId="0" fontId="60" fillId="0" borderId="0" xfId="0" applyFont="1" applyFill="1" applyAlignment="1">
      <alignment horizontal="right"/>
    </xf>
    <xf numFmtId="0" fontId="8" fillId="0" borderId="2" xfId="0" applyFont="1" applyFill="1" applyBorder="1" applyAlignment="1">
      <alignment horizontal="center" vertical="center" wrapText="1"/>
    </xf>
    <xf numFmtId="0" fontId="8" fillId="0" borderId="2" xfId="0" applyFont="1" applyFill="1" applyBorder="1" applyAlignment="1">
      <alignment horizontal="center" wrapText="1"/>
    </xf>
    <xf numFmtId="43" fontId="8" fillId="0" borderId="2" xfId="7" applyNumberFormat="1" applyFont="1" applyFill="1" applyBorder="1" applyAlignment="1">
      <alignment horizontal="center" vertical="center" wrapText="1"/>
    </xf>
    <xf numFmtId="166" fontId="8" fillId="0" borderId="2" xfId="7" applyNumberFormat="1" applyFont="1" applyFill="1" applyBorder="1" applyAlignment="1">
      <alignment horizontal="center" vertical="center" wrapText="1"/>
    </xf>
    <xf numFmtId="0" fontId="7" fillId="0" borderId="2" xfId="0" applyFont="1" applyFill="1" applyBorder="1" applyAlignment="1">
      <alignment horizontal="center" wrapText="1"/>
    </xf>
    <xf numFmtId="43" fontId="7" fillId="0" borderId="2" xfId="7" applyNumberFormat="1" applyFont="1" applyFill="1" applyBorder="1" applyAlignment="1">
      <alignment horizontal="center" vertical="center" wrapText="1"/>
    </xf>
    <xf numFmtId="166" fontId="7" fillId="0" borderId="2" xfId="7" applyNumberFormat="1" applyFont="1" applyFill="1" applyBorder="1" applyAlignment="1">
      <alignment horizontal="left" vertical="top" wrapText="1"/>
    </xf>
    <xf numFmtId="0" fontId="7" fillId="0" borderId="2" xfId="0" applyFont="1" applyFill="1" applyBorder="1" applyAlignment="1">
      <alignment horizontal="left" vertical="center" wrapText="1"/>
    </xf>
    <xf numFmtId="43" fontId="8" fillId="3" borderId="2" xfId="7" applyNumberFormat="1" applyFont="1" applyFill="1" applyBorder="1" applyAlignment="1">
      <alignment horizontal="center" vertical="center" wrapText="1"/>
    </xf>
    <xf numFmtId="166" fontId="7" fillId="0" borderId="2" xfId="7" applyNumberFormat="1" applyFont="1" applyFill="1" applyBorder="1" applyAlignment="1">
      <alignment horizontal="center" vertical="center" wrapText="1"/>
    </xf>
    <xf numFmtId="166" fontId="7" fillId="0" borderId="2" xfId="7" applyNumberFormat="1" applyFont="1" applyFill="1" applyBorder="1" applyAlignment="1">
      <alignment horizontal="left" vertical="center" wrapText="1"/>
    </xf>
    <xf numFmtId="166" fontId="8" fillId="0" borderId="2" xfId="7" applyNumberFormat="1" applyFont="1" applyFill="1" applyBorder="1" applyAlignment="1">
      <alignment horizontal="left" vertical="center" wrapText="1"/>
    </xf>
    <xf numFmtId="0" fontId="7" fillId="0" borderId="2" xfId="0" applyFont="1" applyFill="1" applyBorder="1" applyAlignment="1">
      <alignment horizontal="center" vertical="center" wrapText="1"/>
    </xf>
    <xf numFmtId="166" fontId="7" fillId="0" borderId="2" xfId="0" applyNumberFormat="1" applyFont="1" applyFill="1" applyBorder="1" applyAlignment="1">
      <alignment horizontal="left" vertical="top" wrapText="1"/>
    </xf>
    <xf numFmtId="166" fontId="7" fillId="0" borderId="2" xfId="0" applyNumberFormat="1" applyFont="1" applyFill="1" applyBorder="1" applyAlignment="1">
      <alignment horizontal="left" wrapText="1"/>
    </xf>
    <xf numFmtId="0" fontId="7" fillId="0" borderId="2" xfId="0" applyFont="1" applyFill="1" applyBorder="1" applyAlignment="1">
      <alignment horizontal="left" vertical="top" wrapText="1"/>
    </xf>
    <xf numFmtId="43" fontId="7" fillId="0" borderId="0" xfId="5" applyFont="1" applyAlignment="1">
      <alignment vertical="center"/>
    </xf>
    <xf numFmtId="0" fontId="7" fillId="0" borderId="0" xfId="0" applyFont="1" applyFill="1" applyBorder="1" applyAlignment="1">
      <alignment horizontal="center" wrapText="1"/>
    </xf>
    <xf numFmtId="166" fontId="7" fillId="0" borderId="0" xfId="0" applyNumberFormat="1" applyFont="1" applyFill="1" applyBorder="1" applyAlignment="1">
      <alignment horizontal="left" vertical="top" wrapText="1"/>
    </xf>
    <xf numFmtId="0" fontId="7" fillId="0" borderId="2" xfId="0" applyFont="1" applyFill="1" applyBorder="1" applyAlignment="1">
      <alignment horizontal="left"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166" fontId="8" fillId="0" borderId="0" xfId="7" applyNumberFormat="1" applyFont="1" applyFill="1" applyBorder="1" applyAlignment="1">
      <alignment horizontal="center" vertical="center" wrapText="1"/>
    </xf>
    <xf numFmtId="0" fontId="7" fillId="0" borderId="0" xfId="0" applyFont="1" applyBorder="1" applyAlignment="1">
      <alignment vertical="center"/>
    </xf>
    <xf numFmtId="43" fontId="7" fillId="0" borderId="0" xfId="5" applyFont="1" applyBorder="1" applyAlignment="1">
      <alignment vertical="center"/>
    </xf>
    <xf numFmtId="43" fontId="8" fillId="0" borderId="2" xfId="0" applyNumberFormat="1" applyFont="1" applyFill="1" applyBorder="1" applyAlignment="1">
      <alignment horizontal="left" vertical="center" wrapText="1"/>
    </xf>
    <xf numFmtId="166" fontId="8" fillId="0" borderId="2" xfId="0" applyNumberFormat="1" applyFont="1" applyFill="1" applyBorder="1" applyAlignment="1">
      <alignment horizontal="left" vertical="center" wrapText="1"/>
    </xf>
    <xf numFmtId="166" fontId="8" fillId="0" borderId="0" xfId="0" applyNumberFormat="1" applyFont="1" applyFill="1" applyBorder="1" applyAlignment="1">
      <alignment horizontal="left" vertical="center" wrapText="1"/>
    </xf>
    <xf numFmtId="0" fontId="8" fillId="0" borderId="0" xfId="0" applyFont="1" applyFill="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horizontal="center" vertical="center" wrapText="1"/>
    </xf>
    <xf numFmtId="43" fontId="7" fillId="13" borderId="2" xfId="5" applyFont="1" applyFill="1" applyBorder="1" applyAlignment="1">
      <alignment horizontal="right" vertical="center" wrapText="1"/>
    </xf>
    <xf numFmtId="43" fontId="7" fillId="14" borderId="2" xfId="5" applyFont="1" applyFill="1" applyBorder="1" applyAlignment="1">
      <alignment horizontal="right" vertical="center" wrapText="1"/>
    </xf>
    <xf numFmtId="43" fontId="7" fillId="15" borderId="2" xfId="5" applyFont="1" applyFill="1" applyBorder="1" applyAlignment="1">
      <alignment horizontal="right" vertical="center" wrapText="1"/>
    </xf>
    <xf numFmtId="166" fontId="7" fillId="13" borderId="2" xfId="7" applyNumberFormat="1" applyFont="1" applyFill="1" applyBorder="1" applyAlignment="1">
      <alignment horizontal="right" vertical="center" wrapText="1"/>
    </xf>
    <xf numFmtId="43" fontId="7" fillId="0" borderId="0" xfId="0" applyNumberFormat="1" applyFont="1" applyFill="1" applyAlignment="1">
      <alignment horizontal="left"/>
    </xf>
    <xf numFmtId="0" fontId="12" fillId="0" borderId="0" xfId="0" applyFont="1" applyAlignment="1">
      <alignment horizontal="left" readingOrder="1"/>
    </xf>
    <xf numFmtId="0" fontId="7" fillId="0" borderId="17" xfId="0" applyFont="1" applyBorder="1" applyAlignment="1">
      <alignment wrapText="1"/>
    </xf>
    <xf numFmtId="0" fontId="7" fillId="0" borderId="3" xfId="0" applyFont="1" applyBorder="1"/>
    <xf numFmtId="0" fontId="7" fillId="0" borderId="3" xfId="0" applyFont="1" applyBorder="1" applyAlignment="1">
      <alignment wrapText="1"/>
    </xf>
    <xf numFmtId="0" fontId="31" fillId="0" borderId="0" xfId="0" applyFont="1" applyAlignment="1">
      <alignment horizontal="left"/>
    </xf>
    <xf numFmtId="0" fontId="31" fillId="0" borderId="3" xfId="0" applyFont="1" applyBorder="1" applyAlignment="1">
      <alignment horizontal="left"/>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vertical="center" wrapText="1"/>
    </xf>
    <xf numFmtId="0" fontId="7" fillId="3" borderId="8" xfId="0" applyNumberFormat="1" applyFont="1" applyFill="1" applyBorder="1" applyAlignment="1">
      <alignment horizontal="right" vertical="center" wrapText="1"/>
    </xf>
    <xf numFmtId="0" fontId="7" fillId="3" borderId="8" xfId="0" applyNumberFormat="1" applyFont="1" applyFill="1" applyBorder="1" applyAlignment="1">
      <alignment horizontal="center" vertical="center" wrapText="1"/>
    </xf>
    <xf numFmtId="0" fontId="7" fillId="3" borderId="16" xfId="0" applyNumberFormat="1" applyFont="1" applyFill="1" applyBorder="1" applyAlignment="1">
      <alignment horizontal="center" vertical="center" wrapText="1"/>
    </xf>
    <xf numFmtId="43" fontId="8" fillId="3" borderId="8" xfId="1" applyFont="1" applyFill="1" applyBorder="1" applyAlignment="1">
      <alignment horizontal="right" vertical="center" wrapText="1"/>
    </xf>
    <xf numFmtId="43" fontId="8" fillId="3" borderId="16" xfId="1" applyFont="1" applyFill="1" applyBorder="1" applyAlignment="1">
      <alignment horizontal="right" vertical="center" wrapText="1"/>
    </xf>
    <xf numFmtId="43" fontId="7" fillId="3" borderId="8" xfId="1" applyFont="1" applyFill="1" applyBorder="1" applyAlignment="1">
      <alignment horizontal="right" vertical="center" wrapText="1"/>
    </xf>
    <xf numFmtId="43" fontId="7" fillId="3" borderId="16" xfId="1" applyFont="1" applyFill="1" applyBorder="1" applyAlignment="1">
      <alignment horizontal="right" vertical="center" wrapText="1"/>
    </xf>
    <xf numFmtId="43" fontId="7" fillId="3" borderId="8" xfId="1" applyNumberFormat="1" applyFont="1" applyFill="1" applyBorder="1" applyAlignment="1">
      <alignment horizontal="right" vertical="center" wrapText="1"/>
    </xf>
    <xf numFmtId="0" fontId="7" fillId="3" borderId="0" xfId="0" applyNumberFormat="1" applyFont="1" applyFill="1" applyBorder="1" applyAlignment="1">
      <alignment horizontal="center" wrapText="1"/>
    </xf>
    <xf numFmtId="43" fontId="7" fillId="3" borderId="0" xfId="1" applyFont="1" applyFill="1" applyBorder="1" applyAlignment="1">
      <alignment wrapText="1"/>
    </xf>
    <xf numFmtId="166" fontId="7" fillId="3" borderId="0" xfId="1" applyNumberFormat="1" applyFont="1" applyFill="1" applyBorder="1" applyAlignment="1">
      <alignment vertical="center" wrapText="1"/>
    </xf>
    <xf numFmtId="0" fontId="7" fillId="3" borderId="0" xfId="0" applyNumberFormat="1" applyFont="1" applyFill="1" applyBorder="1" applyAlignment="1">
      <alignment wrapText="1"/>
    </xf>
    <xf numFmtId="0" fontId="7" fillId="3" borderId="0" xfId="0" applyNumberFormat="1" applyFont="1" applyFill="1" applyBorder="1" applyAlignment="1">
      <alignment horizontal="left" wrapText="1"/>
    </xf>
    <xf numFmtId="0" fontId="7" fillId="3" borderId="5" xfId="0" applyNumberFormat="1" applyFont="1" applyFill="1" applyBorder="1" applyAlignment="1">
      <alignment horizontal="right" vertical="center" wrapText="1"/>
    </xf>
    <xf numFmtId="0" fontId="7" fillId="3" borderId="5" xfId="0" applyNumberFormat="1" applyFont="1" applyFill="1" applyBorder="1" applyAlignment="1">
      <alignment horizontal="left" vertical="center" wrapText="1"/>
    </xf>
    <xf numFmtId="43" fontId="3" fillId="3" borderId="11" xfId="0" applyNumberFormat="1" applyFont="1" applyFill="1" applyBorder="1"/>
    <xf numFmtId="43" fontId="3" fillId="3" borderId="8" xfId="0" applyNumberFormat="1" applyFont="1" applyFill="1" applyBorder="1"/>
    <xf numFmtId="0" fontId="3" fillId="3" borderId="11" xfId="3" applyFont="1" applyFill="1" applyBorder="1" applyAlignment="1">
      <alignment horizontal="right"/>
    </xf>
    <xf numFmtId="0" fontId="3" fillId="3" borderId="0" xfId="3" applyFont="1" applyFill="1" applyBorder="1" applyAlignment="1">
      <alignment horizontal="right"/>
    </xf>
    <xf numFmtId="0" fontId="7" fillId="0" borderId="2" xfId="1" applyNumberFormat="1" applyFont="1" applyBorder="1"/>
    <xf numFmtId="43" fontId="7" fillId="0" borderId="0" xfId="1" applyFont="1" applyBorder="1" applyAlignment="1">
      <alignment horizontal="center" vertical="top" wrapText="1"/>
    </xf>
    <xf numFmtId="43" fontId="7" fillId="0" borderId="2" xfId="1" applyFont="1" applyBorder="1" applyAlignment="1">
      <alignment horizontal="center" wrapText="1"/>
    </xf>
    <xf numFmtId="43" fontId="7" fillId="0" borderId="2" xfId="1" applyFont="1" applyBorder="1" applyAlignment="1">
      <alignment horizontal="center" vertical="center" wrapText="1"/>
    </xf>
    <xf numFmtId="164" fontId="8" fillId="2" borderId="12" xfId="5" applyNumberFormat="1" applyFont="1" applyFill="1" applyBorder="1" applyAlignment="1">
      <alignment horizontal="center"/>
    </xf>
    <xf numFmtId="43" fontId="8" fillId="2" borderId="2" xfId="5" applyFont="1" applyFill="1" applyBorder="1"/>
    <xf numFmtId="43" fontId="7" fillId="0" borderId="2" xfId="5" applyFont="1" applyBorder="1"/>
    <xf numFmtId="1" fontId="7" fillId="0" borderId="2" xfId="5" applyNumberFormat="1" applyFont="1" applyBorder="1"/>
    <xf numFmtId="43" fontId="3" fillId="3" borderId="11" xfId="3" applyNumberFormat="1" applyFont="1" applyFill="1" applyBorder="1"/>
    <xf numFmtId="43" fontId="7" fillId="0" borderId="11" xfId="5" applyFont="1" applyBorder="1"/>
    <xf numFmtId="1" fontId="7" fillId="0" borderId="11" xfId="5" applyNumberFormat="1" applyFont="1" applyBorder="1"/>
    <xf numFmtId="0" fontId="3" fillId="3" borderId="0" xfId="3" applyFont="1" applyFill="1" applyBorder="1"/>
    <xf numFmtId="43" fontId="3" fillId="3" borderId="0" xfId="3" applyNumberFormat="1" applyFont="1" applyFill="1" applyBorder="1"/>
    <xf numFmtId="43" fontId="13" fillId="3" borderId="0" xfId="3" applyNumberFormat="1" applyFont="1" applyFill="1" applyBorder="1"/>
    <xf numFmtId="43" fontId="7" fillId="0" borderId="10" xfId="5" applyFont="1" applyFill="1" applyBorder="1"/>
    <xf numFmtId="43" fontId="7" fillId="0" borderId="55" xfId="5" applyFont="1" applyFill="1" applyBorder="1"/>
    <xf numFmtId="43" fontId="7" fillId="0" borderId="11" xfId="5" applyFont="1" applyFill="1" applyBorder="1"/>
    <xf numFmtId="43" fontId="36" fillId="0" borderId="0" xfId="1" applyFont="1" applyAlignment="1">
      <alignment horizontal="left"/>
    </xf>
    <xf numFmtId="0" fontId="21" fillId="0" borderId="0" xfId="0" applyFont="1" applyAlignment="1"/>
    <xf numFmtId="0" fontId="21" fillId="0" borderId="0" xfId="0" applyFont="1" applyBorder="1" applyAlignment="1">
      <alignment horizontal="center"/>
    </xf>
    <xf numFmtId="0" fontId="2" fillId="0" borderId="0" xfId="0" applyFont="1" applyBorder="1" applyAlignment="1">
      <alignment horizontal="center"/>
    </xf>
    <xf numFmtId="0" fontId="67" fillId="0" borderId="35" xfId="0" applyFont="1" applyBorder="1" applyAlignment="1">
      <alignment horizontal="center"/>
    </xf>
    <xf numFmtId="0" fontId="67" fillId="0" borderId="35" xfId="0" applyFont="1" applyBorder="1" applyAlignment="1"/>
    <xf numFmtId="0" fontId="68" fillId="0" borderId="0" xfId="0" applyFont="1" applyBorder="1" applyAlignment="1"/>
    <xf numFmtId="43" fontId="25" fillId="0" borderId="0" xfId="5" applyFont="1" applyAlignment="1">
      <alignment horizontal="right" vertical="center"/>
    </xf>
    <xf numFmtId="14" fontId="7" fillId="19" borderId="13" xfId="0" applyNumberFormat="1" applyFont="1" applyFill="1" applyBorder="1" applyAlignment="1">
      <alignment horizontal="center"/>
    </xf>
    <xf numFmtId="14" fontId="7" fillId="19" borderId="14" xfId="0" applyNumberFormat="1" applyFont="1" applyFill="1" applyBorder="1"/>
    <xf numFmtId="14" fontId="7" fillId="0" borderId="14" xfId="0" applyNumberFormat="1" applyFont="1" applyBorder="1"/>
    <xf numFmtId="14" fontId="7" fillId="0" borderId="0" xfId="0" applyNumberFormat="1" applyFont="1" applyBorder="1"/>
    <xf numFmtId="43" fontId="25" fillId="0" borderId="0" xfId="1" applyFont="1" applyBorder="1"/>
    <xf numFmtId="43" fontId="25" fillId="0" borderId="0" xfId="1" applyFont="1" applyBorder="1" applyAlignment="1">
      <alignment horizontal="center" vertical="center"/>
    </xf>
    <xf numFmtId="43" fontId="25" fillId="0" borderId="0" xfId="1" applyFont="1" applyBorder="1" applyAlignment="1">
      <alignment wrapText="1"/>
    </xf>
    <xf numFmtId="14" fontId="7" fillId="0" borderId="0" xfId="0" applyNumberFormat="1" applyFont="1" applyFill="1" applyBorder="1" applyAlignment="1">
      <alignment horizontal="center"/>
    </xf>
    <xf numFmtId="14" fontId="7" fillId="0" borderId="0" xfId="0" applyNumberFormat="1" applyFont="1" applyFill="1" applyBorder="1"/>
    <xf numFmtId="43" fontId="3" fillId="3" borderId="45" xfId="1" applyFont="1" applyFill="1" applyBorder="1"/>
    <xf numFmtId="43" fontId="3" fillId="2" borderId="2" xfId="1" applyFont="1" applyFill="1" applyBorder="1" applyAlignment="1">
      <alignment horizontal="center"/>
    </xf>
    <xf numFmtId="43" fontId="8" fillId="2" borderId="12" xfId="5" applyFont="1" applyFill="1" applyBorder="1" applyAlignment="1">
      <alignment horizontal="center" vertical="top"/>
    </xf>
    <xf numFmtId="43" fontId="8" fillId="2" borderId="13" xfId="5" applyFont="1" applyFill="1" applyBorder="1" applyAlignment="1">
      <alignment horizontal="center" vertical="top"/>
    </xf>
    <xf numFmtId="43" fontId="8" fillId="2" borderId="14" xfId="5" applyFont="1" applyFill="1" applyBorder="1" applyAlignment="1">
      <alignment horizontal="center" vertical="top"/>
    </xf>
    <xf numFmtId="43" fontId="8" fillId="2" borderId="2" xfId="5" applyFont="1" applyFill="1" applyBorder="1" applyAlignment="1">
      <alignment horizontal="center" vertical="center"/>
    </xf>
    <xf numFmtId="164" fontId="3" fillId="2" borderId="11" xfId="5" applyNumberFormat="1" applyFont="1" applyFill="1" applyBorder="1" applyAlignment="1">
      <alignment horizontal="center" vertical="center" wrapText="1"/>
    </xf>
    <xf numFmtId="164" fontId="3" fillId="2" borderId="36" xfId="5" applyNumberFormat="1" applyFont="1" applyFill="1" applyBorder="1" applyAlignment="1">
      <alignment horizontal="center" vertical="center" wrapText="1"/>
    </xf>
    <xf numFmtId="0" fontId="3" fillId="2" borderId="11" xfId="5" applyNumberFormat="1" applyFont="1" applyFill="1" applyBorder="1" applyAlignment="1">
      <alignment horizontal="center" vertical="center" wrapText="1"/>
    </xf>
    <xf numFmtId="0" fontId="3" fillId="2" borderId="36" xfId="5" applyNumberFormat="1" applyFont="1" applyFill="1" applyBorder="1" applyAlignment="1">
      <alignment horizontal="center" vertical="center" wrapText="1"/>
    </xf>
    <xf numFmtId="0" fontId="7" fillId="2" borderId="41" xfId="1" applyNumberFormat="1" applyFont="1" applyFill="1" applyBorder="1" applyAlignment="1">
      <alignment horizontal="center" vertical="center"/>
    </xf>
    <xf numFmtId="0" fontId="7" fillId="2" borderId="42" xfId="1" applyNumberFormat="1" applyFont="1" applyFill="1" applyBorder="1" applyAlignment="1">
      <alignment horizontal="center" vertical="center"/>
    </xf>
    <xf numFmtId="43" fontId="7" fillId="2" borderId="39" xfId="1" applyFont="1" applyFill="1" applyBorder="1" applyAlignment="1">
      <alignment horizontal="center" vertical="center"/>
    </xf>
    <xf numFmtId="43" fontId="7" fillId="2" borderId="40" xfId="1" applyFont="1" applyFill="1" applyBorder="1" applyAlignment="1">
      <alignment horizontal="center" vertical="center"/>
    </xf>
    <xf numFmtId="0" fontId="3" fillId="2" borderId="2" xfId="0" applyFont="1" applyFill="1" applyBorder="1" applyAlignment="1">
      <alignment horizontal="center"/>
    </xf>
    <xf numFmtId="0" fontId="7" fillId="2" borderId="2" xfId="0" applyNumberFormat="1" applyFont="1" applyFill="1" applyBorder="1" applyAlignment="1">
      <alignment horizontal="center"/>
    </xf>
    <xf numFmtId="43" fontId="3" fillId="0" borderId="12" xfId="1" applyFont="1" applyBorder="1" applyAlignment="1">
      <alignment horizontal="left"/>
    </xf>
    <xf numFmtId="43" fontId="3" fillId="0" borderId="14" xfId="1" applyFont="1" applyBorder="1" applyAlignment="1">
      <alignment horizontal="left"/>
    </xf>
    <xf numFmtId="43" fontId="3" fillId="0" borderId="12" xfId="1" applyFont="1" applyBorder="1" applyAlignment="1">
      <alignment horizontal="center"/>
    </xf>
    <xf numFmtId="43" fontId="3" fillId="0" borderId="14" xfId="1" applyFont="1" applyBorder="1" applyAlignment="1">
      <alignment horizontal="center"/>
    </xf>
    <xf numFmtId="0" fontId="13" fillId="0" borderId="2" xfId="0" applyFont="1" applyBorder="1" applyAlignment="1">
      <alignment horizontal="center"/>
    </xf>
    <xf numFmtId="0" fontId="13" fillId="0" borderId="38" xfId="0" applyFont="1" applyBorder="1" applyAlignment="1">
      <alignment horizontal="center"/>
    </xf>
    <xf numFmtId="0" fontId="13" fillId="0" borderId="43" xfId="0" applyFont="1" applyBorder="1" applyAlignment="1">
      <alignment horizontal="center"/>
    </xf>
    <xf numFmtId="0" fontId="13" fillId="0" borderId="36" xfId="0" applyFont="1" applyBorder="1" applyAlignment="1">
      <alignment horizontal="center"/>
    </xf>
    <xf numFmtId="4" fontId="3" fillId="2" borderId="2" xfId="3" applyNumberFormat="1" applyFont="1" applyFill="1" applyBorder="1" applyAlignment="1">
      <alignment horizontal="center"/>
    </xf>
    <xf numFmtId="0" fontId="66" fillId="3" borderId="0" xfId="0" applyNumberFormat="1" applyFont="1" applyFill="1" applyBorder="1" applyAlignment="1">
      <alignment horizontal="center" vertical="center"/>
    </xf>
    <xf numFmtId="0" fontId="7" fillId="3" borderId="0" xfId="0" applyNumberFormat="1" applyFont="1" applyFill="1" applyBorder="1" applyAlignment="1">
      <alignment horizontal="right" wrapText="1"/>
    </xf>
    <xf numFmtId="0" fontId="7" fillId="3" borderId="8" xfId="0" applyNumberFormat="1" applyFont="1" applyFill="1" applyBorder="1" applyAlignment="1">
      <alignment horizontal="left" vertical="center" wrapText="1"/>
    </xf>
    <xf numFmtId="0" fontId="7" fillId="3" borderId="8" xfId="0" applyNumberFormat="1" applyFont="1" applyFill="1" applyBorder="1" applyAlignment="1">
      <alignment horizontal="left" vertical="center" wrapText="1" indent="1"/>
    </xf>
    <xf numFmtId="0" fontId="8" fillId="3" borderId="8" xfId="0" applyNumberFormat="1" applyFont="1" applyFill="1" applyBorder="1" applyAlignment="1">
      <alignment horizontal="left" vertical="center" wrapText="1"/>
    </xf>
    <xf numFmtId="0" fontId="7" fillId="3" borderId="5" xfId="0" applyNumberFormat="1" applyFont="1" applyFill="1" applyBorder="1" applyAlignment="1">
      <alignment horizontal="left" vertical="center" wrapText="1"/>
    </xf>
    <xf numFmtId="49" fontId="7" fillId="3" borderId="8" xfId="0" applyNumberFormat="1" applyFont="1" applyFill="1" applyBorder="1" applyAlignment="1">
      <alignment horizontal="left" vertical="center" wrapText="1"/>
    </xf>
    <xf numFmtId="49" fontId="7" fillId="3" borderId="8" xfId="0" applyNumberFormat="1" applyFont="1" applyFill="1" applyBorder="1" applyAlignment="1">
      <alignment horizontal="left" vertical="center" wrapText="1" indent="11"/>
    </xf>
    <xf numFmtId="0" fontId="8" fillId="3" borderId="3" xfId="0" applyNumberFormat="1" applyFont="1" applyFill="1" applyBorder="1" applyAlignment="1">
      <alignment horizontal="left" indent="2"/>
    </xf>
    <xf numFmtId="0" fontId="7" fillId="3" borderId="4" xfId="0" applyNumberFormat="1" applyFont="1" applyFill="1" applyBorder="1" applyAlignment="1">
      <alignment horizontal="left" vertical="center" wrapText="1"/>
    </xf>
    <xf numFmtId="0" fontId="7" fillId="3" borderId="0" xfId="0" applyNumberFormat="1" applyFont="1" applyFill="1" applyBorder="1" applyAlignment="1">
      <alignment horizontal="right" vertical="center" wrapText="1"/>
    </xf>
    <xf numFmtId="0" fontId="7" fillId="3" borderId="8" xfId="0" applyNumberFormat="1" applyFont="1" applyFill="1" applyBorder="1" applyAlignment="1">
      <alignment horizontal="center" vertical="center" wrapText="1"/>
    </xf>
    <xf numFmtId="0" fontId="12" fillId="3" borderId="0" xfId="0" applyNumberFormat="1" applyFont="1" applyFill="1" applyBorder="1" applyAlignment="1">
      <alignment horizontal="right" wrapText="1"/>
    </xf>
    <xf numFmtId="0" fontId="3" fillId="3" borderId="2" xfId="0" applyNumberFormat="1" applyFont="1" applyFill="1" applyBorder="1" applyAlignment="1">
      <alignment horizontal="left" vertical="center" wrapText="1"/>
    </xf>
    <xf numFmtId="0" fontId="13" fillId="3" borderId="2" xfId="0" applyNumberFormat="1" applyFont="1" applyFill="1" applyBorder="1" applyAlignment="1">
      <alignment horizontal="left" vertical="center" wrapText="1"/>
    </xf>
    <xf numFmtId="0" fontId="11" fillId="3" borderId="2" xfId="0" applyNumberFormat="1" applyFont="1" applyFill="1" applyBorder="1" applyAlignment="1">
      <alignment horizontal="left" vertical="center" wrapText="1"/>
    </xf>
    <xf numFmtId="0" fontId="12" fillId="3" borderId="2" xfId="0" applyNumberFormat="1" applyFont="1" applyFill="1" applyBorder="1" applyAlignment="1">
      <alignment horizontal="left" vertical="center" wrapText="1"/>
    </xf>
    <xf numFmtId="0" fontId="13" fillId="3" borderId="3" xfId="0" applyNumberFormat="1" applyFont="1" applyFill="1" applyBorder="1" applyAlignment="1">
      <alignment horizontal="left" indent="2"/>
    </xf>
    <xf numFmtId="0" fontId="69" fillId="3" borderId="0" xfId="0" applyNumberFormat="1" applyFont="1" applyFill="1" applyBorder="1" applyAlignment="1">
      <alignment horizontal="center" vertical="center" wrapText="1"/>
    </xf>
    <xf numFmtId="0" fontId="12" fillId="3" borderId="4" xfId="0" applyNumberFormat="1" applyFont="1" applyFill="1" applyBorder="1" applyAlignment="1">
      <alignment horizontal="left" vertical="center" wrapText="1"/>
    </xf>
    <xf numFmtId="0" fontId="12" fillId="7" borderId="2" xfId="0" applyNumberFormat="1" applyFont="1" applyFill="1" applyBorder="1" applyAlignment="1">
      <alignment horizontal="center" vertical="center" wrapText="1"/>
    </xf>
    <xf numFmtId="0" fontId="12" fillId="3" borderId="0" xfId="0" applyNumberFormat="1" applyFont="1" applyFill="1" applyBorder="1" applyAlignment="1">
      <alignment horizontal="left" wrapText="1"/>
    </xf>
    <xf numFmtId="0" fontId="12" fillId="3" borderId="0" xfId="0" applyNumberFormat="1" applyFont="1" applyFill="1" applyBorder="1" applyAlignment="1">
      <alignment horizontal="center" wrapText="1"/>
    </xf>
    <xf numFmtId="0" fontId="12" fillId="3" borderId="9" xfId="0" applyNumberFormat="1" applyFont="1" applyFill="1" applyBorder="1" applyAlignment="1">
      <alignment horizontal="left" vertical="center" wrapText="1"/>
    </xf>
    <xf numFmtId="0" fontId="3" fillId="3" borderId="2" xfId="0" applyNumberFormat="1" applyFont="1" applyFill="1" applyBorder="1" applyAlignment="1">
      <alignment horizontal="left" vertical="center" wrapText="1" indent="2"/>
    </xf>
    <xf numFmtId="0" fontId="7" fillId="0" borderId="2" xfId="0" applyFont="1" applyFill="1" applyBorder="1" applyAlignment="1">
      <alignment horizontal="left" vertical="top" wrapText="1"/>
    </xf>
    <xf numFmtId="0" fontId="34" fillId="0" borderId="17" xfId="0" applyFont="1" applyFill="1" applyBorder="1" applyAlignment="1">
      <alignment horizontal="center"/>
    </xf>
    <xf numFmtId="0" fontId="36" fillId="0" borderId="0" xfId="0" applyFont="1" applyFill="1" applyAlignment="1">
      <alignment horizontal="center"/>
    </xf>
    <xf numFmtId="0" fontId="8" fillId="0" borderId="0" xfId="0" applyFont="1" applyFill="1" applyAlignment="1">
      <alignment horizontal="left"/>
    </xf>
    <xf numFmtId="0" fontId="8"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7" fillId="0" borderId="2" xfId="0" applyFont="1" applyFill="1" applyBorder="1" applyAlignment="1">
      <alignment horizontal="center" vertical="center" textRotation="90"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wrapText="1"/>
    </xf>
    <xf numFmtId="0" fontId="8" fillId="0" borderId="0" xfId="0" applyFont="1" applyFill="1" applyAlignment="1">
      <alignment horizontal="left" vertical="top" wrapText="1"/>
    </xf>
    <xf numFmtId="0" fontId="7" fillId="0" borderId="2" xfId="0" applyFont="1" applyFill="1" applyBorder="1" applyAlignment="1">
      <alignment horizontal="left" vertical="top" wrapText="1" shrinkToFit="1"/>
    </xf>
    <xf numFmtId="0" fontId="8" fillId="0" borderId="0" xfId="0" applyFont="1" applyFill="1" applyBorder="1" applyAlignment="1">
      <alignment horizontal="left" vertical="top" wrapText="1"/>
    </xf>
    <xf numFmtId="0" fontId="7" fillId="0" borderId="2" xfId="0" applyFont="1" applyFill="1" applyBorder="1" applyAlignment="1">
      <alignment horizontal="center" vertical="top" wrapText="1"/>
    </xf>
    <xf numFmtId="0" fontId="7" fillId="0" borderId="2" xfId="0" applyFont="1" applyFill="1" applyBorder="1" applyAlignment="1">
      <alignment horizontal="left" vertical="center" wrapText="1" indent="1"/>
    </xf>
    <xf numFmtId="0" fontId="12" fillId="0" borderId="2" xfId="0" applyFont="1" applyBorder="1" applyAlignment="1">
      <alignment horizontal="center" vertical="top" wrapText="1"/>
    </xf>
    <xf numFmtId="166" fontId="12" fillId="0" borderId="2" xfId="7" applyNumberFormat="1" applyFont="1" applyBorder="1" applyAlignment="1">
      <alignment vertical="top" wrapText="1"/>
    </xf>
    <xf numFmtId="0" fontId="12" fillId="0" borderId="2" xfId="0" applyFont="1" applyBorder="1" applyAlignment="1">
      <alignment vertical="top" wrapText="1"/>
    </xf>
    <xf numFmtId="0" fontId="50" fillId="0" borderId="0" xfId="0" applyFont="1" applyAlignment="1">
      <alignment horizontal="center"/>
    </xf>
    <xf numFmtId="0" fontId="11" fillId="0" borderId="2" xfId="0" applyFont="1" applyBorder="1" applyAlignment="1">
      <alignment horizontal="left" vertical="center" wrapText="1"/>
    </xf>
    <xf numFmtId="43" fontId="11" fillId="0" borderId="2" xfId="0" applyNumberFormat="1" applyFont="1" applyBorder="1" applyAlignment="1">
      <alignment vertical="top" wrapText="1"/>
    </xf>
    <xf numFmtId="0" fontId="11" fillId="0" borderId="2" xfId="0" applyFont="1" applyBorder="1" applyAlignment="1">
      <alignment vertical="top" wrapText="1"/>
    </xf>
    <xf numFmtId="0" fontId="52" fillId="0" borderId="2" xfId="0" applyFont="1" applyBorder="1" applyAlignment="1">
      <alignment vertical="top" wrapText="1"/>
    </xf>
    <xf numFmtId="0" fontId="11" fillId="0" borderId="2" xfId="0" applyFont="1" applyBorder="1" applyAlignment="1">
      <alignment horizontal="center" vertical="center" wrapText="1"/>
    </xf>
    <xf numFmtId="43" fontId="12" fillId="0" borderId="2" xfId="7" applyNumberFormat="1" applyFont="1" applyBorder="1" applyAlignment="1">
      <alignment vertical="top" wrapText="1"/>
    </xf>
    <xf numFmtId="0" fontId="11" fillId="0" borderId="2" xfId="0" applyFont="1" applyBorder="1" applyAlignment="1">
      <alignment horizontal="center" vertical="top" wrapText="1"/>
    </xf>
    <xf numFmtId="43" fontId="12" fillId="0" borderId="2" xfId="5" applyFont="1" applyBorder="1" applyAlignment="1">
      <alignment horizontal="center" vertical="top" wrapText="1"/>
    </xf>
    <xf numFmtId="43" fontId="12" fillId="0" borderId="2" xfId="7" applyFont="1" applyBorder="1" applyAlignment="1">
      <alignment horizontal="center" vertical="top" wrapText="1"/>
    </xf>
    <xf numFmtId="0" fontId="11" fillId="15" borderId="2" xfId="0" applyFont="1" applyFill="1" applyBorder="1" applyAlignment="1">
      <alignment vertical="top" wrapText="1"/>
    </xf>
    <xf numFmtId="0" fontId="12" fillId="0" borderId="2" xfId="0" applyFont="1" applyBorder="1" applyAlignment="1">
      <alignment horizontal="center" wrapText="1"/>
    </xf>
    <xf numFmtId="0" fontId="12" fillId="0" borderId="2" xfId="0" applyFont="1" applyBorder="1" applyAlignment="1">
      <alignment horizontal="left" vertical="top" wrapText="1" indent="2"/>
    </xf>
    <xf numFmtId="43" fontId="11" fillId="0" borderId="2" xfId="1" applyFont="1" applyBorder="1" applyAlignment="1">
      <alignment vertical="top" wrapText="1"/>
    </xf>
    <xf numFmtId="166" fontId="12" fillId="15" borderId="2" xfId="7" applyNumberFormat="1" applyFont="1" applyFill="1" applyBorder="1" applyAlignment="1">
      <alignment vertical="top" wrapText="1"/>
    </xf>
    <xf numFmtId="43" fontId="11" fillId="0" borderId="2" xfId="7" applyNumberFormat="1" applyFont="1" applyBorder="1" applyAlignment="1">
      <alignment vertical="top" wrapText="1"/>
    </xf>
    <xf numFmtId="0" fontId="12" fillId="0" borderId="2" xfId="0" applyFont="1" applyBorder="1" applyAlignment="1">
      <alignment horizontal="left" vertical="top" wrapText="1"/>
    </xf>
    <xf numFmtId="166" fontId="12" fillId="14" borderId="2" xfId="7" applyNumberFormat="1" applyFont="1" applyFill="1" applyBorder="1" applyAlignment="1">
      <alignment vertical="top" wrapText="1"/>
    </xf>
    <xf numFmtId="166" fontId="12" fillId="16" borderId="2" xfId="7" applyNumberFormat="1" applyFont="1" applyFill="1" applyBorder="1" applyAlignment="1">
      <alignment vertical="top" wrapText="1"/>
    </xf>
    <xf numFmtId="0" fontId="13" fillId="0" borderId="0" xfId="0" applyFont="1" applyAlignment="1">
      <alignment horizontal="left" wrapText="1"/>
    </xf>
    <xf numFmtId="0" fontId="29" fillId="0" borderId="0" xfId="0" applyFont="1" applyAlignment="1">
      <alignment horizontal="center"/>
    </xf>
    <xf numFmtId="0" fontId="29" fillId="0" borderId="2" xfId="0" applyFont="1" applyBorder="1" applyAlignment="1">
      <alignment vertical="top" wrapText="1"/>
    </xf>
    <xf numFmtId="0" fontId="24" fillId="0" borderId="2" xfId="0" applyFont="1" applyBorder="1" applyAlignment="1">
      <alignment horizontal="center" vertical="center" textRotation="90" wrapText="1"/>
    </xf>
    <xf numFmtId="0" fontId="29"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3" fillId="0" borderId="11" xfId="0" applyFont="1" applyBorder="1" applyAlignment="1">
      <alignment horizontal="center" vertical="center" textRotation="90" wrapText="1"/>
    </xf>
    <xf numFmtId="0" fontId="3" fillId="0" borderId="51" xfId="0" applyFont="1" applyBorder="1" applyAlignment="1">
      <alignment horizontal="center" vertical="center" textRotation="90" wrapText="1"/>
    </xf>
    <xf numFmtId="0" fontId="25" fillId="0" borderId="0" xfId="0" applyFont="1" applyAlignment="1">
      <alignment horizontal="left"/>
    </xf>
    <xf numFmtId="0" fontId="64" fillId="0" borderId="17" xfId="0" applyFont="1" applyBorder="1" applyAlignment="1">
      <alignment horizontal="center"/>
    </xf>
    <xf numFmtId="0" fontId="64" fillId="0" borderId="28" xfId="0" applyFont="1" applyBorder="1" applyAlignment="1">
      <alignment horizontal="center"/>
    </xf>
    <xf numFmtId="0" fontId="64" fillId="0" borderId="0" xfId="0" applyFont="1" applyAlignment="1">
      <alignment horizontal="center"/>
    </xf>
    <xf numFmtId="0" fontId="25" fillId="0" borderId="0" xfId="0" applyFont="1" applyAlignment="1">
      <alignment horizontal="center" vertical="top" wrapText="1"/>
    </xf>
    <xf numFmtId="0" fontId="64" fillId="0" borderId="2" xfId="0" applyFont="1" applyBorder="1" applyAlignment="1">
      <alignment horizontal="left" vertical="top" wrapText="1"/>
    </xf>
    <xf numFmtId="0" fontId="64" fillId="0" borderId="2" xfId="0" applyFont="1" applyBorder="1" applyAlignment="1">
      <alignment horizontal="left" wrapText="1"/>
    </xf>
    <xf numFmtId="0" fontId="25" fillId="0" borderId="0" xfId="0" applyFont="1" applyAlignment="1">
      <alignment horizontal="left" vertical="center"/>
    </xf>
    <xf numFmtId="43" fontId="64" fillId="0" borderId="0" xfId="5" applyFont="1" applyBorder="1" applyAlignment="1">
      <alignment horizontal="right"/>
    </xf>
    <xf numFmtId="0" fontId="64" fillId="0" borderId="2" xfId="0" applyFont="1" applyBorder="1" applyAlignment="1">
      <alignment horizontal="center" vertical="center" wrapText="1"/>
    </xf>
    <xf numFmtId="0" fontId="64" fillId="0" borderId="2" xfId="0" applyFont="1" applyBorder="1" applyAlignment="1">
      <alignment horizontal="center" wrapText="1"/>
    </xf>
    <xf numFmtId="0" fontId="64" fillId="0" borderId="2" xfId="0" applyFont="1" applyBorder="1" applyAlignment="1">
      <alignment horizontal="left" vertical="center" wrapText="1"/>
    </xf>
    <xf numFmtId="0" fontId="25" fillId="0" borderId="2" xfId="0" applyFont="1" applyBorder="1" applyAlignment="1">
      <alignment horizontal="left" wrapText="1"/>
    </xf>
    <xf numFmtId="0" fontId="25" fillId="0" borderId="2" xfId="0" applyFont="1" applyBorder="1" applyAlignment="1">
      <alignment horizontal="left" vertical="top" wrapText="1"/>
    </xf>
    <xf numFmtId="0" fontId="25" fillId="0" borderId="2" xfId="0" applyFont="1" applyBorder="1" applyAlignment="1">
      <alignment horizontal="center" vertical="top" wrapText="1"/>
    </xf>
    <xf numFmtId="43" fontId="7" fillId="19" borderId="12" xfId="1" applyFont="1" applyFill="1" applyBorder="1" applyAlignment="1">
      <alignment horizontal="center"/>
    </xf>
    <xf numFmtId="43" fontId="7" fillId="19" borderId="14" xfId="1" applyFont="1" applyFill="1" applyBorder="1" applyAlignment="1">
      <alignment horizontal="center"/>
    </xf>
    <xf numFmtId="43" fontId="7" fillId="0" borderId="15" xfId="1" applyFont="1" applyBorder="1" applyAlignment="1">
      <alignment horizontal="center" vertical="top" wrapText="1"/>
    </xf>
    <xf numFmtId="43" fontId="7" fillId="0" borderId="0" xfId="1" applyFont="1" applyBorder="1" applyAlignment="1">
      <alignment horizontal="center" vertical="top" wrapText="1"/>
    </xf>
    <xf numFmtId="43" fontId="7" fillId="0" borderId="50" xfId="1" applyFont="1" applyBorder="1" applyAlignment="1">
      <alignment horizontal="center" vertical="top" wrapText="1"/>
    </xf>
    <xf numFmtId="43" fontId="66" fillId="0" borderId="0" xfId="1" applyFont="1" applyAlignment="1">
      <alignment horizontal="center"/>
    </xf>
    <xf numFmtId="43" fontId="7" fillId="0" borderId="37" xfId="1" applyFont="1" applyBorder="1" applyAlignment="1">
      <alignment horizontal="left" vertical="top" wrapText="1"/>
    </xf>
    <xf numFmtId="43" fontId="7" fillId="0" borderId="48" xfId="1" applyFont="1" applyBorder="1" applyAlignment="1">
      <alignment horizontal="left" vertical="top" wrapText="1"/>
    </xf>
    <xf numFmtId="43" fontId="7" fillId="0" borderId="49" xfId="1" applyFont="1" applyBorder="1" applyAlignment="1">
      <alignment horizontal="left" vertical="top" wrapText="1"/>
    </xf>
    <xf numFmtId="43" fontId="7" fillId="0" borderId="15" xfId="1" applyFont="1" applyBorder="1" applyAlignment="1">
      <alignment horizontal="left" vertical="top" wrapText="1"/>
    </xf>
    <xf numFmtId="43" fontId="7" fillId="0" borderId="0" xfId="1" applyFont="1" applyBorder="1" applyAlignment="1">
      <alignment horizontal="left" vertical="top" wrapText="1"/>
    </xf>
    <xf numFmtId="43" fontId="7" fillId="0" borderId="50" xfId="1" applyFont="1" applyBorder="1" applyAlignment="1">
      <alignment horizontal="left" vertical="top" wrapText="1"/>
    </xf>
    <xf numFmtId="43" fontId="7" fillId="0" borderId="2" xfId="1" applyFont="1" applyBorder="1" applyAlignment="1">
      <alignment horizontal="center" vertical="top" wrapText="1"/>
    </xf>
    <xf numFmtId="43" fontId="7" fillId="0" borderId="2" xfId="1" applyFont="1" applyBorder="1" applyAlignment="1">
      <alignment horizontal="center" wrapText="1"/>
    </xf>
    <xf numFmtId="43" fontId="7" fillId="0" borderId="0" xfId="1" applyFont="1" applyAlignment="1">
      <alignment horizontal="center"/>
    </xf>
    <xf numFmtId="43" fontId="7" fillId="0" borderId="38" xfId="1" applyFont="1" applyBorder="1" applyAlignment="1">
      <alignment horizontal="center" vertical="top" wrapText="1"/>
    </xf>
    <xf numFmtId="43" fontId="7" fillId="0" borderId="43" xfId="1" applyFont="1" applyBorder="1" applyAlignment="1">
      <alignment horizontal="center" vertical="top" wrapText="1"/>
    </xf>
    <xf numFmtId="43" fontId="7" fillId="0" borderId="44" xfId="1" applyFont="1" applyBorder="1" applyAlignment="1">
      <alignment horizontal="center" vertical="top" wrapText="1"/>
    </xf>
    <xf numFmtId="164" fontId="7" fillId="0" borderId="2" xfId="1" applyNumberFormat="1" applyFont="1" applyBorder="1" applyAlignment="1">
      <alignment horizontal="center" vertical="center" wrapText="1"/>
    </xf>
    <xf numFmtId="43" fontId="7" fillId="0" borderId="2" xfId="1" applyFont="1" applyBorder="1" applyAlignment="1">
      <alignment horizontal="center" vertical="center" wrapText="1"/>
    </xf>
    <xf numFmtId="14" fontId="7" fillId="19" borderId="12" xfId="0" applyNumberFormat="1" applyFont="1" applyFill="1" applyBorder="1" applyAlignment="1">
      <alignment horizontal="left"/>
    </xf>
    <xf numFmtId="14" fontId="7" fillId="19" borderId="13" xfId="0" applyNumberFormat="1" applyFont="1" applyFill="1" applyBorder="1" applyAlignment="1">
      <alignment horizontal="left"/>
    </xf>
    <xf numFmtId="14" fontId="7" fillId="19" borderId="14" xfId="0" applyNumberFormat="1" applyFont="1" applyFill="1" applyBorder="1" applyAlignment="1">
      <alignment horizontal="left"/>
    </xf>
    <xf numFmtId="43" fontId="7" fillId="19" borderId="12" xfId="1" applyFont="1" applyFill="1" applyBorder="1" applyAlignment="1">
      <alignment horizontal="left"/>
    </xf>
    <xf numFmtId="43" fontId="7" fillId="19" borderId="13" xfId="1" applyFont="1" applyFill="1" applyBorder="1" applyAlignment="1">
      <alignment horizontal="left"/>
    </xf>
    <xf numFmtId="43" fontId="7" fillId="19" borderId="14" xfId="1" applyFont="1" applyFill="1" applyBorder="1" applyAlignment="1">
      <alignment horizontal="left"/>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57" fillId="0" borderId="0" xfId="0" applyFont="1" applyAlignment="1">
      <alignment horizontal="left" vertical="center" wrapText="1"/>
    </xf>
    <xf numFmtId="14" fontId="7" fillId="0" borderId="2" xfId="0" applyNumberFormat="1" applyFont="1" applyBorder="1" applyAlignment="1">
      <alignment horizontal="center" vertical="center"/>
    </xf>
    <xf numFmtId="0" fontId="37" fillId="0" borderId="12" xfId="0" applyFont="1" applyBorder="1" applyAlignment="1">
      <alignment horizontal="left" vertical="center" wrapText="1"/>
    </xf>
    <xf numFmtId="0" fontId="37" fillId="0" borderId="13" xfId="0" applyFont="1" applyBorder="1" applyAlignment="1">
      <alignment horizontal="left" vertical="center" wrapText="1"/>
    </xf>
    <xf numFmtId="0" fontId="37" fillId="0" borderId="14" xfId="0" applyFont="1" applyBorder="1" applyAlignment="1">
      <alignment horizontal="left" vertical="center" wrapText="1"/>
    </xf>
    <xf numFmtId="0" fontId="31" fillId="0" borderId="2" xfId="0" applyFont="1" applyBorder="1" applyAlignment="1">
      <alignment horizontal="left" vertical="center"/>
    </xf>
    <xf numFmtId="0" fontId="31" fillId="0" borderId="12" xfId="0" applyFont="1" applyBorder="1" applyAlignment="1">
      <alignment horizontal="left"/>
    </xf>
    <xf numFmtId="0" fontId="31" fillId="0" borderId="13" xfId="0" applyFont="1" applyBorder="1" applyAlignment="1">
      <alignment horizontal="left"/>
    </xf>
    <xf numFmtId="0" fontId="31" fillId="0" borderId="14" xfId="0" applyFont="1" applyBorder="1" applyAlignment="1">
      <alignment horizontal="left"/>
    </xf>
    <xf numFmtId="0" fontId="57" fillId="0" borderId="43" xfId="0" applyFont="1" applyBorder="1" applyAlignment="1">
      <alignment horizontal="left" vertical="center" wrapText="1"/>
    </xf>
    <xf numFmtId="0" fontId="31" fillId="0" borderId="12" xfId="0" applyFont="1" applyBorder="1" applyAlignment="1">
      <alignment horizontal="left" vertical="center" wrapText="1"/>
    </xf>
    <xf numFmtId="0" fontId="31" fillId="0" borderId="13" xfId="0" applyFont="1" applyBorder="1" applyAlignment="1">
      <alignment horizontal="left" vertical="center" wrapText="1"/>
    </xf>
    <xf numFmtId="0" fontId="31" fillId="0" borderId="14" xfId="0" applyFont="1" applyBorder="1" applyAlignment="1">
      <alignment horizontal="left" vertical="center" wrapText="1"/>
    </xf>
    <xf numFmtId="0" fontId="32" fillId="0" borderId="0" xfId="0" applyFont="1" applyAlignment="1">
      <alignment horizontal="right" vertical="center" wrapText="1"/>
    </xf>
    <xf numFmtId="0" fontId="32" fillId="0" borderId="0" xfId="0" applyFont="1" applyAlignment="1">
      <alignment horizontal="right" vertical="top" wrapText="1"/>
    </xf>
    <xf numFmtId="0" fontId="56" fillId="0" borderId="17" xfId="0" applyFont="1" applyBorder="1" applyAlignment="1">
      <alignment horizontal="center" vertical="center"/>
    </xf>
    <xf numFmtId="14" fontId="7" fillId="0" borderId="12" xfId="0" applyNumberFormat="1" applyFont="1" applyBorder="1" applyAlignment="1">
      <alignment horizontal="left"/>
    </xf>
    <xf numFmtId="14" fontId="7" fillId="0" borderId="13" xfId="0" applyNumberFormat="1" applyFont="1" applyBorder="1" applyAlignment="1">
      <alignment horizontal="left"/>
    </xf>
    <xf numFmtId="14" fontId="7" fillId="0" borderId="14" xfId="0" applyNumberFormat="1" applyFont="1" applyBorder="1" applyAlignment="1">
      <alignment horizontal="left"/>
    </xf>
    <xf numFmtId="0" fontId="8" fillId="0" borderId="12" xfId="0" applyFont="1" applyBorder="1" applyAlignment="1">
      <alignment horizontal="left"/>
    </xf>
    <xf numFmtId="0" fontId="8" fillId="0" borderId="13" xfId="0" applyFont="1" applyBorder="1" applyAlignment="1">
      <alignment horizontal="left"/>
    </xf>
    <xf numFmtId="0" fontId="8" fillId="0" borderId="14" xfId="0" applyFont="1" applyBorder="1" applyAlignment="1">
      <alignment horizontal="left"/>
    </xf>
    <xf numFmtId="14" fontId="7" fillId="0" borderId="11" xfId="0" applyNumberFormat="1" applyFont="1" applyBorder="1" applyAlignment="1">
      <alignment horizontal="left" vertical="center" textRotation="90"/>
    </xf>
    <xf numFmtId="14" fontId="7" fillId="0" borderId="51" xfId="0" applyNumberFormat="1" applyFont="1" applyBorder="1" applyAlignment="1">
      <alignment horizontal="left" vertical="center" textRotation="90"/>
    </xf>
    <xf numFmtId="14" fontId="7" fillId="0" borderId="36" xfId="0" applyNumberFormat="1" applyFont="1" applyBorder="1" applyAlignment="1">
      <alignment horizontal="left" vertical="center" textRotation="90"/>
    </xf>
    <xf numFmtId="0" fontId="7" fillId="0" borderId="12" xfId="0" applyFont="1" applyBorder="1" applyAlignment="1">
      <alignment horizontal="lef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2"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14" fontId="7" fillId="0" borderId="11" xfId="0" applyNumberFormat="1" applyFont="1" applyBorder="1" applyAlignment="1">
      <alignment horizontal="center"/>
    </xf>
    <xf numFmtId="14" fontId="7" fillId="0" borderId="51" xfId="0" applyNumberFormat="1" applyFont="1" applyBorder="1" applyAlignment="1">
      <alignment horizontal="center"/>
    </xf>
    <xf numFmtId="14" fontId="7" fillId="0" borderId="36" xfId="0" applyNumberFormat="1" applyFont="1" applyBorder="1" applyAlignment="1">
      <alignment horizontal="center"/>
    </xf>
    <xf numFmtId="43" fontId="7" fillId="0" borderId="14" xfId="0" applyNumberFormat="1" applyFont="1" applyBorder="1" applyAlignment="1">
      <alignment horizontal="left"/>
    </xf>
    <xf numFmtId="43" fontId="7" fillId="0" borderId="12" xfId="1" applyFont="1" applyBorder="1" applyAlignment="1">
      <alignment horizontal="left"/>
    </xf>
    <xf numFmtId="43" fontId="7" fillId="0" borderId="13" xfId="1" applyFont="1" applyBorder="1" applyAlignment="1">
      <alignment horizontal="left"/>
    </xf>
    <xf numFmtId="49" fontId="7" fillId="0" borderId="13" xfId="1" applyNumberFormat="1" applyFont="1" applyBorder="1" applyAlignment="1">
      <alignment horizontal="left"/>
    </xf>
    <xf numFmtId="43" fontId="7" fillId="0" borderId="14" xfId="1" applyFont="1" applyBorder="1" applyAlignment="1">
      <alignment horizontal="left"/>
    </xf>
    <xf numFmtId="14" fontId="7" fillId="0" borderId="37" xfId="0" applyNumberFormat="1" applyFont="1" applyBorder="1" applyAlignment="1">
      <alignment horizontal="left"/>
    </xf>
    <xf numFmtId="14" fontId="7" fillId="0" borderId="48" xfId="0" applyNumberFormat="1" applyFont="1" applyBorder="1" applyAlignment="1">
      <alignment horizontal="left"/>
    </xf>
    <xf numFmtId="14" fontId="7" fillId="0" borderId="49" xfId="0" applyNumberFormat="1" applyFont="1" applyBorder="1" applyAlignment="1">
      <alignment horizontal="left"/>
    </xf>
    <xf numFmtId="43" fontId="7" fillId="0" borderId="37" xfId="1" applyFont="1" applyBorder="1" applyAlignment="1">
      <alignment horizontal="left"/>
    </xf>
    <xf numFmtId="43" fontId="7" fillId="0" borderId="48" xfId="1" applyFont="1" applyBorder="1" applyAlignment="1">
      <alignment horizontal="left"/>
    </xf>
    <xf numFmtId="43" fontId="7" fillId="0" borderId="49" xfId="1" applyFont="1" applyBorder="1" applyAlignment="1">
      <alignment horizontal="left"/>
    </xf>
    <xf numFmtId="14" fontId="7" fillId="0" borderId="2" xfId="0" applyNumberFormat="1" applyFont="1" applyBorder="1" applyAlignment="1">
      <alignment horizontal="left"/>
    </xf>
    <xf numFmtId="43" fontId="7" fillId="0" borderId="2" xfId="1" applyFont="1" applyBorder="1" applyAlignment="1">
      <alignment horizontal="center"/>
    </xf>
    <xf numFmtId="14" fontId="7" fillId="0" borderId="0" xfId="0" applyNumberFormat="1" applyFont="1" applyBorder="1" applyAlignment="1">
      <alignment horizontal="center"/>
    </xf>
    <xf numFmtId="43" fontId="7" fillId="0" borderId="0" xfId="1" applyFont="1" applyBorder="1" applyAlignment="1">
      <alignment horizontal="center"/>
    </xf>
    <xf numFmtId="0" fontId="7" fillId="0" borderId="0" xfId="0" applyFont="1" applyBorder="1" applyAlignment="1">
      <alignment horizontal="left"/>
    </xf>
    <xf numFmtId="43" fontId="7" fillId="0" borderId="13" xfId="0" applyNumberFormat="1" applyFont="1" applyBorder="1" applyAlignment="1">
      <alignment horizontal="left"/>
    </xf>
    <xf numFmtId="0" fontId="45" fillId="3" borderId="0" xfId="0" applyFont="1" applyFill="1" applyBorder="1" applyAlignment="1">
      <alignment horizontal="center"/>
    </xf>
    <xf numFmtId="0" fontId="21" fillId="3" borderId="18" xfId="0" applyFont="1" applyFill="1" applyBorder="1" applyAlignment="1">
      <alignment horizontal="left" wrapText="1"/>
    </xf>
    <xf numFmtId="0" fontId="21" fillId="3" borderId="19" xfId="0" applyFont="1" applyFill="1" applyBorder="1" applyAlignment="1">
      <alignment horizontal="left" wrapText="1"/>
    </xf>
    <xf numFmtId="0" fontId="21" fillId="3" borderId="20" xfId="0" applyFont="1" applyFill="1" applyBorder="1" applyAlignment="1">
      <alignment horizontal="left" wrapText="1"/>
    </xf>
    <xf numFmtId="0" fontId="21" fillId="3" borderId="18" xfId="0" applyFont="1" applyFill="1" applyBorder="1" applyAlignment="1">
      <alignment horizontal="center" vertical="center"/>
    </xf>
    <xf numFmtId="0" fontId="21" fillId="3" borderId="19" xfId="0" applyFont="1" applyFill="1" applyBorder="1" applyAlignment="1">
      <alignment horizontal="center" vertical="center"/>
    </xf>
    <xf numFmtId="0" fontId="21" fillId="3" borderId="20" xfId="0" applyFont="1" applyFill="1" applyBorder="1" applyAlignment="1">
      <alignment horizontal="center" vertical="center"/>
    </xf>
    <xf numFmtId="0" fontId="2" fillId="3" borderId="18" xfId="0" applyFont="1" applyFill="1" applyBorder="1" applyAlignment="1">
      <alignment horizontal="center"/>
    </xf>
    <xf numFmtId="0" fontId="2" fillId="3" borderId="19" xfId="0" applyFont="1" applyFill="1" applyBorder="1" applyAlignment="1">
      <alignment horizontal="center"/>
    </xf>
    <xf numFmtId="0" fontId="2" fillId="3" borderId="20" xfId="0" applyFont="1" applyFill="1" applyBorder="1" applyAlignment="1">
      <alignment horizontal="center"/>
    </xf>
    <xf numFmtId="0" fontId="21" fillId="3" borderId="18" xfId="0" applyFont="1" applyFill="1" applyBorder="1" applyAlignment="1">
      <alignment horizontal="center"/>
    </xf>
    <xf numFmtId="0" fontId="21" fillId="3" borderId="19" xfId="0" applyFont="1" applyFill="1" applyBorder="1" applyAlignment="1">
      <alignment horizontal="center"/>
    </xf>
    <xf numFmtId="0" fontId="21" fillId="3" borderId="20" xfId="0" applyFont="1" applyFill="1" applyBorder="1" applyAlignment="1">
      <alignment horizontal="center"/>
    </xf>
    <xf numFmtId="0" fontId="21" fillId="0" borderId="0" xfId="0" applyFont="1" applyAlignment="1">
      <alignment horizontal="center"/>
    </xf>
    <xf numFmtId="0" fontId="67" fillId="0" borderId="35" xfId="0" applyFont="1" applyBorder="1" applyAlignment="1">
      <alignment horizontal="center"/>
    </xf>
    <xf numFmtId="43" fontId="7" fillId="20" borderId="0" xfId="1" applyFont="1" applyFill="1" applyAlignment="1">
      <alignment horizontal="center"/>
    </xf>
    <xf numFmtId="43" fontId="7" fillId="0" borderId="18" xfId="1" applyFont="1" applyBorder="1" applyAlignment="1">
      <alignment horizontal="left"/>
    </xf>
    <xf numFmtId="43" fontId="7" fillId="0" borderId="19" xfId="1" applyFont="1" applyBorder="1" applyAlignment="1">
      <alignment horizontal="left"/>
    </xf>
    <xf numFmtId="43" fontId="7" fillId="0" borderId="20" xfId="1" applyFont="1" applyBorder="1" applyAlignment="1">
      <alignment horizontal="left"/>
    </xf>
    <xf numFmtId="43" fontId="7" fillId="0" borderId="18" xfId="1" applyFont="1" applyBorder="1" applyAlignment="1">
      <alignment horizontal="center"/>
    </xf>
    <xf numFmtId="43" fontId="7" fillId="0" borderId="20" xfId="1" applyFont="1" applyBorder="1" applyAlignment="1">
      <alignment horizontal="center"/>
    </xf>
    <xf numFmtId="43" fontId="7" fillId="0" borderId="18" xfId="1" applyFont="1" applyBorder="1" applyAlignment="1">
      <alignment horizontal="center" vertical="top" wrapText="1"/>
    </xf>
    <xf numFmtId="43" fontId="7" fillId="0" borderId="20" xfId="1" applyFont="1" applyBorder="1" applyAlignment="1">
      <alignment horizontal="center" vertical="top" wrapText="1"/>
    </xf>
    <xf numFmtId="43" fontId="7" fillId="0" borderId="18" xfId="1" applyFont="1" applyBorder="1" applyAlignment="1">
      <alignment horizontal="left" wrapText="1"/>
    </xf>
    <xf numFmtId="43" fontId="7" fillId="0" borderId="19" xfId="1" applyFont="1" applyBorder="1" applyAlignment="1">
      <alignment horizontal="left" wrapText="1"/>
    </xf>
    <xf numFmtId="43" fontId="7" fillId="0" borderId="20" xfId="1" applyFont="1" applyBorder="1" applyAlignment="1">
      <alignment horizontal="left" wrapText="1"/>
    </xf>
    <xf numFmtId="43" fontId="7" fillId="0" borderId="0" xfId="1" applyFont="1" applyAlignment="1">
      <alignment horizontal="left" wrapText="1"/>
    </xf>
    <xf numFmtId="43" fontId="7" fillId="0" borderId="10" xfId="1" applyFont="1" applyBorder="1" applyAlignment="1">
      <alignment horizontal="left" wrapText="1"/>
    </xf>
    <xf numFmtId="43" fontId="7" fillId="20" borderId="0" xfId="1" applyFont="1" applyFill="1" applyAlignment="1">
      <alignment horizontal="center" wrapText="1"/>
    </xf>
    <xf numFmtId="49" fontId="7" fillId="0" borderId="0" xfId="1" applyNumberFormat="1" applyFont="1" applyAlignment="1">
      <alignment horizontal="left" wrapText="1"/>
    </xf>
    <xf numFmtId="43" fontId="7" fillId="0" borderId="10" xfId="1" applyFont="1" applyBorder="1" applyAlignment="1">
      <alignment horizontal="left"/>
    </xf>
    <xf numFmtId="43" fontId="8" fillId="0" borderId="10" xfId="1" applyFont="1" applyBorder="1" applyAlignment="1">
      <alignment horizontal="left"/>
    </xf>
    <xf numFmtId="164" fontId="7" fillId="19" borderId="0" xfId="1" applyNumberFormat="1" applyFont="1" applyFill="1" applyAlignment="1">
      <alignment horizontal="center"/>
    </xf>
    <xf numFmtId="164" fontId="7" fillId="0" borderId="21" xfId="1" applyNumberFormat="1" applyFont="1" applyBorder="1" applyAlignment="1">
      <alignment horizontal="right" vertical="top"/>
    </xf>
    <xf numFmtId="164" fontId="7" fillId="0" borderId="23" xfId="1" applyNumberFormat="1" applyFont="1" applyBorder="1" applyAlignment="1">
      <alignment horizontal="right" vertical="top"/>
    </xf>
    <xf numFmtId="43" fontId="7" fillId="0" borderId="24" xfId="1" applyFont="1" applyBorder="1" applyAlignment="1">
      <alignment horizontal="center" vertical="top"/>
    </xf>
    <xf numFmtId="43" fontId="7" fillId="0" borderId="4" xfId="1" applyFont="1" applyBorder="1" applyAlignment="1">
      <alignment horizontal="center" vertical="top"/>
    </xf>
    <xf numFmtId="43" fontId="7" fillId="0" borderId="25" xfId="1" applyFont="1" applyBorder="1" applyAlignment="1">
      <alignment horizontal="center" vertical="top"/>
    </xf>
    <xf numFmtId="43" fontId="7" fillId="0" borderId="26" xfId="1" applyFont="1" applyBorder="1" applyAlignment="1">
      <alignment horizontal="center" vertical="top"/>
    </xf>
    <xf numFmtId="43" fontId="7" fillId="0" borderId="3" xfId="1" applyFont="1" applyBorder="1" applyAlignment="1">
      <alignment horizontal="center" vertical="top"/>
    </xf>
    <xf numFmtId="43" fontId="7" fillId="0" borderId="27" xfId="1" applyFont="1" applyBorder="1" applyAlignment="1">
      <alignment horizontal="center" vertical="top"/>
    </xf>
    <xf numFmtId="43" fontId="7" fillId="0" borderId="10" xfId="1" applyFont="1" applyBorder="1" applyAlignment="1">
      <alignment horizontal="left" vertical="top"/>
    </xf>
    <xf numFmtId="43" fontId="7" fillId="0" borderId="19" xfId="1" applyFont="1" applyBorder="1" applyAlignment="1">
      <alignment horizontal="center"/>
    </xf>
    <xf numFmtId="164" fontId="7" fillId="0" borderId="0" xfId="1" applyNumberFormat="1" applyFont="1" applyBorder="1" applyAlignment="1">
      <alignment horizontal="left"/>
    </xf>
    <xf numFmtId="49" fontId="7" fillId="0" borderId="0" xfId="1" applyNumberFormat="1" applyFont="1" applyBorder="1" applyAlignment="1">
      <alignment horizontal="left" wrapText="1"/>
    </xf>
    <xf numFmtId="164" fontId="7" fillId="0" borderId="0" xfId="1" applyNumberFormat="1" applyFont="1" applyBorder="1" applyAlignment="1">
      <alignment horizontal="left" wrapText="1"/>
    </xf>
    <xf numFmtId="49" fontId="7" fillId="0" borderId="18" xfId="1" applyNumberFormat="1" applyFont="1" applyBorder="1" applyAlignment="1">
      <alignment horizontal="left"/>
    </xf>
    <xf numFmtId="49" fontId="7" fillId="0" borderId="19" xfId="1" applyNumberFormat="1" applyFont="1" applyBorder="1" applyAlignment="1">
      <alignment horizontal="left"/>
    </xf>
    <xf numFmtId="49" fontId="7" fillId="0" borderId="20" xfId="1" applyNumberFormat="1" applyFont="1" applyBorder="1" applyAlignment="1">
      <alignment horizontal="left"/>
    </xf>
    <xf numFmtId="43" fontId="7" fillId="0" borderId="18" xfId="1" applyFont="1" applyBorder="1" applyAlignment="1">
      <alignment horizontal="center" vertical="top"/>
    </xf>
    <xf numFmtId="43" fontId="7" fillId="0" borderId="19" xfId="1" applyFont="1" applyBorder="1" applyAlignment="1">
      <alignment horizontal="center" vertical="top"/>
    </xf>
    <xf numFmtId="43" fontId="7" fillId="0" borderId="20" xfId="1" applyFont="1" applyBorder="1" applyAlignment="1">
      <alignment horizontal="center" vertical="top"/>
    </xf>
    <xf numFmtId="164" fontId="7" fillId="0" borderId="21" xfId="1" applyNumberFormat="1" applyFont="1" applyBorder="1" applyAlignment="1">
      <alignment horizontal="right"/>
    </xf>
    <xf numFmtId="164" fontId="7" fillId="0" borderId="22" xfId="1" applyNumberFormat="1" applyFont="1" applyBorder="1" applyAlignment="1">
      <alignment horizontal="right"/>
    </xf>
    <xf numFmtId="164" fontId="7" fillId="0" borderId="23" xfId="1" applyNumberFormat="1" applyFont="1" applyBorder="1" applyAlignment="1">
      <alignment horizontal="right"/>
    </xf>
    <xf numFmtId="49" fontId="7" fillId="0" borderId="18" xfId="1" applyNumberFormat="1" applyFont="1" applyBorder="1" applyAlignment="1">
      <alignment horizontal="center" wrapText="1"/>
    </xf>
    <xf numFmtId="49" fontId="7" fillId="0" borderId="19" xfId="1" applyNumberFormat="1" applyFont="1" applyBorder="1" applyAlignment="1">
      <alignment horizontal="center" wrapText="1"/>
    </xf>
    <xf numFmtId="49" fontId="7" fillId="0" borderId="20" xfId="1" applyNumberFormat="1" applyFont="1" applyBorder="1" applyAlignment="1">
      <alignment horizontal="center" wrapText="1"/>
    </xf>
    <xf numFmtId="49" fontId="7" fillId="0" borderId="18" xfId="1" applyNumberFormat="1" applyFont="1" applyBorder="1" applyAlignment="1">
      <alignment horizontal="left" wrapText="1"/>
    </xf>
    <xf numFmtId="49" fontId="7" fillId="0" borderId="19" xfId="1" applyNumberFormat="1" applyFont="1" applyBorder="1" applyAlignment="1">
      <alignment horizontal="left" wrapText="1"/>
    </xf>
    <xf numFmtId="49" fontId="7" fillId="0" borderId="20" xfId="1" applyNumberFormat="1" applyFont="1" applyBorder="1" applyAlignment="1">
      <alignment horizontal="left" wrapText="1"/>
    </xf>
    <xf numFmtId="166" fontId="7" fillId="0" borderId="21" xfId="1" applyNumberFormat="1" applyFont="1" applyBorder="1" applyAlignment="1">
      <alignment horizontal="right" vertical="center"/>
    </xf>
    <xf numFmtId="166" fontId="7" fillId="0" borderId="23" xfId="1" applyNumberFormat="1" applyFont="1" applyBorder="1" applyAlignment="1">
      <alignment horizontal="right" vertical="center"/>
    </xf>
    <xf numFmtId="49" fontId="8" fillId="0" borderId="18" xfId="1" applyNumberFormat="1" applyFont="1" applyBorder="1" applyAlignment="1">
      <alignment horizontal="left"/>
    </xf>
    <xf numFmtId="49" fontId="8" fillId="0" borderId="19" xfId="1" applyNumberFormat="1" applyFont="1" applyBorder="1" applyAlignment="1">
      <alignment horizontal="left"/>
    </xf>
    <xf numFmtId="49" fontId="8" fillId="0" borderId="20" xfId="1" applyNumberFormat="1" applyFont="1" applyBorder="1" applyAlignment="1">
      <alignment horizontal="left"/>
    </xf>
    <xf numFmtId="43" fontId="8" fillId="0" borderId="18" xfId="1" applyFont="1" applyBorder="1" applyAlignment="1">
      <alignment horizontal="left"/>
    </xf>
    <xf numFmtId="43" fontId="8" fillId="0" borderId="19" xfId="1" applyFont="1" applyBorder="1" applyAlignment="1">
      <alignment horizontal="left"/>
    </xf>
    <xf numFmtId="43" fontId="8" fillId="0" borderId="20" xfId="1" applyFont="1" applyBorder="1" applyAlignment="1">
      <alignment horizontal="left"/>
    </xf>
    <xf numFmtId="166" fontId="7" fillId="0" borderId="10" xfId="1" applyNumberFormat="1" applyFont="1" applyBorder="1" applyAlignment="1">
      <alignment horizontal="right" vertical="center"/>
    </xf>
    <xf numFmtId="43" fontId="8" fillId="0" borderId="18" xfId="1" applyFont="1" applyBorder="1" applyAlignment="1">
      <alignment horizontal="center"/>
    </xf>
    <xf numFmtId="43" fontId="8" fillId="0" borderId="19" xfId="1" applyFont="1" applyBorder="1" applyAlignment="1">
      <alignment horizontal="center"/>
    </xf>
    <xf numFmtId="43" fontId="8" fillId="0" borderId="20" xfId="1" applyFont="1" applyBorder="1" applyAlignment="1">
      <alignment horizontal="center"/>
    </xf>
    <xf numFmtId="164" fontId="7" fillId="0" borderId="0" xfId="1" applyNumberFormat="1" applyFont="1" applyAlignment="1">
      <alignment horizontal="left" wrapText="1"/>
    </xf>
    <xf numFmtId="43" fontId="7" fillId="0" borderId="21" xfId="1" applyFont="1" applyBorder="1" applyAlignment="1">
      <alignment horizontal="center" vertical="top" wrapText="1"/>
    </xf>
    <xf numFmtId="43" fontId="7" fillId="0" borderId="23" xfId="1" applyFont="1" applyBorder="1" applyAlignment="1">
      <alignment horizontal="center" vertical="top" wrapText="1"/>
    </xf>
    <xf numFmtId="43" fontId="7" fillId="0" borderId="19" xfId="1" applyFont="1" applyBorder="1" applyAlignment="1">
      <alignment horizontal="center" vertical="top" wrapText="1"/>
    </xf>
    <xf numFmtId="164" fontId="7" fillId="0" borderId="0" xfId="1" applyNumberFormat="1" applyFont="1" applyAlignment="1">
      <alignment horizontal="left"/>
    </xf>
    <xf numFmtId="43" fontId="7" fillId="0" borderId="10" xfId="1" applyFont="1" applyBorder="1" applyAlignment="1">
      <alignment horizontal="center" wrapText="1"/>
    </xf>
    <xf numFmtId="164" fontId="7" fillId="0" borderId="10" xfId="1" applyNumberFormat="1" applyFont="1" applyBorder="1" applyAlignment="1">
      <alignment horizontal="right"/>
    </xf>
    <xf numFmtId="43" fontId="7" fillId="0" borderId="24" xfId="1" applyFont="1" applyBorder="1" applyAlignment="1">
      <alignment horizontal="center"/>
    </xf>
    <xf numFmtId="43" fontId="7" fillId="0" borderId="4" xfId="1" applyFont="1" applyBorder="1" applyAlignment="1">
      <alignment horizontal="center"/>
    </xf>
    <xf numFmtId="43" fontId="7" fillId="0" borderId="25" xfId="1" applyFont="1" applyBorder="1" applyAlignment="1">
      <alignment horizontal="center"/>
    </xf>
    <xf numFmtId="43" fontId="7" fillId="0" borderId="26" xfId="1" applyFont="1" applyBorder="1" applyAlignment="1">
      <alignment horizontal="center"/>
    </xf>
    <xf numFmtId="43" fontId="7" fillId="0" borderId="3" xfId="1" applyFont="1" applyBorder="1" applyAlignment="1">
      <alignment horizontal="center"/>
    </xf>
    <xf numFmtId="43" fontId="7" fillId="0" borderId="27" xfId="1" applyFont="1" applyBorder="1" applyAlignment="1">
      <alignment horizontal="center"/>
    </xf>
    <xf numFmtId="43" fontId="7" fillId="0" borderId="10" xfId="1" applyFont="1" applyBorder="1" applyAlignment="1">
      <alignment horizontal="center"/>
    </xf>
    <xf numFmtId="164" fontId="32" fillId="0" borderId="0" xfId="1" applyNumberFormat="1" applyFont="1"/>
    <xf numFmtId="164" fontId="32" fillId="0" borderId="0" xfId="5" applyNumberFormat="1" applyFont="1"/>
    <xf numFmtId="14" fontId="32" fillId="0" borderId="0" xfId="5" applyNumberFormat="1" applyFont="1"/>
    <xf numFmtId="0" fontId="32" fillId="0" borderId="0" xfId="5" applyNumberFormat="1" applyFont="1"/>
    <xf numFmtId="43" fontId="32" fillId="0" borderId="0" xfId="5" applyFont="1"/>
    <xf numFmtId="43" fontId="32" fillId="0" borderId="0" xfId="5" applyFont="1" applyAlignment="1">
      <alignment horizontal="center"/>
    </xf>
    <xf numFmtId="0" fontId="70" fillId="0" borderId="0" xfId="5" applyNumberFormat="1" applyFont="1"/>
    <xf numFmtId="0" fontId="32" fillId="0" borderId="0" xfId="5" applyNumberFormat="1" applyFont="1" applyAlignment="1">
      <alignment vertical="center"/>
    </xf>
    <xf numFmtId="168" fontId="32" fillId="0" borderId="0" xfId="5" applyNumberFormat="1" applyFont="1" applyAlignment="1">
      <alignment vertical="center"/>
    </xf>
    <xf numFmtId="43" fontId="32" fillId="0" borderId="0" xfId="5" applyFont="1" applyBorder="1"/>
    <xf numFmtId="168" fontId="32" fillId="0" borderId="0" xfId="5" applyNumberFormat="1" applyFont="1" applyBorder="1"/>
    <xf numFmtId="14" fontId="32" fillId="0" borderId="0" xfId="5" applyNumberFormat="1" applyFont="1" applyBorder="1"/>
    <xf numFmtId="43" fontId="32" fillId="0" borderId="0" xfId="1" applyFont="1"/>
    <xf numFmtId="43" fontId="32" fillId="0" borderId="0" xfId="5" applyFont="1" applyBorder="1" applyAlignment="1">
      <alignment horizontal="center"/>
    </xf>
    <xf numFmtId="43" fontId="32" fillId="0" borderId="0" xfId="5" applyFont="1" applyFill="1"/>
    <xf numFmtId="43" fontId="32" fillId="0" borderId="0" xfId="5" applyFont="1" applyFill="1" applyBorder="1"/>
    <xf numFmtId="164" fontId="32" fillId="0" borderId="0" xfId="5" applyNumberFormat="1" applyFont="1" applyBorder="1" applyAlignment="1">
      <alignment horizontal="right"/>
    </xf>
    <xf numFmtId="168" fontId="32" fillId="0" borderId="0" xfId="5" applyNumberFormat="1" applyFont="1" applyBorder="1" applyAlignment="1">
      <alignment horizontal="right"/>
    </xf>
    <xf numFmtId="43" fontId="32" fillId="0" borderId="0" xfId="5" applyFont="1" applyBorder="1" applyAlignment="1">
      <alignment horizontal="right"/>
    </xf>
    <xf numFmtId="168" fontId="32" fillId="0" borderId="0" xfId="1" applyNumberFormat="1" applyFont="1" applyBorder="1"/>
    <xf numFmtId="43" fontId="32" fillId="0" borderId="0" xfId="1" applyFont="1" applyBorder="1"/>
    <xf numFmtId="166" fontId="32" fillId="0" borderId="0" xfId="1" applyNumberFormat="1" applyFont="1" applyAlignment="1">
      <alignment vertical="center"/>
    </xf>
    <xf numFmtId="166" fontId="32" fillId="0" borderId="0" xfId="1" applyNumberFormat="1" applyFont="1"/>
    <xf numFmtId="166" fontId="7" fillId="0" borderId="0" xfId="1" applyNumberFormat="1" applyFont="1" applyAlignment="1">
      <alignment vertical="center"/>
    </xf>
    <xf numFmtId="166" fontId="7" fillId="0" borderId="0" xfId="1" applyNumberFormat="1" applyFont="1"/>
    <xf numFmtId="166" fontId="7" fillId="0" borderId="2" xfId="1" applyNumberFormat="1" applyFont="1" applyFill="1" applyBorder="1"/>
    <xf numFmtId="166" fontId="7" fillId="0" borderId="0" xfId="1" applyNumberFormat="1" applyFont="1" applyFill="1"/>
    <xf numFmtId="164" fontId="7" fillId="9" borderId="2" xfId="1" applyNumberFormat="1" applyFont="1" applyFill="1" applyBorder="1"/>
    <xf numFmtId="164" fontId="7" fillId="0" borderId="0" xfId="1" applyNumberFormat="1" applyFont="1" applyAlignment="1">
      <alignment vertical="center"/>
    </xf>
    <xf numFmtId="164" fontId="7" fillId="0" borderId="2" xfId="1" applyNumberFormat="1" applyFont="1" applyFill="1" applyBorder="1"/>
    <xf numFmtId="166" fontId="7" fillId="2" borderId="37" xfId="1" applyNumberFormat="1" applyFont="1" applyFill="1" applyBorder="1" applyAlignment="1">
      <alignment horizontal="center" vertical="center"/>
    </xf>
    <xf numFmtId="166" fontId="7" fillId="2" borderId="11" xfId="1" applyNumberFormat="1" applyFont="1" applyFill="1" applyBorder="1" applyAlignment="1">
      <alignment horizontal="center" vertical="center"/>
    </xf>
    <xf numFmtId="166" fontId="7" fillId="2" borderId="38" xfId="1" applyNumberFormat="1" applyFont="1" applyFill="1" applyBorder="1" applyAlignment="1">
      <alignment horizontal="center" vertical="center"/>
    </xf>
    <xf numFmtId="166" fontId="7" fillId="2" borderId="36" xfId="1" applyNumberFormat="1" applyFont="1" applyFill="1" applyBorder="1" applyAlignment="1">
      <alignment horizontal="center" vertical="center"/>
    </xf>
    <xf numFmtId="166" fontId="7" fillId="0" borderId="2" xfId="1" applyNumberFormat="1" applyFont="1" applyFill="1" applyBorder="1" applyAlignment="1">
      <alignment vertical="center"/>
    </xf>
    <xf numFmtId="166" fontId="7" fillId="0" borderId="0" xfId="1" applyNumberFormat="1" applyFont="1" applyFill="1" applyAlignment="1">
      <alignment vertical="center"/>
    </xf>
    <xf numFmtId="166" fontId="7" fillId="0" borderId="0" xfId="5" applyNumberFormat="1" applyFont="1" applyFill="1" applyBorder="1"/>
    <xf numFmtId="164" fontId="7" fillId="0" borderId="2" xfId="5" applyNumberFormat="1" applyFont="1" applyFill="1" applyBorder="1" applyProtection="1">
      <protection locked="0"/>
    </xf>
    <xf numFmtId="164" fontId="7" fillId="0" borderId="0" xfId="1" applyNumberFormat="1" applyFont="1" applyFill="1" applyBorder="1"/>
    <xf numFmtId="164" fontId="3" fillId="9" borderId="2" xfId="5" applyNumberFormat="1" applyFont="1" applyFill="1" applyBorder="1"/>
    <xf numFmtId="164" fontId="3" fillId="0" borderId="0" xfId="5" applyNumberFormat="1" applyFont="1"/>
    <xf numFmtId="164" fontId="7" fillId="2" borderId="2" xfId="5" applyNumberFormat="1" applyFont="1" applyFill="1" applyBorder="1" applyAlignment="1">
      <alignment horizontal="center" vertical="center"/>
    </xf>
    <xf numFmtId="14" fontId="7" fillId="2" borderId="2" xfId="5" applyNumberFormat="1" applyFont="1" applyFill="1" applyBorder="1" applyAlignment="1">
      <alignment horizontal="center" vertical="center"/>
    </xf>
    <xf numFmtId="0" fontId="3" fillId="2" borderId="2" xfId="5" applyNumberFormat="1" applyFont="1" applyFill="1" applyBorder="1" applyAlignment="1">
      <alignment horizontal="center" vertical="center"/>
    </xf>
    <xf numFmtId="43" fontId="7" fillId="2" borderId="2" xfId="5" applyFont="1" applyFill="1" applyBorder="1" applyAlignment="1">
      <alignment horizontal="center" vertical="center" wrapText="1"/>
    </xf>
    <xf numFmtId="43" fontId="3" fillId="2" borderId="2" xfId="5" applyFont="1" applyFill="1" applyBorder="1" applyAlignment="1">
      <alignment horizontal="center" vertical="center"/>
    </xf>
    <xf numFmtId="43" fontId="3" fillId="2" borderId="2" xfId="5" applyFont="1" applyFill="1" applyBorder="1" applyAlignment="1">
      <alignment horizontal="center" vertical="center" wrapText="1"/>
    </xf>
    <xf numFmtId="164" fontId="7" fillId="2" borderId="2" xfId="1" applyNumberFormat="1" applyFont="1" applyFill="1" applyBorder="1" applyAlignment="1">
      <alignment horizontal="center" vertical="center"/>
    </xf>
    <xf numFmtId="43" fontId="32" fillId="0" borderId="0" xfId="5" applyFont="1" applyAlignment="1">
      <alignment horizontal="center" vertical="center"/>
    </xf>
    <xf numFmtId="43" fontId="32" fillId="0" borderId="0" xfId="5" applyFont="1" applyBorder="1" applyAlignment="1">
      <alignment horizontal="center" vertical="center"/>
    </xf>
    <xf numFmtId="168" fontId="32" fillId="0" borderId="0" xfId="5" applyNumberFormat="1" applyFont="1" applyBorder="1" applyAlignment="1">
      <alignment horizontal="center" vertical="center"/>
    </xf>
  </cellXfs>
  <cellStyles count="10">
    <cellStyle name="Comma" xfId="1" builtinId="3"/>
    <cellStyle name="Comma 2" xfId="5"/>
    <cellStyle name="Comma 3" xfId="7"/>
    <cellStyle name="Comma 4 2" xfId="9"/>
    <cellStyle name="Normal" xfId="0" builtinId="0"/>
    <cellStyle name="Normal 21" xfId="6"/>
    <cellStyle name="Normal_gold mining plan" xfId="4"/>
    <cellStyle name="Normal_UBI_S0404" xfId="3"/>
    <cellStyle name="Percent" xfId="2" builtinId="5"/>
    <cellStyle name="Style 1" xfId="8"/>
  </cellStyles>
  <dxfs count="442">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theme="9" tint="0.39994506668294322"/>
        </left>
        <right style="hair">
          <color theme="9" tint="0.39994506668294322"/>
        </right>
        <top style="hair">
          <color theme="9" tint="0.39994506668294322"/>
        </top>
        <bottom style="hair">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theme="1"/>
        </left>
        <right style="hair">
          <color theme="1"/>
        </right>
        <top style="hair">
          <color theme="1"/>
        </top>
        <bottom style="hair">
          <color theme="1"/>
        </bottom>
        <vertical/>
        <horizontal/>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thin">
          <color theme="9" tint="0.39994506668294322"/>
        </left>
        <right style="thin">
          <color theme="9" tint="0.39994506668294322"/>
        </right>
        <top style="thin">
          <color theme="9" tint="0.39994506668294322"/>
        </top>
        <bottom style="thin">
          <color theme="9" tint="0.39994506668294322"/>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theme="1"/>
        </left>
        <right style="hair">
          <color theme="1"/>
        </right>
        <top style="hair">
          <color theme="1"/>
        </top>
        <bottom style="hair">
          <color theme="1"/>
        </bottom>
        <vertical/>
        <horizontal/>
      </border>
    </dxf>
    <dxf>
      <border>
        <left style="thin">
          <color theme="9" tint="0.39994506668294322"/>
        </left>
        <right style="thin">
          <color theme="9" tint="0.39994506668294322"/>
        </right>
        <top style="thin">
          <color theme="9" tint="0.39994506668294322"/>
        </top>
        <bottom style="thin">
          <color theme="9" tint="0.39994506668294322"/>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ont>
        <strike val="0"/>
        <outline val="0"/>
        <shadow val="0"/>
        <u val="none"/>
        <vertAlign val="baseline"/>
        <name val="Arial"/>
        <scheme val="none"/>
      </font>
      <border diagonalUp="0" diagonalDown="0">
        <left style="thin">
          <color rgb="FFFCD3B2"/>
        </left>
        <right/>
        <top style="thin">
          <color rgb="FFFCD3B2"/>
        </top>
        <bottom style="thin">
          <color rgb="FFFCD3B2"/>
        </bottom>
        <vertical/>
        <horizontal/>
      </border>
    </dxf>
    <dxf>
      <font>
        <strike val="0"/>
        <outline val="0"/>
        <shadow val="0"/>
        <u val="none"/>
        <vertAlign val="baseline"/>
        <name val="Arial"/>
        <scheme val="none"/>
      </font>
      <border diagonalUp="0" diagonalDown="0" outline="0">
        <left/>
        <right style="thin">
          <color rgb="FFFCD3B2"/>
        </right>
        <top style="thin">
          <color rgb="FFFCD3B2"/>
        </top>
        <bottom style="thin">
          <color rgb="FFFCD3B2"/>
        </bottom>
      </border>
    </dxf>
    <dxf>
      <border outline="0">
        <top style="thin">
          <color rgb="FFFCD3B2"/>
        </top>
      </border>
    </dxf>
    <dxf>
      <border outline="0">
        <left style="thin">
          <color rgb="FFFCD3B2"/>
        </left>
        <right style="thin">
          <color rgb="FFFCD3B2"/>
        </right>
        <top style="thin">
          <color rgb="FFFCD3B2"/>
        </top>
        <bottom style="thin">
          <color rgb="FFFCD3B2"/>
        </bottom>
      </border>
    </dxf>
    <dxf>
      <font>
        <strike val="0"/>
        <outline val="0"/>
        <shadow val="0"/>
        <u val="none"/>
        <vertAlign val="baseline"/>
        <name val="Arial"/>
        <scheme val="none"/>
      </font>
    </dxf>
    <dxf>
      <border outline="0">
        <bottom style="thin">
          <color rgb="FFFCD3B2"/>
        </bottom>
      </border>
    </dxf>
    <dxf>
      <font>
        <strike val="0"/>
        <outline val="0"/>
        <shadow val="0"/>
        <u val="none"/>
        <vertAlign val="baseline"/>
        <name val="Arial"/>
        <scheme val="none"/>
      </font>
      <alignment horizontal="left" vertical="center" textRotation="0" wrapText="0" indent="0" relativeIndent="255"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1</xdr:row>
      <xdr:rowOff>0</xdr:rowOff>
    </xdr:from>
    <xdr:to>
      <xdr:col>2</xdr:col>
      <xdr:colOff>285751</xdr:colOff>
      <xdr:row>4</xdr:row>
      <xdr:rowOff>28575</xdr:rowOff>
    </xdr:to>
    <xdr:pic>
      <xdr:nvPicPr>
        <xdr:cNvPr id="2" name="Picture 1"/>
        <xdr:cNvPicPr/>
      </xdr:nvPicPr>
      <xdr:blipFill>
        <a:blip xmlns:r="http://schemas.openxmlformats.org/officeDocument/2006/relationships" r:embed="rId1" cstate="print"/>
        <a:srcRect/>
        <a:stretch>
          <a:fillRect/>
        </a:stretch>
      </xdr:blipFill>
      <xdr:spPr bwMode="auto">
        <a:xfrm>
          <a:off x="161926" y="161925"/>
          <a:ext cx="914400" cy="5143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76200</xdr:colOff>
      <xdr:row>2</xdr:row>
      <xdr:rowOff>28575</xdr:rowOff>
    </xdr:from>
    <xdr:to>
      <xdr:col>11</xdr:col>
      <xdr:colOff>104775</xdr:colOff>
      <xdr:row>4</xdr:row>
      <xdr:rowOff>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124825" y="409575"/>
          <a:ext cx="809625" cy="419100"/>
        </a:xfrm>
        <a:prstGeom prst="rect">
          <a:avLst/>
        </a:prstGeom>
        <a:noFill/>
      </xdr:spPr>
    </xdr:pic>
    <xdr:clientData/>
  </xdr:twoCellAnchor>
  <xdr:twoCellAnchor>
    <xdr:from>
      <xdr:col>0</xdr:col>
      <xdr:colOff>114300</xdr:colOff>
      <xdr:row>4</xdr:row>
      <xdr:rowOff>28575</xdr:rowOff>
    </xdr:from>
    <xdr:to>
      <xdr:col>11</xdr:col>
      <xdr:colOff>381000</xdr:colOff>
      <xdr:row>4</xdr:row>
      <xdr:rowOff>38100</xdr:rowOff>
    </xdr:to>
    <xdr:cxnSp macro="">
      <xdr:nvCxnSpPr>
        <xdr:cNvPr id="3" name="AutoShape 2"/>
        <xdr:cNvCxnSpPr>
          <a:cxnSpLocks noChangeShapeType="1"/>
        </xdr:cNvCxnSpPr>
      </xdr:nvCxnSpPr>
      <xdr:spPr bwMode="auto">
        <a:xfrm flipV="1">
          <a:off x="114300" y="857250"/>
          <a:ext cx="9096375" cy="9525"/>
        </a:xfrm>
        <a:prstGeom prst="straightConnector1">
          <a:avLst/>
        </a:prstGeom>
        <a:noFill/>
        <a:ln w="28575">
          <a:solidFill>
            <a:srgbClr val="000000"/>
          </a:solidFill>
          <a:round/>
          <a:headEnd/>
          <a:tailEnd/>
        </a:ln>
      </xdr:spPr>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28575</xdr:colOff>
      <xdr:row>0</xdr:row>
      <xdr:rowOff>57150</xdr:rowOff>
    </xdr:from>
    <xdr:to>
      <xdr:col>3</xdr:col>
      <xdr:colOff>409575</xdr:colOff>
      <xdr:row>2</xdr:row>
      <xdr:rowOff>95250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0" y="57150"/>
          <a:ext cx="609600" cy="419100"/>
        </a:xfrm>
        <a:prstGeom prst="rect">
          <a:avLst/>
        </a:prstGeom>
        <a:noFill/>
        <a:ln w="9525">
          <a:noFill/>
          <a:miter lim="800000"/>
          <a:headEnd/>
          <a:tailEnd/>
        </a:ln>
      </xdr:spPr>
    </xdr:pic>
    <xdr:clientData/>
  </xdr:twoCellAnchor>
  <xdr:twoCellAnchor>
    <xdr:from>
      <xdr:col>2</xdr:col>
      <xdr:colOff>28575</xdr:colOff>
      <xdr:row>0</xdr:row>
      <xdr:rowOff>57150</xdr:rowOff>
    </xdr:from>
    <xdr:to>
      <xdr:col>3</xdr:col>
      <xdr:colOff>409575</xdr:colOff>
      <xdr:row>2</xdr:row>
      <xdr:rowOff>95250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19125" y="57150"/>
          <a:ext cx="609600" cy="419100"/>
        </a:xfrm>
        <a:prstGeom prst="rect">
          <a:avLst/>
        </a:prstGeom>
        <a:noFill/>
        <a:ln w="9525">
          <a:noFill/>
          <a:miter lim="800000"/>
          <a:headEnd/>
          <a:tailEnd/>
        </a:ln>
      </xdr:spPr>
    </xdr:pic>
    <xdr:clientData/>
  </xdr:twoCellAnchor>
  <xdr:twoCellAnchor>
    <xdr:from>
      <xdr:col>2</xdr:col>
      <xdr:colOff>28575</xdr:colOff>
      <xdr:row>122</xdr:row>
      <xdr:rowOff>57150</xdr:rowOff>
    </xdr:from>
    <xdr:to>
      <xdr:col>3</xdr:col>
      <xdr:colOff>409575</xdr:colOff>
      <xdr:row>124</xdr:row>
      <xdr:rowOff>95250</xdr:rowOff>
    </xdr:to>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19125" y="26870025"/>
          <a:ext cx="609600" cy="361950"/>
        </a:xfrm>
        <a:prstGeom prst="rect">
          <a:avLst/>
        </a:prstGeom>
        <a:noFill/>
        <a:ln w="9525">
          <a:noFill/>
          <a:miter lim="800000"/>
          <a:headEnd/>
          <a:tailEnd/>
        </a:ln>
      </xdr:spPr>
    </xdr:pic>
    <xdr:clientData/>
  </xdr:twoCellAnchor>
  <xdr:twoCellAnchor>
    <xdr:from>
      <xdr:col>2</xdr:col>
      <xdr:colOff>28575</xdr:colOff>
      <xdr:row>244</xdr:row>
      <xdr:rowOff>57150</xdr:rowOff>
    </xdr:from>
    <xdr:to>
      <xdr:col>3</xdr:col>
      <xdr:colOff>409575</xdr:colOff>
      <xdr:row>246</xdr:row>
      <xdr:rowOff>95250</xdr:rowOff>
    </xdr:to>
    <xdr:pic>
      <xdr:nvPicPr>
        <xdr:cNvPr id="5"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19125" y="47082075"/>
          <a:ext cx="609600" cy="361950"/>
        </a:xfrm>
        <a:prstGeom prst="rect">
          <a:avLst/>
        </a:prstGeom>
        <a:noFill/>
        <a:ln w="9525">
          <a:noFill/>
          <a:miter lim="800000"/>
          <a:headEnd/>
          <a:tailEnd/>
        </a:ln>
      </xdr:spPr>
    </xdr:pic>
    <xdr:clientData/>
  </xdr:twoCellAnchor>
  <xdr:twoCellAnchor>
    <xdr:from>
      <xdr:col>2</xdr:col>
      <xdr:colOff>28575</xdr:colOff>
      <xdr:row>366</xdr:row>
      <xdr:rowOff>57150</xdr:rowOff>
    </xdr:from>
    <xdr:to>
      <xdr:col>3</xdr:col>
      <xdr:colOff>409575</xdr:colOff>
      <xdr:row>368</xdr:row>
      <xdr:rowOff>95250</xdr:rowOff>
    </xdr:to>
    <xdr:pic>
      <xdr:nvPicPr>
        <xdr:cNvPr id="6"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619125" y="67484625"/>
          <a:ext cx="609600" cy="361950"/>
        </a:xfrm>
        <a:prstGeom prst="rect">
          <a:avLst/>
        </a:prstGeom>
        <a:noFill/>
        <a:ln w="9525">
          <a:noFill/>
          <a:miter lim="800000"/>
          <a:headEnd/>
          <a:tailEnd/>
        </a:ln>
      </xdr:spPr>
    </xdr:pic>
    <xdr:clientData/>
  </xdr:twoCellAnchor>
  <xdr:twoCellAnchor>
    <xdr:from>
      <xdr:col>2</xdr:col>
      <xdr:colOff>28575</xdr:colOff>
      <xdr:row>488</xdr:row>
      <xdr:rowOff>57150</xdr:rowOff>
    </xdr:from>
    <xdr:to>
      <xdr:col>3</xdr:col>
      <xdr:colOff>409575</xdr:colOff>
      <xdr:row>490</xdr:row>
      <xdr:rowOff>95250</xdr:rowOff>
    </xdr:to>
    <xdr:pic>
      <xdr:nvPicPr>
        <xdr:cNvPr id="7"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619125" y="87429975"/>
          <a:ext cx="609600" cy="361950"/>
        </a:xfrm>
        <a:prstGeom prst="rect">
          <a:avLst/>
        </a:prstGeom>
        <a:noFill/>
        <a:ln w="9525">
          <a:noFill/>
          <a:miter lim="800000"/>
          <a:headEnd/>
          <a:tailEnd/>
        </a:ln>
      </xdr:spPr>
    </xdr:pic>
    <xdr:clientData/>
  </xdr:twoCellAnchor>
  <xdr:twoCellAnchor>
    <xdr:from>
      <xdr:col>2</xdr:col>
      <xdr:colOff>28575</xdr:colOff>
      <xdr:row>610</xdr:row>
      <xdr:rowOff>57150</xdr:rowOff>
    </xdr:from>
    <xdr:to>
      <xdr:col>3</xdr:col>
      <xdr:colOff>409575</xdr:colOff>
      <xdr:row>612</xdr:row>
      <xdr:rowOff>95250</xdr:rowOff>
    </xdr:to>
    <xdr:pic>
      <xdr:nvPicPr>
        <xdr:cNvPr id="8"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619125" y="107375325"/>
          <a:ext cx="609600" cy="361950"/>
        </a:xfrm>
        <a:prstGeom prst="rect">
          <a:avLst/>
        </a:prstGeom>
        <a:noFill/>
        <a:ln w="9525">
          <a:noFill/>
          <a:miter lim="800000"/>
          <a:headEnd/>
          <a:tailEnd/>
        </a:ln>
      </xdr:spPr>
    </xdr:pic>
    <xdr:clientData/>
  </xdr:twoCellAnchor>
  <xdr:twoCellAnchor>
    <xdr:from>
      <xdr:col>2</xdr:col>
      <xdr:colOff>28575</xdr:colOff>
      <xdr:row>732</xdr:row>
      <xdr:rowOff>57150</xdr:rowOff>
    </xdr:from>
    <xdr:to>
      <xdr:col>3</xdr:col>
      <xdr:colOff>409575</xdr:colOff>
      <xdr:row>734</xdr:row>
      <xdr:rowOff>95250</xdr:rowOff>
    </xdr:to>
    <xdr:pic>
      <xdr:nvPicPr>
        <xdr:cNvPr id="9"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619125" y="127320675"/>
          <a:ext cx="609600" cy="361950"/>
        </a:xfrm>
        <a:prstGeom prst="rect">
          <a:avLst/>
        </a:prstGeom>
        <a:noFill/>
        <a:ln w="9525">
          <a:noFill/>
          <a:miter lim="800000"/>
          <a:headEnd/>
          <a:tailEnd/>
        </a:ln>
      </xdr:spPr>
    </xdr:pic>
    <xdr:clientData/>
  </xdr:twoCellAnchor>
  <xdr:twoCellAnchor>
    <xdr:from>
      <xdr:col>2</xdr:col>
      <xdr:colOff>28575</xdr:colOff>
      <xdr:row>854</xdr:row>
      <xdr:rowOff>57150</xdr:rowOff>
    </xdr:from>
    <xdr:to>
      <xdr:col>3</xdr:col>
      <xdr:colOff>409575</xdr:colOff>
      <xdr:row>856</xdr:row>
      <xdr:rowOff>95250</xdr:rowOff>
    </xdr:to>
    <xdr:pic>
      <xdr:nvPicPr>
        <xdr:cNvPr id="10" name="Picture 9"/>
        <xdr:cNvPicPr>
          <a:picLocks noChangeAspect="1" noChangeArrowheads="1"/>
        </xdr:cNvPicPr>
      </xdr:nvPicPr>
      <xdr:blipFill>
        <a:blip xmlns:r="http://schemas.openxmlformats.org/officeDocument/2006/relationships" r:embed="rId2" cstate="print"/>
        <a:srcRect/>
        <a:stretch>
          <a:fillRect/>
        </a:stretch>
      </xdr:blipFill>
      <xdr:spPr bwMode="auto">
        <a:xfrm>
          <a:off x="619125" y="147266025"/>
          <a:ext cx="609600" cy="361950"/>
        </a:xfrm>
        <a:prstGeom prst="rect">
          <a:avLst/>
        </a:prstGeom>
        <a:noFill/>
        <a:ln w="9525">
          <a:noFill/>
          <a:miter lim="800000"/>
          <a:headEnd/>
          <a:tailEnd/>
        </a:ln>
      </xdr:spPr>
    </xdr:pic>
    <xdr:clientData/>
  </xdr:twoCellAnchor>
  <xdr:twoCellAnchor>
    <xdr:from>
      <xdr:col>2</xdr:col>
      <xdr:colOff>28575</xdr:colOff>
      <xdr:row>976</xdr:row>
      <xdr:rowOff>57150</xdr:rowOff>
    </xdr:from>
    <xdr:to>
      <xdr:col>3</xdr:col>
      <xdr:colOff>409575</xdr:colOff>
      <xdr:row>978</xdr:row>
      <xdr:rowOff>95250</xdr:rowOff>
    </xdr:to>
    <xdr:pic>
      <xdr:nvPicPr>
        <xdr:cNvPr id="11"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619125" y="167459025"/>
          <a:ext cx="609600" cy="361950"/>
        </a:xfrm>
        <a:prstGeom prst="rect">
          <a:avLst/>
        </a:prstGeom>
        <a:noFill/>
        <a:ln w="9525">
          <a:noFill/>
          <a:miter lim="800000"/>
          <a:headEnd/>
          <a:tailEnd/>
        </a:ln>
      </xdr:spPr>
    </xdr:pic>
    <xdr:clientData/>
  </xdr:twoCellAnchor>
  <xdr:twoCellAnchor>
    <xdr:from>
      <xdr:col>2</xdr:col>
      <xdr:colOff>28575</xdr:colOff>
      <xdr:row>1098</xdr:row>
      <xdr:rowOff>57150</xdr:rowOff>
    </xdr:from>
    <xdr:to>
      <xdr:col>3</xdr:col>
      <xdr:colOff>409575</xdr:colOff>
      <xdr:row>1100</xdr:row>
      <xdr:rowOff>95250</xdr:rowOff>
    </xdr:to>
    <xdr:pic>
      <xdr:nvPicPr>
        <xdr:cNvPr id="12"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619125" y="187404375"/>
          <a:ext cx="609600" cy="361950"/>
        </a:xfrm>
        <a:prstGeom prst="rect">
          <a:avLst/>
        </a:prstGeom>
        <a:noFill/>
        <a:ln w="9525">
          <a:noFill/>
          <a:miter lim="800000"/>
          <a:headEnd/>
          <a:tailEnd/>
        </a:ln>
      </xdr:spPr>
    </xdr:pic>
    <xdr:clientData/>
  </xdr:twoCellAnchor>
  <xdr:twoCellAnchor>
    <xdr:from>
      <xdr:col>2</xdr:col>
      <xdr:colOff>28575</xdr:colOff>
      <xdr:row>1220</xdr:row>
      <xdr:rowOff>57150</xdr:rowOff>
    </xdr:from>
    <xdr:to>
      <xdr:col>3</xdr:col>
      <xdr:colOff>409575</xdr:colOff>
      <xdr:row>1222</xdr:row>
      <xdr:rowOff>95250</xdr:rowOff>
    </xdr:to>
    <xdr:pic>
      <xdr:nvPicPr>
        <xdr:cNvPr id="13" name="Picture 12"/>
        <xdr:cNvPicPr>
          <a:picLocks noChangeAspect="1" noChangeArrowheads="1"/>
        </xdr:cNvPicPr>
      </xdr:nvPicPr>
      <xdr:blipFill>
        <a:blip xmlns:r="http://schemas.openxmlformats.org/officeDocument/2006/relationships" r:embed="rId2" cstate="print"/>
        <a:srcRect/>
        <a:stretch>
          <a:fillRect/>
        </a:stretch>
      </xdr:blipFill>
      <xdr:spPr bwMode="auto">
        <a:xfrm>
          <a:off x="619125" y="207568800"/>
          <a:ext cx="609600" cy="361950"/>
        </a:xfrm>
        <a:prstGeom prst="rect">
          <a:avLst/>
        </a:prstGeom>
        <a:noFill/>
        <a:ln w="9525">
          <a:noFill/>
          <a:miter lim="800000"/>
          <a:headEnd/>
          <a:tailEnd/>
        </a:ln>
      </xdr:spPr>
    </xdr:pic>
    <xdr:clientData/>
  </xdr:twoCellAnchor>
  <xdr:twoCellAnchor>
    <xdr:from>
      <xdr:col>2</xdr:col>
      <xdr:colOff>28575</xdr:colOff>
      <xdr:row>1342</xdr:row>
      <xdr:rowOff>57150</xdr:rowOff>
    </xdr:from>
    <xdr:to>
      <xdr:col>3</xdr:col>
      <xdr:colOff>409575</xdr:colOff>
      <xdr:row>1344</xdr:row>
      <xdr:rowOff>95250</xdr:rowOff>
    </xdr:to>
    <xdr:pic>
      <xdr:nvPicPr>
        <xdr:cNvPr id="14" name="Picture 13"/>
        <xdr:cNvPicPr>
          <a:picLocks noChangeAspect="1" noChangeArrowheads="1"/>
        </xdr:cNvPicPr>
      </xdr:nvPicPr>
      <xdr:blipFill>
        <a:blip xmlns:r="http://schemas.openxmlformats.org/officeDocument/2006/relationships" r:embed="rId2" cstate="print"/>
        <a:srcRect/>
        <a:stretch>
          <a:fillRect/>
        </a:stretch>
      </xdr:blipFill>
      <xdr:spPr bwMode="auto">
        <a:xfrm>
          <a:off x="619125" y="227752275"/>
          <a:ext cx="609600" cy="3619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umee7\fullshare%20tumee7\urtiin%20duu\SHINEST-TATBAR%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7.05.11/&#1093;&#1101;&#1088;&#1101;&#1075;&#1090;&#1101;&#1081;/&#214;&#224;&#235;&#232;&#237;/&#1053;&#1044;&#1064;/&#1053;&#1044;&#1064;%20-&#1094;&#1072;&#1083;&#1080;&#108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UMEE7\SHINEST-TAX%20-%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mee7\fullshare%20tumee7\urtiin%20duu\CAML-jurnalshin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mpany "/>
      <sheetName val="CASH-C2"/>
      <sheetName val="DATA"/>
      <sheetName val="KACC"/>
      <sheetName val="DANS"/>
      <sheetName val="AP-AR"/>
      <sheetName val="AP1-AR1"/>
      <sheetName val="AP1-AR2"/>
      <sheetName val="TSALIN"/>
      <sheetName val="FIXED ASSET"/>
      <sheetName val="TN"/>
      <sheetName val="RC"/>
      <sheetName val="T_or"/>
      <sheetName val="JURNAL"/>
      <sheetName val="STAT1"/>
      <sheetName val="STAT2"/>
      <sheetName val="STAT3"/>
      <sheetName val="STAT4"/>
      <sheetName val="BS"/>
      <sheetName val="IS"/>
      <sheetName val="OC"/>
      <sheetName val="CF"/>
      <sheetName val="Tax_1"/>
      <sheetName val="Tax_2"/>
      <sheetName val="Tax_3"/>
      <sheetName val="Tax_4"/>
      <sheetName val="Sheet2"/>
      <sheetName val="Sheet3"/>
      <sheetName val="тооцоо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460006</v>
          </cell>
          <cell r="C8" t="str">
            <v xml:space="preserve">Òîîíû ìàøèí </v>
          </cell>
          <cell r="D8" t="str">
            <v>ш</v>
          </cell>
          <cell r="E8">
            <v>1</v>
          </cell>
          <cell r="F8">
            <v>8392.5159408569343</v>
          </cell>
          <cell r="G8">
            <v>8392.5159408569343</v>
          </cell>
          <cell r="H8">
            <v>1</v>
          </cell>
          <cell r="I8">
            <v>8392.5159408569343</v>
          </cell>
          <cell r="J8">
            <v>8392.5159408569343</v>
          </cell>
          <cell r="K8">
            <v>0</v>
          </cell>
          <cell r="L8">
            <v>0</v>
          </cell>
          <cell r="M8">
            <v>0</v>
          </cell>
          <cell r="N8">
            <v>0</v>
          </cell>
          <cell r="O8">
            <v>0</v>
          </cell>
          <cell r="P8">
            <v>0</v>
          </cell>
          <cell r="Q8">
            <v>1</v>
          </cell>
          <cell r="R8">
            <v>8392.5159408569343</v>
          </cell>
          <cell r="S8">
            <v>8392.5159408569343</v>
          </cell>
          <cell r="T8">
            <v>160201</v>
          </cell>
        </row>
        <row r="9">
          <cell r="B9">
            <v>460007</v>
          </cell>
          <cell r="C9" t="str">
            <v xml:space="preserve">¯äýýñíèé ìàøèí </v>
          </cell>
          <cell r="D9" t="str">
            <v>ш</v>
          </cell>
          <cell r="E9">
            <v>1</v>
          </cell>
          <cell r="F9">
            <v>2727.27</v>
          </cell>
          <cell r="G9">
            <v>2727.27</v>
          </cell>
          <cell r="H9">
            <v>1</v>
          </cell>
          <cell r="I9">
            <v>2727.27</v>
          </cell>
          <cell r="J9">
            <v>2727.27</v>
          </cell>
          <cell r="K9">
            <v>0</v>
          </cell>
          <cell r="L9">
            <v>0</v>
          </cell>
          <cell r="M9">
            <v>0</v>
          </cell>
          <cell r="N9">
            <v>0</v>
          </cell>
          <cell r="O9">
            <v>0</v>
          </cell>
          <cell r="P9">
            <v>0</v>
          </cell>
          <cell r="Q9">
            <v>1</v>
          </cell>
          <cell r="R9">
            <v>2727.27</v>
          </cell>
          <cell r="S9">
            <v>2727.27</v>
          </cell>
          <cell r="T9">
            <v>160201</v>
          </cell>
        </row>
        <row r="10">
          <cell r="B10">
            <v>460009</v>
          </cell>
          <cell r="C10" t="str">
            <v xml:space="preserve">Áè÷ãèéí öààñ </v>
          </cell>
          <cell r="D10" t="str">
            <v>ш</v>
          </cell>
          <cell r="E10">
            <v>1</v>
          </cell>
          <cell r="F10">
            <v>8530.94</v>
          </cell>
          <cell r="G10">
            <v>8530.94</v>
          </cell>
          <cell r="H10">
            <v>1</v>
          </cell>
          <cell r="I10">
            <v>8530.94</v>
          </cell>
          <cell r="J10">
            <v>8530.94</v>
          </cell>
          <cell r="K10">
            <v>0</v>
          </cell>
          <cell r="L10">
            <v>0</v>
          </cell>
          <cell r="M10">
            <v>0</v>
          </cell>
          <cell r="N10">
            <v>0</v>
          </cell>
          <cell r="O10">
            <v>0</v>
          </cell>
          <cell r="P10">
            <v>0</v>
          </cell>
          <cell r="Q10">
            <v>1</v>
          </cell>
          <cell r="R10">
            <v>8530.94</v>
          </cell>
          <cell r="S10">
            <v>8530.94</v>
          </cell>
          <cell r="T10">
            <v>160201</v>
          </cell>
        </row>
        <row r="11">
          <cell r="B11">
            <v>460012</v>
          </cell>
          <cell r="C11" t="str">
            <v xml:space="preserve">Öààñíû öàâóó </v>
          </cell>
          <cell r="D11" t="str">
            <v>ш</v>
          </cell>
          <cell r="E11">
            <v>1</v>
          </cell>
          <cell r="F11">
            <v>1167.8399999999999</v>
          </cell>
          <cell r="G11">
            <v>1167.8399999999999</v>
          </cell>
          <cell r="H11">
            <v>1</v>
          </cell>
          <cell r="I11">
            <v>1167.8399999999999</v>
          </cell>
          <cell r="J11">
            <v>1167.8399999999999</v>
          </cell>
          <cell r="K11">
            <v>0</v>
          </cell>
          <cell r="L11">
            <v>0</v>
          </cell>
          <cell r="M11">
            <v>0</v>
          </cell>
          <cell r="N11">
            <v>0</v>
          </cell>
          <cell r="O11">
            <v>0</v>
          </cell>
          <cell r="P11">
            <v>0</v>
          </cell>
          <cell r="Q11">
            <v>1</v>
          </cell>
          <cell r="R11">
            <v>1167.8399999999999</v>
          </cell>
          <cell r="S11">
            <v>1167.8399999999999</v>
          </cell>
          <cell r="T11">
            <v>160201</v>
          </cell>
        </row>
        <row r="12">
          <cell r="B12">
            <v>460018</v>
          </cell>
          <cell r="C12" t="str">
            <v>Öààñ ç¿ñýã÷</v>
          </cell>
          <cell r="D12" t="str">
            <v>ш</v>
          </cell>
          <cell r="E12">
            <v>1</v>
          </cell>
          <cell r="F12">
            <v>22800</v>
          </cell>
          <cell r="G12">
            <v>22800</v>
          </cell>
          <cell r="H12">
            <v>1</v>
          </cell>
          <cell r="I12">
            <v>22800</v>
          </cell>
          <cell r="J12">
            <v>22800</v>
          </cell>
          <cell r="K12">
            <v>0</v>
          </cell>
          <cell r="L12">
            <v>0</v>
          </cell>
          <cell r="M12">
            <v>0</v>
          </cell>
          <cell r="N12">
            <v>0</v>
          </cell>
          <cell r="O12">
            <v>0</v>
          </cell>
          <cell r="P12">
            <v>0</v>
          </cell>
          <cell r="Q12">
            <v>1</v>
          </cell>
          <cell r="R12">
            <v>22800</v>
          </cell>
          <cell r="S12">
            <v>22800</v>
          </cell>
          <cell r="T12">
            <v>160201</v>
          </cell>
        </row>
        <row r="13">
          <cell r="B13">
            <v>460022</v>
          </cell>
          <cell r="C13" t="str">
            <v>Keyboard</v>
          </cell>
          <cell r="D13" t="str">
            <v>ш</v>
          </cell>
          <cell r="E13">
            <v>1</v>
          </cell>
          <cell r="F13">
            <v>12000</v>
          </cell>
          <cell r="G13">
            <v>12000</v>
          </cell>
          <cell r="H13">
            <v>1</v>
          </cell>
          <cell r="I13">
            <v>12000</v>
          </cell>
          <cell r="J13">
            <v>12000</v>
          </cell>
          <cell r="K13">
            <v>0</v>
          </cell>
          <cell r="L13">
            <v>0</v>
          </cell>
          <cell r="M13">
            <v>0</v>
          </cell>
          <cell r="N13">
            <v>0</v>
          </cell>
          <cell r="O13">
            <v>0</v>
          </cell>
          <cell r="P13">
            <v>0</v>
          </cell>
          <cell r="Q13">
            <v>1</v>
          </cell>
          <cell r="R13">
            <v>12000</v>
          </cell>
          <cell r="S13">
            <v>12000</v>
          </cell>
          <cell r="T13">
            <v>160201</v>
          </cell>
        </row>
        <row r="14">
          <cell r="B14">
            <v>460023</v>
          </cell>
          <cell r="C14" t="str">
            <v>Mouse</v>
          </cell>
          <cell r="D14" t="str">
            <v>ш</v>
          </cell>
          <cell r="E14">
            <v>1</v>
          </cell>
          <cell r="F14">
            <v>15000</v>
          </cell>
          <cell r="G14">
            <v>15000</v>
          </cell>
          <cell r="H14">
            <v>1</v>
          </cell>
          <cell r="I14">
            <v>15000</v>
          </cell>
          <cell r="J14">
            <v>15000</v>
          </cell>
          <cell r="K14">
            <v>0</v>
          </cell>
          <cell r="L14">
            <v>0</v>
          </cell>
          <cell r="M14">
            <v>0</v>
          </cell>
          <cell r="N14">
            <v>0</v>
          </cell>
          <cell r="O14">
            <v>0</v>
          </cell>
          <cell r="P14">
            <v>0</v>
          </cell>
          <cell r="Q14">
            <v>1</v>
          </cell>
          <cell r="R14">
            <v>15000</v>
          </cell>
          <cell r="S14">
            <v>15000</v>
          </cell>
          <cell r="T14">
            <v>160201</v>
          </cell>
        </row>
        <row r="15">
          <cell r="B15">
            <v>460026</v>
          </cell>
          <cell r="C15" t="str">
            <v xml:space="preserve">Íîðì, íîðìàòèâûí íîì </v>
          </cell>
          <cell r="D15" t="str">
            <v>ш</v>
          </cell>
          <cell r="E15">
            <v>10</v>
          </cell>
          <cell r="F15">
            <v>14030</v>
          </cell>
          <cell r="G15">
            <v>140300</v>
          </cell>
          <cell r="H15">
            <v>10</v>
          </cell>
          <cell r="I15">
            <v>14030</v>
          </cell>
          <cell r="J15">
            <v>140300</v>
          </cell>
          <cell r="K15">
            <v>0</v>
          </cell>
          <cell r="L15">
            <v>0</v>
          </cell>
          <cell r="M15">
            <v>0</v>
          </cell>
          <cell r="N15">
            <v>0</v>
          </cell>
          <cell r="O15">
            <v>0</v>
          </cell>
          <cell r="P15">
            <v>0</v>
          </cell>
          <cell r="Q15">
            <v>10</v>
          </cell>
          <cell r="R15">
            <v>14030</v>
          </cell>
          <cell r="S15">
            <v>140300</v>
          </cell>
          <cell r="T15">
            <v>160201</v>
          </cell>
        </row>
        <row r="16">
          <cell r="B16">
            <v>460027</v>
          </cell>
          <cell r="C16" t="str">
            <v>Hard disk</v>
          </cell>
          <cell r="D16" t="str">
            <v>ш</v>
          </cell>
          <cell r="E16">
            <v>1</v>
          </cell>
          <cell r="F16">
            <v>160000</v>
          </cell>
          <cell r="G16">
            <v>160000</v>
          </cell>
          <cell r="H16">
            <v>1</v>
          </cell>
          <cell r="I16">
            <v>160000</v>
          </cell>
          <cell r="J16">
            <v>160000</v>
          </cell>
          <cell r="K16">
            <v>0</v>
          </cell>
          <cell r="L16">
            <v>0</v>
          </cell>
          <cell r="M16">
            <v>0</v>
          </cell>
          <cell r="N16">
            <v>0</v>
          </cell>
          <cell r="O16">
            <v>0</v>
          </cell>
          <cell r="P16">
            <v>0</v>
          </cell>
          <cell r="Q16">
            <v>1</v>
          </cell>
          <cell r="R16">
            <v>160000</v>
          </cell>
          <cell r="S16">
            <v>160000</v>
          </cell>
          <cell r="T16">
            <v>160201</v>
          </cell>
        </row>
        <row r="17">
          <cell r="B17">
            <v>460001</v>
          </cell>
          <cell r="C17" t="str">
            <v xml:space="preserve">ÍÄØ-í õóóëèéí íîì </v>
          </cell>
          <cell r="D17" t="str">
            <v>ш</v>
          </cell>
          <cell r="E17">
            <v>1</v>
          </cell>
          <cell r="F17">
            <v>5000</v>
          </cell>
          <cell r="G17">
            <v>5000</v>
          </cell>
          <cell r="H17">
            <v>1</v>
          </cell>
          <cell r="I17">
            <v>5000</v>
          </cell>
          <cell r="J17">
            <v>5000</v>
          </cell>
          <cell r="K17">
            <v>0</v>
          </cell>
          <cell r="L17">
            <v>0</v>
          </cell>
          <cell r="M17">
            <v>0</v>
          </cell>
          <cell r="N17">
            <v>0</v>
          </cell>
          <cell r="O17">
            <v>0</v>
          </cell>
          <cell r="P17">
            <v>0</v>
          </cell>
          <cell r="Q17">
            <v>1</v>
          </cell>
          <cell r="R17">
            <v>5000</v>
          </cell>
          <cell r="S17">
            <v>5000</v>
          </cell>
          <cell r="T17">
            <v>160201</v>
          </cell>
        </row>
        <row r="18">
          <cell r="B18">
            <v>440001</v>
          </cell>
          <cell r="C18" t="str">
            <v>Àæ àõóéí õýðýãñýë</v>
          </cell>
          <cell r="D18" t="str">
            <v>ш</v>
          </cell>
          <cell r="E18">
            <v>9</v>
          </cell>
          <cell r="F18">
            <v>3162.34</v>
          </cell>
          <cell r="G18">
            <v>28461.06</v>
          </cell>
          <cell r="H18">
            <v>9</v>
          </cell>
          <cell r="I18">
            <v>3162.34</v>
          </cell>
          <cell r="J18">
            <v>28461.06</v>
          </cell>
          <cell r="K18">
            <v>0</v>
          </cell>
          <cell r="L18">
            <v>0</v>
          </cell>
          <cell r="M18">
            <v>0</v>
          </cell>
          <cell r="N18">
            <v>0</v>
          </cell>
          <cell r="O18">
            <v>0</v>
          </cell>
          <cell r="P18">
            <v>0</v>
          </cell>
          <cell r="Q18">
            <v>9</v>
          </cell>
          <cell r="R18">
            <v>3162.34</v>
          </cell>
          <cell r="S18">
            <v>28461.06</v>
          </cell>
          <cell r="T18">
            <v>160200</v>
          </cell>
        </row>
        <row r="19">
          <cell r="B19">
            <v>440012</v>
          </cell>
          <cell r="C19" t="str">
            <v xml:space="preserve">Êîìïàíèé ëîãîîòîé òóã </v>
          </cell>
          <cell r="D19" t="str">
            <v>ш</v>
          </cell>
          <cell r="E19">
            <v>1</v>
          </cell>
          <cell r="F19">
            <v>58000</v>
          </cell>
          <cell r="G19">
            <v>58000</v>
          </cell>
          <cell r="H19">
            <v>1</v>
          </cell>
          <cell r="I19">
            <v>58000</v>
          </cell>
          <cell r="J19">
            <v>58000</v>
          </cell>
          <cell r="K19">
            <v>0</v>
          </cell>
          <cell r="L19">
            <v>0</v>
          </cell>
          <cell r="M19">
            <v>0</v>
          </cell>
          <cell r="N19">
            <v>0</v>
          </cell>
          <cell r="O19">
            <v>0</v>
          </cell>
          <cell r="P19">
            <v>0</v>
          </cell>
          <cell r="Q19">
            <v>1</v>
          </cell>
          <cell r="R19">
            <v>58000</v>
          </cell>
          <cell r="S19">
            <v>58000</v>
          </cell>
          <cell r="T19">
            <v>160200</v>
          </cell>
        </row>
        <row r="20">
          <cell r="B20">
            <v>440015</v>
          </cell>
          <cell r="C20" t="str">
            <v xml:space="preserve">Òîîñ ñîðîã÷ </v>
          </cell>
          <cell r="D20" t="str">
            <v>ш</v>
          </cell>
          <cell r="E20">
            <v>1</v>
          </cell>
          <cell r="F20">
            <v>121363.64</v>
          </cell>
          <cell r="G20">
            <v>121363.64</v>
          </cell>
          <cell r="H20">
            <v>1</v>
          </cell>
          <cell r="I20">
            <v>121363.64</v>
          </cell>
          <cell r="J20">
            <v>121363.64</v>
          </cell>
          <cell r="K20">
            <v>0</v>
          </cell>
          <cell r="L20">
            <v>0</v>
          </cell>
          <cell r="M20">
            <v>0</v>
          </cell>
          <cell r="N20">
            <v>0</v>
          </cell>
          <cell r="O20">
            <v>0</v>
          </cell>
          <cell r="P20">
            <v>0</v>
          </cell>
          <cell r="Q20">
            <v>1</v>
          </cell>
          <cell r="R20">
            <v>121363.64</v>
          </cell>
          <cell r="S20">
            <v>121363.64</v>
          </cell>
          <cell r="T20">
            <v>160200</v>
          </cell>
        </row>
        <row r="21">
          <cell r="B21">
            <v>440017</v>
          </cell>
          <cell r="C21" t="str">
            <v>×àíãà ÿðèã÷</v>
          </cell>
          <cell r="D21" t="str">
            <v>ш</v>
          </cell>
          <cell r="E21">
            <v>1</v>
          </cell>
          <cell r="F21">
            <v>55000</v>
          </cell>
          <cell r="G21">
            <v>55000</v>
          </cell>
          <cell r="H21">
            <v>1</v>
          </cell>
          <cell r="I21">
            <v>55000</v>
          </cell>
          <cell r="J21">
            <v>55000</v>
          </cell>
          <cell r="K21">
            <v>0</v>
          </cell>
          <cell r="L21">
            <v>0</v>
          </cell>
          <cell r="M21">
            <v>0</v>
          </cell>
          <cell r="N21">
            <v>0</v>
          </cell>
          <cell r="O21">
            <v>0</v>
          </cell>
          <cell r="P21">
            <v>0</v>
          </cell>
          <cell r="Q21">
            <v>1</v>
          </cell>
          <cell r="R21">
            <v>55000</v>
          </cell>
          <cell r="S21">
            <v>55000</v>
          </cell>
          <cell r="T21">
            <v>160200</v>
          </cell>
        </row>
        <row r="22">
          <cell r="B22">
            <v>440018</v>
          </cell>
          <cell r="C22" t="str">
            <v xml:space="preserve">Óòàñíû àïïàðàò </v>
          </cell>
          <cell r="D22" t="str">
            <v>ш</v>
          </cell>
          <cell r="E22">
            <v>5</v>
          </cell>
          <cell r="F22">
            <v>66101.820000000007</v>
          </cell>
          <cell r="G22">
            <v>330509.10000000003</v>
          </cell>
          <cell r="H22">
            <v>5</v>
          </cell>
          <cell r="I22">
            <v>66101.820000000007</v>
          </cell>
          <cell r="J22">
            <v>330509.10000000003</v>
          </cell>
          <cell r="K22">
            <v>0</v>
          </cell>
          <cell r="L22">
            <v>0</v>
          </cell>
          <cell r="M22">
            <v>0</v>
          </cell>
          <cell r="N22">
            <v>0</v>
          </cell>
          <cell r="O22">
            <v>0</v>
          </cell>
          <cell r="P22">
            <v>0</v>
          </cell>
          <cell r="Q22">
            <v>5</v>
          </cell>
          <cell r="R22">
            <v>66101.820000000007</v>
          </cell>
          <cell r="S22">
            <v>330509.10000000003</v>
          </cell>
          <cell r="T22">
            <v>160200</v>
          </cell>
        </row>
        <row r="23">
          <cell r="B23">
            <v>440021</v>
          </cell>
          <cell r="C23" t="str">
            <v>Àíòåíí</v>
          </cell>
          <cell r="D23" t="str">
            <v>ш</v>
          </cell>
          <cell r="E23">
            <v>1</v>
          </cell>
          <cell r="F23">
            <v>159090.91</v>
          </cell>
          <cell r="G23">
            <v>159090.91</v>
          </cell>
          <cell r="H23">
            <v>1</v>
          </cell>
          <cell r="I23">
            <v>159090.91</v>
          </cell>
          <cell r="J23">
            <v>159090.91</v>
          </cell>
          <cell r="K23">
            <v>0</v>
          </cell>
          <cell r="L23">
            <v>0</v>
          </cell>
          <cell r="M23">
            <v>0</v>
          </cell>
          <cell r="N23">
            <v>0</v>
          </cell>
          <cell r="O23">
            <v>0</v>
          </cell>
          <cell r="P23">
            <v>0</v>
          </cell>
          <cell r="Q23">
            <v>1</v>
          </cell>
          <cell r="R23">
            <v>159090.91</v>
          </cell>
          <cell r="S23">
            <v>159090.91</v>
          </cell>
          <cell r="T23">
            <v>160200</v>
          </cell>
        </row>
        <row r="24">
          <cell r="B24">
            <v>440007</v>
          </cell>
          <cell r="C24" t="str">
            <v xml:space="preserve">Õàÿàâ÷ </v>
          </cell>
          <cell r="D24" t="str">
            <v>ш</v>
          </cell>
          <cell r="E24">
            <v>1</v>
          </cell>
          <cell r="F24">
            <v>40909.089999999997</v>
          </cell>
          <cell r="G24">
            <v>40909.089999999997</v>
          </cell>
          <cell r="H24">
            <v>1</v>
          </cell>
          <cell r="I24">
            <v>40909.089999999997</v>
          </cell>
          <cell r="J24">
            <v>40909.089999999997</v>
          </cell>
          <cell r="K24">
            <v>0</v>
          </cell>
          <cell r="L24">
            <v>0</v>
          </cell>
          <cell r="M24">
            <v>0</v>
          </cell>
          <cell r="N24">
            <v>0</v>
          </cell>
          <cell r="O24">
            <v>0</v>
          </cell>
          <cell r="P24">
            <v>0</v>
          </cell>
          <cell r="Q24">
            <v>1</v>
          </cell>
          <cell r="R24">
            <v>40909.089999999997</v>
          </cell>
          <cell r="S24">
            <v>40909.089999999997</v>
          </cell>
          <cell r="T24">
            <v>160200</v>
          </cell>
        </row>
        <row r="25">
          <cell r="B25">
            <v>440008</v>
          </cell>
          <cell r="C25" t="str">
            <v xml:space="preserve">Ýñãèé </v>
          </cell>
          <cell r="D25" t="str">
            <v>м</v>
          </cell>
          <cell r="E25">
            <v>18.5</v>
          </cell>
          <cell r="F25">
            <v>10000</v>
          </cell>
          <cell r="G25">
            <v>185000</v>
          </cell>
          <cell r="H25">
            <v>18.5</v>
          </cell>
          <cell r="I25">
            <v>10000</v>
          </cell>
          <cell r="J25">
            <v>185000</v>
          </cell>
          <cell r="K25">
            <v>0</v>
          </cell>
          <cell r="L25">
            <v>0</v>
          </cell>
          <cell r="M25">
            <v>0</v>
          </cell>
          <cell r="N25">
            <v>18.5</v>
          </cell>
          <cell r="O25">
            <v>10000</v>
          </cell>
          <cell r="P25">
            <v>185000</v>
          </cell>
          <cell r="Q25">
            <v>0</v>
          </cell>
          <cell r="R25">
            <v>0</v>
          </cell>
          <cell r="S25">
            <v>0</v>
          </cell>
          <cell r="T25">
            <v>160200</v>
          </cell>
        </row>
        <row r="26">
          <cell r="B26">
            <v>430153</v>
          </cell>
          <cell r="C26" t="str">
            <v>Èâ¿¿ð/âàãîíû/</v>
          </cell>
          <cell r="D26" t="str">
            <v>ш</v>
          </cell>
          <cell r="E26">
            <v>4</v>
          </cell>
          <cell r="F26">
            <v>35000</v>
          </cell>
          <cell r="G26">
            <v>140000</v>
          </cell>
          <cell r="H26">
            <v>4</v>
          </cell>
          <cell r="I26">
            <v>35000</v>
          </cell>
          <cell r="J26">
            <v>140000</v>
          </cell>
          <cell r="K26">
            <v>0</v>
          </cell>
          <cell r="L26">
            <v>0</v>
          </cell>
          <cell r="M26">
            <v>0</v>
          </cell>
          <cell r="N26">
            <v>0</v>
          </cell>
          <cell r="O26">
            <v>0</v>
          </cell>
          <cell r="P26">
            <v>0</v>
          </cell>
          <cell r="Q26">
            <v>4</v>
          </cell>
          <cell r="R26">
            <v>35000</v>
          </cell>
          <cell r="S26">
            <v>140000</v>
          </cell>
          <cell r="T26">
            <v>160200</v>
          </cell>
        </row>
        <row r="27">
          <cell r="B27">
            <v>430023</v>
          </cell>
          <cell r="C27" t="str">
            <v xml:space="preserve">Ãðàäóñòàé õºðºº </v>
          </cell>
          <cell r="D27" t="str">
            <v>ш</v>
          </cell>
          <cell r="E27">
            <v>4</v>
          </cell>
          <cell r="F27">
            <v>339166.67</v>
          </cell>
          <cell r="G27">
            <v>1356666.68</v>
          </cell>
          <cell r="H27">
            <v>4</v>
          </cell>
          <cell r="I27">
            <v>339166.67</v>
          </cell>
          <cell r="J27">
            <v>1356666.68</v>
          </cell>
          <cell r="K27">
            <v>0</v>
          </cell>
          <cell r="L27">
            <v>0</v>
          </cell>
          <cell r="M27">
            <v>0</v>
          </cell>
          <cell r="N27">
            <v>0</v>
          </cell>
          <cell r="O27">
            <v>0</v>
          </cell>
          <cell r="P27">
            <v>0</v>
          </cell>
          <cell r="Q27">
            <v>4</v>
          </cell>
          <cell r="R27">
            <v>339166.67</v>
          </cell>
          <cell r="S27">
            <v>1356666.68</v>
          </cell>
          <cell r="T27">
            <v>160200</v>
          </cell>
        </row>
        <row r="28">
          <cell r="B28">
            <v>430025</v>
          </cell>
          <cell r="C28" t="str">
            <v xml:space="preserve">Ìàêèòà õºðºº </v>
          </cell>
          <cell r="D28" t="str">
            <v>ш</v>
          </cell>
          <cell r="E28">
            <v>1</v>
          </cell>
          <cell r="F28">
            <v>945000</v>
          </cell>
          <cell r="G28">
            <v>945000</v>
          </cell>
          <cell r="H28">
            <v>1</v>
          </cell>
          <cell r="I28">
            <v>945000</v>
          </cell>
          <cell r="J28">
            <v>945000</v>
          </cell>
          <cell r="K28">
            <v>0</v>
          </cell>
          <cell r="L28">
            <v>0</v>
          </cell>
          <cell r="M28">
            <v>0</v>
          </cell>
          <cell r="N28">
            <v>0</v>
          </cell>
          <cell r="O28">
            <v>0</v>
          </cell>
          <cell r="P28">
            <v>0</v>
          </cell>
          <cell r="Q28">
            <v>1</v>
          </cell>
          <cell r="R28">
            <v>945000</v>
          </cell>
          <cell r="S28">
            <v>945000</v>
          </cell>
          <cell r="T28">
            <v>160200</v>
          </cell>
        </row>
        <row r="29">
          <cell r="B29">
            <v>430026</v>
          </cell>
          <cell r="C29" t="str">
            <v xml:space="preserve">Ç¿ëã¿¿ðèéí ìàøèí </v>
          </cell>
          <cell r="D29" t="str">
            <v>ш</v>
          </cell>
          <cell r="E29">
            <v>3</v>
          </cell>
          <cell r="F29">
            <v>60666.670000000006</v>
          </cell>
          <cell r="G29">
            <v>182000.01</v>
          </cell>
          <cell r="H29">
            <v>3</v>
          </cell>
          <cell r="I29">
            <v>60666.670000000006</v>
          </cell>
          <cell r="J29">
            <v>182000.01</v>
          </cell>
          <cell r="K29">
            <v>0</v>
          </cell>
          <cell r="L29">
            <v>0</v>
          </cell>
          <cell r="M29">
            <v>0</v>
          </cell>
          <cell r="N29">
            <v>0</v>
          </cell>
          <cell r="O29">
            <v>0</v>
          </cell>
          <cell r="P29">
            <v>0</v>
          </cell>
          <cell r="Q29">
            <v>3</v>
          </cell>
          <cell r="R29">
            <v>60666.670000000006</v>
          </cell>
          <cell r="S29">
            <v>182000.01</v>
          </cell>
          <cell r="T29">
            <v>160200</v>
          </cell>
        </row>
        <row r="30">
          <cell r="B30">
            <v>430028</v>
          </cell>
          <cell r="C30" t="str">
            <v xml:space="preserve">Äðåëü </v>
          </cell>
          <cell r="D30" t="str">
            <v>ш</v>
          </cell>
          <cell r="E30">
            <v>6</v>
          </cell>
          <cell r="F30">
            <v>74500</v>
          </cell>
          <cell r="G30">
            <v>447000</v>
          </cell>
          <cell r="H30">
            <v>6</v>
          </cell>
          <cell r="I30">
            <v>74500</v>
          </cell>
          <cell r="J30">
            <v>447000</v>
          </cell>
          <cell r="K30">
            <v>0</v>
          </cell>
          <cell r="L30">
            <v>0</v>
          </cell>
          <cell r="M30">
            <v>0</v>
          </cell>
          <cell r="N30">
            <v>0</v>
          </cell>
          <cell r="O30">
            <v>0</v>
          </cell>
          <cell r="P30">
            <v>0</v>
          </cell>
          <cell r="Q30">
            <v>6</v>
          </cell>
          <cell r="R30">
            <v>74500</v>
          </cell>
          <cell r="S30">
            <v>447000</v>
          </cell>
          <cell r="T30">
            <v>160200</v>
          </cell>
        </row>
        <row r="31">
          <cell r="B31">
            <v>430032</v>
          </cell>
          <cell r="C31" t="str">
            <v xml:space="preserve">×àíãàëàã÷ </v>
          </cell>
          <cell r="D31" t="str">
            <v>ш</v>
          </cell>
          <cell r="E31">
            <v>3</v>
          </cell>
          <cell r="F31">
            <v>9000</v>
          </cell>
          <cell r="G31">
            <v>27000</v>
          </cell>
          <cell r="H31">
            <v>3</v>
          </cell>
          <cell r="I31">
            <v>9000</v>
          </cell>
          <cell r="J31">
            <v>27000</v>
          </cell>
          <cell r="K31">
            <v>0</v>
          </cell>
          <cell r="L31">
            <v>0</v>
          </cell>
          <cell r="M31">
            <v>0</v>
          </cell>
          <cell r="N31">
            <v>0</v>
          </cell>
          <cell r="O31">
            <v>0</v>
          </cell>
          <cell r="P31">
            <v>0</v>
          </cell>
          <cell r="Q31">
            <v>3</v>
          </cell>
          <cell r="R31">
            <v>9000</v>
          </cell>
          <cell r="S31">
            <v>27000</v>
          </cell>
          <cell r="T31">
            <v>160200</v>
          </cell>
        </row>
        <row r="32">
          <cell r="B32">
            <v>430036</v>
          </cell>
          <cell r="C32" t="str">
            <v xml:space="preserve">Âèáðàòîð </v>
          </cell>
          <cell r="D32" t="str">
            <v>ш</v>
          </cell>
          <cell r="E32">
            <v>1</v>
          </cell>
          <cell r="F32">
            <v>55000</v>
          </cell>
          <cell r="G32">
            <v>55000</v>
          </cell>
          <cell r="H32">
            <v>1</v>
          </cell>
          <cell r="I32">
            <v>55000</v>
          </cell>
          <cell r="J32">
            <v>55000</v>
          </cell>
          <cell r="K32">
            <v>0</v>
          </cell>
          <cell r="L32">
            <v>0</v>
          </cell>
          <cell r="M32">
            <v>0</v>
          </cell>
          <cell r="N32">
            <v>0</v>
          </cell>
          <cell r="O32">
            <v>0</v>
          </cell>
          <cell r="P32">
            <v>0</v>
          </cell>
          <cell r="Q32">
            <v>1</v>
          </cell>
          <cell r="R32">
            <v>55000</v>
          </cell>
          <cell r="S32">
            <v>55000</v>
          </cell>
          <cell r="T32">
            <v>160200</v>
          </cell>
        </row>
        <row r="33">
          <cell r="B33">
            <v>430037</v>
          </cell>
          <cell r="C33" t="str">
            <v xml:space="preserve">Óñ öýâýðø¿¿ëýõ òºõººðìæ </v>
          </cell>
          <cell r="D33" t="str">
            <v>ш</v>
          </cell>
          <cell r="E33">
            <v>1</v>
          </cell>
          <cell r="F33">
            <v>300000</v>
          </cell>
          <cell r="G33">
            <v>300000</v>
          </cell>
          <cell r="H33">
            <v>1</v>
          </cell>
          <cell r="I33">
            <v>300000</v>
          </cell>
          <cell r="J33">
            <v>300000</v>
          </cell>
          <cell r="K33">
            <v>0</v>
          </cell>
          <cell r="L33">
            <v>0</v>
          </cell>
          <cell r="M33">
            <v>0</v>
          </cell>
          <cell r="N33">
            <v>0</v>
          </cell>
          <cell r="O33">
            <v>0</v>
          </cell>
          <cell r="P33">
            <v>0</v>
          </cell>
          <cell r="Q33">
            <v>1</v>
          </cell>
          <cell r="R33">
            <v>300000</v>
          </cell>
          <cell r="S33">
            <v>300000</v>
          </cell>
          <cell r="T33">
            <v>160200</v>
          </cell>
        </row>
        <row r="34">
          <cell r="B34">
            <v>430039</v>
          </cell>
          <cell r="C34" t="str">
            <v xml:space="preserve">Ãàãíóóðûí àïïàðàò </v>
          </cell>
          <cell r="D34" t="str">
            <v>ш</v>
          </cell>
          <cell r="E34">
            <v>3</v>
          </cell>
          <cell r="F34">
            <v>29100</v>
          </cell>
          <cell r="G34">
            <v>87300</v>
          </cell>
          <cell r="H34">
            <v>3</v>
          </cell>
          <cell r="I34">
            <v>29100</v>
          </cell>
          <cell r="J34">
            <v>87300</v>
          </cell>
          <cell r="K34">
            <v>0</v>
          </cell>
          <cell r="L34">
            <v>0</v>
          </cell>
          <cell r="M34">
            <v>0</v>
          </cell>
          <cell r="N34">
            <v>0</v>
          </cell>
          <cell r="O34">
            <v>0</v>
          </cell>
          <cell r="P34">
            <v>0</v>
          </cell>
          <cell r="Q34">
            <v>3</v>
          </cell>
          <cell r="R34">
            <v>29100</v>
          </cell>
          <cell r="S34">
            <v>87300</v>
          </cell>
          <cell r="T34">
            <v>160200</v>
          </cell>
        </row>
        <row r="35">
          <cell r="B35">
            <v>430042</v>
          </cell>
          <cell r="C35" t="str">
            <v xml:space="preserve">Áåòîí çóóðàã÷ </v>
          </cell>
          <cell r="D35" t="str">
            <v>ш</v>
          </cell>
          <cell r="E35">
            <v>1</v>
          </cell>
          <cell r="F35">
            <v>1650000</v>
          </cell>
          <cell r="G35">
            <v>1650000</v>
          </cell>
          <cell r="H35">
            <v>1</v>
          </cell>
          <cell r="I35">
            <v>1650000</v>
          </cell>
          <cell r="J35">
            <v>1650000</v>
          </cell>
          <cell r="K35">
            <v>0</v>
          </cell>
          <cell r="L35">
            <v>0</v>
          </cell>
          <cell r="M35">
            <v>0</v>
          </cell>
          <cell r="N35">
            <v>0</v>
          </cell>
          <cell r="O35">
            <v>0</v>
          </cell>
          <cell r="P35">
            <v>0</v>
          </cell>
          <cell r="Q35">
            <v>1</v>
          </cell>
          <cell r="R35">
            <v>1650000</v>
          </cell>
          <cell r="S35">
            <v>1650000</v>
          </cell>
          <cell r="T35">
            <v>160200</v>
          </cell>
        </row>
        <row r="36">
          <cell r="B36">
            <v>430043</v>
          </cell>
          <cell r="C36" t="str">
            <v xml:space="preserve">Ãàçîâ </v>
          </cell>
          <cell r="D36" t="str">
            <v>ш</v>
          </cell>
          <cell r="E36">
            <v>4</v>
          </cell>
          <cell r="F36">
            <v>18250</v>
          </cell>
          <cell r="G36">
            <v>73000</v>
          </cell>
          <cell r="H36">
            <v>4</v>
          </cell>
          <cell r="I36">
            <v>18250</v>
          </cell>
          <cell r="J36">
            <v>73000</v>
          </cell>
          <cell r="K36">
            <v>0</v>
          </cell>
          <cell r="L36">
            <v>0</v>
          </cell>
          <cell r="M36">
            <v>0</v>
          </cell>
          <cell r="N36">
            <v>0</v>
          </cell>
          <cell r="O36">
            <v>0</v>
          </cell>
          <cell r="P36">
            <v>0</v>
          </cell>
          <cell r="Q36">
            <v>4</v>
          </cell>
          <cell r="R36">
            <v>18250</v>
          </cell>
          <cell r="S36">
            <v>73000</v>
          </cell>
          <cell r="T36">
            <v>160200</v>
          </cell>
        </row>
        <row r="37">
          <cell r="B37">
            <v>430008</v>
          </cell>
          <cell r="C37" t="str">
            <v>HERA õºëäººã÷</v>
          </cell>
          <cell r="D37" t="str">
            <v>ш</v>
          </cell>
          <cell r="E37">
            <v>1</v>
          </cell>
          <cell r="F37">
            <v>249000</v>
          </cell>
          <cell r="G37">
            <v>249000</v>
          </cell>
          <cell r="H37">
            <v>1</v>
          </cell>
          <cell r="I37">
            <v>249000</v>
          </cell>
          <cell r="J37">
            <v>249000</v>
          </cell>
          <cell r="K37">
            <v>0</v>
          </cell>
          <cell r="L37">
            <v>0</v>
          </cell>
          <cell r="M37">
            <v>0</v>
          </cell>
          <cell r="N37">
            <v>0</v>
          </cell>
          <cell r="O37">
            <v>0</v>
          </cell>
          <cell r="P37">
            <v>0</v>
          </cell>
          <cell r="Q37">
            <v>1</v>
          </cell>
          <cell r="R37">
            <v>249000</v>
          </cell>
          <cell r="S37">
            <v>249000</v>
          </cell>
          <cell r="T37">
            <v>160200</v>
          </cell>
        </row>
        <row r="38">
          <cell r="B38">
            <v>430009</v>
          </cell>
          <cell r="C38" t="str">
            <v xml:space="preserve">Òàâãàí æèí 20 êã </v>
          </cell>
          <cell r="D38" t="str">
            <v>ш</v>
          </cell>
          <cell r="E38">
            <v>1</v>
          </cell>
          <cell r="F38">
            <v>15000</v>
          </cell>
          <cell r="G38">
            <v>15000</v>
          </cell>
          <cell r="H38">
            <v>1</v>
          </cell>
          <cell r="I38">
            <v>15000</v>
          </cell>
          <cell r="J38">
            <v>15000</v>
          </cell>
          <cell r="K38">
            <v>0</v>
          </cell>
          <cell r="L38">
            <v>0</v>
          </cell>
          <cell r="M38">
            <v>0</v>
          </cell>
          <cell r="N38">
            <v>0</v>
          </cell>
          <cell r="O38">
            <v>0</v>
          </cell>
          <cell r="P38">
            <v>0</v>
          </cell>
          <cell r="Q38">
            <v>1</v>
          </cell>
          <cell r="R38">
            <v>15000</v>
          </cell>
          <cell r="S38">
            <v>15000</v>
          </cell>
          <cell r="T38">
            <v>160200</v>
          </cell>
        </row>
        <row r="39">
          <cell r="B39">
            <v>420058</v>
          </cell>
          <cell r="C39" t="str">
            <v xml:space="preserve">Сэлбэг </v>
          </cell>
          <cell r="D39" t="str">
            <v>ш</v>
          </cell>
          <cell r="E39">
            <v>12</v>
          </cell>
          <cell r="F39">
            <v>59333.71212121212</v>
          </cell>
          <cell r="G39">
            <v>712004.54545454541</v>
          </cell>
          <cell r="H39">
            <v>12</v>
          </cell>
          <cell r="I39">
            <v>59333.71212121212</v>
          </cell>
          <cell r="J39">
            <v>712004.54545454541</v>
          </cell>
          <cell r="K39">
            <v>1</v>
          </cell>
          <cell r="L39">
            <v>89520</v>
          </cell>
          <cell r="M39">
            <v>89520</v>
          </cell>
          <cell r="N39">
            <v>13</v>
          </cell>
          <cell r="O39">
            <v>61655.73426573426</v>
          </cell>
          <cell r="P39">
            <v>801524.54545454541</v>
          </cell>
          <cell r="Q39">
            <v>0</v>
          </cell>
          <cell r="R39">
            <v>0</v>
          </cell>
          <cell r="S39">
            <v>0</v>
          </cell>
          <cell r="T39">
            <v>160200</v>
          </cell>
        </row>
        <row r="40">
          <cell r="B40">
            <v>410050</v>
          </cell>
          <cell r="C40" t="str">
            <v>Ëèñò 2ñì</v>
          </cell>
          <cell r="D40" t="str">
            <v>ш</v>
          </cell>
          <cell r="E40">
            <v>462</v>
          </cell>
          <cell r="F40">
            <v>13220.78</v>
          </cell>
          <cell r="G40">
            <v>6108000.3600000003</v>
          </cell>
          <cell r="H40">
            <v>462</v>
          </cell>
          <cell r="I40">
            <v>13220.78</v>
          </cell>
          <cell r="J40">
            <v>6108000.3600000003</v>
          </cell>
          <cell r="K40">
            <v>0</v>
          </cell>
          <cell r="L40">
            <v>0</v>
          </cell>
          <cell r="M40">
            <v>0</v>
          </cell>
          <cell r="N40">
            <v>206</v>
          </cell>
          <cell r="O40">
            <v>13220.78</v>
          </cell>
          <cell r="P40">
            <v>2723480.68</v>
          </cell>
          <cell r="Q40">
            <v>256</v>
          </cell>
          <cell r="R40">
            <v>13220.78</v>
          </cell>
          <cell r="S40">
            <v>3384519.68</v>
          </cell>
          <cell r="T40">
            <v>160100</v>
          </cell>
        </row>
        <row r="41">
          <cell r="B41">
            <v>410054</v>
          </cell>
          <cell r="C41" t="str">
            <v xml:space="preserve">Будаг шингэлэгч </v>
          </cell>
          <cell r="D41" t="str">
            <v>ш</v>
          </cell>
          <cell r="E41">
            <v>506</v>
          </cell>
          <cell r="F41">
            <v>2115.3000341358247</v>
          </cell>
          <cell r="G41">
            <v>1070341.8172727274</v>
          </cell>
          <cell r="H41">
            <v>506</v>
          </cell>
          <cell r="I41">
            <v>2115.3000341358247</v>
          </cell>
          <cell r="J41">
            <v>1070341.8172727274</v>
          </cell>
          <cell r="K41">
            <v>400</v>
          </cell>
          <cell r="L41">
            <v>1765</v>
          </cell>
          <cell r="M41">
            <v>706000</v>
          </cell>
          <cell r="N41">
            <v>0</v>
          </cell>
          <cell r="O41">
            <v>0</v>
          </cell>
          <cell r="P41">
            <v>0</v>
          </cell>
          <cell r="Q41">
            <v>906</v>
          </cell>
          <cell r="R41">
            <v>1960.6421824202289</v>
          </cell>
          <cell r="S41">
            <v>1776341.8172727274</v>
          </cell>
          <cell r="T41">
            <v>160100</v>
          </cell>
        </row>
        <row r="42">
          <cell r="B42">
            <v>410077</v>
          </cell>
          <cell r="C42" t="str">
            <v xml:space="preserve">Äýýâðèéí òºìºð </v>
          </cell>
          <cell r="D42" t="str">
            <v>ш</v>
          </cell>
          <cell r="E42">
            <v>441</v>
          </cell>
          <cell r="F42">
            <v>12244.45</v>
          </cell>
          <cell r="G42">
            <v>5399802.4500000002</v>
          </cell>
          <cell r="H42">
            <v>441</v>
          </cell>
          <cell r="I42">
            <v>12244.45</v>
          </cell>
          <cell r="J42">
            <v>5399802.4500000002</v>
          </cell>
          <cell r="K42">
            <v>0</v>
          </cell>
          <cell r="L42">
            <v>0</v>
          </cell>
          <cell r="M42">
            <v>0</v>
          </cell>
          <cell r="N42">
            <v>0</v>
          </cell>
          <cell r="O42">
            <v>0</v>
          </cell>
          <cell r="P42">
            <v>0</v>
          </cell>
          <cell r="Q42">
            <v>441</v>
          </cell>
          <cell r="R42">
            <v>12244.45</v>
          </cell>
          <cell r="S42">
            <v>5399802.4500000002</v>
          </cell>
          <cell r="T42">
            <v>160100</v>
          </cell>
        </row>
        <row r="43">
          <cell r="B43">
            <v>410082</v>
          </cell>
          <cell r="C43" t="str">
            <v>Áóäàã /Õîíêà/</v>
          </cell>
          <cell r="D43" t="str">
            <v>кг</v>
          </cell>
          <cell r="E43">
            <v>64</v>
          </cell>
          <cell r="F43">
            <v>13040.624987499992</v>
          </cell>
          <cell r="G43">
            <v>834599.9991999995</v>
          </cell>
          <cell r="H43">
            <v>64</v>
          </cell>
          <cell r="I43">
            <v>13040.624987499992</v>
          </cell>
          <cell r="J43">
            <v>834599.9991999995</v>
          </cell>
          <cell r="K43">
            <v>7.5</v>
          </cell>
          <cell r="L43">
            <v>19176.969679999998</v>
          </cell>
          <cell r="M43">
            <v>143827.2726</v>
          </cell>
          <cell r="N43">
            <v>0</v>
          </cell>
          <cell r="O43">
            <v>0</v>
          </cell>
          <cell r="P43">
            <v>0</v>
          </cell>
          <cell r="Q43">
            <v>71.5</v>
          </cell>
          <cell r="R43">
            <v>13684.297507692301</v>
          </cell>
          <cell r="S43">
            <v>978427.27179999952</v>
          </cell>
          <cell r="T43">
            <v>160100</v>
          </cell>
        </row>
        <row r="44">
          <cell r="B44">
            <v>410083</v>
          </cell>
          <cell r="C44" t="str">
            <v xml:space="preserve">ÎÑÏ õàâòàí </v>
          </cell>
          <cell r="D44" t="str">
            <v>ш</v>
          </cell>
          <cell r="E44">
            <v>110</v>
          </cell>
          <cell r="F44">
            <v>123954.55</v>
          </cell>
          <cell r="G44">
            <v>13635000.5</v>
          </cell>
          <cell r="H44">
            <v>110</v>
          </cell>
          <cell r="I44">
            <v>123954.55</v>
          </cell>
          <cell r="J44">
            <v>13635000.5</v>
          </cell>
          <cell r="K44">
            <v>0</v>
          </cell>
          <cell r="L44">
            <v>0</v>
          </cell>
          <cell r="M44">
            <v>0</v>
          </cell>
          <cell r="N44">
            <v>0</v>
          </cell>
          <cell r="O44">
            <v>0</v>
          </cell>
          <cell r="P44">
            <v>0</v>
          </cell>
          <cell r="Q44">
            <v>110</v>
          </cell>
          <cell r="R44">
            <v>123954.55</v>
          </cell>
          <cell r="S44">
            <v>13635000.5</v>
          </cell>
          <cell r="T44">
            <v>160100</v>
          </cell>
        </row>
        <row r="45">
          <cell r="B45">
            <v>410085</v>
          </cell>
          <cell r="C45" t="str">
            <v xml:space="preserve">НЦ-лак </v>
          </cell>
          <cell r="D45" t="str">
            <v>кг</v>
          </cell>
          <cell r="E45">
            <v>810</v>
          </cell>
          <cell r="F45">
            <v>7023.6812554444441</v>
          </cell>
          <cell r="G45">
            <v>5689181.8169099996</v>
          </cell>
          <cell r="H45">
            <v>810</v>
          </cell>
          <cell r="I45">
            <v>7023.6812554444441</v>
          </cell>
          <cell r="J45">
            <v>5689181.8169099996</v>
          </cell>
          <cell r="K45">
            <v>635.4</v>
          </cell>
          <cell r="L45">
            <v>7550.4335120396618</v>
          </cell>
          <cell r="M45">
            <v>4797545.4535500007</v>
          </cell>
          <cell r="N45">
            <v>0</v>
          </cell>
          <cell r="O45">
            <v>0</v>
          </cell>
          <cell r="P45">
            <v>0</v>
          </cell>
          <cell r="Q45">
            <v>1445.4</v>
          </cell>
          <cell r="R45">
            <v>7255.242334620174</v>
          </cell>
          <cell r="S45">
            <v>10486727.27046</v>
          </cell>
          <cell r="T45">
            <v>160100</v>
          </cell>
        </row>
        <row r="46">
          <cell r="B46">
            <v>410087</v>
          </cell>
          <cell r="C46" t="str">
            <v xml:space="preserve">Ãèïñýí õàâòàí </v>
          </cell>
          <cell r="D46" t="str">
            <v>ш</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160100</v>
          </cell>
        </row>
        <row r="47">
          <cell r="B47">
            <v>410089</v>
          </cell>
          <cell r="C47" t="str">
            <v xml:space="preserve">×óëóó </v>
          </cell>
          <cell r="D47" t="str">
            <v>м2</v>
          </cell>
          <cell r="E47">
            <v>15</v>
          </cell>
          <cell r="F47">
            <v>30000</v>
          </cell>
          <cell r="G47">
            <v>450000</v>
          </cell>
          <cell r="H47">
            <v>15</v>
          </cell>
          <cell r="I47">
            <v>30000</v>
          </cell>
          <cell r="J47">
            <v>450000</v>
          </cell>
          <cell r="K47">
            <v>0</v>
          </cell>
          <cell r="L47">
            <v>0</v>
          </cell>
          <cell r="M47">
            <v>0</v>
          </cell>
          <cell r="N47">
            <v>0</v>
          </cell>
          <cell r="O47">
            <v>0</v>
          </cell>
          <cell r="P47">
            <v>0</v>
          </cell>
          <cell r="Q47">
            <v>15</v>
          </cell>
          <cell r="R47">
            <v>30000</v>
          </cell>
          <cell r="S47">
            <v>450000</v>
          </cell>
          <cell r="T47">
            <v>160100</v>
          </cell>
        </row>
        <row r="48">
          <cell r="B48">
            <v>410093</v>
          </cell>
          <cell r="C48" t="str">
            <v xml:space="preserve">Òîîëóóð </v>
          </cell>
          <cell r="D48" t="str">
            <v>ш</v>
          </cell>
          <cell r="E48">
            <v>3</v>
          </cell>
          <cell r="F48">
            <v>180606.05999999997</v>
          </cell>
          <cell r="G48">
            <v>541818.17999999993</v>
          </cell>
          <cell r="H48">
            <v>3</v>
          </cell>
          <cell r="I48">
            <v>180606.05999999997</v>
          </cell>
          <cell r="J48">
            <v>541818.17999999993</v>
          </cell>
          <cell r="K48">
            <v>0</v>
          </cell>
          <cell r="L48">
            <v>0</v>
          </cell>
          <cell r="M48">
            <v>0</v>
          </cell>
          <cell r="N48">
            <v>0</v>
          </cell>
          <cell r="O48">
            <v>0</v>
          </cell>
          <cell r="P48">
            <v>0</v>
          </cell>
          <cell r="Q48">
            <v>3</v>
          </cell>
          <cell r="R48">
            <v>180606.05999999997</v>
          </cell>
          <cell r="S48">
            <v>541818.17999999993</v>
          </cell>
          <cell r="T48">
            <v>160100</v>
          </cell>
        </row>
        <row r="49">
          <cell r="B49">
            <v>410098</v>
          </cell>
          <cell r="C49" t="str">
            <v xml:space="preserve">Óãààëòóóð </v>
          </cell>
          <cell r="D49" t="str">
            <v>ш</v>
          </cell>
          <cell r="E49">
            <v>4</v>
          </cell>
          <cell r="F49">
            <v>303295.46000000002</v>
          </cell>
          <cell r="G49">
            <v>1213181.8400000001</v>
          </cell>
          <cell r="H49">
            <v>4</v>
          </cell>
          <cell r="I49">
            <v>303295.46000000002</v>
          </cell>
          <cell r="J49">
            <v>1213181.8400000001</v>
          </cell>
          <cell r="K49">
            <v>0</v>
          </cell>
          <cell r="L49">
            <v>0</v>
          </cell>
          <cell r="M49">
            <v>0</v>
          </cell>
          <cell r="N49">
            <v>0</v>
          </cell>
          <cell r="O49">
            <v>0</v>
          </cell>
          <cell r="P49">
            <v>0</v>
          </cell>
          <cell r="Q49">
            <v>4</v>
          </cell>
          <cell r="R49">
            <v>303295.46000000002</v>
          </cell>
          <cell r="S49">
            <v>1213181.8400000001</v>
          </cell>
          <cell r="T49">
            <v>160100</v>
          </cell>
        </row>
        <row r="50">
          <cell r="B50">
            <v>410106</v>
          </cell>
          <cell r="C50" t="str">
            <v xml:space="preserve">Öàõèëãààí çóóõ </v>
          </cell>
          <cell r="D50" t="str">
            <v>ш</v>
          </cell>
          <cell r="E50">
            <v>4</v>
          </cell>
          <cell r="F50">
            <v>1399204.55</v>
          </cell>
          <cell r="G50">
            <v>5596818.2000000002</v>
          </cell>
          <cell r="H50">
            <v>4</v>
          </cell>
          <cell r="I50">
            <v>1399204.55</v>
          </cell>
          <cell r="J50">
            <v>5596818.2000000002</v>
          </cell>
          <cell r="K50">
            <v>0</v>
          </cell>
          <cell r="L50">
            <v>0</v>
          </cell>
          <cell r="M50">
            <v>0</v>
          </cell>
          <cell r="N50">
            <v>0</v>
          </cell>
          <cell r="O50">
            <v>0</v>
          </cell>
          <cell r="P50">
            <v>0</v>
          </cell>
          <cell r="Q50">
            <v>4</v>
          </cell>
          <cell r="R50">
            <v>1399204.55</v>
          </cell>
          <cell r="S50">
            <v>5596818.2000000002</v>
          </cell>
          <cell r="T50">
            <v>160100</v>
          </cell>
        </row>
        <row r="51">
          <cell r="B51">
            <v>410130</v>
          </cell>
          <cell r="C51" t="str">
            <v xml:space="preserve">Áîéëîð </v>
          </cell>
          <cell r="D51" t="str">
            <v>ш</v>
          </cell>
          <cell r="E51">
            <v>3</v>
          </cell>
          <cell r="F51">
            <v>281212.12</v>
          </cell>
          <cell r="G51">
            <v>843636.36</v>
          </cell>
          <cell r="H51">
            <v>3</v>
          </cell>
          <cell r="I51">
            <v>281212.12</v>
          </cell>
          <cell r="J51">
            <v>843636.36</v>
          </cell>
          <cell r="K51">
            <v>0</v>
          </cell>
          <cell r="L51">
            <v>0</v>
          </cell>
          <cell r="M51">
            <v>0</v>
          </cell>
          <cell r="N51">
            <v>0</v>
          </cell>
          <cell r="O51">
            <v>0</v>
          </cell>
          <cell r="P51">
            <v>0</v>
          </cell>
          <cell r="Q51">
            <v>3</v>
          </cell>
          <cell r="R51">
            <v>281212.12</v>
          </cell>
          <cell r="S51">
            <v>843636.36</v>
          </cell>
          <cell r="T51">
            <v>160100</v>
          </cell>
        </row>
        <row r="52">
          <cell r="B52">
            <v>410137</v>
          </cell>
          <cell r="C52" t="str">
            <v>Òýëýëòèéí ñàâ</v>
          </cell>
          <cell r="D52" t="str">
            <v>ш</v>
          </cell>
          <cell r="E52">
            <v>1</v>
          </cell>
          <cell r="F52">
            <v>65927.27</v>
          </cell>
          <cell r="G52">
            <v>65927.27</v>
          </cell>
          <cell r="H52">
            <v>1</v>
          </cell>
          <cell r="I52">
            <v>65927.27</v>
          </cell>
          <cell r="J52">
            <v>65927.27</v>
          </cell>
          <cell r="K52">
            <v>0</v>
          </cell>
          <cell r="L52">
            <v>0</v>
          </cell>
          <cell r="M52">
            <v>0</v>
          </cell>
          <cell r="N52">
            <v>0</v>
          </cell>
          <cell r="O52">
            <v>0</v>
          </cell>
          <cell r="P52">
            <v>0</v>
          </cell>
          <cell r="Q52">
            <v>1</v>
          </cell>
          <cell r="R52">
            <v>65927.27</v>
          </cell>
          <cell r="S52">
            <v>65927.27</v>
          </cell>
          <cell r="T52">
            <v>160100</v>
          </cell>
        </row>
        <row r="53">
          <cell r="B53">
            <v>410140</v>
          </cell>
          <cell r="C53" t="str">
            <v xml:space="preserve">Ðàäèàòîð </v>
          </cell>
          <cell r="D53" t="str">
            <v>ш</v>
          </cell>
          <cell r="E53">
            <v>22</v>
          </cell>
          <cell r="F53">
            <v>158413.22</v>
          </cell>
          <cell r="G53">
            <v>3485090.84</v>
          </cell>
          <cell r="H53">
            <v>22</v>
          </cell>
          <cell r="I53">
            <v>158413.22</v>
          </cell>
          <cell r="J53">
            <v>3485090.84</v>
          </cell>
          <cell r="K53">
            <v>0</v>
          </cell>
          <cell r="L53">
            <v>0</v>
          </cell>
          <cell r="M53">
            <v>0</v>
          </cell>
          <cell r="N53">
            <v>0</v>
          </cell>
          <cell r="O53">
            <v>0</v>
          </cell>
          <cell r="P53">
            <v>0</v>
          </cell>
          <cell r="Q53">
            <v>22</v>
          </cell>
          <cell r="R53">
            <v>158413.22</v>
          </cell>
          <cell r="S53">
            <v>3485090.84</v>
          </cell>
          <cell r="T53">
            <v>160100</v>
          </cell>
        </row>
        <row r="54">
          <cell r="B54">
            <v>410268</v>
          </cell>
          <cell r="C54" t="str">
            <v xml:space="preserve">Äýýâðèéí êàðíèç </v>
          </cell>
          <cell r="D54" t="str">
            <v>ш</v>
          </cell>
          <cell r="E54">
            <v>37</v>
          </cell>
          <cell r="F54">
            <v>12243.24</v>
          </cell>
          <cell r="G54">
            <v>452999.88</v>
          </cell>
          <cell r="H54">
            <v>37</v>
          </cell>
          <cell r="I54">
            <v>12243.24</v>
          </cell>
          <cell r="J54">
            <v>452999.88</v>
          </cell>
          <cell r="K54">
            <v>0</v>
          </cell>
          <cell r="L54">
            <v>0</v>
          </cell>
          <cell r="M54">
            <v>0</v>
          </cell>
          <cell r="N54">
            <v>0</v>
          </cell>
          <cell r="O54">
            <v>0</v>
          </cell>
          <cell r="P54">
            <v>0</v>
          </cell>
          <cell r="Q54">
            <v>37</v>
          </cell>
          <cell r="R54">
            <v>12243.24</v>
          </cell>
          <cell r="S54">
            <v>452999.88</v>
          </cell>
          <cell r="T54">
            <v>160100</v>
          </cell>
        </row>
        <row r="55">
          <cell r="B55">
            <v>410269</v>
          </cell>
          <cell r="C55" t="str">
            <v xml:space="preserve">Íóðóó òºìºð </v>
          </cell>
          <cell r="D55" t="str">
            <v>ш</v>
          </cell>
          <cell r="E55">
            <v>26</v>
          </cell>
          <cell r="F55">
            <v>14000</v>
          </cell>
          <cell r="G55">
            <v>364000</v>
          </cell>
          <cell r="H55">
            <v>26</v>
          </cell>
          <cell r="I55">
            <v>14000</v>
          </cell>
          <cell r="J55">
            <v>364000</v>
          </cell>
          <cell r="K55">
            <v>0</v>
          </cell>
          <cell r="L55">
            <v>0</v>
          </cell>
          <cell r="M55">
            <v>0</v>
          </cell>
          <cell r="N55">
            <v>0</v>
          </cell>
          <cell r="O55">
            <v>0</v>
          </cell>
          <cell r="P55">
            <v>0</v>
          </cell>
          <cell r="Q55">
            <v>26</v>
          </cell>
          <cell r="R55">
            <v>14000</v>
          </cell>
          <cell r="S55">
            <v>364000</v>
          </cell>
          <cell r="T55">
            <v>160100</v>
          </cell>
        </row>
        <row r="56">
          <cell r="B56">
            <v>410271</v>
          </cell>
          <cell r="C56" t="str">
            <v>¨íäîâ îðîñ</v>
          </cell>
          <cell r="D56" t="str">
            <v>ш</v>
          </cell>
          <cell r="E56">
            <v>30</v>
          </cell>
          <cell r="F56">
            <v>2500</v>
          </cell>
          <cell r="G56">
            <v>75000</v>
          </cell>
          <cell r="H56">
            <v>30</v>
          </cell>
          <cell r="I56">
            <v>2500</v>
          </cell>
          <cell r="J56">
            <v>75000</v>
          </cell>
          <cell r="K56">
            <v>0</v>
          </cell>
          <cell r="L56">
            <v>0</v>
          </cell>
          <cell r="M56">
            <v>0</v>
          </cell>
          <cell r="N56">
            <v>0</v>
          </cell>
          <cell r="O56">
            <v>0</v>
          </cell>
          <cell r="P56">
            <v>0</v>
          </cell>
          <cell r="Q56">
            <v>30</v>
          </cell>
          <cell r="R56">
            <v>2500</v>
          </cell>
          <cell r="S56">
            <v>75000</v>
          </cell>
          <cell r="T56">
            <v>160100</v>
          </cell>
        </row>
        <row r="57">
          <cell r="B57">
            <v>410279</v>
          </cell>
          <cell r="C57" t="str">
            <v xml:space="preserve">Âàêóì öîíõ </v>
          </cell>
          <cell r="D57" t="str">
            <v>м2</v>
          </cell>
          <cell r="E57">
            <v>13.67</v>
          </cell>
          <cell r="F57">
            <v>280000</v>
          </cell>
          <cell r="G57">
            <v>3827600</v>
          </cell>
          <cell r="H57">
            <v>13.67</v>
          </cell>
          <cell r="I57">
            <v>280000</v>
          </cell>
          <cell r="J57">
            <v>3827600</v>
          </cell>
          <cell r="K57">
            <v>0</v>
          </cell>
          <cell r="L57">
            <v>0</v>
          </cell>
          <cell r="M57">
            <v>0</v>
          </cell>
          <cell r="N57">
            <v>0</v>
          </cell>
          <cell r="O57">
            <v>0</v>
          </cell>
          <cell r="P57">
            <v>0</v>
          </cell>
          <cell r="Q57">
            <v>13.67</v>
          </cell>
          <cell r="R57">
            <v>280000</v>
          </cell>
          <cell r="S57">
            <v>3827600</v>
          </cell>
          <cell r="T57">
            <v>160100</v>
          </cell>
        </row>
        <row r="58">
          <cell r="B58">
            <v>410288</v>
          </cell>
          <cell r="C58" t="str">
            <v>Íººöèéí ñàâ</v>
          </cell>
          <cell r="D58" t="str">
            <v>ш</v>
          </cell>
          <cell r="E58">
            <v>2</v>
          </cell>
          <cell r="F58">
            <v>478275</v>
          </cell>
          <cell r="G58">
            <v>956550</v>
          </cell>
          <cell r="H58">
            <v>2</v>
          </cell>
          <cell r="I58">
            <v>478275</v>
          </cell>
          <cell r="J58">
            <v>956550</v>
          </cell>
          <cell r="K58">
            <v>0</v>
          </cell>
          <cell r="L58">
            <v>0</v>
          </cell>
          <cell r="M58">
            <v>0</v>
          </cell>
          <cell r="N58">
            <v>0</v>
          </cell>
          <cell r="O58">
            <v>0</v>
          </cell>
          <cell r="P58">
            <v>0</v>
          </cell>
          <cell r="Q58">
            <v>2</v>
          </cell>
          <cell r="R58">
            <v>478275</v>
          </cell>
          <cell r="S58">
            <v>956550</v>
          </cell>
          <cell r="T58">
            <v>160100</v>
          </cell>
        </row>
        <row r="59">
          <cell r="B59">
            <v>410311</v>
          </cell>
          <cell r="C59" t="str">
            <v>Êàáåëü /ãàëä òýñâýðòýé/</v>
          </cell>
          <cell r="D59" t="str">
            <v>м</v>
          </cell>
          <cell r="E59">
            <v>233</v>
          </cell>
          <cell r="F59">
            <v>4958.2491824034332</v>
          </cell>
          <cell r="G59">
            <v>1155272.0595</v>
          </cell>
          <cell r="H59">
            <v>233</v>
          </cell>
          <cell r="I59">
            <v>4958.2491824034332</v>
          </cell>
          <cell r="J59">
            <v>1155272.0595</v>
          </cell>
          <cell r="K59">
            <v>0</v>
          </cell>
          <cell r="L59">
            <v>0</v>
          </cell>
          <cell r="M59">
            <v>0</v>
          </cell>
          <cell r="N59">
            <v>0</v>
          </cell>
          <cell r="O59">
            <v>0</v>
          </cell>
          <cell r="P59">
            <v>0</v>
          </cell>
          <cell r="Q59">
            <v>233</v>
          </cell>
          <cell r="R59">
            <v>4958.2491824034332</v>
          </cell>
          <cell r="S59">
            <v>1155272.0595</v>
          </cell>
          <cell r="T59">
            <v>160100</v>
          </cell>
        </row>
        <row r="60">
          <cell r="B60">
            <v>410317</v>
          </cell>
          <cell r="C60" t="str">
            <v xml:space="preserve">Êàáåëèéí íîìåð </v>
          </cell>
          <cell r="D60" t="str">
            <v>ш</v>
          </cell>
          <cell r="E60">
            <v>3</v>
          </cell>
          <cell r="F60">
            <v>90181.82</v>
          </cell>
          <cell r="G60">
            <v>270545.46000000002</v>
          </cell>
          <cell r="H60">
            <v>3</v>
          </cell>
          <cell r="I60">
            <v>90181.82</v>
          </cell>
          <cell r="J60">
            <v>270545.46000000002</v>
          </cell>
          <cell r="K60">
            <v>0</v>
          </cell>
          <cell r="L60">
            <v>0</v>
          </cell>
          <cell r="M60">
            <v>0</v>
          </cell>
          <cell r="N60">
            <v>3</v>
          </cell>
          <cell r="O60">
            <v>90181.82</v>
          </cell>
          <cell r="P60">
            <v>270545.46000000002</v>
          </cell>
          <cell r="Q60">
            <v>0</v>
          </cell>
          <cell r="R60">
            <v>0</v>
          </cell>
          <cell r="S60">
            <v>0</v>
          </cell>
          <cell r="T60">
            <v>160100</v>
          </cell>
        </row>
        <row r="61">
          <cell r="B61">
            <v>410322</v>
          </cell>
          <cell r="C61" t="str">
            <v>Íèâè</v>
          </cell>
          <cell r="D61" t="str">
            <v>ш</v>
          </cell>
          <cell r="E61">
            <v>2</v>
          </cell>
          <cell r="F61">
            <v>22000</v>
          </cell>
          <cell r="G61">
            <v>44000</v>
          </cell>
          <cell r="H61">
            <v>2</v>
          </cell>
          <cell r="I61">
            <v>22000</v>
          </cell>
          <cell r="J61">
            <v>44000</v>
          </cell>
          <cell r="K61">
            <v>0</v>
          </cell>
          <cell r="L61">
            <v>0</v>
          </cell>
          <cell r="M61">
            <v>0</v>
          </cell>
          <cell r="N61">
            <v>0</v>
          </cell>
          <cell r="O61">
            <v>0</v>
          </cell>
          <cell r="P61">
            <v>0</v>
          </cell>
          <cell r="Q61">
            <v>2</v>
          </cell>
          <cell r="R61">
            <v>22000</v>
          </cell>
          <cell r="S61">
            <v>44000</v>
          </cell>
          <cell r="T61">
            <v>160100</v>
          </cell>
        </row>
        <row r="62">
          <cell r="B62">
            <v>410327</v>
          </cell>
          <cell r="C62" t="str">
            <v>Õàéðãà</v>
          </cell>
          <cell r="D62" t="str">
            <v>м3</v>
          </cell>
          <cell r="E62">
            <v>52</v>
          </cell>
          <cell r="F62">
            <v>19737.766538461539</v>
          </cell>
          <cell r="G62">
            <v>1026363.8600000001</v>
          </cell>
          <cell r="H62">
            <v>52</v>
          </cell>
          <cell r="I62">
            <v>19737.766538461539</v>
          </cell>
          <cell r="J62">
            <v>1026363.8600000001</v>
          </cell>
          <cell r="K62">
            <v>0</v>
          </cell>
          <cell r="L62">
            <v>0</v>
          </cell>
          <cell r="M62">
            <v>0</v>
          </cell>
          <cell r="N62">
            <v>52</v>
          </cell>
          <cell r="O62">
            <v>19737.766538461539</v>
          </cell>
          <cell r="P62">
            <v>1026363.8600000001</v>
          </cell>
          <cell r="Q62">
            <v>0</v>
          </cell>
          <cell r="R62">
            <v>0</v>
          </cell>
          <cell r="S62">
            <v>0</v>
          </cell>
          <cell r="T62">
            <v>160100</v>
          </cell>
        </row>
        <row r="63">
          <cell r="B63">
            <v>410341</v>
          </cell>
          <cell r="C63" t="str">
            <v xml:space="preserve">James Hardie </v>
          </cell>
          <cell r="D63" t="str">
            <v>ш</v>
          </cell>
          <cell r="E63">
            <v>240</v>
          </cell>
          <cell r="F63">
            <v>12900</v>
          </cell>
          <cell r="G63">
            <v>3096000</v>
          </cell>
          <cell r="H63">
            <v>240</v>
          </cell>
          <cell r="I63">
            <v>12900</v>
          </cell>
          <cell r="J63">
            <v>3096000</v>
          </cell>
          <cell r="K63">
            <v>0</v>
          </cell>
          <cell r="L63">
            <v>0</v>
          </cell>
          <cell r="M63">
            <v>0</v>
          </cell>
          <cell r="N63">
            <v>0</v>
          </cell>
          <cell r="O63">
            <v>0</v>
          </cell>
          <cell r="P63">
            <v>0</v>
          </cell>
          <cell r="Q63">
            <v>240</v>
          </cell>
          <cell r="R63">
            <v>12900</v>
          </cell>
          <cell r="S63">
            <v>3096000</v>
          </cell>
          <cell r="T63">
            <v>160100</v>
          </cell>
        </row>
        <row r="64">
          <cell r="B64">
            <v>410344</v>
          </cell>
          <cell r="C64" t="str">
            <v xml:space="preserve">Êîíòàêòîð </v>
          </cell>
          <cell r="D64" t="str">
            <v>ш</v>
          </cell>
          <cell r="E64">
            <v>7</v>
          </cell>
          <cell r="F64">
            <v>141449.35</v>
          </cell>
          <cell r="G64">
            <v>990145.45000000007</v>
          </cell>
          <cell r="H64">
            <v>7</v>
          </cell>
          <cell r="I64">
            <v>141449.35</v>
          </cell>
          <cell r="J64">
            <v>990145.45000000007</v>
          </cell>
          <cell r="K64">
            <v>0</v>
          </cell>
          <cell r="L64">
            <v>0</v>
          </cell>
          <cell r="M64">
            <v>0</v>
          </cell>
          <cell r="N64">
            <v>0</v>
          </cell>
          <cell r="O64">
            <v>0</v>
          </cell>
          <cell r="P64">
            <v>0</v>
          </cell>
          <cell r="Q64">
            <v>7</v>
          </cell>
          <cell r="R64">
            <v>141449.35</v>
          </cell>
          <cell r="S64">
            <v>990145.45000000007</v>
          </cell>
          <cell r="T64">
            <v>160100</v>
          </cell>
        </row>
        <row r="65">
          <cell r="B65">
            <v>410349</v>
          </cell>
          <cell r="C65" t="str">
            <v xml:space="preserve">Ýëñ </v>
          </cell>
          <cell r="D65" t="str">
            <v>м3</v>
          </cell>
          <cell r="E65">
            <v>8</v>
          </cell>
          <cell r="F65">
            <v>28000</v>
          </cell>
          <cell r="G65">
            <v>224000</v>
          </cell>
          <cell r="H65">
            <v>8</v>
          </cell>
          <cell r="I65">
            <v>28000</v>
          </cell>
          <cell r="J65">
            <v>224000</v>
          </cell>
          <cell r="K65">
            <v>0</v>
          </cell>
          <cell r="L65">
            <v>0</v>
          </cell>
          <cell r="M65">
            <v>0</v>
          </cell>
          <cell r="N65">
            <v>0</v>
          </cell>
          <cell r="O65">
            <v>0</v>
          </cell>
          <cell r="P65">
            <v>0</v>
          </cell>
          <cell r="Q65">
            <v>8</v>
          </cell>
          <cell r="R65">
            <v>28000</v>
          </cell>
          <cell r="S65">
            <v>224000</v>
          </cell>
          <cell r="T65">
            <v>160100</v>
          </cell>
        </row>
        <row r="66">
          <cell r="B66">
            <v>410365</v>
          </cell>
          <cell r="C66" t="str">
            <v xml:space="preserve">Öàõèëãààí ¿¿ñã¿¿ð </v>
          </cell>
          <cell r="D66" t="str">
            <v>ш</v>
          </cell>
          <cell r="E66">
            <v>1</v>
          </cell>
          <cell r="F66">
            <v>2400000</v>
          </cell>
          <cell r="G66">
            <v>2400000</v>
          </cell>
          <cell r="H66">
            <v>1</v>
          </cell>
          <cell r="I66">
            <v>2400000</v>
          </cell>
          <cell r="J66">
            <v>2400000</v>
          </cell>
          <cell r="K66">
            <v>0</v>
          </cell>
          <cell r="L66">
            <v>0</v>
          </cell>
          <cell r="M66">
            <v>0</v>
          </cell>
          <cell r="N66">
            <v>0</v>
          </cell>
          <cell r="O66">
            <v>0</v>
          </cell>
          <cell r="P66">
            <v>0</v>
          </cell>
          <cell r="Q66">
            <v>1</v>
          </cell>
          <cell r="R66">
            <v>2400000</v>
          </cell>
          <cell r="S66">
            <v>2400000</v>
          </cell>
          <cell r="T66">
            <v>160100</v>
          </cell>
        </row>
        <row r="67">
          <cell r="B67">
            <v>211501</v>
          </cell>
          <cell r="C67" t="str">
            <v>Í-Åâðîâàãîíêà /çóçààí-2.2ñì/</v>
          </cell>
          <cell r="D67" t="str">
            <v>м2</v>
          </cell>
          <cell r="E67">
            <v>918.37</v>
          </cell>
          <cell r="F67">
            <v>13118.37</v>
          </cell>
          <cell r="G67">
            <v>12047517.456900001</v>
          </cell>
          <cell r="H67">
            <v>918.37</v>
          </cell>
          <cell r="I67">
            <v>13118.37</v>
          </cell>
          <cell r="J67">
            <v>12047517.456900001</v>
          </cell>
          <cell r="K67">
            <v>0</v>
          </cell>
          <cell r="L67">
            <v>0</v>
          </cell>
          <cell r="M67">
            <v>0</v>
          </cell>
          <cell r="N67">
            <v>195.39999999999998</v>
          </cell>
          <cell r="O67">
            <v>13118.370000000003</v>
          </cell>
          <cell r="P67">
            <v>2563329.4980000001</v>
          </cell>
          <cell r="Q67">
            <v>722.97</v>
          </cell>
          <cell r="R67">
            <v>13118.37</v>
          </cell>
          <cell r="S67">
            <v>9484187.9589000009</v>
          </cell>
          <cell r="T67">
            <v>150101</v>
          </cell>
        </row>
        <row r="68">
          <cell r="B68">
            <v>211502</v>
          </cell>
          <cell r="C68" t="str">
            <v xml:space="preserve">Í-Åâðîâàãîíêà /çóçààí-2.2ñì/-ÿðòàé </v>
          </cell>
          <cell r="D68" t="str">
            <v>м2</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150101</v>
          </cell>
        </row>
        <row r="69">
          <cell r="B69">
            <v>211503</v>
          </cell>
          <cell r="C69" t="str">
            <v>Í-Åâðîâàãîíêà /çóçààí-1.2ñì/</v>
          </cell>
          <cell r="D69" t="str">
            <v>м2</v>
          </cell>
          <cell r="E69">
            <v>974.22760000000017</v>
          </cell>
          <cell r="F69">
            <v>9816.3199999999961</v>
          </cell>
          <cell r="G69">
            <v>9563329.8744319975</v>
          </cell>
          <cell r="H69">
            <v>974.22760000000017</v>
          </cell>
          <cell r="I69">
            <v>9816.3199999999961</v>
          </cell>
          <cell r="J69">
            <v>9563329.8744319975</v>
          </cell>
          <cell r="K69">
            <v>5500</v>
          </cell>
          <cell r="L69">
            <v>13202.496225560655</v>
          </cell>
          <cell r="M69">
            <v>72613729.240583599</v>
          </cell>
          <cell r="N69">
            <v>2650.3935999999999</v>
          </cell>
          <cell r="O69">
            <v>12794.974114303681</v>
          </cell>
          <cell r="P69">
            <v>33911717.504716143</v>
          </cell>
          <cell r="Q69">
            <v>3823.8340000000003</v>
          </cell>
          <cell r="R69">
            <v>12622.237683513315</v>
          </cell>
          <cell r="S69">
            <v>48265341.610299453</v>
          </cell>
          <cell r="T69">
            <v>150101</v>
          </cell>
        </row>
        <row r="70">
          <cell r="B70">
            <v>211504</v>
          </cell>
          <cell r="C70" t="str">
            <v>Í-Åâðîâàãîíêà /çóçààí-1.2ñì/-ÿðòàé</v>
          </cell>
          <cell r="D70" t="str">
            <v>м2</v>
          </cell>
          <cell r="E70">
            <v>2905.5938999999998</v>
          </cell>
          <cell r="F70">
            <v>9540.1099999999988</v>
          </cell>
          <cell r="G70">
            <v>27719685.421328995</v>
          </cell>
          <cell r="H70">
            <v>2905.5938999999998</v>
          </cell>
          <cell r="I70">
            <v>9540.1099999999988</v>
          </cell>
          <cell r="J70">
            <v>27719685.421328995</v>
          </cell>
          <cell r="K70">
            <v>1700</v>
          </cell>
          <cell r="L70">
            <v>12083.539644620774</v>
          </cell>
          <cell r="M70">
            <v>20542017.395855315</v>
          </cell>
          <cell r="N70">
            <v>779.89799999999991</v>
          </cell>
          <cell r="O70">
            <v>10178.788357826612</v>
          </cell>
          <cell r="P70">
            <v>7938416.6826922577</v>
          </cell>
          <cell r="Q70">
            <v>3825.6958999999997</v>
          </cell>
          <cell r="R70">
            <v>10540.117978141456</v>
          </cell>
          <cell r="S70">
            <v>40323286.134492055</v>
          </cell>
          <cell r="T70">
            <v>150101</v>
          </cell>
        </row>
        <row r="71">
          <cell r="B71">
            <v>211601</v>
          </cell>
          <cell r="C71" t="str">
            <v>Í-Âàãîíêà 2 òàëò/çóçààí-2.2ñì/</v>
          </cell>
          <cell r="D71" t="str">
            <v>м2</v>
          </cell>
          <cell r="E71">
            <v>2.8421709430404007E-14</v>
          </cell>
          <cell r="F71">
            <v>16384</v>
          </cell>
          <cell r="G71">
            <v>4.6566128730773926E-10</v>
          </cell>
          <cell r="H71">
            <v>2.8421709430404007E-14</v>
          </cell>
          <cell r="I71">
            <v>16384</v>
          </cell>
          <cell r="J71">
            <v>4.6566128730773926E-10</v>
          </cell>
          <cell r="K71">
            <v>0</v>
          </cell>
          <cell r="L71">
            <v>0</v>
          </cell>
          <cell r="M71">
            <v>0</v>
          </cell>
          <cell r="N71">
            <v>0</v>
          </cell>
          <cell r="O71">
            <v>0</v>
          </cell>
          <cell r="P71">
            <v>0</v>
          </cell>
          <cell r="Q71">
            <v>2.8421709430404007E-14</v>
          </cell>
          <cell r="R71">
            <v>16384</v>
          </cell>
          <cell r="S71">
            <v>4.6566128730773926E-10</v>
          </cell>
          <cell r="T71">
            <v>150101</v>
          </cell>
        </row>
        <row r="72">
          <cell r="B72">
            <v>211602</v>
          </cell>
          <cell r="C72" t="str">
            <v xml:space="preserve">Í-Âàãîíêà 2 òàëò/çóçààí-2.2ñì/-ÿðòàé </v>
          </cell>
          <cell r="D72" t="str">
            <v>м2</v>
          </cell>
          <cell r="E72">
            <v>6.9999999999907914E-3</v>
          </cell>
          <cell r="F72">
            <v>13118.370000024155</v>
          </cell>
          <cell r="G72">
            <v>91.82859000004828</v>
          </cell>
          <cell r="H72">
            <v>6.9999999999907914E-3</v>
          </cell>
          <cell r="I72">
            <v>13118.370000024155</v>
          </cell>
          <cell r="J72">
            <v>91.82859000004828</v>
          </cell>
          <cell r="K72">
            <v>0</v>
          </cell>
          <cell r="L72">
            <v>0</v>
          </cell>
          <cell r="M72">
            <v>0</v>
          </cell>
          <cell r="N72">
            <v>0</v>
          </cell>
          <cell r="O72">
            <v>0</v>
          </cell>
          <cell r="P72">
            <v>0</v>
          </cell>
          <cell r="Q72">
            <v>6.9999999999907914E-3</v>
          </cell>
          <cell r="R72">
            <v>13118.370000024155</v>
          </cell>
          <cell r="S72">
            <v>91.82859000004828</v>
          </cell>
          <cell r="T72">
            <v>150101</v>
          </cell>
        </row>
        <row r="73">
          <cell r="B73">
            <v>211401</v>
          </cell>
          <cell r="C73" t="str">
            <v>Í-ÁëîêÕàóñ /4.3*16.5ñì/-ÿðòàé</v>
          </cell>
          <cell r="D73" t="str">
            <v>м2</v>
          </cell>
          <cell r="E73">
            <v>0</v>
          </cell>
          <cell r="F73">
            <v>0</v>
          </cell>
          <cell r="G73">
            <v>0</v>
          </cell>
          <cell r="H73">
            <v>0</v>
          </cell>
          <cell r="I73">
            <v>0</v>
          </cell>
          <cell r="J73">
            <v>0</v>
          </cell>
          <cell r="K73">
            <v>253</v>
          </cell>
          <cell r="L73">
            <v>45313.273667327907</v>
          </cell>
          <cell r="M73">
            <v>11464258.23783396</v>
          </cell>
          <cell r="N73">
            <v>0</v>
          </cell>
          <cell r="O73">
            <v>0</v>
          </cell>
          <cell r="P73">
            <v>0</v>
          </cell>
          <cell r="Q73">
            <v>253</v>
          </cell>
          <cell r="R73">
            <v>45313.273667327907</v>
          </cell>
          <cell r="S73">
            <v>11464258.23783396</v>
          </cell>
          <cell r="T73">
            <v>150101</v>
          </cell>
        </row>
        <row r="74">
          <cell r="B74">
            <v>211710</v>
          </cell>
          <cell r="C74" t="str">
            <v>Í-Õàâòàí /çóçààí-3ñì/-ÿðòàé</v>
          </cell>
          <cell r="D74" t="str">
            <v>м2</v>
          </cell>
          <cell r="E74">
            <v>-2.8421709430404007E-14</v>
          </cell>
          <cell r="F74">
            <v>-16384</v>
          </cell>
          <cell r="G74">
            <v>4.6566128730773926E-10</v>
          </cell>
          <cell r="H74">
            <v>-2.8421709430404007E-14</v>
          </cell>
          <cell r="I74">
            <v>-16384</v>
          </cell>
          <cell r="J74">
            <v>4.6566128730773926E-10</v>
          </cell>
          <cell r="K74">
            <v>1470</v>
          </cell>
          <cell r="L74">
            <v>32877.788914248587</v>
          </cell>
          <cell r="M74">
            <v>48330349.703945421</v>
          </cell>
          <cell r="N74">
            <v>199.15</v>
          </cell>
          <cell r="O74">
            <v>32877.788914248587</v>
          </cell>
          <cell r="P74">
            <v>6547611.662272606</v>
          </cell>
          <cell r="Q74">
            <v>1270.8499999999999</v>
          </cell>
          <cell r="R74">
            <v>32877.788914248587</v>
          </cell>
          <cell r="S74">
            <v>41782738.041672811</v>
          </cell>
          <cell r="T74">
            <v>150101</v>
          </cell>
        </row>
        <row r="75">
          <cell r="B75">
            <v>211711</v>
          </cell>
          <cell r="C75" t="str">
            <v>Í-Õàâòàí /çóçààí-2.6ñì/</v>
          </cell>
          <cell r="D75" t="str">
            <v>м2</v>
          </cell>
          <cell r="E75">
            <v>70.455999999999989</v>
          </cell>
          <cell r="F75">
            <v>49742.03</v>
          </cell>
          <cell r="G75">
            <v>3504624.4656799994</v>
          </cell>
          <cell r="H75">
            <v>70.455999999999989</v>
          </cell>
          <cell r="I75">
            <v>49742.03</v>
          </cell>
          <cell r="J75">
            <v>3504624.4656799994</v>
          </cell>
          <cell r="K75">
            <v>0</v>
          </cell>
          <cell r="L75">
            <v>0</v>
          </cell>
          <cell r="M75">
            <v>0</v>
          </cell>
          <cell r="N75">
            <v>70.455999999999989</v>
          </cell>
          <cell r="O75">
            <v>49742.03</v>
          </cell>
          <cell r="P75">
            <v>3504624.4656799994</v>
          </cell>
          <cell r="Q75">
            <v>0</v>
          </cell>
          <cell r="R75">
            <v>0</v>
          </cell>
          <cell r="S75">
            <v>0</v>
          </cell>
          <cell r="T75">
            <v>150101</v>
          </cell>
        </row>
        <row r="76">
          <cell r="B76">
            <v>211712</v>
          </cell>
          <cell r="C76" t="str">
            <v xml:space="preserve">Í-Õàâòàí /çóçààí-2.6ñì/-ÿðòàé </v>
          </cell>
          <cell r="D76" t="str">
            <v>м2</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150101</v>
          </cell>
        </row>
        <row r="77">
          <cell r="B77">
            <v>211713</v>
          </cell>
          <cell r="C77" t="str">
            <v>Í-Õàâòàí /çóçààí-2ñì/</v>
          </cell>
          <cell r="D77" t="str">
            <v>м2</v>
          </cell>
          <cell r="E77">
            <v>-11.979399999999998</v>
          </cell>
          <cell r="F77">
            <v>19392.550000000097</v>
          </cell>
          <cell r="G77">
            <v>-232311.11347000115</v>
          </cell>
          <cell r="H77">
            <v>-11.979399999999998</v>
          </cell>
          <cell r="I77">
            <v>19392.550000000097</v>
          </cell>
          <cell r="J77">
            <v>-232311.11347000115</v>
          </cell>
          <cell r="K77">
            <v>2520</v>
          </cell>
          <cell r="L77">
            <v>21177.153775416657</v>
          </cell>
          <cell r="M77">
            <v>53366427.514049977</v>
          </cell>
          <cell r="N77">
            <v>849.78200000000004</v>
          </cell>
          <cell r="O77">
            <v>21867.443601811865</v>
          </cell>
          <cell r="P77">
            <v>18582559.95883489</v>
          </cell>
          <cell r="Q77">
            <v>1658.2385999999997</v>
          </cell>
          <cell r="R77">
            <v>20836.299698816016</v>
          </cell>
          <cell r="S77">
            <v>34551556.441745088</v>
          </cell>
          <cell r="T77">
            <v>150101</v>
          </cell>
        </row>
        <row r="78">
          <cell r="B78">
            <v>211714</v>
          </cell>
          <cell r="C78" t="str">
            <v xml:space="preserve">Í-Õàâòàí /çóçààí-2ñì/-ÿðòàé </v>
          </cell>
          <cell r="D78" t="str">
            <v>м2</v>
          </cell>
          <cell r="E78">
            <v>809.08400000000006</v>
          </cell>
          <cell r="F78">
            <v>18257.869999999995</v>
          </cell>
          <cell r="G78">
            <v>14772150.491079997</v>
          </cell>
          <cell r="H78">
            <v>809.08400000000006</v>
          </cell>
          <cell r="I78">
            <v>18257.869999999995</v>
          </cell>
          <cell r="J78">
            <v>14772150.491079997</v>
          </cell>
          <cell r="K78">
            <v>1500</v>
          </cell>
          <cell r="L78">
            <v>18125.309466931161</v>
          </cell>
          <cell r="M78">
            <v>27187964.200396743</v>
          </cell>
          <cell r="N78">
            <v>809.08399999999995</v>
          </cell>
          <cell r="O78">
            <v>18257.869999999995</v>
          </cell>
          <cell r="P78">
            <v>14772150.491079995</v>
          </cell>
          <cell r="Q78">
            <v>1500</v>
          </cell>
          <cell r="R78">
            <v>18125.309466931165</v>
          </cell>
          <cell r="S78">
            <v>27187964.200396746</v>
          </cell>
          <cell r="T78">
            <v>150101</v>
          </cell>
        </row>
        <row r="79">
          <cell r="B79">
            <v>211715</v>
          </cell>
          <cell r="C79" t="str">
            <v>Í-Õàâòàí /çóçààí-1.8ñì/</v>
          </cell>
          <cell r="D79" t="str">
            <v>м2</v>
          </cell>
          <cell r="E79">
            <v>48.020999999999958</v>
          </cell>
          <cell r="F79">
            <v>14992.800000000017</v>
          </cell>
          <cell r="G79">
            <v>719969.24880000018</v>
          </cell>
          <cell r="H79">
            <v>48.020999999999958</v>
          </cell>
          <cell r="I79">
            <v>14992.800000000017</v>
          </cell>
          <cell r="J79">
            <v>719969.24880000018</v>
          </cell>
          <cell r="K79">
            <v>3520</v>
          </cell>
          <cell r="L79">
            <v>18794.060860675036</v>
          </cell>
          <cell r="M79">
            <v>66155094.229576126</v>
          </cell>
          <cell r="N79">
            <v>193.25099999999998</v>
          </cell>
          <cell r="O79">
            <v>19196.822583373789</v>
          </cell>
          <cell r="P79">
            <v>3709805.1610595677</v>
          </cell>
          <cell r="Q79">
            <v>3374.7699999999995</v>
          </cell>
          <cell r="R79">
            <v>18716.907616612858</v>
          </cell>
          <cell r="S79">
            <v>63165258.317316562</v>
          </cell>
          <cell r="T79">
            <v>150101</v>
          </cell>
        </row>
        <row r="80">
          <cell r="B80">
            <v>211716</v>
          </cell>
          <cell r="C80" t="str">
            <v xml:space="preserve">Í-Õàâòàí /çóçààí-1.8ñì/-ÿðòàé </v>
          </cell>
          <cell r="D80" t="str">
            <v>м2</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150101</v>
          </cell>
        </row>
        <row r="81">
          <cell r="B81">
            <v>210003</v>
          </cell>
          <cell r="C81" t="str">
            <v>Í-Íààìàë ä¿íç</v>
          </cell>
          <cell r="D81" t="str">
            <v>м2</v>
          </cell>
          <cell r="E81">
            <v>297.7482</v>
          </cell>
          <cell r="F81">
            <v>130818.39</v>
          </cell>
          <cell r="G81">
            <v>38950940.149397999</v>
          </cell>
          <cell r="H81">
            <v>297.7482</v>
          </cell>
          <cell r="I81">
            <v>130818.39</v>
          </cell>
          <cell r="J81">
            <v>38950940.149397999</v>
          </cell>
          <cell r="K81">
            <v>500</v>
          </cell>
          <cell r="L81">
            <v>227035.082377432</v>
          </cell>
          <cell r="M81">
            <v>113517541.18871599</v>
          </cell>
          <cell r="N81">
            <v>114.661</v>
          </cell>
          <cell r="O81">
            <v>191123.56673210167</v>
          </cell>
          <cell r="P81">
            <v>21914419.28506951</v>
          </cell>
          <cell r="Q81">
            <v>683.08719999999994</v>
          </cell>
          <cell r="R81">
            <v>191123.5667321017</v>
          </cell>
          <cell r="S81">
            <v>130554062.05304448</v>
          </cell>
          <cell r="T81">
            <v>150101</v>
          </cell>
        </row>
        <row r="82">
          <cell r="B82">
            <v>510001</v>
          </cell>
          <cell r="C82" t="str">
            <v>Öàâóó 505</v>
          </cell>
          <cell r="D82" t="str">
            <v>кг</v>
          </cell>
          <cell r="E82">
            <v>2716</v>
          </cell>
          <cell r="F82">
            <v>3995.26</v>
          </cell>
          <cell r="G82">
            <v>10851126.16</v>
          </cell>
          <cell r="H82">
            <v>2716</v>
          </cell>
          <cell r="I82">
            <v>3995.26</v>
          </cell>
          <cell r="J82">
            <v>10851126.16</v>
          </cell>
          <cell r="K82">
            <v>0</v>
          </cell>
          <cell r="L82">
            <v>0</v>
          </cell>
          <cell r="M82">
            <v>0</v>
          </cell>
          <cell r="N82">
            <v>2012.5</v>
          </cell>
          <cell r="O82">
            <v>3995.26</v>
          </cell>
          <cell r="P82">
            <v>8040460.75</v>
          </cell>
          <cell r="Q82">
            <v>703.5</v>
          </cell>
          <cell r="R82">
            <v>3995.26</v>
          </cell>
          <cell r="S82">
            <v>2810665.41</v>
          </cell>
          <cell r="T82">
            <v>140100</v>
          </cell>
        </row>
        <row r="83">
          <cell r="B83">
            <v>131001</v>
          </cell>
          <cell r="C83" t="str">
            <v>Íàðñàí áàíç /5ñì/Ìîíðóñ</v>
          </cell>
          <cell r="D83" t="str">
            <v>м3</v>
          </cell>
          <cell r="E83">
            <v>184.78</v>
          </cell>
          <cell r="F83">
            <v>436904.43</v>
          </cell>
          <cell r="G83">
            <v>80731200.575399995</v>
          </cell>
          <cell r="H83">
            <v>184.78</v>
          </cell>
          <cell r="I83">
            <v>436904.43</v>
          </cell>
          <cell r="J83">
            <v>80731200.575399995</v>
          </cell>
          <cell r="K83">
            <v>0</v>
          </cell>
          <cell r="L83">
            <v>0</v>
          </cell>
          <cell r="M83">
            <v>0</v>
          </cell>
          <cell r="N83">
            <v>184.78</v>
          </cell>
          <cell r="O83">
            <v>436904.43</v>
          </cell>
          <cell r="P83">
            <v>80731200.575399995</v>
          </cell>
          <cell r="Q83">
            <v>0</v>
          </cell>
          <cell r="R83">
            <v>0</v>
          </cell>
          <cell r="S83">
            <v>0</v>
          </cell>
          <cell r="T83">
            <v>140100</v>
          </cell>
        </row>
        <row r="84">
          <cell r="B84">
            <v>131018</v>
          </cell>
          <cell r="C84" t="str">
            <v>Íàðñàí áàíç /5ñì/ Áóÿí Îä</v>
          </cell>
          <cell r="D84" t="str">
            <v>м3</v>
          </cell>
          <cell r="E84">
            <v>862.7</v>
          </cell>
          <cell r="F84">
            <v>302568.68045867624</v>
          </cell>
          <cell r="G84">
            <v>261026000.63170001</v>
          </cell>
          <cell r="H84">
            <v>862.7</v>
          </cell>
          <cell r="I84">
            <v>302568.68045867624</v>
          </cell>
          <cell r="J84">
            <v>261026000.63170001</v>
          </cell>
          <cell r="K84">
            <v>0</v>
          </cell>
          <cell r="L84">
            <v>0</v>
          </cell>
          <cell r="M84">
            <v>0</v>
          </cell>
          <cell r="N84">
            <v>251</v>
          </cell>
          <cell r="O84">
            <v>302568.68045867624</v>
          </cell>
          <cell r="P84">
            <v>75944738.795127735</v>
          </cell>
          <cell r="Q84">
            <v>611.70000000000005</v>
          </cell>
          <cell r="R84">
            <v>302568.68045867624</v>
          </cell>
          <cell r="S84">
            <v>185081261.83657229</v>
          </cell>
          <cell r="T84">
            <v>140100</v>
          </cell>
        </row>
        <row r="85">
          <cell r="B85">
            <v>131022</v>
          </cell>
          <cell r="C85" t="str">
            <v>Íàðñàí áàíç /5ñì/ Áàéêàëèíâåñòñåðâèñ</v>
          </cell>
          <cell r="D85" t="str">
            <v>м3</v>
          </cell>
          <cell r="E85">
            <v>132.19999999999999</v>
          </cell>
          <cell r="F85">
            <v>340685.37</v>
          </cell>
          <cell r="G85">
            <v>45038605.913999997</v>
          </cell>
          <cell r="H85">
            <v>132.19999999999999</v>
          </cell>
          <cell r="I85">
            <v>340685.37</v>
          </cell>
          <cell r="J85">
            <v>45038605.913999997</v>
          </cell>
          <cell r="K85">
            <v>0</v>
          </cell>
          <cell r="L85">
            <v>0</v>
          </cell>
          <cell r="M85">
            <v>0</v>
          </cell>
          <cell r="N85">
            <v>132.19999999999999</v>
          </cell>
          <cell r="O85">
            <v>340685.37</v>
          </cell>
          <cell r="P85">
            <v>45038605.913999997</v>
          </cell>
          <cell r="Q85">
            <v>0</v>
          </cell>
          <cell r="R85">
            <v>0</v>
          </cell>
          <cell r="S85">
            <v>0</v>
          </cell>
          <cell r="T85">
            <v>140100</v>
          </cell>
        </row>
        <row r="86">
          <cell r="B86">
            <v>131026</v>
          </cell>
          <cell r="C86" t="str">
            <v xml:space="preserve">Íàðñàí áàíç /5ñì/ Ýðäýíýáààòàð </v>
          </cell>
          <cell r="D86" t="str">
            <v>м3</v>
          </cell>
          <cell r="E86">
            <v>117.16</v>
          </cell>
          <cell r="F86">
            <v>353255.16</v>
          </cell>
          <cell r="G86">
            <v>41387374.545599997</v>
          </cell>
          <cell r="H86">
            <v>117.16</v>
          </cell>
          <cell r="I86">
            <v>353255.16</v>
          </cell>
          <cell r="J86">
            <v>41387374.545599997</v>
          </cell>
          <cell r="K86">
            <v>0</v>
          </cell>
          <cell r="L86">
            <v>0</v>
          </cell>
          <cell r="M86">
            <v>0</v>
          </cell>
          <cell r="N86">
            <v>117.16</v>
          </cell>
          <cell r="O86">
            <v>353255.16</v>
          </cell>
          <cell r="P86">
            <v>41387374.545599997</v>
          </cell>
          <cell r="Q86">
            <v>0</v>
          </cell>
          <cell r="R86">
            <v>0</v>
          </cell>
          <cell r="S86">
            <v>0</v>
          </cell>
          <cell r="T86">
            <v>140100</v>
          </cell>
        </row>
        <row r="87">
          <cell r="B87">
            <v>131027</v>
          </cell>
          <cell r="C87" t="str">
            <v xml:space="preserve">Íàðñàí áàíç /5ñì/ Ëóóò Õàíãàé </v>
          </cell>
          <cell r="D87" t="str">
            <v>м3</v>
          </cell>
          <cell r="E87">
            <v>154.02000000000001</v>
          </cell>
          <cell r="F87">
            <v>272953.09000000003</v>
          </cell>
          <cell r="G87">
            <v>42040234.92180001</v>
          </cell>
          <cell r="H87">
            <v>154.02000000000001</v>
          </cell>
          <cell r="I87">
            <v>272953.09000000003</v>
          </cell>
          <cell r="J87">
            <v>42040234.92180001</v>
          </cell>
          <cell r="K87">
            <v>0</v>
          </cell>
          <cell r="L87">
            <v>0</v>
          </cell>
          <cell r="M87">
            <v>0</v>
          </cell>
          <cell r="N87">
            <v>154.01999999999998</v>
          </cell>
          <cell r="O87">
            <v>272953.09000000003</v>
          </cell>
          <cell r="P87">
            <v>42040234.921800002</v>
          </cell>
          <cell r="Q87">
            <v>2.8421709430404007E-14</v>
          </cell>
          <cell r="R87">
            <v>262144</v>
          </cell>
          <cell r="S87">
            <v>7.4505805969238281E-9</v>
          </cell>
          <cell r="T87">
            <v>140100</v>
          </cell>
        </row>
        <row r="88">
          <cell r="B88">
            <v>310001</v>
          </cell>
          <cell r="C88" t="str">
            <v>Õàòààñàí íàðñàí áàíç</v>
          </cell>
          <cell r="D88" t="str">
            <v>м3</v>
          </cell>
          <cell r="E88">
            <v>280.16000000000003</v>
          </cell>
          <cell r="F88">
            <v>488587.36000000004</v>
          </cell>
          <cell r="G88">
            <v>136882634.77760002</v>
          </cell>
          <cell r="H88">
            <v>280.16000000000003</v>
          </cell>
          <cell r="I88">
            <v>488587.36000000004</v>
          </cell>
          <cell r="J88">
            <v>136882634.77760002</v>
          </cell>
          <cell r="K88">
            <v>839.16</v>
          </cell>
          <cell r="L88">
            <v>349434.77641927643</v>
          </cell>
          <cell r="M88">
            <v>293231686.98000002</v>
          </cell>
          <cell r="N88">
            <v>624.32075000000009</v>
          </cell>
          <cell r="O88">
            <v>411757.23103600985</v>
          </cell>
          <cell r="P88">
            <v>257068583.29832497</v>
          </cell>
          <cell r="Q88">
            <v>494.99924999999985</v>
          </cell>
          <cell r="R88">
            <v>349587.8801013843</v>
          </cell>
          <cell r="S88">
            <v>173045738.4592751</v>
          </cell>
          <cell r="T88">
            <v>150100</v>
          </cell>
        </row>
        <row r="89">
          <cell r="B89">
            <v>310002</v>
          </cell>
          <cell r="C89" t="str">
            <v>Õàòààñàí íàðñàí áàíç</v>
          </cell>
          <cell r="D89" t="str">
            <v>м3</v>
          </cell>
          <cell r="E89">
            <v>179.744</v>
          </cell>
          <cell r="F89">
            <v>317870.2</v>
          </cell>
          <cell r="G89">
            <v>57135261.228799999</v>
          </cell>
          <cell r="H89">
            <v>179.744</v>
          </cell>
          <cell r="I89">
            <v>317870.2</v>
          </cell>
          <cell r="J89">
            <v>57135261.228799999</v>
          </cell>
          <cell r="K89">
            <v>0</v>
          </cell>
          <cell r="L89">
            <v>0</v>
          </cell>
          <cell r="M89">
            <v>0</v>
          </cell>
          <cell r="N89">
            <v>179.744</v>
          </cell>
          <cell r="O89">
            <v>317870.2</v>
          </cell>
          <cell r="P89">
            <v>57135261.228799999</v>
          </cell>
          <cell r="Q89">
            <v>0</v>
          </cell>
          <cell r="R89">
            <v>0</v>
          </cell>
          <cell r="S89">
            <v>0</v>
          </cell>
          <cell r="T89">
            <v>150100</v>
          </cell>
        </row>
        <row r="90">
          <cell r="B90">
            <v>410366</v>
          </cell>
          <cell r="C90" t="str">
            <v xml:space="preserve">Модны замаска </v>
          </cell>
          <cell r="D90" t="str">
            <v>ш</v>
          </cell>
          <cell r="E90">
            <v>24</v>
          </cell>
          <cell r="F90">
            <v>2000</v>
          </cell>
          <cell r="G90">
            <v>48000</v>
          </cell>
          <cell r="H90">
            <v>24</v>
          </cell>
          <cell r="I90">
            <v>2000</v>
          </cell>
          <cell r="J90">
            <v>48000</v>
          </cell>
          <cell r="K90">
            <v>24</v>
          </cell>
          <cell r="L90">
            <v>3000</v>
          </cell>
          <cell r="M90">
            <v>72000</v>
          </cell>
          <cell r="N90">
            <v>0</v>
          </cell>
          <cell r="O90">
            <v>0</v>
          </cell>
          <cell r="P90">
            <v>0</v>
          </cell>
          <cell r="Q90">
            <v>48</v>
          </cell>
          <cell r="R90">
            <v>2500</v>
          </cell>
          <cell r="S90">
            <v>120000</v>
          </cell>
          <cell r="T90">
            <v>160100</v>
          </cell>
        </row>
        <row r="91">
          <cell r="B91">
            <v>410367</v>
          </cell>
          <cell r="C91" t="str">
            <v>Пл¸íêà</v>
          </cell>
          <cell r="D91" t="str">
            <v>ш</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160100</v>
          </cell>
        </row>
        <row r="92">
          <cell r="B92">
            <v>410368</v>
          </cell>
          <cell r="C92" t="str">
            <v xml:space="preserve">Өрөм </v>
          </cell>
          <cell r="D92" t="str">
            <v>ш</v>
          </cell>
          <cell r="E92">
            <v>1</v>
          </cell>
          <cell r="F92">
            <v>15545.45</v>
          </cell>
          <cell r="G92">
            <v>15545.45</v>
          </cell>
          <cell r="H92">
            <v>1</v>
          </cell>
          <cell r="I92">
            <v>15545.45</v>
          </cell>
          <cell r="J92">
            <v>15545.45</v>
          </cell>
          <cell r="K92">
            <v>0</v>
          </cell>
          <cell r="L92">
            <v>0</v>
          </cell>
          <cell r="M92">
            <v>0</v>
          </cell>
          <cell r="N92">
            <v>0</v>
          </cell>
          <cell r="O92">
            <v>0</v>
          </cell>
          <cell r="P92">
            <v>0</v>
          </cell>
          <cell r="Q92">
            <v>1</v>
          </cell>
          <cell r="R92">
            <v>15545.45</v>
          </cell>
          <cell r="S92">
            <v>15545.45</v>
          </cell>
          <cell r="T92">
            <v>160100</v>
          </cell>
        </row>
        <row r="93">
          <cell r="B93">
            <v>410369</v>
          </cell>
          <cell r="C93" t="str">
            <v>Ажлын хувцас</v>
          </cell>
          <cell r="D93" t="str">
            <v>ш</v>
          </cell>
          <cell r="E93">
            <v>1000</v>
          </cell>
          <cell r="F93">
            <v>93636.363635999995</v>
          </cell>
          <cell r="G93">
            <v>93636363.635999992</v>
          </cell>
          <cell r="H93">
            <v>1000</v>
          </cell>
          <cell r="I93">
            <v>93636.363635999995</v>
          </cell>
          <cell r="J93">
            <v>93636363.635999992</v>
          </cell>
          <cell r="K93">
            <v>0</v>
          </cell>
          <cell r="L93">
            <v>0</v>
          </cell>
          <cell r="M93">
            <v>0</v>
          </cell>
          <cell r="N93">
            <v>0</v>
          </cell>
          <cell r="O93">
            <v>0</v>
          </cell>
          <cell r="P93">
            <v>0</v>
          </cell>
          <cell r="Q93">
            <v>1000</v>
          </cell>
          <cell r="R93">
            <v>93636.363635999995</v>
          </cell>
          <cell r="S93">
            <v>93636363.635999992</v>
          </cell>
          <cell r="T93">
            <v>160100</v>
          </cell>
        </row>
        <row r="94">
          <cell r="B94">
            <v>430001</v>
          </cell>
          <cell r="C94" t="str">
            <v>Будгийн буу</v>
          </cell>
          <cell r="D94" t="str">
            <v>ш</v>
          </cell>
          <cell r="G94">
            <v>0</v>
          </cell>
          <cell r="H94">
            <v>0</v>
          </cell>
          <cell r="I94">
            <v>0</v>
          </cell>
          <cell r="J94">
            <v>0</v>
          </cell>
          <cell r="K94">
            <v>1</v>
          </cell>
          <cell r="L94">
            <v>720000</v>
          </cell>
          <cell r="M94">
            <v>720000</v>
          </cell>
          <cell r="N94">
            <v>0</v>
          </cell>
          <cell r="O94">
            <v>0</v>
          </cell>
          <cell r="P94">
            <v>0</v>
          </cell>
          <cell r="Q94">
            <v>1</v>
          </cell>
          <cell r="R94">
            <v>720000</v>
          </cell>
          <cell r="S94">
            <v>720000</v>
          </cell>
          <cell r="T94">
            <v>160200</v>
          </cell>
        </row>
        <row r="95">
          <cell r="B95">
            <v>410370</v>
          </cell>
          <cell r="C95" t="str">
            <v xml:space="preserve">Хатаасан шил </v>
          </cell>
          <cell r="D95" t="str">
            <v>ш</v>
          </cell>
          <cell r="G95">
            <v>0</v>
          </cell>
          <cell r="H95">
            <v>0</v>
          </cell>
          <cell r="I95">
            <v>0</v>
          </cell>
          <cell r="J95">
            <v>0</v>
          </cell>
          <cell r="K95">
            <v>5</v>
          </cell>
          <cell r="L95">
            <v>37454.544999999998</v>
          </cell>
          <cell r="M95">
            <v>187272.72499999998</v>
          </cell>
          <cell r="N95">
            <v>0</v>
          </cell>
          <cell r="O95">
            <v>0</v>
          </cell>
          <cell r="P95">
            <v>0</v>
          </cell>
          <cell r="Q95">
            <v>5</v>
          </cell>
          <cell r="R95">
            <v>37454.544999999998</v>
          </cell>
          <cell r="S95">
            <v>187272.72499999998</v>
          </cell>
          <cell r="T95">
            <v>160100</v>
          </cell>
        </row>
        <row r="96">
          <cell r="B96">
            <v>410371</v>
          </cell>
          <cell r="C96" t="str">
            <v xml:space="preserve">Боолт </v>
          </cell>
          <cell r="D96" t="str">
            <v>ш</v>
          </cell>
          <cell r="G96">
            <v>0</v>
          </cell>
          <cell r="H96">
            <v>0</v>
          </cell>
          <cell r="I96">
            <v>0</v>
          </cell>
          <cell r="J96">
            <v>0</v>
          </cell>
          <cell r="K96">
            <v>2500</v>
          </cell>
          <cell r="L96">
            <v>127.272727</v>
          </cell>
          <cell r="M96">
            <v>318181.8175</v>
          </cell>
          <cell r="N96">
            <v>0</v>
          </cell>
          <cell r="O96">
            <v>0</v>
          </cell>
          <cell r="P96">
            <v>0</v>
          </cell>
          <cell r="Q96">
            <v>2500</v>
          </cell>
          <cell r="R96">
            <v>127.272727</v>
          </cell>
          <cell r="S96">
            <v>318181.8175</v>
          </cell>
          <cell r="T96">
            <v>160100</v>
          </cell>
        </row>
        <row r="97">
          <cell r="B97">
            <v>410001</v>
          </cell>
          <cell r="C97" t="str">
            <v xml:space="preserve">Квадрат төмөр </v>
          </cell>
          <cell r="D97" t="str">
            <v>м</v>
          </cell>
          <cell r="G97">
            <v>0</v>
          </cell>
          <cell r="H97">
            <v>0</v>
          </cell>
          <cell r="I97">
            <v>0</v>
          </cell>
          <cell r="J97">
            <v>0</v>
          </cell>
          <cell r="K97">
            <v>110</v>
          </cell>
          <cell r="L97">
            <v>95867.768595041314</v>
          </cell>
          <cell r="M97">
            <v>10545454.545454545</v>
          </cell>
          <cell r="N97">
            <v>0</v>
          </cell>
          <cell r="O97">
            <v>0</v>
          </cell>
          <cell r="P97">
            <v>0</v>
          </cell>
          <cell r="Q97">
            <v>110</v>
          </cell>
          <cell r="R97">
            <v>95867.768595041314</v>
          </cell>
          <cell r="S97">
            <v>10545454.545454545</v>
          </cell>
          <cell r="T97">
            <v>160100</v>
          </cell>
        </row>
        <row r="98">
          <cell r="B98">
            <v>211801</v>
          </cell>
          <cell r="C98" t="str">
            <v xml:space="preserve">Ембүү </v>
          </cell>
          <cell r="D98" t="str">
            <v>м</v>
          </cell>
          <cell r="G98">
            <v>0</v>
          </cell>
          <cell r="H98">
            <v>0</v>
          </cell>
          <cell r="I98">
            <v>0</v>
          </cell>
          <cell r="J98">
            <v>0</v>
          </cell>
          <cell r="K98">
            <v>6800</v>
          </cell>
          <cell r="L98">
            <v>604.17698223103866</v>
          </cell>
          <cell r="M98">
            <v>4108403.4791710628</v>
          </cell>
          <cell r="N98">
            <v>0</v>
          </cell>
          <cell r="O98">
            <v>0</v>
          </cell>
          <cell r="P98">
            <v>0</v>
          </cell>
          <cell r="Q98">
            <v>6800</v>
          </cell>
          <cell r="R98">
            <v>604.17698223103866</v>
          </cell>
          <cell r="S98">
            <v>4108403.4791710628</v>
          </cell>
          <cell r="T98">
            <v>150101</v>
          </cell>
        </row>
        <row r="99">
          <cell r="B99">
            <v>211802</v>
          </cell>
          <cell r="C99" t="str">
            <v xml:space="preserve">Уголок </v>
          </cell>
          <cell r="D99" t="str">
            <v>м</v>
          </cell>
          <cell r="G99">
            <v>0</v>
          </cell>
          <cell r="H99">
            <v>0</v>
          </cell>
          <cell r="I99">
            <v>0</v>
          </cell>
          <cell r="J99">
            <v>0</v>
          </cell>
          <cell r="K99">
            <v>7500</v>
          </cell>
          <cell r="L99">
            <v>1118.7343787644734</v>
          </cell>
          <cell r="M99">
            <v>8390507.8407335505</v>
          </cell>
          <cell r="N99">
            <v>0</v>
          </cell>
          <cell r="O99">
            <v>0</v>
          </cell>
          <cell r="P99">
            <v>0</v>
          </cell>
          <cell r="Q99">
            <v>7500</v>
          </cell>
          <cell r="R99">
            <v>1118.7343787644734</v>
          </cell>
          <cell r="S99">
            <v>8390507.8407335505</v>
          </cell>
          <cell r="T99">
            <v>150101</v>
          </cell>
        </row>
        <row r="100">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row>
        <row r="101">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row>
        <row r="102">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row>
        <row r="103">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row>
        <row r="104">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row>
        <row r="105">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row>
        <row r="106">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row>
        <row r="107">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row>
        <row r="108">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row>
        <row r="109">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row>
        <row r="110">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row>
        <row r="111">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row>
        <row r="112">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row>
        <row r="113">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row>
        <row r="114">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row>
        <row r="115">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row>
        <row r="116">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row>
        <row r="117">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row>
        <row r="118">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row>
        <row r="119">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row>
        <row r="120">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row>
        <row r="121">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row>
        <row r="122">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row>
        <row r="123">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row>
        <row r="124">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row>
        <row r="125">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row>
        <row r="126">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row>
        <row r="127">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row>
        <row r="128">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row>
        <row r="129">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row>
        <row r="130">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row>
        <row r="131">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row>
        <row r="132">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row>
        <row r="133">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row>
        <row r="134">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row>
        <row r="135">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row>
        <row r="136">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row>
        <row r="137">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row>
        <row r="138">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row>
        <row r="139">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row>
        <row r="140">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row>
        <row r="141">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row>
        <row r="142">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row>
        <row r="143">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row>
        <row r="144">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row>
        <row r="145">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row>
        <row r="146">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row>
        <row r="147">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row>
        <row r="148">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row>
        <row r="149">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row>
        <row r="150">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row>
        <row r="151">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row>
        <row r="152">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row>
        <row r="153">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row>
        <row r="154">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row>
        <row r="155">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row>
        <row r="156">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row>
        <row r="157">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row>
        <row r="158">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row>
        <row r="159">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row>
        <row r="160">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row>
        <row r="161">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row>
        <row r="162">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row>
        <row r="163">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row>
        <row r="164">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row>
        <row r="165">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row>
        <row r="166">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row>
        <row r="167">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row>
        <row r="168">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row>
        <row r="169">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row>
        <row r="170">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row>
        <row r="171">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row>
        <row r="172">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row>
        <row r="173">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row>
        <row r="174">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row>
        <row r="175">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row>
        <row r="176">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row>
        <row r="177">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row>
        <row r="178">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row>
        <row r="179">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row>
        <row r="180">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row>
        <row r="181">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row>
        <row r="182">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row>
        <row r="183">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row>
        <row r="184">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row>
        <row r="185">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row>
        <row r="186">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row>
        <row r="187">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row>
        <row r="188">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row>
        <row r="189">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row>
        <row r="190">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row>
        <row r="191">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row>
        <row r="192">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row>
        <row r="193">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row>
        <row r="194">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row>
        <row r="195">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row>
        <row r="196">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row>
        <row r="197">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row>
        <row r="198">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row>
        <row r="199">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row>
        <row r="200">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row>
        <row r="201">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row>
        <row r="202">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row>
        <row r="203">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row>
        <row r="204">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row>
        <row r="205">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row>
        <row r="206">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row>
        <row r="207">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row>
        <row r="208">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row>
        <row r="209">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row>
        <row r="210">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row>
        <row r="211">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row>
        <row r="212">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row>
        <row r="213">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row>
        <row r="214">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row>
        <row r="215">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row>
        <row r="216">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row>
        <row r="217">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row>
        <row r="218">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row>
        <row r="219">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row>
        <row r="220">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row>
        <row r="221">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row>
        <row r="222">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row>
        <row r="223">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row>
        <row r="224">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row>
        <row r="225">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row>
        <row r="226">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row>
        <row r="227">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row>
        <row r="228">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row>
        <row r="229">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row>
        <row r="230">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row>
        <row r="231">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row>
        <row r="232">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row>
        <row r="233">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row>
        <row r="234">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row>
        <row r="235">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row>
        <row r="236">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row>
        <row r="237">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row>
        <row r="238">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row>
        <row r="239">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row>
        <row r="240">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row>
        <row r="241">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row>
        <row r="242">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row>
        <row r="243">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row>
        <row r="244">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row>
        <row r="245">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row>
        <row r="246">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row>
        <row r="247">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row>
        <row r="248">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row>
        <row r="249">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row>
        <row r="250">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row>
        <row r="251">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row>
        <row r="252">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row>
        <row r="253">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row>
        <row r="254">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row>
        <row r="255">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row>
        <row r="256">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row>
        <row r="257">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row>
        <row r="258">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row>
        <row r="259">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row>
        <row r="260">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row>
        <row r="261">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row>
        <row r="262">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row>
        <row r="263">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row>
        <row r="264">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row>
        <row r="265">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row>
        <row r="266">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row>
        <row r="267">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row>
        <row r="268">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row>
        <row r="269">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row>
        <row r="270">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row>
        <row r="271">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row>
        <row r="272">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row>
        <row r="273">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row>
        <row r="274">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row>
        <row r="275">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row>
        <row r="276">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row>
        <row r="277">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row>
        <row r="278">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row>
        <row r="279">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row>
        <row r="280">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row>
        <row r="281">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row>
        <row r="282">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row>
        <row r="283">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row>
        <row r="284">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row>
        <row r="285">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row>
        <row r="286">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row>
        <row r="287">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row>
        <row r="288">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row>
        <row r="289">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row>
        <row r="290">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row>
        <row r="291">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row>
        <row r="292">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row>
        <row r="293">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row>
        <row r="294">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row>
        <row r="295">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row>
        <row r="296">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row>
        <row r="297">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t="str">
            <v/>
          </cell>
        </row>
        <row r="298">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t="str">
            <v/>
          </cell>
        </row>
        <row r="299">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t="str">
            <v/>
          </cell>
        </row>
        <row r="300">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t="str">
            <v/>
          </cell>
        </row>
        <row r="301">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t="str">
            <v/>
          </cell>
        </row>
        <row r="302">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t="str">
            <v/>
          </cell>
        </row>
        <row r="303">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t="str">
            <v/>
          </cell>
        </row>
        <row r="304">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t="str">
            <v/>
          </cell>
        </row>
        <row r="305">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row>
        <row r="306">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t="str">
            <v/>
          </cell>
        </row>
        <row r="307">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t="str">
            <v/>
          </cell>
        </row>
        <row r="308">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t="str">
            <v/>
          </cell>
        </row>
        <row r="309">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t="str">
            <v/>
          </cell>
        </row>
        <row r="310">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t="str">
            <v/>
          </cell>
        </row>
        <row r="311">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t="str">
            <v/>
          </cell>
        </row>
        <row r="312">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t="str">
            <v/>
          </cell>
        </row>
        <row r="313">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t="str">
            <v/>
          </cell>
        </row>
        <row r="314">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t="str">
            <v/>
          </cell>
        </row>
        <row r="315">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t="str">
            <v/>
          </cell>
        </row>
        <row r="316">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t="str">
            <v/>
          </cell>
        </row>
        <row r="317">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t="str">
            <v/>
          </cell>
        </row>
        <row r="318">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t="str">
            <v/>
          </cell>
        </row>
        <row r="319">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t="str">
            <v/>
          </cell>
        </row>
        <row r="320">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t="str">
            <v/>
          </cell>
        </row>
        <row r="321">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t="str">
            <v/>
          </cell>
        </row>
        <row r="322">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t="str">
            <v/>
          </cell>
        </row>
        <row r="323">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t="str">
            <v/>
          </cell>
        </row>
        <row r="324">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row>
        <row r="325">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t="str">
            <v/>
          </cell>
        </row>
        <row r="326">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t="str">
            <v/>
          </cell>
        </row>
        <row r="327">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t="str">
            <v/>
          </cell>
        </row>
        <row r="328">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row>
        <row r="329">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row>
        <row r="330">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t="str">
            <v/>
          </cell>
        </row>
        <row r="331">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t="str">
            <v/>
          </cell>
        </row>
        <row r="332">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row>
        <row r="333">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t="str">
            <v/>
          </cell>
        </row>
        <row r="334">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t="str">
            <v/>
          </cell>
        </row>
        <row r="335">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t="str">
            <v/>
          </cell>
        </row>
        <row r="336">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t="str">
            <v/>
          </cell>
        </row>
        <row r="337">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t="str">
            <v/>
          </cell>
        </row>
        <row r="338">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t="str">
            <v/>
          </cell>
        </row>
        <row r="339">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t="str">
            <v/>
          </cell>
        </row>
        <row r="340">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t="str">
            <v/>
          </cell>
        </row>
        <row r="341">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t="str">
            <v/>
          </cell>
        </row>
        <row r="342">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row>
        <row r="343">
          <cell r="G343" t="str">
            <v/>
          </cell>
          <cell r="H343" t="str">
            <v/>
          </cell>
          <cell r="I343" t="str">
            <v/>
          </cell>
          <cell r="J343" t="str">
            <v/>
          </cell>
          <cell r="K343" t="str">
            <v/>
          </cell>
          <cell r="L343" t="str">
            <v/>
          </cell>
          <cell r="M343" t="str">
            <v/>
          </cell>
          <cell r="N343" t="str">
            <v/>
          </cell>
          <cell r="O343" t="str">
            <v/>
          </cell>
          <cell r="P343" t="str">
            <v/>
          </cell>
          <cell r="Q343" t="str">
            <v/>
          </cell>
          <cell r="R343" t="str">
            <v/>
          </cell>
          <cell r="S343" t="str">
            <v/>
          </cell>
        </row>
        <row r="344">
          <cell r="G344" t="str">
            <v/>
          </cell>
          <cell r="H344" t="str">
            <v/>
          </cell>
          <cell r="I344" t="str">
            <v/>
          </cell>
          <cell r="J344" t="str">
            <v/>
          </cell>
          <cell r="K344" t="str">
            <v/>
          </cell>
          <cell r="L344" t="str">
            <v/>
          </cell>
          <cell r="M344" t="str">
            <v/>
          </cell>
          <cell r="N344" t="str">
            <v/>
          </cell>
          <cell r="O344" t="str">
            <v/>
          </cell>
          <cell r="P344" t="str">
            <v/>
          </cell>
          <cell r="Q344" t="str">
            <v/>
          </cell>
          <cell r="R344" t="str">
            <v/>
          </cell>
          <cell r="S344" t="str">
            <v/>
          </cell>
        </row>
        <row r="345">
          <cell r="G345" t="str">
            <v/>
          </cell>
          <cell r="H345" t="str">
            <v/>
          </cell>
          <cell r="I345" t="str">
            <v/>
          </cell>
          <cell r="J345" t="str">
            <v/>
          </cell>
          <cell r="K345" t="str">
            <v/>
          </cell>
          <cell r="L345" t="str">
            <v/>
          </cell>
          <cell r="M345" t="str">
            <v/>
          </cell>
          <cell r="N345" t="str">
            <v/>
          </cell>
          <cell r="O345" t="str">
            <v/>
          </cell>
          <cell r="P345" t="str">
            <v/>
          </cell>
          <cell r="Q345" t="str">
            <v/>
          </cell>
          <cell r="R345" t="str">
            <v/>
          </cell>
          <cell r="S345" t="str">
            <v/>
          </cell>
        </row>
        <row r="346">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row>
        <row r="347">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row>
        <row r="348">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row>
        <row r="349">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row>
        <row r="350">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row>
        <row r="351">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row>
        <row r="352">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row>
        <row r="353">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row>
        <row r="354">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row>
        <row r="355">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row>
        <row r="356">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row>
        <row r="357">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row>
        <row r="358">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row>
        <row r="359">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row>
        <row r="360">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row>
        <row r="361">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row>
        <row r="362">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row>
        <row r="363">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row>
        <row r="364">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row>
        <row r="365">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row>
        <row r="366">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row>
        <row r="367">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row>
        <row r="368">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row>
        <row r="369">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row>
        <row r="370">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row>
        <row r="371">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row>
        <row r="372">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row>
        <row r="373">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row>
        <row r="374">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row>
        <row r="375">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row>
        <row r="376">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row>
        <row r="377">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row>
        <row r="378">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row>
        <row r="379">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row>
        <row r="380">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row>
        <row r="381">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row>
        <row r="382">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row>
        <row r="383">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row>
        <row r="384">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row>
        <row r="385">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row>
        <row r="386">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row>
        <row r="387">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row>
        <row r="388">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row>
        <row r="389">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row>
        <row r="390">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row>
        <row r="391">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row>
        <row r="392">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row>
        <row r="393">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row>
        <row r="394">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row>
        <row r="395">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row>
        <row r="396">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row>
        <row r="397">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row>
        <row r="398">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row>
        <row r="399">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row>
        <row r="400">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row>
        <row r="401">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row>
        <row r="402">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row>
        <row r="403">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row>
        <row r="404">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row>
        <row r="405">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row>
        <row r="406">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row>
        <row r="407">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row>
        <row r="408">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row>
        <row r="409">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row>
        <row r="410">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row>
        <row r="411">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row>
        <row r="412">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row>
        <row r="413">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row>
        <row r="414">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row>
        <row r="415">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row>
        <row r="416">
          <cell r="G416" t="str">
            <v/>
          </cell>
          <cell r="H416" t="str">
            <v/>
          </cell>
          <cell r="I416" t="str">
            <v/>
          </cell>
          <cell r="J416" t="str">
            <v/>
          </cell>
          <cell r="K416" t="str">
            <v/>
          </cell>
          <cell r="L416" t="str">
            <v/>
          </cell>
          <cell r="M416" t="str">
            <v/>
          </cell>
          <cell r="N416" t="str">
            <v/>
          </cell>
          <cell r="O416" t="str">
            <v/>
          </cell>
          <cell r="P416" t="str">
            <v/>
          </cell>
          <cell r="Q416" t="str">
            <v/>
          </cell>
          <cell r="R416" t="str">
            <v/>
          </cell>
          <cell r="S416" t="str">
            <v/>
          </cell>
        </row>
        <row r="417">
          <cell r="G417" t="str">
            <v/>
          </cell>
          <cell r="H417" t="str">
            <v/>
          </cell>
          <cell r="I417" t="str">
            <v/>
          </cell>
          <cell r="J417" t="str">
            <v/>
          </cell>
          <cell r="K417" t="str">
            <v/>
          </cell>
          <cell r="L417" t="str">
            <v/>
          </cell>
          <cell r="M417" t="str">
            <v/>
          </cell>
          <cell r="N417" t="str">
            <v/>
          </cell>
          <cell r="O417" t="str">
            <v/>
          </cell>
          <cell r="P417" t="str">
            <v/>
          </cell>
          <cell r="Q417" t="str">
            <v/>
          </cell>
          <cell r="R417" t="str">
            <v/>
          </cell>
          <cell r="S417" t="str">
            <v/>
          </cell>
        </row>
        <row r="418">
          <cell r="G418" t="str">
            <v/>
          </cell>
          <cell r="H418" t="str">
            <v/>
          </cell>
          <cell r="I418" t="str">
            <v/>
          </cell>
          <cell r="J418" t="str">
            <v/>
          </cell>
          <cell r="K418" t="str">
            <v/>
          </cell>
          <cell r="L418" t="str">
            <v/>
          </cell>
          <cell r="M418" t="str">
            <v/>
          </cell>
          <cell r="N418" t="str">
            <v/>
          </cell>
          <cell r="O418" t="str">
            <v/>
          </cell>
          <cell r="P418" t="str">
            <v/>
          </cell>
          <cell r="Q418" t="str">
            <v/>
          </cell>
          <cell r="R418" t="str">
            <v/>
          </cell>
          <cell r="S418" t="str">
            <v/>
          </cell>
        </row>
        <row r="419">
          <cell r="G419" t="str">
            <v/>
          </cell>
          <cell r="H419" t="str">
            <v/>
          </cell>
          <cell r="I419" t="str">
            <v/>
          </cell>
          <cell r="J419" t="str">
            <v/>
          </cell>
          <cell r="K419" t="str">
            <v/>
          </cell>
          <cell r="L419" t="str">
            <v/>
          </cell>
          <cell r="M419" t="str">
            <v/>
          </cell>
          <cell r="N419" t="str">
            <v/>
          </cell>
          <cell r="O419" t="str">
            <v/>
          </cell>
          <cell r="P419" t="str">
            <v/>
          </cell>
          <cell r="Q419" t="str">
            <v/>
          </cell>
          <cell r="R419" t="str">
            <v/>
          </cell>
          <cell r="S419" t="str">
            <v/>
          </cell>
        </row>
        <row r="420">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row>
        <row r="421">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row>
        <row r="422">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row>
        <row r="423">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row>
        <row r="424">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row>
        <row r="425">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row>
        <row r="426">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row>
        <row r="427">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row>
        <row r="428">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row>
        <row r="429">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row>
        <row r="430">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row>
        <row r="431">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row>
        <row r="432">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row>
        <row r="433">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row>
        <row r="434">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row>
        <row r="435">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row>
        <row r="436">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row>
        <row r="437">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row>
        <row r="438">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row>
        <row r="439">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row>
        <row r="440">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row>
        <row r="441">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row>
        <row r="442">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row>
        <row r="443">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row>
        <row r="444">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row>
        <row r="445">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row>
        <row r="446">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row>
        <row r="447">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row>
        <row r="448">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row>
        <row r="449">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row>
        <row r="450">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row>
        <row r="451">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row>
        <row r="452">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row>
        <row r="453">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row>
        <row r="454">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row>
        <row r="455">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row>
        <row r="456">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row>
        <row r="457">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row>
        <row r="458">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row>
        <row r="459">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row>
        <row r="460">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row>
        <row r="461">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row>
        <row r="462">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row>
        <row r="463">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row>
        <row r="464">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row>
        <row r="465">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row>
        <row r="466">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row>
        <row r="467">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row>
        <row r="468">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row>
        <row r="469">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row>
        <row r="470">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row>
        <row r="471">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row>
        <row r="472">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row>
        <row r="473">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row>
        <row r="474">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row>
        <row r="475">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row>
        <row r="476">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row>
        <row r="477">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row>
        <row r="478">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row>
        <row r="479">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row>
        <row r="480">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row>
        <row r="481">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row>
        <row r="482">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row>
        <row r="483">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row>
        <row r="484">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row>
        <row r="485">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row>
        <row r="486">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row>
        <row r="487">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row>
        <row r="488">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row>
        <row r="489">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row>
        <row r="490">
          <cell r="G490" t="str">
            <v/>
          </cell>
          <cell r="H490" t="str">
            <v/>
          </cell>
          <cell r="I490" t="str">
            <v/>
          </cell>
          <cell r="J490" t="str">
            <v/>
          </cell>
          <cell r="K490" t="str">
            <v/>
          </cell>
          <cell r="L490" t="str">
            <v/>
          </cell>
          <cell r="M490" t="str">
            <v/>
          </cell>
          <cell r="N490" t="str">
            <v/>
          </cell>
          <cell r="O490" t="str">
            <v/>
          </cell>
          <cell r="P490" t="str">
            <v/>
          </cell>
          <cell r="Q490" t="str">
            <v/>
          </cell>
          <cell r="R490" t="str">
            <v/>
          </cell>
          <cell r="S490" t="str">
            <v/>
          </cell>
        </row>
        <row r="491">
          <cell r="G491" t="str">
            <v/>
          </cell>
          <cell r="H491" t="str">
            <v/>
          </cell>
          <cell r="I491" t="str">
            <v/>
          </cell>
          <cell r="J491" t="str">
            <v/>
          </cell>
          <cell r="K491" t="str">
            <v/>
          </cell>
          <cell r="L491" t="str">
            <v/>
          </cell>
          <cell r="M491" t="str">
            <v/>
          </cell>
          <cell r="N491" t="str">
            <v/>
          </cell>
          <cell r="O491" t="str">
            <v/>
          </cell>
          <cell r="P491" t="str">
            <v/>
          </cell>
          <cell r="Q491" t="str">
            <v/>
          </cell>
          <cell r="R491" t="str">
            <v/>
          </cell>
          <cell r="S491" t="str">
            <v/>
          </cell>
        </row>
        <row r="492">
          <cell r="G492" t="str">
            <v/>
          </cell>
          <cell r="H492" t="str">
            <v/>
          </cell>
          <cell r="I492" t="str">
            <v/>
          </cell>
          <cell r="J492" t="str">
            <v/>
          </cell>
          <cell r="K492" t="str">
            <v/>
          </cell>
          <cell r="L492" t="str">
            <v/>
          </cell>
          <cell r="M492" t="str">
            <v/>
          </cell>
          <cell r="N492" t="str">
            <v/>
          </cell>
          <cell r="O492" t="str">
            <v/>
          </cell>
          <cell r="P492" t="str">
            <v/>
          </cell>
          <cell r="Q492" t="str">
            <v/>
          </cell>
          <cell r="R492" t="str">
            <v/>
          </cell>
          <cell r="S492" t="str">
            <v/>
          </cell>
        </row>
        <row r="493">
          <cell r="G493" t="str">
            <v/>
          </cell>
          <cell r="H493" t="str">
            <v/>
          </cell>
          <cell r="I493" t="str">
            <v/>
          </cell>
          <cell r="J493" t="str">
            <v/>
          </cell>
          <cell r="K493" t="str">
            <v/>
          </cell>
          <cell r="L493" t="str">
            <v/>
          </cell>
          <cell r="M493" t="str">
            <v/>
          </cell>
          <cell r="N493" t="str">
            <v/>
          </cell>
          <cell r="O493" t="str">
            <v/>
          </cell>
          <cell r="P493" t="str">
            <v/>
          </cell>
          <cell r="Q493" t="str">
            <v/>
          </cell>
          <cell r="R493" t="str">
            <v/>
          </cell>
          <cell r="S493" t="str">
            <v/>
          </cell>
        </row>
        <row r="494">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row>
        <row r="495">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row>
        <row r="496">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row>
        <row r="497">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row>
        <row r="498">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row>
        <row r="499">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row>
        <row r="500">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row>
        <row r="501">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row>
        <row r="502">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row>
        <row r="503">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row>
        <row r="504">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row>
        <row r="505">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row>
        <row r="506">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row>
        <row r="507">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row>
        <row r="508">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row>
        <row r="509">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row>
        <row r="510">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row>
        <row r="511">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row>
        <row r="512">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row>
        <row r="513">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row>
        <row r="514">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row>
        <row r="515">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row>
        <row r="516">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row>
        <row r="517">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row>
        <row r="518">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row>
        <row r="519">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row>
        <row r="520">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row>
        <row r="521">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row>
        <row r="522">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row>
        <row r="523">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row>
        <row r="524">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row>
        <row r="525">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row>
        <row r="526">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row>
        <row r="527">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row>
        <row r="528">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row>
        <row r="529">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row>
        <row r="530">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row>
        <row r="531">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row>
        <row r="532">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row>
        <row r="533">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row>
        <row r="534">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row>
        <row r="535">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row>
        <row r="536">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row>
        <row r="537">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row>
        <row r="538">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row>
        <row r="539">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row>
        <row r="540">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row>
        <row r="541">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row>
        <row r="542">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row>
        <row r="543">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row>
        <row r="544">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row>
        <row r="545">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row>
        <row r="546">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row>
        <row r="547">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row>
        <row r="548">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row>
        <row r="549">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row>
        <row r="550">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row>
        <row r="551">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row>
        <row r="552">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row>
        <row r="553">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row>
        <row r="554">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row>
        <row r="555">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row>
        <row r="556">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row>
        <row r="557">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row>
        <row r="558">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row>
        <row r="559">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row>
        <row r="560">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row>
        <row r="561">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row>
        <row r="562">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row>
        <row r="563">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row>
        <row r="564">
          <cell r="G564" t="str">
            <v/>
          </cell>
          <cell r="H564" t="str">
            <v/>
          </cell>
          <cell r="I564" t="str">
            <v/>
          </cell>
          <cell r="J564" t="str">
            <v/>
          </cell>
          <cell r="K564" t="str">
            <v/>
          </cell>
          <cell r="L564" t="str">
            <v/>
          </cell>
          <cell r="M564" t="str">
            <v/>
          </cell>
          <cell r="N564" t="str">
            <v/>
          </cell>
          <cell r="O564" t="str">
            <v/>
          </cell>
          <cell r="P564" t="str">
            <v/>
          </cell>
          <cell r="Q564" t="str">
            <v/>
          </cell>
          <cell r="R564" t="str">
            <v/>
          </cell>
          <cell r="S564" t="str">
            <v/>
          </cell>
        </row>
        <row r="565">
          <cell r="G565" t="str">
            <v/>
          </cell>
          <cell r="H565" t="str">
            <v/>
          </cell>
          <cell r="I565" t="str">
            <v/>
          </cell>
          <cell r="J565" t="str">
            <v/>
          </cell>
          <cell r="K565" t="str">
            <v/>
          </cell>
          <cell r="L565" t="str">
            <v/>
          </cell>
          <cell r="M565" t="str">
            <v/>
          </cell>
          <cell r="N565" t="str">
            <v/>
          </cell>
          <cell r="O565" t="str">
            <v/>
          </cell>
          <cell r="P565" t="str">
            <v/>
          </cell>
          <cell r="Q565" t="str">
            <v/>
          </cell>
          <cell r="R565" t="str">
            <v/>
          </cell>
          <cell r="S565" t="str">
            <v/>
          </cell>
        </row>
        <row r="566">
          <cell r="G566" t="str">
            <v/>
          </cell>
          <cell r="H566" t="str">
            <v/>
          </cell>
          <cell r="I566" t="str">
            <v/>
          </cell>
          <cell r="J566" t="str">
            <v/>
          </cell>
          <cell r="K566" t="str">
            <v/>
          </cell>
          <cell r="L566" t="str">
            <v/>
          </cell>
          <cell r="M566" t="str">
            <v/>
          </cell>
          <cell r="N566" t="str">
            <v/>
          </cell>
          <cell r="O566" t="str">
            <v/>
          </cell>
          <cell r="P566" t="str">
            <v/>
          </cell>
          <cell r="Q566" t="str">
            <v/>
          </cell>
          <cell r="R566" t="str">
            <v/>
          </cell>
          <cell r="S566" t="str">
            <v/>
          </cell>
        </row>
        <row r="567">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row>
        <row r="568">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row>
        <row r="569">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row>
        <row r="570">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row>
        <row r="571">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row>
        <row r="572">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row>
        <row r="573">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row>
        <row r="574">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row>
        <row r="575">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row>
        <row r="576">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row>
        <row r="577">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row>
        <row r="578">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row>
        <row r="579">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row>
        <row r="580">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row>
        <row r="581">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row>
        <row r="582">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row>
        <row r="583">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row>
        <row r="584">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row>
        <row r="585">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row>
        <row r="586">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row>
        <row r="587">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row>
        <row r="588">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row>
        <row r="589">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row>
        <row r="590">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row>
        <row r="591">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row>
        <row r="592">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row>
        <row r="593">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row>
        <row r="594">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row>
        <row r="595">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row>
        <row r="596">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row>
        <row r="597">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row>
        <row r="598">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row>
        <row r="599">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row>
        <row r="600">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row>
        <row r="601">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row>
        <row r="602">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row>
        <row r="603">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row>
        <row r="604">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row>
        <row r="605">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row>
        <row r="606">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row>
        <row r="607">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row>
        <row r="608">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row>
        <row r="609">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row>
        <row r="610">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row>
        <row r="611">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row>
        <row r="612">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row>
        <row r="613">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row>
        <row r="614">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row>
        <row r="615">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row>
        <row r="616">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row>
        <row r="617">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row>
        <row r="618">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row>
        <row r="619">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row>
        <row r="620">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row>
        <row r="621">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row>
        <row r="622">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row>
        <row r="623">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row>
        <row r="624">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row>
        <row r="625">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row>
        <row r="626">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row>
        <row r="627">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row>
        <row r="628">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row>
        <row r="629">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row>
        <row r="630">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row>
        <row r="631">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row>
        <row r="632">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row>
        <row r="633">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row>
        <row r="634">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row>
        <row r="635">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row>
        <row r="636">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row>
        <row r="637">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row>
        <row r="638">
          <cell r="G638" t="str">
            <v/>
          </cell>
          <cell r="H638" t="str">
            <v/>
          </cell>
          <cell r="I638" t="str">
            <v/>
          </cell>
          <cell r="J638" t="str">
            <v/>
          </cell>
          <cell r="K638" t="str">
            <v/>
          </cell>
          <cell r="L638" t="str">
            <v/>
          </cell>
          <cell r="M638" t="str">
            <v/>
          </cell>
          <cell r="N638" t="str">
            <v/>
          </cell>
          <cell r="O638" t="str">
            <v/>
          </cell>
          <cell r="P638" t="str">
            <v/>
          </cell>
          <cell r="Q638" t="str">
            <v/>
          </cell>
          <cell r="R638" t="str">
            <v/>
          </cell>
          <cell r="S638" t="str">
            <v/>
          </cell>
        </row>
        <row r="639">
          <cell r="G639" t="str">
            <v/>
          </cell>
          <cell r="H639" t="str">
            <v/>
          </cell>
          <cell r="I639" t="str">
            <v/>
          </cell>
          <cell r="J639" t="str">
            <v/>
          </cell>
          <cell r="K639" t="str">
            <v/>
          </cell>
          <cell r="L639" t="str">
            <v/>
          </cell>
          <cell r="M639" t="str">
            <v/>
          </cell>
          <cell r="N639" t="str">
            <v/>
          </cell>
          <cell r="O639" t="str">
            <v/>
          </cell>
          <cell r="P639" t="str">
            <v/>
          </cell>
          <cell r="Q639" t="str">
            <v/>
          </cell>
          <cell r="R639" t="str">
            <v/>
          </cell>
          <cell r="S639" t="str">
            <v/>
          </cell>
        </row>
        <row r="640">
          <cell r="G640" t="str">
            <v/>
          </cell>
          <cell r="H640" t="str">
            <v/>
          </cell>
          <cell r="I640" t="str">
            <v/>
          </cell>
          <cell r="J640" t="str">
            <v/>
          </cell>
          <cell r="K640" t="str">
            <v/>
          </cell>
          <cell r="L640" t="str">
            <v/>
          </cell>
          <cell r="M640" t="str">
            <v/>
          </cell>
          <cell r="N640" t="str">
            <v/>
          </cell>
          <cell r="O640" t="str">
            <v/>
          </cell>
          <cell r="P640" t="str">
            <v/>
          </cell>
          <cell r="Q640" t="str">
            <v/>
          </cell>
          <cell r="R640" t="str">
            <v/>
          </cell>
          <cell r="S640" t="str">
            <v/>
          </cell>
        </row>
        <row r="641">
          <cell r="G641" t="str">
            <v/>
          </cell>
          <cell r="H641" t="str">
            <v/>
          </cell>
          <cell r="I641" t="str">
            <v/>
          </cell>
          <cell r="J641" t="str">
            <v/>
          </cell>
          <cell r="K641" t="str">
            <v/>
          </cell>
          <cell r="L641" t="str">
            <v/>
          </cell>
          <cell r="M641" t="str">
            <v/>
          </cell>
          <cell r="N641" t="str">
            <v/>
          </cell>
          <cell r="O641" t="str">
            <v/>
          </cell>
          <cell r="P641" t="str">
            <v/>
          </cell>
          <cell r="Q641" t="str">
            <v/>
          </cell>
          <cell r="R641" t="str">
            <v/>
          </cell>
          <cell r="S641" t="str">
            <v/>
          </cell>
        </row>
        <row r="642">
          <cell r="G642" t="str">
            <v/>
          </cell>
          <cell r="H642" t="str">
            <v/>
          </cell>
          <cell r="I642" t="str">
            <v/>
          </cell>
          <cell r="J642" t="str">
            <v/>
          </cell>
          <cell r="K642" t="str">
            <v/>
          </cell>
          <cell r="L642" t="str">
            <v/>
          </cell>
          <cell r="M642" t="str">
            <v/>
          </cell>
          <cell r="N642" t="str">
            <v/>
          </cell>
          <cell r="O642" t="str">
            <v/>
          </cell>
          <cell r="P642" t="str">
            <v/>
          </cell>
          <cell r="Q642" t="str">
            <v/>
          </cell>
          <cell r="R642" t="str">
            <v/>
          </cell>
          <cell r="S642" t="str">
            <v/>
          </cell>
        </row>
        <row r="643">
          <cell r="G643" t="str">
            <v/>
          </cell>
          <cell r="H643" t="str">
            <v/>
          </cell>
          <cell r="I643" t="str">
            <v/>
          </cell>
          <cell r="J643" t="str">
            <v/>
          </cell>
          <cell r="K643" t="str">
            <v/>
          </cell>
          <cell r="L643" t="str">
            <v/>
          </cell>
          <cell r="M643" t="str">
            <v/>
          </cell>
          <cell r="N643" t="str">
            <v/>
          </cell>
          <cell r="O643" t="str">
            <v/>
          </cell>
          <cell r="P643" t="str">
            <v/>
          </cell>
          <cell r="Q643" t="str">
            <v/>
          </cell>
          <cell r="R643" t="str">
            <v/>
          </cell>
          <cell r="S643" t="str">
            <v/>
          </cell>
        </row>
        <row r="644">
          <cell r="G644" t="str">
            <v/>
          </cell>
          <cell r="H644" t="str">
            <v/>
          </cell>
          <cell r="I644" t="str">
            <v/>
          </cell>
          <cell r="J644" t="str">
            <v/>
          </cell>
          <cell r="K644" t="str">
            <v/>
          </cell>
          <cell r="L644" t="str">
            <v/>
          </cell>
          <cell r="M644" t="str">
            <v/>
          </cell>
          <cell r="N644" t="str">
            <v/>
          </cell>
          <cell r="O644" t="str">
            <v/>
          </cell>
          <cell r="P644" t="str">
            <v/>
          </cell>
          <cell r="Q644" t="str">
            <v/>
          </cell>
          <cell r="R644" t="str">
            <v/>
          </cell>
          <cell r="S644" t="str">
            <v/>
          </cell>
        </row>
        <row r="645">
          <cell r="G645" t="str">
            <v/>
          </cell>
          <cell r="H645" t="str">
            <v/>
          </cell>
          <cell r="I645" t="str">
            <v/>
          </cell>
          <cell r="J645" t="str">
            <v/>
          </cell>
          <cell r="K645" t="str">
            <v/>
          </cell>
          <cell r="L645" t="str">
            <v/>
          </cell>
          <cell r="M645" t="str">
            <v/>
          </cell>
          <cell r="N645" t="str">
            <v/>
          </cell>
          <cell r="O645" t="str">
            <v/>
          </cell>
          <cell r="P645" t="str">
            <v/>
          </cell>
          <cell r="Q645" t="str">
            <v/>
          </cell>
          <cell r="R645" t="str">
            <v/>
          </cell>
          <cell r="S645" t="str">
            <v/>
          </cell>
        </row>
        <row r="646">
          <cell r="G646" t="str">
            <v/>
          </cell>
          <cell r="H646" t="str">
            <v/>
          </cell>
          <cell r="I646" t="str">
            <v/>
          </cell>
          <cell r="J646" t="str">
            <v/>
          </cell>
          <cell r="K646" t="str">
            <v/>
          </cell>
          <cell r="L646" t="str">
            <v/>
          </cell>
          <cell r="M646" t="str">
            <v/>
          </cell>
          <cell r="N646" t="str">
            <v/>
          </cell>
          <cell r="O646" t="str">
            <v/>
          </cell>
          <cell r="P646" t="str">
            <v/>
          </cell>
          <cell r="Q646" t="str">
            <v/>
          </cell>
          <cell r="R646" t="str">
            <v/>
          </cell>
          <cell r="S646" t="str">
            <v/>
          </cell>
        </row>
        <row r="647">
          <cell r="G647" t="str">
            <v/>
          </cell>
          <cell r="H647" t="str">
            <v/>
          </cell>
          <cell r="I647" t="str">
            <v/>
          </cell>
          <cell r="J647" t="str">
            <v/>
          </cell>
          <cell r="K647" t="str">
            <v/>
          </cell>
          <cell r="L647" t="str">
            <v/>
          </cell>
          <cell r="M647" t="str">
            <v/>
          </cell>
          <cell r="N647" t="str">
            <v/>
          </cell>
          <cell r="O647" t="str">
            <v/>
          </cell>
          <cell r="P647" t="str">
            <v/>
          </cell>
          <cell r="Q647" t="str">
            <v/>
          </cell>
          <cell r="R647" t="str">
            <v/>
          </cell>
          <cell r="S647" t="str">
            <v/>
          </cell>
        </row>
        <row r="648">
          <cell r="G648" t="str">
            <v/>
          </cell>
          <cell r="H648" t="str">
            <v/>
          </cell>
          <cell r="I648" t="str">
            <v/>
          </cell>
          <cell r="J648" t="str">
            <v/>
          </cell>
          <cell r="K648" t="str">
            <v/>
          </cell>
          <cell r="L648" t="str">
            <v/>
          </cell>
          <cell r="M648" t="str">
            <v/>
          </cell>
          <cell r="N648" t="str">
            <v/>
          </cell>
          <cell r="O648" t="str">
            <v/>
          </cell>
          <cell r="P648" t="str">
            <v/>
          </cell>
          <cell r="Q648" t="str">
            <v/>
          </cell>
          <cell r="R648" t="str">
            <v/>
          </cell>
          <cell r="S648" t="str">
            <v/>
          </cell>
        </row>
        <row r="649">
          <cell r="G649" t="str">
            <v/>
          </cell>
          <cell r="H649" t="str">
            <v/>
          </cell>
          <cell r="I649" t="str">
            <v/>
          </cell>
          <cell r="J649" t="str">
            <v/>
          </cell>
          <cell r="K649" t="str">
            <v/>
          </cell>
          <cell r="L649" t="str">
            <v/>
          </cell>
          <cell r="M649" t="str">
            <v/>
          </cell>
          <cell r="N649" t="str">
            <v/>
          </cell>
          <cell r="O649" t="str">
            <v/>
          </cell>
          <cell r="P649" t="str">
            <v/>
          </cell>
          <cell r="Q649" t="str">
            <v/>
          </cell>
          <cell r="R649" t="str">
            <v/>
          </cell>
          <cell r="S649" t="str">
            <v/>
          </cell>
        </row>
        <row r="650">
          <cell r="G650" t="str">
            <v/>
          </cell>
          <cell r="H650" t="str">
            <v/>
          </cell>
          <cell r="I650" t="str">
            <v/>
          </cell>
          <cell r="J650" t="str">
            <v/>
          </cell>
          <cell r="K650" t="str">
            <v/>
          </cell>
          <cell r="L650" t="str">
            <v/>
          </cell>
          <cell r="M650" t="str">
            <v/>
          </cell>
          <cell r="N650" t="str">
            <v/>
          </cell>
          <cell r="O650" t="str">
            <v/>
          </cell>
          <cell r="P650" t="str">
            <v/>
          </cell>
          <cell r="Q650" t="str">
            <v/>
          </cell>
          <cell r="R650" t="str">
            <v/>
          </cell>
          <cell r="S650" t="str">
            <v/>
          </cell>
        </row>
        <row r="651">
          <cell r="G651" t="str">
            <v/>
          </cell>
          <cell r="H651" t="str">
            <v/>
          </cell>
          <cell r="I651" t="str">
            <v/>
          </cell>
          <cell r="J651" t="str">
            <v/>
          </cell>
          <cell r="K651" t="str">
            <v/>
          </cell>
          <cell r="L651" t="str">
            <v/>
          </cell>
          <cell r="M651" t="str">
            <v/>
          </cell>
          <cell r="N651" t="str">
            <v/>
          </cell>
          <cell r="O651" t="str">
            <v/>
          </cell>
          <cell r="P651" t="str">
            <v/>
          </cell>
          <cell r="Q651" t="str">
            <v/>
          </cell>
          <cell r="R651" t="str">
            <v/>
          </cell>
          <cell r="S651" t="str">
            <v/>
          </cell>
        </row>
        <row r="652">
          <cell r="G652" t="str">
            <v/>
          </cell>
          <cell r="H652" t="str">
            <v/>
          </cell>
          <cell r="I652" t="str">
            <v/>
          </cell>
          <cell r="J652" t="str">
            <v/>
          </cell>
          <cell r="K652" t="str">
            <v/>
          </cell>
          <cell r="L652" t="str">
            <v/>
          </cell>
          <cell r="M652" t="str">
            <v/>
          </cell>
          <cell r="N652" t="str">
            <v/>
          </cell>
          <cell r="O652" t="str">
            <v/>
          </cell>
          <cell r="P652" t="str">
            <v/>
          </cell>
          <cell r="Q652" t="str">
            <v/>
          </cell>
          <cell r="R652" t="str">
            <v/>
          </cell>
          <cell r="S652" t="str">
            <v/>
          </cell>
        </row>
        <row r="653">
          <cell r="G653" t="str">
            <v/>
          </cell>
          <cell r="H653" t="str">
            <v/>
          </cell>
          <cell r="I653" t="str">
            <v/>
          </cell>
          <cell r="J653" t="str">
            <v/>
          </cell>
          <cell r="K653" t="str">
            <v/>
          </cell>
          <cell r="L653" t="str">
            <v/>
          </cell>
          <cell r="M653" t="str">
            <v/>
          </cell>
          <cell r="N653" t="str">
            <v/>
          </cell>
          <cell r="O653" t="str">
            <v/>
          </cell>
          <cell r="P653" t="str">
            <v/>
          </cell>
          <cell r="Q653" t="str">
            <v/>
          </cell>
          <cell r="R653" t="str">
            <v/>
          </cell>
          <cell r="S653" t="str">
            <v/>
          </cell>
        </row>
        <row r="654">
          <cell r="G654" t="str">
            <v/>
          </cell>
          <cell r="H654" t="str">
            <v/>
          </cell>
          <cell r="I654" t="str">
            <v/>
          </cell>
          <cell r="J654" t="str">
            <v/>
          </cell>
          <cell r="K654" t="str">
            <v/>
          </cell>
          <cell r="L654" t="str">
            <v/>
          </cell>
          <cell r="M654" t="str">
            <v/>
          </cell>
          <cell r="N654" t="str">
            <v/>
          </cell>
          <cell r="O654" t="str">
            <v/>
          </cell>
          <cell r="P654" t="str">
            <v/>
          </cell>
          <cell r="Q654" t="str">
            <v/>
          </cell>
          <cell r="R654" t="str">
            <v/>
          </cell>
          <cell r="S654" t="str">
            <v/>
          </cell>
        </row>
        <row r="655">
          <cell r="G655" t="str">
            <v/>
          </cell>
          <cell r="H655" t="str">
            <v/>
          </cell>
          <cell r="I655" t="str">
            <v/>
          </cell>
          <cell r="J655" t="str">
            <v/>
          </cell>
          <cell r="K655" t="str">
            <v/>
          </cell>
          <cell r="L655" t="str">
            <v/>
          </cell>
          <cell r="M655" t="str">
            <v/>
          </cell>
          <cell r="N655" t="str">
            <v/>
          </cell>
          <cell r="O655" t="str">
            <v/>
          </cell>
          <cell r="P655" t="str">
            <v/>
          </cell>
          <cell r="Q655" t="str">
            <v/>
          </cell>
          <cell r="R655" t="str">
            <v/>
          </cell>
          <cell r="S655" t="str">
            <v/>
          </cell>
        </row>
        <row r="656">
          <cell r="G656" t="str">
            <v/>
          </cell>
          <cell r="H656" t="str">
            <v/>
          </cell>
          <cell r="I656" t="str">
            <v/>
          </cell>
          <cell r="J656" t="str">
            <v/>
          </cell>
          <cell r="K656" t="str">
            <v/>
          </cell>
          <cell r="L656" t="str">
            <v/>
          </cell>
          <cell r="M656" t="str">
            <v/>
          </cell>
          <cell r="N656" t="str">
            <v/>
          </cell>
          <cell r="O656" t="str">
            <v/>
          </cell>
          <cell r="P656" t="str">
            <v/>
          </cell>
          <cell r="Q656" t="str">
            <v/>
          </cell>
          <cell r="R656" t="str">
            <v/>
          </cell>
          <cell r="S656" t="str">
            <v/>
          </cell>
        </row>
        <row r="657">
          <cell r="G657" t="str">
            <v/>
          </cell>
          <cell r="H657" t="str">
            <v/>
          </cell>
          <cell r="I657" t="str">
            <v/>
          </cell>
          <cell r="J657" t="str">
            <v/>
          </cell>
          <cell r="K657" t="str">
            <v/>
          </cell>
          <cell r="L657" t="str">
            <v/>
          </cell>
          <cell r="M657" t="str">
            <v/>
          </cell>
          <cell r="N657" t="str">
            <v/>
          </cell>
          <cell r="O657" t="str">
            <v/>
          </cell>
          <cell r="P657" t="str">
            <v/>
          </cell>
          <cell r="Q657" t="str">
            <v/>
          </cell>
          <cell r="R657" t="str">
            <v/>
          </cell>
          <cell r="S657" t="str">
            <v/>
          </cell>
        </row>
        <row r="658">
          <cell r="G658" t="str">
            <v/>
          </cell>
          <cell r="H658" t="str">
            <v/>
          </cell>
          <cell r="I658" t="str">
            <v/>
          </cell>
          <cell r="J658" t="str">
            <v/>
          </cell>
          <cell r="K658" t="str">
            <v/>
          </cell>
          <cell r="L658" t="str">
            <v/>
          </cell>
          <cell r="M658" t="str">
            <v/>
          </cell>
          <cell r="N658" t="str">
            <v/>
          </cell>
          <cell r="O658" t="str">
            <v/>
          </cell>
          <cell r="P658" t="str">
            <v/>
          </cell>
          <cell r="Q658" t="str">
            <v/>
          </cell>
          <cell r="R658" t="str">
            <v/>
          </cell>
          <cell r="S658" t="str">
            <v/>
          </cell>
        </row>
        <row r="659">
          <cell r="G659" t="str">
            <v/>
          </cell>
          <cell r="H659" t="str">
            <v/>
          </cell>
          <cell r="I659" t="str">
            <v/>
          </cell>
          <cell r="J659" t="str">
            <v/>
          </cell>
          <cell r="K659" t="str">
            <v/>
          </cell>
          <cell r="L659" t="str">
            <v/>
          </cell>
          <cell r="M659" t="str">
            <v/>
          </cell>
          <cell r="N659" t="str">
            <v/>
          </cell>
          <cell r="O659" t="str">
            <v/>
          </cell>
          <cell r="P659" t="str">
            <v/>
          </cell>
          <cell r="Q659" t="str">
            <v/>
          </cell>
          <cell r="R659" t="str">
            <v/>
          </cell>
          <cell r="S659" t="str">
            <v/>
          </cell>
        </row>
        <row r="660">
          <cell r="G660" t="str">
            <v/>
          </cell>
          <cell r="H660" t="str">
            <v/>
          </cell>
          <cell r="I660" t="str">
            <v/>
          </cell>
          <cell r="J660" t="str">
            <v/>
          </cell>
          <cell r="K660" t="str">
            <v/>
          </cell>
          <cell r="L660" t="str">
            <v/>
          </cell>
          <cell r="M660" t="str">
            <v/>
          </cell>
          <cell r="N660" t="str">
            <v/>
          </cell>
          <cell r="O660" t="str">
            <v/>
          </cell>
          <cell r="P660" t="str">
            <v/>
          </cell>
          <cell r="Q660" t="str">
            <v/>
          </cell>
          <cell r="R660" t="str">
            <v/>
          </cell>
          <cell r="S660" t="str">
            <v/>
          </cell>
        </row>
        <row r="661">
          <cell r="G661" t="str">
            <v/>
          </cell>
          <cell r="H661" t="str">
            <v/>
          </cell>
          <cell r="I661" t="str">
            <v/>
          </cell>
          <cell r="J661" t="str">
            <v/>
          </cell>
          <cell r="K661" t="str">
            <v/>
          </cell>
          <cell r="L661" t="str">
            <v/>
          </cell>
          <cell r="M661" t="str">
            <v/>
          </cell>
          <cell r="N661" t="str">
            <v/>
          </cell>
          <cell r="O661" t="str">
            <v/>
          </cell>
          <cell r="P661" t="str">
            <v/>
          </cell>
          <cell r="Q661" t="str">
            <v/>
          </cell>
          <cell r="R661" t="str">
            <v/>
          </cell>
          <cell r="S661" t="str">
            <v/>
          </cell>
        </row>
        <row r="662">
          <cell r="G662" t="str">
            <v/>
          </cell>
          <cell r="H662" t="str">
            <v/>
          </cell>
          <cell r="I662" t="str">
            <v/>
          </cell>
          <cell r="J662" t="str">
            <v/>
          </cell>
          <cell r="K662" t="str">
            <v/>
          </cell>
          <cell r="L662" t="str">
            <v/>
          </cell>
          <cell r="M662" t="str">
            <v/>
          </cell>
          <cell r="N662" t="str">
            <v/>
          </cell>
          <cell r="O662" t="str">
            <v/>
          </cell>
          <cell r="P662" t="str">
            <v/>
          </cell>
          <cell r="Q662" t="str">
            <v/>
          </cell>
          <cell r="R662" t="str">
            <v/>
          </cell>
          <cell r="S662" t="str">
            <v/>
          </cell>
        </row>
        <row r="663">
          <cell r="G663" t="str">
            <v/>
          </cell>
          <cell r="H663" t="str">
            <v/>
          </cell>
          <cell r="I663" t="str">
            <v/>
          </cell>
          <cell r="J663" t="str">
            <v/>
          </cell>
          <cell r="K663" t="str">
            <v/>
          </cell>
          <cell r="L663" t="str">
            <v/>
          </cell>
          <cell r="M663" t="str">
            <v/>
          </cell>
          <cell r="N663" t="str">
            <v/>
          </cell>
          <cell r="O663" t="str">
            <v/>
          </cell>
          <cell r="P663" t="str">
            <v/>
          </cell>
          <cell r="Q663" t="str">
            <v/>
          </cell>
          <cell r="R663" t="str">
            <v/>
          </cell>
          <cell r="S663" t="str">
            <v/>
          </cell>
        </row>
        <row r="664">
          <cell r="G664" t="str">
            <v/>
          </cell>
          <cell r="H664" t="str">
            <v/>
          </cell>
          <cell r="I664" t="str">
            <v/>
          </cell>
          <cell r="J664" t="str">
            <v/>
          </cell>
          <cell r="K664" t="str">
            <v/>
          </cell>
          <cell r="L664" t="str">
            <v/>
          </cell>
          <cell r="M664" t="str">
            <v/>
          </cell>
          <cell r="N664" t="str">
            <v/>
          </cell>
          <cell r="O664" t="str">
            <v/>
          </cell>
          <cell r="P664" t="str">
            <v/>
          </cell>
          <cell r="Q664" t="str">
            <v/>
          </cell>
          <cell r="R664" t="str">
            <v/>
          </cell>
          <cell r="S664" t="str">
            <v/>
          </cell>
        </row>
        <row r="665">
          <cell r="G665" t="str">
            <v/>
          </cell>
          <cell r="H665" t="str">
            <v/>
          </cell>
          <cell r="I665" t="str">
            <v/>
          </cell>
          <cell r="J665" t="str">
            <v/>
          </cell>
          <cell r="K665" t="str">
            <v/>
          </cell>
          <cell r="L665" t="str">
            <v/>
          </cell>
          <cell r="M665" t="str">
            <v/>
          </cell>
          <cell r="N665" t="str">
            <v/>
          </cell>
          <cell r="O665" t="str">
            <v/>
          </cell>
          <cell r="P665" t="str">
            <v/>
          </cell>
          <cell r="Q665" t="str">
            <v/>
          </cell>
          <cell r="R665" t="str">
            <v/>
          </cell>
          <cell r="S665" t="str">
            <v/>
          </cell>
        </row>
        <row r="666">
          <cell r="G666" t="str">
            <v/>
          </cell>
          <cell r="H666" t="str">
            <v/>
          </cell>
          <cell r="I666" t="str">
            <v/>
          </cell>
          <cell r="J666" t="str">
            <v/>
          </cell>
          <cell r="K666" t="str">
            <v/>
          </cell>
          <cell r="L666" t="str">
            <v/>
          </cell>
          <cell r="M666" t="str">
            <v/>
          </cell>
          <cell r="N666" t="str">
            <v/>
          </cell>
          <cell r="O666" t="str">
            <v/>
          </cell>
          <cell r="P666" t="str">
            <v/>
          </cell>
          <cell r="Q666" t="str">
            <v/>
          </cell>
          <cell r="R666" t="str">
            <v/>
          </cell>
          <cell r="S666" t="str">
            <v/>
          </cell>
        </row>
        <row r="667">
          <cell r="G667" t="str">
            <v/>
          </cell>
          <cell r="H667" t="str">
            <v/>
          </cell>
          <cell r="I667" t="str">
            <v/>
          </cell>
          <cell r="J667" t="str">
            <v/>
          </cell>
          <cell r="K667" t="str">
            <v/>
          </cell>
          <cell r="L667" t="str">
            <v/>
          </cell>
          <cell r="M667" t="str">
            <v/>
          </cell>
          <cell r="N667" t="str">
            <v/>
          </cell>
          <cell r="O667" t="str">
            <v/>
          </cell>
          <cell r="P667" t="str">
            <v/>
          </cell>
          <cell r="Q667" t="str">
            <v/>
          </cell>
          <cell r="R667" t="str">
            <v/>
          </cell>
          <cell r="S667" t="str">
            <v/>
          </cell>
        </row>
        <row r="668">
          <cell r="G668" t="str">
            <v/>
          </cell>
          <cell r="H668" t="str">
            <v/>
          </cell>
          <cell r="I668" t="str">
            <v/>
          </cell>
          <cell r="J668" t="str">
            <v/>
          </cell>
          <cell r="K668" t="str">
            <v/>
          </cell>
          <cell r="L668" t="str">
            <v/>
          </cell>
          <cell r="M668" t="str">
            <v/>
          </cell>
          <cell r="N668" t="str">
            <v/>
          </cell>
          <cell r="O668" t="str">
            <v/>
          </cell>
          <cell r="P668" t="str">
            <v/>
          </cell>
          <cell r="Q668" t="str">
            <v/>
          </cell>
          <cell r="R668" t="str">
            <v/>
          </cell>
          <cell r="S668" t="str">
            <v/>
          </cell>
        </row>
        <row r="669">
          <cell r="G669" t="str">
            <v/>
          </cell>
          <cell r="H669" t="str">
            <v/>
          </cell>
          <cell r="I669" t="str">
            <v/>
          </cell>
          <cell r="J669" t="str">
            <v/>
          </cell>
          <cell r="K669" t="str">
            <v/>
          </cell>
          <cell r="L669" t="str">
            <v/>
          </cell>
          <cell r="M669" t="str">
            <v/>
          </cell>
          <cell r="N669" t="str">
            <v/>
          </cell>
          <cell r="O669" t="str">
            <v/>
          </cell>
          <cell r="P669" t="str">
            <v/>
          </cell>
          <cell r="Q669" t="str">
            <v/>
          </cell>
          <cell r="R669" t="str">
            <v/>
          </cell>
          <cell r="S669" t="str">
            <v/>
          </cell>
        </row>
        <row r="670">
          <cell r="G670" t="str">
            <v/>
          </cell>
          <cell r="H670" t="str">
            <v/>
          </cell>
          <cell r="I670" t="str">
            <v/>
          </cell>
          <cell r="J670" t="str">
            <v/>
          </cell>
          <cell r="K670" t="str">
            <v/>
          </cell>
          <cell r="L670" t="str">
            <v/>
          </cell>
          <cell r="M670" t="str">
            <v/>
          </cell>
          <cell r="N670" t="str">
            <v/>
          </cell>
          <cell r="O670" t="str">
            <v/>
          </cell>
          <cell r="P670" t="str">
            <v/>
          </cell>
          <cell r="Q670" t="str">
            <v/>
          </cell>
          <cell r="R670" t="str">
            <v/>
          </cell>
          <cell r="S670" t="str">
            <v/>
          </cell>
        </row>
        <row r="671">
          <cell r="G671" t="str">
            <v/>
          </cell>
          <cell r="H671" t="str">
            <v/>
          </cell>
          <cell r="I671" t="str">
            <v/>
          </cell>
          <cell r="J671" t="str">
            <v/>
          </cell>
          <cell r="K671" t="str">
            <v/>
          </cell>
          <cell r="L671" t="str">
            <v/>
          </cell>
          <cell r="M671" t="str">
            <v/>
          </cell>
          <cell r="N671" t="str">
            <v/>
          </cell>
          <cell r="O671" t="str">
            <v/>
          </cell>
          <cell r="P671" t="str">
            <v/>
          </cell>
          <cell r="Q671" t="str">
            <v/>
          </cell>
          <cell r="R671" t="str">
            <v/>
          </cell>
          <cell r="S671" t="str">
            <v/>
          </cell>
        </row>
        <row r="672">
          <cell r="G672" t="str">
            <v/>
          </cell>
          <cell r="H672" t="str">
            <v/>
          </cell>
          <cell r="I672" t="str">
            <v/>
          </cell>
          <cell r="J672" t="str">
            <v/>
          </cell>
          <cell r="K672" t="str">
            <v/>
          </cell>
          <cell r="L672" t="str">
            <v/>
          </cell>
          <cell r="M672" t="str">
            <v/>
          </cell>
          <cell r="N672" t="str">
            <v/>
          </cell>
          <cell r="O672" t="str">
            <v/>
          </cell>
          <cell r="P672" t="str">
            <v/>
          </cell>
          <cell r="Q672" t="str">
            <v/>
          </cell>
          <cell r="R672" t="str">
            <v/>
          </cell>
          <cell r="S672" t="str">
            <v/>
          </cell>
        </row>
        <row r="673">
          <cell r="G673" t="str">
            <v/>
          </cell>
          <cell r="H673" t="str">
            <v/>
          </cell>
          <cell r="I673" t="str">
            <v/>
          </cell>
          <cell r="J673" t="str">
            <v/>
          </cell>
          <cell r="K673" t="str">
            <v/>
          </cell>
          <cell r="L673" t="str">
            <v/>
          </cell>
          <cell r="M673" t="str">
            <v/>
          </cell>
          <cell r="N673" t="str">
            <v/>
          </cell>
          <cell r="O673" t="str">
            <v/>
          </cell>
          <cell r="P673" t="str">
            <v/>
          </cell>
          <cell r="Q673" t="str">
            <v/>
          </cell>
          <cell r="R673" t="str">
            <v/>
          </cell>
          <cell r="S673" t="str">
            <v/>
          </cell>
        </row>
        <row r="674">
          <cell r="G674" t="str">
            <v/>
          </cell>
          <cell r="H674" t="str">
            <v/>
          </cell>
          <cell r="I674" t="str">
            <v/>
          </cell>
          <cell r="J674" t="str">
            <v/>
          </cell>
          <cell r="K674" t="str">
            <v/>
          </cell>
          <cell r="L674" t="str">
            <v/>
          </cell>
          <cell r="M674" t="str">
            <v/>
          </cell>
          <cell r="N674" t="str">
            <v/>
          </cell>
          <cell r="O674" t="str">
            <v/>
          </cell>
          <cell r="P674" t="str">
            <v/>
          </cell>
          <cell r="Q674" t="str">
            <v/>
          </cell>
          <cell r="R674" t="str">
            <v/>
          </cell>
          <cell r="S674" t="str">
            <v/>
          </cell>
        </row>
        <row r="675">
          <cell r="G675" t="str">
            <v/>
          </cell>
          <cell r="H675" t="str">
            <v/>
          </cell>
          <cell r="I675" t="str">
            <v/>
          </cell>
          <cell r="J675" t="str">
            <v/>
          </cell>
          <cell r="K675" t="str">
            <v/>
          </cell>
          <cell r="L675" t="str">
            <v/>
          </cell>
          <cell r="M675" t="str">
            <v/>
          </cell>
          <cell r="N675" t="str">
            <v/>
          </cell>
          <cell r="O675" t="str">
            <v/>
          </cell>
          <cell r="P675" t="str">
            <v/>
          </cell>
          <cell r="Q675" t="str">
            <v/>
          </cell>
          <cell r="R675" t="str">
            <v/>
          </cell>
          <cell r="S675" t="str">
            <v/>
          </cell>
        </row>
        <row r="676">
          <cell r="G676" t="str">
            <v/>
          </cell>
          <cell r="H676" t="str">
            <v/>
          </cell>
          <cell r="I676" t="str">
            <v/>
          </cell>
          <cell r="J676" t="str">
            <v/>
          </cell>
          <cell r="K676" t="str">
            <v/>
          </cell>
          <cell r="L676" t="str">
            <v/>
          </cell>
          <cell r="M676" t="str">
            <v/>
          </cell>
          <cell r="N676" t="str">
            <v/>
          </cell>
          <cell r="O676" t="str">
            <v/>
          </cell>
          <cell r="P676" t="str">
            <v/>
          </cell>
          <cell r="Q676" t="str">
            <v/>
          </cell>
          <cell r="R676" t="str">
            <v/>
          </cell>
          <cell r="S676" t="str">
            <v/>
          </cell>
        </row>
        <row r="677">
          <cell r="G677" t="str">
            <v/>
          </cell>
          <cell r="H677" t="str">
            <v/>
          </cell>
          <cell r="I677" t="str">
            <v/>
          </cell>
          <cell r="J677" t="str">
            <v/>
          </cell>
          <cell r="K677" t="str">
            <v/>
          </cell>
          <cell r="L677" t="str">
            <v/>
          </cell>
          <cell r="M677" t="str">
            <v/>
          </cell>
          <cell r="N677" t="str">
            <v/>
          </cell>
          <cell r="O677" t="str">
            <v/>
          </cell>
          <cell r="P677" t="str">
            <v/>
          </cell>
          <cell r="Q677" t="str">
            <v/>
          </cell>
          <cell r="R677" t="str">
            <v/>
          </cell>
          <cell r="S677" t="str">
            <v/>
          </cell>
        </row>
        <row r="678">
          <cell r="G678" t="str">
            <v/>
          </cell>
          <cell r="H678" t="str">
            <v/>
          </cell>
          <cell r="I678" t="str">
            <v/>
          </cell>
          <cell r="J678" t="str">
            <v/>
          </cell>
          <cell r="K678" t="str">
            <v/>
          </cell>
          <cell r="L678" t="str">
            <v/>
          </cell>
          <cell r="M678" t="str">
            <v/>
          </cell>
          <cell r="N678" t="str">
            <v/>
          </cell>
          <cell r="O678" t="str">
            <v/>
          </cell>
          <cell r="P678" t="str">
            <v/>
          </cell>
          <cell r="Q678" t="str">
            <v/>
          </cell>
          <cell r="R678" t="str">
            <v/>
          </cell>
          <cell r="S678" t="str">
            <v/>
          </cell>
        </row>
        <row r="679">
          <cell r="G679" t="str">
            <v/>
          </cell>
          <cell r="H679" t="str">
            <v/>
          </cell>
          <cell r="I679" t="str">
            <v/>
          </cell>
          <cell r="J679" t="str">
            <v/>
          </cell>
          <cell r="K679" t="str">
            <v/>
          </cell>
          <cell r="L679" t="str">
            <v/>
          </cell>
          <cell r="M679" t="str">
            <v/>
          </cell>
          <cell r="N679" t="str">
            <v/>
          </cell>
          <cell r="O679" t="str">
            <v/>
          </cell>
          <cell r="P679" t="str">
            <v/>
          </cell>
          <cell r="Q679" t="str">
            <v/>
          </cell>
          <cell r="R679" t="str">
            <v/>
          </cell>
          <cell r="S679" t="str">
            <v/>
          </cell>
        </row>
        <row r="680">
          <cell r="G680" t="str">
            <v/>
          </cell>
          <cell r="H680" t="str">
            <v/>
          </cell>
          <cell r="I680" t="str">
            <v/>
          </cell>
          <cell r="J680" t="str">
            <v/>
          </cell>
          <cell r="K680" t="str">
            <v/>
          </cell>
          <cell r="L680" t="str">
            <v/>
          </cell>
          <cell r="M680" t="str">
            <v/>
          </cell>
          <cell r="N680" t="str">
            <v/>
          </cell>
          <cell r="O680" t="str">
            <v/>
          </cell>
          <cell r="P680" t="str">
            <v/>
          </cell>
          <cell r="Q680" t="str">
            <v/>
          </cell>
          <cell r="R680" t="str">
            <v/>
          </cell>
          <cell r="S680" t="str">
            <v/>
          </cell>
        </row>
        <row r="681">
          <cell r="G681" t="str">
            <v/>
          </cell>
          <cell r="H681" t="str">
            <v/>
          </cell>
          <cell r="I681" t="str">
            <v/>
          </cell>
          <cell r="J681" t="str">
            <v/>
          </cell>
          <cell r="K681" t="str">
            <v/>
          </cell>
          <cell r="L681" t="str">
            <v/>
          </cell>
          <cell r="M681" t="str">
            <v/>
          </cell>
          <cell r="N681" t="str">
            <v/>
          </cell>
          <cell r="O681" t="str">
            <v/>
          </cell>
          <cell r="P681" t="str">
            <v/>
          </cell>
          <cell r="Q681" t="str">
            <v/>
          </cell>
          <cell r="R681" t="str">
            <v/>
          </cell>
          <cell r="S681" t="str">
            <v/>
          </cell>
        </row>
        <row r="682">
          <cell r="G682" t="str">
            <v/>
          </cell>
          <cell r="H682" t="str">
            <v/>
          </cell>
          <cell r="I682" t="str">
            <v/>
          </cell>
          <cell r="J682" t="str">
            <v/>
          </cell>
          <cell r="K682" t="str">
            <v/>
          </cell>
          <cell r="L682" t="str">
            <v/>
          </cell>
          <cell r="M682" t="str">
            <v/>
          </cell>
          <cell r="N682" t="str">
            <v/>
          </cell>
          <cell r="O682" t="str">
            <v/>
          </cell>
          <cell r="P682" t="str">
            <v/>
          </cell>
          <cell r="Q682" t="str">
            <v/>
          </cell>
          <cell r="R682" t="str">
            <v/>
          </cell>
          <cell r="S682" t="str">
            <v/>
          </cell>
        </row>
        <row r="683">
          <cell r="G683" t="str">
            <v/>
          </cell>
          <cell r="H683" t="str">
            <v/>
          </cell>
          <cell r="I683" t="str">
            <v/>
          </cell>
          <cell r="J683" t="str">
            <v/>
          </cell>
          <cell r="K683" t="str">
            <v/>
          </cell>
          <cell r="L683" t="str">
            <v/>
          </cell>
          <cell r="M683" t="str">
            <v/>
          </cell>
          <cell r="N683" t="str">
            <v/>
          </cell>
          <cell r="O683" t="str">
            <v/>
          </cell>
          <cell r="P683" t="str">
            <v/>
          </cell>
          <cell r="Q683" t="str">
            <v/>
          </cell>
          <cell r="R683" t="str">
            <v/>
          </cell>
          <cell r="S683" t="str">
            <v/>
          </cell>
        </row>
        <row r="684">
          <cell r="G684" t="str">
            <v/>
          </cell>
          <cell r="H684" t="str">
            <v/>
          </cell>
          <cell r="I684" t="str">
            <v/>
          </cell>
          <cell r="J684" t="str">
            <v/>
          </cell>
          <cell r="K684" t="str">
            <v/>
          </cell>
          <cell r="L684" t="str">
            <v/>
          </cell>
          <cell r="M684" t="str">
            <v/>
          </cell>
          <cell r="N684" t="str">
            <v/>
          </cell>
          <cell r="O684" t="str">
            <v/>
          </cell>
          <cell r="P684" t="str">
            <v/>
          </cell>
          <cell r="Q684" t="str">
            <v/>
          </cell>
          <cell r="R684" t="str">
            <v/>
          </cell>
          <cell r="S684" t="str">
            <v/>
          </cell>
        </row>
        <row r="685">
          <cell r="G685" t="str">
            <v/>
          </cell>
          <cell r="H685" t="str">
            <v/>
          </cell>
          <cell r="I685" t="str">
            <v/>
          </cell>
          <cell r="J685" t="str">
            <v/>
          </cell>
          <cell r="K685" t="str">
            <v/>
          </cell>
          <cell r="L685" t="str">
            <v/>
          </cell>
          <cell r="M685" t="str">
            <v/>
          </cell>
          <cell r="N685" t="str">
            <v/>
          </cell>
          <cell r="O685" t="str">
            <v/>
          </cell>
          <cell r="P685" t="str">
            <v/>
          </cell>
          <cell r="Q685" t="str">
            <v/>
          </cell>
          <cell r="R685" t="str">
            <v/>
          </cell>
          <cell r="S685" t="str">
            <v/>
          </cell>
        </row>
        <row r="686">
          <cell r="G686" t="str">
            <v/>
          </cell>
          <cell r="H686" t="str">
            <v/>
          </cell>
          <cell r="I686" t="str">
            <v/>
          </cell>
          <cell r="J686" t="str">
            <v/>
          </cell>
          <cell r="K686" t="str">
            <v/>
          </cell>
          <cell r="L686" t="str">
            <v/>
          </cell>
          <cell r="M686" t="str">
            <v/>
          </cell>
          <cell r="N686" t="str">
            <v/>
          </cell>
          <cell r="O686" t="str">
            <v/>
          </cell>
          <cell r="P686" t="str">
            <v/>
          </cell>
          <cell r="Q686" t="str">
            <v/>
          </cell>
          <cell r="R686" t="str">
            <v/>
          </cell>
          <cell r="S686" t="str">
            <v/>
          </cell>
        </row>
        <row r="687">
          <cell r="G687" t="str">
            <v/>
          </cell>
          <cell r="H687" t="str">
            <v/>
          </cell>
          <cell r="I687" t="str">
            <v/>
          </cell>
          <cell r="J687" t="str">
            <v/>
          </cell>
          <cell r="K687" t="str">
            <v/>
          </cell>
          <cell r="L687" t="str">
            <v/>
          </cell>
          <cell r="M687" t="str">
            <v/>
          </cell>
          <cell r="N687" t="str">
            <v/>
          </cell>
          <cell r="O687" t="str">
            <v/>
          </cell>
          <cell r="P687" t="str">
            <v/>
          </cell>
          <cell r="Q687" t="str">
            <v/>
          </cell>
          <cell r="R687" t="str">
            <v/>
          </cell>
          <cell r="S687" t="str">
            <v/>
          </cell>
        </row>
        <row r="688">
          <cell r="G688" t="str">
            <v/>
          </cell>
          <cell r="H688" t="str">
            <v/>
          </cell>
          <cell r="I688" t="str">
            <v/>
          </cell>
          <cell r="J688" t="str">
            <v/>
          </cell>
          <cell r="K688" t="str">
            <v/>
          </cell>
          <cell r="L688" t="str">
            <v/>
          </cell>
          <cell r="M688" t="str">
            <v/>
          </cell>
          <cell r="N688" t="str">
            <v/>
          </cell>
          <cell r="O688" t="str">
            <v/>
          </cell>
          <cell r="P688" t="str">
            <v/>
          </cell>
          <cell r="Q688" t="str">
            <v/>
          </cell>
          <cell r="R688" t="str">
            <v/>
          </cell>
          <cell r="S688" t="str">
            <v/>
          </cell>
        </row>
        <row r="689">
          <cell r="G689" t="str">
            <v/>
          </cell>
          <cell r="H689" t="str">
            <v/>
          </cell>
          <cell r="I689" t="str">
            <v/>
          </cell>
          <cell r="J689" t="str">
            <v/>
          </cell>
          <cell r="K689" t="str">
            <v/>
          </cell>
          <cell r="L689" t="str">
            <v/>
          </cell>
          <cell r="M689" t="str">
            <v/>
          </cell>
          <cell r="N689" t="str">
            <v/>
          </cell>
          <cell r="O689" t="str">
            <v/>
          </cell>
          <cell r="P689" t="str">
            <v/>
          </cell>
          <cell r="Q689" t="str">
            <v/>
          </cell>
          <cell r="R689" t="str">
            <v/>
          </cell>
          <cell r="S689" t="str">
            <v/>
          </cell>
        </row>
        <row r="690">
          <cell r="G690" t="str">
            <v/>
          </cell>
          <cell r="H690" t="str">
            <v/>
          </cell>
          <cell r="I690" t="str">
            <v/>
          </cell>
          <cell r="J690" t="str">
            <v/>
          </cell>
          <cell r="K690" t="str">
            <v/>
          </cell>
          <cell r="L690" t="str">
            <v/>
          </cell>
          <cell r="M690" t="str">
            <v/>
          </cell>
          <cell r="N690" t="str">
            <v/>
          </cell>
          <cell r="O690" t="str">
            <v/>
          </cell>
          <cell r="P690" t="str">
            <v/>
          </cell>
          <cell r="Q690" t="str">
            <v/>
          </cell>
          <cell r="R690" t="str">
            <v/>
          </cell>
          <cell r="S690" t="str">
            <v/>
          </cell>
        </row>
        <row r="691">
          <cell r="G691" t="str">
            <v/>
          </cell>
          <cell r="H691" t="str">
            <v/>
          </cell>
          <cell r="I691" t="str">
            <v/>
          </cell>
          <cell r="J691" t="str">
            <v/>
          </cell>
          <cell r="K691" t="str">
            <v/>
          </cell>
          <cell r="L691" t="str">
            <v/>
          </cell>
          <cell r="M691" t="str">
            <v/>
          </cell>
          <cell r="N691" t="str">
            <v/>
          </cell>
          <cell r="O691" t="str">
            <v/>
          </cell>
          <cell r="P691" t="str">
            <v/>
          </cell>
          <cell r="Q691" t="str">
            <v/>
          </cell>
          <cell r="R691" t="str">
            <v/>
          </cell>
          <cell r="S691" t="str">
            <v/>
          </cell>
        </row>
        <row r="692">
          <cell r="G692" t="str">
            <v/>
          </cell>
          <cell r="H692" t="str">
            <v/>
          </cell>
          <cell r="I692" t="str">
            <v/>
          </cell>
          <cell r="J692" t="str">
            <v/>
          </cell>
          <cell r="K692" t="str">
            <v/>
          </cell>
          <cell r="L692" t="str">
            <v/>
          </cell>
          <cell r="M692" t="str">
            <v/>
          </cell>
          <cell r="N692" t="str">
            <v/>
          </cell>
          <cell r="O692" t="str">
            <v/>
          </cell>
          <cell r="P692" t="str">
            <v/>
          </cell>
          <cell r="Q692" t="str">
            <v/>
          </cell>
          <cell r="R692" t="str">
            <v/>
          </cell>
          <cell r="S692" t="str">
            <v/>
          </cell>
        </row>
        <row r="693">
          <cell r="G693" t="str">
            <v/>
          </cell>
          <cell r="H693" t="str">
            <v/>
          </cell>
          <cell r="I693" t="str">
            <v/>
          </cell>
          <cell r="J693" t="str">
            <v/>
          </cell>
          <cell r="K693" t="str">
            <v/>
          </cell>
          <cell r="L693" t="str">
            <v/>
          </cell>
          <cell r="M693" t="str">
            <v/>
          </cell>
          <cell r="N693" t="str">
            <v/>
          </cell>
          <cell r="O693" t="str">
            <v/>
          </cell>
          <cell r="P693" t="str">
            <v/>
          </cell>
          <cell r="Q693" t="str">
            <v/>
          </cell>
          <cell r="R693" t="str">
            <v/>
          </cell>
          <cell r="S693" t="str">
            <v/>
          </cell>
        </row>
        <row r="694">
          <cell r="G694" t="str">
            <v/>
          </cell>
          <cell r="H694" t="str">
            <v/>
          </cell>
          <cell r="I694" t="str">
            <v/>
          </cell>
          <cell r="J694" t="str">
            <v/>
          </cell>
          <cell r="K694" t="str">
            <v/>
          </cell>
          <cell r="L694" t="str">
            <v/>
          </cell>
          <cell r="M694" t="str">
            <v/>
          </cell>
          <cell r="N694" t="str">
            <v/>
          </cell>
          <cell r="O694" t="str">
            <v/>
          </cell>
          <cell r="P694" t="str">
            <v/>
          </cell>
          <cell r="Q694" t="str">
            <v/>
          </cell>
          <cell r="R694" t="str">
            <v/>
          </cell>
          <cell r="S694" t="str">
            <v/>
          </cell>
        </row>
        <row r="695">
          <cell r="G695" t="str">
            <v/>
          </cell>
          <cell r="H695" t="str">
            <v/>
          </cell>
          <cell r="I695" t="str">
            <v/>
          </cell>
          <cell r="J695" t="str">
            <v/>
          </cell>
          <cell r="K695" t="str">
            <v/>
          </cell>
          <cell r="L695" t="str">
            <v/>
          </cell>
          <cell r="M695" t="str">
            <v/>
          </cell>
          <cell r="N695" t="str">
            <v/>
          </cell>
          <cell r="O695" t="str">
            <v/>
          </cell>
          <cell r="P695" t="str">
            <v/>
          </cell>
          <cell r="Q695" t="str">
            <v/>
          </cell>
          <cell r="R695" t="str">
            <v/>
          </cell>
          <cell r="S695" t="str">
            <v/>
          </cell>
        </row>
        <row r="696">
          <cell r="G696" t="str">
            <v/>
          </cell>
          <cell r="H696" t="str">
            <v/>
          </cell>
          <cell r="I696" t="str">
            <v/>
          </cell>
          <cell r="J696" t="str">
            <v/>
          </cell>
          <cell r="K696" t="str">
            <v/>
          </cell>
          <cell r="L696" t="str">
            <v/>
          </cell>
          <cell r="M696" t="str">
            <v/>
          </cell>
          <cell r="N696" t="str">
            <v/>
          </cell>
          <cell r="O696" t="str">
            <v/>
          </cell>
          <cell r="P696" t="str">
            <v/>
          </cell>
          <cell r="Q696" t="str">
            <v/>
          </cell>
          <cell r="R696" t="str">
            <v/>
          </cell>
          <cell r="S696" t="str">
            <v/>
          </cell>
        </row>
        <row r="697">
          <cell r="G697" t="str">
            <v/>
          </cell>
          <cell r="H697" t="str">
            <v/>
          </cell>
          <cell r="I697" t="str">
            <v/>
          </cell>
          <cell r="J697" t="str">
            <v/>
          </cell>
          <cell r="K697" t="str">
            <v/>
          </cell>
          <cell r="L697" t="str">
            <v/>
          </cell>
          <cell r="M697" t="str">
            <v/>
          </cell>
          <cell r="N697" t="str">
            <v/>
          </cell>
          <cell r="O697" t="str">
            <v/>
          </cell>
          <cell r="P697" t="str">
            <v/>
          </cell>
          <cell r="Q697" t="str">
            <v/>
          </cell>
          <cell r="R697" t="str">
            <v/>
          </cell>
          <cell r="S697" t="str">
            <v/>
          </cell>
        </row>
        <row r="698">
          <cell r="G698" t="str">
            <v/>
          </cell>
          <cell r="H698" t="str">
            <v/>
          </cell>
          <cell r="I698" t="str">
            <v/>
          </cell>
          <cell r="J698" t="str">
            <v/>
          </cell>
          <cell r="K698" t="str">
            <v/>
          </cell>
          <cell r="L698" t="str">
            <v/>
          </cell>
          <cell r="M698" t="str">
            <v/>
          </cell>
          <cell r="N698" t="str">
            <v/>
          </cell>
          <cell r="O698" t="str">
            <v/>
          </cell>
          <cell r="P698" t="str">
            <v/>
          </cell>
          <cell r="Q698" t="str">
            <v/>
          </cell>
          <cell r="R698" t="str">
            <v/>
          </cell>
          <cell r="S698" t="str">
            <v/>
          </cell>
        </row>
        <row r="699">
          <cell r="G699" t="str">
            <v/>
          </cell>
          <cell r="H699" t="str">
            <v/>
          </cell>
          <cell r="I699" t="str">
            <v/>
          </cell>
          <cell r="J699" t="str">
            <v/>
          </cell>
          <cell r="K699" t="str">
            <v/>
          </cell>
          <cell r="L699" t="str">
            <v/>
          </cell>
          <cell r="M699" t="str">
            <v/>
          </cell>
          <cell r="N699" t="str">
            <v/>
          </cell>
          <cell r="O699" t="str">
            <v/>
          </cell>
          <cell r="P699" t="str">
            <v/>
          </cell>
          <cell r="Q699" t="str">
            <v/>
          </cell>
          <cell r="R699" t="str">
            <v/>
          </cell>
          <cell r="S699" t="str">
            <v/>
          </cell>
        </row>
        <row r="700">
          <cell r="G700" t="str">
            <v/>
          </cell>
          <cell r="H700" t="str">
            <v/>
          </cell>
          <cell r="I700" t="str">
            <v/>
          </cell>
          <cell r="J700" t="str">
            <v/>
          </cell>
          <cell r="K700" t="str">
            <v/>
          </cell>
          <cell r="L700" t="str">
            <v/>
          </cell>
          <cell r="M700" t="str">
            <v/>
          </cell>
          <cell r="N700" t="str">
            <v/>
          </cell>
          <cell r="O700" t="str">
            <v/>
          </cell>
          <cell r="P700" t="str">
            <v/>
          </cell>
          <cell r="Q700" t="str">
            <v/>
          </cell>
          <cell r="R700" t="str">
            <v/>
          </cell>
          <cell r="S700" t="str">
            <v/>
          </cell>
        </row>
        <row r="701">
          <cell r="G701" t="str">
            <v/>
          </cell>
          <cell r="H701" t="str">
            <v/>
          </cell>
          <cell r="I701" t="str">
            <v/>
          </cell>
          <cell r="J701" t="str">
            <v/>
          </cell>
          <cell r="K701" t="str">
            <v/>
          </cell>
          <cell r="L701" t="str">
            <v/>
          </cell>
          <cell r="M701" t="str">
            <v/>
          </cell>
          <cell r="N701" t="str">
            <v/>
          </cell>
          <cell r="O701" t="str">
            <v/>
          </cell>
          <cell r="P701" t="str">
            <v/>
          </cell>
          <cell r="Q701" t="str">
            <v/>
          </cell>
          <cell r="R701" t="str">
            <v/>
          </cell>
          <cell r="S701" t="str">
            <v/>
          </cell>
        </row>
        <row r="702">
          <cell r="G702" t="str">
            <v/>
          </cell>
          <cell r="H702" t="str">
            <v/>
          </cell>
          <cell r="I702" t="str">
            <v/>
          </cell>
          <cell r="J702" t="str">
            <v/>
          </cell>
          <cell r="K702" t="str">
            <v/>
          </cell>
          <cell r="L702" t="str">
            <v/>
          </cell>
          <cell r="M702" t="str">
            <v/>
          </cell>
          <cell r="N702" t="str">
            <v/>
          </cell>
          <cell r="O702" t="str">
            <v/>
          </cell>
          <cell r="P702" t="str">
            <v/>
          </cell>
          <cell r="Q702" t="str">
            <v/>
          </cell>
          <cell r="R702" t="str">
            <v/>
          </cell>
          <cell r="S702" t="str">
            <v/>
          </cell>
        </row>
        <row r="703">
          <cell r="G703" t="str">
            <v/>
          </cell>
          <cell r="H703" t="str">
            <v/>
          </cell>
          <cell r="I703" t="str">
            <v/>
          </cell>
          <cell r="J703" t="str">
            <v/>
          </cell>
          <cell r="K703" t="str">
            <v/>
          </cell>
          <cell r="L703" t="str">
            <v/>
          </cell>
          <cell r="M703" t="str">
            <v/>
          </cell>
          <cell r="N703" t="str">
            <v/>
          </cell>
          <cell r="O703" t="str">
            <v/>
          </cell>
          <cell r="P703" t="str">
            <v/>
          </cell>
          <cell r="Q703" t="str">
            <v/>
          </cell>
          <cell r="R703" t="str">
            <v/>
          </cell>
          <cell r="S703" t="str">
            <v/>
          </cell>
        </row>
        <row r="704">
          <cell r="G704" t="str">
            <v/>
          </cell>
          <cell r="H704" t="str">
            <v/>
          </cell>
          <cell r="I704" t="str">
            <v/>
          </cell>
          <cell r="J704" t="str">
            <v/>
          </cell>
          <cell r="K704" t="str">
            <v/>
          </cell>
          <cell r="L704" t="str">
            <v/>
          </cell>
          <cell r="M704" t="str">
            <v/>
          </cell>
          <cell r="N704" t="str">
            <v/>
          </cell>
          <cell r="O704" t="str">
            <v/>
          </cell>
          <cell r="P704" t="str">
            <v/>
          </cell>
          <cell r="Q704" t="str">
            <v/>
          </cell>
          <cell r="R704" t="str">
            <v/>
          </cell>
          <cell r="S704" t="str">
            <v/>
          </cell>
        </row>
        <row r="705">
          <cell r="G705" t="str">
            <v/>
          </cell>
          <cell r="H705" t="str">
            <v/>
          </cell>
          <cell r="I705" t="str">
            <v/>
          </cell>
          <cell r="J705" t="str">
            <v/>
          </cell>
          <cell r="K705" t="str">
            <v/>
          </cell>
          <cell r="L705" t="str">
            <v/>
          </cell>
          <cell r="M705" t="str">
            <v/>
          </cell>
          <cell r="N705" t="str">
            <v/>
          </cell>
          <cell r="O705" t="str">
            <v/>
          </cell>
          <cell r="P705" t="str">
            <v/>
          </cell>
          <cell r="Q705" t="str">
            <v/>
          </cell>
          <cell r="R705" t="str">
            <v/>
          </cell>
          <cell r="S705" t="str">
            <v/>
          </cell>
        </row>
        <row r="706">
          <cell r="G706" t="str">
            <v/>
          </cell>
          <cell r="H706" t="str">
            <v/>
          </cell>
          <cell r="I706" t="str">
            <v/>
          </cell>
          <cell r="J706" t="str">
            <v/>
          </cell>
          <cell r="K706" t="str">
            <v/>
          </cell>
          <cell r="L706" t="str">
            <v/>
          </cell>
          <cell r="M706" t="str">
            <v/>
          </cell>
          <cell r="N706" t="str">
            <v/>
          </cell>
          <cell r="O706" t="str">
            <v/>
          </cell>
          <cell r="P706" t="str">
            <v/>
          </cell>
          <cell r="Q706" t="str">
            <v/>
          </cell>
          <cell r="R706" t="str">
            <v/>
          </cell>
          <cell r="S706" t="str">
            <v/>
          </cell>
        </row>
        <row r="707">
          <cell r="G707" t="str">
            <v/>
          </cell>
          <cell r="H707" t="str">
            <v/>
          </cell>
          <cell r="I707" t="str">
            <v/>
          </cell>
          <cell r="J707" t="str">
            <v/>
          </cell>
          <cell r="K707" t="str">
            <v/>
          </cell>
          <cell r="L707" t="str">
            <v/>
          </cell>
          <cell r="M707" t="str">
            <v/>
          </cell>
          <cell r="N707" t="str">
            <v/>
          </cell>
          <cell r="O707" t="str">
            <v/>
          </cell>
          <cell r="P707" t="str">
            <v/>
          </cell>
          <cell r="Q707" t="str">
            <v/>
          </cell>
          <cell r="R707" t="str">
            <v/>
          </cell>
          <cell r="S707" t="str">
            <v/>
          </cell>
        </row>
        <row r="708">
          <cell r="G708" t="str">
            <v/>
          </cell>
          <cell r="H708" t="str">
            <v/>
          </cell>
          <cell r="I708" t="str">
            <v/>
          </cell>
          <cell r="J708" t="str">
            <v/>
          </cell>
          <cell r="K708" t="str">
            <v/>
          </cell>
          <cell r="L708" t="str">
            <v/>
          </cell>
          <cell r="M708" t="str">
            <v/>
          </cell>
          <cell r="N708" t="str">
            <v/>
          </cell>
          <cell r="O708" t="str">
            <v/>
          </cell>
          <cell r="P708" t="str">
            <v/>
          </cell>
          <cell r="Q708" t="str">
            <v/>
          </cell>
          <cell r="R708" t="str">
            <v/>
          </cell>
          <cell r="S708" t="str">
            <v/>
          </cell>
        </row>
        <row r="709">
          <cell r="G709" t="str">
            <v/>
          </cell>
          <cell r="H709" t="str">
            <v/>
          </cell>
          <cell r="I709" t="str">
            <v/>
          </cell>
          <cell r="J709" t="str">
            <v/>
          </cell>
          <cell r="K709" t="str">
            <v/>
          </cell>
          <cell r="L709" t="str">
            <v/>
          </cell>
          <cell r="M709" t="str">
            <v/>
          </cell>
          <cell r="N709" t="str">
            <v/>
          </cell>
          <cell r="O709" t="str">
            <v/>
          </cell>
          <cell r="P709" t="str">
            <v/>
          </cell>
          <cell r="Q709" t="str">
            <v/>
          </cell>
          <cell r="R709" t="str">
            <v/>
          </cell>
          <cell r="S709" t="str">
            <v/>
          </cell>
        </row>
        <row r="710">
          <cell r="G710" t="str">
            <v/>
          </cell>
          <cell r="H710" t="str">
            <v/>
          </cell>
          <cell r="I710" t="str">
            <v/>
          </cell>
          <cell r="J710" t="str">
            <v/>
          </cell>
          <cell r="K710" t="str">
            <v/>
          </cell>
          <cell r="L710" t="str">
            <v/>
          </cell>
          <cell r="M710" t="str">
            <v/>
          </cell>
          <cell r="N710" t="str">
            <v/>
          </cell>
          <cell r="O710" t="str">
            <v/>
          </cell>
          <cell r="P710" t="str">
            <v/>
          </cell>
          <cell r="Q710" t="str">
            <v/>
          </cell>
          <cell r="R710" t="str">
            <v/>
          </cell>
          <cell r="S710" t="str">
            <v/>
          </cell>
        </row>
        <row r="711">
          <cell r="G711" t="str">
            <v/>
          </cell>
          <cell r="H711" t="str">
            <v/>
          </cell>
          <cell r="I711" t="str">
            <v/>
          </cell>
          <cell r="J711" t="str">
            <v/>
          </cell>
          <cell r="K711" t="str">
            <v/>
          </cell>
          <cell r="L711" t="str">
            <v/>
          </cell>
          <cell r="M711" t="str">
            <v/>
          </cell>
          <cell r="N711" t="str">
            <v/>
          </cell>
          <cell r="O711" t="str">
            <v/>
          </cell>
          <cell r="P711" t="str">
            <v/>
          </cell>
          <cell r="Q711" t="str">
            <v/>
          </cell>
          <cell r="R711" t="str">
            <v/>
          </cell>
          <cell r="S711" t="str">
            <v/>
          </cell>
        </row>
        <row r="712">
          <cell r="G712" t="str">
            <v/>
          </cell>
          <cell r="H712" t="str">
            <v/>
          </cell>
          <cell r="I712" t="str">
            <v/>
          </cell>
          <cell r="J712" t="str">
            <v/>
          </cell>
          <cell r="K712" t="str">
            <v/>
          </cell>
          <cell r="L712" t="str">
            <v/>
          </cell>
          <cell r="M712" t="str">
            <v/>
          </cell>
          <cell r="N712" t="str">
            <v/>
          </cell>
          <cell r="O712" t="str">
            <v/>
          </cell>
          <cell r="P712" t="str">
            <v/>
          </cell>
          <cell r="Q712" t="str">
            <v/>
          </cell>
          <cell r="R712" t="str">
            <v/>
          </cell>
          <cell r="S712" t="str">
            <v/>
          </cell>
        </row>
        <row r="713">
          <cell r="G713" t="str">
            <v/>
          </cell>
          <cell r="H713" t="str">
            <v/>
          </cell>
          <cell r="I713" t="str">
            <v/>
          </cell>
          <cell r="J713" t="str">
            <v/>
          </cell>
          <cell r="K713" t="str">
            <v/>
          </cell>
          <cell r="L713" t="str">
            <v/>
          </cell>
          <cell r="M713" t="str">
            <v/>
          </cell>
          <cell r="N713" t="str">
            <v/>
          </cell>
          <cell r="O713" t="str">
            <v/>
          </cell>
          <cell r="P713" t="str">
            <v/>
          </cell>
          <cell r="Q713" t="str">
            <v/>
          </cell>
          <cell r="R713" t="str">
            <v/>
          </cell>
          <cell r="S713" t="str">
            <v/>
          </cell>
        </row>
        <row r="714">
          <cell r="G714" t="str">
            <v/>
          </cell>
          <cell r="H714" t="str">
            <v/>
          </cell>
          <cell r="I714" t="str">
            <v/>
          </cell>
          <cell r="J714" t="str">
            <v/>
          </cell>
          <cell r="K714" t="str">
            <v/>
          </cell>
          <cell r="L714" t="str">
            <v/>
          </cell>
          <cell r="M714" t="str">
            <v/>
          </cell>
          <cell r="N714" t="str">
            <v/>
          </cell>
          <cell r="O714" t="str">
            <v/>
          </cell>
          <cell r="P714" t="str">
            <v/>
          </cell>
          <cell r="Q714" t="str">
            <v/>
          </cell>
          <cell r="R714" t="str">
            <v/>
          </cell>
          <cell r="S714" t="str">
            <v/>
          </cell>
        </row>
        <row r="715">
          <cell r="G715" t="str">
            <v/>
          </cell>
          <cell r="H715" t="str">
            <v/>
          </cell>
          <cell r="I715" t="str">
            <v/>
          </cell>
          <cell r="J715" t="str">
            <v/>
          </cell>
          <cell r="K715" t="str">
            <v/>
          </cell>
          <cell r="L715" t="str">
            <v/>
          </cell>
          <cell r="M715" t="str">
            <v/>
          </cell>
          <cell r="N715" t="str">
            <v/>
          </cell>
          <cell r="O715" t="str">
            <v/>
          </cell>
          <cell r="P715" t="str">
            <v/>
          </cell>
          <cell r="Q715" t="str">
            <v/>
          </cell>
          <cell r="R715" t="str">
            <v/>
          </cell>
          <cell r="S715" t="str">
            <v/>
          </cell>
        </row>
        <row r="716">
          <cell r="G716" t="str">
            <v/>
          </cell>
          <cell r="H716" t="str">
            <v/>
          </cell>
          <cell r="I716" t="str">
            <v/>
          </cell>
          <cell r="J716" t="str">
            <v/>
          </cell>
          <cell r="K716" t="str">
            <v/>
          </cell>
          <cell r="L716" t="str">
            <v/>
          </cell>
          <cell r="M716" t="str">
            <v/>
          </cell>
          <cell r="N716" t="str">
            <v/>
          </cell>
          <cell r="O716" t="str">
            <v/>
          </cell>
          <cell r="P716" t="str">
            <v/>
          </cell>
          <cell r="Q716" t="str">
            <v/>
          </cell>
          <cell r="R716" t="str">
            <v/>
          </cell>
          <cell r="S716" t="str">
            <v/>
          </cell>
        </row>
        <row r="717">
          <cell r="G717" t="str">
            <v/>
          </cell>
          <cell r="H717" t="str">
            <v/>
          </cell>
          <cell r="I717" t="str">
            <v/>
          </cell>
          <cell r="J717" t="str">
            <v/>
          </cell>
          <cell r="K717" t="str">
            <v/>
          </cell>
          <cell r="L717" t="str">
            <v/>
          </cell>
          <cell r="M717" t="str">
            <v/>
          </cell>
          <cell r="N717" t="str">
            <v/>
          </cell>
          <cell r="O717" t="str">
            <v/>
          </cell>
          <cell r="P717" t="str">
            <v/>
          </cell>
          <cell r="Q717" t="str">
            <v/>
          </cell>
          <cell r="R717" t="str">
            <v/>
          </cell>
          <cell r="S717" t="str">
            <v/>
          </cell>
        </row>
        <row r="718">
          <cell r="G718" t="str">
            <v/>
          </cell>
          <cell r="H718" t="str">
            <v/>
          </cell>
          <cell r="I718" t="str">
            <v/>
          </cell>
          <cell r="J718" t="str">
            <v/>
          </cell>
          <cell r="K718" t="str">
            <v/>
          </cell>
          <cell r="L718" t="str">
            <v/>
          </cell>
          <cell r="M718" t="str">
            <v/>
          </cell>
          <cell r="N718" t="str">
            <v/>
          </cell>
          <cell r="O718" t="str">
            <v/>
          </cell>
          <cell r="P718" t="str">
            <v/>
          </cell>
          <cell r="Q718" t="str">
            <v/>
          </cell>
          <cell r="R718" t="str">
            <v/>
          </cell>
          <cell r="S718" t="str">
            <v/>
          </cell>
        </row>
        <row r="719">
          <cell r="G719" t="str">
            <v/>
          </cell>
          <cell r="H719" t="str">
            <v/>
          </cell>
          <cell r="I719" t="str">
            <v/>
          </cell>
          <cell r="J719" t="str">
            <v/>
          </cell>
          <cell r="K719" t="str">
            <v/>
          </cell>
          <cell r="L719" t="str">
            <v/>
          </cell>
          <cell r="M719" t="str">
            <v/>
          </cell>
          <cell r="N719" t="str">
            <v/>
          </cell>
          <cell r="O719" t="str">
            <v/>
          </cell>
          <cell r="P719" t="str">
            <v/>
          </cell>
          <cell r="Q719" t="str">
            <v/>
          </cell>
          <cell r="R719" t="str">
            <v/>
          </cell>
          <cell r="S719" t="str">
            <v/>
          </cell>
        </row>
        <row r="720">
          <cell r="G720" t="str">
            <v/>
          </cell>
          <cell r="H720" t="str">
            <v/>
          </cell>
          <cell r="I720" t="str">
            <v/>
          </cell>
          <cell r="J720" t="str">
            <v/>
          </cell>
          <cell r="K720" t="str">
            <v/>
          </cell>
          <cell r="L720" t="str">
            <v/>
          </cell>
          <cell r="M720" t="str">
            <v/>
          </cell>
          <cell r="N720" t="str">
            <v/>
          </cell>
          <cell r="O720" t="str">
            <v/>
          </cell>
          <cell r="P720" t="str">
            <v/>
          </cell>
          <cell r="Q720" t="str">
            <v/>
          </cell>
          <cell r="R720" t="str">
            <v/>
          </cell>
          <cell r="S720" t="str">
            <v/>
          </cell>
        </row>
        <row r="721">
          <cell r="G721" t="str">
            <v/>
          </cell>
          <cell r="H721" t="str">
            <v/>
          </cell>
          <cell r="I721" t="str">
            <v/>
          </cell>
          <cell r="J721" t="str">
            <v/>
          </cell>
          <cell r="K721" t="str">
            <v/>
          </cell>
          <cell r="L721" t="str">
            <v/>
          </cell>
          <cell r="M721" t="str">
            <v/>
          </cell>
          <cell r="N721" t="str">
            <v/>
          </cell>
          <cell r="O721" t="str">
            <v/>
          </cell>
          <cell r="P721" t="str">
            <v/>
          </cell>
          <cell r="Q721" t="str">
            <v/>
          </cell>
          <cell r="R721" t="str">
            <v/>
          </cell>
          <cell r="S721" t="str">
            <v/>
          </cell>
        </row>
        <row r="722">
          <cell r="G722" t="str">
            <v/>
          </cell>
          <cell r="H722" t="str">
            <v/>
          </cell>
          <cell r="I722" t="str">
            <v/>
          </cell>
          <cell r="J722" t="str">
            <v/>
          </cell>
          <cell r="K722" t="str">
            <v/>
          </cell>
          <cell r="L722" t="str">
            <v/>
          </cell>
          <cell r="M722" t="str">
            <v/>
          </cell>
          <cell r="N722" t="str">
            <v/>
          </cell>
          <cell r="O722" t="str">
            <v/>
          </cell>
          <cell r="P722" t="str">
            <v/>
          </cell>
          <cell r="Q722" t="str">
            <v/>
          </cell>
          <cell r="R722" t="str">
            <v/>
          </cell>
          <cell r="S722" t="str">
            <v/>
          </cell>
        </row>
        <row r="723">
          <cell r="G723" t="str">
            <v/>
          </cell>
          <cell r="H723" t="str">
            <v/>
          </cell>
          <cell r="I723" t="str">
            <v/>
          </cell>
          <cell r="J723" t="str">
            <v/>
          </cell>
          <cell r="K723" t="str">
            <v/>
          </cell>
          <cell r="L723" t="str">
            <v/>
          </cell>
          <cell r="M723" t="str">
            <v/>
          </cell>
          <cell r="N723" t="str">
            <v/>
          </cell>
          <cell r="O723" t="str">
            <v/>
          </cell>
          <cell r="P723" t="str">
            <v/>
          </cell>
          <cell r="Q723" t="str">
            <v/>
          </cell>
          <cell r="R723" t="str">
            <v/>
          </cell>
          <cell r="S723" t="str">
            <v/>
          </cell>
        </row>
        <row r="724">
          <cell r="G724" t="str">
            <v/>
          </cell>
          <cell r="H724" t="str">
            <v/>
          </cell>
          <cell r="I724" t="str">
            <v/>
          </cell>
          <cell r="J724" t="str">
            <v/>
          </cell>
          <cell r="K724" t="str">
            <v/>
          </cell>
          <cell r="L724" t="str">
            <v/>
          </cell>
          <cell r="M724" t="str">
            <v/>
          </cell>
          <cell r="N724" t="str">
            <v/>
          </cell>
          <cell r="O724" t="str">
            <v/>
          </cell>
          <cell r="P724" t="str">
            <v/>
          </cell>
          <cell r="Q724" t="str">
            <v/>
          </cell>
          <cell r="R724" t="str">
            <v/>
          </cell>
          <cell r="S724" t="str">
            <v/>
          </cell>
        </row>
        <row r="725">
          <cell r="G725" t="str">
            <v/>
          </cell>
          <cell r="H725" t="str">
            <v/>
          </cell>
          <cell r="I725" t="str">
            <v/>
          </cell>
          <cell r="J725" t="str">
            <v/>
          </cell>
          <cell r="K725" t="str">
            <v/>
          </cell>
          <cell r="L725" t="str">
            <v/>
          </cell>
          <cell r="M725" t="str">
            <v/>
          </cell>
          <cell r="N725" t="str">
            <v/>
          </cell>
          <cell r="O725" t="str">
            <v/>
          </cell>
          <cell r="P725" t="str">
            <v/>
          </cell>
          <cell r="Q725" t="str">
            <v/>
          </cell>
          <cell r="R725" t="str">
            <v/>
          </cell>
          <cell r="S725" t="str">
            <v/>
          </cell>
        </row>
        <row r="726">
          <cell r="G726" t="str">
            <v/>
          </cell>
          <cell r="H726" t="str">
            <v/>
          </cell>
          <cell r="I726" t="str">
            <v/>
          </cell>
          <cell r="J726" t="str">
            <v/>
          </cell>
          <cell r="K726" t="str">
            <v/>
          </cell>
          <cell r="L726" t="str">
            <v/>
          </cell>
          <cell r="M726" t="str">
            <v/>
          </cell>
          <cell r="N726" t="str">
            <v/>
          </cell>
          <cell r="O726" t="str">
            <v/>
          </cell>
          <cell r="P726" t="str">
            <v/>
          </cell>
          <cell r="Q726" t="str">
            <v/>
          </cell>
          <cell r="R726" t="str">
            <v/>
          </cell>
          <cell r="S726" t="str">
            <v/>
          </cell>
        </row>
        <row r="727">
          <cell r="G727" t="str">
            <v/>
          </cell>
          <cell r="H727" t="str">
            <v/>
          </cell>
          <cell r="I727" t="str">
            <v/>
          </cell>
          <cell r="J727" t="str">
            <v/>
          </cell>
          <cell r="K727" t="str">
            <v/>
          </cell>
          <cell r="L727" t="str">
            <v/>
          </cell>
          <cell r="M727" t="str">
            <v/>
          </cell>
          <cell r="N727" t="str">
            <v/>
          </cell>
          <cell r="O727" t="str">
            <v/>
          </cell>
          <cell r="P727" t="str">
            <v/>
          </cell>
          <cell r="Q727" t="str">
            <v/>
          </cell>
          <cell r="R727" t="str">
            <v/>
          </cell>
          <cell r="S727" t="str">
            <v/>
          </cell>
        </row>
        <row r="728">
          <cell r="G728" t="str">
            <v/>
          </cell>
          <cell r="H728" t="str">
            <v/>
          </cell>
          <cell r="I728" t="str">
            <v/>
          </cell>
          <cell r="J728" t="str">
            <v/>
          </cell>
          <cell r="K728" t="str">
            <v/>
          </cell>
          <cell r="L728" t="str">
            <v/>
          </cell>
          <cell r="M728" t="str">
            <v/>
          </cell>
          <cell r="N728" t="str">
            <v/>
          </cell>
          <cell r="O728" t="str">
            <v/>
          </cell>
          <cell r="P728" t="str">
            <v/>
          </cell>
          <cell r="Q728" t="str">
            <v/>
          </cell>
          <cell r="R728" t="str">
            <v/>
          </cell>
          <cell r="S728" t="str">
            <v/>
          </cell>
        </row>
        <row r="729">
          <cell r="G729" t="str">
            <v/>
          </cell>
          <cell r="H729" t="str">
            <v/>
          </cell>
          <cell r="I729" t="str">
            <v/>
          </cell>
          <cell r="J729" t="str">
            <v/>
          </cell>
          <cell r="K729" t="str">
            <v/>
          </cell>
          <cell r="L729" t="str">
            <v/>
          </cell>
          <cell r="M729" t="str">
            <v/>
          </cell>
          <cell r="N729" t="str">
            <v/>
          </cell>
          <cell r="O729" t="str">
            <v/>
          </cell>
          <cell r="P729" t="str">
            <v/>
          </cell>
          <cell r="Q729" t="str">
            <v/>
          </cell>
          <cell r="R729" t="str">
            <v/>
          </cell>
          <cell r="S729" t="str">
            <v/>
          </cell>
        </row>
        <row r="730">
          <cell r="G730" t="str">
            <v/>
          </cell>
          <cell r="H730" t="str">
            <v/>
          </cell>
          <cell r="I730" t="str">
            <v/>
          </cell>
          <cell r="J730" t="str">
            <v/>
          </cell>
          <cell r="K730" t="str">
            <v/>
          </cell>
          <cell r="L730" t="str">
            <v/>
          </cell>
          <cell r="M730" t="str">
            <v/>
          </cell>
          <cell r="N730" t="str">
            <v/>
          </cell>
          <cell r="O730" t="str">
            <v/>
          </cell>
          <cell r="P730" t="str">
            <v/>
          </cell>
          <cell r="Q730" t="str">
            <v/>
          </cell>
          <cell r="R730" t="str">
            <v/>
          </cell>
          <cell r="S730" t="str">
            <v/>
          </cell>
        </row>
        <row r="731">
          <cell r="G731" t="str">
            <v/>
          </cell>
          <cell r="H731" t="str">
            <v/>
          </cell>
          <cell r="I731" t="str">
            <v/>
          </cell>
          <cell r="J731" t="str">
            <v/>
          </cell>
          <cell r="K731" t="str">
            <v/>
          </cell>
          <cell r="L731" t="str">
            <v/>
          </cell>
          <cell r="M731" t="str">
            <v/>
          </cell>
          <cell r="N731" t="str">
            <v/>
          </cell>
          <cell r="O731" t="str">
            <v/>
          </cell>
          <cell r="P731" t="str">
            <v/>
          </cell>
          <cell r="Q731" t="str">
            <v/>
          </cell>
          <cell r="R731" t="str">
            <v/>
          </cell>
          <cell r="S731" t="str">
            <v/>
          </cell>
        </row>
        <row r="732">
          <cell r="G732" t="str">
            <v/>
          </cell>
          <cell r="H732" t="str">
            <v/>
          </cell>
          <cell r="I732" t="str">
            <v/>
          </cell>
          <cell r="J732" t="str">
            <v/>
          </cell>
          <cell r="K732" t="str">
            <v/>
          </cell>
          <cell r="L732" t="str">
            <v/>
          </cell>
          <cell r="M732" t="str">
            <v/>
          </cell>
          <cell r="N732" t="str">
            <v/>
          </cell>
          <cell r="O732" t="str">
            <v/>
          </cell>
          <cell r="P732" t="str">
            <v/>
          </cell>
          <cell r="Q732" t="str">
            <v/>
          </cell>
          <cell r="R732" t="str">
            <v/>
          </cell>
          <cell r="S732" t="str">
            <v/>
          </cell>
        </row>
        <row r="733">
          <cell r="G733" t="str">
            <v/>
          </cell>
          <cell r="H733" t="str">
            <v/>
          </cell>
          <cell r="I733" t="str">
            <v/>
          </cell>
          <cell r="J733" t="str">
            <v/>
          </cell>
          <cell r="K733" t="str">
            <v/>
          </cell>
          <cell r="L733" t="str">
            <v/>
          </cell>
          <cell r="M733" t="str">
            <v/>
          </cell>
          <cell r="N733" t="str">
            <v/>
          </cell>
          <cell r="O733" t="str">
            <v/>
          </cell>
          <cell r="P733" t="str">
            <v/>
          </cell>
          <cell r="Q733" t="str">
            <v/>
          </cell>
          <cell r="R733" t="str">
            <v/>
          </cell>
          <cell r="S733" t="str">
            <v/>
          </cell>
        </row>
        <row r="734">
          <cell r="G734" t="str">
            <v/>
          </cell>
          <cell r="H734" t="str">
            <v/>
          </cell>
          <cell r="I734" t="str">
            <v/>
          </cell>
          <cell r="J734" t="str">
            <v/>
          </cell>
          <cell r="K734" t="str">
            <v/>
          </cell>
          <cell r="L734" t="str">
            <v/>
          </cell>
          <cell r="M734" t="str">
            <v/>
          </cell>
          <cell r="N734" t="str">
            <v/>
          </cell>
          <cell r="O734" t="str">
            <v/>
          </cell>
          <cell r="P734" t="str">
            <v/>
          </cell>
          <cell r="Q734" t="str">
            <v/>
          </cell>
          <cell r="R734" t="str">
            <v/>
          </cell>
          <cell r="S734" t="str">
            <v/>
          </cell>
        </row>
        <row r="735">
          <cell r="G735" t="str">
            <v/>
          </cell>
          <cell r="H735" t="str">
            <v/>
          </cell>
          <cell r="I735" t="str">
            <v/>
          </cell>
          <cell r="J735" t="str">
            <v/>
          </cell>
          <cell r="K735" t="str">
            <v/>
          </cell>
          <cell r="L735" t="str">
            <v/>
          </cell>
          <cell r="M735" t="str">
            <v/>
          </cell>
          <cell r="N735" t="str">
            <v/>
          </cell>
          <cell r="O735" t="str">
            <v/>
          </cell>
          <cell r="P735" t="str">
            <v/>
          </cell>
          <cell r="Q735" t="str">
            <v/>
          </cell>
          <cell r="R735" t="str">
            <v/>
          </cell>
          <cell r="S735" t="str">
            <v/>
          </cell>
        </row>
        <row r="736">
          <cell r="G736" t="str">
            <v/>
          </cell>
          <cell r="H736" t="str">
            <v/>
          </cell>
          <cell r="I736" t="str">
            <v/>
          </cell>
          <cell r="J736" t="str">
            <v/>
          </cell>
          <cell r="K736" t="str">
            <v/>
          </cell>
          <cell r="L736" t="str">
            <v/>
          </cell>
          <cell r="M736" t="str">
            <v/>
          </cell>
          <cell r="N736" t="str">
            <v/>
          </cell>
          <cell r="O736" t="str">
            <v/>
          </cell>
          <cell r="P736" t="str">
            <v/>
          </cell>
          <cell r="Q736" t="str">
            <v/>
          </cell>
          <cell r="R736" t="str">
            <v/>
          </cell>
          <cell r="S736" t="str">
            <v/>
          </cell>
        </row>
        <row r="737">
          <cell r="G737" t="str">
            <v/>
          </cell>
          <cell r="H737" t="str">
            <v/>
          </cell>
          <cell r="I737" t="str">
            <v/>
          </cell>
          <cell r="J737" t="str">
            <v/>
          </cell>
          <cell r="K737" t="str">
            <v/>
          </cell>
          <cell r="L737" t="str">
            <v/>
          </cell>
          <cell r="M737" t="str">
            <v/>
          </cell>
          <cell r="N737" t="str">
            <v/>
          </cell>
          <cell r="O737" t="str">
            <v/>
          </cell>
          <cell r="P737" t="str">
            <v/>
          </cell>
          <cell r="Q737" t="str">
            <v/>
          </cell>
          <cell r="R737" t="str">
            <v/>
          </cell>
          <cell r="S737" t="str">
            <v/>
          </cell>
        </row>
        <row r="738">
          <cell r="G738" t="str">
            <v/>
          </cell>
          <cell r="H738" t="str">
            <v/>
          </cell>
          <cell r="I738" t="str">
            <v/>
          </cell>
          <cell r="J738" t="str">
            <v/>
          </cell>
          <cell r="K738" t="str">
            <v/>
          </cell>
          <cell r="L738" t="str">
            <v/>
          </cell>
          <cell r="M738" t="str">
            <v/>
          </cell>
          <cell r="N738" t="str">
            <v/>
          </cell>
          <cell r="O738" t="str">
            <v/>
          </cell>
          <cell r="P738" t="str">
            <v/>
          </cell>
          <cell r="Q738" t="str">
            <v/>
          </cell>
          <cell r="R738" t="str">
            <v/>
          </cell>
          <cell r="S738" t="str">
            <v/>
          </cell>
        </row>
        <row r="739">
          <cell r="G739" t="str">
            <v/>
          </cell>
          <cell r="H739" t="str">
            <v/>
          </cell>
          <cell r="I739" t="str">
            <v/>
          </cell>
          <cell r="J739" t="str">
            <v/>
          </cell>
          <cell r="K739" t="str">
            <v/>
          </cell>
          <cell r="L739" t="str">
            <v/>
          </cell>
          <cell r="M739" t="str">
            <v/>
          </cell>
          <cell r="N739" t="str">
            <v/>
          </cell>
          <cell r="O739" t="str">
            <v/>
          </cell>
          <cell r="P739" t="str">
            <v/>
          </cell>
          <cell r="Q739" t="str">
            <v/>
          </cell>
          <cell r="R739" t="str">
            <v/>
          </cell>
          <cell r="S739" t="str">
            <v/>
          </cell>
        </row>
        <row r="740">
          <cell r="G740" t="str">
            <v/>
          </cell>
          <cell r="H740" t="str">
            <v/>
          </cell>
          <cell r="I740" t="str">
            <v/>
          </cell>
          <cell r="J740" t="str">
            <v/>
          </cell>
          <cell r="K740" t="str">
            <v/>
          </cell>
          <cell r="L740" t="str">
            <v/>
          </cell>
          <cell r="M740" t="str">
            <v/>
          </cell>
          <cell r="N740" t="str">
            <v/>
          </cell>
          <cell r="O740" t="str">
            <v/>
          </cell>
          <cell r="P740" t="str">
            <v/>
          </cell>
          <cell r="Q740" t="str">
            <v/>
          </cell>
          <cell r="R740" t="str">
            <v/>
          </cell>
          <cell r="S740" t="str">
            <v/>
          </cell>
        </row>
        <row r="741">
          <cell r="G741" t="str">
            <v/>
          </cell>
          <cell r="H741" t="str">
            <v/>
          </cell>
          <cell r="I741" t="str">
            <v/>
          </cell>
          <cell r="J741" t="str">
            <v/>
          </cell>
          <cell r="K741" t="str">
            <v/>
          </cell>
          <cell r="L741" t="str">
            <v/>
          </cell>
          <cell r="M741" t="str">
            <v/>
          </cell>
          <cell r="N741" t="str">
            <v/>
          </cell>
          <cell r="O741" t="str">
            <v/>
          </cell>
          <cell r="P741" t="str">
            <v/>
          </cell>
          <cell r="Q741" t="str">
            <v/>
          </cell>
          <cell r="R741" t="str">
            <v/>
          </cell>
          <cell r="S741" t="str">
            <v/>
          </cell>
        </row>
        <row r="742">
          <cell r="G742" t="str">
            <v/>
          </cell>
          <cell r="H742" t="str">
            <v/>
          </cell>
          <cell r="I742" t="str">
            <v/>
          </cell>
          <cell r="J742" t="str">
            <v/>
          </cell>
          <cell r="K742" t="str">
            <v/>
          </cell>
          <cell r="L742" t="str">
            <v/>
          </cell>
          <cell r="M742" t="str">
            <v/>
          </cell>
          <cell r="N742" t="str">
            <v/>
          </cell>
          <cell r="O742" t="str">
            <v/>
          </cell>
          <cell r="P742" t="str">
            <v/>
          </cell>
          <cell r="Q742" t="str">
            <v/>
          </cell>
          <cell r="R742" t="str">
            <v/>
          </cell>
          <cell r="S742" t="str">
            <v/>
          </cell>
        </row>
        <row r="743">
          <cell r="G743" t="str">
            <v/>
          </cell>
          <cell r="H743" t="str">
            <v/>
          </cell>
          <cell r="I743" t="str">
            <v/>
          </cell>
          <cell r="J743" t="str">
            <v/>
          </cell>
          <cell r="K743" t="str">
            <v/>
          </cell>
          <cell r="L743" t="str">
            <v/>
          </cell>
          <cell r="M743" t="str">
            <v/>
          </cell>
          <cell r="N743" t="str">
            <v/>
          </cell>
          <cell r="O743" t="str">
            <v/>
          </cell>
          <cell r="P743" t="str">
            <v/>
          </cell>
          <cell r="Q743" t="str">
            <v/>
          </cell>
          <cell r="R743" t="str">
            <v/>
          </cell>
          <cell r="S743" t="str">
            <v/>
          </cell>
        </row>
        <row r="744">
          <cell r="G744" t="str">
            <v/>
          </cell>
          <cell r="H744" t="str">
            <v/>
          </cell>
          <cell r="I744" t="str">
            <v/>
          </cell>
          <cell r="J744" t="str">
            <v/>
          </cell>
          <cell r="K744" t="str">
            <v/>
          </cell>
          <cell r="L744" t="str">
            <v/>
          </cell>
          <cell r="M744" t="str">
            <v/>
          </cell>
          <cell r="N744" t="str">
            <v/>
          </cell>
          <cell r="O744" t="str">
            <v/>
          </cell>
          <cell r="P744" t="str">
            <v/>
          </cell>
          <cell r="Q744" t="str">
            <v/>
          </cell>
          <cell r="R744" t="str">
            <v/>
          </cell>
          <cell r="S744" t="str">
            <v/>
          </cell>
        </row>
        <row r="745">
          <cell r="G745" t="str">
            <v/>
          </cell>
          <cell r="H745" t="str">
            <v/>
          </cell>
          <cell r="I745" t="str">
            <v/>
          </cell>
          <cell r="J745" t="str">
            <v/>
          </cell>
          <cell r="K745" t="str">
            <v/>
          </cell>
          <cell r="L745" t="str">
            <v/>
          </cell>
          <cell r="M745" t="str">
            <v/>
          </cell>
          <cell r="N745" t="str">
            <v/>
          </cell>
          <cell r="O745" t="str">
            <v/>
          </cell>
          <cell r="P745" t="str">
            <v/>
          </cell>
          <cell r="Q745" t="str">
            <v/>
          </cell>
          <cell r="R745" t="str">
            <v/>
          </cell>
          <cell r="S745" t="str">
            <v/>
          </cell>
        </row>
        <row r="746">
          <cell r="G746" t="str">
            <v/>
          </cell>
          <cell r="H746" t="str">
            <v/>
          </cell>
          <cell r="I746" t="str">
            <v/>
          </cell>
          <cell r="J746" t="str">
            <v/>
          </cell>
          <cell r="K746" t="str">
            <v/>
          </cell>
          <cell r="L746" t="str">
            <v/>
          </cell>
          <cell r="M746" t="str">
            <v/>
          </cell>
          <cell r="N746" t="str">
            <v/>
          </cell>
          <cell r="O746" t="str">
            <v/>
          </cell>
          <cell r="P746" t="str">
            <v/>
          </cell>
          <cell r="Q746" t="str">
            <v/>
          </cell>
          <cell r="R746" t="str">
            <v/>
          </cell>
          <cell r="S746" t="str">
            <v/>
          </cell>
        </row>
        <row r="747">
          <cell r="G747" t="str">
            <v/>
          </cell>
          <cell r="H747" t="str">
            <v/>
          </cell>
          <cell r="I747" t="str">
            <v/>
          </cell>
          <cell r="J747" t="str">
            <v/>
          </cell>
          <cell r="K747" t="str">
            <v/>
          </cell>
          <cell r="L747" t="str">
            <v/>
          </cell>
          <cell r="M747" t="str">
            <v/>
          </cell>
          <cell r="N747" t="str">
            <v/>
          </cell>
          <cell r="O747" t="str">
            <v/>
          </cell>
          <cell r="P747" t="str">
            <v/>
          </cell>
          <cell r="Q747" t="str">
            <v/>
          </cell>
          <cell r="R747" t="str">
            <v/>
          </cell>
          <cell r="S747" t="str">
            <v/>
          </cell>
        </row>
        <row r="748">
          <cell r="G748" t="str">
            <v/>
          </cell>
          <cell r="H748" t="str">
            <v/>
          </cell>
          <cell r="I748" t="str">
            <v/>
          </cell>
          <cell r="J748" t="str">
            <v/>
          </cell>
          <cell r="K748" t="str">
            <v/>
          </cell>
          <cell r="L748" t="str">
            <v/>
          </cell>
          <cell r="M748" t="str">
            <v/>
          </cell>
          <cell r="N748" t="str">
            <v/>
          </cell>
          <cell r="O748" t="str">
            <v/>
          </cell>
          <cell r="P748" t="str">
            <v/>
          </cell>
          <cell r="Q748" t="str">
            <v/>
          </cell>
          <cell r="R748" t="str">
            <v/>
          </cell>
          <cell r="S748" t="str">
            <v/>
          </cell>
        </row>
        <row r="749">
          <cell r="G749" t="str">
            <v/>
          </cell>
          <cell r="H749" t="str">
            <v/>
          </cell>
          <cell r="I749" t="str">
            <v/>
          </cell>
          <cell r="J749" t="str">
            <v/>
          </cell>
          <cell r="K749" t="str">
            <v/>
          </cell>
          <cell r="L749" t="str">
            <v/>
          </cell>
          <cell r="M749" t="str">
            <v/>
          </cell>
          <cell r="N749" t="str">
            <v/>
          </cell>
          <cell r="O749" t="str">
            <v/>
          </cell>
          <cell r="P749" t="str">
            <v/>
          </cell>
          <cell r="Q749" t="str">
            <v/>
          </cell>
          <cell r="R749" t="str">
            <v/>
          </cell>
          <cell r="S749" t="str">
            <v/>
          </cell>
        </row>
        <row r="750">
          <cell r="G750" t="str">
            <v/>
          </cell>
          <cell r="H750" t="str">
            <v/>
          </cell>
          <cell r="I750" t="str">
            <v/>
          </cell>
          <cell r="J750" t="str">
            <v/>
          </cell>
          <cell r="K750" t="str">
            <v/>
          </cell>
          <cell r="L750" t="str">
            <v/>
          </cell>
          <cell r="M750" t="str">
            <v/>
          </cell>
          <cell r="N750" t="str">
            <v/>
          </cell>
          <cell r="O750" t="str">
            <v/>
          </cell>
          <cell r="P750" t="str">
            <v/>
          </cell>
          <cell r="Q750" t="str">
            <v/>
          </cell>
          <cell r="R750" t="str">
            <v/>
          </cell>
          <cell r="S750" t="str">
            <v/>
          </cell>
        </row>
        <row r="751">
          <cell r="G751" t="str">
            <v/>
          </cell>
          <cell r="H751" t="str">
            <v/>
          </cell>
          <cell r="I751" t="str">
            <v/>
          </cell>
          <cell r="J751" t="str">
            <v/>
          </cell>
          <cell r="K751" t="str">
            <v/>
          </cell>
          <cell r="L751" t="str">
            <v/>
          </cell>
          <cell r="M751" t="str">
            <v/>
          </cell>
          <cell r="N751" t="str">
            <v/>
          </cell>
          <cell r="O751" t="str">
            <v/>
          </cell>
          <cell r="P751" t="str">
            <v/>
          </cell>
          <cell r="Q751" t="str">
            <v/>
          </cell>
          <cell r="R751" t="str">
            <v/>
          </cell>
          <cell r="S751" t="str">
            <v/>
          </cell>
        </row>
        <row r="752">
          <cell r="G752" t="str">
            <v/>
          </cell>
          <cell r="H752" t="str">
            <v/>
          </cell>
          <cell r="I752" t="str">
            <v/>
          </cell>
          <cell r="J752" t="str">
            <v/>
          </cell>
          <cell r="K752" t="str">
            <v/>
          </cell>
          <cell r="L752" t="str">
            <v/>
          </cell>
          <cell r="M752" t="str">
            <v/>
          </cell>
          <cell r="N752" t="str">
            <v/>
          </cell>
          <cell r="O752" t="str">
            <v/>
          </cell>
          <cell r="P752" t="str">
            <v/>
          </cell>
          <cell r="Q752" t="str">
            <v/>
          </cell>
          <cell r="R752" t="str">
            <v/>
          </cell>
          <cell r="S752" t="str">
            <v/>
          </cell>
        </row>
        <row r="753">
          <cell r="G753" t="str">
            <v/>
          </cell>
          <cell r="H753" t="str">
            <v/>
          </cell>
          <cell r="I753" t="str">
            <v/>
          </cell>
          <cell r="J753" t="str">
            <v/>
          </cell>
          <cell r="K753" t="str">
            <v/>
          </cell>
          <cell r="L753" t="str">
            <v/>
          </cell>
          <cell r="M753" t="str">
            <v/>
          </cell>
          <cell r="N753" t="str">
            <v/>
          </cell>
          <cell r="O753" t="str">
            <v/>
          </cell>
          <cell r="P753" t="str">
            <v/>
          </cell>
          <cell r="Q753" t="str">
            <v/>
          </cell>
          <cell r="R753" t="str">
            <v/>
          </cell>
          <cell r="S753" t="str">
            <v/>
          </cell>
        </row>
        <row r="754">
          <cell r="G754" t="str">
            <v/>
          </cell>
          <cell r="H754" t="str">
            <v/>
          </cell>
          <cell r="I754" t="str">
            <v/>
          </cell>
          <cell r="J754" t="str">
            <v/>
          </cell>
          <cell r="K754" t="str">
            <v/>
          </cell>
          <cell r="L754" t="str">
            <v/>
          </cell>
          <cell r="M754" t="str">
            <v/>
          </cell>
          <cell r="N754" t="str">
            <v/>
          </cell>
          <cell r="O754" t="str">
            <v/>
          </cell>
          <cell r="P754" t="str">
            <v/>
          </cell>
          <cell r="Q754" t="str">
            <v/>
          </cell>
          <cell r="R754" t="str">
            <v/>
          </cell>
          <cell r="S754" t="str">
            <v/>
          </cell>
        </row>
        <row r="755">
          <cell r="G755" t="str">
            <v/>
          </cell>
          <cell r="H755" t="str">
            <v/>
          </cell>
          <cell r="I755" t="str">
            <v/>
          </cell>
          <cell r="J755" t="str">
            <v/>
          </cell>
          <cell r="K755" t="str">
            <v/>
          </cell>
          <cell r="L755" t="str">
            <v/>
          </cell>
          <cell r="M755" t="str">
            <v/>
          </cell>
          <cell r="N755" t="str">
            <v/>
          </cell>
          <cell r="O755" t="str">
            <v/>
          </cell>
          <cell r="P755" t="str">
            <v/>
          </cell>
          <cell r="Q755" t="str">
            <v/>
          </cell>
          <cell r="R755" t="str">
            <v/>
          </cell>
          <cell r="S755" t="str">
            <v/>
          </cell>
        </row>
        <row r="756">
          <cell r="G756" t="str">
            <v/>
          </cell>
          <cell r="H756" t="str">
            <v/>
          </cell>
          <cell r="I756" t="str">
            <v/>
          </cell>
          <cell r="J756" t="str">
            <v/>
          </cell>
          <cell r="K756" t="str">
            <v/>
          </cell>
          <cell r="L756" t="str">
            <v/>
          </cell>
          <cell r="M756" t="str">
            <v/>
          </cell>
          <cell r="N756" t="str">
            <v/>
          </cell>
          <cell r="O756" t="str">
            <v/>
          </cell>
          <cell r="P756" t="str">
            <v/>
          </cell>
          <cell r="Q756" t="str">
            <v/>
          </cell>
          <cell r="R756" t="str">
            <v/>
          </cell>
          <cell r="S756" t="str">
            <v/>
          </cell>
        </row>
        <row r="757">
          <cell r="G757" t="str">
            <v/>
          </cell>
          <cell r="H757" t="str">
            <v/>
          </cell>
          <cell r="I757" t="str">
            <v/>
          </cell>
          <cell r="J757" t="str">
            <v/>
          </cell>
          <cell r="K757" t="str">
            <v/>
          </cell>
          <cell r="L757" t="str">
            <v/>
          </cell>
          <cell r="M757" t="str">
            <v/>
          </cell>
          <cell r="N757" t="str">
            <v/>
          </cell>
          <cell r="O757" t="str">
            <v/>
          </cell>
          <cell r="P757" t="str">
            <v/>
          </cell>
          <cell r="Q757" t="str">
            <v/>
          </cell>
          <cell r="R757" t="str">
            <v/>
          </cell>
          <cell r="S757" t="str">
            <v/>
          </cell>
        </row>
        <row r="758">
          <cell r="G758" t="str">
            <v/>
          </cell>
          <cell r="H758" t="str">
            <v/>
          </cell>
          <cell r="I758" t="str">
            <v/>
          </cell>
          <cell r="J758" t="str">
            <v/>
          </cell>
          <cell r="K758" t="str">
            <v/>
          </cell>
          <cell r="L758" t="str">
            <v/>
          </cell>
          <cell r="M758" t="str">
            <v/>
          </cell>
          <cell r="N758" t="str">
            <v/>
          </cell>
          <cell r="O758" t="str">
            <v/>
          </cell>
          <cell r="P758" t="str">
            <v/>
          </cell>
          <cell r="Q758" t="str">
            <v/>
          </cell>
          <cell r="R758" t="str">
            <v/>
          </cell>
          <cell r="S758" t="str">
            <v/>
          </cell>
        </row>
        <row r="759">
          <cell r="G759" t="str">
            <v/>
          </cell>
          <cell r="H759" t="str">
            <v/>
          </cell>
          <cell r="I759" t="str">
            <v/>
          </cell>
          <cell r="J759" t="str">
            <v/>
          </cell>
          <cell r="K759" t="str">
            <v/>
          </cell>
          <cell r="L759" t="str">
            <v/>
          </cell>
          <cell r="M759" t="str">
            <v/>
          </cell>
          <cell r="N759" t="str">
            <v/>
          </cell>
          <cell r="O759" t="str">
            <v/>
          </cell>
          <cell r="P759" t="str">
            <v/>
          </cell>
          <cell r="Q759" t="str">
            <v/>
          </cell>
          <cell r="R759" t="str">
            <v/>
          </cell>
          <cell r="S759" t="str">
            <v/>
          </cell>
        </row>
        <row r="760">
          <cell r="G760" t="str">
            <v/>
          </cell>
          <cell r="H760" t="str">
            <v/>
          </cell>
          <cell r="I760" t="str">
            <v/>
          </cell>
          <cell r="J760" t="str">
            <v/>
          </cell>
          <cell r="K760" t="str">
            <v/>
          </cell>
          <cell r="L760" t="str">
            <v/>
          </cell>
          <cell r="M760" t="str">
            <v/>
          </cell>
          <cell r="N760" t="str">
            <v/>
          </cell>
          <cell r="O760" t="str">
            <v/>
          </cell>
          <cell r="P760" t="str">
            <v/>
          </cell>
          <cell r="Q760" t="str">
            <v/>
          </cell>
          <cell r="R760" t="str">
            <v/>
          </cell>
          <cell r="S760" t="str">
            <v/>
          </cell>
        </row>
        <row r="761">
          <cell r="G761" t="str">
            <v/>
          </cell>
          <cell r="H761" t="str">
            <v/>
          </cell>
          <cell r="I761" t="str">
            <v/>
          </cell>
          <cell r="J761" t="str">
            <v/>
          </cell>
          <cell r="K761" t="str">
            <v/>
          </cell>
          <cell r="L761" t="str">
            <v/>
          </cell>
          <cell r="M761" t="str">
            <v/>
          </cell>
          <cell r="N761" t="str">
            <v/>
          </cell>
          <cell r="O761" t="str">
            <v/>
          </cell>
          <cell r="P761" t="str">
            <v/>
          </cell>
          <cell r="Q761" t="str">
            <v/>
          </cell>
          <cell r="R761" t="str">
            <v/>
          </cell>
          <cell r="S761" t="str">
            <v/>
          </cell>
        </row>
        <row r="762">
          <cell r="G762" t="str">
            <v/>
          </cell>
          <cell r="H762" t="str">
            <v/>
          </cell>
          <cell r="I762" t="str">
            <v/>
          </cell>
          <cell r="J762" t="str">
            <v/>
          </cell>
          <cell r="K762" t="str">
            <v/>
          </cell>
          <cell r="L762" t="str">
            <v/>
          </cell>
          <cell r="M762" t="str">
            <v/>
          </cell>
          <cell r="N762" t="str">
            <v/>
          </cell>
          <cell r="O762" t="str">
            <v/>
          </cell>
          <cell r="P762" t="str">
            <v/>
          </cell>
          <cell r="Q762" t="str">
            <v/>
          </cell>
          <cell r="R762" t="str">
            <v/>
          </cell>
          <cell r="S762" t="str">
            <v/>
          </cell>
        </row>
        <row r="763">
          <cell r="G763" t="str">
            <v/>
          </cell>
          <cell r="H763" t="str">
            <v/>
          </cell>
          <cell r="I763" t="str">
            <v/>
          </cell>
          <cell r="J763" t="str">
            <v/>
          </cell>
          <cell r="K763" t="str">
            <v/>
          </cell>
          <cell r="L763" t="str">
            <v/>
          </cell>
          <cell r="M763" t="str">
            <v/>
          </cell>
          <cell r="N763" t="str">
            <v/>
          </cell>
          <cell r="O763" t="str">
            <v/>
          </cell>
          <cell r="P763" t="str">
            <v/>
          </cell>
          <cell r="Q763" t="str">
            <v/>
          </cell>
          <cell r="R763" t="str">
            <v/>
          </cell>
          <cell r="S763" t="str">
            <v/>
          </cell>
        </row>
        <row r="764">
          <cell r="G764" t="str">
            <v/>
          </cell>
          <cell r="H764" t="str">
            <v/>
          </cell>
          <cell r="I764" t="str">
            <v/>
          </cell>
          <cell r="J764" t="str">
            <v/>
          </cell>
          <cell r="K764" t="str">
            <v/>
          </cell>
          <cell r="L764" t="str">
            <v/>
          </cell>
          <cell r="M764" t="str">
            <v/>
          </cell>
          <cell r="N764" t="str">
            <v/>
          </cell>
          <cell r="O764" t="str">
            <v/>
          </cell>
          <cell r="P764" t="str">
            <v/>
          </cell>
          <cell r="Q764" t="str">
            <v/>
          </cell>
          <cell r="R764" t="str">
            <v/>
          </cell>
          <cell r="S764" t="str">
            <v/>
          </cell>
        </row>
        <row r="765">
          <cell r="G765" t="str">
            <v/>
          </cell>
          <cell r="H765" t="str">
            <v/>
          </cell>
          <cell r="I765" t="str">
            <v/>
          </cell>
          <cell r="J765" t="str">
            <v/>
          </cell>
          <cell r="K765" t="str">
            <v/>
          </cell>
          <cell r="L765" t="str">
            <v/>
          </cell>
          <cell r="M765" t="str">
            <v/>
          </cell>
          <cell r="N765" t="str">
            <v/>
          </cell>
          <cell r="O765" t="str">
            <v/>
          </cell>
          <cell r="P765" t="str">
            <v/>
          </cell>
          <cell r="Q765" t="str">
            <v/>
          </cell>
          <cell r="R765" t="str">
            <v/>
          </cell>
          <cell r="S765" t="str">
            <v/>
          </cell>
        </row>
        <row r="766">
          <cell r="G766" t="str">
            <v/>
          </cell>
          <cell r="H766" t="str">
            <v/>
          </cell>
          <cell r="I766" t="str">
            <v/>
          </cell>
          <cell r="J766" t="str">
            <v/>
          </cell>
          <cell r="K766" t="str">
            <v/>
          </cell>
          <cell r="L766" t="str">
            <v/>
          </cell>
          <cell r="M766" t="str">
            <v/>
          </cell>
          <cell r="N766" t="str">
            <v/>
          </cell>
          <cell r="O766" t="str">
            <v/>
          </cell>
          <cell r="P766" t="str">
            <v/>
          </cell>
          <cell r="Q766" t="str">
            <v/>
          </cell>
          <cell r="R766" t="str">
            <v/>
          </cell>
          <cell r="S766" t="str">
            <v/>
          </cell>
        </row>
        <row r="767">
          <cell r="G767" t="str">
            <v/>
          </cell>
          <cell r="H767" t="str">
            <v/>
          </cell>
          <cell r="I767" t="str">
            <v/>
          </cell>
          <cell r="J767" t="str">
            <v/>
          </cell>
          <cell r="K767" t="str">
            <v/>
          </cell>
          <cell r="L767" t="str">
            <v/>
          </cell>
          <cell r="M767" t="str">
            <v/>
          </cell>
          <cell r="N767" t="str">
            <v/>
          </cell>
          <cell r="O767" t="str">
            <v/>
          </cell>
          <cell r="P767" t="str">
            <v/>
          </cell>
          <cell r="Q767" t="str">
            <v/>
          </cell>
          <cell r="R767" t="str">
            <v/>
          </cell>
          <cell r="S767" t="str">
            <v/>
          </cell>
        </row>
        <row r="768">
          <cell r="G768" t="str">
            <v/>
          </cell>
          <cell r="H768" t="str">
            <v/>
          </cell>
          <cell r="I768" t="str">
            <v/>
          </cell>
          <cell r="J768" t="str">
            <v/>
          </cell>
          <cell r="K768" t="str">
            <v/>
          </cell>
          <cell r="L768" t="str">
            <v/>
          </cell>
          <cell r="M768" t="str">
            <v/>
          </cell>
          <cell r="N768" t="str">
            <v/>
          </cell>
          <cell r="O768" t="str">
            <v/>
          </cell>
          <cell r="P768" t="str">
            <v/>
          </cell>
          <cell r="Q768" t="str">
            <v/>
          </cell>
          <cell r="R768" t="str">
            <v/>
          </cell>
          <cell r="S768" t="str">
            <v/>
          </cell>
        </row>
        <row r="769">
          <cell r="G769" t="str">
            <v/>
          </cell>
          <cell r="H769" t="str">
            <v/>
          </cell>
          <cell r="I769" t="str">
            <v/>
          </cell>
          <cell r="J769" t="str">
            <v/>
          </cell>
          <cell r="K769" t="str">
            <v/>
          </cell>
          <cell r="L769" t="str">
            <v/>
          </cell>
          <cell r="M769" t="str">
            <v/>
          </cell>
          <cell r="N769" t="str">
            <v/>
          </cell>
          <cell r="O769" t="str">
            <v/>
          </cell>
          <cell r="P769" t="str">
            <v/>
          </cell>
          <cell r="Q769" t="str">
            <v/>
          </cell>
          <cell r="R769" t="str">
            <v/>
          </cell>
          <cell r="S769" t="str">
            <v/>
          </cell>
        </row>
        <row r="770">
          <cell r="G770" t="str">
            <v/>
          </cell>
          <cell r="H770" t="str">
            <v/>
          </cell>
          <cell r="I770" t="str">
            <v/>
          </cell>
          <cell r="J770" t="str">
            <v/>
          </cell>
          <cell r="K770" t="str">
            <v/>
          </cell>
          <cell r="L770" t="str">
            <v/>
          </cell>
          <cell r="M770" t="str">
            <v/>
          </cell>
          <cell r="N770" t="str">
            <v/>
          </cell>
          <cell r="O770" t="str">
            <v/>
          </cell>
          <cell r="P770" t="str">
            <v/>
          </cell>
          <cell r="Q770" t="str">
            <v/>
          </cell>
          <cell r="R770" t="str">
            <v/>
          </cell>
          <cell r="S770" t="str">
            <v/>
          </cell>
        </row>
        <row r="771">
          <cell r="G771" t="str">
            <v/>
          </cell>
          <cell r="H771" t="str">
            <v/>
          </cell>
          <cell r="I771" t="str">
            <v/>
          </cell>
          <cell r="J771" t="str">
            <v/>
          </cell>
          <cell r="K771" t="str">
            <v/>
          </cell>
          <cell r="L771" t="str">
            <v/>
          </cell>
          <cell r="M771" t="str">
            <v/>
          </cell>
          <cell r="N771" t="str">
            <v/>
          </cell>
          <cell r="O771" t="str">
            <v/>
          </cell>
          <cell r="P771" t="str">
            <v/>
          </cell>
          <cell r="Q771" t="str">
            <v/>
          </cell>
          <cell r="R771" t="str">
            <v/>
          </cell>
          <cell r="S771" t="str">
            <v/>
          </cell>
        </row>
        <row r="772">
          <cell r="G772" t="str">
            <v/>
          </cell>
          <cell r="H772" t="str">
            <v/>
          </cell>
          <cell r="I772" t="str">
            <v/>
          </cell>
          <cell r="J772" t="str">
            <v/>
          </cell>
          <cell r="K772" t="str">
            <v/>
          </cell>
          <cell r="L772" t="str">
            <v/>
          </cell>
          <cell r="M772" t="str">
            <v/>
          </cell>
          <cell r="N772" t="str">
            <v/>
          </cell>
          <cell r="O772" t="str">
            <v/>
          </cell>
          <cell r="P772" t="str">
            <v/>
          </cell>
          <cell r="Q772" t="str">
            <v/>
          </cell>
          <cell r="R772" t="str">
            <v/>
          </cell>
          <cell r="S772" t="str">
            <v/>
          </cell>
        </row>
        <row r="773">
          <cell r="G773" t="str">
            <v/>
          </cell>
          <cell r="H773" t="str">
            <v/>
          </cell>
          <cell r="I773" t="str">
            <v/>
          </cell>
          <cell r="J773" t="str">
            <v/>
          </cell>
          <cell r="K773" t="str">
            <v/>
          </cell>
          <cell r="L773" t="str">
            <v/>
          </cell>
          <cell r="M773" t="str">
            <v/>
          </cell>
          <cell r="N773" t="str">
            <v/>
          </cell>
          <cell r="O773" t="str">
            <v/>
          </cell>
          <cell r="P773" t="str">
            <v/>
          </cell>
          <cell r="Q773" t="str">
            <v/>
          </cell>
          <cell r="R773" t="str">
            <v/>
          </cell>
          <cell r="S773" t="str">
            <v/>
          </cell>
        </row>
        <row r="774">
          <cell r="G774" t="str">
            <v/>
          </cell>
          <cell r="H774" t="str">
            <v/>
          </cell>
          <cell r="I774" t="str">
            <v/>
          </cell>
          <cell r="J774" t="str">
            <v/>
          </cell>
          <cell r="K774" t="str">
            <v/>
          </cell>
          <cell r="L774" t="str">
            <v/>
          </cell>
          <cell r="M774" t="str">
            <v/>
          </cell>
          <cell r="N774" t="str">
            <v/>
          </cell>
          <cell r="O774" t="str">
            <v/>
          </cell>
          <cell r="P774" t="str">
            <v/>
          </cell>
          <cell r="Q774" t="str">
            <v/>
          </cell>
          <cell r="R774" t="str">
            <v/>
          </cell>
          <cell r="S774" t="str">
            <v/>
          </cell>
        </row>
        <row r="775">
          <cell r="G775" t="str">
            <v/>
          </cell>
          <cell r="H775" t="str">
            <v/>
          </cell>
          <cell r="I775" t="str">
            <v/>
          </cell>
          <cell r="J775" t="str">
            <v/>
          </cell>
          <cell r="K775" t="str">
            <v/>
          </cell>
          <cell r="L775" t="str">
            <v/>
          </cell>
          <cell r="M775" t="str">
            <v/>
          </cell>
          <cell r="N775" t="str">
            <v/>
          </cell>
          <cell r="O775" t="str">
            <v/>
          </cell>
          <cell r="P775" t="str">
            <v/>
          </cell>
          <cell r="Q775" t="str">
            <v/>
          </cell>
          <cell r="R775" t="str">
            <v/>
          </cell>
          <cell r="S775" t="str">
            <v/>
          </cell>
        </row>
        <row r="776">
          <cell r="G776" t="str">
            <v/>
          </cell>
          <cell r="H776" t="str">
            <v/>
          </cell>
          <cell r="I776" t="str">
            <v/>
          </cell>
          <cell r="J776" t="str">
            <v/>
          </cell>
          <cell r="K776" t="str">
            <v/>
          </cell>
          <cell r="L776" t="str">
            <v/>
          </cell>
          <cell r="M776" t="str">
            <v/>
          </cell>
          <cell r="N776" t="str">
            <v/>
          </cell>
          <cell r="O776" t="str">
            <v/>
          </cell>
          <cell r="P776" t="str">
            <v/>
          </cell>
          <cell r="Q776" t="str">
            <v/>
          </cell>
          <cell r="R776" t="str">
            <v/>
          </cell>
          <cell r="S776" t="str">
            <v/>
          </cell>
        </row>
        <row r="777">
          <cell r="G777" t="str">
            <v/>
          </cell>
          <cell r="H777" t="str">
            <v/>
          </cell>
          <cell r="I777" t="str">
            <v/>
          </cell>
          <cell r="J777" t="str">
            <v/>
          </cell>
          <cell r="K777" t="str">
            <v/>
          </cell>
          <cell r="L777" t="str">
            <v/>
          </cell>
          <cell r="M777" t="str">
            <v/>
          </cell>
          <cell r="N777" t="str">
            <v/>
          </cell>
          <cell r="O777" t="str">
            <v/>
          </cell>
          <cell r="P777" t="str">
            <v/>
          </cell>
          <cell r="Q777" t="str">
            <v/>
          </cell>
          <cell r="R777" t="str">
            <v/>
          </cell>
          <cell r="S777" t="str">
            <v/>
          </cell>
        </row>
        <row r="778">
          <cell r="G778" t="str">
            <v/>
          </cell>
          <cell r="H778" t="str">
            <v/>
          </cell>
          <cell r="I778" t="str">
            <v/>
          </cell>
          <cell r="J778" t="str">
            <v/>
          </cell>
          <cell r="K778" t="str">
            <v/>
          </cell>
          <cell r="L778" t="str">
            <v/>
          </cell>
          <cell r="M778" t="str">
            <v/>
          </cell>
          <cell r="N778" t="str">
            <v/>
          </cell>
          <cell r="O778" t="str">
            <v/>
          </cell>
          <cell r="P778" t="str">
            <v/>
          </cell>
          <cell r="Q778" t="str">
            <v/>
          </cell>
          <cell r="R778" t="str">
            <v/>
          </cell>
          <cell r="S778" t="str">
            <v/>
          </cell>
        </row>
        <row r="779">
          <cell r="G779" t="str">
            <v/>
          </cell>
          <cell r="H779" t="str">
            <v/>
          </cell>
          <cell r="I779" t="str">
            <v/>
          </cell>
          <cell r="J779" t="str">
            <v/>
          </cell>
          <cell r="K779" t="str">
            <v/>
          </cell>
          <cell r="L779" t="str">
            <v/>
          </cell>
          <cell r="M779" t="str">
            <v/>
          </cell>
          <cell r="N779" t="str">
            <v/>
          </cell>
          <cell r="O779" t="str">
            <v/>
          </cell>
          <cell r="P779" t="str">
            <v/>
          </cell>
          <cell r="Q779" t="str">
            <v/>
          </cell>
          <cell r="R779" t="str">
            <v/>
          </cell>
          <cell r="S779" t="str">
            <v/>
          </cell>
        </row>
        <row r="780">
          <cell r="G780" t="str">
            <v/>
          </cell>
          <cell r="H780" t="str">
            <v/>
          </cell>
          <cell r="I780" t="str">
            <v/>
          </cell>
          <cell r="J780" t="str">
            <v/>
          </cell>
          <cell r="K780" t="str">
            <v/>
          </cell>
          <cell r="L780" t="str">
            <v/>
          </cell>
          <cell r="M780" t="str">
            <v/>
          </cell>
          <cell r="N780" t="str">
            <v/>
          </cell>
          <cell r="O780" t="str">
            <v/>
          </cell>
          <cell r="P780" t="str">
            <v/>
          </cell>
          <cell r="Q780" t="str">
            <v/>
          </cell>
          <cell r="R780" t="str">
            <v/>
          </cell>
          <cell r="S780" t="str">
            <v/>
          </cell>
        </row>
        <row r="781">
          <cell r="G781" t="str">
            <v/>
          </cell>
          <cell r="H781" t="str">
            <v/>
          </cell>
          <cell r="I781" t="str">
            <v/>
          </cell>
          <cell r="J781" t="str">
            <v/>
          </cell>
          <cell r="K781" t="str">
            <v/>
          </cell>
          <cell r="L781" t="str">
            <v/>
          </cell>
          <cell r="M781" t="str">
            <v/>
          </cell>
          <cell r="N781" t="str">
            <v/>
          </cell>
          <cell r="O781" t="str">
            <v/>
          </cell>
          <cell r="P781" t="str">
            <v/>
          </cell>
          <cell r="Q781" t="str">
            <v/>
          </cell>
          <cell r="R781" t="str">
            <v/>
          </cell>
          <cell r="S781" t="str">
            <v/>
          </cell>
        </row>
        <row r="782">
          <cell r="G782" t="str">
            <v/>
          </cell>
          <cell r="H782" t="str">
            <v/>
          </cell>
          <cell r="I782" t="str">
            <v/>
          </cell>
          <cell r="J782" t="str">
            <v/>
          </cell>
          <cell r="K782" t="str">
            <v/>
          </cell>
          <cell r="L782" t="str">
            <v/>
          </cell>
          <cell r="M782" t="str">
            <v/>
          </cell>
          <cell r="N782" t="str">
            <v/>
          </cell>
          <cell r="O782" t="str">
            <v/>
          </cell>
          <cell r="P782" t="str">
            <v/>
          </cell>
          <cell r="Q782" t="str">
            <v/>
          </cell>
          <cell r="R782" t="str">
            <v/>
          </cell>
          <cell r="S782" t="str">
            <v/>
          </cell>
        </row>
        <row r="783">
          <cell r="G783" t="str">
            <v/>
          </cell>
          <cell r="H783" t="str">
            <v/>
          </cell>
          <cell r="I783" t="str">
            <v/>
          </cell>
          <cell r="J783" t="str">
            <v/>
          </cell>
          <cell r="K783" t="str">
            <v/>
          </cell>
          <cell r="L783" t="str">
            <v/>
          </cell>
          <cell r="M783" t="str">
            <v/>
          </cell>
          <cell r="N783" t="str">
            <v/>
          </cell>
          <cell r="O783" t="str">
            <v/>
          </cell>
          <cell r="P783" t="str">
            <v/>
          </cell>
          <cell r="Q783" t="str">
            <v/>
          </cell>
          <cell r="R783" t="str">
            <v/>
          </cell>
          <cell r="S783" t="str">
            <v/>
          </cell>
        </row>
        <row r="784">
          <cell r="G784" t="str">
            <v/>
          </cell>
          <cell r="H784" t="str">
            <v/>
          </cell>
          <cell r="I784" t="str">
            <v/>
          </cell>
          <cell r="J784" t="str">
            <v/>
          </cell>
          <cell r="K784" t="str">
            <v/>
          </cell>
          <cell r="L784" t="str">
            <v/>
          </cell>
          <cell r="M784" t="str">
            <v/>
          </cell>
          <cell r="N784" t="str">
            <v/>
          </cell>
          <cell r="O784" t="str">
            <v/>
          </cell>
          <cell r="P784" t="str">
            <v/>
          </cell>
          <cell r="Q784" t="str">
            <v/>
          </cell>
          <cell r="R784" t="str">
            <v/>
          </cell>
          <cell r="S784" t="str">
            <v/>
          </cell>
        </row>
        <row r="785">
          <cell r="G785" t="str">
            <v/>
          </cell>
          <cell r="H785" t="str">
            <v/>
          </cell>
          <cell r="I785" t="str">
            <v/>
          </cell>
          <cell r="J785" t="str">
            <v/>
          </cell>
          <cell r="K785" t="str">
            <v/>
          </cell>
          <cell r="L785" t="str">
            <v/>
          </cell>
          <cell r="M785" t="str">
            <v/>
          </cell>
          <cell r="N785" t="str">
            <v/>
          </cell>
          <cell r="O785" t="str">
            <v/>
          </cell>
          <cell r="P785" t="str">
            <v/>
          </cell>
          <cell r="Q785" t="str">
            <v/>
          </cell>
          <cell r="R785" t="str">
            <v/>
          </cell>
          <cell r="S785" t="str">
            <v/>
          </cell>
        </row>
        <row r="786">
          <cell r="G786" t="str">
            <v/>
          </cell>
          <cell r="H786" t="str">
            <v/>
          </cell>
          <cell r="I786" t="str">
            <v/>
          </cell>
          <cell r="J786" t="str">
            <v/>
          </cell>
          <cell r="K786" t="str">
            <v/>
          </cell>
          <cell r="L786" t="str">
            <v/>
          </cell>
          <cell r="M786" t="str">
            <v/>
          </cell>
          <cell r="N786" t="str">
            <v/>
          </cell>
          <cell r="O786" t="str">
            <v/>
          </cell>
          <cell r="P786" t="str">
            <v/>
          </cell>
          <cell r="Q786" t="str">
            <v/>
          </cell>
          <cell r="R786" t="str">
            <v/>
          </cell>
          <cell r="S786" t="str">
            <v/>
          </cell>
        </row>
        <row r="787">
          <cell r="G787" t="str">
            <v/>
          </cell>
          <cell r="H787" t="str">
            <v/>
          </cell>
          <cell r="I787" t="str">
            <v/>
          </cell>
          <cell r="J787" t="str">
            <v/>
          </cell>
          <cell r="K787" t="str">
            <v/>
          </cell>
          <cell r="L787" t="str">
            <v/>
          </cell>
          <cell r="M787" t="str">
            <v/>
          </cell>
          <cell r="N787" t="str">
            <v/>
          </cell>
          <cell r="O787" t="str">
            <v/>
          </cell>
          <cell r="P787" t="str">
            <v/>
          </cell>
          <cell r="Q787" t="str">
            <v/>
          </cell>
          <cell r="R787" t="str">
            <v/>
          </cell>
          <cell r="S787" t="str">
            <v/>
          </cell>
        </row>
        <row r="788">
          <cell r="G788" t="str">
            <v/>
          </cell>
          <cell r="H788" t="str">
            <v/>
          </cell>
          <cell r="I788" t="str">
            <v/>
          </cell>
          <cell r="J788" t="str">
            <v/>
          </cell>
          <cell r="K788" t="str">
            <v/>
          </cell>
          <cell r="L788" t="str">
            <v/>
          </cell>
          <cell r="M788" t="str">
            <v/>
          </cell>
          <cell r="N788" t="str">
            <v/>
          </cell>
          <cell r="O788" t="str">
            <v/>
          </cell>
          <cell r="P788" t="str">
            <v/>
          </cell>
          <cell r="Q788" t="str">
            <v/>
          </cell>
          <cell r="R788" t="str">
            <v/>
          </cell>
          <cell r="S788" t="str">
            <v/>
          </cell>
        </row>
        <row r="789">
          <cell r="G789" t="str">
            <v/>
          </cell>
          <cell r="H789" t="str">
            <v/>
          </cell>
          <cell r="I789" t="str">
            <v/>
          </cell>
          <cell r="J789" t="str">
            <v/>
          </cell>
          <cell r="K789" t="str">
            <v/>
          </cell>
          <cell r="L789" t="str">
            <v/>
          </cell>
          <cell r="M789" t="str">
            <v/>
          </cell>
          <cell r="N789" t="str">
            <v/>
          </cell>
          <cell r="O789" t="str">
            <v/>
          </cell>
          <cell r="P789" t="str">
            <v/>
          </cell>
          <cell r="Q789" t="str">
            <v/>
          </cell>
          <cell r="R789" t="str">
            <v/>
          </cell>
          <cell r="S789" t="str">
            <v/>
          </cell>
        </row>
        <row r="790">
          <cell r="G790" t="str">
            <v/>
          </cell>
          <cell r="H790" t="str">
            <v/>
          </cell>
          <cell r="I790" t="str">
            <v/>
          </cell>
          <cell r="J790" t="str">
            <v/>
          </cell>
          <cell r="K790" t="str">
            <v/>
          </cell>
          <cell r="L790" t="str">
            <v/>
          </cell>
          <cell r="M790" t="str">
            <v/>
          </cell>
          <cell r="N790" t="str">
            <v/>
          </cell>
          <cell r="O790" t="str">
            <v/>
          </cell>
          <cell r="P790" t="str">
            <v/>
          </cell>
          <cell r="Q790" t="str">
            <v/>
          </cell>
          <cell r="R790" t="str">
            <v/>
          </cell>
          <cell r="S790" t="str">
            <v/>
          </cell>
        </row>
        <row r="791">
          <cell r="G791" t="str">
            <v/>
          </cell>
          <cell r="H791" t="str">
            <v/>
          </cell>
          <cell r="I791" t="str">
            <v/>
          </cell>
          <cell r="J791" t="str">
            <v/>
          </cell>
          <cell r="K791" t="str">
            <v/>
          </cell>
          <cell r="L791" t="str">
            <v/>
          </cell>
          <cell r="M791" t="str">
            <v/>
          </cell>
          <cell r="N791" t="str">
            <v/>
          </cell>
          <cell r="O791" t="str">
            <v/>
          </cell>
          <cell r="P791" t="str">
            <v/>
          </cell>
          <cell r="Q791" t="str">
            <v/>
          </cell>
          <cell r="R791" t="str">
            <v/>
          </cell>
          <cell r="S791" t="str">
            <v/>
          </cell>
        </row>
        <row r="792">
          <cell r="G792" t="str">
            <v/>
          </cell>
          <cell r="H792" t="str">
            <v/>
          </cell>
          <cell r="I792" t="str">
            <v/>
          </cell>
          <cell r="J792" t="str">
            <v/>
          </cell>
          <cell r="K792" t="str">
            <v/>
          </cell>
          <cell r="L792" t="str">
            <v/>
          </cell>
          <cell r="M792" t="str">
            <v/>
          </cell>
          <cell r="N792" t="str">
            <v/>
          </cell>
          <cell r="O792" t="str">
            <v/>
          </cell>
          <cell r="P792" t="str">
            <v/>
          </cell>
          <cell r="Q792" t="str">
            <v/>
          </cell>
          <cell r="R792" t="str">
            <v/>
          </cell>
          <cell r="S792" t="str">
            <v/>
          </cell>
        </row>
        <row r="793">
          <cell r="G793" t="str">
            <v/>
          </cell>
          <cell r="H793" t="str">
            <v/>
          </cell>
          <cell r="I793" t="str">
            <v/>
          </cell>
          <cell r="J793" t="str">
            <v/>
          </cell>
          <cell r="K793" t="str">
            <v/>
          </cell>
          <cell r="L793" t="str">
            <v/>
          </cell>
          <cell r="M793" t="str">
            <v/>
          </cell>
          <cell r="N793" t="str">
            <v/>
          </cell>
          <cell r="O793" t="str">
            <v/>
          </cell>
          <cell r="P793" t="str">
            <v/>
          </cell>
          <cell r="Q793" t="str">
            <v/>
          </cell>
          <cell r="R793" t="str">
            <v/>
          </cell>
          <cell r="S793" t="str">
            <v/>
          </cell>
        </row>
        <row r="794">
          <cell r="G794" t="str">
            <v/>
          </cell>
          <cell r="H794" t="str">
            <v/>
          </cell>
          <cell r="I794" t="str">
            <v/>
          </cell>
          <cell r="J794" t="str">
            <v/>
          </cell>
          <cell r="K794" t="str">
            <v/>
          </cell>
          <cell r="L794" t="str">
            <v/>
          </cell>
          <cell r="M794" t="str">
            <v/>
          </cell>
          <cell r="N794" t="str">
            <v/>
          </cell>
          <cell r="O794" t="str">
            <v/>
          </cell>
          <cell r="P794" t="str">
            <v/>
          </cell>
          <cell r="Q794" t="str">
            <v/>
          </cell>
          <cell r="R794" t="str">
            <v/>
          </cell>
          <cell r="S794" t="str">
            <v/>
          </cell>
        </row>
        <row r="795">
          <cell r="G795" t="str">
            <v/>
          </cell>
          <cell r="H795" t="str">
            <v/>
          </cell>
          <cell r="I795" t="str">
            <v/>
          </cell>
          <cell r="J795" t="str">
            <v/>
          </cell>
          <cell r="K795" t="str">
            <v/>
          </cell>
          <cell r="L795" t="str">
            <v/>
          </cell>
          <cell r="M795" t="str">
            <v/>
          </cell>
          <cell r="N795" t="str">
            <v/>
          </cell>
          <cell r="O795" t="str">
            <v/>
          </cell>
          <cell r="P795" t="str">
            <v/>
          </cell>
          <cell r="Q795" t="str">
            <v/>
          </cell>
          <cell r="R795" t="str">
            <v/>
          </cell>
          <cell r="S795" t="str">
            <v/>
          </cell>
        </row>
        <row r="796">
          <cell r="G796" t="str">
            <v/>
          </cell>
          <cell r="H796" t="str">
            <v/>
          </cell>
          <cell r="I796" t="str">
            <v/>
          </cell>
          <cell r="J796" t="str">
            <v/>
          </cell>
          <cell r="K796" t="str">
            <v/>
          </cell>
          <cell r="L796" t="str">
            <v/>
          </cell>
          <cell r="M796" t="str">
            <v/>
          </cell>
          <cell r="N796" t="str">
            <v/>
          </cell>
          <cell r="O796" t="str">
            <v/>
          </cell>
          <cell r="P796" t="str">
            <v/>
          </cell>
          <cell r="Q796" t="str">
            <v/>
          </cell>
          <cell r="R796" t="str">
            <v/>
          </cell>
          <cell r="S796" t="str">
            <v/>
          </cell>
        </row>
        <row r="797">
          <cell r="G797" t="str">
            <v/>
          </cell>
          <cell r="H797" t="str">
            <v/>
          </cell>
          <cell r="I797" t="str">
            <v/>
          </cell>
          <cell r="J797" t="str">
            <v/>
          </cell>
          <cell r="K797" t="str">
            <v/>
          </cell>
          <cell r="L797" t="str">
            <v/>
          </cell>
          <cell r="M797" t="str">
            <v/>
          </cell>
          <cell r="N797" t="str">
            <v/>
          </cell>
          <cell r="O797" t="str">
            <v/>
          </cell>
          <cell r="P797" t="str">
            <v/>
          </cell>
          <cell r="Q797" t="str">
            <v/>
          </cell>
          <cell r="R797" t="str">
            <v/>
          </cell>
          <cell r="S797" t="str">
            <v/>
          </cell>
        </row>
        <row r="798">
          <cell r="G798" t="str">
            <v/>
          </cell>
          <cell r="H798" t="str">
            <v/>
          </cell>
          <cell r="I798" t="str">
            <v/>
          </cell>
          <cell r="J798" t="str">
            <v/>
          </cell>
          <cell r="K798" t="str">
            <v/>
          </cell>
          <cell r="L798" t="str">
            <v/>
          </cell>
          <cell r="M798" t="str">
            <v/>
          </cell>
          <cell r="N798" t="str">
            <v/>
          </cell>
          <cell r="O798" t="str">
            <v/>
          </cell>
          <cell r="P798" t="str">
            <v/>
          </cell>
          <cell r="Q798" t="str">
            <v/>
          </cell>
          <cell r="R798" t="str">
            <v/>
          </cell>
          <cell r="S798" t="str">
            <v/>
          </cell>
        </row>
        <row r="799">
          <cell r="G799" t="str">
            <v/>
          </cell>
          <cell r="H799" t="str">
            <v/>
          </cell>
          <cell r="I799" t="str">
            <v/>
          </cell>
          <cell r="J799" t="str">
            <v/>
          </cell>
          <cell r="K799" t="str">
            <v/>
          </cell>
          <cell r="L799" t="str">
            <v/>
          </cell>
          <cell r="M799" t="str">
            <v/>
          </cell>
          <cell r="N799" t="str">
            <v/>
          </cell>
          <cell r="O799" t="str">
            <v/>
          </cell>
          <cell r="P799" t="str">
            <v/>
          </cell>
          <cell r="Q799" t="str">
            <v/>
          </cell>
          <cell r="R799" t="str">
            <v/>
          </cell>
          <cell r="S799" t="str">
            <v/>
          </cell>
        </row>
        <row r="800">
          <cell r="G800" t="str">
            <v/>
          </cell>
          <cell r="H800" t="str">
            <v/>
          </cell>
          <cell r="I800" t="str">
            <v/>
          </cell>
          <cell r="J800" t="str">
            <v/>
          </cell>
          <cell r="K800" t="str">
            <v/>
          </cell>
          <cell r="L800" t="str">
            <v/>
          </cell>
          <cell r="M800" t="str">
            <v/>
          </cell>
          <cell r="N800" t="str">
            <v/>
          </cell>
          <cell r="O800" t="str">
            <v/>
          </cell>
          <cell r="P800" t="str">
            <v/>
          </cell>
          <cell r="Q800" t="str">
            <v/>
          </cell>
          <cell r="R800" t="str">
            <v/>
          </cell>
          <cell r="S800" t="str">
            <v/>
          </cell>
        </row>
        <row r="801">
          <cell r="G801" t="str">
            <v/>
          </cell>
          <cell r="H801" t="str">
            <v/>
          </cell>
          <cell r="I801" t="str">
            <v/>
          </cell>
          <cell r="J801" t="str">
            <v/>
          </cell>
          <cell r="K801" t="str">
            <v/>
          </cell>
          <cell r="L801" t="str">
            <v/>
          </cell>
          <cell r="M801" t="str">
            <v/>
          </cell>
          <cell r="N801" t="str">
            <v/>
          </cell>
          <cell r="O801" t="str">
            <v/>
          </cell>
          <cell r="P801" t="str">
            <v/>
          </cell>
          <cell r="Q801" t="str">
            <v/>
          </cell>
          <cell r="R801" t="str">
            <v/>
          </cell>
          <cell r="S801" t="str">
            <v/>
          </cell>
        </row>
        <row r="802">
          <cell r="G802" t="str">
            <v/>
          </cell>
          <cell r="H802" t="str">
            <v/>
          </cell>
          <cell r="I802" t="str">
            <v/>
          </cell>
          <cell r="J802" t="str">
            <v/>
          </cell>
          <cell r="K802" t="str">
            <v/>
          </cell>
          <cell r="L802" t="str">
            <v/>
          </cell>
          <cell r="M802" t="str">
            <v/>
          </cell>
          <cell r="N802" t="str">
            <v/>
          </cell>
          <cell r="O802" t="str">
            <v/>
          </cell>
          <cell r="P802" t="str">
            <v/>
          </cell>
          <cell r="Q802" t="str">
            <v/>
          </cell>
          <cell r="R802" t="str">
            <v/>
          </cell>
          <cell r="S802" t="str">
            <v/>
          </cell>
        </row>
        <row r="803">
          <cell r="G803" t="str">
            <v/>
          </cell>
          <cell r="H803" t="str">
            <v/>
          </cell>
          <cell r="I803" t="str">
            <v/>
          </cell>
          <cell r="J803" t="str">
            <v/>
          </cell>
          <cell r="K803" t="str">
            <v/>
          </cell>
          <cell r="L803" t="str">
            <v/>
          </cell>
          <cell r="M803" t="str">
            <v/>
          </cell>
          <cell r="N803" t="str">
            <v/>
          </cell>
          <cell r="O803" t="str">
            <v/>
          </cell>
          <cell r="P803" t="str">
            <v/>
          </cell>
          <cell r="Q803" t="str">
            <v/>
          </cell>
          <cell r="R803" t="str">
            <v/>
          </cell>
          <cell r="S803" t="str">
            <v/>
          </cell>
        </row>
        <row r="804">
          <cell r="G804" t="str">
            <v/>
          </cell>
          <cell r="H804" t="str">
            <v/>
          </cell>
          <cell r="I804" t="str">
            <v/>
          </cell>
          <cell r="J804" t="str">
            <v/>
          </cell>
          <cell r="K804" t="str">
            <v/>
          </cell>
          <cell r="L804" t="str">
            <v/>
          </cell>
          <cell r="M804" t="str">
            <v/>
          </cell>
          <cell r="N804" t="str">
            <v/>
          </cell>
          <cell r="O804" t="str">
            <v/>
          </cell>
          <cell r="P804" t="str">
            <v/>
          </cell>
          <cell r="Q804" t="str">
            <v/>
          </cell>
          <cell r="R804" t="str">
            <v/>
          </cell>
          <cell r="S804" t="str">
            <v/>
          </cell>
        </row>
        <row r="805">
          <cell r="G805" t="str">
            <v/>
          </cell>
          <cell r="H805" t="str">
            <v/>
          </cell>
          <cell r="I805" t="str">
            <v/>
          </cell>
          <cell r="J805" t="str">
            <v/>
          </cell>
          <cell r="K805" t="str">
            <v/>
          </cell>
          <cell r="L805" t="str">
            <v/>
          </cell>
          <cell r="M805" t="str">
            <v/>
          </cell>
          <cell r="N805" t="str">
            <v/>
          </cell>
          <cell r="O805" t="str">
            <v/>
          </cell>
          <cell r="P805" t="str">
            <v/>
          </cell>
          <cell r="Q805" t="str">
            <v/>
          </cell>
          <cell r="R805" t="str">
            <v/>
          </cell>
          <cell r="S805" t="str">
            <v/>
          </cell>
        </row>
        <row r="806">
          <cell r="G806" t="str">
            <v/>
          </cell>
          <cell r="H806" t="str">
            <v/>
          </cell>
          <cell r="I806" t="str">
            <v/>
          </cell>
          <cell r="J806" t="str">
            <v/>
          </cell>
          <cell r="K806" t="str">
            <v/>
          </cell>
          <cell r="L806" t="str">
            <v/>
          </cell>
          <cell r="M806" t="str">
            <v/>
          </cell>
          <cell r="N806" t="str">
            <v/>
          </cell>
          <cell r="O806" t="str">
            <v/>
          </cell>
          <cell r="P806" t="str">
            <v/>
          </cell>
          <cell r="Q806" t="str">
            <v/>
          </cell>
          <cell r="R806" t="str">
            <v/>
          </cell>
          <cell r="S806" t="str">
            <v/>
          </cell>
        </row>
        <row r="807">
          <cell r="G807" t="str">
            <v/>
          </cell>
          <cell r="H807" t="str">
            <v/>
          </cell>
          <cell r="I807" t="str">
            <v/>
          </cell>
          <cell r="J807" t="str">
            <v/>
          </cell>
          <cell r="K807" t="str">
            <v/>
          </cell>
          <cell r="L807" t="str">
            <v/>
          </cell>
          <cell r="M807" t="str">
            <v/>
          </cell>
          <cell r="N807" t="str">
            <v/>
          </cell>
          <cell r="O807" t="str">
            <v/>
          </cell>
          <cell r="P807" t="str">
            <v/>
          </cell>
          <cell r="Q807" t="str">
            <v/>
          </cell>
          <cell r="R807" t="str">
            <v/>
          </cell>
          <cell r="S807" t="str">
            <v/>
          </cell>
        </row>
        <row r="808">
          <cell r="G808" t="str">
            <v/>
          </cell>
          <cell r="H808" t="str">
            <v/>
          </cell>
          <cell r="I808" t="str">
            <v/>
          </cell>
          <cell r="J808" t="str">
            <v/>
          </cell>
          <cell r="K808" t="str">
            <v/>
          </cell>
          <cell r="L808" t="str">
            <v/>
          </cell>
          <cell r="M808" t="str">
            <v/>
          </cell>
          <cell r="N808" t="str">
            <v/>
          </cell>
          <cell r="O808" t="str">
            <v/>
          </cell>
          <cell r="P808" t="str">
            <v/>
          </cell>
          <cell r="Q808" t="str">
            <v/>
          </cell>
          <cell r="R808" t="str">
            <v/>
          </cell>
          <cell r="S808" t="str">
            <v/>
          </cell>
        </row>
        <row r="809">
          <cell r="G809" t="str">
            <v/>
          </cell>
          <cell r="H809" t="str">
            <v/>
          </cell>
          <cell r="I809" t="str">
            <v/>
          </cell>
          <cell r="J809" t="str">
            <v/>
          </cell>
          <cell r="K809" t="str">
            <v/>
          </cell>
          <cell r="L809" t="str">
            <v/>
          </cell>
          <cell r="M809" t="str">
            <v/>
          </cell>
          <cell r="N809" t="str">
            <v/>
          </cell>
          <cell r="O809" t="str">
            <v/>
          </cell>
          <cell r="P809" t="str">
            <v/>
          </cell>
          <cell r="Q809" t="str">
            <v/>
          </cell>
          <cell r="R809" t="str">
            <v/>
          </cell>
          <cell r="S809" t="str">
            <v/>
          </cell>
        </row>
        <row r="810">
          <cell r="G810" t="str">
            <v/>
          </cell>
          <cell r="H810" t="str">
            <v/>
          </cell>
          <cell r="I810" t="str">
            <v/>
          </cell>
          <cell r="J810" t="str">
            <v/>
          </cell>
          <cell r="K810" t="str">
            <v/>
          </cell>
          <cell r="L810" t="str">
            <v/>
          </cell>
          <cell r="M810" t="str">
            <v/>
          </cell>
          <cell r="N810" t="str">
            <v/>
          </cell>
          <cell r="O810" t="str">
            <v/>
          </cell>
          <cell r="P810" t="str">
            <v/>
          </cell>
          <cell r="Q810" t="str">
            <v/>
          </cell>
          <cell r="R810" t="str">
            <v/>
          </cell>
          <cell r="S810" t="str">
            <v/>
          </cell>
        </row>
        <row r="811">
          <cell r="G811" t="str">
            <v/>
          </cell>
          <cell r="H811" t="str">
            <v/>
          </cell>
          <cell r="I811" t="str">
            <v/>
          </cell>
          <cell r="J811" t="str">
            <v/>
          </cell>
          <cell r="K811" t="str">
            <v/>
          </cell>
          <cell r="L811" t="str">
            <v/>
          </cell>
          <cell r="M811" t="str">
            <v/>
          </cell>
          <cell r="N811" t="str">
            <v/>
          </cell>
          <cell r="O811" t="str">
            <v/>
          </cell>
          <cell r="P811" t="str">
            <v/>
          </cell>
          <cell r="Q811" t="str">
            <v/>
          </cell>
          <cell r="R811" t="str">
            <v/>
          </cell>
          <cell r="S811" t="str">
            <v/>
          </cell>
        </row>
        <row r="812">
          <cell r="G812" t="str">
            <v/>
          </cell>
          <cell r="H812" t="str">
            <v/>
          </cell>
          <cell r="I812" t="str">
            <v/>
          </cell>
          <cell r="J812" t="str">
            <v/>
          </cell>
          <cell r="K812" t="str">
            <v/>
          </cell>
          <cell r="L812" t="str">
            <v/>
          </cell>
          <cell r="M812" t="str">
            <v/>
          </cell>
          <cell r="N812" t="str">
            <v/>
          </cell>
          <cell r="O812" t="str">
            <v/>
          </cell>
          <cell r="P812" t="str">
            <v/>
          </cell>
          <cell r="Q812" t="str">
            <v/>
          </cell>
          <cell r="R812" t="str">
            <v/>
          </cell>
          <cell r="S812" t="str">
            <v/>
          </cell>
        </row>
        <row r="813">
          <cell r="G813" t="str">
            <v/>
          </cell>
          <cell r="H813" t="str">
            <v/>
          </cell>
          <cell r="I813" t="str">
            <v/>
          </cell>
          <cell r="J813" t="str">
            <v/>
          </cell>
          <cell r="K813" t="str">
            <v/>
          </cell>
          <cell r="L813" t="str">
            <v/>
          </cell>
          <cell r="M813" t="str">
            <v/>
          </cell>
          <cell r="N813" t="str">
            <v/>
          </cell>
          <cell r="O813" t="str">
            <v/>
          </cell>
          <cell r="P813" t="str">
            <v/>
          </cell>
          <cell r="Q813" t="str">
            <v/>
          </cell>
          <cell r="R813" t="str">
            <v/>
          </cell>
          <cell r="S813" t="str">
            <v/>
          </cell>
        </row>
        <row r="814">
          <cell r="G814" t="str">
            <v/>
          </cell>
          <cell r="H814" t="str">
            <v/>
          </cell>
          <cell r="I814" t="str">
            <v/>
          </cell>
          <cell r="J814" t="str">
            <v/>
          </cell>
          <cell r="K814" t="str">
            <v/>
          </cell>
          <cell r="L814" t="str">
            <v/>
          </cell>
          <cell r="M814" t="str">
            <v/>
          </cell>
          <cell r="N814" t="str">
            <v/>
          </cell>
          <cell r="O814" t="str">
            <v/>
          </cell>
          <cell r="P814" t="str">
            <v/>
          </cell>
          <cell r="Q814" t="str">
            <v/>
          </cell>
          <cell r="R814" t="str">
            <v/>
          </cell>
          <cell r="S814" t="str">
            <v/>
          </cell>
        </row>
        <row r="815">
          <cell r="G815" t="str">
            <v/>
          </cell>
          <cell r="H815" t="str">
            <v/>
          </cell>
          <cell r="I815" t="str">
            <v/>
          </cell>
          <cell r="J815" t="str">
            <v/>
          </cell>
          <cell r="K815" t="str">
            <v/>
          </cell>
          <cell r="L815" t="str">
            <v/>
          </cell>
          <cell r="M815" t="str">
            <v/>
          </cell>
          <cell r="N815" t="str">
            <v/>
          </cell>
          <cell r="O815" t="str">
            <v/>
          </cell>
          <cell r="P815" t="str">
            <v/>
          </cell>
          <cell r="Q815" t="str">
            <v/>
          </cell>
          <cell r="R815" t="str">
            <v/>
          </cell>
          <cell r="S815" t="str">
            <v/>
          </cell>
        </row>
        <row r="816">
          <cell r="G816" t="str">
            <v/>
          </cell>
          <cell r="H816" t="str">
            <v/>
          </cell>
          <cell r="I816" t="str">
            <v/>
          </cell>
          <cell r="J816" t="str">
            <v/>
          </cell>
          <cell r="K816" t="str">
            <v/>
          </cell>
          <cell r="L816" t="str">
            <v/>
          </cell>
          <cell r="M816" t="str">
            <v/>
          </cell>
          <cell r="N816" t="str">
            <v/>
          </cell>
          <cell r="O816" t="str">
            <v/>
          </cell>
          <cell r="P816" t="str">
            <v/>
          </cell>
          <cell r="Q816" t="str">
            <v/>
          </cell>
          <cell r="R816" t="str">
            <v/>
          </cell>
          <cell r="S816" t="str">
            <v/>
          </cell>
        </row>
        <row r="817">
          <cell r="G817" t="str">
            <v/>
          </cell>
          <cell r="H817" t="str">
            <v/>
          </cell>
          <cell r="I817" t="str">
            <v/>
          </cell>
          <cell r="J817" t="str">
            <v/>
          </cell>
          <cell r="K817" t="str">
            <v/>
          </cell>
          <cell r="L817" t="str">
            <v/>
          </cell>
          <cell r="M817" t="str">
            <v/>
          </cell>
          <cell r="N817" t="str">
            <v/>
          </cell>
          <cell r="O817" t="str">
            <v/>
          </cell>
          <cell r="P817" t="str">
            <v/>
          </cell>
          <cell r="Q817" t="str">
            <v/>
          </cell>
          <cell r="R817" t="str">
            <v/>
          </cell>
          <cell r="S817" t="str">
            <v/>
          </cell>
        </row>
        <row r="818">
          <cell r="G818" t="str">
            <v/>
          </cell>
          <cell r="H818" t="str">
            <v/>
          </cell>
          <cell r="I818" t="str">
            <v/>
          </cell>
          <cell r="J818" t="str">
            <v/>
          </cell>
          <cell r="K818" t="str">
            <v/>
          </cell>
          <cell r="L818" t="str">
            <v/>
          </cell>
          <cell r="M818" t="str">
            <v/>
          </cell>
          <cell r="N818" t="str">
            <v/>
          </cell>
          <cell r="O818" t="str">
            <v/>
          </cell>
          <cell r="P818" t="str">
            <v/>
          </cell>
          <cell r="Q818" t="str">
            <v/>
          </cell>
          <cell r="R818" t="str">
            <v/>
          </cell>
          <cell r="S818" t="str">
            <v/>
          </cell>
        </row>
        <row r="819">
          <cell r="G819" t="str">
            <v/>
          </cell>
          <cell r="H819" t="str">
            <v/>
          </cell>
          <cell r="I819" t="str">
            <v/>
          </cell>
          <cell r="J819" t="str">
            <v/>
          </cell>
          <cell r="K819" t="str">
            <v/>
          </cell>
          <cell r="L819" t="str">
            <v/>
          </cell>
          <cell r="M819" t="str">
            <v/>
          </cell>
          <cell r="N819" t="str">
            <v/>
          </cell>
          <cell r="O819" t="str">
            <v/>
          </cell>
          <cell r="P819" t="str">
            <v/>
          </cell>
          <cell r="Q819" t="str">
            <v/>
          </cell>
          <cell r="R819" t="str">
            <v/>
          </cell>
          <cell r="S819" t="str">
            <v/>
          </cell>
        </row>
        <row r="820">
          <cell r="G820" t="str">
            <v/>
          </cell>
          <cell r="H820" t="str">
            <v/>
          </cell>
          <cell r="I820" t="str">
            <v/>
          </cell>
          <cell r="J820" t="str">
            <v/>
          </cell>
          <cell r="K820" t="str">
            <v/>
          </cell>
          <cell r="L820" t="str">
            <v/>
          </cell>
          <cell r="M820" t="str">
            <v/>
          </cell>
          <cell r="N820" t="str">
            <v/>
          </cell>
          <cell r="O820" t="str">
            <v/>
          </cell>
          <cell r="P820" t="str">
            <v/>
          </cell>
          <cell r="Q820" t="str">
            <v/>
          </cell>
          <cell r="R820" t="str">
            <v/>
          </cell>
          <cell r="S820" t="str">
            <v/>
          </cell>
        </row>
        <row r="821">
          <cell r="G821" t="str">
            <v/>
          </cell>
          <cell r="H821" t="str">
            <v/>
          </cell>
          <cell r="I821" t="str">
            <v/>
          </cell>
          <cell r="J821" t="str">
            <v/>
          </cell>
          <cell r="K821" t="str">
            <v/>
          </cell>
          <cell r="L821" t="str">
            <v/>
          </cell>
          <cell r="M821" t="str">
            <v/>
          </cell>
          <cell r="N821" t="str">
            <v/>
          </cell>
          <cell r="O821" t="str">
            <v/>
          </cell>
          <cell r="P821" t="str">
            <v/>
          </cell>
          <cell r="Q821" t="str">
            <v/>
          </cell>
          <cell r="R821" t="str">
            <v/>
          </cell>
          <cell r="S821" t="str">
            <v/>
          </cell>
        </row>
        <row r="822">
          <cell r="G822" t="str">
            <v/>
          </cell>
          <cell r="H822" t="str">
            <v/>
          </cell>
          <cell r="I822" t="str">
            <v/>
          </cell>
          <cell r="J822" t="str">
            <v/>
          </cell>
          <cell r="K822" t="str">
            <v/>
          </cell>
          <cell r="L822" t="str">
            <v/>
          </cell>
          <cell r="M822" t="str">
            <v/>
          </cell>
          <cell r="N822" t="str">
            <v/>
          </cell>
          <cell r="O822" t="str">
            <v/>
          </cell>
          <cell r="P822" t="str">
            <v/>
          </cell>
          <cell r="Q822" t="str">
            <v/>
          </cell>
          <cell r="R822" t="str">
            <v/>
          </cell>
          <cell r="S822" t="str">
            <v/>
          </cell>
        </row>
        <row r="823">
          <cell r="G823" t="str">
            <v/>
          </cell>
          <cell r="H823" t="str">
            <v/>
          </cell>
          <cell r="I823" t="str">
            <v/>
          </cell>
          <cell r="J823" t="str">
            <v/>
          </cell>
          <cell r="K823" t="str">
            <v/>
          </cell>
          <cell r="L823" t="str">
            <v/>
          </cell>
          <cell r="M823" t="str">
            <v/>
          </cell>
          <cell r="N823" t="str">
            <v/>
          </cell>
          <cell r="O823" t="str">
            <v/>
          </cell>
          <cell r="P823" t="str">
            <v/>
          </cell>
          <cell r="Q823" t="str">
            <v/>
          </cell>
          <cell r="R823" t="str">
            <v/>
          </cell>
          <cell r="S823" t="str">
            <v/>
          </cell>
        </row>
        <row r="824">
          <cell r="G824" t="str">
            <v/>
          </cell>
          <cell r="H824" t="str">
            <v/>
          </cell>
          <cell r="I824" t="str">
            <v/>
          </cell>
          <cell r="J824" t="str">
            <v/>
          </cell>
          <cell r="K824" t="str">
            <v/>
          </cell>
          <cell r="L824" t="str">
            <v/>
          </cell>
          <cell r="M824" t="str">
            <v/>
          </cell>
          <cell r="N824" t="str">
            <v/>
          </cell>
          <cell r="O824" t="str">
            <v/>
          </cell>
          <cell r="P824" t="str">
            <v/>
          </cell>
          <cell r="Q824" t="str">
            <v/>
          </cell>
          <cell r="R824" t="str">
            <v/>
          </cell>
          <cell r="S824" t="str">
            <v/>
          </cell>
        </row>
        <row r="825">
          <cell r="G825" t="str">
            <v/>
          </cell>
          <cell r="H825" t="str">
            <v/>
          </cell>
          <cell r="I825" t="str">
            <v/>
          </cell>
          <cell r="J825" t="str">
            <v/>
          </cell>
          <cell r="K825" t="str">
            <v/>
          </cell>
          <cell r="L825" t="str">
            <v/>
          </cell>
          <cell r="M825" t="str">
            <v/>
          </cell>
          <cell r="N825" t="str">
            <v/>
          </cell>
          <cell r="O825" t="str">
            <v/>
          </cell>
          <cell r="P825" t="str">
            <v/>
          </cell>
          <cell r="Q825" t="str">
            <v/>
          </cell>
          <cell r="R825" t="str">
            <v/>
          </cell>
          <cell r="S825" t="str">
            <v/>
          </cell>
        </row>
        <row r="826">
          <cell r="G826" t="str">
            <v/>
          </cell>
          <cell r="H826" t="str">
            <v/>
          </cell>
          <cell r="I826" t="str">
            <v/>
          </cell>
          <cell r="J826" t="str">
            <v/>
          </cell>
          <cell r="K826" t="str">
            <v/>
          </cell>
          <cell r="L826" t="str">
            <v/>
          </cell>
          <cell r="M826" t="str">
            <v/>
          </cell>
          <cell r="N826" t="str">
            <v/>
          </cell>
          <cell r="O826" t="str">
            <v/>
          </cell>
          <cell r="P826" t="str">
            <v/>
          </cell>
          <cell r="Q826" t="str">
            <v/>
          </cell>
          <cell r="R826" t="str">
            <v/>
          </cell>
          <cell r="S826" t="str">
            <v/>
          </cell>
        </row>
        <row r="827">
          <cell r="G827" t="str">
            <v/>
          </cell>
          <cell r="H827" t="str">
            <v/>
          </cell>
          <cell r="I827" t="str">
            <v/>
          </cell>
          <cell r="J827" t="str">
            <v/>
          </cell>
          <cell r="K827" t="str">
            <v/>
          </cell>
          <cell r="L827" t="str">
            <v/>
          </cell>
          <cell r="M827" t="str">
            <v/>
          </cell>
          <cell r="N827" t="str">
            <v/>
          </cell>
          <cell r="O827" t="str">
            <v/>
          </cell>
          <cell r="P827" t="str">
            <v/>
          </cell>
          <cell r="Q827" t="str">
            <v/>
          </cell>
          <cell r="R827" t="str">
            <v/>
          </cell>
          <cell r="S827" t="str">
            <v/>
          </cell>
        </row>
        <row r="828">
          <cell r="G828" t="str">
            <v/>
          </cell>
          <cell r="H828" t="str">
            <v/>
          </cell>
          <cell r="I828" t="str">
            <v/>
          </cell>
          <cell r="J828" t="str">
            <v/>
          </cell>
          <cell r="K828" t="str">
            <v/>
          </cell>
          <cell r="L828" t="str">
            <v/>
          </cell>
          <cell r="M828" t="str">
            <v/>
          </cell>
          <cell r="N828" t="str">
            <v/>
          </cell>
          <cell r="O828" t="str">
            <v/>
          </cell>
          <cell r="P828" t="str">
            <v/>
          </cell>
          <cell r="Q828" t="str">
            <v/>
          </cell>
          <cell r="R828" t="str">
            <v/>
          </cell>
          <cell r="S828" t="str">
            <v/>
          </cell>
        </row>
        <row r="829">
          <cell r="G829" t="str">
            <v/>
          </cell>
          <cell r="H829" t="str">
            <v/>
          </cell>
          <cell r="I829" t="str">
            <v/>
          </cell>
          <cell r="J829" t="str">
            <v/>
          </cell>
          <cell r="K829" t="str">
            <v/>
          </cell>
          <cell r="L829" t="str">
            <v/>
          </cell>
          <cell r="M829" t="str">
            <v/>
          </cell>
          <cell r="N829" t="str">
            <v/>
          </cell>
          <cell r="O829" t="str">
            <v/>
          </cell>
          <cell r="P829" t="str">
            <v/>
          </cell>
          <cell r="Q829" t="str">
            <v/>
          </cell>
          <cell r="R829" t="str">
            <v/>
          </cell>
          <cell r="S829" t="str">
            <v/>
          </cell>
        </row>
        <row r="830">
          <cell r="G830" t="str">
            <v/>
          </cell>
          <cell r="H830" t="str">
            <v/>
          </cell>
          <cell r="I830" t="str">
            <v/>
          </cell>
          <cell r="J830" t="str">
            <v/>
          </cell>
          <cell r="K830" t="str">
            <v/>
          </cell>
          <cell r="L830" t="str">
            <v/>
          </cell>
          <cell r="M830" t="str">
            <v/>
          </cell>
          <cell r="N830" t="str">
            <v/>
          </cell>
          <cell r="O830" t="str">
            <v/>
          </cell>
          <cell r="P830" t="str">
            <v/>
          </cell>
          <cell r="Q830" t="str">
            <v/>
          </cell>
          <cell r="R830" t="str">
            <v/>
          </cell>
          <cell r="S830" t="str">
            <v/>
          </cell>
        </row>
        <row r="831">
          <cell r="G831" t="str">
            <v/>
          </cell>
          <cell r="H831" t="str">
            <v/>
          </cell>
          <cell r="I831" t="str">
            <v/>
          </cell>
          <cell r="J831" t="str">
            <v/>
          </cell>
          <cell r="K831" t="str">
            <v/>
          </cell>
          <cell r="L831" t="str">
            <v/>
          </cell>
          <cell r="M831" t="str">
            <v/>
          </cell>
          <cell r="N831" t="str">
            <v/>
          </cell>
          <cell r="O831" t="str">
            <v/>
          </cell>
          <cell r="P831" t="str">
            <v/>
          </cell>
          <cell r="Q831" t="str">
            <v/>
          </cell>
          <cell r="R831" t="str">
            <v/>
          </cell>
          <cell r="S831" t="str">
            <v/>
          </cell>
        </row>
        <row r="832">
          <cell r="G832" t="str">
            <v/>
          </cell>
          <cell r="H832" t="str">
            <v/>
          </cell>
          <cell r="I832" t="str">
            <v/>
          </cell>
          <cell r="J832" t="str">
            <v/>
          </cell>
          <cell r="K832" t="str">
            <v/>
          </cell>
          <cell r="L832" t="str">
            <v/>
          </cell>
          <cell r="M832" t="str">
            <v/>
          </cell>
          <cell r="N832" t="str">
            <v/>
          </cell>
          <cell r="O832" t="str">
            <v/>
          </cell>
          <cell r="P832" t="str">
            <v/>
          </cell>
          <cell r="Q832" t="str">
            <v/>
          </cell>
          <cell r="R832" t="str">
            <v/>
          </cell>
          <cell r="S832" t="str">
            <v/>
          </cell>
        </row>
        <row r="833">
          <cell r="G833" t="str">
            <v/>
          </cell>
          <cell r="H833" t="str">
            <v/>
          </cell>
          <cell r="I833" t="str">
            <v/>
          </cell>
          <cell r="J833" t="str">
            <v/>
          </cell>
          <cell r="K833" t="str">
            <v/>
          </cell>
          <cell r="L833" t="str">
            <v/>
          </cell>
          <cell r="M833" t="str">
            <v/>
          </cell>
          <cell r="N833" t="str">
            <v/>
          </cell>
          <cell r="O833" t="str">
            <v/>
          </cell>
          <cell r="P833" t="str">
            <v/>
          </cell>
          <cell r="Q833" t="str">
            <v/>
          </cell>
          <cell r="R833" t="str">
            <v/>
          </cell>
          <cell r="S833" t="str">
            <v/>
          </cell>
        </row>
        <row r="834">
          <cell r="G834" t="str">
            <v/>
          </cell>
          <cell r="H834" t="str">
            <v/>
          </cell>
          <cell r="I834" t="str">
            <v/>
          </cell>
          <cell r="J834" t="str">
            <v/>
          </cell>
          <cell r="K834" t="str">
            <v/>
          </cell>
          <cell r="L834" t="str">
            <v/>
          </cell>
          <cell r="M834" t="str">
            <v/>
          </cell>
          <cell r="N834" t="str">
            <v/>
          </cell>
          <cell r="O834" t="str">
            <v/>
          </cell>
          <cell r="P834" t="str">
            <v/>
          </cell>
          <cell r="Q834" t="str">
            <v/>
          </cell>
          <cell r="R834" t="str">
            <v/>
          </cell>
          <cell r="S834" t="str">
            <v/>
          </cell>
        </row>
        <row r="835">
          <cell r="G835" t="str">
            <v/>
          </cell>
          <cell r="H835" t="str">
            <v/>
          </cell>
          <cell r="I835" t="str">
            <v/>
          </cell>
          <cell r="J835" t="str">
            <v/>
          </cell>
          <cell r="K835" t="str">
            <v/>
          </cell>
          <cell r="L835" t="str">
            <v/>
          </cell>
          <cell r="M835" t="str">
            <v/>
          </cell>
          <cell r="N835" t="str">
            <v/>
          </cell>
          <cell r="O835" t="str">
            <v/>
          </cell>
          <cell r="P835" t="str">
            <v/>
          </cell>
          <cell r="Q835" t="str">
            <v/>
          </cell>
          <cell r="R835" t="str">
            <v/>
          </cell>
          <cell r="S835" t="str">
            <v/>
          </cell>
        </row>
        <row r="836">
          <cell r="G836" t="str">
            <v/>
          </cell>
          <cell r="H836" t="str">
            <v/>
          </cell>
          <cell r="I836" t="str">
            <v/>
          </cell>
          <cell r="J836" t="str">
            <v/>
          </cell>
          <cell r="K836" t="str">
            <v/>
          </cell>
          <cell r="L836" t="str">
            <v/>
          </cell>
          <cell r="M836" t="str">
            <v/>
          </cell>
          <cell r="N836" t="str">
            <v/>
          </cell>
          <cell r="O836" t="str">
            <v/>
          </cell>
          <cell r="P836" t="str">
            <v/>
          </cell>
          <cell r="Q836" t="str">
            <v/>
          </cell>
          <cell r="R836" t="str">
            <v/>
          </cell>
          <cell r="S836" t="str">
            <v/>
          </cell>
        </row>
        <row r="837">
          <cell r="G837" t="str">
            <v/>
          </cell>
          <cell r="H837" t="str">
            <v/>
          </cell>
          <cell r="I837" t="str">
            <v/>
          </cell>
          <cell r="J837" t="str">
            <v/>
          </cell>
          <cell r="K837" t="str">
            <v/>
          </cell>
          <cell r="L837" t="str">
            <v/>
          </cell>
          <cell r="M837" t="str">
            <v/>
          </cell>
          <cell r="N837" t="str">
            <v/>
          </cell>
          <cell r="O837" t="str">
            <v/>
          </cell>
          <cell r="P837" t="str">
            <v/>
          </cell>
          <cell r="Q837" t="str">
            <v/>
          </cell>
          <cell r="R837" t="str">
            <v/>
          </cell>
          <cell r="S837" t="str">
            <v/>
          </cell>
        </row>
        <row r="838">
          <cell r="G838" t="str">
            <v/>
          </cell>
          <cell r="H838" t="str">
            <v/>
          </cell>
          <cell r="I838" t="str">
            <v/>
          </cell>
          <cell r="J838" t="str">
            <v/>
          </cell>
          <cell r="K838" t="str">
            <v/>
          </cell>
          <cell r="L838" t="str">
            <v/>
          </cell>
          <cell r="M838" t="str">
            <v/>
          </cell>
          <cell r="N838" t="str">
            <v/>
          </cell>
          <cell r="O838" t="str">
            <v/>
          </cell>
          <cell r="P838" t="str">
            <v/>
          </cell>
          <cell r="Q838" t="str">
            <v/>
          </cell>
          <cell r="R838" t="str">
            <v/>
          </cell>
          <cell r="S838" t="str">
            <v/>
          </cell>
        </row>
        <row r="839">
          <cell r="G839" t="str">
            <v/>
          </cell>
          <cell r="H839" t="str">
            <v/>
          </cell>
          <cell r="I839" t="str">
            <v/>
          </cell>
          <cell r="J839" t="str">
            <v/>
          </cell>
          <cell r="K839" t="str">
            <v/>
          </cell>
          <cell r="L839" t="str">
            <v/>
          </cell>
          <cell r="M839" t="str">
            <v/>
          </cell>
          <cell r="N839" t="str">
            <v/>
          </cell>
          <cell r="O839" t="str">
            <v/>
          </cell>
          <cell r="P839" t="str">
            <v/>
          </cell>
          <cell r="Q839" t="str">
            <v/>
          </cell>
          <cell r="R839" t="str">
            <v/>
          </cell>
          <cell r="S839" t="str">
            <v/>
          </cell>
        </row>
        <row r="840">
          <cell r="G840" t="str">
            <v/>
          </cell>
          <cell r="H840" t="str">
            <v/>
          </cell>
          <cell r="I840" t="str">
            <v/>
          </cell>
          <cell r="J840" t="str">
            <v/>
          </cell>
          <cell r="K840" t="str">
            <v/>
          </cell>
          <cell r="L840" t="str">
            <v/>
          </cell>
          <cell r="M840" t="str">
            <v/>
          </cell>
          <cell r="N840" t="str">
            <v/>
          </cell>
          <cell r="O840" t="str">
            <v/>
          </cell>
          <cell r="P840" t="str">
            <v/>
          </cell>
          <cell r="Q840" t="str">
            <v/>
          </cell>
          <cell r="R840" t="str">
            <v/>
          </cell>
          <cell r="S840" t="str">
            <v/>
          </cell>
        </row>
        <row r="841">
          <cell r="G841" t="str">
            <v/>
          </cell>
          <cell r="H841" t="str">
            <v/>
          </cell>
          <cell r="I841" t="str">
            <v/>
          </cell>
          <cell r="J841" t="str">
            <v/>
          </cell>
          <cell r="K841" t="str">
            <v/>
          </cell>
          <cell r="L841" t="str">
            <v/>
          </cell>
          <cell r="M841" t="str">
            <v/>
          </cell>
          <cell r="N841" t="str">
            <v/>
          </cell>
          <cell r="O841" t="str">
            <v/>
          </cell>
          <cell r="P841" t="str">
            <v/>
          </cell>
          <cell r="Q841" t="str">
            <v/>
          </cell>
          <cell r="R841" t="str">
            <v/>
          </cell>
          <cell r="S841" t="str">
            <v/>
          </cell>
        </row>
        <row r="842">
          <cell r="G842" t="str">
            <v/>
          </cell>
          <cell r="H842" t="str">
            <v/>
          </cell>
          <cell r="I842" t="str">
            <v/>
          </cell>
          <cell r="J842" t="str">
            <v/>
          </cell>
          <cell r="K842" t="str">
            <v/>
          </cell>
          <cell r="L842" t="str">
            <v/>
          </cell>
          <cell r="M842" t="str">
            <v/>
          </cell>
          <cell r="N842" t="str">
            <v/>
          </cell>
          <cell r="O842" t="str">
            <v/>
          </cell>
          <cell r="P842" t="str">
            <v/>
          </cell>
          <cell r="Q842" t="str">
            <v/>
          </cell>
          <cell r="R842" t="str">
            <v/>
          </cell>
          <cell r="S842" t="str">
            <v/>
          </cell>
        </row>
        <row r="843">
          <cell r="G843" t="str">
            <v/>
          </cell>
          <cell r="H843" t="str">
            <v/>
          </cell>
          <cell r="I843" t="str">
            <v/>
          </cell>
          <cell r="J843" t="str">
            <v/>
          </cell>
          <cell r="K843" t="str">
            <v/>
          </cell>
          <cell r="L843" t="str">
            <v/>
          </cell>
          <cell r="M843" t="str">
            <v/>
          </cell>
          <cell r="N843" t="str">
            <v/>
          </cell>
          <cell r="O843" t="str">
            <v/>
          </cell>
          <cell r="P843" t="str">
            <v/>
          </cell>
          <cell r="Q843" t="str">
            <v/>
          </cell>
          <cell r="R843" t="str">
            <v/>
          </cell>
          <cell r="S843" t="str">
            <v/>
          </cell>
        </row>
        <row r="844">
          <cell r="G844" t="str">
            <v/>
          </cell>
          <cell r="H844" t="str">
            <v/>
          </cell>
          <cell r="I844" t="str">
            <v/>
          </cell>
          <cell r="J844" t="str">
            <v/>
          </cell>
          <cell r="K844" t="str">
            <v/>
          </cell>
          <cell r="L844" t="str">
            <v/>
          </cell>
          <cell r="M844" t="str">
            <v/>
          </cell>
          <cell r="N844" t="str">
            <v/>
          </cell>
          <cell r="O844" t="str">
            <v/>
          </cell>
          <cell r="P844" t="str">
            <v/>
          </cell>
          <cell r="Q844" t="str">
            <v/>
          </cell>
          <cell r="R844" t="str">
            <v/>
          </cell>
          <cell r="S844" t="str">
            <v/>
          </cell>
        </row>
        <row r="845">
          <cell r="G845" t="str">
            <v/>
          </cell>
          <cell r="H845" t="str">
            <v/>
          </cell>
          <cell r="I845" t="str">
            <v/>
          </cell>
          <cell r="J845" t="str">
            <v/>
          </cell>
          <cell r="K845" t="str">
            <v/>
          </cell>
          <cell r="L845" t="str">
            <v/>
          </cell>
          <cell r="M845" t="str">
            <v/>
          </cell>
          <cell r="N845" t="str">
            <v/>
          </cell>
          <cell r="O845" t="str">
            <v/>
          </cell>
          <cell r="P845" t="str">
            <v/>
          </cell>
          <cell r="Q845" t="str">
            <v/>
          </cell>
          <cell r="R845" t="str">
            <v/>
          </cell>
          <cell r="S845" t="str">
            <v/>
          </cell>
        </row>
        <row r="846">
          <cell r="G846" t="str">
            <v/>
          </cell>
          <cell r="H846" t="str">
            <v/>
          </cell>
          <cell r="I846" t="str">
            <v/>
          </cell>
          <cell r="J846" t="str">
            <v/>
          </cell>
          <cell r="K846" t="str">
            <v/>
          </cell>
          <cell r="L846" t="str">
            <v/>
          </cell>
          <cell r="M846" t="str">
            <v/>
          </cell>
          <cell r="N846" t="str">
            <v/>
          </cell>
          <cell r="O846" t="str">
            <v/>
          </cell>
          <cell r="P846" t="str">
            <v/>
          </cell>
          <cell r="Q846" t="str">
            <v/>
          </cell>
          <cell r="R846" t="str">
            <v/>
          </cell>
          <cell r="S846" t="str">
            <v/>
          </cell>
        </row>
        <row r="847">
          <cell r="G847" t="str">
            <v/>
          </cell>
          <cell r="H847" t="str">
            <v/>
          </cell>
          <cell r="I847" t="str">
            <v/>
          </cell>
          <cell r="J847" t="str">
            <v/>
          </cell>
          <cell r="K847" t="str">
            <v/>
          </cell>
          <cell r="L847" t="str">
            <v/>
          </cell>
          <cell r="M847" t="str">
            <v/>
          </cell>
          <cell r="N847" t="str">
            <v/>
          </cell>
          <cell r="O847" t="str">
            <v/>
          </cell>
          <cell r="P847" t="str">
            <v/>
          </cell>
          <cell r="Q847" t="str">
            <v/>
          </cell>
          <cell r="R847" t="str">
            <v/>
          </cell>
          <cell r="S847" t="str">
            <v/>
          </cell>
        </row>
        <row r="848">
          <cell r="G848" t="str">
            <v/>
          </cell>
          <cell r="H848" t="str">
            <v/>
          </cell>
          <cell r="I848" t="str">
            <v/>
          </cell>
          <cell r="J848" t="str">
            <v/>
          </cell>
          <cell r="K848" t="str">
            <v/>
          </cell>
          <cell r="L848" t="str">
            <v/>
          </cell>
          <cell r="M848" t="str">
            <v/>
          </cell>
          <cell r="N848" t="str">
            <v/>
          </cell>
          <cell r="O848" t="str">
            <v/>
          </cell>
          <cell r="P848" t="str">
            <v/>
          </cell>
          <cell r="Q848" t="str">
            <v/>
          </cell>
          <cell r="R848" t="str">
            <v/>
          </cell>
          <cell r="S848" t="str">
            <v/>
          </cell>
        </row>
        <row r="849">
          <cell r="G849" t="str">
            <v/>
          </cell>
          <cell r="H849" t="str">
            <v/>
          </cell>
          <cell r="I849" t="str">
            <v/>
          </cell>
          <cell r="J849" t="str">
            <v/>
          </cell>
          <cell r="K849" t="str">
            <v/>
          </cell>
          <cell r="L849" t="str">
            <v/>
          </cell>
          <cell r="M849" t="str">
            <v/>
          </cell>
          <cell r="N849" t="str">
            <v/>
          </cell>
          <cell r="O849" t="str">
            <v/>
          </cell>
          <cell r="P849" t="str">
            <v/>
          </cell>
          <cell r="Q849" t="str">
            <v/>
          </cell>
          <cell r="R849" t="str">
            <v/>
          </cell>
          <cell r="S849" t="str">
            <v/>
          </cell>
        </row>
        <row r="850">
          <cell r="G850" t="str">
            <v/>
          </cell>
          <cell r="H850" t="str">
            <v/>
          </cell>
          <cell r="I850" t="str">
            <v/>
          </cell>
          <cell r="J850" t="str">
            <v/>
          </cell>
          <cell r="K850" t="str">
            <v/>
          </cell>
          <cell r="L850" t="str">
            <v/>
          </cell>
          <cell r="M850" t="str">
            <v/>
          </cell>
          <cell r="N850" t="str">
            <v/>
          </cell>
          <cell r="O850" t="str">
            <v/>
          </cell>
          <cell r="P850" t="str">
            <v/>
          </cell>
          <cell r="Q850" t="str">
            <v/>
          </cell>
          <cell r="R850" t="str">
            <v/>
          </cell>
          <cell r="S850" t="str">
            <v/>
          </cell>
        </row>
        <row r="851">
          <cell r="G851" t="str">
            <v/>
          </cell>
          <cell r="H851" t="str">
            <v/>
          </cell>
          <cell r="I851" t="str">
            <v/>
          </cell>
          <cell r="J851" t="str">
            <v/>
          </cell>
          <cell r="K851" t="str">
            <v/>
          </cell>
          <cell r="L851" t="str">
            <v/>
          </cell>
          <cell r="M851" t="str">
            <v/>
          </cell>
          <cell r="N851" t="str">
            <v/>
          </cell>
          <cell r="O851" t="str">
            <v/>
          </cell>
          <cell r="P851" t="str">
            <v/>
          </cell>
          <cell r="Q851" t="str">
            <v/>
          </cell>
          <cell r="R851" t="str">
            <v/>
          </cell>
          <cell r="S851" t="str">
            <v/>
          </cell>
        </row>
        <row r="852">
          <cell r="G852" t="str">
            <v/>
          </cell>
          <cell r="H852" t="str">
            <v/>
          </cell>
          <cell r="I852" t="str">
            <v/>
          </cell>
          <cell r="J852" t="str">
            <v/>
          </cell>
          <cell r="K852" t="str">
            <v/>
          </cell>
          <cell r="L852" t="str">
            <v/>
          </cell>
          <cell r="M852" t="str">
            <v/>
          </cell>
          <cell r="N852" t="str">
            <v/>
          </cell>
          <cell r="O852" t="str">
            <v/>
          </cell>
          <cell r="P852" t="str">
            <v/>
          </cell>
          <cell r="Q852" t="str">
            <v/>
          </cell>
          <cell r="R852" t="str">
            <v/>
          </cell>
          <cell r="S852" t="str">
            <v/>
          </cell>
        </row>
        <row r="853">
          <cell r="G853" t="str">
            <v/>
          </cell>
          <cell r="H853" t="str">
            <v/>
          </cell>
          <cell r="I853" t="str">
            <v/>
          </cell>
          <cell r="J853" t="str">
            <v/>
          </cell>
          <cell r="K853" t="str">
            <v/>
          </cell>
          <cell r="L853" t="str">
            <v/>
          </cell>
          <cell r="M853" t="str">
            <v/>
          </cell>
          <cell r="N853" t="str">
            <v/>
          </cell>
          <cell r="O853" t="str">
            <v/>
          </cell>
          <cell r="P853" t="str">
            <v/>
          </cell>
          <cell r="Q853" t="str">
            <v/>
          </cell>
          <cell r="R853" t="str">
            <v/>
          </cell>
          <cell r="S853" t="str">
            <v/>
          </cell>
        </row>
        <row r="854">
          <cell r="G854" t="str">
            <v/>
          </cell>
          <cell r="H854" t="str">
            <v/>
          </cell>
          <cell r="I854" t="str">
            <v/>
          </cell>
          <cell r="J854" t="str">
            <v/>
          </cell>
          <cell r="K854" t="str">
            <v/>
          </cell>
          <cell r="L854" t="str">
            <v/>
          </cell>
          <cell r="M854" t="str">
            <v/>
          </cell>
          <cell r="N854" t="str">
            <v/>
          </cell>
          <cell r="O854" t="str">
            <v/>
          </cell>
          <cell r="P854" t="str">
            <v/>
          </cell>
          <cell r="Q854" t="str">
            <v/>
          </cell>
          <cell r="R854" t="str">
            <v/>
          </cell>
          <cell r="S854" t="str">
            <v/>
          </cell>
        </row>
        <row r="855">
          <cell r="G855" t="str">
            <v/>
          </cell>
          <cell r="H855" t="str">
            <v/>
          </cell>
          <cell r="I855" t="str">
            <v/>
          </cell>
          <cell r="J855" t="str">
            <v/>
          </cell>
          <cell r="K855" t="str">
            <v/>
          </cell>
          <cell r="L855" t="str">
            <v/>
          </cell>
          <cell r="M855" t="str">
            <v/>
          </cell>
          <cell r="N855" t="str">
            <v/>
          </cell>
          <cell r="O855" t="str">
            <v/>
          </cell>
          <cell r="P855" t="str">
            <v/>
          </cell>
          <cell r="Q855" t="str">
            <v/>
          </cell>
          <cell r="R855" t="str">
            <v/>
          </cell>
          <cell r="S855" t="str">
            <v/>
          </cell>
        </row>
        <row r="856">
          <cell r="G856" t="str">
            <v/>
          </cell>
          <cell r="H856" t="str">
            <v/>
          </cell>
          <cell r="I856" t="str">
            <v/>
          </cell>
          <cell r="J856" t="str">
            <v/>
          </cell>
          <cell r="K856" t="str">
            <v/>
          </cell>
          <cell r="L856" t="str">
            <v/>
          </cell>
          <cell r="M856" t="str">
            <v/>
          </cell>
          <cell r="N856" t="str">
            <v/>
          </cell>
          <cell r="O856" t="str">
            <v/>
          </cell>
          <cell r="P856" t="str">
            <v/>
          </cell>
          <cell r="Q856" t="str">
            <v/>
          </cell>
          <cell r="R856" t="str">
            <v/>
          </cell>
          <cell r="S856" t="str">
            <v/>
          </cell>
        </row>
        <row r="857">
          <cell r="G857" t="str">
            <v/>
          </cell>
          <cell r="H857" t="str">
            <v/>
          </cell>
          <cell r="I857" t="str">
            <v/>
          </cell>
          <cell r="J857" t="str">
            <v/>
          </cell>
          <cell r="K857" t="str">
            <v/>
          </cell>
          <cell r="L857" t="str">
            <v/>
          </cell>
          <cell r="M857" t="str">
            <v/>
          </cell>
          <cell r="N857" t="str">
            <v/>
          </cell>
          <cell r="O857" t="str">
            <v/>
          </cell>
          <cell r="P857" t="str">
            <v/>
          </cell>
          <cell r="Q857" t="str">
            <v/>
          </cell>
          <cell r="R857" t="str">
            <v/>
          </cell>
          <cell r="S857" t="str">
            <v/>
          </cell>
        </row>
        <row r="858">
          <cell r="G858" t="str">
            <v/>
          </cell>
          <cell r="H858" t="str">
            <v/>
          </cell>
          <cell r="I858" t="str">
            <v/>
          </cell>
          <cell r="J858" t="str">
            <v/>
          </cell>
          <cell r="K858" t="str">
            <v/>
          </cell>
          <cell r="L858" t="str">
            <v/>
          </cell>
          <cell r="M858" t="str">
            <v/>
          </cell>
          <cell r="N858" t="str">
            <v/>
          </cell>
          <cell r="O858" t="str">
            <v/>
          </cell>
          <cell r="P858" t="str">
            <v/>
          </cell>
          <cell r="Q858" t="str">
            <v/>
          </cell>
          <cell r="R858" t="str">
            <v/>
          </cell>
          <cell r="S858" t="str">
            <v/>
          </cell>
        </row>
        <row r="859">
          <cell r="G859" t="str">
            <v/>
          </cell>
          <cell r="H859" t="str">
            <v/>
          </cell>
          <cell r="I859" t="str">
            <v/>
          </cell>
          <cell r="J859" t="str">
            <v/>
          </cell>
          <cell r="K859" t="str">
            <v/>
          </cell>
          <cell r="L859" t="str">
            <v/>
          </cell>
          <cell r="M859" t="str">
            <v/>
          </cell>
          <cell r="N859" t="str">
            <v/>
          </cell>
          <cell r="O859" t="str">
            <v/>
          </cell>
          <cell r="P859" t="str">
            <v/>
          </cell>
          <cell r="Q859" t="str">
            <v/>
          </cell>
          <cell r="R859" t="str">
            <v/>
          </cell>
          <cell r="S859" t="str">
            <v/>
          </cell>
        </row>
        <row r="860">
          <cell r="G860" t="str">
            <v/>
          </cell>
          <cell r="H860" t="str">
            <v/>
          </cell>
          <cell r="I860" t="str">
            <v/>
          </cell>
          <cell r="J860" t="str">
            <v/>
          </cell>
          <cell r="K860" t="str">
            <v/>
          </cell>
          <cell r="L860" t="str">
            <v/>
          </cell>
          <cell r="M860" t="str">
            <v/>
          </cell>
          <cell r="N860" t="str">
            <v/>
          </cell>
          <cell r="O860" t="str">
            <v/>
          </cell>
          <cell r="P860" t="str">
            <v/>
          </cell>
          <cell r="Q860" t="str">
            <v/>
          </cell>
          <cell r="R860" t="str">
            <v/>
          </cell>
          <cell r="S860" t="str">
            <v/>
          </cell>
        </row>
        <row r="861">
          <cell r="G861" t="str">
            <v/>
          </cell>
          <cell r="H861" t="str">
            <v/>
          </cell>
          <cell r="I861" t="str">
            <v/>
          </cell>
          <cell r="J861" t="str">
            <v/>
          </cell>
          <cell r="K861" t="str">
            <v/>
          </cell>
          <cell r="L861" t="str">
            <v/>
          </cell>
          <cell r="M861" t="str">
            <v/>
          </cell>
          <cell r="N861" t="str">
            <v/>
          </cell>
          <cell r="O861" t="str">
            <v/>
          </cell>
          <cell r="P861" t="str">
            <v/>
          </cell>
          <cell r="Q861" t="str">
            <v/>
          </cell>
          <cell r="R861" t="str">
            <v/>
          </cell>
          <cell r="S861" t="str">
            <v/>
          </cell>
        </row>
        <row r="862">
          <cell r="G862" t="str">
            <v/>
          </cell>
          <cell r="H862" t="str">
            <v/>
          </cell>
          <cell r="I862" t="str">
            <v/>
          </cell>
          <cell r="J862" t="str">
            <v/>
          </cell>
          <cell r="K862" t="str">
            <v/>
          </cell>
          <cell r="L862" t="str">
            <v/>
          </cell>
          <cell r="M862" t="str">
            <v/>
          </cell>
          <cell r="N862" t="str">
            <v/>
          </cell>
          <cell r="O862" t="str">
            <v/>
          </cell>
          <cell r="P862" t="str">
            <v/>
          </cell>
          <cell r="Q862" t="str">
            <v/>
          </cell>
          <cell r="R862" t="str">
            <v/>
          </cell>
          <cell r="S862" t="str">
            <v/>
          </cell>
        </row>
        <row r="863">
          <cell r="G863" t="str">
            <v/>
          </cell>
          <cell r="H863" t="str">
            <v/>
          </cell>
          <cell r="I863" t="str">
            <v/>
          </cell>
          <cell r="J863" t="str">
            <v/>
          </cell>
          <cell r="K863" t="str">
            <v/>
          </cell>
          <cell r="L863" t="str">
            <v/>
          </cell>
          <cell r="M863" t="str">
            <v/>
          </cell>
          <cell r="N863" t="str">
            <v/>
          </cell>
          <cell r="O863" t="str">
            <v/>
          </cell>
          <cell r="P863" t="str">
            <v/>
          </cell>
          <cell r="Q863" t="str">
            <v/>
          </cell>
          <cell r="R863" t="str">
            <v/>
          </cell>
          <cell r="S863" t="str">
            <v/>
          </cell>
        </row>
        <row r="864">
          <cell r="G864" t="str">
            <v/>
          </cell>
          <cell r="H864" t="str">
            <v/>
          </cell>
          <cell r="I864" t="str">
            <v/>
          </cell>
          <cell r="J864" t="str">
            <v/>
          </cell>
          <cell r="K864" t="str">
            <v/>
          </cell>
          <cell r="L864" t="str">
            <v/>
          </cell>
          <cell r="M864" t="str">
            <v/>
          </cell>
          <cell r="N864" t="str">
            <v/>
          </cell>
          <cell r="O864" t="str">
            <v/>
          </cell>
          <cell r="P864" t="str">
            <v/>
          </cell>
          <cell r="Q864" t="str">
            <v/>
          </cell>
          <cell r="R864" t="str">
            <v/>
          </cell>
          <cell r="S864" t="str">
            <v/>
          </cell>
        </row>
        <row r="865">
          <cell r="G865" t="str">
            <v/>
          </cell>
          <cell r="H865" t="str">
            <v/>
          </cell>
          <cell r="I865" t="str">
            <v/>
          </cell>
          <cell r="J865" t="str">
            <v/>
          </cell>
          <cell r="K865" t="str">
            <v/>
          </cell>
          <cell r="L865" t="str">
            <v/>
          </cell>
          <cell r="M865" t="str">
            <v/>
          </cell>
          <cell r="N865" t="str">
            <v/>
          </cell>
          <cell r="O865" t="str">
            <v/>
          </cell>
          <cell r="P865" t="str">
            <v/>
          </cell>
          <cell r="Q865" t="str">
            <v/>
          </cell>
          <cell r="R865" t="str">
            <v/>
          </cell>
          <cell r="S865" t="str">
            <v/>
          </cell>
        </row>
        <row r="866">
          <cell r="G866" t="str">
            <v/>
          </cell>
          <cell r="H866" t="str">
            <v/>
          </cell>
          <cell r="I866" t="str">
            <v/>
          </cell>
          <cell r="J866" t="str">
            <v/>
          </cell>
          <cell r="K866" t="str">
            <v/>
          </cell>
          <cell r="L866" t="str">
            <v/>
          </cell>
          <cell r="M866" t="str">
            <v/>
          </cell>
          <cell r="N866" t="str">
            <v/>
          </cell>
          <cell r="O866" t="str">
            <v/>
          </cell>
          <cell r="P866" t="str">
            <v/>
          </cell>
          <cell r="Q866" t="str">
            <v/>
          </cell>
          <cell r="R866" t="str">
            <v/>
          </cell>
          <cell r="S866" t="str">
            <v/>
          </cell>
        </row>
        <row r="867">
          <cell r="G867" t="str">
            <v/>
          </cell>
          <cell r="H867" t="str">
            <v/>
          </cell>
          <cell r="I867" t="str">
            <v/>
          </cell>
          <cell r="J867" t="str">
            <v/>
          </cell>
          <cell r="K867" t="str">
            <v/>
          </cell>
          <cell r="L867" t="str">
            <v/>
          </cell>
          <cell r="M867" t="str">
            <v/>
          </cell>
          <cell r="N867" t="str">
            <v/>
          </cell>
          <cell r="O867" t="str">
            <v/>
          </cell>
          <cell r="P867" t="str">
            <v/>
          </cell>
          <cell r="Q867" t="str">
            <v/>
          </cell>
          <cell r="R867" t="str">
            <v/>
          </cell>
          <cell r="S867" t="str">
            <v/>
          </cell>
        </row>
        <row r="868">
          <cell r="G868" t="str">
            <v/>
          </cell>
          <cell r="H868" t="str">
            <v/>
          </cell>
          <cell r="I868" t="str">
            <v/>
          </cell>
          <cell r="J868" t="str">
            <v/>
          </cell>
          <cell r="K868" t="str">
            <v/>
          </cell>
          <cell r="L868" t="str">
            <v/>
          </cell>
          <cell r="M868" t="str">
            <v/>
          </cell>
          <cell r="N868" t="str">
            <v/>
          </cell>
          <cell r="O868" t="str">
            <v/>
          </cell>
          <cell r="P868" t="str">
            <v/>
          </cell>
          <cell r="Q868" t="str">
            <v/>
          </cell>
          <cell r="R868" t="str">
            <v/>
          </cell>
          <cell r="S868" t="str">
            <v/>
          </cell>
        </row>
        <row r="869">
          <cell r="G869" t="str">
            <v/>
          </cell>
          <cell r="H869" t="str">
            <v/>
          </cell>
          <cell r="I869" t="str">
            <v/>
          </cell>
          <cell r="J869" t="str">
            <v/>
          </cell>
          <cell r="K869" t="str">
            <v/>
          </cell>
          <cell r="L869" t="str">
            <v/>
          </cell>
          <cell r="M869" t="str">
            <v/>
          </cell>
          <cell r="N869" t="str">
            <v/>
          </cell>
          <cell r="O869" t="str">
            <v/>
          </cell>
          <cell r="P869" t="str">
            <v/>
          </cell>
          <cell r="Q869" t="str">
            <v/>
          </cell>
          <cell r="R869" t="str">
            <v/>
          </cell>
          <cell r="S869" t="str">
            <v/>
          </cell>
        </row>
        <row r="870">
          <cell r="G870" t="str">
            <v/>
          </cell>
          <cell r="H870" t="str">
            <v/>
          </cell>
          <cell r="I870" t="str">
            <v/>
          </cell>
          <cell r="J870" t="str">
            <v/>
          </cell>
          <cell r="K870" t="str">
            <v/>
          </cell>
          <cell r="L870" t="str">
            <v/>
          </cell>
          <cell r="M870" t="str">
            <v/>
          </cell>
          <cell r="N870" t="str">
            <v/>
          </cell>
          <cell r="O870" t="str">
            <v/>
          </cell>
          <cell r="P870" t="str">
            <v/>
          </cell>
          <cell r="Q870" t="str">
            <v/>
          </cell>
          <cell r="R870" t="str">
            <v/>
          </cell>
          <cell r="S870" t="str">
            <v/>
          </cell>
        </row>
        <row r="871">
          <cell r="G871" t="str">
            <v/>
          </cell>
          <cell r="H871" t="str">
            <v/>
          </cell>
          <cell r="I871" t="str">
            <v/>
          </cell>
          <cell r="J871" t="str">
            <v/>
          </cell>
          <cell r="K871" t="str">
            <v/>
          </cell>
          <cell r="L871" t="str">
            <v/>
          </cell>
          <cell r="M871" t="str">
            <v/>
          </cell>
          <cell r="N871" t="str">
            <v/>
          </cell>
          <cell r="O871" t="str">
            <v/>
          </cell>
          <cell r="P871" t="str">
            <v/>
          </cell>
          <cell r="Q871" t="str">
            <v/>
          </cell>
          <cell r="R871" t="str">
            <v/>
          </cell>
          <cell r="S871" t="str">
            <v/>
          </cell>
        </row>
        <row r="872">
          <cell r="G872" t="str">
            <v/>
          </cell>
          <cell r="H872" t="str">
            <v/>
          </cell>
          <cell r="I872" t="str">
            <v/>
          </cell>
          <cell r="J872" t="str">
            <v/>
          </cell>
          <cell r="K872" t="str">
            <v/>
          </cell>
          <cell r="L872" t="str">
            <v/>
          </cell>
          <cell r="M872" t="str">
            <v/>
          </cell>
          <cell r="N872" t="str">
            <v/>
          </cell>
          <cell r="O872" t="str">
            <v/>
          </cell>
          <cell r="P872" t="str">
            <v/>
          </cell>
          <cell r="Q872" t="str">
            <v/>
          </cell>
          <cell r="R872" t="str">
            <v/>
          </cell>
          <cell r="S872" t="str">
            <v/>
          </cell>
        </row>
        <row r="873">
          <cell r="G873" t="str">
            <v/>
          </cell>
          <cell r="H873" t="str">
            <v/>
          </cell>
          <cell r="I873" t="str">
            <v/>
          </cell>
          <cell r="J873" t="str">
            <v/>
          </cell>
          <cell r="K873" t="str">
            <v/>
          </cell>
          <cell r="L873" t="str">
            <v/>
          </cell>
          <cell r="M873" t="str">
            <v/>
          </cell>
          <cell r="N873" t="str">
            <v/>
          </cell>
          <cell r="O873" t="str">
            <v/>
          </cell>
          <cell r="P873" t="str">
            <v/>
          </cell>
          <cell r="Q873" t="str">
            <v/>
          </cell>
          <cell r="R873" t="str">
            <v/>
          </cell>
          <cell r="S873" t="str">
            <v/>
          </cell>
        </row>
        <row r="874">
          <cell r="G874" t="str">
            <v/>
          </cell>
          <cell r="H874" t="str">
            <v/>
          </cell>
          <cell r="I874" t="str">
            <v/>
          </cell>
          <cell r="J874" t="str">
            <v/>
          </cell>
          <cell r="K874" t="str">
            <v/>
          </cell>
          <cell r="L874" t="str">
            <v/>
          </cell>
          <cell r="M874" t="str">
            <v/>
          </cell>
          <cell r="N874" t="str">
            <v/>
          </cell>
          <cell r="O874" t="str">
            <v/>
          </cell>
          <cell r="P874" t="str">
            <v/>
          </cell>
          <cell r="Q874" t="str">
            <v/>
          </cell>
          <cell r="R874" t="str">
            <v/>
          </cell>
          <cell r="S874" t="str">
            <v/>
          </cell>
        </row>
        <row r="875">
          <cell r="G875" t="str">
            <v/>
          </cell>
          <cell r="H875" t="str">
            <v/>
          </cell>
          <cell r="I875" t="str">
            <v/>
          </cell>
          <cell r="J875" t="str">
            <v/>
          </cell>
          <cell r="K875" t="str">
            <v/>
          </cell>
          <cell r="L875" t="str">
            <v/>
          </cell>
          <cell r="M875" t="str">
            <v/>
          </cell>
          <cell r="N875" t="str">
            <v/>
          </cell>
          <cell r="O875" t="str">
            <v/>
          </cell>
          <cell r="P875" t="str">
            <v/>
          </cell>
          <cell r="Q875" t="str">
            <v/>
          </cell>
          <cell r="R875" t="str">
            <v/>
          </cell>
          <cell r="S875" t="str">
            <v/>
          </cell>
        </row>
        <row r="876">
          <cell r="G876" t="str">
            <v/>
          </cell>
          <cell r="H876" t="str">
            <v/>
          </cell>
          <cell r="I876" t="str">
            <v/>
          </cell>
          <cell r="J876" t="str">
            <v/>
          </cell>
          <cell r="K876" t="str">
            <v/>
          </cell>
          <cell r="L876" t="str">
            <v/>
          </cell>
          <cell r="M876" t="str">
            <v/>
          </cell>
          <cell r="N876" t="str">
            <v/>
          </cell>
          <cell r="O876" t="str">
            <v/>
          </cell>
          <cell r="P876" t="str">
            <v/>
          </cell>
          <cell r="Q876" t="str">
            <v/>
          </cell>
          <cell r="R876" t="str">
            <v/>
          </cell>
          <cell r="S876" t="str">
            <v/>
          </cell>
        </row>
        <row r="877">
          <cell r="G877" t="str">
            <v/>
          </cell>
          <cell r="H877" t="str">
            <v/>
          </cell>
          <cell r="I877" t="str">
            <v/>
          </cell>
          <cell r="J877" t="str">
            <v/>
          </cell>
          <cell r="K877" t="str">
            <v/>
          </cell>
          <cell r="L877" t="str">
            <v/>
          </cell>
          <cell r="M877" t="str">
            <v/>
          </cell>
          <cell r="N877" t="str">
            <v/>
          </cell>
          <cell r="O877" t="str">
            <v/>
          </cell>
          <cell r="P877" t="str">
            <v/>
          </cell>
          <cell r="Q877" t="str">
            <v/>
          </cell>
          <cell r="R877" t="str">
            <v/>
          </cell>
          <cell r="S877" t="str">
            <v/>
          </cell>
        </row>
        <row r="878">
          <cell r="G878" t="str">
            <v/>
          </cell>
          <cell r="H878" t="str">
            <v/>
          </cell>
          <cell r="I878" t="str">
            <v/>
          </cell>
          <cell r="J878" t="str">
            <v/>
          </cell>
          <cell r="K878" t="str">
            <v/>
          </cell>
          <cell r="L878" t="str">
            <v/>
          </cell>
          <cell r="M878" t="str">
            <v/>
          </cell>
          <cell r="N878" t="str">
            <v/>
          </cell>
          <cell r="O878" t="str">
            <v/>
          </cell>
          <cell r="P878" t="str">
            <v/>
          </cell>
          <cell r="Q878" t="str">
            <v/>
          </cell>
          <cell r="R878" t="str">
            <v/>
          </cell>
          <cell r="S878" t="str">
            <v/>
          </cell>
        </row>
        <row r="879">
          <cell r="G879" t="str">
            <v/>
          </cell>
          <cell r="H879" t="str">
            <v/>
          </cell>
          <cell r="I879" t="str">
            <v/>
          </cell>
          <cell r="J879" t="str">
            <v/>
          </cell>
          <cell r="K879" t="str">
            <v/>
          </cell>
          <cell r="L879" t="str">
            <v/>
          </cell>
          <cell r="M879" t="str">
            <v/>
          </cell>
          <cell r="N879" t="str">
            <v/>
          </cell>
          <cell r="O879" t="str">
            <v/>
          </cell>
          <cell r="P879" t="str">
            <v/>
          </cell>
          <cell r="Q879" t="str">
            <v/>
          </cell>
          <cell r="R879" t="str">
            <v/>
          </cell>
          <cell r="S879" t="str">
            <v/>
          </cell>
        </row>
        <row r="880">
          <cell r="G880" t="str">
            <v/>
          </cell>
          <cell r="H880" t="str">
            <v/>
          </cell>
          <cell r="I880" t="str">
            <v/>
          </cell>
          <cell r="J880" t="str">
            <v/>
          </cell>
          <cell r="K880" t="str">
            <v/>
          </cell>
          <cell r="L880" t="str">
            <v/>
          </cell>
          <cell r="M880" t="str">
            <v/>
          </cell>
          <cell r="N880" t="str">
            <v/>
          </cell>
          <cell r="O880" t="str">
            <v/>
          </cell>
          <cell r="P880" t="str">
            <v/>
          </cell>
          <cell r="Q880" t="str">
            <v/>
          </cell>
          <cell r="R880" t="str">
            <v/>
          </cell>
          <cell r="S880" t="str">
            <v/>
          </cell>
        </row>
        <row r="881">
          <cell r="G881" t="str">
            <v/>
          </cell>
          <cell r="H881" t="str">
            <v/>
          </cell>
          <cell r="I881" t="str">
            <v/>
          </cell>
          <cell r="J881" t="str">
            <v/>
          </cell>
          <cell r="K881" t="str">
            <v/>
          </cell>
          <cell r="L881" t="str">
            <v/>
          </cell>
          <cell r="M881" t="str">
            <v/>
          </cell>
          <cell r="N881" t="str">
            <v/>
          </cell>
          <cell r="O881" t="str">
            <v/>
          </cell>
          <cell r="P881" t="str">
            <v/>
          </cell>
          <cell r="Q881" t="str">
            <v/>
          </cell>
          <cell r="R881" t="str">
            <v/>
          </cell>
          <cell r="S881" t="str">
            <v/>
          </cell>
        </row>
        <row r="882">
          <cell r="G882" t="str">
            <v/>
          </cell>
          <cell r="H882" t="str">
            <v/>
          </cell>
          <cell r="I882" t="str">
            <v/>
          </cell>
          <cell r="J882" t="str">
            <v/>
          </cell>
          <cell r="K882" t="str">
            <v/>
          </cell>
          <cell r="L882" t="str">
            <v/>
          </cell>
          <cell r="M882" t="str">
            <v/>
          </cell>
          <cell r="N882" t="str">
            <v/>
          </cell>
          <cell r="O882" t="str">
            <v/>
          </cell>
          <cell r="P882" t="str">
            <v/>
          </cell>
          <cell r="Q882" t="str">
            <v/>
          </cell>
          <cell r="R882" t="str">
            <v/>
          </cell>
          <cell r="S882" t="str">
            <v/>
          </cell>
        </row>
        <row r="883">
          <cell r="G883" t="str">
            <v/>
          </cell>
          <cell r="H883" t="str">
            <v/>
          </cell>
          <cell r="I883" t="str">
            <v/>
          </cell>
          <cell r="J883" t="str">
            <v/>
          </cell>
          <cell r="K883" t="str">
            <v/>
          </cell>
          <cell r="L883" t="str">
            <v/>
          </cell>
          <cell r="M883" t="str">
            <v/>
          </cell>
          <cell r="N883" t="str">
            <v/>
          </cell>
          <cell r="O883" t="str">
            <v/>
          </cell>
          <cell r="P883" t="str">
            <v/>
          </cell>
          <cell r="Q883" t="str">
            <v/>
          </cell>
          <cell r="R883" t="str">
            <v/>
          </cell>
          <cell r="S883" t="str">
            <v/>
          </cell>
        </row>
        <row r="884">
          <cell r="G884" t="str">
            <v/>
          </cell>
          <cell r="H884" t="str">
            <v/>
          </cell>
          <cell r="I884" t="str">
            <v/>
          </cell>
          <cell r="J884" t="str">
            <v/>
          </cell>
          <cell r="K884" t="str">
            <v/>
          </cell>
          <cell r="L884" t="str">
            <v/>
          </cell>
          <cell r="M884" t="str">
            <v/>
          </cell>
          <cell r="N884" t="str">
            <v/>
          </cell>
          <cell r="O884" t="str">
            <v/>
          </cell>
          <cell r="P884" t="str">
            <v/>
          </cell>
          <cell r="Q884" t="str">
            <v/>
          </cell>
          <cell r="R884" t="str">
            <v/>
          </cell>
          <cell r="S884" t="str">
            <v/>
          </cell>
        </row>
        <row r="885">
          <cell r="G885" t="str">
            <v/>
          </cell>
          <cell r="H885" t="str">
            <v/>
          </cell>
          <cell r="I885" t="str">
            <v/>
          </cell>
          <cell r="J885" t="str">
            <v/>
          </cell>
          <cell r="K885" t="str">
            <v/>
          </cell>
          <cell r="L885" t="str">
            <v/>
          </cell>
          <cell r="M885" t="str">
            <v/>
          </cell>
          <cell r="N885" t="str">
            <v/>
          </cell>
          <cell r="O885" t="str">
            <v/>
          </cell>
          <cell r="P885" t="str">
            <v/>
          </cell>
          <cell r="Q885" t="str">
            <v/>
          </cell>
          <cell r="R885" t="str">
            <v/>
          </cell>
          <cell r="S885" t="str">
            <v/>
          </cell>
        </row>
        <row r="886">
          <cell r="G886" t="str">
            <v/>
          </cell>
          <cell r="H886" t="str">
            <v/>
          </cell>
          <cell r="I886" t="str">
            <v/>
          </cell>
          <cell r="J886" t="str">
            <v/>
          </cell>
          <cell r="K886" t="str">
            <v/>
          </cell>
          <cell r="L886" t="str">
            <v/>
          </cell>
          <cell r="M886" t="str">
            <v/>
          </cell>
          <cell r="N886" t="str">
            <v/>
          </cell>
          <cell r="O886" t="str">
            <v/>
          </cell>
          <cell r="P886" t="str">
            <v/>
          </cell>
          <cell r="Q886" t="str">
            <v/>
          </cell>
          <cell r="R886" t="str">
            <v/>
          </cell>
          <cell r="S886" t="str">
            <v/>
          </cell>
        </row>
        <row r="887">
          <cell r="G887" t="str">
            <v/>
          </cell>
          <cell r="H887" t="str">
            <v/>
          </cell>
          <cell r="I887" t="str">
            <v/>
          </cell>
          <cell r="J887" t="str">
            <v/>
          </cell>
          <cell r="K887" t="str">
            <v/>
          </cell>
          <cell r="L887" t="str">
            <v/>
          </cell>
          <cell r="M887" t="str">
            <v/>
          </cell>
          <cell r="N887" t="str">
            <v/>
          </cell>
          <cell r="O887" t="str">
            <v/>
          </cell>
          <cell r="P887" t="str">
            <v/>
          </cell>
          <cell r="Q887" t="str">
            <v/>
          </cell>
          <cell r="R887" t="str">
            <v/>
          </cell>
          <cell r="S887" t="str">
            <v/>
          </cell>
        </row>
        <row r="888">
          <cell r="G888" t="str">
            <v/>
          </cell>
          <cell r="H888" t="str">
            <v/>
          </cell>
          <cell r="I888" t="str">
            <v/>
          </cell>
          <cell r="J888" t="str">
            <v/>
          </cell>
          <cell r="K888" t="str">
            <v/>
          </cell>
          <cell r="L888" t="str">
            <v/>
          </cell>
          <cell r="M888" t="str">
            <v/>
          </cell>
          <cell r="N888" t="str">
            <v/>
          </cell>
          <cell r="O888" t="str">
            <v/>
          </cell>
          <cell r="P888" t="str">
            <v/>
          </cell>
          <cell r="Q888" t="str">
            <v/>
          </cell>
          <cell r="R888" t="str">
            <v/>
          </cell>
          <cell r="S888" t="str">
            <v/>
          </cell>
        </row>
        <row r="889">
          <cell r="G889" t="str">
            <v/>
          </cell>
          <cell r="H889" t="str">
            <v/>
          </cell>
          <cell r="I889" t="str">
            <v/>
          </cell>
          <cell r="J889" t="str">
            <v/>
          </cell>
          <cell r="K889" t="str">
            <v/>
          </cell>
          <cell r="L889" t="str">
            <v/>
          </cell>
          <cell r="M889" t="str">
            <v/>
          </cell>
          <cell r="N889" t="str">
            <v/>
          </cell>
          <cell r="O889" t="str">
            <v/>
          </cell>
          <cell r="P889" t="str">
            <v/>
          </cell>
          <cell r="Q889" t="str">
            <v/>
          </cell>
          <cell r="R889" t="str">
            <v/>
          </cell>
          <cell r="S889" t="str">
            <v/>
          </cell>
        </row>
        <row r="890">
          <cell r="G890" t="str">
            <v/>
          </cell>
          <cell r="H890" t="str">
            <v/>
          </cell>
          <cell r="I890" t="str">
            <v/>
          </cell>
          <cell r="J890" t="str">
            <v/>
          </cell>
          <cell r="K890" t="str">
            <v/>
          </cell>
          <cell r="L890" t="str">
            <v/>
          </cell>
          <cell r="M890" t="str">
            <v/>
          </cell>
          <cell r="N890" t="str">
            <v/>
          </cell>
          <cell r="O890" t="str">
            <v/>
          </cell>
          <cell r="P890" t="str">
            <v/>
          </cell>
          <cell r="Q890" t="str">
            <v/>
          </cell>
          <cell r="R890" t="str">
            <v/>
          </cell>
          <cell r="S890" t="str">
            <v/>
          </cell>
        </row>
        <row r="891">
          <cell r="G891" t="str">
            <v/>
          </cell>
          <cell r="H891" t="str">
            <v/>
          </cell>
          <cell r="I891" t="str">
            <v/>
          </cell>
          <cell r="J891" t="str">
            <v/>
          </cell>
          <cell r="K891" t="str">
            <v/>
          </cell>
          <cell r="L891" t="str">
            <v/>
          </cell>
          <cell r="M891" t="str">
            <v/>
          </cell>
          <cell r="N891" t="str">
            <v/>
          </cell>
          <cell r="O891" t="str">
            <v/>
          </cell>
          <cell r="P891" t="str">
            <v/>
          </cell>
          <cell r="Q891" t="str">
            <v/>
          </cell>
          <cell r="R891" t="str">
            <v/>
          </cell>
          <cell r="S891" t="str">
            <v/>
          </cell>
        </row>
        <row r="892">
          <cell r="G892" t="str">
            <v/>
          </cell>
          <cell r="H892" t="str">
            <v/>
          </cell>
          <cell r="I892" t="str">
            <v/>
          </cell>
          <cell r="J892" t="str">
            <v/>
          </cell>
          <cell r="K892" t="str">
            <v/>
          </cell>
          <cell r="L892" t="str">
            <v/>
          </cell>
          <cell r="M892" t="str">
            <v/>
          </cell>
          <cell r="N892" t="str">
            <v/>
          </cell>
          <cell r="O892" t="str">
            <v/>
          </cell>
          <cell r="P892" t="str">
            <v/>
          </cell>
          <cell r="Q892" t="str">
            <v/>
          </cell>
          <cell r="R892" t="str">
            <v/>
          </cell>
          <cell r="S892" t="str">
            <v/>
          </cell>
        </row>
        <row r="893">
          <cell r="G893" t="str">
            <v/>
          </cell>
          <cell r="H893" t="str">
            <v/>
          </cell>
          <cell r="I893" t="str">
            <v/>
          </cell>
          <cell r="J893" t="str">
            <v/>
          </cell>
          <cell r="K893" t="str">
            <v/>
          </cell>
          <cell r="L893" t="str">
            <v/>
          </cell>
          <cell r="M893" t="str">
            <v/>
          </cell>
          <cell r="N893" t="str">
            <v/>
          </cell>
          <cell r="O893" t="str">
            <v/>
          </cell>
          <cell r="P893" t="str">
            <v/>
          </cell>
          <cell r="Q893" t="str">
            <v/>
          </cell>
          <cell r="R893" t="str">
            <v/>
          </cell>
          <cell r="S893" t="str">
            <v/>
          </cell>
        </row>
        <row r="894">
          <cell r="G894" t="str">
            <v/>
          </cell>
          <cell r="H894" t="str">
            <v/>
          </cell>
          <cell r="I894" t="str">
            <v/>
          </cell>
          <cell r="J894" t="str">
            <v/>
          </cell>
          <cell r="K894" t="str">
            <v/>
          </cell>
          <cell r="L894" t="str">
            <v/>
          </cell>
          <cell r="M894" t="str">
            <v/>
          </cell>
          <cell r="N894" t="str">
            <v/>
          </cell>
          <cell r="O894" t="str">
            <v/>
          </cell>
          <cell r="P894" t="str">
            <v/>
          </cell>
          <cell r="Q894" t="str">
            <v/>
          </cell>
          <cell r="R894" t="str">
            <v/>
          </cell>
          <cell r="S894" t="str">
            <v/>
          </cell>
        </row>
        <row r="895">
          <cell r="G895" t="str">
            <v/>
          </cell>
          <cell r="H895" t="str">
            <v/>
          </cell>
          <cell r="I895" t="str">
            <v/>
          </cell>
          <cell r="J895" t="str">
            <v/>
          </cell>
          <cell r="K895" t="str">
            <v/>
          </cell>
          <cell r="L895" t="str">
            <v/>
          </cell>
          <cell r="M895" t="str">
            <v/>
          </cell>
          <cell r="N895" t="str">
            <v/>
          </cell>
          <cell r="O895" t="str">
            <v/>
          </cell>
          <cell r="P895" t="str">
            <v/>
          </cell>
          <cell r="Q895" t="str">
            <v/>
          </cell>
          <cell r="R895" t="str">
            <v/>
          </cell>
          <cell r="S895" t="str">
            <v/>
          </cell>
        </row>
        <row r="896">
          <cell r="G896" t="str">
            <v/>
          </cell>
          <cell r="H896" t="str">
            <v/>
          </cell>
          <cell r="I896" t="str">
            <v/>
          </cell>
          <cell r="J896" t="str">
            <v/>
          </cell>
          <cell r="K896" t="str">
            <v/>
          </cell>
          <cell r="L896" t="str">
            <v/>
          </cell>
          <cell r="M896" t="str">
            <v/>
          </cell>
          <cell r="N896" t="str">
            <v/>
          </cell>
          <cell r="O896" t="str">
            <v/>
          </cell>
          <cell r="P896" t="str">
            <v/>
          </cell>
          <cell r="Q896" t="str">
            <v/>
          </cell>
          <cell r="R896" t="str">
            <v/>
          </cell>
          <cell r="S896" t="str">
            <v/>
          </cell>
        </row>
        <row r="897">
          <cell r="G897" t="str">
            <v/>
          </cell>
          <cell r="H897" t="str">
            <v/>
          </cell>
          <cell r="I897" t="str">
            <v/>
          </cell>
          <cell r="J897" t="str">
            <v/>
          </cell>
          <cell r="K897" t="str">
            <v/>
          </cell>
          <cell r="L897" t="str">
            <v/>
          </cell>
          <cell r="M897" t="str">
            <v/>
          </cell>
          <cell r="N897" t="str">
            <v/>
          </cell>
          <cell r="O897" t="str">
            <v/>
          </cell>
          <cell r="P897" t="str">
            <v/>
          </cell>
          <cell r="Q897" t="str">
            <v/>
          </cell>
          <cell r="R897" t="str">
            <v/>
          </cell>
          <cell r="S897" t="str">
            <v/>
          </cell>
        </row>
        <row r="898">
          <cell r="G898" t="str">
            <v/>
          </cell>
          <cell r="H898" t="str">
            <v/>
          </cell>
          <cell r="I898" t="str">
            <v/>
          </cell>
          <cell r="J898" t="str">
            <v/>
          </cell>
          <cell r="K898" t="str">
            <v/>
          </cell>
          <cell r="L898" t="str">
            <v/>
          </cell>
          <cell r="M898" t="str">
            <v/>
          </cell>
          <cell r="N898" t="str">
            <v/>
          </cell>
          <cell r="O898" t="str">
            <v/>
          </cell>
          <cell r="P898" t="str">
            <v/>
          </cell>
          <cell r="Q898" t="str">
            <v/>
          </cell>
          <cell r="R898" t="str">
            <v/>
          </cell>
          <cell r="S898" t="str">
            <v/>
          </cell>
        </row>
        <row r="899">
          <cell r="G899" t="str">
            <v/>
          </cell>
          <cell r="H899" t="str">
            <v/>
          </cell>
          <cell r="I899" t="str">
            <v/>
          </cell>
          <cell r="J899" t="str">
            <v/>
          </cell>
          <cell r="K899" t="str">
            <v/>
          </cell>
          <cell r="L899" t="str">
            <v/>
          </cell>
          <cell r="M899" t="str">
            <v/>
          </cell>
          <cell r="N899" t="str">
            <v/>
          </cell>
          <cell r="O899" t="str">
            <v/>
          </cell>
          <cell r="P899" t="str">
            <v/>
          </cell>
          <cell r="Q899" t="str">
            <v/>
          </cell>
          <cell r="R899" t="str">
            <v/>
          </cell>
          <cell r="S899" t="str">
            <v/>
          </cell>
        </row>
        <row r="900">
          <cell r="G900" t="str">
            <v/>
          </cell>
          <cell r="H900" t="str">
            <v/>
          </cell>
          <cell r="I900" t="str">
            <v/>
          </cell>
          <cell r="J900" t="str">
            <v/>
          </cell>
          <cell r="K900" t="str">
            <v/>
          </cell>
          <cell r="L900" t="str">
            <v/>
          </cell>
          <cell r="M900" t="str">
            <v/>
          </cell>
          <cell r="N900" t="str">
            <v/>
          </cell>
          <cell r="O900" t="str">
            <v/>
          </cell>
          <cell r="P900" t="str">
            <v/>
          </cell>
          <cell r="Q900" t="str">
            <v/>
          </cell>
          <cell r="R900" t="str">
            <v/>
          </cell>
          <cell r="S900" t="str">
            <v/>
          </cell>
        </row>
        <row r="901">
          <cell r="G901" t="str">
            <v/>
          </cell>
          <cell r="H901" t="str">
            <v/>
          </cell>
          <cell r="I901" t="str">
            <v/>
          </cell>
          <cell r="J901" t="str">
            <v/>
          </cell>
          <cell r="K901" t="str">
            <v/>
          </cell>
          <cell r="L901" t="str">
            <v/>
          </cell>
          <cell r="M901" t="str">
            <v/>
          </cell>
          <cell r="N901" t="str">
            <v/>
          </cell>
          <cell r="O901" t="str">
            <v/>
          </cell>
          <cell r="P901" t="str">
            <v/>
          </cell>
          <cell r="Q901" t="str">
            <v/>
          </cell>
          <cell r="R901" t="str">
            <v/>
          </cell>
          <cell r="S901" t="str">
            <v/>
          </cell>
        </row>
        <row r="902">
          <cell r="G902" t="str">
            <v/>
          </cell>
          <cell r="H902" t="str">
            <v/>
          </cell>
          <cell r="I902" t="str">
            <v/>
          </cell>
          <cell r="J902" t="str">
            <v/>
          </cell>
          <cell r="K902" t="str">
            <v/>
          </cell>
          <cell r="L902" t="str">
            <v/>
          </cell>
          <cell r="M902" t="str">
            <v/>
          </cell>
          <cell r="N902" t="str">
            <v/>
          </cell>
          <cell r="O902" t="str">
            <v/>
          </cell>
          <cell r="P902" t="str">
            <v/>
          </cell>
          <cell r="Q902" t="str">
            <v/>
          </cell>
          <cell r="R902" t="str">
            <v/>
          </cell>
          <cell r="S902" t="str">
            <v/>
          </cell>
        </row>
        <row r="903">
          <cell r="G903" t="str">
            <v/>
          </cell>
          <cell r="H903" t="str">
            <v/>
          </cell>
          <cell r="I903" t="str">
            <v/>
          </cell>
          <cell r="J903" t="str">
            <v/>
          </cell>
          <cell r="K903" t="str">
            <v/>
          </cell>
          <cell r="L903" t="str">
            <v/>
          </cell>
          <cell r="M903" t="str">
            <v/>
          </cell>
          <cell r="N903" t="str">
            <v/>
          </cell>
          <cell r="O903" t="str">
            <v/>
          </cell>
          <cell r="P903" t="str">
            <v/>
          </cell>
          <cell r="Q903" t="str">
            <v/>
          </cell>
          <cell r="R903" t="str">
            <v/>
          </cell>
          <cell r="S903" t="str">
            <v/>
          </cell>
        </row>
        <row r="904">
          <cell r="G904" t="str">
            <v/>
          </cell>
          <cell r="H904" t="str">
            <v/>
          </cell>
          <cell r="I904" t="str">
            <v/>
          </cell>
          <cell r="J904" t="str">
            <v/>
          </cell>
          <cell r="K904" t="str">
            <v/>
          </cell>
          <cell r="L904" t="str">
            <v/>
          </cell>
          <cell r="M904" t="str">
            <v/>
          </cell>
          <cell r="N904" t="str">
            <v/>
          </cell>
          <cell r="O904" t="str">
            <v/>
          </cell>
          <cell r="P904" t="str">
            <v/>
          </cell>
          <cell r="Q904" t="str">
            <v/>
          </cell>
          <cell r="R904" t="str">
            <v/>
          </cell>
          <cell r="S904" t="str">
            <v/>
          </cell>
        </row>
        <row r="905">
          <cell r="G905" t="str">
            <v/>
          </cell>
          <cell r="H905" t="str">
            <v/>
          </cell>
          <cell r="I905" t="str">
            <v/>
          </cell>
          <cell r="J905" t="str">
            <v/>
          </cell>
          <cell r="K905" t="str">
            <v/>
          </cell>
          <cell r="L905" t="str">
            <v/>
          </cell>
          <cell r="M905" t="str">
            <v/>
          </cell>
          <cell r="N905" t="str">
            <v/>
          </cell>
          <cell r="O905" t="str">
            <v/>
          </cell>
          <cell r="P905" t="str">
            <v/>
          </cell>
          <cell r="Q905" t="str">
            <v/>
          </cell>
          <cell r="R905" t="str">
            <v/>
          </cell>
          <cell r="S905" t="str">
            <v/>
          </cell>
        </row>
        <row r="906">
          <cell r="G906" t="str">
            <v/>
          </cell>
          <cell r="H906" t="str">
            <v/>
          </cell>
          <cell r="I906" t="str">
            <v/>
          </cell>
          <cell r="J906" t="str">
            <v/>
          </cell>
          <cell r="K906" t="str">
            <v/>
          </cell>
          <cell r="L906" t="str">
            <v/>
          </cell>
          <cell r="M906" t="str">
            <v/>
          </cell>
          <cell r="N906" t="str">
            <v/>
          </cell>
          <cell r="O906" t="str">
            <v/>
          </cell>
          <cell r="P906" t="str">
            <v/>
          </cell>
          <cell r="Q906" t="str">
            <v/>
          </cell>
          <cell r="R906" t="str">
            <v/>
          </cell>
          <cell r="S906" t="str">
            <v/>
          </cell>
        </row>
        <row r="907">
          <cell r="G907" t="str">
            <v/>
          </cell>
          <cell r="H907" t="str">
            <v/>
          </cell>
          <cell r="I907" t="str">
            <v/>
          </cell>
          <cell r="J907" t="str">
            <v/>
          </cell>
          <cell r="K907" t="str">
            <v/>
          </cell>
          <cell r="L907" t="str">
            <v/>
          </cell>
          <cell r="M907" t="str">
            <v/>
          </cell>
          <cell r="N907" t="str">
            <v/>
          </cell>
          <cell r="O907" t="str">
            <v/>
          </cell>
          <cell r="P907" t="str">
            <v/>
          </cell>
          <cell r="Q907" t="str">
            <v/>
          </cell>
          <cell r="R907" t="str">
            <v/>
          </cell>
          <cell r="S907" t="str">
            <v/>
          </cell>
        </row>
        <row r="908">
          <cell r="G908" t="str">
            <v/>
          </cell>
          <cell r="H908" t="str">
            <v/>
          </cell>
          <cell r="I908" t="str">
            <v/>
          </cell>
          <cell r="J908" t="str">
            <v/>
          </cell>
          <cell r="K908" t="str">
            <v/>
          </cell>
          <cell r="L908" t="str">
            <v/>
          </cell>
          <cell r="M908" t="str">
            <v/>
          </cell>
          <cell r="N908" t="str">
            <v/>
          </cell>
          <cell r="O908" t="str">
            <v/>
          </cell>
          <cell r="P908" t="str">
            <v/>
          </cell>
          <cell r="Q908" t="str">
            <v/>
          </cell>
          <cell r="R908" t="str">
            <v/>
          </cell>
          <cell r="S908" t="str">
            <v/>
          </cell>
        </row>
        <row r="909">
          <cell r="G909" t="str">
            <v/>
          </cell>
          <cell r="H909" t="str">
            <v/>
          </cell>
          <cell r="I909" t="str">
            <v/>
          </cell>
          <cell r="J909" t="str">
            <v/>
          </cell>
          <cell r="K909" t="str">
            <v/>
          </cell>
          <cell r="L909" t="str">
            <v/>
          </cell>
          <cell r="M909" t="str">
            <v/>
          </cell>
          <cell r="N909" t="str">
            <v/>
          </cell>
          <cell r="O909" t="str">
            <v/>
          </cell>
          <cell r="P909" t="str">
            <v/>
          </cell>
          <cell r="Q909" t="str">
            <v/>
          </cell>
          <cell r="R909" t="str">
            <v/>
          </cell>
          <cell r="S909" t="str">
            <v/>
          </cell>
        </row>
        <row r="910">
          <cell r="G910" t="str">
            <v/>
          </cell>
          <cell r="H910" t="str">
            <v/>
          </cell>
          <cell r="I910" t="str">
            <v/>
          </cell>
          <cell r="J910" t="str">
            <v/>
          </cell>
          <cell r="K910" t="str">
            <v/>
          </cell>
          <cell r="L910" t="str">
            <v/>
          </cell>
          <cell r="M910" t="str">
            <v/>
          </cell>
          <cell r="N910" t="str">
            <v/>
          </cell>
          <cell r="O910" t="str">
            <v/>
          </cell>
          <cell r="P910" t="str">
            <v/>
          </cell>
          <cell r="Q910" t="str">
            <v/>
          </cell>
          <cell r="R910" t="str">
            <v/>
          </cell>
          <cell r="S910" t="str">
            <v/>
          </cell>
        </row>
        <row r="911">
          <cell r="G911" t="str">
            <v/>
          </cell>
          <cell r="H911" t="str">
            <v/>
          </cell>
          <cell r="I911" t="str">
            <v/>
          </cell>
          <cell r="J911" t="str">
            <v/>
          </cell>
          <cell r="K911" t="str">
            <v/>
          </cell>
          <cell r="L911" t="str">
            <v/>
          </cell>
          <cell r="M911" t="str">
            <v/>
          </cell>
          <cell r="N911" t="str">
            <v/>
          </cell>
          <cell r="O911" t="str">
            <v/>
          </cell>
          <cell r="P911" t="str">
            <v/>
          </cell>
          <cell r="Q911" t="str">
            <v/>
          </cell>
          <cell r="R911" t="str">
            <v/>
          </cell>
          <cell r="S911" t="str">
            <v/>
          </cell>
        </row>
        <row r="912">
          <cell r="G912" t="str">
            <v/>
          </cell>
          <cell r="H912" t="str">
            <v/>
          </cell>
          <cell r="I912" t="str">
            <v/>
          </cell>
          <cell r="J912" t="str">
            <v/>
          </cell>
          <cell r="K912" t="str">
            <v/>
          </cell>
          <cell r="L912" t="str">
            <v/>
          </cell>
          <cell r="M912" t="str">
            <v/>
          </cell>
          <cell r="N912" t="str">
            <v/>
          </cell>
          <cell r="O912" t="str">
            <v/>
          </cell>
          <cell r="P912" t="str">
            <v/>
          </cell>
          <cell r="Q912" t="str">
            <v/>
          </cell>
          <cell r="R912" t="str">
            <v/>
          </cell>
          <cell r="S912" t="str">
            <v/>
          </cell>
        </row>
        <row r="913">
          <cell r="G913" t="str">
            <v/>
          </cell>
          <cell r="H913" t="str">
            <v/>
          </cell>
          <cell r="I913" t="str">
            <v/>
          </cell>
          <cell r="J913" t="str">
            <v/>
          </cell>
          <cell r="K913" t="str">
            <v/>
          </cell>
          <cell r="L913" t="str">
            <v/>
          </cell>
          <cell r="M913" t="str">
            <v/>
          </cell>
          <cell r="N913" t="str">
            <v/>
          </cell>
          <cell r="O913" t="str">
            <v/>
          </cell>
          <cell r="P913" t="str">
            <v/>
          </cell>
          <cell r="Q913" t="str">
            <v/>
          </cell>
          <cell r="R913" t="str">
            <v/>
          </cell>
          <cell r="S913" t="str">
            <v/>
          </cell>
        </row>
        <row r="914">
          <cell r="G914" t="str">
            <v/>
          </cell>
          <cell r="H914" t="str">
            <v/>
          </cell>
          <cell r="I914" t="str">
            <v/>
          </cell>
          <cell r="J914" t="str">
            <v/>
          </cell>
          <cell r="K914" t="str">
            <v/>
          </cell>
          <cell r="L914" t="str">
            <v/>
          </cell>
          <cell r="M914" t="str">
            <v/>
          </cell>
          <cell r="N914" t="str">
            <v/>
          </cell>
          <cell r="O914" t="str">
            <v/>
          </cell>
          <cell r="P914" t="str">
            <v/>
          </cell>
          <cell r="Q914" t="str">
            <v/>
          </cell>
          <cell r="R914" t="str">
            <v/>
          </cell>
          <cell r="S914" t="str">
            <v/>
          </cell>
        </row>
        <row r="915">
          <cell r="G915" t="str">
            <v/>
          </cell>
          <cell r="H915" t="str">
            <v/>
          </cell>
          <cell r="I915" t="str">
            <v/>
          </cell>
          <cell r="J915" t="str">
            <v/>
          </cell>
          <cell r="K915" t="str">
            <v/>
          </cell>
          <cell r="L915" t="str">
            <v/>
          </cell>
          <cell r="M915" t="str">
            <v/>
          </cell>
          <cell r="N915" t="str">
            <v/>
          </cell>
          <cell r="O915" t="str">
            <v/>
          </cell>
          <cell r="P915" t="str">
            <v/>
          </cell>
          <cell r="Q915" t="str">
            <v/>
          </cell>
          <cell r="R915" t="str">
            <v/>
          </cell>
          <cell r="S915" t="str">
            <v/>
          </cell>
        </row>
        <row r="916">
          <cell r="G916" t="str">
            <v/>
          </cell>
          <cell r="H916" t="str">
            <v/>
          </cell>
          <cell r="I916" t="str">
            <v/>
          </cell>
          <cell r="J916" t="str">
            <v/>
          </cell>
          <cell r="K916" t="str">
            <v/>
          </cell>
          <cell r="L916" t="str">
            <v/>
          </cell>
          <cell r="M916" t="str">
            <v/>
          </cell>
          <cell r="N916" t="str">
            <v/>
          </cell>
          <cell r="O916" t="str">
            <v/>
          </cell>
          <cell r="P916" t="str">
            <v/>
          </cell>
          <cell r="Q916" t="str">
            <v/>
          </cell>
          <cell r="R916" t="str">
            <v/>
          </cell>
          <cell r="S916" t="str">
            <v/>
          </cell>
        </row>
        <row r="917">
          <cell r="G917" t="str">
            <v/>
          </cell>
          <cell r="H917" t="str">
            <v/>
          </cell>
          <cell r="I917" t="str">
            <v/>
          </cell>
          <cell r="J917" t="str">
            <v/>
          </cell>
          <cell r="K917" t="str">
            <v/>
          </cell>
          <cell r="L917" t="str">
            <v/>
          </cell>
          <cell r="M917" t="str">
            <v/>
          </cell>
          <cell r="N917" t="str">
            <v/>
          </cell>
          <cell r="O917" t="str">
            <v/>
          </cell>
          <cell r="P917" t="str">
            <v/>
          </cell>
          <cell r="Q917" t="str">
            <v/>
          </cell>
          <cell r="R917" t="str">
            <v/>
          </cell>
          <cell r="S917" t="str">
            <v/>
          </cell>
        </row>
        <row r="918">
          <cell r="G918" t="str">
            <v/>
          </cell>
          <cell r="H918" t="str">
            <v/>
          </cell>
          <cell r="I918" t="str">
            <v/>
          </cell>
          <cell r="J918" t="str">
            <v/>
          </cell>
          <cell r="K918" t="str">
            <v/>
          </cell>
          <cell r="L918" t="str">
            <v/>
          </cell>
          <cell r="M918" t="str">
            <v/>
          </cell>
          <cell r="N918" t="str">
            <v/>
          </cell>
          <cell r="O918" t="str">
            <v/>
          </cell>
          <cell r="P918" t="str">
            <v/>
          </cell>
          <cell r="Q918" t="str">
            <v/>
          </cell>
          <cell r="R918" t="str">
            <v/>
          </cell>
          <cell r="S918" t="str">
            <v/>
          </cell>
        </row>
        <row r="919">
          <cell r="G919" t="str">
            <v/>
          </cell>
          <cell r="H919" t="str">
            <v/>
          </cell>
          <cell r="I919" t="str">
            <v/>
          </cell>
          <cell r="J919" t="str">
            <v/>
          </cell>
          <cell r="K919" t="str">
            <v/>
          </cell>
          <cell r="L919" t="str">
            <v/>
          </cell>
          <cell r="M919" t="str">
            <v/>
          </cell>
          <cell r="N919" t="str">
            <v/>
          </cell>
          <cell r="O919" t="str">
            <v/>
          </cell>
          <cell r="P919" t="str">
            <v/>
          </cell>
          <cell r="Q919" t="str">
            <v/>
          </cell>
          <cell r="R919" t="str">
            <v/>
          </cell>
          <cell r="S919" t="str">
            <v/>
          </cell>
        </row>
        <row r="920">
          <cell r="G920" t="str">
            <v/>
          </cell>
          <cell r="H920" t="str">
            <v/>
          </cell>
          <cell r="I920" t="str">
            <v/>
          </cell>
          <cell r="J920" t="str">
            <v/>
          </cell>
          <cell r="K920" t="str">
            <v/>
          </cell>
          <cell r="L920" t="str">
            <v/>
          </cell>
          <cell r="M920" t="str">
            <v/>
          </cell>
          <cell r="N920" t="str">
            <v/>
          </cell>
          <cell r="O920" t="str">
            <v/>
          </cell>
          <cell r="P920" t="str">
            <v/>
          </cell>
          <cell r="Q920" t="str">
            <v/>
          </cell>
          <cell r="R920" t="str">
            <v/>
          </cell>
          <cell r="S920" t="str">
            <v/>
          </cell>
        </row>
        <row r="921">
          <cell r="G921" t="str">
            <v/>
          </cell>
          <cell r="H921" t="str">
            <v/>
          </cell>
          <cell r="I921" t="str">
            <v/>
          </cell>
          <cell r="J921" t="str">
            <v/>
          </cell>
          <cell r="K921" t="str">
            <v/>
          </cell>
          <cell r="L921" t="str">
            <v/>
          </cell>
          <cell r="M921" t="str">
            <v/>
          </cell>
          <cell r="N921" t="str">
            <v/>
          </cell>
          <cell r="O921" t="str">
            <v/>
          </cell>
          <cell r="P921" t="str">
            <v/>
          </cell>
          <cell r="Q921" t="str">
            <v/>
          </cell>
          <cell r="R921" t="str">
            <v/>
          </cell>
          <cell r="S921" t="str">
            <v/>
          </cell>
        </row>
        <row r="922">
          <cell r="G922" t="str">
            <v/>
          </cell>
          <cell r="H922" t="str">
            <v/>
          </cell>
          <cell r="I922" t="str">
            <v/>
          </cell>
          <cell r="J922" t="str">
            <v/>
          </cell>
          <cell r="K922" t="str">
            <v/>
          </cell>
          <cell r="L922" t="str">
            <v/>
          </cell>
          <cell r="M922" t="str">
            <v/>
          </cell>
          <cell r="N922" t="str">
            <v/>
          </cell>
          <cell r="O922" t="str">
            <v/>
          </cell>
          <cell r="P922" t="str">
            <v/>
          </cell>
          <cell r="Q922" t="str">
            <v/>
          </cell>
          <cell r="R922" t="str">
            <v/>
          </cell>
          <cell r="S922" t="str">
            <v/>
          </cell>
        </row>
        <row r="923">
          <cell r="G923" t="str">
            <v/>
          </cell>
          <cell r="H923" t="str">
            <v/>
          </cell>
          <cell r="I923" t="str">
            <v/>
          </cell>
          <cell r="J923" t="str">
            <v/>
          </cell>
          <cell r="K923" t="str">
            <v/>
          </cell>
          <cell r="L923" t="str">
            <v/>
          </cell>
          <cell r="M923" t="str">
            <v/>
          </cell>
          <cell r="N923" t="str">
            <v/>
          </cell>
          <cell r="O923" t="str">
            <v/>
          </cell>
          <cell r="P923" t="str">
            <v/>
          </cell>
          <cell r="Q923" t="str">
            <v/>
          </cell>
          <cell r="R923" t="str">
            <v/>
          </cell>
          <cell r="S923" t="str">
            <v/>
          </cell>
        </row>
        <row r="924">
          <cell r="G924" t="str">
            <v/>
          </cell>
          <cell r="H924" t="str">
            <v/>
          </cell>
          <cell r="I924" t="str">
            <v/>
          </cell>
          <cell r="J924" t="str">
            <v/>
          </cell>
          <cell r="K924" t="str">
            <v/>
          </cell>
          <cell r="L924" t="str">
            <v/>
          </cell>
          <cell r="M924" t="str">
            <v/>
          </cell>
          <cell r="N924" t="str">
            <v/>
          </cell>
          <cell r="O924" t="str">
            <v/>
          </cell>
          <cell r="P924" t="str">
            <v/>
          </cell>
          <cell r="Q924" t="str">
            <v/>
          </cell>
          <cell r="R924" t="str">
            <v/>
          </cell>
          <cell r="S924" t="str">
            <v/>
          </cell>
        </row>
        <row r="925">
          <cell r="G925" t="str">
            <v/>
          </cell>
          <cell r="H925" t="str">
            <v/>
          </cell>
          <cell r="I925" t="str">
            <v/>
          </cell>
          <cell r="J925" t="str">
            <v/>
          </cell>
          <cell r="K925" t="str">
            <v/>
          </cell>
          <cell r="L925" t="str">
            <v/>
          </cell>
          <cell r="M925" t="str">
            <v/>
          </cell>
          <cell r="N925" t="str">
            <v/>
          </cell>
          <cell r="O925" t="str">
            <v/>
          </cell>
          <cell r="P925" t="str">
            <v/>
          </cell>
          <cell r="Q925" t="str">
            <v/>
          </cell>
          <cell r="R925" t="str">
            <v/>
          </cell>
          <cell r="S925" t="str">
            <v/>
          </cell>
        </row>
        <row r="926">
          <cell r="G926" t="str">
            <v/>
          </cell>
          <cell r="H926" t="str">
            <v/>
          </cell>
          <cell r="I926" t="str">
            <v/>
          </cell>
          <cell r="J926" t="str">
            <v/>
          </cell>
          <cell r="K926" t="str">
            <v/>
          </cell>
          <cell r="L926" t="str">
            <v/>
          </cell>
          <cell r="M926" t="str">
            <v/>
          </cell>
          <cell r="N926" t="str">
            <v/>
          </cell>
          <cell r="O926" t="str">
            <v/>
          </cell>
          <cell r="P926" t="str">
            <v/>
          </cell>
          <cell r="Q926" t="str">
            <v/>
          </cell>
          <cell r="R926" t="str">
            <v/>
          </cell>
          <cell r="S926" t="str">
            <v/>
          </cell>
        </row>
        <row r="927">
          <cell r="G927" t="str">
            <v/>
          </cell>
          <cell r="H927" t="str">
            <v/>
          </cell>
          <cell r="I927" t="str">
            <v/>
          </cell>
          <cell r="J927" t="str">
            <v/>
          </cell>
          <cell r="K927" t="str">
            <v/>
          </cell>
          <cell r="L927" t="str">
            <v/>
          </cell>
          <cell r="M927" t="str">
            <v/>
          </cell>
          <cell r="N927" t="str">
            <v/>
          </cell>
          <cell r="O927" t="str">
            <v/>
          </cell>
          <cell r="P927" t="str">
            <v/>
          </cell>
          <cell r="Q927" t="str">
            <v/>
          </cell>
          <cell r="R927" t="str">
            <v/>
          </cell>
          <cell r="S927" t="str">
            <v/>
          </cell>
        </row>
        <row r="928">
          <cell r="G928" t="str">
            <v/>
          </cell>
          <cell r="H928" t="str">
            <v/>
          </cell>
          <cell r="I928" t="str">
            <v/>
          </cell>
          <cell r="J928" t="str">
            <v/>
          </cell>
          <cell r="K928" t="str">
            <v/>
          </cell>
          <cell r="L928" t="str">
            <v/>
          </cell>
          <cell r="M928" t="str">
            <v/>
          </cell>
          <cell r="N928" t="str">
            <v/>
          </cell>
          <cell r="O928" t="str">
            <v/>
          </cell>
          <cell r="P928" t="str">
            <v/>
          </cell>
          <cell r="Q928" t="str">
            <v/>
          </cell>
          <cell r="R928" t="str">
            <v/>
          </cell>
          <cell r="S928" t="str">
            <v/>
          </cell>
        </row>
        <row r="929">
          <cell r="G929" t="str">
            <v/>
          </cell>
          <cell r="H929" t="str">
            <v/>
          </cell>
          <cell r="I929" t="str">
            <v/>
          </cell>
          <cell r="J929" t="str">
            <v/>
          </cell>
          <cell r="K929" t="str">
            <v/>
          </cell>
          <cell r="L929" t="str">
            <v/>
          </cell>
          <cell r="M929" t="str">
            <v/>
          </cell>
          <cell r="N929" t="str">
            <v/>
          </cell>
          <cell r="O929" t="str">
            <v/>
          </cell>
          <cell r="P929" t="str">
            <v/>
          </cell>
          <cell r="Q929" t="str">
            <v/>
          </cell>
          <cell r="R929" t="str">
            <v/>
          </cell>
          <cell r="S929" t="str">
            <v/>
          </cell>
        </row>
        <row r="930">
          <cell r="G930" t="str">
            <v/>
          </cell>
          <cell r="H930" t="str">
            <v/>
          </cell>
          <cell r="I930" t="str">
            <v/>
          </cell>
          <cell r="J930" t="str">
            <v/>
          </cell>
          <cell r="K930" t="str">
            <v/>
          </cell>
          <cell r="L930" t="str">
            <v/>
          </cell>
          <cell r="M930" t="str">
            <v/>
          </cell>
          <cell r="N930" t="str">
            <v/>
          </cell>
          <cell r="O930" t="str">
            <v/>
          </cell>
          <cell r="P930" t="str">
            <v/>
          </cell>
          <cell r="Q930" t="str">
            <v/>
          </cell>
          <cell r="R930" t="str">
            <v/>
          </cell>
          <cell r="S930" t="str">
            <v/>
          </cell>
        </row>
        <row r="931">
          <cell r="G931" t="str">
            <v/>
          </cell>
          <cell r="H931" t="str">
            <v/>
          </cell>
          <cell r="I931" t="str">
            <v/>
          </cell>
          <cell r="J931" t="str">
            <v/>
          </cell>
          <cell r="K931" t="str">
            <v/>
          </cell>
          <cell r="L931" t="str">
            <v/>
          </cell>
          <cell r="M931" t="str">
            <v/>
          </cell>
          <cell r="N931" t="str">
            <v/>
          </cell>
          <cell r="O931" t="str">
            <v/>
          </cell>
          <cell r="P931" t="str">
            <v/>
          </cell>
          <cell r="Q931" t="str">
            <v/>
          </cell>
          <cell r="R931" t="str">
            <v/>
          </cell>
          <cell r="S931" t="str">
            <v/>
          </cell>
        </row>
        <row r="932">
          <cell r="G932" t="str">
            <v/>
          </cell>
          <cell r="H932" t="str">
            <v/>
          </cell>
          <cell r="I932" t="str">
            <v/>
          </cell>
          <cell r="J932" t="str">
            <v/>
          </cell>
          <cell r="K932" t="str">
            <v/>
          </cell>
          <cell r="L932" t="str">
            <v/>
          </cell>
          <cell r="M932" t="str">
            <v/>
          </cell>
          <cell r="N932" t="str">
            <v/>
          </cell>
          <cell r="O932" t="str">
            <v/>
          </cell>
          <cell r="P932" t="str">
            <v/>
          </cell>
          <cell r="Q932" t="str">
            <v/>
          </cell>
          <cell r="R932" t="str">
            <v/>
          </cell>
          <cell r="S932" t="str">
            <v/>
          </cell>
        </row>
        <row r="933">
          <cell r="G933" t="str">
            <v/>
          </cell>
          <cell r="H933" t="str">
            <v/>
          </cell>
          <cell r="I933" t="str">
            <v/>
          </cell>
          <cell r="J933" t="str">
            <v/>
          </cell>
          <cell r="K933" t="str">
            <v/>
          </cell>
          <cell r="L933" t="str">
            <v/>
          </cell>
          <cell r="M933" t="str">
            <v/>
          </cell>
          <cell r="N933" t="str">
            <v/>
          </cell>
          <cell r="O933" t="str">
            <v/>
          </cell>
          <cell r="P933" t="str">
            <v/>
          </cell>
          <cell r="Q933" t="str">
            <v/>
          </cell>
          <cell r="R933" t="str">
            <v/>
          </cell>
          <cell r="S933" t="str">
            <v/>
          </cell>
        </row>
        <row r="934">
          <cell r="G934" t="str">
            <v/>
          </cell>
          <cell r="H934" t="str">
            <v/>
          </cell>
          <cell r="I934" t="str">
            <v/>
          </cell>
          <cell r="J934" t="str">
            <v/>
          </cell>
          <cell r="K934" t="str">
            <v/>
          </cell>
          <cell r="L934" t="str">
            <v/>
          </cell>
          <cell r="M934" t="str">
            <v/>
          </cell>
          <cell r="N934" t="str">
            <v/>
          </cell>
          <cell r="O934" t="str">
            <v/>
          </cell>
          <cell r="P934" t="str">
            <v/>
          </cell>
          <cell r="Q934" t="str">
            <v/>
          </cell>
          <cell r="R934" t="str">
            <v/>
          </cell>
          <cell r="S934" t="str">
            <v/>
          </cell>
        </row>
        <row r="935">
          <cell r="G935" t="str">
            <v/>
          </cell>
          <cell r="H935" t="str">
            <v/>
          </cell>
          <cell r="I935" t="str">
            <v/>
          </cell>
          <cell r="J935" t="str">
            <v/>
          </cell>
          <cell r="K935" t="str">
            <v/>
          </cell>
          <cell r="L935" t="str">
            <v/>
          </cell>
          <cell r="M935" t="str">
            <v/>
          </cell>
          <cell r="N935" t="str">
            <v/>
          </cell>
          <cell r="O935" t="str">
            <v/>
          </cell>
          <cell r="P935" t="str">
            <v/>
          </cell>
          <cell r="Q935" t="str">
            <v/>
          </cell>
          <cell r="R935" t="str">
            <v/>
          </cell>
          <cell r="S935" t="str">
            <v/>
          </cell>
        </row>
        <row r="936">
          <cell r="G936" t="str">
            <v/>
          </cell>
          <cell r="H936" t="str">
            <v/>
          </cell>
          <cell r="I936" t="str">
            <v/>
          </cell>
          <cell r="J936" t="str">
            <v/>
          </cell>
          <cell r="K936" t="str">
            <v/>
          </cell>
          <cell r="L936" t="str">
            <v/>
          </cell>
          <cell r="M936" t="str">
            <v/>
          </cell>
          <cell r="N936" t="str">
            <v/>
          </cell>
          <cell r="O936" t="str">
            <v/>
          </cell>
          <cell r="P936" t="str">
            <v/>
          </cell>
          <cell r="Q936" t="str">
            <v/>
          </cell>
          <cell r="R936" t="str">
            <v/>
          </cell>
          <cell r="S936" t="str">
            <v/>
          </cell>
        </row>
        <row r="937">
          <cell r="G937" t="str">
            <v/>
          </cell>
          <cell r="H937" t="str">
            <v/>
          </cell>
          <cell r="I937" t="str">
            <v/>
          </cell>
          <cell r="J937" t="str">
            <v/>
          </cell>
          <cell r="K937" t="str">
            <v/>
          </cell>
          <cell r="L937" t="str">
            <v/>
          </cell>
          <cell r="M937" t="str">
            <v/>
          </cell>
          <cell r="N937" t="str">
            <v/>
          </cell>
          <cell r="O937" t="str">
            <v/>
          </cell>
          <cell r="P937" t="str">
            <v/>
          </cell>
          <cell r="Q937" t="str">
            <v/>
          </cell>
          <cell r="R937" t="str">
            <v/>
          </cell>
          <cell r="S937" t="str">
            <v/>
          </cell>
        </row>
        <row r="938">
          <cell r="G938" t="str">
            <v/>
          </cell>
          <cell r="H938" t="str">
            <v/>
          </cell>
          <cell r="I938" t="str">
            <v/>
          </cell>
          <cell r="J938" t="str">
            <v/>
          </cell>
          <cell r="K938" t="str">
            <v/>
          </cell>
          <cell r="L938" t="str">
            <v/>
          </cell>
          <cell r="M938" t="str">
            <v/>
          </cell>
          <cell r="N938" t="str">
            <v/>
          </cell>
          <cell r="O938" t="str">
            <v/>
          </cell>
          <cell r="P938" t="str">
            <v/>
          </cell>
          <cell r="Q938" t="str">
            <v/>
          </cell>
          <cell r="R938" t="str">
            <v/>
          </cell>
          <cell r="S938" t="str">
            <v/>
          </cell>
        </row>
        <row r="939">
          <cell r="G939" t="str">
            <v/>
          </cell>
          <cell r="H939" t="str">
            <v/>
          </cell>
          <cell r="I939" t="str">
            <v/>
          </cell>
          <cell r="J939" t="str">
            <v/>
          </cell>
          <cell r="K939" t="str">
            <v/>
          </cell>
          <cell r="L939" t="str">
            <v/>
          </cell>
          <cell r="M939" t="str">
            <v/>
          </cell>
          <cell r="N939" t="str">
            <v/>
          </cell>
          <cell r="O939" t="str">
            <v/>
          </cell>
          <cell r="P939" t="str">
            <v/>
          </cell>
          <cell r="Q939" t="str">
            <v/>
          </cell>
          <cell r="R939" t="str">
            <v/>
          </cell>
          <cell r="S939" t="str">
            <v/>
          </cell>
        </row>
        <row r="940">
          <cell r="G940" t="str">
            <v/>
          </cell>
          <cell r="H940" t="str">
            <v/>
          </cell>
          <cell r="I940" t="str">
            <v/>
          </cell>
          <cell r="J940" t="str">
            <v/>
          </cell>
          <cell r="K940" t="str">
            <v/>
          </cell>
          <cell r="L940" t="str">
            <v/>
          </cell>
          <cell r="M940" t="str">
            <v/>
          </cell>
          <cell r="N940" t="str">
            <v/>
          </cell>
          <cell r="O940" t="str">
            <v/>
          </cell>
          <cell r="P940" t="str">
            <v/>
          </cell>
          <cell r="Q940" t="str">
            <v/>
          </cell>
          <cell r="R940" t="str">
            <v/>
          </cell>
          <cell r="S940" t="str">
            <v/>
          </cell>
        </row>
        <row r="941">
          <cell r="G941" t="str">
            <v/>
          </cell>
          <cell r="H941" t="str">
            <v/>
          </cell>
          <cell r="I941" t="str">
            <v/>
          </cell>
          <cell r="J941" t="str">
            <v/>
          </cell>
          <cell r="K941" t="str">
            <v/>
          </cell>
          <cell r="L941" t="str">
            <v/>
          </cell>
          <cell r="M941" t="str">
            <v/>
          </cell>
          <cell r="N941" t="str">
            <v/>
          </cell>
          <cell r="O941" t="str">
            <v/>
          </cell>
          <cell r="P941" t="str">
            <v/>
          </cell>
          <cell r="Q941" t="str">
            <v/>
          </cell>
          <cell r="R941" t="str">
            <v/>
          </cell>
          <cell r="S941" t="str">
            <v/>
          </cell>
        </row>
        <row r="942">
          <cell r="G942" t="str">
            <v/>
          </cell>
          <cell r="H942" t="str">
            <v/>
          </cell>
          <cell r="I942" t="str">
            <v/>
          </cell>
          <cell r="J942" t="str">
            <v/>
          </cell>
          <cell r="K942" t="str">
            <v/>
          </cell>
          <cell r="L942" t="str">
            <v/>
          </cell>
          <cell r="M942" t="str">
            <v/>
          </cell>
          <cell r="N942" t="str">
            <v/>
          </cell>
          <cell r="O942" t="str">
            <v/>
          </cell>
          <cell r="P942" t="str">
            <v/>
          </cell>
          <cell r="Q942" t="str">
            <v/>
          </cell>
          <cell r="R942" t="str">
            <v/>
          </cell>
          <cell r="S942" t="str">
            <v/>
          </cell>
        </row>
        <row r="943">
          <cell r="G943" t="str">
            <v/>
          </cell>
          <cell r="H943" t="str">
            <v/>
          </cell>
          <cell r="I943" t="str">
            <v/>
          </cell>
          <cell r="J943" t="str">
            <v/>
          </cell>
          <cell r="K943" t="str">
            <v/>
          </cell>
          <cell r="L943" t="str">
            <v/>
          </cell>
          <cell r="M943" t="str">
            <v/>
          </cell>
          <cell r="N943" t="str">
            <v/>
          </cell>
          <cell r="O943" t="str">
            <v/>
          </cell>
          <cell r="P943" t="str">
            <v/>
          </cell>
          <cell r="Q943" t="str">
            <v/>
          </cell>
          <cell r="R943" t="str">
            <v/>
          </cell>
          <cell r="S943" t="str">
            <v/>
          </cell>
        </row>
        <row r="944">
          <cell r="G944" t="str">
            <v/>
          </cell>
          <cell r="H944" t="str">
            <v/>
          </cell>
          <cell r="I944" t="str">
            <v/>
          </cell>
          <cell r="J944" t="str">
            <v/>
          </cell>
          <cell r="K944" t="str">
            <v/>
          </cell>
          <cell r="L944" t="str">
            <v/>
          </cell>
          <cell r="M944" t="str">
            <v/>
          </cell>
          <cell r="N944" t="str">
            <v/>
          </cell>
          <cell r="O944" t="str">
            <v/>
          </cell>
          <cell r="P944" t="str">
            <v/>
          </cell>
          <cell r="Q944" t="str">
            <v/>
          </cell>
          <cell r="R944" t="str">
            <v/>
          </cell>
          <cell r="S944" t="str">
            <v/>
          </cell>
        </row>
        <row r="945">
          <cell r="G945" t="str">
            <v/>
          </cell>
          <cell r="H945" t="str">
            <v/>
          </cell>
          <cell r="I945" t="str">
            <v/>
          </cell>
          <cell r="J945" t="str">
            <v/>
          </cell>
          <cell r="K945" t="str">
            <v/>
          </cell>
          <cell r="L945" t="str">
            <v/>
          </cell>
          <cell r="M945" t="str">
            <v/>
          </cell>
          <cell r="N945" t="str">
            <v/>
          </cell>
          <cell r="O945" t="str">
            <v/>
          </cell>
          <cell r="P945" t="str">
            <v/>
          </cell>
          <cell r="Q945" t="str">
            <v/>
          </cell>
          <cell r="R945" t="str">
            <v/>
          </cell>
          <cell r="S945" t="str">
            <v/>
          </cell>
        </row>
        <row r="946">
          <cell r="G946" t="str">
            <v/>
          </cell>
          <cell r="H946" t="str">
            <v/>
          </cell>
          <cell r="I946" t="str">
            <v/>
          </cell>
          <cell r="J946" t="str">
            <v/>
          </cell>
          <cell r="K946" t="str">
            <v/>
          </cell>
          <cell r="L946" t="str">
            <v/>
          </cell>
          <cell r="M946" t="str">
            <v/>
          </cell>
          <cell r="N946" t="str">
            <v/>
          </cell>
          <cell r="O946" t="str">
            <v/>
          </cell>
          <cell r="P946" t="str">
            <v/>
          </cell>
          <cell r="Q946" t="str">
            <v/>
          </cell>
          <cell r="R946" t="str">
            <v/>
          </cell>
          <cell r="S946" t="str">
            <v/>
          </cell>
        </row>
        <row r="947">
          <cell r="G947" t="str">
            <v/>
          </cell>
          <cell r="H947" t="str">
            <v/>
          </cell>
          <cell r="I947" t="str">
            <v/>
          </cell>
          <cell r="J947" t="str">
            <v/>
          </cell>
          <cell r="K947" t="str">
            <v/>
          </cell>
          <cell r="L947" t="str">
            <v/>
          </cell>
          <cell r="M947" t="str">
            <v/>
          </cell>
          <cell r="N947" t="str">
            <v/>
          </cell>
          <cell r="O947" t="str">
            <v/>
          </cell>
          <cell r="P947" t="str">
            <v/>
          </cell>
          <cell r="Q947" t="str">
            <v/>
          </cell>
          <cell r="R947" t="str">
            <v/>
          </cell>
          <cell r="S947" t="str">
            <v/>
          </cell>
        </row>
        <row r="948">
          <cell r="G948" t="str">
            <v/>
          </cell>
          <cell r="H948" t="str">
            <v/>
          </cell>
          <cell r="I948" t="str">
            <v/>
          </cell>
          <cell r="J948" t="str">
            <v/>
          </cell>
          <cell r="K948" t="str">
            <v/>
          </cell>
          <cell r="L948" t="str">
            <v/>
          </cell>
          <cell r="M948" t="str">
            <v/>
          </cell>
          <cell r="N948" t="str">
            <v/>
          </cell>
          <cell r="O948" t="str">
            <v/>
          </cell>
          <cell r="P948" t="str">
            <v/>
          </cell>
          <cell r="Q948" t="str">
            <v/>
          </cell>
          <cell r="R948" t="str">
            <v/>
          </cell>
          <cell r="S948" t="str">
            <v/>
          </cell>
        </row>
        <row r="949">
          <cell r="G949" t="str">
            <v/>
          </cell>
          <cell r="H949" t="str">
            <v/>
          </cell>
          <cell r="I949" t="str">
            <v/>
          </cell>
          <cell r="J949" t="str">
            <v/>
          </cell>
          <cell r="K949" t="str">
            <v/>
          </cell>
          <cell r="L949" t="str">
            <v/>
          </cell>
          <cell r="M949" t="str">
            <v/>
          </cell>
          <cell r="N949" t="str">
            <v/>
          </cell>
          <cell r="O949" t="str">
            <v/>
          </cell>
          <cell r="P949" t="str">
            <v/>
          </cell>
          <cell r="Q949" t="str">
            <v/>
          </cell>
          <cell r="R949" t="str">
            <v/>
          </cell>
          <cell r="S949" t="str">
            <v/>
          </cell>
        </row>
        <row r="950">
          <cell r="G950" t="str">
            <v/>
          </cell>
          <cell r="H950" t="str">
            <v/>
          </cell>
          <cell r="I950" t="str">
            <v/>
          </cell>
          <cell r="J950" t="str">
            <v/>
          </cell>
          <cell r="K950" t="str">
            <v/>
          </cell>
          <cell r="L950" t="str">
            <v/>
          </cell>
          <cell r="M950" t="str">
            <v/>
          </cell>
          <cell r="N950" t="str">
            <v/>
          </cell>
          <cell r="O950" t="str">
            <v/>
          </cell>
          <cell r="P950" t="str">
            <v/>
          </cell>
          <cell r="Q950" t="str">
            <v/>
          </cell>
          <cell r="R950" t="str">
            <v/>
          </cell>
          <cell r="S950" t="str">
            <v/>
          </cell>
        </row>
        <row r="951">
          <cell r="G951" t="str">
            <v/>
          </cell>
          <cell r="H951" t="str">
            <v/>
          </cell>
          <cell r="I951" t="str">
            <v/>
          </cell>
          <cell r="J951" t="str">
            <v/>
          </cell>
          <cell r="K951" t="str">
            <v/>
          </cell>
          <cell r="L951" t="str">
            <v/>
          </cell>
          <cell r="M951" t="str">
            <v/>
          </cell>
          <cell r="N951" t="str">
            <v/>
          </cell>
          <cell r="O951" t="str">
            <v/>
          </cell>
          <cell r="P951" t="str">
            <v/>
          </cell>
          <cell r="Q951" t="str">
            <v/>
          </cell>
          <cell r="R951" t="str">
            <v/>
          </cell>
          <cell r="S951" t="str">
            <v/>
          </cell>
        </row>
        <row r="952">
          <cell r="G952" t="str">
            <v/>
          </cell>
          <cell r="H952" t="str">
            <v/>
          </cell>
          <cell r="I952" t="str">
            <v/>
          </cell>
          <cell r="J952" t="str">
            <v/>
          </cell>
          <cell r="K952" t="str">
            <v/>
          </cell>
          <cell r="L952" t="str">
            <v/>
          </cell>
          <cell r="M952" t="str">
            <v/>
          </cell>
          <cell r="N952" t="str">
            <v/>
          </cell>
          <cell r="O952" t="str">
            <v/>
          </cell>
          <cell r="P952" t="str">
            <v/>
          </cell>
          <cell r="Q952" t="str">
            <v/>
          </cell>
          <cell r="R952" t="str">
            <v/>
          </cell>
          <cell r="S952" t="str">
            <v/>
          </cell>
        </row>
        <row r="953">
          <cell r="G953" t="str">
            <v/>
          </cell>
          <cell r="H953" t="str">
            <v/>
          </cell>
          <cell r="I953" t="str">
            <v/>
          </cell>
          <cell r="J953" t="str">
            <v/>
          </cell>
          <cell r="K953" t="str">
            <v/>
          </cell>
          <cell r="L953" t="str">
            <v/>
          </cell>
          <cell r="M953" t="str">
            <v/>
          </cell>
          <cell r="N953" t="str">
            <v/>
          </cell>
          <cell r="O953" t="str">
            <v/>
          </cell>
          <cell r="P953" t="str">
            <v/>
          </cell>
          <cell r="Q953" t="str">
            <v/>
          </cell>
          <cell r="R953" t="str">
            <v/>
          </cell>
          <cell r="S953" t="str">
            <v/>
          </cell>
        </row>
        <row r="954">
          <cell r="G954" t="str">
            <v/>
          </cell>
          <cell r="H954" t="str">
            <v/>
          </cell>
          <cell r="I954" t="str">
            <v/>
          </cell>
          <cell r="J954" t="str">
            <v/>
          </cell>
          <cell r="K954" t="str">
            <v/>
          </cell>
          <cell r="L954" t="str">
            <v/>
          </cell>
          <cell r="M954" t="str">
            <v/>
          </cell>
          <cell r="N954" t="str">
            <v/>
          </cell>
          <cell r="O954" t="str">
            <v/>
          </cell>
          <cell r="P954" t="str">
            <v/>
          </cell>
          <cell r="Q954" t="str">
            <v/>
          </cell>
          <cell r="R954" t="str">
            <v/>
          </cell>
          <cell r="S954" t="str">
            <v/>
          </cell>
        </row>
        <row r="955">
          <cell r="G955" t="str">
            <v/>
          </cell>
          <cell r="H955" t="str">
            <v/>
          </cell>
          <cell r="I955" t="str">
            <v/>
          </cell>
          <cell r="J955" t="str">
            <v/>
          </cell>
          <cell r="K955" t="str">
            <v/>
          </cell>
          <cell r="L955" t="str">
            <v/>
          </cell>
          <cell r="M955" t="str">
            <v/>
          </cell>
          <cell r="N955" t="str">
            <v/>
          </cell>
          <cell r="O955" t="str">
            <v/>
          </cell>
          <cell r="P955" t="str">
            <v/>
          </cell>
          <cell r="Q955" t="str">
            <v/>
          </cell>
          <cell r="R955" t="str">
            <v/>
          </cell>
          <cell r="S955" t="str">
            <v/>
          </cell>
        </row>
        <row r="956">
          <cell r="G956" t="str">
            <v/>
          </cell>
          <cell r="H956" t="str">
            <v/>
          </cell>
          <cell r="I956" t="str">
            <v/>
          </cell>
          <cell r="J956" t="str">
            <v/>
          </cell>
          <cell r="K956" t="str">
            <v/>
          </cell>
          <cell r="L956" t="str">
            <v/>
          </cell>
          <cell r="M956" t="str">
            <v/>
          </cell>
          <cell r="N956" t="str">
            <v/>
          </cell>
          <cell r="O956" t="str">
            <v/>
          </cell>
          <cell r="P956" t="str">
            <v/>
          </cell>
          <cell r="Q956" t="str">
            <v/>
          </cell>
          <cell r="R956" t="str">
            <v/>
          </cell>
          <cell r="S956" t="str">
            <v/>
          </cell>
        </row>
        <row r="957">
          <cell r="G957" t="str">
            <v/>
          </cell>
          <cell r="H957" t="str">
            <v/>
          </cell>
          <cell r="I957" t="str">
            <v/>
          </cell>
          <cell r="J957" t="str">
            <v/>
          </cell>
          <cell r="K957" t="str">
            <v/>
          </cell>
          <cell r="L957" t="str">
            <v/>
          </cell>
          <cell r="M957" t="str">
            <v/>
          </cell>
          <cell r="N957" t="str">
            <v/>
          </cell>
          <cell r="O957" t="str">
            <v/>
          </cell>
          <cell r="P957" t="str">
            <v/>
          </cell>
          <cell r="Q957" t="str">
            <v/>
          </cell>
          <cell r="R957" t="str">
            <v/>
          </cell>
          <cell r="S957" t="str">
            <v/>
          </cell>
        </row>
        <row r="958">
          <cell r="G958" t="str">
            <v/>
          </cell>
          <cell r="H958" t="str">
            <v/>
          </cell>
          <cell r="I958" t="str">
            <v/>
          </cell>
          <cell r="J958" t="str">
            <v/>
          </cell>
          <cell r="K958" t="str">
            <v/>
          </cell>
          <cell r="L958" t="str">
            <v/>
          </cell>
          <cell r="M958" t="str">
            <v/>
          </cell>
          <cell r="N958" t="str">
            <v/>
          </cell>
          <cell r="O958" t="str">
            <v/>
          </cell>
          <cell r="P958" t="str">
            <v/>
          </cell>
          <cell r="Q958" t="str">
            <v/>
          </cell>
          <cell r="R958" t="str">
            <v/>
          </cell>
          <cell r="S958" t="str">
            <v/>
          </cell>
        </row>
        <row r="959">
          <cell r="G959" t="str">
            <v/>
          </cell>
          <cell r="H959" t="str">
            <v/>
          </cell>
          <cell r="I959" t="str">
            <v/>
          </cell>
          <cell r="J959" t="str">
            <v/>
          </cell>
          <cell r="K959" t="str">
            <v/>
          </cell>
          <cell r="L959" t="str">
            <v/>
          </cell>
          <cell r="M959" t="str">
            <v/>
          </cell>
          <cell r="N959" t="str">
            <v/>
          </cell>
          <cell r="O959" t="str">
            <v/>
          </cell>
          <cell r="P959" t="str">
            <v/>
          </cell>
          <cell r="Q959" t="str">
            <v/>
          </cell>
          <cell r="R959" t="str">
            <v/>
          </cell>
          <cell r="S959" t="str">
            <v/>
          </cell>
        </row>
        <row r="960">
          <cell r="G960" t="str">
            <v/>
          </cell>
          <cell r="H960" t="str">
            <v/>
          </cell>
          <cell r="I960" t="str">
            <v/>
          </cell>
          <cell r="J960" t="str">
            <v/>
          </cell>
          <cell r="K960" t="str">
            <v/>
          </cell>
          <cell r="L960" t="str">
            <v/>
          </cell>
          <cell r="M960" t="str">
            <v/>
          </cell>
          <cell r="N960" t="str">
            <v/>
          </cell>
          <cell r="O960" t="str">
            <v/>
          </cell>
          <cell r="P960" t="str">
            <v/>
          </cell>
          <cell r="Q960" t="str">
            <v/>
          </cell>
          <cell r="R960" t="str">
            <v/>
          </cell>
          <cell r="S960" t="str">
            <v/>
          </cell>
        </row>
        <row r="961">
          <cell r="G961" t="str">
            <v/>
          </cell>
          <cell r="H961" t="str">
            <v/>
          </cell>
          <cell r="I961" t="str">
            <v/>
          </cell>
          <cell r="J961" t="str">
            <v/>
          </cell>
          <cell r="K961" t="str">
            <v/>
          </cell>
          <cell r="L961" t="str">
            <v/>
          </cell>
          <cell r="M961" t="str">
            <v/>
          </cell>
          <cell r="N961" t="str">
            <v/>
          </cell>
          <cell r="O961" t="str">
            <v/>
          </cell>
          <cell r="P961" t="str">
            <v/>
          </cell>
          <cell r="Q961" t="str">
            <v/>
          </cell>
          <cell r="R961" t="str">
            <v/>
          </cell>
          <cell r="S961" t="str">
            <v/>
          </cell>
        </row>
        <row r="962">
          <cell r="G962" t="str">
            <v/>
          </cell>
          <cell r="H962" t="str">
            <v/>
          </cell>
          <cell r="I962" t="str">
            <v/>
          </cell>
          <cell r="J962" t="str">
            <v/>
          </cell>
          <cell r="K962" t="str">
            <v/>
          </cell>
          <cell r="L962" t="str">
            <v/>
          </cell>
          <cell r="M962" t="str">
            <v/>
          </cell>
          <cell r="N962" t="str">
            <v/>
          </cell>
          <cell r="O962" t="str">
            <v/>
          </cell>
          <cell r="P962" t="str">
            <v/>
          </cell>
          <cell r="Q962" t="str">
            <v/>
          </cell>
          <cell r="R962" t="str">
            <v/>
          </cell>
          <cell r="S962" t="str">
            <v/>
          </cell>
        </row>
        <row r="963">
          <cell r="G963" t="str">
            <v/>
          </cell>
          <cell r="H963" t="str">
            <v/>
          </cell>
          <cell r="I963" t="str">
            <v/>
          </cell>
          <cell r="J963" t="str">
            <v/>
          </cell>
          <cell r="K963" t="str">
            <v/>
          </cell>
          <cell r="L963" t="str">
            <v/>
          </cell>
          <cell r="M963" t="str">
            <v/>
          </cell>
          <cell r="N963" t="str">
            <v/>
          </cell>
          <cell r="O963" t="str">
            <v/>
          </cell>
          <cell r="P963" t="str">
            <v/>
          </cell>
          <cell r="Q963" t="str">
            <v/>
          </cell>
          <cell r="R963" t="str">
            <v/>
          </cell>
          <cell r="S963" t="str">
            <v/>
          </cell>
        </row>
        <row r="964">
          <cell r="G964" t="str">
            <v/>
          </cell>
          <cell r="H964" t="str">
            <v/>
          </cell>
          <cell r="I964" t="str">
            <v/>
          </cell>
          <cell r="J964" t="str">
            <v/>
          </cell>
          <cell r="K964" t="str">
            <v/>
          </cell>
          <cell r="L964" t="str">
            <v/>
          </cell>
          <cell r="M964" t="str">
            <v/>
          </cell>
          <cell r="N964" t="str">
            <v/>
          </cell>
          <cell r="O964" t="str">
            <v/>
          </cell>
          <cell r="P964" t="str">
            <v/>
          </cell>
          <cell r="Q964" t="str">
            <v/>
          </cell>
          <cell r="R964" t="str">
            <v/>
          </cell>
          <cell r="S964" t="str">
            <v/>
          </cell>
        </row>
        <row r="965">
          <cell r="G965" t="str">
            <v/>
          </cell>
          <cell r="H965" t="str">
            <v/>
          </cell>
          <cell r="I965" t="str">
            <v/>
          </cell>
          <cell r="J965" t="str">
            <v/>
          </cell>
          <cell r="K965" t="str">
            <v/>
          </cell>
          <cell r="L965" t="str">
            <v/>
          </cell>
          <cell r="M965" t="str">
            <v/>
          </cell>
          <cell r="N965" t="str">
            <v/>
          </cell>
          <cell r="O965" t="str">
            <v/>
          </cell>
          <cell r="P965" t="str">
            <v/>
          </cell>
          <cell r="Q965" t="str">
            <v/>
          </cell>
          <cell r="R965" t="str">
            <v/>
          </cell>
          <cell r="S965" t="str">
            <v/>
          </cell>
        </row>
        <row r="966">
          <cell r="G966" t="str">
            <v/>
          </cell>
          <cell r="H966" t="str">
            <v/>
          </cell>
          <cell r="I966" t="str">
            <v/>
          </cell>
          <cell r="J966" t="str">
            <v/>
          </cell>
          <cell r="K966" t="str">
            <v/>
          </cell>
          <cell r="L966" t="str">
            <v/>
          </cell>
          <cell r="M966" t="str">
            <v/>
          </cell>
          <cell r="N966" t="str">
            <v/>
          </cell>
          <cell r="O966" t="str">
            <v/>
          </cell>
          <cell r="P966" t="str">
            <v/>
          </cell>
          <cell r="Q966" t="str">
            <v/>
          </cell>
          <cell r="R966" t="str">
            <v/>
          </cell>
          <cell r="S966" t="str">
            <v/>
          </cell>
        </row>
        <row r="967">
          <cell r="G967" t="str">
            <v/>
          </cell>
          <cell r="H967" t="str">
            <v/>
          </cell>
          <cell r="I967" t="str">
            <v/>
          </cell>
          <cell r="J967" t="str">
            <v/>
          </cell>
          <cell r="K967" t="str">
            <v/>
          </cell>
          <cell r="L967" t="str">
            <v/>
          </cell>
          <cell r="M967" t="str">
            <v/>
          </cell>
          <cell r="N967" t="str">
            <v/>
          </cell>
          <cell r="O967" t="str">
            <v/>
          </cell>
          <cell r="P967" t="str">
            <v/>
          </cell>
          <cell r="Q967" t="str">
            <v/>
          </cell>
          <cell r="R967" t="str">
            <v/>
          </cell>
          <cell r="S967" t="str">
            <v/>
          </cell>
        </row>
        <row r="968">
          <cell r="G968" t="str">
            <v/>
          </cell>
          <cell r="H968" t="str">
            <v/>
          </cell>
          <cell r="I968" t="str">
            <v/>
          </cell>
          <cell r="J968" t="str">
            <v/>
          </cell>
          <cell r="K968" t="str">
            <v/>
          </cell>
          <cell r="L968" t="str">
            <v/>
          </cell>
          <cell r="M968" t="str">
            <v/>
          </cell>
          <cell r="N968" t="str">
            <v/>
          </cell>
          <cell r="O968" t="str">
            <v/>
          </cell>
          <cell r="P968" t="str">
            <v/>
          </cell>
          <cell r="Q968" t="str">
            <v/>
          </cell>
          <cell r="R968" t="str">
            <v/>
          </cell>
          <cell r="S968" t="str">
            <v/>
          </cell>
        </row>
        <row r="969">
          <cell r="G969" t="str">
            <v/>
          </cell>
          <cell r="H969" t="str">
            <v/>
          </cell>
          <cell r="I969" t="str">
            <v/>
          </cell>
          <cell r="J969" t="str">
            <v/>
          </cell>
          <cell r="K969" t="str">
            <v/>
          </cell>
          <cell r="L969" t="str">
            <v/>
          </cell>
          <cell r="M969" t="str">
            <v/>
          </cell>
          <cell r="N969" t="str">
            <v/>
          </cell>
          <cell r="O969" t="str">
            <v/>
          </cell>
          <cell r="P969" t="str">
            <v/>
          </cell>
          <cell r="Q969" t="str">
            <v/>
          </cell>
          <cell r="R969" t="str">
            <v/>
          </cell>
          <cell r="S969" t="str">
            <v/>
          </cell>
        </row>
        <row r="970">
          <cell r="G970" t="str">
            <v/>
          </cell>
          <cell r="H970" t="str">
            <v/>
          </cell>
          <cell r="I970" t="str">
            <v/>
          </cell>
          <cell r="J970" t="str">
            <v/>
          </cell>
          <cell r="K970" t="str">
            <v/>
          </cell>
          <cell r="L970" t="str">
            <v/>
          </cell>
          <cell r="M970" t="str">
            <v/>
          </cell>
          <cell r="N970" t="str">
            <v/>
          </cell>
          <cell r="O970" t="str">
            <v/>
          </cell>
          <cell r="P970" t="str">
            <v/>
          </cell>
          <cell r="Q970" t="str">
            <v/>
          </cell>
          <cell r="R970" t="str">
            <v/>
          </cell>
          <cell r="S970" t="str">
            <v/>
          </cell>
        </row>
        <row r="971">
          <cell r="G971" t="str">
            <v/>
          </cell>
          <cell r="H971" t="str">
            <v/>
          </cell>
          <cell r="I971" t="str">
            <v/>
          </cell>
          <cell r="J971" t="str">
            <v/>
          </cell>
          <cell r="K971" t="str">
            <v/>
          </cell>
          <cell r="L971" t="str">
            <v/>
          </cell>
          <cell r="M971" t="str">
            <v/>
          </cell>
          <cell r="N971" t="str">
            <v/>
          </cell>
          <cell r="O971" t="str">
            <v/>
          </cell>
          <cell r="P971" t="str">
            <v/>
          </cell>
          <cell r="Q971" t="str">
            <v/>
          </cell>
          <cell r="R971" t="str">
            <v/>
          </cell>
          <cell r="S971" t="str">
            <v/>
          </cell>
        </row>
        <row r="972">
          <cell r="G972" t="str">
            <v/>
          </cell>
          <cell r="H972" t="str">
            <v/>
          </cell>
          <cell r="I972" t="str">
            <v/>
          </cell>
          <cell r="J972" t="str">
            <v/>
          </cell>
          <cell r="K972" t="str">
            <v/>
          </cell>
          <cell r="L972" t="str">
            <v/>
          </cell>
          <cell r="M972" t="str">
            <v/>
          </cell>
          <cell r="N972" t="str">
            <v/>
          </cell>
          <cell r="O972" t="str">
            <v/>
          </cell>
          <cell r="P972" t="str">
            <v/>
          </cell>
          <cell r="Q972" t="str">
            <v/>
          </cell>
          <cell r="R972" t="str">
            <v/>
          </cell>
          <cell r="S972" t="str">
            <v/>
          </cell>
        </row>
        <row r="973">
          <cell r="G973" t="str">
            <v/>
          </cell>
          <cell r="H973" t="str">
            <v/>
          </cell>
          <cell r="I973" t="str">
            <v/>
          </cell>
          <cell r="J973" t="str">
            <v/>
          </cell>
          <cell r="K973" t="str">
            <v/>
          </cell>
          <cell r="L973" t="str">
            <v/>
          </cell>
          <cell r="M973" t="str">
            <v/>
          </cell>
          <cell r="N973" t="str">
            <v/>
          </cell>
          <cell r="O973" t="str">
            <v/>
          </cell>
          <cell r="P973" t="str">
            <v/>
          </cell>
          <cell r="Q973" t="str">
            <v/>
          </cell>
          <cell r="R973" t="str">
            <v/>
          </cell>
          <cell r="S973" t="str">
            <v/>
          </cell>
        </row>
        <row r="974">
          <cell r="G974" t="str">
            <v/>
          </cell>
          <cell r="H974" t="str">
            <v/>
          </cell>
          <cell r="I974" t="str">
            <v/>
          </cell>
          <cell r="J974" t="str">
            <v/>
          </cell>
          <cell r="K974" t="str">
            <v/>
          </cell>
          <cell r="L974" t="str">
            <v/>
          </cell>
          <cell r="M974" t="str">
            <v/>
          </cell>
          <cell r="N974" t="str">
            <v/>
          </cell>
          <cell r="O974" t="str">
            <v/>
          </cell>
          <cell r="P974" t="str">
            <v/>
          </cell>
          <cell r="Q974" t="str">
            <v/>
          </cell>
          <cell r="R974" t="str">
            <v/>
          </cell>
          <cell r="S974" t="str">
            <v/>
          </cell>
        </row>
        <row r="975">
          <cell r="G975" t="str">
            <v/>
          </cell>
          <cell r="H975" t="str">
            <v/>
          </cell>
          <cell r="I975" t="str">
            <v/>
          </cell>
          <cell r="J975" t="str">
            <v/>
          </cell>
          <cell r="K975" t="str">
            <v/>
          </cell>
          <cell r="L975" t="str">
            <v/>
          </cell>
          <cell r="M975" t="str">
            <v/>
          </cell>
          <cell r="N975" t="str">
            <v/>
          </cell>
          <cell r="O975" t="str">
            <v/>
          </cell>
          <cell r="P975" t="str">
            <v/>
          </cell>
          <cell r="Q975" t="str">
            <v/>
          </cell>
          <cell r="R975" t="str">
            <v/>
          </cell>
          <cell r="S975" t="str">
            <v/>
          </cell>
        </row>
        <row r="976">
          <cell r="G976" t="str">
            <v/>
          </cell>
          <cell r="H976" t="str">
            <v/>
          </cell>
          <cell r="I976" t="str">
            <v/>
          </cell>
          <cell r="J976" t="str">
            <v/>
          </cell>
          <cell r="K976" t="str">
            <v/>
          </cell>
          <cell r="L976" t="str">
            <v/>
          </cell>
          <cell r="M976" t="str">
            <v/>
          </cell>
          <cell r="N976" t="str">
            <v/>
          </cell>
          <cell r="O976" t="str">
            <v/>
          </cell>
          <cell r="P976" t="str">
            <v/>
          </cell>
          <cell r="Q976" t="str">
            <v/>
          </cell>
          <cell r="R976" t="str">
            <v/>
          </cell>
          <cell r="S976" t="str">
            <v/>
          </cell>
        </row>
        <row r="977">
          <cell r="G977" t="str">
            <v/>
          </cell>
          <cell r="H977" t="str">
            <v/>
          </cell>
          <cell r="I977" t="str">
            <v/>
          </cell>
          <cell r="J977" t="str">
            <v/>
          </cell>
          <cell r="K977" t="str">
            <v/>
          </cell>
          <cell r="L977" t="str">
            <v/>
          </cell>
          <cell r="M977" t="str">
            <v/>
          </cell>
          <cell r="N977" t="str">
            <v/>
          </cell>
          <cell r="O977" t="str">
            <v/>
          </cell>
          <cell r="P977" t="str">
            <v/>
          </cell>
          <cell r="Q977" t="str">
            <v/>
          </cell>
          <cell r="R977" t="str">
            <v/>
          </cell>
          <cell r="S977" t="str">
            <v/>
          </cell>
        </row>
        <row r="978">
          <cell r="G978" t="str">
            <v/>
          </cell>
          <cell r="H978" t="str">
            <v/>
          </cell>
          <cell r="I978" t="str">
            <v/>
          </cell>
          <cell r="J978" t="str">
            <v/>
          </cell>
          <cell r="K978" t="str">
            <v/>
          </cell>
          <cell r="L978" t="str">
            <v/>
          </cell>
          <cell r="M978" t="str">
            <v/>
          </cell>
          <cell r="N978" t="str">
            <v/>
          </cell>
          <cell r="O978" t="str">
            <v/>
          </cell>
          <cell r="P978" t="str">
            <v/>
          </cell>
          <cell r="Q978" t="str">
            <v/>
          </cell>
          <cell r="R978" t="str">
            <v/>
          </cell>
          <cell r="S978" t="str">
            <v/>
          </cell>
        </row>
        <row r="979">
          <cell r="G979" t="str">
            <v/>
          </cell>
          <cell r="H979" t="str">
            <v/>
          </cell>
          <cell r="I979" t="str">
            <v/>
          </cell>
          <cell r="J979" t="str">
            <v/>
          </cell>
          <cell r="K979" t="str">
            <v/>
          </cell>
          <cell r="L979" t="str">
            <v/>
          </cell>
          <cell r="M979" t="str">
            <v/>
          </cell>
          <cell r="N979" t="str">
            <v/>
          </cell>
          <cell r="O979" t="str">
            <v/>
          </cell>
          <cell r="P979" t="str">
            <v/>
          </cell>
          <cell r="Q979" t="str">
            <v/>
          </cell>
          <cell r="R979" t="str">
            <v/>
          </cell>
          <cell r="S979" t="str">
            <v/>
          </cell>
        </row>
        <row r="980">
          <cell r="G980" t="str">
            <v/>
          </cell>
          <cell r="H980" t="str">
            <v/>
          </cell>
          <cell r="I980" t="str">
            <v/>
          </cell>
          <cell r="J980" t="str">
            <v/>
          </cell>
          <cell r="K980" t="str">
            <v/>
          </cell>
          <cell r="L980" t="str">
            <v/>
          </cell>
          <cell r="M980" t="str">
            <v/>
          </cell>
          <cell r="N980" t="str">
            <v/>
          </cell>
          <cell r="O980" t="str">
            <v/>
          </cell>
          <cell r="P980" t="str">
            <v/>
          </cell>
          <cell r="Q980" t="str">
            <v/>
          </cell>
          <cell r="R980" t="str">
            <v/>
          </cell>
          <cell r="S980" t="str">
            <v/>
          </cell>
        </row>
        <row r="981">
          <cell r="G981" t="str">
            <v/>
          </cell>
          <cell r="H981" t="str">
            <v/>
          </cell>
          <cell r="I981" t="str">
            <v/>
          </cell>
          <cell r="J981" t="str">
            <v/>
          </cell>
          <cell r="K981" t="str">
            <v/>
          </cell>
          <cell r="L981" t="str">
            <v/>
          </cell>
          <cell r="M981" t="str">
            <v/>
          </cell>
          <cell r="N981" t="str">
            <v/>
          </cell>
          <cell r="O981" t="str">
            <v/>
          </cell>
          <cell r="P981" t="str">
            <v/>
          </cell>
          <cell r="Q981" t="str">
            <v/>
          </cell>
          <cell r="R981" t="str">
            <v/>
          </cell>
          <cell r="S981" t="str">
            <v/>
          </cell>
        </row>
        <row r="982">
          <cell r="G982" t="str">
            <v/>
          </cell>
          <cell r="H982" t="str">
            <v/>
          </cell>
          <cell r="I982" t="str">
            <v/>
          </cell>
          <cell r="J982" t="str">
            <v/>
          </cell>
          <cell r="K982" t="str">
            <v/>
          </cell>
          <cell r="L982" t="str">
            <v/>
          </cell>
          <cell r="M982" t="str">
            <v/>
          </cell>
          <cell r="N982" t="str">
            <v/>
          </cell>
          <cell r="O982" t="str">
            <v/>
          </cell>
          <cell r="P982" t="str">
            <v/>
          </cell>
          <cell r="Q982" t="str">
            <v/>
          </cell>
          <cell r="R982" t="str">
            <v/>
          </cell>
          <cell r="S982" t="str">
            <v/>
          </cell>
        </row>
        <row r="983">
          <cell r="G983" t="str">
            <v/>
          </cell>
          <cell r="H983" t="str">
            <v/>
          </cell>
          <cell r="I983" t="str">
            <v/>
          </cell>
          <cell r="J983" t="str">
            <v/>
          </cell>
          <cell r="K983" t="str">
            <v/>
          </cell>
          <cell r="L983" t="str">
            <v/>
          </cell>
          <cell r="M983" t="str">
            <v/>
          </cell>
          <cell r="N983" t="str">
            <v/>
          </cell>
          <cell r="O983" t="str">
            <v/>
          </cell>
          <cell r="P983" t="str">
            <v/>
          </cell>
          <cell r="Q983" t="str">
            <v/>
          </cell>
          <cell r="R983" t="str">
            <v/>
          </cell>
          <cell r="S983" t="str">
            <v/>
          </cell>
        </row>
        <row r="984">
          <cell r="G984" t="str">
            <v/>
          </cell>
          <cell r="H984" t="str">
            <v/>
          </cell>
          <cell r="I984" t="str">
            <v/>
          </cell>
          <cell r="J984" t="str">
            <v/>
          </cell>
          <cell r="K984" t="str">
            <v/>
          </cell>
          <cell r="L984" t="str">
            <v/>
          </cell>
          <cell r="M984" t="str">
            <v/>
          </cell>
          <cell r="N984" t="str">
            <v/>
          </cell>
          <cell r="O984" t="str">
            <v/>
          </cell>
          <cell r="P984" t="str">
            <v/>
          </cell>
          <cell r="Q984" t="str">
            <v/>
          </cell>
          <cell r="R984" t="str">
            <v/>
          </cell>
          <cell r="S984" t="str">
            <v/>
          </cell>
        </row>
        <row r="985">
          <cell r="G985" t="str">
            <v/>
          </cell>
          <cell r="H985" t="str">
            <v/>
          </cell>
          <cell r="I985" t="str">
            <v/>
          </cell>
          <cell r="J985" t="str">
            <v/>
          </cell>
          <cell r="K985" t="str">
            <v/>
          </cell>
          <cell r="L985" t="str">
            <v/>
          </cell>
          <cell r="M985" t="str">
            <v/>
          </cell>
          <cell r="N985" t="str">
            <v/>
          </cell>
          <cell r="O985" t="str">
            <v/>
          </cell>
          <cell r="P985" t="str">
            <v/>
          </cell>
          <cell r="Q985" t="str">
            <v/>
          </cell>
          <cell r="R985" t="str">
            <v/>
          </cell>
          <cell r="S985" t="str">
            <v/>
          </cell>
        </row>
        <row r="986">
          <cell r="G986" t="str">
            <v/>
          </cell>
          <cell r="H986" t="str">
            <v/>
          </cell>
          <cell r="I986" t="str">
            <v/>
          </cell>
          <cell r="J986" t="str">
            <v/>
          </cell>
          <cell r="K986" t="str">
            <v/>
          </cell>
          <cell r="L986" t="str">
            <v/>
          </cell>
          <cell r="M986" t="str">
            <v/>
          </cell>
          <cell r="N986" t="str">
            <v/>
          </cell>
          <cell r="O986" t="str">
            <v/>
          </cell>
          <cell r="P986" t="str">
            <v/>
          </cell>
          <cell r="Q986" t="str">
            <v/>
          </cell>
          <cell r="R986" t="str">
            <v/>
          </cell>
          <cell r="S986" t="str">
            <v/>
          </cell>
        </row>
        <row r="987">
          <cell r="G987" t="str">
            <v/>
          </cell>
          <cell r="H987" t="str">
            <v/>
          </cell>
          <cell r="I987" t="str">
            <v/>
          </cell>
          <cell r="J987" t="str">
            <v/>
          </cell>
          <cell r="K987" t="str">
            <v/>
          </cell>
          <cell r="L987" t="str">
            <v/>
          </cell>
          <cell r="M987" t="str">
            <v/>
          </cell>
          <cell r="N987" t="str">
            <v/>
          </cell>
          <cell r="O987" t="str">
            <v/>
          </cell>
          <cell r="P987" t="str">
            <v/>
          </cell>
          <cell r="Q987" t="str">
            <v/>
          </cell>
          <cell r="R987" t="str">
            <v/>
          </cell>
          <cell r="S987" t="str">
            <v/>
          </cell>
        </row>
        <row r="988">
          <cell r="G988" t="str">
            <v/>
          </cell>
          <cell r="H988" t="str">
            <v/>
          </cell>
          <cell r="I988" t="str">
            <v/>
          </cell>
          <cell r="J988" t="str">
            <v/>
          </cell>
          <cell r="K988" t="str">
            <v/>
          </cell>
          <cell r="L988" t="str">
            <v/>
          </cell>
          <cell r="M988" t="str">
            <v/>
          </cell>
          <cell r="N988" t="str">
            <v/>
          </cell>
          <cell r="O988" t="str">
            <v/>
          </cell>
          <cell r="P988" t="str">
            <v/>
          </cell>
          <cell r="Q988" t="str">
            <v/>
          </cell>
          <cell r="R988" t="str">
            <v/>
          </cell>
          <cell r="S988" t="str">
            <v/>
          </cell>
        </row>
        <row r="989">
          <cell r="G989" t="str">
            <v/>
          </cell>
          <cell r="H989" t="str">
            <v/>
          </cell>
          <cell r="I989" t="str">
            <v/>
          </cell>
          <cell r="J989" t="str">
            <v/>
          </cell>
          <cell r="K989" t="str">
            <v/>
          </cell>
          <cell r="L989" t="str">
            <v/>
          </cell>
          <cell r="M989" t="str">
            <v/>
          </cell>
          <cell r="N989" t="str">
            <v/>
          </cell>
          <cell r="O989" t="str">
            <v/>
          </cell>
          <cell r="P989" t="str">
            <v/>
          </cell>
          <cell r="Q989" t="str">
            <v/>
          </cell>
          <cell r="R989" t="str">
            <v/>
          </cell>
          <cell r="S989" t="str">
            <v/>
          </cell>
        </row>
        <row r="990">
          <cell r="G990" t="str">
            <v/>
          </cell>
          <cell r="H990" t="str">
            <v/>
          </cell>
          <cell r="I990" t="str">
            <v/>
          </cell>
          <cell r="J990" t="str">
            <v/>
          </cell>
          <cell r="K990" t="str">
            <v/>
          </cell>
          <cell r="L990" t="str">
            <v/>
          </cell>
          <cell r="M990" t="str">
            <v/>
          </cell>
          <cell r="N990" t="str">
            <v/>
          </cell>
          <cell r="O990" t="str">
            <v/>
          </cell>
          <cell r="P990" t="str">
            <v/>
          </cell>
          <cell r="Q990" t="str">
            <v/>
          </cell>
          <cell r="R990" t="str">
            <v/>
          </cell>
          <cell r="S990" t="str">
            <v/>
          </cell>
        </row>
        <row r="991">
          <cell r="G991" t="str">
            <v/>
          </cell>
          <cell r="H991" t="str">
            <v/>
          </cell>
          <cell r="I991" t="str">
            <v/>
          </cell>
          <cell r="J991" t="str">
            <v/>
          </cell>
          <cell r="K991" t="str">
            <v/>
          </cell>
          <cell r="L991" t="str">
            <v/>
          </cell>
          <cell r="M991" t="str">
            <v/>
          </cell>
          <cell r="N991" t="str">
            <v/>
          </cell>
          <cell r="O991" t="str">
            <v/>
          </cell>
          <cell r="P991" t="str">
            <v/>
          </cell>
          <cell r="Q991" t="str">
            <v/>
          </cell>
          <cell r="R991" t="str">
            <v/>
          </cell>
          <cell r="S991" t="str">
            <v/>
          </cell>
        </row>
        <row r="992">
          <cell r="G992" t="str">
            <v/>
          </cell>
          <cell r="H992" t="str">
            <v/>
          </cell>
          <cell r="I992" t="str">
            <v/>
          </cell>
          <cell r="J992" t="str">
            <v/>
          </cell>
          <cell r="K992" t="str">
            <v/>
          </cell>
          <cell r="L992" t="str">
            <v/>
          </cell>
          <cell r="M992" t="str">
            <v/>
          </cell>
          <cell r="N992" t="str">
            <v/>
          </cell>
          <cell r="O992" t="str">
            <v/>
          </cell>
          <cell r="P992" t="str">
            <v/>
          </cell>
          <cell r="Q992" t="str">
            <v/>
          </cell>
          <cell r="R992" t="str">
            <v/>
          </cell>
          <cell r="S992" t="str">
            <v/>
          </cell>
        </row>
        <row r="993">
          <cell r="G993" t="str">
            <v/>
          </cell>
          <cell r="H993" t="str">
            <v/>
          </cell>
          <cell r="I993" t="str">
            <v/>
          </cell>
          <cell r="J993" t="str">
            <v/>
          </cell>
          <cell r="K993" t="str">
            <v/>
          </cell>
          <cell r="L993" t="str">
            <v/>
          </cell>
          <cell r="M993" t="str">
            <v/>
          </cell>
          <cell r="N993" t="str">
            <v/>
          </cell>
          <cell r="O993" t="str">
            <v/>
          </cell>
          <cell r="P993" t="str">
            <v/>
          </cell>
          <cell r="Q993" t="str">
            <v/>
          </cell>
          <cell r="R993" t="str">
            <v/>
          </cell>
          <cell r="S993" t="str">
            <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8">
          <cell r="E8">
            <v>240840870.12455454</v>
          </cell>
          <cell r="F8">
            <v>239968955.87168795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013.11"/>
      <sheetName val="2013.12"/>
      <sheetName val="2014.01"/>
      <sheetName val="2014.02"/>
      <sheetName val="2014.03"/>
      <sheetName val="2014.04"/>
      <sheetName val="2014.05"/>
      <sheetName val="2014.06"/>
      <sheetName val="2014.07"/>
      <sheetName val="2014.08"/>
      <sheetName val="2014.09"/>
      <sheetName val="2014.10"/>
      <sheetName val="2014.11"/>
      <sheetName val="2014.12"/>
      <sheetName val="2015.01"/>
      <sheetName val="2015.02"/>
      <sheetName val="2015.03"/>
      <sheetName val="2015.04"/>
      <sheetName val="2015.05"/>
      <sheetName val="2015.06"/>
      <sheetName val="2015.07"/>
      <sheetName val="2015.08"/>
      <sheetName val="2015.09"/>
      <sheetName val="2015.10"/>
      <sheetName val="2015.11"/>
      <sheetName val="2015.12"/>
      <sheetName val="2016.01"/>
      <sheetName val="2016.02"/>
      <sheetName val="2016.03"/>
      <sheetName val="2016.04"/>
      <sheetName val="2016.05"/>
      <sheetName val="2016.06"/>
      <sheetName val="2016.07"/>
      <sheetName val="2016.08"/>
      <sheetName val="2016.09"/>
      <sheetName val="2016.10"/>
      <sheetName val="2016.11"/>
      <sheetName val="2016.12"/>
      <sheetName val="2017.01"/>
      <sheetName val="2017.02"/>
      <sheetName val="2017.03"/>
      <sheetName val="2017.04"/>
      <sheetName val="2017.05"/>
      <sheetName val="2017.06"/>
      <sheetName val="2017.07"/>
      <sheetName val="2017.08"/>
      <sheetName val="2017.09"/>
      <sheetName val="2017.10"/>
      <sheetName val="2017.11"/>
      <sheetName val="2017.12"/>
      <sheetName val="2018.01"/>
      <sheetName val="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38">
          <cell r="J38">
            <v>11598037.5</v>
          </cell>
        </row>
      </sheetData>
      <sheetData sheetId="48">
        <row r="44">
          <cell r="J44">
            <v>13491064</v>
          </cell>
        </row>
      </sheetData>
      <sheetData sheetId="49">
        <row r="39">
          <cell r="J39">
            <v>13022363.636363635</v>
          </cell>
        </row>
      </sheetData>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mpany"/>
      <sheetName val="Accounts"/>
      <sheetName val="Jurnal"/>
      <sheetName val="Цалин "/>
      <sheetName val="Dan_huulga"/>
      <sheetName val="Ug_ablaga"/>
      <sheetName val="RC"/>
      <sheetName val="TN"/>
      <sheetName val="T_or"/>
      <sheetName val="G_Bal1"/>
      <sheetName val="G_Bal2"/>
      <sheetName val="G_bal3"/>
      <sheetName val="G_Bal4"/>
      <sheetName val="BS"/>
      <sheetName val="IS"/>
      <sheetName val="OC"/>
      <sheetName val="CF"/>
      <sheetName val="Tod_1"/>
      <sheetName val="Tod_2"/>
      <sheetName val="Tod_3"/>
      <sheetName val="Tod_4"/>
      <sheetName val="Tod_5"/>
      <sheetName val="Tax_1"/>
      <sheetName val="tax_2"/>
      <sheetName val="Tax_3"/>
      <sheetName val="Tax_4"/>
      <sheetName val="Sheet1"/>
      <sheetName val="SHINEST-TAX - 2016"/>
    </sheetNames>
    <sheetDataSet>
      <sheetData sheetId="0" refreshError="1">
        <row r="6">
          <cell r="C6" t="str">
            <v>ШИНЭСТ ХК</v>
          </cell>
        </row>
        <row r="7">
          <cell r="C7" t="str">
            <v>|_2_|_0_|_1_|_8_|_9_|_4_|_2_|</v>
          </cell>
        </row>
        <row r="9">
          <cell r="C9" t="str">
            <v>Улаанбаатар</v>
          </cell>
        </row>
        <row r="10">
          <cell r="C10" t="str">
            <v>Хан уул дүүрэг</v>
          </cell>
        </row>
        <row r="11">
          <cell r="C11" t="str">
            <v xml:space="preserve">3-р хороо </v>
          </cell>
        </row>
        <row r="12">
          <cell r="C12" t="str">
            <v>Эв нэгдэлийн гудамж</v>
          </cell>
        </row>
        <row r="13">
          <cell r="C13" t="str">
            <v xml:space="preserve">Шинэст ХК -н өөрийн байр </v>
          </cell>
        </row>
        <row r="15">
          <cell r="C15" t="str">
            <v>70114414</v>
          </cell>
        </row>
        <row r="16">
          <cell r="C16" t="str">
            <v>99119765 99066093 86001044</v>
          </cell>
        </row>
        <row r="17">
          <cell r="C17" t="str">
            <v>70114404</v>
          </cell>
        </row>
        <row r="19">
          <cell r="C19" t="str">
            <v>|_3_|_6_|_1_|_0_|_0_|_0_|  -  Барилга, гэр ахуйн модон эдлэл үйлдвэрлэх</v>
          </cell>
        </row>
        <row r="20">
          <cell r="C20" t="str">
            <v xml:space="preserve">|__|__|__|__|__|__|__| </v>
          </cell>
        </row>
        <row r="25">
          <cell r="C25" t="str">
            <v>/Д.Бахдамдэмбэрэл /</v>
          </cell>
        </row>
        <row r="28">
          <cell r="C28" t="str">
            <v>/Б.Түмэндэлгэр/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7">
          <cell r="H67">
            <v>1856593774.5268402</v>
          </cell>
        </row>
      </sheetData>
      <sheetData sheetId="14" refreshError="1"/>
      <sheetData sheetId="15" refreshError="1">
        <row r="22">
          <cell r="J22">
            <v>1856593774.5328693</v>
          </cell>
        </row>
      </sheetData>
      <sheetData sheetId="16" refreshError="1"/>
      <sheetData sheetId="17" refreshError="1"/>
      <sheetData sheetId="18" refreshError="1"/>
      <sheetData sheetId="19" refreshError="1"/>
      <sheetData sheetId="20" refreshError="1"/>
      <sheetData sheetId="21" refreshError="1"/>
      <sheetData sheetId="22" refreshError="1">
        <row r="8">
          <cell r="A8" t="str">
            <v>1. ТТД:  |_2_|_0_|_1_|_8_|_9_|_4_|_2_|                      2. Нэр:  ШИНЭСТ ХК</v>
          </cell>
        </row>
        <row r="11">
          <cell r="A11" t="str">
            <v>|__|__|         Аймаг, хот:  Улаанбаатар             |__|__|         Сум, дүүрэг: Хан уул дүүрэг</v>
          </cell>
        </row>
        <row r="12">
          <cell r="A12" t="str">
            <v>|__|__|         Баг, хороо: 3-р хороо                  |__|__|__|     Гудамж, хороолол: Эв нэгдэлийн гудамж</v>
          </cell>
        </row>
        <row r="13">
          <cell r="A13" t="str">
            <v xml:space="preserve">|__|__|__|    Байр: Шинэст ХК -н өөрийн байр             |__|__|__|    Хашаа, хаалга: </v>
          </cell>
        </row>
        <row r="14">
          <cell r="A14" t="str">
            <v>Утас1:  70114414                              Утас2: 99119765 99066093 86001044                               Факс: 70114404</v>
          </cell>
        </row>
        <row r="15">
          <cell r="A15" t="str">
            <v xml:space="preserve">Шуудангийн хайрцаг No: </v>
          </cell>
        </row>
        <row r="102">
          <cell r="B102" t="str">
            <v>Дарга  /Захирал/:    . . . . . . . . . . . . . . . . . . .  /Д.Бахдамдэмбэрэл /</v>
          </cell>
        </row>
        <row r="104">
          <cell r="B104" t="str">
            <v>Ерөнхий нягтлан бодогч: . . . . . . . . . . . . . . /Б.Түмэндэлгэр/</v>
          </cell>
        </row>
      </sheetData>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any "/>
      <sheetName val="DATA"/>
      <sheetName val="CASH-C2"/>
      <sheetName val="AP-AR"/>
      <sheetName val="TN"/>
      <sheetName val="RC"/>
      <sheetName val="FIXED ASSET"/>
      <sheetName val="JURNAL"/>
      <sheetName val="TSALIN"/>
      <sheetName val="STAT1"/>
      <sheetName val="STAT2"/>
      <sheetName val="STAT3"/>
      <sheetName val="STAT4"/>
      <sheetName val="BS"/>
      <sheetName val="IS"/>
      <sheetName val="OC"/>
      <sheetName val="CF"/>
      <sheetName val="TT-02"/>
      <sheetName val="TT-z"/>
      <sheetName val="TT-02г"/>
      <sheetName val="TT-11"/>
      <sheetName val="TT-11(1)"/>
      <sheetName val="TT-03a"/>
      <sheetName val="NUUR"/>
      <sheetName val="NUUR1"/>
      <sheetName val="Todruulga"/>
    </sheetNames>
    <sheetDataSet>
      <sheetData sheetId="0">
        <row r="14">
          <cell r="B14" t="str">
            <v>Хашаа, хаалга:</v>
          </cell>
        </row>
        <row r="17">
          <cell r="B17" t="str">
            <v>Факс:</v>
          </cell>
        </row>
        <row r="25">
          <cell r="B25" t="str">
            <v>Ерөнхий захирал</v>
          </cell>
          <cell r="C25" t="str">
            <v>/Г.Солонго /</v>
          </cell>
        </row>
        <row r="28">
          <cell r="B28" t="str">
            <v>Ерөнхий нягтлан бодогч</v>
          </cell>
          <cell r="C28" t="str">
            <v>/Б.Түмэндэлгэр/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ables/table1.xml><?xml version="1.0" encoding="utf-8"?>
<table xmlns="http://schemas.openxmlformats.org/spreadsheetml/2006/main" id="2" name="Table133" displayName="Table133" ref="B6:C30" totalsRowShown="0" headerRowDxfId="441" dataDxfId="439" headerRowBorderDxfId="440" tableBorderDxfId="438" totalsRowBorderDxfId="437">
  <tableColumns count="2">
    <tableColumn id="1" name="Компанийн нэр:" dataDxfId="436"/>
    <tableColumn id="2" name="ШИНЭСТ ХК" dataDxfId="435"/>
  </tableColumns>
  <tableStyleInfo name="TableStyleMedium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3:U42"/>
  <sheetViews>
    <sheetView workbookViewId="0">
      <selection activeCell="C40" sqref="C40"/>
    </sheetView>
  </sheetViews>
  <sheetFormatPr defaultRowHeight="12.75"/>
  <cols>
    <col min="1" max="1" width="9.140625" style="200"/>
    <col min="2" max="2" width="27.85546875" style="200" customWidth="1"/>
    <col min="3" max="3" width="44.85546875" style="200" customWidth="1"/>
    <col min="4" max="4" width="12.85546875" style="200" bestFit="1" customWidth="1"/>
    <col min="5" max="5" width="9.140625" style="200"/>
    <col min="6" max="6" width="11.28515625" style="200" bestFit="1" customWidth="1"/>
    <col min="7" max="16384" width="9.140625" style="200"/>
  </cols>
  <sheetData>
    <row r="3" spans="2:3">
      <c r="B3" s="200" t="s">
        <v>1270</v>
      </c>
    </row>
    <row r="6" spans="2:3" s="206" customFormat="1">
      <c r="B6" s="204" t="s">
        <v>1271</v>
      </c>
      <c r="C6" s="205" t="s">
        <v>1373</v>
      </c>
    </row>
    <row r="7" spans="2:3">
      <c r="B7" s="207" t="s">
        <v>1272</v>
      </c>
      <c r="C7" s="208" t="s">
        <v>1372</v>
      </c>
    </row>
    <row r="8" spans="2:3">
      <c r="B8" s="207" t="s">
        <v>1273</v>
      </c>
      <c r="C8" s="208" t="s">
        <v>1274</v>
      </c>
    </row>
    <row r="9" spans="2:3">
      <c r="B9" s="209" t="s">
        <v>1275</v>
      </c>
      <c r="C9" s="210" t="s">
        <v>1276</v>
      </c>
    </row>
    <row r="10" spans="2:3">
      <c r="B10" s="209" t="s">
        <v>1277</v>
      </c>
      <c r="C10" s="210" t="s">
        <v>1278</v>
      </c>
    </row>
    <row r="11" spans="2:3">
      <c r="B11" s="209" t="s">
        <v>1279</v>
      </c>
      <c r="C11" s="210" t="s">
        <v>1280</v>
      </c>
    </row>
    <row r="12" spans="2:3">
      <c r="B12" s="209" t="s">
        <v>1281</v>
      </c>
      <c r="C12" s="210" t="s">
        <v>1374</v>
      </c>
    </row>
    <row r="13" spans="2:3">
      <c r="B13" s="209" t="s">
        <v>1282</v>
      </c>
      <c r="C13" s="210" t="s">
        <v>1375</v>
      </c>
    </row>
    <row r="14" spans="2:3">
      <c r="B14" s="209" t="s">
        <v>1283</v>
      </c>
      <c r="C14" s="210"/>
    </row>
    <row r="15" spans="2:3">
      <c r="B15" s="209" t="s">
        <v>1284</v>
      </c>
      <c r="C15" s="208" t="s">
        <v>1376</v>
      </c>
    </row>
    <row r="16" spans="2:3">
      <c r="B16" s="209" t="s">
        <v>1284</v>
      </c>
      <c r="C16" s="208" t="s">
        <v>1377</v>
      </c>
    </row>
    <row r="17" spans="2:3">
      <c r="B17" s="209" t="s">
        <v>1285</v>
      </c>
      <c r="C17" s="208" t="s">
        <v>1378</v>
      </c>
    </row>
    <row r="18" spans="2:3">
      <c r="B18" s="209" t="s">
        <v>1286</v>
      </c>
      <c r="C18" s="210"/>
    </row>
    <row r="19" spans="2:3">
      <c r="B19" s="209" t="s">
        <v>1287</v>
      </c>
      <c r="C19" s="210" t="s">
        <v>1379</v>
      </c>
    </row>
    <row r="20" spans="2:3">
      <c r="B20" s="209" t="s">
        <v>1288</v>
      </c>
      <c r="C20" s="210" t="s">
        <v>1289</v>
      </c>
    </row>
    <row r="21" spans="2:3" ht="25.5">
      <c r="B21" s="211" t="s">
        <v>1290</v>
      </c>
      <c r="C21" s="210" t="s">
        <v>1299</v>
      </c>
    </row>
    <row r="22" spans="2:3" ht="25.5">
      <c r="B22" s="211" t="s">
        <v>1291</v>
      </c>
      <c r="C22" s="210" t="s">
        <v>266</v>
      </c>
    </row>
    <row r="23" spans="2:3">
      <c r="B23" s="207" t="s">
        <v>46</v>
      </c>
      <c r="C23" s="210" t="s">
        <v>1983</v>
      </c>
    </row>
    <row r="24" spans="2:3">
      <c r="B24" s="207"/>
      <c r="C24" s="212" t="s">
        <v>1982</v>
      </c>
    </row>
    <row r="25" spans="2:3">
      <c r="B25" s="207" t="s">
        <v>1292</v>
      </c>
      <c r="C25" s="210" t="s">
        <v>1380</v>
      </c>
    </row>
    <row r="26" spans="2:3">
      <c r="B26" s="213" t="s">
        <v>1293</v>
      </c>
      <c r="C26" s="210" t="s">
        <v>1381</v>
      </c>
    </row>
    <row r="27" spans="2:3">
      <c r="B27" s="213" t="s">
        <v>1294</v>
      </c>
      <c r="C27" s="210" t="s">
        <v>1382</v>
      </c>
    </row>
    <row r="28" spans="2:3">
      <c r="B28" s="214" t="s">
        <v>1295</v>
      </c>
      <c r="C28" s="215" t="s">
        <v>1359</v>
      </c>
    </row>
    <row r="29" spans="2:3">
      <c r="B29" s="213" t="s">
        <v>1293</v>
      </c>
      <c r="C29" s="210" t="s">
        <v>1361</v>
      </c>
    </row>
    <row r="30" spans="2:3">
      <c r="B30" s="213" t="s">
        <v>1294</v>
      </c>
      <c r="C30" s="212" t="s">
        <v>1383</v>
      </c>
    </row>
    <row r="33" spans="2:21">
      <c r="B33" s="196"/>
      <c r="D33" s="216"/>
    </row>
    <row r="34" spans="2:21">
      <c r="B34" s="196"/>
      <c r="D34" s="216"/>
    </row>
    <row r="35" spans="2:21">
      <c r="B35" s="196"/>
    </row>
    <row r="37" spans="2:21">
      <c r="F37" s="216"/>
    </row>
    <row r="39" spans="2:21">
      <c r="U39" s="200" t="s">
        <v>1296</v>
      </c>
    </row>
    <row r="40" spans="2:21">
      <c r="U40" s="200" t="s">
        <v>1274</v>
      </c>
    </row>
    <row r="41" spans="2:21">
      <c r="U41" s="200" t="s">
        <v>1297</v>
      </c>
    </row>
    <row r="42" spans="2:21">
      <c r="U42" s="200" t="s">
        <v>1298</v>
      </c>
    </row>
  </sheetData>
  <sheetProtection password="DFC0" sheet="1" objects="1" scenarios="1"/>
  <dataValidations count="1">
    <dataValidation type="list" allowBlank="1" showInputMessage="1" showErrorMessage="1" sqref="C8">
      <formula1>$U$39:$U$42</formula1>
    </dataValidation>
  </dataValidations>
  <pageMargins left="0.7" right="0.7" top="0.75" bottom="0.75" header="0.3" footer="0.3"/>
  <ignoredErrors>
    <ignoredError sqref="C15:C17" numberStoredAsText="1"/>
  </ignoredErrors>
  <tableParts count="1">
    <tablePart r:id="rId1"/>
  </tableParts>
</worksheet>
</file>

<file path=xl/worksheets/sheet10.xml><?xml version="1.0" encoding="utf-8"?>
<worksheet xmlns="http://schemas.openxmlformats.org/spreadsheetml/2006/main" xmlns:r="http://schemas.openxmlformats.org/officeDocument/2006/relationships">
  <dimension ref="B1:V67"/>
  <sheetViews>
    <sheetView workbookViewId="0">
      <pane xSplit="5" ySplit="6" topLeftCell="F7" activePane="bottomRight" state="frozen"/>
      <selection pane="topRight" activeCell="F1" sqref="F1"/>
      <selection pane="bottomLeft" activeCell="A7" sqref="A7"/>
      <selection pane="bottomRight" activeCell="A3" sqref="A3"/>
    </sheetView>
  </sheetViews>
  <sheetFormatPr defaultRowHeight="14.25" customHeight="1"/>
  <cols>
    <col min="1" max="1" width="4.42578125" style="152" customWidth="1"/>
    <col min="2" max="2" width="4.42578125" style="153" customWidth="1"/>
    <col min="3" max="3" width="7" style="160" customWidth="1"/>
    <col min="4" max="4" width="20.140625" style="152" customWidth="1"/>
    <col min="5" max="5" width="6.5703125" style="160" customWidth="1"/>
    <col min="6" max="6" width="9.85546875" style="152" bestFit="1" customWidth="1"/>
    <col min="7" max="7" width="6.7109375" style="152" customWidth="1"/>
    <col min="8" max="8" width="6.42578125" style="152" customWidth="1"/>
    <col min="9" max="9" width="16" style="152" bestFit="1" customWidth="1"/>
    <col min="10" max="10" width="9.5703125" style="152" customWidth="1"/>
    <col min="11" max="11" width="9.7109375" style="152" customWidth="1"/>
    <col min="12" max="12" width="7.140625" style="152" customWidth="1"/>
    <col min="13" max="13" width="10.7109375" style="152" customWidth="1"/>
    <col min="14" max="14" width="7.85546875" style="152" customWidth="1"/>
    <col min="15" max="16" width="16" style="152" bestFit="1" customWidth="1"/>
    <col min="17" max="17" width="15.140625" style="152" customWidth="1"/>
    <col min="18" max="18" width="14" style="152" customWidth="1"/>
    <col min="19" max="19" width="16" style="152" bestFit="1" customWidth="1"/>
    <col min="20" max="20" width="14.5703125" style="152" bestFit="1" customWidth="1"/>
    <col min="21" max="21" width="15" style="152" customWidth="1"/>
    <col min="22" max="22" width="24.42578125" style="152" bestFit="1" customWidth="1"/>
    <col min="23" max="24" width="9.140625" style="152"/>
    <col min="25" max="25" width="25.28515625" style="152" bestFit="1" customWidth="1"/>
    <col min="26" max="26" width="19.42578125" style="152" bestFit="1" customWidth="1"/>
    <col min="27" max="27" width="10.140625" style="152" bestFit="1" customWidth="1"/>
    <col min="28" max="28" width="11.28515625" style="152" bestFit="1" customWidth="1"/>
    <col min="29" max="29" width="9.140625" style="152"/>
    <col min="30" max="30" width="9.85546875" style="152" bestFit="1" customWidth="1"/>
    <col min="31" max="31" width="11" style="152" bestFit="1" customWidth="1"/>
    <col min="32" max="32" width="10" style="152" bestFit="1" customWidth="1"/>
    <col min="33" max="33" width="11" style="152" bestFit="1" customWidth="1"/>
    <col min="34" max="16384" width="9.140625" style="152"/>
  </cols>
  <sheetData>
    <row r="1" spans="2:22" ht="14.25" customHeight="1">
      <c r="H1" s="154" t="s">
        <v>289</v>
      </c>
    </row>
    <row r="2" spans="2:22" ht="14.25" customHeight="1">
      <c r="C2" s="152"/>
      <c r="D2" s="155"/>
    </row>
    <row r="3" spans="2:22" ht="14.25" customHeight="1">
      <c r="D3" s="152" t="s">
        <v>1923</v>
      </c>
      <c r="F3" s="167"/>
      <c r="L3" s="156" t="s">
        <v>291</v>
      </c>
      <c r="N3" s="163">
        <v>42736</v>
      </c>
      <c r="O3" s="163">
        <v>43100</v>
      </c>
      <c r="Q3" s="157" t="s">
        <v>292</v>
      </c>
      <c r="R3" s="157"/>
      <c r="T3" s="163">
        <v>43465</v>
      </c>
    </row>
    <row r="4" spans="2:22" ht="14.25" customHeight="1">
      <c r="B4" s="95">
        <f>COUNT(B7:B6022)</f>
        <v>55</v>
      </c>
      <c r="C4" s="152" t="s">
        <v>290</v>
      </c>
    </row>
    <row r="5" spans="2:22" ht="14.25" customHeight="1">
      <c r="B5" s="165"/>
      <c r="C5" s="161" t="s">
        <v>323</v>
      </c>
      <c r="D5" s="158" t="s">
        <v>986</v>
      </c>
      <c r="E5" s="161" t="s">
        <v>897</v>
      </c>
      <c r="F5" s="158" t="s">
        <v>987</v>
      </c>
      <c r="G5" s="158" t="s">
        <v>998</v>
      </c>
      <c r="H5" s="913" t="s">
        <v>990</v>
      </c>
      <c r="I5" s="913"/>
      <c r="J5" s="913" t="s">
        <v>991</v>
      </c>
      <c r="K5" s="913"/>
      <c r="L5" s="913" t="s">
        <v>294</v>
      </c>
      <c r="M5" s="913"/>
      <c r="N5" s="913" t="s">
        <v>992</v>
      </c>
      <c r="O5" s="913"/>
      <c r="P5" s="158" t="s">
        <v>994</v>
      </c>
      <c r="Q5" s="158" t="s">
        <v>993</v>
      </c>
      <c r="R5" s="158" t="s">
        <v>997</v>
      </c>
      <c r="S5" s="158" t="s">
        <v>995</v>
      </c>
      <c r="T5" s="158" t="s">
        <v>996</v>
      </c>
    </row>
    <row r="6" spans="2:22" ht="14.25" customHeight="1">
      <c r="B6" s="165"/>
      <c r="C6" s="162"/>
      <c r="D6" s="146"/>
      <c r="E6" s="162"/>
      <c r="F6" s="146"/>
      <c r="G6" s="146"/>
      <c r="H6" s="146" t="s">
        <v>988</v>
      </c>
      <c r="I6" s="146" t="s">
        <v>989</v>
      </c>
      <c r="J6" s="146" t="s">
        <v>988</v>
      </c>
      <c r="K6" s="146" t="s">
        <v>989</v>
      </c>
      <c r="L6" s="146" t="s">
        <v>988</v>
      </c>
      <c r="M6" s="146" t="s">
        <v>989</v>
      </c>
      <c r="N6" s="146" t="s">
        <v>988</v>
      </c>
      <c r="O6" s="146" t="s">
        <v>989</v>
      </c>
      <c r="P6" s="146"/>
      <c r="Q6" s="146"/>
      <c r="R6" s="146"/>
      <c r="S6" s="146"/>
      <c r="T6" s="146"/>
      <c r="U6" s="159"/>
      <c r="V6" s="159"/>
    </row>
    <row r="7" spans="2:22" ht="14.25" customHeight="1">
      <c r="B7" s="166">
        <v>1</v>
      </c>
      <c r="C7" s="164">
        <v>200200</v>
      </c>
      <c r="D7" s="81" t="s">
        <v>1924</v>
      </c>
      <c r="E7" s="164">
        <v>4001</v>
      </c>
      <c r="F7" s="163">
        <v>36707</v>
      </c>
      <c r="G7" s="81">
        <v>40</v>
      </c>
      <c r="H7" s="81">
        <v>1</v>
      </c>
      <c r="I7" s="81">
        <v>1065900000</v>
      </c>
      <c r="J7" s="81"/>
      <c r="K7" s="81"/>
      <c r="L7" s="81"/>
      <c r="M7" s="81"/>
      <c r="N7" s="81">
        <f>+H7+J7-L7</f>
        <v>1</v>
      </c>
      <c r="O7" s="81">
        <f>+I7+K7-M7</f>
        <v>1065900000</v>
      </c>
      <c r="P7" s="81">
        <v>597820809.19000006</v>
      </c>
      <c r="Q7" s="81">
        <f>+($O$3-$N$3)/(G7*364)*O7</f>
        <v>26647500</v>
      </c>
      <c r="R7" s="81"/>
      <c r="S7" s="81">
        <f>+P7+Q7-R7</f>
        <v>624468309.19000006</v>
      </c>
      <c r="T7" s="81">
        <f>+O7-S7</f>
        <v>441431690.80999994</v>
      </c>
      <c r="U7" s="152">
        <f>+O7/40</f>
        <v>26647500</v>
      </c>
      <c r="V7" s="152">
        <f>+($O$3-$N$3)/(G7*364)*(O7-P7)</f>
        <v>11701979.77025</v>
      </c>
    </row>
    <row r="8" spans="2:22" ht="14.25" customHeight="1">
      <c r="B8" s="166">
        <f>+B7+1</f>
        <v>2</v>
      </c>
      <c r="C8" s="164">
        <v>200200</v>
      </c>
      <c r="D8" s="81" t="s">
        <v>1925</v>
      </c>
      <c r="E8" s="164">
        <v>4002</v>
      </c>
      <c r="F8" s="163">
        <v>36707</v>
      </c>
      <c r="G8" s="81">
        <v>40</v>
      </c>
      <c r="H8" s="81">
        <v>1</v>
      </c>
      <c r="I8" s="81">
        <v>106905331</v>
      </c>
      <c r="J8" s="81"/>
      <c r="K8" s="81"/>
      <c r="L8" s="81"/>
      <c r="M8" s="81"/>
      <c r="N8" s="81">
        <f t="shared" ref="N8:O27" si="0">+H8+J8-L8</f>
        <v>1</v>
      </c>
      <c r="O8" s="81">
        <f t="shared" si="0"/>
        <v>106905331</v>
      </c>
      <c r="P8" s="81">
        <v>4677108.24</v>
      </c>
      <c r="Q8" s="81"/>
      <c r="R8" s="81"/>
      <c r="S8" s="81">
        <f>+P8+Q8-R8</f>
        <v>4677108.24</v>
      </c>
      <c r="T8" s="81">
        <f t="shared" ref="T8" si="1">+O8-S8</f>
        <v>102228222.76000001</v>
      </c>
    </row>
    <row r="9" spans="2:22" ht="14.25" customHeight="1">
      <c r="B9" s="166">
        <f t="shared" ref="B9:B61" si="2">+B8+1</f>
        <v>3</v>
      </c>
      <c r="C9" s="164">
        <v>200100</v>
      </c>
      <c r="D9" s="81" t="s">
        <v>1926</v>
      </c>
      <c r="E9" s="164">
        <v>3001</v>
      </c>
      <c r="F9" s="163"/>
      <c r="G9" s="81">
        <v>3</v>
      </c>
      <c r="H9" s="81">
        <v>1</v>
      </c>
      <c r="I9" s="81">
        <v>1031100</v>
      </c>
      <c r="J9" s="81"/>
      <c r="K9" s="81"/>
      <c r="L9" s="81"/>
      <c r="M9" s="81"/>
      <c r="N9" s="81">
        <f t="shared" ref="N9:N55" si="3">+H9+J9-L9</f>
        <v>1</v>
      </c>
      <c r="O9" s="81">
        <f t="shared" si="0"/>
        <v>1031100</v>
      </c>
      <c r="P9" s="81">
        <v>1030996.92</v>
      </c>
      <c r="Q9" s="81"/>
      <c r="R9" s="81"/>
      <c r="S9" s="81">
        <f t="shared" ref="S9:S55" si="4">+P9+Q9-R9</f>
        <v>1030996.92</v>
      </c>
      <c r="T9" s="81">
        <f t="shared" ref="T9:T55" si="5">+O9-S9</f>
        <v>103.07999999995809</v>
      </c>
    </row>
    <row r="10" spans="2:22" ht="14.25" customHeight="1">
      <c r="B10" s="166">
        <f t="shared" si="2"/>
        <v>4</v>
      </c>
      <c r="C10" s="164">
        <v>200100</v>
      </c>
      <c r="D10" s="81" t="s">
        <v>1927</v>
      </c>
      <c r="E10" s="164">
        <v>1001</v>
      </c>
      <c r="F10" s="163"/>
      <c r="G10" s="81">
        <v>3</v>
      </c>
      <c r="H10" s="81">
        <v>6</v>
      </c>
      <c r="I10" s="81">
        <v>4534500</v>
      </c>
      <c r="J10" s="81"/>
      <c r="K10" s="81"/>
      <c r="L10" s="81"/>
      <c r="M10" s="81"/>
      <c r="N10" s="81">
        <f t="shared" si="3"/>
        <v>6</v>
      </c>
      <c r="O10" s="81">
        <f t="shared" si="0"/>
        <v>4534500</v>
      </c>
      <c r="P10" s="81">
        <v>4468594.25</v>
      </c>
      <c r="Q10" s="81"/>
      <c r="R10" s="81"/>
      <c r="S10" s="81">
        <f t="shared" si="4"/>
        <v>4468594.25</v>
      </c>
      <c r="T10" s="81">
        <f t="shared" si="5"/>
        <v>65905.75</v>
      </c>
    </row>
    <row r="11" spans="2:22" ht="14.25" customHeight="1">
      <c r="B11" s="166">
        <f t="shared" si="2"/>
        <v>5</v>
      </c>
      <c r="C11" s="164">
        <v>200100</v>
      </c>
      <c r="D11" s="81" t="s">
        <v>1967</v>
      </c>
      <c r="E11" s="164">
        <v>1002</v>
      </c>
      <c r="F11" s="163"/>
      <c r="G11" s="81">
        <v>3</v>
      </c>
      <c r="H11" s="81">
        <v>1</v>
      </c>
      <c r="I11" s="81">
        <v>328160</v>
      </c>
      <c r="J11" s="81"/>
      <c r="K11" s="81"/>
      <c r="L11" s="81"/>
      <c r="M11" s="81"/>
      <c r="N11" s="81">
        <f t="shared" si="3"/>
        <v>1</v>
      </c>
      <c r="O11" s="81">
        <f t="shared" si="0"/>
        <v>328160</v>
      </c>
      <c r="P11" s="81">
        <v>328160</v>
      </c>
      <c r="Q11" s="81"/>
      <c r="R11" s="81"/>
      <c r="S11" s="81">
        <f t="shared" ref="S11:S14" si="6">+P11+Q11-R11</f>
        <v>328160</v>
      </c>
      <c r="T11" s="81">
        <f t="shared" ref="T11:T14" si="7">+O11-S11</f>
        <v>0</v>
      </c>
    </row>
    <row r="12" spans="2:22" ht="14.25" customHeight="1">
      <c r="B12" s="166">
        <f t="shared" si="2"/>
        <v>6</v>
      </c>
      <c r="C12" s="164">
        <v>200100</v>
      </c>
      <c r="D12" s="81" t="s">
        <v>1968</v>
      </c>
      <c r="E12" s="164">
        <v>1003</v>
      </c>
      <c r="F12" s="163"/>
      <c r="G12" s="81">
        <v>3</v>
      </c>
      <c r="H12" s="81">
        <v>1</v>
      </c>
      <c r="I12" s="81">
        <v>90909.09</v>
      </c>
      <c r="J12" s="81"/>
      <c r="K12" s="81"/>
      <c r="L12" s="81"/>
      <c r="M12" s="81"/>
      <c r="N12" s="81">
        <f t="shared" si="3"/>
        <v>1</v>
      </c>
      <c r="O12" s="81">
        <f t="shared" si="0"/>
        <v>90909.09</v>
      </c>
      <c r="P12" s="81">
        <v>90909.09</v>
      </c>
      <c r="Q12" s="81"/>
      <c r="R12" s="81"/>
      <c r="S12" s="81">
        <f t="shared" si="6"/>
        <v>90909.09</v>
      </c>
      <c r="T12" s="81">
        <f t="shared" si="7"/>
        <v>0</v>
      </c>
    </row>
    <row r="13" spans="2:22" ht="14.25" customHeight="1">
      <c r="B13" s="166">
        <f t="shared" si="2"/>
        <v>7</v>
      </c>
      <c r="C13" s="164">
        <v>200100</v>
      </c>
      <c r="D13" s="81" t="s">
        <v>1969</v>
      </c>
      <c r="E13" s="164">
        <v>1004</v>
      </c>
      <c r="F13" s="163"/>
      <c r="G13" s="81">
        <v>3</v>
      </c>
      <c r="H13" s="81">
        <v>1</v>
      </c>
      <c r="I13" s="81">
        <v>216954.6</v>
      </c>
      <c r="J13" s="81"/>
      <c r="K13" s="81"/>
      <c r="L13" s="81"/>
      <c r="M13" s="81"/>
      <c r="N13" s="81">
        <f t="shared" si="3"/>
        <v>1</v>
      </c>
      <c r="O13" s="81">
        <f t="shared" si="0"/>
        <v>216954.6</v>
      </c>
      <c r="P13" s="81">
        <v>216954.6</v>
      </c>
      <c r="Q13" s="81"/>
      <c r="R13" s="81"/>
      <c r="S13" s="81">
        <f t="shared" si="6"/>
        <v>216954.6</v>
      </c>
      <c r="T13" s="81">
        <f t="shared" si="7"/>
        <v>0</v>
      </c>
    </row>
    <row r="14" spans="2:22" ht="14.25" customHeight="1">
      <c r="B14" s="166">
        <f t="shared" si="2"/>
        <v>8</v>
      </c>
      <c r="C14" s="164">
        <v>200100</v>
      </c>
      <c r="D14" s="81"/>
      <c r="E14" s="164"/>
      <c r="F14" s="163"/>
      <c r="G14" s="81">
        <v>3</v>
      </c>
      <c r="H14" s="81"/>
      <c r="I14" s="81"/>
      <c r="J14" s="81"/>
      <c r="K14" s="81"/>
      <c r="L14" s="81"/>
      <c r="M14" s="81"/>
      <c r="N14" s="81"/>
      <c r="O14" s="81"/>
      <c r="P14" s="81"/>
      <c r="Q14" s="81"/>
      <c r="R14" s="81"/>
      <c r="S14" s="81">
        <f t="shared" si="6"/>
        <v>0</v>
      </c>
      <c r="T14" s="81">
        <f t="shared" si="7"/>
        <v>0</v>
      </c>
    </row>
    <row r="15" spans="2:22" ht="14.25" customHeight="1">
      <c r="B15" s="166">
        <f t="shared" si="2"/>
        <v>9</v>
      </c>
      <c r="C15" s="164">
        <v>200100</v>
      </c>
      <c r="D15" s="81" t="s">
        <v>1928</v>
      </c>
      <c r="E15" s="164">
        <v>1002</v>
      </c>
      <c r="F15" s="163"/>
      <c r="G15" s="81">
        <v>3</v>
      </c>
      <c r="H15" s="81">
        <v>3</v>
      </c>
      <c r="I15" s="81">
        <v>5917000</v>
      </c>
      <c r="J15" s="81"/>
      <c r="K15" s="81"/>
      <c r="L15" s="81"/>
      <c r="M15" s="81"/>
      <c r="N15" s="81">
        <f t="shared" si="3"/>
        <v>3</v>
      </c>
      <c r="O15" s="81">
        <f t="shared" si="0"/>
        <v>5917000</v>
      </c>
      <c r="P15" s="81">
        <v>5603322</v>
      </c>
      <c r="Q15" s="81"/>
      <c r="R15" s="81"/>
      <c r="S15" s="81">
        <f t="shared" si="4"/>
        <v>5603322</v>
      </c>
      <c r="T15" s="81">
        <f t="shared" si="5"/>
        <v>313678</v>
      </c>
    </row>
    <row r="16" spans="2:22" ht="14.25" customHeight="1">
      <c r="B16" s="166">
        <f t="shared" si="2"/>
        <v>10</v>
      </c>
      <c r="C16" s="164">
        <v>200100</v>
      </c>
      <c r="D16" s="81" t="s">
        <v>1929</v>
      </c>
      <c r="E16" s="164">
        <v>1003</v>
      </c>
      <c r="F16" s="163"/>
      <c r="G16" s="81">
        <v>3</v>
      </c>
      <c r="H16" s="81">
        <v>1</v>
      </c>
      <c r="I16" s="81">
        <v>350000</v>
      </c>
      <c r="J16" s="81"/>
      <c r="K16" s="81"/>
      <c r="L16" s="81"/>
      <c r="M16" s="81"/>
      <c r="N16" s="81">
        <f t="shared" si="3"/>
        <v>1</v>
      </c>
      <c r="O16" s="81">
        <f t="shared" si="0"/>
        <v>350000</v>
      </c>
      <c r="P16" s="81">
        <v>291637.5</v>
      </c>
      <c r="Q16" s="81"/>
      <c r="R16" s="81"/>
      <c r="S16" s="81">
        <f t="shared" si="4"/>
        <v>291637.5</v>
      </c>
      <c r="T16" s="81">
        <f t="shared" si="5"/>
        <v>58362.5</v>
      </c>
    </row>
    <row r="17" spans="2:20" ht="14.25" customHeight="1">
      <c r="B17" s="166">
        <f t="shared" si="2"/>
        <v>11</v>
      </c>
      <c r="C17" s="164">
        <v>200100</v>
      </c>
      <c r="D17" s="81" t="s">
        <v>1930</v>
      </c>
      <c r="E17" s="164">
        <v>1004</v>
      </c>
      <c r="F17" s="163"/>
      <c r="G17" s="81">
        <v>3</v>
      </c>
      <c r="H17" s="81">
        <v>1</v>
      </c>
      <c r="I17" s="81">
        <v>1516000</v>
      </c>
      <c r="J17" s="81"/>
      <c r="K17" s="81"/>
      <c r="L17" s="81"/>
      <c r="M17" s="81"/>
      <c r="N17" s="81">
        <f t="shared" si="3"/>
        <v>1</v>
      </c>
      <c r="O17" s="81">
        <f t="shared" si="0"/>
        <v>1516000</v>
      </c>
      <c r="P17" s="81">
        <v>1263207</v>
      </c>
      <c r="Q17" s="81"/>
      <c r="R17" s="81"/>
      <c r="S17" s="81">
        <f t="shared" si="4"/>
        <v>1263207</v>
      </c>
      <c r="T17" s="81">
        <f t="shared" si="5"/>
        <v>252793</v>
      </c>
    </row>
    <row r="18" spans="2:20" ht="14.25" customHeight="1">
      <c r="B18" s="166">
        <f t="shared" si="2"/>
        <v>12</v>
      </c>
      <c r="C18" s="164">
        <v>200400</v>
      </c>
      <c r="D18" s="81" t="s">
        <v>1931</v>
      </c>
      <c r="E18" s="164">
        <v>5001</v>
      </c>
      <c r="F18" s="163"/>
      <c r="G18" s="81">
        <v>10</v>
      </c>
      <c r="H18" s="81">
        <v>4</v>
      </c>
      <c r="I18" s="81">
        <v>20573692</v>
      </c>
      <c r="J18" s="81"/>
      <c r="K18" s="81"/>
      <c r="L18" s="81"/>
      <c r="M18" s="81"/>
      <c r="N18" s="81">
        <f t="shared" si="3"/>
        <v>4</v>
      </c>
      <c r="O18" s="81">
        <f t="shared" si="0"/>
        <v>20573692</v>
      </c>
      <c r="P18" s="81">
        <v>20359382.710000001</v>
      </c>
      <c r="Q18" s="81"/>
      <c r="R18" s="81"/>
      <c r="S18" s="81">
        <f t="shared" si="4"/>
        <v>20359382.710000001</v>
      </c>
      <c r="T18" s="81">
        <f t="shared" si="5"/>
        <v>214309.28999999911</v>
      </c>
    </row>
    <row r="19" spans="2:20" ht="14.25" customHeight="1">
      <c r="B19" s="166">
        <f t="shared" si="2"/>
        <v>13</v>
      </c>
      <c r="C19" s="164">
        <v>200100</v>
      </c>
      <c r="D19" s="81" t="s">
        <v>1932</v>
      </c>
      <c r="E19" s="164">
        <v>5002</v>
      </c>
      <c r="F19" s="163"/>
      <c r="G19" s="81">
        <v>10</v>
      </c>
      <c r="H19" s="81">
        <v>1</v>
      </c>
      <c r="I19" s="81">
        <v>350000</v>
      </c>
      <c r="J19" s="81"/>
      <c r="K19" s="81"/>
      <c r="L19" s="81"/>
      <c r="M19" s="81"/>
      <c r="N19" s="81">
        <f t="shared" si="3"/>
        <v>1</v>
      </c>
      <c r="O19" s="81">
        <f t="shared" si="0"/>
        <v>350000</v>
      </c>
      <c r="P19" s="81">
        <v>288750</v>
      </c>
      <c r="Q19" s="81"/>
      <c r="R19" s="81"/>
      <c r="S19" s="81">
        <f t="shared" si="4"/>
        <v>288750</v>
      </c>
      <c r="T19" s="81">
        <f t="shared" si="5"/>
        <v>61250</v>
      </c>
    </row>
    <row r="20" spans="2:20" ht="14.25" customHeight="1">
      <c r="B20" s="166">
        <f t="shared" si="2"/>
        <v>14</v>
      </c>
      <c r="C20" s="164">
        <v>200100</v>
      </c>
      <c r="D20" s="81" t="s">
        <v>1933</v>
      </c>
      <c r="E20" s="164">
        <v>5003</v>
      </c>
      <c r="F20" s="163"/>
      <c r="G20" s="81">
        <v>10</v>
      </c>
      <c r="H20" s="81">
        <v>1</v>
      </c>
      <c r="I20" s="81">
        <v>18688000</v>
      </c>
      <c r="J20" s="81"/>
      <c r="K20" s="81"/>
      <c r="L20" s="81"/>
      <c r="M20" s="81"/>
      <c r="N20" s="81">
        <f t="shared" si="3"/>
        <v>1</v>
      </c>
      <c r="O20" s="81">
        <f t="shared" si="0"/>
        <v>18688000</v>
      </c>
      <c r="P20" s="81">
        <v>15417600</v>
      </c>
      <c r="Q20" s="81"/>
      <c r="R20" s="81"/>
      <c r="S20" s="81">
        <f t="shared" si="4"/>
        <v>15417600</v>
      </c>
      <c r="T20" s="81">
        <f t="shared" si="5"/>
        <v>3270400</v>
      </c>
    </row>
    <row r="21" spans="2:20" ht="14.25" customHeight="1">
      <c r="B21" s="166">
        <f t="shared" si="2"/>
        <v>15</v>
      </c>
      <c r="C21" s="164">
        <v>200100</v>
      </c>
      <c r="D21" s="81" t="s">
        <v>1934</v>
      </c>
      <c r="E21" s="164">
        <v>5004</v>
      </c>
      <c r="F21" s="163"/>
      <c r="G21" s="81">
        <v>10</v>
      </c>
      <c r="H21" s="81">
        <v>1</v>
      </c>
      <c r="I21" s="81">
        <v>1039963</v>
      </c>
      <c r="J21" s="81"/>
      <c r="K21" s="81"/>
      <c r="L21" s="81"/>
      <c r="M21" s="81"/>
      <c r="N21" s="81">
        <f t="shared" si="3"/>
        <v>1</v>
      </c>
      <c r="O21" s="81">
        <f t="shared" si="0"/>
        <v>1039963</v>
      </c>
      <c r="P21" s="81">
        <v>805971.48</v>
      </c>
      <c r="Q21" s="81"/>
      <c r="R21" s="81"/>
      <c r="S21" s="81">
        <f t="shared" si="4"/>
        <v>805971.48</v>
      </c>
      <c r="T21" s="81">
        <f t="shared" si="5"/>
        <v>233991.52000000002</v>
      </c>
    </row>
    <row r="22" spans="2:20" ht="14.25" customHeight="1">
      <c r="B22" s="166">
        <f t="shared" si="2"/>
        <v>16</v>
      </c>
      <c r="C22" s="164">
        <v>200100</v>
      </c>
      <c r="D22" s="81" t="s">
        <v>1935</v>
      </c>
      <c r="E22" s="164">
        <v>5005</v>
      </c>
      <c r="F22" s="163"/>
      <c r="G22" s="81">
        <v>10</v>
      </c>
      <c r="H22" s="81">
        <v>1</v>
      </c>
      <c r="I22" s="81">
        <v>2218589.2000000002</v>
      </c>
      <c r="J22" s="81"/>
      <c r="K22" s="81"/>
      <c r="L22" s="81"/>
      <c r="M22" s="81"/>
      <c r="N22" s="81">
        <f t="shared" si="3"/>
        <v>1</v>
      </c>
      <c r="O22" s="81">
        <f t="shared" si="0"/>
        <v>2218589.2000000002</v>
      </c>
      <c r="P22" s="81">
        <v>1719406.63</v>
      </c>
      <c r="Q22" s="81"/>
      <c r="R22" s="81"/>
      <c r="S22" s="81">
        <f t="shared" si="4"/>
        <v>1719406.63</v>
      </c>
      <c r="T22" s="81">
        <f t="shared" si="5"/>
        <v>499182.5700000003</v>
      </c>
    </row>
    <row r="23" spans="2:20" ht="14.25" customHeight="1">
      <c r="B23" s="166">
        <f t="shared" si="2"/>
        <v>17</v>
      </c>
      <c r="C23" s="164">
        <v>200100</v>
      </c>
      <c r="D23" s="81" t="s">
        <v>1935</v>
      </c>
      <c r="E23" s="164">
        <v>5006</v>
      </c>
      <c r="F23" s="163"/>
      <c r="G23" s="81">
        <v>10</v>
      </c>
      <c r="H23" s="81">
        <v>1</v>
      </c>
      <c r="I23" s="81">
        <v>1109294.6000000001</v>
      </c>
      <c r="J23" s="81"/>
      <c r="K23" s="81"/>
      <c r="L23" s="81"/>
      <c r="M23" s="81"/>
      <c r="N23" s="81">
        <f t="shared" si="3"/>
        <v>1</v>
      </c>
      <c r="O23" s="81">
        <f t="shared" si="0"/>
        <v>1109294.6000000001</v>
      </c>
      <c r="P23" s="81">
        <v>859703.47</v>
      </c>
      <c r="Q23" s="81"/>
      <c r="R23" s="81"/>
      <c r="S23" s="81">
        <f t="shared" si="4"/>
        <v>859703.47</v>
      </c>
      <c r="T23" s="81">
        <f t="shared" si="5"/>
        <v>249591.13000000012</v>
      </c>
    </row>
    <row r="24" spans="2:20" ht="14.25" customHeight="1">
      <c r="B24" s="166">
        <f t="shared" si="2"/>
        <v>18</v>
      </c>
      <c r="C24" s="164">
        <v>200100</v>
      </c>
      <c r="D24" s="81" t="s">
        <v>1935</v>
      </c>
      <c r="E24" s="164">
        <v>5007</v>
      </c>
      <c r="F24" s="163"/>
      <c r="G24" s="81">
        <v>10</v>
      </c>
      <c r="H24" s="81">
        <v>1</v>
      </c>
      <c r="I24" s="81">
        <v>1109294.6000000001</v>
      </c>
      <c r="J24" s="81"/>
      <c r="K24" s="81"/>
      <c r="L24" s="81"/>
      <c r="M24" s="81"/>
      <c r="N24" s="81">
        <f t="shared" ref="N24" si="8">+H24+J24-L24</f>
        <v>1</v>
      </c>
      <c r="O24" s="81">
        <f t="shared" ref="O24" si="9">+I24+K24-M24</f>
        <v>1109294.6000000001</v>
      </c>
      <c r="P24" s="81">
        <v>859703.47</v>
      </c>
      <c r="Q24" s="81"/>
      <c r="R24" s="81"/>
      <c r="S24" s="81">
        <f t="shared" si="4"/>
        <v>859703.47</v>
      </c>
      <c r="T24" s="81">
        <f t="shared" si="5"/>
        <v>249591.13000000012</v>
      </c>
    </row>
    <row r="25" spans="2:20" ht="14.25" customHeight="1">
      <c r="B25" s="166">
        <f t="shared" si="2"/>
        <v>19</v>
      </c>
      <c r="C25" s="164">
        <v>200100</v>
      </c>
      <c r="D25" s="81" t="s">
        <v>1936</v>
      </c>
      <c r="E25" s="164">
        <v>5008</v>
      </c>
      <c r="F25" s="163"/>
      <c r="G25" s="81">
        <v>10</v>
      </c>
      <c r="H25" s="81">
        <v>1</v>
      </c>
      <c r="I25" s="81">
        <v>5407811.1699999999</v>
      </c>
      <c r="J25" s="81"/>
      <c r="K25" s="81"/>
      <c r="L25" s="81"/>
      <c r="M25" s="81"/>
      <c r="N25" s="81">
        <f t="shared" si="3"/>
        <v>1</v>
      </c>
      <c r="O25" s="81">
        <f t="shared" si="0"/>
        <v>5407811.1699999999</v>
      </c>
      <c r="P25" s="81">
        <v>4191053.68</v>
      </c>
      <c r="Q25" s="81"/>
      <c r="R25" s="81"/>
      <c r="S25" s="81">
        <f t="shared" si="4"/>
        <v>4191053.68</v>
      </c>
      <c r="T25" s="81">
        <f t="shared" si="5"/>
        <v>1216757.4899999998</v>
      </c>
    </row>
    <row r="26" spans="2:20" ht="14.25" customHeight="1">
      <c r="B26" s="166">
        <f t="shared" si="2"/>
        <v>20</v>
      </c>
      <c r="C26" s="164">
        <v>200100</v>
      </c>
      <c r="D26" s="81" t="s">
        <v>1937</v>
      </c>
      <c r="E26" s="164">
        <v>5009</v>
      </c>
      <c r="F26" s="163"/>
      <c r="G26" s="81">
        <v>10</v>
      </c>
      <c r="H26" s="81">
        <v>1</v>
      </c>
      <c r="I26" s="81">
        <v>25929761.23</v>
      </c>
      <c r="J26" s="81"/>
      <c r="K26" s="81"/>
      <c r="L26" s="81"/>
      <c r="M26" s="81"/>
      <c r="N26" s="81">
        <f t="shared" si="3"/>
        <v>1</v>
      </c>
      <c r="O26" s="81">
        <f t="shared" si="0"/>
        <v>25929761.23</v>
      </c>
      <c r="P26" s="81">
        <v>20095564.93</v>
      </c>
      <c r="Q26" s="81"/>
      <c r="R26" s="81"/>
      <c r="S26" s="81">
        <f t="shared" si="4"/>
        <v>20095564.93</v>
      </c>
      <c r="T26" s="81">
        <f t="shared" si="5"/>
        <v>5834196.3000000007</v>
      </c>
    </row>
    <row r="27" spans="2:20" ht="14.25" customHeight="1">
      <c r="B27" s="166">
        <f t="shared" si="2"/>
        <v>21</v>
      </c>
      <c r="C27" s="164">
        <v>200100</v>
      </c>
      <c r="D27" s="81" t="s">
        <v>1938</v>
      </c>
      <c r="E27" s="164">
        <v>5010</v>
      </c>
      <c r="F27" s="163"/>
      <c r="G27" s="81">
        <v>10</v>
      </c>
      <c r="H27" s="81">
        <v>1</v>
      </c>
      <c r="I27" s="81">
        <v>3050560.14</v>
      </c>
      <c r="J27" s="81"/>
      <c r="K27" s="81"/>
      <c r="L27" s="81"/>
      <c r="M27" s="81"/>
      <c r="N27" s="81">
        <f t="shared" si="3"/>
        <v>1</v>
      </c>
      <c r="O27" s="81">
        <f t="shared" si="0"/>
        <v>3050560.14</v>
      </c>
      <c r="P27" s="81">
        <v>2364184</v>
      </c>
      <c r="Q27" s="81"/>
      <c r="R27" s="81"/>
      <c r="S27" s="81">
        <f t="shared" si="4"/>
        <v>2364184</v>
      </c>
      <c r="T27" s="81">
        <f t="shared" si="5"/>
        <v>686376.14000000013</v>
      </c>
    </row>
    <row r="28" spans="2:20" ht="14.25" customHeight="1">
      <c r="B28" s="166">
        <f t="shared" si="2"/>
        <v>22</v>
      </c>
      <c r="C28" s="164">
        <v>200100</v>
      </c>
      <c r="D28" s="81" t="s">
        <v>1939</v>
      </c>
      <c r="E28" s="164">
        <v>5011</v>
      </c>
      <c r="F28" s="163"/>
      <c r="G28" s="81">
        <v>10</v>
      </c>
      <c r="H28" s="81">
        <v>1</v>
      </c>
      <c r="I28" s="81">
        <v>5269149.34</v>
      </c>
      <c r="J28" s="81"/>
      <c r="K28" s="81"/>
      <c r="L28" s="81"/>
      <c r="M28" s="81"/>
      <c r="N28" s="81">
        <f t="shared" si="3"/>
        <v>1</v>
      </c>
      <c r="O28" s="81">
        <f t="shared" ref="O28:O55" si="10">+I28+K28-M28</f>
        <v>5269149.34</v>
      </c>
      <c r="P28" s="81">
        <v>4083590.63</v>
      </c>
      <c r="Q28" s="81"/>
      <c r="R28" s="81"/>
      <c r="S28" s="81">
        <f t="shared" si="4"/>
        <v>4083590.63</v>
      </c>
      <c r="T28" s="81">
        <f t="shared" si="5"/>
        <v>1185558.71</v>
      </c>
    </row>
    <row r="29" spans="2:20" ht="14.25" customHeight="1">
      <c r="B29" s="166">
        <f t="shared" si="2"/>
        <v>23</v>
      </c>
      <c r="C29" s="164">
        <v>200100</v>
      </c>
      <c r="D29" s="81" t="s">
        <v>1940</v>
      </c>
      <c r="E29" s="164">
        <v>5012</v>
      </c>
      <c r="F29" s="163"/>
      <c r="G29" s="81">
        <v>10</v>
      </c>
      <c r="H29" s="81">
        <v>1</v>
      </c>
      <c r="I29" s="81">
        <v>12479564.220000001</v>
      </c>
      <c r="J29" s="81"/>
      <c r="K29" s="81"/>
      <c r="L29" s="81"/>
      <c r="M29" s="81"/>
      <c r="N29" s="81">
        <f t="shared" si="3"/>
        <v>1</v>
      </c>
      <c r="O29" s="81">
        <f t="shared" si="10"/>
        <v>12479564.220000001</v>
      </c>
      <c r="P29" s="81">
        <v>9671662.4100000001</v>
      </c>
      <c r="Q29" s="81"/>
      <c r="R29" s="81"/>
      <c r="S29" s="81">
        <f t="shared" si="4"/>
        <v>9671662.4100000001</v>
      </c>
      <c r="T29" s="81">
        <f t="shared" si="5"/>
        <v>2807901.8100000005</v>
      </c>
    </row>
    <row r="30" spans="2:20" ht="14.25" customHeight="1">
      <c r="B30" s="166">
        <f t="shared" si="2"/>
        <v>24</v>
      </c>
      <c r="C30" s="164">
        <v>200100</v>
      </c>
      <c r="D30" s="81" t="s">
        <v>1941</v>
      </c>
      <c r="E30" s="164">
        <v>5013</v>
      </c>
      <c r="F30" s="163"/>
      <c r="G30" s="81">
        <v>10</v>
      </c>
      <c r="H30" s="81">
        <v>1</v>
      </c>
      <c r="I30" s="81">
        <v>40211929.18</v>
      </c>
      <c r="J30" s="81"/>
      <c r="K30" s="81"/>
      <c r="L30" s="81"/>
      <c r="M30" s="81"/>
      <c r="N30" s="81">
        <f t="shared" si="3"/>
        <v>1</v>
      </c>
      <c r="O30" s="81">
        <f t="shared" si="10"/>
        <v>40211929.18</v>
      </c>
      <c r="P30" s="81">
        <v>31164245.129999999</v>
      </c>
      <c r="Q30" s="81"/>
      <c r="R30" s="81"/>
      <c r="S30" s="81">
        <f t="shared" si="4"/>
        <v>31164245.129999999</v>
      </c>
      <c r="T30" s="81">
        <f t="shared" si="5"/>
        <v>9047684.0500000007</v>
      </c>
    </row>
    <row r="31" spans="2:20" ht="14.25" customHeight="1">
      <c r="B31" s="166">
        <f t="shared" si="2"/>
        <v>25</v>
      </c>
      <c r="C31" s="164">
        <v>200100</v>
      </c>
      <c r="D31" s="81" t="s">
        <v>1942</v>
      </c>
      <c r="E31" s="164">
        <v>5014</v>
      </c>
      <c r="F31" s="163"/>
      <c r="G31" s="81">
        <v>10</v>
      </c>
      <c r="H31" s="81">
        <v>1</v>
      </c>
      <c r="I31" s="81">
        <v>7487738.54</v>
      </c>
      <c r="J31" s="81"/>
      <c r="K31" s="81"/>
      <c r="L31" s="81"/>
      <c r="M31" s="81"/>
      <c r="N31" s="81">
        <f t="shared" si="3"/>
        <v>1</v>
      </c>
      <c r="O31" s="81">
        <f t="shared" si="10"/>
        <v>7487738.54</v>
      </c>
      <c r="P31" s="81">
        <v>5802997.2599999998</v>
      </c>
      <c r="Q31" s="81"/>
      <c r="R31" s="81"/>
      <c r="S31" s="81">
        <f t="shared" si="4"/>
        <v>5802997.2599999998</v>
      </c>
      <c r="T31" s="81">
        <f t="shared" si="5"/>
        <v>1684741.2800000003</v>
      </c>
    </row>
    <row r="32" spans="2:20" ht="14.25" customHeight="1">
      <c r="B32" s="166">
        <f t="shared" si="2"/>
        <v>26</v>
      </c>
      <c r="C32" s="164">
        <v>200100</v>
      </c>
      <c r="D32" s="81" t="s">
        <v>1943</v>
      </c>
      <c r="E32" s="164">
        <v>5015</v>
      </c>
      <c r="F32" s="163"/>
      <c r="G32" s="81">
        <v>10</v>
      </c>
      <c r="H32" s="81">
        <v>1</v>
      </c>
      <c r="I32" s="81">
        <v>3327883.79</v>
      </c>
      <c r="J32" s="81"/>
      <c r="K32" s="81"/>
      <c r="L32" s="81"/>
      <c r="M32" s="81"/>
      <c r="N32" s="81">
        <f t="shared" si="3"/>
        <v>1</v>
      </c>
      <c r="O32" s="81">
        <f t="shared" si="10"/>
        <v>3327883.79</v>
      </c>
      <c r="P32" s="81">
        <v>2579109.79</v>
      </c>
      <c r="Q32" s="81"/>
      <c r="R32" s="81"/>
      <c r="S32" s="81">
        <f t="shared" si="4"/>
        <v>2579109.79</v>
      </c>
      <c r="T32" s="81">
        <f t="shared" si="5"/>
        <v>748774</v>
      </c>
    </row>
    <row r="33" spans="2:20" ht="14.25" customHeight="1">
      <c r="B33" s="166">
        <f t="shared" si="2"/>
        <v>27</v>
      </c>
      <c r="C33" s="164">
        <v>200100</v>
      </c>
      <c r="D33" s="81" t="s">
        <v>1944</v>
      </c>
      <c r="E33" s="164">
        <v>5016</v>
      </c>
      <c r="F33" s="163"/>
      <c r="G33" s="81">
        <v>10</v>
      </c>
      <c r="H33" s="81">
        <v>1</v>
      </c>
      <c r="I33" s="81">
        <v>26345746.699999999</v>
      </c>
      <c r="J33" s="81"/>
      <c r="K33" s="81"/>
      <c r="L33" s="81"/>
      <c r="M33" s="81"/>
      <c r="N33" s="81">
        <f t="shared" si="3"/>
        <v>1</v>
      </c>
      <c r="O33" s="81">
        <f t="shared" si="10"/>
        <v>26345746.699999999</v>
      </c>
      <c r="P33" s="81">
        <v>20417953.77</v>
      </c>
      <c r="Q33" s="81"/>
      <c r="R33" s="81"/>
      <c r="S33" s="81">
        <f t="shared" si="4"/>
        <v>20417953.77</v>
      </c>
      <c r="T33" s="81">
        <f t="shared" si="5"/>
        <v>5927792.9299999997</v>
      </c>
    </row>
    <row r="34" spans="2:20" ht="14.25" customHeight="1">
      <c r="B34" s="166">
        <f t="shared" si="2"/>
        <v>28</v>
      </c>
      <c r="C34" s="164">
        <v>200100</v>
      </c>
      <c r="D34" s="81" t="s">
        <v>1945</v>
      </c>
      <c r="E34" s="164">
        <v>5017</v>
      </c>
      <c r="F34" s="163"/>
      <c r="G34" s="81">
        <v>10</v>
      </c>
      <c r="H34" s="81">
        <v>1</v>
      </c>
      <c r="I34" s="81">
        <v>68220494.950000003</v>
      </c>
      <c r="J34" s="81"/>
      <c r="K34" s="81"/>
      <c r="L34" s="81"/>
      <c r="M34" s="81"/>
      <c r="N34" s="81">
        <f t="shared" si="3"/>
        <v>1</v>
      </c>
      <c r="O34" s="81">
        <f t="shared" si="10"/>
        <v>68220494.950000003</v>
      </c>
      <c r="P34" s="81">
        <v>52870883.469999999</v>
      </c>
      <c r="Q34" s="81"/>
      <c r="R34" s="81"/>
      <c r="S34" s="81">
        <f t="shared" si="4"/>
        <v>52870883.469999999</v>
      </c>
      <c r="T34" s="81">
        <f t="shared" si="5"/>
        <v>15349611.480000004</v>
      </c>
    </row>
    <row r="35" spans="2:20" ht="14.25" customHeight="1">
      <c r="B35" s="166">
        <f t="shared" si="2"/>
        <v>29</v>
      </c>
      <c r="C35" s="164">
        <v>200100</v>
      </c>
      <c r="D35" s="81" t="s">
        <v>1946</v>
      </c>
      <c r="E35" s="164">
        <v>5018</v>
      </c>
      <c r="F35" s="163"/>
      <c r="G35" s="81">
        <v>10</v>
      </c>
      <c r="H35" s="81">
        <v>1</v>
      </c>
      <c r="I35" s="81">
        <v>46613805.630000003</v>
      </c>
      <c r="J35" s="81"/>
      <c r="K35" s="81"/>
      <c r="L35" s="81"/>
      <c r="M35" s="81"/>
      <c r="N35" s="81">
        <f t="shared" si="3"/>
        <v>1</v>
      </c>
      <c r="O35" s="81">
        <f t="shared" si="10"/>
        <v>46613805.630000003</v>
      </c>
      <c r="P35" s="81">
        <v>36125699.340000004</v>
      </c>
      <c r="Q35" s="81"/>
      <c r="R35" s="81"/>
      <c r="S35" s="81">
        <f t="shared" si="4"/>
        <v>36125699.340000004</v>
      </c>
      <c r="T35" s="81">
        <f t="shared" si="5"/>
        <v>10488106.289999999</v>
      </c>
    </row>
    <row r="36" spans="2:20" ht="14.25" customHeight="1">
      <c r="B36" s="166">
        <f t="shared" si="2"/>
        <v>30</v>
      </c>
      <c r="C36" s="164">
        <v>200100</v>
      </c>
      <c r="D36" s="81" t="s">
        <v>1947</v>
      </c>
      <c r="E36" s="164">
        <v>5019</v>
      </c>
      <c r="F36" s="163"/>
      <c r="G36" s="81">
        <v>10</v>
      </c>
      <c r="H36" s="81">
        <v>1</v>
      </c>
      <c r="I36" s="81">
        <v>970632.77</v>
      </c>
      <c r="J36" s="81"/>
      <c r="K36" s="81"/>
      <c r="L36" s="81"/>
      <c r="M36" s="81"/>
      <c r="N36" s="81">
        <f t="shared" si="3"/>
        <v>1</v>
      </c>
      <c r="O36" s="81">
        <f t="shared" si="10"/>
        <v>970632.77</v>
      </c>
      <c r="P36" s="81">
        <v>752240.42</v>
      </c>
      <c r="Q36" s="81"/>
      <c r="R36" s="81"/>
      <c r="S36" s="81">
        <f t="shared" si="4"/>
        <v>752240.42</v>
      </c>
      <c r="T36" s="81">
        <f t="shared" si="5"/>
        <v>218392.34999999998</v>
      </c>
    </row>
    <row r="37" spans="2:20" ht="14.25" customHeight="1">
      <c r="B37" s="166">
        <f t="shared" si="2"/>
        <v>31</v>
      </c>
      <c r="C37" s="164">
        <v>200100</v>
      </c>
      <c r="D37" s="81" t="s">
        <v>1948</v>
      </c>
      <c r="E37" s="164">
        <v>5020</v>
      </c>
      <c r="F37" s="163"/>
      <c r="G37" s="81">
        <v>10</v>
      </c>
      <c r="H37" s="81">
        <v>1</v>
      </c>
      <c r="I37" s="81">
        <v>17471389.920000002</v>
      </c>
      <c r="J37" s="81"/>
      <c r="K37" s="81"/>
      <c r="L37" s="81"/>
      <c r="M37" s="81"/>
      <c r="N37" s="81">
        <f t="shared" si="3"/>
        <v>1</v>
      </c>
      <c r="O37" s="81">
        <f t="shared" si="10"/>
        <v>17471389.920000002</v>
      </c>
      <c r="P37" s="81">
        <v>13540327.25</v>
      </c>
      <c r="Q37" s="81"/>
      <c r="R37" s="81"/>
      <c r="S37" s="81">
        <f t="shared" si="4"/>
        <v>13540327.25</v>
      </c>
      <c r="T37" s="81">
        <f t="shared" si="5"/>
        <v>3931062.6700000018</v>
      </c>
    </row>
    <row r="38" spans="2:20" ht="14.25" customHeight="1">
      <c r="B38" s="166">
        <f t="shared" si="2"/>
        <v>32</v>
      </c>
      <c r="C38" s="164">
        <v>200100</v>
      </c>
      <c r="D38" s="81" t="s">
        <v>1949</v>
      </c>
      <c r="E38" s="164">
        <v>5021</v>
      </c>
      <c r="F38" s="163"/>
      <c r="G38" s="81">
        <v>10</v>
      </c>
      <c r="H38" s="81">
        <v>1</v>
      </c>
      <c r="I38" s="81">
        <v>34388132.539999999</v>
      </c>
      <c r="J38" s="81"/>
      <c r="K38" s="81"/>
      <c r="L38" s="81"/>
      <c r="M38" s="81"/>
      <c r="N38" s="81">
        <f t="shared" si="3"/>
        <v>1</v>
      </c>
      <c r="O38" s="81">
        <f t="shared" si="10"/>
        <v>34388132.539999999</v>
      </c>
      <c r="P38" s="81">
        <v>26650802.609999999</v>
      </c>
      <c r="Q38" s="81"/>
      <c r="R38" s="81"/>
      <c r="S38" s="81">
        <f t="shared" si="4"/>
        <v>26650802.609999999</v>
      </c>
      <c r="T38" s="81">
        <f t="shared" si="5"/>
        <v>7737329.9299999997</v>
      </c>
    </row>
    <row r="39" spans="2:20" ht="14.25" customHeight="1">
      <c r="B39" s="166">
        <f t="shared" si="2"/>
        <v>33</v>
      </c>
      <c r="C39" s="164">
        <v>200100</v>
      </c>
      <c r="D39" s="81" t="s">
        <v>1950</v>
      </c>
      <c r="E39" s="164">
        <v>5022</v>
      </c>
      <c r="F39" s="163"/>
      <c r="G39" s="81">
        <v>10</v>
      </c>
      <c r="H39" s="81">
        <v>1</v>
      </c>
      <c r="I39" s="81">
        <v>23849833.859999999</v>
      </c>
      <c r="J39" s="81"/>
      <c r="K39" s="81"/>
      <c r="L39" s="81"/>
      <c r="M39" s="81"/>
      <c r="N39" s="81">
        <f t="shared" si="3"/>
        <v>1</v>
      </c>
      <c r="O39" s="81">
        <f t="shared" si="10"/>
        <v>23849833.859999999</v>
      </c>
      <c r="P39" s="81">
        <v>18483621.350000001</v>
      </c>
      <c r="Q39" s="81"/>
      <c r="R39" s="81"/>
      <c r="S39" s="81">
        <f t="shared" si="4"/>
        <v>18483621.350000001</v>
      </c>
      <c r="T39" s="81">
        <f t="shared" si="5"/>
        <v>5366212.5099999979</v>
      </c>
    </row>
    <row r="40" spans="2:20" ht="14.25" customHeight="1">
      <c r="B40" s="166">
        <f t="shared" si="2"/>
        <v>34</v>
      </c>
      <c r="C40" s="164">
        <v>200100</v>
      </c>
      <c r="D40" s="81" t="s">
        <v>1951</v>
      </c>
      <c r="E40" s="164">
        <v>5023</v>
      </c>
      <c r="F40" s="163"/>
      <c r="G40" s="81">
        <v>10</v>
      </c>
      <c r="H40" s="81">
        <v>1</v>
      </c>
      <c r="I40" s="81">
        <v>8181047.6600000001</v>
      </c>
      <c r="J40" s="81"/>
      <c r="K40" s="81"/>
      <c r="L40" s="81"/>
      <c r="M40" s="81"/>
      <c r="N40" s="81">
        <f t="shared" si="3"/>
        <v>1</v>
      </c>
      <c r="O40" s="81">
        <f t="shared" si="10"/>
        <v>8181047.6600000001</v>
      </c>
      <c r="P40" s="81">
        <v>6340311.8899999997</v>
      </c>
      <c r="Q40" s="81"/>
      <c r="R40" s="81"/>
      <c r="S40" s="81">
        <f t="shared" si="4"/>
        <v>6340311.8899999997</v>
      </c>
      <c r="T40" s="81">
        <f t="shared" si="5"/>
        <v>1840735.7700000005</v>
      </c>
    </row>
    <row r="41" spans="2:20" ht="14.25" customHeight="1">
      <c r="B41" s="166">
        <f t="shared" si="2"/>
        <v>35</v>
      </c>
      <c r="C41" s="164">
        <v>200100</v>
      </c>
      <c r="D41" s="81" t="s">
        <v>1952</v>
      </c>
      <c r="E41" s="164">
        <v>5024</v>
      </c>
      <c r="F41" s="163"/>
      <c r="G41" s="81">
        <v>10</v>
      </c>
      <c r="H41" s="81">
        <v>1</v>
      </c>
      <c r="I41" s="81">
        <v>6378443.9400000004</v>
      </c>
      <c r="J41" s="81"/>
      <c r="K41" s="81"/>
      <c r="L41" s="81"/>
      <c r="M41" s="81"/>
      <c r="N41" s="81">
        <f t="shared" si="3"/>
        <v>1</v>
      </c>
      <c r="O41" s="81">
        <f t="shared" si="10"/>
        <v>6378443.9400000004</v>
      </c>
      <c r="P41" s="81">
        <v>4943294.0999999996</v>
      </c>
      <c r="Q41" s="81"/>
      <c r="R41" s="81"/>
      <c r="S41" s="81">
        <f t="shared" si="4"/>
        <v>4943294.0999999996</v>
      </c>
      <c r="T41" s="81">
        <f t="shared" si="5"/>
        <v>1435149.8400000008</v>
      </c>
    </row>
    <row r="42" spans="2:20" ht="14.25" customHeight="1">
      <c r="B42" s="166">
        <f t="shared" si="2"/>
        <v>36</v>
      </c>
      <c r="C42" s="164">
        <v>200100</v>
      </c>
      <c r="D42" s="81" t="s">
        <v>1953</v>
      </c>
      <c r="E42" s="164">
        <v>5025</v>
      </c>
      <c r="F42" s="163"/>
      <c r="G42" s="81">
        <v>10</v>
      </c>
      <c r="H42" s="81">
        <v>1</v>
      </c>
      <c r="I42" s="81">
        <v>6101120.29</v>
      </c>
      <c r="J42" s="81"/>
      <c r="K42" s="81"/>
      <c r="L42" s="81"/>
      <c r="M42" s="81"/>
      <c r="N42" s="81">
        <f t="shared" si="3"/>
        <v>1</v>
      </c>
      <c r="O42" s="81">
        <f t="shared" si="10"/>
        <v>6101120.29</v>
      </c>
      <c r="P42" s="81">
        <v>4728368.3099999996</v>
      </c>
      <c r="Q42" s="81"/>
      <c r="R42" s="81"/>
      <c r="S42" s="81">
        <f t="shared" si="4"/>
        <v>4728368.3099999996</v>
      </c>
      <c r="T42" s="81">
        <f t="shared" si="5"/>
        <v>1372751.9800000004</v>
      </c>
    </row>
    <row r="43" spans="2:20" ht="14.25" customHeight="1">
      <c r="B43" s="166">
        <f t="shared" si="2"/>
        <v>37</v>
      </c>
      <c r="C43" s="164">
        <v>200100</v>
      </c>
      <c r="D43" s="81" t="s">
        <v>1954</v>
      </c>
      <c r="E43" s="164">
        <v>5026</v>
      </c>
      <c r="F43" s="163"/>
      <c r="G43" s="81">
        <v>10</v>
      </c>
      <c r="H43" s="81">
        <v>1</v>
      </c>
      <c r="I43" s="81">
        <v>26153257</v>
      </c>
      <c r="J43" s="81"/>
      <c r="K43" s="81"/>
      <c r="L43" s="81"/>
      <c r="M43" s="81"/>
      <c r="N43" s="81">
        <f t="shared" si="3"/>
        <v>1</v>
      </c>
      <c r="O43" s="81">
        <f t="shared" si="10"/>
        <v>26153257</v>
      </c>
      <c r="P43" s="81">
        <v>20268774.329999998</v>
      </c>
      <c r="Q43" s="81"/>
      <c r="R43" s="81"/>
      <c r="S43" s="81">
        <f t="shared" si="4"/>
        <v>20268774.329999998</v>
      </c>
      <c r="T43" s="81">
        <f t="shared" si="5"/>
        <v>5884482.6700000018</v>
      </c>
    </row>
    <row r="44" spans="2:20" ht="14.25" customHeight="1">
      <c r="B44" s="166">
        <f t="shared" si="2"/>
        <v>38</v>
      </c>
      <c r="C44" s="164">
        <v>200100</v>
      </c>
      <c r="D44" s="81" t="s">
        <v>1955</v>
      </c>
      <c r="E44" s="164">
        <v>5027</v>
      </c>
      <c r="F44" s="163"/>
      <c r="G44" s="81">
        <v>10</v>
      </c>
      <c r="H44" s="81">
        <v>1</v>
      </c>
      <c r="I44" s="81">
        <v>181239.54</v>
      </c>
      <c r="J44" s="81"/>
      <c r="K44" s="81"/>
      <c r="L44" s="81"/>
      <c r="M44" s="81"/>
      <c r="N44" s="81">
        <f t="shared" si="3"/>
        <v>1</v>
      </c>
      <c r="O44" s="81">
        <f t="shared" si="10"/>
        <v>181239.54</v>
      </c>
      <c r="P44" s="81">
        <v>140460.69</v>
      </c>
      <c r="Q44" s="81"/>
      <c r="R44" s="81"/>
      <c r="S44" s="81">
        <f t="shared" si="4"/>
        <v>140460.69</v>
      </c>
      <c r="T44" s="81">
        <f t="shared" si="5"/>
        <v>40778.850000000006</v>
      </c>
    </row>
    <row r="45" spans="2:20" ht="14.25" customHeight="1">
      <c r="B45" s="166">
        <f t="shared" si="2"/>
        <v>39</v>
      </c>
      <c r="C45" s="164">
        <v>200100</v>
      </c>
      <c r="D45" s="81" t="s">
        <v>1956</v>
      </c>
      <c r="E45" s="164">
        <v>5028</v>
      </c>
      <c r="F45" s="163"/>
      <c r="G45" s="81">
        <v>10</v>
      </c>
      <c r="H45" s="81">
        <v>2</v>
      </c>
      <c r="I45" s="81">
        <v>1286131.68</v>
      </c>
      <c r="J45" s="81"/>
      <c r="K45" s="81"/>
      <c r="L45" s="81"/>
      <c r="M45" s="81"/>
      <c r="N45" s="81">
        <f t="shared" si="3"/>
        <v>2</v>
      </c>
      <c r="O45" s="81">
        <f t="shared" si="10"/>
        <v>1286131.68</v>
      </c>
      <c r="P45" s="81">
        <v>996751.99</v>
      </c>
      <c r="Q45" s="81"/>
      <c r="R45" s="81"/>
      <c r="S45" s="81">
        <f t="shared" si="4"/>
        <v>996751.99</v>
      </c>
      <c r="T45" s="81">
        <f t="shared" si="5"/>
        <v>289379.68999999994</v>
      </c>
    </row>
    <row r="46" spans="2:20" ht="14.25" customHeight="1">
      <c r="B46" s="166">
        <f t="shared" si="2"/>
        <v>40</v>
      </c>
      <c r="C46" s="164">
        <v>200100</v>
      </c>
      <c r="D46" s="81" t="s">
        <v>1957</v>
      </c>
      <c r="E46" s="164">
        <v>5029</v>
      </c>
      <c r="F46" s="163"/>
      <c r="G46" s="81">
        <v>10</v>
      </c>
      <c r="H46" s="81">
        <v>1</v>
      </c>
      <c r="I46" s="81">
        <v>50335809.950000003</v>
      </c>
      <c r="J46" s="81"/>
      <c r="K46" s="81"/>
      <c r="L46" s="81"/>
      <c r="M46" s="81"/>
      <c r="N46" s="81">
        <f t="shared" si="3"/>
        <v>1</v>
      </c>
      <c r="O46" s="81">
        <f t="shared" si="10"/>
        <v>50335809.950000003</v>
      </c>
      <c r="P46" s="81">
        <v>42143729.200000003</v>
      </c>
      <c r="Q46" s="81"/>
      <c r="R46" s="81"/>
      <c r="S46" s="81">
        <f t="shared" si="4"/>
        <v>42143729.200000003</v>
      </c>
      <c r="T46" s="81">
        <f t="shared" si="5"/>
        <v>8192080.75</v>
      </c>
    </row>
    <row r="47" spans="2:20" ht="14.25" customHeight="1">
      <c r="B47" s="166">
        <f t="shared" si="2"/>
        <v>41</v>
      </c>
      <c r="C47" s="164">
        <v>200100</v>
      </c>
      <c r="D47" s="81" t="s">
        <v>1958</v>
      </c>
      <c r="E47" s="164">
        <v>5030</v>
      </c>
      <c r="F47" s="163"/>
      <c r="G47" s="81">
        <v>10</v>
      </c>
      <c r="H47" s="81">
        <v>1</v>
      </c>
      <c r="I47" s="81">
        <v>1770000</v>
      </c>
      <c r="J47" s="81"/>
      <c r="K47" s="81"/>
      <c r="L47" s="81"/>
      <c r="M47" s="81"/>
      <c r="N47" s="81">
        <f t="shared" si="3"/>
        <v>1</v>
      </c>
      <c r="O47" s="81">
        <f t="shared" si="10"/>
        <v>1770000</v>
      </c>
      <c r="P47" s="81">
        <v>1179882</v>
      </c>
      <c r="Q47" s="81"/>
      <c r="R47" s="81"/>
      <c r="S47" s="81">
        <f t="shared" si="4"/>
        <v>1179882</v>
      </c>
      <c r="T47" s="81">
        <f t="shared" si="5"/>
        <v>590118</v>
      </c>
    </row>
    <row r="48" spans="2:20" ht="14.25" customHeight="1">
      <c r="B48" s="166">
        <f t="shared" si="2"/>
        <v>42</v>
      </c>
      <c r="C48" s="164">
        <v>200100</v>
      </c>
      <c r="D48" s="81" t="s">
        <v>1959</v>
      </c>
      <c r="E48" s="164">
        <v>5031</v>
      </c>
      <c r="F48" s="163"/>
      <c r="G48" s="81">
        <v>10</v>
      </c>
      <c r="H48" s="81">
        <v>1</v>
      </c>
      <c r="I48" s="81">
        <v>1600000</v>
      </c>
      <c r="J48" s="81"/>
      <c r="K48" s="81"/>
      <c r="L48" s="81"/>
      <c r="M48" s="81"/>
      <c r="N48" s="81">
        <f t="shared" si="3"/>
        <v>1</v>
      </c>
      <c r="O48" s="81">
        <f t="shared" si="10"/>
        <v>1600000</v>
      </c>
      <c r="P48" s="81">
        <v>1066560</v>
      </c>
      <c r="Q48" s="81"/>
      <c r="R48" s="81"/>
      <c r="S48" s="81">
        <f t="shared" si="4"/>
        <v>1066560</v>
      </c>
      <c r="T48" s="81">
        <f t="shared" si="5"/>
        <v>533440</v>
      </c>
    </row>
    <row r="49" spans="2:20" ht="14.25" customHeight="1">
      <c r="B49" s="166">
        <f t="shared" si="2"/>
        <v>43</v>
      </c>
      <c r="C49" s="164">
        <v>200100</v>
      </c>
      <c r="D49" s="81" t="s">
        <v>1960</v>
      </c>
      <c r="E49" s="164">
        <v>5032</v>
      </c>
      <c r="F49" s="163"/>
      <c r="G49" s="81">
        <v>10</v>
      </c>
      <c r="H49" s="81">
        <v>1</v>
      </c>
      <c r="I49" s="81">
        <v>210000000</v>
      </c>
      <c r="J49" s="81"/>
      <c r="K49" s="81"/>
      <c r="L49" s="81"/>
      <c r="M49" s="81"/>
      <c r="N49" s="81">
        <f t="shared" si="3"/>
        <v>1</v>
      </c>
      <c r="O49" s="81">
        <f t="shared" si="10"/>
        <v>210000000</v>
      </c>
      <c r="P49" s="81">
        <v>21000000</v>
      </c>
      <c r="Q49" s="81"/>
      <c r="R49" s="81"/>
      <c r="S49" s="81">
        <f t="shared" si="4"/>
        <v>21000000</v>
      </c>
      <c r="T49" s="81">
        <f t="shared" si="5"/>
        <v>189000000</v>
      </c>
    </row>
    <row r="50" spans="2:20" ht="14.25" customHeight="1">
      <c r="B50" s="166">
        <f t="shared" si="2"/>
        <v>44</v>
      </c>
      <c r="C50" s="164">
        <v>200300</v>
      </c>
      <c r="D50" s="81" t="s">
        <v>1961</v>
      </c>
      <c r="E50" s="164">
        <v>2001</v>
      </c>
      <c r="F50" s="163"/>
      <c r="G50" s="81">
        <v>10</v>
      </c>
      <c r="H50" s="81">
        <v>5</v>
      </c>
      <c r="I50" s="81">
        <v>886111.26</v>
      </c>
      <c r="J50" s="81"/>
      <c r="K50" s="81"/>
      <c r="L50" s="81"/>
      <c r="M50" s="81"/>
      <c r="N50" s="81">
        <f t="shared" si="3"/>
        <v>5</v>
      </c>
      <c r="O50" s="81">
        <f t="shared" si="10"/>
        <v>886111.26</v>
      </c>
      <c r="P50" s="81">
        <v>254135.04000000001</v>
      </c>
      <c r="Q50" s="81"/>
      <c r="R50" s="81"/>
      <c r="S50" s="81">
        <f t="shared" si="4"/>
        <v>254135.04000000001</v>
      </c>
      <c r="T50" s="81">
        <f t="shared" si="5"/>
        <v>631976.22</v>
      </c>
    </row>
    <row r="51" spans="2:20" ht="14.25" customHeight="1">
      <c r="B51" s="166">
        <f t="shared" si="2"/>
        <v>45</v>
      </c>
      <c r="C51" s="164">
        <v>200300</v>
      </c>
      <c r="D51" s="81" t="s">
        <v>1962</v>
      </c>
      <c r="E51" s="164">
        <v>2002</v>
      </c>
      <c r="F51" s="163"/>
      <c r="G51" s="81">
        <v>10</v>
      </c>
      <c r="H51" s="81">
        <v>10</v>
      </c>
      <c r="I51" s="81">
        <v>764954.52</v>
      </c>
      <c r="J51" s="81"/>
      <c r="K51" s="81"/>
      <c r="L51" s="81"/>
      <c r="M51" s="81"/>
      <c r="N51" s="81">
        <f t="shared" si="3"/>
        <v>10</v>
      </c>
      <c r="O51" s="81">
        <f t="shared" si="10"/>
        <v>764954.52</v>
      </c>
      <c r="P51" s="81">
        <v>356702.08</v>
      </c>
      <c r="Q51" s="81"/>
      <c r="R51" s="81"/>
      <c r="S51" s="81">
        <f t="shared" si="4"/>
        <v>356702.08</v>
      </c>
      <c r="T51" s="81">
        <f t="shared" si="5"/>
        <v>408252.44</v>
      </c>
    </row>
    <row r="52" spans="2:20" ht="14.25" customHeight="1">
      <c r="B52" s="166">
        <f t="shared" si="2"/>
        <v>46</v>
      </c>
      <c r="C52" s="164">
        <v>200300</v>
      </c>
      <c r="D52" s="81" t="s">
        <v>1963</v>
      </c>
      <c r="E52" s="164">
        <v>2003</v>
      </c>
      <c r="F52" s="163"/>
      <c r="G52" s="81">
        <v>10</v>
      </c>
      <c r="H52" s="81">
        <v>2</v>
      </c>
      <c r="I52" s="81">
        <v>823736.36</v>
      </c>
      <c r="J52" s="81"/>
      <c r="K52" s="81"/>
      <c r="L52" s="81"/>
      <c r="M52" s="81"/>
      <c r="N52" s="81">
        <f t="shared" si="3"/>
        <v>2</v>
      </c>
      <c r="O52" s="81">
        <f t="shared" si="10"/>
        <v>823736.36</v>
      </c>
      <c r="P52" s="81">
        <v>233391.98</v>
      </c>
      <c r="Q52" s="81"/>
      <c r="R52" s="81"/>
      <c r="S52" s="81">
        <f t="shared" si="4"/>
        <v>233391.98</v>
      </c>
      <c r="T52" s="81">
        <f t="shared" si="5"/>
        <v>590344.38</v>
      </c>
    </row>
    <row r="53" spans="2:20" ht="14.25" customHeight="1">
      <c r="B53" s="166">
        <f t="shared" si="2"/>
        <v>47</v>
      </c>
      <c r="C53" s="164">
        <v>200300</v>
      </c>
      <c r="D53" s="81" t="s">
        <v>1964</v>
      </c>
      <c r="E53" s="164">
        <v>2004</v>
      </c>
      <c r="F53" s="163"/>
      <c r="G53" s="81">
        <v>10</v>
      </c>
      <c r="H53" s="81">
        <v>1</v>
      </c>
      <c r="I53" s="81">
        <v>280000</v>
      </c>
      <c r="J53" s="81"/>
      <c r="K53" s="81"/>
      <c r="L53" s="81"/>
      <c r="M53" s="81"/>
      <c r="N53" s="81">
        <f t="shared" si="3"/>
        <v>1</v>
      </c>
      <c r="O53" s="81">
        <f t="shared" si="10"/>
        <v>280000</v>
      </c>
      <c r="P53" s="81">
        <v>226333.33</v>
      </c>
      <c r="Q53" s="81"/>
      <c r="R53" s="81"/>
      <c r="S53" s="81">
        <f t="shared" si="4"/>
        <v>226333.33</v>
      </c>
      <c r="T53" s="81">
        <f t="shared" si="5"/>
        <v>53666.670000000013</v>
      </c>
    </row>
    <row r="54" spans="2:20" ht="14.25" customHeight="1">
      <c r="B54" s="166">
        <f t="shared" si="2"/>
        <v>48</v>
      </c>
      <c r="C54" s="164">
        <v>200300</v>
      </c>
      <c r="D54" s="81" t="s">
        <v>1965</v>
      </c>
      <c r="E54" s="164">
        <v>2005</v>
      </c>
      <c r="F54" s="163"/>
      <c r="G54" s="81">
        <v>10</v>
      </c>
      <c r="H54" s="81">
        <v>6</v>
      </c>
      <c r="I54" s="81">
        <v>367690.86</v>
      </c>
      <c r="J54" s="81"/>
      <c r="K54" s="81"/>
      <c r="L54" s="81"/>
      <c r="M54" s="81"/>
      <c r="N54" s="81">
        <f t="shared" si="3"/>
        <v>6</v>
      </c>
      <c r="O54" s="81">
        <f t="shared" si="10"/>
        <v>367690.86</v>
      </c>
      <c r="P54" s="81">
        <v>251255.38</v>
      </c>
      <c r="Q54" s="81"/>
      <c r="R54" s="81"/>
      <c r="S54" s="81">
        <f t="shared" si="4"/>
        <v>251255.38</v>
      </c>
      <c r="T54" s="81">
        <f t="shared" si="5"/>
        <v>116435.47999999998</v>
      </c>
    </row>
    <row r="55" spans="2:20" ht="14.25" customHeight="1">
      <c r="B55" s="166">
        <f t="shared" si="2"/>
        <v>49</v>
      </c>
      <c r="C55" s="164">
        <v>200500</v>
      </c>
      <c r="D55" s="81" t="s">
        <v>1966</v>
      </c>
      <c r="E55" s="164">
        <v>6001</v>
      </c>
      <c r="F55" s="163"/>
      <c r="G55" s="81">
        <v>10</v>
      </c>
      <c r="H55" s="81">
        <v>1</v>
      </c>
      <c r="I55" s="81">
        <v>169800000</v>
      </c>
      <c r="J55" s="81"/>
      <c r="K55" s="81"/>
      <c r="L55" s="81"/>
      <c r="M55" s="81"/>
      <c r="N55" s="81">
        <f t="shared" si="3"/>
        <v>1</v>
      </c>
      <c r="O55" s="81">
        <f t="shared" si="10"/>
        <v>169800000</v>
      </c>
      <c r="P55" s="81">
        <v>33960000</v>
      </c>
      <c r="Q55" s="81"/>
      <c r="R55" s="81"/>
      <c r="S55" s="81">
        <f t="shared" si="4"/>
        <v>33960000</v>
      </c>
      <c r="T55" s="81">
        <f t="shared" si="5"/>
        <v>135840000</v>
      </c>
    </row>
    <row r="56" spans="2:20" ht="14.25" customHeight="1">
      <c r="B56" s="166">
        <f t="shared" si="2"/>
        <v>50</v>
      </c>
      <c r="C56" s="164">
        <v>200500</v>
      </c>
      <c r="D56" s="81"/>
      <c r="E56" s="164"/>
      <c r="F56" s="163"/>
      <c r="G56" s="81"/>
      <c r="H56" s="81"/>
      <c r="I56" s="81"/>
      <c r="J56" s="81"/>
      <c r="K56" s="81"/>
      <c r="L56" s="81"/>
      <c r="M56" s="81"/>
      <c r="N56" s="81"/>
      <c r="O56" s="81"/>
      <c r="P56" s="81"/>
      <c r="Q56" s="81"/>
      <c r="R56" s="81"/>
      <c r="S56" s="81"/>
      <c r="T56" s="81"/>
    </row>
    <row r="57" spans="2:20" ht="14.25" customHeight="1">
      <c r="B57" s="166">
        <f t="shared" si="2"/>
        <v>51</v>
      </c>
      <c r="C57" s="164"/>
      <c r="D57" s="81"/>
      <c r="E57" s="164"/>
      <c r="F57" s="163"/>
      <c r="G57" s="81"/>
      <c r="H57" s="81"/>
      <c r="I57" s="81"/>
      <c r="J57" s="81"/>
      <c r="K57" s="81"/>
      <c r="L57" s="81"/>
      <c r="M57" s="81"/>
      <c r="N57" s="81"/>
      <c r="O57" s="81"/>
      <c r="P57" s="81"/>
      <c r="Q57" s="81"/>
      <c r="R57" s="81"/>
      <c r="S57" s="81"/>
      <c r="T57" s="81"/>
    </row>
    <row r="58" spans="2:20" ht="14.25" customHeight="1">
      <c r="B58" s="166">
        <f t="shared" si="2"/>
        <v>52</v>
      </c>
      <c r="C58" s="164"/>
      <c r="D58" s="81"/>
      <c r="E58" s="164"/>
      <c r="F58" s="163"/>
      <c r="G58" s="81"/>
      <c r="H58" s="81"/>
      <c r="I58" s="81"/>
      <c r="J58" s="81"/>
      <c r="K58" s="81"/>
      <c r="L58" s="81"/>
      <c r="M58" s="81"/>
      <c r="N58" s="81"/>
      <c r="O58" s="81"/>
      <c r="P58" s="81"/>
      <c r="Q58" s="81"/>
      <c r="R58" s="81"/>
      <c r="S58" s="81"/>
      <c r="T58" s="81"/>
    </row>
    <row r="59" spans="2:20" ht="14.25" customHeight="1">
      <c r="B59" s="166">
        <f t="shared" si="2"/>
        <v>53</v>
      </c>
      <c r="C59" s="164"/>
      <c r="D59" s="81"/>
      <c r="E59" s="164"/>
      <c r="F59" s="163"/>
      <c r="G59" s="81"/>
      <c r="H59" s="81"/>
      <c r="I59" s="81"/>
      <c r="J59" s="81"/>
      <c r="K59" s="81"/>
      <c r="L59" s="81"/>
      <c r="M59" s="81"/>
      <c r="N59" s="81"/>
      <c r="O59" s="81"/>
      <c r="P59" s="81"/>
      <c r="Q59" s="81"/>
      <c r="R59" s="81"/>
      <c r="S59" s="81"/>
      <c r="T59" s="81"/>
    </row>
    <row r="60" spans="2:20" ht="14.25" customHeight="1">
      <c r="B60" s="166">
        <f t="shared" si="2"/>
        <v>54</v>
      </c>
      <c r="C60" s="164"/>
      <c r="D60" s="81"/>
      <c r="E60" s="164"/>
      <c r="F60" s="163"/>
      <c r="G60" s="81"/>
      <c r="H60" s="81"/>
      <c r="I60" s="81"/>
      <c r="J60" s="81"/>
      <c r="K60" s="81"/>
      <c r="L60" s="81"/>
      <c r="M60" s="81"/>
      <c r="N60" s="81"/>
      <c r="O60" s="81"/>
      <c r="P60" s="81"/>
      <c r="Q60" s="81"/>
      <c r="R60" s="81"/>
      <c r="S60" s="81"/>
      <c r="T60" s="81"/>
    </row>
    <row r="61" spans="2:20" ht="14.25" customHeight="1">
      <c r="B61" s="166">
        <f t="shared" si="2"/>
        <v>55</v>
      </c>
      <c r="C61" s="164"/>
      <c r="D61" s="81"/>
      <c r="E61" s="164"/>
      <c r="F61" s="163"/>
      <c r="G61" s="81"/>
      <c r="H61" s="81"/>
      <c r="I61" s="81"/>
      <c r="J61" s="81"/>
      <c r="K61" s="81"/>
      <c r="L61" s="81"/>
      <c r="M61" s="81"/>
      <c r="N61" s="81"/>
      <c r="O61" s="81"/>
      <c r="P61" s="81"/>
      <c r="Q61" s="81"/>
      <c r="R61" s="81"/>
      <c r="S61" s="81"/>
      <c r="T61" s="81"/>
    </row>
    <row r="63" spans="2:20" s="440" customFormat="1" ht="14.25" customHeight="1">
      <c r="B63" s="437"/>
      <c r="C63" s="438"/>
      <c r="D63" s="669" t="s">
        <v>5</v>
      </c>
      <c r="E63" s="438"/>
      <c r="F63" s="439"/>
      <c r="G63" s="439"/>
      <c r="H63" s="439">
        <f>+SUM(H7:H8)</f>
        <v>2</v>
      </c>
      <c r="I63" s="439">
        <f>+SUM(I7:I61)</f>
        <v>2037812765.1299999</v>
      </c>
      <c r="J63" s="439">
        <f t="shared" ref="J63:T63" si="11">+SUM(J7:J61)</f>
        <v>0</v>
      </c>
      <c r="K63" s="439">
        <f t="shared" si="11"/>
        <v>0</v>
      </c>
      <c r="L63" s="439">
        <f t="shared" si="11"/>
        <v>0</v>
      </c>
      <c r="M63" s="439">
        <f t="shared" si="11"/>
        <v>0</v>
      </c>
      <c r="N63" s="439">
        <f t="shared" si="11"/>
        <v>78</v>
      </c>
      <c r="O63" s="439">
        <f t="shared" si="11"/>
        <v>2037812765.1299999</v>
      </c>
      <c r="P63" s="439">
        <f t="shared" si="11"/>
        <v>1042986102.9100002</v>
      </c>
      <c r="Q63" s="439">
        <f t="shared" si="11"/>
        <v>26647500</v>
      </c>
      <c r="R63" s="439">
        <f t="shared" si="11"/>
        <v>0</v>
      </c>
      <c r="S63" s="439">
        <f t="shared" si="11"/>
        <v>1069633602.9100002</v>
      </c>
      <c r="T63" s="439">
        <f t="shared" si="11"/>
        <v>968179162.21999979</v>
      </c>
    </row>
    <row r="64" spans="2:20" ht="14.25" customHeight="1">
      <c r="P64" s="152">
        <f>+SUM(STAT1!I85:I91)</f>
        <v>1114439441.4999998</v>
      </c>
      <c r="Q64" s="152">
        <f>+P63-P64</f>
        <v>-71453338.589999557</v>
      </c>
    </row>
    <row r="65" spans="15:19" ht="14.25" customHeight="1">
      <c r="O65" s="303" t="s">
        <v>323</v>
      </c>
      <c r="P65" s="930" t="s">
        <v>2</v>
      </c>
      <c r="Q65" s="931"/>
      <c r="R65" s="304" t="s">
        <v>261</v>
      </c>
      <c r="S65" s="304" t="s">
        <v>262</v>
      </c>
    </row>
    <row r="66" spans="15:19" ht="14.25" customHeight="1">
      <c r="O66" s="305">
        <v>701600</v>
      </c>
      <c r="P66" s="928" t="s">
        <v>1363</v>
      </c>
      <c r="Q66" s="929"/>
      <c r="R66" s="81">
        <f>+Q63</f>
        <v>26647500</v>
      </c>
      <c r="S66" s="81"/>
    </row>
    <row r="67" spans="15:19" ht="14.25" customHeight="1">
      <c r="O67" s="305">
        <v>201300</v>
      </c>
      <c r="P67" s="928" t="s">
        <v>1364</v>
      </c>
      <c r="Q67" s="929"/>
      <c r="R67" s="81"/>
      <c r="S67" s="81">
        <f>+Q63</f>
        <v>26647500</v>
      </c>
    </row>
  </sheetData>
  <sheetProtection password="DFC0" sheet="1" objects="1" scenarios="1"/>
  <mergeCells count="7">
    <mergeCell ref="P66:Q66"/>
    <mergeCell ref="P67:Q67"/>
    <mergeCell ref="H5:I5"/>
    <mergeCell ref="J5:K5"/>
    <mergeCell ref="L5:M5"/>
    <mergeCell ref="N5:O5"/>
    <mergeCell ref="P65:Q65"/>
  </mergeCells>
  <pageMargins left="0.7" right="0.7" top="0.75" bottom="0.75" header="0.3" footer="0.3"/>
  <pageSetup orientation="portrait" horizontalDpi="0" verticalDpi="0" r:id="rId1"/>
  <ignoredErrors>
    <ignoredError sqref="H63 P64" formulaRange="1"/>
  </ignoredErrors>
</worksheet>
</file>

<file path=xl/worksheets/sheet11.xml><?xml version="1.0" encoding="utf-8"?>
<worksheet xmlns="http://schemas.openxmlformats.org/spreadsheetml/2006/main" xmlns:r="http://schemas.openxmlformats.org/officeDocument/2006/relationships">
  <dimension ref="A1:Q3274"/>
  <sheetViews>
    <sheetView tabSelected="1" workbookViewId="0">
      <pane xSplit="5" ySplit="5" topLeftCell="F979" activePane="bottomRight" state="frozen"/>
      <selection pane="topRight" activeCell="F1" sqref="F1"/>
      <selection pane="bottomLeft" activeCell="A6" sqref="A6"/>
      <selection pane="bottomRight" activeCell="G2" sqref="G2"/>
    </sheetView>
  </sheetViews>
  <sheetFormatPr defaultRowHeight="12.75"/>
  <cols>
    <col min="1" max="1" width="10.5703125" style="152" hidden="1" customWidth="1"/>
    <col min="2" max="2" width="6.42578125" style="37" customWidth="1"/>
    <col min="3" max="3" width="9.140625" style="583" bestFit="1" customWidth="1"/>
    <col min="4" max="4" width="22.85546875" style="152" customWidth="1"/>
    <col min="5" max="5" width="7.140625" style="584" customWidth="1"/>
    <col min="6" max="6" width="15.5703125" style="585" customWidth="1"/>
    <col min="7" max="7" width="14.28515625" style="152" bestFit="1" customWidth="1"/>
    <col min="8" max="8" width="14.7109375" style="152" customWidth="1"/>
    <col min="9" max="9" width="12.5703125" style="590" customWidth="1"/>
    <col min="10" max="10" width="0.140625" style="152" customWidth="1"/>
    <col min="11" max="11" width="10.28515625" style="152" hidden="1" customWidth="1"/>
    <col min="12" max="12" width="6" style="160" customWidth="1"/>
    <col min="13" max="13" width="26.85546875" style="152" customWidth="1"/>
    <col min="14" max="14" width="5.5703125" style="153" customWidth="1"/>
    <col min="15" max="15" width="20" style="152" customWidth="1"/>
    <col min="16" max="16" width="30.28515625" style="152" customWidth="1"/>
    <col min="17" max="19" width="9.140625" style="152"/>
    <col min="20" max="20" width="12" style="152" bestFit="1" customWidth="1"/>
    <col min="21" max="16384" width="9.140625" style="152"/>
  </cols>
  <sheetData>
    <row r="1" spans="1:17" ht="15">
      <c r="B1" s="37" t="s">
        <v>1353</v>
      </c>
      <c r="H1" s="586" t="s">
        <v>2677</v>
      </c>
      <c r="I1" s="587">
        <f>+'CASH-C2'!D7+SUMIF(E6:E5124,110100,I6:I5124)</f>
        <v>43297.000000026077</v>
      </c>
      <c r="J1" s="586">
        <f>15685.38+SUMIF(E6:E5124,110102,J6:J5124)</f>
        <v>15685.38</v>
      </c>
      <c r="K1" s="586"/>
      <c r="M1" s="588" t="str">
        <f>+Table133[[#Headers],[ШИНЭСТ ХК]]</f>
        <v>ШИНЭСТ ХК</v>
      </c>
    </row>
    <row r="2" spans="1:17">
      <c r="D2" s="589"/>
      <c r="M2" s="588" t="s">
        <v>1342</v>
      </c>
    </row>
    <row r="3" spans="1:17">
      <c r="G3" s="152">
        <f>+SUM(G6:G2995)</f>
        <v>5633168012.9419956</v>
      </c>
      <c r="H3" s="152">
        <f>+SUM(H6:H2995)</f>
        <v>5633168012.9560118</v>
      </c>
      <c r="I3" s="152"/>
      <c r="M3" s="588" t="s">
        <v>1343</v>
      </c>
    </row>
    <row r="4" spans="1:17">
      <c r="B4" s="441">
        <f>+COUNT(B6:B5051)</f>
        <v>2532</v>
      </c>
      <c r="G4" s="152">
        <f>+H3-G3</f>
        <v>1.4016151428222656E-2</v>
      </c>
      <c r="H4" s="152">
        <f>+G3-H3</f>
        <v>-1.4016151428222656E-2</v>
      </c>
    </row>
    <row r="5" spans="1:17" ht="21" customHeight="1">
      <c r="A5" s="591" t="s">
        <v>1696</v>
      </c>
      <c r="B5" s="592" t="s">
        <v>1</v>
      </c>
      <c r="C5" s="286" t="s">
        <v>298</v>
      </c>
      <c r="D5" s="285" t="s">
        <v>1340</v>
      </c>
      <c r="E5" s="571" t="s">
        <v>323</v>
      </c>
      <c r="F5" s="616" t="s">
        <v>2</v>
      </c>
      <c r="G5" s="285" t="s">
        <v>261</v>
      </c>
      <c r="H5" s="285" t="s">
        <v>262</v>
      </c>
      <c r="I5" s="593" t="s">
        <v>1341</v>
      </c>
      <c r="J5" s="285" t="s">
        <v>25</v>
      </c>
      <c r="K5" s="285" t="s">
        <v>26</v>
      </c>
      <c r="L5" s="594" t="s">
        <v>7</v>
      </c>
      <c r="M5" s="595" t="s">
        <v>1345</v>
      </c>
      <c r="N5" s="594" t="s">
        <v>7</v>
      </c>
      <c r="O5" s="594" t="s">
        <v>1341</v>
      </c>
      <c r="P5" s="594"/>
    </row>
    <row r="6" spans="1:17">
      <c r="B6" s="670">
        <f>+IF(C6="","",ROW()-5)</f>
        <v>1</v>
      </c>
      <c r="C6" s="601">
        <v>42736</v>
      </c>
      <c r="D6" s="372" t="s">
        <v>2678</v>
      </c>
      <c r="E6" s="573">
        <v>150101</v>
      </c>
      <c r="F6" s="672" t="str">
        <f>IFERROR(VLOOKUP(E6,STAT1!$C$4:$D$1000,2,FALSE),"")</f>
        <v>Бараа бэлэн бүтээгдэхүүн БОЛОВСРУУЛАХ ЦЕХ /нарс/</v>
      </c>
      <c r="G6" s="431">
        <v>54488419.7705836</v>
      </c>
      <c r="H6" s="430"/>
      <c r="I6" s="596">
        <f t="shared" ref="I6:I69" si="0">+IF(OR(E6=100100,E6=100200,E6=110100,E6=110102,E6=110103,E6=110104,E6=110105,E6=110200,E6=110201,E6=110202,E6=110203,E6=110204,E6=110300),G6,0)+IF(OR(E6=100100,E6=100200,E6=110100,E6=110102,E6=110103,E6=110104,E6=110105,E6=110200,E6=110201,E6=110202,E6=110203,E6=110204,E6=110300),H6*-1,0)</f>
        <v>0</v>
      </c>
      <c r="J6" s="81">
        <f t="shared" ref="J6:J45" si="1">+IF(E6=110102,I6/K6,0)</f>
        <v>0</v>
      </c>
      <c r="K6" s="432"/>
      <c r="L6" s="597">
        <v>1006</v>
      </c>
      <c r="M6" s="81" t="str">
        <f>+IFERROR(VLOOKUP(L6,DATA!$G$4:$H$2000,2,FALSE),"")</f>
        <v>Оюундэлгэр /нярав/</v>
      </c>
      <c r="N6" s="435"/>
      <c r="O6" s="81" t="str">
        <f>IFERROR(VLOOKUP(N6,DATA!$K$4:$L$51,2,FALSE),"")</f>
        <v/>
      </c>
      <c r="P6" s="81" t="b">
        <f>+IF(I6,1)</f>
        <v>0</v>
      </c>
      <c r="Q6" s="152">
        <f>+IF(I6,1,0)</f>
        <v>0</v>
      </c>
    </row>
    <row r="7" spans="1:17" ht="14.25" customHeight="1">
      <c r="B7" s="670">
        <f>+IF(C7="","",ROW()-5)</f>
        <v>2</v>
      </c>
      <c r="C7" s="601">
        <v>42736</v>
      </c>
      <c r="D7" s="372"/>
      <c r="E7" s="572">
        <v>140501</v>
      </c>
      <c r="F7" s="672" t="str">
        <f>IFERROR(VLOOKUP(E7,STAT1!$C$4:$D$1000,2,FALSE),"")</f>
        <v>Нэгтгэл зардал БОЛОВСРУУЛАХ ЦЕХ /нарс/</v>
      </c>
      <c r="G7" s="430"/>
      <c r="H7" s="431">
        <v>54488419.7705836</v>
      </c>
      <c r="I7" s="596">
        <f t="shared" si="0"/>
        <v>0</v>
      </c>
      <c r="J7" s="81">
        <f t="shared" si="1"/>
        <v>0</v>
      </c>
      <c r="K7" s="81"/>
      <c r="L7" s="597">
        <v>1006</v>
      </c>
      <c r="M7" s="81" t="str">
        <f>+IFERROR(VLOOKUP(L7,DATA!$G$4:$H$2000,2,FALSE),"")</f>
        <v>Оюундэлгэр /нярав/</v>
      </c>
      <c r="N7" s="435"/>
      <c r="O7" s="81" t="str">
        <f>IFERROR(VLOOKUP(N7,DATA!$K$4:$L$51,2,FALSE),"")</f>
        <v/>
      </c>
      <c r="P7" s="81"/>
      <c r="Q7" s="152">
        <f t="shared" ref="Q7:Q70" si="2">+IF(I7,1,0)</f>
        <v>0</v>
      </c>
    </row>
    <row r="8" spans="1:17">
      <c r="B8" s="670">
        <f t="shared" ref="B8:B74" si="3">+IF(C8="","",ROW()-5)</f>
        <v>3</v>
      </c>
      <c r="C8" s="601">
        <v>42736</v>
      </c>
      <c r="D8" s="372" t="s">
        <v>2679</v>
      </c>
      <c r="E8" s="573">
        <v>150101</v>
      </c>
      <c r="F8" s="672" t="str">
        <f>IFERROR(VLOOKUP(E8,STAT1!$C$4:$D$1000,2,FALSE),"")</f>
        <v>Бараа бэлэн бүтээгдэхүүн БОЛОВСРУУЛАХ ЦЕХ /нарс/</v>
      </c>
      <c r="G8" s="431">
        <v>34736367.603747047</v>
      </c>
      <c r="H8" s="430"/>
      <c r="I8" s="596">
        <f t="shared" si="0"/>
        <v>0</v>
      </c>
      <c r="J8" s="81">
        <f t="shared" si="1"/>
        <v>0</v>
      </c>
      <c r="K8" s="81"/>
      <c r="L8" s="597">
        <v>1006</v>
      </c>
      <c r="M8" s="81" t="str">
        <f>+IFERROR(VLOOKUP(L8,DATA!$G$4:$H$2000,2,FALSE),"")</f>
        <v>Оюундэлгэр /нярав/</v>
      </c>
      <c r="N8" s="435"/>
      <c r="O8" s="81" t="str">
        <f>IFERROR(VLOOKUP(N8,DATA!$K$4:$L$51,2,FALSE),"")</f>
        <v/>
      </c>
      <c r="P8" s="81"/>
      <c r="Q8" s="152">
        <f t="shared" si="2"/>
        <v>0</v>
      </c>
    </row>
    <row r="9" spans="1:17">
      <c r="B9" s="670">
        <f t="shared" si="3"/>
        <v>4</v>
      </c>
      <c r="C9" s="601">
        <v>42736</v>
      </c>
      <c r="D9" s="372" t="s">
        <v>587</v>
      </c>
      <c r="E9" s="572">
        <v>140501</v>
      </c>
      <c r="F9" s="672" t="str">
        <f>IFERROR(VLOOKUP(E9,STAT1!$C$4:$D$1000,2,FALSE),"")</f>
        <v>Нэгтгэл зардал БОЛОВСРУУЛАХ ЦЕХ /нарс/</v>
      </c>
      <c r="G9" s="430"/>
      <c r="H9" s="431">
        <v>34736367.603747047</v>
      </c>
      <c r="I9" s="596">
        <f t="shared" si="0"/>
        <v>0</v>
      </c>
      <c r="J9" s="81">
        <f t="shared" si="1"/>
        <v>0</v>
      </c>
      <c r="K9" s="81"/>
      <c r="L9" s="597">
        <v>1006</v>
      </c>
      <c r="M9" s="81" t="str">
        <f>+IFERROR(VLOOKUP(L9,DATA!$G$4:$H$2000,2,FALSE),"")</f>
        <v>Оюундэлгэр /нярав/</v>
      </c>
      <c r="N9" s="435"/>
      <c r="O9" s="81" t="str">
        <f>IFERROR(VLOOKUP(N9,DATA!$K$4:$L$51,2,FALSE),"")</f>
        <v/>
      </c>
      <c r="P9" s="81"/>
      <c r="Q9" s="152">
        <f t="shared" si="2"/>
        <v>0</v>
      </c>
    </row>
    <row r="10" spans="1:17">
      <c r="B10" s="670">
        <f t="shared" si="3"/>
        <v>5</v>
      </c>
      <c r="C10" s="601">
        <v>42736</v>
      </c>
      <c r="D10" s="372" t="s">
        <v>2680</v>
      </c>
      <c r="E10" s="573">
        <v>150101</v>
      </c>
      <c r="F10" s="672" t="str">
        <f>IFERROR(VLOOKUP(E10,STAT1!$C$4:$D$1000,2,FALSE),"")</f>
        <v>Бараа бэлэн бүтээгдэхүүн БОЛОВСРУУЛАХ ЦЕХ /нарс/</v>
      </c>
      <c r="G10" s="431">
        <v>20841820.562248226</v>
      </c>
      <c r="H10" s="430"/>
      <c r="I10" s="596">
        <f t="shared" si="0"/>
        <v>0</v>
      </c>
      <c r="J10" s="81">
        <f t="shared" si="1"/>
        <v>0</v>
      </c>
      <c r="K10" s="81"/>
      <c r="L10" s="597">
        <v>1006</v>
      </c>
      <c r="M10" s="81" t="str">
        <f>+IFERROR(VLOOKUP(L10,DATA!$G$4:$H$2000,2,FALSE),"")</f>
        <v>Оюундэлгэр /нярав/</v>
      </c>
      <c r="N10" s="435"/>
      <c r="O10" s="81" t="str">
        <f>IFERROR(VLOOKUP(N10,DATA!$K$4:$L$51,2,FALSE),"")</f>
        <v/>
      </c>
      <c r="P10" s="81"/>
      <c r="Q10" s="152">
        <f t="shared" si="2"/>
        <v>0</v>
      </c>
    </row>
    <row r="11" spans="1:17">
      <c r="B11" s="670">
        <f t="shared" si="3"/>
        <v>6</v>
      </c>
      <c r="C11" s="601">
        <v>42736</v>
      </c>
      <c r="D11" s="372" t="s">
        <v>587</v>
      </c>
      <c r="E11" s="572">
        <v>140501</v>
      </c>
      <c r="F11" s="672" t="str">
        <f>IFERROR(VLOOKUP(E11,STAT1!$C$4:$D$1000,2,FALSE),"")</f>
        <v>Нэгтгэл зардал БОЛОВСРУУЛАХ ЦЕХ /нарс/</v>
      </c>
      <c r="G11" s="430"/>
      <c r="H11" s="431">
        <v>20841820.562248226</v>
      </c>
      <c r="I11" s="596">
        <f t="shared" si="0"/>
        <v>0</v>
      </c>
      <c r="J11" s="81">
        <f t="shared" si="1"/>
        <v>0</v>
      </c>
      <c r="K11" s="81"/>
      <c r="L11" s="597">
        <v>1006</v>
      </c>
      <c r="M11" s="81" t="str">
        <f>+IFERROR(VLOOKUP(L11,DATA!$G$4:$H$2000,2,FALSE),"")</f>
        <v>Оюундэлгэр /нярав/</v>
      </c>
      <c r="N11" s="435"/>
      <c r="O11" s="81" t="str">
        <f>IFERROR(VLOOKUP(N11,DATA!$K$4:$L$51,2,FALSE),"")</f>
        <v/>
      </c>
      <c r="P11" s="81"/>
      <c r="Q11" s="152">
        <f t="shared" si="2"/>
        <v>0</v>
      </c>
    </row>
    <row r="12" spans="1:17">
      <c r="B12" s="670">
        <f t="shared" si="3"/>
        <v>7</v>
      </c>
      <c r="C12" s="601">
        <v>42736</v>
      </c>
      <c r="D12" s="372" t="s">
        <v>2681</v>
      </c>
      <c r="E12" s="573">
        <v>150101</v>
      </c>
      <c r="F12" s="672" t="str">
        <f>IFERROR(VLOOKUP(E12,STAT1!$C$4:$D$1000,2,FALSE),"")</f>
        <v>Бараа бэлэн бүтээгдэхүүн БОЛОВСРУУЛАХ ЦЕХ /нарс/</v>
      </c>
      <c r="G12" s="431">
        <v>23157578.402498033</v>
      </c>
      <c r="H12" s="430"/>
      <c r="I12" s="596">
        <f t="shared" si="0"/>
        <v>0</v>
      </c>
      <c r="J12" s="81">
        <f t="shared" si="1"/>
        <v>0</v>
      </c>
      <c r="K12" s="81"/>
      <c r="L12" s="597">
        <v>1006</v>
      </c>
      <c r="M12" s="81" t="str">
        <f>+IFERROR(VLOOKUP(L12,DATA!$G$4:$H$2000,2,FALSE),"")</f>
        <v>Оюундэлгэр /нярав/</v>
      </c>
      <c r="N12" s="435"/>
      <c r="O12" s="81" t="str">
        <f>IFERROR(VLOOKUP(N12,DATA!$K$4:$L$51,2,FALSE),"")</f>
        <v/>
      </c>
      <c r="P12" s="81"/>
      <c r="Q12" s="152">
        <f t="shared" si="2"/>
        <v>0</v>
      </c>
    </row>
    <row r="13" spans="1:17">
      <c r="B13" s="670">
        <f t="shared" si="3"/>
        <v>8</v>
      </c>
      <c r="C13" s="601">
        <v>42736</v>
      </c>
      <c r="D13" s="372" t="s">
        <v>587</v>
      </c>
      <c r="E13" s="572">
        <v>140501</v>
      </c>
      <c r="F13" s="672" t="str">
        <f>IFERROR(VLOOKUP(E13,STAT1!$C$4:$D$1000,2,FALSE),"")</f>
        <v>Нэгтгэл зардал БОЛОВСРУУЛАХ ЦЕХ /нарс/</v>
      </c>
      <c r="G13" s="430"/>
      <c r="H13" s="431">
        <v>23157578.402498033</v>
      </c>
      <c r="I13" s="596">
        <f t="shared" si="0"/>
        <v>0</v>
      </c>
      <c r="J13" s="81">
        <f t="shared" si="1"/>
        <v>0</v>
      </c>
      <c r="K13" s="81"/>
      <c r="L13" s="597">
        <v>1006</v>
      </c>
      <c r="M13" s="81" t="str">
        <f>+IFERROR(VLOOKUP(L13,DATA!$G$4:$H$2000,2,FALSE),"")</f>
        <v>Оюундэлгэр /нярав/</v>
      </c>
      <c r="N13" s="435"/>
      <c r="O13" s="81" t="str">
        <f>IFERROR(VLOOKUP(N13,DATA!$K$4:$L$51,2,FALSE),"")</f>
        <v/>
      </c>
      <c r="P13" s="81"/>
      <c r="Q13" s="152">
        <f t="shared" si="2"/>
        <v>0</v>
      </c>
    </row>
    <row r="14" spans="1:17">
      <c r="B14" s="670">
        <f t="shared" si="3"/>
        <v>9</v>
      </c>
      <c r="C14" s="601">
        <v>42736</v>
      </c>
      <c r="D14" s="372" t="s">
        <v>2682</v>
      </c>
      <c r="E14" s="573">
        <v>150101</v>
      </c>
      <c r="F14" s="672" t="str">
        <f>IFERROR(VLOOKUP(E14,STAT1!$C$4:$D$1000,2,FALSE),"")</f>
        <v>Бараа бэлэн бүтээгдэхүүн БОЛОВСРУУЛАХ ЦЕХ /нарс/</v>
      </c>
      <c r="G14" s="431">
        <v>113517541.18871599</v>
      </c>
      <c r="H14" s="430"/>
      <c r="I14" s="596">
        <f t="shared" si="0"/>
        <v>0</v>
      </c>
      <c r="J14" s="81">
        <f t="shared" si="1"/>
        <v>0</v>
      </c>
      <c r="K14" s="81"/>
      <c r="L14" s="597">
        <v>1006</v>
      </c>
      <c r="M14" s="81" t="str">
        <f>+IFERROR(VLOOKUP(L14,DATA!$G$4:$H$2000,2,FALSE),"")</f>
        <v>Оюундэлгэр /нярав/</v>
      </c>
      <c r="N14" s="435"/>
      <c r="O14" s="81" t="str">
        <f>IFERROR(VLOOKUP(N14,DATA!$K$4:$L$51,2,FALSE),"")</f>
        <v/>
      </c>
      <c r="P14" s="81"/>
      <c r="Q14" s="152">
        <f t="shared" si="2"/>
        <v>0</v>
      </c>
    </row>
    <row r="15" spans="1:17">
      <c r="B15" s="670">
        <f t="shared" si="3"/>
        <v>10</v>
      </c>
      <c r="C15" s="601">
        <v>42736</v>
      </c>
      <c r="D15" s="372" t="s">
        <v>587</v>
      </c>
      <c r="E15" s="572">
        <v>140501</v>
      </c>
      <c r="F15" s="672" t="str">
        <f>IFERROR(VLOOKUP(E15,STAT1!$C$4:$D$1000,2,FALSE),"")</f>
        <v>Нэгтгэл зардал БОЛОВСРУУЛАХ ЦЕХ /нарс/</v>
      </c>
      <c r="G15" s="430"/>
      <c r="H15" s="431">
        <v>113517541.18871599</v>
      </c>
      <c r="I15" s="596">
        <f t="shared" si="0"/>
        <v>0</v>
      </c>
      <c r="J15" s="81">
        <f t="shared" si="1"/>
        <v>0</v>
      </c>
      <c r="K15" s="81"/>
      <c r="L15" s="597">
        <v>1006</v>
      </c>
      <c r="M15" s="81" t="str">
        <f>+IFERROR(VLOOKUP(L15,DATA!$G$4:$H$2000,2,FALSE),"")</f>
        <v>Оюундэлгэр /нярав/</v>
      </c>
      <c r="N15" s="435"/>
      <c r="O15" s="81" t="str">
        <f>IFERROR(VLOOKUP(N15,DATA!$K$4:$L$51,2,FALSE),"")</f>
        <v/>
      </c>
      <c r="P15" s="81"/>
      <c r="Q15" s="152">
        <f t="shared" si="2"/>
        <v>0</v>
      </c>
    </row>
    <row r="16" spans="1:17">
      <c r="B16" s="670">
        <f t="shared" si="3"/>
        <v>11</v>
      </c>
      <c r="C16" s="433">
        <v>42736</v>
      </c>
      <c r="D16" s="377" t="s">
        <v>2683</v>
      </c>
      <c r="E16" s="572">
        <v>140201</v>
      </c>
      <c r="F16" s="672" t="str">
        <f>IFERROR(VLOOKUP(E16,STAT1!$C$4:$D$1000,2,FALSE),"")</f>
        <v>ШМЗардал БОЛОВСРУУЛАХ ЦЕХ /нарс/</v>
      </c>
      <c r="G16" s="377">
        <v>57135261.228799999</v>
      </c>
      <c r="H16" s="597"/>
      <c r="I16" s="596">
        <f t="shared" si="0"/>
        <v>0</v>
      </c>
      <c r="J16" s="81">
        <f t="shared" si="1"/>
        <v>0</v>
      </c>
      <c r="K16" s="81"/>
      <c r="L16" s="597">
        <v>1006</v>
      </c>
      <c r="M16" s="81" t="str">
        <f>+IFERROR(VLOOKUP(L16,DATA!$G$4:$H$2000,2,FALSE),"")</f>
        <v>Оюундэлгэр /нярав/</v>
      </c>
      <c r="N16" s="435"/>
      <c r="O16" s="81" t="str">
        <f>IFERROR(VLOOKUP(N16,DATA!$K$4:$L$51,2,FALSE),"")</f>
        <v/>
      </c>
      <c r="P16" s="81"/>
      <c r="Q16" s="152">
        <f t="shared" si="2"/>
        <v>0</v>
      </c>
    </row>
    <row r="17" spans="2:17">
      <c r="B17" s="670">
        <f t="shared" si="3"/>
        <v>12</v>
      </c>
      <c r="C17" s="433">
        <v>42736</v>
      </c>
      <c r="D17" s="377" t="s">
        <v>587</v>
      </c>
      <c r="E17" s="572">
        <v>150100</v>
      </c>
      <c r="F17" s="672" t="str">
        <f>IFERROR(VLOOKUP(E17,STAT1!$C$4:$D$1000,2,FALSE),"")</f>
        <v>Бараа бэлэн бүтээгдэхүүн ХАТААХ ЦЕХ /нарс/</v>
      </c>
      <c r="G17" s="597"/>
      <c r="H17" s="377">
        <v>57135261.228799999</v>
      </c>
      <c r="I17" s="596">
        <f t="shared" si="0"/>
        <v>0</v>
      </c>
      <c r="J17" s="81">
        <f t="shared" si="1"/>
        <v>0</v>
      </c>
      <c r="K17" s="81"/>
      <c r="L17" s="597">
        <v>1006</v>
      </c>
      <c r="M17" s="81" t="str">
        <f>+IFERROR(VLOOKUP(L17,DATA!$G$4:$H$2000,2,FALSE),"")</f>
        <v>Оюундэлгэр /нярав/</v>
      </c>
      <c r="N17" s="435"/>
      <c r="O17" s="81" t="str">
        <f>IFERROR(VLOOKUP(N17,DATA!$K$4:$L$51,2,FALSE),"")</f>
        <v/>
      </c>
      <c r="P17" s="81"/>
      <c r="Q17" s="152">
        <f t="shared" si="2"/>
        <v>0</v>
      </c>
    </row>
    <row r="18" spans="2:17">
      <c r="B18" s="670">
        <f t="shared" si="3"/>
        <v>13</v>
      </c>
      <c r="C18" s="433">
        <v>42736</v>
      </c>
      <c r="D18" s="377" t="s">
        <v>2683</v>
      </c>
      <c r="E18" s="572">
        <v>140201</v>
      </c>
      <c r="F18" s="672" t="str">
        <f>IFERROR(VLOOKUP(E18,STAT1!$C$4:$D$1000,2,FALSE),"")</f>
        <v>ШМЗардал БОЛОВСРУУЛАХ ЦЕХ /нарс/</v>
      </c>
      <c r="G18" s="377">
        <v>129143777.43572003</v>
      </c>
      <c r="H18" s="597"/>
      <c r="I18" s="596">
        <f t="shared" si="0"/>
        <v>0</v>
      </c>
      <c r="J18" s="81">
        <f t="shared" si="1"/>
        <v>0</v>
      </c>
      <c r="K18" s="81"/>
      <c r="L18" s="597">
        <v>1006</v>
      </c>
      <c r="M18" s="81" t="str">
        <f>+IFERROR(VLOOKUP(L18,DATA!$G$4:$H$2000,2,FALSE),"")</f>
        <v>Оюундэлгэр /нярав/</v>
      </c>
      <c r="N18" s="435"/>
      <c r="O18" s="81" t="str">
        <f>IFERROR(VLOOKUP(N18,DATA!$K$4:$L$51,2,FALSE),"")</f>
        <v/>
      </c>
      <c r="P18" s="81"/>
      <c r="Q18" s="152">
        <f t="shared" si="2"/>
        <v>0</v>
      </c>
    </row>
    <row r="19" spans="2:17">
      <c r="B19" s="670">
        <f t="shared" si="3"/>
        <v>14</v>
      </c>
      <c r="C19" s="433">
        <v>42736</v>
      </c>
      <c r="D19" s="377" t="s">
        <v>587</v>
      </c>
      <c r="E19" s="572">
        <v>150100</v>
      </c>
      <c r="F19" s="672" t="str">
        <f>IFERROR(VLOOKUP(E19,STAT1!$C$4:$D$1000,2,FALSE),"")</f>
        <v>Бараа бэлэн бүтээгдэхүүн ХАТААХ ЦЕХ /нарс/</v>
      </c>
      <c r="G19" s="597"/>
      <c r="H19" s="377">
        <v>129143777.43572003</v>
      </c>
      <c r="I19" s="596">
        <f t="shared" si="0"/>
        <v>0</v>
      </c>
      <c r="J19" s="81">
        <f t="shared" si="1"/>
        <v>0</v>
      </c>
      <c r="K19" s="81"/>
      <c r="L19" s="597">
        <v>1006</v>
      </c>
      <c r="M19" s="81" t="str">
        <f>+IFERROR(VLOOKUP(L19,DATA!$G$4:$H$2000,2,FALSE),"")</f>
        <v>Оюундэлгэр /нярав/</v>
      </c>
      <c r="N19" s="435"/>
      <c r="O19" s="81" t="str">
        <f>IFERROR(VLOOKUP(N19,DATA!$K$4:$L$51,2,FALSE),"")</f>
        <v/>
      </c>
      <c r="P19" s="81"/>
      <c r="Q19" s="152">
        <f t="shared" si="2"/>
        <v>0</v>
      </c>
    </row>
    <row r="20" spans="2:17">
      <c r="B20" s="670">
        <f t="shared" si="3"/>
        <v>15</v>
      </c>
      <c r="C20" s="433">
        <v>42736</v>
      </c>
      <c r="D20" s="377" t="s">
        <v>2684</v>
      </c>
      <c r="E20" s="572">
        <v>140201</v>
      </c>
      <c r="F20" s="672" t="str">
        <f>IFERROR(VLOOKUP(E20,STAT1!$C$4:$D$1000,2,FALSE),"")</f>
        <v>ШМЗардал БОЛОВСРУУЛАХ ЦЕХ /нарс/</v>
      </c>
      <c r="G20" s="377">
        <v>4444726.75</v>
      </c>
      <c r="H20" s="597"/>
      <c r="I20" s="596">
        <f t="shared" si="0"/>
        <v>0</v>
      </c>
      <c r="J20" s="81">
        <f t="shared" si="1"/>
        <v>0</v>
      </c>
      <c r="K20" s="81"/>
      <c r="L20" s="597">
        <v>1006</v>
      </c>
      <c r="M20" s="81" t="str">
        <f>+IFERROR(VLOOKUP(L20,DATA!$G$4:$H$2000,2,FALSE),"")</f>
        <v>Оюундэлгэр /нярав/</v>
      </c>
      <c r="N20" s="435"/>
      <c r="O20" s="81" t="str">
        <f>IFERROR(VLOOKUP(N20,DATA!$K$4:$L$51,2,FALSE),"")</f>
        <v/>
      </c>
      <c r="P20" s="81"/>
      <c r="Q20" s="152">
        <f t="shared" si="2"/>
        <v>0</v>
      </c>
    </row>
    <row r="21" spans="2:17">
      <c r="B21" s="670">
        <f t="shared" si="3"/>
        <v>16</v>
      </c>
      <c r="C21" s="433">
        <v>42736</v>
      </c>
      <c r="D21" s="377" t="s">
        <v>587</v>
      </c>
      <c r="E21" s="572">
        <v>140100</v>
      </c>
      <c r="F21" s="672" t="str">
        <f>IFERROR(VLOOKUP(E21,STAT1!$C$4:$D$1000,2,FALSE),"")</f>
        <v>Түүхий эд материал</v>
      </c>
      <c r="G21" s="597"/>
      <c r="H21" s="377">
        <v>4444726.75</v>
      </c>
      <c r="I21" s="596">
        <f t="shared" si="0"/>
        <v>0</v>
      </c>
      <c r="J21" s="81">
        <f t="shared" si="1"/>
        <v>0</v>
      </c>
      <c r="K21" s="81"/>
      <c r="L21" s="597">
        <v>1006</v>
      </c>
      <c r="M21" s="81" t="str">
        <f>+IFERROR(VLOOKUP(L21,DATA!$G$4:$H$2000,2,FALSE),"")</f>
        <v>Оюундэлгэр /нярав/</v>
      </c>
      <c r="N21" s="435"/>
      <c r="O21" s="81" t="str">
        <f>IFERROR(VLOOKUP(N21,DATA!$K$4:$L$51,2,FALSE),"")</f>
        <v/>
      </c>
      <c r="P21" s="81"/>
      <c r="Q21" s="152">
        <f t="shared" si="2"/>
        <v>0</v>
      </c>
    </row>
    <row r="22" spans="2:17">
      <c r="B22" s="670">
        <f t="shared" si="3"/>
        <v>17</v>
      </c>
      <c r="C22" s="433">
        <v>42736</v>
      </c>
      <c r="D22" s="598" t="s">
        <v>1747</v>
      </c>
      <c r="E22" s="572">
        <v>140501</v>
      </c>
      <c r="F22" s="672" t="str">
        <f>IFERROR(VLOOKUP(E22,STAT1!$C$4:$D$8000,2,FALSE),"")</f>
        <v>Нэгтгэл зардал БОЛОВСРУУЛАХ ЦЕХ /нарс/</v>
      </c>
      <c r="G22" s="377">
        <v>190723765.41452003</v>
      </c>
      <c r="H22" s="377"/>
      <c r="I22" s="596">
        <f t="shared" si="0"/>
        <v>0</v>
      </c>
      <c r="J22" s="81">
        <f t="shared" si="1"/>
        <v>0</v>
      </c>
      <c r="K22" s="81"/>
      <c r="L22" s="597">
        <v>1006</v>
      </c>
      <c r="M22" s="81" t="str">
        <f>+IFERROR(VLOOKUP(L22,DATA!$G$4:$H$2000,2,FALSE),"")</f>
        <v>Оюундэлгэр /нярав/</v>
      </c>
      <c r="N22" s="166"/>
      <c r="O22" s="81" t="str">
        <f>IFERROR(VLOOKUP(N22,DATA!$K$4:$L$51,2,FALSE),"")</f>
        <v/>
      </c>
      <c r="P22" s="81"/>
      <c r="Q22" s="152">
        <f t="shared" si="2"/>
        <v>0</v>
      </c>
    </row>
    <row r="23" spans="2:17">
      <c r="B23" s="670">
        <f t="shared" si="3"/>
        <v>18</v>
      </c>
      <c r="C23" s="433">
        <v>42736</v>
      </c>
      <c r="D23" s="377" t="s">
        <v>1763</v>
      </c>
      <c r="E23" s="572">
        <v>140201</v>
      </c>
      <c r="F23" s="672" t="str">
        <f>IFERROR(VLOOKUP(E23,STAT1!$C$4:$D$8000,2,FALSE),"")</f>
        <v>ШМЗардал БОЛОВСРУУЛАХ ЦЕХ /нарс/</v>
      </c>
      <c r="G23" s="377"/>
      <c r="H23" s="377">
        <v>190723765.41452003</v>
      </c>
      <c r="I23" s="596">
        <f t="shared" si="0"/>
        <v>0</v>
      </c>
      <c r="J23" s="81">
        <f t="shared" si="1"/>
        <v>0</v>
      </c>
      <c r="K23" s="81"/>
      <c r="L23" s="597">
        <v>1006</v>
      </c>
      <c r="M23" s="81" t="str">
        <f>+IFERROR(VLOOKUP(L23,DATA!$G$4:$H$2000,2,FALSE),"")</f>
        <v>Оюундэлгэр /нярав/</v>
      </c>
      <c r="N23" s="166"/>
      <c r="O23" s="81" t="str">
        <f>IFERROR(VLOOKUP(N23,DATA!$K$4:$L$51,2,FALSE),"")</f>
        <v/>
      </c>
      <c r="P23" s="81"/>
      <c r="Q23" s="152">
        <f t="shared" si="2"/>
        <v>0</v>
      </c>
    </row>
    <row r="24" spans="2:17">
      <c r="B24" s="670">
        <f t="shared" si="3"/>
        <v>19</v>
      </c>
      <c r="C24" s="601">
        <v>42740</v>
      </c>
      <c r="D24" s="372" t="s">
        <v>1656</v>
      </c>
      <c r="E24" s="572">
        <v>160100</v>
      </c>
      <c r="F24" s="672" t="str">
        <f>IFERROR(VLOOKUP(E24,STAT1!$C$4:$D$1000,2,FALSE),"")</f>
        <v xml:space="preserve">Барилгын материал </v>
      </c>
      <c r="G24" s="431">
        <v>187272.72700000001</v>
      </c>
      <c r="H24" s="431" t="s">
        <v>587</v>
      </c>
      <c r="I24" s="596">
        <f t="shared" si="0"/>
        <v>0</v>
      </c>
      <c r="J24" s="81">
        <f t="shared" si="1"/>
        <v>0</v>
      </c>
      <c r="K24" s="432"/>
      <c r="L24" s="597">
        <v>1007</v>
      </c>
      <c r="M24" s="81" t="str">
        <f>+IFERROR(VLOOKUP(L24,DATA!$G$4:$H$2000,2,FALSE),"")</f>
        <v xml:space="preserve">Нэргүй </v>
      </c>
      <c r="N24" s="435"/>
      <c r="O24" s="81" t="str">
        <f>IFERROR(VLOOKUP(N24,DATA!$K$4:$L$51,2,FALSE),"")</f>
        <v/>
      </c>
      <c r="P24" s="81"/>
      <c r="Q24" s="152">
        <f t="shared" si="2"/>
        <v>0</v>
      </c>
    </row>
    <row r="25" spans="2:17">
      <c r="B25" s="670">
        <f t="shared" si="3"/>
        <v>20</v>
      </c>
      <c r="C25" s="601">
        <v>42740</v>
      </c>
      <c r="D25" s="372" t="s">
        <v>587</v>
      </c>
      <c r="E25" s="572">
        <v>120600</v>
      </c>
      <c r="F25" s="672" t="str">
        <f>IFERROR(VLOOKUP(E25,STAT1!$C$4:$D$1000,2,FALSE),"")</f>
        <v>НӨАТ авлага</v>
      </c>
      <c r="G25" s="431">
        <v>18727.272700000001</v>
      </c>
      <c r="H25" s="431"/>
      <c r="I25" s="596">
        <f t="shared" si="0"/>
        <v>0</v>
      </c>
      <c r="J25" s="81">
        <f t="shared" si="1"/>
        <v>0</v>
      </c>
      <c r="K25" s="432"/>
      <c r="L25" s="597">
        <v>1007</v>
      </c>
      <c r="M25" s="81" t="str">
        <f>+IFERROR(VLOOKUP(L25,DATA!$G$4:$H$2000,2,FALSE),"")</f>
        <v xml:space="preserve">Нэргүй </v>
      </c>
      <c r="N25" s="435"/>
      <c r="O25" s="81" t="str">
        <f>IFERROR(VLOOKUP(N25,DATA!$K$4:$L$51,2,FALSE),"")</f>
        <v/>
      </c>
      <c r="P25" s="81"/>
      <c r="Q25" s="152">
        <f t="shared" si="2"/>
        <v>0</v>
      </c>
    </row>
    <row r="26" spans="2:17">
      <c r="B26" s="670">
        <f t="shared" si="3"/>
        <v>21</v>
      </c>
      <c r="C26" s="601">
        <v>42740</v>
      </c>
      <c r="D26" s="372" t="s">
        <v>587</v>
      </c>
      <c r="E26" s="572">
        <v>121200</v>
      </c>
      <c r="F26" s="672" t="str">
        <f>IFERROR(VLOOKUP(E26,STAT1!$C$4:$D$1000,2,FALSE),"")</f>
        <v xml:space="preserve">Ажилчидын дараа тайлангийн тооцоо </v>
      </c>
      <c r="G26" s="430"/>
      <c r="H26" s="431">
        <v>205999.99970000001</v>
      </c>
      <c r="I26" s="596">
        <f t="shared" si="0"/>
        <v>0</v>
      </c>
      <c r="J26" s="81">
        <f t="shared" si="1"/>
        <v>0</v>
      </c>
      <c r="K26" s="432"/>
      <c r="L26" s="597">
        <v>1007</v>
      </c>
      <c r="M26" s="81" t="str">
        <f>+IFERROR(VLOOKUP(L26,DATA!$G$4:$H$2000,2,FALSE),"")</f>
        <v xml:space="preserve">Нэргүй </v>
      </c>
      <c r="N26" s="435"/>
      <c r="O26" s="81" t="str">
        <f>IFERROR(VLOOKUP(N26,DATA!$K$4:$L$51,2,FALSE),"")</f>
        <v/>
      </c>
      <c r="P26" s="81"/>
      <c r="Q26" s="152">
        <f t="shared" si="2"/>
        <v>0</v>
      </c>
    </row>
    <row r="27" spans="2:17">
      <c r="B27" s="670">
        <f t="shared" si="3"/>
        <v>22</v>
      </c>
      <c r="C27" s="433">
        <v>42740</v>
      </c>
      <c r="D27" s="434" t="s">
        <v>2685</v>
      </c>
      <c r="E27" s="673">
        <v>150101</v>
      </c>
      <c r="F27" s="672" t="str">
        <f>IFERROR(VLOOKUP(E27,STAT1!$C$4:$D$1000,2,FALSE),"")</f>
        <v>Бараа бэлэн бүтээгдэхүүн БОЛОВСРУУЛАХ ЦЕХ /нарс/</v>
      </c>
      <c r="G27" s="431"/>
      <c r="H27" s="431">
        <v>62583.121599999991</v>
      </c>
      <c r="I27" s="596">
        <f t="shared" si="0"/>
        <v>0</v>
      </c>
      <c r="J27" s="81">
        <f t="shared" si="1"/>
        <v>0</v>
      </c>
      <c r="K27" s="81"/>
      <c r="L27" s="597">
        <v>3006</v>
      </c>
      <c r="M27" s="81" t="str">
        <f>+IFERROR(VLOOKUP(L27,DATA!$G$4:$H$2000,2,FALSE),"")</f>
        <v xml:space="preserve">ПАЙОНЕРИНГ ИНТЕРНЭШНЛ ХХК </v>
      </c>
      <c r="N27" s="435"/>
      <c r="O27" s="81" t="str">
        <f>IFERROR(VLOOKUP(N27,DATA!$K$4:$L$51,2,FALSE),"")</f>
        <v/>
      </c>
      <c r="P27" s="81"/>
      <c r="Q27" s="152">
        <f t="shared" si="2"/>
        <v>0</v>
      </c>
    </row>
    <row r="28" spans="2:17">
      <c r="B28" s="670">
        <f t="shared" si="3"/>
        <v>23</v>
      </c>
      <c r="C28" s="433">
        <v>42740</v>
      </c>
      <c r="D28" s="434"/>
      <c r="E28" s="674">
        <v>610100</v>
      </c>
      <c r="F28" s="672" t="str">
        <f>IFERROR(VLOOKUP(E28,STAT1!$C$4:$D$1000,2,FALSE),"")</f>
        <v>Борлуулсан барааны өртөг</v>
      </c>
      <c r="G28" s="431">
        <v>62583.121599999991</v>
      </c>
      <c r="H28" s="431"/>
      <c r="I28" s="596">
        <f t="shared" si="0"/>
        <v>0</v>
      </c>
      <c r="J28" s="81">
        <f t="shared" si="1"/>
        <v>0</v>
      </c>
      <c r="K28" s="81"/>
      <c r="L28" s="597">
        <v>3006</v>
      </c>
      <c r="M28" s="81" t="str">
        <f>+IFERROR(VLOOKUP(L28,DATA!$G$4:$H$2000,2,FALSE),"")</f>
        <v xml:space="preserve">ПАЙОНЕРИНГ ИНТЕРНЭШНЛ ХХК </v>
      </c>
      <c r="N28" s="435"/>
      <c r="O28" s="81"/>
      <c r="P28" s="81"/>
      <c r="Q28" s="152">
        <f t="shared" si="2"/>
        <v>0</v>
      </c>
    </row>
    <row r="29" spans="2:17">
      <c r="B29" s="670">
        <f t="shared" si="3"/>
        <v>24</v>
      </c>
      <c r="C29" s="433">
        <v>42740</v>
      </c>
      <c r="D29" s="434" t="s">
        <v>587</v>
      </c>
      <c r="E29" s="674">
        <v>310500</v>
      </c>
      <c r="F29" s="672" t="str">
        <f>IFERROR(VLOOKUP(E29,STAT1!$C$4:$D$1000,2,FALSE),"")</f>
        <v>НӨАТ өглөг</v>
      </c>
      <c r="G29" s="431"/>
      <c r="H29" s="431">
        <v>11793.635961599999</v>
      </c>
      <c r="I29" s="596">
        <f t="shared" si="0"/>
        <v>0</v>
      </c>
      <c r="J29" s="81">
        <f t="shared" si="1"/>
        <v>0</v>
      </c>
      <c r="K29" s="81"/>
      <c r="L29" s="597">
        <v>3006</v>
      </c>
      <c r="M29" s="81" t="str">
        <f>+IFERROR(VLOOKUP(L29,DATA!$G$4:$H$2000,2,FALSE),"")</f>
        <v xml:space="preserve">ПАЙОНЕРИНГ ИНТЕРНЭШНЛ ХХК </v>
      </c>
      <c r="N29" s="435"/>
      <c r="O29" s="81" t="str">
        <f>IFERROR(VLOOKUP(N29,DATA!$K$4:$L$51,2,FALSE),"")</f>
        <v/>
      </c>
      <c r="P29" s="81"/>
      <c r="Q29" s="152">
        <f t="shared" si="2"/>
        <v>0</v>
      </c>
    </row>
    <row r="30" spans="2:17">
      <c r="B30" s="670">
        <f t="shared" si="3"/>
        <v>25</v>
      </c>
      <c r="C30" s="433">
        <v>42740</v>
      </c>
      <c r="D30" s="434" t="s">
        <v>587</v>
      </c>
      <c r="E30" s="674">
        <v>510000</v>
      </c>
      <c r="F30" s="672" t="str">
        <f>IFERROR(VLOOKUP(E30,STAT1!$C$4:$D$1000,2,FALSE),"")</f>
        <v>Үндсэн үйл ажиллагааны борлуулалт</v>
      </c>
      <c r="G30" s="431"/>
      <c r="H30" s="431">
        <v>117936.35961599999</v>
      </c>
      <c r="I30" s="596">
        <f t="shared" si="0"/>
        <v>0</v>
      </c>
      <c r="J30" s="81">
        <f t="shared" si="1"/>
        <v>0</v>
      </c>
      <c r="K30" s="81"/>
      <c r="L30" s="597">
        <v>3006</v>
      </c>
      <c r="M30" s="81" t="str">
        <f>+IFERROR(VLOOKUP(L30,DATA!$G$4:$H$2000,2,FALSE),"")</f>
        <v xml:space="preserve">ПАЙОНЕРИНГ ИНТЕРНЭШНЛ ХХК </v>
      </c>
      <c r="N30" s="435"/>
      <c r="O30" s="81" t="str">
        <f>IFERROR(VLOOKUP(N30,DATA!$K$4:$L$51,2,FALSE),"")</f>
        <v/>
      </c>
      <c r="P30" s="81"/>
      <c r="Q30" s="152">
        <f t="shared" si="2"/>
        <v>0</v>
      </c>
    </row>
    <row r="31" spans="2:17">
      <c r="B31" s="670">
        <f t="shared" si="3"/>
        <v>26</v>
      </c>
      <c r="C31" s="433">
        <v>42740</v>
      </c>
      <c r="D31" s="434" t="s">
        <v>587</v>
      </c>
      <c r="E31" s="674">
        <v>320100</v>
      </c>
      <c r="F31" s="672" t="str">
        <f>IFERROR(VLOOKUP(E31,STAT1!$C$4:$D$1000,2,FALSE),"")</f>
        <v>Урьдчилж орсон орлого MNT</v>
      </c>
      <c r="G31" s="431">
        <v>129730</v>
      </c>
      <c r="H31" s="431"/>
      <c r="I31" s="596">
        <f t="shared" si="0"/>
        <v>0</v>
      </c>
      <c r="J31" s="81">
        <f t="shared" si="1"/>
        <v>0</v>
      </c>
      <c r="K31" s="81"/>
      <c r="L31" s="597">
        <v>3006</v>
      </c>
      <c r="M31" s="81" t="str">
        <f>+IFERROR(VLOOKUP(L31,DATA!$G$4:$H$2000,2,FALSE),"")</f>
        <v xml:space="preserve">ПАЙОНЕРИНГ ИНТЕРНЭШНЛ ХХК </v>
      </c>
      <c r="N31" s="435"/>
      <c r="O31" s="81" t="str">
        <f>IFERROR(VLOOKUP(N31,DATA!$K$4:$L$51,2,FALSE),"")</f>
        <v/>
      </c>
      <c r="P31" s="81"/>
      <c r="Q31" s="152">
        <f t="shared" si="2"/>
        <v>0</v>
      </c>
    </row>
    <row r="32" spans="2:17">
      <c r="B32" s="670">
        <f t="shared" si="3"/>
        <v>27</v>
      </c>
      <c r="C32" s="433">
        <v>42740</v>
      </c>
      <c r="D32" s="598" t="s">
        <v>1745</v>
      </c>
      <c r="E32" s="572">
        <v>701900</v>
      </c>
      <c r="F32" s="672" t="str">
        <f>IFERROR(VLOOKUP(E32,STAT1!$C$4:$D$1000,2,FALSE),"")</f>
        <v>Харилцаа холбоо</v>
      </c>
      <c r="G32" s="377">
        <v>33918.18</v>
      </c>
      <c r="H32" s="597"/>
      <c r="I32" s="596">
        <f t="shared" si="0"/>
        <v>0</v>
      </c>
      <c r="J32" s="81">
        <f t="shared" si="1"/>
        <v>0</v>
      </c>
      <c r="K32" s="81"/>
      <c r="L32" s="597">
        <v>2006</v>
      </c>
      <c r="M32" s="81" t="str">
        <f>+IFERROR(VLOOKUP(L32,DATA!$G$4:$H$2000,2,FALSE),"")</f>
        <v xml:space="preserve">МЦХОЛБОО </v>
      </c>
      <c r="N32" s="435"/>
      <c r="O32" s="81" t="str">
        <f>IFERROR(VLOOKUP(N32,DATA!$K$4:$L$51,2,FALSE),"")</f>
        <v/>
      </c>
      <c r="P32" s="81"/>
      <c r="Q32" s="152">
        <f t="shared" si="2"/>
        <v>0</v>
      </c>
    </row>
    <row r="33" spans="2:17">
      <c r="B33" s="670">
        <f t="shared" si="3"/>
        <v>28</v>
      </c>
      <c r="C33" s="433">
        <v>42740</v>
      </c>
      <c r="D33" s="598" t="s">
        <v>1745</v>
      </c>
      <c r="E33" s="572">
        <v>120600</v>
      </c>
      <c r="F33" s="672" t="str">
        <f>IFERROR(VLOOKUP(E33,STAT1!$C$4:$D$1000,2,FALSE),"")</f>
        <v>НӨАТ авлага</v>
      </c>
      <c r="G33" s="377">
        <v>3391.82</v>
      </c>
      <c r="H33" s="597"/>
      <c r="I33" s="596">
        <f t="shared" si="0"/>
        <v>0</v>
      </c>
      <c r="J33" s="81">
        <f t="shared" si="1"/>
        <v>0</v>
      </c>
      <c r="K33" s="81"/>
      <c r="L33" s="597">
        <v>2006</v>
      </c>
      <c r="M33" s="81" t="str">
        <f>+IFERROR(VLOOKUP(L33,DATA!$G$4:$H$2000,2,FALSE),"")</f>
        <v xml:space="preserve">МЦХОЛБОО </v>
      </c>
      <c r="N33" s="435"/>
      <c r="O33" s="81" t="str">
        <f>IFERROR(VLOOKUP(N33,DATA!$K$4:$L$51,2,FALSE),"")</f>
        <v/>
      </c>
      <c r="P33" s="81"/>
      <c r="Q33" s="152">
        <f t="shared" si="2"/>
        <v>0</v>
      </c>
    </row>
    <row r="34" spans="2:17">
      <c r="B34" s="670">
        <f t="shared" si="3"/>
        <v>29</v>
      </c>
      <c r="C34" s="433">
        <v>42740</v>
      </c>
      <c r="D34" s="598" t="s">
        <v>1745</v>
      </c>
      <c r="E34" s="572">
        <v>110100</v>
      </c>
      <c r="F34" s="672" t="str">
        <f>IFERROR(VLOOKUP(E34,STAT1!$C$4:$D$1000,2,FALSE),"")</f>
        <v>Хаан Банк 5024654020</v>
      </c>
      <c r="G34" s="377"/>
      <c r="H34" s="377">
        <v>37310</v>
      </c>
      <c r="I34" s="596">
        <f t="shared" si="0"/>
        <v>-37310</v>
      </c>
      <c r="J34" s="81">
        <f t="shared" si="1"/>
        <v>0</v>
      </c>
      <c r="K34" s="81"/>
      <c r="L34" s="597">
        <v>2006</v>
      </c>
      <c r="M34" s="81" t="str">
        <f>+IFERROR(VLOOKUP(L34,DATA!$G$4:$H$2000,2,FALSE),"")</f>
        <v xml:space="preserve">МЦХОЛБОО </v>
      </c>
      <c r="N34" s="435">
        <v>59</v>
      </c>
      <c r="O34" s="81" t="str">
        <f>IFERROR(VLOOKUP(N34,DATA!$K$4:$L$51,2,FALSE),"")</f>
        <v>Бусад мөнгөн зарлага</v>
      </c>
      <c r="P34" s="81"/>
      <c r="Q34" s="152">
        <f t="shared" si="2"/>
        <v>1</v>
      </c>
    </row>
    <row r="35" spans="2:17">
      <c r="B35" s="670">
        <f t="shared" si="3"/>
        <v>30</v>
      </c>
      <c r="C35" s="433">
        <v>42743</v>
      </c>
      <c r="D35" s="434" t="s">
        <v>2685</v>
      </c>
      <c r="E35" s="673">
        <v>150101</v>
      </c>
      <c r="F35" s="672" t="str">
        <f>IFERROR(VLOOKUP(E35,STAT1!$C$4:$D$1000,2,FALSE),"")</f>
        <v>Бараа бэлэн бүтээгдэхүүн БОЛОВСРУУЛАХ ЦЕХ /нарс/</v>
      </c>
      <c r="G35" s="431"/>
      <c r="H35" s="431">
        <v>123639.8256</v>
      </c>
      <c r="I35" s="596">
        <f t="shared" si="0"/>
        <v>0</v>
      </c>
      <c r="J35" s="81">
        <f t="shared" si="1"/>
        <v>0</v>
      </c>
      <c r="K35" s="81"/>
      <c r="L35" s="597">
        <v>3011</v>
      </c>
      <c r="M35" s="81" t="str">
        <f>+IFERROR(VLOOKUP(L35,DATA!$G$4:$H$2000,2,FALSE),"")</f>
        <v xml:space="preserve">САКУРА КОНСТРАКШН ХХК </v>
      </c>
      <c r="N35" s="435"/>
      <c r="O35" s="81" t="str">
        <f>IFERROR(VLOOKUP(N35,DATA!$K$4:$L$51,2,FALSE),"")</f>
        <v/>
      </c>
      <c r="P35" s="81"/>
      <c r="Q35" s="152">
        <f t="shared" si="2"/>
        <v>0</v>
      </c>
    </row>
    <row r="36" spans="2:17">
      <c r="B36" s="670">
        <f t="shared" si="3"/>
        <v>31</v>
      </c>
      <c r="C36" s="433">
        <v>42743</v>
      </c>
      <c r="D36" s="434"/>
      <c r="E36" s="674">
        <v>610100</v>
      </c>
      <c r="F36" s="672" t="str">
        <f>IFERROR(VLOOKUP(E36,STAT1!$C$4:$D$1000,2,FALSE),"")</f>
        <v>Борлуулсан барааны өртөг</v>
      </c>
      <c r="G36" s="431">
        <v>123639.8256</v>
      </c>
      <c r="H36" s="431"/>
      <c r="I36" s="596">
        <f t="shared" si="0"/>
        <v>0</v>
      </c>
      <c r="J36" s="81">
        <f t="shared" si="1"/>
        <v>0</v>
      </c>
      <c r="K36" s="81"/>
      <c r="L36" s="597">
        <v>3011</v>
      </c>
      <c r="M36" s="81" t="str">
        <f>+IFERROR(VLOOKUP(L36,DATA!$G$4:$H$2000,2,FALSE),"")</f>
        <v xml:space="preserve">САКУРА КОНСТРАКШН ХХК </v>
      </c>
      <c r="N36" s="435"/>
      <c r="O36" s="81"/>
      <c r="P36" s="81"/>
      <c r="Q36" s="152">
        <f t="shared" si="2"/>
        <v>0</v>
      </c>
    </row>
    <row r="37" spans="2:17">
      <c r="B37" s="670">
        <f t="shared" si="3"/>
        <v>32</v>
      </c>
      <c r="C37" s="433">
        <v>42743</v>
      </c>
      <c r="D37" s="434" t="s">
        <v>587</v>
      </c>
      <c r="E37" s="674">
        <v>310500</v>
      </c>
      <c r="F37" s="672" t="str">
        <f>IFERROR(VLOOKUP(E37,STAT1!$C$4:$D$1000,2,FALSE),"")</f>
        <v>НӨАТ өглөг</v>
      </c>
      <c r="G37" s="431"/>
      <c r="H37" s="431">
        <v>23336.363300000001</v>
      </c>
      <c r="I37" s="596">
        <f t="shared" si="0"/>
        <v>0</v>
      </c>
      <c r="J37" s="81">
        <f t="shared" si="1"/>
        <v>0</v>
      </c>
      <c r="K37" s="81"/>
      <c r="L37" s="597">
        <v>3011</v>
      </c>
      <c r="M37" s="81" t="str">
        <f>+IFERROR(VLOOKUP(L37,DATA!$G$4:$H$2000,2,FALSE),"")</f>
        <v xml:space="preserve">САКУРА КОНСТРАКШН ХХК </v>
      </c>
      <c r="N37" s="435"/>
      <c r="O37" s="81" t="str">
        <f>IFERROR(VLOOKUP(N37,DATA!$K$4:$L$51,2,FALSE),"")</f>
        <v/>
      </c>
      <c r="P37" s="81"/>
      <c r="Q37" s="152">
        <f t="shared" si="2"/>
        <v>0</v>
      </c>
    </row>
    <row r="38" spans="2:17">
      <c r="B38" s="670">
        <f t="shared" si="3"/>
        <v>33</v>
      </c>
      <c r="C38" s="433">
        <v>42743</v>
      </c>
      <c r="D38" s="434" t="s">
        <v>587</v>
      </c>
      <c r="E38" s="674">
        <v>510000</v>
      </c>
      <c r="F38" s="672" t="str">
        <f>IFERROR(VLOOKUP(E38,STAT1!$C$4:$D$1000,2,FALSE),"")</f>
        <v>Үндсэн үйл ажиллагааны борлуулалт</v>
      </c>
      <c r="G38" s="431"/>
      <c r="H38" s="431">
        <v>233363.63</v>
      </c>
      <c r="I38" s="596">
        <f t="shared" si="0"/>
        <v>0</v>
      </c>
      <c r="J38" s="81">
        <f t="shared" si="1"/>
        <v>0</v>
      </c>
      <c r="K38" s="81"/>
      <c r="L38" s="597">
        <v>3011</v>
      </c>
      <c r="M38" s="81" t="str">
        <f>+IFERROR(VLOOKUP(L38,DATA!$G$4:$H$2000,2,FALSE),"")</f>
        <v xml:space="preserve">САКУРА КОНСТРАКШН ХХК </v>
      </c>
      <c r="N38" s="435"/>
      <c r="O38" s="81" t="str">
        <f>IFERROR(VLOOKUP(N38,DATA!$K$4:$L$51,2,FALSE),"")</f>
        <v/>
      </c>
      <c r="P38" s="81"/>
      <c r="Q38" s="152">
        <f t="shared" si="2"/>
        <v>0</v>
      </c>
    </row>
    <row r="39" spans="2:17">
      <c r="B39" s="670">
        <f t="shared" si="3"/>
        <v>34</v>
      </c>
      <c r="C39" s="433">
        <v>42743</v>
      </c>
      <c r="D39" s="434" t="s">
        <v>587</v>
      </c>
      <c r="E39" s="674">
        <v>320100</v>
      </c>
      <c r="F39" s="672" t="str">
        <f>IFERROR(VLOOKUP(E39,STAT1!$C$4:$D$1000,2,FALSE),"")</f>
        <v>Урьдчилж орсон орлого MNT</v>
      </c>
      <c r="G39" s="431">
        <v>256699.9963</v>
      </c>
      <c r="H39" s="431"/>
      <c r="I39" s="596">
        <f t="shared" si="0"/>
        <v>0</v>
      </c>
      <c r="J39" s="81">
        <f t="shared" si="1"/>
        <v>0</v>
      </c>
      <c r="K39" s="81"/>
      <c r="L39" s="597">
        <v>3011</v>
      </c>
      <c r="M39" s="81" t="str">
        <f>+IFERROR(VLOOKUP(L39,DATA!$G$4:$H$2000,2,FALSE),"")</f>
        <v xml:space="preserve">САКУРА КОНСТРАКШН ХХК </v>
      </c>
      <c r="N39" s="435"/>
      <c r="O39" s="81" t="str">
        <f>IFERROR(VLOOKUP(N39,DATA!$K$4:$L$51,2,FALSE),"")</f>
        <v/>
      </c>
      <c r="P39" s="81"/>
      <c r="Q39" s="152">
        <f t="shared" si="2"/>
        <v>0</v>
      </c>
    </row>
    <row r="40" spans="2:17">
      <c r="B40" s="670">
        <f t="shared" si="3"/>
        <v>35</v>
      </c>
      <c r="C40" s="433">
        <v>42744</v>
      </c>
      <c r="D40" s="434" t="s">
        <v>2682</v>
      </c>
      <c r="E40" s="673">
        <v>150101</v>
      </c>
      <c r="F40" s="672" t="str">
        <f>IFERROR(VLOOKUP(E40,STAT1!$C$4:$D$1000,2,FALSE),"")</f>
        <v>Бараа бэлэн бүтээгдэхүүн БОЛОВСРУУЛАХ ЦЕХ /нарс/</v>
      </c>
      <c r="G40" s="431"/>
      <c r="H40" s="431">
        <v>191123.56673210167</v>
      </c>
      <c r="I40" s="596">
        <f t="shared" si="0"/>
        <v>0</v>
      </c>
      <c r="J40" s="81">
        <f t="shared" si="1"/>
        <v>0</v>
      </c>
      <c r="K40" s="81"/>
      <c r="L40" s="597">
        <v>3009</v>
      </c>
      <c r="M40" s="81" t="str">
        <f>+IFERROR(VLOOKUP(L40,DATA!$G$4:$H$2000,2,FALSE),"")</f>
        <v xml:space="preserve">СЭРҮҮН ХАРААТ ХХК </v>
      </c>
      <c r="N40" s="435"/>
      <c r="O40" s="81" t="str">
        <f>IFERROR(VLOOKUP(N40,DATA!$K$4:$L$51,2,FALSE),"")</f>
        <v/>
      </c>
      <c r="P40" s="81"/>
      <c r="Q40" s="152">
        <f t="shared" si="2"/>
        <v>0</v>
      </c>
    </row>
    <row r="41" spans="2:17">
      <c r="B41" s="670">
        <f t="shared" si="3"/>
        <v>36</v>
      </c>
      <c r="C41" s="433">
        <v>42744</v>
      </c>
      <c r="D41" s="434"/>
      <c r="E41" s="674">
        <v>610100</v>
      </c>
      <c r="F41" s="672" t="str">
        <f>IFERROR(VLOOKUP(E41,STAT1!$C$4:$D$1000,2,FALSE),"")</f>
        <v>Борлуулсан барааны өртөг</v>
      </c>
      <c r="G41" s="431">
        <v>191123.56673210167</v>
      </c>
      <c r="H41" s="431"/>
      <c r="I41" s="596">
        <f t="shared" si="0"/>
        <v>0</v>
      </c>
      <c r="J41" s="81">
        <f t="shared" si="1"/>
        <v>0</v>
      </c>
      <c r="K41" s="81"/>
      <c r="L41" s="597">
        <v>3009</v>
      </c>
      <c r="M41" s="81" t="str">
        <f>+IFERROR(VLOOKUP(L41,DATA!$G$4:$H$2000,2,FALSE),"")</f>
        <v xml:space="preserve">СЭРҮҮН ХАРААТ ХХК </v>
      </c>
      <c r="N41" s="435"/>
      <c r="O41" s="81"/>
      <c r="P41" s="81"/>
      <c r="Q41" s="152">
        <f t="shared" si="2"/>
        <v>0</v>
      </c>
    </row>
    <row r="42" spans="2:17">
      <c r="B42" s="670">
        <f t="shared" si="3"/>
        <v>37</v>
      </c>
      <c r="C42" s="433">
        <v>42744</v>
      </c>
      <c r="D42" s="434" t="s">
        <v>587</v>
      </c>
      <c r="E42" s="674">
        <v>310500</v>
      </c>
      <c r="F42" s="672" t="str">
        <f>IFERROR(VLOOKUP(E42,STAT1!$C$4:$D$1000,2,FALSE),"")</f>
        <v>НӨАТ өглөг</v>
      </c>
      <c r="G42" s="431"/>
      <c r="H42" s="431">
        <v>28000</v>
      </c>
      <c r="I42" s="596">
        <f t="shared" si="0"/>
        <v>0</v>
      </c>
      <c r="J42" s="81">
        <f t="shared" si="1"/>
        <v>0</v>
      </c>
      <c r="K42" s="81"/>
      <c r="L42" s="597">
        <v>3009</v>
      </c>
      <c r="M42" s="81" t="str">
        <f>+IFERROR(VLOOKUP(L42,DATA!$G$4:$H$2000,2,FALSE),"")</f>
        <v xml:space="preserve">СЭРҮҮН ХАРААТ ХХК </v>
      </c>
      <c r="N42" s="435"/>
      <c r="O42" s="81" t="str">
        <f>IFERROR(VLOOKUP(N42,DATA!$K$4:$L$51,2,FALSE),"")</f>
        <v/>
      </c>
      <c r="P42" s="81"/>
      <c r="Q42" s="152">
        <f t="shared" si="2"/>
        <v>0</v>
      </c>
    </row>
    <row r="43" spans="2:17">
      <c r="B43" s="670">
        <f t="shared" si="3"/>
        <v>38</v>
      </c>
      <c r="C43" s="433">
        <v>42744</v>
      </c>
      <c r="D43" s="434" t="s">
        <v>587</v>
      </c>
      <c r="E43" s="674">
        <v>510000</v>
      </c>
      <c r="F43" s="672" t="str">
        <f>IFERROR(VLOOKUP(E43,STAT1!$C$4:$D$1000,2,FALSE),"")</f>
        <v>Үндсэн үйл ажиллагааны борлуулалт</v>
      </c>
      <c r="G43" s="431"/>
      <c r="H43" s="431">
        <v>280000</v>
      </c>
      <c r="I43" s="596">
        <f t="shared" si="0"/>
        <v>0</v>
      </c>
      <c r="J43" s="81">
        <f t="shared" si="1"/>
        <v>0</v>
      </c>
      <c r="K43" s="81"/>
      <c r="L43" s="597">
        <v>3009</v>
      </c>
      <c r="M43" s="81" t="str">
        <f>+IFERROR(VLOOKUP(L43,DATA!$G$4:$H$2000,2,FALSE),"")</f>
        <v xml:space="preserve">СЭРҮҮН ХАРААТ ХХК </v>
      </c>
      <c r="N43" s="435"/>
      <c r="O43" s="81" t="str">
        <f>IFERROR(VLOOKUP(N43,DATA!$K$4:$L$51,2,FALSE),"")</f>
        <v/>
      </c>
      <c r="P43" s="81"/>
      <c r="Q43" s="152">
        <f t="shared" si="2"/>
        <v>0</v>
      </c>
    </row>
    <row r="44" spans="2:17">
      <c r="B44" s="670">
        <f t="shared" si="3"/>
        <v>39</v>
      </c>
      <c r="C44" s="433">
        <v>42744</v>
      </c>
      <c r="D44" s="434" t="s">
        <v>587</v>
      </c>
      <c r="E44" s="674">
        <v>320100</v>
      </c>
      <c r="F44" s="672" t="str">
        <f>IFERROR(VLOOKUP(E44,STAT1!$C$4:$D$1000,2,FALSE),"")</f>
        <v>Урьдчилж орсон орлого MNT</v>
      </c>
      <c r="G44" s="431">
        <v>308000</v>
      </c>
      <c r="H44" s="431"/>
      <c r="I44" s="596">
        <f t="shared" si="0"/>
        <v>0</v>
      </c>
      <c r="J44" s="81">
        <f t="shared" si="1"/>
        <v>0</v>
      </c>
      <c r="K44" s="81"/>
      <c r="L44" s="597">
        <v>3009</v>
      </c>
      <c r="M44" s="81" t="str">
        <f>+IFERROR(VLOOKUP(L44,DATA!$G$4:$H$2000,2,FALSE),"")</f>
        <v xml:space="preserve">СЭРҮҮН ХАРААТ ХХК </v>
      </c>
      <c r="N44" s="435"/>
      <c r="O44" s="81" t="str">
        <f>IFERROR(VLOOKUP(N44,DATA!$K$4:$L$51,2,FALSE),"")</f>
        <v/>
      </c>
      <c r="P44" s="81"/>
      <c r="Q44" s="152">
        <f t="shared" si="2"/>
        <v>0</v>
      </c>
    </row>
    <row r="45" spans="2:17">
      <c r="B45" s="670">
        <f t="shared" si="3"/>
        <v>40</v>
      </c>
      <c r="C45" s="433">
        <v>42744</v>
      </c>
      <c r="D45" s="434" t="s">
        <v>2685</v>
      </c>
      <c r="E45" s="673">
        <v>150101</v>
      </c>
      <c r="F45" s="672" t="str">
        <f>IFERROR(VLOOKUP(E45,STAT1!$C$4:$D$1000,2,FALSE),"")</f>
        <v>Бараа бэлэн бүтээгдэхүүн БОЛОВСРУУЛАХ ЦЕХ /нарс/</v>
      </c>
      <c r="G45" s="431"/>
      <c r="H45" s="431">
        <v>59625.687499999993</v>
      </c>
      <c r="I45" s="596">
        <f t="shared" si="0"/>
        <v>0</v>
      </c>
      <c r="J45" s="81">
        <f t="shared" si="1"/>
        <v>0</v>
      </c>
      <c r="K45" s="81"/>
      <c r="L45" s="597">
        <v>3012</v>
      </c>
      <c r="M45" s="81" t="str">
        <f>+IFERROR(VLOOKUP(L45,DATA!$G$4:$H$2000,2,FALSE),"")</f>
        <v xml:space="preserve">УБПК ХХК </v>
      </c>
      <c r="N45" s="435"/>
      <c r="O45" s="81" t="str">
        <f>IFERROR(VLOOKUP(N45,DATA!$K$4:$L$51,2,FALSE),"")</f>
        <v/>
      </c>
      <c r="P45" s="81"/>
      <c r="Q45" s="152">
        <f t="shared" si="2"/>
        <v>0</v>
      </c>
    </row>
    <row r="46" spans="2:17">
      <c r="B46" s="670">
        <f t="shared" si="3"/>
        <v>41</v>
      </c>
      <c r="C46" s="433">
        <v>42744</v>
      </c>
      <c r="D46" s="434"/>
      <c r="E46" s="674">
        <v>610100</v>
      </c>
      <c r="F46" s="672" t="str">
        <f>IFERROR(VLOOKUP(E46,STAT1!$C$4:$D$1000,2,FALSE),"")</f>
        <v>Борлуулсан барааны өртөг</v>
      </c>
      <c r="G46" s="431">
        <v>59625.687499999993</v>
      </c>
      <c r="H46" s="431"/>
      <c r="I46" s="596">
        <f t="shared" si="0"/>
        <v>0</v>
      </c>
      <c r="J46" s="81"/>
      <c r="K46" s="81"/>
      <c r="L46" s="597">
        <v>3012</v>
      </c>
      <c r="M46" s="81" t="str">
        <f>+IFERROR(VLOOKUP(L46,DATA!$G$4:$H$2000,2,FALSE),"")</f>
        <v xml:space="preserve">УБПК ХХК </v>
      </c>
      <c r="N46" s="435"/>
      <c r="O46" s="81"/>
      <c r="P46" s="81"/>
      <c r="Q46" s="152">
        <f t="shared" si="2"/>
        <v>0</v>
      </c>
    </row>
    <row r="47" spans="2:17">
      <c r="B47" s="670">
        <f t="shared" si="3"/>
        <v>42</v>
      </c>
      <c r="C47" s="433">
        <v>42744</v>
      </c>
      <c r="D47" s="434" t="s">
        <v>587</v>
      </c>
      <c r="E47" s="674">
        <v>310500</v>
      </c>
      <c r="F47" s="672" t="str">
        <f>IFERROR(VLOOKUP(E47,STAT1!$C$4:$D$1000,2,FALSE),"")</f>
        <v>НӨАТ өглөг</v>
      </c>
      <c r="G47" s="431"/>
      <c r="H47" s="431">
        <v>11250</v>
      </c>
      <c r="I47" s="596">
        <f t="shared" si="0"/>
        <v>0</v>
      </c>
      <c r="J47" s="81">
        <f>+IF(E47=110102,I47/K47,0)</f>
        <v>0</v>
      </c>
      <c r="K47" s="81"/>
      <c r="L47" s="597">
        <v>3012</v>
      </c>
      <c r="M47" s="81" t="str">
        <f>+IFERROR(VLOOKUP(L47,DATA!$G$4:$H$2000,2,FALSE),"")</f>
        <v xml:space="preserve">УБПК ХХК </v>
      </c>
      <c r="N47" s="435"/>
      <c r="O47" s="81" t="str">
        <f>IFERROR(VLOOKUP(N47,DATA!$K$4:$L$51,2,FALSE),"")</f>
        <v/>
      </c>
      <c r="P47" s="81"/>
      <c r="Q47" s="152">
        <f t="shared" si="2"/>
        <v>0</v>
      </c>
    </row>
    <row r="48" spans="2:17">
      <c r="B48" s="670">
        <f t="shared" si="3"/>
        <v>43</v>
      </c>
      <c r="C48" s="433">
        <v>42744</v>
      </c>
      <c r="D48" s="434" t="s">
        <v>587</v>
      </c>
      <c r="E48" s="674">
        <v>510000</v>
      </c>
      <c r="F48" s="672" t="str">
        <f>IFERROR(VLOOKUP(E48,STAT1!$C$4:$D$1000,2,FALSE),"")</f>
        <v>Үндсэн үйл ажиллагааны борлуулалт</v>
      </c>
      <c r="G48" s="431"/>
      <c r="H48" s="431">
        <v>112500</v>
      </c>
      <c r="I48" s="596">
        <f t="shared" si="0"/>
        <v>0</v>
      </c>
      <c r="J48" s="81">
        <f>+IF(E48=110102,I48/K48,0)</f>
        <v>0</v>
      </c>
      <c r="K48" s="81"/>
      <c r="L48" s="597">
        <v>3012</v>
      </c>
      <c r="M48" s="81" t="str">
        <f>+IFERROR(VLOOKUP(L48,DATA!$G$4:$H$2000,2,FALSE),"")</f>
        <v xml:space="preserve">УБПК ХХК </v>
      </c>
      <c r="N48" s="435"/>
      <c r="O48" s="81" t="str">
        <f>IFERROR(VLOOKUP(N48,DATA!$K$4:$L$51,2,FALSE),"")</f>
        <v/>
      </c>
      <c r="P48" s="81"/>
      <c r="Q48" s="152">
        <f t="shared" si="2"/>
        <v>0</v>
      </c>
    </row>
    <row r="49" spans="2:17">
      <c r="B49" s="670">
        <f t="shared" si="3"/>
        <v>44</v>
      </c>
      <c r="C49" s="433">
        <v>42744</v>
      </c>
      <c r="D49" s="434" t="s">
        <v>587</v>
      </c>
      <c r="E49" s="674">
        <v>320100</v>
      </c>
      <c r="F49" s="672" t="str">
        <f>IFERROR(VLOOKUP(E49,STAT1!$C$4:$D$1000,2,FALSE),"")</f>
        <v>Урьдчилж орсон орлого MNT</v>
      </c>
      <c r="G49" s="431">
        <v>123750</v>
      </c>
      <c r="H49" s="431"/>
      <c r="I49" s="596">
        <f t="shared" si="0"/>
        <v>0</v>
      </c>
      <c r="J49" s="81">
        <f>+IF(E49=110102,I49/K49,0)</f>
        <v>0</v>
      </c>
      <c r="K49" s="81"/>
      <c r="L49" s="597">
        <v>3012</v>
      </c>
      <c r="M49" s="81" t="str">
        <f>+IFERROR(VLOOKUP(L49,DATA!$G$4:$H$2000,2,FALSE),"")</f>
        <v xml:space="preserve">УБПК ХХК </v>
      </c>
      <c r="N49" s="435"/>
      <c r="O49" s="81" t="str">
        <f>IFERROR(VLOOKUP(N49,DATA!$K$4:$L$51,2,FALSE),"")</f>
        <v/>
      </c>
      <c r="P49" s="81"/>
      <c r="Q49" s="152">
        <f t="shared" si="2"/>
        <v>0</v>
      </c>
    </row>
    <row r="50" spans="2:17">
      <c r="B50" s="670">
        <f t="shared" si="3"/>
        <v>45</v>
      </c>
      <c r="C50" s="433">
        <v>42744</v>
      </c>
      <c r="D50" s="377" t="s">
        <v>1355</v>
      </c>
      <c r="E50" s="572">
        <v>100100</v>
      </c>
      <c r="F50" s="672" t="str">
        <f>IFERROR(VLOOKUP(E50,STAT1!$C$4:$D$1000,2,FALSE),"")</f>
        <v>Касс мөнгө MNT</v>
      </c>
      <c r="G50" s="597"/>
      <c r="H50" s="377">
        <v>84800</v>
      </c>
      <c r="I50" s="596">
        <f t="shared" si="0"/>
        <v>-84800</v>
      </c>
      <c r="J50" s="81">
        <f>+IF(E50=110102,I50/K50,0)</f>
        <v>0</v>
      </c>
      <c r="K50" s="81"/>
      <c r="L50" s="597">
        <v>1007</v>
      </c>
      <c r="M50" s="81" t="str">
        <f>+IFERROR(VLOOKUP(L50,DATA!$G$4:$H$2000,2,FALSE),"")</f>
        <v xml:space="preserve">Нэргүй </v>
      </c>
      <c r="N50" s="435">
        <v>55</v>
      </c>
      <c r="O50" s="81" t="str">
        <f>IFERROR(VLOOKUP(N50,DATA!$K$4:$L$51,2,FALSE),"")</f>
        <v>Түлш, шатахуун, тээврийн хөлс, сэлбэг хэрэгсэлд төлсөн</v>
      </c>
      <c r="P50" s="81"/>
      <c r="Q50" s="152">
        <f t="shared" si="2"/>
        <v>1</v>
      </c>
    </row>
    <row r="51" spans="2:17">
      <c r="B51" s="670">
        <f t="shared" si="3"/>
        <v>46</v>
      </c>
      <c r="C51" s="433">
        <v>42744</v>
      </c>
      <c r="D51" s="377" t="s">
        <v>1355</v>
      </c>
      <c r="E51" s="572">
        <v>120600</v>
      </c>
      <c r="F51" s="672" t="str">
        <f>IFERROR(VLOOKUP(E51,STAT1!$C$4:$D$1000,2,FALSE),"")</f>
        <v>НӨАТ авлага</v>
      </c>
      <c r="G51" s="377">
        <v>40436.36</v>
      </c>
      <c r="H51" s="377"/>
      <c r="I51" s="596">
        <f t="shared" si="0"/>
        <v>0</v>
      </c>
      <c r="J51" s="81"/>
      <c r="K51" s="81"/>
      <c r="L51" s="597">
        <v>1007</v>
      </c>
      <c r="M51" s="81" t="str">
        <f>+IFERROR(VLOOKUP(L51,DATA!$G$4:$H$2000,2,FALSE),"")</f>
        <v xml:space="preserve">Нэргүй </v>
      </c>
      <c r="N51" s="435"/>
      <c r="O51" s="81" t="str">
        <f>IFERROR(VLOOKUP(N51,DATA!$K$4:$L$51,2,FALSE),"")</f>
        <v/>
      </c>
      <c r="P51" s="81"/>
      <c r="Q51" s="152">
        <f t="shared" si="2"/>
        <v>0</v>
      </c>
    </row>
    <row r="52" spans="2:17">
      <c r="B52" s="670">
        <f t="shared" si="3"/>
        <v>47</v>
      </c>
      <c r="C52" s="433">
        <v>42744</v>
      </c>
      <c r="D52" s="377" t="s">
        <v>1355</v>
      </c>
      <c r="E52" s="572">
        <v>702000</v>
      </c>
      <c r="F52" s="672" t="str">
        <f>IFERROR(VLOOKUP(E52,STAT1!$C$4:$D$1000,2,FALSE),"")</f>
        <v>Түлш, шатахуун</v>
      </c>
      <c r="G52" s="377">
        <v>44363.64</v>
      </c>
      <c r="H52" s="377">
        <v>0</v>
      </c>
      <c r="I52" s="596">
        <f t="shared" si="0"/>
        <v>0</v>
      </c>
      <c r="J52" s="81">
        <f t="shared" ref="J52:J59" si="4">+IF(E52=110102,I52/K52,0)</f>
        <v>0</v>
      </c>
      <c r="K52" s="81"/>
      <c r="L52" s="597">
        <v>1007</v>
      </c>
      <c r="M52" s="81" t="str">
        <f>+IFERROR(VLOOKUP(L52,DATA!$G$4:$H$2000,2,FALSE),"")</f>
        <v xml:space="preserve">Нэргүй </v>
      </c>
      <c r="N52" s="435"/>
      <c r="O52" s="81" t="str">
        <f>IFERROR(VLOOKUP(N52,DATA!$K$4:$L$51,2,FALSE),"")</f>
        <v/>
      </c>
      <c r="P52" s="81"/>
      <c r="Q52" s="152">
        <f t="shared" si="2"/>
        <v>0</v>
      </c>
    </row>
    <row r="53" spans="2:17">
      <c r="B53" s="670">
        <f t="shared" si="3"/>
        <v>48</v>
      </c>
      <c r="C53" s="433">
        <v>42744</v>
      </c>
      <c r="D53" s="377" t="s">
        <v>1741</v>
      </c>
      <c r="E53" s="572">
        <v>320100</v>
      </c>
      <c r="F53" s="672" t="str">
        <f>IFERROR(VLOOKUP(E53,STAT1!$C$4:$D$1000,2,FALSE),"")</f>
        <v>Урьдчилж орсон орлого MNT</v>
      </c>
      <c r="G53" s="597"/>
      <c r="H53" s="377">
        <v>93080</v>
      </c>
      <c r="I53" s="596">
        <f t="shared" si="0"/>
        <v>0</v>
      </c>
      <c r="J53" s="81">
        <f t="shared" si="4"/>
        <v>0</v>
      </c>
      <c r="K53" s="81"/>
      <c r="L53" s="597">
        <v>4002</v>
      </c>
      <c r="M53" s="81" t="str">
        <f>+IFERROR(VLOOKUP(L53,DATA!$G$4:$H$2000,2,FALSE),"")</f>
        <v xml:space="preserve">Хувь хүн </v>
      </c>
      <c r="N53" s="435"/>
      <c r="O53" s="81" t="str">
        <f>IFERROR(VLOOKUP(N53,DATA!$K$4:$L$51,2,FALSE),"")</f>
        <v/>
      </c>
      <c r="P53" s="81"/>
      <c r="Q53" s="152">
        <f t="shared" si="2"/>
        <v>0</v>
      </c>
    </row>
    <row r="54" spans="2:17">
      <c r="B54" s="670">
        <f t="shared" si="3"/>
        <v>49</v>
      </c>
      <c r="C54" s="433">
        <v>42744</v>
      </c>
      <c r="D54" s="377" t="s">
        <v>1741</v>
      </c>
      <c r="E54" s="572">
        <v>100100</v>
      </c>
      <c r="F54" s="672" t="str">
        <f>IFERROR(VLOOKUP(E54,STAT1!$C$4:$D$1000,2,FALSE),"")</f>
        <v>Касс мөнгө MNT</v>
      </c>
      <c r="G54" s="377">
        <v>93080</v>
      </c>
      <c r="H54" s="377">
        <v>0</v>
      </c>
      <c r="I54" s="596">
        <f t="shared" si="0"/>
        <v>93080</v>
      </c>
      <c r="J54" s="81">
        <f t="shared" si="4"/>
        <v>0</v>
      </c>
      <c r="K54" s="81"/>
      <c r="L54" s="597">
        <v>4002</v>
      </c>
      <c r="M54" s="81" t="str">
        <f>+IFERROR(VLOOKUP(L54,DATA!$G$4:$H$2000,2,FALSE),"")</f>
        <v xml:space="preserve">Хувь хүн </v>
      </c>
      <c r="N54" s="435">
        <v>41</v>
      </c>
      <c r="O54" s="81" t="str">
        <f>IFERROR(VLOOKUP(N54,DATA!$K$4:$L$51,2,FALSE),"")</f>
        <v>Бараа борлуулсан, үйлчилгээ үзүүлсэний орлого</v>
      </c>
      <c r="P54" s="81"/>
      <c r="Q54" s="152">
        <f t="shared" si="2"/>
        <v>1</v>
      </c>
    </row>
    <row r="55" spans="2:17">
      <c r="B55" s="670">
        <f t="shared" si="3"/>
        <v>50</v>
      </c>
      <c r="C55" s="433">
        <v>42744</v>
      </c>
      <c r="D55" s="598" t="s">
        <v>1741</v>
      </c>
      <c r="E55" s="572">
        <v>110100</v>
      </c>
      <c r="F55" s="672" t="str">
        <f>IFERROR(VLOOKUP(E55,STAT1!$C$4:$D$1000,2,FALSE),"")</f>
        <v>Хаан Банк 5024654020</v>
      </c>
      <c r="G55" s="377">
        <v>123750</v>
      </c>
      <c r="H55" s="597"/>
      <c r="I55" s="596">
        <f t="shared" si="0"/>
        <v>123750</v>
      </c>
      <c r="J55" s="81">
        <f t="shared" si="4"/>
        <v>0</v>
      </c>
      <c r="K55" s="81"/>
      <c r="L55" s="597">
        <v>3012</v>
      </c>
      <c r="M55" s="81" t="str">
        <f>+IFERROR(VLOOKUP(L55,DATA!$G$4:$H$2000,2,FALSE),"")</f>
        <v xml:space="preserve">УБПК ХХК </v>
      </c>
      <c r="N55" s="435">
        <v>41</v>
      </c>
      <c r="O55" s="81" t="str">
        <f>IFERROR(VLOOKUP(N55,DATA!$K$4:$L$51,2,FALSE),"")</f>
        <v>Бараа борлуулсан, үйлчилгээ үзүүлсэний орлого</v>
      </c>
      <c r="P55" s="81"/>
      <c r="Q55" s="152">
        <f t="shared" si="2"/>
        <v>1</v>
      </c>
    </row>
    <row r="56" spans="2:17">
      <c r="B56" s="670">
        <f t="shared" si="3"/>
        <v>51</v>
      </c>
      <c r="C56" s="433">
        <v>42744</v>
      </c>
      <c r="D56" s="598" t="s">
        <v>1741</v>
      </c>
      <c r="E56" s="572">
        <v>320100</v>
      </c>
      <c r="F56" s="672" t="str">
        <f>IFERROR(VLOOKUP(E56,STAT1!$C$4:$D$1000,2,FALSE),"")</f>
        <v>Урьдчилж орсон орлого MNT</v>
      </c>
      <c r="G56" s="377">
        <v>0</v>
      </c>
      <c r="H56" s="377">
        <v>123750</v>
      </c>
      <c r="I56" s="596">
        <f t="shared" si="0"/>
        <v>0</v>
      </c>
      <c r="J56" s="81">
        <f t="shared" si="4"/>
        <v>0</v>
      </c>
      <c r="K56" s="81"/>
      <c r="L56" s="597">
        <v>3012</v>
      </c>
      <c r="M56" s="81" t="str">
        <f>+IFERROR(VLOOKUP(L56,DATA!$G$4:$H$2000,2,FALSE),"")</f>
        <v xml:space="preserve">УБПК ХХК </v>
      </c>
      <c r="N56" s="435"/>
      <c r="O56" s="81" t="str">
        <f>IFERROR(VLOOKUP(N56,DATA!$K$4:$L$51,2,FALSE),"")</f>
        <v/>
      </c>
      <c r="P56" s="81"/>
      <c r="Q56" s="152">
        <f t="shared" si="2"/>
        <v>0</v>
      </c>
    </row>
    <row r="57" spans="2:17">
      <c r="B57" s="670">
        <f t="shared" si="3"/>
        <v>52</v>
      </c>
      <c r="C57" s="433">
        <v>42745</v>
      </c>
      <c r="D57" s="377" t="s">
        <v>1697</v>
      </c>
      <c r="E57" s="572">
        <v>100100</v>
      </c>
      <c r="F57" s="672" t="str">
        <f>IFERROR(VLOOKUP(E57,STAT1!$C$4:$D$1000,2,FALSE),"")</f>
        <v>Касс мөнгө MNT</v>
      </c>
      <c r="G57" s="377"/>
      <c r="H57" s="377">
        <v>2000</v>
      </c>
      <c r="I57" s="596">
        <f t="shared" si="0"/>
        <v>-2000</v>
      </c>
      <c r="J57" s="81">
        <f t="shared" si="4"/>
        <v>0</v>
      </c>
      <c r="K57" s="81"/>
      <c r="L57" s="597">
        <v>1005</v>
      </c>
      <c r="M57" s="81" t="str">
        <f>+IFERROR(VLOOKUP(L57,DATA!$G$4:$H$2000,2,FALSE),"")</f>
        <v>Золжаргал</v>
      </c>
      <c r="N57" s="435">
        <v>53</v>
      </c>
      <c r="O57" s="81" t="str">
        <f>IFERROR(VLOOKUP(N57,DATA!$K$4:$L$51,2,FALSE),"")</f>
        <v>Бараа материал худалдан авахад төлсөн</v>
      </c>
      <c r="P57" s="81"/>
      <c r="Q57" s="152">
        <f t="shared" si="2"/>
        <v>1</v>
      </c>
    </row>
    <row r="58" spans="2:17">
      <c r="B58" s="670">
        <f t="shared" si="3"/>
        <v>53</v>
      </c>
      <c r="C58" s="433">
        <v>42745</v>
      </c>
      <c r="D58" s="377" t="s">
        <v>1697</v>
      </c>
      <c r="E58" s="572">
        <v>703700</v>
      </c>
      <c r="F58" s="672" t="str">
        <f>IFERROR(VLOOKUP(E58,STAT1!$C$4:$D$1000,2,FALSE),"")</f>
        <v>Бичиг хэргийн зардал</v>
      </c>
      <c r="G58" s="377">
        <v>2000</v>
      </c>
      <c r="H58" s="377">
        <v>0</v>
      </c>
      <c r="I58" s="596">
        <f t="shared" si="0"/>
        <v>0</v>
      </c>
      <c r="J58" s="81">
        <f t="shared" si="4"/>
        <v>0</v>
      </c>
      <c r="K58" s="81"/>
      <c r="L58" s="597">
        <v>1005</v>
      </c>
      <c r="M58" s="81" t="str">
        <f>+IFERROR(VLOOKUP(L58,DATA!$G$4:$H$2000,2,FALSE),"")</f>
        <v>Золжаргал</v>
      </c>
      <c r="N58" s="435"/>
      <c r="O58" s="81" t="str">
        <f>IFERROR(VLOOKUP(N58,DATA!$K$4:$L$51,2,FALSE),"")</f>
        <v/>
      </c>
      <c r="P58" s="81"/>
      <c r="Q58" s="152">
        <f t="shared" si="2"/>
        <v>0</v>
      </c>
    </row>
    <row r="59" spans="2:17">
      <c r="B59" s="670">
        <f t="shared" si="3"/>
        <v>54</v>
      </c>
      <c r="C59" s="433">
        <v>42747</v>
      </c>
      <c r="D59" s="434" t="s">
        <v>2685</v>
      </c>
      <c r="E59" s="673">
        <v>150101</v>
      </c>
      <c r="F59" s="672" t="str">
        <f>IFERROR(VLOOKUP(E59,STAT1!$C$4:$D$1000,2,FALSE),"")</f>
        <v>Бараа бэлэн бүтээгдэхүүн БОЛОВСРУУЛАХ ЦЕХ /нарс/</v>
      </c>
      <c r="G59" s="431"/>
      <c r="H59" s="431">
        <v>30146.747599999999</v>
      </c>
      <c r="I59" s="596">
        <f t="shared" si="0"/>
        <v>0</v>
      </c>
      <c r="J59" s="81">
        <f t="shared" si="4"/>
        <v>0</v>
      </c>
      <c r="K59" s="81"/>
      <c r="L59" s="597">
        <v>3005</v>
      </c>
      <c r="M59" s="81" t="str">
        <f>+IFERROR(VLOOKUP(L59,DATA!$G$4:$H$2000,2,FALSE),"")</f>
        <v xml:space="preserve">ОРГИЛ ХҮНС ХХК </v>
      </c>
      <c r="N59" s="435"/>
      <c r="O59" s="81" t="str">
        <f>IFERROR(VLOOKUP(N59,DATA!$K$4:$L$51,2,FALSE),"")</f>
        <v/>
      </c>
      <c r="P59" s="81"/>
      <c r="Q59" s="152">
        <f t="shared" si="2"/>
        <v>0</v>
      </c>
    </row>
    <row r="60" spans="2:17">
      <c r="B60" s="670">
        <f t="shared" si="3"/>
        <v>55</v>
      </c>
      <c r="C60" s="433">
        <v>42747</v>
      </c>
      <c r="D60" s="434"/>
      <c r="E60" s="674">
        <v>610100</v>
      </c>
      <c r="F60" s="672" t="str">
        <f>IFERROR(VLOOKUP(E60,STAT1!$C$4:$D$1000,2,FALSE),"")</f>
        <v>Борлуулсан барааны өртөг</v>
      </c>
      <c r="G60" s="431">
        <v>30146.747599999999</v>
      </c>
      <c r="H60" s="431"/>
      <c r="I60" s="596">
        <f t="shared" si="0"/>
        <v>0</v>
      </c>
      <c r="J60" s="81"/>
      <c r="K60" s="81"/>
      <c r="L60" s="597">
        <v>3005</v>
      </c>
      <c r="M60" s="81" t="str">
        <f>+IFERROR(VLOOKUP(L60,DATA!$G$4:$H$2000,2,FALSE),"")</f>
        <v xml:space="preserve">ОРГИЛ ХҮНС ХХК </v>
      </c>
      <c r="N60" s="435"/>
      <c r="O60" s="81"/>
      <c r="P60" s="81"/>
      <c r="Q60" s="152">
        <f t="shared" si="2"/>
        <v>0</v>
      </c>
    </row>
    <row r="61" spans="2:17">
      <c r="B61" s="670">
        <f t="shared" si="3"/>
        <v>56</v>
      </c>
      <c r="C61" s="433">
        <v>42747</v>
      </c>
      <c r="D61" s="434" t="s">
        <v>587</v>
      </c>
      <c r="E61" s="675">
        <v>310500</v>
      </c>
      <c r="F61" s="672" t="str">
        <f>IFERROR(VLOOKUP(E61,STAT1!$C$4:$D$1000,2,FALSE),"")</f>
        <v>НӨАТ өглөг</v>
      </c>
      <c r="G61" s="431"/>
      <c r="H61" s="431">
        <v>5700.0001000000002</v>
      </c>
      <c r="I61" s="596">
        <f t="shared" si="0"/>
        <v>0</v>
      </c>
      <c r="J61" s="81">
        <f>+IF(E61=110102,I61/K61,0)</f>
        <v>0</v>
      </c>
      <c r="K61" s="81"/>
      <c r="L61" s="597">
        <v>3005</v>
      </c>
      <c r="M61" s="81" t="str">
        <f>+IFERROR(VLOOKUP(L61,DATA!$G$4:$H$2000,2,FALSE),"")</f>
        <v xml:space="preserve">ОРГИЛ ХҮНС ХХК </v>
      </c>
      <c r="N61" s="435"/>
      <c r="O61" s="81" t="str">
        <f>IFERROR(VLOOKUP(N61,DATA!$K$4:$L$51,2,FALSE),"")</f>
        <v/>
      </c>
      <c r="P61" s="81"/>
      <c r="Q61" s="152">
        <f t="shared" si="2"/>
        <v>0</v>
      </c>
    </row>
    <row r="62" spans="2:17">
      <c r="B62" s="670">
        <f t="shared" si="3"/>
        <v>57</v>
      </c>
      <c r="C62" s="433">
        <v>42747</v>
      </c>
      <c r="D62" s="434" t="s">
        <v>587</v>
      </c>
      <c r="E62" s="675">
        <v>510000</v>
      </c>
      <c r="F62" s="672" t="str">
        <f>IFERROR(VLOOKUP(E62,STAT1!$C$4:$D$1000,2,FALSE),"")</f>
        <v>Үндсэн үйл ажиллагааны борлуулалт</v>
      </c>
      <c r="G62" s="431"/>
      <c r="H62" s="431">
        <v>57000</v>
      </c>
      <c r="I62" s="596">
        <f t="shared" si="0"/>
        <v>0</v>
      </c>
      <c r="J62" s="81">
        <f>+IF(E62=110102,I62/K62,0)</f>
        <v>0</v>
      </c>
      <c r="K62" s="81"/>
      <c r="L62" s="597">
        <v>3005</v>
      </c>
      <c r="M62" s="81" t="str">
        <f>+IFERROR(VLOOKUP(L62,DATA!$G$4:$H$2000,2,FALSE),"")</f>
        <v xml:space="preserve">ОРГИЛ ХҮНС ХХК </v>
      </c>
      <c r="N62" s="435"/>
      <c r="O62" s="81" t="str">
        <f>IFERROR(VLOOKUP(N62,DATA!$K$4:$L$51,2,FALSE),"")</f>
        <v/>
      </c>
      <c r="P62" s="81"/>
      <c r="Q62" s="152">
        <f t="shared" si="2"/>
        <v>0</v>
      </c>
    </row>
    <row r="63" spans="2:17">
      <c r="B63" s="670">
        <f t="shared" si="3"/>
        <v>58</v>
      </c>
      <c r="C63" s="433">
        <v>42747</v>
      </c>
      <c r="D63" s="434" t="s">
        <v>587</v>
      </c>
      <c r="E63" s="675">
        <v>320100</v>
      </c>
      <c r="F63" s="672" t="str">
        <f>IFERROR(VLOOKUP(E63,STAT1!$C$4:$D$1000,2,FALSE),"")</f>
        <v>Урьдчилж орсон орлого MNT</v>
      </c>
      <c r="G63" s="431">
        <v>62700.001099999994</v>
      </c>
      <c r="H63" s="431"/>
      <c r="I63" s="596">
        <f t="shared" si="0"/>
        <v>0</v>
      </c>
      <c r="J63" s="81">
        <f>+IF(E63=110102,I63/K63,0)</f>
        <v>0</v>
      </c>
      <c r="K63" s="81"/>
      <c r="L63" s="597">
        <v>3005</v>
      </c>
      <c r="M63" s="81" t="str">
        <f>+IFERROR(VLOOKUP(L63,DATA!$G$4:$H$2000,2,FALSE),"")</f>
        <v xml:space="preserve">ОРГИЛ ХҮНС ХХК </v>
      </c>
      <c r="N63" s="435"/>
      <c r="O63" s="81" t="str">
        <f>IFERROR(VLOOKUP(N63,DATA!$K$4:$L$51,2,FALSE),"")</f>
        <v/>
      </c>
      <c r="P63" s="81"/>
      <c r="Q63" s="152">
        <f t="shared" si="2"/>
        <v>0</v>
      </c>
    </row>
    <row r="64" spans="2:17">
      <c r="B64" s="670">
        <f t="shared" si="3"/>
        <v>59</v>
      </c>
      <c r="C64" s="433">
        <v>42748</v>
      </c>
      <c r="D64" s="434" t="s">
        <v>2685</v>
      </c>
      <c r="E64" s="676">
        <v>150101</v>
      </c>
      <c r="F64" s="672" t="str">
        <f>IFERROR(VLOOKUP(E64,STAT1!$C$4:$D$1000,2,FALSE),"")</f>
        <v>Бараа бэлэн бүтээгдэхүүн БОЛОВСРУУЛАХ ЦЕХ /нарс/</v>
      </c>
      <c r="G64" s="431"/>
      <c r="H64" s="431">
        <v>78515.105299999996</v>
      </c>
      <c r="I64" s="596">
        <f t="shared" si="0"/>
        <v>0</v>
      </c>
      <c r="J64" s="81">
        <f>+IF(E64=110102,I64/K64,0)</f>
        <v>0</v>
      </c>
      <c r="K64" s="81"/>
      <c r="L64" s="597">
        <v>3010</v>
      </c>
      <c r="M64" s="81" t="str">
        <f>+IFERROR(VLOOKUP(L64,DATA!$G$4:$H$2000,2,FALSE),"")</f>
        <v xml:space="preserve">РЕНДЕР ХХК </v>
      </c>
      <c r="N64" s="435"/>
      <c r="O64" s="81" t="str">
        <f>IFERROR(VLOOKUP(N64,DATA!$K$4:$L$51,2,FALSE),"")</f>
        <v/>
      </c>
      <c r="P64" s="81"/>
      <c r="Q64" s="152">
        <f t="shared" si="2"/>
        <v>0</v>
      </c>
    </row>
    <row r="65" spans="2:17">
      <c r="B65" s="670">
        <f t="shared" si="3"/>
        <v>60</v>
      </c>
      <c r="C65" s="433">
        <v>42748</v>
      </c>
      <c r="D65" s="434"/>
      <c r="E65" s="675">
        <v>610100</v>
      </c>
      <c r="F65" s="672" t="str">
        <f>IFERROR(VLOOKUP(E65,STAT1!$C$4:$D$1000,2,FALSE),"")</f>
        <v>Борлуулсан барааны өртөг</v>
      </c>
      <c r="G65" s="431">
        <v>78515.105299999996</v>
      </c>
      <c r="H65" s="431"/>
      <c r="I65" s="596">
        <f t="shared" si="0"/>
        <v>0</v>
      </c>
      <c r="J65" s="81"/>
      <c r="K65" s="81"/>
      <c r="L65" s="597">
        <v>3010</v>
      </c>
      <c r="M65" s="81" t="str">
        <f>+IFERROR(VLOOKUP(L65,DATA!$G$4:$H$2000,2,FALSE),"")</f>
        <v xml:space="preserve">РЕНДЕР ХХК </v>
      </c>
      <c r="N65" s="435"/>
      <c r="O65" s="81"/>
      <c r="P65" s="81"/>
      <c r="Q65" s="152">
        <f t="shared" si="2"/>
        <v>0</v>
      </c>
    </row>
    <row r="66" spans="2:17">
      <c r="B66" s="670">
        <f t="shared" si="3"/>
        <v>61</v>
      </c>
      <c r="C66" s="433">
        <v>42748</v>
      </c>
      <c r="D66" s="434" t="s">
        <v>587</v>
      </c>
      <c r="E66" s="675">
        <v>310500</v>
      </c>
      <c r="F66" s="672" t="str">
        <f>IFERROR(VLOOKUP(E66,STAT1!$C$4:$D$1000,2,FALSE),"")</f>
        <v>НӨАТ өглөг</v>
      </c>
      <c r="G66" s="431"/>
      <c r="H66" s="431">
        <v>14820</v>
      </c>
      <c r="I66" s="596">
        <f t="shared" si="0"/>
        <v>0</v>
      </c>
      <c r="J66" s="81">
        <f>+IF(E66=110102,I66/K66,0)</f>
        <v>0</v>
      </c>
      <c r="K66" s="81"/>
      <c r="L66" s="597">
        <v>3010</v>
      </c>
      <c r="M66" s="81" t="str">
        <f>+IFERROR(VLOOKUP(L66,DATA!$G$4:$H$2000,2,FALSE),"")</f>
        <v xml:space="preserve">РЕНДЕР ХХК </v>
      </c>
      <c r="N66" s="435"/>
      <c r="O66" s="81" t="str">
        <f>IFERROR(VLOOKUP(N66,DATA!$K$4:$L$51,2,FALSE),"")</f>
        <v/>
      </c>
      <c r="P66" s="81"/>
      <c r="Q66" s="152">
        <f t="shared" si="2"/>
        <v>0</v>
      </c>
    </row>
    <row r="67" spans="2:17">
      <c r="B67" s="670">
        <f t="shared" si="3"/>
        <v>62</v>
      </c>
      <c r="C67" s="433">
        <v>42748</v>
      </c>
      <c r="D67" s="434" t="s">
        <v>587</v>
      </c>
      <c r="E67" s="677">
        <v>510000</v>
      </c>
      <c r="F67" s="672" t="str">
        <f>IFERROR(VLOOKUP(E67,STAT1!$C$4:$D$1000,2,FALSE),"")</f>
        <v>Үндсэн үйл ажиллагааны борлуулалт</v>
      </c>
      <c r="G67" s="431"/>
      <c r="H67" s="431">
        <v>148200</v>
      </c>
      <c r="I67" s="596">
        <f t="shared" si="0"/>
        <v>0</v>
      </c>
      <c r="J67" s="81">
        <f>+IF(E67=110102,I67/K67,0)</f>
        <v>0</v>
      </c>
      <c r="K67" s="81"/>
      <c r="L67" s="597">
        <v>3010</v>
      </c>
      <c r="M67" s="81" t="str">
        <f>+IFERROR(VLOOKUP(L67,DATA!$G$4:$H$2000,2,FALSE),"")</f>
        <v xml:space="preserve">РЕНДЕР ХХК </v>
      </c>
      <c r="N67" s="435"/>
      <c r="O67" s="81" t="str">
        <f>IFERROR(VLOOKUP(N67,DATA!$K$4:$L$51,2,FALSE),"")</f>
        <v/>
      </c>
      <c r="P67" s="81"/>
      <c r="Q67" s="152">
        <f t="shared" si="2"/>
        <v>0</v>
      </c>
    </row>
    <row r="68" spans="2:17">
      <c r="B68" s="670">
        <f t="shared" si="3"/>
        <v>63</v>
      </c>
      <c r="C68" s="433">
        <v>42748</v>
      </c>
      <c r="D68" s="434" t="s">
        <v>587</v>
      </c>
      <c r="E68" s="677">
        <v>320100</v>
      </c>
      <c r="F68" s="672" t="str">
        <f>IFERROR(VLOOKUP(E68,STAT1!$C$4:$D$1000,2,FALSE),"")</f>
        <v>Урьдчилж орсон орлого MNT</v>
      </c>
      <c r="G68" s="431">
        <v>163020</v>
      </c>
      <c r="H68" s="431"/>
      <c r="I68" s="596">
        <f t="shared" si="0"/>
        <v>0</v>
      </c>
      <c r="J68" s="81">
        <f>+IF(E68=110102,I68/K68,0)</f>
        <v>0</v>
      </c>
      <c r="K68" s="81"/>
      <c r="L68" s="597">
        <v>3010</v>
      </c>
      <c r="M68" s="81" t="str">
        <f>+IFERROR(VLOOKUP(L68,DATA!$G$4:$H$2000,2,FALSE),"")</f>
        <v xml:space="preserve">РЕНДЕР ХХК </v>
      </c>
      <c r="N68" s="435"/>
      <c r="O68" s="81" t="str">
        <f>IFERROR(VLOOKUP(N68,DATA!$K$4:$L$51,2,FALSE),"")</f>
        <v/>
      </c>
      <c r="P68" s="81"/>
      <c r="Q68" s="152">
        <f t="shared" si="2"/>
        <v>0</v>
      </c>
    </row>
    <row r="69" spans="2:17">
      <c r="B69" s="670">
        <f t="shared" si="3"/>
        <v>64</v>
      </c>
      <c r="C69" s="433">
        <v>42749</v>
      </c>
      <c r="D69" s="434" t="s">
        <v>2678</v>
      </c>
      <c r="E69" s="678">
        <v>150101</v>
      </c>
      <c r="F69" s="672" t="str">
        <f>IFERROR(VLOOKUP(E69,STAT1!$C$4:$D$1000,2,FALSE),"")</f>
        <v>Бараа бэлэн бүтээгдэхүүн БОЛОВСРУУЛАХ ЦЕХ /нарс/</v>
      </c>
      <c r="G69" s="431"/>
      <c r="H69" s="431">
        <v>265518.02287459094</v>
      </c>
      <c r="I69" s="596">
        <f t="shared" si="0"/>
        <v>0</v>
      </c>
      <c r="J69" s="81">
        <f>+IF(E69=110102,I69/K69,0)</f>
        <v>0</v>
      </c>
      <c r="K69" s="81"/>
      <c r="L69" s="597">
        <v>3001</v>
      </c>
      <c r="M69" s="81" t="str">
        <f>+IFERROR(VLOOKUP(L69,DATA!$G$4:$H$2000,2,FALSE),"")</f>
        <v>ХУРД ГРУПП ХХК</v>
      </c>
      <c r="N69" s="435"/>
      <c r="O69" s="81" t="str">
        <f>IFERROR(VLOOKUP(N69,DATA!$K$4:$L$51,2,FALSE),"")</f>
        <v/>
      </c>
      <c r="P69" s="81"/>
      <c r="Q69" s="152">
        <f t="shared" si="2"/>
        <v>0</v>
      </c>
    </row>
    <row r="70" spans="2:17">
      <c r="B70" s="670">
        <f t="shared" si="3"/>
        <v>65</v>
      </c>
      <c r="C70" s="433">
        <v>42749</v>
      </c>
      <c r="D70" s="434" t="s">
        <v>587</v>
      </c>
      <c r="E70" s="677">
        <v>610100</v>
      </c>
      <c r="F70" s="672" t="str">
        <f>IFERROR(VLOOKUP(E70,STAT1!$C$4:$D$1000,2,FALSE),"")</f>
        <v>Борлуулсан барааны өртөг</v>
      </c>
      <c r="G70" s="431">
        <v>265518.02287459094</v>
      </c>
      <c r="H70" s="431"/>
      <c r="I70" s="596">
        <f t="shared" ref="I70:I133" si="5">+IF(OR(E70=100100,E70=100200,E70=110100,E70=110102,E70=110103,E70=110104,E70=110105,E70=110200,E70=110201,E70=110202,E70=110203,E70=110204,E70=110300),G70,0)+IF(OR(E70=100100,E70=100200,E70=110100,E70=110102,E70=110103,E70=110104,E70=110105,E70=110200,E70=110201,E70=110202,E70=110203,E70=110204,E70=110300),H70*-1,0)</f>
        <v>0</v>
      </c>
      <c r="J70" s="81">
        <f>+IF(E70=110102,I70/K70,0)</f>
        <v>0</v>
      </c>
      <c r="K70" s="81"/>
      <c r="L70" s="597">
        <v>3001</v>
      </c>
      <c r="M70" s="81" t="str">
        <f>+IFERROR(VLOOKUP(L70,DATA!$G$4:$H$2000,2,FALSE),"")</f>
        <v>ХУРД ГРУПП ХХК</v>
      </c>
      <c r="N70" s="435"/>
      <c r="O70" s="81" t="str">
        <f>IFERROR(VLOOKUP(N70,DATA!$K$4:$L$51,2,FALSE),"")</f>
        <v/>
      </c>
      <c r="P70" s="81"/>
      <c r="Q70" s="152">
        <f t="shared" si="2"/>
        <v>0</v>
      </c>
    </row>
    <row r="71" spans="2:17">
      <c r="B71" s="670">
        <f t="shared" si="3"/>
        <v>66</v>
      </c>
      <c r="C71" s="433">
        <v>42749</v>
      </c>
      <c r="D71" s="434"/>
      <c r="E71" s="677">
        <v>310500</v>
      </c>
      <c r="F71" s="672" t="str">
        <f>IFERROR(VLOOKUP(E71,STAT1!$C$4:$D$1000,2,FALSE),"")</f>
        <v>НӨАТ өглөг</v>
      </c>
      <c r="G71" s="431"/>
      <c r="H71" s="431">
        <v>44545.453984140011</v>
      </c>
      <c r="I71" s="596">
        <f t="shared" si="5"/>
        <v>0</v>
      </c>
      <c r="J71" s="81"/>
      <c r="K71" s="81"/>
      <c r="L71" s="597">
        <v>3001</v>
      </c>
      <c r="M71" s="81" t="str">
        <f>+IFERROR(VLOOKUP(L71,DATA!$G$4:$H$2000,2,FALSE),"")</f>
        <v>ХУРД ГРУПП ХХК</v>
      </c>
      <c r="N71" s="435"/>
      <c r="O71" s="81"/>
      <c r="P71" s="81"/>
      <c r="Q71" s="152">
        <f t="shared" ref="Q71:Q134" si="6">+IF(I71,1,0)</f>
        <v>0</v>
      </c>
    </row>
    <row r="72" spans="2:17">
      <c r="B72" s="670">
        <f t="shared" si="3"/>
        <v>67</v>
      </c>
      <c r="C72" s="433">
        <v>42749</v>
      </c>
      <c r="D72" s="434" t="s">
        <v>587</v>
      </c>
      <c r="E72" s="677">
        <v>510000</v>
      </c>
      <c r="F72" s="672" t="str">
        <f>IFERROR(VLOOKUP(E72,STAT1!$C$4:$D$1000,2,FALSE),"")</f>
        <v>Үндсэн үйл ажиллагааны борлуулалт</v>
      </c>
      <c r="G72" s="431"/>
      <c r="H72" s="431">
        <v>445454.53984140005</v>
      </c>
      <c r="I72" s="596">
        <f t="shared" si="5"/>
        <v>0</v>
      </c>
      <c r="J72" s="81">
        <f t="shared" ref="J72:J105" si="7">+IF(E72=110102,I72/K72,0)</f>
        <v>0</v>
      </c>
      <c r="K72" s="81"/>
      <c r="L72" s="597">
        <v>3001</v>
      </c>
      <c r="M72" s="81" t="str">
        <f>+IFERROR(VLOOKUP(L72,DATA!$G$4:$H$2000,2,FALSE),"")</f>
        <v>ХУРД ГРУПП ХХК</v>
      </c>
      <c r="N72" s="435"/>
      <c r="O72" s="81" t="str">
        <f>IFERROR(VLOOKUP(N72,DATA!$K$4:$L$51,2,FALSE),"")</f>
        <v/>
      </c>
      <c r="P72" s="81"/>
      <c r="Q72" s="152">
        <f t="shared" si="6"/>
        <v>0</v>
      </c>
    </row>
    <row r="73" spans="2:17">
      <c r="B73" s="670">
        <f t="shared" si="3"/>
        <v>68</v>
      </c>
      <c r="C73" s="433">
        <v>42749</v>
      </c>
      <c r="D73" s="434" t="s">
        <v>587</v>
      </c>
      <c r="E73" s="677">
        <v>320100</v>
      </c>
      <c r="F73" s="672" t="str">
        <f>IFERROR(VLOOKUP(E73,STAT1!$C$4:$D$1000,2,FALSE),"")</f>
        <v>Урьдчилж орсон орлого MNT</v>
      </c>
      <c r="G73" s="431">
        <v>489999.99382554006</v>
      </c>
      <c r="H73" s="431"/>
      <c r="I73" s="596">
        <f t="shared" si="5"/>
        <v>0</v>
      </c>
      <c r="J73" s="81">
        <f t="shared" si="7"/>
        <v>0</v>
      </c>
      <c r="K73" s="81"/>
      <c r="L73" s="597">
        <v>3001</v>
      </c>
      <c r="M73" s="81" t="str">
        <f>+IFERROR(VLOOKUP(L73,DATA!$G$4:$H$2000,2,FALSE),"")</f>
        <v>ХУРД ГРУПП ХХК</v>
      </c>
      <c r="N73" s="435"/>
      <c r="O73" s="81" t="str">
        <f>IFERROR(VLOOKUP(N73,DATA!$K$4:$L$51,2,FALSE),"")</f>
        <v/>
      </c>
      <c r="P73" s="81"/>
      <c r="Q73" s="152">
        <f t="shared" si="6"/>
        <v>0</v>
      </c>
    </row>
    <row r="74" spans="2:17">
      <c r="B74" s="670">
        <f t="shared" si="3"/>
        <v>69</v>
      </c>
      <c r="C74" s="433">
        <v>42750</v>
      </c>
      <c r="D74" s="434" t="s">
        <v>2686</v>
      </c>
      <c r="E74" s="678">
        <v>150101</v>
      </c>
      <c r="F74" s="672" t="str">
        <f>IFERROR(VLOOKUP(E74,STAT1!$C$4:$D$1000,2,FALSE),"")</f>
        <v>Бараа бэлэн бүтээгдэхүүн БОЛОВСРУУЛАХ ЦЕХ /нарс/</v>
      </c>
      <c r="G74" s="431"/>
      <c r="H74" s="431">
        <v>14772150.491079995</v>
      </c>
      <c r="I74" s="596">
        <f t="shared" si="5"/>
        <v>0</v>
      </c>
      <c r="J74" s="81">
        <f t="shared" si="7"/>
        <v>0</v>
      </c>
      <c r="K74" s="81"/>
      <c r="L74" s="597">
        <v>3002</v>
      </c>
      <c r="M74" s="81" t="str">
        <f>+IFERROR(VLOOKUP(L74,DATA!$G$4:$H$2000,2,FALSE),"")</f>
        <v>ЭКО КОНСТРАКШН ХХК</v>
      </c>
      <c r="N74" s="435"/>
      <c r="O74" s="81" t="str">
        <f>IFERROR(VLOOKUP(N74,DATA!$K$4:$L$51,2,FALSE),"")</f>
        <v/>
      </c>
      <c r="P74" s="81"/>
      <c r="Q74" s="152">
        <f t="shared" si="6"/>
        <v>0</v>
      </c>
    </row>
    <row r="75" spans="2:17">
      <c r="B75" s="670">
        <f t="shared" ref="B75:B138" si="8">+IF(C75="","",ROW()-5)</f>
        <v>70</v>
      </c>
      <c r="C75" s="433">
        <v>42750</v>
      </c>
      <c r="D75" s="434"/>
      <c r="E75" s="677">
        <v>610100</v>
      </c>
      <c r="F75" s="672" t="str">
        <f>IFERROR(VLOOKUP(E75,STAT1!$C$4:$D$1000,2,FALSE),"")</f>
        <v>Борлуулсан барааны өртөг</v>
      </c>
      <c r="G75" s="431">
        <v>14772150.491079995</v>
      </c>
      <c r="H75" s="431"/>
      <c r="I75" s="596">
        <f t="shared" si="5"/>
        <v>0</v>
      </c>
      <c r="J75" s="81">
        <f t="shared" si="7"/>
        <v>0</v>
      </c>
      <c r="K75" s="81"/>
      <c r="L75" s="597">
        <v>3002</v>
      </c>
      <c r="M75" s="81" t="str">
        <f>+IFERROR(VLOOKUP(L75,DATA!$G$4:$H$2000,2,FALSE),"")</f>
        <v>ЭКО КОНСТРАКШН ХХК</v>
      </c>
      <c r="N75" s="435"/>
      <c r="O75" s="81"/>
      <c r="P75" s="81"/>
      <c r="Q75" s="152">
        <f t="shared" si="6"/>
        <v>0</v>
      </c>
    </row>
    <row r="76" spans="2:17">
      <c r="B76" s="670">
        <f t="shared" si="8"/>
        <v>71</v>
      </c>
      <c r="C76" s="433">
        <v>42750</v>
      </c>
      <c r="D76" s="434" t="s">
        <v>587</v>
      </c>
      <c r="E76" s="677">
        <v>310500</v>
      </c>
      <c r="F76" s="672" t="str">
        <f>IFERROR(VLOOKUP(E76,STAT1!$C$4:$D$1000,2,FALSE),"")</f>
        <v>НӨАТ өглөг</v>
      </c>
      <c r="G76" s="431"/>
      <c r="H76" s="431">
        <v>2157556.7939439998</v>
      </c>
      <c r="I76" s="596">
        <f t="shared" si="5"/>
        <v>0</v>
      </c>
      <c r="J76" s="81">
        <f t="shared" si="7"/>
        <v>0</v>
      </c>
      <c r="K76" s="81"/>
      <c r="L76" s="597">
        <v>3002</v>
      </c>
      <c r="M76" s="81" t="str">
        <f>+IFERROR(VLOOKUP(L76,DATA!$G$4:$H$2000,2,FALSE),"")</f>
        <v>ЭКО КОНСТРАКШН ХХК</v>
      </c>
      <c r="N76" s="435"/>
      <c r="O76" s="81" t="str">
        <f>IFERROR(VLOOKUP(N76,DATA!$K$4:$L$51,2,FALSE),"")</f>
        <v/>
      </c>
      <c r="P76" s="81"/>
      <c r="Q76" s="152">
        <f t="shared" si="6"/>
        <v>0</v>
      </c>
    </row>
    <row r="77" spans="2:17">
      <c r="B77" s="670">
        <f t="shared" si="8"/>
        <v>72</v>
      </c>
      <c r="C77" s="433">
        <v>42750</v>
      </c>
      <c r="D77" s="434" t="s">
        <v>587</v>
      </c>
      <c r="E77" s="675">
        <v>510000</v>
      </c>
      <c r="F77" s="672" t="str">
        <f>IFERROR(VLOOKUP(E77,STAT1!$C$4:$D$1000,2,FALSE),"")</f>
        <v>Үндсэн үйл ажиллагааны борлуулалт</v>
      </c>
      <c r="G77" s="431"/>
      <c r="H77" s="431">
        <v>21575567.939439997</v>
      </c>
      <c r="I77" s="596">
        <f t="shared" si="5"/>
        <v>0</v>
      </c>
      <c r="J77" s="81">
        <f t="shared" si="7"/>
        <v>0</v>
      </c>
      <c r="K77" s="81"/>
      <c r="L77" s="597">
        <v>3002</v>
      </c>
      <c r="M77" s="81" t="str">
        <f>+IFERROR(VLOOKUP(L77,DATA!$G$4:$H$2000,2,FALSE),"")</f>
        <v>ЭКО КОНСТРАКШН ХХК</v>
      </c>
      <c r="N77" s="435"/>
      <c r="O77" s="81" t="str">
        <f>IFERROR(VLOOKUP(N77,DATA!$K$4:$L$51,2,FALSE),"")</f>
        <v/>
      </c>
      <c r="P77" s="81"/>
      <c r="Q77" s="152">
        <f t="shared" si="6"/>
        <v>0</v>
      </c>
    </row>
    <row r="78" spans="2:17">
      <c r="B78" s="670">
        <f t="shared" si="8"/>
        <v>73</v>
      </c>
      <c r="C78" s="433">
        <v>42750</v>
      </c>
      <c r="D78" s="434" t="s">
        <v>587</v>
      </c>
      <c r="E78" s="675">
        <v>320100</v>
      </c>
      <c r="F78" s="672" t="str">
        <f>IFERROR(VLOOKUP(E78,STAT1!$C$4:$D$1000,2,FALSE),"")</f>
        <v>Урьдчилж орсон орлого MNT</v>
      </c>
      <c r="G78" s="431">
        <v>23733124.733383998</v>
      </c>
      <c r="H78" s="431"/>
      <c r="I78" s="596">
        <f t="shared" si="5"/>
        <v>0</v>
      </c>
      <c r="J78" s="81">
        <f t="shared" si="7"/>
        <v>0</v>
      </c>
      <c r="K78" s="81"/>
      <c r="L78" s="597">
        <v>3002</v>
      </c>
      <c r="M78" s="81" t="str">
        <f>+IFERROR(VLOOKUP(L78,DATA!$G$4:$H$2000,2,FALSE),"")</f>
        <v>ЭКО КОНСТРАКШН ХХК</v>
      </c>
      <c r="N78" s="435"/>
      <c r="O78" s="81" t="str">
        <f>IFERROR(VLOOKUP(N78,DATA!$K$4:$L$51,2,FALSE),"")</f>
        <v/>
      </c>
      <c r="P78" s="81"/>
      <c r="Q78" s="152">
        <f t="shared" si="6"/>
        <v>0</v>
      </c>
    </row>
    <row r="79" spans="2:17">
      <c r="B79" s="670">
        <f t="shared" si="8"/>
        <v>74</v>
      </c>
      <c r="C79" s="433">
        <v>42750</v>
      </c>
      <c r="D79" s="434" t="s">
        <v>2687</v>
      </c>
      <c r="E79" s="676">
        <v>150101</v>
      </c>
      <c r="F79" s="672" t="str">
        <f>IFERROR(VLOOKUP(E79,STAT1!$C$4:$D$1000,2,FALSE),"")</f>
        <v>Бараа бэлэн бүтээгдэхүүн БОЛОВСРУУЛАХ ЦЕХ /нарс/</v>
      </c>
      <c r="G79" s="431"/>
      <c r="H79" s="431">
        <v>3504624.4656799994</v>
      </c>
      <c r="I79" s="596">
        <f t="shared" si="5"/>
        <v>0</v>
      </c>
      <c r="J79" s="81">
        <f t="shared" si="7"/>
        <v>0</v>
      </c>
      <c r="K79" s="81"/>
      <c r="L79" s="597">
        <v>3002</v>
      </c>
      <c r="M79" s="81" t="str">
        <f>+IFERROR(VLOOKUP(L79,DATA!$G$4:$H$2000,2,FALSE),"")</f>
        <v>ЭКО КОНСТРАКШН ХХК</v>
      </c>
      <c r="N79" s="435"/>
      <c r="O79" s="81" t="str">
        <f>IFERROR(VLOOKUP(N79,DATA!$K$4:$L$51,2,FALSE),"")</f>
        <v/>
      </c>
      <c r="P79" s="81"/>
      <c r="Q79" s="152">
        <f t="shared" si="6"/>
        <v>0</v>
      </c>
    </row>
    <row r="80" spans="2:17">
      <c r="B80" s="670">
        <f t="shared" si="8"/>
        <v>75</v>
      </c>
      <c r="C80" s="433">
        <v>42750</v>
      </c>
      <c r="D80" s="434"/>
      <c r="E80" s="675">
        <v>610100</v>
      </c>
      <c r="F80" s="672" t="str">
        <f>IFERROR(VLOOKUP(E80,STAT1!$C$4:$D$1000,2,FALSE),"")</f>
        <v>Борлуулсан барааны өртөг</v>
      </c>
      <c r="G80" s="431">
        <v>3504624.4656799994</v>
      </c>
      <c r="H80" s="431"/>
      <c r="I80" s="596">
        <f t="shared" si="5"/>
        <v>0</v>
      </c>
      <c r="J80" s="81">
        <f t="shared" si="7"/>
        <v>0</v>
      </c>
      <c r="K80" s="81"/>
      <c r="L80" s="597">
        <v>3002</v>
      </c>
      <c r="M80" s="81" t="str">
        <f>+IFERROR(VLOOKUP(L80,DATA!$G$4:$H$2000,2,FALSE),"")</f>
        <v>ЭКО КОНСТРАКШН ХХК</v>
      </c>
      <c r="N80" s="435"/>
      <c r="O80" s="81" t="str">
        <f>IFERROR(VLOOKUP(N80,DATA!$K$4:$L$51,2,FALSE),"")</f>
        <v/>
      </c>
      <c r="P80" s="81"/>
      <c r="Q80" s="152">
        <f t="shared" si="6"/>
        <v>0</v>
      </c>
    </row>
    <row r="81" spans="2:17">
      <c r="B81" s="670">
        <f t="shared" si="8"/>
        <v>76</v>
      </c>
      <c r="C81" s="433">
        <v>42750</v>
      </c>
      <c r="D81" s="434" t="s">
        <v>587</v>
      </c>
      <c r="E81" s="675">
        <v>310500</v>
      </c>
      <c r="F81" s="672" t="str">
        <f>IFERROR(VLOOKUP(E81,STAT1!$C$4:$D$1000,2,FALSE),"")</f>
        <v>НӨАТ өглөг</v>
      </c>
      <c r="G81" s="431"/>
      <c r="H81" s="431">
        <v>258338.61969600001</v>
      </c>
      <c r="I81" s="596">
        <f t="shared" si="5"/>
        <v>0</v>
      </c>
      <c r="J81" s="81">
        <f t="shared" si="7"/>
        <v>0</v>
      </c>
      <c r="K81" s="81"/>
      <c r="L81" s="597">
        <v>3002</v>
      </c>
      <c r="M81" s="81" t="str">
        <f>+IFERROR(VLOOKUP(L81,DATA!$G$4:$H$2000,2,FALSE),"")</f>
        <v>ЭКО КОНСТРАКШН ХХК</v>
      </c>
      <c r="N81" s="435"/>
      <c r="O81" s="81"/>
      <c r="P81" s="81"/>
      <c r="Q81" s="152">
        <f t="shared" si="6"/>
        <v>0</v>
      </c>
    </row>
    <row r="82" spans="2:17">
      <c r="B82" s="670">
        <f t="shared" si="8"/>
        <v>77</v>
      </c>
      <c r="C82" s="433">
        <v>42750</v>
      </c>
      <c r="D82" s="434" t="s">
        <v>587</v>
      </c>
      <c r="E82" s="675">
        <v>510000</v>
      </c>
      <c r="F82" s="672" t="str">
        <f>IFERROR(VLOOKUP(E82,STAT1!$C$4:$D$1000,2,FALSE),"")</f>
        <v>Үндсэн үйл ажиллагааны борлуулалт</v>
      </c>
      <c r="G82" s="431"/>
      <c r="H82" s="431">
        <v>2583386.1969599999</v>
      </c>
      <c r="I82" s="596">
        <f t="shared" si="5"/>
        <v>0</v>
      </c>
      <c r="J82" s="81">
        <f t="shared" si="7"/>
        <v>0</v>
      </c>
      <c r="K82" s="81"/>
      <c r="L82" s="597">
        <v>3002</v>
      </c>
      <c r="M82" s="81" t="str">
        <f>+IFERROR(VLOOKUP(L82,DATA!$G$4:$H$2000,2,FALSE),"")</f>
        <v>ЭКО КОНСТРАКШН ХХК</v>
      </c>
      <c r="N82" s="435"/>
      <c r="O82" s="81" t="str">
        <f>IFERROR(VLOOKUP(N82,DATA!$K$4:$L$51,2,FALSE),"")</f>
        <v/>
      </c>
      <c r="P82" s="81"/>
      <c r="Q82" s="152">
        <f t="shared" si="6"/>
        <v>0</v>
      </c>
    </row>
    <row r="83" spans="2:17">
      <c r="B83" s="670">
        <f t="shared" si="8"/>
        <v>78</v>
      </c>
      <c r="C83" s="433">
        <v>42750</v>
      </c>
      <c r="D83" s="434" t="s">
        <v>587</v>
      </c>
      <c r="E83" s="675">
        <v>320100</v>
      </c>
      <c r="F83" s="672" t="str">
        <f>IFERROR(VLOOKUP(E83,STAT1!$C$4:$D$1000,2,FALSE),"")</f>
        <v>Урьдчилж орсон орлого MNT</v>
      </c>
      <c r="G83" s="431">
        <v>2841724.816656</v>
      </c>
      <c r="H83" s="431"/>
      <c r="I83" s="596">
        <f t="shared" si="5"/>
        <v>0</v>
      </c>
      <c r="J83" s="81">
        <f t="shared" si="7"/>
        <v>0</v>
      </c>
      <c r="K83" s="81"/>
      <c r="L83" s="597">
        <v>3002</v>
      </c>
      <c r="M83" s="81" t="str">
        <f>+IFERROR(VLOOKUP(L83,DATA!$G$4:$H$2000,2,FALSE),"")</f>
        <v>ЭКО КОНСТРАКШН ХХК</v>
      </c>
      <c r="N83" s="435"/>
      <c r="O83" s="81" t="str">
        <f>IFERROR(VLOOKUP(N83,DATA!$K$4:$L$51,2,FALSE),"")</f>
        <v/>
      </c>
      <c r="P83" s="81"/>
      <c r="Q83" s="152">
        <f t="shared" si="6"/>
        <v>0</v>
      </c>
    </row>
    <row r="84" spans="2:17">
      <c r="B84" s="670">
        <f t="shared" si="8"/>
        <v>79</v>
      </c>
      <c r="C84" s="433">
        <v>42750</v>
      </c>
      <c r="D84" s="434" t="s">
        <v>2680</v>
      </c>
      <c r="E84" s="676">
        <v>150101</v>
      </c>
      <c r="F84" s="672" t="str">
        <f>IFERROR(VLOOKUP(E84,STAT1!$C$4:$D$1000,2,FALSE),"")</f>
        <v>Бараа бэлэн бүтээгдэхүүн БОЛОВСРУУЛАХ ЦЕХ /нарс/</v>
      </c>
      <c r="G84" s="431"/>
      <c r="H84" s="431">
        <v>969474.11007493862</v>
      </c>
      <c r="I84" s="596">
        <f t="shared" si="5"/>
        <v>0</v>
      </c>
      <c r="J84" s="81">
        <f t="shared" si="7"/>
        <v>0</v>
      </c>
      <c r="K84" s="81"/>
      <c r="L84" s="597">
        <v>3002</v>
      </c>
      <c r="M84" s="81" t="str">
        <f>+IFERROR(VLOOKUP(L84,DATA!$G$4:$H$2000,2,FALSE),"")</f>
        <v>ЭКО КОНСТРАКШН ХХК</v>
      </c>
      <c r="N84" s="435"/>
      <c r="O84" s="81" t="str">
        <f>IFERROR(VLOOKUP(N84,DATA!$K$4:$L$51,2,FALSE),"")</f>
        <v/>
      </c>
      <c r="P84" s="81"/>
      <c r="Q84" s="152">
        <f t="shared" si="6"/>
        <v>0</v>
      </c>
    </row>
    <row r="85" spans="2:17">
      <c r="B85" s="670">
        <f t="shared" si="8"/>
        <v>80</v>
      </c>
      <c r="C85" s="433">
        <v>42750</v>
      </c>
      <c r="D85" s="434"/>
      <c r="E85" s="675">
        <v>610100</v>
      </c>
      <c r="F85" s="672" t="str">
        <f>IFERROR(VLOOKUP(E85,STAT1!$C$4:$D$1000,2,FALSE),"")</f>
        <v>Борлуулсан барааны өртөг</v>
      </c>
      <c r="G85" s="431">
        <v>969474.11007493862</v>
      </c>
      <c r="H85" s="431"/>
      <c r="I85" s="596">
        <f t="shared" si="5"/>
        <v>0</v>
      </c>
      <c r="J85" s="81">
        <f t="shared" si="7"/>
        <v>0</v>
      </c>
      <c r="K85" s="81"/>
      <c r="L85" s="597">
        <v>3002</v>
      </c>
      <c r="M85" s="81" t="str">
        <f>+IFERROR(VLOOKUP(L85,DATA!$G$4:$H$2000,2,FALSE),"")</f>
        <v>ЭКО КОНСТРАКШН ХХК</v>
      </c>
      <c r="N85" s="435"/>
      <c r="O85" s="81" t="str">
        <f>IFERROR(VLOOKUP(N85,DATA!$K$4:$L$51,2,FALSE),"")</f>
        <v/>
      </c>
      <c r="P85" s="81"/>
      <c r="Q85" s="152">
        <f t="shared" si="6"/>
        <v>0</v>
      </c>
    </row>
    <row r="86" spans="2:17">
      <c r="B86" s="670">
        <f t="shared" si="8"/>
        <v>81</v>
      </c>
      <c r="C86" s="433">
        <v>42750</v>
      </c>
      <c r="D86" s="434" t="s">
        <v>587</v>
      </c>
      <c r="E86" s="675">
        <v>310500</v>
      </c>
      <c r="F86" s="672" t="str">
        <f>IFERROR(VLOOKUP(E86,STAT1!$C$4:$D$1000,2,FALSE),"")</f>
        <v>НӨАТ өглөг</v>
      </c>
      <c r="G86" s="431"/>
      <c r="H86" s="431">
        <v>136059.48879509987</v>
      </c>
      <c r="I86" s="596">
        <f t="shared" si="5"/>
        <v>0</v>
      </c>
      <c r="J86" s="81">
        <f t="shared" si="7"/>
        <v>0</v>
      </c>
      <c r="K86" s="81"/>
      <c r="L86" s="597">
        <v>3002</v>
      </c>
      <c r="M86" s="81" t="str">
        <f>+IFERROR(VLOOKUP(L86,DATA!$G$4:$H$2000,2,FALSE),"")</f>
        <v>ЭКО КОНСТРАКШН ХХК</v>
      </c>
      <c r="N86" s="435"/>
      <c r="O86" s="81"/>
      <c r="P86" s="81"/>
      <c r="Q86" s="152">
        <f t="shared" si="6"/>
        <v>0</v>
      </c>
    </row>
    <row r="87" spans="2:17">
      <c r="B87" s="670">
        <f t="shared" si="8"/>
        <v>82</v>
      </c>
      <c r="C87" s="433">
        <v>42750</v>
      </c>
      <c r="D87" s="434" t="s">
        <v>587</v>
      </c>
      <c r="E87" s="675">
        <v>510000</v>
      </c>
      <c r="F87" s="672" t="str">
        <f>IFERROR(VLOOKUP(E87,STAT1!$C$4:$D$1000,2,FALSE),"")</f>
        <v>Үндсэн үйл ажиллагааны борлуулалт</v>
      </c>
      <c r="G87" s="431"/>
      <c r="H87" s="431">
        <v>1360594.89</v>
      </c>
      <c r="I87" s="596">
        <f t="shared" si="5"/>
        <v>0</v>
      </c>
      <c r="J87" s="81">
        <f t="shared" si="7"/>
        <v>0</v>
      </c>
      <c r="K87" s="81"/>
      <c r="L87" s="597">
        <v>3002</v>
      </c>
      <c r="M87" s="81" t="str">
        <f>+IFERROR(VLOOKUP(L87,DATA!$G$4:$H$2000,2,FALSE),"")</f>
        <v>ЭКО КОНСТРАКШН ХХК</v>
      </c>
      <c r="N87" s="435"/>
      <c r="O87" s="81" t="str">
        <f>IFERROR(VLOOKUP(N87,DATA!$K$4:$L$51,2,FALSE),"")</f>
        <v/>
      </c>
      <c r="P87" s="81"/>
      <c r="Q87" s="152">
        <f t="shared" si="6"/>
        <v>0</v>
      </c>
    </row>
    <row r="88" spans="2:17">
      <c r="B88" s="670">
        <f t="shared" si="8"/>
        <v>83</v>
      </c>
      <c r="C88" s="433">
        <v>42750</v>
      </c>
      <c r="D88" s="434" t="s">
        <v>587</v>
      </c>
      <c r="E88" s="675">
        <v>320100</v>
      </c>
      <c r="F88" s="672" t="str">
        <f>IFERROR(VLOOKUP(E88,STAT1!$C$4:$D$1000,2,FALSE),"")</f>
        <v>Урьдчилж орсон орлого MNT</v>
      </c>
      <c r="G88" s="431">
        <v>1496654.3767460985</v>
      </c>
      <c r="H88" s="431"/>
      <c r="I88" s="596">
        <f t="shared" si="5"/>
        <v>0</v>
      </c>
      <c r="J88" s="81">
        <f t="shared" si="7"/>
        <v>0</v>
      </c>
      <c r="K88" s="81"/>
      <c r="L88" s="597">
        <v>3002</v>
      </c>
      <c r="M88" s="81" t="str">
        <f>+IFERROR(VLOOKUP(L88,DATA!$G$4:$H$2000,2,FALSE),"")</f>
        <v>ЭКО КОНСТРАКШН ХХК</v>
      </c>
      <c r="N88" s="435"/>
      <c r="O88" s="81" t="str">
        <f>IFERROR(VLOOKUP(N88,DATA!$K$4:$L$51,2,FALSE),"")</f>
        <v/>
      </c>
      <c r="P88" s="81"/>
      <c r="Q88" s="152">
        <f t="shared" si="6"/>
        <v>0</v>
      </c>
    </row>
    <row r="89" spans="2:17">
      <c r="B89" s="670">
        <f t="shared" si="8"/>
        <v>84</v>
      </c>
      <c r="C89" s="433">
        <v>42750</v>
      </c>
      <c r="D89" s="434" t="s">
        <v>2681</v>
      </c>
      <c r="E89" s="676">
        <v>150101</v>
      </c>
      <c r="F89" s="672" t="str">
        <f>IFERROR(VLOOKUP(E89,STAT1!$C$4:$D$1000,2,FALSE),"")</f>
        <v>Бараа бэлэн бүтээгдэхүүн БОЛОВСРУУЛАХ ЦЕХ /нарс/</v>
      </c>
      <c r="G89" s="431"/>
      <c r="H89" s="431">
        <v>103479.99452102224</v>
      </c>
      <c r="I89" s="596">
        <f t="shared" si="5"/>
        <v>0</v>
      </c>
      <c r="J89" s="81">
        <f t="shared" si="7"/>
        <v>0</v>
      </c>
      <c r="K89" s="81"/>
      <c r="L89" s="597">
        <v>3002</v>
      </c>
      <c r="M89" s="81" t="str">
        <f>+IFERROR(VLOOKUP(L89,DATA!$G$4:$H$2000,2,FALSE),"")</f>
        <v>ЭКО КОНСТРАКШН ХХК</v>
      </c>
      <c r="N89" s="435"/>
      <c r="O89" s="81" t="str">
        <f>IFERROR(VLOOKUP(N89,DATA!$K$4:$L$51,2,FALSE),"")</f>
        <v/>
      </c>
      <c r="P89" s="81"/>
      <c r="Q89" s="152">
        <f t="shared" si="6"/>
        <v>0</v>
      </c>
    </row>
    <row r="90" spans="2:17">
      <c r="B90" s="670">
        <f t="shared" si="8"/>
        <v>85</v>
      </c>
      <c r="C90" s="433">
        <v>42750</v>
      </c>
      <c r="D90" s="434" t="s">
        <v>587</v>
      </c>
      <c r="E90" s="675">
        <v>610100</v>
      </c>
      <c r="F90" s="672" t="str">
        <f>IFERROR(VLOOKUP(E90,STAT1!$C$4:$D$1000,2,FALSE),"")</f>
        <v>Борлуулсан барааны өртөг</v>
      </c>
      <c r="G90" s="431">
        <v>103479.99452102224</v>
      </c>
      <c r="H90" s="431"/>
      <c r="I90" s="596">
        <f t="shared" si="5"/>
        <v>0</v>
      </c>
      <c r="J90" s="81">
        <f t="shared" si="7"/>
        <v>0</v>
      </c>
      <c r="K90" s="81"/>
      <c r="L90" s="597">
        <v>3002</v>
      </c>
      <c r="M90" s="81" t="str">
        <f>+IFERROR(VLOOKUP(L90,DATA!$G$4:$H$2000,2,FALSE),"")</f>
        <v>ЭКО КОНСТРАКШН ХХК</v>
      </c>
      <c r="N90" s="435"/>
      <c r="O90" s="81" t="str">
        <f>IFERROR(VLOOKUP(N90,DATA!$K$4:$L$51,2,FALSE),"")</f>
        <v/>
      </c>
      <c r="P90" s="81"/>
      <c r="Q90" s="152">
        <f t="shared" si="6"/>
        <v>0</v>
      </c>
    </row>
    <row r="91" spans="2:17">
      <c r="B91" s="670">
        <f t="shared" si="8"/>
        <v>86</v>
      </c>
      <c r="C91" s="433">
        <v>42750</v>
      </c>
      <c r="D91" s="434"/>
      <c r="E91" s="675">
        <v>310500</v>
      </c>
      <c r="F91" s="672" t="str">
        <f>IFERROR(VLOOKUP(E91,STAT1!$C$4:$D$1000,2,FALSE),"")</f>
        <v>НӨАТ өглөг</v>
      </c>
      <c r="G91" s="431"/>
      <c r="H91" s="431">
        <v>13662.279540000001</v>
      </c>
      <c r="I91" s="596">
        <f t="shared" si="5"/>
        <v>0</v>
      </c>
      <c r="J91" s="81">
        <f t="shared" si="7"/>
        <v>0</v>
      </c>
      <c r="K91" s="81"/>
      <c r="L91" s="597">
        <v>3002</v>
      </c>
      <c r="M91" s="81" t="str">
        <f>+IFERROR(VLOOKUP(L91,DATA!$G$4:$H$2000,2,FALSE),"")</f>
        <v>ЭКО КОНСТРАКШН ХХК</v>
      </c>
      <c r="N91" s="435"/>
      <c r="O91" s="81"/>
      <c r="P91" s="81"/>
      <c r="Q91" s="152">
        <f t="shared" si="6"/>
        <v>0</v>
      </c>
    </row>
    <row r="92" spans="2:17">
      <c r="B92" s="670">
        <f t="shared" si="8"/>
        <v>87</v>
      </c>
      <c r="C92" s="433">
        <v>42750</v>
      </c>
      <c r="D92" s="434" t="s">
        <v>587</v>
      </c>
      <c r="E92" s="675">
        <v>510000</v>
      </c>
      <c r="F92" s="672" t="str">
        <f>IFERROR(VLOOKUP(E92,STAT1!$C$4:$D$1000,2,FALSE),"")</f>
        <v>Үндсэн үйл ажиллагааны борлуулалт</v>
      </c>
      <c r="G92" s="431"/>
      <c r="H92" s="431">
        <v>136622.7954</v>
      </c>
      <c r="I92" s="596">
        <f t="shared" si="5"/>
        <v>0</v>
      </c>
      <c r="J92" s="81">
        <f t="shared" si="7"/>
        <v>0</v>
      </c>
      <c r="K92" s="81"/>
      <c r="L92" s="597">
        <v>3002</v>
      </c>
      <c r="M92" s="81" t="str">
        <f>+IFERROR(VLOOKUP(L92,DATA!$G$4:$H$2000,2,FALSE),"")</f>
        <v>ЭКО КОНСТРАКШН ХХК</v>
      </c>
      <c r="N92" s="435"/>
      <c r="O92" s="81" t="str">
        <f>IFERROR(VLOOKUP(N92,DATA!$K$4:$L$51,2,FALSE),"")</f>
        <v/>
      </c>
      <c r="P92" s="81"/>
      <c r="Q92" s="152">
        <f t="shared" si="6"/>
        <v>0</v>
      </c>
    </row>
    <row r="93" spans="2:17">
      <c r="B93" s="670">
        <f t="shared" si="8"/>
        <v>88</v>
      </c>
      <c r="C93" s="433">
        <v>42750</v>
      </c>
      <c r="D93" s="434" t="s">
        <v>587</v>
      </c>
      <c r="E93" s="675">
        <v>320100</v>
      </c>
      <c r="F93" s="672" t="str">
        <f>IFERROR(VLOOKUP(E93,STAT1!$C$4:$D$1000,2,FALSE),"")</f>
        <v>Урьдчилж орсон орлого MNT</v>
      </c>
      <c r="G93" s="431">
        <v>150285.07493999999</v>
      </c>
      <c r="H93" s="431"/>
      <c r="I93" s="596">
        <f t="shared" si="5"/>
        <v>0</v>
      </c>
      <c r="J93" s="81">
        <f t="shared" si="7"/>
        <v>0</v>
      </c>
      <c r="K93" s="81"/>
      <c r="L93" s="597">
        <v>3002</v>
      </c>
      <c r="M93" s="81" t="str">
        <f>+IFERROR(VLOOKUP(L93,DATA!$G$4:$H$2000,2,FALSE),"")</f>
        <v>ЭКО КОНСТРАКШН ХХК</v>
      </c>
      <c r="N93" s="435"/>
      <c r="O93" s="81" t="str">
        <f>IFERROR(VLOOKUP(N93,DATA!$K$4:$L$51,2,FALSE),"")</f>
        <v/>
      </c>
      <c r="P93" s="81"/>
      <c r="Q93" s="152">
        <f t="shared" si="6"/>
        <v>0</v>
      </c>
    </row>
    <row r="94" spans="2:17">
      <c r="B94" s="670">
        <f t="shared" si="8"/>
        <v>89</v>
      </c>
      <c r="C94" s="433">
        <v>42750</v>
      </c>
      <c r="D94" s="434" t="s">
        <v>2678</v>
      </c>
      <c r="E94" s="676">
        <v>150101</v>
      </c>
      <c r="F94" s="672" t="str">
        <f>IFERROR(VLOOKUP(E94,STAT1!$C$4:$D$1000,2,FALSE),"")</f>
        <v>Бараа бэлэн бүтээгдэхүүн БОЛОВСРУУЛАХ ЦЕХ /нарс/</v>
      </c>
      <c r="G94" s="431"/>
      <c r="H94" s="431">
        <v>308590.66043596371</v>
      </c>
      <c r="I94" s="596">
        <f t="shared" si="5"/>
        <v>0</v>
      </c>
      <c r="J94" s="81">
        <f t="shared" si="7"/>
        <v>0</v>
      </c>
      <c r="K94" s="81"/>
      <c r="L94" s="597">
        <v>3003</v>
      </c>
      <c r="M94" s="81" t="str">
        <f>+IFERROR(VLOOKUP(L94,DATA!$G$4:$H$2000,2,FALSE),"")</f>
        <v xml:space="preserve">МУХИА ХХК </v>
      </c>
      <c r="N94" s="435"/>
      <c r="O94" s="81" t="str">
        <f>IFERROR(VLOOKUP(N94,DATA!$K$4:$L$51,2,FALSE),"")</f>
        <v/>
      </c>
      <c r="P94" s="81"/>
      <c r="Q94" s="152">
        <f t="shared" si="6"/>
        <v>0</v>
      </c>
    </row>
    <row r="95" spans="2:17">
      <c r="B95" s="670">
        <f t="shared" si="8"/>
        <v>90</v>
      </c>
      <c r="C95" s="433">
        <v>42750</v>
      </c>
      <c r="D95" s="434" t="s">
        <v>587</v>
      </c>
      <c r="E95" s="675">
        <v>610100</v>
      </c>
      <c r="F95" s="672" t="str">
        <f>IFERROR(VLOOKUP(E95,STAT1!$C$4:$D$1000,2,FALSE),"")</f>
        <v>Борлуулсан барааны өртөг</v>
      </c>
      <c r="G95" s="431">
        <v>308590.66043596371</v>
      </c>
      <c r="H95" s="431"/>
      <c r="I95" s="596">
        <f t="shared" si="5"/>
        <v>0</v>
      </c>
      <c r="J95" s="81">
        <f t="shared" si="7"/>
        <v>0</v>
      </c>
      <c r="K95" s="81"/>
      <c r="L95" s="597">
        <v>3003</v>
      </c>
      <c r="M95" s="81" t="str">
        <f>+IFERROR(VLOOKUP(L95,DATA!$G$4:$H$2000,2,FALSE),"")</f>
        <v xml:space="preserve">МУХИА ХХК </v>
      </c>
      <c r="N95" s="435"/>
      <c r="O95" s="81" t="str">
        <f>IFERROR(VLOOKUP(N95,DATA!$K$4:$L$51,2,FALSE),"")</f>
        <v/>
      </c>
      <c r="P95" s="81"/>
      <c r="Q95" s="152">
        <f t="shared" si="6"/>
        <v>0</v>
      </c>
    </row>
    <row r="96" spans="2:17">
      <c r="B96" s="670">
        <f t="shared" si="8"/>
        <v>91</v>
      </c>
      <c r="C96" s="433">
        <v>42750</v>
      </c>
      <c r="D96" s="434"/>
      <c r="E96" s="675">
        <v>310500</v>
      </c>
      <c r="F96" s="672" t="str">
        <f>IFERROR(VLOOKUP(E96,STAT1!$C$4:$D$1000,2,FALSE),"")</f>
        <v>НӨАТ өглөг</v>
      </c>
      <c r="G96" s="431"/>
      <c r="H96" s="431">
        <v>51764.726978459999</v>
      </c>
      <c r="I96" s="596">
        <f t="shared" si="5"/>
        <v>0</v>
      </c>
      <c r="J96" s="81">
        <f t="shared" si="7"/>
        <v>0</v>
      </c>
      <c r="K96" s="81"/>
      <c r="L96" s="597">
        <v>3003</v>
      </c>
      <c r="M96" s="81" t="str">
        <f>+IFERROR(VLOOKUP(L96,DATA!$G$4:$H$2000,2,FALSE),"")</f>
        <v xml:space="preserve">МУХИА ХХК </v>
      </c>
      <c r="N96" s="435"/>
      <c r="O96" s="81"/>
      <c r="P96" s="81"/>
      <c r="Q96" s="152">
        <f t="shared" si="6"/>
        <v>0</v>
      </c>
    </row>
    <row r="97" spans="2:17">
      <c r="B97" s="670">
        <f t="shared" si="8"/>
        <v>92</v>
      </c>
      <c r="C97" s="433">
        <v>42750</v>
      </c>
      <c r="D97" s="434" t="s">
        <v>587</v>
      </c>
      <c r="E97" s="675">
        <v>510000</v>
      </c>
      <c r="F97" s="672" t="str">
        <f>IFERROR(VLOOKUP(E97,STAT1!$C$4:$D$1000,2,FALSE),"")</f>
        <v>Үндсэн үйл ажиллагааны борлуулалт</v>
      </c>
      <c r="G97" s="431"/>
      <c r="H97" s="431">
        <v>517647.27</v>
      </c>
      <c r="I97" s="596">
        <f t="shared" si="5"/>
        <v>0</v>
      </c>
      <c r="J97" s="81">
        <f t="shared" si="7"/>
        <v>0</v>
      </c>
      <c r="K97" s="81"/>
      <c r="L97" s="597">
        <v>3003</v>
      </c>
      <c r="M97" s="81" t="str">
        <f>+IFERROR(VLOOKUP(L97,DATA!$G$4:$H$2000,2,FALSE),"")</f>
        <v xml:space="preserve">МУХИА ХХК </v>
      </c>
      <c r="N97" s="435"/>
      <c r="O97" s="81" t="str">
        <f>IFERROR(VLOOKUP(N97,DATA!$K$4:$L$51,2,FALSE),"")</f>
        <v/>
      </c>
      <c r="P97" s="81"/>
      <c r="Q97" s="152">
        <f t="shared" si="6"/>
        <v>0</v>
      </c>
    </row>
    <row r="98" spans="2:17">
      <c r="B98" s="670">
        <f t="shared" si="8"/>
        <v>93</v>
      </c>
      <c r="C98" s="433">
        <v>42750</v>
      </c>
      <c r="D98" s="434" t="s">
        <v>587</v>
      </c>
      <c r="E98" s="675">
        <v>320100</v>
      </c>
      <c r="F98" s="672" t="str">
        <f>IFERROR(VLOOKUP(E98,STAT1!$C$4:$D$1000,2,FALSE),"")</f>
        <v>Урьдчилж орсон орлого MNT</v>
      </c>
      <c r="G98" s="431">
        <v>569411.99676305999</v>
      </c>
      <c r="H98" s="431"/>
      <c r="I98" s="596">
        <f t="shared" si="5"/>
        <v>0</v>
      </c>
      <c r="J98" s="81">
        <f t="shared" si="7"/>
        <v>0</v>
      </c>
      <c r="K98" s="81"/>
      <c r="L98" s="597">
        <v>3003</v>
      </c>
      <c r="M98" s="81" t="str">
        <f>+IFERROR(VLOOKUP(L98,DATA!$G$4:$H$2000,2,FALSE),"")</f>
        <v xml:space="preserve">МУХИА ХХК </v>
      </c>
      <c r="N98" s="435"/>
      <c r="O98" s="81" t="str">
        <f>IFERROR(VLOOKUP(N98,DATA!$K$4:$L$51,2,FALSE),"")</f>
        <v/>
      </c>
      <c r="P98" s="81"/>
      <c r="Q98" s="152">
        <f t="shared" si="6"/>
        <v>0</v>
      </c>
    </row>
    <row r="99" spans="2:17">
      <c r="B99" s="670">
        <f t="shared" si="8"/>
        <v>94</v>
      </c>
      <c r="C99" s="433">
        <v>42750</v>
      </c>
      <c r="D99" s="377" t="s">
        <v>1741</v>
      </c>
      <c r="E99" s="577">
        <v>320100</v>
      </c>
      <c r="F99" s="672" t="str">
        <f>IFERROR(VLOOKUP(E99,STAT1!$C$4:$D$1000,2,FALSE),"")</f>
        <v>Урьдчилж орсон орлого MNT</v>
      </c>
      <c r="G99" s="377"/>
      <c r="H99" s="377">
        <v>62700</v>
      </c>
      <c r="I99" s="596">
        <f t="shared" si="5"/>
        <v>0</v>
      </c>
      <c r="J99" s="81">
        <f t="shared" si="7"/>
        <v>0</v>
      </c>
      <c r="K99" s="81"/>
      <c r="L99" s="597">
        <v>3005</v>
      </c>
      <c r="M99" s="81" t="str">
        <f>+IFERROR(VLOOKUP(L99,DATA!$G$4:$H$2000,2,FALSE),"")</f>
        <v xml:space="preserve">ОРГИЛ ХҮНС ХХК </v>
      </c>
      <c r="N99" s="435"/>
      <c r="O99" s="81" t="str">
        <f>IFERROR(VLOOKUP(N99,DATA!$K$4:$L$51,2,FALSE),"")</f>
        <v/>
      </c>
      <c r="P99" s="81"/>
      <c r="Q99" s="152">
        <f t="shared" si="6"/>
        <v>0</v>
      </c>
    </row>
    <row r="100" spans="2:17">
      <c r="B100" s="670">
        <f t="shared" si="8"/>
        <v>95</v>
      </c>
      <c r="C100" s="433">
        <v>42750</v>
      </c>
      <c r="D100" s="377" t="s">
        <v>1741</v>
      </c>
      <c r="E100" s="577">
        <v>100100</v>
      </c>
      <c r="F100" s="672" t="str">
        <f>IFERROR(VLOOKUP(E100,STAT1!$C$4:$D$1000,2,FALSE),"")</f>
        <v>Касс мөнгө MNT</v>
      </c>
      <c r="G100" s="377">
        <v>62700</v>
      </c>
      <c r="H100" s="377">
        <v>0</v>
      </c>
      <c r="I100" s="596">
        <f t="shared" si="5"/>
        <v>62700</v>
      </c>
      <c r="J100" s="81">
        <f t="shared" si="7"/>
        <v>0</v>
      </c>
      <c r="K100" s="81"/>
      <c r="L100" s="597">
        <v>3005</v>
      </c>
      <c r="M100" s="81" t="str">
        <f>+IFERROR(VLOOKUP(L100,DATA!$G$4:$H$2000,2,FALSE),"")</f>
        <v xml:space="preserve">ОРГИЛ ХҮНС ХХК </v>
      </c>
      <c r="N100" s="435">
        <v>41</v>
      </c>
      <c r="O100" s="81" t="str">
        <f>IFERROR(VLOOKUP(N100,DATA!$K$4:$L$51,2,FALSE),"")</f>
        <v>Бараа борлуулсан, үйлчилгээ үзүүлсэний орлого</v>
      </c>
      <c r="P100" s="81"/>
      <c r="Q100" s="152">
        <f t="shared" si="6"/>
        <v>1</v>
      </c>
    </row>
    <row r="101" spans="2:17">
      <c r="B101" s="670">
        <f t="shared" si="8"/>
        <v>96</v>
      </c>
      <c r="C101" s="433">
        <v>42750</v>
      </c>
      <c r="D101" s="377" t="s">
        <v>1741</v>
      </c>
      <c r="E101" s="577">
        <v>320100</v>
      </c>
      <c r="F101" s="672" t="str">
        <f>IFERROR(VLOOKUP(E101,STAT1!$C$4:$D$1000,2,FALSE),"")</f>
        <v>Урьдчилж орсон орлого MNT</v>
      </c>
      <c r="G101" s="377"/>
      <c r="H101" s="377">
        <v>43500</v>
      </c>
      <c r="I101" s="596">
        <f t="shared" si="5"/>
        <v>0</v>
      </c>
      <c r="J101" s="81">
        <f t="shared" si="7"/>
        <v>0</v>
      </c>
      <c r="K101" s="81"/>
      <c r="L101" s="597">
        <v>4002</v>
      </c>
      <c r="M101" s="81" t="str">
        <f>+IFERROR(VLOOKUP(L101,DATA!$G$4:$H$2000,2,FALSE),"")</f>
        <v xml:space="preserve">Хувь хүн </v>
      </c>
      <c r="N101" s="435"/>
      <c r="O101" s="81" t="str">
        <f>IFERROR(VLOOKUP(N101,DATA!$K$4:$L$51,2,FALSE),"")</f>
        <v/>
      </c>
      <c r="P101" s="81"/>
      <c r="Q101" s="152">
        <f t="shared" si="6"/>
        <v>0</v>
      </c>
    </row>
    <row r="102" spans="2:17">
      <c r="B102" s="670">
        <f t="shared" si="8"/>
        <v>97</v>
      </c>
      <c r="C102" s="433">
        <v>42750</v>
      </c>
      <c r="D102" s="377" t="s">
        <v>1741</v>
      </c>
      <c r="E102" s="577">
        <v>100100</v>
      </c>
      <c r="F102" s="672" t="str">
        <f>IFERROR(VLOOKUP(E102,STAT1!$C$4:$D$1000,2,FALSE),"")</f>
        <v>Касс мөнгө MNT</v>
      </c>
      <c r="G102" s="377">
        <v>43500</v>
      </c>
      <c r="H102" s="377">
        <v>0</v>
      </c>
      <c r="I102" s="596">
        <f t="shared" si="5"/>
        <v>43500</v>
      </c>
      <c r="J102" s="81">
        <f t="shared" si="7"/>
        <v>0</v>
      </c>
      <c r="K102" s="81"/>
      <c r="L102" s="597">
        <v>4002</v>
      </c>
      <c r="M102" s="81" t="str">
        <f>+IFERROR(VLOOKUP(L102,DATA!$G$4:$H$2000,2,FALSE),"")</f>
        <v xml:space="preserve">Хувь хүн </v>
      </c>
      <c r="N102" s="435">
        <v>41</v>
      </c>
      <c r="O102" s="81" t="str">
        <f>IFERROR(VLOOKUP(N102,DATA!$K$4:$L$51,2,FALSE),"")</f>
        <v>Бараа борлуулсан, үйлчилгээ үзүүлсэний орлого</v>
      </c>
      <c r="P102" s="81"/>
      <c r="Q102" s="152">
        <f t="shared" si="6"/>
        <v>1</v>
      </c>
    </row>
    <row r="103" spans="2:17">
      <c r="B103" s="670">
        <f t="shared" si="8"/>
        <v>98</v>
      </c>
      <c r="C103" s="433">
        <v>42751</v>
      </c>
      <c r="D103" s="598" t="s">
        <v>1741</v>
      </c>
      <c r="E103" s="577">
        <v>110100</v>
      </c>
      <c r="F103" s="672" t="str">
        <f>IFERROR(VLOOKUP(E103,STAT1!$C$4:$D$1000,2,FALSE),"")</f>
        <v>Хаан Банк 5024654020</v>
      </c>
      <c r="G103" s="377">
        <v>8428464</v>
      </c>
      <c r="H103" s="377"/>
      <c r="I103" s="596">
        <f t="shared" si="5"/>
        <v>8428464</v>
      </c>
      <c r="J103" s="81">
        <f t="shared" si="7"/>
        <v>0</v>
      </c>
      <c r="K103" s="81"/>
      <c r="L103" s="597">
        <v>3002</v>
      </c>
      <c r="M103" s="81" t="str">
        <f>+IFERROR(VLOOKUP(L103,DATA!$G$4:$H$2000,2,FALSE),"")</f>
        <v>ЭКО КОНСТРАКШН ХХК</v>
      </c>
      <c r="N103" s="435">
        <v>41</v>
      </c>
      <c r="O103" s="81" t="str">
        <f>IFERROR(VLOOKUP(N103,DATA!$K$4:$L$51,2,FALSE),"")</f>
        <v>Бараа борлуулсан, үйлчилгээ үзүүлсэний орлого</v>
      </c>
      <c r="P103" s="81"/>
      <c r="Q103" s="152">
        <f t="shared" si="6"/>
        <v>1</v>
      </c>
    </row>
    <row r="104" spans="2:17">
      <c r="B104" s="670">
        <f t="shared" si="8"/>
        <v>99</v>
      </c>
      <c r="C104" s="433">
        <v>42751</v>
      </c>
      <c r="D104" s="598" t="s">
        <v>1741</v>
      </c>
      <c r="E104" s="577">
        <v>320100</v>
      </c>
      <c r="F104" s="672" t="str">
        <f>IFERROR(VLOOKUP(E104,STAT1!$C$4:$D$1000,2,FALSE),"")</f>
        <v>Урьдчилж орсон орлого MNT</v>
      </c>
      <c r="G104" s="377">
        <v>0</v>
      </c>
      <c r="H104" s="377">
        <v>8428464</v>
      </c>
      <c r="I104" s="596">
        <f t="shared" si="5"/>
        <v>0</v>
      </c>
      <c r="J104" s="81">
        <f t="shared" si="7"/>
        <v>0</v>
      </c>
      <c r="K104" s="81"/>
      <c r="L104" s="597">
        <v>3002</v>
      </c>
      <c r="M104" s="81" t="str">
        <f>+IFERROR(VLOOKUP(L104,DATA!$G$4:$H$2000,2,FALSE),"")</f>
        <v>ЭКО КОНСТРАКШН ХХК</v>
      </c>
      <c r="N104" s="435"/>
      <c r="O104" s="81" t="str">
        <f>IFERROR(VLOOKUP(N104,DATA!$K$4:$L$51,2,FALSE),"")</f>
        <v/>
      </c>
      <c r="P104" s="81"/>
      <c r="Q104" s="152">
        <f t="shared" si="6"/>
        <v>0</v>
      </c>
    </row>
    <row r="105" spans="2:17">
      <c r="B105" s="670">
        <f t="shared" si="8"/>
        <v>100</v>
      </c>
      <c r="C105" s="433">
        <v>42752</v>
      </c>
      <c r="D105" s="598" t="s">
        <v>1746</v>
      </c>
      <c r="E105" s="577">
        <v>310400</v>
      </c>
      <c r="F105" s="672" t="str">
        <f>IFERROR(VLOOKUP(E105,STAT1!$C$4:$D$1000,2,FALSE),"")</f>
        <v>Банкны богино хугацаат зээл MNT</v>
      </c>
      <c r="G105" s="377">
        <v>4250199</v>
      </c>
      <c r="H105" s="377">
        <v>0</v>
      </c>
      <c r="I105" s="596">
        <f t="shared" si="5"/>
        <v>0</v>
      </c>
      <c r="J105" s="81">
        <f t="shared" si="7"/>
        <v>0</v>
      </c>
      <c r="K105" s="81"/>
      <c r="L105" s="597">
        <v>2009</v>
      </c>
      <c r="M105" s="81" t="str">
        <f>+IFERROR(VLOOKUP(L105,DATA!$G$4:$H$2000,2,FALSE),"")</f>
        <v>ХААН БАНК</v>
      </c>
      <c r="N105" s="435"/>
      <c r="O105" s="81" t="str">
        <f>IFERROR(VLOOKUP(N105,DATA!$K$4:$L$51,2,FALSE),"")</f>
        <v/>
      </c>
      <c r="P105" s="81"/>
      <c r="Q105" s="152">
        <f t="shared" si="6"/>
        <v>0</v>
      </c>
    </row>
    <row r="106" spans="2:17">
      <c r="B106" s="670">
        <f t="shared" si="8"/>
        <v>101</v>
      </c>
      <c r="C106" s="433">
        <v>42752</v>
      </c>
      <c r="D106" s="598" t="s">
        <v>1746</v>
      </c>
      <c r="E106" s="577">
        <v>110100</v>
      </c>
      <c r="F106" s="672" t="str">
        <f>IFERROR(VLOOKUP(E106,STAT1!$C$4:$D$1000,2,FALSE),"")</f>
        <v>Хаан Банк 5024654020</v>
      </c>
      <c r="G106" s="377"/>
      <c r="H106" s="377">
        <v>4250199</v>
      </c>
      <c r="I106" s="596">
        <f t="shared" si="5"/>
        <v>-4250199</v>
      </c>
      <c r="J106" s="81"/>
      <c r="K106" s="81"/>
      <c r="L106" s="597">
        <v>2009</v>
      </c>
      <c r="M106" s="81" t="str">
        <f>+IFERROR(VLOOKUP(L106,DATA!$G$4:$H$2000,2,FALSE),"")</f>
        <v>ХААН БАНК</v>
      </c>
      <c r="N106" s="435">
        <v>91</v>
      </c>
      <c r="O106" s="81" t="str">
        <f>IFERROR(VLOOKUP(N106,DATA!$K$4:$L$51,2,FALSE),"")</f>
        <v>Зээл, өрийн үнэт цаасны төлбөрт төлсөн</v>
      </c>
      <c r="P106" s="81"/>
      <c r="Q106" s="152">
        <f t="shared" si="6"/>
        <v>1</v>
      </c>
    </row>
    <row r="107" spans="2:17">
      <c r="B107" s="670">
        <f t="shared" si="8"/>
        <v>102</v>
      </c>
      <c r="C107" s="433">
        <v>42752</v>
      </c>
      <c r="D107" s="598" t="s">
        <v>1746</v>
      </c>
      <c r="E107" s="577">
        <v>702500</v>
      </c>
      <c r="F107" s="672" t="str">
        <f>IFERROR(VLOOKUP(E107,STAT1!$C$4:$D$1000,2,FALSE),"")</f>
        <v>Зээлийн хүүгийн зардал</v>
      </c>
      <c r="G107" s="377">
        <v>1628281</v>
      </c>
      <c r="H107" s="377"/>
      <c r="I107" s="596">
        <f t="shared" si="5"/>
        <v>0</v>
      </c>
      <c r="J107" s="81"/>
      <c r="K107" s="81"/>
      <c r="L107" s="597">
        <v>2009</v>
      </c>
      <c r="M107" s="81" t="str">
        <f>+IFERROR(VLOOKUP(L107,DATA!$G$4:$H$2000,2,FALSE),"")</f>
        <v>ХААН БАНК</v>
      </c>
      <c r="N107" s="435"/>
      <c r="O107" s="81" t="str">
        <f>IFERROR(VLOOKUP(N107,DATA!$K$4:$L$51,2,FALSE),"")</f>
        <v/>
      </c>
      <c r="P107" s="81"/>
      <c r="Q107" s="152">
        <f t="shared" si="6"/>
        <v>0</v>
      </c>
    </row>
    <row r="108" spans="2:17">
      <c r="B108" s="670">
        <f t="shared" si="8"/>
        <v>103</v>
      </c>
      <c r="C108" s="433">
        <v>42752</v>
      </c>
      <c r="D108" s="598" t="s">
        <v>1746</v>
      </c>
      <c r="E108" s="577">
        <v>110100</v>
      </c>
      <c r="F108" s="672" t="str">
        <f>IFERROR(VLOOKUP(E108,STAT1!$C$4:$D$1000,2,FALSE),"")</f>
        <v>Хаан Банк 5024654020</v>
      </c>
      <c r="G108" s="377"/>
      <c r="H108" s="377">
        <v>1628281</v>
      </c>
      <c r="I108" s="596">
        <f t="shared" si="5"/>
        <v>-1628281</v>
      </c>
      <c r="J108" s="81"/>
      <c r="K108" s="81"/>
      <c r="L108" s="597">
        <v>2009</v>
      </c>
      <c r="M108" s="81" t="str">
        <f>+IFERROR(VLOOKUP(L108,DATA!$G$4:$H$2000,2,FALSE),"")</f>
        <v>ХААН БАНК</v>
      </c>
      <c r="N108" s="435">
        <v>56</v>
      </c>
      <c r="O108" s="81" t="str">
        <f>IFERROR(VLOOKUP(N108,DATA!$K$4:$L$51,2,FALSE),"")</f>
        <v>Хүүний төлбөрт төлсөн</v>
      </c>
      <c r="P108" s="81"/>
      <c r="Q108" s="152">
        <f t="shared" si="6"/>
        <v>1</v>
      </c>
    </row>
    <row r="109" spans="2:17">
      <c r="B109" s="670">
        <f t="shared" si="8"/>
        <v>104</v>
      </c>
      <c r="C109" s="433">
        <v>42752</v>
      </c>
      <c r="D109" s="598" t="s">
        <v>1747</v>
      </c>
      <c r="E109" s="577">
        <v>311100</v>
      </c>
      <c r="F109" s="672" t="str">
        <f>IFERROR(VLOOKUP(E109,STAT1!$C$4:$D$1000,2,FALSE),"")</f>
        <v xml:space="preserve">Бусад богино хугацаат өглөг </v>
      </c>
      <c r="G109" s="377">
        <v>2676843.4800000004</v>
      </c>
      <c r="H109" s="377">
        <v>0</v>
      </c>
      <c r="I109" s="596">
        <f t="shared" si="5"/>
        <v>0</v>
      </c>
      <c r="J109" s="81">
        <f>+IF(E109=110102,I109/K109,0)</f>
        <v>0</v>
      </c>
      <c r="K109" s="81"/>
      <c r="L109" s="597">
        <v>2009</v>
      </c>
      <c r="M109" s="81" t="str">
        <f>+IFERROR(VLOOKUP(L109,DATA!$G$4:$H$2000,2,FALSE),"")</f>
        <v>ХААН БАНК</v>
      </c>
      <c r="N109" s="435"/>
      <c r="O109" s="81" t="str">
        <f>IFERROR(VLOOKUP(N109,DATA!$K$4:$L$51,2,FALSE),"")</f>
        <v/>
      </c>
      <c r="P109" s="81"/>
      <c r="Q109" s="152">
        <f t="shared" si="6"/>
        <v>0</v>
      </c>
    </row>
    <row r="110" spans="2:17">
      <c r="B110" s="670">
        <f t="shared" si="8"/>
        <v>105</v>
      </c>
      <c r="C110" s="433">
        <v>42752</v>
      </c>
      <c r="D110" s="598" t="s">
        <v>1747</v>
      </c>
      <c r="E110" s="577">
        <v>110100</v>
      </c>
      <c r="F110" s="672" t="str">
        <f>IFERROR(VLOOKUP(E110,STAT1!$C$4:$D$1000,2,FALSE),"")</f>
        <v>Хаан Банк 5024654020</v>
      </c>
      <c r="G110" s="377"/>
      <c r="H110" s="377">
        <v>2676843.4800000004</v>
      </c>
      <c r="I110" s="596">
        <f t="shared" si="5"/>
        <v>-2676843.4800000004</v>
      </c>
      <c r="J110" s="81"/>
      <c r="K110" s="81"/>
      <c r="L110" s="597">
        <v>2009</v>
      </c>
      <c r="M110" s="81" t="str">
        <f>+IFERROR(VLOOKUP(L110,DATA!$G$4:$H$2000,2,FALSE),"")</f>
        <v>ХААН БАНК</v>
      </c>
      <c r="N110" s="435">
        <v>91</v>
      </c>
      <c r="O110" s="81" t="str">
        <f>IFERROR(VLOOKUP(N110,DATA!$K$4:$L$51,2,FALSE),"")</f>
        <v>Зээл, өрийн үнэт цаасны төлбөрт төлсөн</v>
      </c>
      <c r="P110" s="81"/>
      <c r="Q110" s="152">
        <f t="shared" si="6"/>
        <v>1</v>
      </c>
    </row>
    <row r="111" spans="2:17">
      <c r="B111" s="670">
        <f t="shared" si="8"/>
        <v>106</v>
      </c>
      <c r="C111" s="433">
        <v>42753</v>
      </c>
      <c r="D111" s="377" t="s">
        <v>1698</v>
      </c>
      <c r="E111" s="577">
        <v>100100</v>
      </c>
      <c r="F111" s="672" t="str">
        <f>IFERROR(VLOOKUP(E111,STAT1!$C$4:$D$1000,2,FALSE),"")</f>
        <v>Касс мөнгө MNT</v>
      </c>
      <c r="G111" s="377"/>
      <c r="H111" s="377">
        <v>20000</v>
      </c>
      <c r="I111" s="596">
        <f t="shared" si="5"/>
        <v>-20000</v>
      </c>
      <c r="J111" s="81">
        <f t="shared" ref="J111:J128" si="9">+IF(E111=110102,I111/K111,0)</f>
        <v>0</v>
      </c>
      <c r="K111" s="81"/>
      <c r="L111" s="597">
        <v>1005</v>
      </c>
      <c r="M111" s="81" t="str">
        <f>+IFERROR(VLOOKUP(L111,DATA!$G$4:$H$2000,2,FALSE),"")</f>
        <v>Золжаргал</v>
      </c>
      <c r="N111" s="435">
        <v>53</v>
      </c>
      <c r="O111" s="81" t="str">
        <f>IFERROR(VLOOKUP(N111,DATA!$K$4:$L$51,2,FALSE),"")</f>
        <v>Бараа материал худалдан авахад төлсөн</v>
      </c>
      <c r="P111" s="81"/>
      <c r="Q111" s="152">
        <f t="shared" si="6"/>
        <v>1</v>
      </c>
    </row>
    <row r="112" spans="2:17">
      <c r="B112" s="670">
        <f t="shared" si="8"/>
        <v>107</v>
      </c>
      <c r="C112" s="433">
        <v>42753</v>
      </c>
      <c r="D112" s="377" t="s">
        <v>1698</v>
      </c>
      <c r="E112" s="577">
        <v>702000</v>
      </c>
      <c r="F112" s="672" t="str">
        <f>IFERROR(VLOOKUP(E112,STAT1!$C$4:$D$1000,2,FALSE),"")</f>
        <v>Түлш, шатахуун</v>
      </c>
      <c r="G112" s="377">
        <v>20000</v>
      </c>
      <c r="H112" s="377">
        <v>0</v>
      </c>
      <c r="I112" s="596">
        <f t="shared" si="5"/>
        <v>0</v>
      </c>
      <c r="J112" s="81">
        <f t="shared" si="9"/>
        <v>0</v>
      </c>
      <c r="K112" s="81"/>
      <c r="L112" s="597">
        <v>1005</v>
      </c>
      <c r="M112" s="81" t="str">
        <f>+IFERROR(VLOOKUP(L112,DATA!$G$4:$H$2000,2,FALSE),"")</f>
        <v>Золжаргал</v>
      </c>
      <c r="N112" s="435"/>
      <c r="O112" s="81" t="str">
        <f>IFERROR(VLOOKUP(N112,DATA!$K$4:$L$51,2,FALSE),"")</f>
        <v/>
      </c>
      <c r="P112" s="81"/>
      <c r="Q112" s="152">
        <f t="shared" si="6"/>
        <v>0</v>
      </c>
    </row>
    <row r="113" spans="2:17">
      <c r="B113" s="670">
        <f t="shared" si="8"/>
        <v>108</v>
      </c>
      <c r="C113" s="433">
        <v>42753</v>
      </c>
      <c r="D113" s="598" t="s">
        <v>1741</v>
      </c>
      <c r="E113" s="577">
        <v>110100</v>
      </c>
      <c r="F113" s="672" t="str">
        <f>IFERROR(VLOOKUP(E113,STAT1!$C$4:$D$1000,2,FALSE),"")</f>
        <v>Хаан Банк 5024654020</v>
      </c>
      <c r="G113" s="377">
        <v>300000</v>
      </c>
      <c r="H113" s="377"/>
      <c r="I113" s="596">
        <f t="shared" si="5"/>
        <v>300000</v>
      </c>
      <c r="J113" s="81">
        <f t="shared" si="9"/>
        <v>0</v>
      </c>
      <c r="K113" s="81"/>
      <c r="L113" s="597">
        <v>3003</v>
      </c>
      <c r="M113" s="81" t="str">
        <f>+IFERROR(VLOOKUP(L113,DATA!$G$4:$H$2000,2,FALSE),"")</f>
        <v xml:space="preserve">МУХИА ХХК </v>
      </c>
      <c r="N113" s="435">
        <v>41</v>
      </c>
      <c r="O113" s="81" t="str">
        <f>IFERROR(VLOOKUP(N113,DATA!$K$4:$L$51,2,FALSE),"")</f>
        <v>Бараа борлуулсан, үйлчилгээ үзүүлсэний орлого</v>
      </c>
      <c r="P113" s="81"/>
      <c r="Q113" s="152">
        <f t="shared" si="6"/>
        <v>1</v>
      </c>
    </row>
    <row r="114" spans="2:17">
      <c r="B114" s="670">
        <f t="shared" si="8"/>
        <v>109</v>
      </c>
      <c r="C114" s="433">
        <v>42753</v>
      </c>
      <c r="D114" s="598" t="s">
        <v>1741</v>
      </c>
      <c r="E114" s="577">
        <v>320100</v>
      </c>
      <c r="F114" s="672" t="str">
        <f>IFERROR(VLOOKUP(E114,STAT1!$C$4:$D$1000,2,FALSE),"")</f>
        <v>Урьдчилж орсон орлого MNT</v>
      </c>
      <c r="G114" s="377">
        <v>0</v>
      </c>
      <c r="H114" s="377">
        <v>300000</v>
      </c>
      <c r="I114" s="596">
        <f t="shared" si="5"/>
        <v>0</v>
      </c>
      <c r="J114" s="81">
        <f t="shared" si="9"/>
        <v>0</v>
      </c>
      <c r="K114" s="81"/>
      <c r="L114" s="597">
        <v>3003</v>
      </c>
      <c r="M114" s="81" t="str">
        <f>+IFERROR(VLOOKUP(L114,DATA!$G$4:$H$2000,2,FALSE),"")</f>
        <v xml:space="preserve">МУХИА ХХК </v>
      </c>
      <c r="N114" s="435"/>
      <c r="O114" s="81" t="str">
        <f>IFERROR(VLOOKUP(N114,DATA!$K$4:$L$51,2,FALSE),"")</f>
        <v/>
      </c>
      <c r="P114" s="81"/>
      <c r="Q114" s="152">
        <f t="shared" si="6"/>
        <v>0</v>
      </c>
    </row>
    <row r="115" spans="2:17">
      <c r="B115" s="670">
        <f t="shared" si="8"/>
        <v>110</v>
      </c>
      <c r="C115" s="433">
        <v>42754</v>
      </c>
      <c r="D115" s="377" t="s">
        <v>1699</v>
      </c>
      <c r="E115" s="577">
        <v>100100</v>
      </c>
      <c r="F115" s="672" t="str">
        <f>IFERROR(VLOOKUP(E115,STAT1!$C$4:$D$1000,2,FALSE),"")</f>
        <v>Касс мөнгө MNT</v>
      </c>
      <c r="G115" s="377"/>
      <c r="H115" s="377">
        <v>90000</v>
      </c>
      <c r="I115" s="596">
        <f t="shared" si="5"/>
        <v>-90000</v>
      </c>
      <c r="J115" s="81">
        <f t="shared" si="9"/>
        <v>0</v>
      </c>
      <c r="K115" s="81"/>
      <c r="L115" s="597">
        <v>1005</v>
      </c>
      <c r="M115" s="81" t="str">
        <f>+IFERROR(VLOOKUP(L115,DATA!$G$4:$H$2000,2,FALSE),"")</f>
        <v>Золжаргал</v>
      </c>
      <c r="N115" s="435"/>
      <c r="O115" s="81" t="str">
        <f>IFERROR(VLOOKUP(N115,DATA!$K$4:$L$51,2,FALSE),"")</f>
        <v/>
      </c>
      <c r="P115" s="81"/>
      <c r="Q115" s="152">
        <f t="shared" si="6"/>
        <v>1</v>
      </c>
    </row>
    <row r="116" spans="2:17">
      <c r="B116" s="670">
        <f t="shared" si="8"/>
        <v>111</v>
      </c>
      <c r="C116" s="433">
        <v>42754</v>
      </c>
      <c r="D116" s="377" t="s">
        <v>1699</v>
      </c>
      <c r="E116" s="577">
        <v>110100</v>
      </c>
      <c r="F116" s="672" t="str">
        <f>IFERROR(VLOOKUP(E116,STAT1!$C$4:$D$1000,2,FALSE),"")</f>
        <v>Хаан Банк 5024654020</v>
      </c>
      <c r="G116" s="377">
        <v>90000</v>
      </c>
      <c r="H116" s="377">
        <v>0</v>
      </c>
      <c r="I116" s="596">
        <f t="shared" si="5"/>
        <v>90000</v>
      </c>
      <c r="J116" s="81">
        <f t="shared" si="9"/>
        <v>0</v>
      </c>
      <c r="K116" s="81"/>
      <c r="L116" s="597">
        <v>1005</v>
      </c>
      <c r="M116" s="81" t="str">
        <f>+IFERROR(VLOOKUP(L116,DATA!$G$4:$H$2000,2,FALSE),"")</f>
        <v>Золжаргал</v>
      </c>
      <c r="N116" s="435"/>
      <c r="O116" s="81" t="str">
        <f>IFERROR(VLOOKUP(N116,DATA!$K$4:$L$51,2,FALSE),"")</f>
        <v/>
      </c>
      <c r="P116" s="81"/>
      <c r="Q116" s="152">
        <f t="shared" si="6"/>
        <v>1</v>
      </c>
    </row>
    <row r="117" spans="2:17">
      <c r="B117" s="670">
        <f t="shared" si="8"/>
        <v>112</v>
      </c>
      <c r="C117" s="433">
        <v>42754</v>
      </c>
      <c r="D117" s="377" t="s">
        <v>1699</v>
      </c>
      <c r="E117" s="577">
        <v>100100</v>
      </c>
      <c r="F117" s="672" t="str">
        <f>IFERROR(VLOOKUP(E117,STAT1!$C$4:$D$1000,2,FALSE),"")</f>
        <v>Касс мөнгө MNT</v>
      </c>
      <c r="G117" s="377"/>
      <c r="H117" s="377">
        <v>4310000</v>
      </c>
      <c r="I117" s="596">
        <f t="shared" si="5"/>
        <v>-4310000</v>
      </c>
      <c r="J117" s="81">
        <f t="shared" si="9"/>
        <v>0</v>
      </c>
      <c r="K117" s="81"/>
      <c r="L117" s="597">
        <v>1005</v>
      </c>
      <c r="M117" s="81" t="str">
        <f>+IFERROR(VLOOKUP(L117,DATA!$G$4:$H$2000,2,FALSE),"")</f>
        <v>Золжаргал</v>
      </c>
      <c r="N117" s="435"/>
      <c r="O117" s="81" t="str">
        <f>IFERROR(VLOOKUP(N117,DATA!$K$4:$L$51,2,FALSE),"")</f>
        <v/>
      </c>
      <c r="P117" s="81"/>
      <c r="Q117" s="152">
        <f t="shared" si="6"/>
        <v>1</v>
      </c>
    </row>
    <row r="118" spans="2:17">
      <c r="B118" s="670">
        <f t="shared" si="8"/>
        <v>113</v>
      </c>
      <c r="C118" s="433">
        <v>42754</v>
      </c>
      <c r="D118" s="377" t="s">
        <v>1699</v>
      </c>
      <c r="E118" s="577">
        <v>110100</v>
      </c>
      <c r="F118" s="672" t="str">
        <f>IFERROR(VLOOKUP(E118,STAT1!$C$4:$D$1000,2,FALSE),"")</f>
        <v>Хаан Банк 5024654020</v>
      </c>
      <c r="G118" s="377">
        <v>4310000</v>
      </c>
      <c r="H118" s="377">
        <v>0</v>
      </c>
      <c r="I118" s="596">
        <f t="shared" si="5"/>
        <v>4310000</v>
      </c>
      <c r="J118" s="81">
        <f t="shared" si="9"/>
        <v>0</v>
      </c>
      <c r="K118" s="81"/>
      <c r="L118" s="597">
        <v>1005</v>
      </c>
      <c r="M118" s="81" t="str">
        <f>+IFERROR(VLOOKUP(L118,DATA!$G$4:$H$2000,2,FALSE),"")</f>
        <v>Золжаргал</v>
      </c>
      <c r="N118" s="435"/>
      <c r="O118" s="81" t="str">
        <f>IFERROR(VLOOKUP(N118,DATA!$K$4:$L$51,2,FALSE),"")</f>
        <v/>
      </c>
      <c r="P118" s="81"/>
      <c r="Q118" s="152">
        <f t="shared" si="6"/>
        <v>1</v>
      </c>
    </row>
    <row r="119" spans="2:17">
      <c r="B119" s="670">
        <f t="shared" si="8"/>
        <v>114</v>
      </c>
      <c r="C119" s="601">
        <v>42755</v>
      </c>
      <c r="D119" s="372" t="s">
        <v>2688</v>
      </c>
      <c r="E119" s="577">
        <v>160100</v>
      </c>
      <c r="F119" s="672" t="str">
        <f>IFERROR(VLOOKUP(E119,STAT1!$C$4:$D$1000,2,FALSE),"")</f>
        <v xml:space="preserve">Барилгын материал </v>
      </c>
      <c r="G119" s="431">
        <v>77272.727199999994</v>
      </c>
      <c r="H119" s="431"/>
      <c r="I119" s="596">
        <f t="shared" si="5"/>
        <v>0</v>
      </c>
      <c r="J119" s="81">
        <f t="shared" si="9"/>
        <v>0</v>
      </c>
      <c r="K119" s="432"/>
      <c r="L119" s="597">
        <v>1004</v>
      </c>
      <c r="M119" s="81" t="str">
        <f>+IFERROR(VLOOKUP(L119,DATA!$G$4:$H$2000,2,FALSE),"")</f>
        <v xml:space="preserve">Түмэндэлгэр </v>
      </c>
      <c r="N119" s="435"/>
      <c r="O119" s="81" t="str">
        <f>IFERROR(VLOOKUP(N119,DATA!$K$4:$L$51,2,FALSE),"")</f>
        <v/>
      </c>
      <c r="P119" s="81"/>
      <c r="Q119" s="152">
        <f t="shared" si="6"/>
        <v>0</v>
      </c>
    </row>
    <row r="120" spans="2:17">
      <c r="B120" s="670">
        <f t="shared" si="8"/>
        <v>115</v>
      </c>
      <c r="C120" s="601">
        <v>42755</v>
      </c>
      <c r="D120" s="372" t="s">
        <v>587</v>
      </c>
      <c r="E120" s="577">
        <v>120600</v>
      </c>
      <c r="F120" s="672" t="str">
        <f>IFERROR(VLOOKUP(E120,STAT1!$C$4:$D$1000,2,FALSE),"")</f>
        <v>НӨАТ авлага</v>
      </c>
      <c r="G120" s="431">
        <v>7727.2727199999999</v>
      </c>
      <c r="H120" s="431"/>
      <c r="I120" s="596">
        <f t="shared" si="5"/>
        <v>0</v>
      </c>
      <c r="J120" s="81">
        <f t="shared" si="9"/>
        <v>0</v>
      </c>
      <c r="K120" s="432"/>
      <c r="L120" s="597">
        <v>1004</v>
      </c>
      <c r="M120" s="81" t="str">
        <f>+IFERROR(VLOOKUP(L120,DATA!$G$4:$H$2000,2,FALSE),"")</f>
        <v xml:space="preserve">Түмэндэлгэр </v>
      </c>
      <c r="N120" s="435"/>
      <c r="O120" s="81" t="str">
        <f>IFERROR(VLOOKUP(N120,DATA!$K$4:$L$51,2,FALSE),"")</f>
        <v/>
      </c>
      <c r="P120" s="81"/>
      <c r="Q120" s="152">
        <f t="shared" si="6"/>
        <v>0</v>
      </c>
    </row>
    <row r="121" spans="2:17">
      <c r="B121" s="670">
        <f t="shared" si="8"/>
        <v>116</v>
      </c>
      <c r="C121" s="601">
        <v>42755</v>
      </c>
      <c r="D121" s="372" t="s">
        <v>587</v>
      </c>
      <c r="E121" s="577">
        <v>121200</v>
      </c>
      <c r="F121" s="672" t="str">
        <f>IFERROR(VLOOKUP(E121,STAT1!$C$4:$D$1000,2,FALSE),"")</f>
        <v xml:space="preserve">Ажилчидын дараа тайлангийн тооцоо </v>
      </c>
      <c r="G121" s="430"/>
      <c r="H121" s="431">
        <v>85000</v>
      </c>
      <c r="I121" s="596">
        <f t="shared" si="5"/>
        <v>0</v>
      </c>
      <c r="J121" s="81">
        <f t="shared" si="9"/>
        <v>0</v>
      </c>
      <c r="K121" s="432"/>
      <c r="L121" s="597">
        <v>1004</v>
      </c>
      <c r="M121" s="81" t="str">
        <f>+IFERROR(VLOOKUP(L121,DATA!$G$4:$H$2000,2,FALSE),"")</f>
        <v xml:space="preserve">Түмэндэлгэр </v>
      </c>
      <c r="N121" s="435"/>
      <c r="O121" s="81" t="str">
        <f>IFERROR(VLOOKUP(N121,DATA!$K$4:$L$51,2,FALSE),"")</f>
        <v/>
      </c>
      <c r="P121" s="81"/>
      <c r="Q121" s="152">
        <f t="shared" si="6"/>
        <v>0</v>
      </c>
    </row>
    <row r="122" spans="2:17">
      <c r="B122" s="670">
        <f t="shared" si="8"/>
        <v>117</v>
      </c>
      <c r="C122" s="433">
        <v>42755</v>
      </c>
      <c r="D122" s="434" t="s">
        <v>2682</v>
      </c>
      <c r="E122" s="676">
        <v>150101</v>
      </c>
      <c r="F122" s="672" t="str">
        <f>IFERROR(VLOOKUP(E122,STAT1!$C$4:$D$1000,2,FALSE),"")</f>
        <v>Бараа бэлэн бүтээгдэхүүн БОЛОВСРУУЛАХ ЦЕХ /нарс/</v>
      </c>
      <c r="G122" s="431"/>
      <c r="H122" s="431">
        <v>1379912.1518057741</v>
      </c>
      <c r="I122" s="596">
        <f t="shared" si="5"/>
        <v>0</v>
      </c>
      <c r="J122" s="81">
        <f t="shared" si="9"/>
        <v>0</v>
      </c>
      <c r="K122" s="81"/>
      <c r="L122" s="597">
        <v>3006</v>
      </c>
      <c r="M122" s="81" t="str">
        <f>+IFERROR(VLOOKUP(L122,DATA!$G$4:$H$2000,2,FALSE),"")</f>
        <v xml:space="preserve">ПАЙОНЕРИНГ ИНТЕРНЭШНЛ ХХК </v>
      </c>
      <c r="N122" s="435"/>
      <c r="O122" s="81" t="str">
        <f>IFERROR(VLOOKUP(N122,DATA!$K$4:$L$51,2,FALSE),"")</f>
        <v/>
      </c>
      <c r="P122" s="81"/>
      <c r="Q122" s="152">
        <f t="shared" si="6"/>
        <v>0</v>
      </c>
    </row>
    <row r="123" spans="2:17">
      <c r="B123" s="670">
        <f t="shared" si="8"/>
        <v>118</v>
      </c>
      <c r="C123" s="433">
        <v>42755</v>
      </c>
      <c r="D123" s="434"/>
      <c r="E123" s="675">
        <v>610100</v>
      </c>
      <c r="F123" s="672" t="str">
        <f>IFERROR(VLOOKUP(E123,STAT1!$C$4:$D$1000,2,FALSE),"")</f>
        <v>Борлуулсан барааны өртөг</v>
      </c>
      <c r="G123" s="431">
        <v>1379912.1518057741</v>
      </c>
      <c r="H123" s="431"/>
      <c r="I123" s="596">
        <f t="shared" si="5"/>
        <v>0</v>
      </c>
      <c r="J123" s="81">
        <f t="shared" si="9"/>
        <v>0</v>
      </c>
      <c r="K123" s="81"/>
      <c r="L123" s="597">
        <v>3006</v>
      </c>
      <c r="M123" s="81" t="str">
        <f>+IFERROR(VLOOKUP(L123,DATA!$G$4:$H$2000,2,FALSE),"")</f>
        <v xml:space="preserve">ПАЙОНЕРИНГ ИНТЕРНЭШНЛ ХХК </v>
      </c>
      <c r="N123" s="435"/>
      <c r="O123" s="81"/>
      <c r="P123" s="81"/>
      <c r="Q123" s="152">
        <f t="shared" si="6"/>
        <v>0</v>
      </c>
    </row>
    <row r="124" spans="2:17">
      <c r="B124" s="670">
        <f t="shared" si="8"/>
        <v>119</v>
      </c>
      <c r="C124" s="433">
        <v>42755</v>
      </c>
      <c r="D124" s="434" t="s">
        <v>587</v>
      </c>
      <c r="E124" s="675">
        <v>310500</v>
      </c>
      <c r="F124" s="672" t="str">
        <f>IFERROR(VLOOKUP(E124,STAT1!$C$4:$D$1000,2,FALSE),"")</f>
        <v>НӨАТ өглөг</v>
      </c>
      <c r="G124" s="431"/>
      <c r="H124" s="431">
        <v>183992.36374580002</v>
      </c>
      <c r="I124" s="596">
        <f t="shared" si="5"/>
        <v>0</v>
      </c>
      <c r="J124" s="81">
        <f t="shared" si="9"/>
        <v>0</v>
      </c>
      <c r="K124" s="81"/>
      <c r="L124" s="597">
        <v>3006</v>
      </c>
      <c r="M124" s="81" t="str">
        <f>+IFERROR(VLOOKUP(L124,DATA!$G$4:$H$2000,2,FALSE),"")</f>
        <v xml:space="preserve">ПАЙОНЕРИНГ ИНТЕРНЭШНЛ ХХК </v>
      </c>
      <c r="N124" s="435"/>
      <c r="O124" s="81" t="str">
        <f>IFERROR(VLOOKUP(N124,DATA!$K$4:$L$51,2,FALSE),"")</f>
        <v/>
      </c>
      <c r="P124" s="81"/>
      <c r="Q124" s="152">
        <f t="shared" si="6"/>
        <v>0</v>
      </c>
    </row>
    <row r="125" spans="2:17">
      <c r="B125" s="670">
        <f t="shared" si="8"/>
        <v>120</v>
      </c>
      <c r="C125" s="433">
        <v>42755</v>
      </c>
      <c r="D125" s="434" t="s">
        <v>587</v>
      </c>
      <c r="E125" s="675">
        <v>510000</v>
      </c>
      <c r="F125" s="672" t="str">
        <f>IFERROR(VLOOKUP(E125,STAT1!$C$4:$D$1000,2,FALSE),"")</f>
        <v>Үндсэн үйл ажиллагааны борлуулалт</v>
      </c>
      <c r="G125" s="431"/>
      <c r="H125" s="431">
        <v>1839923.6374580001</v>
      </c>
      <c r="I125" s="596">
        <f t="shared" si="5"/>
        <v>0</v>
      </c>
      <c r="J125" s="81">
        <f t="shared" si="9"/>
        <v>0</v>
      </c>
      <c r="K125" s="81"/>
      <c r="L125" s="597">
        <v>3006</v>
      </c>
      <c r="M125" s="81" t="str">
        <f>+IFERROR(VLOOKUP(L125,DATA!$G$4:$H$2000,2,FALSE),"")</f>
        <v xml:space="preserve">ПАЙОНЕРИНГ ИНТЕРНЭШНЛ ХХК </v>
      </c>
      <c r="N125" s="435"/>
      <c r="O125" s="81" t="str">
        <f>IFERROR(VLOOKUP(N125,DATA!$K$4:$L$51,2,FALSE),"")</f>
        <v/>
      </c>
      <c r="P125" s="81"/>
      <c r="Q125" s="152">
        <f t="shared" si="6"/>
        <v>0</v>
      </c>
    </row>
    <row r="126" spans="2:17">
      <c r="B126" s="670">
        <f t="shared" si="8"/>
        <v>121</v>
      </c>
      <c r="C126" s="433">
        <v>42755</v>
      </c>
      <c r="D126" s="434" t="s">
        <v>587</v>
      </c>
      <c r="E126" s="675">
        <v>320100</v>
      </c>
      <c r="F126" s="672" t="str">
        <f>IFERROR(VLOOKUP(E126,STAT1!$C$4:$D$1000,2,FALSE),"")</f>
        <v>Урьдчилж орсон орлого MNT</v>
      </c>
      <c r="G126" s="431">
        <v>2023916.0012038001</v>
      </c>
      <c r="H126" s="431"/>
      <c r="I126" s="596">
        <f t="shared" si="5"/>
        <v>0</v>
      </c>
      <c r="J126" s="81">
        <f t="shared" si="9"/>
        <v>0</v>
      </c>
      <c r="K126" s="81"/>
      <c r="L126" s="597">
        <v>3006</v>
      </c>
      <c r="M126" s="81" t="str">
        <f>+IFERROR(VLOOKUP(L126,DATA!$G$4:$H$2000,2,FALSE),"")</f>
        <v xml:space="preserve">ПАЙОНЕРИНГ ИНТЕРНЭШНЛ ХХК </v>
      </c>
      <c r="N126" s="435"/>
      <c r="O126" s="81" t="str">
        <f>IFERROR(VLOOKUP(N126,DATA!$K$4:$L$51,2,FALSE),"")</f>
        <v/>
      </c>
      <c r="P126" s="81"/>
      <c r="Q126" s="152">
        <f t="shared" si="6"/>
        <v>0</v>
      </c>
    </row>
    <row r="127" spans="2:17">
      <c r="B127" s="670">
        <f t="shared" si="8"/>
        <v>122</v>
      </c>
      <c r="C127" s="433">
        <v>42755</v>
      </c>
      <c r="D127" s="377" t="s">
        <v>1700</v>
      </c>
      <c r="E127" s="577">
        <v>100100</v>
      </c>
      <c r="F127" s="672" t="str">
        <f>IFERROR(VLOOKUP(E127,STAT1!$C$4:$D$1000,2,FALSE),"")</f>
        <v>Касс мөнгө MNT</v>
      </c>
      <c r="G127" s="377"/>
      <c r="H127" s="377">
        <v>40000</v>
      </c>
      <c r="I127" s="596">
        <f t="shared" si="5"/>
        <v>-40000</v>
      </c>
      <c r="J127" s="81">
        <f t="shared" si="9"/>
        <v>0</v>
      </c>
      <c r="K127" s="81"/>
      <c r="L127" s="597">
        <v>1004</v>
      </c>
      <c r="M127" s="81" t="str">
        <f>+IFERROR(VLOOKUP(L127,DATA!$G$4:$H$2000,2,FALSE),"")</f>
        <v xml:space="preserve">Түмэндэлгэр </v>
      </c>
      <c r="N127" s="435">
        <v>55</v>
      </c>
      <c r="O127" s="81" t="str">
        <f>IFERROR(VLOOKUP(N127,DATA!$K$4:$L$51,2,FALSE),"")</f>
        <v>Түлш, шатахуун, тээврийн хөлс, сэлбэг хэрэгсэлд төлсөн</v>
      </c>
      <c r="P127" s="81"/>
      <c r="Q127" s="152">
        <f t="shared" si="6"/>
        <v>1</v>
      </c>
    </row>
    <row r="128" spans="2:17">
      <c r="B128" s="670">
        <f t="shared" si="8"/>
        <v>123</v>
      </c>
      <c r="C128" s="433">
        <v>42755</v>
      </c>
      <c r="D128" s="377" t="s">
        <v>1700</v>
      </c>
      <c r="E128" s="577">
        <v>702000</v>
      </c>
      <c r="F128" s="672" t="str">
        <f>IFERROR(VLOOKUP(E128,STAT1!$C$4:$D$1000,2,FALSE),"")</f>
        <v>Түлш, шатахуун</v>
      </c>
      <c r="G128" s="377">
        <v>40000</v>
      </c>
      <c r="H128" s="377"/>
      <c r="I128" s="596">
        <f t="shared" si="5"/>
        <v>0</v>
      </c>
      <c r="J128" s="81">
        <f t="shared" si="9"/>
        <v>0</v>
      </c>
      <c r="K128" s="81"/>
      <c r="L128" s="597">
        <v>1004</v>
      </c>
      <c r="M128" s="81" t="str">
        <f>+IFERROR(VLOOKUP(L128,DATA!$G$4:$H$2000,2,FALSE),"")</f>
        <v xml:space="preserve">Түмэндэлгэр </v>
      </c>
      <c r="N128" s="435"/>
      <c r="O128" s="81"/>
      <c r="P128" s="81"/>
      <c r="Q128" s="152">
        <f t="shared" si="6"/>
        <v>0</v>
      </c>
    </row>
    <row r="129" spans="2:17">
      <c r="B129" s="670">
        <f t="shared" si="8"/>
        <v>124</v>
      </c>
      <c r="C129" s="433">
        <v>42755</v>
      </c>
      <c r="D129" s="377" t="s">
        <v>1700</v>
      </c>
      <c r="E129" s="577">
        <v>100100</v>
      </c>
      <c r="F129" s="672" t="str">
        <f>IFERROR(VLOOKUP(E129,STAT1!$C$4:$D$1000,2,FALSE),"")</f>
        <v>Касс мөнгө MNT</v>
      </c>
      <c r="G129" s="377"/>
      <c r="H129" s="377">
        <v>85000</v>
      </c>
      <c r="I129" s="596">
        <f t="shared" si="5"/>
        <v>-85000</v>
      </c>
      <c r="J129" s="81"/>
      <c r="K129" s="81"/>
      <c r="L129" s="597">
        <v>1004</v>
      </c>
      <c r="M129" s="81" t="str">
        <f>+IFERROR(VLOOKUP(L129,DATA!$G$4:$H$2000,2,FALSE),"")</f>
        <v xml:space="preserve">Түмэндэлгэр </v>
      </c>
      <c r="N129" s="435">
        <v>53</v>
      </c>
      <c r="O129" s="81" t="str">
        <f>IFERROR(VLOOKUP(N129,DATA!$K$4:$L$51,2,FALSE),"")</f>
        <v>Бараа материал худалдан авахад төлсөн</v>
      </c>
      <c r="P129" s="81"/>
      <c r="Q129" s="152">
        <f t="shared" si="6"/>
        <v>1</v>
      </c>
    </row>
    <row r="130" spans="2:17">
      <c r="B130" s="670">
        <f t="shared" si="8"/>
        <v>125</v>
      </c>
      <c r="C130" s="433">
        <v>42755</v>
      </c>
      <c r="D130" s="377" t="s">
        <v>1700</v>
      </c>
      <c r="E130" s="577">
        <v>121200</v>
      </c>
      <c r="F130" s="672" t="str">
        <f>IFERROR(VLOOKUP(E130,STAT1!$C$4:$D$1000,2,FALSE),"")</f>
        <v xml:space="preserve">Ажилчидын дараа тайлангийн тооцоо </v>
      </c>
      <c r="G130" s="377">
        <v>85000</v>
      </c>
      <c r="H130" s="377">
        <v>0</v>
      </c>
      <c r="I130" s="596">
        <f t="shared" si="5"/>
        <v>0</v>
      </c>
      <c r="J130" s="81"/>
      <c r="K130" s="81"/>
      <c r="L130" s="597">
        <v>1004</v>
      </c>
      <c r="M130" s="81" t="str">
        <f>+IFERROR(VLOOKUP(L130,DATA!$G$4:$H$2000,2,FALSE),"")</f>
        <v xml:space="preserve">Түмэндэлгэр </v>
      </c>
      <c r="N130" s="435"/>
      <c r="O130" s="81" t="str">
        <f>IFERROR(VLOOKUP(N130,DATA!$K$4:$L$51,2,FALSE),"")</f>
        <v/>
      </c>
      <c r="P130" s="81"/>
      <c r="Q130" s="152">
        <f t="shared" si="6"/>
        <v>0</v>
      </c>
    </row>
    <row r="131" spans="2:17">
      <c r="B131" s="670">
        <f t="shared" si="8"/>
        <v>126</v>
      </c>
      <c r="C131" s="433">
        <v>42755</v>
      </c>
      <c r="D131" s="377" t="s">
        <v>1698</v>
      </c>
      <c r="E131" s="577">
        <v>100100</v>
      </c>
      <c r="F131" s="672" t="str">
        <f>IFERROR(VLOOKUP(E131,STAT1!$C$4:$D$1000,2,FALSE),"")</f>
        <v>Касс мөнгө MNT</v>
      </c>
      <c r="G131" s="377"/>
      <c r="H131" s="377">
        <v>50340</v>
      </c>
      <c r="I131" s="596">
        <f t="shared" si="5"/>
        <v>-50340</v>
      </c>
      <c r="J131" s="81"/>
      <c r="K131" s="81"/>
      <c r="L131" s="597">
        <v>1005</v>
      </c>
      <c r="M131" s="81" t="str">
        <f>+IFERROR(VLOOKUP(L131,DATA!$G$4:$H$2000,2,FALSE),"")</f>
        <v>Золжаргал</v>
      </c>
      <c r="N131" s="435">
        <v>53</v>
      </c>
      <c r="O131" s="81" t="str">
        <f>IFERROR(VLOOKUP(N131,DATA!$K$4:$L$51,2,FALSE),"")</f>
        <v>Бараа материал худалдан авахад төлсөн</v>
      </c>
      <c r="P131" s="81"/>
      <c r="Q131" s="152">
        <f t="shared" si="6"/>
        <v>1</v>
      </c>
    </row>
    <row r="132" spans="2:17">
      <c r="B132" s="670">
        <f t="shared" si="8"/>
        <v>127</v>
      </c>
      <c r="C132" s="433">
        <v>42755</v>
      </c>
      <c r="D132" s="377" t="s">
        <v>1698</v>
      </c>
      <c r="E132" s="577">
        <v>120600</v>
      </c>
      <c r="F132" s="672" t="str">
        <f>IFERROR(VLOOKUP(E132,STAT1!$C$4:$D$1000,2,FALSE),"")</f>
        <v>НӨАТ авлага</v>
      </c>
      <c r="G132" s="377">
        <v>940</v>
      </c>
      <c r="H132" s="377"/>
      <c r="I132" s="596">
        <f t="shared" si="5"/>
        <v>0</v>
      </c>
      <c r="J132" s="81"/>
      <c r="K132" s="81"/>
      <c r="L132" s="597">
        <v>1005</v>
      </c>
      <c r="M132" s="81" t="str">
        <f>+IFERROR(VLOOKUP(L132,DATA!$G$4:$H$2000,2,FALSE),"")</f>
        <v>Золжаргал</v>
      </c>
      <c r="N132" s="435"/>
      <c r="O132" s="81" t="str">
        <f>IFERROR(VLOOKUP(N132,DATA!$K$4:$L$51,2,FALSE),"")</f>
        <v/>
      </c>
      <c r="P132" s="81"/>
      <c r="Q132" s="152">
        <f t="shared" si="6"/>
        <v>0</v>
      </c>
    </row>
    <row r="133" spans="2:17">
      <c r="B133" s="670">
        <f t="shared" si="8"/>
        <v>128</v>
      </c>
      <c r="C133" s="433">
        <v>42755</v>
      </c>
      <c r="D133" s="377" t="s">
        <v>1698</v>
      </c>
      <c r="E133" s="577">
        <v>702000</v>
      </c>
      <c r="F133" s="672" t="str">
        <f>IFERROR(VLOOKUP(E133,STAT1!$C$4:$D$1000,2,FALSE),"")</f>
        <v>Түлш, шатахуун</v>
      </c>
      <c r="G133" s="377">
        <v>40000</v>
      </c>
      <c r="H133" s="377"/>
      <c r="I133" s="596">
        <f t="shared" si="5"/>
        <v>0</v>
      </c>
      <c r="J133" s="81"/>
      <c r="K133" s="81"/>
      <c r="L133" s="597">
        <v>1005</v>
      </c>
      <c r="M133" s="81" t="str">
        <f>+IFERROR(VLOOKUP(L133,DATA!$G$4:$H$2000,2,FALSE),"")</f>
        <v>Золжаргал</v>
      </c>
      <c r="N133" s="435"/>
      <c r="O133" s="81" t="str">
        <f>IFERROR(VLOOKUP(N133,DATA!$K$4:$L$51,2,FALSE),"")</f>
        <v/>
      </c>
      <c r="P133" s="81"/>
      <c r="Q133" s="152">
        <f t="shared" si="6"/>
        <v>0</v>
      </c>
    </row>
    <row r="134" spans="2:17">
      <c r="B134" s="670">
        <f t="shared" si="8"/>
        <v>129</v>
      </c>
      <c r="C134" s="433">
        <v>42755</v>
      </c>
      <c r="D134" s="377" t="s">
        <v>1698</v>
      </c>
      <c r="E134" s="577">
        <v>703700</v>
      </c>
      <c r="F134" s="672" t="str">
        <f>IFERROR(VLOOKUP(E134,STAT1!$C$4:$D$1000,2,FALSE),"")</f>
        <v>Бичиг хэргийн зардал</v>
      </c>
      <c r="G134" s="377">
        <v>9400</v>
      </c>
      <c r="H134" s="377">
        <v>0</v>
      </c>
      <c r="I134" s="596">
        <f t="shared" ref="I134:I197" si="10">+IF(OR(E134=100100,E134=100200,E134=110100,E134=110102,E134=110103,E134=110104,E134=110105,E134=110200,E134=110201,E134=110202,E134=110203,E134=110204,E134=110300),G134,0)+IF(OR(E134=100100,E134=100200,E134=110100,E134=110102,E134=110103,E134=110104,E134=110105,E134=110200,E134=110201,E134=110202,E134=110203,E134=110204,E134=110300),H134*-1,0)</f>
        <v>0</v>
      </c>
      <c r="J134" s="81"/>
      <c r="K134" s="81"/>
      <c r="L134" s="597">
        <v>1005</v>
      </c>
      <c r="M134" s="81" t="str">
        <f>+IFERROR(VLOOKUP(L134,DATA!$G$4:$H$2000,2,FALSE),"")</f>
        <v>Золжаргал</v>
      </c>
      <c r="N134" s="435"/>
      <c r="O134" s="81" t="str">
        <f>IFERROR(VLOOKUP(N134,DATA!$K$4:$L$51,2,FALSE),"")</f>
        <v/>
      </c>
      <c r="P134" s="81"/>
      <c r="Q134" s="152">
        <f t="shared" si="6"/>
        <v>0</v>
      </c>
    </row>
    <row r="135" spans="2:17">
      <c r="B135" s="670">
        <f t="shared" si="8"/>
        <v>130</v>
      </c>
      <c r="C135" s="433">
        <v>42755</v>
      </c>
      <c r="D135" s="377" t="s">
        <v>1700</v>
      </c>
      <c r="E135" s="577">
        <v>100100</v>
      </c>
      <c r="F135" s="672" t="str">
        <f>IFERROR(VLOOKUP(E135,STAT1!$C$4:$D$1000,2,FALSE),"")</f>
        <v>Касс мөнгө MNT</v>
      </c>
      <c r="G135" s="377"/>
      <c r="H135" s="377">
        <v>243400</v>
      </c>
      <c r="I135" s="596">
        <f t="shared" si="10"/>
        <v>-243400</v>
      </c>
      <c r="J135" s="81"/>
      <c r="K135" s="81"/>
      <c r="L135" s="597">
        <v>1005</v>
      </c>
      <c r="M135" s="81" t="str">
        <f>+IFERROR(VLOOKUP(L135,DATA!$G$4:$H$2000,2,FALSE),"")</f>
        <v>Золжаргал</v>
      </c>
      <c r="N135" s="435">
        <v>55</v>
      </c>
      <c r="O135" s="488" t="str">
        <f>IFERROR(VLOOKUP(N135,DATA!$K$4:$L$51,2,FALSE),"")</f>
        <v>Түлш, шатахуун, тээврийн хөлс, сэлбэг хэрэгсэлд төлсөн</v>
      </c>
      <c r="P135" s="81"/>
      <c r="Q135" s="152">
        <f t="shared" ref="Q135:Q198" si="11">+IF(I135,1,0)</f>
        <v>1</v>
      </c>
    </row>
    <row r="136" spans="2:17">
      <c r="B136" s="670">
        <f t="shared" si="8"/>
        <v>131</v>
      </c>
      <c r="C136" s="433">
        <v>42755</v>
      </c>
      <c r="D136" s="377" t="s">
        <v>1700</v>
      </c>
      <c r="E136" s="577">
        <v>120600</v>
      </c>
      <c r="F136" s="672" t="str">
        <f>IFERROR(VLOOKUP(E136,STAT1!$C$4:$D$1000,2,FALSE),"")</f>
        <v>НӨАТ авлага</v>
      </c>
      <c r="G136" s="377">
        <v>22126.989999999998</v>
      </c>
      <c r="H136" s="377"/>
      <c r="I136" s="596">
        <f t="shared" si="10"/>
        <v>0</v>
      </c>
      <c r="J136" s="81"/>
      <c r="K136" s="81"/>
      <c r="L136" s="597">
        <v>1005</v>
      </c>
      <c r="M136" s="81" t="str">
        <f>+IFERROR(VLOOKUP(L136,DATA!$G$4:$H$2000,2,FALSE),"")</f>
        <v>Золжаргал</v>
      </c>
      <c r="N136" s="435"/>
      <c r="O136" s="81" t="str">
        <f>IFERROR(VLOOKUP(N136,DATA!$K$4:$L$51,2,FALSE),"")</f>
        <v/>
      </c>
      <c r="P136" s="81"/>
      <c r="Q136" s="152">
        <f t="shared" si="11"/>
        <v>0</v>
      </c>
    </row>
    <row r="137" spans="2:17">
      <c r="B137" s="670">
        <f t="shared" si="8"/>
        <v>132</v>
      </c>
      <c r="C137" s="433">
        <v>42755</v>
      </c>
      <c r="D137" s="377" t="s">
        <v>1700</v>
      </c>
      <c r="E137" s="577">
        <v>701500</v>
      </c>
      <c r="F137" s="672" t="str">
        <f>IFERROR(VLOOKUP(E137,STAT1!$C$4:$D$1000,2,FALSE),"")</f>
        <v>Урсгал засварын зардал</v>
      </c>
      <c r="G137" s="377">
        <v>221273.01</v>
      </c>
      <c r="H137" s="377">
        <v>0</v>
      </c>
      <c r="I137" s="596">
        <f t="shared" si="10"/>
        <v>0</v>
      </c>
      <c r="J137" s="81"/>
      <c r="K137" s="81"/>
      <c r="L137" s="597">
        <v>1005</v>
      </c>
      <c r="M137" s="81" t="str">
        <f>+IFERROR(VLOOKUP(L137,DATA!$G$4:$H$2000,2,FALSE),"")</f>
        <v>Золжаргал</v>
      </c>
      <c r="N137" s="435"/>
      <c r="O137" s="81" t="str">
        <f>IFERROR(VLOOKUP(N137,DATA!$K$4:$L$51,2,FALSE),"")</f>
        <v/>
      </c>
      <c r="P137" s="81"/>
      <c r="Q137" s="152">
        <f t="shared" si="11"/>
        <v>0</v>
      </c>
    </row>
    <row r="138" spans="2:17">
      <c r="B138" s="670">
        <f t="shared" si="8"/>
        <v>133</v>
      </c>
      <c r="C138" s="433">
        <v>42755</v>
      </c>
      <c r="D138" s="377" t="s">
        <v>1741</v>
      </c>
      <c r="E138" s="577">
        <v>320100</v>
      </c>
      <c r="F138" s="672" t="str">
        <f>IFERROR(VLOOKUP(E138,STAT1!$C$4:$D$1000,2,FALSE),"")</f>
        <v>Урьдчилж орсон орлого MNT</v>
      </c>
      <c r="G138" s="377"/>
      <c r="H138" s="377">
        <v>1902740</v>
      </c>
      <c r="I138" s="596">
        <f t="shared" si="10"/>
        <v>0</v>
      </c>
      <c r="J138" s="81">
        <f t="shared" ref="J138:J151" si="12">+IF(E138=110102,I138/K138,0)</f>
        <v>0</v>
      </c>
      <c r="K138" s="81"/>
      <c r="L138" s="597">
        <v>3006</v>
      </c>
      <c r="M138" s="81" t="str">
        <f>+IFERROR(VLOOKUP(L138,DATA!$G$4:$H$2000,2,FALSE),"")</f>
        <v xml:space="preserve">ПАЙОНЕРИНГ ИНТЕРНЭШНЛ ХХК </v>
      </c>
      <c r="N138" s="435"/>
      <c r="O138" s="81" t="str">
        <f>IFERROR(VLOOKUP(N138,DATA!$K$4:$L$51,2,FALSE),"")</f>
        <v/>
      </c>
      <c r="P138" s="81"/>
      <c r="Q138" s="152">
        <f t="shared" si="11"/>
        <v>0</v>
      </c>
    </row>
    <row r="139" spans="2:17">
      <c r="B139" s="670">
        <f t="shared" ref="B139:B202" si="13">+IF(C139="","",ROW()-5)</f>
        <v>134</v>
      </c>
      <c r="C139" s="433">
        <v>42755</v>
      </c>
      <c r="D139" s="377" t="s">
        <v>1741</v>
      </c>
      <c r="E139" s="577">
        <v>100100</v>
      </c>
      <c r="F139" s="672" t="str">
        <f>IFERROR(VLOOKUP(E139,STAT1!$C$4:$D$1000,2,FALSE),"")</f>
        <v>Касс мөнгө MNT</v>
      </c>
      <c r="G139" s="377">
        <v>1902740</v>
      </c>
      <c r="H139" s="377">
        <v>0</v>
      </c>
      <c r="I139" s="596">
        <f t="shared" si="10"/>
        <v>1902740</v>
      </c>
      <c r="J139" s="81">
        <f t="shared" si="12"/>
        <v>0</v>
      </c>
      <c r="K139" s="81"/>
      <c r="L139" s="597">
        <v>3006</v>
      </c>
      <c r="M139" s="81" t="str">
        <f>+IFERROR(VLOOKUP(L139,DATA!$G$4:$H$2000,2,FALSE),"")</f>
        <v xml:space="preserve">ПАЙОНЕРИНГ ИНТЕРНЭШНЛ ХХК </v>
      </c>
      <c r="N139" s="435">
        <v>41</v>
      </c>
      <c r="O139" s="81" t="str">
        <f>IFERROR(VLOOKUP(N139,DATA!$K$4:$L$51,2,FALSE),"")</f>
        <v>Бараа борлуулсан, үйлчилгээ үзүүлсэний орлого</v>
      </c>
      <c r="P139" s="81"/>
      <c r="Q139" s="152">
        <f t="shared" si="11"/>
        <v>1</v>
      </c>
    </row>
    <row r="140" spans="2:17">
      <c r="B140" s="670">
        <f t="shared" si="13"/>
        <v>135</v>
      </c>
      <c r="C140" s="433">
        <v>42755</v>
      </c>
      <c r="D140" s="377" t="s">
        <v>1741</v>
      </c>
      <c r="E140" s="577">
        <v>320100</v>
      </c>
      <c r="F140" s="672" t="str">
        <f>IFERROR(VLOOKUP(E140,STAT1!$C$4:$D$1000,2,FALSE),"")</f>
        <v>Урьдчилж орсон орлого MNT</v>
      </c>
      <c r="G140" s="377"/>
      <c r="H140" s="377">
        <v>121176</v>
      </c>
      <c r="I140" s="596">
        <f t="shared" si="10"/>
        <v>0</v>
      </c>
      <c r="J140" s="81">
        <f t="shared" si="12"/>
        <v>0</v>
      </c>
      <c r="K140" s="81"/>
      <c r="L140" s="597">
        <v>3006</v>
      </c>
      <c r="M140" s="81" t="str">
        <f>+IFERROR(VLOOKUP(L140,DATA!$G$4:$H$2000,2,FALSE),"")</f>
        <v xml:space="preserve">ПАЙОНЕРИНГ ИНТЕРНЭШНЛ ХХК </v>
      </c>
      <c r="N140" s="435"/>
      <c r="O140" s="81" t="str">
        <f>IFERROR(VLOOKUP(N140,DATA!$K$4:$L$51,2,FALSE),"")</f>
        <v/>
      </c>
      <c r="P140" s="81"/>
      <c r="Q140" s="152">
        <f t="shared" si="11"/>
        <v>0</v>
      </c>
    </row>
    <row r="141" spans="2:17">
      <c r="B141" s="670">
        <f t="shared" si="13"/>
        <v>136</v>
      </c>
      <c r="C141" s="433">
        <v>42755</v>
      </c>
      <c r="D141" s="377" t="s">
        <v>1741</v>
      </c>
      <c r="E141" s="577">
        <v>100100</v>
      </c>
      <c r="F141" s="672" t="str">
        <f>IFERROR(VLOOKUP(E141,STAT1!$C$4:$D$1000,2,FALSE),"")</f>
        <v>Касс мөнгө MNT</v>
      </c>
      <c r="G141" s="377">
        <v>121176</v>
      </c>
      <c r="H141" s="377">
        <v>0</v>
      </c>
      <c r="I141" s="596">
        <f t="shared" si="10"/>
        <v>121176</v>
      </c>
      <c r="J141" s="81">
        <f t="shared" si="12"/>
        <v>0</v>
      </c>
      <c r="K141" s="81"/>
      <c r="L141" s="597">
        <v>3006</v>
      </c>
      <c r="M141" s="81" t="str">
        <f>+IFERROR(VLOOKUP(L141,DATA!$G$4:$H$2000,2,FALSE),"")</f>
        <v xml:space="preserve">ПАЙОНЕРИНГ ИНТЕРНЭШНЛ ХХК </v>
      </c>
      <c r="N141" s="435">
        <v>41</v>
      </c>
      <c r="O141" s="81" t="str">
        <f>IFERROR(VLOOKUP(N141,DATA!$K$4:$L$51,2,FALSE),"")</f>
        <v>Бараа борлуулсан, үйлчилгээ үзүүлсэний орлого</v>
      </c>
      <c r="P141" s="81"/>
      <c r="Q141" s="152">
        <f t="shared" si="11"/>
        <v>1</v>
      </c>
    </row>
    <row r="142" spans="2:17">
      <c r="B142" s="670">
        <f t="shared" si="13"/>
        <v>137</v>
      </c>
      <c r="C142" s="433">
        <v>42755</v>
      </c>
      <c r="D142" s="598" t="s">
        <v>1747</v>
      </c>
      <c r="E142" s="577">
        <v>702500</v>
      </c>
      <c r="F142" s="672" t="str">
        <f>IFERROR(VLOOKUP(E142,STAT1!$C$4:$D$1000,2,FALSE),"")</f>
        <v>Зээлийн хүүгийн зардал</v>
      </c>
      <c r="G142" s="377">
        <v>1903156</v>
      </c>
      <c r="H142" s="377"/>
      <c r="I142" s="596">
        <f t="shared" si="10"/>
        <v>0</v>
      </c>
      <c r="J142" s="81">
        <f t="shared" si="12"/>
        <v>0</v>
      </c>
      <c r="K142" s="81"/>
      <c r="L142" s="597">
        <v>2009</v>
      </c>
      <c r="M142" s="81" t="str">
        <f>+IFERROR(VLOOKUP(L142,DATA!$G$4:$H$2000,2,FALSE),"")</f>
        <v>ХААН БАНК</v>
      </c>
      <c r="N142" s="435"/>
      <c r="O142" s="81" t="str">
        <f>IFERROR(VLOOKUP(N142,DATA!$K$4:$L$51,2,FALSE),"")</f>
        <v/>
      </c>
      <c r="P142" s="81"/>
      <c r="Q142" s="152">
        <f t="shared" si="11"/>
        <v>0</v>
      </c>
    </row>
    <row r="143" spans="2:17">
      <c r="B143" s="670">
        <f t="shared" si="13"/>
        <v>138</v>
      </c>
      <c r="C143" s="433">
        <v>42755</v>
      </c>
      <c r="D143" s="598" t="s">
        <v>1747</v>
      </c>
      <c r="E143" s="577">
        <v>110100</v>
      </c>
      <c r="F143" s="672" t="str">
        <f>IFERROR(VLOOKUP(E143,STAT1!$C$4:$D$1000,2,FALSE),"")</f>
        <v>Хаан Банк 5024654020</v>
      </c>
      <c r="G143" s="377"/>
      <c r="H143" s="377">
        <v>1903156</v>
      </c>
      <c r="I143" s="596">
        <f t="shared" si="10"/>
        <v>-1903156</v>
      </c>
      <c r="J143" s="81">
        <f t="shared" si="12"/>
        <v>0</v>
      </c>
      <c r="K143" s="81"/>
      <c r="L143" s="597">
        <v>2009</v>
      </c>
      <c r="M143" s="81" t="str">
        <f>+IFERROR(VLOOKUP(L143,DATA!$G$4:$H$2000,2,FALSE),"")</f>
        <v>ХААН БАНК</v>
      </c>
      <c r="N143" s="435">
        <v>56</v>
      </c>
      <c r="O143" s="81" t="str">
        <f>IFERROR(VLOOKUP(N143,DATA!$K$4:$L$51,2,FALSE),"")</f>
        <v>Хүүний төлбөрт төлсөн</v>
      </c>
      <c r="P143" s="81"/>
      <c r="Q143" s="152">
        <f t="shared" si="11"/>
        <v>1</v>
      </c>
    </row>
    <row r="144" spans="2:17">
      <c r="B144" s="670">
        <f t="shared" si="13"/>
        <v>139</v>
      </c>
      <c r="C144" s="433">
        <v>42755</v>
      </c>
      <c r="D144" s="598" t="s">
        <v>1748</v>
      </c>
      <c r="E144" s="577">
        <v>700800</v>
      </c>
      <c r="F144" s="672" t="str">
        <f>IFERROR(VLOOKUP(E144,STAT1!$C$4:$D$1000,2,FALSE),"")</f>
        <v>Дулаан</v>
      </c>
      <c r="G144" s="377">
        <v>2386848.64</v>
      </c>
      <c r="H144" s="377">
        <v>0</v>
      </c>
      <c r="I144" s="596">
        <f t="shared" si="10"/>
        <v>0</v>
      </c>
      <c r="J144" s="81">
        <f t="shared" si="12"/>
        <v>0</v>
      </c>
      <c r="K144" s="81"/>
      <c r="L144" s="597">
        <v>2013</v>
      </c>
      <c r="M144" s="81" t="str">
        <f>+IFERROR(VLOOKUP(L144,DATA!$G$4:$H$2000,2,FALSE),"")</f>
        <v>УБДС ТӨХК</v>
      </c>
      <c r="N144" s="435"/>
      <c r="O144" s="81" t="str">
        <f>IFERROR(VLOOKUP(N144,DATA!$K$4:$L$51,2,FALSE),"")</f>
        <v/>
      </c>
      <c r="P144" s="81"/>
      <c r="Q144" s="152">
        <f t="shared" si="11"/>
        <v>0</v>
      </c>
    </row>
    <row r="145" spans="2:17">
      <c r="B145" s="670">
        <f t="shared" si="13"/>
        <v>140</v>
      </c>
      <c r="C145" s="433">
        <v>42755</v>
      </c>
      <c r="D145" s="598" t="s">
        <v>1748</v>
      </c>
      <c r="E145" s="577">
        <v>120600</v>
      </c>
      <c r="F145" s="672" t="str">
        <f>IFERROR(VLOOKUP(E145,STAT1!$C$4:$D$1000,2,FALSE),"")</f>
        <v>НӨАТ авлага</v>
      </c>
      <c r="G145" s="377">
        <v>438685.36</v>
      </c>
      <c r="H145" s="377">
        <v>0</v>
      </c>
      <c r="I145" s="596">
        <f t="shared" si="10"/>
        <v>0</v>
      </c>
      <c r="J145" s="81">
        <f t="shared" si="12"/>
        <v>0</v>
      </c>
      <c r="K145" s="81"/>
      <c r="L145" s="597">
        <v>2013</v>
      </c>
      <c r="M145" s="81" t="str">
        <f>+IFERROR(VLOOKUP(L145,DATA!$G$4:$H$2000,2,FALSE),"")</f>
        <v>УБДС ТӨХК</v>
      </c>
      <c r="N145" s="435"/>
      <c r="O145" s="81" t="str">
        <f>IFERROR(VLOOKUP(N145,DATA!$K$4:$L$51,2,FALSE),"")</f>
        <v/>
      </c>
      <c r="P145" s="81"/>
      <c r="Q145" s="152">
        <f t="shared" si="11"/>
        <v>0</v>
      </c>
    </row>
    <row r="146" spans="2:17">
      <c r="B146" s="670">
        <f t="shared" si="13"/>
        <v>141</v>
      </c>
      <c r="C146" s="433">
        <v>42755</v>
      </c>
      <c r="D146" s="598" t="s">
        <v>1748</v>
      </c>
      <c r="E146" s="577">
        <v>110100</v>
      </c>
      <c r="F146" s="672" t="str">
        <f>IFERROR(VLOOKUP(E146,STAT1!$C$4:$D$1000,2,FALSE),"")</f>
        <v>Хаан Банк 5024654020</v>
      </c>
      <c r="G146" s="377"/>
      <c r="H146" s="377">
        <v>2825534</v>
      </c>
      <c r="I146" s="596">
        <f t="shared" si="10"/>
        <v>-2825534</v>
      </c>
      <c r="J146" s="81">
        <f t="shared" si="12"/>
        <v>0</v>
      </c>
      <c r="K146" s="81"/>
      <c r="L146" s="597">
        <v>2013</v>
      </c>
      <c r="M146" s="81" t="str">
        <f>+IFERROR(VLOOKUP(L146,DATA!$G$4:$H$2000,2,FALSE),"")</f>
        <v>УБДС ТӨХК</v>
      </c>
      <c r="N146" s="435">
        <v>54</v>
      </c>
      <c r="O146" s="81" t="str">
        <f>IFERROR(VLOOKUP(N146,DATA!$K$4:$L$51,2,FALSE),"")</f>
        <v>Ашиглалтын зардалд төлсөн</v>
      </c>
      <c r="P146" s="81"/>
      <c r="Q146" s="152">
        <f t="shared" si="11"/>
        <v>1</v>
      </c>
    </row>
    <row r="147" spans="2:17">
      <c r="B147" s="670">
        <f t="shared" si="13"/>
        <v>142</v>
      </c>
      <c r="C147" s="433">
        <v>42756</v>
      </c>
      <c r="D147" s="434" t="s">
        <v>2685</v>
      </c>
      <c r="E147" s="676">
        <v>150101</v>
      </c>
      <c r="F147" s="672" t="str">
        <f>IFERROR(VLOOKUP(E147,STAT1!$C$4:$D$1000,2,FALSE),"")</f>
        <v>Бараа бэлэн бүтээгдэхүүн БОЛОВСРУУЛАХ ЦЕХ /нарс/</v>
      </c>
      <c r="G147" s="431"/>
      <c r="H147" s="431">
        <v>108337.48915999998</v>
      </c>
      <c r="I147" s="596">
        <f t="shared" si="10"/>
        <v>0</v>
      </c>
      <c r="J147" s="81">
        <f t="shared" si="12"/>
        <v>0</v>
      </c>
      <c r="K147" s="81"/>
      <c r="L147" s="597">
        <v>3008</v>
      </c>
      <c r="M147" s="81" t="str">
        <f>+IFERROR(VLOOKUP(L147,DATA!$G$4:$H$2000,2,FALSE),"")</f>
        <v xml:space="preserve">ГЭГЭЭН ДАЛАЙ ХХК </v>
      </c>
      <c r="N147" s="435"/>
      <c r="O147" s="81" t="str">
        <f>IFERROR(VLOOKUP(N147,DATA!$K$4:$L$51,2,FALSE),"")</f>
        <v/>
      </c>
      <c r="P147" s="81"/>
      <c r="Q147" s="152">
        <f t="shared" si="11"/>
        <v>0</v>
      </c>
    </row>
    <row r="148" spans="2:17">
      <c r="B148" s="670">
        <f t="shared" si="13"/>
        <v>143</v>
      </c>
      <c r="C148" s="433">
        <v>42756</v>
      </c>
      <c r="D148" s="434"/>
      <c r="E148" s="675">
        <v>610100</v>
      </c>
      <c r="F148" s="672" t="str">
        <f>IFERROR(VLOOKUP(E148,STAT1!$C$4:$D$1000,2,FALSE),"")</f>
        <v>Борлуулсан барааны өртөг</v>
      </c>
      <c r="G148" s="431">
        <v>108337.48915999998</v>
      </c>
      <c r="H148" s="431"/>
      <c r="I148" s="596">
        <f t="shared" si="10"/>
        <v>0</v>
      </c>
      <c r="J148" s="81">
        <f t="shared" si="12"/>
        <v>0</v>
      </c>
      <c r="K148" s="81"/>
      <c r="L148" s="597">
        <v>3008</v>
      </c>
      <c r="M148" s="81" t="str">
        <f>+IFERROR(VLOOKUP(L148,DATA!$G$4:$H$2000,2,FALSE),"")</f>
        <v xml:space="preserve">ГЭГЭЭН ДАЛАЙ ХХК </v>
      </c>
      <c r="N148" s="435"/>
      <c r="O148" s="81"/>
      <c r="P148" s="81"/>
      <c r="Q148" s="152">
        <f t="shared" si="11"/>
        <v>0</v>
      </c>
    </row>
    <row r="149" spans="2:17">
      <c r="B149" s="670">
        <f t="shared" si="13"/>
        <v>144</v>
      </c>
      <c r="C149" s="433">
        <v>42756</v>
      </c>
      <c r="D149" s="434" t="s">
        <v>587</v>
      </c>
      <c r="E149" s="675">
        <v>310500</v>
      </c>
      <c r="F149" s="672" t="str">
        <f>IFERROR(VLOOKUP(E149,STAT1!$C$4:$D$1000,2,FALSE),"")</f>
        <v>НӨАТ өглөг</v>
      </c>
      <c r="G149" s="431"/>
      <c r="H149" s="431">
        <v>20440.908904039999</v>
      </c>
      <c r="I149" s="596">
        <f t="shared" si="10"/>
        <v>0</v>
      </c>
      <c r="J149" s="81">
        <f t="shared" si="12"/>
        <v>0</v>
      </c>
      <c r="K149" s="81"/>
      <c r="L149" s="597">
        <v>3008</v>
      </c>
      <c r="M149" s="81" t="str">
        <f>+IFERROR(VLOOKUP(L149,DATA!$G$4:$H$2000,2,FALSE),"")</f>
        <v xml:space="preserve">ГЭГЭЭН ДАЛАЙ ХХК </v>
      </c>
      <c r="N149" s="435"/>
      <c r="O149" s="81" t="str">
        <f>IFERROR(VLOOKUP(N149,DATA!$K$4:$L$51,2,FALSE),"")</f>
        <v/>
      </c>
      <c r="P149" s="81"/>
      <c r="Q149" s="152">
        <f t="shared" si="11"/>
        <v>0</v>
      </c>
    </row>
    <row r="150" spans="2:17">
      <c r="B150" s="670">
        <f t="shared" si="13"/>
        <v>145</v>
      </c>
      <c r="C150" s="433">
        <v>42756</v>
      </c>
      <c r="D150" s="434" t="s">
        <v>587</v>
      </c>
      <c r="E150" s="675">
        <v>510000</v>
      </c>
      <c r="F150" s="672" t="str">
        <f>IFERROR(VLOOKUP(E150,STAT1!$C$4:$D$1000,2,FALSE),"")</f>
        <v>Үндсэн үйл ажиллагааны борлуулалт</v>
      </c>
      <c r="G150" s="431"/>
      <c r="H150" s="431">
        <v>204409.09</v>
      </c>
      <c r="I150" s="596">
        <f t="shared" si="10"/>
        <v>0</v>
      </c>
      <c r="J150" s="81">
        <f t="shared" si="12"/>
        <v>0</v>
      </c>
      <c r="K150" s="81"/>
      <c r="L150" s="597">
        <v>3008</v>
      </c>
      <c r="M150" s="81" t="str">
        <f>+IFERROR(VLOOKUP(L150,DATA!$G$4:$H$2000,2,FALSE),"")</f>
        <v xml:space="preserve">ГЭГЭЭН ДАЛАЙ ХХК </v>
      </c>
      <c r="N150" s="435"/>
      <c r="O150" s="81" t="str">
        <f>IFERROR(VLOOKUP(N150,DATA!$K$4:$L$51,2,FALSE),"")</f>
        <v/>
      </c>
      <c r="P150" s="81"/>
      <c r="Q150" s="152">
        <f t="shared" si="11"/>
        <v>0</v>
      </c>
    </row>
    <row r="151" spans="2:17">
      <c r="B151" s="670">
        <f t="shared" si="13"/>
        <v>146</v>
      </c>
      <c r="C151" s="433">
        <v>42756</v>
      </c>
      <c r="D151" s="434" t="s">
        <v>587</v>
      </c>
      <c r="E151" s="675">
        <v>320100</v>
      </c>
      <c r="F151" s="672" t="str">
        <f>IFERROR(VLOOKUP(E151,STAT1!$C$4:$D$1000,2,FALSE),"")</f>
        <v>Урьдчилж орсон орлого MNT</v>
      </c>
      <c r="G151" s="431">
        <v>224849.99794443999</v>
      </c>
      <c r="H151" s="431"/>
      <c r="I151" s="596">
        <f t="shared" si="10"/>
        <v>0</v>
      </c>
      <c r="J151" s="81">
        <f t="shared" si="12"/>
        <v>0</v>
      </c>
      <c r="K151" s="81"/>
      <c r="L151" s="597">
        <v>3008</v>
      </c>
      <c r="M151" s="81" t="str">
        <f>+IFERROR(VLOOKUP(L151,DATA!$G$4:$H$2000,2,FALSE),"")</f>
        <v xml:space="preserve">ГЭГЭЭН ДАЛАЙ ХХК </v>
      </c>
      <c r="N151" s="435"/>
      <c r="O151" s="81" t="str">
        <f>IFERROR(VLOOKUP(N151,DATA!$K$4:$L$51,2,FALSE),"")</f>
        <v/>
      </c>
      <c r="P151" s="81"/>
      <c r="Q151" s="152">
        <f t="shared" si="11"/>
        <v>0</v>
      </c>
    </row>
    <row r="152" spans="2:17">
      <c r="B152" s="670">
        <f t="shared" si="13"/>
        <v>147</v>
      </c>
      <c r="C152" s="433">
        <v>42757</v>
      </c>
      <c r="D152" s="377" t="s">
        <v>1355</v>
      </c>
      <c r="E152" s="577">
        <v>100100</v>
      </c>
      <c r="F152" s="672" t="str">
        <f>IFERROR(VLOOKUP(E152,STAT1!$C$4:$D$1000,2,FALSE),"")</f>
        <v>Касс мөнгө MNT</v>
      </c>
      <c r="G152" s="377"/>
      <c r="H152" s="377">
        <v>20000</v>
      </c>
      <c r="I152" s="596">
        <f t="shared" si="10"/>
        <v>-20000</v>
      </c>
      <c r="J152" s="81"/>
      <c r="K152" s="81"/>
      <c r="L152" s="597">
        <v>1007</v>
      </c>
      <c r="M152" s="81" t="str">
        <f>+IFERROR(VLOOKUP(L152,DATA!$G$4:$H$2000,2,FALSE),"")</f>
        <v xml:space="preserve">Нэргүй </v>
      </c>
      <c r="N152" s="435">
        <v>55</v>
      </c>
      <c r="O152" s="81" t="str">
        <f>IFERROR(VLOOKUP(N152,DATA!$K$4:$L$51,2,FALSE),"")</f>
        <v>Түлш, шатахуун, тээврийн хөлс, сэлбэг хэрэгсэлд төлсөн</v>
      </c>
      <c r="P152" s="81"/>
      <c r="Q152" s="152">
        <f t="shared" si="11"/>
        <v>1</v>
      </c>
    </row>
    <row r="153" spans="2:17">
      <c r="B153" s="670">
        <f t="shared" si="13"/>
        <v>148</v>
      </c>
      <c r="C153" s="433">
        <v>42757</v>
      </c>
      <c r="D153" s="377" t="s">
        <v>1355</v>
      </c>
      <c r="E153" s="577">
        <v>702000</v>
      </c>
      <c r="F153" s="672" t="str">
        <f>IFERROR(VLOOKUP(E153,STAT1!$C$4:$D$1000,2,FALSE),"")</f>
        <v>Түлш, шатахуун</v>
      </c>
      <c r="G153" s="377">
        <v>20000</v>
      </c>
      <c r="H153" s="377">
        <v>0</v>
      </c>
      <c r="I153" s="596">
        <f t="shared" si="10"/>
        <v>0</v>
      </c>
      <c r="J153" s="81"/>
      <c r="K153" s="81"/>
      <c r="L153" s="597">
        <v>1007</v>
      </c>
      <c r="M153" s="81" t="str">
        <f>+IFERROR(VLOOKUP(L153,DATA!$G$4:$H$2000,2,FALSE),"")</f>
        <v xml:space="preserve">Нэргүй </v>
      </c>
      <c r="N153" s="435"/>
      <c r="O153" s="81" t="str">
        <f>IFERROR(VLOOKUP(N153,DATA!$K$4:$L$51,2,FALSE),"")</f>
        <v/>
      </c>
      <c r="P153" s="81"/>
      <c r="Q153" s="152">
        <f t="shared" si="11"/>
        <v>0</v>
      </c>
    </row>
    <row r="154" spans="2:17">
      <c r="B154" s="670">
        <f t="shared" si="13"/>
        <v>149</v>
      </c>
      <c r="C154" s="433">
        <v>42758</v>
      </c>
      <c r="D154" s="377" t="s">
        <v>1701</v>
      </c>
      <c r="E154" s="577">
        <v>100100</v>
      </c>
      <c r="F154" s="672" t="str">
        <f>IFERROR(VLOOKUP(E154,STAT1!$C$4:$D$1000,2,FALSE),"")</f>
        <v>Касс мөнгө MNT</v>
      </c>
      <c r="G154" s="377"/>
      <c r="H154" s="377">
        <v>1500000</v>
      </c>
      <c r="I154" s="596">
        <f t="shared" si="10"/>
        <v>-1500000</v>
      </c>
      <c r="J154" s="81"/>
      <c r="K154" s="81"/>
      <c r="L154" s="597">
        <v>2012</v>
      </c>
      <c r="M154" s="81" t="str">
        <f>+IFERROR(VLOOKUP(L154,DATA!$G$4:$H$2000,2,FALSE),"")</f>
        <v>ИХ ТУГЧ ХХК</v>
      </c>
      <c r="N154" s="435">
        <v>59</v>
      </c>
      <c r="O154" s="81" t="str">
        <f>IFERROR(VLOOKUP(N154,DATA!$K$4:$L$51,2,FALSE),"")</f>
        <v>Бусад мөнгөн зарлага</v>
      </c>
      <c r="P154" s="81"/>
      <c r="Q154" s="152">
        <f t="shared" si="11"/>
        <v>1</v>
      </c>
    </row>
    <row r="155" spans="2:17">
      <c r="B155" s="670">
        <f t="shared" si="13"/>
        <v>150</v>
      </c>
      <c r="C155" s="433">
        <v>42758</v>
      </c>
      <c r="D155" s="377" t="s">
        <v>1701</v>
      </c>
      <c r="E155" s="577">
        <v>705800</v>
      </c>
      <c r="F155" s="672" t="str">
        <f>IFERROR(VLOOKUP(E155,STAT1!$C$4:$D$1000,2,FALSE),"")</f>
        <v>Харуул хамгаалалт</v>
      </c>
      <c r="G155" s="377">
        <v>1500000</v>
      </c>
      <c r="H155" s="377">
        <v>0</v>
      </c>
      <c r="I155" s="596">
        <f t="shared" si="10"/>
        <v>0</v>
      </c>
      <c r="J155" s="81"/>
      <c r="K155" s="81"/>
      <c r="L155" s="597">
        <v>2012</v>
      </c>
      <c r="M155" s="81" t="str">
        <f>+IFERROR(VLOOKUP(L155,DATA!$G$4:$H$2000,2,FALSE),"")</f>
        <v>ИХ ТУГЧ ХХК</v>
      </c>
      <c r="N155" s="435"/>
      <c r="O155" s="81" t="str">
        <f>IFERROR(VLOOKUP(N155,DATA!$K$4:$L$51,2,FALSE),"")</f>
        <v/>
      </c>
      <c r="P155" s="81"/>
      <c r="Q155" s="152">
        <f t="shared" si="11"/>
        <v>0</v>
      </c>
    </row>
    <row r="156" spans="2:17">
      <c r="B156" s="670">
        <f t="shared" si="13"/>
        <v>151</v>
      </c>
      <c r="C156" s="433">
        <v>42758</v>
      </c>
      <c r="D156" s="598" t="s">
        <v>1741</v>
      </c>
      <c r="E156" s="577">
        <v>110100</v>
      </c>
      <c r="F156" s="672" t="str">
        <f>IFERROR(VLOOKUP(E156,STAT1!$C$4:$D$1000,2,FALSE),"")</f>
        <v>Хаан Банк 5024654020</v>
      </c>
      <c r="G156" s="377">
        <v>10114000</v>
      </c>
      <c r="H156" s="377"/>
      <c r="I156" s="596">
        <f t="shared" si="10"/>
        <v>10114000</v>
      </c>
      <c r="J156" s="81">
        <f t="shared" ref="J156:J178" si="14">+IF(E156=110102,I156/K156,0)</f>
        <v>0</v>
      </c>
      <c r="K156" s="81"/>
      <c r="L156" s="597">
        <v>3001</v>
      </c>
      <c r="M156" s="81" t="str">
        <f>+IFERROR(VLOOKUP(L156,DATA!$G$4:$H$2000,2,FALSE),"")</f>
        <v>ХУРД ГРУПП ХХК</v>
      </c>
      <c r="N156" s="435">
        <v>41</v>
      </c>
      <c r="O156" s="81" t="str">
        <f>IFERROR(VLOOKUP(N156,DATA!$K$4:$L$51,2,FALSE),"")</f>
        <v>Бараа борлуулсан, үйлчилгээ үзүүлсэний орлого</v>
      </c>
      <c r="P156" s="81"/>
      <c r="Q156" s="152">
        <f t="shared" si="11"/>
        <v>1</v>
      </c>
    </row>
    <row r="157" spans="2:17">
      <c r="B157" s="670">
        <f t="shared" si="13"/>
        <v>152</v>
      </c>
      <c r="C157" s="433">
        <v>42758</v>
      </c>
      <c r="D157" s="598" t="s">
        <v>1741</v>
      </c>
      <c r="E157" s="577">
        <v>320100</v>
      </c>
      <c r="F157" s="672" t="str">
        <f>IFERROR(VLOOKUP(E157,STAT1!$C$4:$D$1000,2,FALSE),"")</f>
        <v>Урьдчилж орсон орлого MNT</v>
      </c>
      <c r="G157" s="377">
        <v>0</v>
      </c>
      <c r="H157" s="377">
        <v>10114000</v>
      </c>
      <c r="I157" s="596">
        <f t="shared" si="10"/>
        <v>0</v>
      </c>
      <c r="J157" s="81">
        <f t="shared" si="14"/>
        <v>0</v>
      </c>
      <c r="K157" s="81"/>
      <c r="L157" s="597">
        <v>3001</v>
      </c>
      <c r="M157" s="81" t="str">
        <f>+IFERROR(VLOOKUP(L157,DATA!$G$4:$H$2000,2,FALSE),"")</f>
        <v>ХУРД ГРУПП ХХК</v>
      </c>
      <c r="N157" s="435"/>
      <c r="O157" s="81" t="str">
        <f>IFERROR(VLOOKUP(N157,DATA!$K$4:$L$51,2,FALSE),"")</f>
        <v/>
      </c>
      <c r="P157" s="81"/>
      <c r="Q157" s="152">
        <f t="shared" si="11"/>
        <v>0</v>
      </c>
    </row>
    <row r="158" spans="2:17">
      <c r="B158" s="670">
        <f t="shared" si="13"/>
        <v>153</v>
      </c>
      <c r="C158" s="433">
        <v>42759</v>
      </c>
      <c r="D158" s="598" t="s">
        <v>1714</v>
      </c>
      <c r="E158" s="577">
        <v>700700</v>
      </c>
      <c r="F158" s="672" t="str">
        <f>IFERROR(VLOOKUP(E158,STAT1!$C$4:$D$1000,2,FALSE),"")</f>
        <v>Цахилгаан эрчим хүч</v>
      </c>
      <c r="G158" s="377">
        <v>2098090.6</v>
      </c>
      <c r="H158" s="377">
        <v>0</v>
      </c>
      <c r="I158" s="596">
        <f t="shared" si="10"/>
        <v>0</v>
      </c>
      <c r="J158" s="81">
        <f t="shared" si="14"/>
        <v>0</v>
      </c>
      <c r="K158" s="81"/>
      <c r="L158" s="597">
        <v>2003</v>
      </c>
      <c r="M158" s="81" t="str">
        <f>+IFERROR(VLOOKUP(L158,DATA!$G$4:$H$2000,2,FALSE),"")</f>
        <v xml:space="preserve">УБЦТС ТӨХК </v>
      </c>
      <c r="N158" s="435"/>
      <c r="O158" s="81" t="str">
        <f>IFERROR(VLOOKUP(N158,DATA!$K$4:$L$51,2,FALSE),"")</f>
        <v/>
      </c>
      <c r="P158" s="81"/>
      <c r="Q158" s="152">
        <f t="shared" si="11"/>
        <v>0</v>
      </c>
    </row>
    <row r="159" spans="2:17">
      <c r="B159" s="670">
        <f t="shared" si="13"/>
        <v>154</v>
      </c>
      <c r="C159" s="433">
        <v>42759</v>
      </c>
      <c r="D159" s="598" t="s">
        <v>1714</v>
      </c>
      <c r="E159" s="577">
        <v>120600</v>
      </c>
      <c r="F159" s="672" t="str">
        <f>IFERROR(VLOOKUP(E159,STAT1!$C$4:$D$1000,2,FALSE),"")</f>
        <v>НӨАТ авлага</v>
      </c>
      <c r="G159" s="377">
        <v>209809.4</v>
      </c>
      <c r="H159" s="377">
        <v>0</v>
      </c>
      <c r="I159" s="596">
        <f t="shared" si="10"/>
        <v>0</v>
      </c>
      <c r="J159" s="81">
        <f t="shared" si="14"/>
        <v>0</v>
      </c>
      <c r="K159" s="81"/>
      <c r="L159" s="597">
        <v>2003</v>
      </c>
      <c r="M159" s="81" t="str">
        <f>+IFERROR(VLOOKUP(L159,DATA!$G$4:$H$2000,2,FALSE),"")</f>
        <v xml:space="preserve">УБЦТС ТӨХК </v>
      </c>
      <c r="N159" s="435"/>
      <c r="O159" s="81" t="str">
        <f>IFERROR(VLOOKUP(N159,DATA!$K$4:$L$51,2,FALSE),"")</f>
        <v/>
      </c>
      <c r="P159" s="81"/>
      <c r="Q159" s="152">
        <f t="shared" si="11"/>
        <v>0</v>
      </c>
    </row>
    <row r="160" spans="2:17">
      <c r="B160" s="670">
        <f t="shared" si="13"/>
        <v>155</v>
      </c>
      <c r="C160" s="433">
        <v>42759</v>
      </c>
      <c r="D160" s="598" t="s">
        <v>1714</v>
      </c>
      <c r="E160" s="577">
        <v>110100</v>
      </c>
      <c r="F160" s="672" t="str">
        <f>IFERROR(VLOOKUP(E160,STAT1!$C$4:$D$1000,2,FALSE),"")</f>
        <v>Хаан Банк 5024654020</v>
      </c>
      <c r="G160" s="377"/>
      <c r="H160" s="377">
        <v>2307900</v>
      </c>
      <c r="I160" s="596">
        <f t="shared" si="10"/>
        <v>-2307900</v>
      </c>
      <c r="J160" s="81">
        <f t="shared" si="14"/>
        <v>0</v>
      </c>
      <c r="K160" s="81"/>
      <c r="L160" s="597">
        <v>2003</v>
      </c>
      <c r="M160" s="81" t="str">
        <f>+IFERROR(VLOOKUP(L160,DATA!$G$4:$H$2000,2,FALSE),"")</f>
        <v xml:space="preserve">УБЦТС ТӨХК </v>
      </c>
      <c r="N160" s="435">
        <v>54</v>
      </c>
      <c r="O160" s="81" t="str">
        <f>IFERROR(VLOOKUP(N160,DATA!$K$4:$L$51,2,FALSE),"")</f>
        <v>Ашиглалтын зардалд төлсөн</v>
      </c>
      <c r="P160" s="81"/>
      <c r="Q160" s="152">
        <f t="shared" si="11"/>
        <v>1</v>
      </c>
    </row>
    <row r="161" spans="2:17">
      <c r="B161" s="670">
        <f t="shared" si="13"/>
        <v>156</v>
      </c>
      <c r="C161" s="433">
        <v>42759</v>
      </c>
      <c r="D161" s="598" t="s">
        <v>1715</v>
      </c>
      <c r="E161" s="577">
        <v>700900</v>
      </c>
      <c r="F161" s="672" t="str">
        <f>IFERROR(VLOOKUP(E161,STAT1!$C$4:$D$1000,2,FALSE),"")</f>
        <v>Уур, ус</v>
      </c>
      <c r="G161" s="377">
        <v>393810</v>
      </c>
      <c r="H161" s="377">
        <v>0</v>
      </c>
      <c r="I161" s="596">
        <f t="shared" si="10"/>
        <v>0</v>
      </c>
      <c r="J161" s="81">
        <f t="shared" si="14"/>
        <v>0</v>
      </c>
      <c r="K161" s="81"/>
      <c r="L161" s="597">
        <v>2005</v>
      </c>
      <c r="M161" s="81" t="str">
        <f>+IFERROR(VLOOKUP(L161,DATA!$G$4:$H$2000,2,FALSE),"")</f>
        <v xml:space="preserve">УСУГ ТӨХК </v>
      </c>
      <c r="N161" s="435"/>
      <c r="O161" s="81" t="str">
        <f>IFERROR(VLOOKUP(N161,DATA!$K$4:$L$51,2,FALSE),"")</f>
        <v/>
      </c>
      <c r="P161" s="81"/>
      <c r="Q161" s="152">
        <f t="shared" si="11"/>
        <v>0</v>
      </c>
    </row>
    <row r="162" spans="2:17">
      <c r="B162" s="670">
        <f t="shared" si="13"/>
        <v>157</v>
      </c>
      <c r="C162" s="433">
        <v>42759</v>
      </c>
      <c r="D162" s="598" t="s">
        <v>1715</v>
      </c>
      <c r="E162" s="577">
        <v>120600</v>
      </c>
      <c r="F162" s="672" t="str">
        <f>IFERROR(VLOOKUP(E162,STAT1!$C$4:$D$1000,2,FALSE),"")</f>
        <v>НӨАТ авлага</v>
      </c>
      <c r="G162" s="377">
        <v>39331</v>
      </c>
      <c r="H162" s="377">
        <v>0</v>
      </c>
      <c r="I162" s="596">
        <f t="shared" si="10"/>
        <v>0</v>
      </c>
      <c r="J162" s="81">
        <f t="shared" si="14"/>
        <v>0</v>
      </c>
      <c r="K162" s="81"/>
      <c r="L162" s="597">
        <v>2005</v>
      </c>
      <c r="M162" s="81" t="str">
        <f>+IFERROR(VLOOKUP(L162,DATA!$G$4:$H$2000,2,FALSE),"")</f>
        <v xml:space="preserve">УСУГ ТӨХК </v>
      </c>
      <c r="N162" s="435"/>
      <c r="O162" s="81" t="str">
        <f>IFERROR(VLOOKUP(N162,DATA!$K$4:$L$51,2,FALSE),"")</f>
        <v/>
      </c>
      <c r="P162" s="81"/>
      <c r="Q162" s="152">
        <f t="shared" si="11"/>
        <v>0</v>
      </c>
    </row>
    <row r="163" spans="2:17">
      <c r="B163" s="670">
        <f t="shared" si="13"/>
        <v>158</v>
      </c>
      <c r="C163" s="433">
        <v>42759</v>
      </c>
      <c r="D163" s="598" t="s">
        <v>1715</v>
      </c>
      <c r="E163" s="577">
        <v>110100</v>
      </c>
      <c r="F163" s="672" t="str">
        <f>IFERROR(VLOOKUP(E163,STAT1!$C$4:$D$1000,2,FALSE),"")</f>
        <v>Хаан Банк 5024654020</v>
      </c>
      <c r="G163" s="377"/>
      <c r="H163" s="377">
        <v>433141</v>
      </c>
      <c r="I163" s="596">
        <f t="shared" si="10"/>
        <v>-433141</v>
      </c>
      <c r="J163" s="81">
        <f t="shared" si="14"/>
        <v>0</v>
      </c>
      <c r="K163" s="81"/>
      <c r="L163" s="597">
        <v>2005</v>
      </c>
      <c r="M163" s="81" t="str">
        <f>+IFERROR(VLOOKUP(L163,DATA!$G$4:$H$2000,2,FALSE),"")</f>
        <v xml:space="preserve">УСУГ ТӨХК </v>
      </c>
      <c r="N163" s="435">
        <v>54</v>
      </c>
      <c r="O163" s="81" t="str">
        <f>IFERROR(VLOOKUP(N163,DATA!$K$4:$L$51,2,FALSE),"")</f>
        <v>Ашиглалтын зардалд төлсөн</v>
      </c>
      <c r="P163" s="81"/>
      <c r="Q163" s="152">
        <f t="shared" si="11"/>
        <v>1</v>
      </c>
    </row>
    <row r="164" spans="2:17">
      <c r="B164" s="670">
        <f t="shared" si="13"/>
        <v>159</v>
      </c>
      <c r="C164" s="433">
        <v>42760</v>
      </c>
      <c r="D164" s="434" t="s">
        <v>2678</v>
      </c>
      <c r="E164" s="676">
        <v>150101</v>
      </c>
      <c r="F164" s="672" t="str">
        <f>IFERROR(VLOOKUP(E164,STAT1!$C$4:$D$1000,2,FALSE),"")</f>
        <v>Бараа бэлэн бүтээгдэхүүн БОЛОВСРУУЛАХ ЦЕХ /нарс/</v>
      </c>
      <c r="G164" s="431"/>
      <c r="H164" s="431">
        <v>106232.96259531403</v>
      </c>
      <c r="I164" s="596">
        <f t="shared" si="10"/>
        <v>0</v>
      </c>
      <c r="J164" s="81">
        <f t="shared" si="14"/>
        <v>0</v>
      </c>
      <c r="K164" s="81"/>
      <c r="L164" s="597">
        <v>3005</v>
      </c>
      <c r="M164" s="81" t="str">
        <f>+IFERROR(VLOOKUP(L164,DATA!$G$4:$H$2000,2,FALSE),"")</f>
        <v xml:space="preserve">ОРГИЛ ХҮНС ХХК </v>
      </c>
      <c r="N164" s="435"/>
      <c r="O164" s="81" t="str">
        <f>IFERROR(VLOOKUP(N164,DATA!$K$4:$L$51,2,FALSE),"")</f>
        <v/>
      </c>
      <c r="P164" s="81"/>
      <c r="Q164" s="152">
        <f t="shared" si="11"/>
        <v>0</v>
      </c>
    </row>
    <row r="165" spans="2:17">
      <c r="B165" s="670">
        <f t="shared" si="13"/>
        <v>160</v>
      </c>
      <c r="C165" s="433">
        <v>42760</v>
      </c>
      <c r="D165" s="434"/>
      <c r="E165" s="675">
        <v>610100</v>
      </c>
      <c r="F165" s="672" t="str">
        <f>IFERROR(VLOOKUP(E165,STAT1!$C$4:$D$1000,2,FALSE),"")</f>
        <v>Борлуулсан барааны өртөг</v>
      </c>
      <c r="G165" s="431">
        <v>106232.96259531403</v>
      </c>
      <c r="H165" s="431"/>
      <c r="I165" s="596">
        <f t="shared" si="10"/>
        <v>0</v>
      </c>
      <c r="J165" s="81">
        <f t="shared" si="14"/>
        <v>0</v>
      </c>
      <c r="K165" s="81"/>
      <c r="L165" s="597">
        <v>3005</v>
      </c>
      <c r="M165" s="81" t="str">
        <f>+IFERROR(VLOOKUP(L165,DATA!$G$4:$H$2000,2,FALSE),"")</f>
        <v xml:space="preserve">ОРГИЛ ХҮНС ХХК </v>
      </c>
      <c r="N165" s="435"/>
      <c r="O165" s="81"/>
      <c r="P165" s="81"/>
      <c r="Q165" s="152">
        <f t="shared" si="11"/>
        <v>0</v>
      </c>
    </row>
    <row r="166" spans="2:17">
      <c r="B166" s="670">
        <f t="shared" si="13"/>
        <v>161</v>
      </c>
      <c r="C166" s="433">
        <v>42760</v>
      </c>
      <c r="D166" s="434" t="s">
        <v>587</v>
      </c>
      <c r="E166" s="675">
        <v>310500</v>
      </c>
      <c r="F166" s="672" t="str">
        <f>IFERROR(VLOOKUP(E166,STAT1!$C$4:$D$1000,2,FALSE),"")</f>
        <v>НӨАТ өглөг</v>
      </c>
      <c r="G166" s="431"/>
      <c r="H166" s="431">
        <v>17825.454900000001</v>
      </c>
      <c r="I166" s="596">
        <f t="shared" si="10"/>
        <v>0</v>
      </c>
      <c r="J166" s="81">
        <f t="shared" si="14"/>
        <v>0</v>
      </c>
      <c r="K166" s="81"/>
      <c r="L166" s="597">
        <v>3005</v>
      </c>
      <c r="M166" s="81" t="str">
        <f>+IFERROR(VLOOKUP(L166,DATA!$G$4:$H$2000,2,FALSE),"")</f>
        <v xml:space="preserve">ОРГИЛ ХҮНС ХХК </v>
      </c>
      <c r="N166" s="435"/>
      <c r="O166" s="81" t="str">
        <f>IFERROR(VLOOKUP(N166,DATA!$K$4:$L$51,2,FALSE),"")</f>
        <v/>
      </c>
      <c r="P166" s="81"/>
      <c r="Q166" s="152">
        <f t="shared" si="11"/>
        <v>0</v>
      </c>
    </row>
    <row r="167" spans="2:17">
      <c r="B167" s="670">
        <f t="shared" si="13"/>
        <v>162</v>
      </c>
      <c r="C167" s="433">
        <v>42760</v>
      </c>
      <c r="D167" s="434" t="s">
        <v>587</v>
      </c>
      <c r="E167" s="675">
        <v>510000</v>
      </c>
      <c r="F167" s="672" t="str">
        <f>IFERROR(VLOOKUP(E167,STAT1!$C$4:$D$1000,2,FALSE),"")</f>
        <v>Үндсэн үйл ажиллагааны борлуулалт</v>
      </c>
      <c r="G167" s="431"/>
      <c r="H167" s="431">
        <v>178254.549</v>
      </c>
      <c r="I167" s="596">
        <f t="shared" si="10"/>
        <v>0</v>
      </c>
      <c r="J167" s="81">
        <f t="shared" si="14"/>
        <v>0</v>
      </c>
      <c r="K167" s="81"/>
      <c r="L167" s="597">
        <v>3005</v>
      </c>
      <c r="M167" s="81" t="str">
        <f>+IFERROR(VLOOKUP(L167,DATA!$G$4:$H$2000,2,FALSE),"")</f>
        <v xml:space="preserve">ОРГИЛ ХҮНС ХХК </v>
      </c>
      <c r="N167" s="435"/>
      <c r="O167" s="81" t="str">
        <f>IFERROR(VLOOKUP(N167,DATA!$K$4:$L$51,2,FALSE),"")</f>
        <v/>
      </c>
      <c r="P167" s="81"/>
      <c r="Q167" s="152">
        <f t="shared" si="11"/>
        <v>0</v>
      </c>
    </row>
    <row r="168" spans="2:17">
      <c r="B168" s="670">
        <f t="shared" si="13"/>
        <v>163</v>
      </c>
      <c r="C168" s="433">
        <v>42760</v>
      </c>
      <c r="D168" s="434" t="s">
        <v>587</v>
      </c>
      <c r="E168" s="675">
        <v>320100</v>
      </c>
      <c r="F168" s="672" t="str">
        <f>IFERROR(VLOOKUP(E168,STAT1!$C$4:$D$1000,2,FALSE),"")</f>
        <v>Урьдчилж орсон орлого MNT</v>
      </c>
      <c r="G168" s="431">
        <v>196080.00390000001</v>
      </c>
      <c r="H168" s="431"/>
      <c r="I168" s="596">
        <f t="shared" si="10"/>
        <v>0</v>
      </c>
      <c r="J168" s="81">
        <f t="shared" si="14"/>
        <v>0</v>
      </c>
      <c r="K168" s="81"/>
      <c r="L168" s="597">
        <v>3005</v>
      </c>
      <c r="M168" s="81" t="str">
        <f>+IFERROR(VLOOKUP(L168,DATA!$G$4:$H$2000,2,FALSE),"")</f>
        <v xml:space="preserve">ОРГИЛ ХҮНС ХХК </v>
      </c>
      <c r="N168" s="435"/>
      <c r="O168" s="81" t="str">
        <f>IFERROR(VLOOKUP(N168,DATA!$K$4:$L$51,2,FALSE),"")</f>
        <v/>
      </c>
      <c r="P168" s="81"/>
      <c r="Q168" s="152">
        <f t="shared" si="11"/>
        <v>0</v>
      </c>
    </row>
    <row r="169" spans="2:17">
      <c r="B169" s="670">
        <f t="shared" si="13"/>
        <v>164</v>
      </c>
      <c r="C169" s="433">
        <v>42760</v>
      </c>
      <c r="D169" s="377" t="s">
        <v>1741</v>
      </c>
      <c r="E169" s="577">
        <v>320100</v>
      </c>
      <c r="F169" s="672" t="str">
        <f>IFERROR(VLOOKUP(E169,STAT1!$C$4:$D$1000,2,FALSE),"")</f>
        <v>Урьдчилж орсон орлого MNT</v>
      </c>
      <c r="G169" s="377"/>
      <c r="H169" s="377">
        <v>308000</v>
      </c>
      <c r="I169" s="596">
        <f t="shared" si="10"/>
        <v>0</v>
      </c>
      <c r="J169" s="81">
        <f t="shared" si="14"/>
        <v>0</v>
      </c>
      <c r="K169" s="81"/>
      <c r="L169" s="597">
        <v>3009</v>
      </c>
      <c r="M169" s="81" t="str">
        <f>+IFERROR(VLOOKUP(L169,DATA!$G$4:$H$2000,2,FALSE),"")</f>
        <v xml:space="preserve">СЭРҮҮН ХАРААТ ХХК </v>
      </c>
      <c r="N169" s="435"/>
      <c r="O169" s="81" t="str">
        <f>IFERROR(VLOOKUP(N169,DATA!$K$4:$L$51,2,FALSE),"")</f>
        <v/>
      </c>
      <c r="P169" s="81"/>
      <c r="Q169" s="152">
        <f t="shared" si="11"/>
        <v>0</v>
      </c>
    </row>
    <row r="170" spans="2:17">
      <c r="B170" s="670">
        <f t="shared" si="13"/>
        <v>165</v>
      </c>
      <c r="C170" s="433">
        <v>42760</v>
      </c>
      <c r="D170" s="377" t="s">
        <v>1741</v>
      </c>
      <c r="E170" s="577">
        <v>100100</v>
      </c>
      <c r="F170" s="672" t="str">
        <f>IFERROR(VLOOKUP(E170,STAT1!$C$4:$D$1000,2,FALSE),"")</f>
        <v>Касс мөнгө MNT</v>
      </c>
      <c r="G170" s="377">
        <v>308000</v>
      </c>
      <c r="H170" s="377">
        <v>0</v>
      </c>
      <c r="I170" s="596">
        <f t="shared" si="10"/>
        <v>308000</v>
      </c>
      <c r="J170" s="81">
        <f t="shared" si="14"/>
        <v>0</v>
      </c>
      <c r="K170" s="81"/>
      <c r="L170" s="597">
        <v>3009</v>
      </c>
      <c r="M170" s="81" t="str">
        <f>+IFERROR(VLOOKUP(L170,DATA!$G$4:$H$2000,2,FALSE),"")</f>
        <v xml:space="preserve">СЭРҮҮН ХАРААТ ХХК </v>
      </c>
      <c r="N170" s="435">
        <v>41</v>
      </c>
      <c r="O170" s="81" t="str">
        <f>IFERROR(VLOOKUP(N170,DATA!$K$4:$L$51,2,FALSE),"")</f>
        <v>Бараа борлуулсан, үйлчилгээ үзүүлсэний орлого</v>
      </c>
      <c r="P170" s="81"/>
      <c r="Q170" s="152">
        <f t="shared" si="11"/>
        <v>1</v>
      </c>
    </row>
    <row r="171" spans="2:17">
      <c r="B171" s="670">
        <f t="shared" si="13"/>
        <v>166</v>
      </c>
      <c r="C171" s="433">
        <v>42760</v>
      </c>
      <c r="D171" s="377" t="s">
        <v>1741</v>
      </c>
      <c r="E171" s="577">
        <v>320100</v>
      </c>
      <c r="F171" s="672" t="str">
        <f>IFERROR(VLOOKUP(E171,STAT1!$C$4:$D$1000,2,FALSE),"")</f>
        <v>Урьдчилж орсон орлого MNT</v>
      </c>
      <c r="G171" s="377"/>
      <c r="H171" s="377">
        <v>163020</v>
      </c>
      <c r="I171" s="596">
        <f t="shared" si="10"/>
        <v>0</v>
      </c>
      <c r="J171" s="81">
        <f t="shared" si="14"/>
        <v>0</v>
      </c>
      <c r="K171" s="81"/>
      <c r="L171" s="597">
        <v>3010</v>
      </c>
      <c r="M171" s="81" t="str">
        <f>+IFERROR(VLOOKUP(L171,DATA!$G$4:$H$2000,2,FALSE),"")</f>
        <v xml:space="preserve">РЕНДЕР ХХК </v>
      </c>
      <c r="N171" s="435"/>
      <c r="O171" s="81" t="str">
        <f>IFERROR(VLOOKUP(N171,DATA!$K$4:$L$51,2,FALSE),"")</f>
        <v/>
      </c>
      <c r="P171" s="81"/>
      <c r="Q171" s="152">
        <f t="shared" si="11"/>
        <v>0</v>
      </c>
    </row>
    <row r="172" spans="2:17">
      <c r="B172" s="670">
        <f t="shared" si="13"/>
        <v>167</v>
      </c>
      <c r="C172" s="433">
        <v>42760</v>
      </c>
      <c r="D172" s="377" t="s">
        <v>1741</v>
      </c>
      <c r="E172" s="577">
        <v>100100</v>
      </c>
      <c r="F172" s="672" t="str">
        <f>IFERROR(VLOOKUP(E172,STAT1!$C$4:$D$1000,2,FALSE),"")</f>
        <v>Касс мөнгө MNT</v>
      </c>
      <c r="G172" s="377">
        <v>163020</v>
      </c>
      <c r="H172" s="377">
        <v>0</v>
      </c>
      <c r="I172" s="596">
        <f t="shared" si="10"/>
        <v>163020</v>
      </c>
      <c r="J172" s="81">
        <f t="shared" si="14"/>
        <v>0</v>
      </c>
      <c r="K172" s="81"/>
      <c r="L172" s="597">
        <v>3010</v>
      </c>
      <c r="M172" s="81" t="str">
        <f>+IFERROR(VLOOKUP(L172,DATA!$G$4:$H$2000,2,FALSE),"")</f>
        <v xml:space="preserve">РЕНДЕР ХХК </v>
      </c>
      <c r="N172" s="435">
        <v>41</v>
      </c>
      <c r="O172" s="81" t="str">
        <f>IFERROR(VLOOKUP(N172,DATA!$K$4:$L$51,2,FALSE),"")</f>
        <v>Бараа борлуулсан, үйлчилгээ үзүүлсэний орлого</v>
      </c>
      <c r="P172" s="81"/>
      <c r="Q172" s="152">
        <f t="shared" si="11"/>
        <v>1</v>
      </c>
    </row>
    <row r="173" spans="2:17" ht="13.5" customHeight="1">
      <c r="B173" s="670">
        <f t="shared" si="13"/>
        <v>168</v>
      </c>
      <c r="C173" s="601">
        <v>42761</v>
      </c>
      <c r="D173" s="372" t="s">
        <v>1640</v>
      </c>
      <c r="E173" s="577">
        <v>160100</v>
      </c>
      <c r="F173" s="672" t="str">
        <f>IFERROR(VLOOKUP(E173,STAT1!$C$4:$D$1000,2,FALSE),"")</f>
        <v xml:space="preserve">Барилгын материал </v>
      </c>
      <c r="G173" s="431">
        <v>630000</v>
      </c>
      <c r="H173" s="431"/>
      <c r="I173" s="596">
        <f t="shared" si="10"/>
        <v>0</v>
      </c>
      <c r="J173" s="81">
        <f t="shared" si="14"/>
        <v>0</v>
      </c>
      <c r="K173" s="432"/>
      <c r="L173" s="597">
        <v>3017</v>
      </c>
      <c r="M173" s="81" t="str">
        <f>+IFERROR(VLOOKUP(L173,DATA!$G$4:$H$2000,2,FALSE),"")</f>
        <v xml:space="preserve">ВОС ХХК </v>
      </c>
      <c r="N173" s="435"/>
      <c r="O173" s="81" t="str">
        <f>IFERROR(VLOOKUP(N173,DATA!$K$4:$L$51,2,FALSE),"")</f>
        <v/>
      </c>
      <c r="P173" s="81"/>
      <c r="Q173" s="152">
        <f t="shared" si="11"/>
        <v>0</v>
      </c>
    </row>
    <row r="174" spans="2:17">
      <c r="B174" s="670">
        <f t="shared" si="13"/>
        <v>169</v>
      </c>
      <c r="C174" s="601">
        <v>42761</v>
      </c>
      <c r="D174" s="372" t="s">
        <v>587</v>
      </c>
      <c r="E174" s="577">
        <v>120600</v>
      </c>
      <c r="F174" s="672" t="str">
        <f>IFERROR(VLOOKUP(E174,STAT1!$C$4:$D$1000,2,FALSE),"")</f>
        <v>НӨАТ авлага</v>
      </c>
      <c r="G174" s="431">
        <v>63000</v>
      </c>
      <c r="H174" s="431"/>
      <c r="I174" s="596">
        <f t="shared" si="10"/>
        <v>0</v>
      </c>
      <c r="J174" s="81">
        <f t="shared" si="14"/>
        <v>0</v>
      </c>
      <c r="K174" s="432"/>
      <c r="L174" s="597">
        <v>3017</v>
      </c>
      <c r="M174" s="81" t="str">
        <f>+IFERROR(VLOOKUP(L174,DATA!$G$4:$H$2000,2,FALSE),"")</f>
        <v xml:space="preserve">ВОС ХХК </v>
      </c>
      <c r="N174" s="435"/>
      <c r="O174" s="81" t="str">
        <f>IFERROR(VLOOKUP(N174,DATA!$K$4:$L$51,2,FALSE),"")</f>
        <v/>
      </c>
      <c r="P174" s="81"/>
      <c r="Q174" s="152">
        <f t="shared" si="11"/>
        <v>0</v>
      </c>
    </row>
    <row r="175" spans="2:17">
      <c r="B175" s="670">
        <f t="shared" si="13"/>
        <v>170</v>
      </c>
      <c r="C175" s="601">
        <v>42761</v>
      </c>
      <c r="D175" s="372"/>
      <c r="E175" s="577">
        <v>120100</v>
      </c>
      <c r="F175" s="672" t="str">
        <f>IFERROR(VLOOKUP(E175,STAT1!$C$4:$D$1000,2,FALSE),"")</f>
        <v xml:space="preserve">Дансны авлага MNT </v>
      </c>
      <c r="G175" s="430"/>
      <c r="H175" s="431">
        <v>693000</v>
      </c>
      <c r="I175" s="596">
        <f t="shared" si="10"/>
        <v>0</v>
      </c>
      <c r="J175" s="81">
        <f t="shared" si="14"/>
        <v>0</v>
      </c>
      <c r="K175" s="432"/>
      <c r="L175" s="597">
        <v>3017</v>
      </c>
      <c r="M175" s="81" t="str">
        <f>+IFERROR(VLOOKUP(L175,DATA!$G$4:$H$2000,2,FALSE),"")</f>
        <v xml:space="preserve">ВОС ХХК </v>
      </c>
      <c r="N175" s="435"/>
      <c r="O175" s="81" t="str">
        <f>IFERROR(VLOOKUP(N175,DATA!$K$4:$L$51,2,FALSE),"")</f>
        <v/>
      </c>
      <c r="P175" s="81"/>
      <c r="Q175" s="152">
        <f t="shared" si="11"/>
        <v>0</v>
      </c>
    </row>
    <row r="176" spans="2:17">
      <c r="B176" s="670">
        <f t="shared" si="13"/>
        <v>171</v>
      </c>
      <c r="C176" s="601">
        <v>42761</v>
      </c>
      <c r="D176" s="372" t="s">
        <v>1637</v>
      </c>
      <c r="E176" s="577">
        <v>160100</v>
      </c>
      <c r="F176" s="672" t="str">
        <f>IFERROR(VLOOKUP(E176,STAT1!$C$4:$D$1000,2,FALSE),"")</f>
        <v xml:space="preserve">Барилгын материал </v>
      </c>
      <c r="G176" s="430">
        <v>102000</v>
      </c>
      <c r="H176" s="431"/>
      <c r="I176" s="596">
        <f t="shared" si="10"/>
        <v>0</v>
      </c>
      <c r="J176" s="81">
        <f t="shared" si="14"/>
        <v>0</v>
      </c>
      <c r="K176" s="432"/>
      <c r="L176" s="597">
        <v>3017</v>
      </c>
      <c r="M176" s="81" t="str">
        <f>+IFERROR(VLOOKUP(L176,DATA!$G$4:$H$2000,2,FALSE),"")</f>
        <v xml:space="preserve">ВОС ХХК </v>
      </c>
      <c r="N176" s="435"/>
      <c r="O176" s="81" t="str">
        <f>IFERROR(VLOOKUP(N176,DATA!$K$4:$L$51,2,FALSE),"")</f>
        <v/>
      </c>
      <c r="P176" s="81"/>
      <c r="Q176" s="152">
        <f t="shared" si="11"/>
        <v>0</v>
      </c>
    </row>
    <row r="177" spans="2:17">
      <c r="B177" s="670">
        <f t="shared" si="13"/>
        <v>172</v>
      </c>
      <c r="C177" s="601">
        <v>42761</v>
      </c>
      <c r="D177" s="372" t="s">
        <v>587</v>
      </c>
      <c r="E177" s="577">
        <v>120600</v>
      </c>
      <c r="F177" s="672" t="str">
        <f>IFERROR(VLOOKUP(E177,STAT1!$C$4:$D$1000,2,FALSE),"")</f>
        <v>НӨАТ авлага</v>
      </c>
      <c r="G177" s="431">
        <v>10200</v>
      </c>
      <c r="H177" s="431"/>
      <c r="I177" s="596">
        <f t="shared" si="10"/>
        <v>0</v>
      </c>
      <c r="J177" s="81">
        <f t="shared" si="14"/>
        <v>0</v>
      </c>
      <c r="K177" s="432"/>
      <c r="L177" s="597">
        <v>3017</v>
      </c>
      <c r="M177" s="81" t="str">
        <f>+IFERROR(VLOOKUP(L177,DATA!$G$4:$H$2000,2,FALSE),"")</f>
        <v xml:space="preserve">ВОС ХХК </v>
      </c>
      <c r="N177" s="435"/>
      <c r="O177" s="81" t="str">
        <f>IFERROR(VLOOKUP(N177,DATA!$K$4:$L$51,2,FALSE),"")</f>
        <v/>
      </c>
      <c r="P177" s="81"/>
      <c r="Q177" s="152">
        <f t="shared" si="11"/>
        <v>0</v>
      </c>
    </row>
    <row r="178" spans="2:17">
      <c r="B178" s="670">
        <f t="shared" si="13"/>
        <v>173</v>
      </c>
      <c r="C178" s="601">
        <v>42761</v>
      </c>
      <c r="D178" s="372" t="s">
        <v>587</v>
      </c>
      <c r="E178" s="577">
        <v>120100</v>
      </c>
      <c r="F178" s="672" t="str">
        <f>IFERROR(VLOOKUP(E178,STAT1!$C$4:$D$1000,2,FALSE),"")</f>
        <v xml:space="preserve">Дансны авлага MNT </v>
      </c>
      <c r="G178" s="430"/>
      <c r="H178" s="431">
        <v>112200</v>
      </c>
      <c r="I178" s="596">
        <f t="shared" si="10"/>
        <v>0</v>
      </c>
      <c r="J178" s="81">
        <f t="shared" si="14"/>
        <v>0</v>
      </c>
      <c r="K178" s="432"/>
      <c r="L178" s="597">
        <v>3017</v>
      </c>
      <c r="M178" s="81" t="str">
        <f>+IFERROR(VLOOKUP(L178,DATA!$G$4:$H$2000,2,FALSE),"")</f>
        <v xml:space="preserve">ВОС ХХК </v>
      </c>
      <c r="N178" s="435"/>
      <c r="O178" s="81" t="str">
        <f>IFERROR(VLOOKUP(N178,DATA!$K$4:$L$51,2,FALSE),"")</f>
        <v/>
      </c>
      <c r="P178" s="81"/>
      <c r="Q178" s="152">
        <f t="shared" si="11"/>
        <v>0</v>
      </c>
    </row>
    <row r="179" spans="2:17">
      <c r="B179" s="670">
        <f t="shared" si="13"/>
        <v>174</v>
      </c>
      <c r="C179" s="433">
        <v>42761</v>
      </c>
      <c r="D179" s="377" t="s">
        <v>1728</v>
      </c>
      <c r="E179" s="577">
        <v>100100</v>
      </c>
      <c r="F179" s="672" t="str">
        <f>IFERROR(VLOOKUP(E179,STAT1!$C$4:$D$1000,2,FALSE),"")</f>
        <v>Касс мөнгө MNT</v>
      </c>
      <c r="G179" s="377"/>
      <c r="H179" s="377">
        <v>835200</v>
      </c>
      <c r="I179" s="596">
        <f t="shared" si="10"/>
        <v>-835200</v>
      </c>
      <c r="J179" s="81"/>
      <c r="K179" s="81"/>
      <c r="L179" s="597">
        <v>3017</v>
      </c>
      <c r="M179" s="81" t="str">
        <f>+IFERROR(VLOOKUP(L179,DATA!$G$4:$H$2000,2,FALSE),"")</f>
        <v xml:space="preserve">ВОС ХХК </v>
      </c>
      <c r="N179" s="435">
        <v>53</v>
      </c>
      <c r="O179" s="81" t="str">
        <f>IFERROR(VLOOKUP(N179,DATA!$K$4:$L$51,2,FALSE),"")</f>
        <v>Бараа материал худалдан авахад төлсөн</v>
      </c>
      <c r="P179" s="81"/>
      <c r="Q179" s="152">
        <f t="shared" si="11"/>
        <v>1</v>
      </c>
    </row>
    <row r="180" spans="2:17">
      <c r="B180" s="670">
        <f t="shared" si="13"/>
        <v>175</v>
      </c>
      <c r="C180" s="433">
        <v>42761</v>
      </c>
      <c r="D180" s="377" t="s">
        <v>1728</v>
      </c>
      <c r="E180" s="577">
        <v>702000</v>
      </c>
      <c r="F180" s="672" t="str">
        <f>IFERROR(VLOOKUP(E180,STAT1!$C$4:$D$1000,2,FALSE),"")</f>
        <v>Түлш, шатахуун</v>
      </c>
      <c r="G180" s="377">
        <v>30000</v>
      </c>
      <c r="H180" s="377"/>
      <c r="I180" s="596">
        <f t="shared" si="10"/>
        <v>0</v>
      </c>
      <c r="J180" s="81"/>
      <c r="K180" s="81"/>
      <c r="L180" s="597">
        <v>3017</v>
      </c>
      <c r="M180" s="81" t="str">
        <f>+IFERROR(VLOOKUP(L180,DATA!$G$4:$H$2000,2,FALSE),"")</f>
        <v xml:space="preserve">ВОС ХХК </v>
      </c>
      <c r="N180" s="435"/>
      <c r="O180" s="81" t="str">
        <f>IFERROR(VLOOKUP(N180,DATA!$K$4:$L$51,2,FALSE),"")</f>
        <v/>
      </c>
      <c r="P180" s="81"/>
      <c r="Q180" s="152">
        <f t="shared" si="11"/>
        <v>0</v>
      </c>
    </row>
    <row r="181" spans="2:17">
      <c r="B181" s="670">
        <f t="shared" si="13"/>
        <v>176</v>
      </c>
      <c r="C181" s="433">
        <v>42761</v>
      </c>
      <c r="D181" s="377" t="s">
        <v>1702</v>
      </c>
      <c r="E181" s="577">
        <v>120100</v>
      </c>
      <c r="F181" s="672" t="str">
        <f>IFERROR(VLOOKUP(E181,STAT1!$C$4:$D$1000,2,FALSE),"")</f>
        <v xml:space="preserve">Дансны авлага MNT </v>
      </c>
      <c r="G181" s="377">
        <v>805200</v>
      </c>
      <c r="H181" s="377">
        <v>0</v>
      </c>
      <c r="I181" s="596">
        <f t="shared" si="10"/>
        <v>0</v>
      </c>
      <c r="J181" s="81"/>
      <c r="K181" s="81"/>
      <c r="L181" s="597">
        <v>3017</v>
      </c>
      <c r="M181" s="81" t="str">
        <f>+IFERROR(VLOOKUP(L181,DATA!$G$4:$H$2000,2,FALSE),"")</f>
        <v xml:space="preserve">ВОС ХХК </v>
      </c>
      <c r="N181" s="435"/>
      <c r="O181" s="81" t="str">
        <f>IFERROR(VLOOKUP(N181,DATA!$K$4:$L$51,2,FALSE),"")</f>
        <v/>
      </c>
      <c r="P181" s="81"/>
      <c r="Q181" s="152">
        <f t="shared" si="11"/>
        <v>0</v>
      </c>
    </row>
    <row r="182" spans="2:17">
      <c r="B182" s="670">
        <f t="shared" si="13"/>
        <v>177</v>
      </c>
      <c r="C182" s="433">
        <v>42761</v>
      </c>
      <c r="D182" s="377" t="s">
        <v>1742</v>
      </c>
      <c r="E182" s="577">
        <v>110100</v>
      </c>
      <c r="F182" s="672" t="str">
        <f>IFERROR(VLOOKUP(E182,STAT1!$C$4:$D$1000,2,FALSE),"")</f>
        <v>Хаан Банк 5024654020</v>
      </c>
      <c r="G182" s="377"/>
      <c r="H182" s="377">
        <v>7350000</v>
      </c>
      <c r="I182" s="596">
        <f t="shared" si="10"/>
        <v>-7350000</v>
      </c>
      <c r="J182" s="81">
        <f t="shared" ref="J182:J188" si="15">+IF(E182=110102,I182/K182,0)</f>
        <v>0</v>
      </c>
      <c r="K182" s="81"/>
      <c r="L182" s="597">
        <v>1005</v>
      </c>
      <c r="M182" s="81" t="str">
        <f>+IFERROR(VLOOKUP(L182,DATA!$G$4:$H$2000,2,FALSE),"")</f>
        <v>Золжаргал</v>
      </c>
      <c r="N182" s="435"/>
      <c r="O182" s="81" t="str">
        <f>IFERROR(VLOOKUP(N182,DATA!$K$4:$L$51,2,FALSE),"")</f>
        <v/>
      </c>
      <c r="P182" s="81"/>
      <c r="Q182" s="152">
        <f t="shared" si="11"/>
        <v>1</v>
      </c>
    </row>
    <row r="183" spans="2:17">
      <c r="B183" s="670">
        <f t="shared" si="13"/>
        <v>178</v>
      </c>
      <c r="C183" s="433">
        <v>42761</v>
      </c>
      <c r="D183" s="377" t="s">
        <v>1742</v>
      </c>
      <c r="E183" s="577">
        <v>100100</v>
      </c>
      <c r="F183" s="672" t="str">
        <f>IFERROR(VLOOKUP(E183,STAT1!$C$4:$D$1000,2,FALSE),"")</f>
        <v>Касс мөнгө MNT</v>
      </c>
      <c r="G183" s="377">
        <v>7350000</v>
      </c>
      <c r="H183" s="377">
        <v>0</v>
      </c>
      <c r="I183" s="596">
        <f t="shared" si="10"/>
        <v>7350000</v>
      </c>
      <c r="J183" s="81">
        <f t="shared" si="15"/>
        <v>0</v>
      </c>
      <c r="K183" s="81"/>
      <c r="L183" s="597">
        <v>1005</v>
      </c>
      <c r="M183" s="81" t="str">
        <f>+IFERROR(VLOOKUP(L183,DATA!$G$4:$H$2000,2,FALSE),"")</f>
        <v>Золжаргал</v>
      </c>
      <c r="N183" s="435"/>
      <c r="O183" s="81" t="str">
        <f>IFERROR(VLOOKUP(N183,DATA!$K$4:$L$51,2,FALSE),"")</f>
        <v/>
      </c>
      <c r="P183" s="81"/>
      <c r="Q183" s="152">
        <f t="shared" si="11"/>
        <v>1</v>
      </c>
    </row>
    <row r="184" spans="2:17">
      <c r="B184" s="670">
        <f t="shared" si="13"/>
        <v>179</v>
      </c>
      <c r="C184" s="433">
        <v>42761</v>
      </c>
      <c r="D184" s="598" t="s">
        <v>1741</v>
      </c>
      <c r="E184" s="577">
        <v>110100</v>
      </c>
      <c r="F184" s="672" t="str">
        <f>IFERROR(VLOOKUP(E184,STAT1!$C$4:$D$1000,2,FALSE),"")</f>
        <v>Хаан Банк 5024654020</v>
      </c>
      <c r="G184" s="377">
        <v>313500</v>
      </c>
      <c r="H184" s="377"/>
      <c r="I184" s="596">
        <f t="shared" si="10"/>
        <v>313500</v>
      </c>
      <c r="J184" s="81">
        <f t="shared" si="15"/>
        <v>0</v>
      </c>
      <c r="K184" s="81"/>
      <c r="L184" s="597">
        <v>3004</v>
      </c>
      <c r="M184" s="81" t="str">
        <f>+IFERROR(VLOOKUP(L184,DATA!$G$4:$H$2000,2,FALSE),"")</f>
        <v xml:space="preserve">ИЭСОМ ХХК </v>
      </c>
      <c r="N184" s="435">
        <v>41</v>
      </c>
      <c r="O184" s="81" t="str">
        <f>IFERROR(VLOOKUP(N184,DATA!$K$4:$L$51,2,FALSE),"")</f>
        <v>Бараа борлуулсан, үйлчилгээ үзүүлсэний орлого</v>
      </c>
      <c r="P184" s="81"/>
      <c r="Q184" s="152">
        <f t="shared" si="11"/>
        <v>1</v>
      </c>
    </row>
    <row r="185" spans="2:17">
      <c r="B185" s="670">
        <f t="shared" si="13"/>
        <v>180</v>
      </c>
      <c r="C185" s="433">
        <v>42761</v>
      </c>
      <c r="D185" s="598" t="s">
        <v>1741</v>
      </c>
      <c r="E185" s="577">
        <v>320100</v>
      </c>
      <c r="F185" s="672" t="str">
        <f>IFERROR(VLOOKUP(E185,STAT1!$C$4:$D$1000,2,FALSE),"")</f>
        <v>Урьдчилж орсон орлого MNT</v>
      </c>
      <c r="G185" s="377">
        <v>0</v>
      </c>
      <c r="H185" s="377">
        <v>313500</v>
      </c>
      <c r="I185" s="596">
        <f t="shared" si="10"/>
        <v>0</v>
      </c>
      <c r="J185" s="81">
        <f t="shared" si="15"/>
        <v>0</v>
      </c>
      <c r="K185" s="81"/>
      <c r="L185" s="597">
        <v>3004</v>
      </c>
      <c r="M185" s="81" t="str">
        <f>+IFERROR(VLOOKUP(L185,DATA!$G$4:$H$2000,2,FALSE),"")</f>
        <v xml:space="preserve">ИЭСОМ ХХК </v>
      </c>
      <c r="N185" s="435"/>
      <c r="O185" s="81" t="str">
        <f>IFERROR(VLOOKUP(N185,DATA!$K$4:$L$51,2,FALSE),"")</f>
        <v/>
      </c>
      <c r="P185" s="81"/>
      <c r="Q185" s="152">
        <f t="shared" si="11"/>
        <v>0</v>
      </c>
    </row>
    <row r="186" spans="2:17">
      <c r="B186" s="670">
        <f t="shared" si="13"/>
        <v>181</v>
      </c>
      <c r="C186" s="601">
        <v>42762</v>
      </c>
      <c r="D186" s="372" t="s">
        <v>1635</v>
      </c>
      <c r="E186" s="577">
        <v>160200</v>
      </c>
      <c r="F186" s="672" t="str">
        <f>IFERROR(VLOOKUP(E186,STAT1!$C$4:$D$1000,2,FALSE),"")</f>
        <v>Агуулахад байгаа материал, хангамж</v>
      </c>
      <c r="G186" s="431">
        <v>89520</v>
      </c>
      <c r="H186" s="431" t="s">
        <v>587</v>
      </c>
      <c r="I186" s="596">
        <f t="shared" si="10"/>
        <v>0</v>
      </c>
      <c r="J186" s="81">
        <f t="shared" si="15"/>
        <v>0</v>
      </c>
      <c r="K186" s="432"/>
      <c r="L186" s="597">
        <v>1005</v>
      </c>
      <c r="M186" s="81" t="str">
        <f>+IFERROR(VLOOKUP(L186,DATA!$G$4:$H$2000,2,FALSE),"")</f>
        <v>Золжаргал</v>
      </c>
      <c r="N186" s="435"/>
      <c r="O186" s="81" t="str">
        <f>IFERROR(VLOOKUP(N186,DATA!$K$4:$L$51,2,FALSE),"")</f>
        <v/>
      </c>
      <c r="P186" s="81"/>
      <c r="Q186" s="152">
        <f t="shared" si="11"/>
        <v>0</v>
      </c>
    </row>
    <row r="187" spans="2:17">
      <c r="B187" s="670">
        <f t="shared" si="13"/>
        <v>182</v>
      </c>
      <c r="C187" s="601">
        <v>42762</v>
      </c>
      <c r="D187" s="372" t="s">
        <v>587</v>
      </c>
      <c r="E187" s="577">
        <v>120600</v>
      </c>
      <c r="F187" s="672" t="str">
        <f>IFERROR(VLOOKUP(E187,STAT1!$C$4:$D$1000,2,FALSE),"")</f>
        <v>НӨАТ авлага</v>
      </c>
      <c r="G187" s="431">
        <v>8952</v>
      </c>
      <c r="H187" s="431"/>
      <c r="I187" s="596">
        <f t="shared" si="10"/>
        <v>0</v>
      </c>
      <c r="J187" s="81">
        <f t="shared" si="15"/>
        <v>0</v>
      </c>
      <c r="K187" s="432"/>
      <c r="L187" s="597">
        <v>1005</v>
      </c>
      <c r="M187" s="81" t="str">
        <f>+IFERROR(VLOOKUP(L187,DATA!$G$4:$H$2000,2,FALSE),"")</f>
        <v>Золжаргал</v>
      </c>
      <c r="N187" s="435"/>
      <c r="O187" s="81" t="str">
        <f>IFERROR(VLOOKUP(N187,DATA!$K$4:$L$51,2,FALSE),"")</f>
        <v/>
      </c>
      <c r="P187" s="81"/>
      <c r="Q187" s="152">
        <f t="shared" si="11"/>
        <v>0</v>
      </c>
    </row>
    <row r="188" spans="2:17">
      <c r="B188" s="670">
        <f t="shared" si="13"/>
        <v>183</v>
      </c>
      <c r="C188" s="601">
        <v>42762</v>
      </c>
      <c r="D188" s="372" t="s">
        <v>587</v>
      </c>
      <c r="E188" s="577">
        <v>121200</v>
      </c>
      <c r="F188" s="672" t="str">
        <f>IFERROR(VLOOKUP(E188,STAT1!$C$4:$D$1000,2,FALSE),"")</f>
        <v xml:space="preserve">Ажилчидын дараа тайлангийн тооцоо </v>
      </c>
      <c r="G188" s="430"/>
      <c r="H188" s="431">
        <v>98472</v>
      </c>
      <c r="I188" s="596">
        <f t="shared" si="10"/>
        <v>0</v>
      </c>
      <c r="J188" s="81">
        <f t="shared" si="15"/>
        <v>0</v>
      </c>
      <c r="K188" s="432"/>
      <c r="L188" s="597">
        <v>1005</v>
      </c>
      <c r="M188" s="81" t="str">
        <f>+IFERROR(VLOOKUP(L188,DATA!$G$4:$H$2000,2,FALSE),"")</f>
        <v>Золжаргал</v>
      </c>
      <c r="N188" s="435"/>
      <c r="O188" s="81" t="str">
        <f>IFERROR(VLOOKUP(N188,DATA!$K$4:$L$51,2,FALSE),"")</f>
        <v/>
      </c>
      <c r="P188" s="81"/>
      <c r="Q188" s="152">
        <f t="shared" si="11"/>
        <v>0</v>
      </c>
    </row>
    <row r="189" spans="2:17">
      <c r="B189" s="670">
        <f t="shared" si="13"/>
        <v>184</v>
      </c>
      <c r="C189" s="433">
        <v>42762</v>
      </c>
      <c r="D189" s="377" t="s">
        <v>1703</v>
      </c>
      <c r="E189" s="577">
        <v>100100</v>
      </c>
      <c r="F189" s="672" t="str">
        <f>IFERROR(VLOOKUP(E189,STAT1!$C$4:$D$1000,2,FALSE),"")</f>
        <v>Касс мөнгө MNT</v>
      </c>
      <c r="G189" s="377"/>
      <c r="H189" s="377">
        <v>138472</v>
      </c>
      <c r="I189" s="596">
        <f t="shared" si="10"/>
        <v>-138472</v>
      </c>
      <c r="J189" s="81"/>
      <c r="K189" s="81"/>
      <c r="L189" s="597">
        <v>1005</v>
      </c>
      <c r="M189" s="81" t="str">
        <f>+IFERROR(VLOOKUP(L189,DATA!$G$4:$H$2000,2,FALSE),"")</f>
        <v>Золжаргал</v>
      </c>
      <c r="N189" s="435">
        <v>53</v>
      </c>
      <c r="O189" s="81" t="str">
        <f>IFERROR(VLOOKUP(N189,DATA!$K$4:$L$51,2,FALSE),"")</f>
        <v>Бараа материал худалдан авахад төлсөн</v>
      </c>
      <c r="P189" s="81"/>
      <c r="Q189" s="152">
        <f t="shared" si="11"/>
        <v>1</v>
      </c>
    </row>
    <row r="190" spans="2:17">
      <c r="B190" s="670">
        <f t="shared" si="13"/>
        <v>185</v>
      </c>
      <c r="C190" s="433">
        <v>42762</v>
      </c>
      <c r="D190" s="377" t="s">
        <v>1703</v>
      </c>
      <c r="E190" s="577">
        <v>702000</v>
      </c>
      <c r="F190" s="672" t="str">
        <f>IFERROR(VLOOKUP(E190,STAT1!$C$4:$D$1000,2,FALSE),"")</f>
        <v>Түлш, шатахуун</v>
      </c>
      <c r="G190" s="377">
        <v>40000</v>
      </c>
      <c r="H190" s="377"/>
      <c r="I190" s="596">
        <f t="shared" si="10"/>
        <v>0</v>
      </c>
      <c r="J190" s="81"/>
      <c r="K190" s="81"/>
      <c r="L190" s="597">
        <v>1005</v>
      </c>
      <c r="M190" s="81" t="str">
        <f>+IFERROR(VLOOKUP(L190,DATA!$G$4:$H$2000,2,FALSE),"")</f>
        <v>Золжаргал</v>
      </c>
      <c r="N190" s="435"/>
      <c r="O190" s="81" t="str">
        <f>IFERROR(VLOOKUP(N190,DATA!$K$4:$L$51,2,FALSE),"")</f>
        <v/>
      </c>
      <c r="P190" s="81"/>
      <c r="Q190" s="152">
        <f t="shared" si="11"/>
        <v>0</v>
      </c>
    </row>
    <row r="191" spans="2:17">
      <c r="B191" s="670">
        <f t="shared" si="13"/>
        <v>186</v>
      </c>
      <c r="C191" s="433">
        <v>42762</v>
      </c>
      <c r="D191" s="377" t="s">
        <v>1703</v>
      </c>
      <c r="E191" s="577">
        <v>121200</v>
      </c>
      <c r="F191" s="672" t="str">
        <f>IFERROR(VLOOKUP(E191,STAT1!$C$4:$D$1000,2,FALSE),"")</f>
        <v xml:space="preserve">Ажилчидын дараа тайлангийн тооцоо </v>
      </c>
      <c r="G191" s="377">
        <v>98472</v>
      </c>
      <c r="H191" s="377">
        <v>0</v>
      </c>
      <c r="I191" s="596">
        <f t="shared" si="10"/>
        <v>0</v>
      </c>
      <c r="J191" s="81"/>
      <c r="K191" s="81"/>
      <c r="L191" s="597">
        <v>1005</v>
      </c>
      <c r="M191" s="81" t="str">
        <f>+IFERROR(VLOOKUP(L191,DATA!$G$4:$H$2000,2,FALSE),"")</f>
        <v>Золжаргал</v>
      </c>
      <c r="N191" s="435"/>
      <c r="O191" s="81" t="str">
        <f>IFERROR(VLOOKUP(N191,DATA!$K$4:$L$51,2,FALSE),"")</f>
        <v/>
      </c>
      <c r="P191" s="81"/>
      <c r="Q191" s="152">
        <f t="shared" si="11"/>
        <v>0</v>
      </c>
    </row>
    <row r="192" spans="2:17">
      <c r="B192" s="670">
        <f t="shared" si="13"/>
        <v>187</v>
      </c>
      <c r="C192" s="433">
        <v>42762</v>
      </c>
      <c r="D192" s="598" t="s">
        <v>1741</v>
      </c>
      <c r="E192" s="577">
        <v>110100</v>
      </c>
      <c r="F192" s="672" t="str">
        <f>IFERROR(VLOOKUP(E192,STAT1!$C$4:$D$1000,2,FALSE),"")</f>
        <v>Хаан Банк 5024654020</v>
      </c>
      <c r="G192" s="377">
        <v>269412</v>
      </c>
      <c r="H192" s="377"/>
      <c r="I192" s="596">
        <f t="shared" si="10"/>
        <v>269412</v>
      </c>
      <c r="J192" s="81">
        <f t="shared" ref="J192:J209" si="16">+IF(E192=110102,I192/K192,0)</f>
        <v>0</v>
      </c>
      <c r="K192" s="81"/>
      <c r="L192" s="597">
        <v>3003</v>
      </c>
      <c r="M192" s="81" t="str">
        <f>+IFERROR(VLOOKUP(L192,DATA!$G$4:$H$2000,2,FALSE),"")</f>
        <v xml:space="preserve">МУХИА ХХК </v>
      </c>
      <c r="N192" s="435">
        <v>41</v>
      </c>
      <c r="O192" s="81" t="str">
        <f>IFERROR(VLOOKUP(N192,DATA!$K$4:$L$51,2,FALSE),"")</f>
        <v>Бараа борлуулсан, үйлчилгээ үзүүлсэний орлого</v>
      </c>
      <c r="P192" s="81"/>
      <c r="Q192" s="152">
        <f t="shared" si="11"/>
        <v>1</v>
      </c>
    </row>
    <row r="193" spans="2:17">
      <c r="B193" s="670">
        <f t="shared" si="13"/>
        <v>188</v>
      </c>
      <c r="C193" s="433">
        <v>42762</v>
      </c>
      <c r="D193" s="598" t="s">
        <v>1741</v>
      </c>
      <c r="E193" s="577">
        <v>320100</v>
      </c>
      <c r="F193" s="672" t="str">
        <f>IFERROR(VLOOKUP(E193,STAT1!$C$4:$D$1000,2,FALSE),"")</f>
        <v>Урьдчилж орсон орлого MNT</v>
      </c>
      <c r="G193" s="377">
        <v>0</v>
      </c>
      <c r="H193" s="377">
        <v>269412</v>
      </c>
      <c r="I193" s="596">
        <f t="shared" si="10"/>
        <v>0</v>
      </c>
      <c r="J193" s="81">
        <f t="shared" si="16"/>
        <v>0</v>
      </c>
      <c r="K193" s="81"/>
      <c r="L193" s="597">
        <v>3003</v>
      </c>
      <c r="M193" s="81" t="str">
        <f>+IFERROR(VLOOKUP(L193,DATA!$G$4:$H$2000,2,FALSE),"")</f>
        <v xml:space="preserve">МУХИА ХХК </v>
      </c>
      <c r="N193" s="435"/>
      <c r="O193" s="81" t="str">
        <f>IFERROR(VLOOKUP(N193,DATA!$K$4:$L$51,2,FALSE),"")</f>
        <v/>
      </c>
      <c r="P193" s="81"/>
      <c r="Q193" s="152">
        <f t="shared" si="11"/>
        <v>0</v>
      </c>
    </row>
    <row r="194" spans="2:17">
      <c r="B194" s="670">
        <f t="shared" si="13"/>
        <v>189</v>
      </c>
      <c r="C194" s="433">
        <v>42763</v>
      </c>
      <c r="D194" s="434" t="s">
        <v>2685</v>
      </c>
      <c r="E194" s="678">
        <v>150101</v>
      </c>
      <c r="F194" s="672" t="str">
        <f>IFERROR(VLOOKUP(E194,STAT1!$C$4:$D$1000,2,FALSE),"")</f>
        <v>Бараа бэлэн бүтээгдэхүүн БОЛОВСРУУЛАХ ЦЕХ /нарс/</v>
      </c>
      <c r="G194" s="431"/>
      <c r="H194" s="431">
        <v>151019.94129999998</v>
      </c>
      <c r="I194" s="596">
        <f t="shared" si="10"/>
        <v>0</v>
      </c>
      <c r="J194" s="81">
        <f t="shared" si="16"/>
        <v>0</v>
      </c>
      <c r="K194" s="81"/>
      <c r="L194" s="597">
        <v>3004</v>
      </c>
      <c r="M194" s="81" t="str">
        <f>+IFERROR(VLOOKUP(L194,DATA!$G$4:$H$2000,2,FALSE),"")</f>
        <v xml:space="preserve">ИЭСОМ ХХК </v>
      </c>
      <c r="N194" s="435"/>
      <c r="O194" s="81" t="str">
        <f>IFERROR(VLOOKUP(N194,DATA!$K$4:$L$51,2,FALSE),"")</f>
        <v/>
      </c>
      <c r="P194" s="81"/>
      <c r="Q194" s="152">
        <f t="shared" si="11"/>
        <v>0</v>
      </c>
    </row>
    <row r="195" spans="2:17">
      <c r="B195" s="670">
        <f t="shared" si="13"/>
        <v>190</v>
      </c>
      <c r="C195" s="433">
        <v>42763</v>
      </c>
      <c r="D195" s="434" t="s">
        <v>587</v>
      </c>
      <c r="E195" s="677">
        <v>610100</v>
      </c>
      <c r="F195" s="672" t="str">
        <f>IFERROR(VLOOKUP(E195,STAT1!$C$4:$D$1000,2,FALSE),"")</f>
        <v>Борлуулсан барааны өртөг</v>
      </c>
      <c r="G195" s="431">
        <v>151019.94129999998</v>
      </c>
      <c r="H195" s="431"/>
      <c r="I195" s="596">
        <f t="shared" si="10"/>
        <v>0</v>
      </c>
      <c r="J195" s="81">
        <f t="shared" si="16"/>
        <v>0</v>
      </c>
      <c r="K195" s="81"/>
      <c r="L195" s="597">
        <v>3004</v>
      </c>
      <c r="M195" s="81" t="str">
        <f>+IFERROR(VLOOKUP(L195,DATA!$G$4:$H$2000,2,FALSE),"")</f>
        <v xml:space="preserve">ИЭСОМ ХХК </v>
      </c>
      <c r="N195" s="435"/>
      <c r="O195" s="81" t="str">
        <f>IFERROR(VLOOKUP(N195,DATA!$K$4:$L$51,2,FALSE),"")</f>
        <v/>
      </c>
      <c r="P195" s="81"/>
      <c r="Q195" s="152">
        <f t="shared" si="11"/>
        <v>0</v>
      </c>
    </row>
    <row r="196" spans="2:17">
      <c r="B196" s="670">
        <f t="shared" si="13"/>
        <v>191</v>
      </c>
      <c r="C196" s="433">
        <v>42763</v>
      </c>
      <c r="D196" s="434"/>
      <c r="E196" s="677">
        <v>310500</v>
      </c>
      <c r="F196" s="672" t="str">
        <f>IFERROR(VLOOKUP(E196,STAT1!$C$4:$D$1000,2,FALSE),"")</f>
        <v>НӨАТ өглөг</v>
      </c>
      <c r="G196" s="431"/>
      <c r="H196" s="431">
        <v>28499.999886599999</v>
      </c>
      <c r="I196" s="596">
        <f t="shared" si="10"/>
        <v>0</v>
      </c>
      <c r="J196" s="81">
        <f t="shared" si="16"/>
        <v>0</v>
      </c>
      <c r="K196" s="81"/>
      <c r="L196" s="597">
        <v>3004</v>
      </c>
      <c r="M196" s="81" t="str">
        <f>+IFERROR(VLOOKUP(L196,DATA!$G$4:$H$2000,2,FALSE),"")</f>
        <v xml:space="preserve">ИЭСОМ ХХК </v>
      </c>
      <c r="N196" s="435"/>
      <c r="O196" s="81"/>
      <c r="P196" s="81"/>
      <c r="Q196" s="152">
        <f t="shared" si="11"/>
        <v>0</v>
      </c>
    </row>
    <row r="197" spans="2:17">
      <c r="B197" s="670">
        <f t="shared" si="13"/>
        <v>192</v>
      </c>
      <c r="C197" s="433">
        <v>42763</v>
      </c>
      <c r="D197" s="434" t="s">
        <v>587</v>
      </c>
      <c r="E197" s="677">
        <v>510000</v>
      </c>
      <c r="F197" s="672" t="str">
        <f>IFERROR(VLOOKUP(E197,STAT1!$C$4:$D$1000,2,FALSE),"")</f>
        <v>Үндсэн үйл ажиллагааны борлуулалт</v>
      </c>
      <c r="G197" s="431"/>
      <c r="H197" s="431">
        <v>285000</v>
      </c>
      <c r="I197" s="596">
        <f t="shared" si="10"/>
        <v>0</v>
      </c>
      <c r="J197" s="81">
        <f t="shared" si="16"/>
        <v>0</v>
      </c>
      <c r="K197" s="81"/>
      <c r="L197" s="597">
        <v>3004</v>
      </c>
      <c r="M197" s="81" t="str">
        <f>+IFERROR(VLOOKUP(L197,DATA!$G$4:$H$2000,2,FALSE),"")</f>
        <v xml:space="preserve">ИЭСОМ ХХК </v>
      </c>
      <c r="N197" s="435"/>
      <c r="O197" s="81" t="str">
        <f>IFERROR(VLOOKUP(N197,DATA!$K$4:$L$51,2,FALSE),"")</f>
        <v/>
      </c>
      <c r="P197" s="81"/>
      <c r="Q197" s="152">
        <f t="shared" si="11"/>
        <v>0</v>
      </c>
    </row>
    <row r="198" spans="2:17">
      <c r="B198" s="670">
        <f t="shared" si="13"/>
        <v>193</v>
      </c>
      <c r="C198" s="433">
        <v>42763</v>
      </c>
      <c r="D198" s="434" t="s">
        <v>587</v>
      </c>
      <c r="E198" s="675">
        <v>320100</v>
      </c>
      <c r="F198" s="672" t="str">
        <f>IFERROR(VLOOKUP(E198,STAT1!$C$4:$D$1000,2,FALSE),"")</f>
        <v>Урьдчилж орсон орлого MNT</v>
      </c>
      <c r="G198" s="431">
        <v>313499.99875259999</v>
      </c>
      <c r="H198" s="431"/>
      <c r="I198" s="596">
        <f t="shared" ref="I198:I261" si="17">+IF(OR(E198=100100,E198=100200,E198=110100,E198=110102,E198=110103,E198=110104,E198=110105,E198=110200,E198=110201,E198=110202,E198=110203,E198=110204,E198=110300),G198,0)+IF(OR(E198=100100,E198=100200,E198=110100,E198=110102,E198=110103,E198=110104,E198=110105,E198=110200,E198=110201,E198=110202,E198=110203,E198=110204,E198=110300),H198*-1,0)</f>
        <v>0</v>
      </c>
      <c r="J198" s="81">
        <f t="shared" si="16"/>
        <v>0</v>
      </c>
      <c r="K198" s="81"/>
      <c r="L198" s="597">
        <v>3004</v>
      </c>
      <c r="M198" s="81" t="str">
        <f>+IFERROR(VLOOKUP(L198,DATA!$G$4:$H$2000,2,FALSE),"")</f>
        <v xml:space="preserve">ИЭСОМ ХХК </v>
      </c>
      <c r="N198" s="435"/>
      <c r="O198" s="81" t="str">
        <f>IFERROR(VLOOKUP(N198,DATA!$K$4:$L$51,2,FALSE),"")</f>
        <v/>
      </c>
      <c r="P198" s="81"/>
      <c r="Q198" s="152">
        <f t="shared" si="11"/>
        <v>0</v>
      </c>
    </row>
    <row r="199" spans="2:17">
      <c r="B199" s="670">
        <f t="shared" si="13"/>
        <v>194</v>
      </c>
      <c r="C199" s="433">
        <v>42765</v>
      </c>
      <c r="D199" s="598" t="s">
        <v>1741</v>
      </c>
      <c r="E199" s="577">
        <v>110100</v>
      </c>
      <c r="F199" s="672" t="str">
        <f>IFERROR(VLOOKUP(E199,STAT1!$C$4:$D$1000,2,FALSE),"")</f>
        <v>Хаан Банк 5024654020</v>
      </c>
      <c r="G199" s="377">
        <v>19793325</v>
      </c>
      <c r="H199" s="377"/>
      <c r="I199" s="596">
        <f t="shared" si="17"/>
        <v>19793325</v>
      </c>
      <c r="J199" s="81">
        <f t="shared" si="16"/>
        <v>0</v>
      </c>
      <c r="K199" s="81"/>
      <c r="L199" s="597">
        <v>3002</v>
      </c>
      <c r="M199" s="81" t="str">
        <f>+IFERROR(VLOOKUP(L199,DATA!$G$4:$H$2000,2,FALSE),"")</f>
        <v>ЭКО КОНСТРАКШН ХХК</v>
      </c>
      <c r="N199" s="435">
        <v>41</v>
      </c>
      <c r="O199" s="81" t="str">
        <f>IFERROR(VLOOKUP(N199,DATA!$K$4:$L$51,2,FALSE),"")</f>
        <v>Бараа борлуулсан, үйлчилгээ үзүүлсэний орлого</v>
      </c>
      <c r="P199" s="81"/>
      <c r="Q199" s="152">
        <f t="shared" ref="Q199:Q262" si="18">+IF(I199,1,0)</f>
        <v>1</v>
      </c>
    </row>
    <row r="200" spans="2:17">
      <c r="B200" s="670">
        <f t="shared" si="13"/>
        <v>195</v>
      </c>
      <c r="C200" s="433">
        <v>42765</v>
      </c>
      <c r="D200" s="598" t="s">
        <v>1741</v>
      </c>
      <c r="E200" s="577">
        <v>320100</v>
      </c>
      <c r="F200" s="672" t="str">
        <f>IFERROR(VLOOKUP(E200,STAT1!$C$4:$D$1000,2,FALSE),"")</f>
        <v>Урьдчилж орсон орлого MNT</v>
      </c>
      <c r="G200" s="377">
        <v>0</v>
      </c>
      <c r="H200" s="377">
        <v>19793325</v>
      </c>
      <c r="I200" s="596">
        <f t="shared" si="17"/>
        <v>0</v>
      </c>
      <c r="J200" s="81">
        <f t="shared" si="16"/>
        <v>0</v>
      </c>
      <c r="K200" s="81"/>
      <c r="L200" s="597">
        <v>3002</v>
      </c>
      <c r="M200" s="81" t="str">
        <f>+IFERROR(VLOOKUP(L200,DATA!$G$4:$H$2000,2,FALSE),"")</f>
        <v>ЭКО КОНСТРАКШН ХХК</v>
      </c>
      <c r="N200" s="435"/>
      <c r="O200" s="81" t="str">
        <f>IFERROR(VLOOKUP(N200,DATA!$K$4:$L$51,2,FALSE),"")</f>
        <v/>
      </c>
      <c r="P200" s="81"/>
      <c r="Q200" s="152">
        <f t="shared" si="18"/>
        <v>0</v>
      </c>
    </row>
    <row r="201" spans="2:17">
      <c r="B201" s="670">
        <f t="shared" si="13"/>
        <v>196</v>
      </c>
      <c r="C201" s="601">
        <v>42766</v>
      </c>
      <c r="D201" s="372" t="s">
        <v>1655</v>
      </c>
      <c r="E201" s="577">
        <v>160200</v>
      </c>
      <c r="F201" s="672" t="str">
        <f>IFERROR(VLOOKUP(E201,STAT1!$C$4:$D$1000,2,FALSE),"")</f>
        <v>Агуулахад байгаа материал, хангамж</v>
      </c>
      <c r="G201" s="431">
        <v>720000</v>
      </c>
      <c r="H201" s="430"/>
      <c r="I201" s="596">
        <f t="shared" si="17"/>
        <v>0</v>
      </c>
      <c r="J201" s="81">
        <f t="shared" si="16"/>
        <v>0</v>
      </c>
      <c r="K201" s="432"/>
      <c r="L201" s="597">
        <v>3018</v>
      </c>
      <c r="M201" s="81" t="str">
        <f>+IFERROR(VLOOKUP(L201,DATA!$G$4:$H$2000,2,FALSE),"")</f>
        <v xml:space="preserve">ВЮРТ МОНГОЛИЯ ХХК </v>
      </c>
      <c r="N201" s="435"/>
      <c r="O201" s="81" t="str">
        <f>IFERROR(VLOOKUP(N201,DATA!$K$4:$L$51,2,FALSE),"")</f>
        <v/>
      </c>
      <c r="P201" s="81"/>
      <c r="Q201" s="152">
        <f t="shared" si="18"/>
        <v>0</v>
      </c>
    </row>
    <row r="202" spans="2:17">
      <c r="B202" s="670">
        <f t="shared" si="13"/>
        <v>197</v>
      </c>
      <c r="C202" s="601">
        <v>42766</v>
      </c>
      <c r="D202" s="372" t="s">
        <v>587</v>
      </c>
      <c r="E202" s="577">
        <v>120600</v>
      </c>
      <c r="F202" s="672" t="str">
        <f>IFERROR(VLOOKUP(E202,STAT1!$C$4:$D$1000,2,FALSE),"")</f>
        <v>НӨАТ авлага</v>
      </c>
      <c r="G202" s="431">
        <v>72000</v>
      </c>
      <c r="H202" s="430"/>
      <c r="I202" s="596">
        <f t="shared" si="17"/>
        <v>0</v>
      </c>
      <c r="J202" s="81">
        <f t="shared" si="16"/>
        <v>0</v>
      </c>
      <c r="K202" s="432"/>
      <c r="L202" s="597">
        <v>3018</v>
      </c>
      <c r="M202" s="81" t="str">
        <f>+IFERROR(VLOOKUP(L202,DATA!$G$4:$H$2000,2,FALSE),"")</f>
        <v xml:space="preserve">ВЮРТ МОНГОЛИЯ ХХК </v>
      </c>
      <c r="N202" s="435"/>
      <c r="O202" s="81" t="str">
        <f>IFERROR(VLOOKUP(N202,DATA!$K$4:$L$51,2,FALSE),"")</f>
        <v/>
      </c>
      <c r="P202" s="81"/>
      <c r="Q202" s="152">
        <f t="shared" si="18"/>
        <v>0</v>
      </c>
    </row>
    <row r="203" spans="2:17">
      <c r="B203" s="670">
        <f t="shared" ref="B203:B266" si="19">+IF(C203="","",ROW()-5)</f>
        <v>198</v>
      </c>
      <c r="C203" s="601">
        <v>42766</v>
      </c>
      <c r="D203" s="372" t="s">
        <v>587</v>
      </c>
      <c r="E203" s="577">
        <v>120100</v>
      </c>
      <c r="F203" s="672" t="str">
        <f>IFERROR(VLOOKUP(E203,STAT1!$C$4:$D$1000,2,FALSE),"")</f>
        <v xml:space="preserve">Дансны авлага MNT </v>
      </c>
      <c r="G203" s="431"/>
      <c r="H203" s="431">
        <v>792000</v>
      </c>
      <c r="I203" s="596">
        <f t="shared" si="17"/>
        <v>0</v>
      </c>
      <c r="J203" s="81">
        <f t="shared" si="16"/>
        <v>0</v>
      </c>
      <c r="K203" s="432"/>
      <c r="L203" s="597">
        <v>3018</v>
      </c>
      <c r="M203" s="81" t="str">
        <f>+IFERROR(VLOOKUP(L203,DATA!$G$4:$H$2000,2,FALSE),"")</f>
        <v xml:space="preserve">ВЮРТ МОНГОЛИЯ ХХК </v>
      </c>
      <c r="N203" s="435"/>
      <c r="O203" s="81" t="str">
        <f>IFERROR(VLOOKUP(N203,DATA!$K$4:$L$51,2,FALSE),"")</f>
        <v/>
      </c>
      <c r="P203" s="81"/>
      <c r="Q203" s="152">
        <f t="shared" si="18"/>
        <v>0</v>
      </c>
    </row>
    <row r="204" spans="2:17">
      <c r="B204" s="670">
        <f t="shared" si="19"/>
        <v>199</v>
      </c>
      <c r="C204" s="433">
        <v>42766</v>
      </c>
      <c r="D204" s="434" t="s">
        <v>2678</v>
      </c>
      <c r="E204" s="676">
        <v>150101</v>
      </c>
      <c r="F204" s="672" t="str">
        <f>IFERROR(VLOOKUP(E204,STAT1!$C$4:$D$1000,2,FALSE),"")</f>
        <v>Бараа бэлэн бүтээгдэхүүн БОЛОВСРУУЛАХ ЦЕХ /нарс/</v>
      </c>
      <c r="G204" s="431"/>
      <c r="H204" s="431">
        <v>2617451.4311211496</v>
      </c>
      <c r="I204" s="596">
        <f t="shared" si="17"/>
        <v>0</v>
      </c>
      <c r="J204" s="81">
        <f t="shared" si="16"/>
        <v>0</v>
      </c>
      <c r="K204" s="81"/>
      <c r="L204" s="597">
        <v>3001</v>
      </c>
      <c r="M204" s="81" t="str">
        <f>+IFERROR(VLOOKUP(L204,DATA!$G$4:$H$2000,2,FALSE),"")</f>
        <v>ХУРД ГРУПП ХХК</v>
      </c>
      <c r="N204" s="435"/>
      <c r="O204" s="81" t="str">
        <f>IFERROR(VLOOKUP(N204,DATA!$K$4:$L$51,2,FALSE),"")</f>
        <v/>
      </c>
      <c r="P204" s="81"/>
      <c r="Q204" s="152">
        <f t="shared" si="18"/>
        <v>0</v>
      </c>
    </row>
    <row r="205" spans="2:17">
      <c r="B205" s="670">
        <f t="shared" si="19"/>
        <v>200</v>
      </c>
      <c r="C205" s="433">
        <v>42766</v>
      </c>
      <c r="D205" s="434" t="s">
        <v>587</v>
      </c>
      <c r="E205" s="675">
        <v>610100</v>
      </c>
      <c r="F205" s="672" t="str">
        <f>IFERROR(VLOOKUP(E205,STAT1!$C$4:$D$1000,2,FALSE),"")</f>
        <v>Борлуулсан барааны өртөг</v>
      </c>
      <c r="G205" s="431">
        <v>2617451.4311211496</v>
      </c>
      <c r="H205" s="431"/>
      <c r="I205" s="596">
        <f t="shared" si="17"/>
        <v>0</v>
      </c>
      <c r="J205" s="81">
        <f t="shared" si="16"/>
        <v>0</v>
      </c>
      <c r="K205" s="81"/>
      <c r="L205" s="597">
        <v>3001</v>
      </c>
      <c r="M205" s="81" t="str">
        <f>+IFERROR(VLOOKUP(L205,DATA!$G$4:$H$2000,2,FALSE),"")</f>
        <v>ХУРД ГРУПП ХХК</v>
      </c>
      <c r="N205" s="435"/>
      <c r="O205" s="81" t="str">
        <f>IFERROR(VLOOKUP(N205,DATA!$K$4:$L$51,2,FALSE),"")</f>
        <v/>
      </c>
      <c r="P205" s="81"/>
      <c r="Q205" s="152">
        <f t="shared" si="18"/>
        <v>0</v>
      </c>
    </row>
    <row r="206" spans="2:17">
      <c r="B206" s="670">
        <f t="shared" si="19"/>
        <v>201</v>
      </c>
      <c r="C206" s="433">
        <v>42766</v>
      </c>
      <c r="D206" s="434"/>
      <c r="E206" s="675">
        <v>310500</v>
      </c>
      <c r="F206" s="672" t="str">
        <f>IFERROR(VLOOKUP(E206,STAT1!$C$4:$D$1000,2,FALSE),"")</f>
        <v>НӨАТ өглөг</v>
      </c>
      <c r="G206" s="431"/>
      <c r="H206" s="431">
        <v>439071.90889988001</v>
      </c>
      <c r="I206" s="596">
        <f t="shared" si="17"/>
        <v>0</v>
      </c>
      <c r="J206" s="81">
        <f t="shared" si="16"/>
        <v>0</v>
      </c>
      <c r="K206" s="81"/>
      <c r="L206" s="597">
        <v>3001</v>
      </c>
      <c r="M206" s="81" t="str">
        <f>+IFERROR(VLOOKUP(L206,DATA!$G$4:$H$2000,2,FALSE),"")</f>
        <v>ХУРД ГРУПП ХХК</v>
      </c>
      <c r="N206" s="435"/>
      <c r="O206" s="81"/>
      <c r="P206" s="81"/>
      <c r="Q206" s="152">
        <f t="shared" si="18"/>
        <v>0</v>
      </c>
    </row>
    <row r="207" spans="2:17">
      <c r="B207" s="670">
        <f t="shared" si="19"/>
        <v>202</v>
      </c>
      <c r="C207" s="433">
        <v>42766</v>
      </c>
      <c r="D207" s="434" t="s">
        <v>587</v>
      </c>
      <c r="E207" s="675">
        <v>510000</v>
      </c>
      <c r="F207" s="672" t="str">
        <f>IFERROR(VLOOKUP(E207,STAT1!$C$4:$D$1000,2,FALSE),"")</f>
        <v>Үндсэн үйл ажиллагааны борлуулалт</v>
      </c>
      <c r="G207" s="431"/>
      <c r="H207" s="431">
        <v>4390719.0889988001</v>
      </c>
      <c r="I207" s="596">
        <f t="shared" si="17"/>
        <v>0</v>
      </c>
      <c r="J207" s="81">
        <f t="shared" si="16"/>
        <v>0</v>
      </c>
      <c r="K207" s="81"/>
      <c r="L207" s="597">
        <v>3001</v>
      </c>
      <c r="M207" s="81" t="str">
        <f>+IFERROR(VLOOKUP(L207,DATA!$G$4:$H$2000,2,FALSE),"")</f>
        <v>ХУРД ГРУПП ХХК</v>
      </c>
      <c r="N207" s="435"/>
      <c r="O207" s="81" t="str">
        <f>IFERROR(VLOOKUP(N207,DATA!$K$4:$L$51,2,FALSE),"")</f>
        <v/>
      </c>
      <c r="P207" s="81"/>
      <c r="Q207" s="152">
        <f t="shared" si="18"/>
        <v>0</v>
      </c>
    </row>
    <row r="208" spans="2:17">
      <c r="B208" s="670">
        <f t="shared" si="19"/>
        <v>203</v>
      </c>
      <c r="C208" s="433">
        <v>42766</v>
      </c>
      <c r="D208" s="434" t="s">
        <v>587</v>
      </c>
      <c r="E208" s="675">
        <v>320100</v>
      </c>
      <c r="F208" s="672" t="str">
        <f>IFERROR(VLOOKUP(E208,STAT1!$C$4:$D$1000,2,FALSE),"")</f>
        <v>Урьдчилж орсон орлого MNT</v>
      </c>
      <c r="G208" s="431">
        <v>4829790.9978986802</v>
      </c>
      <c r="H208" s="431"/>
      <c r="I208" s="596">
        <f t="shared" si="17"/>
        <v>0</v>
      </c>
      <c r="J208" s="81">
        <f t="shared" si="16"/>
        <v>0</v>
      </c>
      <c r="K208" s="81"/>
      <c r="L208" s="597">
        <v>3001</v>
      </c>
      <c r="M208" s="81" t="str">
        <f>+IFERROR(VLOOKUP(L208,DATA!$G$4:$H$2000,2,FALSE),"")</f>
        <v>ХУРД ГРУПП ХХК</v>
      </c>
      <c r="N208" s="435"/>
      <c r="O208" s="81" t="str">
        <f>IFERROR(VLOOKUP(N208,DATA!$K$4:$L$51,2,FALSE),"")</f>
        <v/>
      </c>
      <c r="P208" s="81"/>
      <c r="Q208" s="152">
        <f t="shared" si="18"/>
        <v>0</v>
      </c>
    </row>
    <row r="209" spans="2:17">
      <c r="B209" s="670">
        <f t="shared" si="19"/>
        <v>204</v>
      </c>
      <c r="C209" s="433">
        <v>42766</v>
      </c>
      <c r="D209" s="434" t="s">
        <v>2678</v>
      </c>
      <c r="E209" s="676">
        <v>150101</v>
      </c>
      <c r="F209" s="672" t="str">
        <f>IFERROR(VLOOKUP(E209,STAT1!$C$4:$D$1000,2,FALSE),"")</f>
        <v>Бараа бэлэн бүтээгдэхүүн БОЛОВСРУУЛАХ ЦЕХ /нарс/</v>
      </c>
      <c r="G209" s="431"/>
      <c r="H209" s="431">
        <v>225072.23675193865</v>
      </c>
      <c r="I209" s="596">
        <f t="shared" si="17"/>
        <v>0</v>
      </c>
      <c r="J209" s="81">
        <f t="shared" si="16"/>
        <v>0</v>
      </c>
      <c r="K209" s="81"/>
      <c r="L209" s="597">
        <v>4002</v>
      </c>
      <c r="M209" s="81" t="str">
        <f>+IFERROR(VLOOKUP(L209,DATA!$G$4:$H$2000,2,FALSE),"")</f>
        <v xml:space="preserve">Хувь хүн </v>
      </c>
      <c r="N209" s="435"/>
      <c r="O209" s="81" t="str">
        <f>IFERROR(VLOOKUP(N209,DATA!$K$4:$L$51,2,FALSE),"")</f>
        <v/>
      </c>
      <c r="P209" s="81"/>
      <c r="Q209" s="152">
        <f t="shared" si="18"/>
        <v>0</v>
      </c>
    </row>
    <row r="210" spans="2:17">
      <c r="B210" s="670">
        <f t="shared" si="19"/>
        <v>205</v>
      </c>
      <c r="C210" s="433">
        <v>42766</v>
      </c>
      <c r="D210" s="434"/>
      <c r="E210" s="675">
        <v>610100</v>
      </c>
      <c r="F210" s="672" t="str">
        <f>IFERROR(VLOOKUP(E210,STAT1!$C$4:$D$1000,2,FALSE),"")</f>
        <v>Борлуулсан барааны өртөг</v>
      </c>
      <c r="G210" s="431">
        <v>225072.23675193865</v>
      </c>
      <c r="H210" s="431"/>
      <c r="I210" s="596">
        <f t="shared" si="17"/>
        <v>0</v>
      </c>
      <c r="J210" s="81"/>
      <c r="K210" s="81"/>
      <c r="L210" s="597">
        <v>4002</v>
      </c>
      <c r="M210" s="81" t="str">
        <f>+IFERROR(VLOOKUP(L210,DATA!$G$4:$H$2000,2,FALSE),"")</f>
        <v xml:space="preserve">Хувь хүн </v>
      </c>
      <c r="N210" s="435"/>
      <c r="O210" s="81"/>
      <c r="P210" s="81"/>
      <c r="Q210" s="152">
        <f t="shared" si="18"/>
        <v>0</v>
      </c>
    </row>
    <row r="211" spans="2:17">
      <c r="B211" s="670">
        <f t="shared" si="19"/>
        <v>206</v>
      </c>
      <c r="C211" s="433">
        <v>42766</v>
      </c>
      <c r="D211" s="434" t="s">
        <v>587</v>
      </c>
      <c r="E211" s="675">
        <v>310500</v>
      </c>
      <c r="F211" s="672" t="str">
        <f>IFERROR(VLOOKUP(E211,STAT1!$C$4:$D$1000,2,FALSE),"")</f>
        <v>НӨАТ өглөг</v>
      </c>
      <c r="G211" s="431"/>
      <c r="H211" s="431">
        <v>37756.454127931</v>
      </c>
      <c r="I211" s="596">
        <f t="shared" si="17"/>
        <v>0</v>
      </c>
      <c r="J211" s="81">
        <f>+IF(E211=110102,I211/K211,0)</f>
        <v>0</v>
      </c>
      <c r="K211" s="81"/>
      <c r="L211" s="597">
        <v>4002</v>
      </c>
      <c r="M211" s="81" t="str">
        <f>+IFERROR(VLOOKUP(L211,DATA!$G$4:$H$2000,2,FALSE),"")</f>
        <v xml:space="preserve">Хувь хүн </v>
      </c>
      <c r="N211" s="435"/>
      <c r="O211" s="81" t="str">
        <f>IFERROR(VLOOKUP(N211,DATA!$K$4:$L$51,2,FALSE),"")</f>
        <v/>
      </c>
      <c r="P211" s="81"/>
      <c r="Q211" s="152">
        <f t="shared" si="18"/>
        <v>0</v>
      </c>
    </row>
    <row r="212" spans="2:17">
      <c r="B212" s="670">
        <f t="shared" si="19"/>
        <v>207</v>
      </c>
      <c r="C212" s="433">
        <v>42766</v>
      </c>
      <c r="D212" s="434" t="s">
        <v>587</v>
      </c>
      <c r="E212" s="675">
        <v>510000</v>
      </c>
      <c r="F212" s="672" t="str">
        <f>IFERROR(VLOOKUP(E212,STAT1!$C$4:$D$1000,2,FALSE),"")</f>
        <v>Үндсэн үйл ажиллагааны борлуулалт</v>
      </c>
      <c r="G212" s="431"/>
      <c r="H212" s="431">
        <v>377564.54127930995</v>
      </c>
      <c r="I212" s="596">
        <f t="shared" si="17"/>
        <v>0</v>
      </c>
      <c r="J212" s="81">
        <f>+IF(E212=110102,I212/K212,0)</f>
        <v>0</v>
      </c>
      <c r="K212" s="81"/>
      <c r="L212" s="597">
        <v>4002</v>
      </c>
      <c r="M212" s="81" t="str">
        <f>+IFERROR(VLOOKUP(L212,DATA!$G$4:$H$2000,2,FALSE),"")</f>
        <v xml:space="preserve">Хувь хүн </v>
      </c>
      <c r="N212" s="435"/>
      <c r="O212" s="81" t="str">
        <f>IFERROR(VLOOKUP(N212,DATA!$K$4:$L$51,2,FALSE),"")</f>
        <v/>
      </c>
      <c r="P212" s="81"/>
      <c r="Q212" s="152">
        <f t="shared" si="18"/>
        <v>0</v>
      </c>
    </row>
    <row r="213" spans="2:17">
      <c r="B213" s="670">
        <f t="shared" si="19"/>
        <v>208</v>
      </c>
      <c r="C213" s="433">
        <v>42766</v>
      </c>
      <c r="D213" s="434" t="s">
        <v>587</v>
      </c>
      <c r="E213" s="675">
        <v>320100</v>
      </c>
      <c r="F213" s="672" t="str">
        <f>IFERROR(VLOOKUP(E213,STAT1!$C$4:$D$1000,2,FALSE),"")</f>
        <v>Урьдчилж орсон орлого MNT</v>
      </c>
      <c r="G213" s="431">
        <v>415320.99540724093</v>
      </c>
      <c r="H213" s="431"/>
      <c r="I213" s="596">
        <f t="shared" si="17"/>
        <v>0</v>
      </c>
      <c r="J213" s="81">
        <f>+IF(E213=110102,I213/K213,0)</f>
        <v>0</v>
      </c>
      <c r="K213" s="81"/>
      <c r="L213" s="597">
        <v>4002</v>
      </c>
      <c r="M213" s="81" t="str">
        <f>+IFERROR(VLOOKUP(L213,DATA!$G$4:$H$2000,2,FALSE),"")</f>
        <v xml:space="preserve">Хувь хүн </v>
      </c>
      <c r="N213" s="435"/>
      <c r="O213" s="81" t="str">
        <f>IFERROR(VLOOKUP(N213,DATA!$K$4:$L$51,2,FALSE),"")</f>
        <v/>
      </c>
      <c r="P213" s="81"/>
      <c r="Q213" s="152">
        <f t="shared" si="18"/>
        <v>0</v>
      </c>
    </row>
    <row r="214" spans="2:17">
      <c r="B214" s="670">
        <f t="shared" si="19"/>
        <v>209</v>
      </c>
      <c r="C214" s="433">
        <v>42766</v>
      </c>
      <c r="D214" s="377" t="s">
        <v>1355</v>
      </c>
      <c r="E214" s="577">
        <v>100100</v>
      </c>
      <c r="F214" s="672" t="str">
        <f>IFERROR(VLOOKUP(E214,STAT1!$C$4:$D$1000,2,FALSE),"")</f>
        <v>Касс мөнгө MNT</v>
      </c>
      <c r="G214" s="377"/>
      <c r="H214" s="377">
        <v>170000</v>
      </c>
      <c r="I214" s="596">
        <f t="shared" si="17"/>
        <v>-170000</v>
      </c>
      <c r="J214" s="81"/>
      <c r="K214" s="81"/>
      <c r="L214" s="597">
        <v>1003</v>
      </c>
      <c r="M214" s="81" t="str">
        <f>+IFERROR(VLOOKUP(L214,DATA!$G$4:$H$2000,2,FALSE),"")</f>
        <v>Бахдамдэмбэрэл</v>
      </c>
      <c r="N214" s="435">
        <v>55</v>
      </c>
      <c r="O214" s="81" t="str">
        <f>IFERROR(VLOOKUP(N214,DATA!$K$4:$L$51,2,FALSE),"")</f>
        <v>Түлш, шатахуун, тээврийн хөлс, сэлбэг хэрэгсэлд төлсөн</v>
      </c>
      <c r="P214" s="81"/>
      <c r="Q214" s="152">
        <f t="shared" si="18"/>
        <v>1</v>
      </c>
    </row>
    <row r="215" spans="2:17">
      <c r="B215" s="670">
        <f t="shared" si="19"/>
        <v>210</v>
      </c>
      <c r="C215" s="433">
        <v>42766</v>
      </c>
      <c r="D215" s="377" t="s">
        <v>1355</v>
      </c>
      <c r="E215" s="577">
        <v>702000</v>
      </c>
      <c r="F215" s="672" t="str">
        <f>IFERROR(VLOOKUP(E215,STAT1!$C$4:$D$1000,2,FALSE),"")</f>
        <v>Түлш, шатахуун</v>
      </c>
      <c r="G215" s="377">
        <v>170000</v>
      </c>
      <c r="H215" s="377">
        <v>0</v>
      </c>
      <c r="I215" s="596">
        <f t="shared" si="17"/>
        <v>0</v>
      </c>
      <c r="J215" s="81"/>
      <c r="K215" s="81"/>
      <c r="L215" s="597">
        <v>1003</v>
      </c>
      <c r="M215" s="81" t="str">
        <f>+IFERROR(VLOOKUP(L215,DATA!$G$4:$H$2000,2,FALSE),"")</f>
        <v>Бахдамдэмбэрэл</v>
      </c>
      <c r="N215" s="435"/>
      <c r="O215" s="81" t="str">
        <f>IFERROR(VLOOKUP(N215,DATA!$K$4:$L$51,2,FALSE),"")</f>
        <v/>
      </c>
      <c r="P215" s="81"/>
      <c r="Q215" s="152">
        <f t="shared" si="18"/>
        <v>0</v>
      </c>
    </row>
    <row r="216" spans="2:17">
      <c r="B216" s="670">
        <f t="shared" si="19"/>
        <v>211</v>
      </c>
      <c r="C216" s="433">
        <v>42766</v>
      </c>
      <c r="D216" s="377" t="s">
        <v>1704</v>
      </c>
      <c r="E216" s="577">
        <v>100100</v>
      </c>
      <c r="F216" s="672" t="str">
        <f>IFERROR(VLOOKUP(E216,STAT1!$C$4:$D$1000,2,FALSE),"")</f>
        <v>Касс мөнгө MNT</v>
      </c>
      <c r="G216" s="377"/>
      <c r="H216" s="377">
        <v>792000</v>
      </c>
      <c r="I216" s="596">
        <f t="shared" si="17"/>
        <v>-792000</v>
      </c>
      <c r="J216" s="81"/>
      <c r="K216" s="81"/>
      <c r="L216" s="597">
        <v>3018</v>
      </c>
      <c r="M216" s="81" t="str">
        <f>+IFERROR(VLOOKUP(L216,DATA!$G$4:$H$2000,2,FALSE),"")</f>
        <v xml:space="preserve">ВЮРТ МОНГОЛИЯ ХХК </v>
      </c>
      <c r="N216" s="435">
        <v>53</v>
      </c>
      <c r="O216" s="81" t="str">
        <f>IFERROR(VLOOKUP(N216,DATA!$K$4:$L$51,2,FALSE),"")</f>
        <v>Бараа материал худалдан авахад төлсөн</v>
      </c>
      <c r="P216" s="81"/>
      <c r="Q216" s="152">
        <f t="shared" si="18"/>
        <v>1</v>
      </c>
    </row>
    <row r="217" spans="2:17">
      <c r="B217" s="670">
        <f t="shared" si="19"/>
        <v>212</v>
      </c>
      <c r="C217" s="433">
        <v>42766</v>
      </c>
      <c r="D217" s="377" t="s">
        <v>1704</v>
      </c>
      <c r="E217" s="577">
        <v>120100</v>
      </c>
      <c r="F217" s="672" t="str">
        <f>IFERROR(VLOOKUP(E217,STAT1!$C$4:$D$1000,2,FALSE),"")</f>
        <v xml:space="preserve">Дансны авлага MNT </v>
      </c>
      <c r="G217" s="377">
        <v>792000</v>
      </c>
      <c r="H217" s="377">
        <v>0</v>
      </c>
      <c r="I217" s="596">
        <f t="shared" si="17"/>
        <v>0</v>
      </c>
      <c r="J217" s="81"/>
      <c r="K217" s="81"/>
      <c r="L217" s="597">
        <v>3018</v>
      </c>
      <c r="M217" s="81" t="str">
        <f>+IFERROR(VLOOKUP(L217,DATA!$G$4:$H$2000,2,FALSE),"")</f>
        <v xml:space="preserve">ВЮРТ МОНГОЛИЯ ХХК </v>
      </c>
      <c r="N217" s="435"/>
      <c r="O217" s="81" t="str">
        <f>IFERROR(VLOOKUP(N217,DATA!$K$4:$L$51,2,FALSE),"")</f>
        <v/>
      </c>
      <c r="P217" s="81"/>
      <c r="Q217" s="152">
        <f t="shared" si="18"/>
        <v>0</v>
      </c>
    </row>
    <row r="218" spans="2:17">
      <c r="B218" s="670">
        <f t="shared" si="19"/>
        <v>213</v>
      </c>
      <c r="C218" s="433">
        <v>42766</v>
      </c>
      <c r="D218" s="377" t="s">
        <v>1705</v>
      </c>
      <c r="E218" s="577">
        <v>100100</v>
      </c>
      <c r="F218" s="672" t="str">
        <f>IFERROR(VLOOKUP(E218,STAT1!$C$4:$D$1000,2,FALSE),"")</f>
        <v>Касс мөнгө MNT</v>
      </c>
      <c r="G218" s="377"/>
      <c r="H218" s="377">
        <v>206000</v>
      </c>
      <c r="I218" s="596">
        <f t="shared" si="17"/>
        <v>-206000</v>
      </c>
      <c r="J218" s="81"/>
      <c r="K218" s="81"/>
      <c r="L218" s="597">
        <v>1007</v>
      </c>
      <c r="M218" s="81" t="str">
        <f>+IFERROR(VLOOKUP(L218,DATA!$G$4:$H$2000,2,FALSE),"")</f>
        <v xml:space="preserve">Нэргүй </v>
      </c>
      <c r="N218" s="435">
        <v>53</v>
      </c>
      <c r="O218" s="81" t="str">
        <f>IFERROR(VLOOKUP(N218,DATA!$K$4:$L$51,2,FALSE),"")</f>
        <v>Бараа материал худалдан авахад төлсөн</v>
      </c>
      <c r="P218" s="81"/>
      <c r="Q218" s="152">
        <f t="shared" si="18"/>
        <v>1</v>
      </c>
    </row>
    <row r="219" spans="2:17">
      <c r="B219" s="670">
        <f t="shared" si="19"/>
        <v>214</v>
      </c>
      <c r="C219" s="433">
        <v>42766</v>
      </c>
      <c r="D219" s="377" t="s">
        <v>1705</v>
      </c>
      <c r="E219" s="577">
        <v>121200</v>
      </c>
      <c r="F219" s="672" t="str">
        <f>IFERROR(VLOOKUP(E219,STAT1!$C$4:$D$1000,2,FALSE),"")</f>
        <v xml:space="preserve">Ажилчидын дараа тайлангийн тооцоо </v>
      </c>
      <c r="G219" s="377">
        <v>206000</v>
      </c>
      <c r="H219" s="377">
        <v>0</v>
      </c>
      <c r="I219" s="596">
        <f t="shared" si="17"/>
        <v>0</v>
      </c>
      <c r="J219" s="81"/>
      <c r="K219" s="81"/>
      <c r="L219" s="597">
        <v>1007</v>
      </c>
      <c r="M219" s="81" t="str">
        <f>+IFERROR(VLOOKUP(L219,DATA!$G$4:$H$2000,2,FALSE),"")</f>
        <v xml:space="preserve">Нэргүй </v>
      </c>
      <c r="N219" s="435"/>
      <c r="O219" s="81" t="str">
        <f>IFERROR(VLOOKUP(N219,DATA!$K$4:$L$51,2,FALSE),"")</f>
        <v/>
      </c>
      <c r="P219" s="81"/>
      <c r="Q219" s="152">
        <f t="shared" si="18"/>
        <v>0</v>
      </c>
    </row>
    <row r="220" spans="2:17">
      <c r="B220" s="670">
        <f t="shared" si="19"/>
        <v>215</v>
      </c>
      <c r="C220" s="433">
        <v>42766</v>
      </c>
      <c r="D220" s="377" t="s">
        <v>1706</v>
      </c>
      <c r="E220" s="577">
        <v>100100</v>
      </c>
      <c r="F220" s="672" t="str">
        <f>IFERROR(VLOOKUP(E220,STAT1!$C$4:$D$1000,2,FALSE),"")</f>
        <v>Касс мөнгө MNT</v>
      </c>
      <c r="G220" s="377"/>
      <c r="H220" s="377">
        <v>8414121.25</v>
      </c>
      <c r="I220" s="596">
        <f t="shared" si="17"/>
        <v>-8414121.25</v>
      </c>
      <c r="J220" s="81">
        <f t="shared" ref="J220:J244" si="20">+IF(E220=110102,I220/K220,0)</f>
        <v>0</v>
      </c>
      <c r="K220" s="81"/>
      <c r="L220" s="597">
        <v>1004</v>
      </c>
      <c r="M220" s="81" t="str">
        <f>+IFERROR(VLOOKUP(L220,DATA!$G$4:$H$2000,2,FALSE),"")</f>
        <v xml:space="preserve">Түмэндэлгэр </v>
      </c>
      <c r="N220" s="435">
        <v>51</v>
      </c>
      <c r="O220" s="81" t="str">
        <f>IFERROR(VLOOKUP(N220,DATA!$K$4:$L$51,2,FALSE),"")</f>
        <v>Ажиллагчдад төлсөн</v>
      </c>
      <c r="P220" s="81"/>
      <c r="Q220" s="152">
        <f t="shared" si="18"/>
        <v>1</v>
      </c>
    </row>
    <row r="221" spans="2:17">
      <c r="B221" s="670">
        <f t="shared" si="19"/>
        <v>216</v>
      </c>
      <c r="C221" s="433">
        <v>42766</v>
      </c>
      <c r="D221" s="377" t="s">
        <v>1706</v>
      </c>
      <c r="E221" s="577">
        <v>311000</v>
      </c>
      <c r="F221" s="672" t="str">
        <f>IFERROR(VLOOKUP(E221,STAT1!$C$4:$D$1000,2,FALSE),"")</f>
        <v>Цалингийн өглөг</v>
      </c>
      <c r="G221" s="377">
        <v>8414121.25</v>
      </c>
      <c r="H221" s="377">
        <v>0</v>
      </c>
      <c r="I221" s="596">
        <f t="shared" si="17"/>
        <v>0</v>
      </c>
      <c r="J221" s="81">
        <f t="shared" si="20"/>
        <v>0</v>
      </c>
      <c r="K221" s="81"/>
      <c r="L221" s="597">
        <v>1004</v>
      </c>
      <c r="M221" s="81" t="str">
        <f>+IFERROR(VLOOKUP(L221,DATA!$G$4:$H$2000,2,FALSE),"")</f>
        <v xml:space="preserve">Түмэндэлгэр </v>
      </c>
      <c r="N221" s="435"/>
      <c r="O221" s="81" t="str">
        <f>IFERROR(VLOOKUP(N221,DATA!$K$4:$L$51,2,FALSE),"")</f>
        <v/>
      </c>
      <c r="P221" s="81"/>
      <c r="Q221" s="152">
        <f t="shared" si="18"/>
        <v>0</v>
      </c>
    </row>
    <row r="222" spans="2:17">
      <c r="B222" s="670">
        <f t="shared" si="19"/>
        <v>217</v>
      </c>
      <c r="C222" s="433">
        <v>42766</v>
      </c>
      <c r="D222" s="377" t="s">
        <v>1741</v>
      </c>
      <c r="E222" s="577">
        <v>320100</v>
      </c>
      <c r="F222" s="672" t="str">
        <f>IFERROR(VLOOKUP(E222,STAT1!$C$4:$D$1000,2,FALSE),"")</f>
        <v>Урьдчилж орсон орлого MNT</v>
      </c>
      <c r="G222" s="377"/>
      <c r="H222" s="377">
        <v>129730</v>
      </c>
      <c r="I222" s="596">
        <f t="shared" si="17"/>
        <v>0</v>
      </c>
      <c r="J222" s="81">
        <f t="shared" si="20"/>
        <v>0</v>
      </c>
      <c r="K222" s="81"/>
      <c r="L222" s="597">
        <v>3006</v>
      </c>
      <c r="M222" s="81" t="str">
        <f>+IFERROR(VLOOKUP(L222,DATA!$G$4:$H$2000,2,FALSE),"")</f>
        <v xml:space="preserve">ПАЙОНЕРИНГ ИНТЕРНЭШНЛ ХХК </v>
      </c>
      <c r="N222" s="435"/>
      <c r="O222" s="81" t="str">
        <f>IFERROR(VLOOKUP(N222,DATA!$K$4:$L$51,2,FALSE),"")</f>
        <v/>
      </c>
      <c r="P222" s="81"/>
      <c r="Q222" s="152">
        <f t="shared" si="18"/>
        <v>0</v>
      </c>
    </row>
    <row r="223" spans="2:17">
      <c r="B223" s="670">
        <f t="shared" si="19"/>
        <v>218</v>
      </c>
      <c r="C223" s="433">
        <v>42766</v>
      </c>
      <c r="D223" s="377" t="s">
        <v>1741</v>
      </c>
      <c r="E223" s="577">
        <v>100100</v>
      </c>
      <c r="F223" s="672" t="str">
        <f>IFERROR(VLOOKUP(E223,STAT1!$C$4:$D$1000,2,FALSE),"")</f>
        <v>Касс мөнгө MNT</v>
      </c>
      <c r="G223" s="377">
        <v>129730</v>
      </c>
      <c r="H223" s="377">
        <v>0</v>
      </c>
      <c r="I223" s="596">
        <f t="shared" si="17"/>
        <v>129730</v>
      </c>
      <c r="J223" s="81">
        <f t="shared" si="20"/>
        <v>0</v>
      </c>
      <c r="K223" s="81"/>
      <c r="L223" s="597">
        <v>3006</v>
      </c>
      <c r="M223" s="81" t="str">
        <f>+IFERROR(VLOOKUP(L223,DATA!$G$4:$H$2000,2,FALSE),"")</f>
        <v xml:space="preserve">ПАЙОНЕРИНГ ИНТЕРНЭШНЛ ХХК </v>
      </c>
      <c r="N223" s="435">
        <v>41</v>
      </c>
      <c r="O223" s="81" t="str">
        <f>IFERROR(VLOOKUP(N223,DATA!$K$4:$L$51,2,FALSE),"")</f>
        <v>Бараа борлуулсан, үйлчилгээ үзүүлсэний орлого</v>
      </c>
      <c r="P223" s="81"/>
      <c r="Q223" s="152">
        <f t="shared" si="18"/>
        <v>1</v>
      </c>
    </row>
    <row r="224" spans="2:17">
      <c r="B224" s="670">
        <f t="shared" si="19"/>
        <v>219</v>
      </c>
      <c r="C224" s="433">
        <v>42766</v>
      </c>
      <c r="D224" s="377" t="s">
        <v>1741</v>
      </c>
      <c r="E224" s="577">
        <v>320100</v>
      </c>
      <c r="F224" s="672" t="str">
        <f>IFERROR(VLOOKUP(E224,STAT1!$C$4:$D$1000,2,FALSE),"")</f>
        <v>Урьдчилж орсон орлого MNT</v>
      </c>
      <c r="G224" s="377"/>
      <c r="H224" s="377">
        <v>224850</v>
      </c>
      <c r="I224" s="596">
        <f t="shared" si="17"/>
        <v>0</v>
      </c>
      <c r="J224" s="81">
        <f t="shared" si="20"/>
        <v>0</v>
      </c>
      <c r="K224" s="81"/>
      <c r="L224" s="597">
        <v>3008</v>
      </c>
      <c r="M224" s="81" t="str">
        <f>+IFERROR(VLOOKUP(L224,DATA!$G$4:$H$2000,2,FALSE),"")</f>
        <v xml:space="preserve">ГЭГЭЭН ДАЛАЙ ХХК </v>
      </c>
      <c r="N224" s="435"/>
      <c r="O224" s="81" t="str">
        <f>IFERROR(VLOOKUP(N224,DATA!$K$4:$L$51,2,FALSE),"")</f>
        <v/>
      </c>
      <c r="P224" s="81"/>
      <c r="Q224" s="152">
        <f t="shared" si="18"/>
        <v>0</v>
      </c>
    </row>
    <row r="225" spans="2:17">
      <c r="B225" s="670">
        <f t="shared" si="19"/>
        <v>220</v>
      </c>
      <c r="C225" s="433">
        <v>42766</v>
      </c>
      <c r="D225" s="377" t="s">
        <v>1741</v>
      </c>
      <c r="E225" s="577">
        <v>100100</v>
      </c>
      <c r="F225" s="672" t="str">
        <f>IFERROR(VLOOKUP(E225,STAT1!$C$4:$D$1000,2,FALSE),"")</f>
        <v>Касс мөнгө MNT</v>
      </c>
      <c r="G225" s="377">
        <v>224850</v>
      </c>
      <c r="H225" s="377">
        <v>0</v>
      </c>
      <c r="I225" s="596">
        <f t="shared" si="17"/>
        <v>224850</v>
      </c>
      <c r="J225" s="81">
        <f t="shared" si="20"/>
        <v>0</v>
      </c>
      <c r="K225" s="81"/>
      <c r="L225" s="597">
        <v>3008</v>
      </c>
      <c r="M225" s="81" t="str">
        <f>+IFERROR(VLOOKUP(L225,DATA!$G$4:$H$2000,2,FALSE),"")</f>
        <v xml:space="preserve">ГЭГЭЭН ДАЛАЙ ХХК </v>
      </c>
      <c r="N225" s="435">
        <v>41</v>
      </c>
      <c r="O225" s="81" t="str">
        <f>IFERROR(VLOOKUP(N225,DATA!$K$4:$L$51,2,FALSE),"")</f>
        <v>Бараа борлуулсан, үйлчилгээ үзүүлсэний орлого</v>
      </c>
      <c r="P225" s="81"/>
      <c r="Q225" s="152">
        <f t="shared" si="18"/>
        <v>1</v>
      </c>
    </row>
    <row r="226" spans="2:17">
      <c r="B226" s="670">
        <f t="shared" si="19"/>
        <v>221</v>
      </c>
      <c r="C226" s="433">
        <v>42766</v>
      </c>
      <c r="D226" s="377" t="s">
        <v>1742</v>
      </c>
      <c r="E226" s="577">
        <v>110100</v>
      </c>
      <c r="F226" s="672" t="str">
        <f>IFERROR(VLOOKUP(E226,STAT1!$C$4:$D$1000,2,FALSE),"")</f>
        <v>Хаан Банк 5024654020</v>
      </c>
      <c r="G226" s="377"/>
      <c r="H226" s="377">
        <v>14200000</v>
      </c>
      <c r="I226" s="596">
        <f t="shared" si="17"/>
        <v>-14200000</v>
      </c>
      <c r="J226" s="81">
        <f t="shared" si="20"/>
        <v>0</v>
      </c>
      <c r="K226" s="81"/>
      <c r="L226" s="597">
        <v>1005</v>
      </c>
      <c r="M226" s="81" t="str">
        <f>+IFERROR(VLOOKUP(L226,DATA!$G$4:$H$2000,2,FALSE),"")</f>
        <v>Золжаргал</v>
      </c>
      <c r="N226" s="435"/>
      <c r="O226" s="81" t="str">
        <f>IFERROR(VLOOKUP(N226,DATA!$K$4:$L$51,2,FALSE),"")</f>
        <v/>
      </c>
      <c r="P226" s="81"/>
      <c r="Q226" s="152">
        <f t="shared" si="18"/>
        <v>1</v>
      </c>
    </row>
    <row r="227" spans="2:17">
      <c r="B227" s="670">
        <f t="shared" si="19"/>
        <v>222</v>
      </c>
      <c r="C227" s="433">
        <v>42766</v>
      </c>
      <c r="D227" s="377" t="s">
        <v>1742</v>
      </c>
      <c r="E227" s="577">
        <v>100100</v>
      </c>
      <c r="F227" s="672" t="str">
        <f>IFERROR(VLOOKUP(E227,STAT1!$C$4:$D$1000,2,FALSE),"")</f>
        <v>Касс мөнгө MNT</v>
      </c>
      <c r="G227" s="377">
        <v>14200000</v>
      </c>
      <c r="H227" s="377">
        <v>0</v>
      </c>
      <c r="I227" s="596">
        <f t="shared" si="17"/>
        <v>14200000</v>
      </c>
      <c r="J227" s="81">
        <f t="shared" si="20"/>
        <v>0</v>
      </c>
      <c r="K227" s="81"/>
      <c r="L227" s="597">
        <v>1005</v>
      </c>
      <c r="M227" s="81" t="str">
        <f>+IFERROR(VLOOKUP(L227,DATA!$G$4:$H$2000,2,FALSE),"")</f>
        <v>Золжаргал</v>
      </c>
      <c r="N227" s="435"/>
      <c r="O227" s="81" t="str">
        <f>IFERROR(VLOOKUP(N227,DATA!$K$4:$L$51,2,FALSE),"")</f>
        <v/>
      </c>
      <c r="P227" s="81"/>
      <c r="Q227" s="152">
        <f t="shared" si="18"/>
        <v>1</v>
      </c>
    </row>
    <row r="228" spans="2:17">
      <c r="B228" s="670">
        <f t="shared" si="19"/>
        <v>223</v>
      </c>
      <c r="C228" s="433">
        <v>42766</v>
      </c>
      <c r="D228" s="598" t="s">
        <v>1741</v>
      </c>
      <c r="E228" s="577">
        <v>110100</v>
      </c>
      <c r="F228" s="672" t="str">
        <f>IFERROR(VLOOKUP(E228,STAT1!$C$4:$D$1000,2,FALSE),"")</f>
        <v>Хаан Банк 5024654020</v>
      </c>
      <c r="G228" s="377">
        <v>196080</v>
      </c>
      <c r="H228" s="377"/>
      <c r="I228" s="596">
        <f t="shared" si="17"/>
        <v>196080</v>
      </c>
      <c r="J228" s="81">
        <f t="shared" si="20"/>
        <v>0</v>
      </c>
      <c r="K228" s="81"/>
      <c r="L228" s="597">
        <v>3005</v>
      </c>
      <c r="M228" s="81" t="str">
        <f>+IFERROR(VLOOKUP(L228,DATA!$G$4:$H$2000,2,FALSE),"")</f>
        <v xml:space="preserve">ОРГИЛ ХҮНС ХХК </v>
      </c>
      <c r="N228" s="435">
        <v>41</v>
      </c>
      <c r="O228" s="81" t="str">
        <f>IFERROR(VLOOKUP(N228,DATA!$K$4:$L$51,2,FALSE),"")</f>
        <v>Бараа борлуулсан, үйлчилгээ үзүүлсэний орлого</v>
      </c>
      <c r="P228" s="81"/>
      <c r="Q228" s="152">
        <f t="shared" si="18"/>
        <v>1</v>
      </c>
    </row>
    <row r="229" spans="2:17">
      <c r="B229" s="670">
        <f t="shared" si="19"/>
        <v>224</v>
      </c>
      <c r="C229" s="433">
        <v>42766</v>
      </c>
      <c r="D229" s="598" t="s">
        <v>1741</v>
      </c>
      <c r="E229" s="577">
        <v>320100</v>
      </c>
      <c r="F229" s="672" t="str">
        <f>IFERROR(VLOOKUP(E229,STAT1!$C$4:$D$1000,2,FALSE),"")</f>
        <v>Урьдчилж орсон орлого MNT</v>
      </c>
      <c r="G229" s="377">
        <v>0</v>
      </c>
      <c r="H229" s="377">
        <v>196080</v>
      </c>
      <c r="I229" s="596">
        <f t="shared" si="17"/>
        <v>0</v>
      </c>
      <c r="J229" s="81">
        <f t="shared" si="20"/>
        <v>0</v>
      </c>
      <c r="K229" s="81"/>
      <c r="L229" s="597">
        <v>3005</v>
      </c>
      <c r="M229" s="81" t="str">
        <f>+IFERROR(VLOOKUP(L229,DATA!$G$4:$H$2000,2,FALSE),"")</f>
        <v xml:space="preserve">ОРГИЛ ХҮНС ХХК </v>
      </c>
      <c r="N229" s="435"/>
      <c r="O229" s="81" t="str">
        <f>IFERROR(VLOOKUP(N229,DATA!$K$4:$L$51,2,FALSE),"")</f>
        <v/>
      </c>
      <c r="P229" s="81"/>
      <c r="Q229" s="152">
        <f t="shared" si="18"/>
        <v>0</v>
      </c>
    </row>
    <row r="230" spans="2:17">
      <c r="B230" s="670">
        <f t="shared" si="19"/>
        <v>225</v>
      </c>
      <c r="C230" s="433">
        <v>42766</v>
      </c>
      <c r="D230" s="598" t="s">
        <v>1748</v>
      </c>
      <c r="E230" s="577">
        <v>700800</v>
      </c>
      <c r="F230" s="672" t="str">
        <f>IFERROR(VLOOKUP(E230,STAT1!$C$4:$D$1000,2,FALSE),"")</f>
        <v>Дулаан</v>
      </c>
      <c r="G230" s="377">
        <v>2000000</v>
      </c>
      <c r="H230" s="377">
        <v>0</v>
      </c>
      <c r="I230" s="596">
        <f t="shared" si="17"/>
        <v>0</v>
      </c>
      <c r="J230" s="81">
        <f t="shared" si="20"/>
        <v>0</v>
      </c>
      <c r="K230" s="81"/>
      <c r="L230" s="597">
        <v>2004</v>
      </c>
      <c r="M230" s="81" t="str">
        <f>+IFERROR(VLOOKUP(L230,DATA!$G$4:$H$2000,2,FALSE),"")</f>
        <v xml:space="preserve">ДЦС-3 ТӨХК </v>
      </c>
      <c r="N230" s="435"/>
      <c r="O230" s="81" t="str">
        <f>IFERROR(VLOOKUP(N230,DATA!$K$4:$L$51,2,FALSE),"")</f>
        <v/>
      </c>
      <c r="P230" s="81"/>
      <c r="Q230" s="152">
        <f t="shared" si="18"/>
        <v>0</v>
      </c>
    </row>
    <row r="231" spans="2:17">
      <c r="B231" s="670">
        <f t="shared" si="19"/>
        <v>226</v>
      </c>
      <c r="C231" s="433">
        <v>42766</v>
      </c>
      <c r="D231" s="598" t="s">
        <v>1748</v>
      </c>
      <c r="E231" s="577">
        <v>110100</v>
      </c>
      <c r="F231" s="672" t="str">
        <f>IFERROR(VLOOKUP(E231,STAT1!$C$4:$D$1000,2,FALSE),"")</f>
        <v>Хаан Банк 5024654020</v>
      </c>
      <c r="G231" s="377"/>
      <c r="H231" s="377">
        <v>2000000</v>
      </c>
      <c r="I231" s="596">
        <f t="shared" si="17"/>
        <v>-2000000</v>
      </c>
      <c r="J231" s="81">
        <f t="shared" si="20"/>
        <v>0</v>
      </c>
      <c r="K231" s="81"/>
      <c r="L231" s="597">
        <v>2004</v>
      </c>
      <c r="M231" s="81" t="str">
        <f>+IFERROR(VLOOKUP(L231,DATA!$G$4:$H$2000,2,FALSE),"")</f>
        <v xml:space="preserve">ДЦС-3 ТӨХК </v>
      </c>
      <c r="N231" s="435">
        <v>54</v>
      </c>
      <c r="O231" s="81" t="str">
        <f>IFERROR(VLOOKUP(N231,DATA!$K$4:$L$51,2,FALSE),"")</f>
        <v>Ашиглалтын зардалд төлсөн</v>
      </c>
      <c r="P231" s="81"/>
      <c r="Q231" s="152">
        <f t="shared" si="18"/>
        <v>1</v>
      </c>
    </row>
    <row r="232" spans="2:17">
      <c r="B232" s="670">
        <f t="shared" si="19"/>
        <v>227</v>
      </c>
      <c r="C232" s="433">
        <v>42766</v>
      </c>
      <c r="D232" s="598" t="s">
        <v>1505</v>
      </c>
      <c r="E232" s="577">
        <v>120900</v>
      </c>
      <c r="F232" s="672" t="str">
        <f>IFERROR(VLOOKUP(E232,STAT1!$C$4:$D$1000,2,FALSE),"")</f>
        <v>НД-ын байгууллагаас авах авлага</v>
      </c>
      <c r="G232" s="377">
        <v>3000000</v>
      </c>
      <c r="H232" s="377">
        <v>0</v>
      </c>
      <c r="I232" s="596">
        <f t="shared" si="17"/>
        <v>0</v>
      </c>
      <c r="J232" s="81">
        <f t="shared" si="20"/>
        <v>0</v>
      </c>
      <c r="K232" s="81"/>
      <c r="L232" s="597">
        <v>2002</v>
      </c>
      <c r="M232" s="81" t="str">
        <f>+IFERROR(VLOOKUP(L232,DATA!$G$4:$H$2000,2,FALSE),"")</f>
        <v xml:space="preserve">ХУД-н ЭМНД ХЭЛТЭС </v>
      </c>
      <c r="N232" s="435"/>
      <c r="O232" s="81" t="str">
        <f>IFERROR(VLOOKUP(N232,DATA!$K$4:$L$51,2,FALSE),"")</f>
        <v/>
      </c>
      <c r="P232" s="81"/>
      <c r="Q232" s="152">
        <f t="shared" si="18"/>
        <v>0</v>
      </c>
    </row>
    <row r="233" spans="2:17">
      <c r="B233" s="670">
        <f t="shared" si="19"/>
        <v>228</v>
      </c>
      <c r="C233" s="433">
        <v>42766</v>
      </c>
      <c r="D233" s="598" t="s">
        <v>1505</v>
      </c>
      <c r="E233" s="577">
        <v>110100</v>
      </c>
      <c r="F233" s="672" t="str">
        <f>IFERROR(VLOOKUP(E233,STAT1!$C$4:$D$1000,2,FALSE),"")</f>
        <v>Хаан Банк 5024654020</v>
      </c>
      <c r="G233" s="377"/>
      <c r="H233" s="377">
        <v>3000000</v>
      </c>
      <c r="I233" s="596">
        <f t="shared" si="17"/>
        <v>-3000000</v>
      </c>
      <c r="J233" s="81">
        <f t="shared" si="20"/>
        <v>0</v>
      </c>
      <c r="K233" s="81"/>
      <c r="L233" s="597">
        <v>2002</v>
      </c>
      <c r="M233" s="81" t="str">
        <f>+IFERROR(VLOOKUP(L233,DATA!$G$4:$H$2000,2,FALSE),"")</f>
        <v xml:space="preserve">ХУД-н ЭМНД ХЭЛТЭС </v>
      </c>
      <c r="N233" s="435">
        <v>52</v>
      </c>
      <c r="O233" s="81" t="str">
        <f>IFERROR(VLOOKUP(N233,DATA!$K$4:$L$51,2,FALSE),"")</f>
        <v>Нийгмийн даатгалын байгууллагад төлсөн</v>
      </c>
      <c r="P233" s="81"/>
      <c r="Q233" s="152">
        <f t="shared" si="18"/>
        <v>1</v>
      </c>
    </row>
    <row r="234" spans="2:17">
      <c r="B234" s="670">
        <f t="shared" si="19"/>
        <v>229</v>
      </c>
      <c r="C234" s="433">
        <v>42766</v>
      </c>
      <c r="D234" s="598" t="s">
        <v>1750</v>
      </c>
      <c r="E234" s="577">
        <v>704900</v>
      </c>
      <c r="F234" s="672" t="str">
        <f>IFERROR(VLOOKUP(E234,STAT1!$C$4:$D$1000,2,FALSE),"")</f>
        <v>Банкны үйлчилгээ</v>
      </c>
      <c r="G234" s="377">
        <v>1200</v>
      </c>
      <c r="H234" s="377">
        <v>0</v>
      </c>
      <c r="I234" s="596">
        <f t="shared" si="17"/>
        <v>0</v>
      </c>
      <c r="J234" s="81">
        <f t="shared" si="20"/>
        <v>0</v>
      </c>
      <c r="K234" s="81"/>
      <c r="L234" s="597">
        <v>2009</v>
      </c>
      <c r="M234" s="81" t="str">
        <f>+IFERROR(VLOOKUP(L234,DATA!$G$4:$H$2000,2,FALSE),"")</f>
        <v>ХААН БАНК</v>
      </c>
      <c r="N234" s="435"/>
      <c r="O234" s="81" t="str">
        <f>IFERROR(VLOOKUP(N234,DATA!$K$4:$L$51,2,FALSE),"")</f>
        <v/>
      </c>
      <c r="P234" s="81"/>
      <c r="Q234" s="152">
        <f t="shared" si="18"/>
        <v>0</v>
      </c>
    </row>
    <row r="235" spans="2:17">
      <c r="B235" s="670">
        <f t="shared" si="19"/>
        <v>230</v>
      </c>
      <c r="C235" s="433">
        <v>42766</v>
      </c>
      <c r="D235" s="598" t="s">
        <v>1750</v>
      </c>
      <c r="E235" s="577">
        <v>110100</v>
      </c>
      <c r="F235" s="672" t="str">
        <f>IFERROR(VLOOKUP(E235,STAT1!$C$4:$D$1000,2,FALSE),"")</f>
        <v>Хаан Банк 5024654020</v>
      </c>
      <c r="G235" s="377"/>
      <c r="H235" s="377">
        <v>1200</v>
      </c>
      <c r="I235" s="596">
        <f t="shared" si="17"/>
        <v>-1200</v>
      </c>
      <c r="J235" s="81">
        <f t="shared" si="20"/>
        <v>0</v>
      </c>
      <c r="K235" s="81"/>
      <c r="L235" s="597">
        <v>2009</v>
      </c>
      <c r="M235" s="81" t="str">
        <f>+IFERROR(VLOOKUP(L235,DATA!$G$4:$H$2000,2,FALSE),"")</f>
        <v>ХААН БАНК</v>
      </c>
      <c r="N235" s="435">
        <v>59</v>
      </c>
      <c r="O235" s="81" t="str">
        <f>IFERROR(VLOOKUP(N235,DATA!$K$4:$L$51,2,FALSE),"")</f>
        <v>Бусад мөнгөн зарлага</v>
      </c>
      <c r="P235" s="81"/>
      <c r="Q235" s="152">
        <f t="shared" si="18"/>
        <v>1</v>
      </c>
    </row>
    <row r="236" spans="2:17">
      <c r="B236" s="670">
        <f t="shared" si="19"/>
        <v>231</v>
      </c>
      <c r="C236" s="433">
        <v>42766</v>
      </c>
      <c r="D236" s="598" t="s">
        <v>1751</v>
      </c>
      <c r="E236" s="577">
        <v>704900</v>
      </c>
      <c r="F236" s="672" t="str">
        <f>IFERROR(VLOOKUP(E236,STAT1!$C$4:$D$1000,2,FALSE),"")</f>
        <v>Банкны үйлчилгээ</v>
      </c>
      <c r="G236" s="377">
        <v>2000</v>
      </c>
      <c r="H236" s="377">
        <v>0</v>
      </c>
      <c r="I236" s="596">
        <f t="shared" si="17"/>
        <v>0</v>
      </c>
      <c r="J236" s="81">
        <f t="shared" si="20"/>
        <v>0</v>
      </c>
      <c r="K236" s="81"/>
      <c r="L236" s="597">
        <v>2009</v>
      </c>
      <c r="M236" s="81" t="str">
        <f>+IFERROR(VLOOKUP(L236,DATA!$G$4:$H$2000,2,FALSE),"")</f>
        <v>ХААН БАНК</v>
      </c>
      <c r="N236" s="435"/>
      <c r="O236" s="81" t="str">
        <f>IFERROR(VLOOKUP(N236,DATA!$K$4:$L$51,2,FALSE),"")</f>
        <v/>
      </c>
      <c r="P236" s="81"/>
      <c r="Q236" s="152">
        <f t="shared" si="18"/>
        <v>0</v>
      </c>
    </row>
    <row r="237" spans="2:17">
      <c r="B237" s="670">
        <f t="shared" si="19"/>
        <v>232</v>
      </c>
      <c r="C237" s="433">
        <v>42766</v>
      </c>
      <c r="D237" s="598" t="s">
        <v>1751</v>
      </c>
      <c r="E237" s="577">
        <v>110100</v>
      </c>
      <c r="F237" s="672" t="str">
        <f>IFERROR(VLOOKUP(E237,STAT1!$C$4:$D$1000,2,FALSE),"")</f>
        <v>Хаан Банк 5024654020</v>
      </c>
      <c r="G237" s="377"/>
      <c r="H237" s="377">
        <v>2000</v>
      </c>
      <c r="I237" s="596">
        <f t="shared" si="17"/>
        <v>-2000</v>
      </c>
      <c r="J237" s="81">
        <f t="shared" si="20"/>
        <v>0</v>
      </c>
      <c r="K237" s="81"/>
      <c r="L237" s="597">
        <v>2009</v>
      </c>
      <c r="M237" s="81" t="str">
        <f>+IFERROR(VLOOKUP(L237,DATA!$G$4:$H$2000,2,FALSE),"")</f>
        <v>ХААН БАНК</v>
      </c>
      <c r="N237" s="435">
        <v>59</v>
      </c>
      <c r="O237" s="81" t="str">
        <f>IFERROR(VLOOKUP(N237,DATA!$K$4:$L$51,2,FALSE),"")</f>
        <v>Бусад мөнгөн зарлага</v>
      </c>
      <c r="P237" s="81"/>
      <c r="Q237" s="152">
        <f t="shared" si="18"/>
        <v>1</v>
      </c>
    </row>
    <row r="238" spans="2:17">
      <c r="B238" s="670">
        <f t="shared" si="19"/>
        <v>233</v>
      </c>
      <c r="C238" s="433">
        <v>42766</v>
      </c>
      <c r="D238" s="377" t="s">
        <v>1563</v>
      </c>
      <c r="E238" s="577">
        <v>700200</v>
      </c>
      <c r="F238" s="672" t="str">
        <f>IFERROR(VLOOKUP(E238,STAT1!$C$4:$D$8000,2,FALSE),"")</f>
        <v>НДШимтгэл</v>
      </c>
      <c r="G238" s="377">
        <v>1258324.1666666667</v>
      </c>
      <c r="H238" s="377"/>
      <c r="I238" s="596">
        <f t="shared" si="17"/>
        <v>0</v>
      </c>
      <c r="J238" s="81">
        <f t="shared" si="20"/>
        <v>0</v>
      </c>
      <c r="K238" s="81"/>
      <c r="L238" s="597">
        <v>1004</v>
      </c>
      <c r="M238" s="81" t="str">
        <f>+IFERROR(VLOOKUP(L238,DATA!$G$4:$H$2000,2,FALSE),"")</f>
        <v xml:space="preserve">Түмэндэлгэр </v>
      </c>
      <c r="N238" s="435"/>
      <c r="O238" s="81" t="str">
        <f>IFERROR(VLOOKUP(N238,DATA!$K$4:$L$51,2,FALSE),"")</f>
        <v/>
      </c>
      <c r="P238" s="81"/>
      <c r="Q238" s="152">
        <f t="shared" si="18"/>
        <v>0</v>
      </c>
    </row>
    <row r="239" spans="2:17">
      <c r="B239" s="670">
        <f t="shared" si="19"/>
        <v>234</v>
      </c>
      <c r="C239" s="433">
        <v>42766</v>
      </c>
      <c r="D239" s="377" t="s">
        <v>1563</v>
      </c>
      <c r="E239" s="577">
        <v>310800</v>
      </c>
      <c r="F239" s="672" t="str">
        <f>IFERROR(VLOOKUP(E239,STAT1!$C$4:$D$8000,2,FALSE),"")</f>
        <v>НД-ын байгууллагад өгөх өглөг</v>
      </c>
      <c r="G239" s="377"/>
      <c r="H239" s="377">
        <v>1258324.1666666667</v>
      </c>
      <c r="I239" s="596">
        <f t="shared" si="17"/>
        <v>0</v>
      </c>
      <c r="J239" s="81">
        <f t="shared" si="20"/>
        <v>0</v>
      </c>
      <c r="K239" s="81"/>
      <c r="L239" s="597">
        <v>1004</v>
      </c>
      <c r="M239" s="81" t="str">
        <f>+IFERROR(VLOOKUP(L239,DATA!$G$4:$H$2000,2,FALSE),"")</f>
        <v xml:space="preserve">Түмэндэлгэр </v>
      </c>
      <c r="N239" s="435"/>
      <c r="O239" s="81" t="str">
        <f>IFERROR(VLOOKUP(N239,DATA!$K$4:$L$51,2,FALSE),"")</f>
        <v/>
      </c>
      <c r="P239" s="81"/>
      <c r="Q239" s="152">
        <f t="shared" si="18"/>
        <v>0</v>
      </c>
    </row>
    <row r="240" spans="2:17">
      <c r="B240" s="670">
        <f t="shared" si="19"/>
        <v>235</v>
      </c>
      <c r="C240" s="433">
        <v>42766</v>
      </c>
      <c r="D240" s="377" t="s">
        <v>1564</v>
      </c>
      <c r="E240" s="577">
        <v>310800</v>
      </c>
      <c r="F240" s="672" t="str">
        <f>IFERROR(VLOOKUP(E240,STAT1!$C$4:$D$8000,2,FALSE),"")</f>
        <v>НД-ын байгууллагад өгөх өглөг</v>
      </c>
      <c r="G240" s="431"/>
      <c r="H240" s="431">
        <v>1015587.5</v>
      </c>
      <c r="I240" s="596">
        <f t="shared" si="17"/>
        <v>0</v>
      </c>
      <c r="J240" s="81">
        <f t="shared" si="20"/>
        <v>0</v>
      </c>
      <c r="K240" s="81"/>
      <c r="L240" s="597">
        <v>1004</v>
      </c>
      <c r="M240" s="81" t="str">
        <f>+IFERROR(VLOOKUP(L240,DATA!$G$4:$H$2000,2,FALSE),"")</f>
        <v xml:space="preserve">Түмэндэлгэр </v>
      </c>
      <c r="N240" s="435"/>
      <c r="O240" s="81" t="str">
        <f>IFERROR(VLOOKUP(N240,DATA!$K$4:$L$51,2,FALSE),"")</f>
        <v/>
      </c>
      <c r="P240" s="81"/>
      <c r="Q240" s="152">
        <f t="shared" si="18"/>
        <v>0</v>
      </c>
    </row>
    <row r="241" spans="2:17">
      <c r="B241" s="670">
        <f t="shared" si="19"/>
        <v>236</v>
      </c>
      <c r="C241" s="433">
        <v>42766</v>
      </c>
      <c r="D241" s="377" t="s">
        <v>1565</v>
      </c>
      <c r="E241" s="577">
        <v>310700</v>
      </c>
      <c r="F241" s="672" t="str">
        <f>IFERROR(VLOOKUP(E241,STAT1!$C$4:$D$8000,2,FALSE),"")</f>
        <v>ХАОАТ өглөг</v>
      </c>
      <c r="G241" s="377"/>
      <c r="H241" s="377">
        <v>787124.58333333337</v>
      </c>
      <c r="I241" s="596">
        <f t="shared" si="17"/>
        <v>0</v>
      </c>
      <c r="J241" s="81">
        <f t="shared" si="20"/>
        <v>0</v>
      </c>
      <c r="K241" s="81"/>
      <c r="L241" s="597">
        <v>1004</v>
      </c>
      <c r="M241" s="81" t="str">
        <f>+IFERROR(VLOOKUP(L241,DATA!$G$4:$H$2000,2,FALSE),"")</f>
        <v xml:space="preserve">Түмэндэлгэр </v>
      </c>
      <c r="N241" s="435"/>
      <c r="O241" s="81" t="str">
        <f>IFERROR(VLOOKUP(N241,DATA!$K$4:$L$51,2,FALSE),"")</f>
        <v/>
      </c>
      <c r="P241" s="81"/>
      <c r="Q241" s="152">
        <f t="shared" si="18"/>
        <v>0</v>
      </c>
    </row>
    <row r="242" spans="2:17">
      <c r="B242" s="670">
        <f t="shared" si="19"/>
        <v>237</v>
      </c>
      <c r="C242" s="433">
        <v>42766</v>
      </c>
      <c r="D242" s="377" t="s">
        <v>1566</v>
      </c>
      <c r="E242" s="577">
        <v>311000</v>
      </c>
      <c r="F242" s="672" t="str">
        <f>IFERROR(VLOOKUP(E242,STAT1!$C$4:$D$8000,2,FALSE),"")</f>
        <v>Цалингийн өглөг</v>
      </c>
      <c r="G242" s="377"/>
      <c r="H242" s="377">
        <v>8414121.25</v>
      </c>
      <c r="I242" s="596">
        <f t="shared" si="17"/>
        <v>0</v>
      </c>
      <c r="J242" s="81">
        <f t="shared" si="20"/>
        <v>0</v>
      </c>
      <c r="K242" s="81"/>
      <c r="L242" s="597">
        <v>1004</v>
      </c>
      <c r="M242" s="81" t="str">
        <f>+IFERROR(VLOOKUP(L242,DATA!$G$4:$H$2000,2,FALSE),"")</f>
        <v xml:space="preserve">Түмэндэлгэр </v>
      </c>
      <c r="N242" s="435"/>
      <c r="O242" s="81" t="str">
        <f>IFERROR(VLOOKUP(N242,DATA!$K$4:$L$51,2,FALSE),"")</f>
        <v/>
      </c>
      <c r="P242" s="81"/>
      <c r="Q242" s="152">
        <f t="shared" si="18"/>
        <v>0</v>
      </c>
    </row>
    <row r="243" spans="2:17">
      <c r="B243" s="670">
        <f t="shared" si="19"/>
        <v>238</v>
      </c>
      <c r="C243" s="433">
        <v>42766</v>
      </c>
      <c r="D243" s="377" t="s">
        <v>1771</v>
      </c>
      <c r="E243" s="577">
        <v>700100</v>
      </c>
      <c r="F243" s="672" t="str">
        <f>IFERROR(VLOOKUP(E243,STAT1!$C$4:$D$8000,2,FALSE),"")</f>
        <v>Цалин хөлс, шагнал</v>
      </c>
      <c r="G243" s="377">
        <v>10216833.33</v>
      </c>
      <c r="H243" s="377"/>
      <c r="I243" s="596">
        <f t="shared" si="17"/>
        <v>0</v>
      </c>
      <c r="J243" s="81">
        <f t="shared" si="20"/>
        <v>0</v>
      </c>
      <c r="K243" s="81"/>
      <c r="L243" s="597">
        <v>1004</v>
      </c>
      <c r="M243" s="81" t="str">
        <f>+IFERROR(VLOOKUP(L243,DATA!$G$4:$H$2000,2,FALSE),"")</f>
        <v xml:space="preserve">Түмэндэлгэр </v>
      </c>
      <c r="N243" s="435"/>
      <c r="O243" s="81" t="str">
        <f>IFERROR(VLOOKUP(N243,DATA!$K$4:$L$51,2,FALSE),"")</f>
        <v/>
      </c>
      <c r="P243" s="81"/>
      <c r="Q243" s="152">
        <f t="shared" si="18"/>
        <v>0</v>
      </c>
    </row>
    <row r="244" spans="2:17">
      <c r="B244" s="670">
        <f t="shared" si="19"/>
        <v>239</v>
      </c>
      <c r="C244" s="433">
        <v>42769</v>
      </c>
      <c r="D244" s="377" t="s">
        <v>2682</v>
      </c>
      <c r="E244" s="676">
        <v>150101</v>
      </c>
      <c r="F244" s="672" t="str">
        <f>IFERROR(VLOOKUP(E244,STAT1!$C$4:$D$1000,2,FALSE),"")</f>
        <v>Бараа бэлэн бүтээгдэхүүн БОЛОВСРУУЛАХ ЦЕХ /нарс/</v>
      </c>
      <c r="G244" s="597"/>
      <c r="H244" s="377">
        <v>191123.5667321017</v>
      </c>
      <c r="I244" s="596">
        <f t="shared" si="17"/>
        <v>0</v>
      </c>
      <c r="J244" s="81">
        <f t="shared" si="20"/>
        <v>0</v>
      </c>
      <c r="K244" s="81"/>
      <c r="L244" s="597">
        <v>3006</v>
      </c>
      <c r="M244" s="81" t="str">
        <f>+IFERROR(VLOOKUP(L244,DATA!$G$4:$H$2000,2,FALSE),"")</f>
        <v xml:space="preserve">ПАЙОНЕРИНГ ИНТЕРНЭШНЛ ХХК </v>
      </c>
      <c r="N244" s="435"/>
      <c r="O244" s="81" t="str">
        <f>IFERROR(VLOOKUP(N244,DATA!$K$4:$L$51,2,FALSE),"")</f>
        <v/>
      </c>
      <c r="P244" s="81"/>
      <c r="Q244" s="152">
        <f t="shared" si="18"/>
        <v>0</v>
      </c>
    </row>
    <row r="245" spans="2:17">
      <c r="B245" s="670">
        <f t="shared" si="19"/>
        <v>240</v>
      </c>
      <c r="C245" s="433">
        <v>42769</v>
      </c>
      <c r="D245" s="377"/>
      <c r="E245" s="675">
        <v>610100</v>
      </c>
      <c r="F245" s="672" t="str">
        <f>IFERROR(VLOOKUP(E245,STAT1!$C$4:$D$1000,2,FALSE),"")</f>
        <v>Борлуулсан барааны өртөг</v>
      </c>
      <c r="G245" s="377">
        <v>191123.5667321017</v>
      </c>
      <c r="H245" s="377"/>
      <c r="I245" s="596">
        <f t="shared" si="17"/>
        <v>0</v>
      </c>
      <c r="J245" s="81"/>
      <c r="K245" s="81"/>
      <c r="L245" s="597">
        <v>3006</v>
      </c>
      <c r="M245" s="81" t="str">
        <f>+IFERROR(VLOOKUP(L245,DATA!$G$4:$H$2000,2,FALSE),"")</f>
        <v xml:space="preserve">ПАЙОНЕРИНГ ИНТЕРНЭШНЛ ХХК </v>
      </c>
      <c r="N245" s="435"/>
      <c r="O245" s="81"/>
      <c r="P245" s="81"/>
      <c r="Q245" s="152">
        <f t="shared" si="18"/>
        <v>0</v>
      </c>
    </row>
    <row r="246" spans="2:17">
      <c r="B246" s="670">
        <f t="shared" si="19"/>
        <v>241</v>
      </c>
      <c r="C246" s="433">
        <v>42769</v>
      </c>
      <c r="D246" s="377" t="s">
        <v>587</v>
      </c>
      <c r="E246" s="675">
        <v>310500</v>
      </c>
      <c r="F246" s="672" t="str">
        <f>IFERROR(VLOOKUP(E246,STAT1!$C$4:$D$1000,2,FALSE),"")</f>
        <v>НӨАТ өглөг</v>
      </c>
      <c r="G246" s="597"/>
      <c r="H246" s="377">
        <v>25920</v>
      </c>
      <c r="I246" s="596">
        <f t="shared" si="17"/>
        <v>0</v>
      </c>
      <c r="J246" s="81">
        <f>+IF(E246=110102,I246/K246,0)</f>
        <v>0</v>
      </c>
      <c r="K246" s="81"/>
      <c r="L246" s="597">
        <v>3006</v>
      </c>
      <c r="M246" s="81" t="str">
        <f>+IFERROR(VLOOKUP(L246,DATA!$G$4:$H$2000,2,FALSE),"")</f>
        <v xml:space="preserve">ПАЙОНЕРИНГ ИНТЕРНЭШНЛ ХХК </v>
      </c>
      <c r="N246" s="435"/>
      <c r="O246" s="81" t="str">
        <f>IFERROR(VLOOKUP(N246,DATA!$K$4:$L$51,2,FALSE),"")</f>
        <v/>
      </c>
      <c r="P246" s="81"/>
      <c r="Q246" s="152">
        <f t="shared" si="18"/>
        <v>0</v>
      </c>
    </row>
    <row r="247" spans="2:17">
      <c r="B247" s="670">
        <f t="shared" si="19"/>
        <v>242</v>
      </c>
      <c r="C247" s="433">
        <v>42769</v>
      </c>
      <c r="D247" s="377" t="s">
        <v>587</v>
      </c>
      <c r="E247" s="675">
        <v>510000</v>
      </c>
      <c r="F247" s="672" t="str">
        <f>IFERROR(VLOOKUP(E247,STAT1!$C$4:$D$1000,2,FALSE),"")</f>
        <v>Үндсэн үйл ажиллагааны борлуулалт</v>
      </c>
      <c r="G247" s="597"/>
      <c r="H247" s="377">
        <v>259200</v>
      </c>
      <c r="I247" s="596">
        <f t="shared" si="17"/>
        <v>0</v>
      </c>
      <c r="J247" s="81">
        <f>+IF(E247=110102,I247/K247,0)</f>
        <v>0</v>
      </c>
      <c r="K247" s="81"/>
      <c r="L247" s="597">
        <v>3006</v>
      </c>
      <c r="M247" s="81" t="str">
        <f>+IFERROR(VLOOKUP(L247,DATA!$G$4:$H$2000,2,FALSE),"")</f>
        <v xml:space="preserve">ПАЙОНЕРИНГ ИНТЕРНЭШНЛ ХХК </v>
      </c>
      <c r="N247" s="435"/>
      <c r="O247" s="81" t="str">
        <f>IFERROR(VLOOKUP(N247,DATA!$K$4:$L$51,2,FALSE),"")</f>
        <v/>
      </c>
      <c r="P247" s="81"/>
      <c r="Q247" s="152">
        <f t="shared" si="18"/>
        <v>0</v>
      </c>
    </row>
    <row r="248" spans="2:17">
      <c r="B248" s="670">
        <f t="shared" si="19"/>
        <v>243</v>
      </c>
      <c r="C248" s="433">
        <v>42769</v>
      </c>
      <c r="D248" s="377" t="s">
        <v>587</v>
      </c>
      <c r="E248" s="675">
        <v>320100</v>
      </c>
      <c r="F248" s="672" t="str">
        <f>IFERROR(VLOOKUP(E248,STAT1!$C$4:$D$1000,2,FALSE),"")</f>
        <v>Урьдчилж орсон орлого MNT</v>
      </c>
      <c r="G248" s="377">
        <v>285120</v>
      </c>
      <c r="H248" s="597"/>
      <c r="I248" s="596">
        <f t="shared" si="17"/>
        <v>0</v>
      </c>
      <c r="J248" s="81">
        <f>+IF(E248=110102,I248/K248,0)</f>
        <v>0</v>
      </c>
      <c r="K248" s="81"/>
      <c r="L248" s="597">
        <v>3006</v>
      </c>
      <c r="M248" s="81" t="str">
        <f>+IFERROR(VLOOKUP(L248,DATA!$G$4:$H$2000,2,FALSE),"")</f>
        <v xml:space="preserve">ПАЙОНЕРИНГ ИНТЕРНЭШНЛ ХХК </v>
      </c>
      <c r="N248" s="435"/>
      <c r="O248" s="81" t="str">
        <f>IFERROR(VLOOKUP(N248,DATA!$K$4:$L$51,2,FALSE),"")</f>
        <v/>
      </c>
      <c r="P248" s="81"/>
      <c r="Q248" s="152">
        <f t="shared" si="18"/>
        <v>0</v>
      </c>
    </row>
    <row r="249" spans="2:17">
      <c r="B249" s="670">
        <f t="shared" si="19"/>
        <v>244</v>
      </c>
      <c r="C249" s="433">
        <v>42769</v>
      </c>
      <c r="D249" s="377" t="s">
        <v>1707</v>
      </c>
      <c r="E249" s="577">
        <v>100100</v>
      </c>
      <c r="F249" s="672" t="str">
        <f>IFERROR(VLOOKUP(E249,STAT1!$C$4:$D$1000,2,FALSE),"")</f>
        <v>Касс мөнгө MNT</v>
      </c>
      <c r="G249" s="377"/>
      <c r="H249" s="377">
        <v>6029500</v>
      </c>
      <c r="I249" s="596">
        <f t="shared" si="17"/>
        <v>-6029500</v>
      </c>
      <c r="J249" s="81">
        <f>+IF(E249=110102,I249/K249,0)</f>
        <v>0</v>
      </c>
      <c r="K249" s="81"/>
      <c r="L249" s="597">
        <v>3016</v>
      </c>
      <c r="M249" s="81" t="str">
        <f>+IFERROR(VLOOKUP(L249,DATA!$G$4:$H$2000,2,FALSE),"")</f>
        <v xml:space="preserve">СТИЙЛ АРТ ХХК </v>
      </c>
      <c r="N249" s="435">
        <v>53</v>
      </c>
      <c r="O249" s="81" t="str">
        <f>IFERROR(VLOOKUP(N249,DATA!$K$4:$L$51,2,FALSE),"")</f>
        <v>Бараа материал худалдан авахад төлсөн</v>
      </c>
      <c r="P249" s="81"/>
      <c r="Q249" s="152">
        <f t="shared" si="18"/>
        <v>1</v>
      </c>
    </row>
    <row r="250" spans="2:17">
      <c r="B250" s="670">
        <f t="shared" si="19"/>
        <v>245</v>
      </c>
      <c r="C250" s="433">
        <v>42769</v>
      </c>
      <c r="D250" s="377" t="s">
        <v>1707</v>
      </c>
      <c r="E250" s="577">
        <v>702000</v>
      </c>
      <c r="F250" s="672" t="str">
        <f>IFERROR(VLOOKUP(E250,STAT1!$C$4:$D$1000,2,FALSE),"")</f>
        <v>Түлш, шатахуун</v>
      </c>
      <c r="G250" s="377">
        <v>29500</v>
      </c>
      <c r="H250" s="377"/>
      <c r="I250" s="596">
        <f t="shared" si="17"/>
        <v>0</v>
      </c>
      <c r="J250" s="81"/>
      <c r="K250" s="81"/>
      <c r="L250" s="597">
        <v>3016</v>
      </c>
      <c r="M250" s="81" t="str">
        <f>+IFERROR(VLOOKUP(L250,DATA!$G$4:$H$2000,2,FALSE),"")</f>
        <v xml:space="preserve">СТИЙЛ АРТ ХХК </v>
      </c>
      <c r="N250" s="435"/>
      <c r="O250" s="81" t="str">
        <f>IFERROR(VLOOKUP(N250,DATA!$K$4:$L$51,2,FALSE),"")</f>
        <v/>
      </c>
      <c r="P250" s="81"/>
      <c r="Q250" s="152">
        <f t="shared" si="18"/>
        <v>0</v>
      </c>
    </row>
    <row r="251" spans="2:17">
      <c r="B251" s="670">
        <f t="shared" si="19"/>
        <v>246</v>
      </c>
      <c r="C251" s="433">
        <v>42769</v>
      </c>
      <c r="D251" s="377" t="s">
        <v>1707</v>
      </c>
      <c r="E251" s="577">
        <v>120100</v>
      </c>
      <c r="F251" s="672" t="str">
        <f>IFERROR(VLOOKUP(E251,STAT1!$C$4:$D$1000,2,FALSE),"")</f>
        <v xml:space="preserve">Дансны авлага MNT </v>
      </c>
      <c r="G251" s="377">
        <v>6000000</v>
      </c>
      <c r="H251" s="377">
        <v>0</v>
      </c>
      <c r="I251" s="596">
        <f t="shared" si="17"/>
        <v>0</v>
      </c>
      <c r="J251" s="81">
        <f t="shared" ref="J251:J256" si="21">+IF(E251=110102,I251/K251,0)</f>
        <v>0</v>
      </c>
      <c r="K251" s="81"/>
      <c r="L251" s="597">
        <v>3016</v>
      </c>
      <c r="M251" s="81" t="str">
        <f>+IFERROR(VLOOKUP(L251,DATA!$G$4:$H$2000,2,FALSE),"")</f>
        <v xml:space="preserve">СТИЙЛ АРТ ХХК </v>
      </c>
      <c r="N251" s="435"/>
      <c r="O251" s="81" t="str">
        <f>IFERROR(VLOOKUP(N251,DATA!$K$4:$L$51,2,FALSE),"")</f>
        <v/>
      </c>
      <c r="P251" s="81"/>
      <c r="Q251" s="152">
        <f t="shared" si="18"/>
        <v>0</v>
      </c>
    </row>
    <row r="252" spans="2:17">
      <c r="B252" s="670">
        <f t="shared" si="19"/>
        <v>247</v>
      </c>
      <c r="C252" s="433">
        <v>42769</v>
      </c>
      <c r="D252" s="377" t="s">
        <v>1741</v>
      </c>
      <c r="E252" s="577">
        <v>320100</v>
      </c>
      <c r="F252" s="672" t="str">
        <f>IFERROR(VLOOKUP(E252,STAT1!$C$4:$D$1000,2,FALSE),"")</f>
        <v>Урьдчилж орсон орлого MNT</v>
      </c>
      <c r="G252" s="377"/>
      <c r="H252" s="377">
        <v>674320</v>
      </c>
      <c r="I252" s="596">
        <f t="shared" si="17"/>
        <v>0</v>
      </c>
      <c r="J252" s="81">
        <f t="shared" si="21"/>
        <v>0</v>
      </c>
      <c r="K252" s="81"/>
      <c r="L252" s="597">
        <v>3006</v>
      </c>
      <c r="M252" s="81" t="str">
        <f>+IFERROR(VLOOKUP(L252,DATA!$G$4:$H$2000,2,FALSE),"")</f>
        <v xml:space="preserve">ПАЙОНЕРИНГ ИНТЕРНЭШНЛ ХХК </v>
      </c>
      <c r="N252" s="435"/>
      <c r="O252" s="81" t="str">
        <f>IFERROR(VLOOKUP(N252,DATA!$K$4:$L$51,2,FALSE),"")</f>
        <v/>
      </c>
      <c r="P252" s="81"/>
      <c r="Q252" s="152">
        <f t="shared" si="18"/>
        <v>0</v>
      </c>
    </row>
    <row r="253" spans="2:17">
      <c r="B253" s="670">
        <f t="shared" si="19"/>
        <v>248</v>
      </c>
      <c r="C253" s="433">
        <v>42769</v>
      </c>
      <c r="D253" s="377" t="s">
        <v>1741</v>
      </c>
      <c r="E253" s="577">
        <v>100100</v>
      </c>
      <c r="F253" s="672" t="str">
        <f>IFERROR(VLOOKUP(E253,STAT1!$C$4:$D$1000,2,FALSE),"")</f>
        <v>Касс мөнгө MNT</v>
      </c>
      <c r="G253" s="377">
        <v>674320</v>
      </c>
      <c r="H253" s="377">
        <v>0</v>
      </c>
      <c r="I253" s="596">
        <f t="shared" si="17"/>
        <v>674320</v>
      </c>
      <c r="J253" s="81">
        <f t="shared" si="21"/>
        <v>0</v>
      </c>
      <c r="K253" s="81"/>
      <c r="L253" s="597">
        <v>3006</v>
      </c>
      <c r="M253" s="81" t="str">
        <f>+IFERROR(VLOOKUP(L253,DATA!$G$4:$H$2000,2,FALSE),"")</f>
        <v xml:space="preserve">ПАЙОНЕРИНГ ИНТЕРНЭШНЛ ХХК </v>
      </c>
      <c r="N253" s="435">
        <v>41</v>
      </c>
      <c r="O253" s="81" t="str">
        <f>IFERROR(VLOOKUP(N253,DATA!$K$4:$L$51,2,FALSE),"")</f>
        <v>Бараа борлуулсан, үйлчилгээ үзүүлсэний орлого</v>
      </c>
      <c r="P253" s="81"/>
      <c r="Q253" s="152">
        <f t="shared" si="18"/>
        <v>1</v>
      </c>
    </row>
    <row r="254" spans="2:17">
      <c r="B254" s="670">
        <f t="shared" si="19"/>
        <v>249</v>
      </c>
      <c r="C254" s="433">
        <v>42770</v>
      </c>
      <c r="D254" s="377" t="s">
        <v>1355</v>
      </c>
      <c r="E254" s="577">
        <v>100100</v>
      </c>
      <c r="F254" s="672" t="str">
        <f>IFERROR(VLOOKUP(E254,STAT1!$C$4:$D$1000,2,FALSE),"")</f>
        <v>Касс мөнгө MNT</v>
      </c>
      <c r="G254" s="377"/>
      <c r="H254" s="377">
        <v>88800</v>
      </c>
      <c r="I254" s="596">
        <f t="shared" si="17"/>
        <v>-88800</v>
      </c>
      <c r="J254" s="81">
        <f t="shared" si="21"/>
        <v>0</v>
      </c>
      <c r="K254" s="81"/>
      <c r="L254" s="597">
        <v>1005</v>
      </c>
      <c r="M254" s="81" t="str">
        <f>+IFERROR(VLOOKUP(L254,DATA!$G$4:$H$2000,2,FALSE),"")</f>
        <v>Золжаргал</v>
      </c>
      <c r="N254" s="435">
        <v>55</v>
      </c>
      <c r="O254" s="81" t="str">
        <f>IFERROR(VLOOKUP(N254,DATA!$K$4:$L$51,2,FALSE),"")</f>
        <v>Түлш, шатахуун, тээврийн хөлс, сэлбэг хэрэгсэлд төлсөн</v>
      </c>
      <c r="P254" s="81"/>
      <c r="Q254" s="152">
        <f t="shared" si="18"/>
        <v>1</v>
      </c>
    </row>
    <row r="255" spans="2:17">
      <c r="B255" s="670">
        <f t="shared" si="19"/>
        <v>250</v>
      </c>
      <c r="C255" s="433">
        <v>42770</v>
      </c>
      <c r="D255" s="377" t="s">
        <v>1355</v>
      </c>
      <c r="E255" s="577">
        <v>702000</v>
      </c>
      <c r="F255" s="672" t="str">
        <f>IFERROR(VLOOKUP(E255,STAT1!$C$4:$D$1000,2,FALSE),"")</f>
        <v>Түлш, шатахуун</v>
      </c>
      <c r="G255" s="377">
        <v>88800</v>
      </c>
      <c r="H255" s="377">
        <v>0</v>
      </c>
      <c r="I255" s="596">
        <f t="shared" si="17"/>
        <v>0</v>
      </c>
      <c r="J255" s="81">
        <f t="shared" si="21"/>
        <v>0</v>
      </c>
      <c r="K255" s="81"/>
      <c r="L255" s="597">
        <v>1005</v>
      </c>
      <c r="M255" s="81" t="str">
        <f>+IFERROR(VLOOKUP(L255,DATA!$G$4:$H$2000,2,FALSE),"")</f>
        <v>Золжаргал</v>
      </c>
      <c r="N255" s="435"/>
      <c r="O255" s="81" t="str">
        <f>IFERROR(VLOOKUP(N255,DATA!$K$4:$L$51,2,FALSE),"")</f>
        <v/>
      </c>
      <c r="P255" s="81"/>
      <c r="Q255" s="152">
        <f t="shared" si="18"/>
        <v>0</v>
      </c>
    </row>
    <row r="256" spans="2:17">
      <c r="B256" s="670">
        <f t="shared" si="19"/>
        <v>251</v>
      </c>
      <c r="C256" s="433">
        <v>42771</v>
      </c>
      <c r="D256" s="434" t="s">
        <v>2678</v>
      </c>
      <c r="E256" s="676">
        <v>150101</v>
      </c>
      <c r="F256" s="672" t="str">
        <f>IFERROR(VLOOKUP(E256,STAT1!$C$4:$D$1000,2,FALSE),"")</f>
        <v>Бараа бэлэн бүтээгдэхүүн БОЛОВСРУУЛАХ ЦЕХ /нарс/</v>
      </c>
      <c r="G256" s="431"/>
      <c r="H256" s="431">
        <v>9021993.3759328686</v>
      </c>
      <c r="I256" s="596">
        <f t="shared" si="17"/>
        <v>0</v>
      </c>
      <c r="J256" s="81">
        <f t="shared" si="21"/>
        <v>0</v>
      </c>
      <c r="K256" s="81"/>
      <c r="L256" s="597">
        <v>3001</v>
      </c>
      <c r="M256" s="81" t="str">
        <f>+IFERROR(VLOOKUP(L256,DATA!$G$4:$H$2000,2,FALSE),"")</f>
        <v>ХУРД ГРУПП ХХК</v>
      </c>
      <c r="N256" s="435"/>
      <c r="O256" s="81" t="str">
        <f>IFERROR(VLOOKUP(N256,DATA!$K$4:$L$51,2,FALSE),"")</f>
        <v/>
      </c>
      <c r="P256" s="81"/>
      <c r="Q256" s="152">
        <f t="shared" si="18"/>
        <v>0</v>
      </c>
    </row>
    <row r="257" spans="2:17">
      <c r="B257" s="670">
        <f t="shared" si="19"/>
        <v>252</v>
      </c>
      <c r="C257" s="433">
        <v>42771</v>
      </c>
      <c r="D257" s="434"/>
      <c r="E257" s="675">
        <v>610100</v>
      </c>
      <c r="F257" s="672" t="str">
        <f>IFERROR(VLOOKUP(E257,STAT1!$C$4:$D$1000,2,FALSE),"")</f>
        <v>Борлуулсан барааны өртөг</v>
      </c>
      <c r="G257" s="431">
        <v>9021993.3759328686</v>
      </c>
      <c r="H257" s="431"/>
      <c r="I257" s="596">
        <f t="shared" si="17"/>
        <v>0</v>
      </c>
      <c r="J257" s="81"/>
      <c r="K257" s="81"/>
      <c r="L257" s="597">
        <v>3001</v>
      </c>
      <c r="M257" s="81" t="str">
        <f>+IFERROR(VLOOKUP(L257,DATA!$G$4:$H$2000,2,FALSE),"")</f>
        <v>ХУРД ГРУПП ХХК</v>
      </c>
      <c r="N257" s="435"/>
      <c r="O257" s="81"/>
      <c r="P257" s="81"/>
      <c r="Q257" s="152">
        <f t="shared" si="18"/>
        <v>0</v>
      </c>
    </row>
    <row r="258" spans="2:17">
      <c r="B258" s="670">
        <f t="shared" si="19"/>
        <v>253</v>
      </c>
      <c r="C258" s="433">
        <v>42771</v>
      </c>
      <c r="D258" s="434" t="s">
        <v>587</v>
      </c>
      <c r="E258" s="675">
        <v>310500</v>
      </c>
      <c r="F258" s="672" t="str">
        <f>IFERROR(VLOOKUP(E258,STAT1!$C$4:$D$1000,2,FALSE),"")</f>
        <v>НӨАТ өглөг</v>
      </c>
      <c r="G258" s="431"/>
      <c r="H258" s="431">
        <v>1513390.1760000002</v>
      </c>
      <c r="I258" s="596">
        <f t="shared" si="17"/>
        <v>0</v>
      </c>
      <c r="J258" s="81">
        <f>+IF(E258=110102,I258/K258,0)</f>
        <v>0</v>
      </c>
      <c r="K258" s="81"/>
      <c r="L258" s="597">
        <v>3001</v>
      </c>
      <c r="M258" s="81" t="str">
        <f>+IFERROR(VLOOKUP(L258,DATA!$G$4:$H$2000,2,FALSE),"")</f>
        <v>ХУРД ГРУПП ХХК</v>
      </c>
      <c r="N258" s="435"/>
      <c r="O258" s="81" t="str">
        <f>IFERROR(VLOOKUP(N258,DATA!$K$4:$L$51,2,FALSE),"")</f>
        <v/>
      </c>
      <c r="P258" s="81"/>
      <c r="Q258" s="152">
        <f t="shared" si="18"/>
        <v>0</v>
      </c>
    </row>
    <row r="259" spans="2:17">
      <c r="B259" s="670">
        <f t="shared" si="19"/>
        <v>254</v>
      </c>
      <c r="C259" s="433">
        <v>42771</v>
      </c>
      <c r="D259" s="434" t="s">
        <v>587</v>
      </c>
      <c r="E259" s="675">
        <v>510000</v>
      </c>
      <c r="F259" s="672" t="str">
        <f>IFERROR(VLOOKUP(E259,STAT1!$C$4:$D$1000,2,FALSE),"")</f>
        <v>Үндсэн үйл ажиллагааны борлуулалт</v>
      </c>
      <c r="G259" s="431"/>
      <c r="H259" s="431">
        <v>15133901.760000002</v>
      </c>
      <c r="I259" s="596">
        <f t="shared" si="17"/>
        <v>0</v>
      </c>
      <c r="J259" s="81">
        <f>+IF(E259=110102,I259/K259,0)</f>
        <v>0</v>
      </c>
      <c r="K259" s="81"/>
      <c r="L259" s="597">
        <v>3001</v>
      </c>
      <c r="M259" s="81" t="str">
        <f>+IFERROR(VLOOKUP(L259,DATA!$G$4:$H$2000,2,FALSE),"")</f>
        <v>ХУРД ГРУПП ХХК</v>
      </c>
      <c r="N259" s="435"/>
      <c r="O259" s="81" t="str">
        <f>IFERROR(VLOOKUP(N259,DATA!$K$4:$L$51,2,FALSE),"")</f>
        <v/>
      </c>
      <c r="P259" s="81"/>
      <c r="Q259" s="152">
        <f t="shared" si="18"/>
        <v>0</v>
      </c>
    </row>
    <row r="260" spans="2:17">
      <c r="B260" s="670">
        <f t="shared" si="19"/>
        <v>255</v>
      </c>
      <c r="C260" s="433">
        <v>42771</v>
      </c>
      <c r="D260" s="377" t="s">
        <v>587</v>
      </c>
      <c r="E260" s="675">
        <v>320100</v>
      </c>
      <c r="F260" s="672" t="str">
        <f>IFERROR(VLOOKUP(E260,STAT1!$C$4:$D$1000,2,FALSE),"")</f>
        <v>Урьдчилж орсон орлого MNT</v>
      </c>
      <c r="G260" s="377">
        <v>16647291.936000003</v>
      </c>
      <c r="H260" s="377"/>
      <c r="I260" s="596">
        <f t="shared" si="17"/>
        <v>0</v>
      </c>
      <c r="J260" s="81">
        <f>+IF(E260=110102,I260/K260,0)</f>
        <v>0</v>
      </c>
      <c r="K260" s="81"/>
      <c r="L260" s="597">
        <v>3001</v>
      </c>
      <c r="M260" s="81" t="str">
        <f>+IFERROR(VLOOKUP(L260,DATA!$G$4:$H$2000,2,FALSE),"")</f>
        <v>ХУРД ГРУПП ХХК</v>
      </c>
      <c r="N260" s="435"/>
      <c r="O260" s="81" t="str">
        <f>IFERROR(VLOOKUP(N260,DATA!$K$4:$L$51,2,FALSE),"")</f>
        <v/>
      </c>
      <c r="P260" s="81"/>
      <c r="Q260" s="152">
        <f t="shared" si="18"/>
        <v>0</v>
      </c>
    </row>
    <row r="261" spans="2:17">
      <c r="B261" s="670">
        <f t="shared" si="19"/>
        <v>256</v>
      </c>
      <c r="C261" s="433">
        <v>42771</v>
      </c>
      <c r="D261" s="377" t="s">
        <v>2678</v>
      </c>
      <c r="E261" s="676">
        <v>150101</v>
      </c>
      <c r="F261" s="672" t="str">
        <f>IFERROR(VLOOKUP(E261,STAT1!$C$4:$D$1000,2,FALSE),"")</f>
        <v>Бараа бэлэн бүтээгдэхүүн БОЛОВСРУУЛАХ ЦЕХ /нарс/</v>
      </c>
      <c r="G261" s="377"/>
      <c r="H261" s="377">
        <v>9725659.9174078442</v>
      </c>
      <c r="I261" s="596">
        <f t="shared" si="17"/>
        <v>0</v>
      </c>
      <c r="J261" s="81">
        <f>+IF(E261=110102,I261/K261,0)</f>
        <v>0</v>
      </c>
      <c r="K261" s="81"/>
      <c r="L261" s="597">
        <v>3001</v>
      </c>
      <c r="M261" s="81" t="str">
        <f>+IFERROR(VLOOKUP(L261,DATA!$G$4:$H$2000,2,FALSE),"")</f>
        <v>ХУРД ГРУПП ХХК</v>
      </c>
      <c r="N261" s="435"/>
      <c r="O261" s="81" t="str">
        <f>IFERROR(VLOOKUP(N261,DATA!$K$4:$L$51,2,FALSE),"")</f>
        <v/>
      </c>
      <c r="P261" s="81"/>
      <c r="Q261" s="152">
        <f t="shared" si="18"/>
        <v>0</v>
      </c>
    </row>
    <row r="262" spans="2:17">
      <c r="B262" s="670">
        <f t="shared" si="19"/>
        <v>257</v>
      </c>
      <c r="C262" s="433">
        <v>42771</v>
      </c>
      <c r="D262" s="377"/>
      <c r="E262" s="675">
        <v>610100</v>
      </c>
      <c r="F262" s="672" t="str">
        <f>IFERROR(VLOOKUP(E262,STAT1!$C$4:$D$1000,2,FALSE),"")</f>
        <v>Борлуулсан барааны өртөг</v>
      </c>
      <c r="G262" s="377">
        <v>9725659.9174078442</v>
      </c>
      <c r="H262" s="377"/>
      <c r="I262" s="596">
        <f t="shared" ref="I262:I325" si="22">+IF(OR(E262=100100,E262=100200,E262=110100,E262=110102,E262=110103,E262=110104,E262=110105,E262=110200,E262=110201,E262=110202,E262=110203,E262=110204,E262=110300),G262,0)+IF(OR(E262=100100,E262=100200,E262=110100,E262=110102,E262=110103,E262=110104,E262=110105,E262=110200,E262=110201,E262=110202,E262=110203,E262=110204,E262=110300),H262*-1,0)</f>
        <v>0</v>
      </c>
      <c r="J262" s="81"/>
      <c r="K262" s="81"/>
      <c r="L262" s="597">
        <v>3001</v>
      </c>
      <c r="M262" s="81" t="str">
        <f>+IFERROR(VLOOKUP(L262,DATA!$G$4:$H$2000,2,FALSE),"")</f>
        <v>ХУРД ГРУПП ХХК</v>
      </c>
      <c r="N262" s="435"/>
      <c r="O262" s="81"/>
      <c r="P262" s="81"/>
      <c r="Q262" s="152">
        <f t="shared" si="18"/>
        <v>0</v>
      </c>
    </row>
    <row r="263" spans="2:17">
      <c r="B263" s="670">
        <f t="shared" si="19"/>
        <v>258</v>
      </c>
      <c r="C263" s="433">
        <v>42771</v>
      </c>
      <c r="D263" s="377" t="s">
        <v>587</v>
      </c>
      <c r="E263" s="675">
        <v>310500</v>
      </c>
      <c r="F263" s="672" t="str">
        <f>IFERROR(VLOOKUP(E263,STAT1!$C$4:$D$1000,2,FALSE),"")</f>
        <v>НӨАТ өглөг</v>
      </c>
      <c r="G263" s="377"/>
      <c r="H263" s="377">
        <v>1631438.9154000001</v>
      </c>
      <c r="I263" s="596">
        <f t="shared" si="22"/>
        <v>0</v>
      </c>
      <c r="J263" s="81">
        <f>+IF(E263=110102,I263/K263,0)</f>
        <v>0</v>
      </c>
      <c r="K263" s="81"/>
      <c r="L263" s="597">
        <v>3001</v>
      </c>
      <c r="M263" s="81" t="str">
        <f>+IFERROR(VLOOKUP(L263,DATA!$G$4:$H$2000,2,FALSE),"")</f>
        <v>ХУРД ГРУПП ХХК</v>
      </c>
      <c r="N263" s="435"/>
      <c r="O263" s="81" t="str">
        <f>IFERROR(VLOOKUP(N263,DATA!$K$4:$L$51,2,FALSE),"")</f>
        <v/>
      </c>
      <c r="P263" s="81"/>
      <c r="Q263" s="152">
        <f t="shared" ref="Q263:Q326" si="23">+IF(I263,1,0)</f>
        <v>0</v>
      </c>
    </row>
    <row r="264" spans="2:17">
      <c r="B264" s="670">
        <f t="shared" si="19"/>
        <v>259</v>
      </c>
      <c r="C264" s="433">
        <v>42771</v>
      </c>
      <c r="D264" s="377" t="s">
        <v>587</v>
      </c>
      <c r="E264" s="675">
        <v>510000</v>
      </c>
      <c r="F264" s="672" t="str">
        <f>IFERROR(VLOOKUP(E264,STAT1!$C$4:$D$1000,2,FALSE),"")</f>
        <v>Үндсэн үйл ажиллагааны борлуулалт</v>
      </c>
      <c r="G264" s="377"/>
      <c r="H264" s="377">
        <v>16314389.153999999</v>
      </c>
      <c r="I264" s="596">
        <f t="shared" si="22"/>
        <v>0</v>
      </c>
      <c r="J264" s="81">
        <f>+IF(E264=110102,I264/K264,0)</f>
        <v>0</v>
      </c>
      <c r="K264" s="81"/>
      <c r="L264" s="597">
        <v>3001</v>
      </c>
      <c r="M264" s="81" t="str">
        <f>+IFERROR(VLOOKUP(L264,DATA!$G$4:$H$2000,2,FALSE),"")</f>
        <v>ХУРД ГРУПП ХХК</v>
      </c>
      <c r="N264" s="435"/>
      <c r="O264" s="81" t="str">
        <f>IFERROR(VLOOKUP(N264,DATA!$K$4:$L$51,2,FALSE),"")</f>
        <v/>
      </c>
      <c r="P264" s="81"/>
      <c r="Q264" s="152">
        <f t="shared" si="23"/>
        <v>0</v>
      </c>
    </row>
    <row r="265" spans="2:17">
      <c r="B265" s="670">
        <f t="shared" si="19"/>
        <v>260</v>
      </c>
      <c r="C265" s="433">
        <v>42771</v>
      </c>
      <c r="D265" s="377" t="s">
        <v>587</v>
      </c>
      <c r="E265" s="675">
        <v>320100</v>
      </c>
      <c r="F265" s="672" t="str">
        <f>IFERROR(VLOOKUP(E265,STAT1!$C$4:$D$1000,2,FALSE),"")</f>
        <v>Урьдчилж орсон орлого MNT</v>
      </c>
      <c r="G265" s="377">
        <v>17945828.069399998</v>
      </c>
      <c r="H265" s="377"/>
      <c r="I265" s="596">
        <f t="shared" si="22"/>
        <v>0</v>
      </c>
      <c r="J265" s="81">
        <f>+IF(E265=110102,I265/K265,0)</f>
        <v>0</v>
      </c>
      <c r="K265" s="81"/>
      <c r="L265" s="597">
        <v>3001</v>
      </c>
      <c r="M265" s="81" t="str">
        <f>+IFERROR(VLOOKUP(L265,DATA!$G$4:$H$2000,2,FALSE),"")</f>
        <v>ХУРД ГРУПП ХХК</v>
      </c>
      <c r="N265" s="435"/>
      <c r="O265" s="81" t="str">
        <f>IFERROR(VLOOKUP(N265,DATA!$K$4:$L$51,2,FALSE),"")</f>
        <v/>
      </c>
      <c r="P265" s="81"/>
      <c r="Q265" s="152">
        <f t="shared" si="23"/>
        <v>0</v>
      </c>
    </row>
    <row r="266" spans="2:17">
      <c r="B266" s="670">
        <f t="shared" si="19"/>
        <v>261</v>
      </c>
      <c r="C266" s="433">
        <v>42771</v>
      </c>
      <c r="D266" s="377" t="s">
        <v>2685</v>
      </c>
      <c r="E266" s="673">
        <v>150101</v>
      </c>
      <c r="F266" s="672" t="str">
        <f>IFERROR(VLOOKUP(E266,STAT1!$C$4:$D$1000,2,FALSE),"")</f>
        <v>Бараа бэлэн бүтээгдэхүүн БОЛОВСРУУЛАХ ЦЕХ /нарс/</v>
      </c>
      <c r="G266" s="377"/>
      <c r="H266" s="377">
        <v>1165992.2441999998</v>
      </c>
      <c r="I266" s="596">
        <f t="shared" si="22"/>
        <v>0</v>
      </c>
      <c r="J266" s="81">
        <f>+IF(E266=110102,I266/K266,0)</f>
        <v>0</v>
      </c>
      <c r="K266" s="81"/>
      <c r="L266" s="597">
        <v>3013</v>
      </c>
      <c r="M266" s="81" t="str">
        <f>+IFERROR(VLOOKUP(L266,DATA!$G$4:$H$2000,2,FALSE),"")</f>
        <v xml:space="preserve">МИАТ ХК </v>
      </c>
      <c r="N266" s="435"/>
      <c r="O266" s="81" t="str">
        <f>IFERROR(VLOOKUP(N266,DATA!$K$4:$L$51,2,FALSE),"")</f>
        <v/>
      </c>
      <c r="P266" s="81"/>
      <c r="Q266" s="152">
        <f t="shared" si="23"/>
        <v>0</v>
      </c>
    </row>
    <row r="267" spans="2:17">
      <c r="B267" s="670">
        <f t="shared" ref="B267:B330" si="24">+IF(C267="","",ROW()-5)</f>
        <v>262</v>
      </c>
      <c r="C267" s="433">
        <v>42771</v>
      </c>
      <c r="D267" s="377"/>
      <c r="E267" s="674">
        <v>610100</v>
      </c>
      <c r="F267" s="672" t="str">
        <f>IFERROR(VLOOKUP(E267,STAT1!$C$4:$D$1000,2,FALSE),"")</f>
        <v>Борлуулсан барааны өртөг</v>
      </c>
      <c r="G267" s="377">
        <v>1165992.2441999998</v>
      </c>
      <c r="H267" s="377"/>
      <c r="I267" s="596">
        <f t="shared" si="22"/>
        <v>0</v>
      </c>
      <c r="J267" s="81"/>
      <c r="K267" s="81"/>
      <c r="L267" s="597">
        <v>3013</v>
      </c>
      <c r="M267" s="81" t="str">
        <f>+IFERROR(VLOOKUP(L267,DATA!$G$4:$H$2000,2,FALSE),"")</f>
        <v xml:space="preserve">МИАТ ХК </v>
      </c>
      <c r="N267" s="435"/>
      <c r="O267" s="81"/>
      <c r="P267" s="81"/>
      <c r="Q267" s="152">
        <f t="shared" si="23"/>
        <v>0</v>
      </c>
    </row>
    <row r="268" spans="2:17">
      <c r="B268" s="670">
        <f t="shared" si="24"/>
        <v>263</v>
      </c>
      <c r="C268" s="433">
        <v>42771</v>
      </c>
      <c r="D268" s="377" t="s">
        <v>587</v>
      </c>
      <c r="E268" s="674">
        <v>310500</v>
      </c>
      <c r="F268" s="672" t="str">
        <f>IFERROR(VLOOKUP(E268,STAT1!$C$4:$D$1000,2,FALSE),"")</f>
        <v>НӨАТ өглөг</v>
      </c>
      <c r="G268" s="377"/>
      <c r="H268" s="377">
        <v>220000</v>
      </c>
      <c r="I268" s="596">
        <f t="shared" si="22"/>
        <v>0</v>
      </c>
      <c r="J268" s="81">
        <f t="shared" ref="J268:J280" si="25">+IF(E268=110102,I268/K268,0)</f>
        <v>0</v>
      </c>
      <c r="K268" s="81"/>
      <c r="L268" s="597">
        <v>3013</v>
      </c>
      <c r="M268" s="81" t="str">
        <f>+IFERROR(VLOOKUP(L268,DATA!$G$4:$H$2000,2,FALSE),"")</f>
        <v xml:space="preserve">МИАТ ХК </v>
      </c>
      <c r="N268" s="435"/>
      <c r="O268" s="81" t="str">
        <f>IFERROR(VLOOKUP(N268,DATA!$K$4:$L$51,2,FALSE),"")</f>
        <v/>
      </c>
      <c r="P268" s="81"/>
      <c r="Q268" s="152">
        <f t="shared" si="23"/>
        <v>0</v>
      </c>
    </row>
    <row r="269" spans="2:17">
      <c r="B269" s="670">
        <f t="shared" si="24"/>
        <v>264</v>
      </c>
      <c r="C269" s="433">
        <v>42771</v>
      </c>
      <c r="D269" s="377" t="s">
        <v>587</v>
      </c>
      <c r="E269" s="674">
        <v>510000</v>
      </c>
      <c r="F269" s="672" t="str">
        <f>IFERROR(VLOOKUP(E269,STAT1!$C$4:$D$1000,2,FALSE),"")</f>
        <v>Үндсэн үйл ажиллагааны борлуулалт</v>
      </c>
      <c r="G269" s="377"/>
      <c r="H269" s="377">
        <v>2200000</v>
      </c>
      <c r="I269" s="596">
        <f t="shared" si="22"/>
        <v>0</v>
      </c>
      <c r="J269" s="81">
        <f t="shared" si="25"/>
        <v>0</v>
      </c>
      <c r="K269" s="81"/>
      <c r="L269" s="597">
        <v>3013</v>
      </c>
      <c r="M269" s="81" t="str">
        <f>+IFERROR(VLOOKUP(L269,DATA!$G$4:$H$2000,2,FALSE),"")</f>
        <v xml:space="preserve">МИАТ ХК </v>
      </c>
      <c r="N269" s="435"/>
      <c r="O269" s="81" t="str">
        <f>IFERROR(VLOOKUP(N269,DATA!$K$4:$L$51,2,FALSE),"")</f>
        <v/>
      </c>
      <c r="P269" s="81"/>
      <c r="Q269" s="152">
        <f t="shared" si="23"/>
        <v>0</v>
      </c>
    </row>
    <row r="270" spans="2:17">
      <c r="B270" s="670">
        <f t="shared" si="24"/>
        <v>265</v>
      </c>
      <c r="C270" s="433">
        <v>42771</v>
      </c>
      <c r="D270" s="377" t="s">
        <v>587</v>
      </c>
      <c r="E270" s="674">
        <v>320100</v>
      </c>
      <c r="F270" s="672" t="str">
        <f>IFERROR(VLOOKUP(E270,STAT1!$C$4:$D$1000,2,FALSE),"")</f>
        <v>Урьдчилж орсон орлого MNT</v>
      </c>
      <c r="G270" s="377">
        <v>2420000</v>
      </c>
      <c r="H270" s="377"/>
      <c r="I270" s="596">
        <f t="shared" si="22"/>
        <v>0</v>
      </c>
      <c r="J270" s="81">
        <f t="shared" si="25"/>
        <v>0</v>
      </c>
      <c r="K270" s="81"/>
      <c r="L270" s="597">
        <v>3013</v>
      </c>
      <c r="M270" s="81" t="str">
        <f>+IFERROR(VLOOKUP(L270,DATA!$G$4:$H$2000,2,FALSE),"")</f>
        <v xml:space="preserve">МИАТ ХК </v>
      </c>
      <c r="N270" s="435"/>
      <c r="O270" s="81" t="str">
        <f>IFERROR(VLOOKUP(N270,DATA!$K$4:$L$51,2,FALSE),"")</f>
        <v/>
      </c>
      <c r="P270" s="81"/>
      <c r="Q270" s="152">
        <f t="shared" si="23"/>
        <v>0</v>
      </c>
    </row>
    <row r="271" spans="2:17">
      <c r="B271" s="670">
        <f t="shared" si="24"/>
        <v>266</v>
      </c>
      <c r="C271" s="601">
        <v>42772</v>
      </c>
      <c r="D271" s="372" t="s">
        <v>1657</v>
      </c>
      <c r="E271" s="572">
        <v>160100</v>
      </c>
      <c r="F271" s="672" t="str">
        <f>IFERROR(VLOOKUP(E271,STAT1!$C$4:$D$1000,2,FALSE),"")</f>
        <v xml:space="preserve">Барилгын материал </v>
      </c>
      <c r="G271" s="431">
        <v>318181.8175</v>
      </c>
      <c r="H271" s="431"/>
      <c r="I271" s="596">
        <f t="shared" si="22"/>
        <v>0</v>
      </c>
      <c r="J271" s="81">
        <f t="shared" si="25"/>
        <v>0</v>
      </c>
      <c r="K271" s="432"/>
      <c r="L271" s="597">
        <v>1004</v>
      </c>
      <c r="M271" s="81" t="str">
        <f>+IFERROR(VLOOKUP(L271,DATA!$G$4:$H$2000,2,FALSE),"")</f>
        <v xml:space="preserve">Түмэндэлгэр </v>
      </c>
      <c r="N271" s="435"/>
      <c r="O271" s="81" t="str">
        <f>IFERROR(VLOOKUP(N271,DATA!$K$4:$L$51,2,FALSE),"")</f>
        <v/>
      </c>
      <c r="P271" s="81"/>
      <c r="Q271" s="152">
        <f t="shared" si="23"/>
        <v>0</v>
      </c>
    </row>
    <row r="272" spans="2:17">
      <c r="B272" s="670">
        <f t="shared" si="24"/>
        <v>267</v>
      </c>
      <c r="C272" s="601">
        <v>42772</v>
      </c>
      <c r="D272" s="372" t="s">
        <v>587</v>
      </c>
      <c r="E272" s="572">
        <v>120600</v>
      </c>
      <c r="F272" s="672" t="str">
        <f>IFERROR(VLOOKUP(E272,STAT1!$C$4:$D$1000,2,FALSE),"")</f>
        <v>НӨАТ авлага</v>
      </c>
      <c r="G272" s="431">
        <v>31818.181750000003</v>
      </c>
      <c r="H272" s="431"/>
      <c r="I272" s="596">
        <f t="shared" si="22"/>
        <v>0</v>
      </c>
      <c r="J272" s="81">
        <f t="shared" si="25"/>
        <v>0</v>
      </c>
      <c r="K272" s="432"/>
      <c r="L272" s="597">
        <v>1004</v>
      </c>
      <c r="M272" s="81" t="str">
        <f>+IFERROR(VLOOKUP(L272,DATA!$G$4:$H$2000,2,FALSE),"")</f>
        <v xml:space="preserve">Түмэндэлгэр </v>
      </c>
      <c r="N272" s="435"/>
      <c r="O272" s="81" t="str">
        <f>IFERROR(VLOOKUP(N272,DATA!$K$4:$L$51,2,FALSE),"")</f>
        <v/>
      </c>
      <c r="P272" s="81"/>
      <c r="Q272" s="152">
        <f t="shared" si="23"/>
        <v>0</v>
      </c>
    </row>
    <row r="273" spans="2:17">
      <c r="B273" s="670">
        <f t="shared" si="24"/>
        <v>268</v>
      </c>
      <c r="C273" s="601">
        <v>42772</v>
      </c>
      <c r="D273" s="372" t="s">
        <v>587</v>
      </c>
      <c r="E273" s="572">
        <v>121200</v>
      </c>
      <c r="F273" s="672" t="str">
        <f>IFERROR(VLOOKUP(E273,STAT1!$C$4:$D$1000,2,FALSE),"")</f>
        <v xml:space="preserve">Ажилчидын дараа тайлангийн тооцоо </v>
      </c>
      <c r="G273" s="430"/>
      <c r="H273" s="431">
        <v>350000</v>
      </c>
      <c r="I273" s="596">
        <f t="shared" si="22"/>
        <v>0</v>
      </c>
      <c r="J273" s="81">
        <f t="shared" si="25"/>
        <v>0</v>
      </c>
      <c r="K273" s="432"/>
      <c r="L273" s="597">
        <v>1004</v>
      </c>
      <c r="M273" s="81" t="str">
        <f>+IFERROR(VLOOKUP(L273,DATA!$G$4:$H$2000,2,FALSE),"")</f>
        <v xml:space="preserve">Түмэндэлгэр </v>
      </c>
      <c r="N273" s="435"/>
      <c r="O273" s="81" t="str">
        <f>IFERROR(VLOOKUP(N273,DATA!$K$4:$L$51,2,FALSE),"")</f>
        <v/>
      </c>
      <c r="P273" s="81"/>
      <c r="Q273" s="152">
        <f t="shared" si="23"/>
        <v>0</v>
      </c>
    </row>
    <row r="274" spans="2:17">
      <c r="B274" s="670">
        <f t="shared" si="24"/>
        <v>269</v>
      </c>
      <c r="C274" s="601">
        <v>42772</v>
      </c>
      <c r="D274" s="372" t="s">
        <v>1640</v>
      </c>
      <c r="E274" s="572">
        <v>160100</v>
      </c>
      <c r="F274" s="672" t="str">
        <f>IFERROR(VLOOKUP(E274,STAT1!$C$4:$D$1000,2,FALSE),"")</f>
        <v xml:space="preserve">Барилгын материал </v>
      </c>
      <c r="G274" s="431">
        <v>620000.00100000005</v>
      </c>
      <c r="H274" s="431"/>
      <c r="I274" s="596">
        <f t="shared" si="22"/>
        <v>0</v>
      </c>
      <c r="J274" s="81">
        <f t="shared" si="25"/>
        <v>0</v>
      </c>
      <c r="K274" s="432"/>
      <c r="L274" s="597">
        <v>3017</v>
      </c>
      <c r="M274" s="81" t="str">
        <f>+IFERROR(VLOOKUP(L274,DATA!$G$4:$H$2000,2,FALSE),"")</f>
        <v xml:space="preserve">ВОС ХХК </v>
      </c>
      <c r="N274" s="435"/>
      <c r="O274" s="81" t="str">
        <f>IFERROR(VLOOKUP(N274,DATA!$K$4:$L$51,2,FALSE),"")</f>
        <v/>
      </c>
      <c r="P274" s="81"/>
      <c r="Q274" s="152">
        <f t="shared" si="23"/>
        <v>0</v>
      </c>
    </row>
    <row r="275" spans="2:17">
      <c r="B275" s="670">
        <f t="shared" si="24"/>
        <v>270</v>
      </c>
      <c r="C275" s="601">
        <v>42772</v>
      </c>
      <c r="D275" s="372" t="s">
        <v>587</v>
      </c>
      <c r="E275" s="572">
        <v>120600</v>
      </c>
      <c r="F275" s="672" t="str">
        <f>IFERROR(VLOOKUP(E275,STAT1!$C$4:$D$1000,2,FALSE),"")</f>
        <v>НӨАТ авлага</v>
      </c>
      <c r="G275" s="431">
        <v>62000</v>
      </c>
      <c r="H275" s="431"/>
      <c r="I275" s="596">
        <f t="shared" si="22"/>
        <v>0</v>
      </c>
      <c r="J275" s="81">
        <f t="shared" si="25"/>
        <v>0</v>
      </c>
      <c r="K275" s="432"/>
      <c r="L275" s="597">
        <v>3017</v>
      </c>
      <c r="M275" s="81" t="str">
        <f>+IFERROR(VLOOKUP(L275,DATA!$G$4:$H$2000,2,FALSE),"")</f>
        <v xml:space="preserve">ВОС ХХК </v>
      </c>
      <c r="N275" s="435"/>
      <c r="O275" s="81" t="str">
        <f>IFERROR(VLOOKUP(N275,DATA!$K$4:$L$51,2,FALSE),"")</f>
        <v/>
      </c>
      <c r="P275" s="81"/>
      <c r="Q275" s="152">
        <f t="shared" si="23"/>
        <v>0</v>
      </c>
    </row>
    <row r="276" spans="2:17">
      <c r="B276" s="670">
        <f t="shared" si="24"/>
        <v>271</v>
      </c>
      <c r="C276" s="601">
        <v>42772</v>
      </c>
      <c r="D276" s="372" t="s">
        <v>587</v>
      </c>
      <c r="E276" s="572">
        <v>120100</v>
      </c>
      <c r="F276" s="672" t="str">
        <f>IFERROR(VLOOKUP(E276,STAT1!$C$4:$D$1000,2,FALSE),"")</f>
        <v xml:space="preserve">Дансны авлага MNT </v>
      </c>
      <c r="G276" s="430"/>
      <c r="H276" s="431">
        <v>682000</v>
      </c>
      <c r="I276" s="596">
        <f t="shared" si="22"/>
        <v>0</v>
      </c>
      <c r="J276" s="81">
        <f t="shared" si="25"/>
        <v>0</v>
      </c>
      <c r="K276" s="432"/>
      <c r="L276" s="597">
        <v>3017</v>
      </c>
      <c r="M276" s="81" t="str">
        <f>+IFERROR(VLOOKUP(L276,DATA!$G$4:$H$2000,2,FALSE),"")</f>
        <v xml:space="preserve">ВОС ХХК </v>
      </c>
      <c r="N276" s="435"/>
      <c r="O276" s="81" t="str">
        <f>IFERROR(VLOOKUP(N276,DATA!$K$4:$L$51,2,FALSE),"")</f>
        <v/>
      </c>
      <c r="P276" s="81"/>
      <c r="Q276" s="152">
        <f t="shared" si="23"/>
        <v>0</v>
      </c>
    </row>
    <row r="277" spans="2:17">
      <c r="B277" s="670">
        <f t="shared" si="24"/>
        <v>272</v>
      </c>
      <c r="C277" s="601">
        <v>42772</v>
      </c>
      <c r="D277" s="372" t="s">
        <v>1637</v>
      </c>
      <c r="E277" s="572">
        <v>160100</v>
      </c>
      <c r="F277" s="672" t="str">
        <f>IFERROR(VLOOKUP(E277,STAT1!$C$4:$D$1000,2,FALSE),"")</f>
        <v xml:space="preserve">Барилгын материал </v>
      </c>
      <c r="G277" s="430">
        <v>102000</v>
      </c>
      <c r="H277" s="431"/>
      <c r="I277" s="596">
        <f t="shared" si="22"/>
        <v>0</v>
      </c>
      <c r="J277" s="81">
        <f t="shared" si="25"/>
        <v>0</v>
      </c>
      <c r="K277" s="432"/>
      <c r="L277" s="597">
        <v>3017</v>
      </c>
      <c r="M277" s="81" t="str">
        <f>+IFERROR(VLOOKUP(L277,DATA!$G$4:$H$2000,2,FALSE),"")</f>
        <v xml:space="preserve">ВОС ХХК </v>
      </c>
      <c r="N277" s="435"/>
      <c r="O277" s="81" t="str">
        <f>IFERROR(VLOOKUP(N277,DATA!$K$4:$L$51,2,FALSE),"")</f>
        <v/>
      </c>
      <c r="P277" s="81"/>
      <c r="Q277" s="152">
        <f t="shared" si="23"/>
        <v>0</v>
      </c>
    </row>
    <row r="278" spans="2:17">
      <c r="B278" s="670">
        <f t="shared" si="24"/>
        <v>273</v>
      </c>
      <c r="C278" s="601">
        <v>42772</v>
      </c>
      <c r="D278" s="372" t="s">
        <v>587</v>
      </c>
      <c r="E278" s="572">
        <v>120600</v>
      </c>
      <c r="F278" s="672" t="str">
        <f>IFERROR(VLOOKUP(E278,STAT1!$C$4:$D$1000,2,FALSE),"")</f>
        <v>НӨАТ авлага</v>
      </c>
      <c r="G278" s="431">
        <v>10200</v>
      </c>
      <c r="H278" s="430"/>
      <c r="I278" s="596">
        <f t="shared" si="22"/>
        <v>0</v>
      </c>
      <c r="J278" s="81">
        <f t="shared" si="25"/>
        <v>0</v>
      </c>
      <c r="K278" s="432"/>
      <c r="L278" s="597">
        <v>3017</v>
      </c>
      <c r="M278" s="81" t="str">
        <f>+IFERROR(VLOOKUP(L278,DATA!$G$4:$H$2000,2,FALSE),"")</f>
        <v xml:space="preserve">ВОС ХХК </v>
      </c>
      <c r="N278" s="435"/>
      <c r="O278" s="81" t="str">
        <f>IFERROR(VLOOKUP(N278,DATA!$K$4:$L$51,2,FALSE),"")</f>
        <v/>
      </c>
      <c r="P278" s="81"/>
      <c r="Q278" s="152">
        <f t="shared" si="23"/>
        <v>0</v>
      </c>
    </row>
    <row r="279" spans="2:17">
      <c r="B279" s="670">
        <f t="shared" si="24"/>
        <v>274</v>
      </c>
      <c r="C279" s="601">
        <v>42772</v>
      </c>
      <c r="D279" s="372" t="s">
        <v>587</v>
      </c>
      <c r="E279" s="572">
        <v>120100</v>
      </c>
      <c r="F279" s="672" t="str">
        <f>IFERROR(VLOOKUP(E279,STAT1!$C$4:$D$1000,2,FALSE),"")</f>
        <v xml:space="preserve">Дансны авлага MNT </v>
      </c>
      <c r="G279" s="430"/>
      <c r="H279" s="431">
        <v>112200</v>
      </c>
      <c r="I279" s="596">
        <f t="shared" si="22"/>
        <v>0</v>
      </c>
      <c r="J279" s="81">
        <f t="shared" si="25"/>
        <v>0</v>
      </c>
      <c r="K279" s="432"/>
      <c r="L279" s="597">
        <v>3017</v>
      </c>
      <c r="M279" s="81" t="str">
        <f>+IFERROR(VLOOKUP(L279,DATA!$G$4:$H$2000,2,FALSE),"")</f>
        <v xml:space="preserve">ВОС ХХК </v>
      </c>
      <c r="N279" s="435"/>
      <c r="O279" s="81" t="str">
        <f>IFERROR(VLOOKUP(N279,DATA!$K$4:$L$51,2,FALSE),"")</f>
        <v/>
      </c>
      <c r="P279" s="81"/>
      <c r="Q279" s="152">
        <f t="shared" si="23"/>
        <v>0</v>
      </c>
    </row>
    <row r="280" spans="2:17">
      <c r="B280" s="670">
        <f t="shared" si="24"/>
        <v>275</v>
      </c>
      <c r="C280" s="433">
        <v>42772</v>
      </c>
      <c r="D280" s="377" t="s">
        <v>2682</v>
      </c>
      <c r="E280" s="673">
        <v>150101</v>
      </c>
      <c r="F280" s="672" t="str">
        <f>IFERROR(VLOOKUP(E280,STAT1!$C$4:$D$1000,2,FALSE),"")</f>
        <v>Бараа бэлэн бүтээгдэхүүн БОЛОВСРУУЛАХ ЦЕХ /нарс/</v>
      </c>
      <c r="G280" s="377"/>
      <c r="H280" s="377">
        <v>1132598.2564544347</v>
      </c>
      <c r="I280" s="596">
        <f t="shared" si="22"/>
        <v>0</v>
      </c>
      <c r="J280" s="81">
        <f t="shared" si="25"/>
        <v>0</v>
      </c>
      <c r="K280" s="81"/>
      <c r="L280" s="597">
        <v>4001</v>
      </c>
      <c r="M280" s="81" t="str">
        <f>+IFERROR(VLOOKUP(L280,DATA!$G$4:$H$2000,2,FALSE),"")</f>
        <v>Сайннямбуу</v>
      </c>
      <c r="N280" s="435"/>
      <c r="O280" s="81" t="str">
        <f>IFERROR(VLOOKUP(N280,DATA!$K$4:$L$51,2,FALSE),"")</f>
        <v/>
      </c>
      <c r="P280" s="81"/>
      <c r="Q280" s="152">
        <f t="shared" si="23"/>
        <v>0</v>
      </c>
    </row>
    <row r="281" spans="2:17">
      <c r="B281" s="670">
        <f t="shared" si="24"/>
        <v>276</v>
      </c>
      <c r="C281" s="433">
        <v>42772</v>
      </c>
      <c r="D281" s="377"/>
      <c r="E281" s="674">
        <v>610100</v>
      </c>
      <c r="F281" s="672" t="str">
        <f>IFERROR(VLOOKUP(E281,STAT1!$C$4:$D$1000,2,FALSE),"")</f>
        <v>Борлуулсан барааны өртөг</v>
      </c>
      <c r="G281" s="377">
        <v>1132598.2564544347</v>
      </c>
      <c r="H281" s="377"/>
      <c r="I281" s="596">
        <f t="shared" si="22"/>
        <v>0</v>
      </c>
      <c r="J281" s="81"/>
      <c r="K281" s="81"/>
      <c r="L281" s="597">
        <v>4001</v>
      </c>
      <c r="M281" s="81" t="str">
        <f>+IFERROR(VLOOKUP(L281,DATA!$G$4:$H$2000,2,FALSE),"")</f>
        <v>Сайннямбуу</v>
      </c>
      <c r="N281" s="435"/>
      <c r="O281" s="81"/>
      <c r="P281" s="81"/>
      <c r="Q281" s="152">
        <f t="shared" si="23"/>
        <v>0</v>
      </c>
    </row>
    <row r="282" spans="2:17">
      <c r="B282" s="670">
        <f t="shared" si="24"/>
        <v>277</v>
      </c>
      <c r="C282" s="433">
        <v>42772</v>
      </c>
      <c r="D282" s="377" t="s">
        <v>587</v>
      </c>
      <c r="E282" s="674">
        <v>310500</v>
      </c>
      <c r="F282" s="672" t="str">
        <f>IFERROR(VLOOKUP(E282,STAT1!$C$4:$D$1000,2,FALSE),"")</f>
        <v>НӨАТ өглөг</v>
      </c>
      <c r="G282" s="377"/>
      <c r="H282" s="377">
        <v>150859.09098914001</v>
      </c>
      <c r="I282" s="596">
        <f t="shared" si="22"/>
        <v>0</v>
      </c>
      <c r="J282" s="81">
        <f>+IF(E282=110102,I282/K282,0)</f>
        <v>0</v>
      </c>
      <c r="K282" s="81"/>
      <c r="L282" s="597">
        <v>4001</v>
      </c>
      <c r="M282" s="81" t="str">
        <f>+IFERROR(VLOOKUP(L282,DATA!$G$4:$H$2000,2,FALSE),"")</f>
        <v>Сайннямбуу</v>
      </c>
      <c r="N282" s="435"/>
      <c r="O282" s="81" t="str">
        <f>IFERROR(VLOOKUP(N282,DATA!$K$4:$L$51,2,FALSE),"")</f>
        <v/>
      </c>
      <c r="P282" s="81"/>
      <c r="Q282" s="152">
        <f t="shared" si="23"/>
        <v>0</v>
      </c>
    </row>
    <row r="283" spans="2:17">
      <c r="B283" s="670">
        <f t="shared" si="24"/>
        <v>278</v>
      </c>
      <c r="C283" s="433">
        <v>42772</v>
      </c>
      <c r="D283" s="377" t="s">
        <v>587</v>
      </c>
      <c r="E283" s="674">
        <v>510000</v>
      </c>
      <c r="F283" s="672" t="str">
        <f>IFERROR(VLOOKUP(E283,STAT1!$C$4:$D$1000,2,FALSE),"")</f>
        <v>Үндсэн үйл ажиллагааны борлуулалт</v>
      </c>
      <c r="G283" s="377"/>
      <c r="H283" s="377">
        <v>1508590.9098914</v>
      </c>
      <c r="I283" s="596">
        <f t="shared" si="22"/>
        <v>0</v>
      </c>
      <c r="J283" s="81">
        <f>+IF(E283=110102,I283/K283,0)</f>
        <v>0</v>
      </c>
      <c r="K283" s="81"/>
      <c r="L283" s="597">
        <v>4001</v>
      </c>
      <c r="M283" s="81" t="str">
        <f>+IFERROR(VLOOKUP(L283,DATA!$G$4:$H$2000,2,FALSE),"")</f>
        <v>Сайннямбуу</v>
      </c>
      <c r="N283" s="435"/>
      <c r="O283" s="81" t="str">
        <f>IFERROR(VLOOKUP(N283,DATA!$K$4:$L$51,2,FALSE),"")</f>
        <v/>
      </c>
      <c r="P283" s="81"/>
      <c r="Q283" s="152">
        <f t="shared" si="23"/>
        <v>0</v>
      </c>
    </row>
    <row r="284" spans="2:17">
      <c r="B284" s="670">
        <f t="shared" si="24"/>
        <v>279</v>
      </c>
      <c r="C284" s="433">
        <v>42772</v>
      </c>
      <c r="D284" s="377" t="s">
        <v>587</v>
      </c>
      <c r="E284" s="674">
        <v>320100</v>
      </c>
      <c r="F284" s="672" t="str">
        <f>IFERROR(VLOOKUP(E284,STAT1!$C$4:$D$1000,2,FALSE),"")</f>
        <v>Урьдчилж орсон орлого MNT</v>
      </c>
      <c r="G284" s="377">
        <v>1659450.0008805401</v>
      </c>
      <c r="H284" s="377"/>
      <c r="I284" s="596">
        <f t="shared" si="22"/>
        <v>0</v>
      </c>
      <c r="J284" s="81">
        <f>+IF(E284=110102,I284/K284,0)</f>
        <v>0</v>
      </c>
      <c r="K284" s="81"/>
      <c r="L284" s="597">
        <v>4001</v>
      </c>
      <c r="M284" s="81" t="str">
        <f>+IFERROR(VLOOKUP(L284,DATA!$G$4:$H$2000,2,FALSE),"")</f>
        <v>Сайннямбуу</v>
      </c>
      <c r="N284" s="435"/>
      <c r="O284" s="81" t="str">
        <f>IFERROR(VLOOKUP(N284,DATA!$K$4:$L$51,2,FALSE),"")</f>
        <v/>
      </c>
      <c r="P284" s="81"/>
      <c r="Q284" s="152">
        <f t="shared" si="23"/>
        <v>0</v>
      </c>
    </row>
    <row r="285" spans="2:17">
      <c r="B285" s="670">
        <f t="shared" si="24"/>
        <v>280</v>
      </c>
      <c r="C285" s="433">
        <v>42772</v>
      </c>
      <c r="D285" s="377" t="s">
        <v>1355</v>
      </c>
      <c r="E285" s="572">
        <v>100100</v>
      </c>
      <c r="F285" s="672" t="str">
        <f>IFERROR(VLOOKUP(E285,STAT1!$C$4:$D$1000,2,FALSE),"")</f>
        <v>Касс мөнгө MNT</v>
      </c>
      <c r="G285" s="377"/>
      <c r="H285" s="377">
        <v>20000</v>
      </c>
      <c r="I285" s="596">
        <f t="shared" si="22"/>
        <v>-20000</v>
      </c>
      <c r="J285" s="81">
        <f>+IF(E285=110102,I285/K285,0)</f>
        <v>0</v>
      </c>
      <c r="K285" s="81"/>
      <c r="L285" s="597">
        <v>3017</v>
      </c>
      <c r="M285" s="81" t="str">
        <f>+IFERROR(VLOOKUP(L285,DATA!$G$4:$H$2000,2,FALSE),"")</f>
        <v xml:space="preserve">ВОС ХХК </v>
      </c>
      <c r="N285" s="435">
        <v>55</v>
      </c>
      <c r="O285" s="81" t="str">
        <f>IFERROR(VLOOKUP(N285,DATA!$K$4:$L$51,2,FALSE),"")</f>
        <v>Түлш, шатахуун, тээврийн хөлс, сэлбэг хэрэгсэлд төлсөн</v>
      </c>
      <c r="P285" s="81"/>
      <c r="Q285" s="152">
        <f t="shared" si="23"/>
        <v>1</v>
      </c>
    </row>
    <row r="286" spans="2:17">
      <c r="B286" s="670">
        <f t="shared" si="24"/>
        <v>281</v>
      </c>
      <c r="C286" s="433">
        <v>42772</v>
      </c>
      <c r="D286" s="377" t="s">
        <v>1355</v>
      </c>
      <c r="E286" s="572">
        <v>702000</v>
      </c>
      <c r="F286" s="672" t="str">
        <f>IFERROR(VLOOKUP(E286,STAT1!$C$4:$D$1000,2,FALSE),"")</f>
        <v>Түлш, шатахуун</v>
      </c>
      <c r="G286" s="377">
        <v>20000</v>
      </c>
      <c r="H286" s="377"/>
      <c r="I286" s="596">
        <f t="shared" si="22"/>
        <v>0</v>
      </c>
      <c r="J286" s="81">
        <f>+IF(E286=110102,I286/K286,0)</f>
        <v>0</v>
      </c>
      <c r="K286" s="81"/>
      <c r="L286" s="597">
        <v>3017</v>
      </c>
      <c r="M286" s="81" t="str">
        <f>+IFERROR(VLOOKUP(L286,DATA!$G$4:$H$2000,2,FALSE),"")</f>
        <v xml:space="preserve">ВОС ХХК </v>
      </c>
      <c r="N286" s="435"/>
      <c r="O286" s="81" t="str">
        <f>IFERROR(VLOOKUP(N286,DATA!$K$4:$L$51,2,FALSE),"")</f>
        <v/>
      </c>
      <c r="P286" s="81"/>
      <c r="Q286" s="152">
        <f t="shared" si="23"/>
        <v>0</v>
      </c>
    </row>
    <row r="287" spans="2:17">
      <c r="B287" s="670">
        <f t="shared" si="24"/>
        <v>282</v>
      </c>
      <c r="C287" s="433">
        <v>42772</v>
      </c>
      <c r="D287" s="377" t="s">
        <v>1728</v>
      </c>
      <c r="E287" s="572">
        <v>100100</v>
      </c>
      <c r="F287" s="672" t="str">
        <f>IFERROR(VLOOKUP(E287,STAT1!$C$4:$D$1000,2,FALSE),"")</f>
        <v>Касс мөнгө MNT</v>
      </c>
      <c r="G287" s="377"/>
      <c r="H287" s="377">
        <v>794200</v>
      </c>
      <c r="I287" s="596">
        <f t="shared" si="22"/>
        <v>-794200</v>
      </c>
      <c r="J287" s="81"/>
      <c r="K287" s="81"/>
      <c r="L287" s="597">
        <v>3017</v>
      </c>
      <c r="M287" s="81" t="str">
        <f>+IFERROR(VLOOKUP(L287,DATA!$G$4:$H$2000,2,FALSE),"")</f>
        <v xml:space="preserve">ВОС ХХК </v>
      </c>
      <c r="N287" s="435">
        <v>53</v>
      </c>
      <c r="O287" s="81" t="str">
        <f>IFERROR(VLOOKUP(N287,DATA!$K$4:$L$51,2,FALSE),"")</f>
        <v>Бараа материал худалдан авахад төлсөн</v>
      </c>
      <c r="P287" s="81"/>
      <c r="Q287" s="152">
        <f t="shared" si="23"/>
        <v>1</v>
      </c>
    </row>
    <row r="288" spans="2:17">
      <c r="B288" s="670">
        <f t="shared" si="24"/>
        <v>283</v>
      </c>
      <c r="C288" s="433">
        <v>42772</v>
      </c>
      <c r="D288" s="377" t="s">
        <v>1728</v>
      </c>
      <c r="E288" s="572">
        <v>120100</v>
      </c>
      <c r="F288" s="672" t="str">
        <f>IFERROR(VLOOKUP(E288,STAT1!$C$4:$D$1000,2,FALSE),"")</f>
        <v xml:space="preserve">Дансны авлага MNT </v>
      </c>
      <c r="G288" s="377">
        <v>794200</v>
      </c>
      <c r="H288" s="377">
        <v>0</v>
      </c>
      <c r="I288" s="596">
        <f t="shared" si="22"/>
        <v>0</v>
      </c>
      <c r="J288" s="81">
        <f>+IF(E288=110102,I288/K288,0)</f>
        <v>0</v>
      </c>
      <c r="K288" s="81"/>
      <c r="L288" s="597">
        <v>3017</v>
      </c>
      <c r="M288" s="81" t="str">
        <f>+IFERROR(VLOOKUP(L288,DATA!$G$4:$H$2000,2,FALSE),"")</f>
        <v xml:space="preserve">ВОС ХХК </v>
      </c>
      <c r="N288" s="435"/>
      <c r="O288" s="81" t="str">
        <f>IFERROR(VLOOKUP(N288,DATA!$K$4:$L$51,2,FALSE),"")</f>
        <v/>
      </c>
      <c r="P288" s="81"/>
      <c r="Q288" s="152">
        <f t="shared" si="23"/>
        <v>0</v>
      </c>
    </row>
    <row r="289" spans="2:17">
      <c r="B289" s="670">
        <f t="shared" si="24"/>
        <v>284</v>
      </c>
      <c r="C289" s="433">
        <v>42772</v>
      </c>
      <c r="D289" s="377" t="s">
        <v>1708</v>
      </c>
      <c r="E289" s="572">
        <v>100100</v>
      </c>
      <c r="F289" s="672" t="str">
        <f>IFERROR(VLOOKUP(E289,STAT1!$C$4:$D$1000,2,FALSE),"")</f>
        <v>Касс мөнгө MNT</v>
      </c>
      <c r="G289" s="377"/>
      <c r="H289" s="377">
        <v>350000</v>
      </c>
      <c r="I289" s="596">
        <f t="shared" si="22"/>
        <v>-350000</v>
      </c>
      <c r="J289" s="81"/>
      <c r="K289" s="81"/>
      <c r="L289" s="597">
        <v>3017</v>
      </c>
      <c r="M289" s="81" t="str">
        <f>+IFERROR(VLOOKUP(L289,DATA!$G$4:$H$2000,2,FALSE),"")</f>
        <v xml:space="preserve">ВОС ХХК </v>
      </c>
      <c r="N289" s="435">
        <v>53</v>
      </c>
      <c r="O289" s="81" t="str">
        <f>IFERROR(VLOOKUP(N289,DATA!$K$4:$L$51,2,FALSE),"")</f>
        <v>Бараа материал худалдан авахад төлсөн</v>
      </c>
      <c r="P289" s="81"/>
      <c r="Q289" s="152">
        <f t="shared" si="23"/>
        <v>1</v>
      </c>
    </row>
    <row r="290" spans="2:17">
      <c r="B290" s="670">
        <f t="shared" si="24"/>
        <v>285</v>
      </c>
      <c r="C290" s="433">
        <v>42772</v>
      </c>
      <c r="D290" s="377" t="s">
        <v>1708</v>
      </c>
      <c r="E290" s="572">
        <v>121200</v>
      </c>
      <c r="F290" s="672" t="str">
        <f>IFERROR(VLOOKUP(E290,STAT1!$C$4:$D$1000,2,FALSE),"")</f>
        <v xml:space="preserve">Ажилчидын дараа тайлангийн тооцоо </v>
      </c>
      <c r="G290" s="377">
        <v>350000</v>
      </c>
      <c r="H290" s="377"/>
      <c r="I290" s="596">
        <f t="shared" si="22"/>
        <v>0</v>
      </c>
      <c r="J290" s="81">
        <f>+IF(E290=110102,I290/K290,0)</f>
        <v>0</v>
      </c>
      <c r="K290" s="81"/>
      <c r="L290" s="597">
        <v>1004</v>
      </c>
      <c r="M290" s="81" t="str">
        <f>+IFERROR(VLOOKUP(L290,DATA!$G$4:$H$2000,2,FALSE),"")</f>
        <v xml:space="preserve">Түмэндэлгэр </v>
      </c>
      <c r="N290" s="435"/>
      <c r="O290" s="81" t="str">
        <f>IFERROR(VLOOKUP(N290,DATA!$K$4:$L$51,2,FALSE),"")</f>
        <v/>
      </c>
      <c r="P290" s="81"/>
      <c r="Q290" s="152">
        <f t="shared" si="23"/>
        <v>0</v>
      </c>
    </row>
    <row r="291" spans="2:17">
      <c r="B291" s="670">
        <f t="shared" si="24"/>
        <v>286</v>
      </c>
      <c r="C291" s="433">
        <v>42772</v>
      </c>
      <c r="D291" s="377" t="s">
        <v>1355</v>
      </c>
      <c r="E291" s="572">
        <v>100100</v>
      </c>
      <c r="F291" s="672" t="str">
        <f>IFERROR(VLOOKUP(E291,STAT1!$C$4:$D$1000,2,FALSE),"")</f>
        <v>Касс мөнгө MNT</v>
      </c>
      <c r="G291" s="377"/>
      <c r="H291" s="377">
        <v>20000</v>
      </c>
      <c r="I291" s="596">
        <f t="shared" si="22"/>
        <v>-20000</v>
      </c>
      <c r="J291" s="81"/>
      <c r="K291" s="81"/>
      <c r="L291" s="597">
        <v>1004</v>
      </c>
      <c r="M291" s="81" t="str">
        <f>+IFERROR(VLOOKUP(L291,DATA!$G$4:$H$2000,2,FALSE),"")</f>
        <v xml:space="preserve">Түмэндэлгэр </v>
      </c>
      <c r="N291" s="435">
        <v>55</v>
      </c>
      <c r="O291" s="81" t="str">
        <f>IFERROR(VLOOKUP(N291,DATA!$K$4:$L$51,2,FALSE),"")</f>
        <v>Түлш, шатахуун, тээврийн хөлс, сэлбэг хэрэгсэлд төлсөн</v>
      </c>
      <c r="P291" s="81"/>
      <c r="Q291" s="152">
        <f t="shared" si="23"/>
        <v>1</v>
      </c>
    </row>
    <row r="292" spans="2:17">
      <c r="B292" s="670">
        <f t="shared" si="24"/>
        <v>287</v>
      </c>
      <c r="C292" s="433">
        <v>42772</v>
      </c>
      <c r="D292" s="377" t="s">
        <v>1708</v>
      </c>
      <c r="E292" s="572">
        <v>702000</v>
      </c>
      <c r="F292" s="672" t="str">
        <f>IFERROR(VLOOKUP(E292,STAT1!$C$4:$D$1000,2,FALSE),"")</f>
        <v>Түлш, шатахуун</v>
      </c>
      <c r="G292" s="377">
        <v>20000</v>
      </c>
      <c r="H292" s="377">
        <v>0</v>
      </c>
      <c r="I292" s="596">
        <f t="shared" si="22"/>
        <v>0</v>
      </c>
      <c r="J292" s="81">
        <f>+IF(E292=110102,I292/K292,0)</f>
        <v>0</v>
      </c>
      <c r="K292" s="81"/>
      <c r="L292" s="597">
        <v>1004</v>
      </c>
      <c r="M292" s="81" t="str">
        <f>+IFERROR(VLOOKUP(L292,DATA!$G$4:$H$2000,2,FALSE),"")</f>
        <v xml:space="preserve">Түмэндэлгэр </v>
      </c>
      <c r="N292" s="435"/>
      <c r="O292" s="81" t="str">
        <f>IFERROR(VLOOKUP(N292,DATA!$K$4:$L$51,2,FALSE),"")</f>
        <v/>
      </c>
      <c r="P292" s="81"/>
      <c r="Q292" s="152">
        <f t="shared" si="23"/>
        <v>0</v>
      </c>
    </row>
    <row r="293" spans="2:17">
      <c r="B293" s="670">
        <f t="shared" si="24"/>
        <v>288</v>
      </c>
      <c r="C293" s="433">
        <v>42772</v>
      </c>
      <c r="D293" s="377" t="s">
        <v>1355</v>
      </c>
      <c r="E293" s="572">
        <v>100100</v>
      </c>
      <c r="F293" s="672" t="str">
        <f>IFERROR(VLOOKUP(E293,STAT1!$C$4:$D$1000,2,FALSE),"")</f>
        <v>Касс мөнгө MNT</v>
      </c>
      <c r="G293" s="377"/>
      <c r="H293" s="377">
        <v>160000</v>
      </c>
      <c r="I293" s="596">
        <f t="shared" si="22"/>
        <v>-160000</v>
      </c>
      <c r="J293" s="81">
        <f>+IF(E293=110102,I293/K293,0)</f>
        <v>0</v>
      </c>
      <c r="K293" s="81"/>
      <c r="L293" s="597">
        <v>1007</v>
      </c>
      <c r="M293" s="81" t="str">
        <f>+IFERROR(VLOOKUP(L293,DATA!$G$4:$H$2000,2,FALSE),"")</f>
        <v xml:space="preserve">Нэргүй </v>
      </c>
      <c r="N293" s="435">
        <v>55</v>
      </c>
      <c r="O293" s="81" t="str">
        <f>IFERROR(VLOOKUP(N293,DATA!$K$4:$L$51,2,FALSE),"")</f>
        <v>Түлш, шатахуун, тээврийн хөлс, сэлбэг хэрэгсэлд төлсөн</v>
      </c>
      <c r="P293" s="81"/>
      <c r="Q293" s="152">
        <f t="shared" si="23"/>
        <v>1</v>
      </c>
    </row>
    <row r="294" spans="2:17">
      <c r="B294" s="670">
        <f t="shared" si="24"/>
        <v>289</v>
      </c>
      <c r="C294" s="433">
        <v>42772</v>
      </c>
      <c r="D294" s="377" t="s">
        <v>1355</v>
      </c>
      <c r="E294" s="572">
        <v>120600</v>
      </c>
      <c r="F294" s="672" t="str">
        <f>IFERROR(VLOOKUP(E294,STAT1!$C$4:$D$1000,2,FALSE),"")</f>
        <v>НӨАТ авлага</v>
      </c>
      <c r="G294" s="377">
        <v>59554.55</v>
      </c>
      <c r="H294" s="377"/>
      <c r="I294" s="596">
        <f t="shared" si="22"/>
        <v>0</v>
      </c>
      <c r="J294" s="81"/>
      <c r="K294" s="81"/>
      <c r="L294" s="597">
        <v>1007</v>
      </c>
      <c r="M294" s="81" t="str">
        <f>+IFERROR(VLOOKUP(L294,DATA!$G$4:$H$2000,2,FALSE),"")</f>
        <v xml:space="preserve">Нэргүй </v>
      </c>
      <c r="N294" s="435"/>
      <c r="O294" s="81" t="str">
        <f>IFERROR(VLOOKUP(N294,DATA!$K$4:$L$51,2,FALSE),"")</f>
        <v/>
      </c>
      <c r="P294" s="81"/>
      <c r="Q294" s="152">
        <f t="shared" si="23"/>
        <v>0</v>
      </c>
    </row>
    <row r="295" spans="2:17">
      <c r="B295" s="670">
        <f t="shared" si="24"/>
        <v>290</v>
      </c>
      <c r="C295" s="433">
        <v>42772</v>
      </c>
      <c r="D295" s="377" t="s">
        <v>1355</v>
      </c>
      <c r="E295" s="572">
        <v>702000</v>
      </c>
      <c r="F295" s="672" t="str">
        <f>IFERROR(VLOOKUP(E295,STAT1!$C$4:$D$1000,2,FALSE),"")</f>
        <v>Түлш, шатахуун</v>
      </c>
      <c r="G295" s="377">
        <v>100445.45</v>
      </c>
      <c r="H295" s="377">
        <v>0</v>
      </c>
      <c r="I295" s="596">
        <f t="shared" si="22"/>
        <v>0</v>
      </c>
      <c r="J295" s="81">
        <f t="shared" ref="J295:J313" si="26">+IF(E295=110102,I295/K295,0)</f>
        <v>0</v>
      </c>
      <c r="K295" s="81"/>
      <c r="L295" s="597">
        <v>1007</v>
      </c>
      <c r="M295" s="81" t="str">
        <f>+IFERROR(VLOOKUP(L295,DATA!$G$4:$H$2000,2,FALSE),"")</f>
        <v xml:space="preserve">Нэргүй </v>
      </c>
      <c r="N295" s="435"/>
      <c r="O295" s="81" t="str">
        <f>IFERROR(VLOOKUP(N295,DATA!$K$4:$L$51,2,FALSE),"")</f>
        <v/>
      </c>
      <c r="P295" s="81"/>
      <c r="Q295" s="152">
        <f t="shared" si="23"/>
        <v>0</v>
      </c>
    </row>
    <row r="296" spans="2:17">
      <c r="B296" s="670">
        <f t="shared" si="24"/>
        <v>291</v>
      </c>
      <c r="C296" s="433">
        <v>42772</v>
      </c>
      <c r="D296" s="598" t="s">
        <v>1741</v>
      </c>
      <c r="E296" s="572">
        <v>110100</v>
      </c>
      <c r="F296" s="672" t="str">
        <f>IFERROR(VLOOKUP(E296,STAT1!$C$4:$D$1000,2,FALSE),"")</f>
        <v>Хаан Банк 5024654020</v>
      </c>
      <c r="G296" s="377">
        <v>1659450</v>
      </c>
      <c r="H296" s="377"/>
      <c r="I296" s="596">
        <f t="shared" si="22"/>
        <v>1659450</v>
      </c>
      <c r="J296" s="81">
        <f t="shared" si="26"/>
        <v>0</v>
      </c>
      <c r="K296" s="81"/>
      <c r="L296" s="597">
        <v>4001</v>
      </c>
      <c r="M296" s="81" t="str">
        <f>+IFERROR(VLOOKUP(L296,DATA!$G$4:$H$2000,2,FALSE),"")</f>
        <v>Сайннямбуу</v>
      </c>
      <c r="N296" s="435">
        <v>41</v>
      </c>
      <c r="O296" s="81" t="str">
        <f>IFERROR(VLOOKUP(N296,DATA!$K$4:$L$51,2,FALSE),"")</f>
        <v>Бараа борлуулсан, үйлчилгээ үзүүлсэний орлого</v>
      </c>
      <c r="P296" s="81"/>
      <c r="Q296" s="152">
        <f t="shared" si="23"/>
        <v>1</v>
      </c>
    </row>
    <row r="297" spans="2:17">
      <c r="B297" s="670">
        <f t="shared" si="24"/>
        <v>292</v>
      </c>
      <c r="C297" s="433">
        <v>42772</v>
      </c>
      <c r="D297" s="598" t="s">
        <v>1741</v>
      </c>
      <c r="E297" s="572">
        <v>320100</v>
      </c>
      <c r="F297" s="672" t="str">
        <f>IFERROR(VLOOKUP(E297,STAT1!$C$4:$D$1000,2,FALSE),"")</f>
        <v>Урьдчилж орсон орлого MNT</v>
      </c>
      <c r="G297" s="377">
        <v>0</v>
      </c>
      <c r="H297" s="377">
        <v>1659450</v>
      </c>
      <c r="I297" s="596">
        <f t="shared" si="22"/>
        <v>0</v>
      </c>
      <c r="J297" s="81">
        <f t="shared" si="26"/>
        <v>0</v>
      </c>
      <c r="K297" s="81"/>
      <c r="L297" s="597">
        <v>4001</v>
      </c>
      <c r="M297" s="81" t="str">
        <f>+IFERROR(VLOOKUP(L297,DATA!$G$4:$H$2000,2,FALSE),"")</f>
        <v>Сайннямбуу</v>
      </c>
      <c r="N297" s="435"/>
      <c r="O297" s="81" t="str">
        <f>IFERROR(VLOOKUP(N297,DATA!$K$4:$L$51,2,FALSE),"")</f>
        <v/>
      </c>
      <c r="P297" s="81"/>
      <c r="Q297" s="152">
        <f t="shared" si="23"/>
        <v>0</v>
      </c>
    </row>
    <row r="298" spans="2:17">
      <c r="B298" s="670">
        <f t="shared" si="24"/>
        <v>293</v>
      </c>
      <c r="C298" s="433">
        <v>42772</v>
      </c>
      <c r="D298" s="598" t="s">
        <v>1741</v>
      </c>
      <c r="E298" s="572">
        <v>110100</v>
      </c>
      <c r="F298" s="672" t="str">
        <f>IFERROR(VLOOKUP(E298,STAT1!$C$4:$D$1000,2,FALSE),"")</f>
        <v>Хаан Банк 5024654020</v>
      </c>
      <c r="G298" s="377">
        <v>255750</v>
      </c>
      <c r="H298" s="377"/>
      <c r="I298" s="596">
        <f t="shared" si="22"/>
        <v>255750</v>
      </c>
      <c r="J298" s="81">
        <f t="shared" si="26"/>
        <v>0</v>
      </c>
      <c r="K298" s="81"/>
      <c r="L298" s="597">
        <v>3007</v>
      </c>
      <c r="M298" s="81" t="str">
        <f>+IFERROR(VLOOKUP(L298,DATA!$G$4:$H$2000,2,FALSE),"")</f>
        <v xml:space="preserve">АЯНЧИН АУТФИТТЕРС ХХК </v>
      </c>
      <c r="N298" s="435">
        <v>41</v>
      </c>
      <c r="O298" s="81" t="str">
        <f>IFERROR(VLOOKUP(N298,DATA!$K$4:$L$51,2,FALSE),"")</f>
        <v>Бараа борлуулсан, үйлчилгээ үзүүлсэний орлого</v>
      </c>
      <c r="P298" s="81"/>
      <c r="Q298" s="152">
        <f t="shared" si="23"/>
        <v>1</v>
      </c>
    </row>
    <row r="299" spans="2:17">
      <c r="B299" s="670">
        <f t="shared" si="24"/>
        <v>294</v>
      </c>
      <c r="C299" s="433">
        <v>42772</v>
      </c>
      <c r="D299" s="598" t="s">
        <v>1741</v>
      </c>
      <c r="E299" s="572">
        <v>320100</v>
      </c>
      <c r="F299" s="672" t="str">
        <f>IFERROR(VLOOKUP(E299,STAT1!$C$4:$D$1000,2,FALSE),"")</f>
        <v>Урьдчилж орсон орлого MNT</v>
      </c>
      <c r="G299" s="377">
        <v>0</v>
      </c>
      <c r="H299" s="377">
        <v>255750</v>
      </c>
      <c r="I299" s="596">
        <f t="shared" si="22"/>
        <v>0</v>
      </c>
      <c r="J299" s="81">
        <f t="shared" si="26"/>
        <v>0</v>
      </c>
      <c r="K299" s="81"/>
      <c r="L299" s="597">
        <v>3007</v>
      </c>
      <c r="M299" s="81" t="str">
        <f>+IFERROR(VLOOKUP(L299,DATA!$G$4:$H$2000,2,FALSE),"")</f>
        <v xml:space="preserve">АЯНЧИН АУТФИТТЕРС ХХК </v>
      </c>
      <c r="N299" s="435"/>
      <c r="O299" s="81" t="str">
        <f>IFERROR(VLOOKUP(N299,DATA!$K$4:$L$51,2,FALSE),"")</f>
        <v/>
      </c>
      <c r="P299" s="81"/>
      <c r="Q299" s="152">
        <f t="shared" si="23"/>
        <v>0</v>
      </c>
    </row>
    <row r="300" spans="2:17">
      <c r="B300" s="670">
        <f t="shared" si="24"/>
        <v>295</v>
      </c>
      <c r="C300" s="433">
        <v>42772</v>
      </c>
      <c r="D300" s="598" t="s">
        <v>1752</v>
      </c>
      <c r="E300" s="572">
        <v>706000</v>
      </c>
      <c r="F300" s="672" t="str">
        <f>IFERROR(VLOOKUP(E300,STAT1!$C$4:$D$1000,2,FALSE),"")</f>
        <v>Бусад зардал</v>
      </c>
      <c r="G300" s="377">
        <v>1090909.0900000001</v>
      </c>
      <c r="H300" s="377">
        <v>0</v>
      </c>
      <c r="I300" s="596">
        <f t="shared" si="22"/>
        <v>0</v>
      </c>
      <c r="J300" s="81">
        <f t="shared" si="26"/>
        <v>0</v>
      </c>
      <c r="K300" s="81"/>
      <c r="L300" s="597">
        <v>2007</v>
      </c>
      <c r="M300" s="81" t="str">
        <f>+IFERROR(VLOOKUP(L300,DATA!$G$4:$H$2000,2,FALSE),"")</f>
        <v xml:space="preserve">МХБИРЖ -ТӨХК </v>
      </c>
      <c r="N300" s="435"/>
      <c r="O300" s="81" t="str">
        <f>IFERROR(VLOOKUP(N300,DATA!$K$4:$L$51,2,FALSE),"")</f>
        <v/>
      </c>
      <c r="P300" s="81"/>
      <c r="Q300" s="152">
        <f t="shared" si="23"/>
        <v>0</v>
      </c>
    </row>
    <row r="301" spans="2:17">
      <c r="B301" s="670">
        <f t="shared" si="24"/>
        <v>296</v>
      </c>
      <c r="C301" s="433">
        <v>42772</v>
      </c>
      <c r="D301" s="598" t="s">
        <v>1752</v>
      </c>
      <c r="E301" s="572">
        <v>120600</v>
      </c>
      <c r="F301" s="672" t="str">
        <f>IFERROR(VLOOKUP(E301,STAT1!$C$4:$D$1000,2,FALSE),"")</f>
        <v>НӨАТ авлага</v>
      </c>
      <c r="G301" s="377">
        <v>109090.91</v>
      </c>
      <c r="H301" s="377">
        <v>0</v>
      </c>
      <c r="I301" s="596">
        <f t="shared" si="22"/>
        <v>0</v>
      </c>
      <c r="J301" s="81">
        <f t="shared" si="26"/>
        <v>0</v>
      </c>
      <c r="K301" s="81"/>
      <c r="L301" s="597">
        <v>2007</v>
      </c>
      <c r="M301" s="81" t="str">
        <f>+IFERROR(VLOOKUP(L301,DATA!$G$4:$H$2000,2,FALSE),"")</f>
        <v xml:space="preserve">МХБИРЖ -ТӨХК </v>
      </c>
      <c r="N301" s="435"/>
      <c r="O301" s="81" t="str">
        <f>IFERROR(VLOOKUP(N301,DATA!$K$4:$L$51,2,FALSE),"")</f>
        <v/>
      </c>
      <c r="P301" s="81"/>
      <c r="Q301" s="152">
        <f t="shared" si="23"/>
        <v>0</v>
      </c>
    </row>
    <row r="302" spans="2:17">
      <c r="B302" s="670">
        <f t="shared" si="24"/>
        <v>297</v>
      </c>
      <c r="C302" s="433">
        <v>42772</v>
      </c>
      <c r="D302" s="598" t="s">
        <v>1752</v>
      </c>
      <c r="E302" s="572">
        <v>110100</v>
      </c>
      <c r="F302" s="672" t="str">
        <f>IFERROR(VLOOKUP(E302,STAT1!$C$4:$D$1000,2,FALSE),"")</f>
        <v>Хаан Банк 5024654020</v>
      </c>
      <c r="G302" s="377"/>
      <c r="H302" s="377">
        <v>1200000</v>
      </c>
      <c r="I302" s="596">
        <f t="shared" si="22"/>
        <v>-1200000</v>
      </c>
      <c r="J302" s="81">
        <f t="shared" si="26"/>
        <v>0</v>
      </c>
      <c r="K302" s="81"/>
      <c r="L302" s="597">
        <v>2007</v>
      </c>
      <c r="M302" s="81" t="str">
        <f>+IFERROR(VLOOKUP(L302,DATA!$G$4:$H$2000,2,FALSE),"")</f>
        <v xml:space="preserve">МХБИРЖ -ТӨХК </v>
      </c>
      <c r="N302" s="435">
        <v>59</v>
      </c>
      <c r="O302" s="81" t="str">
        <f>IFERROR(VLOOKUP(N302,DATA!$K$4:$L$51,2,FALSE),"")</f>
        <v>Бусад мөнгөн зарлага</v>
      </c>
      <c r="P302" s="81"/>
      <c r="Q302" s="152">
        <f t="shared" si="23"/>
        <v>1</v>
      </c>
    </row>
    <row r="303" spans="2:17">
      <c r="B303" s="670">
        <f t="shared" si="24"/>
        <v>298</v>
      </c>
      <c r="C303" s="433">
        <v>42775</v>
      </c>
      <c r="D303" s="377" t="s">
        <v>1355</v>
      </c>
      <c r="E303" s="572">
        <v>100100</v>
      </c>
      <c r="F303" s="672" t="str">
        <f>IFERROR(VLOOKUP(E303,STAT1!$C$4:$D$1000,2,FALSE),"")</f>
        <v>Касс мөнгө MNT</v>
      </c>
      <c r="G303" s="377"/>
      <c r="H303" s="377">
        <v>30000</v>
      </c>
      <c r="I303" s="596">
        <f t="shared" si="22"/>
        <v>-30000</v>
      </c>
      <c r="J303" s="81">
        <f t="shared" si="26"/>
        <v>0</v>
      </c>
      <c r="K303" s="81"/>
      <c r="L303" s="597">
        <v>1003</v>
      </c>
      <c r="M303" s="81" t="str">
        <f>+IFERROR(VLOOKUP(L303,DATA!$G$4:$H$2000,2,FALSE),"")</f>
        <v>Бахдамдэмбэрэл</v>
      </c>
      <c r="N303" s="435">
        <v>55</v>
      </c>
      <c r="O303" s="81" t="str">
        <f>IFERROR(VLOOKUP(N303,DATA!$K$4:$L$51,2,FALSE),"")</f>
        <v>Түлш, шатахуун, тээврийн хөлс, сэлбэг хэрэгсэлд төлсөн</v>
      </c>
      <c r="P303" s="81"/>
      <c r="Q303" s="152">
        <f t="shared" si="23"/>
        <v>1</v>
      </c>
    </row>
    <row r="304" spans="2:17">
      <c r="B304" s="670">
        <f t="shared" si="24"/>
        <v>299</v>
      </c>
      <c r="C304" s="433">
        <v>42775</v>
      </c>
      <c r="D304" s="377" t="s">
        <v>1355</v>
      </c>
      <c r="E304" s="572">
        <v>702000</v>
      </c>
      <c r="F304" s="672" t="str">
        <f>IFERROR(VLOOKUP(E304,STAT1!$C$4:$D$1000,2,FALSE),"")</f>
        <v>Түлш, шатахуун</v>
      </c>
      <c r="G304" s="377">
        <v>30000</v>
      </c>
      <c r="H304" s="377">
        <v>0</v>
      </c>
      <c r="I304" s="596">
        <f t="shared" si="22"/>
        <v>0</v>
      </c>
      <c r="J304" s="81">
        <f t="shared" si="26"/>
        <v>0</v>
      </c>
      <c r="K304" s="81"/>
      <c r="L304" s="597">
        <v>1003</v>
      </c>
      <c r="M304" s="81" t="str">
        <f>+IFERROR(VLOOKUP(L304,DATA!$G$4:$H$2000,2,FALSE),"")</f>
        <v>Бахдамдэмбэрэл</v>
      </c>
      <c r="N304" s="435"/>
      <c r="O304" s="81" t="str">
        <f>IFERROR(VLOOKUP(N304,DATA!$K$4:$L$51,2,FALSE),"")</f>
        <v/>
      </c>
      <c r="P304" s="81"/>
      <c r="Q304" s="152">
        <f t="shared" si="23"/>
        <v>0</v>
      </c>
    </row>
    <row r="305" spans="1:17">
      <c r="B305" s="670">
        <f t="shared" si="24"/>
        <v>300</v>
      </c>
      <c r="C305" s="433">
        <v>42778</v>
      </c>
      <c r="D305" s="377" t="s">
        <v>1355</v>
      </c>
      <c r="E305" s="572">
        <v>100100</v>
      </c>
      <c r="F305" s="672" t="str">
        <f>IFERROR(VLOOKUP(E305,STAT1!$C$4:$D$1000,2,FALSE),"")</f>
        <v>Касс мөнгө MNT</v>
      </c>
      <c r="G305" s="377"/>
      <c r="H305" s="377">
        <v>102400</v>
      </c>
      <c r="I305" s="596">
        <f t="shared" si="22"/>
        <v>-102400</v>
      </c>
      <c r="J305" s="81">
        <f t="shared" si="26"/>
        <v>0</v>
      </c>
      <c r="K305" s="81"/>
      <c r="L305" s="597">
        <v>1007</v>
      </c>
      <c r="M305" s="81" t="str">
        <f>+IFERROR(VLOOKUP(L305,DATA!$G$4:$H$2000,2,FALSE),"")</f>
        <v xml:space="preserve">Нэргүй </v>
      </c>
      <c r="N305" s="435">
        <v>55</v>
      </c>
      <c r="O305" s="81" t="str">
        <f>IFERROR(VLOOKUP(N305,DATA!$K$4:$L$51,2,FALSE),"")</f>
        <v>Түлш, шатахуун, тээврийн хөлс, сэлбэг хэрэгсэлд төлсөн</v>
      </c>
      <c r="P305" s="81"/>
      <c r="Q305" s="152">
        <f t="shared" si="23"/>
        <v>1</v>
      </c>
    </row>
    <row r="306" spans="1:17">
      <c r="B306" s="670">
        <f t="shared" si="24"/>
        <v>301</v>
      </c>
      <c r="C306" s="433">
        <v>42778</v>
      </c>
      <c r="D306" s="377" t="s">
        <v>1355</v>
      </c>
      <c r="E306" s="572">
        <v>702000</v>
      </c>
      <c r="F306" s="672" t="str">
        <f>IFERROR(VLOOKUP(E306,STAT1!$C$4:$D$1000,2,FALSE),"")</f>
        <v>Түлш, шатахуун</v>
      </c>
      <c r="G306" s="377">
        <v>102400</v>
      </c>
      <c r="H306" s="377">
        <v>0</v>
      </c>
      <c r="I306" s="596">
        <f t="shared" si="22"/>
        <v>0</v>
      </c>
      <c r="J306" s="81">
        <f t="shared" si="26"/>
        <v>0</v>
      </c>
      <c r="K306" s="81"/>
      <c r="L306" s="597">
        <v>1007</v>
      </c>
      <c r="M306" s="81" t="str">
        <f>+IFERROR(VLOOKUP(L306,DATA!$G$4:$H$2000,2,FALSE),"")</f>
        <v xml:space="preserve">Нэргүй </v>
      </c>
      <c r="N306" s="435"/>
      <c r="O306" s="81" t="str">
        <f>IFERROR(VLOOKUP(N306,DATA!$K$4:$L$51,2,FALSE),"")</f>
        <v/>
      </c>
      <c r="P306" s="81"/>
      <c r="Q306" s="152">
        <f t="shared" si="23"/>
        <v>0</v>
      </c>
    </row>
    <row r="307" spans="1:17">
      <c r="B307" s="670">
        <f t="shared" si="24"/>
        <v>302</v>
      </c>
      <c r="C307" s="601">
        <v>42779</v>
      </c>
      <c r="D307" s="372" t="s">
        <v>1640</v>
      </c>
      <c r="E307" s="572">
        <v>160100</v>
      </c>
      <c r="F307" s="672" t="str">
        <f>IFERROR(VLOOKUP(E307,STAT1!$C$4:$D$1000,2,FALSE),"")</f>
        <v xml:space="preserve">Барилгын материал </v>
      </c>
      <c r="G307" s="431">
        <v>319999.99949999998</v>
      </c>
      <c r="H307" s="430"/>
      <c r="I307" s="596">
        <f t="shared" si="22"/>
        <v>0</v>
      </c>
      <c r="J307" s="81">
        <f t="shared" si="26"/>
        <v>0</v>
      </c>
      <c r="K307" s="432"/>
      <c r="L307" s="597">
        <v>3017</v>
      </c>
      <c r="M307" s="81" t="str">
        <f>+IFERROR(VLOOKUP(L307,DATA!$G$4:$H$2000,2,FALSE),"")</f>
        <v xml:space="preserve">ВОС ХХК </v>
      </c>
      <c r="N307" s="435"/>
      <c r="O307" s="81" t="str">
        <f>IFERROR(VLOOKUP(N307,DATA!$K$4:$L$51,2,FALSE),"")</f>
        <v/>
      </c>
      <c r="P307" s="81"/>
      <c r="Q307" s="152">
        <f t="shared" si="23"/>
        <v>0</v>
      </c>
    </row>
    <row r="308" spans="1:17">
      <c r="B308" s="670">
        <f t="shared" si="24"/>
        <v>303</v>
      </c>
      <c r="C308" s="601">
        <v>42779</v>
      </c>
      <c r="D308" s="372" t="s">
        <v>587</v>
      </c>
      <c r="E308" s="572">
        <v>120600</v>
      </c>
      <c r="F308" s="672" t="str">
        <f>IFERROR(VLOOKUP(E308,STAT1!$C$4:$D$1000,2,FALSE),"")</f>
        <v>НӨАТ авлага</v>
      </c>
      <c r="G308" s="431">
        <v>31999.999949999998</v>
      </c>
      <c r="H308" s="430"/>
      <c r="I308" s="596">
        <f t="shared" si="22"/>
        <v>0</v>
      </c>
      <c r="J308" s="81">
        <f t="shared" si="26"/>
        <v>0</v>
      </c>
      <c r="K308" s="432"/>
      <c r="L308" s="597">
        <v>3017</v>
      </c>
      <c r="M308" s="81" t="str">
        <f>+IFERROR(VLOOKUP(L308,DATA!$G$4:$H$2000,2,FALSE),"")</f>
        <v xml:space="preserve">ВОС ХХК </v>
      </c>
      <c r="N308" s="435"/>
      <c r="O308" s="81" t="str">
        <f>IFERROR(VLOOKUP(N308,DATA!$K$4:$L$51,2,FALSE),"")</f>
        <v/>
      </c>
      <c r="P308" s="81"/>
      <c r="Q308" s="152">
        <f t="shared" si="23"/>
        <v>0</v>
      </c>
    </row>
    <row r="309" spans="1:17">
      <c r="B309" s="670">
        <f t="shared" si="24"/>
        <v>304</v>
      </c>
      <c r="C309" s="601">
        <v>42779</v>
      </c>
      <c r="D309" s="372" t="s">
        <v>587</v>
      </c>
      <c r="E309" s="572">
        <v>120100</v>
      </c>
      <c r="F309" s="672" t="str">
        <f>IFERROR(VLOOKUP(E309,STAT1!$C$4:$D$1000,2,FALSE),"")</f>
        <v xml:space="preserve">Дансны авлага MNT </v>
      </c>
      <c r="G309" s="430"/>
      <c r="H309" s="431">
        <v>352000</v>
      </c>
      <c r="I309" s="596">
        <f t="shared" si="22"/>
        <v>0</v>
      </c>
      <c r="J309" s="81">
        <f t="shared" si="26"/>
        <v>0</v>
      </c>
      <c r="K309" s="432"/>
      <c r="L309" s="597">
        <v>3017</v>
      </c>
      <c r="M309" s="81" t="str">
        <f>+IFERROR(VLOOKUP(L309,DATA!$G$4:$H$2000,2,FALSE),"")</f>
        <v xml:space="preserve">ВОС ХХК </v>
      </c>
      <c r="N309" s="435"/>
      <c r="O309" s="81" t="str">
        <f>IFERROR(VLOOKUP(N309,DATA!$K$4:$L$51,2,FALSE),"")</f>
        <v/>
      </c>
      <c r="P309" s="81"/>
      <c r="Q309" s="152">
        <f t="shared" si="23"/>
        <v>0</v>
      </c>
    </row>
    <row r="310" spans="1:17">
      <c r="B310" s="670">
        <f t="shared" si="24"/>
        <v>305</v>
      </c>
      <c r="C310" s="601">
        <v>42779</v>
      </c>
      <c r="D310" s="372" t="s">
        <v>1637</v>
      </c>
      <c r="E310" s="572">
        <v>160100</v>
      </c>
      <c r="F310" s="672" t="str">
        <f>IFERROR(VLOOKUP(E310,STAT1!$C$4:$D$1000,2,FALSE),"")</f>
        <v xml:space="preserve">Барилгын материал </v>
      </c>
      <c r="G310" s="431">
        <v>68000</v>
      </c>
      <c r="H310" s="430"/>
      <c r="I310" s="596">
        <f t="shared" si="22"/>
        <v>0</v>
      </c>
      <c r="J310" s="81">
        <f t="shared" si="26"/>
        <v>0</v>
      </c>
      <c r="K310" s="432"/>
      <c r="L310" s="597">
        <v>3017</v>
      </c>
      <c r="M310" s="81" t="str">
        <f>+IFERROR(VLOOKUP(L310,DATA!$G$4:$H$2000,2,FALSE),"")</f>
        <v xml:space="preserve">ВОС ХХК </v>
      </c>
      <c r="N310" s="435"/>
      <c r="O310" s="81" t="str">
        <f>IFERROR(VLOOKUP(N310,DATA!$K$4:$L$51,2,FALSE),"")</f>
        <v/>
      </c>
      <c r="P310" s="81"/>
      <c r="Q310" s="152">
        <f t="shared" si="23"/>
        <v>0</v>
      </c>
    </row>
    <row r="311" spans="1:17">
      <c r="B311" s="670">
        <f t="shared" si="24"/>
        <v>306</v>
      </c>
      <c r="C311" s="601">
        <v>42779</v>
      </c>
      <c r="D311" s="372" t="s">
        <v>587</v>
      </c>
      <c r="E311" s="572">
        <v>120600</v>
      </c>
      <c r="F311" s="672" t="str">
        <f>IFERROR(VLOOKUP(E311,STAT1!$C$4:$D$1000,2,FALSE),"")</f>
        <v>НӨАТ авлага</v>
      </c>
      <c r="G311" s="431">
        <v>6800</v>
      </c>
      <c r="H311" s="430"/>
      <c r="I311" s="596">
        <f t="shared" si="22"/>
        <v>0</v>
      </c>
      <c r="J311" s="81">
        <f t="shared" si="26"/>
        <v>0</v>
      </c>
      <c r="K311" s="432"/>
      <c r="L311" s="597">
        <v>3017</v>
      </c>
      <c r="M311" s="81" t="str">
        <f>+IFERROR(VLOOKUP(L311,DATA!$G$4:$H$2000,2,FALSE),"")</f>
        <v xml:space="preserve">ВОС ХХК </v>
      </c>
      <c r="N311" s="435"/>
      <c r="O311" s="81" t="str">
        <f>IFERROR(VLOOKUP(N311,DATA!$K$4:$L$51,2,FALSE),"")</f>
        <v/>
      </c>
      <c r="P311" s="81"/>
      <c r="Q311" s="152">
        <f t="shared" si="23"/>
        <v>0</v>
      </c>
    </row>
    <row r="312" spans="1:17">
      <c r="B312" s="670">
        <f t="shared" si="24"/>
        <v>307</v>
      </c>
      <c r="C312" s="601">
        <v>42779</v>
      </c>
      <c r="D312" s="372" t="s">
        <v>587</v>
      </c>
      <c r="E312" s="572">
        <v>120100</v>
      </c>
      <c r="F312" s="672" t="str">
        <f>IFERROR(VLOOKUP(E312,STAT1!$C$4:$D$1000,2,FALSE),"")</f>
        <v xml:space="preserve">Дансны авлага MNT </v>
      </c>
      <c r="G312" s="430"/>
      <c r="H312" s="431">
        <v>74800</v>
      </c>
      <c r="I312" s="596">
        <f t="shared" si="22"/>
        <v>0</v>
      </c>
      <c r="J312" s="81">
        <f t="shared" si="26"/>
        <v>0</v>
      </c>
      <c r="K312" s="432"/>
      <c r="L312" s="597">
        <v>3017</v>
      </c>
      <c r="M312" s="81" t="str">
        <f>+IFERROR(VLOOKUP(L312,DATA!$G$4:$H$2000,2,FALSE),"")</f>
        <v xml:space="preserve">ВОС ХХК </v>
      </c>
      <c r="N312" s="435"/>
      <c r="O312" s="81" t="str">
        <f>IFERROR(VLOOKUP(N312,DATA!$K$4:$L$51,2,FALSE),"")</f>
        <v/>
      </c>
      <c r="P312" s="81"/>
      <c r="Q312" s="152">
        <f t="shared" si="23"/>
        <v>0</v>
      </c>
    </row>
    <row r="313" spans="1:17">
      <c r="B313" s="670">
        <f t="shared" si="24"/>
        <v>308</v>
      </c>
      <c r="C313" s="433">
        <v>42779</v>
      </c>
      <c r="D313" s="377" t="s">
        <v>1355</v>
      </c>
      <c r="E313" s="572">
        <v>100100</v>
      </c>
      <c r="F313" s="672" t="str">
        <f>IFERROR(VLOOKUP(E313,STAT1!$C$4:$D$1000,2,FALSE),"")</f>
        <v>Касс мөнгө MNT</v>
      </c>
      <c r="G313" s="377"/>
      <c r="H313" s="377">
        <v>34400</v>
      </c>
      <c r="I313" s="596">
        <f t="shared" si="22"/>
        <v>-34400</v>
      </c>
      <c r="J313" s="81">
        <f t="shared" si="26"/>
        <v>0</v>
      </c>
      <c r="K313" s="81"/>
      <c r="L313" s="597">
        <v>3017</v>
      </c>
      <c r="M313" s="81" t="str">
        <f>+IFERROR(VLOOKUP(L313,DATA!$G$4:$H$2000,2,FALSE),"")</f>
        <v xml:space="preserve">ВОС ХХК </v>
      </c>
      <c r="N313" s="435">
        <v>55</v>
      </c>
      <c r="O313" s="81" t="str">
        <f>IFERROR(VLOOKUP(N313,DATA!$K$4:$L$51,2,FALSE),"")</f>
        <v>Түлш, шатахуун, тээврийн хөлс, сэлбэг хэрэгсэлд төлсөн</v>
      </c>
      <c r="P313" s="81"/>
      <c r="Q313" s="152">
        <f t="shared" si="23"/>
        <v>1</v>
      </c>
    </row>
    <row r="314" spans="1:17">
      <c r="B314" s="670">
        <f t="shared" si="24"/>
        <v>309</v>
      </c>
      <c r="C314" s="433">
        <v>42779</v>
      </c>
      <c r="D314" s="377" t="s">
        <v>1355</v>
      </c>
      <c r="E314" s="572">
        <v>702000</v>
      </c>
      <c r="F314" s="672" t="str">
        <f>IFERROR(VLOOKUP(E314,STAT1!$C$4:$D$1000,2,FALSE),"")</f>
        <v>Түлш, шатахуун</v>
      </c>
      <c r="G314" s="377">
        <v>34400</v>
      </c>
      <c r="H314" s="377"/>
      <c r="I314" s="596">
        <f t="shared" si="22"/>
        <v>0</v>
      </c>
      <c r="J314" s="81"/>
      <c r="K314" s="81"/>
      <c r="L314" s="597">
        <v>3017</v>
      </c>
      <c r="M314" s="81" t="str">
        <f>+IFERROR(VLOOKUP(L314,DATA!$G$4:$H$2000,2,FALSE),"")</f>
        <v xml:space="preserve">ВОС ХХК </v>
      </c>
      <c r="N314" s="435"/>
      <c r="O314" s="81"/>
      <c r="P314" s="81"/>
      <c r="Q314" s="152">
        <f t="shared" si="23"/>
        <v>0</v>
      </c>
    </row>
    <row r="315" spans="1:17">
      <c r="B315" s="670">
        <f t="shared" si="24"/>
        <v>310</v>
      </c>
      <c r="C315" s="433">
        <v>42779</v>
      </c>
      <c r="D315" s="377" t="s">
        <v>1728</v>
      </c>
      <c r="E315" s="572">
        <v>100100</v>
      </c>
      <c r="F315" s="672" t="str">
        <f>IFERROR(VLOOKUP(E315,STAT1!$C$4:$D$1000,2,FALSE),"")</f>
        <v>Касс мөнгө MNT</v>
      </c>
      <c r="G315" s="377"/>
      <c r="H315" s="377">
        <v>352000</v>
      </c>
      <c r="I315" s="596">
        <f t="shared" si="22"/>
        <v>-352000</v>
      </c>
      <c r="J315" s="81"/>
      <c r="K315" s="81"/>
      <c r="L315" s="597">
        <v>3017</v>
      </c>
      <c r="M315" s="81" t="str">
        <f>+IFERROR(VLOOKUP(L315,DATA!$G$4:$H$2000,2,FALSE),"")</f>
        <v xml:space="preserve">ВОС ХХК </v>
      </c>
      <c r="N315" s="435">
        <v>53</v>
      </c>
      <c r="O315" s="81" t="str">
        <f>IFERROR(VLOOKUP(N315,DATA!$K$4:$L$51,2,FALSE),"")</f>
        <v>Бараа материал худалдан авахад төлсөн</v>
      </c>
      <c r="P315" s="81"/>
      <c r="Q315" s="152">
        <f t="shared" si="23"/>
        <v>1</v>
      </c>
    </row>
    <row r="316" spans="1:17">
      <c r="A316" s="599"/>
      <c r="B316" s="670">
        <f t="shared" si="24"/>
        <v>311</v>
      </c>
      <c r="C316" s="433">
        <v>42779</v>
      </c>
      <c r="D316" s="377" t="s">
        <v>1728</v>
      </c>
      <c r="E316" s="572">
        <v>120100</v>
      </c>
      <c r="F316" s="672" t="str">
        <f>IFERROR(VLOOKUP(E316,STAT1!$C$4:$D$1000,2,FALSE),"")</f>
        <v xml:space="preserve">Дансны авлага MNT </v>
      </c>
      <c r="G316" s="377">
        <v>352000</v>
      </c>
      <c r="H316" s="377">
        <v>0</v>
      </c>
      <c r="I316" s="596">
        <f t="shared" si="22"/>
        <v>0</v>
      </c>
      <c r="J316" s="81">
        <f>+IF(E316=110102,I316/K316,0)</f>
        <v>0</v>
      </c>
      <c r="K316" s="81"/>
      <c r="L316" s="597">
        <v>3017</v>
      </c>
      <c r="M316" s="81" t="str">
        <f>+IFERROR(VLOOKUP(L316,DATA!$G$4:$H$2000,2,FALSE),"")</f>
        <v xml:space="preserve">ВОС ХХК </v>
      </c>
      <c r="N316" s="435"/>
      <c r="O316" s="81" t="str">
        <f>IFERROR(VLOOKUP(N316,DATA!$K$4:$L$51,2,FALSE),"")</f>
        <v/>
      </c>
      <c r="P316" s="81"/>
      <c r="Q316" s="152">
        <f t="shared" si="23"/>
        <v>0</v>
      </c>
    </row>
    <row r="317" spans="1:17">
      <c r="A317" s="599"/>
      <c r="B317" s="670">
        <f t="shared" si="24"/>
        <v>312</v>
      </c>
      <c r="C317" s="433">
        <v>42779</v>
      </c>
      <c r="D317" s="377" t="s">
        <v>1709</v>
      </c>
      <c r="E317" s="572">
        <v>100100</v>
      </c>
      <c r="F317" s="672" t="str">
        <f>IFERROR(VLOOKUP(E317,STAT1!$C$4:$D$1000,2,FALSE),"")</f>
        <v>Касс мөнгө MNT</v>
      </c>
      <c r="G317" s="377"/>
      <c r="H317" s="377">
        <v>74800</v>
      </c>
      <c r="I317" s="596">
        <f t="shared" si="22"/>
        <v>-74800</v>
      </c>
      <c r="J317" s="81">
        <f>+IF(E317=110102,I317/K317,0)</f>
        <v>0</v>
      </c>
      <c r="K317" s="81"/>
      <c r="L317" s="597">
        <v>3017</v>
      </c>
      <c r="M317" s="81" t="str">
        <f>+IFERROR(VLOOKUP(L317,DATA!$G$4:$H$2000,2,FALSE),"")</f>
        <v xml:space="preserve">ВОС ХХК </v>
      </c>
      <c r="N317" s="435">
        <v>53</v>
      </c>
      <c r="O317" s="81" t="str">
        <f>IFERROR(VLOOKUP(N317,DATA!$K$4:$L$51,2,FALSE),"")</f>
        <v>Бараа материал худалдан авахад төлсөн</v>
      </c>
      <c r="P317" s="81"/>
      <c r="Q317" s="152">
        <f t="shared" si="23"/>
        <v>1</v>
      </c>
    </row>
    <row r="318" spans="1:17">
      <c r="A318" s="599"/>
      <c r="B318" s="670">
        <f t="shared" si="24"/>
        <v>313</v>
      </c>
      <c r="C318" s="433">
        <v>42779</v>
      </c>
      <c r="D318" s="377" t="s">
        <v>1709</v>
      </c>
      <c r="E318" s="572">
        <v>120100</v>
      </c>
      <c r="F318" s="672" t="str">
        <f>IFERROR(VLOOKUP(E318,STAT1!$C$4:$D$1000,2,FALSE),"")</f>
        <v xml:space="preserve">Дансны авлага MNT </v>
      </c>
      <c r="G318" s="377">
        <v>74800</v>
      </c>
      <c r="H318" s="377">
        <v>0</v>
      </c>
      <c r="I318" s="596">
        <f t="shared" si="22"/>
        <v>0</v>
      </c>
      <c r="J318" s="81">
        <f>+IF(E318=110102,I318/K318,0)</f>
        <v>0</v>
      </c>
      <c r="K318" s="81"/>
      <c r="L318" s="597">
        <v>3017</v>
      </c>
      <c r="M318" s="81" t="str">
        <f>+IFERROR(VLOOKUP(L318,DATA!$G$4:$H$2000,2,FALSE),"")</f>
        <v xml:space="preserve">ВОС ХХК </v>
      </c>
      <c r="N318" s="435"/>
      <c r="O318" s="81" t="str">
        <f>IFERROR(VLOOKUP(N318,DATA!$K$4:$L$51,2,FALSE),"")</f>
        <v/>
      </c>
      <c r="P318" s="81"/>
      <c r="Q318" s="152">
        <f t="shared" si="23"/>
        <v>0</v>
      </c>
    </row>
    <row r="319" spans="1:17">
      <c r="A319" s="599"/>
      <c r="B319" s="670">
        <f t="shared" si="24"/>
        <v>314</v>
      </c>
      <c r="C319" s="433">
        <v>42781</v>
      </c>
      <c r="D319" s="377" t="s">
        <v>2685</v>
      </c>
      <c r="E319" s="673">
        <v>150101</v>
      </c>
      <c r="F319" s="672" t="str">
        <f>IFERROR(VLOOKUP(E319,STAT1!$C$4:$D$1000,2,FALSE),"")</f>
        <v>Бараа бэлэн бүтээгдэхүүн БОЛОВСРУУЛАХ ЦЕХ /нарс/</v>
      </c>
      <c r="G319" s="377"/>
      <c r="H319" s="377">
        <v>33390.384999999995</v>
      </c>
      <c r="I319" s="596">
        <f t="shared" si="22"/>
        <v>0</v>
      </c>
      <c r="J319" s="81">
        <f>+IF(E319=110102,I319/K319,0)</f>
        <v>0</v>
      </c>
      <c r="K319" s="81"/>
      <c r="L319" s="597">
        <v>3014</v>
      </c>
      <c r="M319" s="81" t="str">
        <f>+IFERROR(VLOOKUP(L319,DATA!$G$4:$H$2000,2,FALSE),"")</f>
        <v xml:space="preserve">БОЛОР ШИЛЭН ТОЛЬ ХХК </v>
      </c>
      <c r="N319" s="435"/>
      <c r="O319" s="81" t="str">
        <f>IFERROR(VLOOKUP(N319,DATA!$K$4:$L$51,2,FALSE),"")</f>
        <v/>
      </c>
      <c r="P319" s="81"/>
      <c r="Q319" s="152">
        <f t="shared" si="23"/>
        <v>0</v>
      </c>
    </row>
    <row r="320" spans="1:17">
      <c r="A320" s="599"/>
      <c r="B320" s="670">
        <f t="shared" si="24"/>
        <v>315</v>
      </c>
      <c r="C320" s="433">
        <v>42781</v>
      </c>
      <c r="D320" s="377"/>
      <c r="E320" s="674">
        <v>610100</v>
      </c>
      <c r="F320" s="672" t="str">
        <f>IFERROR(VLOOKUP(E320,STAT1!$C$4:$D$1000,2,FALSE),"")</f>
        <v>Борлуулсан барааны өртөг</v>
      </c>
      <c r="G320" s="377">
        <v>33390.384999999995</v>
      </c>
      <c r="H320" s="377"/>
      <c r="I320" s="596">
        <f t="shared" si="22"/>
        <v>0</v>
      </c>
      <c r="J320" s="81"/>
      <c r="K320" s="81"/>
      <c r="L320" s="597">
        <v>3014</v>
      </c>
      <c r="M320" s="81" t="str">
        <f>+IFERROR(VLOOKUP(L320,DATA!$G$4:$H$2000,2,FALSE),"")</f>
        <v xml:space="preserve">БОЛОР ШИЛЭН ТОЛЬ ХХК </v>
      </c>
      <c r="N320" s="435"/>
      <c r="O320" s="81"/>
      <c r="P320" s="81"/>
      <c r="Q320" s="152">
        <f t="shared" si="23"/>
        <v>0</v>
      </c>
    </row>
    <row r="321" spans="1:17">
      <c r="A321" s="599"/>
      <c r="B321" s="670">
        <f t="shared" si="24"/>
        <v>316</v>
      </c>
      <c r="C321" s="433">
        <v>42781</v>
      </c>
      <c r="D321" s="377" t="s">
        <v>587</v>
      </c>
      <c r="E321" s="674">
        <v>310500</v>
      </c>
      <c r="F321" s="672" t="str">
        <f>IFERROR(VLOOKUP(E321,STAT1!$C$4:$D$1000,2,FALSE),"")</f>
        <v>НӨАТ өглөг</v>
      </c>
      <c r="G321" s="377"/>
      <c r="H321" s="377">
        <v>6300</v>
      </c>
      <c r="I321" s="596">
        <f t="shared" si="22"/>
        <v>0</v>
      </c>
      <c r="J321" s="81">
        <f t="shared" ref="J321:J338" si="27">+IF(E321=110102,I321/K321,0)</f>
        <v>0</v>
      </c>
      <c r="K321" s="81"/>
      <c r="L321" s="597">
        <v>3014</v>
      </c>
      <c r="M321" s="81" t="str">
        <f>+IFERROR(VLOOKUP(L321,DATA!$G$4:$H$2000,2,FALSE),"")</f>
        <v xml:space="preserve">БОЛОР ШИЛЭН ТОЛЬ ХХК </v>
      </c>
      <c r="N321" s="435"/>
      <c r="O321" s="81" t="str">
        <f>IFERROR(VLOOKUP(N321,DATA!$K$4:$L$51,2,FALSE),"")</f>
        <v/>
      </c>
      <c r="P321" s="81"/>
      <c r="Q321" s="152">
        <f t="shared" si="23"/>
        <v>0</v>
      </c>
    </row>
    <row r="322" spans="1:17">
      <c r="A322" s="599"/>
      <c r="B322" s="670">
        <f t="shared" si="24"/>
        <v>317</v>
      </c>
      <c r="C322" s="433">
        <v>42781</v>
      </c>
      <c r="D322" s="377" t="s">
        <v>587</v>
      </c>
      <c r="E322" s="674">
        <v>510000</v>
      </c>
      <c r="F322" s="672" t="str">
        <f>IFERROR(VLOOKUP(E322,STAT1!$C$4:$D$1000,2,FALSE),"")</f>
        <v>Үндсэн үйл ажиллагааны борлуулалт</v>
      </c>
      <c r="G322" s="377"/>
      <c r="H322" s="377">
        <v>63000</v>
      </c>
      <c r="I322" s="596">
        <f t="shared" si="22"/>
        <v>0</v>
      </c>
      <c r="J322" s="81">
        <f t="shared" si="27"/>
        <v>0</v>
      </c>
      <c r="K322" s="81"/>
      <c r="L322" s="597">
        <v>3014</v>
      </c>
      <c r="M322" s="81" t="str">
        <f>+IFERROR(VLOOKUP(L322,DATA!$G$4:$H$2000,2,FALSE),"")</f>
        <v xml:space="preserve">БОЛОР ШИЛЭН ТОЛЬ ХХК </v>
      </c>
      <c r="N322" s="435"/>
      <c r="O322" s="81" t="str">
        <f>IFERROR(VLOOKUP(N322,DATA!$K$4:$L$51,2,FALSE),"")</f>
        <v/>
      </c>
      <c r="P322" s="81"/>
      <c r="Q322" s="152">
        <f t="shared" si="23"/>
        <v>0</v>
      </c>
    </row>
    <row r="323" spans="1:17">
      <c r="A323" s="599"/>
      <c r="B323" s="670">
        <f t="shared" si="24"/>
        <v>318</v>
      </c>
      <c r="C323" s="433">
        <v>42781</v>
      </c>
      <c r="D323" s="377" t="s">
        <v>587</v>
      </c>
      <c r="E323" s="674">
        <v>320100</v>
      </c>
      <c r="F323" s="672" t="str">
        <f>IFERROR(VLOOKUP(E323,STAT1!$C$4:$D$1000,2,FALSE),"")</f>
        <v>Урьдчилж орсон орлого MNT</v>
      </c>
      <c r="G323" s="377">
        <v>69300</v>
      </c>
      <c r="H323" s="377"/>
      <c r="I323" s="596">
        <f t="shared" si="22"/>
        <v>0</v>
      </c>
      <c r="J323" s="81">
        <f t="shared" si="27"/>
        <v>0</v>
      </c>
      <c r="K323" s="81"/>
      <c r="L323" s="597">
        <v>3014</v>
      </c>
      <c r="M323" s="81" t="str">
        <f>+IFERROR(VLOOKUP(L323,DATA!$G$4:$H$2000,2,FALSE),"")</f>
        <v xml:space="preserve">БОЛОР ШИЛЭН ТОЛЬ ХХК </v>
      </c>
      <c r="N323" s="435"/>
      <c r="O323" s="81" t="str">
        <f>IFERROR(VLOOKUP(N323,DATA!$K$4:$L$51,2,FALSE),"")</f>
        <v/>
      </c>
      <c r="P323" s="81"/>
      <c r="Q323" s="152">
        <f t="shared" si="23"/>
        <v>0</v>
      </c>
    </row>
    <row r="324" spans="1:17">
      <c r="A324" s="599"/>
      <c r="B324" s="670">
        <f t="shared" si="24"/>
        <v>319</v>
      </c>
      <c r="C324" s="433">
        <v>42781</v>
      </c>
      <c r="D324" s="377" t="s">
        <v>1742</v>
      </c>
      <c r="E324" s="572">
        <v>110100</v>
      </c>
      <c r="F324" s="672" t="str">
        <f>IFERROR(VLOOKUP(E324,STAT1!$C$4:$D$1000,2,FALSE),"")</f>
        <v>Хаан Банк 5024654020</v>
      </c>
      <c r="G324" s="377"/>
      <c r="H324" s="377">
        <v>15600000</v>
      </c>
      <c r="I324" s="596">
        <f t="shared" si="22"/>
        <v>-15600000</v>
      </c>
      <c r="J324" s="81">
        <f t="shared" si="27"/>
        <v>0</v>
      </c>
      <c r="K324" s="81"/>
      <c r="L324" s="597">
        <v>1005</v>
      </c>
      <c r="M324" s="81" t="str">
        <f>+IFERROR(VLOOKUP(L324,DATA!$G$4:$H$2000,2,FALSE),"")</f>
        <v>Золжаргал</v>
      </c>
      <c r="N324" s="435"/>
      <c r="O324" s="81" t="str">
        <f>IFERROR(VLOOKUP(N324,DATA!$K$4:$L$51,2,FALSE),"")</f>
        <v/>
      </c>
      <c r="P324" s="81"/>
      <c r="Q324" s="152">
        <f t="shared" si="23"/>
        <v>1</v>
      </c>
    </row>
    <row r="325" spans="1:17">
      <c r="A325" s="599"/>
      <c r="B325" s="670">
        <f t="shared" si="24"/>
        <v>320</v>
      </c>
      <c r="C325" s="433">
        <v>42781</v>
      </c>
      <c r="D325" s="377" t="s">
        <v>1742</v>
      </c>
      <c r="E325" s="572">
        <v>100100</v>
      </c>
      <c r="F325" s="672" t="str">
        <f>IFERROR(VLOOKUP(E325,STAT1!$C$4:$D$1000,2,FALSE),"")</f>
        <v>Касс мөнгө MNT</v>
      </c>
      <c r="G325" s="377">
        <v>15600000</v>
      </c>
      <c r="H325" s="377">
        <v>0</v>
      </c>
      <c r="I325" s="596">
        <f t="shared" si="22"/>
        <v>15600000</v>
      </c>
      <c r="J325" s="81">
        <f t="shared" si="27"/>
        <v>0</v>
      </c>
      <c r="K325" s="81"/>
      <c r="L325" s="597">
        <v>1005</v>
      </c>
      <c r="M325" s="81" t="str">
        <f>+IFERROR(VLOOKUP(L325,DATA!$G$4:$H$2000,2,FALSE),"")</f>
        <v>Золжаргал</v>
      </c>
      <c r="N325" s="435"/>
      <c r="O325" s="81" t="str">
        <f>IFERROR(VLOOKUP(N325,DATA!$K$4:$L$51,2,FALSE),"")</f>
        <v/>
      </c>
      <c r="P325" s="81"/>
      <c r="Q325" s="152">
        <f t="shared" si="23"/>
        <v>1</v>
      </c>
    </row>
    <row r="326" spans="1:17">
      <c r="A326" s="599"/>
      <c r="B326" s="670">
        <f t="shared" si="24"/>
        <v>321</v>
      </c>
      <c r="C326" s="433">
        <v>42781</v>
      </c>
      <c r="D326" s="598" t="s">
        <v>1741</v>
      </c>
      <c r="E326" s="572">
        <v>110100</v>
      </c>
      <c r="F326" s="672" t="str">
        <f>IFERROR(VLOOKUP(E326,STAT1!$C$4:$D$1000,2,FALSE),"")</f>
        <v>Хаан Банк 5024654020</v>
      </c>
      <c r="G326" s="377">
        <v>13476260</v>
      </c>
      <c r="H326" s="377"/>
      <c r="I326" s="596">
        <f t="shared" ref="I326:I389" si="28">+IF(OR(E326=100100,E326=100200,E326=110100,E326=110102,E326=110103,E326=110104,E326=110105,E326=110200,E326=110201,E326=110202,E326=110203,E326=110204,E326=110300),G326,0)+IF(OR(E326=100100,E326=100200,E326=110100,E326=110102,E326=110103,E326=110104,E326=110105,E326=110200,E326=110201,E326=110202,E326=110203,E326=110204,E326=110300),H326*-1,0)</f>
        <v>13476260</v>
      </c>
      <c r="J326" s="81">
        <f t="shared" si="27"/>
        <v>0</v>
      </c>
      <c r="K326" s="81"/>
      <c r="L326" s="597">
        <v>3002</v>
      </c>
      <c r="M326" s="81" t="str">
        <f>+IFERROR(VLOOKUP(L326,DATA!$G$4:$H$2000,2,FALSE),"")</f>
        <v>ЭКО КОНСТРАКШН ХХК</v>
      </c>
      <c r="N326" s="435">
        <v>41</v>
      </c>
      <c r="O326" s="81" t="str">
        <f>IFERROR(VLOOKUP(N326,DATA!$K$4:$L$51,2,FALSE),"")</f>
        <v>Бараа борлуулсан, үйлчилгээ үзүүлсэний орлого</v>
      </c>
      <c r="P326" s="81"/>
      <c r="Q326" s="152">
        <f t="shared" si="23"/>
        <v>1</v>
      </c>
    </row>
    <row r="327" spans="1:17">
      <c r="A327" s="599"/>
      <c r="B327" s="670">
        <f t="shared" si="24"/>
        <v>322</v>
      </c>
      <c r="C327" s="433">
        <v>42781</v>
      </c>
      <c r="D327" s="598" t="s">
        <v>1741</v>
      </c>
      <c r="E327" s="572">
        <v>320100</v>
      </c>
      <c r="F327" s="672" t="str">
        <f>IFERROR(VLOOKUP(E327,STAT1!$C$4:$D$1000,2,FALSE),"")</f>
        <v>Урьдчилж орсон орлого MNT</v>
      </c>
      <c r="G327" s="377">
        <v>0</v>
      </c>
      <c r="H327" s="377">
        <v>13476260</v>
      </c>
      <c r="I327" s="596">
        <f t="shared" si="28"/>
        <v>0</v>
      </c>
      <c r="J327" s="81">
        <f t="shared" si="27"/>
        <v>0</v>
      </c>
      <c r="K327" s="81"/>
      <c r="L327" s="597">
        <v>3002</v>
      </c>
      <c r="M327" s="81" t="str">
        <f>+IFERROR(VLOOKUP(L327,DATA!$G$4:$H$2000,2,FALSE),"")</f>
        <v>ЭКО КОНСТРАКШН ХХК</v>
      </c>
      <c r="N327" s="435"/>
      <c r="O327" s="81" t="str">
        <f>IFERROR(VLOOKUP(N327,DATA!$K$4:$L$51,2,FALSE),"")</f>
        <v/>
      </c>
      <c r="P327" s="81"/>
      <c r="Q327" s="152">
        <f t="shared" ref="Q327:Q390" si="29">+IF(I327,1,0)</f>
        <v>0</v>
      </c>
    </row>
    <row r="328" spans="1:17">
      <c r="A328" s="599"/>
      <c r="B328" s="670">
        <f t="shared" si="24"/>
        <v>323</v>
      </c>
      <c r="C328" s="433">
        <v>42781</v>
      </c>
      <c r="D328" s="598" t="s">
        <v>1741</v>
      </c>
      <c r="E328" s="572">
        <v>110100</v>
      </c>
      <c r="F328" s="672" t="str">
        <f>IFERROR(VLOOKUP(E328,STAT1!$C$4:$D$1000,2,FALSE),"")</f>
        <v>Хаан Банк 5024654020</v>
      </c>
      <c r="G328" s="377">
        <v>2420000</v>
      </c>
      <c r="H328" s="377"/>
      <c r="I328" s="596">
        <f t="shared" si="28"/>
        <v>2420000</v>
      </c>
      <c r="J328" s="81">
        <f t="shared" si="27"/>
        <v>0</v>
      </c>
      <c r="K328" s="81"/>
      <c r="L328" s="597">
        <v>3013</v>
      </c>
      <c r="M328" s="81" t="str">
        <f>+IFERROR(VLOOKUP(L328,DATA!$G$4:$H$2000,2,FALSE),"")</f>
        <v xml:space="preserve">МИАТ ХК </v>
      </c>
      <c r="N328" s="435">
        <v>41</v>
      </c>
      <c r="O328" s="81" t="str">
        <f>IFERROR(VLOOKUP(N328,DATA!$K$4:$L$51,2,FALSE),"")</f>
        <v>Бараа борлуулсан, үйлчилгээ үзүүлсэний орлого</v>
      </c>
      <c r="P328" s="81"/>
      <c r="Q328" s="152">
        <f t="shared" si="29"/>
        <v>1</v>
      </c>
    </row>
    <row r="329" spans="1:17">
      <c r="A329" s="599"/>
      <c r="B329" s="670">
        <f t="shared" si="24"/>
        <v>324</v>
      </c>
      <c r="C329" s="433">
        <v>42781</v>
      </c>
      <c r="D329" s="598" t="s">
        <v>1741</v>
      </c>
      <c r="E329" s="572">
        <v>320100</v>
      </c>
      <c r="F329" s="672" t="str">
        <f>IFERROR(VLOOKUP(E329,STAT1!$C$4:$D$1000,2,FALSE),"")</f>
        <v>Урьдчилж орсон орлого MNT</v>
      </c>
      <c r="G329" s="377">
        <v>0</v>
      </c>
      <c r="H329" s="377">
        <v>2420000</v>
      </c>
      <c r="I329" s="596">
        <f t="shared" si="28"/>
        <v>0</v>
      </c>
      <c r="J329" s="81">
        <f t="shared" si="27"/>
        <v>0</v>
      </c>
      <c r="K329" s="81"/>
      <c r="L329" s="597">
        <v>3013</v>
      </c>
      <c r="M329" s="81" t="str">
        <f>+IFERROR(VLOOKUP(L329,DATA!$G$4:$H$2000,2,FALSE),"")</f>
        <v xml:space="preserve">МИАТ ХК </v>
      </c>
      <c r="N329" s="435"/>
      <c r="O329" s="81" t="str">
        <f>IFERROR(VLOOKUP(N329,DATA!$K$4:$L$51,2,FALSE),"")</f>
        <v/>
      </c>
      <c r="P329" s="81"/>
      <c r="Q329" s="152">
        <f t="shared" si="29"/>
        <v>0</v>
      </c>
    </row>
    <row r="330" spans="1:17">
      <c r="A330" s="599"/>
      <c r="B330" s="670">
        <f t="shared" si="24"/>
        <v>325</v>
      </c>
      <c r="C330" s="433">
        <v>42782</v>
      </c>
      <c r="D330" s="598" t="s">
        <v>1741</v>
      </c>
      <c r="E330" s="572">
        <v>110100</v>
      </c>
      <c r="F330" s="672" t="str">
        <f>IFERROR(VLOOKUP(E330,STAT1!$C$4:$D$1000,2,FALSE),"")</f>
        <v>Хаан Банк 5024654020</v>
      </c>
      <c r="G330" s="377">
        <v>675890</v>
      </c>
      <c r="H330" s="377"/>
      <c r="I330" s="596">
        <f t="shared" si="28"/>
        <v>675890</v>
      </c>
      <c r="J330" s="81">
        <f t="shared" si="27"/>
        <v>0</v>
      </c>
      <c r="K330" s="81"/>
      <c r="L330" s="597">
        <v>3006</v>
      </c>
      <c r="M330" s="81" t="str">
        <f>+IFERROR(VLOOKUP(L330,DATA!$G$4:$H$2000,2,FALSE),"")</f>
        <v xml:space="preserve">ПАЙОНЕРИНГ ИНТЕРНЭШНЛ ХХК </v>
      </c>
      <c r="N330" s="435">
        <v>41</v>
      </c>
      <c r="O330" s="81" t="str">
        <f>IFERROR(VLOOKUP(N330,DATA!$K$4:$L$51,2,FALSE),"")</f>
        <v>Бараа борлуулсан, үйлчилгээ үзүүлсэний орлого</v>
      </c>
      <c r="P330" s="81"/>
      <c r="Q330" s="152">
        <f t="shared" si="29"/>
        <v>1</v>
      </c>
    </row>
    <row r="331" spans="1:17">
      <c r="A331" s="599"/>
      <c r="B331" s="670">
        <f t="shared" ref="B331:B394" si="30">+IF(C331="","",ROW()-5)</f>
        <v>326</v>
      </c>
      <c r="C331" s="433">
        <v>42782</v>
      </c>
      <c r="D331" s="598" t="s">
        <v>1741</v>
      </c>
      <c r="E331" s="572">
        <v>320100</v>
      </c>
      <c r="F331" s="672" t="str">
        <f>IFERROR(VLOOKUP(E331,STAT1!$C$4:$D$1000,2,FALSE),"")</f>
        <v>Урьдчилж орсон орлого MNT</v>
      </c>
      <c r="G331" s="377">
        <v>0</v>
      </c>
      <c r="H331" s="377">
        <v>675890</v>
      </c>
      <c r="I331" s="596">
        <f t="shared" si="28"/>
        <v>0</v>
      </c>
      <c r="J331" s="81">
        <f t="shared" si="27"/>
        <v>0</v>
      </c>
      <c r="K331" s="81"/>
      <c r="L331" s="597">
        <v>3006</v>
      </c>
      <c r="M331" s="81" t="str">
        <f>+IFERROR(VLOOKUP(L331,DATA!$G$4:$H$2000,2,FALSE),"")</f>
        <v xml:space="preserve">ПАЙОНЕРИНГ ИНТЕРНЭШНЛ ХХК </v>
      </c>
      <c r="N331" s="435"/>
      <c r="O331" s="81" t="str">
        <f>IFERROR(VLOOKUP(N331,DATA!$K$4:$L$51,2,FALSE),"")</f>
        <v/>
      </c>
      <c r="P331" s="81"/>
      <c r="Q331" s="152">
        <f t="shared" si="29"/>
        <v>0</v>
      </c>
    </row>
    <row r="332" spans="1:17" ht="12" customHeight="1">
      <c r="A332" s="599"/>
      <c r="B332" s="670">
        <f t="shared" si="30"/>
        <v>327</v>
      </c>
      <c r="C332" s="433">
        <v>42782</v>
      </c>
      <c r="D332" s="598" t="s">
        <v>1741</v>
      </c>
      <c r="E332" s="572">
        <v>110100</v>
      </c>
      <c r="F332" s="672" t="str">
        <f>IFERROR(VLOOKUP(E332,STAT1!$C$4:$D$1000,2,FALSE),"")</f>
        <v>Хаан Банк 5024654020</v>
      </c>
      <c r="G332" s="377">
        <v>14593120</v>
      </c>
      <c r="H332" s="377"/>
      <c r="I332" s="596">
        <f t="shared" si="28"/>
        <v>14593120</v>
      </c>
      <c r="J332" s="81">
        <f t="shared" si="27"/>
        <v>0</v>
      </c>
      <c r="K332" s="81"/>
      <c r="L332" s="597">
        <v>3001</v>
      </c>
      <c r="M332" s="81" t="str">
        <f>+IFERROR(VLOOKUP(L332,DATA!$G$4:$H$2000,2,FALSE),"")</f>
        <v>ХУРД ГРУПП ХХК</v>
      </c>
      <c r="N332" s="435">
        <v>41</v>
      </c>
      <c r="O332" s="81" t="str">
        <f>IFERROR(VLOOKUP(N332,DATA!$K$4:$L$51,2,FALSE),"")</f>
        <v>Бараа борлуулсан, үйлчилгээ үзүүлсэний орлого</v>
      </c>
      <c r="P332" s="81"/>
      <c r="Q332" s="152">
        <f t="shared" si="29"/>
        <v>1</v>
      </c>
    </row>
    <row r="333" spans="1:17" ht="12" customHeight="1">
      <c r="A333" s="599"/>
      <c r="B333" s="670">
        <f t="shared" si="30"/>
        <v>328</v>
      </c>
      <c r="C333" s="433">
        <v>42782</v>
      </c>
      <c r="D333" s="598" t="s">
        <v>1741</v>
      </c>
      <c r="E333" s="572">
        <v>320100</v>
      </c>
      <c r="F333" s="672" t="str">
        <f>IFERROR(VLOOKUP(E333,STAT1!$C$4:$D$1000,2,FALSE),"")</f>
        <v>Урьдчилж орсон орлого MNT</v>
      </c>
      <c r="G333" s="377">
        <v>0</v>
      </c>
      <c r="H333" s="377">
        <v>14593120</v>
      </c>
      <c r="I333" s="596">
        <f t="shared" si="28"/>
        <v>0</v>
      </c>
      <c r="J333" s="81">
        <f t="shared" si="27"/>
        <v>0</v>
      </c>
      <c r="K333" s="81"/>
      <c r="L333" s="597">
        <v>3001</v>
      </c>
      <c r="M333" s="81" t="str">
        <f>+IFERROR(VLOOKUP(L333,DATA!$G$4:$H$2000,2,FALSE),"")</f>
        <v>ХУРД ГРУПП ХХК</v>
      </c>
      <c r="N333" s="435"/>
      <c r="O333" s="81" t="str">
        <f>IFERROR(VLOOKUP(N333,DATA!$K$4:$L$51,2,FALSE),"")</f>
        <v/>
      </c>
      <c r="P333" s="81"/>
      <c r="Q333" s="152">
        <f t="shared" si="29"/>
        <v>0</v>
      </c>
    </row>
    <row r="334" spans="1:17" ht="12" customHeight="1">
      <c r="A334" s="599"/>
      <c r="B334" s="670">
        <f t="shared" si="30"/>
        <v>329</v>
      </c>
      <c r="C334" s="433">
        <v>42782</v>
      </c>
      <c r="D334" s="598" t="s">
        <v>1745</v>
      </c>
      <c r="E334" s="572">
        <v>701900</v>
      </c>
      <c r="F334" s="672" t="str">
        <f>IFERROR(VLOOKUP(E334,STAT1!$C$4:$D$1000,2,FALSE),"")</f>
        <v>Харилцаа холбоо</v>
      </c>
      <c r="G334" s="377">
        <v>30181.82</v>
      </c>
      <c r="H334" s="377">
        <v>0</v>
      </c>
      <c r="I334" s="596">
        <f t="shared" si="28"/>
        <v>0</v>
      </c>
      <c r="J334" s="81">
        <f t="shared" si="27"/>
        <v>0</v>
      </c>
      <c r="K334" s="81"/>
      <c r="L334" s="597">
        <v>2006</v>
      </c>
      <c r="M334" s="81" t="str">
        <f>+IFERROR(VLOOKUP(L334,DATA!$G$4:$H$2000,2,FALSE),"")</f>
        <v xml:space="preserve">МЦХОЛБОО </v>
      </c>
      <c r="N334" s="435"/>
      <c r="O334" s="81" t="str">
        <f>IFERROR(VLOOKUP(N334,DATA!$K$4:$L$51,2,FALSE),"")</f>
        <v/>
      </c>
      <c r="P334" s="81"/>
      <c r="Q334" s="152">
        <f t="shared" si="29"/>
        <v>0</v>
      </c>
    </row>
    <row r="335" spans="1:17">
      <c r="A335" s="599"/>
      <c r="B335" s="670">
        <f t="shared" si="30"/>
        <v>330</v>
      </c>
      <c r="C335" s="433">
        <v>42782</v>
      </c>
      <c r="D335" s="598" t="s">
        <v>1745</v>
      </c>
      <c r="E335" s="572">
        <v>120600</v>
      </c>
      <c r="F335" s="672" t="str">
        <f>IFERROR(VLOOKUP(E335,STAT1!$C$4:$D$1000,2,FALSE),"")</f>
        <v>НӨАТ авлага</v>
      </c>
      <c r="G335" s="377">
        <v>3018.18</v>
      </c>
      <c r="H335" s="377">
        <v>0</v>
      </c>
      <c r="I335" s="596">
        <f t="shared" si="28"/>
        <v>0</v>
      </c>
      <c r="J335" s="81">
        <f t="shared" si="27"/>
        <v>0</v>
      </c>
      <c r="K335" s="81"/>
      <c r="L335" s="597">
        <v>2006</v>
      </c>
      <c r="M335" s="81" t="str">
        <f>+IFERROR(VLOOKUP(L335,DATA!$G$4:$H$2000,2,FALSE),"")</f>
        <v xml:space="preserve">МЦХОЛБОО </v>
      </c>
      <c r="N335" s="435"/>
      <c r="O335" s="81" t="str">
        <f>IFERROR(VLOOKUP(N335,DATA!$K$4:$L$51,2,FALSE),"")</f>
        <v/>
      </c>
      <c r="P335" s="81"/>
      <c r="Q335" s="152">
        <f t="shared" si="29"/>
        <v>0</v>
      </c>
    </row>
    <row r="336" spans="1:17">
      <c r="A336" s="599"/>
      <c r="B336" s="670">
        <f t="shared" si="30"/>
        <v>331</v>
      </c>
      <c r="C336" s="433">
        <v>42782</v>
      </c>
      <c r="D336" s="598" t="s">
        <v>1745</v>
      </c>
      <c r="E336" s="572">
        <v>110100</v>
      </c>
      <c r="F336" s="672" t="str">
        <f>IFERROR(VLOOKUP(E336,STAT1!$C$4:$D$1000,2,FALSE),"")</f>
        <v>Хаан Банк 5024654020</v>
      </c>
      <c r="G336" s="377"/>
      <c r="H336" s="377">
        <v>33200</v>
      </c>
      <c r="I336" s="596">
        <f t="shared" si="28"/>
        <v>-33200</v>
      </c>
      <c r="J336" s="81">
        <f t="shared" si="27"/>
        <v>0</v>
      </c>
      <c r="K336" s="81"/>
      <c r="L336" s="597">
        <v>2006</v>
      </c>
      <c r="M336" s="81" t="str">
        <f>+IFERROR(VLOOKUP(L336,DATA!$G$4:$H$2000,2,FALSE),"")</f>
        <v xml:space="preserve">МЦХОЛБОО </v>
      </c>
      <c r="N336" s="435">
        <v>59</v>
      </c>
      <c r="O336" s="81" t="str">
        <f>IFERROR(VLOOKUP(N336,DATA!$K$4:$L$51,2,FALSE),"")</f>
        <v>Бусад мөнгөн зарлага</v>
      </c>
      <c r="P336" s="81"/>
      <c r="Q336" s="152">
        <f t="shared" si="29"/>
        <v>1</v>
      </c>
    </row>
    <row r="337" spans="1:17">
      <c r="A337" s="599"/>
      <c r="B337" s="670">
        <f t="shared" si="30"/>
        <v>332</v>
      </c>
      <c r="C337" s="433">
        <v>42783</v>
      </c>
      <c r="D337" s="598" t="s">
        <v>1746</v>
      </c>
      <c r="E337" s="572">
        <v>310400</v>
      </c>
      <c r="F337" s="672" t="str">
        <f>IFERROR(VLOOKUP(E337,STAT1!$C$4:$D$1000,2,FALSE),"")</f>
        <v>Банкны богино хугацаат зээл MNT</v>
      </c>
      <c r="G337" s="377">
        <v>4336833</v>
      </c>
      <c r="H337" s="377">
        <v>0</v>
      </c>
      <c r="I337" s="596">
        <f t="shared" si="28"/>
        <v>0</v>
      </c>
      <c r="J337" s="81">
        <f t="shared" si="27"/>
        <v>0</v>
      </c>
      <c r="K337" s="81"/>
      <c r="L337" s="597">
        <v>2009</v>
      </c>
      <c r="M337" s="81" t="str">
        <f>+IFERROR(VLOOKUP(L337,DATA!$G$4:$H$2000,2,FALSE),"")</f>
        <v>ХААН БАНК</v>
      </c>
      <c r="N337" s="435"/>
      <c r="O337" s="81" t="str">
        <f>IFERROR(VLOOKUP(N337,DATA!$K$4:$L$51,2,FALSE),"")</f>
        <v/>
      </c>
      <c r="P337" s="81"/>
      <c r="Q337" s="152">
        <f t="shared" si="29"/>
        <v>0</v>
      </c>
    </row>
    <row r="338" spans="1:17">
      <c r="A338" s="599"/>
      <c r="B338" s="670">
        <f t="shared" si="30"/>
        <v>333</v>
      </c>
      <c r="C338" s="433">
        <v>42783</v>
      </c>
      <c r="D338" s="598" t="s">
        <v>1746</v>
      </c>
      <c r="E338" s="572">
        <v>110100</v>
      </c>
      <c r="F338" s="672" t="str">
        <f>IFERROR(VLOOKUP(E338,STAT1!$C$4:$D$1000,2,FALSE),"")</f>
        <v>Хаан Банк 5024654020</v>
      </c>
      <c r="G338" s="377"/>
      <c r="H338" s="377">
        <v>4336833</v>
      </c>
      <c r="I338" s="596">
        <f t="shared" si="28"/>
        <v>-4336833</v>
      </c>
      <c r="J338" s="81">
        <f t="shared" si="27"/>
        <v>0</v>
      </c>
      <c r="K338" s="81"/>
      <c r="L338" s="597">
        <v>2009</v>
      </c>
      <c r="M338" s="81" t="str">
        <f>+IFERROR(VLOOKUP(L338,DATA!$G$4:$H$2000,2,FALSE),"")</f>
        <v>ХААН БАНК</v>
      </c>
      <c r="N338" s="435">
        <v>91</v>
      </c>
      <c r="O338" s="81" t="str">
        <f>IFERROR(VLOOKUP(N338,DATA!$K$4:$L$51,2,FALSE),"")</f>
        <v>Зээл, өрийн үнэт цаасны төлбөрт төлсөн</v>
      </c>
      <c r="P338" s="81"/>
      <c r="Q338" s="152">
        <f t="shared" si="29"/>
        <v>1</v>
      </c>
    </row>
    <row r="339" spans="1:17">
      <c r="A339" s="599"/>
      <c r="B339" s="670">
        <f t="shared" si="30"/>
        <v>334</v>
      </c>
      <c r="C339" s="433">
        <v>42783</v>
      </c>
      <c r="D339" s="598" t="s">
        <v>1746</v>
      </c>
      <c r="E339" s="572">
        <v>702500</v>
      </c>
      <c r="F339" s="672" t="str">
        <f>IFERROR(VLOOKUP(E339,STAT1!$C$4:$D$1000,2,FALSE),"")</f>
        <v>Зээлийн хүүгийн зардал</v>
      </c>
      <c r="G339" s="377">
        <v>1541647</v>
      </c>
      <c r="H339" s="377"/>
      <c r="I339" s="596">
        <f t="shared" si="28"/>
        <v>0</v>
      </c>
      <c r="J339" s="81"/>
      <c r="K339" s="81"/>
      <c r="L339" s="597">
        <v>2009</v>
      </c>
      <c r="M339" s="81" t="str">
        <f>+IFERROR(VLOOKUP(L339,DATA!$G$4:$H$2000,2,FALSE),"")</f>
        <v>ХААН БАНК</v>
      </c>
      <c r="N339" s="435"/>
      <c r="O339" s="81" t="str">
        <f>IFERROR(VLOOKUP(N339,DATA!$K$4:$L$51,2,FALSE),"")</f>
        <v/>
      </c>
      <c r="P339" s="81"/>
      <c r="Q339" s="152">
        <f t="shared" si="29"/>
        <v>0</v>
      </c>
    </row>
    <row r="340" spans="1:17">
      <c r="A340" s="599"/>
      <c r="B340" s="670">
        <f t="shared" si="30"/>
        <v>335</v>
      </c>
      <c r="C340" s="433">
        <v>42783</v>
      </c>
      <c r="D340" s="598" t="s">
        <v>1746</v>
      </c>
      <c r="E340" s="572">
        <v>110100</v>
      </c>
      <c r="F340" s="672" t="str">
        <f>IFERROR(VLOOKUP(E340,STAT1!$C$4:$D$1000,2,FALSE),"")</f>
        <v>Хаан Банк 5024654020</v>
      </c>
      <c r="G340" s="377"/>
      <c r="H340" s="377">
        <v>1541647</v>
      </c>
      <c r="I340" s="596">
        <f t="shared" si="28"/>
        <v>-1541647</v>
      </c>
      <c r="J340" s="81">
        <f t="shared" ref="J340:J349" si="31">+IF(E340=110102,I340/K340,0)</f>
        <v>0</v>
      </c>
      <c r="K340" s="81"/>
      <c r="L340" s="597">
        <v>2009</v>
      </c>
      <c r="M340" s="81" t="str">
        <f>+IFERROR(VLOOKUP(L340,DATA!$G$4:$H$2000,2,FALSE),"")</f>
        <v>ХААН БАНК</v>
      </c>
      <c r="N340" s="435">
        <v>56</v>
      </c>
      <c r="O340" s="81" t="str">
        <f>IFERROR(VLOOKUP(N340,DATA!$K$4:$L$51,2,FALSE),"")</f>
        <v>Хүүний төлбөрт төлсөн</v>
      </c>
      <c r="P340" s="81"/>
      <c r="Q340" s="152">
        <f t="shared" si="29"/>
        <v>1</v>
      </c>
    </row>
    <row r="341" spans="1:17">
      <c r="A341" s="599"/>
      <c r="B341" s="670">
        <f t="shared" si="30"/>
        <v>336</v>
      </c>
      <c r="C341" s="433">
        <v>42783</v>
      </c>
      <c r="D341" s="598" t="s">
        <v>1715</v>
      </c>
      <c r="E341" s="572">
        <v>700900</v>
      </c>
      <c r="F341" s="672" t="str">
        <f>IFERROR(VLOOKUP(E341,STAT1!$C$4:$D$1000,2,FALSE),"")</f>
        <v>Уур, ус</v>
      </c>
      <c r="G341" s="377">
        <v>493380</v>
      </c>
      <c r="H341" s="377">
        <v>0</v>
      </c>
      <c r="I341" s="596">
        <f t="shared" si="28"/>
        <v>0</v>
      </c>
      <c r="J341" s="81">
        <f t="shared" si="31"/>
        <v>0</v>
      </c>
      <c r="K341" s="81"/>
      <c r="L341" s="597">
        <v>2005</v>
      </c>
      <c r="M341" s="81" t="str">
        <f>+IFERROR(VLOOKUP(L341,DATA!$G$4:$H$2000,2,FALSE),"")</f>
        <v xml:space="preserve">УСУГ ТӨХК </v>
      </c>
      <c r="N341" s="435"/>
      <c r="O341" s="81" t="str">
        <f>IFERROR(VLOOKUP(N341,DATA!$K$4:$L$51,2,FALSE),"")</f>
        <v/>
      </c>
      <c r="P341" s="81"/>
      <c r="Q341" s="152">
        <f t="shared" si="29"/>
        <v>0</v>
      </c>
    </row>
    <row r="342" spans="1:17">
      <c r="B342" s="670">
        <f t="shared" si="30"/>
        <v>337</v>
      </c>
      <c r="C342" s="433">
        <v>42783</v>
      </c>
      <c r="D342" s="598" t="s">
        <v>1715</v>
      </c>
      <c r="E342" s="572">
        <v>120600</v>
      </c>
      <c r="F342" s="672" t="str">
        <f>IFERROR(VLOOKUP(E342,STAT1!$C$4:$D$1000,2,FALSE),"")</f>
        <v>НӨАТ авлага</v>
      </c>
      <c r="G342" s="377">
        <v>49288</v>
      </c>
      <c r="H342" s="377">
        <v>0</v>
      </c>
      <c r="I342" s="596">
        <f t="shared" si="28"/>
        <v>0</v>
      </c>
      <c r="J342" s="81">
        <f t="shared" si="31"/>
        <v>0</v>
      </c>
      <c r="K342" s="81"/>
      <c r="L342" s="597">
        <v>2005</v>
      </c>
      <c r="M342" s="81" t="str">
        <f>+IFERROR(VLOOKUP(L342,DATA!$G$4:$H$2000,2,FALSE),"")</f>
        <v xml:space="preserve">УСУГ ТӨХК </v>
      </c>
      <c r="N342" s="435"/>
      <c r="O342" s="81" t="str">
        <f>IFERROR(VLOOKUP(N342,DATA!$K$4:$L$51,2,FALSE),"")</f>
        <v/>
      </c>
      <c r="P342" s="81"/>
      <c r="Q342" s="152">
        <f t="shared" si="29"/>
        <v>0</v>
      </c>
    </row>
    <row r="343" spans="1:17">
      <c r="B343" s="670">
        <f t="shared" si="30"/>
        <v>338</v>
      </c>
      <c r="C343" s="433">
        <v>42783</v>
      </c>
      <c r="D343" s="598" t="s">
        <v>1715</v>
      </c>
      <c r="E343" s="572">
        <v>110100</v>
      </c>
      <c r="F343" s="672" t="str">
        <f>IFERROR(VLOOKUP(E343,STAT1!$C$4:$D$1000,2,FALSE),"")</f>
        <v>Хаан Банк 5024654020</v>
      </c>
      <c r="G343" s="377"/>
      <c r="H343" s="377">
        <v>542668</v>
      </c>
      <c r="I343" s="596">
        <f t="shared" si="28"/>
        <v>-542668</v>
      </c>
      <c r="J343" s="81">
        <f t="shared" si="31"/>
        <v>0</v>
      </c>
      <c r="K343" s="81"/>
      <c r="L343" s="597">
        <v>2005</v>
      </c>
      <c r="M343" s="81" t="str">
        <f>+IFERROR(VLOOKUP(L343,DATA!$G$4:$H$2000,2,FALSE),"")</f>
        <v xml:space="preserve">УСУГ ТӨХК </v>
      </c>
      <c r="N343" s="435">
        <v>54</v>
      </c>
      <c r="O343" s="81" t="str">
        <f>IFERROR(VLOOKUP(N343,DATA!$K$4:$L$51,2,FALSE),"")</f>
        <v>Ашиглалтын зардалд төлсөн</v>
      </c>
      <c r="P343" s="81"/>
      <c r="Q343" s="152">
        <f t="shared" si="29"/>
        <v>1</v>
      </c>
    </row>
    <row r="344" spans="1:17">
      <c r="B344" s="670">
        <f t="shared" si="30"/>
        <v>339</v>
      </c>
      <c r="C344" s="433">
        <v>42783</v>
      </c>
      <c r="D344" s="598" t="s">
        <v>1748</v>
      </c>
      <c r="E344" s="572">
        <v>700800</v>
      </c>
      <c r="F344" s="672" t="str">
        <f>IFERROR(VLOOKUP(E344,STAT1!$C$4:$D$1000,2,FALSE),"")</f>
        <v>Дулаан</v>
      </c>
      <c r="G344" s="377">
        <v>2655143.64</v>
      </c>
      <c r="H344" s="377">
        <v>0</v>
      </c>
      <c r="I344" s="596">
        <f t="shared" si="28"/>
        <v>0</v>
      </c>
      <c r="J344" s="81">
        <f t="shared" si="31"/>
        <v>0</v>
      </c>
      <c r="K344" s="81"/>
      <c r="L344" s="597">
        <v>2013</v>
      </c>
      <c r="M344" s="81" t="str">
        <f>+IFERROR(VLOOKUP(L344,DATA!$G$4:$H$2000,2,FALSE),"")</f>
        <v>УБДС ТӨХК</v>
      </c>
      <c r="N344" s="435"/>
      <c r="O344" s="81" t="str">
        <f>IFERROR(VLOOKUP(N344,DATA!$K$4:$L$51,2,FALSE),"")</f>
        <v/>
      </c>
      <c r="P344" s="81"/>
      <c r="Q344" s="152">
        <f t="shared" si="29"/>
        <v>0</v>
      </c>
    </row>
    <row r="345" spans="1:17">
      <c r="B345" s="670">
        <f t="shared" si="30"/>
        <v>340</v>
      </c>
      <c r="C345" s="433">
        <v>42783</v>
      </c>
      <c r="D345" s="598" t="s">
        <v>1748</v>
      </c>
      <c r="E345" s="572">
        <v>120600</v>
      </c>
      <c r="F345" s="672" t="str">
        <f>IFERROR(VLOOKUP(E345,STAT1!$C$4:$D$1000,2,FALSE),"")</f>
        <v>НӨАТ авлага</v>
      </c>
      <c r="G345" s="377">
        <v>264856.36</v>
      </c>
      <c r="H345" s="377">
        <v>0</v>
      </c>
      <c r="I345" s="596">
        <f t="shared" si="28"/>
        <v>0</v>
      </c>
      <c r="J345" s="81">
        <f t="shared" si="31"/>
        <v>0</v>
      </c>
      <c r="K345" s="81"/>
      <c r="L345" s="597">
        <v>2013</v>
      </c>
      <c r="M345" s="81" t="str">
        <f>+IFERROR(VLOOKUP(L345,DATA!$G$4:$H$2000,2,FALSE),"")</f>
        <v>УБДС ТӨХК</v>
      </c>
      <c r="N345" s="435"/>
      <c r="O345" s="81" t="str">
        <f>IFERROR(VLOOKUP(N345,DATA!$K$4:$L$51,2,FALSE),"")</f>
        <v/>
      </c>
      <c r="P345" s="81"/>
      <c r="Q345" s="152">
        <f t="shared" si="29"/>
        <v>0</v>
      </c>
    </row>
    <row r="346" spans="1:17">
      <c r="B346" s="670">
        <f t="shared" si="30"/>
        <v>341</v>
      </c>
      <c r="C346" s="433">
        <v>42783</v>
      </c>
      <c r="D346" s="598" t="s">
        <v>1748</v>
      </c>
      <c r="E346" s="572">
        <v>110100</v>
      </c>
      <c r="F346" s="672" t="str">
        <f>IFERROR(VLOOKUP(E346,STAT1!$C$4:$D$1000,2,FALSE),"")</f>
        <v>Хаан Банк 5024654020</v>
      </c>
      <c r="G346" s="377"/>
      <c r="H346" s="377">
        <v>2920000</v>
      </c>
      <c r="I346" s="596">
        <f t="shared" si="28"/>
        <v>-2920000</v>
      </c>
      <c r="J346" s="81">
        <f t="shared" si="31"/>
        <v>0</v>
      </c>
      <c r="K346" s="81"/>
      <c r="L346" s="597">
        <v>2013</v>
      </c>
      <c r="M346" s="81" t="str">
        <f>+IFERROR(VLOOKUP(L346,DATA!$G$4:$H$2000,2,FALSE),"")</f>
        <v>УБДС ТӨХК</v>
      </c>
      <c r="N346" s="435">
        <v>54</v>
      </c>
      <c r="O346" s="81" t="str">
        <f>IFERROR(VLOOKUP(N346,DATA!$K$4:$L$51,2,FALSE),"")</f>
        <v>Ашиглалтын зардалд төлсөн</v>
      </c>
      <c r="P346" s="81"/>
      <c r="Q346" s="152">
        <f t="shared" si="29"/>
        <v>1</v>
      </c>
    </row>
    <row r="347" spans="1:17">
      <c r="B347" s="670">
        <f t="shared" si="30"/>
        <v>342</v>
      </c>
      <c r="C347" s="433">
        <v>42784</v>
      </c>
      <c r="D347" s="377" t="s">
        <v>1355</v>
      </c>
      <c r="E347" s="572">
        <v>100100</v>
      </c>
      <c r="F347" s="672" t="str">
        <f>IFERROR(VLOOKUP(E347,STAT1!$C$4:$D$1000,2,FALSE),"")</f>
        <v>Касс мөнгө MNT</v>
      </c>
      <c r="G347" s="377"/>
      <c r="H347" s="377">
        <v>20000</v>
      </c>
      <c r="I347" s="596">
        <f t="shared" si="28"/>
        <v>-20000</v>
      </c>
      <c r="J347" s="81">
        <f t="shared" si="31"/>
        <v>0</v>
      </c>
      <c r="K347" s="81"/>
      <c r="L347" s="597">
        <v>1005</v>
      </c>
      <c r="M347" s="81" t="str">
        <f>+IFERROR(VLOOKUP(L347,DATA!$G$4:$H$2000,2,FALSE),"")</f>
        <v>Золжаргал</v>
      </c>
      <c r="N347" s="435">
        <v>55</v>
      </c>
      <c r="O347" s="81" t="str">
        <f>IFERROR(VLOOKUP(N347,DATA!$K$4:$L$51,2,FALSE),"")</f>
        <v>Түлш, шатахуун, тээврийн хөлс, сэлбэг хэрэгсэлд төлсөн</v>
      </c>
      <c r="P347" s="81"/>
      <c r="Q347" s="152">
        <f t="shared" si="29"/>
        <v>1</v>
      </c>
    </row>
    <row r="348" spans="1:17">
      <c r="B348" s="670">
        <f t="shared" si="30"/>
        <v>343</v>
      </c>
      <c r="C348" s="433">
        <v>42784</v>
      </c>
      <c r="D348" s="377" t="s">
        <v>1355</v>
      </c>
      <c r="E348" s="572">
        <v>702000</v>
      </c>
      <c r="F348" s="672" t="str">
        <f>IFERROR(VLOOKUP(E348,STAT1!$C$4:$D$1000,2,FALSE),"")</f>
        <v>Түлш, шатахуун</v>
      </c>
      <c r="G348" s="377">
        <v>20000</v>
      </c>
      <c r="H348" s="377"/>
      <c r="I348" s="596">
        <f t="shared" si="28"/>
        <v>0</v>
      </c>
      <c r="J348" s="81">
        <f t="shared" si="31"/>
        <v>0</v>
      </c>
      <c r="K348" s="81"/>
      <c r="L348" s="597">
        <v>1005</v>
      </c>
      <c r="M348" s="81" t="str">
        <f>+IFERROR(VLOOKUP(L348,DATA!$G$4:$H$2000,2,FALSE),"")</f>
        <v>Золжаргал</v>
      </c>
      <c r="N348" s="435"/>
      <c r="O348" s="81"/>
      <c r="P348" s="81"/>
      <c r="Q348" s="152">
        <f t="shared" si="29"/>
        <v>0</v>
      </c>
    </row>
    <row r="349" spans="1:17">
      <c r="B349" s="670">
        <f t="shared" si="30"/>
        <v>344</v>
      </c>
      <c r="C349" s="433">
        <v>42784</v>
      </c>
      <c r="D349" s="377" t="s">
        <v>1710</v>
      </c>
      <c r="E349" s="572">
        <v>100100</v>
      </c>
      <c r="F349" s="672" t="str">
        <f>IFERROR(VLOOKUP(E349,STAT1!$C$4:$D$1000,2,FALSE),"")</f>
        <v>Касс мөнгө MNT</v>
      </c>
      <c r="G349" s="377"/>
      <c r="H349" s="377">
        <v>190600</v>
      </c>
      <c r="I349" s="596">
        <f t="shared" si="28"/>
        <v>-190600</v>
      </c>
      <c r="J349" s="81">
        <f t="shared" si="31"/>
        <v>0</v>
      </c>
      <c r="K349" s="81"/>
      <c r="L349" s="597">
        <v>1005</v>
      </c>
      <c r="M349" s="81" t="str">
        <f>+IFERROR(VLOOKUP(L349,DATA!$G$4:$H$2000,2,FALSE),"")</f>
        <v>Золжаргал</v>
      </c>
      <c r="N349" s="435">
        <v>53</v>
      </c>
      <c r="O349" s="81" t="str">
        <f>IFERROR(VLOOKUP(N349,DATA!$K$4:$L$51,2,FALSE),"")</f>
        <v>Бараа материал худалдан авахад төлсөн</v>
      </c>
      <c r="P349" s="81"/>
      <c r="Q349" s="152">
        <f t="shared" si="29"/>
        <v>1</v>
      </c>
    </row>
    <row r="350" spans="1:17">
      <c r="B350" s="670">
        <f t="shared" si="30"/>
        <v>345</v>
      </c>
      <c r="C350" s="433">
        <v>42784</v>
      </c>
      <c r="D350" s="377" t="s">
        <v>1710</v>
      </c>
      <c r="E350" s="572">
        <v>120600</v>
      </c>
      <c r="F350" s="672" t="str">
        <f>IFERROR(VLOOKUP(E350,STAT1!$C$4:$D$1000,2,FALSE),"")</f>
        <v>НӨАТ авлага</v>
      </c>
      <c r="G350" s="377">
        <v>17327.27</v>
      </c>
      <c r="H350" s="377"/>
      <c r="I350" s="596">
        <f t="shared" si="28"/>
        <v>0</v>
      </c>
      <c r="J350" s="81"/>
      <c r="K350" s="81"/>
      <c r="L350" s="597">
        <v>1005</v>
      </c>
      <c r="M350" s="81" t="str">
        <f>+IFERROR(VLOOKUP(L350,DATA!$G$4:$H$2000,2,FALSE),"")</f>
        <v>Золжаргал</v>
      </c>
      <c r="N350" s="435"/>
      <c r="O350" s="81" t="str">
        <f>IFERROR(VLOOKUP(N350,DATA!$K$4:$L$51,2,FALSE),"")</f>
        <v/>
      </c>
      <c r="P350" s="81"/>
      <c r="Q350" s="152">
        <f t="shared" si="29"/>
        <v>0</v>
      </c>
    </row>
    <row r="351" spans="1:17">
      <c r="B351" s="670">
        <f t="shared" si="30"/>
        <v>346</v>
      </c>
      <c r="C351" s="433">
        <v>42784</v>
      </c>
      <c r="D351" s="377" t="s">
        <v>1710</v>
      </c>
      <c r="E351" s="572">
        <v>703700</v>
      </c>
      <c r="F351" s="672" t="str">
        <f>IFERROR(VLOOKUP(E351,STAT1!$C$4:$D$1000,2,FALSE),"")</f>
        <v>Бичиг хэргийн зардал</v>
      </c>
      <c r="G351" s="377">
        <v>173272.73</v>
      </c>
      <c r="H351" s="377">
        <v>0</v>
      </c>
      <c r="I351" s="596">
        <f t="shared" si="28"/>
        <v>0</v>
      </c>
      <c r="J351" s="81">
        <f t="shared" ref="J351:J358" si="32">+IF(E351=110102,I351/K351,0)</f>
        <v>0</v>
      </c>
      <c r="K351" s="81"/>
      <c r="L351" s="597">
        <v>1005</v>
      </c>
      <c r="M351" s="81" t="str">
        <f>+IFERROR(VLOOKUP(L351,DATA!$G$4:$H$2000,2,FALSE),"")</f>
        <v>Золжаргал</v>
      </c>
      <c r="N351" s="435"/>
      <c r="O351" s="81" t="str">
        <f>IFERROR(VLOOKUP(N351,DATA!$K$4:$L$51,2,FALSE),"")</f>
        <v/>
      </c>
      <c r="P351" s="81"/>
      <c r="Q351" s="152">
        <f t="shared" si="29"/>
        <v>0</v>
      </c>
    </row>
    <row r="352" spans="1:17">
      <c r="A352" s="600"/>
      <c r="B352" s="670">
        <f t="shared" si="30"/>
        <v>347</v>
      </c>
      <c r="C352" s="601">
        <v>42786</v>
      </c>
      <c r="D352" s="372" t="s">
        <v>1640</v>
      </c>
      <c r="E352" s="572">
        <v>160100</v>
      </c>
      <c r="F352" s="672" t="str">
        <f>IFERROR(VLOOKUP(E352,STAT1!$C$4:$D$1000,2,FALSE),"")</f>
        <v xml:space="preserve">Барилгын материал </v>
      </c>
      <c r="G352" s="431">
        <v>693000</v>
      </c>
      <c r="H352" s="430"/>
      <c r="I352" s="596">
        <f t="shared" si="28"/>
        <v>0</v>
      </c>
      <c r="J352" s="81">
        <f t="shared" si="32"/>
        <v>0</v>
      </c>
      <c r="K352" s="432"/>
      <c r="L352" s="597">
        <v>3017</v>
      </c>
      <c r="M352" s="81" t="str">
        <f>+IFERROR(VLOOKUP(L352,DATA!$G$4:$H$2000,2,FALSE),"")</f>
        <v xml:space="preserve">ВОС ХХК </v>
      </c>
      <c r="N352" s="435"/>
      <c r="O352" s="81" t="str">
        <f>IFERROR(VLOOKUP(N352,DATA!$K$4:$L$51,2,FALSE),"")</f>
        <v/>
      </c>
      <c r="P352" s="81"/>
      <c r="Q352" s="152">
        <f t="shared" si="29"/>
        <v>0</v>
      </c>
    </row>
    <row r="353" spans="1:17">
      <c r="A353" s="600"/>
      <c r="B353" s="670">
        <f t="shared" si="30"/>
        <v>348</v>
      </c>
      <c r="C353" s="601">
        <v>42786</v>
      </c>
      <c r="D353" s="372" t="s">
        <v>587</v>
      </c>
      <c r="E353" s="572">
        <v>120600</v>
      </c>
      <c r="F353" s="672" t="str">
        <f>IFERROR(VLOOKUP(E353,STAT1!$C$4:$D$1000,2,FALSE),"")</f>
        <v>НӨАТ авлага</v>
      </c>
      <c r="G353" s="431">
        <v>69300</v>
      </c>
      <c r="H353" s="430"/>
      <c r="I353" s="596">
        <f t="shared" si="28"/>
        <v>0</v>
      </c>
      <c r="J353" s="81">
        <f t="shared" si="32"/>
        <v>0</v>
      </c>
      <c r="K353" s="432"/>
      <c r="L353" s="597">
        <v>3017</v>
      </c>
      <c r="M353" s="81" t="str">
        <f>+IFERROR(VLOOKUP(L353,DATA!$G$4:$H$2000,2,FALSE),"")</f>
        <v xml:space="preserve">ВОС ХХК </v>
      </c>
      <c r="N353" s="435"/>
      <c r="O353" s="81" t="str">
        <f>IFERROR(VLOOKUP(N353,DATA!$K$4:$L$51,2,FALSE),"")</f>
        <v/>
      </c>
      <c r="P353" s="81"/>
      <c r="Q353" s="152">
        <f t="shared" si="29"/>
        <v>0</v>
      </c>
    </row>
    <row r="354" spans="1:17">
      <c r="B354" s="670">
        <f t="shared" si="30"/>
        <v>349</v>
      </c>
      <c r="C354" s="601">
        <v>42786</v>
      </c>
      <c r="D354" s="372" t="s">
        <v>587</v>
      </c>
      <c r="E354" s="572">
        <v>120100</v>
      </c>
      <c r="F354" s="672" t="str">
        <f>IFERROR(VLOOKUP(E354,STAT1!$C$4:$D$1000,2,FALSE),"")</f>
        <v xml:space="preserve">Дансны авлага MNT </v>
      </c>
      <c r="G354" s="430"/>
      <c r="H354" s="431">
        <v>762300</v>
      </c>
      <c r="I354" s="596">
        <f t="shared" si="28"/>
        <v>0</v>
      </c>
      <c r="J354" s="81">
        <f t="shared" si="32"/>
        <v>0</v>
      </c>
      <c r="K354" s="432"/>
      <c r="L354" s="597">
        <v>3017</v>
      </c>
      <c r="M354" s="81" t="str">
        <f>+IFERROR(VLOOKUP(L354,DATA!$G$4:$H$2000,2,FALSE),"")</f>
        <v xml:space="preserve">ВОС ХХК </v>
      </c>
      <c r="N354" s="435"/>
      <c r="O354" s="81" t="str">
        <f>IFERROR(VLOOKUP(N354,DATA!$K$4:$L$51,2,FALSE),"")</f>
        <v/>
      </c>
      <c r="P354" s="81"/>
      <c r="Q354" s="152">
        <f t="shared" si="29"/>
        <v>0</v>
      </c>
    </row>
    <row r="355" spans="1:17">
      <c r="B355" s="670">
        <f t="shared" si="30"/>
        <v>350</v>
      </c>
      <c r="C355" s="601">
        <v>42786</v>
      </c>
      <c r="D355" s="372" t="s">
        <v>1637</v>
      </c>
      <c r="E355" s="572">
        <v>160100</v>
      </c>
      <c r="F355" s="672" t="str">
        <f>IFERROR(VLOOKUP(E355,STAT1!$C$4:$D$1000,2,FALSE),"")</f>
        <v xml:space="preserve">Барилгын материал </v>
      </c>
      <c r="G355" s="431">
        <v>102000</v>
      </c>
      <c r="H355" s="430"/>
      <c r="I355" s="596">
        <f t="shared" si="28"/>
        <v>0</v>
      </c>
      <c r="J355" s="81">
        <f t="shared" si="32"/>
        <v>0</v>
      </c>
      <c r="K355" s="432"/>
      <c r="L355" s="597">
        <v>3017</v>
      </c>
      <c r="M355" s="81" t="str">
        <f>+IFERROR(VLOOKUP(L355,DATA!$G$4:$H$2000,2,FALSE),"")</f>
        <v xml:space="preserve">ВОС ХХК </v>
      </c>
      <c r="N355" s="435"/>
      <c r="O355" s="81" t="str">
        <f>IFERROR(VLOOKUP(N355,DATA!$K$4:$L$51,2,FALSE),"")</f>
        <v/>
      </c>
      <c r="P355" s="81"/>
      <c r="Q355" s="152">
        <f t="shared" si="29"/>
        <v>0</v>
      </c>
    </row>
    <row r="356" spans="1:17">
      <c r="B356" s="670">
        <f t="shared" si="30"/>
        <v>351</v>
      </c>
      <c r="C356" s="601">
        <v>42786</v>
      </c>
      <c r="D356" s="372" t="s">
        <v>587</v>
      </c>
      <c r="E356" s="572">
        <v>120600</v>
      </c>
      <c r="F356" s="672" t="str">
        <f>IFERROR(VLOOKUP(E356,STAT1!$C$4:$D$1000,2,FALSE),"")</f>
        <v>НӨАТ авлага</v>
      </c>
      <c r="G356" s="431">
        <v>10200</v>
      </c>
      <c r="H356" s="430"/>
      <c r="I356" s="596">
        <f t="shared" si="28"/>
        <v>0</v>
      </c>
      <c r="J356" s="81">
        <f t="shared" si="32"/>
        <v>0</v>
      </c>
      <c r="K356" s="432"/>
      <c r="L356" s="597">
        <v>3017</v>
      </c>
      <c r="M356" s="81" t="str">
        <f>+IFERROR(VLOOKUP(L356,DATA!$G$4:$H$2000,2,FALSE),"")</f>
        <v xml:space="preserve">ВОС ХХК </v>
      </c>
      <c r="N356" s="435"/>
      <c r="O356" s="81" t="str">
        <f>IFERROR(VLOOKUP(N356,DATA!$K$4:$L$51,2,FALSE),"")</f>
        <v/>
      </c>
      <c r="P356" s="81"/>
      <c r="Q356" s="152">
        <f t="shared" si="29"/>
        <v>0</v>
      </c>
    </row>
    <row r="357" spans="1:17">
      <c r="B357" s="670">
        <f t="shared" si="30"/>
        <v>352</v>
      </c>
      <c r="C357" s="601">
        <v>42786</v>
      </c>
      <c r="D357" s="372" t="s">
        <v>587</v>
      </c>
      <c r="E357" s="572">
        <v>120100</v>
      </c>
      <c r="F357" s="672" t="str">
        <f>IFERROR(VLOOKUP(E357,STAT1!$C$4:$D$1000,2,FALSE),"")</f>
        <v xml:space="preserve">Дансны авлага MNT </v>
      </c>
      <c r="G357" s="430"/>
      <c r="H357" s="431">
        <v>112200</v>
      </c>
      <c r="I357" s="596">
        <f t="shared" si="28"/>
        <v>0</v>
      </c>
      <c r="J357" s="81">
        <f t="shared" si="32"/>
        <v>0</v>
      </c>
      <c r="K357" s="432"/>
      <c r="L357" s="597">
        <v>3017</v>
      </c>
      <c r="M357" s="81" t="str">
        <f>+IFERROR(VLOOKUP(L357,DATA!$G$4:$H$2000,2,FALSE),"")</f>
        <v xml:space="preserve">ВОС ХХК </v>
      </c>
      <c r="N357" s="435"/>
      <c r="O357" s="81" t="str">
        <f>IFERROR(VLOOKUP(N357,DATA!$K$4:$L$51,2,FALSE),"")</f>
        <v/>
      </c>
      <c r="P357" s="81"/>
      <c r="Q357" s="152">
        <f t="shared" si="29"/>
        <v>0</v>
      </c>
    </row>
    <row r="358" spans="1:17">
      <c r="B358" s="670">
        <f t="shared" si="30"/>
        <v>353</v>
      </c>
      <c r="C358" s="433">
        <v>42786</v>
      </c>
      <c r="D358" s="598" t="s">
        <v>1747</v>
      </c>
      <c r="E358" s="572">
        <v>311100</v>
      </c>
      <c r="F358" s="672" t="str">
        <f>IFERROR(VLOOKUP(E358,STAT1!$C$4:$D$1000,2,FALSE),"")</f>
        <v xml:space="preserve">Бусад богино хугацаат өглөг </v>
      </c>
      <c r="G358" s="377">
        <v>2724587</v>
      </c>
      <c r="H358" s="377">
        <v>0</v>
      </c>
      <c r="I358" s="596">
        <f t="shared" si="28"/>
        <v>0</v>
      </c>
      <c r="J358" s="81">
        <f t="shared" si="32"/>
        <v>0</v>
      </c>
      <c r="K358" s="81"/>
      <c r="L358" s="597">
        <v>2009</v>
      </c>
      <c r="M358" s="81" t="str">
        <f>+IFERROR(VLOOKUP(L358,DATA!$G$4:$H$2000,2,FALSE),"")</f>
        <v>ХААН БАНК</v>
      </c>
      <c r="N358" s="435"/>
      <c r="O358" s="81" t="str">
        <f>IFERROR(VLOOKUP(N358,DATA!$K$4:$L$51,2,FALSE),"")</f>
        <v/>
      </c>
      <c r="P358" s="81"/>
      <c r="Q358" s="152">
        <f t="shared" si="29"/>
        <v>0</v>
      </c>
    </row>
    <row r="359" spans="1:17">
      <c r="B359" s="670">
        <f t="shared" si="30"/>
        <v>354</v>
      </c>
      <c r="C359" s="433">
        <v>42786</v>
      </c>
      <c r="D359" s="598" t="s">
        <v>1747</v>
      </c>
      <c r="E359" s="572">
        <v>110100</v>
      </c>
      <c r="F359" s="672" t="str">
        <f>IFERROR(VLOOKUP(E359,STAT1!$C$4:$D$1000,2,FALSE),"")</f>
        <v>Хаан Банк 5024654020</v>
      </c>
      <c r="G359" s="377"/>
      <c r="H359" s="377">
        <v>2724587</v>
      </c>
      <c r="I359" s="596">
        <f t="shared" si="28"/>
        <v>-2724587</v>
      </c>
      <c r="J359" s="81"/>
      <c r="K359" s="81"/>
      <c r="L359" s="597">
        <v>2009</v>
      </c>
      <c r="M359" s="81" t="str">
        <f>+IFERROR(VLOOKUP(L359,DATA!$G$4:$H$2000,2,FALSE),"")</f>
        <v>ХААН БАНК</v>
      </c>
      <c r="N359" s="435">
        <v>91</v>
      </c>
      <c r="O359" s="81" t="str">
        <f>IFERROR(VLOOKUP(N359,DATA!$K$4:$L$51,2,FALSE),"")</f>
        <v>Зээл, өрийн үнэт цаасны төлбөрт төлсөн</v>
      </c>
      <c r="P359" s="81"/>
      <c r="Q359" s="152">
        <f t="shared" si="29"/>
        <v>1</v>
      </c>
    </row>
    <row r="360" spans="1:17">
      <c r="B360" s="670">
        <f t="shared" si="30"/>
        <v>355</v>
      </c>
      <c r="C360" s="433">
        <v>42786</v>
      </c>
      <c r="D360" s="598" t="s">
        <v>1747</v>
      </c>
      <c r="E360" s="572">
        <v>702500</v>
      </c>
      <c r="F360" s="672" t="str">
        <f>IFERROR(VLOOKUP(E360,STAT1!$C$4:$D$1000,2,FALSE),"")</f>
        <v>Зээлийн хүүгийн зардал</v>
      </c>
      <c r="G360" s="377">
        <v>1855413</v>
      </c>
      <c r="H360" s="377"/>
      <c r="I360" s="596">
        <f t="shared" si="28"/>
        <v>0</v>
      </c>
      <c r="J360" s="81">
        <f>+IF(E360=110102,I360/K360,0)</f>
        <v>0</v>
      </c>
      <c r="K360" s="81"/>
      <c r="L360" s="597">
        <v>2009</v>
      </c>
      <c r="M360" s="81" t="str">
        <f>+IFERROR(VLOOKUP(L360,DATA!$G$4:$H$2000,2,FALSE),"")</f>
        <v>ХААН БАНК</v>
      </c>
      <c r="N360" s="435"/>
      <c r="O360" s="81" t="str">
        <f>IFERROR(VLOOKUP(N360,DATA!$K$4:$L$51,2,FALSE),"")</f>
        <v/>
      </c>
      <c r="P360" s="81"/>
      <c r="Q360" s="152">
        <f t="shared" si="29"/>
        <v>0</v>
      </c>
    </row>
    <row r="361" spans="1:17">
      <c r="B361" s="670">
        <f t="shared" si="30"/>
        <v>356</v>
      </c>
      <c r="C361" s="433">
        <v>42786</v>
      </c>
      <c r="D361" s="598" t="s">
        <v>1747</v>
      </c>
      <c r="E361" s="572">
        <v>110100</v>
      </c>
      <c r="F361" s="672" t="str">
        <f>IFERROR(VLOOKUP(E361,STAT1!$C$4:$D$1000,2,FALSE),"")</f>
        <v>Хаан Банк 5024654020</v>
      </c>
      <c r="G361" s="377"/>
      <c r="H361" s="377">
        <v>1855413</v>
      </c>
      <c r="I361" s="596">
        <f t="shared" si="28"/>
        <v>-1855413</v>
      </c>
      <c r="J361" s="81">
        <f>+IF(E361=110102,I361/K361,0)</f>
        <v>0</v>
      </c>
      <c r="K361" s="81"/>
      <c r="L361" s="597">
        <v>2009</v>
      </c>
      <c r="M361" s="81" t="str">
        <f>+IFERROR(VLOOKUP(L361,DATA!$G$4:$H$2000,2,FALSE),"")</f>
        <v>ХААН БАНК</v>
      </c>
      <c r="N361" s="435">
        <v>56</v>
      </c>
      <c r="O361" s="81" t="str">
        <f>IFERROR(VLOOKUP(N361,DATA!$K$4:$L$51,2,FALSE),"")</f>
        <v>Хүүний төлбөрт төлсөн</v>
      </c>
      <c r="P361" s="81"/>
      <c r="Q361" s="152">
        <f t="shared" si="29"/>
        <v>1</v>
      </c>
    </row>
    <row r="362" spans="1:17">
      <c r="B362" s="670">
        <f t="shared" si="30"/>
        <v>357</v>
      </c>
      <c r="C362" s="433">
        <v>42786</v>
      </c>
      <c r="D362" s="598" t="s">
        <v>1753</v>
      </c>
      <c r="E362" s="572">
        <v>120100</v>
      </c>
      <c r="F362" s="672" t="str">
        <f>IFERROR(VLOOKUP(E362,STAT1!$C$4:$D$1000,2,FALSE),"")</f>
        <v xml:space="preserve">Дансны авлага MNT </v>
      </c>
      <c r="G362" s="377">
        <v>1100000</v>
      </c>
      <c r="H362" s="377">
        <v>0</v>
      </c>
      <c r="I362" s="596">
        <f t="shared" si="28"/>
        <v>0</v>
      </c>
      <c r="J362" s="81">
        <f>+IF(E362=110102,I362/K362,0)</f>
        <v>0</v>
      </c>
      <c r="K362" s="81"/>
      <c r="L362" s="597">
        <v>3016</v>
      </c>
      <c r="M362" s="81" t="str">
        <f>+IFERROR(VLOOKUP(L362,DATA!$G$4:$H$2000,2,FALSE),"")</f>
        <v xml:space="preserve">СТИЙЛ АРТ ХХК </v>
      </c>
      <c r="N362" s="435"/>
      <c r="O362" s="81" t="str">
        <f>IFERROR(VLOOKUP(N362,DATA!$K$4:$L$51,2,FALSE),"")</f>
        <v/>
      </c>
      <c r="P362" s="81"/>
      <c r="Q362" s="152">
        <f t="shared" si="29"/>
        <v>0</v>
      </c>
    </row>
    <row r="363" spans="1:17">
      <c r="B363" s="670">
        <f t="shared" si="30"/>
        <v>358</v>
      </c>
      <c r="C363" s="433">
        <v>42786</v>
      </c>
      <c r="D363" s="598" t="s">
        <v>1753</v>
      </c>
      <c r="E363" s="572">
        <v>110100</v>
      </c>
      <c r="F363" s="672" t="str">
        <f>IFERROR(VLOOKUP(E363,STAT1!$C$4:$D$1000,2,FALSE),"")</f>
        <v>Хаан Банк 5024654020</v>
      </c>
      <c r="G363" s="377"/>
      <c r="H363" s="377">
        <v>1100000</v>
      </c>
      <c r="I363" s="596">
        <f t="shared" si="28"/>
        <v>-1100000</v>
      </c>
      <c r="J363" s="81">
        <f>+IF(E363=110102,I363/K363,0)</f>
        <v>0</v>
      </c>
      <c r="K363" s="81"/>
      <c r="L363" s="597">
        <v>3016</v>
      </c>
      <c r="M363" s="81" t="str">
        <f>+IFERROR(VLOOKUP(L363,DATA!$G$4:$H$2000,2,FALSE),"")</f>
        <v xml:space="preserve">СТИЙЛ АРТ ХХК </v>
      </c>
      <c r="N363" s="435">
        <v>53</v>
      </c>
      <c r="O363" s="81" t="str">
        <f>IFERROR(VLOOKUP(N363,DATA!$K$4:$L$51,2,FALSE),"")</f>
        <v>Бараа материал худалдан авахад төлсөн</v>
      </c>
      <c r="P363" s="81"/>
      <c r="Q363" s="152">
        <f t="shared" si="29"/>
        <v>1</v>
      </c>
    </row>
    <row r="364" spans="1:17">
      <c r="B364" s="670">
        <f t="shared" si="30"/>
        <v>359</v>
      </c>
      <c r="C364" s="433">
        <v>42787</v>
      </c>
      <c r="D364" s="434" t="s">
        <v>2681</v>
      </c>
      <c r="E364" s="673">
        <v>150101</v>
      </c>
      <c r="F364" s="672" t="str">
        <f>IFERROR(VLOOKUP(E364,STAT1!$C$4:$D$1000,2,FALSE),"")</f>
        <v>Бараа бэлэн бүтээгдэхүүн БОЛОВСРУУЛАХ ЦЕХ /нарс/</v>
      </c>
      <c r="G364" s="431"/>
      <c r="H364" s="431">
        <v>9287727.5082406718</v>
      </c>
      <c r="I364" s="596">
        <f t="shared" si="28"/>
        <v>0</v>
      </c>
      <c r="J364" s="81">
        <f>+IF(E364=110102,I364/K364,0)</f>
        <v>0</v>
      </c>
      <c r="K364" s="81"/>
      <c r="L364" s="597">
        <v>3002</v>
      </c>
      <c r="M364" s="81" t="str">
        <f>+IFERROR(VLOOKUP(L364,DATA!$G$4:$H$2000,2,FALSE),"")</f>
        <v>ЭКО КОНСТРАКШН ХХК</v>
      </c>
      <c r="N364" s="435"/>
      <c r="O364" s="81" t="str">
        <f>IFERROR(VLOOKUP(N364,DATA!$K$4:$L$51,2,FALSE),"")</f>
        <v/>
      </c>
      <c r="P364" s="81"/>
      <c r="Q364" s="152">
        <f t="shared" si="29"/>
        <v>0</v>
      </c>
    </row>
    <row r="365" spans="1:17">
      <c r="B365" s="670">
        <f t="shared" si="30"/>
        <v>360</v>
      </c>
      <c r="C365" s="433">
        <v>42787</v>
      </c>
      <c r="D365" s="434"/>
      <c r="E365" s="674">
        <v>610100</v>
      </c>
      <c r="F365" s="672" t="str">
        <f>IFERROR(VLOOKUP(E365,STAT1!$C$4:$D$1000,2,FALSE),"")</f>
        <v>Борлуулсан барааны өртөг</v>
      </c>
      <c r="G365" s="431">
        <v>9287727.5082406718</v>
      </c>
      <c r="H365" s="431"/>
      <c r="I365" s="596">
        <f t="shared" si="28"/>
        <v>0</v>
      </c>
      <c r="J365" s="81"/>
      <c r="K365" s="81"/>
      <c r="L365" s="597">
        <v>3002</v>
      </c>
      <c r="M365" s="81" t="str">
        <f>+IFERROR(VLOOKUP(L365,DATA!$G$4:$H$2000,2,FALSE),"")</f>
        <v>ЭКО КОНСТРАКШН ХХК</v>
      </c>
      <c r="N365" s="435"/>
      <c r="O365" s="81"/>
      <c r="P365" s="81"/>
      <c r="Q365" s="152">
        <f t="shared" si="29"/>
        <v>0</v>
      </c>
    </row>
    <row r="366" spans="1:17">
      <c r="B366" s="670">
        <f t="shared" si="30"/>
        <v>361</v>
      </c>
      <c r="C366" s="433">
        <v>42787</v>
      </c>
      <c r="D366" s="434" t="s">
        <v>587</v>
      </c>
      <c r="E366" s="674">
        <v>310500</v>
      </c>
      <c r="F366" s="672" t="str">
        <f>IFERROR(VLOOKUP(E366,STAT1!$C$4:$D$1000,2,FALSE),"")</f>
        <v>НӨАТ өглөг</v>
      </c>
      <c r="G366" s="431"/>
      <c r="H366" s="431">
        <v>1225114.5452253821</v>
      </c>
      <c r="I366" s="596">
        <f t="shared" si="28"/>
        <v>0</v>
      </c>
      <c r="J366" s="81">
        <f>+IF(E366=110102,I366/K366,0)</f>
        <v>0</v>
      </c>
      <c r="K366" s="81"/>
      <c r="L366" s="597">
        <v>3002</v>
      </c>
      <c r="M366" s="81" t="str">
        <f>+IFERROR(VLOOKUP(L366,DATA!$G$4:$H$2000,2,FALSE),"")</f>
        <v>ЭКО КОНСТРАКШН ХХК</v>
      </c>
      <c r="N366" s="435"/>
      <c r="O366" s="81" t="str">
        <f>IFERROR(VLOOKUP(N366,DATA!$K$4:$L$51,2,FALSE),"")</f>
        <v/>
      </c>
      <c r="P366" s="81"/>
      <c r="Q366" s="152">
        <f t="shared" si="29"/>
        <v>0</v>
      </c>
    </row>
    <row r="367" spans="1:17">
      <c r="B367" s="670">
        <f t="shared" si="30"/>
        <v>362</v>
      </c>
      <c r="C367" s="433">
        <v>42787</v>
      </c>
      <c r="D367" s="434" t="s">
        <v>587</v>
      </c>
      <c r="E367" s="674">
        <v>510000</v>
      </c>
      <c r="F367" s="672" t="str">
        <f>IFERROR(VLOOKUP(E367,STAT1!$C$4:$D$1000,2,FALSE),"")</f>
        <v>Үндсэн үйл ажиллагааны борлуулалт</v>
      </c>
      <c r="G367" s="431"/>
      <c r="H367" s="431">
        <v>12251145.45225382</v>
      </c>
      <c r="I367" s="596">
        <f t="shared" si="28"/>
        <v>0</v>
      </c>
      <c r="J367" s="81">
        <f>+IF(E367=110102,I367/K367,0)</f>
        <v>0</v>
      </c>
      <c r="K367" s="81"/>
      <c r="L367" s="597">
        <v>3002</v>
      </c>
      <c r="M367" s="81" t="str">
        <f>+IFERROR(VLOOKUP(L367,DATA!$G$4:$H$2000,2,FALSE),"")</f>
        <v>ЭКО КОНСТРАКШН ХХК</v>
      </c>
      <c r="N367" s="435"/>
      <c r="O367" s="81" t="str">
        <f>IFERROR(VLOOKUP(N367,DATA!$K$4:$L$51,2,FALSE),"")</f>
        <v/>
      </c>
      <c r="P367" s="81"/>
      <c r="Q367" s="152">
        <f t="shared" si="29"/>
        <v>0</v>
      </c>
    </row>
    <row r="368" spans="1:17">
      <c r="B368" s="670">
        <f t="shared" si="30"/>
        <v>363</v>
      </c>
      <c r="C368" s="433">
        <v>42787</v>
      </c>
      <c r="D368" s="434" t="s">
        <v>587</v>
      </c>
      <c r="E368" s="674">
        <v>320100</v>
      </c>
      <c r="F368" s="672" t="str">
        <f>IFERROR(VLOOKUP(E368,STAT1!$C$4:$D$1000,2,FALSE),"")</f>
        <v>Урьдчилж орсон орлого MNT</v>
      </c>
      <c r="G368" s="431">
        <v>13476259.997479202</v>
      </c>
      <c r="H368" s="431"/>
      <c r="I368" s="596">
        <f t="shared" si="28"/>
        <v>0</v>
      </c>
      <c r="J368" s="81">
        <f>+IF(E368=110102,I368/K368,0)</f>
        <v>0</v>
      </c>
      <c r="K368" s="81"/>
      <c r="L368" s="597">
        <v>3002</v>
      </c>
      <c r="M368" s="81" t="str">
        <f>+IFERROR(VLOOKUP(L368,DATA!$G$4:$H$2000,2,FALSE),"")</f>
        <v>ЭКО КОНСТРАКШН ХХК</v>
      </c>
      <c r="N368" s="435"/>
      <c r="O368" s="81" t="str">
        <f>IFERROR(VLOOKUP(N368,DATA!$K$4:$L$51,2,FALSE),"")</f>
        <v/>
      </c>
      <c r="P368" s="81"/>
      <c r="Q368" s="152">
        <f t="shared" si="29"/>
        <v>0</v>
      </c>
    </row>
    <row r="369" spans="2:17">
      <c r="B369" s="670">
        <f t="shared" si="30"/>
        <v>364</v>
      </c>
      <c r="C369" s="433">
        <v>42787</v>
      </c>
      <c r="D369" s="377" t="s">
        <v>2689</v>
      </c>
      <c r="E369" s="673">
        <v>150101</v>
      </c>
      <c r="F369" s="672" t="str">
        <f>IFERROR(VLOOKUP(E369,STAT1!$C$4:$D$1000,2,FALSE),"")</f>
        <v>Бараа бэлэн бүтээгдэхүүн БОЛОВСРУУЛАХ ЦЕХ /нарс/</v>
      </c>
      <c r="G369" s="377"/>
      <c r="H369" s="377">
        <v>268664.21760000003</v>
      </c>
      <c r="I369" s="596">
        <f t="shared" si="28"/>
        <v>0</v>
      </c>
      <c r="J369" s="81">
        <f>+IF(E369=110102,I369/K369,0)</f>
        <v>0</v>
      </c>
      <c r="K369" s="81"/>
      <c r="L369" s="597">
        <v>3006</v>
      </c>
      <c r="M369" s="81" t="str">
        <f>+IFERROR(VLOOKUP(L369,DATA!$G$4:$H$2000,2,FALSE),"")</f>
        <v xml:space="preserve">ПАЙОНЕРИНГ ИНТЕРНЭШНЛ ХХК </v>
      </c>
      <c r="N369" s="435"/>
      <c r="O369" s="81" t="str">
        <f>IFERROR(VLOOKUP(N369,DATA!$K$4:$L$51,2,FALSE),"")</f>
        <v/>
      </c>
      <c r="P369" s="81"/>
      <c r="Q369" s="152">
        <f t="shared" si="29"/>
        <v>0</v>
      </c>
    </row>
    <row r="370" spans="2:17">
      <c r="B370" s="670">
        <f t="shared" si="30"/>
        <v>365</v>
      </c>
      <c r="C370" s="433">
        <v>42787</v>
      </c>
      <c r="D370" s="377"/>
      <c r="E370" s="674">
        <v>610100</v>
      </c>
      <c r="F370" s="672" t="str">
        <f>IFERROR(VLOOKUP(E370,STAT1!$C$4:$D$1000,2,FALSE),"")</f>
        <v>Борлуулсан барааны өртөг</v>
      </c>
      <c r="G370" s="377">
        <v>268664.21760000003</v>
      </c>
      <c r="H370" s="377"/>
      <c r="I370" s="596">
        <f t="shared" si="28"/>
        <v>0</v>
      </c>
      <c r="J370" s="81"/>
      <c r="K370" s="81"/>
      <c r="L370" s="597">
        <v>3006</v>
      </c>
      <c r="M370" s="81" t="str">
        <f>+IFERROR(VLOOKUP(L370,DATA!$G$4:$H$2000,2,FALSE),"")</f>
        <v xml:space="preserve">ПАЙОНЕРИНГ ИНТЕРНЭШНЛ ХХК </v>
      </c>
      <c r="N370" s="435"/>
      <c r="O370" s="81"/>
      <c r="P370" s="81"/>
      <c r="Q370" s="152">
        <f t="shared" si="29"/>
        <v>0</v>
      </c>
    </row>
    <row r="371" spans="2:17">
      <c r="B371" s="670">
        <f t="shared" si="30"/>
        <v>366</v>
      </c>
      <c r="C371" s="433">
        <v>42787</v>
      </c>
      <c r="D371" s="377" t="s">
        <v>587</v>
      </c>
      <c r="E371" s="674">
        <v>310500</v>
      </c>
      <c r="F371" s="672" t="str">
        <f>IFERROR(VLOOKUP(E371,STAT1!$C$4:$D$1000,2,FALSE),"")</f>
        <v>НӨАТ өглөг</v>
      </c>
      <c r="G371" s="377"/>
      <c r="H371" s="377">
        <v>61444.545536000005</v>
      </c>
      <c r="I371" s="596">
        <f t="shared" si="28"/>
        <v>0</v>
      </c>
      <c r="J371" s="81">
        <f t="shared" ref="J371:J378" si="33">+IF(E371=110102,I371/K371,0)</f>
        <v>0</v>
      </c>
      <c r="K371" s="81"/>
      <c r="L371" s="597">
        <v>3006</v>
      </c>
      <c r="M371" s="81" t="str">
        <f>+IFERROR(VLOOKUP(L371,DATA!$G$4:$H$2000,2,FALSE),"")</f>
        <v xml:space="preserve">ПАЙОНЕРИНГ ИНТЕРНЭШНЛ ХХК </v>
      </c>
      <c r="N371" s="435"/>
      <c r="O371" s="81" t="str">
        <f>IFERROR(VLOOKUP(N371,DATA!$K$4:$L$51,2,FALSE),"")</f>
        <v/>
      </c>
      <c r="P371" s="81"/>
      <c r="Q371" s="152">
        <f t="shared" si="29"/>
        <v>0</v>
      </c>
    </row>
    <row r="372" spans="2:17">
      <c r="B372" s="670">
        <f t="shared" si="30"/>
        <v>367</v>
      </c>
      <c r="C372" s="433">
        <v>42787</v>
      </c>
      <c r="D372" s="377" t="s">
        <v>587</v>
      </c>
      <c r="E372" s="674">
        <v>510000</v>
      </c>
      <c r="F372" s="672" t="str">
        <f>IFERROR(VLOOKUP(E372,STAT1!$C$4:$D$1000,2,FALSE),"")</f>
        <v>Үндсэн үйл ажиллагааны борлуулалт</v>
      </c>
      <c r="G372" s="377"/>
      <c r="H372" s="377">
        <v>614445.45536000002</v>
      </c>
      <c r="I372" s="596">
        <f t="shared" si="28"/>
        <v>0</v>
      </c>
      <c r="J372" s="81">
        <f t="shared" si="33"/>
        <v>0</v>
      </c>
      <c r="K372" s="81"/>
      <c r="L372" s="597">
        <v>3006</v>
      </c>
      <c r="M372" s="81" t="str">
        <f>+IFERROR(VLOOKUP(L372,DATA!$G$4:$H$2000,2,FALSE),"")</f>
        <v xml:space="preserve">ПАЙОНЕРИНГ ИНТЕРНЭШНЛ ХХК </v>
      </c>
      <c r="N372" s="435"/>
      <c r="O372" s="81" t="str">
        <f>IFERROR(VLOOKUP(N372,DATA!$K$4:$L$51,2,FALSE),"")</f>
        <v/>
      </c>
      <c r="P372" s="81"/>
      <c r="Q372" s="152">
        <f t="shared" si="29"/>
        <v>0</v>
      </c>
    </row>
    <row r="373" spans="2:17">
      <c r="B373" s="670">
        <f t="shared" si="30"/>
        <v>368</v>
      </c>
      <c r="C373" s="433">
        <v>42787</v>
      </c>
      <c r="D373" s="377" t="s">
        <v>587</v>
      </c>
      <c r="E373" s="674">
        <v>320100</v>
      </c>
      <c r="F373" s="672" t="str">
        <f>IFERROR(VLOOKUP(E373,STAT1!$C$4:$D$1000,2,FALSE),"")</f>
        <v>Урьдчилж орсон орлого MNT</v>
      </c>
      <c r="G373" s="377">
        <v>675890.00089600007</v>
      </c>
      <c r="H373" s="377"/>
      <c r="I373" s="596">
        <f t="shared" si="28"/>
        <v>0</v>
      </c>
      <c r="J373" s="81">
        <f t="shared" si="33"/>
        <v>0</v>
      </c>
      <c r="K373" s="81"/>
      <c r="L373" s="597">
        <v>3006</v>
      </c>
      <c r="M373" s="81" t="str">
        <f>+IFERROR(VLOOKUP(L373,DATA!$G$4:$H$2000,2,FALSE),"")</f>
        <v xml:space="preserve">ПАЙОНЕРИНГ ИНТЕРНЭШНЛ ХХК </v>
      </c>
      <c r="N373" s="435"/>
      <c r="O373" s="81" t="str">
        <f>IFERROR(VLOOKUP(N373,DATA!$K$4:$L$51,2,FALSE),"")</f>
        <v/>
      </c>
      <c r="P373" s="81"/>
      <c r="Q373" s="152">
        <f t="shared" si="29"/>
        <v>0</v>
      </c>
    </row>
    <row r="374" spans="2:17">
      <c r="B374" s="670">
        <f t="shared" si="30"/>
        <v>369</v>
      </c>
      <c r="C374" s="433">
        <v>42787</v>
      </c>
      <c r="D374" s="377" t="s">
        <v>1741</v>
      </c>
      <c r="E374" s="572">
        <v>320100</v>
      </c>
      <c r="F374" s="672" t="str">
        <f>IFERROR(VLOOKUP(E374,STAT1!$C$4:$D$1000,2,FALSE),"")</f>
        <v>Урьдчилж орсон орлого MNT</v>
      </c>
      <c r="G374" s="377"/>
      <c r="H374" s="377">
        <v>69300</v>
      </c>
      <c r="I374" s="596">
        <f t="shared" si="28"/>
        <v>0</v>
      </c>
      <c r="J374" s="81">
        <f t="shared" si="33"/>
        <v>0</v>
      </c>
      <c r="K374" s="81"/>
      <c r="L374" s="597">
        <v>3014</v>
      </c>
      <c r="M374" s="81" t="str">
        <f>+IFERROR(VLOOKUP(L374,DATA!$G$4:$H$2000,2,FALSE),"")</f>
        <v xml:space="preserve">БОЛОР ШИЛЭН ТОЛЬ ХХК </v>
      </c>
      <c r="N374" s="435"/>
      <c r="O374" s="81" t="str">
        <f>IFERROR(VLOOKUP(N374,DATA!$K$4:$L$51,2,FALSE),"")</f>
        <v/>
      </c>
      <c r="P374" s="81"/>
      <c r="Q374" s="152">
        <f t="shared" si="29"/>
        <v>0</v>
      </c>
    </row>
    <row r="375" spans="2:17">
      <c r="B375" s="670">
        <f t="shared" si="30"/>
        <v>370</v>
      </c>
      <c r="C375" s="433">
        <v>42787</v>
      </c>
      <c r="D375" s="377" t="s">
        <v>1741</v>
      </c>
      <c r="E375" s="572">
        <v>100100</v>
      </c>
      <c r="F375" s="672" t="str">
        <f>IFERROR(VLOOKUP(E375,STAT1!$C$4:$D$1000,2,FALSE),"")</f>
        <v>Касс мөнгө MNT</v>
      </c>
      <c r="G375" s="377">
        <v>69300</v>
      </c>
      <c r="H375" s="377">
        <v>0</v>
      </c>
      <c r="I375" s="596">
        <f t="shared" si="28"/>
        <v>69300</v>
      </c>
      <c r="J375" s="81">
        <f t="shared" si="33"/>
        <v>0</v>
      </c>
      <c r="K375" s="81"/>
      <c r="L375" s="597">
        <v>3014</v>
      </c>
      <c r="M375" s="81" t="str">
        <f>+IFERROR(VLOOKUP(L375,DATA!$G$4:$H$2000,2,FALSE),"")</f>
        <v xml:space="preserve">БОЛОР ШИЛЭН ТОЛЬ ХХК </v>
      </c>
      <c r="N375" s="435">
        <v>41</v>
      </c>
      <c r="O375" s="81" t="str">
        <f>IFERROR(VLOOKUP(N375,DATA!$K$4:$L$51,2,FALSE),"")</f>
        <v>Бараа борлуулсан, үйлчилгээ үзүүлсэний орлого</v>
      </c>
      <c r="P375" s="81"/>
      <c r="Q375" s="152">
        <f t="shared" si="29"/>
        <v>1</v>
      </c>
    </row>
    <row r="376" spans="2:17">
      <c r="B376" s="670">
        <f t="shared" si="30"/>
        <v>371</v>
      </c>
      <c r="C376" s="433">
        <v>42787</v>
      </c>
      <c r="D376" s="598" t="s">
        <v>1741</v>
      </c>
      <c r="E376" s="572">
        <v>110100</v>
      </c>
      <c r="F376" s="672" t="str">
        <f>IFERROR(VLOOKUP(E376,STAT1!$C$4:$D$1000,2,FALSE),"")</f>
        <v>Хаан Банк 5024654020</v>
      </c>
      <c r="G376" s="377">
        <v>2717114</v>
      </c>
      <c r="H376" s="377"/>
      <c r="I376" s="596">
        <f t="shared" si="28"/>
        <v>2717114</v>
      </c>
      <c r="J376" s="81">
        <f t="shared" si="33"/>
        <v>0</v>
      </c>
      <c r="K376" s="81"/>
      <c r="L376" s="597">
        <v>3015</v>
      </c>
      <c r="M376" s="81" t="str">
        <f>+IFERROR(VLOOKUP(L376,DATA!$G$4:$H$2000,2,FALSE),"")</f>
        <v xml:space="preserve">АТМОР ГРУПП ХХК </v>
      </c>
      <c r="N376" s="435">
        <v>41</v>
      </c>
      <c r="O376" s="81" t="str">
        <f>IFERROR(VLOOKUP(N376,DATA!$K$4:$L$51,2,FALSE),"")</f>
        <v>Бараа борлуулсан, үйлчилгээ үзүүлсэний орлого</v>
      </c>
      <c r="P376" s="81"/>
      <c r="Q376" s="152">
        <f t="shared" si="29"/>
        <v>1</v>
      </c>
    </row>
    <row r="377" spans="2:17">
      <c r="B377" s="670">
        <f t="shared" si="30"/>
        <v>372</v>
      </c>
      <c r="C377" s="433">
        <v>42787</v>
      </c>
      <c r="D377" s="598" t="s">
        <v>1741</v>
      </c>
      <c r="E377" s="572">
        <v>320100</v>
      </c>
      <c r="F377" s="672" t="str">
        <f>IFERROR(VLOOKUP(E377,STAT1!$C$4:$D$1000,2,FALSE),"")</f>
        <v>Урьдчилж орсон орлого MNT</v>
      </c>
      <c r="G377" s="377">
        <v>0</v>
      </c>
      <c r="H377" s="377">
        <v>2717114</v>
      </c>
      <c r="I377" s="596">
        <f t="shared" si="28"/>
        <v>0</v>
      </c>
      <c r="J377" s="81">
        <f t="shared" si="33"/>
        <v>0</v>
      </c>
      <c r="K377" s="81"/>
      <c r="L377" s="597">
        <v>3015</v>
      </c>
      <c r="M377" s="81" t="str">
        <f>+IFERROR(VLOOKUP(L377,DATA!$G$4:$H$2000,2,FALSE),"")</f>
        <v xml:space="preserve">АТМОР ГРУПП ХХК </v>
      </c>
      <c r="N377" s="435"/>
      <c r="O377" s="81" t="str">
        <f>IFERROR(VLOOKUP(N377,DATA!$K$4:$L$51,2,FALSE),"")</f>
        <v/>
      </c>
      <c r="P377" s="81"/>
      <c r="Q377" s="152">
        <f t="shared" si="29"/>
        <v>0</v>
      </c>
    </row>
    <row r="378" spans="2:17">
      <c r="B378" s="670">
        <f t="shared" si="30"/>
        <v>373</v>
      </c>
      <c r="C378" s="433">
        <v>42788</v>
      </c>
      <c r="D378" s="377" t="s">
        <v>2681</v>
      </c>
      <c r="E378" s="673">
        <v>150101</v>
      </c>
      <c r="F378" s="672" t="str">
        <f>IFERROR(VLOOKUP(E378,STAT1!$C$4:$D$1000,2,FALSE),"")</f>
        <v>Бараа бэлэн бүтээгдэхүүн БОЛОВСРУУЛАХ ЦЕХ /нарс/</v>
      </c>
      <c r="G378" s="377"/>
      <c r="H378" s="377">
        <v>352514.26704963628</v>
      </c>
      <c r="I378" s="596">
        <f t="shared" si="28"/>
        <v>0</v>
      </c>
      <c r="J378" s="81">
        <f t="shared" si="33"/>
        <v>0</v>
      </c>
      <c r="K378" s="81"/>
      <c r="L378" s="597">
        <v>3007</v>
      </c>
      <c r="M378" s="81" t="str">
        <f>+IFERROR(VLOOKUP(L378,DATA!$G$4:$H$2000,2,FALSE),"")</f>
        <v xml:space="preserve">АЯНЧИН АУТФИТТЕРС ХХК </v>
      </c>
      <c r="N378" s="435"/>
      <c r="O378" s="81" t="str">
        <f>IFERROR(VLOOKUP(N378,DATA!$K$4:$L$51,2,FALSE),"")</f>
        <v/>
      </c>
      <c r="P378" s="81"/>
      <c r="Q378" s="152">
        <f t="shared" si="29"/>
        <v>0</v>
      </c>
    </row>
    <row r="379" spans="2:17">
      <c r="B379" s="670">
        <f t="shared" si="30"/>
        <v>374</v>
      </c>
      <c r="C379" s="433">
        <v>42788</v>
      </c>
      <c r="D379" s="377"/>
      <c r="E379" s="674">
        <v>610100</v>
      </c>
      <c r="F379" s="672" t="str">
        <f>IFERROR(VLOOKUP(E379,STAT1!$C$4:$D$1000,2,FALSE),"")</f>
        <v>Борлуулсан барааны өртөг</v>
      </c>
      <c r="G379" s="377">
        <v>352514.26704963628</v>
      </c>
      <c r="H379" s="377"/>
      <c r="I379" s="596">
        <f t="shared" si="28"/>
        <v>0</v>
      </c>
      <c r="J379" s="81"/>
      <c r="K379" s="81"/>
      <c r="L379" s="597">
        <v>3007</v>
      </c>
      <c r="M379" s="81" t="str">
        <f>+IFERROR(VLOOKUP(L379,DATA!$G$4:$H$2000,2,FALSE),"")</f>
        <v xml:space="preserve">АЯНЧИН АУТФИТТЕРС ХХК </v>
      </c>
      <c r="N379" s="435"/>
      <c r="O379" s="81"/>
      <c r="P379" s="81"/>
      <c r="Q379" s="152">
        <f t="shared" si="29"/>
        <v>0</v>
      </c>
    </row>
    <row r="380" spans="2:17">
      <c r="B380" s="670">
        <f t="shared" si="30"/>
        <v>375</v>
      </c>
      <c r="C380" s="433">
        <v>42788</v>
      </c>
      <c r="D380" s="377" t="s">
        <v>587</v>
      </c>
      <c r="E380" s="674">
        <v>310500</v>
      </c>
      <c r="F380" s="672" t="str">
        <f>IFERROR(VLOOKUP(E380,STAT1!$C$4:$D$1000,2,FALSE),"")</f>
        <v>НӨАТ өглөг</v>
      </c>
      <c r="G380" s="377"/>
      <c r="H380" s="377">
        <v>46500</v>
      </c>
      <c r="I380" s="596">
        <f t="shared" si="28"/>
        <v>0</v>
      </c>
      <c r="J380" s="81">
        <f t="shared" ref="J380:J390" si="34">+IF(E380=110102,I380/K380,0)</f>
        <v>0</v>
      </c>
      <c r="K380" s="81"/>
      <c r="L380" s="597">
        <v>3007</v>
      </c>
      <c r="M380" s="81" t="str">
        <f>+IFERROR(VLOOKUP(L380,DATA!$G$4:$H$2000,2,FALSE),"")</f>
        <v xml:space="preserve">АЯНЧИН АУТФИТТЕРС ХХК </v>
      </c>
      <c r="N380" s="435"/>
      <c r="O380" s="81" t="str">
        <f>IFERROR(VLOOKUP(N380,DATA!$K$4:$L$51,2,FALSE),"")</f>
        <v/>
      </c>
      <c r="P380" s="81"/>
      <c r="Q380" s="152">
        <f t="shared" si="29"/>
        <v>0</v>
      </c>
    </row>
    <row r="381" spans="2:17">
      <c r="B381" s="670">
        <f t="shared" si="30"/>
        <v>376</v>
      </c>
      <c r="C381" s="433">
        <v>42788</v>
      </c>
      <c r="D381" s="377" t="s">
        <v>587</v>
      </c>
      <c r="E381" s="674">
        <v>510000</v>
      </c>
      <c r="F381" s="672" t="str">
        <f>IFERROR(VLOOKUP(E381,STAT1!$C$4:$D$1000,2,FALSE),"")</f>
        <v>Үндсэн үйл ажиллагааны борлуулалт</v>
      </c>
      <c r="G381" s="377"/>
      <c r="H381" s="377">
        <v>465000</v>
      </c>
      <c r="I381" s="596">
        <f t="shared" si="28"/>
        <v>0</v>
      </c>
      <c r="J381" s="81">
        <f t="shared" si="34"/>
        <v>0</v>
      </c>
      <c r="K381" s="81"/>
      <c r="L381" s="597">
        <v>3007</v>
      </c>
      <c r="M381" s="81" t="str">
        <f>+IFERROR(VLOOKUP(L381,DATA!$G$4:$H$2000,2,FALSE),"")</f>
        <v xml:space="preserve">АЯНЧИН АУТФИТТЕРС ХХК </v>
      </c>
      <c r="N381" s="435"/>
      <c r="O381" s="81" t="str">
        <f>IFERROR(VLOOKUP(N381,DATA!$K$4:$L$51,2,FALSE),"")</f>
        <v/>
      </c>
      <c r="P381" s="81"/>
      <c r="Q381" s="152">
        <f t="shared" si="29"/>
        <v>0</v>
      </c>
    </row>
    <row r="382" spans="2:17">
      <c r="B382" s="670">
        <f t="shared" si="30"/>
        <v>377</v>
      </c>
      <c r="C382" s="433">
        <v>42788</v>
      </c>
      <c r="D382" s="377" t="s">
        <v>587</v>
      </c>
      <c r="E382" s="674">
        <v>320100</v>
      </c>
      <c r="F382" s="672" t="str">
        <f>IFERROR(VLOOKUP(E382,STAT1!$C$4:$D$1000,2,FALSE),"")</f>
        <v>Урьдчилж орсон орлого MNT</v>
      </c>
      <c r="G382" s="377">
        <v>511500</v>
      </c>
      <c r="H382" s="377"/>
      <c r="I382" s="596">
        <f t="shared" si="28"/>
        <v>0</v>
      </c>
      <c r="J382" s="81">
        <f t="shared" si="34"/>
        <v>0</v>
      </c>
      <c r="K382" s="81"/>
      <c r="L382" s="597">
        <v>3007</v>
      </c>
      <c r="M382" s="81" t="str">
        <f>+IFERROR(VLOOKUP(L382,DATA!$G$4:$H$2000,2,FALSE),"")</f>
        <v xml:space="preserve">АЯНЧИН АУТФИТТЕРС ХХК </v>
      </c>
      <c r="N382" s="435"/>
      <c r="O382" s="81" t="str">
        <f>IFERROR(VLOOKUP(N382,DATA!$K$4:$L$51,2,FALSE),"")</f>
        <v/>
      </c>
      <c r="P382" s="81"/>
      <c r="Q382" s="152">
        <f t="shared" si="29"/>
        <v>0</v>
      </c>
    </row>
    <row r="383" spans="2:17">
      <c r="B383" s="670">
        <f t="shared" si="30"/>
        <v>378</v>
      </c>
      <c r="C383" s="433">
        <v>42788</v>
      </c>
      <c r="D383" s="598" t="s">
        <v>1741</v>
      </c>
      <c r="E383" s="572">
        <v>110100</v>
      </c>
      <c r="F383" s="672" t="str">
        <f>IFERROR(VLOOKUP(E383,STAT1!$C$4:$D$1000,2,FALSE),"")</f>
        <v>Хаан Банк 5024654020</v>
      </c>
      <c r="G383" s="377">
        <v>255750</v>
      </c>
      <c r="H383" s="377"/>
      <c r="I383" s="596">
        <f t="shared" si="28"/>
        <v>255750</v>
      </c>
      <c r="J383" s="81">
        <f t="shared" si="34"/>
        <v>0</v>
      </c>
      <c r="K383" s="81"/>
      <c r="L383" s="597">
        <v>3007</v>
      </c>
      <c r="M383" s="81" t="str">
        <f>+IFERROR(VLOOKUP(L383,DATA!$G$4:$H$2000,2,FALSE),"")</f>
        <v xml:space="preserve">АЯНЧИН АУТФИТТЕРС ХХК </v>
      </c>
      <c r="N383" s="435">
        <v>41</v>
      </c>
      <c r="O383" s="81" t="str">
        <f>IFERROR(VLOOKUP(N383,DATA!$K$4:$L$51,2,FALSE),"")</f>
        <v>Бараа борлуулсан, үйлчилгээ үзүүлсэний орлого</v>
      </c>
      <c r="P383" s="81"/>
      <c r="Q383" s="152">
        <f t="shared" si="29"/>
        <v>1</v>
      </c>
    </row>
    <row r="384" spans="2:17">
      <c r="B384" s="670">
        <f t="shared" si="30"/>
        <v>379</v>
      </c>
      <c r="C384" s="433">
        <v>42788</v>
      </c>
      <c r="D384" s="598" t="s">
        <v>1741</v>
      </c>
      <c r="E384" s="572">
        <v>320100</v>
      </c>
      <c r="F384" s="672" t="str">
        <f>IFERROR(VLOOKUP(E384,STAT1!$C$4:$D$1000,2,FALSE),"")</f>
        <v>Урьдчилж орсон орлого MNT</v>
      </c>
      <c r="G384" s="377">
        <v>0</v>
      </c>
      <c r="H384" s="377">
        <v>255750</v>
      </c>
      <c r="I384" s="596">
        <f t="shared" si="28"/>
        <v>0</v>
      </c>
      <c r="J384" s="81">
        <f t="shared" si="34"/>
        <v>0</v>
      </c>
      <c r="K384" s="81"/>
      <c r="L384" s="597">
        <v>3007</v>
      </c>
      <c r="M384" s="81" t="str">
        <f>+IFERROR(VLOOKUP(L384,DATA!$G$4:$H$2000,2,FALSE),"")</f>
        <v xml:space="preserve">АЯНЧИН АУТФИТТЕРС ХХК </v>
      </c>
      <c r="N384" s="435"/>
      <c r="O384" s="81" t="str">
        <f>IFERROR(VLOOKUP(N384,DATA!$K$4:$L$51,2,FALSE),"")</f>
        <v/>
      </c>
      <c r="P384" s="81"/>
      <c r="Q384" s="152">
        <f t="shared" si="29"/>
        <v>0</v>
      </c>
    </row>
    <row r="385" spans="2:17">
      <c r="B385" s="670">
        <f t="shared" si="30"/>
        <v>380</v>
      </c>
      <c r="C385" s="433">
        <v>42789</v>
      </c>
      <c r="D385" s="377" t="s">
        <v>1742</v>
      </c>
      <c r="E385" s="572">
        <v>110100</v>
      </c>
      <c r="F385" s="672" t="str">
        <f>IFERROR(VLOOKUP(E385,STAT1!$C$4:$D$1000,2,FALSE),"")</f>
        <v>Хаан Банк 5024654020</v>
      </c>
      <c r="G385" s="377"/>
      <c r="H385" s="377">
        <v>2400000</v>
      </c>
      <c r="I385" s="596">
        <f t="shared" si="28"/>
        <v>-2400000</v>
      </c>
      <c r="J385" s="81">
        <f t="shared" si="34"/>
        <v>0</v>
      </c>
      <c r="K385" s="81"/>
      <c r="L385" s="597">
        <v>1005</v>
      </c>
      <c r="M385" s="81" t="str">
        <f>+IFERROR(VLOOKUP(L385,DATA!$G$4:$H$2000,2,FALSE),"")</f>
        <v>Золжаргал</v>
      </c>
      <c r="N385" s="435"/>
      <c r="O385" s="81" t="str">
        <f>IFERROR(VLOOKUP(N385,DATA!$K$4:$L$51,2,FALSE),"")</f>
        <v/>
      </c>
      <c r="P385" s="81"/>
      <c r="Q385" s="152">
        <f t="shared" si="29"/>
        <v>1</v>
      </c>
    </row>
    <row r="386" spans="2:17">
      <c r="B386" s="670">
        <f t="shared" si="30"/>
        <v>381</v>
      </c>
      <c r="C386" s="433">
        <v>42789</v>
      </c>
      <c r="D386" s="377" t="s">
        <v>1742</v>
      </c>
      <c r="E386" s="572">
        <v>100100</v>
      </c>
      <c r="F386" s="672" t="str">
        <f>IFERROR(VLOOKUP(E386,STAT1!$C$4:$D$1000,2,FALSE),"")</f>
        <v>Касс мөнгө MNT</v>
      </c>
      <c r="G386" s="377">
        <v>2400000</v>
      </c>
      <c r="H386" s="377">
        <v>0</v>
      </c>
      <c r="I386" s="596">
        <f t="shared" si="28"/>
        <v>2400000</v>
      </c>
      <c r="J386" s="81">
        <f t="shared" si="34"/>
        <v>0</v>
      </c>
      <c r="K386" s="81"/>
      <c r="L386" s="597">
        <v>1005</v>
      </c>
      <c r="M386" s="81" t="str">
        <f>+IFERROR(VLOOKUP(L386,DATA!$G$4:$H$2000,2,FALSE),"")</f>
        <v>Золжаргал</v>
      </c>
      <c r="N386" s="435">
        <v>0</v>
      </c>
      <c r="O386" s="81" t="str">
        <f>IFERROR(VLOOKUP(N386,DATA!$K$4:$L$51,2,FALSE),"")</f>
        <v/>
      </c>
      <c r="P386" s="81"/>
      <c r="Q386" s="152">
        <f t="shared" si="29"/>
        <v>1</v>
      </c>
    </row>
    <row r="387" spans="2:17">
      <c r="B387" s="670">
        <f t="shared" si="30"/>
        <v>382</v>
      </c>
      <c r="C387" s="433">
        <v>42789</v>
      </c>
      <c r="D387" s="598" t="s">
        <v>1714</v>
      </c>
      <c r="E387" s="572">
        <v>700700</v>
      </c>
      <c r="F387" s="672" t="str">
        <f>IFERROR(VLOOKUP(E387,STAT1!$C$4:$D$1000,2,FALSE),"")</f>
        <v>Цахилгаан эрчим хүч</v>
      </c>
      <c r="G387" s="377">
        <v>2883741.9</v>
      </c>
      <c r="H387" s="377">
        <v>0</v>
      </c>
      <c r="I387" s="596">
        <f t="shared" si="28"/>
        <v>0</v>
      </c>
      <c r="J387" s="81">
        <f t="shared" si="34"/>
        <v>0</v>
      </c>
      <c r="K387" s="81"/>
      <c r="L387" s="597">
        <v>2003</v>
      </c>
      <c r="M387" s="81" t="str">
        <f>+IFERROR(VLOOKUP(L387,DATA!$G$4:$H$2000,2,FALSE),"")</f>
        <v xml:space="preserve">УБЦТС ТӨХК </v>
      </c>
      <c r="N387" s="435"/>
      <c r="O387" s="81" t="str">
        <f>IFERROR(VLOOKUP(N387,DATA!$K$4:$L$51,2,FALSE),"")</f>
        <v/>
      </c>
      <c r="P387" s="81"/>
      <c r="Q387" s="152">
        <f t="shared" si="29"/>
        <v>0</v>
      </c>
    </row>
    <row r="388" spans="2:17">
      <c r="B388" s="670">
        <f t="shared" si="30"/>
        <v>383</v>
      </c>
      <c r="C388" s="433">
        <v>42789</v>
      </c>
      <c r="D388" s="598" t="s">
        <v>1714</v>
      </c>
      <c r="E388" s="572">
        <v>120600</v>
      </c>
      <c r="F388" s="672" t="str">
        <f>IFERROR(VLOOKUP(E388,STAT1!$C$4:$D$1000,2,FALSE),"")</f>
        <v>НӨАТ авлага</v>
      </c>
      <c r="G388" s="377">
        <v>288374.09999999998</v>
      </c>
      <c r="H388" s="377">
        <v>0</v>
      </c>
      <c r="I388" s="596">
        <f t="shared" si="28"/>
        <v>0</v>
      </c>
      <c r="J388" s="81">
        <f t="shared" si="34"/>
        <v>0</v>
      </c>
      <c r="K388" s="81"/>
      <c r="L388" s="597">
        <v>2003</v>
      </c>
      <c r="M388" s="81" t="str">
        <f>+IFERROR(VLOOKUP(L388,DATA!$G$4:$H$2000,2,FALSE),"")</f>
        <v xml:space="preserve">УБЦТС ТӨХК </v>
      </c>
      <c r="N388" s="435"/>
      <c r="O388" s="81" t="str">
        <f>IFERROR(VLOOKUP(N388,DATA!$K$4:$L$51,2,FALSE),"")</f>
        <v/>
      </c>
      <c r="P388" s="81"/>
      <c r="Q388" s="152">
        <f t="shared" si="29"/>
        <v>0</v>
      </c>
    </row>
    <row r="389" spans="2:17">
      <c r="B389" s="670">
        <f t="shared" si="30"/>
        <v>384</v>
      </c>
      <c r="C389" s="433">
        <v>42789</v>
      </c>
      <c r="D389" s="598" t="s">
        <v>1714</v>
      </c>
      <c r="E389" s="572">
        <v>110100</v>
      </c>
      <c r="F389" s="672" t="str">
        <f>IFERROR(VLOOKUP(E389,STAT1!$C$4:$D$1000,2,FALSE),"")</f>
        <v>Хаан Банк 5024654020</v>
      </c>
      <c r="G389" s="377"/>
      <c r="H389" s="377">
        <v>3172116</v>
      </c>
      <c r="I389" s="596">
        <f t="shared" si="28"/>
        <v>-3172116</v>
      </c>
      <c r="J389" s="81">
        <f t="shared" si="34"/>
        <v>0</v>
      </c>
      <c r="K389" s="81"/>
      <c r="L389" s="597">
        <v>2003</v>
      </c>
      <c r="M389" s="81" t="str">
        <f>+IFERROR(VLOOKUP(L389,DATA!$G$4:$H$2000,2,FALSE),"")</f>
        <v xml:space="preserve">УБЦТС ТӨХК </v>
      </c>
      <c r="N389" s="435">
        <v>54</v>
      </c>
      <c r="O389" s="81" t="str">
        <f>IFERROR(VLOOKUP(N389,DATA!$K$4:$L$51,2,FALSE),"")</f>
        <v>Ашиглалтын зардалд төлсөн</v>
      </c>
      <c r="P389" s="81"/>
      <c r="Q389" s="152">
        <f t="shared" si="29"/>
        <v>1</v>
      </c>
    </row>
    <row r="390" spans="2:17">
      <c r="B390" s="670">
        <f t="shared" si="30"/>
        <v>385</v>
      </c>
      <c r="C390" s="433">
        <v>42790</v>
      </c>
      <c r="D390" s="377" t="s">
        <v>2682</v>
      </c>
      <c r="E390" s="673">
        <v>150101</v>
      </c>
      <c r="F390" s="672" t="str">
        <f>IFERROR(VLOOKUP(E390,STAT1!$C$4:$D$1000,2,FALSE),"")</f>
        <v>Бараа бэлэн бүтээгдэхүүн БОЛОВСРУУЛАХ ЦЕХ /нарс/</v>
      </c>
      <c r="G390" s="377"/>
      <c r="H390" s="377">
        <v>105117.96170265593</v>
      </c>
      <c r="I390" s="596">
        <f t="shared" ref="I390:I453" si="35">+IF(OR(E390=100100,E390=100200,E390=110100,E390=110102,E390=110103,E390=110104,E390=110105,E390=110200,E390=110201,E390=110202,E390=110203,E390=110204,E390=110300),G390,0)+IF(OR(E390=100100,E390=100200,E390=110100,E390=110102,E390=110103,E390=110104,E390=110105,E390=110200,E390=110201,E390=110202,E390=110203,E390=110204,E390=110300),H390*-1,0)</f>
        <v>0</v>
      </c>
      <c r="J390" s="81">
        <f t="shared" si="34"/>
        <v>0</v>
      </c>
      <c r="K390" s="81"/>
      <c r="L390" s="597">
        <v>3001</v>
      </c>
      <c r="M390" s="81" t="str">
        <f>+IFERROR(VLOOKUP(L390,DATA!$G$4:$H$2000,2,FALSE),"")</f>
        <v>ХУРД ГРУПП ХХК</v>
      </c>
      <c r="N390" s="435"/>
      <c r="O390" s="81" t="str">
        <f>IFERROR(VLOOKUP(N390,DATA!$K$4:$L$51,2,FALSE),"")</f>
        <v/>
      </c>
      <c r="P390" s="81"/>
      <c r="Q390" s="152">
        <f t="shared" si="29"/>
        <v>0</v>
      </c>
    </row>
    <row r="391" spans="2:17">
      <c r="B391" s="670">
        <f t="shared" si="30"/>
        <v>386</v>
      </c>
      <c r="C391" s="433">
        <v>42790</v>
      </c>
      <c r="D391" s="377"/>
      <c r="E391" s="674">
        <v>610100</v>
      </c>
      <c r="F391" s="672" t="str">
        <f>IFERROR(VLOOKUP(E391,STAT1!$C$4:$D$1000,2,FALSE),"")</f>
        <v>Борлуулсан барааны өртөг</v>
      </c>
      <c r="G391" s="377">
        <v>105117.96170265593</v>
      </c>
      <c r="H391" s="377"/>
      <c r="I391" s="596">
        <f t="shared" si="35"/>
        <v>0</v>
      </c>
      <c r="J391" s="81"/>
      <c r="K391" s="81"/>
      <c r="L391" s="597">
        <v>3001</v>
      </c>
      <c r="M391" s="81" t="str">
        <f>+IFERROR(VLOOKUP(L391,DATA!$G$4:$H$2000,2,FALSE),"")</f>
        <v>ХУРД ГРУПП ХХК</v>
      </c>
      <c r="N391" s="435"/>
      <c r="O391" s="81"/>
      <c r="P391" s="81"/>
      <c r="Q391" s="152">
        <f t="shared" ref="Q391:Q454" si="36">+IF(I391,1,0)</f>
        <v>0</v>
      </c>
    </row>
    <row r="392" spans="2:17">
      <c r="B392" s="670">
        <f t="shared" si="30"/>
        <v>387</v>
      </c>
      <c r="C392" s="433">
        <v>42790</v>
      </c>
      <c r="D392" s="377" t="s">
        <v>587</v>
      </c>
      <c r="E392" s="674">
        <v>310500</v>
      </c>
      <c r="F392" s="672" t="str">
        <f>IFERROR(VLOOKUP(E392,STAT1!$C$4:$D$1000,2,FALSE),"")</f>
        <v>НӨАТ өглөг</v>
      </c>
      <c r="G392" s="377"/>
      <c r="H392" s="377">
        <v>66090.908999999985</v>
      </c>
      <c r="I392" s="596">
        <f t="shared" si="35"/>
        <v>0</v>
      </c>
      <c r="J392" s="81">
        <f>+IF(E392=110102,I392/K392,0)</f>
        <v>0</v>
      </c>
      <c r="K392" s="81"/>
      <c r="L392" s="597">
        <v>3001</v>
      </c>
      <c r="M392" s="81" t="str">
        <f>+IFERROR(VLOOKUP(L392,DATA!$G$4:$H$2000,2,FALSE),"")</f>
        <v>ХУРД ГРУПП ХХК</v>
      </c>
      <c r="N392" s="435"/>
      <c r="O392" s="81" t="str">
        <f>IFERROR(VLOOKUP(N392,DATA!$K$4:$L$51,2,FALSE),"")</f>
        <v/>
      </c>
      <c r="P392" s="81"/>
      <c r="Q392" s="152">
        <f t="shared" si="36"/>
        <v>0</v>
      </c>
    </row>
    <row r="393" spans="2:17">
      <c r="B393" s="670">
        <f t="shared" si="30"/>
        <v>388</v>
      </c>
      <c r="C393" s="433">
        <v>42790</v>
      </c>
      <c r="D393" s="377" t="s">
        <v>587</v>
      </c>
      <c r="E393" s="674">
        <v>510000</v>
      </c>
      <c r="F393" s="672" t="str">
        <f>IFERROR(VLOOKUP(E393,STAT1!$C$4:$D$1000,2,FALSE),"")</f>
        <v>Үндсэн үйл ажиллагааны борлуулалт</v>
      </c>
      <c r="G393" s="377"/>
      <c r="H393" s="377">
        <v>660909.08999999985</v>
      </c>
      <c r="I393" s="596">
        <f t="shared" si="35"/>
        <v>0</v>
      </c>
      <c r="J393" s="81">
        <f>+IF(E393=110102,I393/K393,0)</f>
        <v>0</v>
      </c>
      <c r="K393" s="81"/>
      <c r="L393" s="597">
        <v>3001</v>
      </c>
      <c r="M393" s="81" t="str">
        <f>+IFERROR(VLOOKUP(L393,DATA!$G$4:$H$2000,2,FALSE),"")</f>
        <v>ХУРД ГРУПП ХХК</v>
      </c>
      <c r="N393" s="435"/>
      <c r="O393" s="81" t="str">
        <f>IFERROR(VLOOKUP(N393,DATA!$K$4:$L$51,2,FALSE),"")</f>
        <v/>
      </c>
      <c r="P393" s="81"/>
      <c r="Q393" s="152">
        <f t="shared" si="36"/>
        <v>0</v>
      </c>
    </row>
    <row r="394" spans="2:17">
      <c r="B394" s="670">
        <f t="shared" si="30"/>
        <v>389</v>
      </c>
      <c r="C394" s="433">
        <v>42790</v>
      </c>
      <c r="D394" s="377" t="s">
        <v>587</v>
      </c>
      <c r="E394" s="674">
        <v>320100</v>
      </c>
      <c r="F394" s="672" t="str">
        <f>IFERROR(VLOOKUP(E394,STAT1!$C$4:$D$1000,2,FALSE),"")</f>
        <v>Урьдчилж орсон орлого MNT</v>
      </c>
      <c r="G394" s="377">
        <v>726999.99899999984</v>
      </c>
      <c r="H394" s="377"/>
      <c r="I394" s="596">
        <f t="shared" si="35"/>
        <v>0</v>
      </c>
      <c r="J394" s="81">
        <f>+IF(E394=110102,I394/K394,0)</f>
        <v>0</v>
      </c>
      <c r="K394" s="81"/>
      <c r="L394" s="597">
        <v>3001</v>
      </c>
      <c r="M394" s="81" t="str">
        <f>+IFERROR(VLOOKUP(L394,DATA!$G$4:$H$2000,2,FALSE),"")</f>
        <v>ХУРД ГРУПП ХХК</v>
      </c>
      <c r="N394" s="435"/>
      <c r="O394" s="81" t="str">
        <f>IFERROR(VLOOKUP(N394,DATA!$K$4:$L$51,2,FALSE),"")</f>
        <v/>
      </c>
      <c r="P394" s="81"/>
      <c r="Q394" s="152">
        <f t="shared" si="36"/>
        <v>0</v>
      </c>
    </row>
    <row r="395" spans="2:17">
      <c r="B395" s="670">
        <f t="shared" ref="B395:B458" si="37">+IF(C395="","",ROW()-5)</f>
        <v>390</v>
      </c>
      <c r="C395" s="433">
        <v>42790</v>
      </c>
      <c r="D395" s="377" t="s">
        <v>2682</v>
      </c>
      <c r="E395" s="673">
        <v>150101</v>
      </c>
      <c r="F395" s="672" t="str">
        <f>IFERROR(VLOOKUP(E395,STAT1!$C$4:$D$1000,2,FALSE),"")</f>
        <v>Бараа бэлэн бүтээгдэхүүн БОЛОВСРУУЛАХ ЦЕХ /нарс/</v>
      </c>
      <c r="G395" s="377"/>
      <c r="H395" s="377">
        <v>3974414.5701940544</v>
      </c>
      <c r="I395" s="596">
        <f t="shared" si="35"/>
        <v>0</v>
      </c>
      <c r="J395" s="81">
        <f>+IF(E395=110102,I395/K395,0)</f>
        <v>0</v>
      </c>
      <c r="K395" s="81"/>
      <c r="L395" s="597">
        <v>3015</v>
      </c>
      <c r="M395" s="81" t="str">
        <f>+IFERROR(VLOOKUP(L395,DATA!$G$4:$H$2000,2,FALSE),"")</f>
        <v xml:space="preserve">АТМОР ГРУПП ХХК </v>
      </c>
      <c r="N395" s="435"/>
      <c r="O395" s="81" t="str">
        <f>IFERROR(VLOOKUP(N395,DATA!$K$4:$L$51,2,FALSE),"")</f>
        <v/>
      </c>
      <c r="P395" s="81"/>
      <c r="Q395" s="152">
        <f t="shared" si="36"/>
        <v>0</v>
      </c>
    </row>
    <row r="396" spans="2:17">
      <c r="B396" s="670">
        <f t="shared" si="37"/>
        <v>391</v>
      </c>
      <c r="C396" s="433">
        <v>42790</v>
      </c>
      <c r="D396" s="377"/>
      <c r="E396" s="674">
        <v>610100</v>
      </c>
      <c r="F396" s="672" t="str">
        <f>IFERROR(VLOOKUP(E396,STAT1!$C$4:$D$1000,2,FALSE),"")</f>
        <v>Борлуулсан барааны өртөг</v>
      </c>
      <c r="G396" s="377">
        <v>3974414.5701940544</v>
      </c>
      <c r="H396" s="377"/>
      <c r="I396" s="596">
        <f t="shared" si="35"/>
        <v>0</v>
      </c>
      <c r="J396" s="81"/>
      <c r="K396" s="81"/>
      <c r="L396" s="597">
        <v>3015</v>
      </c>
      <c r="M396" s="81" t="str">
        <f>+IFERROR(VLOOKUP(L396,DATA!$G$4:$H$2000,2,FALSE),"")</f>
        <v xml:space="preserve">АТМОР ГРУПП ХХК </v>
      </c>
      <c r="N396" s="435"/>
      <c r="O396" s="81"/>
      <c r="P396" s="81"/>
      <c r="Q396" s="152">
        <f t="shared" si="36"/>
        <v>0</v>
      </c>
    </row>
    <row r="397" spans="2:17">
      <c r="B397" s="670">
        <f t="shared" si="37"/>
        <v>392</v>
      </c>
      <c r="C397" s="433">
        <v>42790</v>
      </c>
      <c r="D397" s="377" t="s">
        <v>587</v>
      </c>
      <c r="E397" s="674">
        <v>310500</v>
      </c>
      <c r="F397" s="672" t="str">
        <f>IFERROR(VLOOKUP(E397,STAT1!$C$4:$D$1000,2,FALSE),"")</f>
        <v>НӨАТ өглөг</v>
      </c>
      <c r="G397" s="377"/>
      <c r="H397" s="377">
        <v>529336.45466499997</v>
      </c>
      <c r="I397" s="596">
        <f t="shared" si="35"/>
        <v>0</v>
      </c>
      <c r="J397" s="81">
        <f t="shared" ref="J397:J414" si="38">+IF(E397=110102,I397/K397,0)</f>
        <v>0</v>
      </c>
      <c r="K397" s="81"/>
      <c r="L397" s="597">
        <v>3015</v>
      </c>
      <c r="M397" s="81" t="str">
        <f>+IFERROR(VLOOKUP(L397,DATA!$G$4:$H$2000,2,FALSE),"")</f>
        <v xml:space="preserve">АТМОР ГРУПП ХХК </v>
      </c>
      <c r="N397" s="435"/>
      <c r="O397" s="81" t="str">
        <f>IFERROR(VLOOKUP(N397,DATA!$K$4:$L$51,2,FALSE),"")</f>
        <v/>
      </c>
      <c r="P397" s="81"/>
      <c r="Q397" s="152">
        <f t="shared" si="36"/>
        <v>0</v>
      </c>
    </row>
    <row r="398" spans="2:17">
      <c r="B398" s="670">
        <f t="shared" si="37"/>
        <v>393</v>
      </c>
      <c r="C398" s="433">
        <v>42790</v>
      </c>
      <c r="D398" s="377" t="s">
        <v>587</v>
      </c>
      <c r="E398" s="674">
        <v>510000</v>
      </c>
      <c r="F398" s="672" t="str">
        <f>IFERROR(VLOOKUP(E398,STAT1!$C$4:$D$1000,2,FALSE),"")</f>
        <v>Үндсэн үйл ажиллагааны борлуулалт</v>
      </c>
      <c r="G398" s="377"/>
      <c r="H398" s="377">
        <v>5293364.5466499999</v>
      </c>
      <c r="I398" s="596">
        <f t="shared" si="35"/>
        <v>0</v>
      </c>
      <c r="J398" s="81">
        <f t="shared" si="38"/>
        <v>0</v>
      </c>
      <c r="K398" s="81"/>
      <c r="L398" s="597">
        <v>3015</v>
      </c>
      <c r="M398" s="81" t="str">
        <f>+IFERROR(VLOOKUP(L398,DATA!$G$4:$H$2000,2,FALSE),"")</f>
        <v xml:space="preserve">АТМОР ГРУПП ХХК </v>
      </c>
      <c r="N398" s="435"/>
      <c r="O398" s="81" t="str">
        <f>IFERROR(VLOOKUP(N398,DATA!$K$4:$L$51,2,FALSE),"")</f>
        <v/>
      </c>
      <c r="P398" s="81"/>
      <c r="Q398" s="152">
        <f t="shared" si="36"/>
        <v>0</v>
      </c>
    </row>
    <row r="399" spans="2:17">
      <c r="B399" s="670">
        <f t="shared" si="37"/>
        <v>394</v>
      </c>
      <c r="C399" s="433">
        <v>42790</v>
      </c>
      <c r="D399" s="377" t="s">
        <v>587</v>
      </c>
      <c r="E399" s="674">
        <v>320100</v>
      </c>
      <c r="F399" s="672" t="str">
        <f>IFERROR(VLOOKUP(E399,STAT1!$C$4:$D$1000,2,FALSE),"")</f>
        <v>Урьдчилж орсон орлого MNT</v>
      </c>
      <c r="G399" s="377">
        <v>5822701.0013149995</v>
      </c>
      <c r="H399" s="377"/>
      <c r="I399" s="596">
        <f t="shared" si="35"/>
        <v>0</v>
      </c>
      <c r="J399" s="81">
        <f t="shared" si="38"/>
        <v>0</v>
      </c>
      <c r="K399" s="81"/>
      <c r="L399" s="597">
        <v>3015</v>
      </c>
      <c r="M399" s="81" t="str">
        <f>+IFERROR(VLOOKUP(L399,DATA!$G$4:$H$2000,2,FALSE),"")</f>
        <v xml:space="preserve">АТМОР ГРУПП ХХК </v>
      </c>
      <c r="N399" s="435"/>
      <c r="O399" s="81" t="str">
        <f>IFERROR(VLOOKUP(N399,DATA!$K$4:$L$51,2,FALSE),"")</f>
        <v/>
      </c>
      <c r="P399" s="81"/>
      <c r="Q399" s="152">
        <f t="shared" si="36"/>
        <v>0</v>
      </c>
    </row>
    <row r="400" spans="2:17">
      <c r="B400" s="670">
        <f t="shared" si="37"/>
        <v>395</v>
      </c>
      <c r="C400" s="433">
        <v>42794</v>
      </c>
      <c r="D400" s="377" t="s">
        <v>1701</v>
      </c>
      <c r="E400" s="572">
        <v>100100</v>
      </c>
      <c r="F400" s="672" t="str">
        <f>IFERROR(VLOOKUP(E400,STAT1!$C$4:$D$1000,2,FALSE),"")</f>
        <v>Касс мөнгө MNT</v>
      </c>
      <c r="G400" s="377"/>
      <c r="H400" s="377">
        <v>1500000</v>
      </c>
      <c r="I400" s="596">
        <f t="shared" si="35"/>
        <v>-1500000</v>
      </c>
      <c r="J400" s="81">
        <f t="shared" si="38"/>
        <v>0</v>
      </c>
      <c r="K400" s="81"/>
      <c r="L400" s="597">
        <v>2012</v>
      </c>
      <c r="M400" s="81" t="str">
        <f>+IFERROR(VLOOKUP(L400,DATA!$G$4:$H$2000,2,FALSE),"")</f>
        <v>ИХ ТУГЧ ХХК</v>
      </c>
      <c r="N400" s="435">
        <v>59</v>
      </c>
      <c r="O400" s="81" t="str">
        <f>IFERROR(VLOOKUP(N400,DATA!$K$4:$L$51,2,FALSE),"")</f>
        <v>Бусад мөнгөн зарлага</v>
      </c>
      <c r="P400" s="81"/>
      <c r="Q400" s="152">
        <f t="shared" si="36"/>
        <v>1</v>
      </c>
    </row>
    <row r="401" spans="2:17">
      <c r="B401" s="670">
        <f t="shared" si="37"/>
        <v>396</v>
      </c>
      <c r="C401" s="433">
        <v>42794</v>
      </c>
      <c r="D401" s="377" t="s">
        <v>1701</v>
      </c>
      <c r="E401" s="572">
        <v>705800</v>
      </c>
      <c r="F401" s="672" t="str">
        <f>IFERROR(VLOOKUP(E401,STAT1!$C$4:$D$1000,2,FALSE),"")</f>
        <v>Харуул хамгаалалт</v>
      </c>
      <c r="G401" s="377">
        <v>1500000</v>
      </c>
      <c r="H401" s="377">
        <v>0</v>
      </c>
      <c r="I401" s="596">
        <f t="shared" si="35"/>
        <v>0</v>
      </c>
      <c r="J401" s="81">
        <f t="shared" si="38"/>
        <v>0</v>
      </c>
      <c r="K401" s="81"/>
      <c r="L401" s="597">
        <v>2012</v>
      </c>
      <c r="M401" s="81" t="str">
        <f>+IFERROR(VLOOKUP(L401,DATA!$G$4:$H$2000,2,FALSE),"")</f>
        <v>ИХ ТУГЧ ХХК</v>
      </c>
      <c r="N401" s="435"/>
      <c r="O401" s="81" t="str">
        <f>IFERROR(VLOOKUP(N401,DATA!$K$4:$L$51,2,FALSE),"")</f>
        <v/>
      </c>
      <c r="P401" s="81"/>
      <c r="Q401" s="152">
        <f t="shared" si="36"/>
        <v>0</v>
      </c>
    </row>
    <row r="402" spans="2:17">
      <c r="B402" s="670">
        <f t="shared" si="37"/>
        <v>397</v>
      </c>
      <c r="C402" s="433">
        <v>42794</v>
      </c>
      <c r="D402" s="377" t="s">
        <v>1711</v>
      </c>
      <c r="E402" s="572">
        <v>100100</v>
      </c>
      <c r="F402" s="672" t="str">
        <f>IFERROR(VLOOKUP(E402,STAT1!$C$4:$D$1000,2,FALSE),"")</f>
        <v>Касс мөнгө MNT</v>
      </c>
      <c r="G402" s="377"/>
      <c r="H402" s="377">
        <v>8553344.1500000004</v>
      </c>
      <c r="I402" s="596">
        <f t="shared" si="35"/>
        <v>-8553344.1500000004</v>
      </c>
      <c r="J402" s="81">
        <f t="shared" si="38"/>
        <v>0</v>
      </c>
      <c r="K402" s="81"/>
      <c r="L402" s="597">
        <v>1004</v>
      </c>
      <c r="M402" s="81" t="str">
        <f>+IFERROR(VLOOKUP(L402,DATA!$G$4:$H$2000,2,FALSE),"")</f>
        <v xml:space="preserve">Түмэндэлгэр </v>
      </c>
      <c r="N402" s="435">
        <v>51</v>
      </c>
      <c r="O402" s="81" t="str">
        <f>IFERROR(VLOOKUP(N402,DATA!$K$4:$L$51,2,FALSE),"")</f>
        <v>Ажиллагчдад төлсөн</v>
      </c>
      <c r="P402" s="81"/>
      <c r="Q402" s="152">
        <f t="shared" si="36"/>
        <v>1</v>
      </c>
    </row>
    <row r="403" spans="2:17">
      <c r="B403" s="670">
        <f t="shared" si="37"/>
        <v>398</v>
      </c>
      <c r="C403" s="433">
        <v>42794</v>
      </c>
      <c r="D403" s="377" t="s">
        <v>1711</v>
      </c>
      <c r="E403" s="572">
        <v>311000</v>
      </c>
      <c r="F403" s="672" t="str">
        <f>IFERROR(VLOOKUP(E403,STAT1!$C$4:$D$1000,2,FALSE),"")</f>
        <v>Цалингийн өглөг</v>
      </c>
      <c r="G403" s="377">
        <v>8553344.1500000004</v>
      </c>
      <c r="H403" s="377">
        <v>0</v>
      </c>
      <c r="I403" s="596">
        <f t="shared" si="35"/>
        <v>0</v>
      </c>
      <c r="J403" s="81">
        <f t="shared" si="38"/>
        <v>0</v>
      </c>
      <c r="K403" s="81"/>
      <c r="L403" s="597">
        <v>1004</v>
      </c>
      <c r="M403" s="81" t="str">
        <f>+IFERROR(VLOOKUP(L403,DATA!$G$4:$H$2000,2,FALSE),"")</f>
        <v xml:space="preserve">Түмэндэлгэр </v>
      </c>
      <c r="N403" s="435"/>
      <c r="O403" s="81" t="str">
        <f>IFERROR(VLOOKUP(N403,DATA!$K$4:$L$51,2,FALSE),"")</f>
        <v/>
      </c>
      <c r="P403" s="81"/>
      <c r="Q403" s="152">
        <f t="shared" si="36"/>
        <v>0</v>
      </c>
    </row>
    <row r="404" spans="2:17">
      <c r="B404" s="670">
        <f t="shared" si="37"/>
        <v>399</v>
      </c>
      <c r="C404" s="433">
        <v>42794</v>
      </c>
      <c r="D404" s="598" t="s">
        <v>1751</v>
      </c>
      <c r="E404" s="572">
        <v>704900</v>
      </c>
      <c r="F404" s="672" t="str">
        <f>IFERROR(VLOOKUP(E404,STAT1!$C$4:$D$1000,2,FALSE),"")</f>
        <v>Банкны үйлчилгээ</v>
      </c>
      <c r="G404" s="377">
        <v>2000</v>
      </c>
      <c r="H404" s="377">
        <v>0</v>
      </c>
      <c r="I404" s="596">
        <f t="shared" si="35"/>
        <v>0</v>
      </c>
      <c r="J404" s="81">
        <f t="shared" si="38"/>
        <v>0</v>
      </c>
      <c r="K404" s="81"/>
      <c r="L404" s="597">
        <v>2009</v>
      </c>
      <c r="M404" s="81" t="str">
        <f>+IFERROR(VLOOKUP(L404,DATA!$G$4:$H$2000,2,FALSE),"")</f>
        <v>ХААН БАНК</v>
      </c>
      <c r="N404" s="435"/>
      <c r="O404" s="81" t="str">
        <f>IFERROR(VLOOKUP(N404,DATA!$K$4:$L$51,2,FALSE),"")</f>
        <v/>
      </c>
      <c r="P404" s="81"/>
      <c r="Q404" s="152">
        <f t="shared" si="36"/>
        <v>0</v>
      </c>
    </row>
    <row r="405" spans="2:17">
      <c r="B405" s="670">
        <f t="shared" si="37"/>
        <v>400</v>
      </c>
      <c r="C405" s="433">
        <v>42794</v>
      </c>
      <c r="D405" s="598" t="s">
        <v>1751</v>
      </c>
      <c r="E405" s="572">
        <v>110100</v>
      </c>
      <c r="F405" s="672" t="str">
        <f>IFERROR(VLOOKUP(E405,STAT1!$C$4:$D$1000,2,FALSE),"")</f>
        <v>Хаан Банк 5024654020</v>
      </c>
      <c r="G405" s="377"/>
      <c r="H405" s="377">
        <v>2000</v>
      </c>
      <c r="I405" s="596">
        <f t="shared" si="35"/>
        <v>-2000</v>
      </c>
      <c r="J405" s="81">
        <f t="shared" si="38"/>
        <v>0</v>
      </c>
      <c r="K405" s="81"/>
      <c r="L405" s="597">
        <v>2009</v>
      </c>
      <c r="M405" s="81" t="str">
        <f>+IFERROR(VLOOKUP(L405,DATA!$G$4:$H$2000,2,FALSE),"")</f>
        <v>ХААН БАНК</v>
      </c>
      <c r="N405" s="435">
        <v>59</v>
      </c>
      <c r="O405" s="81" t="str">
        <f>IFERROR(VLOOKUP(N405,DATA!$K$4:$L$51,2,FALSE),"")</f>
        <v>Бусад мөнгөн зарлага</v>
      </c>
      <c r="P405" s="81"/>
      <c r="Q405" s="152">
        <f t="shared" si="36"/>
        <v>1</v>
      </c>
    </row>
    <row r="406" spans="2:17">
      <c r="B406" s="670">
        <f t="shared" si="37"/>
        <v>401</v>
      </c>
      <c r="C406" s="433">
        <v>42794</v>
      </c>
      <c r="D406" s="598" t="s">
        <v>1750</v>
      </c>
      <c r="E406" s="572">
        <v>704900</v>
      </c>
      <c r="F406" s="672" t="str">
        <f>IFERROR(VLOOKUP(E406,STAT1!$C$4:$D$1000,2,FALSE),"")</f>
        <v>Банкны үйлчилгээ</v>
      </c>
      <c r="G406" s="377">
        <v>1400</v>
      </c>
      <c r="H406" s="377">
        <v>0</v>
      </c>
      <c r="I406" s="596">
        <f t="shared" si="35"/>
        <v>0</v>
      </c>
      <c r="J406" s="81">
        <f t="shared" si="38"/>
        <v>0</v>
      </c>
      <c r="K406" s="81"/>
      <c r="L406" s="597">
        <v>2009</v>
      </c>
      <c r="M406" s="81" t="str">
        <f>+IFERROR(VLOOKUP(L406,DATA!$G$4:$H$2000,2,FALSE),"")</f>
        <v>ХААН БАНК</v>
      </c>
      <c r="N406" s="435"/>
      <c r="O406" s="81" t="str">
        <f>IFERROR(VLOOKUP(N406,DATA!$K$4:$L$51,2,FALSE),"")</f>
        <v/>
      </c>
      <c r="P406" s="81"/>
      <c r="Q406" s="152">
        <f t="shared" si="36"/>
        <v>0</v>
      </c>
    </row>
    <row r="407" spans="2:17">
      <c r="B407" s="670">
        <f t="shared" si="37"/>
        <v>402</v>
      </c>
      <c r="C407" s="433">
        <v>42794</v>
      </c>
      <c r="D407" s="598" t="s">
        <v>1750</v>
      </c>
      <c r="E407" s="572">
        <v>110100</v>
      </c>
      <c r="F407" s="672" t="str">
        <f>IFERROR(VLOOKUP(E407,STAT1!$C$4:$D$1000,2,FALSE),"")</f>
        <v>Хаан Банк 5024654020</v>
      </c>
      <c r="G407" s="377"/>
      <c r="H407" s="377">
        <v>1400</v>
      </c>
      <c r="I407" s="596">
        <f t="shared" si="35"/>
        <v>-1400</v>
      </c>
      <c r="J407" s="81">
        <f t="shared" si="38"/>
        <v>0</v>
      </c>
      <c r="K407" s="81"/>
      <c r="L407" s="597">
        <v>2009</v>
      </c>
      <c r="M407" s="81" t="str">
        <f>+IFERROR(VLOOKUP(L407,DATA!$G$4:$H$2000,2,FALSE),"")</f>
        <v>ХААН БАНК</v>
      </c>
      <c r="N407" s="435">
        <v>59</v>
      </c>
      <c r="O407" s="81" t="str">
        <f>IFERROR(VLOOKUP(N407,DATA!$K$4:$L$51,2,FALSE),"")</f>
        <v>Бусад мөнгөн зарлага</v>
      </c>
      <c r="P407" s="81"/>
      <c r="Q407" s="152">
        <f t="shared" si="36"/>
        <v>1</v>
      </c>
    </row>
    <row r="408" spans="2:17">
      <c r="B408" s="670">
        <f t="shared" si="37"/>
        <v>403</v>
      </c>
      <c r="C408" s="433">
        <v>42794</v>
      </c>
      <c r="D408" s="377" t="s">
        <v>1568</v>
      </c>
      <c r="E408" s="572">
        <v>700200</v>
      </c>
      <c r="F408" s="672" t="str">
        <f>IFERROR(VLOOKUP(E408,STAT1!$C$4:$D$8000,2,FALSE),"")</f>
        <v>НДШимтгэл</v>
      </c>
      <c r="G408" s="377">
        <v>1279205.8</v>
      </c>
      <c r="H408" s="377"/>
      <c r="I408" s="596">
        <f t="shared" si="35"/>
        <v>0</v>
      </c>
      <c r="J408" s="81">
        <f t="shared" si="38"/>
        <v>0</v>
      </c>
      <c r="K408" s="81"/>
      <c r="L408" s="597">
        <v>1004</v>
      </c>
      <c r="M408" s="81" t="str">
        <f>+IFERROR(VLOOKUP(L408,DATA!$G$4:$H$2000,2,FALSE),"")</f>
        <v xml:space="preserve">Түмэндэлгэр </v>
      </c>
      <c r="N408" s="166"/>
      <c r="O408" s="81" t="str">
        <f>IFERROR(VLOOKUP(N408,DATA!$K$4:$L$51,2,FALSE),"")</f>
        <v/>
      </c>
      <c r="P408" s="81"/>
      <c r="Q408" s="152">
        <f t="shared" si="36"/>
        <v>0</v>
      </c>
    </row>
    <row r="409" spans="2:17">
      <c r="B409" s="670">
        <f t="shared" si="37"/>
        <v>404</v>
      </c>
      <c r="C409" s="433">
        <v>42794</v>
      </c>
      <c r="D409" s="377" t="s">
        <v>1568</v>
      </c>
      <c r="E409" s="572">
        <v>310800</v>
      </c>
      <c r="F409" s="672" t="str">
        <f>IFERROR(VLOOKUP(E409,STAT1!$C$4:$D$8000,2,FALSE),"")</f>
        <v>НД-ын байгууллагад өгөх өглөг</v>
      </c>
      <c r="G409" s="377"/>
      <c r="H409" s="377">
        <v>1279205.8</v>
      </c>
      <c r="I409" s="596">
        <f t="shared" si="35"/>
        <v>0</v>
      </c>
      <c r="J409" s="81">
        <f t="shared" si="38"/>
        <v>0</v>
      </c>
      <c r="K409" s="81"/>
      <c r="L409" s="597">
        <v>1004</v>
      </c>
      <c r="M409" s="81" t="str">
        <f>+IFERROR(VLOOKUP(L409,DATA!$G$4:$H$2000,2,FALSE),"")</f>
        <v xml:space="preserve">Түмэндэлгэр </v>
      </c>
      <c r="N409" s="166"/>
      <c r="O409" s="81" t="str">
        <f>IFERROR(VLOOKUP(N409,DATA!$K$4:$L$51,2,FALSE),"")</f>
        <v/>
      </c>
      <c r="P409" s="81"/>
      <c r="Q409" s="152">
        <f t="shared" si="36"/>
        <v>0</v>
      </c>
    </row>
    <row r="410" spans="2:17">
      <c r="B410" s="670">
        <f t="shared" si="37"/>
        <v>405</v>
      </c>
      <c r="C410" s="433">
        <v>42794</v>
      </c>
      <c r="D410" s="377" t="s">
        <v>1569</v>
      </c>
      <c r="E410" s="572">
        <v>310800</v>
      </c>
      <c r="F410" s="672" t="str">
        <f>IFERROR(VLOOKUP(E410,STAT1!$C$4:$D$8000,2,FALSE),"")</f>
        <v>НД-ын байгууллагад өгөх өглөг</v>
      </c>
      <c r="G410" s="377"/>
      <c r="H410" s="377">
        <v>1032721.5</v>
      </c>
      <c r="I410" s="596">
        <f t="shared" si="35"/>
        <v>0</v>
      </c>
      <c r="J410" s="81">
        <f t="shared" si="38"/>
        <v>0</v>
      </c>
      <c r="K410" s="81"/>
      <c r="L410" s="597">
        <v>1004</v>
      </c>
      <c r="M410" s="81" t="str">
        <f>+IFERROR(VLOOKUP(L410,DATA!$G$4:$H$2000,2,FALSE),"")</f>
        <v xml:space="preserve">Түмэндэлгэр </v>
      </c>
      <c r="N410" s="166"/>
      <c r="O410" s="81" t="str">
        <f>IFERROR(VLOOKUP(N410,DATA!$K$4:$L$51,2,FALSE),"")</f>
        <v/>
      </c>
      <c r="P410" s="81"/>
      <c r="Q410" s="152">
        <f t="shared" si="36"/>
        <v>0</v>
      </c>
    </row>
    <row r="411" spans="2:17">
      <c r="B411" s="670">
        <f t="shared" si="37"/>
        <v>406</v>
      </c>
      <c r="C411" s="433">
        <v>42794</v>
      </c>
      <c r="D411" s="377" t="s">
        <v>1570</v>
      </c>
      <c r="E411" s="572">
        <v>310700</v>
      </c>
      <c r="F411" s="672" t="str">
        <f>IFERROR(VLOOKUP(E411,STAT1!$C$4:$D$8000,2,FALSE),"")</f>
        <v>ХАОАТ өглөг</v>
      </c>
      <c r="G411" s="377"/>
      <c r="H411" s="377">
        <v>818149.35</v>
      </c>
      <c r="I411" s="596">
        <f t="shared" si="35"/>
        <v>0</v>
      </c>
      <c r="J411" s="81">
        <f t="shared" si="38"/>
        <v>0</v>
      </c>
      <c r="K411" s="81"/>
      <c r="L411" s="597">
        <v>1004</v>
      </c>
      <c r="M411" s="81" t="str">
        <f>+IFERROR(VLOOKUP(L411,DATA!$G$4:$H$2000,2,FALSE),"")</f>
        <v xml:space="preserve">Түмэндэлгэр </v>
      </c>
      <c r="N411" s="166"/>
      <c r="O411" s="81" t="str">
        <f>IFERROR(VLOOKUP(N411,DATA!$K$4:$L$51,2,FALSE),"")</f>
        <v/>
      </c>
      <c r="P411" s="81"/>
      <c r="Q411" s="152">
        <f t="shared" si="36"/>
        <v>0</v>
      </c>
    </row>
    <row r="412" spans="2:17">
      <c r="B412" s="670">
        <f t="shared" si="37"/>
        <v>407</v>
      </c>
      <c r="C412" s="433">
        <v>42794</v>
      </c>
      <c r="D412" s="377" t="s">
        <v>1571</v>
      </c>
      <c r="E412" s="572">
        <v>311000</v>
      </c>
      <c r="F412" s="672" t="str">
        <f>IFERROR(VLOOKUP(E412,STAT1!$C$4:$D$8000,2,FALSE),"")</f>
        <v>Цалингийн өглөг</v>
      </c>
      <c r="G412" s="377"/>
      <c r="H412" s="377">
        <v>8553344.1500000004</v>
      </c>
      <c r="I412" s="596">
        <f t="shared" si="35"/>
        <v>0</v>
      </c>
      <c r="J412" s="81">
        <f t="shared" si="38"/>
        <v>0</v>
      </c>
      <c r="K412" s="81"/>
      <c r="L412" s="597">
        <v>1004</v>
      </c>
      <c r="M412" s="81" t="str">
        <f>+IFERROR(VLOOKUP(L412,DATA!$G$4:$H$2000,2,FALSE),"")</f>
        <v xml:space="preserve">Түмэндэлгэр </v>
      </c>
      <c r="N412" s="166"/>
      <c r="O412" s="81" t="str">
        <f>IFERROR(VLOOKUP(N412,DATA!$K$4:$L$51,2,FALSE),"")</f>
        <v/>
      </c>
      <c r="P412" s="81"/>
      <c r="Q412" s="152">
        <f t="shared" si="36"/>
        <v>0</v>
      </c>
    </row>
    <row r="413" spans="2:17">
      <c r="B413" s="670">
        <f t="shared" si="37"/>
        <v>408</v>
      </c>
      <c r="C413" s="433">
        <v>42794</v>
      </c>
      <c r="D413" s="377" t="s">
        <v>1770</v>
      </c>
      <c r="E413" s="572">
        <v>700100</v>
      </c>
      <c r="F413" s="672" t="str">
        <f>IFERROR(VLOOKUP(E413,STAT1!$C$4:$D$8000,2,FALSE),"")</f>
        <v>Цалин хөлс, шагнал</v>
      </c>
      <c r="G413" s="377">
        <v>10404215</v>
      </c>
      <c r="H413" s="377"/>
      <c r="I413" s="596">
        <f t="shared" si="35"/>
        <v>0</v>
      </c>
      <c r="J413" s="81">
        <f t="shared" si="38"/>
        <v>0</v>
      </c>
      <c r="K413" s="81"/>
      <c r="L413" s="597">
        <v>1004</v>
      </c>
      <c r="M413" s="81" t="str">
        <f>+IFERROR(VLOOKUP(L413,DATA!$G$4:$H$2000,2,FALSE),"")</f>
        <v xml:space="preserve">Түмэндэлгэр </v>
      </c>
      <c r="N413" s="166"/>
      <c r="O413" s="81" t="str">
        <f>IFERROR(VLOOKUP(N413,DATA!$K$4:$L$51,2,FALSE),"")</f>
        <v/>
      </c>
      <c r="P413" s="81"/>
      <c r="Q413" s="152">
        <f t="shared" si="36"/>
        <v>0</v>
      </c>
    </row>
    <row r="414" spans="2:17">
      <c r="B414" s="670">
        <f t="shared" si="37"/>
        <v>409</v>
      </c>
      <c r="C414" s="433">
        <v>42795</v>
      </c>
      <c r="D414" s="377" t="s">
        <v>2678</v>
      </c>
      <c r="E414" s="673">
        <v>150101</v>
      </c>
      <c r="F414" s="672" t="str">
        <f>IFERROR(VLOOKUP(E414,STAT1!$C$4:$D$1000,2,FALSE),"")</f>
        <v>Бараа бэлэн бүтээгдэхүүн БОЛОВСРУУЛАХ ЦЕХ /нарс/</v>
      </c>
      <c r="G414" s="377"/>
      <c r="H414" s="377">
        <v>202679.61590912036</v>
      </c>
      <c r="I414" s="596">
        <f t="shared" si="35"/>
        <v>0</v>
      </c>
      <c r="J414" s="81">
        <f t="shared" si="38"/>
        <v>0</v>
      </c>
      <c r="K414" s="81"/>
      <c r="L414" s="597">
        <v>4002</v>
      </c>
      <c r="M414" s="81" t="str">
        <f>+IFERROR(VLOOKUP(L414,DATA!$G$4:$H$2000,2,FALSE),"")</f>
        <v xml:space="preserve">Хувь хүн </v>
      </c>
      <c r="N414" s="435"/>
      <c r="O414" s="81" t="str">
        <f>IFERROR(VLOOKUP(N414,DATA!$K$4:$L$51,2,FALSE),"")</f>
        <v/>
      </c>
      <c r="P414" s="81"/>
      <c r="Q414" s="152">
        <f t="shared" si="36"/>
        <v>0</v>
      </c>
    </row>
    <row r="415" spans="2:17">
      <c r="B415" s="670">
        <f t="shared" si="37"/>
        <v>410</v>
      </c>
      <c r="C415" s="433">
        <v>42795</v>
      </c>
      <c r="D415" s="377"/>
      <c r="E415" s="674">
        <v>610100</v>
      </c>
      <c r="F415" s="672" t="str">
        <f>IFERROR(VLOOKUP(E415,STAT1!$C$4:$D$1000,2,FALSE),"")</f>
        <v>Борлуулсан барааны өртөг</v>
      </c>
      <c r="G415" s="377">
        <v>202679.61590912036</v>
      </c>
      <c r="H415" s="377"/>
      <c r="I415" s="596">
        <f t="shared" si="35"/>
        <v>0</v>
      </c>
      <c r="J415" s="81"/>
      <c r="K415" s="81"/>
      <c r="L415" s="597">
        <v>4002</v>
      </c>
      <c r="M415" s="81" t="str">
        <f>+IFERROR(VLOOKUP(L415,DATA!$G$4:$H$2000,2,FALSE),"")</f>
        <v xml:space="preserve">Хувь хүн </v>
      </c>
      <c r="N415" s="435"/>
      <c r="O415" s="81"/>
      <c r="P415" s="81"/>
      <c r="Q415" s="152">
        <f t="shared" si="36"/>
        <v>0</v>
      </c>
    </row>
    <row r="416" spans="2:17">
      <c r="B416" s="670">
        <f t="shared" si="37"/>
        <v>411</v>
      </c>
      <c r="C416" s="433">
        <v>42795</v>
      </c>
      <c r="D416" s="377" t="s">
        <v>587</v>
      </c>
      <c r="E416" s="674">
        <v>310500</v>
      </c>
      <c r="F416" s="672" t="str">
        <f>IFERROR(VLOOKUP(E416,STAT1!$C$4:$D$1000,2,FALSE),"")</f>
        <v>НӨАТ өглөг</v>
      </c>
      <c r="G416" s="377"/>
      <c r="H416" s="377">
        <v>34009.090608000006</v>
      </c>
      <c r="I416" s="596">
        <f t="shared" si="35"/>
        <v>0</v>
      </c>
      <c r="J416" s="81">
        <f t="shared" ref="J416:J425" si="39">+IF(E416=110102,I416/K416,0)</f>
        <v>0</v>
      </c>
      <c r="K416" s="81"/>
      <c r="L416" s="597">
        <v>4002</v>
      </c>
      <c r="M416" s="81" t="str">
        <f>+IFERROR(VLOOKUP(L416,DATA!$G$4:$H$2000,2,FALSE),"")</f>
        <v xml:space="preserve">Хувь хүн </v>
      </c>
      <c r="N416" s="435"/>
      <c r="O416" s="81" t="str">
        <f>IFERROR(VLOOKUP(N416,DATA!$K$4:$L$51,2,FALSE),"")</f>
        <v/>
      </c>
      <c r="P416" s="81"/>
      <c r="Q416" s="152">
        <f t="shared" si="36"/>
        <v>0</v>
      </c>
    </row>
    <row r="417" spans="2:17">
      <c r="B417" s="670">
        <f t="shared" si="37"/>
        <v>412</v>
      </c>
      <c r="C417" s="433">
        <v>42795</v>
      </c>
      <c r="D417" s="377" t="s">
        <v>587</v>
      </c>
      <c r="E417" s="674">
        <v>510000</v>
      </c>
      <c r="F417" s="672" t="str">
        <f>IFERROR(VLOOKUP(E417,STAT1!$C$4:$D$1000,2,FALSE),"")</f>
        <v>Үндсэн үйл ажиллагааны борлуулалт</v>
      </c>
      <c r="G417" s="377"/>
      <c r="H417" s="377">
        <v>340090.90608000004</v>
      </c>
      <c r="I417" s="596">
        <f t="shared" si="35"/>
        <v>0</v>
      </c>
      <c r="J417" s="81">
        <f t="shared" si="39"/>
        <v>0</v>
      </c>
      <c r="K417" s="81"/>
      <c r="L417" s="597">
        <v>4002</v>
      </c>
      <c r="M417" s="81" t="str">
        <f>+IFERROR(VLOOKUP(L417,DATA!$G$4:$H$2000,2,FALSE),"")</f>
        <v xml:space="preserve">Хувь хүн </v>
      </c>
      <c r="N417" s="435"/>
      <c r="O417" s="81" t="str">
        <f>IFERROR(VLOOKUP(N417,DATA!$K$4:$L$51,2,FALSE),"")</f>
        <v/>
      </c>
      <c r="P417" s="81"/>
      <c r="Q417" s="152">
        <f t="shared" si="36"/>
        <v>0</v>
      </c>
    </row>
    <row r="418" spans="2:17">
      <c r="B418" s="670">
        <f t="shared" si="37"/>
        <v>413</v>
      </c>
      <c r="C418" s="433">
        <v>42795</v>
      </c>
      <c r="D418" s="377" t="s">
        <v>587</v>
      </c>
      <c r="E418" s="674">
        <v>320100</v>
      </c>
      <c r="F418" s="672" t="str">
        <f>IFERROR(VLOOKUP(E418,STAT1!$C$4:$D$1000,2,FALSE),"")</f>
        <v>Урьдчилж орсон орлого MNT</v>
      </c>
      <c r="G418" s="377">
        <v>374099.99668800004</v>
      </c>
      <c r="H418" s="377"/>
      <c r="I418" s="596">
        <f t="shared" si="35"/>
        <v>0</v>
      </c>
      <c r="J418" s="81">
        <f t="shared" si="39"/>
        <v>0</v>
      </c>
      <c r="K418" s="81"/>
      <c r="L418" s="597">
        <v>4002</v>
      </c>
      <c r="M418" s="81" t="str">
        <f>+IFERROR(VLOOKUP(L418,DATA!$G$4:$H$2000,2,FALSE),"")</f>
        <v xml:space="preserve">Хувь хүн </v>
      </c>
      <c r="N418" s="435"/>
      <c r="O418" s="81" t="str">
        <f>IFERROR(VLOOKUP(N418,DATA!$K$4:$L$51,2,FALSE),"")</f>
        <v/>
      </c>
      <c r="P418" s="81"/>
      <c r="Q418" s="152">
        <f t="shared" si="36"/>
        <v>0</v>
      </c>
    </row>
    <row r="419" spans="2:17">
      <c r="B419" s="670">
        <f t="shared" si="37"/>
        <v>414</v>
      </c>
      <c r="C419" s="433">
        <v>42795</v>
      </c>
      <c r="D419" s="377" t="s">
        <v>1741</v>
      </c>
      <c r="E419" s="572">
        <v>320100</v>
      </c>
      <c r="F419" s="672" t="str">
        <f>IFERROR(VLOOKUP(E419,STAT1!$C$4:$D$1000,2,FALSE),"")</f>
        <v>Урьдчилж орсон орлого MNT</v>
      </c>
      <c r="G419" s="377"/>
      <c r="H419" s="377">
        <v>311850</v>
      </c>
      <c r="I419" s="596">
        <f t="shared" si="35"/>
        <v>0</v>
      </c>
      <c r="J419" s="81">
        <f t="shared" si="39"/>
        <v>0</v>
      </c>
      <c r="K419" s="81"/>
      <c r="L419" s="597">
        <v>3021</v>
      </c>
      <c r="M419" s="81" t="str">
        <f>+IFERROR(VLOOKUP(L419,DATA!$G$4:$H$2000,2,FALSE),"")</f>
        <v>БАНДИА ХХК</v>
      </c>
      <c r="N419" s="435"/>
      <c r="O419" s="81" t="str">
        <f>IFERROR(VLOOKUP(N419,DATA!$K$4:$L$51,2,FALSE),"")</f>
        <v/>
      </c>
      <c r="P419" s="81"/>
      <c r="Q419" s="152">
        <f t="shared" si="36"/>
        <v>0</v>
      </c>
    </row>
    <row r="420" spans="2:17">
      <c r="B420" s="670">
        <f t="shared" si="37"/>
        <v>415</v>
      </c>
      <c r="C420" s="433">
        <v>42795</v>
      </c>
      <c r="D420" s="377" t="s">
        <v>1741</v>
      </c>
      <c r="E420" s="572">
        <v>100100</v>
      </c>
      <c r="F420" s="672" t="str">
        <f>IFERROR(VLOOKUP(E420,STAT1!$C$4:$D$1000,2,FALSE),"")</f>
        <v>Касс мөнгө MNT</v>
      </c>
      <c r="G420" s="377">
        <v>311850</v>
      </c>
      <c r="H420" s="377">
        <v>0</v>
      </c>
      <c r="I420" s="596">
        <f t="shared" si="35"/>
        <v>311850</v>
      </c>
      <c r="J420" s="81">
        <f t="shared" si="39"/>
        <v>0</v>
      </c>
      <c r="K420" s="81"/>
      <c r="L420" s="597">
        <v>3021</v>
      </c>
      <c r="M420" s="81" t="str">
        <f>+IFERROR(VLOOKUP(L420,DATA!$G$4:$H$2000,2,FALSE),"")</f>
        <v>БАНДИА ХХК</v>
      </c>
      <c r="N420" s="435">
        <v>41</v>
      </c>
      <c r="O420" s="81" t="str">
        <f>IFERROR(VLOOKUP(N420,DATA!$K$4:$L$51,2,FALSE),"")</f>
        <v>Бараа борлуулсан, үйлчилгээ үзүүлсэний орлого</v>
      </c>
      <c r="P420" s="81"/>
      <c r="Q420" s="152">
        <f t="shared" si="36"/>
        <v>1</v>
      </c>
    </row>
    <row r="421" spans="2:17">
      <c r="B421" s="670">
        <f t="shared" si="37"/>
        <v>416</v>
      </c>
      <c r="C421" s="433">
        <v>42797</v>
      </c>
      <c r="D421" s="377" t="s">
        <v>1741</v>
      </c>
      <c r="E421" s="572">
        <v>320100</v>
      </c>
      <c r="F421" s="672" t="str">
        <f>IFERROR(VLOOKUP(E421,STAT1!$C$4:$D$1000,2,FALSE),"")</f>
        <v>Урьдчилж орсон орлого MNT</v>
      </c>
      <c r="G421" s="377"/>
      <c r="H421" s="377">
        <v>764891</v>
      </c>
      <c r="I421" s="596">
        <f t="shared" si="35"/>
        <v>0</v>
      </c>
      <c r="J421" s="81">
        <f t="shared" si="39"/>
        <v>0</v>
      </c>
      <c r="K421" s="81"/>
      <c r="L421" s="597">
        <v>4002</v>
      </c>
      <c r="M421" s="81" t="str">
        <f>+IFERROR(VLOOKUP(L421,DATA!$G$4:$H$2000,2,FALSE),"")</f>
        <v xml:space="preserve">Хувь хүн </v>
      </c>
      <c r="N421" s="435"/>
      <c r="O421" s="81" t="str">
        <f>IFERROR(VLOOKUP(N421,DATA!$K$4:$L$51,2,FALSE),"")</f>
        <v/>
      </c>
      <c r="P421" s="81"/>
      <c r="Q421" s="152">
        <f t="shared" si="36"/>
        <v>0</v>
      </c>
    </row>
    <row r="422" spans="2:17">
      <c r="B422" s="670">
        <f t="shared" si="37"/>
        <v>417</v>
      </c>
      <c r="C422" s="433">
        <v>42797</v>
      </c>
      <c r="D422" s="377" t="s">
        <v>1741</v>
      </c>
      <c r="E422" s="572">
        <v>100100</v>
      </c>
      <c r="F422" s="672" t="str">
        <f>IFERROR(VLOOKUP(E422,STAT1!$C$4:$D$1000,2,FALSE),"")</f>
        <v>Касс мөнгө MNT</v>
      </c>
      <c r="G422" s="377">
        <v>764891</v>
      </c>
      <c r="H422" s="377">
        <v>0</v>
      </c>
      <c r="I422" s="596">
        <f t="shared" si="35"/>
        <v>764891</v>
      </c>
      <c r="J422" s="81">
        <f t="shared" si="39"/>
        <v>0</v>
      </c>
      <c r="K422" s="81"/>
      <c r="L422" s="597">
        <v>4002</v>
      </c>
      <c r="M422" s="81" t="str">
        <f>+IFERROR(VLOOKUP(L422,DATA!$G$4:$H$2000,2,FALSE),"")</f>
        <v xml:space="preserve">Хувь хүн </v>
      </c>
      <c r="N422" s="435">
        <v>41</v>
      </c>
      <c r="O422" s="81" t="str">
        <f>IFERROR(VLOOKUP(N422,DATA!$K$4:$L$51,2,FALSE),"")</f>
        <v>Бараа борлуулсан, үйлчилгээ үзүүлсэний орлого</v>
      </c>
      <c r="P422" s="81"/>
      <c r="Q422" s="152">
        <f t="shared" si="36"/>
        <v>1</v>
      </c>
    </row>
    <row r="423" spans="2:17">
      <c r="B423" s="670">
        <f t="shared" si="37"/>
        <v>418</v>
      </c>
      <c r="C423" s="433">
        <v>42801</v>
      </c>
      <c r="D423" s="598" t="s">
        <v>1741</v>
      </c>
      <c r="E423" s="572">
        <v>110100</v>
      </c>
      <c r="F423" s="672" t="str">
        <f>IFERROR(VLOOKUP(E423,STAT1!$C$4:$D$1000,2,FALSE),"")</f>
        <v>Хаан Банк 5024654020</v>
      </c>
      <c r="G423" s="377">
        <v>966480</v>
      </c>
      <c r="H423" s="377"/>
      <c r="I423" s="596">
        <f t="shared" si="35"/>
        <v>966480</v>
      </c>
      <c r="J423" s="81">
        <f t="shared" si="39"/>
        <v>0</v>
      </c>
      <c r="K423" s="81"/>
      <c r="L423" s="597">
        <v>3006</v>
      </c>
      <c r="M423" s="81" t="str">
        <f>+IFERROR(VLOOKUP(L423,DATA!$G$4:$H$2000,2,FALSE),"")</f>
        <v xml:space="preserve">ПАЙОНЕРИНГ ИНТЕРНЭШНЛ ХХК </v>
      </c>
      <c r="N423" s="435">
        <v>41</v>
      </c>
      <c r="O423" s="81" t="str">
        <f>IFERROR(VLOOKUP(N423,DATA!$K$4:$L$51,2,FALSE),"")</f>
        <v>Бараа борлуулсан, үйлчилгээ үзүүлсэний орлого</v>
      </c>
      <c r="P423" s="81"/>
      <c r="Q423" s="152">
        <f t="shared" si="36"/>
        <v>1</v>
      </c>
    </row>
    <row r="424" spans="2:17">
      <c r="B424" s="670">
        <f t="shared" si="37"/>
        <v>419</v>
      </c>
      <c r="C424" s="433">
        <v>42801</v>
      </c>
      <c r="D424" s="598" t="s">
        <v>1741</v>
      </c>
      <c r="E424" s="572">
        <v>320100</v>
      </c>
      <c r="F424" s="672" t="str">
        <f>IFERROR(VLOOKUP(E424,STAT1!$C$4:$D$1000,2,FALSE),"")</f>
        <v>Урьдчилж орсон орлого MNT</v>
      </c>
      <c r="G424" s="377">
        <v>0</v>
      </c>
      <c r="H424" s="377">
        <v>966480</v>
      </c>
      <c r="I424" s="596">
        <f t="shared" si="35"/>
        <v>0</v>
      </c>
      <c r="J424" s="81">
        <f t="shared" si="39"/>
        <v>0</v>
      </c>
      <c r="K424" s="81"/>
      <c r="L424" s="597">
        <v>3006</v>
      </c>
      <c r="M424" s="81" t="str">
        <f>+IFERROR(VLOOKUP(L424,DATA!$G$4:$H$2000,2,FALSE),"")</f>
        <v xml:space="preserve">ПАЙОНЕРИНГ ИНТЕРНЭШНЛ ХХК </v>
      </c>
      <c r="N424" s="435"/>
      <c r="O424" s="81" t="str">
        <f>IFERROR(VLOOKUP(N424,DATA!$K$4:$L$51,2,FALSE),"")</f>
        <v/>
      </c>
      <c r="P424" s="81"/>
      <c r="Q424" s="152">
        <f t="shared" si="36"/>
        <v>0</v>
      </c>
    </row>
    <row r="425" spans="2:17" ht="11.25" customHeight="1">
      <c r="B425" s="670">
        <f t="shared" si="37"/>
        <v>420</v>
      </c>
      <c r="C425" s="433">
        <v>42804</v>
      </c>
      <c r="D425" s="377" t="s">
        <v>2681</v>
      </c>
      <c r="E425" s="673">
        <v>150101</v>
      </c>
      <c r="F425" s="672" t="str">
        <f>IFERROR(VLOOKUP(E425,STAT1!$C$4:$D$1000,2,FALSE),"")</f>
        <v>Бараа бэлэн бүтээгдэхүүн БОЛОВСРУУЛАХ ЦЕХ /нарс/</v>
      </c>
      <c r="G425" s="597"/>
      <c r="H425" s="377">
        <v>515512.31556220038</v>
      </c>
      <c r="I425" s="596">
        <f t="shared" si="35"/>
        <v>0</v>
      </c>
      <c r="J425" s="81">
        <f t="shared" si="39"/>
        <v>0</v>
      </c>
      <c r="K425" s="81"/>
      <c r="L425" s="597">
        <v>3025</v>
      </c>
      <c r="M425" s="81" t="str">
        <f>+IFERROR(VLOOKUP(L425,DATA!$G$4:$H$2000,2,FALSE),"")</f>
        <v xml:space="preserve">ТОСОН ВҮҮД ХХК </v>
      </c>
      <c r="N425" s="435"/>
      <c r="O425" s="81" t="str">
        <f>IFERROR(VLOOKUP(N425,DATA!$K$4:$L$51,2,FALSE),"")</f>
        <v/>
      </c>
      <c r="P425" s="81"/>
      <c r="Q425" s="152">
        <f t="shared" si="36"/>
        <v>0</v>
      </c>
    </row>
    <row r="426" spans="2:17" ht="11.25" customHeight="1">
      <c r="B426" s="670">
        <f t="shared" si="37"/>
        <v>421</v>
      </c>
      <c r="C426" s="433">
        <v>42804</v>
      </c>
      <c r="D426" s="377"/>
      <c r="E426" s="674">
        <v>610100</v>
      </c>
      <c r="F426" s="672" t="str">
        <f>IFERROR(VLOOKUP(E426,STAT1!$C$4:$D$1000,2,FALSE),"")</f>
        <v>Борлуулсан барааны өртөг</v>
      </c>
      <c r="G426" s="377">
        <v>515512.31556220038</v>
      </c>
      <c r="H426" s="377"/>
      <c r="I426" s="596">
        <f t="shared" si="35"/>
        <v>0</v>
      </c>
      <c r="J426" s="81"/>
      <c r="K426" s="81"/>
      <c r="L426" s="597">
        <v>3025</v>
      </c>
      <c r="M426" s="81" t="str">
        <f>+IFERROR(VLOOKUP(L426,DATA!$G$4:$H$2000,2,FALSE),"")</f>
        <v xml:space="preserve">ТОСОН ВҮҮД ХХК </v>
      </c>
      <c r="N426" s="435"/>
      <c r="O426" s="81"/>
      <c r="P426" s="81"/>
      <c r="Q426" s="152">
        <f t="shared" si="36"/>
        <v>0</v>
      </c>
    </row>
    <row r="427" spans="2:17">
      <c r="B427" s="670">
        <f t="shared" si="37"/>
        <v>422</v>
      </c>
      <c r="C427" s="433">
        <v>42804</v>
      </c>
      <c r="D427" s="377" t="s">
        <v>587</v>
      </c>
      <c r="E427" s="674">
        <v>310500</v>
      </c>
      <c r="F427" s="672" t="str">
        <f>IFERROR(VLOOKUP(E427,STAT1!$C$4:$D$1000,2,FALSE),"")</f>
        <v>НӨАТ өглөг</v>
      </c>
      <c r="G427" s="597"/>
      <c r="H427" s="377">
        <v>67999.999931960003</v>
      </c>
      <c r="I427" s="596">
        <f t="shared" si="35"/>
        <v>0</v>
      </c>
      <c r="J427" s="81">
        <f t="shared" ref="J427:J439" si="40">+IF(E427=110102,I427/K427,0)</f>
        <v>0</v>
      </c>
      <c r="K427" s="81"/>
      <c r="L427" s="597">
        <v>3025</v>
      </c>
      <c r="M427" s="81" t="str">
        <f>+IFERROR(VLOOKUP(L427,DATA!$G$4:$H$2000,2,FALSE),"")</f>
        <v xml:space="preserve">ТОСОН ВҮҮД ХХК </v>
      </c>
      <c r="N427" s="435"/>
      <c r="O427" s="81" t="str">
        <f>IFERROR(VLOOKUP(N427,DATA!$K$4:$L$51,2,FALSE),"")</f>
        <v/>
      </c>
      <c r="P427" s="81"/>
      <c r="Q427" s="152">
        <f t="shared" si="36"/>
        <v>0</v>
      </c>
    </row>
    <row r="428" spans="2:17">
      <c r="B428" s="670">
        <f t="shared" si="37"/>
        <v>423</v>
      </c>
      <c r="C428" s="433">
        <v>42804</v>
      </c>
      <c r="D428" s="377" t="s">
        <v>587</v>
      </c>
      <c r="E428" s="674">
        <v>510000</v>
      </c>
      <c r="F428" s="672" t="str">
        <f>IFERROR(VLOOKUP(E428,STAT1!$C$4:$D$1000,2,FALSE),"")</f>
        <v>Үндсэн үйл ажиллагааны борлуулалт</v>
      </c>
      <c r="G428" s="597"/>
      <c r="H428" s="377">
        <v>680000</v>
      </c>
      <c r="I428" s="596">
        <f t="shared" si="35"/>
        <v>0</v>
      </c>
      <c r="J428" s="81">
        <f t="shared" si="40"/>
        <v>0</v>
      </c>
      <c r="K428" s="81"/>
      <c r="L428" s="597">
        <v>3025</v>
      </c>
      <c r="M428" s="81" t="str">
        <f>+IFERROR(VLOOKUP(L428,DATA!$G$4:$H$2000,2,FALSE),"")</f>
        <v xml:space="preserve">ТОСОН ВҮҮД ХХК </v>
      </c>
      <c r="N428" s="435"/>
      <c r="O428" s="81" t="str">
        <f>IFERROR(VLOOKUP(N428,DATA!$K$4:$L$51,2,FALSE),"")</f>
        <v/>
      </c>
      <c r="P428" s="81"/>
      <c r="Q428" s="152">
        <f t="shared" si="36"/>
        <v>0</v>
      </c>
    </row>
    <row r="429" spans="2:17">
      <c r="B429" s="670">
        <f t="shared" si="37"/>
        <v>424</v>
      </c>
      <c r="C429" s="433">
        <v>42804</v>
      </c>
      <c r="D429" s="377" t="s">
        <v>587</v>
      </c>
      <c r="E429" s="674">
        <v>320100</v>
      </c>
      <c r="F429" s="672" t="str">
        <f>IFERROR(VLOOKUP(E429,STAT1!$C$4:$D$1000,2,FALSE),"")</f>
        <v>Урьдчилж орсон орлого MNT</v>
      </c>
      <c r="G429" s="377">
        <v>747999.99925156008</v>
      </c>
      <c r="H429" s="597"/>
      <c r="I429" s="596">
        <f t="shared" si="35"/>
        <v>0</v>
      </c>
      <c r="J429" s="81">
        <f t="shared" si="40"/>
        <v>0</v>
      </c>
      <c r="K429" s="81"/>
      <c r="L429" s="597">
        <v>3025</v>
      </c>
      <c r="M429" s="81" t="str">
        <f>+IFERROR(VLOOKUP(L429,DATA!$G$4:$H$2000,2,FALSE),"")</f>
        <v xml:space="preserve">ТОСОН ВҮҮД ХХК </v>
      </c>
      <c r="N429" s="435"/>
      <c r="O429" s="81" t="str">
        <f>IFERROR(VLOOKUP(N429,DATA!$K$4:$L$51,2,FALSE),"")</f>
        <v/>
      </c>
      <c r="P429" s="81"/>
      <c r="Q429" s="152">
        <f t="shared" si="36"/>
        <v>0</v>
      </c>
    </row>
    <row r="430" spans="2:17">
      <c r="B430" s="670">
        <f t="shared" si="37"/>
        <v>425</v>
      </c>
      <c r="C430" s="433">
        <v>42804</v>
      </c>
      <c r="D430" s="377" t="s">
        <v>1741</v>
      </c>
      <c r="E430" s="572">
        <v>320100</v>
      </c>
      <c r="F430" s="672" t="str">
        <f>IFERROR(VLOOKUP(E430,STAT1!$C$4:$D$1000,2,FALSE),"")</f>
        <v>Урьдчилж орсон орлого MNT</v>
      </c>
      <c r="G430" s="377"/>
      <c r="H430" s="377">
        <v>374000</v>
      </c>
      <c r="I430" s="596">
        <f t="shared" si="35"/>
        <v>0</v>
      </c>
      <c r="J430" s="81">
        <f t="shared" si="40"/>
        <v>0</v>
      </c>
      <c r="K430" s="81"/>
      <c r="L430" s="597">
        <v>3027</v>
      </c>
      <c r="M430" s="81" t="str">
        <f>+IFERROR(VLOOKUP(L430,DATA!$G$4:$H$2000,2,FALSE),"")</f>
        <v xml:space="preserve">МОНГОЛЫН ХҮҮХДИЙН САН </v>
      </c>
      <c r="N430" s="435"/>
      <c r="O430" s="81" t="str">
        <f>IFERROR(VLOOKUP(N430,DATA!$K$4:$L$51,2,FALSE),"")</f>
        <v/>
      </c>
      <c r="P430" s="81"/>
      <c r="Q430" s="152">
        <f t="shared" si="36"/>
        <v>0</v>
      </c>
    </row>
    <row r="431" spans="2:17">
      <c r="B431" s="670">
        <f t="shared" si="37"/>
        <v>426</v>
      </c>
      <c r="C431" s="433">
        <v>42804</v>
      </c>
      <c r="D431" s="377" t="s">
        <v>1741</v>
      </c>
      <c r="E431" s="572">
        <v>100100</v>
      </c>
      <c r="F431" s="672" t="str">
        <f>IFERROR(VLOOKUP(E431,STAT1!$C$4:$D$1000,2,FALSE),"")</f>
        <v>Касс мөнгө MNT</v>
      </c>
      <c r="G431" s="377">
        <v>374000</v>
      </c>
      <c r="H431" s="377">
        <v>0</v>
      </c>
      <c r="I431" s="596">
        <f t="shared" si="35"/>
        <v>374000</v>
      </c>
      <c r="J431" s="81">
        <f t="shared" si="40"/>
        <v>0</v>
      </c>
      <c r="K431" s="81"/>
      <c r="L431" s="597">
        <v>3027</v>
      </c>
      <c r="M431" s="81" t="str">
        <f>+IFERROR(VLOOKUP(L431,DATA!$G$4:$H$2000,2,FALSE),"")</f>
        <v xml:space="preserve">МОНГОЛЫН ХҮҮХДИЙН САН </v>
      </c>
      <c r="N431" s="435">
        <v>41</v>
      </c>
      <c r="O431" s="81" t="str">
        <f>IFERROR(VLOOKUP(N431,DATA!$K$4:$L$51,2,FALSE),"")</f>
        <v>Бараа борлуулсан, үйлчилгээ үзүүлсэний орлого</v>
      </c>
      <c r="P431" s="81"/>
      <c r="Q431" s="152">
        <f t="shared" si="36"/>
        <v>1</v>
      </c>
    </row>
    <row r="432" spans="2:17">
      <c r="B432" s="670">
        <f t="shared" si="37"/>
        <v>427</v>
      </c>
      <c r="C432" s="433">
        <v>42804</v>
      </c>
      <c r="D432" s="377" t="s">
        <v>1769</v>
      </c>
      <c r="E432" s="572">
        <v>310100</v>
      </c>
      <c r="F432" s="672" t="str">
        <f>IFERROR(VLOOKUP(E432,STAT1!$C$4:$D$8000,2,FALSE),"")</f>
        <v>Дансны өглөг MNT</v>
      </c>
      <c r="G432" s="377"/>
      <c r="H432" s="377">
        <v>3288043</v>
      </c>
      <c r="I432" s="596">
        <f t="shared" si="35"/>
        <v>0</v>
      </c>
      <c r="J432" s="81">
        <f t="shared" si="40"/>
        <v>0</v>
      </c>
      <c r="K432" s="380"/>
      <c r="L432" s="597">
        <v>2013</v>
      </c>
      <c r="M432" s="81" t="str">
        <f>+IFERROR(VLOOKUP(L432,DATA!$G$4:$H$2000,2,FALSE),"")</f>
        <v>УБДС ТӨХК</v>
      </c>
      <c r="N432" s="166"/>
      <c r="O432" s="81" t="str">
        <f>IFERROR(VLOOKUP(N432,DATA!$K$4:$L$51,2,FALSE),"")</f>
        <v/>
      </c>
      <c r="P432" s="81"/>
      <c r="Q432" s="152">
        <f t="shared" si="36"/>
        <v>0</v>
      </c>
    </row>
    <row r="433" spans="2:17">
      <c r="B433" s="670">
        <f t="shared" si="37"/>
        <v>428</v>
      </c>
      <c r="C433" s="433">
        <v>42804</v>
      </c>
      <c r="D433" s="377" t="s">
        <v>1769</v>
      </c>
      <c r="E433" s="572">
        <v>700800</v>
      </c>
      <c r="F433" s="672" t="str">
        <f>IFERROR(VLOOKUP(E433,STAT1!$C$4:$D$8000,2,FALSE),"")</f>
        <v>Дулаан</v>
      </c>
      <c r="G433" s="377">
        <v>3288043</v>
      </c>
      <c r="H433" s="377"/>
      <c r="I433" s="596">
        <f t="shared" si="35"/>
        <v>0</v>
      </c>
      <c r="J433" s="380">
        <f t="shared" si="40"/>
        <v>0</v>
      </c>
      <c r="K433" s="380"/>
      <c r="L433" s="597">
        <v>2013</v>
      </c>
      <c r="M433" s="81" t="str">
        <f>+IFERROR(VLOOKUP(L433,DATA!$G$4:$H$2000,2,FALSE),"")</f>
        <v>УБДС ТӨХК</v>
      </c>
      <c r="N433" s="166"/>
      <c r="O433" s="81" t="str">
        <f>IFERROR(VLOOKUP(N433,DATA!$K$4:$L$51,2,FALSE),"")</f>
        <v/>
      </c>
      <c r="P433" s="81"/>
      <c r="Q433" s="152">
        <f t="shared" si="36"/>
        <v>0</v>
      </c>
    </row>
    <row r="434" spans="2:17">
      <c r="B434" s="670">
        <f t="shared" si="37"/>
        <v>429</v>
      </c>
      <c r="C434" s="433">
        <v>42807</v>
      </c>
      <c r="D434" s="598" t="s">
        <v>1741</v>
      </c>
      <c r="E434" s="572">
        <v>110100</v>
      </c>
      <c r="F434" s="672" t="str">
        <f>IFERROR(VLOOKUP(E434,STAT1!$C$4:$D$1000,2,FALSE),"")</f>
        <v>Хаан Банк 5024654020</v>
      </c>
      <c r="G434" s="377">
        <v>56100</v>
      </c>
      <c r="H434" s="377"/>
      <c r="I434" s="596">
        <f t="shared" si="35"/>
        <v>56100</v>
      </c>
      <c r="J434" s="81">
        <f t="shared" si="40"/>
        <v>0</v>
      </c>
      <c r="K434" s="81"/>
      <c r="L434" s="597">
        <v>3006</v>
      </c>
      <c r="M434" s="81" t="str">
        <f>+IFERROR(VLOOKUP(L434,DATA!$G$4:$H$2000,2,FALSE),"")</f>
        <v xml:space="preserve">ПАЙОНЕРИНГ ИНТЕРНЭШНЛ ХХК </v>
      </c>
      <c r="N434" s="435">
        <v>41</v>
      </c>
      <c r="O434" s="81" t="str">
        <f>IFERROR(VLOOKUP(N434,DATA!$K$4:$L$51,2,FALSE),"")</f>
        <v>Бараа борлуулсан, үйлчилгээ үзүүлсэний орлого</v>
      </c>
      <c r="P434" s="81"/>
      <c r="Q434" s="152">
        <f t="shared" si="36"/>
        <v>1</v>
      </c>
    </row>
    <row r="435" spans="2:17">
      <c r="B435" s="670">
        <f t="shared" si="37"/>
        <v>430</v>
      </c>
      <c r="C435" s="433">
        <v>42807</v>
      </c>
      <c r="D435" s="598" t="s">
        <v>1741</v>
      </c>
      <c r="E435" s="572">
        <v>320100</v>
      </c>
      <c r="F435" s="672" t="str">
        <f>IFERROR(VLOOKUP(E435,STAT1!$C$4:$D$1000,2,FALSE),"")</f>
        <v>Урьдчилж орсон орлого MNT</v>
      </c>
      <c r="G435" s="377">
        <v>0</v>
      </c>
      <c r="H435" s="377">
        <v>56100</v>
      </c>
      <c r="I435" s="596">
        <f t="shared" si="35"/>
        <v>0</v>
      </c>
      <c r="J435" s="81">
        <f t="shared" si="40"/>
        <v>0</v>
      </c>
      <c r="K435" s="81"/>
      <c r="L435" s="597">
        <v>3006</v>
      </c>
      <c r="M435" s="81" t="str">
        <f>+IFERROR(VLOOKUP(L435,DATA!$G$4:$H$2000,2,FALSE),"")</f>
        <v xml:space="preserve">ПАЙОНЕРИНГ ИНТЕРНЭШНЛ ХХК </v>
      </c>
      <c r="N435" s="435"/>
      <c r="O435" s="81" t="str">
        <f>IFERROR(VLOOKUP(N435,DATA!$K$4:$L$51,2,FALSE),"")</f>
        <v/>
      </c>
      <c r="P435" s="81"/>
      <c r="Q435" s="152">
        <f t="shared" si="36"/>
        <v>0</v>
      </c>
    </row>
    <row r="436" spans="2:17">
      <c r="B436" s="670">
        <f t="shared" si="37"/>
        <v>431</v>
      </c>
      <c r="C436" s="433">
        <v>42807</v>
      </c>
      <c r="D436" s="598" t="s">
        <v>1745</v>
      </c>
      <c r="E436" s="572">
        <v>701900</v>
      </c>
      <c r="F436" s="672" t="str">
        <f>IFERROR(VLOOKUP(E436,STAT1!$C$4:$D$1000,2,FALSE),"")</f>
        <v>Харилцаа холбоо</v>
      </c>
      <c r="G436" s="377">
        <v>27463.64</v>
      </c>
      <c r="H436" s="377">
        <v>0</v>
      </c>
      <c r="I436" s="596">
        <f t="shared" si="35"/>
        <v>0</v>
      </c>
      <c r="J436" s="81">
        <f t="shared" si="40"/>
        <v>0</v>
      </c>
      <c r="K436" s="81"/>
      <c r="L436" s="597">
        <v>2006</v>
      </c>
      <c r="M436" s="81" t="str">
        <f>+IFERROR(VLOOKUP(L436,DATA!$G$4:$H$2000,2,FALSE),"")</f>
        <v xml:space="preserve">МЦХОЛБОО </v>
      </c>
      <c r="N436" s="435"/>
      <c r="O436" s="81" t="str">
        <f>IFERROR(VLOOKUP(N436,DATA!$K$4:$L$51,2,FALSE),"")</f>
        <v/>
      </c>
      <c r="P436" s="81"/>
      <c r="Q436" s="152">
        <f t="shared" si="36"/>
        <v>0</v>
      </c>
    </row>
    <row r="437" spans="2:17">
      <c r="B437" s="670">
        <f t="shared" si="37"/>
        <v>432</v>
      </c>
      <c r="C437" s="433">
        <v>42807</v>
      </c>
      <c r="D437" s="598" t="s">
        <v>1745</v>
      </c>
      <c r="E437" s="572">
        <v>120600</v>
      </c>
      <c r="F437" s="672" t="str">
        <f>IFERROR(VLOOKUP(E437,STAT1!$C$4:$D$1000,2,FALSE),"")</f>
        <v>НӨАТ авлага</v>
      </c>
      <c r="G437" s="377">
        <v>2746.36</v>
      </c>
      <c r="H437" s="377">
        <v>0</v>
      </c>
      <c r="I437" s="596">
        <f t="shared" si="35"/>
        <v>0</v>
      </c>
      <c r="J437" s="81">
        <f t="shared" si="40"/>
        <v>0</v>
      </c>
      <c r="K437" s="81"/>
      <c r="L437" s="597">
        <v>2006</v>
      </c>
      <c r="M437" s="81" t="str">
        <f>+IFERROR(VLOOKUP(L437,DATA!$G$4:$H$2000,2,FALSE),"")</f>
        <v xml:space="preserve">МЦХОЛБОО </v>
      </c>
      <c r="N437" s="435"/>
      <c r="O437" s="81" t="str">
        <f>IFERROR(VLOOKUP(N437,DATA!$K$4:$L$51,2,FALSE),"")</f>
        <v/>
      </c>
      <c r="P437" s="81"/>
      <c r="Q437" s="152">
        <f t="shared" si="36"/>
        <v>0</v>
      </c>
    </row>
    <row r="438" spans="2:17">
      <c r="B438" s="670">
        <f t="shared" si="37"/>
        <v>433</v>
      </c>
      <c r="C438" s="433">
        <v>42807</v>
      </c>
      <c r="D438" s="598" t="s">
        <v>1745</v>
      </c>
      <c r="E438" s="572">
        <v>110100</v>
      </c>
      <c r="F438" s="672" t="str">
        <f>IFERROR(VLOOKUP(E438,STAT1!$C$4:$D$1000,2,FALSE),"")</f>
        <v>Хаан Банк 5024654020</v>
      </c>
      <c r="G438" s="377"/>
      <c r="H438" s="377">
        <v>30210</v>
      </c>
      <c r="I438" s="596">
        <f t="shared" si="35"/>
        <v>-30210</v>
      </c>
      <c r="J438" s="81">
        <f t="shared" si="40"/>
        <v>0</v>
      </c>
      <c r="K438" s="81"/>
      <c r="L438" s="597">
        <v>2006</v>
      </c>
      <c r="M438" s="81" t="str">
        <f>+IFERROR(VLOOKUP(L438,DATA!$G$4:$H$2000,2,FALSE),"")</f>
        <v xml:space="preserve">МЦХОЛБОО </v>
      </c>
      <c r="N438" s="435">
        <v>59</v>
      </c>
      <c r="O438" s="81" t="str">
        <f>IFERROR(VLOOKUP(N438,DATA!$K$4:$L$51,2,FALSE),"")</f>
        <v>Бусад мөнгөн зарлага</v>
      </c>
      <c r="P438" s="81"/>
      <c r="Q438" s="152">
        <f t="shared" si="36"/>
        <v>1</v>
      </c>
    </row>
    <row r="439" spans="2:17">
      <c r="B439" s="670">
        <f t="shared" si="37"/>
        <v>434</v>
      </c>
      <c r="C439" s="433">
        <v>42808</v>
      </c>
      <c r="D439" s="377" t="s">
        <v>2685</v>
      </c>
      <c r="E439" s="673">
        <v>150101</v>
      </c>
      <c r="F439" s="672" t="str">
        <f>IFERROR(VLOOKUP(E439,STAT1!$C$4:$D$1000,2,FALSE),"")</f>
        <v>Бараа бэлэн бүтээгдэхүүн БОЛОВСРУУЛАХ ЦЕХ /нарс/</v>
      </c>
      <c r="G439" s="377"/>
      <c r="H439" s="377">
        <v>680209.84299999976</v>
      </c>
      <c r="I439" s="596">
        <f t="shared" si="35"/>
        <v>0</v>
      </c>
      <c r="J439" s="81">
        <f t="shared" si="40"/>
        <v>0</v>
      </c>
      <c r="K439" s="81"/>
      <c r="L439" s="597">
        <v>3006</v>
      </c>
      <c r="M439" s="81" t="str">
        <f>+IFERROR(VLOOKUP(L439,DATA!$G$4:$H$2000,2,FALSE),"")</f>
        <v xml:space="preserve">ПАЙОНЕРИНГ ИНТЕРНЭШНЛ ХХК </v>
      </c>
      <c r="N439" s="435"/>
      <c r="O439" s="81" t="str">
        <f>IFERROR(VLOOKUP(N439,DATA!$K$4:$L$51,2,FALSE),"")</f>
        <v/>
      </c>
      <c r="P439" s="81"/>
      <c r="Q439" s="152">
        <f t="shared" si="36"/>
        <v>0</v>
      </c>
    </row>
    <row r="440" spans="2:17">
      <c r="B440" s="670">
        <f t="shared" si="37"/>
        <v>435</v>
      </c>
      <c r="C440" s="433">
        <v>42808</v>
      </c>
      <c r="D440" s="377"/>
      <c r="E440" s="674">
        <v>610100</v>
      </c>
      <c r="F440" s="672" t="str">
        <f>IFERROR(VLOOKUP(E440,STAT1!$C$4:$D$1000,2,FALSE),"")</f>
        <v>Борлуулсан барааны өртөг</v>
      </c>
      <c r="G440" s="377">
        <v>680209.84299999976</v>
      </c>
      <c r="H440" s="377"/>
      <c r="I440" s="596">
        <f t="shared" si="35"/>
        <v>0</v>
      </c>
      <c r="J440" s="81"/>
      <c r="K440" s="81"/>
      <c r="L440" s="597">
        <v>3006</v>
      </c>
      <c r="M440" s="81" t="str">
        <f>+IFERROR(VLOOKUP(L440,DATA!$G$4:$H$2000,2,FALSE),"")</f>
        <v xml:space="preserve">ПАЙОНЕРИНГ ИНТЕРНЭШНЛ ХХК </v>
      </c>
      <c r="N440" s="435"/>
      <c r="O440" s="81"/>
      <c r="P440" s="81"/>
      <c r="Q440" s="152">
        <f t="shared" si="36"/>
        <v>0</v>
      </c>
    </row>
    <row r="441" spans="2:17">
      <c r="B441" s="670">
        <f t="shared" si="37"/>
        <v>436</v>
      </c>
      <c r="C441" s="433">
        <v>42808</v>
      </c>
      <c r="D441" s="377" t="s">
        <v>587</v>
      </c>
      <c r="E441" s="674">
        <v>310500</v>
      </c>
      <c r="F441" s="672" t="str">
        <f>IFERROR(VLOOKUP(E441,STAT1!$C$4:$D$1000,2,FALSE),"")</f>
        <v>НӨАТ өглөг</v>
      </c>
      <c r="G441" s="377"/>
      <c r="H441" s="377">
        <v>128343.63622869999</v>
      </c>
      <c r="I441" s="596">
        <f t="shared" si="35"/>
        <v>0</v>
      </c>
      <c r="J441" s="81">
        <f t="shared" ref="J441:J452" si="41">+IF(E441=110102,I441/K441,0)</f>
        <v>0</v>
      </c>
      <c r="K441" s="81"/>
      <c r="L441" s="597">
        <v>3006</v>
      </c>
      <c r="M441" s="81" t="str">
        <f>+IFERROR(VLOOKUP(L441,DATA!$G$4:$H$2000,2,FALSE),"")</f>
        <v xml:space="preserve">ПАЙОНЕРИНГ ИНТЕРНЭШНЛ ХХК </v>
      </c>
      <c r="N441" s="435"/>
      <c r="O441" s="81" t="str">
        <f>IFERROR(VLOOKUP(N441,DATA!$K$4:$L$51,2,FALSE),"")</f>
        <v/>
      </c>
      <c r="P441" s="81"/>
      <c r="Q441" s="152">
        <f t="shared" si="36"/>
        <v>0</v>
      </c>
    </row>
    <row r="442" spans="2:17">
      <c r="B442" s="670">
        <f t="shared" si="37"/>
        <v>437</v>
      </c>
      <c r="C442" s="433">
        <v>42808</v>
      </c>
      <c r="D442" s="377" t="s">
        <v>587</v>
      </c>
      <c r="E442" s="674">
        <v>510000</v>
      </c>
      <c r="F442" s="672" t="str">
        <f>IFERROR(VLOOKUP(E442,STAT1!$C$4:$D$1000,2,FALSE),"")</f>
        <v>Үндсэн үйл ажиллагааны борлуулалт</v>
      </c>
      <c r="G442" s="377"/>
      <c r="H442" s="377">
        <v>1283436.3622869998</v>
      </c>
      <c r="I442" s="596">
        <f t="shared" si="35"/>
        <v>0</v>
      </c>
      <c r="J442" s="81">
        <f t="shared" si="41"/>
        <v>0</v>
      </c>
      <c r="K442" s="81"/>
      <c r="L442" s="597">
        <v>3006</v>
      </c>
      <c r="M442" s="81" t="str">
        <f>+IFERROR(VLOOKUP(L442,DATA!$G$4:$H$2000,2,FALSE),"")</f>
        <v xml:space="preserve">ПАЙОНЕРИНГ ИНТЕРНЭШНЛ ХХК </v>
      </c>
      <c r="N442" s="435"/>
      <c r="O442" s="81" t="str">
        <f>IFERROR(VLOOKUP(N442,DATA!$K$4:$L$51,2,FALSE),"")</f>
        <v/>
      </c>
      <c r="P442" s="81"/>
      <c r="Q442" s="152">
        <f t="shared" si="36"/>
        <v>0</v>
      </c>
    </row>
    <row r="443" spans="2:17">
      <c r="B443" s="670">
        <f t="shared" si="37"/>
        <v>438</v>
      </c>
      <c r="C443" s="433">
        <v>42808</v>
      </c>
      <c r="D443" s="377" t="s">
        <v>587</v>
      </c>
      <c r="E443" s="674">
        <v>320100</v>
      </c>
      <c r="F443" s="672" t="str">
        <f>IFERROR(VLOOKUP(E443,STAT1!$C$4:$D$1000,2,FALSE),"")</f>
        <v>Урьдчилж орсон орлого MNT</v>
      </c>
      <c r="G443" s="377">
        <v>1411779.9985156998</v>
      </c>
      <c r="H443" s="377"/>
      <c r="I443" s="596">
        <f t="shared" si="35"/>
        <v>0</v>
      </c>
      <c r="J443" s="81">
        <f t="shared" si="41"/>
        <v>0</v>
      </c>
      <c r="K443" s="81"/>
      <c r="L443" s="597">
        <v>3006</v>
      </c>
      <c r="M443" s="81" t="str">
        <f>+IFERROR(VLOOKUP(L443,DATA!$G$4:$H$2000,2,FALSE),"")</f>
        <v xml:space="preserve">ПАЙОНЕРИНГ ИНТЕРНЭШНЛ ХХК </v>
      </c>
      <c r="N443" s="435"/>
      <c r="O443" s="81" t="str">
        <f>IFERROR(VLOOKUP(N443,DATA!$K$4:$L$51,2,FALSE),"")</f>
        <v/>
      </c>
      <c r="P443" s="81"/>
      <c r="Q443" s="152">
        <f t="shared" si="36"/>
        <v>0</v>
      </c>
    </row>
    <row r="444" spans="2:17">
      <c r="B444" s="670">
        <f t="shared" si="37"/>
        <v>439</v>
      </c>
      <c r="C444" s="433">
        <v>42808</v>
      </c>
      <c r="D444" s="377" t="s">
        <v>1741</v>
      </c>
      <c r="E444" s="572">
        <v>320100</v>
      </c>
      <c r="F444" s="672" t="str">
        <f>IFERROR(VLOOKUP(E444,STAT1!$C$4:$D$1000,2,FALSE),"")</f>
        <v>Урьдчилж орсон орлого MNT</v>
      </c>
      <c r="G444" s="377"/>
      <c r="H444" s="377">
        <v>93500</v>
      </c>
      <c r="I444" s="596">
        <f t="shared" si="35"/>
        <v>0</v>
      </c>
      <c r="J444" s="81">
        <f t="shared" si="41"/>
        <v>0</v>
      </c>
      <c r="K444" s="81"/>
      <c r="L444" s="597">
        <v>3026</v>
      </c>
      <c r="M444" s="81" t="str">
        <f>+IFERROR(VLOOKUP(L444,DATA!$G$4:$H$2000,2,FALSE),"")</f>
        <v xml:space="preserve">ВОРЛДНЬЮ МЕДИА ХХК </v>
      </c>
      <c r="N444" s="435"/>
      <c r="O444" s="81" t="str">
        <f>IFERROR(VLOOKUP(N444,DATA!$K$4:$L$51,2,FALSE),"")</f>
        <v/>
      </c>
      <c r="P444" s="81"/>
      <c r="Q444" s="152">
        <f t="shared" si="36"/>
        <v>0</v>
      </c>
    </row>
    <row r="445" spans="2:17">
      <c r="B445" s="670">
        <f t="shared" si="37"/>
        <v>440</v>
      </c>
      <c r="C445" s="433">
        <v>42808</v>
      </c>
      <c r="D445" s="377" t="s">
        <v>1741</v>
      </c>
      <c r="E445" s="572">
        <v>100100</v>
      </c>
      <c r="F445" s="672" t="str">
        <f>IFERROR(VLOOKUP(E445,STAT1!$C$4:$D$1000,2,FALSE),"")</f>
        <v>Касс мөнгө MNT</v>
      </c>
      <c r="G445" s="377">
        <v>93500</v>
      </c>
      <c r="H445" s="377">
        <v>0</v>
      </c>
      <c r="I445" s="596">
        <f t="shared" si="35"/>
        <v>93500</v>
      </c>
      <c r="J445" s="81">
        <f t="shared" si="41"/>
        <v>0</v>
      </c>
      <c r="K445" s="81"/>
      <c r="L445" s="597">
        <v>3026</v>
      </c>
      <c r="M445" s="81" t="str">
        <f>+IFERROR(VLOOKUP(L445,DATA!$G$4:$H$2000,2,FALSE),"")</f>
        <v xml:space="preserve">ВОРЛДНЬЮ МЕДИА ХХК </v>
      </c>
      <c r="N445" s="435">
        <v>41</v>
      </c>
      <c r="O445" s="81" t="str">
        <f>IFERROR(VLOOKUP(N445,DATA!$K$4:$L$51,2,FALSE),"")</f>
        <v>Бараа борлуулсан, үйлчилгээ үзүүлсэний орлого</v>
      </c>
      <c r="P445" s="81"/>
      <c r="Q445" s="152">
        <f t="shared" si="36"/>
        <v>1</v>
      </c>
    </row>
    <row r="446" spans="2:17">
      <c r="B446" s="670">
        <f t="shared" si="37"/>
        <v>441</v>
      </c>
      <c r="C446" s="601">
        <v>42809</v>
      </c>
      <c r="D446" s="372" t="s">
        <v>1640</v>
      </c>
      <c r="E446" s="572">
        <v>160100</v>
      </c>
      <c r="F446" s="672" t="str">
        <f>IFERROR(VLOOKUP(E446,STAT1!$C$4:$D$1000,2,FALSE),"")</f>
        <v xml:space="preserve">Барилгын материал </v>
      </c>
      <c r="G446" s="431">
        <v>669999.99600000004</v>
      </c>
      <c r="H446" s="430"/>
      <c r="I446" s="596">
        <f t="shared" si="35"/>
        <v>0</v>
      </c>
      <c r="J446" s="81">
        <f t="shared" si="41"/>
        <v>0</v>
      </c>
      <c r="K446" s="432"/>
      <c r="L446" s="597">
        <v>3017</v>
      </c>
      <c r="M446" s="81" t="str">
        <f>+IFERROR(VLOOKUP(L446,DATA!$G$4:$H$2000,2,FALSE),"")</f>
        <v xml:space="preserve">ВОС ХХК </v>
      </c>
      <c r="N446" s="435"/>
      <c r="O446" s="81" t="str">
        <f>IFERROR(VLOOKUP(N446,DATA!$K$4:$L$51,2,FALSE),"")</f>
        <v/>
      </c>
      <c r="P446" s="81"/>
      <c r="Q446" s="152">
        <f t="shared" si="36"/>
        <v>0</v>
      </c>
    </row>
    <row r="447" spans="2:17">
      <c r="B447" s="670">
        <f t="shared" si="37"/>
        <v>442</v>
      </c>
      <c r="C447" s="601">
        <v>42809</v>
      </c>
      <c r="D447" s="372" t="s">
        <v>587</v>
      </c>
      <c r="E447" s="572">
        <v>120600</v>
      </c>
      <c r="F447" s="672" t="str">
        <f>IFERROR(VLOOKUP(E447,STAT1!$C$4:$D$1000,2,FALSE),"")</f>
        <v>НӨАТ авлага</v>
      </c>
      <c r="G447" s="431">
        <v>66999.99960000001</v>
      </c>
      <c r="H447" s="430"/>
      <c r="I447" s="596">
        <f t="shared" si="35"/>
        <v>0</v>
      </c>
      <c r="J447" s="81">
        <f t="shared" si="41"/>
        <v>0</v>
      </c>
      <c r="K447" s="432"/>
      <c r="L447" s="597">
        <v>3017</v>
      </c>
      <c r="M447" s="81" t="str">
        <f>+IFERROR(VLOOKUP(L447,DATA!$G$4:$H$2000,2,FALSE),"")</f>
        <v xml:space="preserve">ВОС ХХК </v>
      </c>
      <c r="N447" s="435"/>
      <c r="O447" s="81" t="str">
        <f>IFERROR(VLOOKUP(N447,DATA!$K$4:$L$51,2,FALSE),"")</f>
        <v/>
      </c>
      <c r="P447" s="81"/>
      <c r="Q447" s="152">
        <f t="shared" si="36"/>
        <v>0</v>
      </c>
    </row>
    <row r="448" spans="2:17">
      <c r="B448" s="670">
        <f t="shared" si="37"/>
        <v>443</v>
      </c>
      <c r="C448" s="601">
        <v>42809</v>
      </c>
      <c r="D448" s="372" t="s">
        <v>587</v>
      </c>
      <c r="E448" s="572">
        <v>120100</v>
      </c>
      <c r="F448" s="672" t="str">
        <f>IFERROR(VLOOKUP(E448,STAT1!$C$4:$D$1000,2,FALSE),"")</f>
        <v xml:space="preserve">Дансны авлага MNT </v>
      </c>
      <c r="G448" s="430"/>
      <c r="H448" s="431">
        <v>737000</v>
      </c>
      <c r="I448" s="596">
        <f t="shared" si="35"/>
        <v>0</v>
      </c>
      <c r="J448" s="81">
        <f t="shared" si="41"/>
        <v>0</v>
      </c>
      <c r="K448" s="432"/>
      <c r="L448" s="597">
        <v>3017</v>
      </c>
      <c r="M448" s="81" t="str">
        <f>+IFERROR(VLOOKUP(L448,DATA!$G$4:$H$2000,2,FALSE),"")</f>
        <v xml:space="preserve">ВОС ХХК </v>
      </c>
      <c r="N448" s="435"/>
      <c r="O448" s="81" t="str">
        <f>IFERROR(VLOOKUP(N448,DATA!$K$4:$L$51,2,FALSE),"")</f>
        <v/>
      </c>
      <c r="P448" s="81"/>
      <c r="Q448" s="152">
        <f t="shared" si="36"/>
        <v>0</v>
      </c>
    </row>
    <row r="449" spans="2:17">
      <c r="B449" s="670">
        <f t="shared" si="37"/>
        <v>444</v>
      </c>
      <c r="C449" s="601">
        <v>42809</v>
      </c>
      <c r="D449" s="372" t="s">
        <v>1637</v>
      </c>
      <c r="E449" s="572">
        <v>160100</v>
      </c>
      <c r="F449" s="672" t="str">
        <f>IFERROR(VLOOKUP(E449,STAT1!$C$4:$D$1000,2,FALSE),"")</f>
        <v xml:space="preserve">Барилгын материал </v>
      </c>
      <c r="G449" s="431">
        <v>80000</v>
      </c>
      <c r="H449" s="430"/>
      <c r="I449" s="596">
        <f t="shared" si="35"/>
        <v>0</v>
      </c>
      <c r="J449" s="81">
        <f t="shared" si="41"/>
        <v>0</v>
      </c>
      <c r="K449" s="432"/>
      <c r="L449" s="597">
        <v>3017</v>
      </c>
      <c r="M449" s="81" t="str">
        <f>+IFERROR(VLOOKUP(L449,DATA!$G$4:$H$2000,2,FALSE),"")</f>
        <v xml:space="preserve">ВОС ХХК </v>
      </c>
      <c r="N449" s="435"/>
      <c r="O449" s="81" t="str">
        <f>IFERROR(VLOOKUP(N449,DATA!$K$4:$L$51,2,FALSE),"")</f>
        <v/>
      </c>
      <c r="P449" s="81"/>
      <c r="Q449" s="152">
        <f t="shared" si="36"/>
        <v>0</v>
      </c>
    </row>
    <row r="450" spans="2:17">
      <c r="B450" s="670">
        <f t="shared" si="37"/>
        <v>445</v>
      </c>
      <c r="C450" s="601">
        <v>42809</v>
      </c>
      <c r="D450" s="372" t="s">
        <v>587</v>
      </c>
      <c r="E450" s="572">
        <v>120600</v>
      </c>
      <c r="F450" s="672" t="str">
        <f>IFERROR(VLOOKUP(E450,STAT1!$C$4:$D$1000,2,FALSE),"")</f>
        <v>НӨАТ авлага</v>
      </c>
      <c r="G450" s="431">
        <v>8000</v>
      </c>
      <c r="H450" s="430"/>
      <c r="I450" s="596">
        <f t="shared" si="35"/>
        <v>0</v>
      </c>
      <c r="J450" s="81">
        <f t="shared" si="41"/>
        <v>0</v>
      </c>
      <c r="K450" s="432"/>
      <c r="L450" s="597">
        <v>3017</v>
      </c>
      <c r="M450" s="81" t="str">
        <f>+IFERROR(VLOOKUP(L450,DATA!$G$4:$H$2000,2,FALSE),"")</f>
        <v xml:space="preserve">ВОС ХХК </v>
      </c>
      <c r="N450" s="435"/>
      <c r="O450" s="81" t="str">
        <f>IFERROR(VLOOKUP(N450,DATA!$K$4:$L$51,2,FALSE),"")</f>
        <v/>
      </c>
      <c r="P450" s="81"/>
      <c r="Q450" s="152">
        <f t="shared" si="36"/>
        <v>0</v>
      </c>
    </row>
    <row r="451" spans="2:17">
      <c r="B451" s="670">
        <f t="shared" si="37"/>
        <v>446</v>
      </c>
      <c r="C451" s="601">
        <v>42809</v>
      </c>
      <c r="D451" s="372" t="s">
        <v>587</v>
      </c>
      <c r="E451" s="572">
        <v>120100</v>
      </c>
      <c r="F451" s="672" t="str">
        <f>IFERROR(VLOOKUP(E451,STAT1!$C$4:$D$1000,2,FALSE),"")</f>
        <v xml:space="preserve">Дансны авлага MNT </v>
      </c>
      <c r="G451" s="430"/>
      <c r="H451" s="431">
        <v>88000</v>
      </c>
      <c r="I451" s="596">
        <f t="shared" si="35"/>
        <v>0</v>
      </c>
      <c r="J451" s="81">
        <f t="shared" si="41"/>
        <v>0</v>
      </c>
      <c r="K451" s="432"/>
      <c r="L451" s="597">
        <v>3017</v>
      </c>
      <c r="M451" s="81" t="str">
        <f>+IFERROR(VLOOKUP(L451,DATA!$G$4:$H$2000,2,FALSE),"")</f>
        <v xml:space="preserve">ВОС ХХК </v>
      </c>
      <c r="N451" s="435"/>
      <c r="O451" s="81" t="str">
        <f>IFERROR(VLOOKUP(N451,DATA!$K$4:$L$51,2,FALSE),"")</f>
        <v/>
      </c>
      <c r="P451" s="81"/>
      <c r="Q451" s="152">
        <f t="shared" si="36"/>
        <v>0</v>
      </c>
    </row>
    <row r="452" spans="2:17">
      <c r="B452" s="670">
        <f t="shared" si="37"/>
        <v>447</v>
      </c>
      <c r="C452" s="433">
        <v>42809</v>
      </c>
      <c r="D452" s="377" t="s">
        <v>2685</v>
      </c>
      <c r="E452" s="673">
        <v>150101</v>
      </c>
      <c r="F452" s="672" t="str">
        <f>IFERROR(VLOOKUP(E452,STAT1!$C$4:$D$1000,2,FALSE),"")</f>
        <v>Бараа бэлэн бүтээгдэхүүн БОЛОВСРУУЛАХ ЦЕХ /нарс/</v>
      </c>
      <c r="G452" s="377"/>
      <c r="H452" s="377">
        <v>150256.73249999998</v>
      </c>
      <c r="I452" s="596">
        <f t="shared" si="35"/>
        <v>0</v>
      </c>
      <c r="J452" s="81">
        <f t="shared" si="41"/>
        <v>0</v>
      </c>
      <c r="K452" s="81"/>
      <c r="L452" s="597">
        <v>3021</v>
      </c>
      <c r="M452" s="81" t="str">
        <f>+IFERROR(VLOOKUP(L452,DATA!$G$4:$H$2000,2,FALSE),"")</f>
        <v>БАНДИА ХХК</v>
      </c>
      <c r="N452" s="435"/>
      <c r="O452" s="81" t="str">
        <f>IFERROR(VLOOKUP(N452,DATA!$K$4:$L$51,2,FALSE),"")</f>
        <v/>
      </c>
      <c r="P452" s="81"/>
      <c r="Q452" s="152">
        <f t="shared" si="36"/>
        <v>0</v>
      </c>
    </row>
    <row r="453" spans="2:17">
      <c r="B453" s="670">
        <f t="shared" si="37"/>
        <v>448</v>
      </c>
      <c r="C453" s="433">
        <v>42809</v>
      </c>
      <c r="D453" s="377"/>
      <c r="E453" s="674">
        <v>610100</v>
      </c>
      <c r="F453" s="672" t="str">
        <f>IFERROR(VLOOKUP(E453,STAT1!$C$4:$D$1000,2,FALSE),"")</f>
        <v>Борлуулсан барааны өртөг</v>
      </c>
      <c r="G453" s="377">
        <v>150256.73249999998</v>
      </c>
      <c r="H453" s="377"/>
      <c r="I453" s="596">
        <f t="shared" si="35"/>
        <v>0</v>
      </c>
      <c r="J453" s="81"/>
      <c r="K453" s="81"/>
      <c r="L453" s="597">
        <v>3021</v>
      </c>
      <c r="M453" s="81" t="str">
        <f>+IFERROR(VLOOKUP(L453,DATA!$G$4:$H$2000,2,FALSE),"")</f>
        <v>БАНДИА ХХК</v>
      </c>
      <c r="N453" s="435"/>
      <c r="O453" s="81"/>
      <c r="P453" s="81"/>
      <c r="Q453" s="152">
        <f t="shared" si="36"/>
        <v>0</v>
      </c>
    </row>
    <row r="454" spans="2:17">
      <c r="B454" s="670">
        <f t="shared" si="37"/>
        <v>449</v>
      </c>
      <c r="C454" s="433">
        <v>42809</v>
      </c>
      <c r="D454" s="377" t="s">
        <v>587</v>
      </c>
      <c r="E454" s="674">
        <v>310500</v>
      </c>
      <c r="F454" s="672" t="str">
        <f>IFERROR(VLOOKUP(E454,STAT1!$C$4:$D$1000,2,FALSE),"")</f>
        <v>НӨАТ өглөг</v>
      </c>
      <c r="G454" s="377"/>
      <c r="H454" s="377">
        <v>28350</v>
      </c>
      <c r="I454" s="596">
        <f t="shared" ref="I454:I517" si="42">+IF(OR(E454=100100,E454=100200,E454=110100,E454=110102,E454=110103,E454=110104,E454=110105,E454=110200,E454=110201,E454=110202,E454=110203,E454=110204,E454=110300),G454,0)+IF(OR(E454=100100,E454=100200,E454=110100,E454=110102,E454=110103,E454=110104,E454=110105,E454=110200,E454=110201,E454=110202,E454=110203,E454=110204,E454=110300),H454*-1,0)</f>
        <v>0</v>
      </c>
      <c r="J454" s="81">
        <f t="shared" ref="J454:J470" si="43">+IF(E454=110102,I454/K454,0)</f>
        <v>0</v>
      </c>
      <c r="K454" s="81"/>
      <c r="L454" s="597">
        <v>3021</v>
      </c>
      <c r="M454" s="81" t="str">
        <f>+IFERROR(VLOOKUP(L454,DATA!$G$4:$H$2000,2,FALSE),"")</f>
        <v>БАНДИА ХХК</v>
      </c>
      <c r="N454" s="435"/>
      <c r="O454" s="81" t="str">
        <f>IFERROR(VLOOKUP(N454,DATA!$K$4:$L$51,2,FALSE),"")</f>
        <v/>
      </c>
      <c r="P454" s="81"/>
      <c r="Q454" s="152">
        <f t="shared" si="36"/>
        <v>0</v>
      </c>
    </row>
    <row r="455" spans="2:17">
      <c r="B455" s="670">
        <f t="shared" si="37"/>
        <v>450</v>
      </c>
      <c r="C455" s="433">
        <v>42809</v>
      </c>
      <c r="D455" s="377" t="s">
        <v>587</v>
      </c>
      <c r="E455" s="674">
        <v>510000</v>
      </c>
      <c r="F455" s="672" t="str">
        <f>IFERROR(VLOOKUP(E455,STAT1!$C$4:$D$1000,2,FALSE),"")</f>
        <v>Үндсэн үйл ажиллагааны борлуулалт</v>
      </c>
      <c r="G455" s="377"/>
      <c r="H455" s="377">
        <v>283500</v>
      </c>
      <c r="I455" s="596">
        <f t="shared" si="42"/>
        <v>0</v>
      </c>
      <c r="J455" s="81">
        <f t="shared" si="43"/>
        <v>0</v>
      </c>
      <c r="K455" s="81"/>
      <c r="L455" s="597">
        <v>3021</v>
      </c>
      <c r="M455" s="81" t="str">
        <f>+IFERROR(VLOOKUP(L455,DATA!$G$4:$H$2000,2,FALSE),"")</f>
        <v>БАНДИА ХХК</v>
      </c>
      <c r="N455" s="435"/>
      <c r="O455" s="81" t="str">
        <f>IFERROR(VLOOKUP(N455,DATA!$K$4:$L$51,2,FALSE),"")</f>
        <v/>
      </c>
      <c r="P455" s="81"/>
      <c r="Q455" s="152">
        <f t="shared" ref="Q455:Q518" si="44">+IF(I455,1,0)</f>
        <v>0</v>
      </c>
    </row>
    <row r="456" spans="2:17">
      <c r="B456" s="670">
        <f t="shared" si="37"/>
        <v>451</v>
      </c>
      <c r="C456" s="433">
        <v>42809</v>
      </c>
      <c r="D456" s="377" t="s">
        <v>587</v>
      </c>
      <c r="E456" s="674">
        <v>320100</v>
      </c>
      <c r="F456" s="672" t="str">
        <f>IFERROR(VLOOKUP(E456,STAT1!$C$4:$D$1000,2,FALSE),"")</f>
        <v>Урьдчилж орсон орлого MNT</v>
      </c>
      <c r="G456" s="377">
        <v>311850</v>
      </c>
      <c r="H456" s="377"/>
      <c r="I456" s="596">
        <f t="shared" si="42"/>
        <v>0</v>
      </c>
      <c r="J456" s="81">
        <f t="shared" si="43"/>
        <v>0</v>
      </c>
      <c r="K456" s="81"/>
      <c r="L456" s="597">
        <v>3021</v>
      </c>
      <c r="M456" s="81" t="str">
        <f>+IFERROR(VLOOKUP(L456,DATA!$G$4:$H$2000,2,FALSE),"")</f>
        <v>БАНДИА ХХК</v>
      </c>
      <c r="N456" s="435"/>
      <c r="O456" s="81" t="str">
        <f>IFERROR(VLOOKUP(N456,DATA!$K$4:$L$51,2,FALSE),"")</f>
        <v/>
      </c>
      <c r="P456" s="81"/>
      <c r="Q456" s="152">
        <f t="shared" si="44"/>
        <v>0</v>
      </c>
    </row>
    <row r="457" spans="2:17">
      <c r="B457" s="670">
        <f t="shared" si="37"/>
        <v>452</v>
      </c>
      <c r="C457" s="433">
        <v>42809</v>
      </c>
      <c r="D457" s="377" t="s">
        <v>1355</v>
      </c>
      <c r="E457" s="572">
        <v>100100</v>
      </c>
      <c r="F457" s="672" t="str">
        <f>IFERROR(VLOOKUP(E457,STAT1!$C$4:$D$1000,2,FALSE),"")</f>
        <v>Касс мөнгө MNT</v>
      </c>
      <c r="G457" s="377"/>
      <c r="H457" s="377">
        <v>68000</v>
      </c>
      <c r="I457" s="596">
        <f t="shared" si="42"/>
        <v>-68000</v>
      </c>
      <c r="J457" s="81">
        <f t="shared" si="43"/>
        <v>0</v>
      </c>
      <c r="K457" s="81"/>
      <c r="L457" s="597">
        <v>1005</v>
      </c>
      <c r="M457" s="81" t="str">
        <f>+IFERROR(VLOOKUP(L457,DATA!$G$4:$H$2000,2,FALSE),"")</f>
        <v>Золжаргал</v>
      </c>
      <c r="N457" s="435">
        <v>55</v>
      </c>
      <c r="O457" s="81" t="str">
        <f>IFERROR(VLOOKUP(N457,DATA!$K$4:$L$51,2,FALSE),"")</f>
        <v>Түлш, шатахуун, тээврийн хөлс, сэлбэг хэрэгсэлд төлсөн</v>
      </c>
      <c r="P457" s="81"/>
      <c r="Q457" s="152">
        <f t="shared" si="44"/>
        <v>1</v>
      </c>
    </row>
    <row r="458" spans="2:17">
      <c r="B458" s="670">
        <f t="shared" si="37"/>
        <v>453</v>
      </c>
      <c r="C458" s="433">
        <v>42809</v>
      </c>
      <c r="D458" s="377" t="s">
        <v>1355</v>
      </c>
      <c r="E458" s="572">
        <v>702000</v>
      </c>
      <c r="F458" s="672" t="str">
        <f>IFERROR(VLOOKUP(E458,STAT1!$C$4:$D$1000,2,FALSE),"")</f>
        <v>Түлш, шатахуун</v>
      </c>
      <c r="G458" s="377">
        <v>68000</v>
      </c>
      <c r="H458" s="377"/>
      <c r="I458" s="596">
        <f t="shared" si="42"/>
        <v>0</v>
      </c>
      <c r="J458" s="81">
        <f t="shared" si="43"/>
        <v>0</v>
      </c>
      <c r="K458" s="81"/>
      <c r="L458" s="597">
        <v>1005</v>
      </c>
      <c r="M458" s="81" t="str">
        <f>+IFERROR(VLOOKUP(L458,DATA!$G$4:$H$2000,2,FALSE),"")</f>
        <v>Золжаргал</v>
      </c>
      <c r="N458" s="435"/>
      <c r="O458" s="81" t="str">
        <f>IFERROR(VLOOKUP(N458,DATA!$K$4:$L$51,2,FALSE),"")</f>
        <v/>
      </c>
      <c r="P458" s="81"/>
      <c r="Q458" s="152">
        <f t="shared" si="44"/>
        <v>0</v>
      </c>
    </row>
    <row r="459" spans="2:17">
      <c r="B459" s="670">
        <f t="shared" ref="B459:B522" si="45">+IF(C459="","",ROW()-5)</f>
        <v>454</v>
      </c>
      <c r="C459" s="433">
        <v>42809</v>
      </c>
      <c r="D459" s="377" t="s">
        <v>1698</v>
      </c>
      <c r="E459" s="572">
        <v>120600</v>
      </c>
      <c r="F459" s="672" t="str">
        <f>IFERROR(VLOOKUP(E459,STAT1!$C$4:$D$1000,2,FALSE),"")</f>
        <v>НӨАТ авлага</v>
      </c>
      <c r="G459" s="377">
        <v>22944</v>
      </c>
      <c r="H459" s="377"/>
      <c r="I459" s="596">
        <f t="shared" si="42"/>
        <v>0</v>
      </c>
      <c r="J459" s="81">
        <f t="shared" si="43"/>
        <v>0</v>
      </c>
      <c r="K459" s="81"/>
      <c r="L459" s="597">
        <v>1005</v>
      </c>
      <c r="M459" s="81" t="str">
        <f>+IFERROR(VLOOKUP(L459,DATA!$G$4:$H$2000,2,FALSE),"")</f>
        <v>Золжаргал</v>
      </c>
      <c r="N459" s="435"/>
      <c r="O459" s="81" t="str">
        <f>IFERROR(VLOOKUP(N459,DATA!$K$4:$L$51,2,FALSE),"")</f>
        <v/>
      </c>
      <c r="P459" s="81"/>
      <c r="Q459" s="152">
        <f t="shared" si="44"/>
        <v>0</v>
      </c>
    </row>
    <row r="460" spans="2:17">
      <c r="B460" s="670">
        <f t="shared" si="45"/>
        <v>455</v>
      </c>
      <c r="C460" s="433">
        <v>42809</v>
      </c>
      <c r="D460" s="377" t="s">
        <v>1698</v>
      </c>
      <c r="E460" s="572">
        <v>100100</v>
      </c>
      <c r="F460" s="672" t="str">
        <f>IFERROR(VLOOKUP(E460,STAT1!$C$4:$D$1000,2,FALSE),"")</f>
        <v>Касс мөнгө MNT</v>
      </c>
      <c r="G460" s="377"/>
      <c r="H460" s="377">
        <v>272771</v>
      </c>
      <c r="I460" s="596">
        <f t="shared" si="42"/>
        <v>-272771</v>
      </c>
      <c r="J460" s="81">
        <f t="shared" si="43"/>
        <v>0</v>
      </c>
      <c r="K460" s="81"/>
      <c r="L460" s="597">
        <v>1005</v>
      </c>
      <c r="M460" s="81" t="str">
        <f>+IFERROR(VLOOKUP(L460,DATA!$G$4:$H$2000,2,FALSE),"")</f>
        <v>Золжаргал</v>
      </c>
      <c r="N460" s="435">
        <v>53</v>
      </c>
      <c r="O460" s="81" t="str">
        <f>IFERROR(VLOOKUP(N460,DATA!$K$4:$L$51,2,FALSE),"")</f>
        <v>Бараа материал худалдан авахад төлсөн</v>
      </c>
      <c r="P460" s="81"/>
      <c r="Q460" s="152">
        <f t="shared" si="44"/>
        <v>1</v>
      </c>
    </row>
    <row r="461" spans="2:17">
      <c r="B461" s="670">
        <f t="shared" si="45"/>
        <v>456</v>
      </c>
      <c r="C461" s="433">
        <v>42809</v>
      </c>
      <c r="D461" s="377" t="s">
        <v>1698</v>
      </c>
      <c r="E461" s="572">
        <v>704700</v>
      </c>
      <c r="F461" s="672" t="str">
        <f>IFERROR(VLOOKUP(E461,STAT1!$C$4:$D$1000,2,FALSE),"")</f>
        <v>Цэвэрлэгээ</v>
      </c>
      <c r="G461" s="377">
        <v>249827</v>
      </c>
      <c r="H461" s="377">
        <v>0</v>
      </c>
      <c r="I461" s="596">
        <f t="shared" si="42"/>
        <v>0</v>
      </c>
      <c r="J461" s="81">
        <f t="shared" si="43"/>
        <v>0</v>
      </c>
      <c r="K461" s="81"/>
      <c r="L461" s="597">
        <v>1005</v>
      </c>
      <c r="M461" s="81" t="str">
        <f>+IFERROR(VLOOKUP(L461,DATA!$G$4:$H$2000,2,FALSE),"")</f>
        <v>Золжаргал</v>
      </c>
      <c r="N461" s="435"/>
      <c r="O461" s="81" t="str">
        <f>IFERROR(VLOOKUP(N461,DATA!$K$4:$L$51,2,FALSE),"")</f>
        <v/>
      </c>
      <c r="P461" s="81"/>
      <c r="Q461" s="152">
        <f t="shared" si="44"/>
        <v>0</v>
      </c>
    </row>
    <row r="462" spans="2:17">
      <c r="B462" s="670">
        <f t="shared" si="45"/>
        <v>457</v>
      </c>
      <c r="C462" s="433">
        <v>42809</v>
      </c>
      <c r="D462" s="377" t="s">
        <v>1728</v>
      </c>
      <c r="E462" s="572">
        <v>100100</v>
      </c>
      <c r="F462" s="672" t="str">
        <f>IFERROR(VLOOKUP(E462,STAT1!$C$4:$D$1000,2,FALSE),"")</f>
        <v>Касс мөнгө MNT</v>
      </c>
      <c r="G462" s="377"/>
      <c r="H462" s="377">
        <v>895800</v>
      </c>
      <c r="I462" s="596">
        <f t="shared" si="42"/>
        <v>-895800</v>
      </c>
      <c r="J462" s="81">
        <f t="shared" si="43"/>
        <v>0</v>
      </c>
      <c r="K462" s="81"/>
      <c r="L462" s="597">
        <v>3017</v>
      </c>
      <c r="M462" s="81" t="str">
        <f>+IFERROR(VLOOKUP(L462,DATA!$G$4:$H$2000,2,FALSE),"")</f>
        <v xml:space="preserve">ВОС ХХК </v>
      </c>
      <c r="N462" s="435">
        <v>53</v>
      </c>
      <c r="O462" s="81" t="str">
        <f>IFERROR(VLOOKUP(N462,DATA!$K$4:$L$51,2,FALSE),"")</f>
        <v>Бараа материал худалдан авахад төлсөн</v>
      </c>
      <c r="P462" s="81"/>
      <c r="Q462" s="152">
        <f t="shared" si="44"/>
        <v>1</v>
      </c>
    </row>
    <row r="463" spans="2:17">
      <c r="B463" s="670">
        <f t="shared" si="45"/>
        <v>458</v>
      </c>
      <c r="C463" s="433">
        <v>42809</v>
      </c>
      <c r="D463" s="377" t="s">
        <v>1728</v>
      </c>
      <c r="E463" s="572">
        <v>120100</v>
      </c>
      <c r="F463" s="672" t="str">
        <f>IFERROR(VLOOKUP(E463,STAT1!$C$4:$D$1000,2,FALSE),"")</f>
        <v xml:space="preserve">Дансны авлага MNT </v>
      </c>
      <c r="G463" s="377">
        <v>895800</v>
      </c>
      <c r="H463" s="377">
        <v>0</v>
      </c>
      <c r="I463" s="596">
        <f t="shared" si="42"/>
        <v>0</v>
      </c>
      <c r="J463" s="81">
        <f t="shared" si="43"/>
        <v>0</v>
      </c>
      <c r="K463" s="81"/>
      <c r="L463" s="597">
        <v>3017</v>
      </c>
      <c r="M463" s="81" t="str">
        <f>+IFERROR(VLOOKUP(L463,DATA!$G$4:$H$2000,2,FALSE),"")</f>
        <v xml:space="preserve">ВОС ХХК </v>
      </c>
      <c r="N463" s="435"/>
      <c r="O463" s="81" t="str">
        <f>IFERROR(VLOOKUP(N463,DATA!$K$4:$L$51,2,FALSE),"")</f>
        <v/>
      </c>
      <c r="P463" s="81"/>
      <c r="Q463" s="152">
        <f t="shared" si="44"/>
        <v>0</v>
      </c>
    </row>
    <row r="464" spans="2:17">
      <c r="B464" s="670">
        <f t="shared" si="45"/>
        <v>459</v>
      </c>
      <c r="C464" s="433">
        <v>42809</v>
      </c>
      <c r="D464" s="377" t="s">
        <v>1741</v>
      </c>
      <c r="E464" s="572">
        <v>320100</v>
      </c>
      <c r="F464" s="672" t="str">
        <f>IFERROR(VLOOKUP(E464,STAT1!$C$4:$D$1000,2,FALSE),"")</f>
        <v>Урьдчилж орсон орлого MNT</v>
      </c>
      <c r="G464" s="377"/>
      <c r="H464" s="377">
        <v>149280</v>
      </c>
      <c r="I464" s="596">
        <f t="shared" si="42"/>
        <v>0</v>
      </c>
      <c r="J464" s="81">
        <f t="shared" si="43"/>
        <v>0</v>
      </c>
      <c r="K464" s="81"/>
      <c r="L464" s="597">
        <v>3023</v>
      </c>
      <c r="M464" s="81" t="str">
        <f>+IFERROR(VLOOKUP(L464,DATA!$G$4:$H$2000,2,FALSE),"")</f>
        <v>ЭГЭЛ ХХК</v>
      </c>
      <c r="N464" s="435"/>
      <c r="O464" s="81" t="str">
        <f>IFERROR(VLOOKUP(N464,DATA!$K$4:$L$51,2,FALSE),"")</f>
        <v/>
      </c>
      <c r="P464" s="81"/>
      <c r="Q464" s="152">
        <f t="shared" si="44"/>
        <v>0</v>
      </c>
    </row>
    <row r="465" spans="2:17">
      <c r="B465" s="670">
        <f t="shared" si="45"/>
        <v>460</v>
      </c>
      <c r="C465" s="433">
        <v>42809</v>
      </c>
      <c r="D465" s="377" t="s">
        <v>1741</v>
      </c>
      <c r="E465" s="572">
        <v>100100</v>
      </c>
      <c r="F465" s="672" t="str">
        <f>IFERROR(VLOOKUP(E465,STAT1!$C$4:$D$1000,2,FALSE),"")</f>
        <v>Касс мөнгө MNT</v>
      </c>
      <c r="G465" s="377">
        <v>149280</v>
      </c>
      <c r="H465" s="377">
        <v>0</v>
      </c>
      <c r="I465" s="596">
        <f t="shared" si="42"/>
        <v>149280</v>
      </c>
      <c r="J465" s="81">
        <f t="shared" si="43"/>
        <v>0</v>
      </c>
      <c r="K465" s="81"/>
      <c r="L465" s="597">
        <v>3023</v>
      </c>
      <c r="M465" s="81" t="str">
        <f>+IFERROR(VLOOKUP(L465,DATA!$G$4:$H$2000,2,FALSE),"")</f>
        <v>ЭГЭЛ ХХК</v>
      </c>
      <c r="N465" s="435">
        <v>41</v>
      </c>
      <c r="O465" s="81" t="str">
        <f>IFERROR(VLOOKUP(N465,DATA!$K$4:$L$51,2,FALSE),"")</f>
        <v>Бараа борлуулсан, үйлчилгээ үзүүлсэний орлого</v>
      </c>
      <c r="P465" s="81"/>
      <c r="Q465" s="152">
        <f t="shared" si="44"/>
        <v>1</v>
      </c>
    </row>
    <row r="466" spans="2:17">
      <c r="B466" s="670">
        <f t="shared" si="45"/>
        <v>461</v>
      </c>
      <c r="C466" s="433">
        <v>42809</v>
      </c>
      <c r="D466" s="377" t="s">
        <v>1741</v>
      </c>
      <c r="E466" s="572">
        <v>320100</v>
      </c>
      <c r="F466" s="672" t="str">
        <f>IFERROR(VLOOKUP(E466,STAT1!$C$4:$D$1000,2,FALSE),"")</f>
        <v>Урьдчилж орсон орлого MNT</v>
      </c>
      <c r="G466" s="377"/>
      <c r="H466" s="377">
        <v>748000</v>
      </c>
      <c r="I466" s="596">
        <f t="shared" si="42"/>
        <v>0</v>
      </c>
      <c r="J466" s="81">
        <f t="shared" si="43"/>
        <v>0</v>
      </c>
      <c r="K466" s="81"/>
      <c r="L466" s="597">
        <v>3025</v>
      </c>
      <c r="M466" s="81" t="str">
        <f>+IFERROR(VLOOKUP(L466,DATA!$G$4:$H$2000,2,FALSE),"")</f>
        <v xml:space="preserve">ТОСОН ВҮҮД ХХК </v>
      </c>
      <c r="N466" s="435"/>
      <c r="O466" s="81" t="str">
        <f>IFERROR(VLOOKUP(N466,DATA!$K$4:$L$51,2,FALSE),"")</f>
        <v/>
      </c>
      <c r="P466" s="81"/>
      <c r="Q466" s="152">
        <f t="shared" si="44"/>
        <v>0</v>
      </c>
    </row>
    <row r="467" spans="2:17">
      <c r="B467" s="670">
        <f t="shared" si="45"/>
        <v>462</v>
      </c>
      <c r="C467" s="433">
        <v>42809</v>
      </c>
      <c r="D467" s="377" t="s">
        <v>1741</v>
      </c>
      <c r="E467" s="572">
        <v>100100</v>
      </c>
      <c r="F467" s="672" t="str">
        <f>IFERROR(VLOOKUP(E467,STAT1!$C$4:$D$1000,2,FALSE),"")</f>
        <v>Касс мөнгө MNT</v>
      </c>
      <c r="G467" s="377">
        <v>748000</v>
      </c>
      <c r="H467" s="377">
        <v>0</v>
      </c>
      <c r="I467" s="596">
        <f t="shared" si="42"/>
        <v>748000</v>
      </c>
      <c r="J467" s="81">
        <f t="shared" si="43"/>
        <v>0</v>
      </c>
      <c r="K467" s="81"/>
      <c r="L467" s="597">
        <v>3025</v>
      </c>
      <c r="M467" s="81" t="str">
        <f>+IFERROR(VLOOKUP(L467,DATA!$G$4:$H$2000,2,FALSE),"")</f>
        <v xml:space="preserve">ТОСОН ВҮҮД ХХК </v>
      </c>
      <c r="N467" s="435">
        <v>41</v>
      </c>
      <c r="O467" s="81" t="str">
        <f>IFERROR(VLOOKUP(N467,DATA!$K$4:$L$51,2,FALSE),"")</f>
        <v>Бараа борлуулсан, үйлчилгээ үзүүлсэний орлого</v>
      </c>
      <c r="P467" s="81"/>
      <c r="Q467" s="152">
        <f t="shared" si="44"/>
        <v>1</v>
      </c>
    </row>
    <row r="468" spans="2:17">
      <c r="B468" s="670">
        <f t="shared" si="45"/>
        <v>463</v>
      </c>
      <c r="C468" s="433">
        <v>42809</v>
      </c>
      <c r="D468" s="598" t="s">
        <v>1754</v>
      </c>
      <c r="E468" s="572">
        <v>120100</v>
      </c>
      <c r="F468" s="672" t="str">
        <f>IFERROR(VLOOKUP(E468,STAT1!$C$4:$D$1000,2,FALSE),"")</f>
        <v xml:space="preserve">Дансны авлага MNT </v>
      </c>
      <c r="G468" s="377">
        <v>803700</v>
      </c>
      <c r="H468" s="377">
        <v>0</v>
      </c>
      <c r="I468" s="596">
        <f t="shared" si="42"/>
        <v>0</v>
      </c>
      <c r="J468" s="81">
        <f t="shared" si="43"/>
        <v>0</v>
      </c>
      <c r="K468" s="81"/>
      <c r="L468" s="597">
        <v>3017</v>
      </c>
      <c r="M468" s="81" t="str">
        <f>+IFERROR(VLOOKUP(L468,DATA!$G$4:$H$2000,2,FALSE),"")</f>
        <v xml:space="preserve">ВОС ХХК </v>
      </c>
      <c r="N468" s="435"/>
      <c r="O468" s="81" t="str">
        <f>IFERROR(VLOOKUP(N468,DATA!$K$4:$L$51,2,FALSE),"")</f>
        <v/>
      </c>
      <c r="P468" s="81"/>
      <c r="Q468" s="152">
        <f t="shared" si="44"/>
        <v>0</v>
      </c>
    </row>
    <row r="469" spans="2:17">
      <c r="B469" s="670">
        <f t="shared" si="45"/>
        <v>464</v>
      </c>
      <c r="C469" s="433">
        <v>42809</v>
      </c>
      <c r="D469" s="598" t="s">
        <v>1754</v>
      </c>
      <c r="E469" s="572">
        <v>110100</v>
      </c>
      <c r="F469" s="672" t="str">
        <f>IFERROR(VLOOKUP(E469,STAT1!$C$4:$D$1000,2,FALSE),"")</f>
        <v>Хаан Банк 5024654020</v>
      </c>
      <c r="G469" s="377"/>
      <c r="H469" s="377">
        <v>803700</v>
      </c>
      <c r="I469" s="596">
        <f t="shared" si="42"/>
        <v>-803700</v>
      </c>
      <c r="J469" s="81">
        <f t="shared" si="43"/>
        <v>0</v>
      </c>
      <c r="K469" s="81"/>
      <c r="L469" s="597">
        <v>3017</v>
      </c>
      <c r="M469" s="81" t="str">
        <f>+IFERROR(VLOOKUP(L469,DATA!$G$4:$H$2000,2,FALSE),"")</f>
        <v xml:space="preserve">ВОС ХХК </v>
      </c>
      <c r="N469" s="435">
        <v>53</v>
      </c>
      <c r="O469" s="81" t="str">
        <f>IFERROR(VLOOKUP(N469,DATA!$K$4:$L$51,2,FALSE),"")</f>
        <v>Бараа материал худалдан авахад төлсөн</v>
      </c>
      <c r="P469" s="81"/>
      <c r="Q469" s="152">
        <f t="shared" si="44"/>
        <v>1</v>
      </c>
    </row>
    <row r="470" spans="2:17">
      <c r="B470" s="670">
        <f t="shared" si="45"/>
        <v>465</v>
      </c>
      <c r="C470" s="433">
        <v>42810</v>
      </c>
      <c r="D470" s="377" t="s">
        <v>2685</v>
      </c>
      <c r="E470" s="673">
        <v>150101</v>
      </c>
      <c r="F470" s="672" t="str">
        <f>IFERROR(VLOOKUP(E470,STAT1!$C$4:$D$1000,2,FALSE),"")</f>
        <v>Бараа бэлэн бүтээгдэхүүн БОЛОВСРУУЛАХ ЦЕХ /нарс/</v>
      </c>
      <c r="G470" s="377"/>
      <c r="H470" s="377">
        <v>44666.795019999998</v>
      </c>
      <c r="I470" s="596">
        <f t="shared" si="42"/>
        <v>0</v>
      </c>
      <c r="J470" s="81">
        <f t="shared" si="43"/>
        <v>0</v>
      </c>
      <c r="K470" s="81"/>
      <c r="L470" s="597">
        <v>3024</v>
      </c>
      <c r="M470" s="81" t="str">
        <f>+IFERROR(VLOOKUP(L470,DATA!$G$4:$H$2000,2,FALSE),"")</f>
        <v xml:space="preserve">ЭМБАССИ РЭЗИДЭНС ХХК </v>
      </c>
      <c r="N470" s="435"/>
      <c r="O470" s="81" t="str">
        <f>IFERROR(VLOOKUP(N470,DATA!$K$4:$L$51,2,FALSE),"")</f>
        <v/>
      </c>
      <c r="P470" s="81"/>
      <c r="Q470" s="152">
        <f t="shared" si="44"/>
        <v>0</v>
      </c>
    </row>
    <row r="471" spans="2:17">
      <c r="B471" s="670">
        <f t="shared" si="45"/>
        <v>466</v>
      </c>
      <c r="C471" s="433">
        <v>42810</v>
      </c>
      <c r="D471" s="377"/>
      <c r="E471" s="674">
        <v>610100</v>
      </c>
      <c r="F471" s="672" t="str">
        <f>IFERROR(VLOOKUP(E471,STAT1!$C$4:$D$1000,2,FALSE),"")</f>
        <v>Борлуулсан барааны өртөг</v>
      </c>
      <c r="G471" s="377">
        <v>44666.795019999998</v>
      </c>
      <c r="H471" s="377"/>
      <c r="I471" s="596">
        <f t="shared" si="42"/>
        <v>0</v>
      </c>
      <c r="J471" s="81"/>
      <c r="K471" s="81"/>
      <c r="L471" s="597">
        <v>3024</v>
      </c>
      <c r="M471" s="81" t="str">
        <f>+IFERROR(VLOOKUP(L471,DATA!$G$4:$H$2000,2,FALSE),"")</f>
        <v xml:space="preserve">ЭМБАССИ РЭЗИДЭНС ХХК </v>
      </c>
      <c r="N471" s="435"/>
      <c r="O471" s="81"/>
      <c r="P471" s="81"/>
      <c r="Q471" s="152">
        <f t="shared" si="44"/>
        <v>0</v>
      </c>
    </row>
    <row r="472" spans="2:17">
      <c r="B472" s="670">
        <f t="shared" si="45"/>
        <v>467</v>
      </c>
      <c r="C472" s="433">
        <v>42810</v>
      </c>
      <c r="D472" s="377" t="s">
        <v>587</v>
      </c>
      <c r="E472" s="674">
        <v>310500</v>
      </c>
      <c r="F472" s="672" t="str">
        <f>IFERROR(VLOOKUP(E472,STAT1!$C$4:$D$1000,2,FALSE),"")</f>
        <v>НӨАТ өглөг</v>
      </c>
      <c r="G472" s="377"/>
      <c r="H472" s="377">
        <v>8427.2729623000014</v>
      </c>
      <c r="I472" s="596">
        <f t="shared" si="42"/>
        <v>0</v>
      </c>
      <c r="J472" s="81">
        <f t="shared" ref="J472:J479" si="46">+IF(E472=110102,I472/K472,0)</f>
        <v>0</v>
      </c>
      <c r="K472" s="81"/>
      <c r="L472" s="597">
        <v>3024</v>
      </c>
      <c r="M472" s="81" t="str">
        <f>+IFERROR(VLOOKUP(L472,DATA!$G$4:$H$2000,2,FALSE),"")</f>
        <v xml:space="preserve">ЭМБАССИ РЭЗИДЭНС ХХК </v>
      </c>
      <c r="N472" s="435"/>
      <c r="O472" s="81" t="str">
        <f>IFERROR(VLOOKUP(N472,DATA!$K$4:$L$51,2,FALSE),"")</f>
        <v/>
      </c>
      <c r="P472" s="81"/>
      <c r="Q472" s="152">
        <f t="shared" si="44"/>
        <v>0</v>
      </c>
    </row>
    <row r="473" spans="2:17">
      <c r="B473" s="670">
        <f t="shared" si="45"/>
        <v>468</v>
      </c>
      <c r="C473" s="433">
        <v>42810</v>
      </c>
      <c r="D473" s="377" t="s">
        <v>587</v>
      </c>
      <c r="E473" s="674">
        <v>510000</v>
      </c>
      <c r="F473" s="672" t="str">
        <f>IFERROR(VLOOKUP(E473,STAT1!$C$4:$D$1000,2,FALSE),"")</f>
        <v>Үндсэн үйл ажиллагааны борлуулалт</v>
      </c>
      <c r="G473" s="377"/>
      <c r="H473" s="377">
        <v>84272.729623000007</v>
      </c>
      <c r="I473" s="596">
        <f t="shared" si="42"/>
        <v>0</v>
      </c>
      <c r="J473" s="81">
        <f t="shared" si="46"/>
        <v>0</v>
      </c>
      <c r="K473" s="81"/>
      <c r="L473" s="597">
        <v>3024</v>
      </c>
      <c r="M473" s="81" t="str">
        <f>+IFERROR(VLOOKUP(L473,DATA!$G$4:$H$2000,2,FALSE),"")</f>
        <v xml:space="preserve">ЭМБАССИ РЭЗИДЭНС ХХК </v>
      </c>
      <c r="N473" s="435"/>
      <c r="O473" s="81" t="str">
        <f>IFERROR(VLOOKUP(N473,DATA!$K$4:$L$51,2,FALSE),"")</f>
        <v/>
      </c>
      <c r="P473" s="81"/>
      <c r="Q473" s="152">
        <f t="shared" si="44"/>
        <v>0</v>
      </c>
    </row>
    <row r="474" spans="2:17">
      <c r="B474" s="670">
        <f t="shared" si="45"/>
        <v>469</v>
      </c>
      <c r="C474" s="433">
        <v>42810</v>
      </c>
      <c r="D474" s="377" t="s">
        <v>587</v>
      </c>
      <c r="E474" s="674">
        <v>320100</v>
      </c>
      <c r="F474" s="672" t="str">
        <f>IFERROR(VLOOKUP(E474,STAT1!$C$4:$D$1000,2,FALSE),"")</f>
        <v>Урьдчилж орсон орлого MNT</v>
      </c>
      <c r="G474" s="377">
        <v>92700.002585300012</v>
      </c>
      <c r="H474" s="377"/>
      <c r="I474" s="596">
        <f t="shared" si="42"/>
        <v>0</v>
      </c>
      <c r="J474" s="81">
        <f t="shared" si="46"/>
        <v>0</v>
      </c>
      <c r="K474" s="81"/>
      <c r="L474" s="597">
        <v>3024</v>
      </c>
      <c r="M474" s="81" t="str">
        <f>+IFERROR(VLOOKUP(L474,DATA!$G$4:$H$2000,2,FALSE),"")</f>
        <v xml:space="preserve">ЭМБАССИ РЭЗИДЭНС ХХК </v>
      </c>
      <c r="N474" s="435"/>
      <c r="O474" s="81" t="str">
        <f>IFERROR(VLOOKUP(N474,DATA!$K$4:$L$51,2,FALSE),"")</f>
        <v/>
      </c>
      <c r="P474" s="81"/>
      <c r="Q474" s="152">
        <f t="shared" si="44"/>
        <v>0</v>
      </c>
    </row>
    <row r="475" spans="2:17">
      <c r="B475" s="670">
        <f t="shared" si="45"/>
        <v>470</v>
      </c>
      <c r="C475" s="433">
        <v>42811</v>
      </c>
      <c r="D475" s="377" t="s">
        <v>1741</v>
      </c>
      <c r="E475" s="572">
        <v>320100</v>
      </c>
      <c r="F475" s="672" t="str">
        <f>IFERROR(VLOOKUP(E475,STAT1!$C$4:$D$1000,2,FALSE),"")</f>
        <v>Урьдчилж орсон орлого MNT</v>
      </c>
      <c r="G475" s="377"/>
      <c r="H475" s="377">
        <v>92700</v>
      </c>
      <c r="I475" s="596">
        <f t="shared" si="42"/>
        <v>0</v>
      </c>
      <c r="J475" s="81">
        <f t="shared" si="46"/>
        <v>0</v>
      </c>
      <c r="K475" s="81"/>
      <c r="L475" s="597">
        <v>3024</v>
      </c>
      <c r="M475" s="81" t="str">
        <f>+IFERROR(VLOOKUP(L475,DATA!$G$4:$H$2000,2,FALSE),"")</f>
        <v xml:space="preserve">ЭМБАССИ РЭЗИДЭНС ХХК </v>
      </c>
      <c r="N475" s="435"/>
      <c r="O475" s="81" t="str">
        <f>IFERROR(VLOOKUP(N475,DATA!$K$4:$L$51,2,FALSE),"")</f>
        <v/>
      </c>
      <c r="P475" s="81"/>
      <c r="Q475" s="152">
        <f t="shared" si="44"/>
        <v>0</v>
      </c>
    </row>
    <row r="476" spans="2:17">
      <c r="B476" s="670">
        <f t="shared" si="45"/>
        <v>471</v>
      </c>
      <c r="C476" s="433">
        <v>42811</v>
      </c>
      <c r="D476" s="377" t="s">
        <v>1741</v>
      </c>
      <c r="E476" s="572">
        <v>100100</v>
      </c>
      <c r="F476" s="672" t="str">
        <f>IFERROR(VLOOKUP(E476,STAT1!$C$4:$D$1000,2,FALSE),"")</f>
        <v>Касс мөнгө MNT</v>
      </c>
      <c r="G476" s="377">
        <v>92700</v>
      </c>
      <c r="H476" s="377">
        <v>0</v>
      </c>
      <c r="I476" s="596">
        <f t="shared" si="42"/>
        <v>92700</v>
      </c>
      <c r="J476" s="81">
        <f t="shared" si="46"/>
        <v>0</v>
      </c>
      <c r="K476" s="81"/>
      <c r="L476" s="597">
        <v>3024</v>
      </c>
      <c r="M476" s="81" t="str">
        <f>+IFERROR(VLOOKUP(L476,DATA!$G$4:$H$2000,2,FALSE),"")</f>
        <v xml:space="preserve">ЭМБАССИ РЭЗИДЭНС ХХК </v>
      </c>
      <c r="N476" s="435">
        <v>41</v>
      </c>
      <c r="O476" s="81" t="str">
        <f>IFERROR(VLOOKUP(N476,DATA!$K$4:$L$51,2,FALSE),"")</f>
        <v>Бараа борлуулсан, үйлчилгээ үзүүлсэний орлого</v>
      </c>
      <c r="P476" s="81"/>
      <c r="Q476" s="152">
        <f t="shared" si="44"/>
        <v>1</v>
      </c>
    </row>
    <row r="477" spans="2:17">
      <c r="B477" s="670">
        <f t="shared" si="45"/>
        <v>472</v>
      </c>
      <c r="C477" s="433">
        <v>42811</v>
      </c>
      <c r="D477" s="598" t="s">
        <v>1746</v>
      </c>
      <c r="E477" s="572">
        <v>702500</v>
      </c>
      <c r="F477" s="672" t="str">
        <f>IFERROR(VLOOKUP(E477,STAT1!$C$4:$D$1000,2,FALSE),"")</f>
        <v>Зээлийн хүүгийн зардал</v>
      </c>
      <c r="G477" s="377">
        <v>233546.52</v>
      </c>
      <c r="H477" s="377">
        <v>0</v>
      </c>
      <c r="I477" s="596">
        <f t="shared" si="42"/>
        <v>0</v>
      </c>
      <c r="J477" s="81">
        <f t="shared" si="46"/>
        <v>0</v>
      </c>
      <c r="K477" s="81"/>
      <c r="L477" s="597">
        <v>2009</v>
      </c>
      <c r="M477" s="81" t="str">
        <f>+IFERROR(VLOOKUP(L477,DATA!$G$4:$H$2000,2,FALSE),"")</f>
        <v>ХААН БАНК</v>
      </c>
      <c r="N477" s="435"/>
      <c r="O477" s="81" t="str">
        <f>IFERROR(VLOOKUP(N477,DATA!$K$4:$L$51,2,FALSE),"")</f>
        <v/>
      </c>
      <c r="P477" s="81"/>
      <c r="Q477" s="152">
        <f t="shared" si="44"/>
        <v>0</v>
      </c>
    </row>
    <row r="478" spans="2:17">
      <c r="B478" s="670">
        <f t="shared" si="45"/>
        <v>473</v>
      </c>
      <c r="C478" s="433">
        <v>42811</v>
      </c>
      <c r="D478" s="598" t="s">
        <v>1746</v>
      </c>
      <c r="E478" s="572">
        <v>110100</v>
      </c>
      <c r="F478" s="672" t="str">
        <f>IFERROR(VLOOKUP(E478,STAT1!$C$4:$D$1000,2,FALSE),"")</f>
        <v>Хаан Банк 5024654020</v>
      </c>
      <c r="G478" s="377"/>
      <c r="H478" s="377">
        <v>233546.52</v>
      </c>
      <c r="I478" s="596">
        <f t="shared" si="42"/>
        <v>-233546.52</v>
      </c>
      <c r="J478" s="81">
        <f t="shared" si="46"/>
        <v>0</v>
      </c>
      <c r="K478" s="81"/>
      <c r="L478" s="597">
        <v>2009</v>
      </c>
      <c r="M478" s="81" t="str">
        <f>+IFERROR(VLOOKUP(L478,DATA!$G$4:$H$2000,2,FALSE),"")</f>
        <v>ХААН БАНК</v>
      </c>
      <c r="N478" s="435">
        <v>56</v>
      </c>
      <c r="O478" s="81" t="str">
        <f>IFERROR(VLOOKUP(N478,DATA!$K$4:$L$51,2,FALSE),"")</f>
        <v>Хүүний төлбөрт төлсөн</v>
      </c>
      <c r="P478" s="81"/>
      <c r="Q478" s="152">
        <f t="shared" si="44"/>
        <v>1</v>
      </c>
    </row>
    <row r="479" spans="2:17">
      <c r="B479" s="670">
        <f t="shared" si="45"/>
        <v>474</v>
      </c>
      <c r="C479" s="433">
        <v>42812</v>
      </c>
      <c r="D479" s="377" t="s">
        <v>2678</v>
      </c>
      <c r="E479" s="673">
        <v>150101</v>
      </c>
      <c r="F479" s="672" t="str">
        <f>IFERROR(VLOOKUP(E479,STAT1!$C$4:$D$1000,2,FALSE),"")</f>
        <v>Бараа бэлэн бүтээгдэхүүн БОЛОВСРУУЛАХ ЦЕХ /нарс/</v>
      </c>
      <c r="G479" s="377"/>
      <c r="H479" s="377">
        <v>541852.49284979561</v>
      </c>
      <c r="I479" s="596">
        <f t="shared" si="42"/>
        <v>0</v>
      </c>
      <c r="J479" s="81">
        <f t="shared" si="46"/>
        <v>0</v>
      </c>
      <c r="K479" s="81"/>
      <c r="L479" s="597">
        <v>3001</v>
      </c>
      <c r="M479" s="81" t="str">
        <f>+IFERROR(VLOOKUP(L479,DATA!$G$4:$H$2000,2,FALSE),"")</f>
        <v>ХУРД ГРУПП ХХК</v>
      </c>
      <c r="N479" s="435"/>
      <c r="O479" s="81" t="str">
        <f>IFERROR(VLOOKUP(N479,DATA!$K$4:$L$51,2,FALSE),"")</f>
        <v/>
      </c>
      <c r="P479" s="81"/>
      <c r="Q479" s="152">
        <f t="shared" si="44"/>
        <v>0</v>
      </c>
    </row>
    <row r="480" spans="2:17">
      <c r="B480" s="670">
        <f t="shared" si="45"/>
        <v>475</v>
      </c>
      <c r="C480" s="433">
        <v>42812</v>
      </c>
      <c r="D480" s="377"/>
      <c r="E480" s="674">
        <v>610100</v>
      </c>
      <c r="F480" s="672" t="str">
        <f>IFERROR(VLOOKUP(E480,STAT1!$C$4:$D$1000,2,FALSE),"")</f>
        <v>Борлуулсан барааны өртөг</v>
      </c>
      <c r="G480" s="377">
        <v>541852.49284979561</v>
      </c>
      <c r="H480" s="377"/>
      <c r="I480" s="596">
        <f t="shared" si="42"/>
        <v>0</v>
      </c>
      <c r="J480" s="81"/>
      <c r="K480" s="81"/>
      <c r="L480" s="597">
        <v>3001</v>
      </c>
      <c r="M480" s="81" t="str">
        <f>+IFERROR(VLOOKUP(L480,DATA!$G$4:$H$2000,2,FALSE),"")</f>
        <v>ХУРД ГРУПП ХХК</v>
      </c>
      <c r="N480" s="435"/>
      <c r="O480" s="81"/>
      <c r="P480" s="81"/>
      <c r="Q480" s="152">
        <f t="shared" si="44"/>
        <v>0</v>
      </c>
    </row>
    <row r="481" spans="2:17">
      <c r="B481" s="670">
        <f t="shared" si="45"/>
        <v>476</v>
      </c>
      <c r="C481" s="433">
        <v>42812</v>
      </c>
      <c r="D481" s="377" t="s">
        <v>587</v>
      </c>
      <c r="E481" s="674">
        <v>310500</v>
      </c>
      <c r="F481" s="672" t="str">
        <f>IFERROR(VLOOKUP(E481,STAT1!$C$4:$D$1000,2,FALSE),"")</f>
        <v>НӨАТ өглөг</v>
      </c>
      <c r="G481" s="377"/>
      <c r="H481" s="377">
        <v>90909.091272000005</v>
      </c>
      <c r="I481" s="596">
        <f t="shared" si="42"/>
        <v>0</v>
      </c>
      <c r="J481" s="81">
        <f>+IF(E481=110102,I481/K481,0)</f>
        <v>0</v>
      </c>
      <c r="K481" s="81"/>
      <c r="L481" s="597">
        <v>3001</v>
      </c>
      <c r="M481" s="81" t="str">
        <f>+IFERROR(VLOOKUP(L481,DATA!$G$4:$H$2000,2,FALSE),"")</f>
        <v>ХУРД ГРУПП ХХК</v>
      </c>
      <c r="N481" s="435"/>
      <c r="O481" s="81" t="str">
        <f>IFERROR(VLOOKUP(N481,DATA!$K$4:$L$51,2,FALSE),"")</f>
        <v/>
      </c>
      <c r="P481" s="81"/>
      <c r="Q481" s="152">
        <f t="shared" si="44"/>
        <v>0</v>
      </c>
    </row>
    <row r="482" spans="2:17">
      <c r="B482" s="670">
        <f t="shared" si="45"/>
        <v>477</v>
      </c>
      <c r="C482" s="433">
        <v>42812</v>
      </c>
      <c r="D482" s="377" t="s">
        <v>587</v>
      </c>
      <c r="E482" s="674">
        <v>510000</v>
      </c>
      <c r="F482" s="672" t="str">
        <f>IFERROR(VLOOKUP(E482,STAT1!$C$4:$D$1000,2,FALSE),"")</f>
        <v>Үндсэн үйл ажиллагааны борлуулалт</v>
      </c>
      <c r="G482" s="377"/>
      <c r="H482" s="377">
        <v>909090.91272000002</v>
      </c>
      <c r="I482" s="596">
        <f t="shared" si="42"/>
        <v>0</v>
      </c>
      <c r="J482" s="81">
        <f>+IF(E482=110102,I482/K482,0)</f>
        <v>0</v>
      </c>
      <c r="K482" s="81"/>
      <c r="L482" s="597">
        <v>3001</v>
      </c>
      <c r="M482" s="81" t="str">
        <f>+IFERROR(VLOOKUP(L482,DATA!$G$4:$H$2000,2,FALSE),"")</f>
        <v>ХУРД ГРУПП ХХК</v>
      </c>
      <c r="N482" s="435"/>
      <c r="O482" s="81" t="str">
        <f>IFERROR(VLOOKUP(N482,DATA!$K$4:$L$51,2,FALSE),"")</f>
        <v/>
      </c>
      <c r="P482" s="81"/>
      <c r="Q482" s="152">
        <f t="shared" si="44"/>
        <v>0</v>
      </c>
    </row>
    <row r="483" spans="2:17">
      <c r="B483" s="670">
        <f t="shared" si="45"/>
        <v>478</v>
      </c>
      <c r="C483" s="433">
        <v>42812</v>
      </c>
      <c r="D483" s="377" t="s">
        <v>587</v>
      </c>
      <c r="E483" s="674">
        <v>320100</v>
      </c>
      <c r="F483" s="672" t="str">
        <f>IFERROR(VLOOKUP(E483,STAT1!$C$4:$D$1000,2,FALSE),"")</f>
        <v>Урьдчилж орсон орлого MNT</v>
      </c>
      <c r="G483" s="377">
        <v>1000000.003992</v>
      </c>
      <c r="H483" s="377"/>
      <c r="I483" s="596">
        <f t="shared" si="42"/>
        <v>0</v>
      </c>
      <c r="J483" s="81">
        <f>+IF(E483=110102,I483/K483,0)</f>
        <v>0</v>
      </c>
      <c r="K483" s="81"/>
      <c r="L483" s="597">
        <v>3001</v>
      </c>
      <c r="M483" s="81" t="str">
        <f>+IFERROR(VLOOKUP(L483,DATA!$G$4:$H$2000,2,FALSE),"")</f>
        <v>ХУРД ГРУПП ХХК</v>
      </c>
      <c r="N483" s="435"/>
      <c r="O483" s="81" t="str">
        <f>IFERROR(VLOOKUP(N483,DATA!$K$4:$L$51,2,FALSE),"")</f>
        <v/>
      </c>
      <c r="P483" s="81"/>
      <c r="Q483" s="152">
        <f t="shared" si="44"/>
        <v>0</v>
      </c>
    </row>
    <row r="484" spans="2:17">
      <c r="B484" s="670">
        <f t="shared" si="45"/>
        <v>479</v>
      </c>
      <c r="C484" s="433">
        <v>42812</v>
      </c>
      <c r="D484" s="377" t="s">
        <v>2680</v>
      </c>
      <c r="E484" s="673">
        <v>150101</v>
      </c>
      <c r="F484" s="672" t="str">
        <f>IFERROR(VLOOKUP(E484,STAT1!$C$4:$D$1000,2,FALSE),"")</f>
        <v>Бараа бэлэн бүтээгдэхүүн БОЛОВСРУУЛАХ ЦЕХ /нарс/</v>
      </c>
      <c r="G484" s="597"/>
      <c r="H484" s="377">
        <v>242262.53765850927</v>
      </c>
      <c r="I484" s="596">
        <f t="shared" si="42"/>
        <v>0</v>
      </c>
      <c r="J484" s="81">
        <f>+IF(E484=110102,I484/K484,0)</f>
        <v>0</v>
      </c>
      <c r="K484" s="81"/>
      <c r="L484" s="597">
        <v>3027</v>
      </c>
      <c r="M484" s="81" t="str">
        <f>+IFERROR(VLOOKUP(L484,DATA!$G$4:$H$2000,2,FALSE),"")</f>
        <v xml:space="preserve">МОНГОЛЫН ХҮҮХДИЙН САН </v>
      </c>
      <c r="N484" s="435"/>
      <c r="O484" s="81" t="str">
        <f>IFERROR(VLOOKUP(N484,DATA!$K$4:$L$51,2,FALSE),"")</f>
        <v/>
      </c>
      <c r="P484" s="81"/>
      <c r="Q484" s="152">
        <f t="shared" si="44"/>
        <v>0</v>
      </c>
    </row>
    <row r="485" spans="2:17">
      <c r="B485" s="670">
        <f t="shared" si="45"/>
        <v>480</v>
      </c>
      <c r="C485" s="433">
        <v>42812</v>
      </c>
      <c r="D485" s="377"/>
      <c r="E485" s="674">
        <v>610100</v>
      </c>
      <c r="F485" s="672" t="str">
        <f>IFERROR(VLOOKUP(E485,STAT1!$C$4:$D$1000,2,FALSE),"")</f>
        <v>Борлуулсан барааны өртөг</v>
      </c>
      <c r="G485" s="377">
        <v>242262.53765850927</v>
      </c>
      <c r="H485" s="377"/>
      <c r="I485" s="596">
        <f t="shared" si="42"/>
        <v>0</v>
      </c>
      <c r="J485" s="81"/>
      <c r="K485" s="81"/>
      <c r="L485" s="597">
        <v>3027</v>
      </c>
      <c r="M485" s="81" t="str">
        <f>+IFERROR(VLOOKUP(L485,DATA!$G$4:$H$2000,2,FALSE),"")</f>
        <v xml:space="preserve">МОНГОЛЫН ХҮҮХДИЙН САН </v>
      </c>
      <c r="N485" s="435"/>
      <c r="O485" s="81"/>
      <c r="P485" s="81"/>
      <c r="Q485" s="152">
        <f t="shared" si="44"/>
        <v>0</v>
      </c>
    </row>
    <row r="486" spans="2:17">
      <c r="B486" s="670">
        <f t="shared" si="45"/>
        <v>481</v>
      </c>
      <c r="C486" s="433">
        <v>42812</v>
      </c>
      <c r="D486" s="377" t="s">
        <v>587</v>
      </c>
      <c r="E486" s="674">
        <v>310500</v>
      </c>
      <c r="F486" s="672" t="str">
        <f>IFERROR(VLOOKUP(E486,STAT1!$C$4:$D$1000,2,FALSE),"")</f>
        <v>НӨАТ өглөг</v>
      </c>
      <c r="G486" s="597"/>
      <c r="H486" s="377">
        <v>33999.999600000003</v>
      </c>
      <c r="I486" s="596">
        <f t="shared" si="42"/>
        <v>0</v>
      </c>
      <c r="J486" s="81">
        <f>+IF(E486=110102,I486/K486,0)</f>
        <v>0</v>
      </c>
      <c r="K486" s="81"/>
      <c r="L486" s="597">
        <v>3027</v>
      </c>
      <c r="M486" s="81" t="str">
        <f>+IFERROR(VLOOKUP(L486,DATA!$G$4:$H$2000,2,FALSE),"")</f>
        <v xml:space="preserve">МОНГОЛЫН ХҮҮХДИЙН САН </v>
      </c>
      <c r="N486" s="435"/>
      <c r="O486" s="81" t="str">
        <f>IFERROR(VLOOKUP(N486,DATA!$K$4:$L$51,2,FALSE),"")</f>
        <v/>
      </c>
      <c r="P486" s="81"/>
      <c r="Q486" s="152">
        <f t="shared" si="44"/>
        <v>0</v>
      </c>
    </row>
    <row r="487" spans="2:17">
      <c r="B487" s="670">
        <f t="shared" si="45"/>
        <v>482</v>
      </c>
      <c r="C487" s="433">
        <v>42812</v>
      </c>
      <c r="D487" s="377" t="s">
        <v>587</v>
      </c>
      <c r="E487" s="674">
        <v>510000</v>
      </c>
      <c r="F487" s="672" t="str">
        <f>IFERROR(VLOOKUP(E487,STAT1!$C$4:$D$1000,2,FALSE),"")</f>
        <v>Үндсэн үйл ажиллагааны борлуулалт</v>
      </c>
      <c r="G487" s="597"/>
      <c r="H487" s="377">
        <v>340000</v>
      </c>
      <c r="I487" s="596">
        <f t="shared" si="42"/>
        <v>0</v>
      </c>
      <c r="J487" s="81">
        <f>+IF(E487=110102,I487/K487,0)</f>
        <v>0</v>
      </c>
      <c r="K487" s="81"/>
      <c r="L487" s="597">
        <v>3027</v>
      </c>
      <c r="M487" s="81" t="str">
        <f>+IFERROR(VLOOKUP(L487,DATA!$G$4:$H$2000,2,FALSE),"")</f>
        <v xml:space="preserve">МОНГОЛЫН ХҮҮХДИЙН САН </v>
      </c>
      <c r="N487" s="435"/>
      <c r="O487" s="81" t="str">
        <f>IFERROR(VLOOKUP(N487,DATA!$K$4:$L$51,2,FALSE),"")</f>
        <v/>
      </c>
      <c r="P487" s="81"/>
      <c r="Q487" s="152">
        <f t="shared" si="44"/>
        <v>0</v>
      </c>
    </row>
    <row r="488" spans="2:17">
      <c r="B488" s="670">
        <f t="shared" si="45"/>
        <v>483</v>
      </c>
      <c r="C488" s="433">
        <v>42812</v>
      </c>
      <c r="D488" s="377" t="s">
        <v>587</v>
      </c>
      <c r="E488" s="674">
        <v>320100</v>
      </c>
      <c r="F488" s="672" t="str">
        <f>IFERROR(VLOOKUP(E488,STAT1!$C$4:$D$1000,2,FALSE),"")</f>
        <v>Урьдчилж орсон орлого MNT</v>
      </c>
      <c r="G488" s="377">
        <v>373999.99559999997</v>
      </c>
      <c r="H488" s="597"/>
      <c r="I488" s="596">
        <f t="shared" si="42"/>
        <v>0</v>
      </c>
      <c r="J488" s="81">
        <f>+IF(E488=110102,I488/K488,0)</f>
        <v>0</v>
      </c>
      <c r="K488" s="81"/>
      <c r="L488" s="597">
        <v>3027</v>
      </c>
      <c r="M488" s="81" t="str">
        <f>+IFERROR(VLOOKUP(L488,DATA!$G$4:$H$2000,2,FALSE),"")</f>
        <v xml:space="preserve">МОНГОЛЫН ХҮҮХДИЙН САН </v>
      </c>
      <c r="N488" s="435"/>
      <c r="O488" s="81" t="str">
        <f>IFERROR(VLOOKUP(N488,DATA!$K$4:$L$51,2,FALSE),"")</f>
        <v/>
      </c>
      <c r="P488" s="81"/>
      <c r="Q488" s="152">
        <f t="shared" si="44"/>
        <v>0</v>
      </c>
    </row>
    <row r="489" spans="2:17">
      <c r="B489" s="670">
        <f t="shared" si="45"/>
        <v>484</v>
      </c>
      <c r="C489" s="433">
        <v>42815</v>
      </c>
      <c r="D489" s="377" t="s">
        <v>2680</v>
      </c>
      <c r="E489" s="673">
        <v>150101</v>
      </c>
      <c r="F489" s="672" t="str">
        <f>IFERROR(VLOOKUP(E489,STAT1!$C$4:$D$1000,2,FALSE),"")</f>
        <v>Бараа бэлэн бүтээгдэхүүн БОЛОВСРУУЛАХ ЦЕХ /нарс/</v>
      </c>
      <c r="G489" s="597"/>
      <c r="H489" s="377">
        <v>60565.634414627319</v>
      </c>
      <c r="I489" s="596">
        <f t="shared" si="42"/>
        <v>0</v>
      </c>
      <c r="J489" s="81">
        <f>+IF(E489=110102,I489/K489,0)</f>
        <v>0</v>
      </c>
      <c r="K489" s="81"/>
      <c r="L489" s="597">
        <v>3026</v>
      </c>
      <c r="M489" s="81" t="str">
        <f>+IFERROR(VLOOKUP(L489,DATA!$G$4:$H$2000,2,FALSE),"")</f>
        <v xml:space="preserve">ВОРЛДНЬЮ МЕДИА ХХК </v>
      </c>
      <c r="N489" s="435"/>
      <c r="O489" s="81" t="str">
        <f>IFERROR(VLOOKUP(N489,DATA!$K$4:$L$51,2,FALSE),"")</f>
        <v/>
      </c>
      <c r="P489" s="81"/>
      <c r="Q489" s="152">
        <f t="shared" si="44"/>
        <v>0</v>
      </c>
    </row>
    <row r="490" spans="2:17" ht="13.5" customHeight="1">
      <c r="B490" s="670">
        <f t="shared" si="45"/>
        <v>485</v>
      </c>
      <c r="C490" s="433">
        <v>42815</v>
      </c>
      <c r="D490" s="377"/>
      <c r="E490" s="674">
        <v>610100</v>
      </c>
      <c r="F490" s="672" t="str">
        <f>IFERROR(VLOOKUP(E490,STAT1!$C$4:$D$1000,2,FALSE),"")</f>
        <v>Борлуулсан барааны өртөг</v>
      </c>
      <c r="G490" s="377">
        <v>60565.634414627319</v>
      </c>
      <c r="H490" s="377"/>
      <c r="I490" s="596">
        <f t="shared" si="42"/>
        <v>0</v>
      </c>
      <c r="J490" s="81"/>
      <c r="K490" s="81"/>
      <c r="L490" s="597">
        <v>3026</v>
      </c>
      <c r="M490" s="81" t="str">
        <f>+IFERROR(VLOOKUP(L490,DATA!$G$4:$H$2000,2,FALSE),"")</f>
        <v xml:space="preserve">ВОРЛДНЬЮ МЕДИА ХХК </v>
      </c>
      <c r="N490" s="435"/>
      <c r="O490" s="81"/>
      <c r="P490" s="81"/>
      <c r="Q490" s="152">
        <f t="shared" si="44"/>
        <v>0</v>
      </c>
    </row>
    <row r="491" spans="2:17">
      <c r="B491" s="670">
        <f t="shared" si="45"/>
        <v>486</v>
      </c>
      <c r="C491" s="433">
        <v>42815</v>
      </c>
      <c r="D491" s="377" t="s">
        <v>587</v>
      </c>
      <c r="E491" s="674">
        <v>310500</v>
      </c>
      <c r="F491" s="672" t="str">
        <f>IFERROR(VLOOKUP(E491,STAT1!$C$4:$D$1000,2,FALSE),"")</f>
        <v>НӨАТ өглөг</v>
      </c>
      <c r="G491" s="597"/>
      <c r="H491" s="377">
        <v>8499.9999000000007</v>
      </c>
      <c r="I491" s="596">
        <f t="shared" si="42"/>
        <v>0</v>
      </c>
      <c r="J491" s="81">
        <f>+IF(E491=110102,I491/K491,0)</f>
        <v>0</v>
      </c>
      <c r="K491" s="81"/>
      <c r="L491" s="597">
        <v>3026</v>
      </c>
      <c r="M491" s="81" t="str">
        <f>+IFERROR(VLOOKUP(L491,DATA!$G$4:$H$2000,2,FALSE),"")</f>
        <v xml:space="preserve">ВОРЛДНЬЮ МЕДИА ХХК </v>
      </c>
      <c r="N491" s="435"/>
      <c r="O491" s="81" t="str">
        <f>IFERROR(VLOOKUP(N491,DATA!$K$4:$L$51,2,FALSE),"")</f>
        <v/>
      </c>
      <c r="P491" s="81"/>
      <c r="Q491" s="152">
        <f t="shared" si="44"/>
        <v>0</v>
      </c>
    </row>
    <row r="492" spans="2:17">
      <c r="B492" s="670">
        <f t="shared" si="45"/>
        <v>487</v>
      </c>
      <c r="C492" s="433">
        <v>42815</v>
      </c>
      <c r="D492" s="377" t="s">
        <v>587</v>
      </c>
      <c r="E492" s="674">
        <v>510000</v>
      </c>
      <c r="F492" s="672" t="str">
        <f>IFERROR(VLOOKUP(E492,STAT1!$C$4:$D$1000,2,FALSE),"")</f>
        <v>Үндсэн үйл ажиллагааны борлуулалт</v>
      </c>
      <c r="G492" s="597"/>
      <c r="H492" s="377">
        <v>85000</v>
      </c>
      <c r="I492" s="596">
        <f t="shared" si="42"/>
        <v>0</v>
      </c>
      <c r="J492" s="81">
        <f>+IF(E492=110102,I492/K492,0)</f>
        <v>0</v>
      </c>
      <c r="K492" s="81"/>
      <c r="L492" s="597">
        <v>3026</v>
      </c>
      <c r="M492" s="81" t="str">
        <f>+IFERROR(VLOOKUP(L492,DATA!$G$4:$H$2000,2,FALSE),"")</f>
        <v xml:space="preserve">ВОРЛДНЬЮ МЕДИА ХХК </v>
      </c>
      <c r="N492" s="435"/>
      <c r="O492" s="81" t="str">
        <f>IFERROR(VLOOKUP(N492,DATA!$K$4:$L$51,2,FALSE),"")</f>
        <v/>
      </c>
      <c r="P492" s="81"/>
      <c r="Q492" s="152">
        <f t="shared" si="44"/>
        <v>0</v>
      </c>
    </row>
    <row r="493" spans="2:17">
      <c r="B493" s="670">
        <f t="shared" si="45"/>
        <v>488</v>
      </c>
      <c r="C493" s="433">
        <v>42815</v>
      </c>
      <c r="D493" s="377" t="s">
        <v>587</v>
      </c>
      <c r="E493" s="674">
        <v>320100</v>
      </c>
      <c r="F493" s="672" t="str">
        <f>IFERROR(VLOOKUP(E493,STAT1!$C$4:$D$1000,2,FALSE),"")</f>
        <v>Урьдчилж орсон орлого MNT</v>
      </c>
      <c r="G493" s="377">
        <v>93499.998899999991</v>
      </c>
      <c r="H493" s="597"/>
      <c r="I493" s="596">
        <f t="shared" si="42"/>
        <v>0</v>
      </c>
      <c r="J493" s="81">
        <f>+IF(E493=110102,I493/K493,0)</f>
        <v>0</v>
      </c>
      <c r="K493" s="81"/>
      <c r="L493" s="597">
        <v>3026</v>
      </c>
      <c r="M493" s="81" t="str">
        <f>+IFERROR(VLOOKUP(L493,DATA!$G$4:$H$2000,2,FALSE),"")</f>
        <v xml:space="preserve">ВОРЛДНЬЮ МЕДИА ХХК </v>
      </c>
      <c r="N493" s="435"/>
      <c r="O493" s="81" t="str">
        <f>IFERROR(VLOOKUP(N493,DATA!$K$4:$L$51,2,FALSE),"")</f>
        <v/>
      </c>
      <c r="P493" s="81"/>
      <c r="Q493" s="152">
        <f t="shared" si="44"/>
        <v>0</v>
      </c>
    </row>
    <row r="494" spans="2:17">
      <c r="B494" s="670">
        <f t="shared" si="45"/>
        <v>489</v>
      </c>
      <c r="C494" s="433">
        <v>42815</v>
      </c>
      <c r="D494" s="377" t="s">
        <v>1712</v>
      </c>
      <c r="E494" s="572">
        <v>100100</v>
      </c>
      <c r="F494" s="672" t="str">
        <f>IFERROR(VLOOKUP(E494,STAT1!$C$4:$D$1000,2,FALSE),"")</f>
        <v>Касс мөнгө MNT</v>
      </c>
      <c r="G494" s="377"/>
      <c r="H494" s="377">
        <v>1059600</v>
      </c>
      <c r="I494" s="596">
        <f t="shared" si="42"/>
        <v>-1059600</v>
      </c>
      <c r="J494" s="81">
        <f>+IF(E494=110102,I494/K494,0)</f>
        <v>0</v>
      </c>
      <c r="K494" s="81"/>
      <c r="L494" s="597">
        <v>1005</v>
      </c>
      <c r="M494" s="81" t="str">
        <f>+IFERROR(VLOOKUP(L494,DATA!$G$4:$H$2000,2,FALSE),"")</f>
        <v>Золжаргал</v>
      </c>
      <c r="N494" s="435">
        <v>59</v>
      </c>
      <c r="O494" s="81" t="str">
        <f>IFERROR(VLOOKUP(N494,DATA!$K$4:$L$51,2,FALSE),"")</f>
        <v>Бусад мөнгөн зарлага</v>
      </c>
      <c r="P494" s="81"/>
      <c r="Q494" s="152">
        <f t="shared" si="44"/>
        <v>1</v>
      </c>
    </row>
    <row r="495" spans="2:17">
      <c r="B495" s="670">
        <f t="shared" si="45"/>
        <v>490</v>
      </c>
      <c r="C495" s="433">
        <v>42815</v>
      </c>
      <c r="D495" s="377" t="s">
        <v>1712</v>
      </c>
      <c r="E495" s="572">
        <v>120600</v>
      </c>
      <c r="F495" s="672" t="str">
        <f>IFERROR(VLOOKUP(E495,STAT1!$C$4:$D$1000,2,FALSE),"")</f>
        <v>НӨАТ авлага</v>
      </c>
      <c r="G495" s="377">
        <v>10090.91</v>
      </c>
      <c r="H495" s="377"/>
      <c r="I495" s="596">
        <f t="shared" si="42"/>
        <v>0</v>
      </c>
      <c r="J495" s="81"/>
      <c r="K495" s="81"/>
      <c r="L495" s="597">
        <v>1005</v>
      </c>
      <c r="M495" s="81" t="str">
        <f>+IFERROR(VLOOKUP(L495,DATA!$G$4:$H$2000,2,FALSE),"")</f>
        <v>Золжаргал</v>
      </c>
      <c r="N495" s="435"/>
      <c r="O495" s="81" t="str">
        <f>IFERROR(VLOOKUP(N495,DATA!$K$4:$L$51,2,FALSE),"")</f>
        <v/>
      </c>
      <c r="P495" s="81"/>
      <c r="Q495" s="152">
        <f t="shared" si="44"/>
        <v>0</v>
      </c>
    </row>
    <row r="496" spans="2:17">
      <c r="B496" s="670">
        <f t="shared" si="45"/>
        <v>491</v>
      </c>
      <c r="C496" s="433">
        <v>42815</v>
      </c>
      <c r="D496" s="377" t="s">
        <v>1712</v>
      </c>
      <c r="E496" s="572">
        <v>706000</v>
      </c>
      <c r="F496" s="672" t="str">
        <f>IFERROR(VLOOKUP(E496,STAT1!$C$4:$D$1000,2,FALSE),"")</f>
        <v>Бусад зардал</v>
      </c>
      <c r="G496" s="377">
        <v>1049509.0900000001</v>
      </c>
      <c r="H496" s="377">
        <v>0</v>
      </c>
      <c r="I496" s="596">
        <f t="shared" si="42"/>
        <v>0</v>
      </c>
      <c r="J496" s="81">
        <f>+IF(E496=110102,I496/K496,0)</f>
        <v>0</v>
      </c>
      <c r="K496" s="81"/>
      <c r="L496" s="597">
        <v>1005</v>
      </c>
      <c r="M496" s="81" t="str">
        <f>+IFERROR(VLOOKUP(L496,DATA!$G$4:$H$2000,2,FALSE),"")</f>
        <v>Золжаргал</v>
      </c>
      <c r="N496" s="435"/>
      <c r="O496" s="81" t="str">
        <f>IFERROR(VLOOKUP(N496,DATA!$K$4:$L$51,2,FALSE),"")</f>
        <v/>
      </c>
      <c r="P496" s="81"/>
      <c r="Q496" s="152">
        <f t="shared" si="44"/>
        <v>0</v>
      </c>
    </row>
    <row r="497" spans="2:17">
      <c r="B497" s="670">
        <f t="shared" si="45"/>
        <v>492</v>
      </c>
      <c r="C497" s="433">
        <v>42817</v>
      </c>
      <c r="D497" s="377" t="s">
        <v>1355</v>
      </c>
      <c r="E497" s="572">
        <v>100100</v>
      </c>
      <c r="F497" s="672" t="str">
        <f>IFERROR(VLOOKUP(E497,STAT1!$C$4:$D$1000,2,FALSE),"")</f>
        <v>Касс мөнгө MNT</v>
      </c>
      <c r="G497" s="377"/>
      <c r="H497" s="377">
        <v>15000</v>
      </c>
      <c r="I497" s="596">
        <f t="shared" si="42"/>
        <v>-15000</v>
      </c>
      <c r="J497" s="81">
        <f>+IF(E497=110102,I497/K497,0)</f>
        <v>0</v>
      </c>
      <c r="K497" s="81"/>
      <c r="L497" s="597">
        <v>1004</v>
      </c>
      <c r="M497" s="81" t="str">
        <f>+IFERROR(VLOOKUP(L497,DATA!$G$4:$H$2000,2,FALSE),"")</f>
        <v xml:space="preserve">Түмэндэлгэр </v>
      </c>
      <c r="N497" s="435">
        <v>55</v>
      </c>
      <c r="O497" s="81" t="str">
        <f>IFERROR(VLOOKUP(N497,DATA!$K$4:$L$51,2,FALSE),"")</f>
        <v>Түлш, шатахуун, тээврийн хөлс, сэлбэг хэрэгсэлд төлсөн</v>
      </c>
      <c r="P497" s="81"/>
      <c r="Q497" s="152">
        <f t="shared" si="44"/>
        <v>1</v>
      </c>
    </row>
    <row r="498" spans="2:17">
      <c r="B498" s="670">
        <f t="shared" si="45"/>
        <v>493</v>
      </c>
      <c r="C498" s="433">
        <v>42817</v>
      </c>
      <c r="D498" s="377" t="s">
        <v>1355</v>
      </c>
      <c r="E498" s="572">
        <v>702000</v>
      </c>
      <c r="F498" s="672" t="str">
        <f>IFERROR(VLOOKUP(E498,STAT1!$C$4:$D$1000,2,FALSE),"")</f>
        <v>Түлш, шатахуун</v>
      </c>
      <c r="G498" s="377">
        <v>15000</v>
      </c>
      <c r="H498" s="377"/>
      <c r="I498" s="596">
        <f t="shared" si="42"/>
        <v>0</v>
      </c>
      <c r="J498" s="81">
        <f>+IF(E498=110102,I498/K498,0)</f>
        <v>0</v>
      </c>
      <c r="K498" s="81"/>
      <c r="L498" s="597">
        <v>1004</v>
      </c>
      <c r="M498" s="81" t="str">
        <f>+IFERROR(VLOOKUP(L498,DATA!$G$4:$H$2000,2,FALSE),"")</f>
        <v xml:space="preserve">Түмэндэлгэр </v>
      </c>
      <c r="N498" s="435"/>
      <c r="O498" s="81" t="str">
        <f>IFERROR(VLOOKUP(N498,DATA!$K$4:$L$51,2,FALSE),"")</f>
        <v/>
      </c>
      <c r="P498" s="81"/>
      <c r="Q498" s="152">
        <f t="shared" si="44"/>
        <v>0</v>
      </c>
    </row>
    <row r="499" spans="2:17">
      <c r="B499" s="670">
        <f t="shared" si="45"/>
        <v>494</v>
      </c>
      <c r="C499" s="433">
        <v>42817</v>
      </c>
      <c r="D499" s="377" t="s">
        <v>1713</v>
      </c>
      <c r="E499" s="572">
        <v>100100</v>
      </c>
      <c r="F499" s="672" t="str">
        <f>IFERROR(VLOOKUP(E499,STAT1!$C$4:$D$1000,2,FALSE),"")</f>
        <v>Касс мөнгө MNT</v>
      </c>
      <c r="G499" s="377"/>
      <c r="H499" s="377">
        <v>94000</v>
      </c>
      <c r="I499" s="596">
        <f t="shared" si="42"/>
        <v>-94000</v>
      </c>
      <c r="J499" s="81"/>
      <c r="K499" s="81"/>
      <c r="L499" s="597">
        <v>1004</v>
      </c>
      <c r="M499" s="81" t="str">
        <f>+IFERROR(VLOOKUP(L499,DATA!$G$4:$H$2000,2,FALSE),"")</f>
        <v xml:space="preserve">Түмэндэлгэр </v>
      </c>
      <c r="N499" s="435">
        <v>53</v>
      </c>
      <c r="O499" s="81" t="str">
        <f>IFERROR(VLOOKUP(N499,DATA!$K$4:$L$51,2,FALSE),"")</f>
        <v>Бараа материал худалдан авахад төлсөн</v>
      </c>
      <c r="P499" s="81"/>
      <c r="Q499" s="152">
        <f t="shared" si="44"/>
        <v>1</v>
      </c>
    </row>
    <row r="500" spans="2:17">
      <c r="B500" s="670">
        <f t="shared" si="45"/>
        <v>495</v>
      </c>
      <c r="C500" s="433">
        <v>42817</v>
      </c>
      <c r="D500" s="377" t="s">
        <v>1713</v>
      </c>
      <c r="E500" s="572">
        <v>120600</v>
      </c>
      <c r="F500" s="672" t="str">
        <f>IFERROR(VLOOKUP(E500,STAT1!$C$4:$D$1000,2,FALSE),"")</f>
        <v>НӨАТ авлага</v>
      </c>
      <c r="G500" s="377">
        <v>8545.4599999999991</v>
      </c>
      <c r="H500" s="377"/>
      <c r="I500" s="596">
        <f t="shared" si="42"/>
        <v>0</v>
      </c>
      <c r="J500" s="81"/>
      <c r="K500" s="81"/>
      <c r="L500" s="597">
        <v>1004</v>
      </c>
      <c r="M500" s="81" t="str">
        <f>+IFERROR(VLOOKUP(L500,DATA!$G$4:$H$2000,2,FALSE),"")</f>
        <v xml:space="preserve">Түмэндэлгэр </v>
      </c>
      <c r="N500" s="435"/>
      <c r="O500" s="81" t="str">
        <f>IFERROR(VLOOKUP(N500,DATA!$K$4:$L$51,2,FALSE),"")</f>
        <v/>
      </c>
      <c r="P500" s="81"/>
      <c r="Q500" s="152">
        <f t="shared" si="44"/>
        <v>0</v>
      </c>
    </row>
    <row r="501" spans="2:17">
      <c r="B501" s="670">
        <f t="shared" si="45"/>
        <v>496</v>
      </c>
      <c r="C501" s="433">
        <v>42817</v>
      </c>
      <c r="D501" s="377" t="s">
        <v>1713</v>
      </c>
      <c r="E501" s="572">
        <v>701500</v>
      </c>
      <c r="F501" s="672" t="str">
        <f>IFERROR(VLOOKUP(E501,STAT1!$C$4:$D$1000,2,FALSE),"")</f>
        <v>Урсгал засварын зардал</v>
      </c>
      <c r="G501" s="377">
        <v>85454.540000000008</v>
      </c>
      <c r="H501" s="377">
        <v>0</v>
      </c>
      <c r="I501" s="596">
        <f t="shared" si="42"/>
        <v>0</v>
      </c>
      <c r="J501" s="81">
        <f>+IF(E501=110102,I501/K501,0)</f>
        <v>0</v>
      </c>
      <c r="K501" s="81"/>
      <c r="L501" s="597">
        <v>1004</v>
      </c>
      <c r="M501" s="81" t="str">
        <f>+IFERROR(VLOOKUP(L501,DATA!$G$4:$H$2000,2,FALSE),"")</f>
        <v xml:space="preserve">Түмэндэлгэр </v>
      </c>
      <c r="N501" s="435"/>
      <c r="O501" s="81" t="str">
        <f>IFERROR(VLOOKUP(N501,DATA!$K$4:$L$51,2,FALSE),"")</f>
        <v/>
      </c>
      <c r="P501" s="81"/>
      <c r="Q501" s="152">
        <f t="shared" si="44"/>
        <v>0</v>
      </c>
    </row>
    <row r="502" spans="2:17">
      <c r="B502" s="670">
        <f t="shared" si="45"/>
        <v>497</v>
      </c>
      <c r="C502" s="433">
        <v>42819</v>
      </c>
      <c r="D502" s="377" t="s">
        <v>2682</v>
      </c>
      <c r="E502" s="673">
        <v>150101</v>
      </c>
      <c r="F502" s="672" t="str">
        <f>IFERROR(VLOOKUP(E502,STAT1!$C$4:$D$1000,2,FALSE),"")</f>
        <v>Бараа бэлэн бүтээгдэхүүн БОЛОВСРУУЛАХ ЦЕХ /нарс/</v>
      </c>
      <c r="G502" s="377"/>
      <c r="H502" s="377">
        <v>1553834.5975319867</v>
      </c>
      <c r="I502" s="596">
        <f t="shared" si="42"/>
        <v>0</v>
      </c>
      <c r="J502" s="81">
        <f>+IF(E502=110102,I502/K502,0)</f>
        <v>0</v>
      </c>
      <c r="K502" s="81"/>
      <c r="L502" s="597">
        <v>3020</v>
      </c>
      <c r="M502" s="81" t="str">
        <f>+IFERROR(VLOOKUP(L502,DATA!$G$4:$H$2000,2,FALSE),"")</f>
        <v xml:space="preserve">ЖЭЙ ЭЛ КЭЙ ЭМ ХХК </v>
      </c>
      <c r="N502" s="435"/>
      <c r="O502" s="81" t="str">
        <f>IFERROR(VLOOKUP(N502,DATA!$K$4:$L$51,2,FALSE),"")</f>
        <v/>
      </c>
      <c r="P502" s="81"/>
      <c r="Q502" s="152">
        <f t="shared" si="44"/>
        <v>0</v>
      </c>
    </row>
    <row r="503" spans="2:17">
      <c r="B503" s="670">
        <f t="shared" si="45"/>
        <v>498</v>
      </c>
      <c r="C503" s="433">
        <v>42819</v>
      </c>
      <c r="D503" s="377"/>
      <c r="E503" s="674">
        <v>610100</v>
      </c>
      <c r="F503" s="672" t="str">
        <f>IFERROR(VLOOKUP(E503,STAT1!$C$4:$D$1000,2,FALSE),"")</f>
        <v>Борлуулсан барааны өртөг</v>
      </c>
      <c r="G503" s="377">
        <v>1553834.5975319867</v>
      </c>
      <c r="H503" s="377"/>
      <c r="I503" s="596">
        <f t="shared" si="42"/>
        <v>0</v>
      </c>
      <c r="J503" s="81"/>
      <c r="K503" s="81"/>
      <c r="L503" s="597">
        <v>3020</v>
      </c>
      <c r="M503" s="81" t="str">
        <f>+IFERROR(VLOOKUP(L503,DATA!$G$4:$H$2000,2,FALSE),"")</f>
        <v xml:space="preserve">ЖЭЙ ЭЛ КЭЙ ЭМ ХХК </v>
      </c>
      <c r="N503" s="435"/>
      <c r="O503" s="81"/>
      <c r="P503" s="81"/>
      <c r="Q503" s="152">
        <f t="shared" si="44"/>
        <v>0</v>
      </c>
    </row>
    <row r="504" spans="2:17">
      <c r="B504" s="670">
        <f t="shared" si="45"/>
        <v>499</v>
      </c>
      <c r="C504" s="433">
        <v>42819</v>
      </c>
      <c r="D504" s="377" t="s">
        <v>587</v>
      </c>
      <c r="E504" s="674">
        <v>310500</v>
      </c>
      <c r="F504" s="672" t="str">
        <f>IFERROR(VLOOKUP(E504,STAT1!$C$4:$D$1000,2,FALSE),"")</f>
        <v>НӨАТ өглөг</v>
      </c>
      <c r="G504" s="377"/>
      <c r="H504" s="377">
        <v>206999.99989800004</v>
      </c>
      <c r="I504" s="596">
        <f t="shared" si="42"/>
        <v>0</v>
      </c>
      <c r="J504" s="81">
        <f>+IF(E504=110102,I504/K504,0)</f>
        <v>0</v>
      </c>
      <c r="K504" s="81"/>
      <c r="L504" s="597">
        <v>3020</v>
      </c>
      <c r="M504" s="81" t="str">
        <f>+IFERROR(VLOOKUP(L504,DATA!$G$4:$H$2000,2,FALSE),"")</f>
        <v xml:space="preserve">ЖЭЙ ЭЛ КЭЙ ЭМ ХХК </v>
      </c>
      <c r="N504" s="435"/>
      <c r="O504" s="81" t="str">
        <f>IFERROR(VLOOKUP(N504,DATA!$K$4:$L$51,2,FALSE),"")</f>
        <v/>
      </c>
      <c r="P504" s="81"/>
      <c r="Q504" s="152">
        <f t="shared" si="44"/>
        <v>0</v>
      </c>
    </row>
    <row r="505" spans="2:17">
      <c r="B505" s="670">
        <f t="shared" si="45"/>
        <v>500</v>
      </c>
      <c r="C505" s="433">
        <v>42819</v>
      </c>
      <c r="D505" s="377" t="s">
        <v>587</v>
      </c>
      <c r="E505" s="674">
        <v>510000</v>
      </c>
      <c r="F505" s="672" t="str">
        <f>IFERROR(VLOOKUP(E505,STAT1!$C$4:$D$1000,2,FALSE),"")</f>
        <v>Үндсэн үйл ажиллагааны борлуулалт</v>
      </c>
      <c r="G505" s="377"/>
      <c r="H505" s="377">
        <v>2069999.9989800001</v>
      </c>
      <c r="I505" s="596">
        <f t="shared" si="42"/>
        <v>0</v>
      </c>
      <c r="J505" s="81">
        <f>+IF(E505=110102,I505/K505,0)</f>
        <v>0</v>
      </c>
      <c r="K505" s="81"/>
      <c r="L505" s="597">
        <v>3020</v>
      </c>
      <c r="M505" s="81" t="str">
        <f>+IFERROR(VLOOKUP(L505,DATA!$G$4:$H$2000,2,FALSE),"")</f>
        <v xml:space="preserve">ЖЭЙ ЭЛ КЭЙ ЭМ ХХК </v>
      </c>
      <c r="N505" s="435"/>
      <c r="O505" s="81" t="str">
        <f>IFERROR(VLOOKUP(N505,DATA!$K$4:$L$51,2,FALSE),"")</f>
        <v/>
      </c>
      <c r="P505" s="81"/>
      <c r="Q505" s="152">
        <f t="shared" si="44"/>
        <v>0</v>
      </c>
    </row>
    <row r="506" spans="2:17">
      <c r="B506" s="670">
        <f t="shared" si="45"/>
        <v>501</v>
      </c>
      <c r="C506" s="433">
        <v>42819</v>
      </c>
      <c r="D506" s="377" t="s">
        <v>587</v>
      </c>
      <c r="E506" s="674">
        <v>320100</v>
      </c>
      <c r="F506" s="672" t="str">
        <f>IFERROR(VLOOKUP(E506,STAT1!$C$4:$D$1000,2,FALSE),"")</f>
        <v>Урьдчилж орсон орлого MNT</v>
      </c>
      <c r="G506" s="377">
        <v>2276999.9988780003</v>
      </c>
      <c r="H506" s="377"/>
      <c r="I506" s="596">
        <f t="shared" si="42"/>
        <v>0</v>
      </c>
      <c r="J506" s="81">
        <f>+IF(E506=110102,I506/K506,0)</f>
        <v>0</v>
      </c>
      <c r="K506" s="81"/>
      <c r="L506" s="597">
        <v>3020</v>
      </c>
      <c r="M506" s="81" t="str">
        <f>+IFERROR(VLOOKUP(L506,DATA!$G$4:$H$2000,2,FALSE),"")</f>
        <v xml:space="preserve">ЖЭЙ ЭЛ КЭЙ ЭМ ХХК </v>
      </c>
      <c r="N506" s="435"/>
      <c r="O506" s="81" t="str">
        <f>IFERROR(VLOOKUP(N506,DATA!$K$4:$L$51,2,FALSE),"")</f>
        <v/>
      </c>
      <c r="P506" s="81"/>
      <c r="Q506" s="152">
        <f t="shared" si="44"/>
        <v>0</v>
      </c>
    </row>
    <row r="507" spans="2:17">
      <c r="B507" s="670">
        <f t="shared" si="45"/>
        <v>502</v>
      </c>
      <c r="C507" s="433">
        <v>42819</v>
      </c>
      <c r="D507" s="377" t="s">
        <v>2689</v>
      </c>
      <c r="E507" s="673">
        <v>150101</v>
      </c>
      <c r="F507" s="672" t="str">
        <f>IFERROR(VLOOKUP(E507,STAT1!$C$4:$D$1000,2,FALSE),"")</f>
        <v>Бараа бэлэн бүтээгдэхүүн БОЛОВСРУУЛАХ ЦЕХ /нарс/</v>
      </c>
      <c r="G507" s="377"/>
      <c r="H507" s="377">
        <v>59295.032400000004</v>
      </c>
      <c r="I507" s="596">
        <f t="shared" si="42"/>
        <v>0</v>
      </c>
      <c r="J507" s="81">
        <f>+IF(E507=110102,I507/K507,0)</f>
        <v>0</v>
      </c>
      <c r="K507" s="81"/>
      <c r="L507" s="597">
        <v>3023</v>
      </c>
      <c r="M507" s="81" t="str">
        <f>+IFERROR(VLOOKUP(L507,DATA!$G$4:$H$2000,2,FALSE),"")</f>
        <v>ЭГЭЛ ХХК</v>
      </c>
      <c r="N507" s="435"/>
      <c r="O507" s="81" t="str">
        <f>IFERROR(VLOOKUP(N507,DATA!$K$4:$L$51,2,FALSE),"")</f>
        <v/>
      </c>
      <c r="P507" s="81"/>
      <c r="Q507" s="152">
        <f t="shared" si="44"/>
        <v>0</v>
      </c>
    </row>
    <row r="508" spans="2:17">
      <c r="B508" s="670">
        <f t="shared" si="45"/>
        <v>503</v>
      </c>
      <c r="C508" s="433">
        <v>42819</v>
      </c>
      <c r="D508" s="377"/>
      <c r="E508" s="674">
        <v>610100</v>
      </c>
      <c r="F508" s="672" t="str">
        <f>IFERROR(VLOOKUP(E508,STAT1!$C$4:$D$1000,2,FALSE),"")</f>
        <v>Борлуулсан барааны өртөг</v>
      </c>
      <c r="G508" s="377">
        <v>59295.032400000004</v>
      </c>
      <c r="H508" s="377"/>
      <c r="I508" s="596">
        <f t="shared" si="42"/>
        <v>0</v>
      </c>
      <c r="J508" s="81"/>
      <c r="K508" s="81"/>
      <c r="L508" s="597">
        <v>3023</v>
      </c>
      <c r="M508" s="81" t="str">
        <f>+IFERROR(VLOOKUP(L508,DATA!$G$4:$H$2000,2,FALSE),"")</f>
        <v>ЭГЭЛ ХХК</v>
      </c>
      <c r="N508" s="435"/>
      <c r="O508" s="81"/>
      <c r="P508" s="81"/>
      <c r="Q508" s="152">
        <f t="shared" si="44"/>
        <v>0</v>
      </c>
    </row>
    <row r="509" spans="2:17">
      <c r="B509" s="670">
        <f t="shared" si="45"/>
        <v>504</v>
      </c>
      <c r="C509" s="433">
        <v>42819</v>
      </c>
      <c r="D509" s="377" t="s">
        <v>587</v>
      </c>
      <c r="E509" s="674">
        <v>310500</v>
      </c>
      <c r="F509" s="672" t="str">
        <f>IFERROR(VLOOKUP(E509,STAT1!$C$4:$D$1000,2,FALSE),"")</f>
        <v>НӨАТ өглөг</v>
      </c>
      <c r="G509" s="377"/>
      <c r="H509" s="377">
        <v>13570.909</v>
      </c>
      <c r="I509" s="596">
        <f t="shared" si="42"/>
        <v>0</v>
      </c>
      <c r="J509" s="81">
        <f>+IF(E509=110102,I509/K509,0)</f>
        <v>0</v>
      </c>
      <c r="K509" s="81"/>
      <c r="L509" s="597">
        <v>3023</v>
      </c>
      <c r="M509" s="81" t="str">
        <f>+IFERROR(VLOOKUP(L509,DATA!$G$4:$H$2000,2,FALSE),"")</f>
        <v>ЭГЭЛ ХХК</v>
      </c>
      <c r="N509" s="435"/>
      <c r="O509" s="81" t="str">
        <f>IFERROR(VLOOKUP(N509,DATA!$K$4:$L$51,2,FALSE),"")</f>
        <v/>
      </c>
      <c r="P509" s="81"/>
      <c r="Q509" s="152">
        <f t="shared" si="44"/>
        <v>0</v>
      </c>
    </row>
    <row r="510" spans="2:17">
      <c r="B510" s="670">
        <f t="shared" si="45"/>
        <v>505</v>
      </c>
      <c r="C510" s="433">
        <v>42819</v>
      </c>
      <c r="D510" s="377" t="s">
        <v>587</v>
      </c>
      <c r="E510" s="674">
        <v>510000</v>
      </c>
      <c r="F510" s="672" t="str">
        <f>IFERROR(VLOOKUP(E510,STAT1!$C$4:$D$1000,2,FALSE),"")</f>
        <v>Үндсэн үйл ажиллагааны борлуулалт</v>
      </c>
      <c r="G510" s="377"/>
      <c r="H510" s="377">
        <v>135709.09</v>
      </c>
      <c r="I510" s="596">
        <f t="shared" si="42"/>
        <v>0</v>
      </c>
      <c r="J510" s="81">
        <f>+IF(E510=110102,I510/K510,0)</f>
        <v>0</v>
      </c>
      <c r="K510" s="81"/>
      <c r="L510" s="597">
        <v>3023</v>
      </c>
      <c r="M510" s="81" t="str">
        <f>+IFERROR(VLOOKUP(L510,DATA!$G$4:$H$2000,2,FALSE),"")</f>
        <v>ЭГЭЛ ХХК</v>
      </c>
      <c r="N510" s="435"/>
      <c r="O510" s="81" t="str">
        <f>IFERROR(VLOOKUP(N510,DATA!$K$4:$L$51,2,FALSE),"")</f>
        <v/>
      </c>
      <c r="P510" s="81"/>
      <c r="Q510" s="152">
        <f t="shared" si="44"/>
        <v>0</v>
      </c>
    </row>
    <row r="511" spans="2:17">
      <c r="B511" s="670">
        <f t="shared" si="45"/>
        <v>506</v>
      </c>
      <c r="C511" s="433">
        <v>42819</v>
      </c>
      <c r="D511" s="377" t="s">
        <v>587</v>
      </c>
      <c r="E511" s="674">
        <v>320100</v>
      </c>
      <c r="F511" s="672" t="str">
        <f>IFERROR(VLOOKUP(E511,STAT1!$C$4:$D$1000,2,FALSE),"")</f>
        <v>Урьдчилж орсон орлого MNT</v>
      </c>
      <c r="G511" s="377">
        <v>149279.99900000001</v>
      </c>
      <c r="H511" s="377"/>
      <c r="I511" s="596">
        <f t="shared" si="42"/>
        <v>0</v>
      </c>
      <c r="J511" s="81">
        <f>+IF(E511=110102,I511/K511,0)</f>
        <v>0</v>
      </c>
      <c r="K511" s="81"/>
      <c r="L511" s="597">
        <v>3023</v>
      </c>
      <c r="M511" s="81" t="str">
        <f>+IFERROR(VLOOKUP(L511,DATA!$G$4:$H$2000,2,FALSE),"")</f>
        <v>ЭГЭЛ ХХК</v>
      </c>
      <c r="N511" s="435"/>
      <c r="O511" s="81" t="str">
        <f>IFERROR(VLOOKUP(N511,DATA!$K$4:$L$51,2,FALSE),"")</f>
        <v/>
      </c>
      <c r="P511" s="81"/>
      <c r="Q511" s="152">
        <f t="shared" si="44"/>
        <v>0</v>
      </c>
    </row>
    <row r="512" spans="2:17">
      <c r="B512" s="670">
        <f t="shared" si="45"/>
        <v>507</v>
      </c>
      <c r="C512" s="433">
        <v>42822</v>
      </c>
      <c r="D512" s="377" t="s">
        <v>2678</v>
      </c>
      <c r="E512" s="673">
        <v>150101</v>
      </c>
      <c r="F512" s="672" t="str">
        <f>IFERROR(VLOOKUP(E512,STAT1!$C$4:$D$1000,2,FALSE),"")</f>
        <v>Бараа бэлэн бүтээгдэхүүн БОЛОВСРУУЛАХ ЦЕХ /нарс/</v>
      </c>
      <c r="G512" s="597"/>
      <c r="H512" s="377">
        <v>150219.84747114341</v>
      </c>
      <c r="I512" s="596">
        <f t="shared" si="42"/>
        <v>0</v>
      </c>
      <c r="J512" s="81">
        <f>+IF(E512=110102,I512/K512,0)</f>
        <v>0</v>
      </c>
      <c r="K512" s="81"/>
      <c r="L512" s="597">
        <v>4002</v>
      </c>
      <c r="M512" s="81" t="str">
        <f>+IFERROR(VLOOKUP(L512,DATA!$G$4:$H$2000,2,FALSE),"")</f>
        <v xml:space="preserve">Хувь хүн </v>
      </c>
      <c r="N512" s="435"/>
      <c r="O512" s="81" t="str">
        <f>IFERROR(VLOOKUP(N512,DATA!$K$4:$L$51,2,FALSE),"")</f>
        <v/>
      </c>
      <c r="P512" s="81"/>
      <c r="Q512" s="152">
        <f t="shared" si="44"/>
        <v>0</v>
      </c>
    </row>
    <row r="513" spans="2:17">
      <c r="B513" s="670">
        <f t="shared" si="45"/>
        <v>508</v>
      </c>
      <c r="C513" s="433">
        <v>42822</v>
      </c>
      <c r="D513" s="377"/>
      <c r="E513" s="674">
        <v>610100</v>
      </c>
      <c r="F513" s="672" t="str">
        <f>IFERROR(VLOOKUP(E513,STAT1!$C$4:$D$1000,2,FALSE),"")</f>
        <v>Борлуулсан барааны өртөг</v>
      </c>
      <c r="G513" s="377">
        <v>150219.84747114341</v>
      </c>
      <c r="H513" s="377"/>
      <c r="I513" s="596">
        <f t="shared" si="42"/>
        <v>0</v>
      </c>
      <c r="J513" s="81"/>
      <c r="K513" s="81"/>
      <c r="L513" s="597">
        <v>4002</v>
      </c>
      <c r="M513" s="81" t="str">
        <f>+IFERROR(VLOOKUP(L513,DATA!$G$4:$H$2000,2,FALSE),"")</f>
        <v xml:space="preserve">Хувь хүн </v>
      </c>
      <c r="N513" s="435"/>
      <c r="O513" s="81"/>
      <c r="P513" s="81"/>
      <c r="Q513" s="152">
        <f t="shared" si="44"/>
        <v>0</v>
      </c>
    </row>
    <row r="514" spans="2:17">
      <c r="B514" s="670">
        <f t="shared" si="45"/>
        <v>509</v>
      </c>
      <c r="C514" s="433">
        <v>42822</v>
      </c>
      <c r="D514" s="377" t="s">
        <v>587</v>
      </c>
      <c r="E514" s="674">
        <v>310500</v>
      </c>
      <c r="F514" s="672" t="str">
        <f>IFERROR(VLOOKUP(E514,STAT1!$C$4:$D$1000,2,FALSE),"")</f>
        <v>НӨАТ өглөг</v>
      </c>
      <c r="G514" s="597"/>
      <c r="H514" s="377">
        <v>21000.000314740002</v>
      </c>
      <c r="I514" s="596">
        <f t="shared" si="42"/>
        <v>0</v>
      </c>
      <c r="J514" s="81">
        <f t="shared" ref="J514:J519" si="47">+IF(E514=110102,I514/K514,0)</f>
        <v>0</v>
      </c>
      <c r="K514" s="81"/>
      <c r="L514" s="597">
        <v>4002</v>
      </c>
      <c r="M514" s="81" t="str">
        <f>+IFERROR(VLOOKUP(L514,DATA!$G$4:$H$2000,2,FALSE),"")</f>
        <v xml:space="preserve">Хувь хүн </v>
      </c>
      <c r="N514" s="435"/>
      <c r="O514" s="81" t="str">
        <f>IFERROR(VLOOKUP(N514,DATA!$K$4:$L$51,2,FALSE),"")</f>
        <v/>
      </c>
      <c r="P514" s="81"/>
      <c r="Q514" s="152">
        <f t="shared" si="44"/>
        <v>0</v>
      </c>
    </row>
    <row r="515" spans="2:17">
      <c r="B515" s="670">
        <f t="shared" si="45"/>
        <v>510</v>
      </c>
      <c r="C515" s="433">
        <v>42822</v>
      </c>
      <c r="D515" s="377" t="s">
        <v>587</v>
      </c>
      <c r="E515" s="674">
        <v>510000</v>
      </c>
      <c r="F515" s="672" t="str">
        <f>IFERROR(VLOOKUP(E515,STAT1!$C$4:$D$1000,2,FALSE),"")</f>
        <v>Үндсэн үйл ажиллагааны борлуулалт</v>
      </c>
      <c r="G515" s="597"/>
      <c r="H515" s="377">
        <v>210000</v>
      </c>
      <c r="I515" s="596">
        <f t="shared" si="42"/>
        <v>0</v>
      </c>
      <c r="J515" s="81">
        <f t="shared" si="47"/>
        <v>0</v>
      </c>
      <c r="K515" s="81"/>
      <c r="L515" s="597">
        <v>4002</v>
      </c>
      <c r="M515" s="81" t="str">
        <f>+IFERROR(VLOOKUP(L515,DATA!$G$4:$H$2000,2,FALSE),"")</f>
        <v xml:space="preserve">Хувь хүн </v>
      </c>
      <c r="N515" s="435"/>
      <c r="O515" s="81" t="str">
        <f>IFERROR(VLOOKUP(N515,DATA!$K$4:$L$51,2,FALSE),"")</f>
        <v/>
      </c>
      <c r="P515" s="81"/>
      <c r="Q515" s="152">
        <f t="shared" si="44"/>
        <v>0</v>
      </c>
    </row>
    <row r="516" spans="2:17">
      <c r="B516" s="670">
        <f t="shared" si="45"/>
        <v>511</v>
      </c>
      <c r="C516" s="433">
        <v>42822</v>
      </c>
      <c r="D516" s="377" t="s">
        <v>587</v>
      </c>
      <c r="E516" s="674">
        <v>320100</v>
      </c>
      <c r="F516" s="672" t="str">
        <f>IFERROR(VLOOKUP(E516,STAT1!$C$4:$D$1000,2,FALSE),"")</f>
        <v>Урьдчилж орсон орлого MNT</v>
      </c>
      <c r="G516" s="377">
        <v>231000.00346214001</v>
      </c>
      <c r="H516" s="597"/>
      <c r="I516" s="596">
        <f t="shared" si="42"/>
        <v>0</v>
      </c>
      <c r="J516" s="81">
        <f t="shared" si="47"/>
        <v>0</v>
      </c>
      <c r="K516" s="81"/>
      <c r="L516" s="597">
        <v>4002</v>
      </c>
      <c r="M516" s="81" t="str">
        <f>+IFERROR(VLOOKUP(L516,DATA!$G$4:$H$2000,2,FALSE),"")</f>
        <v xml:space="preserve">Хувь хүн </v>
      </c>
      <c r="N516" s="435"/>
      <c r="O516" s="81" t="str">
        <f>IFERROR(VLOOKUP(N516,DATA!$K$4:$L$51,2,FALSE),"")</f>
        <v/>
      </c>
      <c r="P516" s="81"/>
      <c r="Q516" s="152">
        <f t="shared" si="44"/>
        <v>0</v>
      </c>
    </row>
    <row r="517" spans="2:17">
      <c r="B517" s="670">
        <f t="shared" si="45"/>
        <v>512</v>
      </c>
      <c r="C517" s="433">
        <v>42822</v>
      </c>
      <c r="D517" s="377" t="s">
        <v>1699</v>
      </c>
      <c r="E517" s="572">
        <v>100100</v>
      </c>
      <c r="F517" s="672" t="str">
        <f>IFERROR(VLOOKUP(E517,STAT1!$C$4:$D$1000,2,FALSE),"")</f>
        <v>Касс мөнгө MNT</v>
      </c>
      <c r="G517" s="377"/>
      <c r="H517" s="377">
        <v>5000000</v>
      </c>
      <c r="I517" s="596">
        <f t="shared" si="42"/>
        <v>-5000000</v>
      </c>
      <c r="J517" s="81">
        <f t="shared" si="47"/>
        <v>0</v>
      </c>
      <c r="K517" s="81"/>
      <c r="L517" s="597">
        <v>1005</v>
      </c>
      <c r="M517" s="81" t="str">
        <f>+IFERROR(VLOOKUP(L517,DATA!$G$4:$H$2000,2,FALSE),"")</f>
        <v>Золжаргал</v>
      </c>
      <c r="N517" s="435"/>
      <c r="O517" s="81" t="str">
        <f>IFERROR(VLOOKUP(N517,DATA!$K$4:$L$51,2,FALSE),"")</f>
        <v/>
      </c>
      <c r="P517" s="81"/>
      <c r="Q517" s="152">
        <f t="shared" si="44"/>
        <v>1</v>
      </c>
    </row>
    <row r="518" spans="2:17" ht="13.5" customHeight="1">
      <c r="B518" s="670">
        <f t="shared" si="45"/>
        <v>513</v>
      </c>
      <c r="C518" s="433">
        <v>42822</v>
      </c>
      <c r="D518" s="377" t="s">
        <v>1699</v>
      </c>
      <c r="E518" s="572">
        <v>110100</v>
      </c>
      <c r="F518" s="672" t="str">
        <f>IFERROR(VLOOKUP(E518,STAT1!$C$4:$D$1000,2,FALSE),"")</f>
        <v>Хаан Банк 5024654020</v>
      </c>
      <c r="G518" s="377">
        <v>5000000</v>
      </c>
      <c r="H518" s="377">
        <v>0</v>
      </c>
      <c r="I518" s="596">
        <f t="shared" ref="I518:I581" si="48">+IF(OR(E518=100100,E518=100200,E518=110100,E518=110102,E518=110103,E518=110104,E518=110105,E518=110200,E518=110201,E518=110202,E518=110203,E518=110204,E518=110300),G518,0)+IF(OR(E518=100100,E518=100200,E518=110100,E518=110102,E518=110103,E518=110104,E518=110105,E518=110200,E518=110201,E518=110202,E518=110203,E518=110204,E518=110300),H518*-1,0)</f>
        <v>5000000</v>
      </c>
      <c r="J518" s="81">
        <f t="shared" si="47"/>
        <v>0</v>
      </c>
      <c r="K518" s="81"/>
      <c r="L518" s="597">
        <v>1005</v>
      </c>
      <c r="M518" s="81" t="str">
        <f>+IFERROR(VLOOKUP(L518,DATA!$G$4:$H$2000,2,FALSE),"")</f>
        <v>Золжаргал</v>
      </c>
      <c r="N518" s="435"/>
      <c r="O518" s="81" t="str">
        <f>IFERROR(VLOOKUP(N518,DATA!$K$4:$L$51,2,FALSE),"")</f>
        <v/>
      </c>
      <c r="P518" s="81"/>
      <c r="Q518" s="152">
        <f t="shared" si="44"/>
        <v>1</v>
      </c>
    </row>
    <row r="519" spans="2:17">
      <c r="B519" s="670">
        <f t="shared" si="45"/>
        <v>514</v>
      </c>
      <c r="C519" s="433">
        <v>42822</v>
      </c>
      <c r="D519" s="377" t="s">
        <v>1714</v>
      </c>
      <c r="E519" s="572">
        <v>100100</v>
      </c>
      <c r="F519" s="672" t="str">
        <f>IFERROR(VLOOKUP(E519,STAT1!$C$4:$D$1000,2,FALSE),"")</f>
        <v>Касс мөнгө MNT</v>
      </c>
      <c r="G519" s="377"/>
      <c r="H519" s="377">
        <v>1817000</v>
      </c>
      <c r="I519" s="596">
        <f t="shared" si="48"/>
        <v>-1817000</v>
      </c>
      <c r="J519" s="81">
        <f t="shared" si="47"/>
        <v>0</v>
      </c>
      <c r="K519" s="81"/>
      <c r="L519" s="597">
        <v>2003</v>
      </c>
      <c r="M519" s="81" t="str">
        <f>+IFERROR(VLOOKUP(L519,DATA!$G$4:$H$2000,2,FALSE),"")</f>
        <v xml:space="preserve">УБЦТС ТӨХК </v>
      </c>
      <c r="N519" s="435">
        <v>54</v>
      </c>
      <c r="O519" s="81" t="str">
        <f>IFERROR(VLOOKUP(N519,DATA!$K$4:$L$51,2,FALSE),"")</f>
        <v>Ашиглалтын зардалд төлсөн</v>
      </c>
      <c r="P519" s="81"/>
      <c r="Q519" s="152">
        <f t="shared" ref="Q519:Q582" si="49">+IF(I519,1,0)</f>
        <v>1</v>
      </c>
    </row>
    <row r="520" spans="2:17">
      <c r="B520" s="670">
        <f t="shared" si="45"/>
        <v>515</v>
      </c>
      <c r="C520" s="433">
        <v>42822</v>
      </c>
      <c r="D520" s="377" t="s">
        <v>1714</v>
      </c>
      <c r="E520" s="572">
        <v>120600</v>
      </c>
      <c r="F520" s="672" t="str">
        <f>IFERROR(VLOOKUP(E520,STAT1!$C$4:$D$1000,2,FALSE),"")</f>
        <v>НӨАТ авлага</v>
      </c>
      <c r="G520" s="377">
        <v>164273</v>
      </c>
      <c r="H520" s="377"/>
      <c r="I520" s="596">
        <f t="shared" si="48"/>
        <v>0</v>
      </c>
      <c r="J520" s="81"/>
      <c r="K520" s="81"/>
      <c r="L520" s="597">
        <v>2003</v>
      </c>
      <c r="M520" s="81" t="str">
        <f>+IFERROR(VLOOKUP(L520,DATA!$G$4:$H$2000,2,FALSE),"")</f>
        <v xml:space="preserve">УБЦТС ТӨХК </v>
      </c>
      <c r="N520" s="435"/>
      <c r="O520" s="81" t="str">
        <f>IFERROR(VLOOKUP(N520,DATA!$K$4:$L$51,2,FALSE),"")</f>
        <v/>
      </c>
      <c r="P520" s="81"/>
      <c r="Q520" s="152">
        <f t="shared" si="49"/>
        <v>0</v>
      </c>
    </row>
    <row r="521" spans="2:17">
      <c r="B521" s="670">
        <f t="shared" si="45"/>
        <v>516</v>
      </c>
      <c r="C521" s="433">
        <v>42822</v>
      </c>
      <c r="D521" s="377" t="s">
        <v>1714</v>
      </c>
      <c r="E521" s="572">
        <v>700700</v>
      </c>
      <c r="F521" s="672" t="str">
        <f>IFERROR(VLOOKUP(E521,STAT1!$C$4:$D$1000,2,FALSE),"")</f>
        <v>Цахилгаан эрчим хүч</v>
      </c>
      <c r="G521" s="377">
        <v>1652727</v>
      </c>
      <c r="H521" s="377">
        <v>0</v>
      </c>
      <c r="I521" s="596">
        <f t="shared" si="48"/>
        <v>0</v>
      </c>
      <c r="J521" s="81">
        <f>+IF(E521=110102,I521/K521,0)</f>
        <v>0</v>
      </c>
      <c r="K521" s="81"/>
      <c r="L521" s="597">
        <v>2003</v>
      </c>
      <c r="M521" s="81" t="str">
        <f>+IFERROR(VLOOKUP(L521,DATA!$G$4:$H$2000,2,FALSE),"")</f>
        <v xml:space="preserve">УБЦТС ТӨХК </v>
      </c>
      <c r="N521" s="435"/>
      <c r="O521" s="81" t="str">
        <f>IFERROR(VLOOKUP(N521,DATA!$K$4:$L$51,2,FALSE),"")</f>
        <v/>
      </c>
      <c r="P521" s="81"/>
      <c r="Q521" s="152">
        <f t="shared" si="49"/>
        <v>0</v>
      </c>
    </row>
    <row r="522" spans="2:17">
      <c r="B522" s="670">
        <f t="shared" si="45"/>
        <v>517</v>
      </c>
      <c r="C522" s="433">
        <v>42822</v>
      </c>
      <c r="D522" s="377" t="s">
        <v>1355</v>
      </c>
      <c r="E522" s="572">
        <v>100100</v>
      </c>
      <c r="F522" s="672" t="str">
        <f>IFERROR(VLOOKUP(E522,STAT1!$C$4:$D$1000,2,FALSE),"")</f>
        <v>Касс мөнгө MNT</v>
      </c>
      <c r="G522" s="377"/>
      <c r="H522" s="377">
        <v>9000</v>
      </c>
      <c r="I522" s="596">
        <f t="shared" si="48"/>
        <v>-9000</v>
      </c>
      <c r="J522" s="81">
        <f>+IF(E522=110102,I522/K522,0)</f>
        <v>0</v>
      </c>
      <c r="K522" s="81"/>
      <c r="L522" s="597">
        <v>2005</v>
      </c>
      <c r="M522" s="81" t="str">
        <f>+IFERROR(VLOOKUP(L522,DATA!$G$4:$H$2000,2,FALSE),"")</f>
        <v xml:space="preserve">УСУГ ТӨХК </v>
      </c>
      <c r="N522" s="435">
        <v>54</v>
      </c>
      <c r="O522" s="81" t="str">
        <f>IFERROR(VLOOKUP(N522,DATA!$K$4:$L$51,2,FALSE),"")</f>
        <v>Ашиглалтын зардалд төлсөн</v>
      </c>
      <c r="P522" s="81"/>
      <c r="Q522" s="152">
        <f t="shared" si="49"/>
        <v>1</v>
      </c>
    </row>
    <row r="523" spans="2:17">
      <c r="B523" s="670">
        <f t="shared" ref="B523:B586" si="50">+IF(C523="","",ROW()-5)</f>
        <v>518</v>
      </c>
      <c r="C523" s="433">
        <v>42822</v>
      </c>
      <c r="D523" s="377" t="s">
        <v>1355</v>
      </c>
      <c r="E523" s="572">
        <v>702000</v>
      </c>
      <c r="F523" s="672" t="str">
        <f>IFERROR(VLOOKUP(E523,STAT1!$C$4:$D$1000,2,FALSE),"")</f>
        <v>Түлш, шатахуун</v>
      </c>
      <c r="G523" s="377">
        <v>9000</v>
      </c>
      <c r="H523" s="377"/>
      <c r="I523" s="596">
        <f t="shared" si="48"/>
        <v>0</v>
      </c>
      <c r="J523" s="81">
        <f>+IF(E523=110102,I523/K523,0)</f>
        <v>0</v>
      </c>
      <c r="K523" s="81"/>
      <c r="L523" s="597">
        <v>2005</v>
      </c>
      <c r="M523" s="81" t="str">
        <f>+IFERROR(VLOOKUP(L523,DATA!$G$4:$H$2000,2,FALSE),"")</f>
        <v xml:space="preserve">УСУГ ТӨХК </v>
      </c>
      <c r="N523" s="435"/>
      <c r="O523" s="81" t="str">
        <f>IFERROR(VLOOKUP(N523,DATA!$K$4:$L$51,2,FALSE),"")</f>
        <v/>
      </c>
      <c r="P523" s="81"/>
      <c r="Q523" s="152">
        <f t="shared" si="49"/>
        <v>0</v>
      </c>
    </row>
    <row r="524" spans="2:17">
      <c r="B524" s="670">
        <f t="shared" si="50"/>
        <v>519</v>
      </c>
      <c r="C524" s="433">
        <v>42822</v>
      </c>
      <c r="D524" s="377" t="s">
        <v>1715</v>
      </c>
      <c r="E524" s="572">
        <v>100100</v>
      </c>
      <c r="F524" s="672" t="str">
        <f>IFERROR(VLOOKUP(E524,STAT1!$C$4:$D$1000,2,FALSE),"")</f>
        <v>Касс мөнгө MNT</v>
      </c>
      <c r="G524" s="377"/>
      <c r="H524" s="377">
        <v>331000</v>
      </c>
      <c r="I524" s="596">
        <f t="shared" si="48"/>
        <v>-331000</v>
      </c>
      <c r="J524" s="81"/>
      <c r="K524" s="81"/>
      <c r="L524" s="597">
        <v>2005</v>
      </c>
      <c r="M524" s="81" t="str">
        <f>+IFERROR(VLOOKUP(L524,DATA!$G$4:$H$2000,2,FALSE),"")</f>
        <v xml:space="preserve">УСУГ ТӨХК </v>
      </c>
      <c r="N524" s="435">
        <v>54</v>
      </c>
      <c r="O524" s="81" t="str">
        <f>IFERROR(VLOOKUP(N524,DATA!$K$4:$L$51,2,FALSE),"")</f>
        <v>Ашиглалтын зардалд төлсөн</v>
      </c>
      <c r="P524" s="81"/>
      <c r="Q524" s="152">
        <f t="shared" si="49"/>
        <v>1</v>
      </c>
    </row>
    <row r="525" spans="2:17">
      <c r="B525" s="670">
        <f t="shared" si="50"/>
        <v>520</v>
      </c>
      <c r="C525" s="433">
        <v>42822</v>
      </c>
      <c r="D525" s="377" t="s">
        <v>1715</v>
      </c>
      <c r="E525" s="572">
        <v>120600</v>
      </c>
      <c r="F525" s="672" t="str">
        <f>IFERROR(VLOOKUP(E525,STAT1!$C$4:$D$1000,2,FALSE),"")</f>
        <v>НӨАТ авлага</v>
      </c>
      <c r="G525" s="377">
        <v>29983</v>
      </c>
      <c r="H525" s="377"/>
      <c r="I525" s="596">
        <f t="shared" si="48"/>
        <v>0</v>
      </c>
      <c r="J525" s="81"/>
      <c r="K525" s="81"/>
      <c r="L525" s="597">
        <v>2005</v>
      </c>
      <c r="M525" s="81" t="str">
        <f>+IFERROR(VLOOKUP(L525,DATA!$G$4:$H$2000,2,FALSE),"")</f>
        <v xml:space="preserve">УСУГ ТӨХК </v>
      </c>
      <c r="N525" s="435"/>
      <c r="O525" s="81" t="str">
        <f>IFERROR(VLOOKUP(N525,DATA!$K$4:$L$51,2,FALSE),"")</f>
        <v/>
      </c>
      <c r="P525" s="81"/>
      <c r="Q525" s="152">
        <f t="shared" si="49"/>
        <v>0</v>
      </c>
    </row>
    <row r="526" spans="2:17">
      <c r="B526" s="670">
        <f t="shared" si="50"/>
        <v>521</v>
      </c>
      <c r="C526" s="433">
        <v>42822</v>
      </c>
      <c r="D526" s="377" t="s">
        <v>1715</v>
      </c>
      <c r="E526" s="572">
        <v>700900</v>
      </c>
      <c r="F526" s="672" t="str">
        <f>IFERROR(VLOOKUP(E526,STAT1!$C$4:$D$1000,2,FALSE),"")</f>
        <v>Уур, ус</v>
      </c>
      <c r="G526" s="377">
        <v>301017</v>
      </c>
      <c r="H526" s="377">
        <v>0</v>
      </c>
      <c r="I526" s="596">
        <f t="shared" si="48"/>
        <v>0</v>
      </c>
      <c r="J526" s="81">
        <f>+IF(E526=110102,I526/K526,0)</f>
        <v>0</v>
      </c>
      <c r="K526" s="81"/>
      <c r="L526" s="597">
        <v>2005</v>
      </c>
      <c r="M526" s="81" t="str">
        <f>+IFERROR(VLOOKUP(L526,DATA!$G$4:$H$2000,2,FALSE),"")</f>
        <v xml:space="preserve">УСУГ ТӨХК </v>
      </c>
      <c r="N526" s="435"/>
      <c r="O526" s="81" t="str">
        <f>IFERROR(VLOOKUP(N526,DATA!$K$4:$L$51,2,FALSE),"")</f>
        <v/>
      </c>
      <c r="P526" s="81"/>
      <c r="Q526" s="152">
        <f t="shared" si="49"/>
        <v>0</v>
      </c>
    </row>
    <row r="527" spans="2:17">
      <c r="B527" s="670">
        <f t="shared" si="50"/>
        <v>522</v>
      </c>
      <c r="C527" s="433">
        <v>42822</v>
      </c>
      <c r="D527" s="377" t="s">
        <v>1699</v>
      </c>
      <c r="E527" s="572">
        <v>100100</v>
      </c>
      <c r="F527" s="672" t="str">
        <f>IFERROR(VLOOKUP(E527,STAT1!$C$4:$D$1000,2,FALSE),"")</f>
        <v>Касс мөнгө MNT</v>
      </c>
      <c r="G527" s="377"/>
      <c r="H527" s="377">
        <v>5550000</v>
      </c>
      <c r="I527" s="596">
        <f t="shared" si="48"/>
        <v>-5550000</v>
      </c>
      <c r="J527" s="81">
        <f>+IF(E527=110102,I527/K527,0)</f>
        <v>0</v>
      </c>
      <c r="K527" s="81"/>
      <c r="L527" s="597">
        <v>1005</v>
      </c>
      <c r="M527" s="81" t="str">
        <f>+IFERROR(VLOOKUP(L527,DATA!$G$4:$H$2000,2,FALSE),"")</f>
        <v>Золжаргал</v>
      </c>
      <c r="N527" s="435"/>
      <c r="O527" s="81" t="str">
        <f>IFERROR(VLOOKUP(N527,DATA!$K$4:$L$51,2,FALSE),"")</f>
        <v/>
      </c>
      <c r="P527" s="81"/>
      <c r="Q527" s="152">
        <f t="shared" si="49"/>
        <v>1</v>
      </c>
    </row>
    <row r="528" spans="2:17">
      <c r="B528" s="670">
        <f t="shared" si="50"/>
        <v>523</v>
      </c>
      <c r="C528" s="433">
        <v>42822</v>
      </c>
      <c r="D528" s="377" t="s">
        <v>1699</v>
      </c>
      <c r="E528" s="572">
        <v>110100</v>
      </c>
      <c r="F528" s="672" t="str">
        <f>IFERROR(VLOOKUP(E528,STAT1!$C$4:$D$1000,2,FALSE),"")</f>
        <v>Хаан Банк 5024654020</v>
      </c>
      <c r="G528" s="377">
        <v>5550000</v>
      </c>
      <c r="H528" s="377">
        <v>0</v>
      </c>
      <c r="I528" s="596">
        <f t="shared" si="48"/>
        <v>5550000</v>
      </c>
      <c r="J528" s="81">
        <f>+IF(E528=110102,I528/K528,0)</f>
        <v>0</v>
      </c>
      <c r="K528" s="81"/>
      <c r="L528" s="597">
        <v>1005</v>
      </c>
      <c r="M528" s="81" t="str">
        <f>+IFERROR(VLOOKUP(L528,DATA!$G$4:$H$2000,2,FALSE),"")</f>
        <v>Золжаргал</v>
      </c>
      <c r="N528" s="435"/>
      <c r="O528" s="81" t="str">
        <f>IFERROR(VLOOKUP(N528,DATA!$K$4:$L$51,2,FALSE),"")</f>
        <v/>
      </c>
      <c r="P528" s="81"/>
      <c r="Q528" s="152">
        <f t="shared" si="49"/>
        <v>1</v>
      </c>
    </row>
    <row r="529" spans="2:17">
      <c r="B529" s="670">
        <f t="shared" si="50"/>
        <v>524</v>
      </c>
      <c r="C529" s="433">
        <v>42822</v>
      </c>
      <c r="D529" s="598" t="s">
        <v>1747</v>
      </c>
      <c r="E529" s="572">
        <v>311100</v>
      </c>
      <c r="F529" s="672" t="str">
        <f>IFERROR(VLOOKUP(E529,STAT1!$C$4:$D$1000,2,FALSE),"")</f>
        <v xml:space="preserve">Бусад богино хугацаат өглөг </v>
      </c>
      <c r="G529" s="377">
        <v>2948037.52</v>
      </c>
      <c r="H529" s="377">
        <v>0</v>
      </c>
      <c r="I529" s="596">
        <f t="shared" si="48"/>
        <v>0</v>
      </c>
      <c r="J529" s="81">
        <f>+IF(E529=110102,I529/K529,0)</f>
        <v>0</v>
      </c>
      <c r="K529" s="81"/>
      <c r="L529" s="597">
        <v>2009</v>
      </c>
      <c r="M529" s="81" t="str">
        <f>+IFERROR(VLOOKUP(L529,DATA!$G$4:$H$2000,2,FALSE),"")</f>
        <v>ХААН БАНК</v>
      </c>
      <c r="N529" s="435"/>
      <c r="O529" s="81" t="str">
        <f>IFERROR(VLOOKUP(N529,DATA!$K$4:$L$51,2,FALSE),"")</f>
        <v/>
      </c>
      <c r="P529" s="81"/>
      <c r="Q529" s="152">
        <f t="shared" si="49"/>
        <v>0</v>
      </c>
    </row>
    <row r="530" spans="2:17">
      <c r="B530" s="670">
        <f t="shared" si="50"/>
        <v>525</v>
      </c>
      <c r="C530" s="433">
        <v>42822</v>
      </c>
      <c r="D530" s="598" t="s">
        <v>1747</v>
      </c>
      <c r="E530" s="572">
        <v>110100</v>
      </c>
      <c r="F530" s="672" t="str">
        <f>IFERROR(VLOOKUP(E530,STAT1!$C$4:$D$1000,2,FALSE),"")</f>
        <v>Хаан Банк 5024654020</v>
      </c>
      <c r="G530" s="377"/>
      <c r="H530" s="377">
        <v>2948037.52</v>
      </c>
      <c r="I530" s="596">
        <f t="shared" si="48"/>
        <v>-2948037.52</v>
      </c>
      <c r="J530" s="81"/>
      <c r="K530" s="81"/>
      <c r="L530" s="597">
        <v>2009</v>
      </c>
      <c r="M530" s="81" t="str">
        <f>+IFERROR(VLOOKUP(L530,DATA!$G$4:$H$2000,2,FALSE),"")</f>
        <v>ХААН БАНК</v>
      </c>
      <c r="N530" s="435">
        <v>91</v>
      </c>
      <c r="O530" s="81" t="str">
        <f>IFERROR(VLOOKUP(N530,DATA!$K$4:$L$51,2,FALSE),"")</f>
        <v>Зээл, өрийн үнэт цаасны төлбөрт төлсөн</v>
      </c>
      <c r="P530" s="81"/>
      <c r="Q530" s="152">
        <f t="shared" si="49"/>
        <v>1</v>
      </c>
    </row>
    <row r="531" spans="2:17">
      <c r="B531" s="670">
        <f t="shared" si="50"/>
        <v>526</v>
      </c>
      <c r="C531" s="433">
        <v>42822</v>
      </c>
      <c r="D531" s="598" t="s">
        <v>1747</v>
      </c>
      <c r="E531" s="572">
        <v>702500</v>
      </c>
      <c r="F531" s="672" t="str">
        <f>IFERROR(VLOOKUP(E531,STAT1!$C$4:$D$1000,2,FALSE),"")</f>
        <v>Зээлийн хүүгийн зардал</v>
      </c>
      <c r="G531" s="377">
        <v>1636962.48</v>
      </c>
      <c r="H531" s="377"/>
      <c r="I531" s="596">
        <f t="shared" si="48"/>
        <v>0</v>
      </c>
      <c r="J531" s="81"/>
      <c r="K531" s="81"/>
      <c r="L531" s="597">
        <v>2009</v>
      </c>
      <c r="M531" s="81" t="str">
        <f>+IFERROR(VLOOKUP(L531,DATA!$G$4:$H$2000,2,FALSE),"")</f>
        <v>ХААН БАНК</v>
      </c>
      <c r="N531" s="435"/>
      <c r="O531" s="81" t="str">
        <f>IFERROR(VLOOKUP(N531,DATA!$K$4:$L$51,2,FALSE),"")</f>
        <v/>
      </c>
      <c r="P531" s="81"/>
      <c r="Q531" s="152">
        <f t="shared" si="49"/>
        <v>0</v>
      </c>
    </row>
    <row r="532" spans="2:17">
      <c r="B532" s="670">
        <f t="shared" si="50"/>
        <v>527</v>
      </c>
      <c r="C532" s="433">
        <v>42822</v>
      </c>
      <c r="D532" s="598" t="s">
        <v>1747</v>
      </c>
      <c r="E532" s="572">
        <v>110100</v>
      </c>
      <c r="F532" s="672" t="str">
        <f>IFERROR(VLOOKUP(E532,STAT1!$C$4:$D$1000,2,FALSE),"")</f>
        <v>Хаан Банк 5024654020</v>
      </c>
      <c r="G532" s="377"/>
      <c r="H532" s="377">
        <v>1636962.48</v>
      </c>
      <c r="I532" s="596">
        <f t="shared" si="48"/>
        <v>-1636962.48</v>
      </c>
      <c r="J532" s="81">
        <f>+IF(E532=110102,I532/K532,0)</f>
        <v>0</v>
      </c>
      <c r="K532" s="81"/>
      <c r="L532" s="597">
        <v>2009</v>
      </c>
      <c r="M532" s="81" t="str">
        <f>+IFERROR(VLOOKUP(L532,DATA!$G$4:$H$2000,2,FALSE),"")</f>
        <v>ХААН БАНК</v>
      </c>
      <c r="N532" s="435">
        <v>56</v>
      </c>
      <c r="O532" s="81" t="str">
        <f>IFERROR(VLOOKUP(N532,DATA!$K$4:$L$51,2,FALSE),"")</f>
        <v>Хүүний төлбөрт төлсөн</v>
      </c>
      <c r="P532" s="81"/>
      <c r="Q532" s="152">
        <f t="shared" si="49"/>
        <v>1</v>
      </c>
    </row>
    <row r="533" spans="2:17">
      <c r="B533" s="670">
        <f t="shared" si="50"/>
        <v>528</v>
      </c>
      <c r="C533" s="433">
        <v>42822</v>
      </c>
      <c r="D533" s="598" t="s">
        <v>1746</v>
      </c>
      <c r="E533" s="572">
        <v>702500</v>
      </c>
      <c r="F533" s="672" t="str">
        <f>IFERROR(VLOOKUP(E533,STAT1!$C$4:$D$1000,2,FALSE),"")</f>
        <v>Зээлийн хүүгийн зардал</v>
      </c>
      <c r="G533" s="377">
        <v>415000</v>
      </c>
      <c r="H533" s="377">
        <v>0</v>
      </c>
      <c r="I533" s="596">
        <f t="shared" si="48"/>
        <v>0</v>
      </c>
      <c r="J533" s="81">
        <f>+IF(E533=110102,I533/K533,0)</f>
        <v>0</v>
      </c>
      <c r="K533" s="81"/>
      <c r="L533" s="597">
        <v>2009</v>
      </c>
      <c r="M533" s="81" t="str">
        <f>+IFERROR(VLOOKUP(L533,DATA!$G$4:$H$2000,2,FALSE),"")</f>
        <v>ХААН БАНК</v>
      </c>
      <c r="N533" s="435"/>
      <c r="O533" s="81" t="str">
        <f>IFERROR(VLOOKUP(N533,DATA!$K$4:$L$51,2,FALSE),"")</f>
        <v/>
      </c>
      <c r="P533" s="81"/>
      <c r="Q533" s="152">
        <f t="shared" si="49"/>
        <v>0</v>
      </c>
    </row>
    <row r="534" spans="2:17">
      <c r="B534" s="670">
        <f t="shared" si="50"/>
        <v>529</v>
      </c>
      <c r="C534" s="433">
        <v>42822</v>
      </c>
      <c r="D534" s="598" t="s">
        <v>1746</v>
      </c>
      <c r="E534" s="572">
        <v>110100</v>
      </c>
      <c r="F534" s="672" t="str">
        <f>IFERROR(VLOOKUP(E534,STAT1!$C$4:$D$1000,2,FALSE),"")</f>
        <v>Хаан Банк 5024654020</v>
      </c>
      <c r="G534" s="377"/>
      <c r="H534" s="377">
        <v>415000</v>
      </c>
      <c r="I534" s="596">
        <f t="shared" si="48"/>
        <v>-415000</v>
      </c>
      <c r="J534" s="81">
        <f>+IF(E534=110102,I534/K534,0)</f>
        <v>0</v>
      </c>
      <c r="K534" s="81"/>
      <c r="L534" s="597">
        <v>2009</v>
      </c>
      <c r="M534" s="81" t="str">
        <f>+IFERROR(VLOOKUP(L534,DATA!$G$4:$H$2000,2,FALSE),"")</f>
        <v>ХААН БАНК</v>
      </c>
      <c r="N534" s="435">
        <v>56</v>
      </c>
      <c r="O534" s="81" t="str">
        <f>IFERROR(VLOOKUP(N534,DATA!$K$4:$L$51,2,FALSE),"")</f>
        <v>Хүүний төлбөрт төлсөн</v>
      </c>
      <c r="P534" s="81"/>
      <c r="Q534" s="152">
        <f t="shared" si="49"/>
        <v>1</v>
      </c>
    </row>
    <row r="535" spans="2:17">
      <c r="B535" s="670">
        <f t="shared" si="50"/>
        <v>530</v>
      </c>
      <c r="C535" s="433">
        <v>42822</v>
      </c>
      <c r="D535" s="598" t="s">
        <v>1746</v>
      </c>
      <c r="E535" s="572">
        <v>310400</v>
      </c>
      <c r="F535" s="672" t="str">
        <f>IFERROR(VLOOKUP(E535,STAT1!$C$4:$D$1000,2,FALSE),"")</f>
        <v>Банкны богино хугацаат зээл MNT</v>
      </c>
      <c r="G535" s="377">
        <v>4565870</v>
      </c>
      <c r="H535" s="377">
        <v>0</v>
      </c>
      <c r="I535" s="596">
        <f t="shared" si="48"/>
        <v>0</v>
      </c>
      <c r="J535" s="81">
        <f>+IF(E535=110102,I535/K535,0)</f>
        <v>0</v>
      </c>
      <c r="K535" s="81"/>
      <c r="L535" s="597">
        <v>2009</v>
      </c>
      <c r="M535" s="81" t="str">
        <f>+IFERROR(VLOOKUP(L535,DATA!$G$4:$H$2000,2,FALSE),"")</f>
        <v>ХААН БАНК</v>
      </c>
      <c r="N535" s="435"/>
      <c r="O535" s="81" t="str">
        <f>IFERROR(VLOOKUP(N535,DATA!$K$4:$L$51,2,FALSE),"")</f>
        <v/>
      </c>
      <c r="P535" s="81"/>
      <c r="Q535" s="152">
        <f t="shared" si="49"/>
        <v>0</v>
      </c>
    </row>
    <row r="536" spans="2:17">
      <c r="B536" s="670">
        <f t="shared" si="50"/>
        <v>531</v>
      </c>
      <c r="C536" s="433">
        <v>42822</v>
      </c>
      <c r="D536" s="598" t="s">
        <v>1746</v>
      </c>
      <c r="E536" s="572">
        <v>110100</v>
      </c>
      <c r="F536" s="672" t="str">
        <f>IFERROR(VLOOKUP(E536,STAT1!$C$4:$D$1000,2,FALSE),"")</f>
        <v>Хаан Банк 5024654020</v>
      </c>
      <c r="G536" s="377"/>
      <c r="H536" s="377">
        <v>4565870</v>
      </c>
      <c r="I536" s="596">
        <f t="shared" si="48"/>
        <v>-4565870</v>
      </c>
      <c r="J536" s="81"/>
      <c r="K536" s="81"/>
      <c r="L536" s="597">
        <v>2009</v>
      </c>
      <c r="M536" s="81" t="str">
        <f>+IFERROR(VLOOKUP(L536,DATA!$G$4:$H$2000,2,FALSE),"")</f>
        <v>ХААН БАНК</v>
      </c>
      <c r="N536" s="435">
        <v>91</v>
      </c>
      <c r="O536" s="81" t="str">
        <f>IFERROR(VLOOKUP(N536,DATA!$K$4:$L$51,2,FALSE),"")</f>
        <v>Зээл, өрийн үнэт цаасны төлбөрт төлсөн</v>
      </c>
      <c r="P536" s="81"/>
      <c r="Q536" s="152">
        <f t="shared" si="49"/>
        <v>1</v>
      </c>
    </row>
    <row r="537" spans="2:17">
      <c r="B537" s="670">
        <f t="shared" si="50"/>
        <v>532</v>
      </c>
      <c r="C537" s="433">
        <v>42822</v>
      </c>
      <c r="D537" s="598" t="s">
        <v>1746</v>
      </c>
      <c r="E537" s="572">
        <v>702500</v>
      </c>
      <c r="F537" s="672" t="str">
        <f>IFERROR(VLOOKUP(E537,STAT1!$C$4:$D$1000,2,FALSE),"")</f>
        <v>Зээлийн хүүгийн зардал</v>
      </c>
      <c r="G537" s="377">
        <v>674130</v>
      </c>
      <c r="H537" s="377"/>
      <c r="I537" s="596">
        <f t="shared" si="48"/>
        <v>0</v>
      </c>
      <c r="J537" s="81">
        <f>+IF(E537=110102,I537/K537,0)</f>
        <v>0</v>
      </c>
      <c r="K537" s="81"/>
      <c r="L537" s="597">
        <v>2009</v>
      </c>
      <c r="M537" s="81" t="str">
        <f>+IFERROR(VLOOKUP(L537,DATA!$G$4:$H$2000,2,FALSE),"")</f>
        <v>ХААН БАНК</v>
      </c>
      <c r="N537" s="435"/>
      <c r="O537" s="81" t="str">
        <f>IFERROR(VLOOKUP(N537,DATA!$K$4:$L$51,2,FALSE),"")</f>
        <v/>
      </c>
      <c r="P537" s="81"/>
      <c r="Q537" s="152">
        <f t="shared" si="49"/>
        <v>0</v>
      </c>
    </row>
    <row r="538" spans="2:17">
      <c r="B538" s="670">
        <f t="shared" si="50"/>
        <v>533</v>
      </c>
      <c r="C538" s="433">
        <v>42822</v>
      </c>
      <c r="D538" s="598" t="s">
        <v>1746</v>
      </c>
      <c r="E538" s="572">
        <v>110100</v>
      </c>
      <c r="F538" s="672" t="str">
        <f>IFERROR(VLOOKUP(E538,STAT1!$C$4:$D$1000,2,FALSE),"")</f>
        <v>Хаан Банк 5024654020</v>
      </c>
      <c r="G538" s="377"/>
      <c r="H538" s="377">
        <v>674130</v>
      </c>
      <c r="I538" s="596">
        <f t="shared" si="48"/>
        <v>-674130</v>
      </c>
      <c r="J538" s="81">
        <f>+IF(E538=110102,I538/K538,0)</f>
        <v>0</v>
      </c>
      <c r="K538" s="81"/>
      <c r="L538" s="597">
        <v>2009</v>
      </c>
      <c r="M538" s="81" t="str">
        <f>+IFERROR(VLOOKUP(L538,DATA!$G$4:$H$2000,2,FALSE),"")</f>
        <v>ХААН БАНК</v>
      </c>
      <c r="N538" s="435">
        <v>56</v>
      </c>
      <c r="O538" s="81" t="str">
        <f>IFERROR(VLOOKUP(N538,DATA!$K$4:$L$51,2,FALSE),"")</f>
        <v>Хүүний төлбөрт төлсөн</v>
      </c>
      <c r="P538" s="81"/>
      <c r="Q538" s="152">
        <f t="shared" si="49"/>
        <v>1</v>
      </c>
    </row>
    <row r="539" spans="2:17">
      <c r="B539" s="670">
        <f t="shared" si="50"/>
        <v>534</v>
      </c>
      <c r="C539" s="433">
        <v>42823</v>
      </c>
      <c r="D539" s="377" t="s">
        <v>2681</v>
      </c>
      <c r="E539" s="673">
        <v>150101</v>
      </c>
      <c r="F539" s="672" t="str">
        <f>IFERROR(VLOOKUP(E539,STAT1!$C$4:$D$1000,2,FALSE),"")</f>
        <v>Бараа бэлэн бүтээгдэхүүн БОЛОВСРУУЛАХ ЦЕХ /нарс/</v>
      </c>
      <c r="G539" s="377"/>
      <c r="H539" s="377">
        <v>193314.27547883301</v>
      </c>
      <c r="I539" s="596">
        <f t="shared" si="48"/>
        <v>0</v>
      </c>
      <c r="J539" s="81">
        <f>+IF(E539=110102,I539/K539,0)</f>
        <v>0</v>
      </c>
      <c r="K539" s="81"/>
      <c r="L539" s="597">
        <v>3022</v>
      </c>
      <c r="M539" s="81" t="str">
        <f>+IFERROR(VLOOKUP(L539,DATA!$G$4:$H$2000,2,FALSE),"")</f>
        <v xml:space="preserve">ИННОМН ХХК </v>
      </c>
      <c r="N539" s="435"/>
      <c r="O539" s="81" t="str">
        <f>IFERROR(VLOOKUP(N539,DATA!$K$4:$L$51,2,FALSE),"")</f>
        <v/>
      </c>
      <c r="P539" s="81"/>
      <c r="Q539" s="152">
        <f t="shared" si="49"/>
        <v>0</v>
      </c>
    </row>
    <row r="540" spans="2:17">
      <c r="B540" s="670">
        <f t="shared" si="50"/>
        <v>535</v>
      </c>
      <c r="C540" s="433">
        <v>42823</v>
      </c>
      <c r="D540" s="377"/>
      <c r="E540" s="674">
        <v>610100</v>
      </c>
      <c r="F540" s="672" t="str">
        <f>IFERROR(VLOOKUP(E540,STAT1!$C$4:$D$1000,2,FALSE),"")</f>
        <v>Борлуулсан барааны өртөг</v>
      </c>
      <c r="G540" s="377">
        <v>193314.27547883277</v>
      </c>
      <c r="H540" s="377"/>
      <c r="I540" s="596">
        <f t="shared" si="48"/>
        <v>0</v>
      </c>
      <c r="J540" s="81"/>
      <c r="K540" s="81"/>
      <c r="L540" s="597">
        <v>3022</v>
      </c>
      <c r="M540" s="81" t="str">
        <f>+IFERROR(VLOOKUP(L540,DATA!$G$4:$H$2000,2,FALSE),"")</f>
        <v xml:space="preserve">ИННОМН ХХК </v>
      </c>
      <c r="N540" s="435"/>
      <c r="O540" s="81"/>
      <c r="P540" s="81"/>
      <c r="Q540" s="152">
        <f t="shared" si="49"/>
        <v>0</v>
      </c>
    </row>
    <row r="541" spans="2:17">
      <c r="B541" s="670">
        <f t="shared" si="50"/>
        <v>536</v>
      </c>
      <c r="C541" s="433">
        <v>42823</v>
      </c>
      <c r="D541" s="377" t="s">
        <v>587</v>
      </c>
      <c r="E541" s="674">
        <v>310500</v>
      </c>
      <c r="F541" s="672" t="str">
        <f>IFERROR(VLOOKUP(E541,STAT1!$C$4:$D$1000,2,FALSE),"")</f>
        <v>НӨАТ өглөг</v>
      </c>
      <c r="G541" s="377"/>
      <c r="H541" s="377">
        <v>25500</v>
      </c>
      <c r="I541" s="596">
        <f t="shared" si="48"/>
        <v>0</v>
      </c>
      <c r="J541" s="81">
        <f t="shared" ref="J541:J549" si="51">+IF(E541=110102,I541/K541,0)</f>
        <v>0</v>
      </c>
      <c r="K541" s="81"/>
      <c r="L541" s="597">
        <v>3022</v>
      </c>
      <c r="M541" s="81" t="str">
        <f>+IFERROR(VLOOKUP(L541,DATA!$G$4:$H$2000,2,FALSE),"")</f>
        <v xml:space="preserve">ИННОМН ХХК </v>
      </c>
      <c r="N541" s="435"/>
      <c r="O541" s="81" t="str">
        <f>IFERROR(VLOOKUP(N541,DATA!$K$4:$L$51,2,FALSE),"")</f>
        <v/>
      </c>
      <c r="P541" s="81"/>
      <c r="Q541" s="152">
        <f t="shared" si="49"/>
        <v>0</v>
      </c>
    </row>
    <row r="542" spans="2:17">
      <c r="B542" s="670">
        <f t="shared" si="50"/>
        <v>537</v>
      </c>
      <c r="C542" s="433">
        <v>42823</v>
      </c>
      <c r="D542" s="377" t="s">
        <v>587</v>
      </c>
      <c r="E542" s="674">
        <v>510000</v>
      </c>
      <c r="F542" s="672" t="str">
        <f>IFERROR(VLOOKUP(E542,STAT1!$C$4:$D$1000,2,FALSE),"")</f>
        <v>Үндсэн үйл ажиллагааны борлуулалт</v>
      </c>
      <c r="G542" s="377"/>
      <c r="H542" s="377">
        <v>255000</v>
      </c>
      <c r="I542" s="596">
        <f t="shared" si="48"/>
        <v>0</v>
      </c>
      <c r="J542" s="81">
        <f t="shared" si="51"/>
        <v>0</v>
      </c>
      <c r="K542" s="81"/>
      <c r="L542" s="597">
        <v>3022</v>
      </c>
      <c r="M542" s="81" t="str">
        <f>+IFERROR(VLOOKUP(L542,DATA!$G$4:$H$2000,2,FALSE),"")</f>
        <v xml:space="preserve">ИННОМН ХХК </v>
      </c>
      <c r="N542" s="435"/>
      <c r="O542" s="81" t="str">
        <f>IFERROR(VLOOKUP(N542,DATA!$K$4:$L$51,2,FALSE),"")</f>
        <v/>
      </c>
      <c r="P542" s="81"/>
      <c r="Q542" s="152">
        <f t="shared" si="49"/>
        <v>0</v>
      </c>
    </row>
    <row r="543" spans="2:17">
      <c r="B543" s="670">
        <f t="shared" si="50"/>
        <v>538</v>
      </c>
      <c r="C543" s="433">
        <v>42823</v>
      </c>
      <c r="D543" s="377" t="s">
        <v>587</v>
      </c>
      <c r="E543" s="674">
        <v>320100</v>
      </c>
      <c r="F543" s="672" t="str">
        <f>IFERROR(VLOOKUP(E543,STAT1!$C$4:$D$1000,2,FALSE),"")</f>
        <v>Урьдчилж орсон орлого MNT</v>
      </c>
      <c r="G543" s="377">
        <v>280500</v>
      </c>
      <c r="H543" s="377"/>
      <c r="I543" s="596">
        <f t="shared" si="48"/>
        <v>0</v>
      </c>
      <c r="J543" s="81">
        <f t="shared" si="51"/>
        <v>0</v>
      </c>
      <c r="K543" s="81"/>
      <c r="L543" s="597">
        <v>3022</v>
      </c>
      <c r="M543" s="81" t="str">
        <f>+IFERROR(VLOOKUP(L543,DATA!$G$4:$H$2000,2,FALSE),"")</f>
        <v xml:space="preserve">ИННОМН ХХК </v>
      </c>
      <c r="N543" s="435"/>
      <c r="O543" s="81" t="str">
        <f>IFERROR(VLOOKUP(N543,DATA!$K$4:$L$51,2,FALSE),"")</f>
        <v/>
      </c>
      <c r="P543" s="81"/>
      <c r="Q543" s="152">
        <f t="shared" si="49"/>
        <v>0</v>
      </c>
    </row>
    <row r="544" spans="2:17">
      <c r="B544" s="670">
        <f t="shared" si="50"/>
        <v>539</v>
      </c>
      <c r="C544" s="433">
        <v>42823</v>
      </c>
      <c r="D544" s="377" t="s">
        <v>1741</v>
      </c>
      <c r="E544" s="572">
        <v>320100</v>
      </c>
      <c r="F544" s="672" t="str">
        <f>IFERROR(VLOOKUP(E544,STAT1!$C$4:$D$1000,2,FALSE),"")</f>
        <v>Урьдчилж орсон орлого MNT</v>
      </c>
      <c r="G544" s="377"/>
      <c r="H544" s="377">
        <v>280500</v>
      </c>
      <c r="I544" s="596">
        <f t="shared" si="48"/>
        <v>0</v>
      </c>
      <c r="J544" s="81">
        <f t="shared" si="51"/>
        <v>0</v>
      </c>
      <c r="K544" s="81"/>
      <c r="L544" s="597">
        <v>3022</v>
      </c>
      <c r="M544" s="81" t="str">
        <f>+IFERROR(VLOOKUP(L544,DATA!$G$4:$H$2000,2,FALSE),"")</f>
        <v xml:space="preserve">ИННОМН ХХК </v>
      </c>
      <c r="N544" s="435"/>
      <c r="O544" s="81" t="str">
        <f>IFERROR(VLOOKUP(N544,DATA!$K$4:$L$51,2,FALSE),"")</f>
        <v/>
      </c>
      <c r="P544" s="81"/>
      <c r="Q544" s="152">
        <f t="shared" si="49"/>
        <v>0</v>
      </c>
    </row>
    <row r="545" spans="2:17">
      <c r="B545" s="670">
        <f t="shared" si="50"/>
        <v>540</v>
      </c>
      <c r="C545" s="433">
        <v>42823</v>
      </c>
      <c r="D545" s="377" t="s">
        <v>1741</v>
      </c>
      <c r="E545" s="572">
        <v>100100</v>
      </c>
      <c r="F545" s="672" t="str">
        <f>IFERROR(VLOOKUP(E545,STAT1!$C$4:$D$1000,2,FALSE),"")</f>
        <v>Касс мөнгө MNT</v>
      </c>
      <c r="G545" s="377">
        <v>280500</v>
      </c>
      <c r="H545" s="377">
        <v>0</v>
      </c>
      <c r="I545" s="596">
        <f t="shared" si="48"/>
        <v>280500</v>
      </c>
      <c r="J545" s="81">
        <f t="shared" si="51"/>
        <v>0</v>
      </c>
      <c r="K545" s="81"/>
      <c r="L545" s="597">
        <v>3022</v>
      </c>
      <c r="M545" s="81" t="str">
        <f>+IFERROR(VLOOKUP(L545,DATA!$G$4:$H$2000,2,FALSE),"")</f>
        <v xml:space="preserve">ИННОМН ХХК </v>
      </c>
      <c r="N545" s="435">
        <v>41</v>
      </c>
      <c r="O545" s="81" t="str">
        <f>IFERROR(VLOOKUP(N545,DATA!$K$4:$L$51,2,FALSE),"")</f>
        <v>Бараа борлуулсан, үйлчилгээ үзүүлсэний орлого</v>
      </c>
      <c r="P545" s="81"/>
      <c r="Q545" s="152">
        <f t="shared" si="49"/>
        <v>1</v>
      </c>
    </row>
    <row r="546" spans="2:17">
      <c r="B546" s="670">
        <f t="shared" si="50"/>
        <v>541</v>
      </c>
      <c r="C546" s="433">
        <v>42825</v>
      </c>
      <c r="D546" s="377" t="s">
        <v>1701</v>
      </c>
      <c r="E546" s="572">
        <v>100100</v>
      </c>
      <c r="F546" s="672" t="str">
        <f>IFERROR(VLOOKUP(E546,STAT1!$C$4:$D$1000,2,FALSE),"")</f>
        <v>Касс мөнгө MNT</v>
      </c>
      <c r="G546" s="377"/>
      <c r="H546" s="377">
        <v>1500000</v>
      </c>
      <c r="I546" s="596">
        <f t="shared" si="48"/>
        <v>-1500000</v>
      </c>
      <c r="J546" s="81">
        <f t="shared" si="51"/>
        <v>0</v>
      </c>
      <c r="K546" s="81"/>
      <c r="L546" s="597">
        <v>2012</v>
      </c>
      <c r="M546" s="81" t="str">
        <f>+IFERROR(VLOOKUP(L546,DATA!$G$4:$H$2000,2,FALSE),"")</f>
        <v>ИХ ТУГЧ ХХК</v>
      </c>
      <c r="N546" s="435">
        <v>59</v>
      </c>
      <c r="O546" s="81" t="str">
        <f>IFERROR(VLOOKUP(N546,DATA!$K$4:$L$51,2,FALSE),"")</f>
        <v>Бусад мөнгөн зарлага</v>
      </c>
      <c r="P546" s="81"/>
      <c r="Q546" s="152">
        <f t="shared" si="49"/>
        <v>1</v>
      </c>
    </row>
    <row r="547" spans="2:17">
      <c r="B547" s="670">
        <f t="shared" si="50"/>
        <v>542</v>
      </c>
      <c r="C547" s="433">
        <v>42825</v>
      </c>
      <c r="D547" s="377" t="s">
        <v>1701</v>
      </c>
      <c r="E547" s="572">
        <v>705800</v>
      </c>
      <c r="F547" s="672" t="str">
        <f>IFERROR(VLOOKUP(E547,STAT1!$C$4:$D$1000,2,FALSE),"")</f>
        <v>Харуул хамгаалалт</v>
      </c>
      <c r="G547" s="377">
        <v>1500000</v>
      </c>
      <c r="H547" s="377">
        <v>0</v>
      </c>
      <c r="I547" s="596">
        <f t="shared" si="48"/>
        <v>0</v>
      </c>
      <c r="J547" s="81">
        <f t="shared" si="51"/>
        <v>0</v>
      </c>
      <c r="K547" s="81"/>
      <c r="L547" s="597">
        <v>2012</v>
      </c>
      <c r="M547" s="81" t="str">
        <f>+IFERROR(VLOOKUP(L547,DATA!$G$4:$H$2000,2,FALSE),"")</f>
        <v>ИХ ТУГЧ ХХК</v>
      </c>
      <c r="N547" s="435"/>
      <c r="O547" s="81" t="str">
        <f>IFERROR(VLOOKUP(N547,DATA!$K$4:$L$51,2,FALSE),"")</f>
        <v/>
      </c>
      <c r="P547" s="81"/>
      <c r="Q547" s="152">
        <f t="shared" si="49"/>
        <v>0</v>
      </c>
    </row>
    <row r="548" spans="2:17">
      <c r="B548" s="670">
        <f t="shared" si="50"/>
        <v>543</v>
      </c>
      <c r="C548" s="433">
        <v>42825</v>
      </c>
      <c r="D548" s="377" t="s">
        <v>1355</v>
      </c>
      <c r="E548" s="572">
        <v>100100</v>
      </c>
      <c r="F548" s="672" t="str">
        <f>IFERROR(VLOOKUP(E548,STAT1!$C$4:$D$1000,2,FALSE),"")</f>
        <v>Касс мөнгө MNT</v>
      </c>
      <c r="G548" s="377"/>
      <c r="H548" s="377">
        <v>10000</v>
      </c>
      <c r="I548" s="596">
        <f t="shared" si="48"/>
        <v>-10000</v>
      </c>
      <c r="J548" s="81">
        <f t="shared" si="51"/>
        <v>0</v>
      </c>
      <c r="K548" s="81"/>
      <c r="L548" s="597">
        <v>1004</v>
      </c>
      <c r="M548" s="81" t="str">
        <f>+IFERROR(VLOOKUP(L548,DATA!$G$4:$H$2000,2,FALSE),"")</f>
        <v xml:space="preserve">Түмэндэлгэр </v>
      </c>
      <c r="N548" s="435">
        <v>55</v>
      </c>
      <c r="O548" s="81" t="str">
        <f>IFERROR(VLOOKUP(N548,DATA!$K$4:$L$51,2,FALSE),"")</f>
        <v>Түлш, шатахуун, тээврийн хөлс, сэлбэг хэрэгсэлд төлсөн</v>
      </c>
      <c r="P548" s="81"/>
      <c r="Q548" s="152">
        <f t="shared" si="49"/>
        <v>1</v>
      </c>
    </row>
    <row r="549" spans="2:17">
      <c r="B549" s="670">
        <f t="shared" si="50"/>
        <v>544</v>
      </c>
      <c r="C549" s="433">
        <v>42825</v>
      </c>
      <c r="D549" s="377" t="s">
        <v>1355</v>
      </c>
      <c r="E549" s="572">
        <v>702000</v>
      </c>
      <c r="F549" s="672" t="str">
        <f>IFERROR(VLOOKUP(E549,STAT1!$C$4:$D$1000,2,FALSE),"")</f>
        <v>Түлш, шатахуун</v>
      </c>
      <c r="G549" s="377">
        <v>10000</v>
      </c>
      <c r="H549" s="377"/>
      <c r="I549" s="596">
        <f t="shared" si="48"/>
        <v>0</v>
      </c>
      <c r="J549" s="81">
        <f t="shared" si="51"/>
        <v>0</v>
      </c>
      <c r="K549" s="81"/>
      <c r="L549" s="597">
        <v>1004</v>
      </c>
      <c r="M549" s="81" t="str">
        <f>+IFERROR(VLOOKUP(L549,DATA!$G$4:$H$2000,2,FALSE),"")</f>
        <v xml:space="preserve">Түмэндэлгэр </v>
      </c>
      <c r="N549" s="435"/>
      <c r="O549" s="81" t="str">
        <f>IFERROR(VLOOKUP(N549,DATA!$K$4:$L$51,2,FALSE),"")</f>
        <v/>
      </c>
      <c r="P549" s="81"/>
      <c r="Q549" s="152">
        <f t="shared" si="49"/>
        <v>0</v>
      </c>
    </row>
    <row r="550" spans="2:17">
      <c r="B550" s="670">
        <f t="shared" si="50"/>
        <v>545</v>
      </c>
      <c r="C550" s="433">
        <v>42825</v>
      </c>
      <c r="D550" s="377" t="s">
        <v>1716</v>
      </c>
      <c r="E550" s="572">
        <v>100100</v>
      </c>
      <c r="F550" s="672" t="str">
        <f>IFERROR(VLOOKUP(E550,STAT1!$C$4:$D$1000,2,FALSE),"")</f>
        <v>Касс мөнгө MNT</v>
      </c>
      <c r="G550" s="377"/>
      <c r="H550" s="377">
        <v>40200</v>
      </c>
      <c r="I550" s="596">
        <f t="shared" si="48"/>
        <v>-40200</v>
      </c>
      <c r="J550" s="81"/>
      <c r="K550" s="81"/>
      <c r="L550" s="597">
        <v>1004</v>
      </c>
      <c r="M550" s="81" t="str">
        <f>+IFERROR(VLOOKUP(L550,DATA!$G$4:$H$2000,2,FALSE),"")</f>
        <v xml:space="preserve">Түмэндэлгэр </v>
      </c>
      <c r="N550" s="435">
        <v>53</v>
      </c>
      <c r="O550" s="81" t="str">
        <f>IFERROR(VLOOKUP(N550,DATA!$K$4:$L$51,2,FALSE),"")</f>
        <v>Бараа материал худалдан авахад төлсөн</v>
      </c>
      <c r="P550" s="81"/>
      <c r="Q550" s="152">
        <f t="shared" si="49"/>
        <v>1</v>
      </c>
    </row>
    <row r="551" spans="2:17">
      <c r="B551" s="670">
        <f t="shared" si="50"/>
        <v>546</v>
      </c>
      <c r="C551" s="433">
        <v>42825</v>
      </c>
      <c r="D551" s="377" t="s">
        <v>1716</v>
      </c>
      <c r="E551" s="572">
        <v>120600</v>
      </c>
      <c r="F551" s="672" t="str">
        <f>IFERROR(VLOOKUP(E551,STAT1!$C$4:$D$1000,2,FALSE),"")</f>
        <v>НӨАТ авлага</v>
      </c>
      <c r="G551" s="377">
        <v>3818.18</v>
      </c>
      <c r="H551" s="377"/>
      <c r="I551" s="596">
        <f t="shared" si="48"/>
        <v>0</v>
      </c>
      <c r="J551" s="81">
        <f>+IF(E551=110102,I551/K551,0)</f>
        <v>0</v>
      </c>
      <c r="K551" s="81"/>
      <c r="L551" s="597">
        <v>1004</v>
      </c>
      <c r="M551" s="81" t="str">
        <f>+IFERROR(VLOOKUP(L551,DATA!$G$4:$H$2000,2,FALSE),"")</f>
        <v xml:space="preserve">Түмэндэлгэр </v>
      </c>
      <c r="N551" s="435"/>
      <c r="O551" s="81" t="str">
        <f>IFERROR(VLOOKUP(N551,DATA!$K$4:$L$51,2,FALSE),"")</f>
        <v/>
      </c>
      <c r="P551" s="81"/>
      <c r="Q551" s="152">
        <f t="shared" si="49"/>
        <v>0</v>
      </c>
    </row>
    <row r="552" spans="2:17">
      <c r="B552" s="670">
        <f t="shared" si="50"/>
        <v>547</v>
      </c>
      <c r="C552" s="433">
        <v>42825</v>
      </c>
      <c r="D552" s="377" t="s">
        <v>1716</v>
      </c>
      <c r="E552" s="572">
        <v>701500</v>
      </c>
      <c r="F552" s="672" t="str">
        <f>IFERROR(VLOOKUP(E552,STAT1!$C$4:$D$1000,2,FALSE),"")</f>
        <v>Урсгал засварын зардал</v>
      </c>
      <c r="G552" s="377">
        <v>36381.82</v>
      </c>
      <c r="H552" s="377">
        <v>0</v>
      </c>
      <c r="I552" s="596">
        <f t="shared" si="48"/>
        <v>0</v>
      </c>
      <c r="J552" s="81">
        <f>+IF(E552=110102,I552/K552,0)</f>
        <v>0</v>
      </c>
      <c r="K552" s="81"/>
      <c r="L552" s="597">
        <v>1004</v>
      </c>
      <c r="M552" s="81" t="str">
        <f>+IFERROR(VLOOKUP(L552,DATA!$G$4:$H$2000,2,FALSE),"")</f>
        <v xml:space="preserve">Түмэндэлгэр </v>
      </c>
      <c r="N552" s="435"/>
      <c r="O552" s="81" t="str">
        <f>IFERROR(VLOOKUP(N552,DATA!$K$4:$L$51,2,FALSE),"")</f>
        <v/>
      </c>
      <c r="P552" s="81"/>
      <c r="Q552" s="152">
        <f t="shared" si="49"/>
        <v>0</v>
      </c>
    </row>
    <row r="553" spans="2:17">
      <c r="B553" s="670">
        <f t="shared" si="50"/>
        <v>548</v>
      </c>
      <c r="C553" s="433">
        <v>42825</v>
      </c>
      <c r="D553" s="377" t="s">
        <v>1355</v>
      </c>
      <c r="E553" s="572">
        <v>100100</v>
      </c>
      <c r="F553" s="672" t="str">
        <f>IFERROR(VLOOKUP(E553,STAT1!$C$4:$D$1000,2,FALSE),"")</f>
        <v>Касс мөнгө MNT</v>
      </c>
      <c r="G553" s="377"/>
      <c r="H553" s="377">
        <v>78000</v>
      </c>
      <c r="I553" s="596">
        <f t="shared" si="48"/>
        <v>-78000</v>
      </c>
      <c r="J553" s="81">
        <f>+IF(E553=110102,I553/K553,0)</f>
        <v>0</v>
      </c>
      <c r="K553" s="81"/>
      <c r="L553" s="597">
        <v>1005</v>
      </c>
      <c r="M553" s="81" t="str">
        <f>+IFERROR(VLOOKUP(L553,DATA!$G$4:$H$2000,2,FALSE),"")</f>
        <v>Золжаргал</v>
      </c>
      <c r="N553" s="435">
        <v>55</v>
      </c>
      <c r="O553" s="81" t="str">
        <f>IFERROR(VLOOKUP(N553,DATA!$K$4:$L$51,2,FALSE),"")</f>
        <v>Түлш, шатахуун, тээврийн хөлс, сэлбэг хэрэгсэлд төлсөн</v>
      </c>
      <c r="P553" s="81"/>
      <c r="Q553" s="152">
        <f t="shared" si="49"/>
        <v>1</v>
      </c>
    </row>
    <row r="554" spans="2:17">
      <c r="B554" s="670">
        <f t="shared" si="50"/>
        <v>549</v>
      </c>
      <c r="C554" s="433">
        <v>42825</v>
      </c>
      <c r="D554" s="377" t="s">
        <v>1355</v>
      </c>
      <c r="E554" s="572">
        <v>120600</v>
      </c>
      <c r="F554" s="672" t="str">
        <f>IFERROR(VLOOKUP(E554,STAT1!$C$4:$D$1000,2,FALSE),"")</f>
        <v>НӨАТ авлага</v>
      </c>
      <c r="G554" s="377">
        <v>19000</v>
      </c>
      <c r="H554" s="377"/>
      <c r="I554" s="596">
        <f t="shared" si="48"/>
        <v>0</v>
      </c>
      <c r="J554" s="81"/>
      <c r="K554" s="81"/>
      <c r="L554" s="597">
        <v>1005</v>
      </c>
      <c r="M554" s="81" t="str">
        <f>+IFERROR(VLOOKUP(L554,DATA!$G$4:$H$2000,2,FALSE),"")</f>
        <v>Золжаргал</v>
      </c>
      <c r="N554" s="435"/>
      <c r="O554" s="81" t="str">
        <f>IFERROR(VLOOKUP(N554,DATA!$K$4:$L$51,2,FALSE),"")</f>
        <v/>
      </c>
      <c r="P554" s="81"/>
      <c r="Q554" s="152">
        <f t="shared" si="49"/>
        <v>0</v>
      </c>
    </row>
    <row r="555" spans="2:17">
      <c r="B555" s="670">
        <f t="shared" si="50"/>
        <v>550</v>
      </c>
      <c r="C555" s="433">
        <v>42825</v>
      </c>
      <c r="D555" s="377" t="s">
        <v>1355</v>
      </c>
      <c r="E555" s="572">
        <v>702000</v>
      </c>
      <c r="F555" s="672" t="str">
        <f>IFERROR(VLOOKUP(E555,STAT1!$C$4:$D$1000,2,FALSE),"")</f>
        <v>Түлш, шатахуун</v>
      </c>
      <c r="G555" s="377">
        <v>59000</v>
      </c>
      <c r="H555" s="377">
        <v>0</v>
      </c>
      <c r="I555" s="596">
        <f t="shared" si="48"/>
        <v>0</v>
      </c>
      <c r="J555" s="81">
        <f t="shared" ref="J555:J600" si="52">+IF(E555=110102,I555/K555,0)</f>
        <v>0</v>
      </c>
      <c r="K555" s="81"/>
      <c r="L555" s="597">
        <v>1005</v>
      </c>
      <c r="M555" s="81" t="str">
        <f>+IFERROR(VLOOKUP(L555,DATA!$G$4:$H$2000,2,FALSE),"")</f>
        <v>Золжаргал</v>
      </c>
      <c r="N555" s="435"/>
      <c r="O555" s="81" t="str">
        <f>IFERROR(VLOOKUP(N555,DATA!$K$4:$L$51,2,FALSE),"")</f>
        <v/>
      </c>
      <c r="P555" s="81"/>
      <c r="Q555" s="152">
        <f t="shared" si="49"/>
        <v>0</v>
      </c>
    </row>
    <row r="556" spans="2:17">
      <c r="B556" s="670">
        <f t="shared" si="50"/>
        <v>551</v>
      </c>
      <c r="C556" s="433">
        <v>42825</v>
      </c>
      <c r="D556" s="377" t="s">
        <v>1717</v>
      </c>
      <c r="E556" s="572">
        <v>100100</v>
      </c>
      <c r="F556" s="672" t="str">
        <f>IFERROR(VLOOKUP(E556,STAT1!$C$4:$D$1000,2,FALSE),"")</f>
        <v>Касс мөнгө MNT</v>
      </c>
      <c r="G556" s="377"/>
      <c r="H556" s="377">
        <v>8504343.4545454551</v>
      </c>
      <c r="I556" s="596">
        <f t="shared" si="48"/>
        <v>-8504343.4545454551</v>
      </c>
      <c r="J556" s="81">
        <f t="shared" si="52"/>
        <v>0</v>
      </c>
      <c r="K556" s="81"/>
      <c r="L556" s="597">
        <v>1004</v>
      </c>
      <c r="M556" s="81" t="str">
        <f>+IFERROR(VLOOKUP(L556,DATA!$G$4:$H$2000,2,FALSE),"")</f>
        <v xml:space="preserve">Түмэндэлгэр </v>
      </c>
      <c r="N556" s="435">
        <v>51</v>
      </c>
      <c r="O556" s="81" t="str">
        <f>IFERROR(VLOOKUP(N556,DATA!$K$4:$L$51,2,FALSE),"")</f>
        <v>Ажиллагчдад төлсөн</v>
      </c>
      <c r="P556" s="81"/>
      <c r="Q556" s="152">
        <f t="shared" si="49"/>
        <v>1</v>
      </c>
    </row>
    <row r="557" spans="2:17">
      <c r="B557" s="670">
        <f t="shared" si="50"/>
        <v>552</v>
      </c>
      <c r="C557" s="433">
        <v>42825</v>
      </c>
      <c r="D557" s="377" t="s">
        <v>1717</v>
      </c>
      <c r="E557" s="572">
        <v>311000</v>
      </c>
      <c r="F557" s="672" t="str">
        <f>IFERROR(VLOOKUP(E557,STAT1!$C$4:$D$1000,2,FALSE),"")</f>
        <v>Цалингийн өглөг</v>
      </c>
      <c r="G557" s="377">
        <v>8504343.4545454551</v>
      </c>
      <c r="H557" s="377">
        <v>0</v>
      </c>
      <c r="I557" s="596">
        <f t="shared" si="48"/>
        <v>0</v>
      </c>
      <c r="J557" s="81">
        <f t="shared" si="52"/>
        <v>0</v>
      </c>
      <c r="K557" s="81"/>
      <c r="L557" s="597">
        <v>1004</v>
      </c>
      <c r="M557" s="81" t="str">
        <f>+IFERROR(VLOOKUP(L557,DATA!$G$4:$H$2000,2,FALSE),"")</f>
        <v xml:space="preserve">Түмэндэлгэр </v>
      </c>
      <c r="N557" s="435"/>
      <c r="O557" s="81" t="str">
        <f>IFERROR(VLOOKUP(N557,DATA!$K$4:$L$51,2,FALSE),"")</f>
        <v/>
      </c>
      <c r="P557" s="81"/>
      <c r="Q557" s="152">
        <f t="shared" si="49"/>
        <v>0</v>
      </c>
    </row>
    <row r="558" spans="2:17">
      <c r="B558" s="670">
        <f t="shared" si="50"/>
        <v>553</v>
      </c>
      <c r="C558" s="433">
        <v>42825</v>
      </c>
      <c r="D558" s="377" t="s">
        <v>1699</v>
      </c>
      <c r="E558" s="572">
        <v>100100</v>
      </c>
      <c r="F558" s="672" t="str">
        <f>IFERROR(VLOOKUP(E558,STAT1!$C$4:$D$1000,2,FALSE),"")</f>
        <v>Касс мөнгө MNT</v>
      </c>
      <c r="G558" s="377"/>
      <c r="H558" s="377">
        <v>1700000</v>
      </c>
      <c r="I558" s="596">
        <f t="shared" si="48"/>
        <v>-1700000</v>
      </c>
      <c r="J558" s="81">
        <f t="shared" si="52"/>
        <v>0</v>
      </c>
      <c r="K558" s="81"/>
      <c r="L558" s="597">
        <v>1005</v>
      </c>
      <c r="M558" s="81" t="str">
        <f>+IFERROR(VLOOKUP(L558,DATA!$G$4:$H$2000,2,FALSE),"")</f>
        <v>Золжаргал</v>
      </c>
      <c r="N558" s="435"/>
      <c r="O558" s="81" t="str">
        <f>IFERROR(VLOOKUP(N558,DATA!$K$4:$L$51,2,FALSE),"")</f>
        <v/>
      </c>
      <c r="P558" s="81"/>
      <c r="Q558" s="152">
        <f t="shared" si="49"/>
        <v>1</v>
      </c>
    </row>
    <row r="559" spans="2:17">
      <c r="B559" s="670">
        <f t="shared" si="50"/>
        <v>554</v>
      </c>
      <c r="C559" s="433">
        <v>42825</v>
      </c>
      <c r="D559" s="377" t="s">
        <v>1699</v>
      </c>
      <c r="E559" s="572">
        <v>110100</v>
      </c>
      <c r="F559" s="672" t="str">
        <f>IFERROR(VLOOKUP(E559,STAT1!$C$4:$D$1000,2,FALSE),"")</f>
        <v>Хаан Банк 5024654020</v>
      </c>
      <c r="G559" s="377">
        <v>1700000</v>
      </c>
      <c r="H559" s="377">
        <v>0</v>
      </c>
      <c r="I559" s="596">
        <f t="shared" si="48"/>
        <v>1700000</v>
      </c>
      <c r="J559" s="81">
        <f t="shared" si="52"/>
        <v>0</v>
      </c>
      <c r="K559" s="81"/>
      <c r="L559" s="597">
        <v>1005</v>
      </c>
      <c r="M559" s="81" t="str">
        <f>+IFERROR(VLOOKUP(L559,DATA!$G$4:$H$2000,2,FALSE),"")</f>
        <v>Золжаргал</v>
      </c>
      <c r="N559" s="435"/>
      <c r="O559" s="81" t="str">
        <f>IFERROR(VLOOKUP(N559,DATA!$K$4:$L$51,2,FALSE),"")</f>
        <v/>
      </c>
      <c r="P559" s="81"/>
      <c r="Q559" s="152">
        <f t="shared" si="49"/>
        <v>1</v>
      </c>
    </row>
    <row r="560" spans="2:17">
      <c r="B560" s="670">
        <f t="shared" si="50"/>
        <v>555</v>
      </c>
      <c r="C560" s="433">
        <v>42825</v>
      </c>
      <c r="D560" s="377" t="s">
        <v>1741</v>
      </c>
      <c r="E560" s="572">
        <v>320100</v>
      </c>
      <c r="F560" s="672" t="str">
        <f>IFERROR(VLOOKUP(E560,STAT1!$C$4:$D$1000,2,FALSE),"")</f>
        <v>Урьдчилж орсон орлого MNT</v>
      </c>
      <c r="G560" s="377"/>
      <c r="H560" s="377">
        <v>2277000</v>
      </c>
      <c r="I560" s="596">
        <f t="shared" si="48"/>
        <v>0</v>
      </c>
      <c r="J560" s="81">
        <f t="shared" si="52"/>
        <v>0</v>
      </c>
      <c r="K560" s="81"/>
      <c r="L560" s="597">
        <v>3020</v>
      </c>
      <c r="M560" s="81" t="str">
        <f>+IFERROR(VLOOKUP(L560,DATA!$G$4:$H$2000,2,FALSE),"")</f>
        <v xml:space="preserve">ЖЭЙ ЭЛ КЭЙ ЭМ ХХК </v>
      </c>
      <c r="N560" s="435"/>
      <c r="O560" s="81" t="str">
        <f>IFERROR(VLOOKUP(N560,DATA!$K$4:$L$51,2,FALSE),"")</f>
        <v/>
      </c>
      <c r="P560" s="81"/>
      <c r="Q560" s="152">
        <f t="shared" si="49"/>
        <v>0</v>
      </c>
    </row>
    <row r="561" spans="2:17">
      <c r="B561" s="670">
        <f t="shared" si="50"/>
        <v>556</v>
      </c>
      <c r="C561" s="433">
        <v>42825</v>
      </c>
      <c r="D561" s="377" t="s">
        <v>1741</v>
      </c>
      <c r="E561" s="572">
        <v>100100</v>
      </c>
      <c r="F561" s="672" t="str">
        <f>IFERROR(VLOOKUP(E561,STAT1!$C$4:$D$1000,2,FALSE),"")</f>
        <v>Касс мөнгө MNT</v>
      </c>
      <c r="G561" s="377">
        <v>2277000</v>
      </c>
      <c r="H561" s="377">
        <v>0</v>
      </c>
      <c r="I561" s="596">
        <f t="shared" si="48"/>
        <v>2277000</v>
      </c>
      <c r="J561" s="81">
        <f t="shared" si="52"/>
        <v>0</v>
      </c>
      <c r="K561" s="81"/>
      <c r="L561" s="597">
        <v>3020</v>
      </c>
      <c r="M561" s="81" t="str">
        <f>+IFERROR(VLOOKUP(L561,DATA!$G$4:$H$2000,2,FALSE),"")</f>
        <v xml:space="preserve">ЖЭЙ ЭЛ КЭЙ ЭМ ХХК </v>
      </c>
      <c r="N561" s="435">
        <v>41</v>
      </c>
      <c r="O561" s="81" t="str">
        <f>IFERROR(VLOOKUP(N561,DATA!$K$4:$L$51,2,FALSE),"")</f>
        <v>Бараа борлуулсан, үйлчилгээ үзүүлсэний орлого</v>
      </c>
      <c r="P561" s="81"/>
      <c r="Q561" s="152">
        <f t="shared" si="49"/>
        <v>1</v>
      </c>
    </row>
    <row r="562" spans="2:17">
      <c r="B562" s="670">
        <f t="shared" si="50"/>
        <v>557</v>
      </c>
      <c r="C562" s="433">
        <v>42825</v>
      </c>
      <c r="D562" s="598" t="s">
        <v>1748</v>
      </c>
      <c r="E562" s="572">
        <v>310100</v>
      </c>
      <c r="F562" s="672" t="str">
        <f>IFERROR(VLOOKUP(E562,STAT1!$C$4:$D$1000,2,FALSE),"")</f>
        <v>Дансны өглөг MNT</v>
      </c>
      <c r="G562" s="377">
        <v>2008043</v>
      </c>
      <c r="H562" s="377">
        <v>0</v>
      </c>
      <c r="I562" s="596">
        <f t="shared" si="48"/>
        <v>0</v>
      </c>
      <c r="J562" s="81">
        <f t="shared" si="52"/>
        <v>0</v>
      </c>
      <c r="K562" s="81"/>
      <c r="L562" s="597">
        <v>2013</v>
      </c>
      <c r="M562" s="81" t="str">
        <f>+IFERROR(VLOOKUP(L562,DATA!$G$4:$H$2000,2,FALSE),"")</f>
        <v>УБДС ТӨХК</v>
      </c>
      <c r="N562" s="435"/>
      <c r="O562" s="81" t="str">
        <f>IFERROR(VLOOKUP(N562,DATA!$K$4:$L$51,2,FALSE),"")</f>
        <v/>
      </c>
      <c r="P562" s="81"/>
      <c r="Q562" s="152">
        <f t="shared" si="49"/>
        <v>0</v>
      </c>
    </row>
    <row r="563" spans="2:17">
      <c r="B563" s="670">
        <f t="shared" si="50"/>
        <v>558</v>
      </c>
      <c r="C563" s="433">
        <v>42825</v>
      </c>
      <c r="D563" s="598" t="s">
        <v>1748</v>
      </c>
      <c r="E563" s="572">
        <v>110100</v>
      </c>
      <c r="F563" s="672" t="str">
        <f>IFERROR(VLOOKUP(E563,STAT1!$C$4:$D$1000,2,FALSE),"")</f>
        <v>Хаан Банк 5024654020</v>
      </c>
      <c r="G563" s="377"/>
      <c r="H563" s="377">
        <v>2008043</v>
      </c>
      <c r="I563" s="596">
        <f t="shared" si="48"/>
        <v>-2008043</v>
      </c>
      <c r="J563" s="81">
        <f t="shared" si="52"/>
        <v>0</v>
      </c>
      <c r="K563" s="81"/>
      <c r="L563" s="597">
        <v>2013</v>
      </c>
      <c r="M563" s="81" t="str">
        <f>+IFERROR(VLOOKUP(L563,DATA!$G$4:$H$2000,2,FALSE),"")</f>
        <v>УБДС ТӨХК</v>
      </c>
      <c r="N563" s="435">
        <v>54</v>
      </c>
      <c r="O563" s="81" t="str">
        <f>IFERROR(VLOOKUP(N563,DATA!$K$4:$L$51,2,FALSE),"")</f>
        <v>Ашиглалтын зардалд төлсөн</v>
      </c>
      <c r="P563" s="81"/>
      <c r="Q563" s="152">
        <f t="shared" si="49"/>
        <v>1</v>
      </c>
    </row>
    <row r="564" spans="2:17">
      <c r="B564" s="670">
        <f t="shared" si="50"/>
        <v>559</v>
      </c>
      <c r="C564" s="433">
        <v>42825</v>
      </c>
      <c r="D564" s="598" t="s">
        <v>1748</v>
      </c>
      <c r="E564" s="572">
        <v>120600</v>
      </c>
      <c r="F564" s="672" t="str">
        <f>IFERROR(VLOOKUP(E564,STAT1!$C$4:$D$1000,2,FALSE),"")</f>
        <v>НӨАТ авлага</v>
      </c>
      <c r="G564" s="377">
        <v>299511.09999999998</v>
      </c>
      <c r="H564" s="377"/>
      <c r="I564" s="596">
        <f t="shared" si="48"/>
        <v>0</v>
      </c>
      <c r="J564" s="81">
        <f t="shared" si="52"/>
        <v>0</v>
      </c>
      <c r="K564" s="81"/>
      <c r="L564" s="597">
        <v>2013</v>
      </c>
      <c r="M564" s="81" t="str">
        <f>+IFERROR(VLOOKUP(L564,DATA!$G$4:$H$2000,2,FALSE),"")</f>
        <v>УБДС ТӨХК</v>
      </c>
      <c r="N564" s="435"/>
      <c r="O564" s="81" t="str">
        <f>IFERROR(VLOOKUP(N564,DATA!$K$4:$L$51,2,FALSE),"")</f>
        <v/>
      </c>
      <c r="P564" s="81"/>
      <c r="Q564" s="152">
        <f t="shared" si="49"/>
        <v>0</v>
      </c>
    </row>
    <row r="565" spans="2:17">
      <c r="B565" s="670">
        <f t="shared" si="50"/>
        <v>560</v>
      </c>
      <c r="C565" s="433">
        <v>42825</v>
      </c>
      <c r="D565" s="598" t="s">
        <v>1748</v>
      </c>
      <c r="E565" s="572">
        <v>700800</v>
      </c>
      <c r="F565" s="672" t="str">
        <f>IFERROR(VLOOKUP(E565,STAT1!$C$4:$D$1000,2,FALSE),"")</f>
        <v>Дулаан</v>
      </c>
      <c r="G565" s="377"/>
      <c r="H565" s="377">
        <v>299511.09999999998</v>
      </c>
      <c r="I565" s="596">
        <f t="shared" si="48"/>
        <v>0</v>
      </c>
      <c r="J565" s="81">
        <f t="shared" si="52"/>
        <v>0</v>
      </c>
      <c r="K565" s="81"/>
      <c r="L565" s="597">
        <v>2013</v>
      </c>
      <c r="M565" s="81" t="str">
        <f>+IFERROR(VLOOKUP(L565,DATA!$G$4:$H$2000,2,FALSE),"")</f>
        <v>УБДС ТӨХК</v>
      </c>
      <c r="N565" s="435"/>
      <c r="O565" s="81" t="str">
        <f>IFERROR(VLOOKUP(N565,DATA!$K$4:$L$51,2,FALSE),"")</f>
        <v/>
      </c>
      <c r="P565" s="81"/>
      <c r="Q565" s="152">
        <f t="shared" si="49"/>
        <v>0</v>
      </c>
    </row>
    <row r="566" spans="2:17">
      <c r="B566" s="670">
        <f t="shared" si="50"/>
        <v>561</v>
      </c>
      <c r="C566" s="433">
        <v>42825</v>
      </c>
      <c r="D566" s="598" t="s">
        <v>1751</v>
      </c>
      <c r="E566" s="572">
        <v>704900</v>
      </c>
      <c r="F566" s="672" t="str">
        <f>IFERROR(VLOOKUP(E566,STAT1!$C$4:$D$1000,2,FALSE),"")</f>
        <v>Банкны үйлчилгээ</v>
      </c>
      <c r="G566" s="377">
        <v>2000</v>
      </c>
      <c r="H566" s="377">
        <v>0</v>
      </c>
      <c r="I566" s="596">
        <f t="shared" si="48"/>
        <v>0</v>
      </c>
      <c r="J566" s="81">
        <f t="shared" si="52"/>
        <v>0</v>
      </c>
      <c r="K566" s="81"/>
      <c r="L566" s="597">
        <v>2009</v>
      </c>
      <c r="M566" s="81" t="str">
        <f>+IFERROR(VLOOKUP(L566,DATA!$G$4:$H$2000,2,FALSE),"")</f>
        <v>ХААН БАНК</v>
      </c>
      <c r="N566" s="435"/>
      <c r="O566" s="81" t="str">
        <f>IFERROR(VLOOKUP(N566,DATA!$K$4:$L$51,2,FALSE),"")</f>
        <v/>
      </c>
      <c r="P566" s="81"/>
      <c r="Q566" s="152">
        <f t="shared" si="49"/>
        <v>0</v>
      </c>
    </row>
    <row r="567" spans="2:17">
      <c r="B567" s="670">
        <f t="shared" si="50"/>
        <v>562</v>
      </c>
      <c r="C567" s="433">
        <v>42825</v>
      </c>
      <c r="D567" s="598" t="s">
        <v>1751</v>
      </c>
      <c r="E567" s="572">
        <v>110100</v>
      </c>
      <c r="F567" s="672" t="str">
        <f>IFERROR(VLOOKUP(E567,STAT1!$C$4:$D$1000,2,FALSE),"")</f>
        <v>Хаан Банк 5024654020</v>
      </c>
      <c r="G567" s="377"/>
      <c r="H567" s="377">
        <v>2000</v>
      </c>
      <c r="I567" s="596">
        <f t="shared" si="48"/>
        <v>-2000</v>
      </c>
      <c r="J567" s="81">
        <f t="shared" si="52"/>
        <v>0</v>
      </c>
      <c r="K567" s="81"/>
      <c r="L567" s="597">
        <v>2009</v>
      </c>
      <c r="M567" s="81" t="str">
        <f>+IFERROR(VLOOKUP(L567,DATA!$G$4:$H$2000,2,FALSE),"")</f>
        <v>ХААН БАНК</v>
      </c>
      <c r="N567" s="435">
        <v>59</v>
      </c>
      <c r="O567" s="81" t="str">
        <f>IFERROR(VLOOKUP(N567,DATA!$K$4:$L$51,2,FALSE),"")</f>
        <v>Бусад мөнгөн зарлага</v>
      </c>
      <c r="P567" s="81"/>
      <c r="Q567" s="152">
        <f t="shared" si="49"/>
        <v>1</v>
      </c>
    </row>
    <row r="568" spans="2:17">
      <c r="B568" s="670">
        <f t="shared" si="50"/>
        <v>563</v>
      </c>
      <c r="C568" s="433">
        <v>42825</v>
      </c>
      <c r="D568" s="598" t="s">
        <v>1750</v>
      </c>
      <c r="E568" s="572">
        <v>704900</v>
      </c>
      <c r="F568" s="672" t="str">
        <f>IFERROR(VLOOKUP(E568,STAT1!$C$4:$D$1000,2,FALSE),"")</f>
        <v>Банкны үйлчилгээ</v>
      </c>
      <c r="G568" s="377">
        <v>300</v>
      </c>
      <c r="H568" s="377">
        <v>0</v>
      </c>
      <c r="I568" s="596">
        <f t="shared" si="48"/>
        <v>0</v>
      </c>
      <c r="J568" s="81">
        <f t="shared" si="52"/>
        <v>0</v>
      </c>
      <c r="K568" s="81"/>
      <c r="L568" s="597">
        <v>2009</v>
      </c>
      <c r="M568" s="81" t="str">
        <f>+IFERROR(VLOOKUP(L568,DATA!$G$4:$H$2000,2,FALSE),"")</f>
        <v>ХААН БАНК</v>
      </c>
      <c r="N568" s="435"/>
      <c r="O568" s="81" t="str">
        <f>IFERROR(VLOOKUP(N568,DATA!$K$4:$L$51,2,FALSE),"")</f>
        <v/>
      </c>
      <c r="P568" s="81"/>
      <c r="Q568" s="152">
        <f t="shared" si="49"/>
        <v>0</v>
      </c>
    </row>
    <row r="569" spans="2:17">
      <c r="B569" s="670">
        <f t="shared" si="50"/>
        <v>564</v>
      </c>
      <c r="C569" s="433">
        <v>42825</v>
      </c>
      <c r="D569" s="598" t="s">
        <v>1750</v>
      </c>
      <c r="E569" s="572">
        <v>110100</v>
      </c>
      <c r="F569" s="672" t="str">
        <f>IFERROR(VLOOKUP(E569,STAT1!$C$4:$D$1000,2,FALSE),"")</f>
        <v>Хаан Банк 5024654020</v>
      </c>
      <c r="G569" s="377"/>
      <c r="H569" s="377">
        <v>300</v>
      </c>
      <c r="I569" s="596">
        <f t="shared" si="48"/>
        <v>-300</v>
      </c>
      <c r="J569" s="81">
        <f t="shared" si="52"/>
        <v>0</v>
      </c>
      <c r="K569" s="81"/>
      <c r="L569" s="597">
        <v>2009</v>
      </c>
      <c r="M569" s="81" t="str">
        <f>+IFERROR(VLOOKUP(L569,DATA!$G$4:$H$2000,2,FALSE),"")</f>
        <v>ХААН БАНК</v>
      </c>
      <c r="N569" s="435">
        <v>59</v>
      </c>
      <c r="O569" s="81" t="str">
        <f>IFERROR(VLOOKUP(N569,DATA!$K$4:$L$51,2,FALSE),"")</f>
        <v>Бусад мөнгөн зарлага</v>
      </c>
      <c r="P569" s="81"/>
      <c r="Q569" s="152">
        <f t="shared" si="49"/>
        <v>1</v>
      </c>
    </row>
    <row r="570" spans="2:17">
      <c r="B570" s="670">
        <f t="shared" si="50"/>
        <v>565</v>
      </c>
      <c r="C570" s="433">
        <v>42825</v>
      </c>
      <c r="D570" s="377" t="s">
        <v>1764</v>
      </c>
      <c r="E570" s="572">
        <v>140501</v>
      </c>
      <c r="F570" s="672" t="str">
        <f>IFERROR(VLOOKUP(E570,STAT1!$C$4:$D$8000,2,FALSE),"")</f>
        <v>Нэгтгэл зардал БОЛОВСРУУЛАХ ЦЕХ /нарс/</v>
      </c>
      <c r="G570" s="377">
        <v>56017962.113272727</v>
      </c>
      <c r="H570" s="377"/>
      <c r="I570" s="596">
        <f t="shared" si="48"/>
        <v>0</v>
      </c>
      <c r="J570" s="81">
        <f t="shared" si="52"/>
        <v>0</v>
      </c>
      <c r="K570" s="81"/>
      <c r="L570" s="597">
        <v>1006</v>
      </c>
      <c r="M570" s="81" t="str">
        <f>+IFERROR(VLOOKUP(L570,DATA!$G$4:$H$2000,2,FALSE),"")</f>
        <v>Оюундэлгэр /нярав/</v>
      </c>
      <c r="N570" s="166"/>
      <c r="O570" s="81" t="str">
        <f>IFERROR(VLOOKUP(N570,DATA!$K$4:$L$51,2,FALSE),"")</f>
        <v/>
      </c>
      <c r="P570" s="81"/>
      <c r="Q570" s="152">
        <f t="shared" si="49"/>
        <v>0</v>
      </c>
    </row>
    <row r="571" spans="2:17">
      <c r="B571" s="670">
        <f t="shared" si="50"/>
        <v>566</v>
      </c>
      <c r="C571" s="433">
        <v>42825</v>
      </c>
      <c r="D571" s="377" t="s">
        <v>1764</v>
      </c>
      <c r="E571" s="572">
        <v>140401</v>
      </c>
      <c r="F571" s="672" t="str">
        <f>IFERROR(VLOOKUP(E571,STAT1!$C$4:$D$8000,2,FALSE),"")</f>
        <v>ҮНЗардал БОЛОВСРУУЛАХ ЦЕХ /нарс/</v>
      </c>
      <c r="G571" s="377"/>
      <c r="H571" s="377">
        <v>56017962.113272727</v>
      </c>
      <c r="I571" s="596">
        <f t="shared" si="48"/>
        <v>0</v>
      </c>
      <c r="J571" s="81">
        <f t="shared" si="52"/>
        <v>0</v>
      </c>
      <c r="K571" s="81"/>
      <c r="L571" s="597">
        <v>1006</v>
      </c>
      <c r="M571" s="81" t="str">
        <f>+IFERROR(VLOOKUP(L571,DATA!$G$4:$H$2000,2,FALSE),"")</f>
        <v>Оюундэлгэр /нярав/</v>
      </c>
      <c r="N571" s="166"/>
      <c r="O571" s="81" t="str">
        <f>IFERROR(VLOOKUP(N571,DATA!$K$4:$L$51,2,FALSE),"")</f>
        <v/>
      </c>
      <c r="P571" s="81"/>
      <c r="Q571" s="152">
        <f t="shared" si="49"/>
        <v>0</v>
      </c>
    </row>
    <row r="572" spans="2:17">
      <c r="B572" s="670">
        <f t="shared" si="50"/>
        <v>567</v>
      </c>
      <c r="C572" s="433">
        <v>42825</v>
      </c>
      <c r="D572" s="377" t="s">
        <v>1765</v>
      </c>
      <c r="E572" s="572">
        <v>140401</v>
      </c>
      <c r="F572" s="672" t="str">
        <f>IFERROR(VLOOKUP(E572,STAT1!$C$4:$D$8000,2,FALSE),"")</f>
        <v>ҮНЗардал БОЛОВСРУУЛАХ ЦЕХ /нарс/</v>
      </c>
      <c r="G572" s="377">
        <v>6302831.5249999994</v>
      </c>
      <c r="H572" s="377"/>
      <c r="I572" s="596">
        <f t="shared" si="48"/>
        <v>0</v>
      </c>
      <c r="J572" s="81">
        <f t="shared" si="52"/>
        <v>0</v>
      </c>
      <c r="K572" s="81"/>
      <c r="L572" s="597">
        <v>1006</v>
      </c>
      <c r="M572" s="81" t="str">
        <f>+IFERROR(VLOOKUP(L572,DATA!$G$4:$H$2000,2,FALSE),"")</f>
        <v>Оюундэлгэр /нярав/</v>
      </c>
      <c r="N572" s="166"/>
      <c r="O572" s="81" t="str">
        <f>IFERROR(VLOOKUP(N572,DATA!$K$4:$L$51,2,FALSE),"")</f>
        <v/>
      </c>
      <c r="P572" s="81"/>
      <c r="Q572" s="152">
        <f t="shared" si="49"/>
        <v>0</v>
      </c>
    </row>
    <row r="573" spans="2:17">
      <c r="B573" s="670">
        <f t="shared" si="50"/>
        <v>568</v>
      </c>
      <c r="C573" s="433">
        <v>42825</v>
      </c>
      <c r="D573" s="377" t="s">
        <v>1765</v>
      </c>
      <c r="E573" s="572">
        <v>700700</v>
      </c>
      <c r="F573" s="672" t="str">
        <f>IFERROR(VLOOKUP(E573,STAT1!$C$4:$D$8000,2,FALSE),"")</f>
        <v>Цахилгаан эрчим хүч</v>
      </c>
      <c r="G573" s="377"/>
      <c r="H573" s="377">
        <v>6302831.5249999994</v>
      </c>
      <c r="I573" s="596">
        <f t="shared" si="48"/>
        <v>0</v>
      </c>
      <c r="J573" s="81">
        <f t="shared" si="52"/>
        <v>0</v>
      </c>
      <c r="K573" s="81"/>
      <c r="L573" s="597">
        <v>1006</v>
      </c>
      <c r="M573" s="81" t="str">
        <f>+IFERROR(VLOOKUP(L573,DATA!$G$4:$H$2000,2,FALSE),"")</f>
        <v>Оюундэлгэр /нярав/</v>
      </c>
      <c r="N573" s="166"/>
      <c r="O573" s="81" t="str">
        <f>IFERROR(VLOOKUP(N573,DATA!$K$4:$L$51,2,FALSE),"")</f>
        <v/>
      </c>
      <c r="P573" s="81"/>
      <c r="Q573" s="152">
        <f t="shared" si="49"/>
        <v>0</v>
      </c>
    </row>
    <row r="574" spans="2:17">
      <c r="B574" s="670">
        <f t="shared" si="50"/>
        <v>569</v>
      </c>
      <c r="C574" s="433">
        <v>42825</v>
      </c>
      <c r="D574" s="377" t="s">
        <v>1765</v>
      </c>
      <c r="E574" s="572">
        <v>140401</v>
      </c>
      <c r="F574" s="672" t="str">
        <f>IFERROR(VLOOKUP(E574,STAT1!$C$4:$D$8000,2,FALSE),"")</f>
        <v>ҮНЗардал БОЛОВСРУУЛАХ ЦЕХ /нарс/</v>
      </c>
      <c r="G574" s="377">
        <v>9528997.970999999</v>
      </c>
      <c r="H574" s="377"/>
      <c r="I574" s="596">
        <f t="shared" si="48"/>
        <v>0</v>
      </c>
      <c r="J574" s="81">
        <f t="shared" si="52"/>
        <v>0</v>
      </c>
      <c r="K574" s="81"/>
      <c r="L574" s="597">
        <v>1006</v>
      </c>
      <c r="M574" s="81" t="str">
        <f>+IFERROR(VLOOKUP(L574,DATA!$G$4:$H$2000,2,FALSE),"")</f>
        <v>Оюундэлгэр /нярав/</v>
      </c>
      <c r="N574" s="166"/>
      <c r="O574" s="81" t="str">
        <f>IFERROR(VLOOKUP(N574,DATA!$K$4:$L$51,2,FALSE),"")</f>
        <v/>
      </c>
      <c r="P574" s="81"/>
      <c r="Q574" s="152">
        <f t="shared" si="49"/>
        <v>0</v>
      </c>
    </row>
    <row r="575" spans="2:17">
      <c r="B575" s="670">
        <f t="shared" si="50"/>
        <v>570</v>
      </c>
      <c r="C575" s="433">
        <v>42825</v>
      </c>
      <c r="D575" s="377" t="s">
        <v>1765</v>
      </c>
      <c r="E575" s="572">
        <v>700800</v>
      </c>
      <c r="F575" s="672" t="str">
        <f>IFERROR(VLOOKUP(E575,STAT1!$C$4:$D$8000,2,FALSE),"")</f>
        <v>Дулаан</v>
      </c>
      <c r="G575" s="377"/>
      <c r="H575" s="377">
        <v>9528997.970999999</v>
      </c>
      <c r="I575" s="596">
        <f t="shared" si="48"/>
        <v>0</v>
      </c>
      <c r="J575" s="81">
        <f t="shared" si="52"/>
        <v>0</v>
      </c>
      <c r="K575" s="81"/>
      <c r="L575" s="597">
        <v>1006</v>
      </c>
      <c r="M575" s="81" t="str">
        <f>+IFERROR(VLOOKUP(L575,DATA!$G$4:$H$2000,2,FALSE),"")</f>
        <v>Оюундэлгэр /нярав/</v>
      </c>
      <c r="N575" s="166"/>
      <c r="O575" s="81" t="str">
        <f>IFERROR(VLOOKUP(N575,DATA!$K$4:$L$51,2,FALSE),"")</f>
        <v/>
      </c>
      <c r="P575" s="81"/>
      <c r="Q575" s="152">
        <f t="shared" si="49"/>
        <v>0</v>
      </c>
    </row>
    <row r="576" spans="2:17">
      <c r="B576" s="670">
        <f t="shared" si="50"/>
        <v>571</v>
      </c>
      <c r="C576" s="433">
        <v>42825</v>
      </c>
      <c r="D576" s="377" t="s">
        <v>1765</v>
      </c>
      <c r="E576" s="572">
        <v>140401</v>
      </c>
      <c r="F576" s="672" t="str">
        <f>IFERROR(VLOOKUP(E576,STAT1!$C$4:$D$8000,2,FALSE),"")</f>
        <v>ҮНЗардал БОЛОВСРУУЛАХ ЦЕХ /нарс/</v>
      </c>
      <c r="G576" s="377">
        <v>1128796.6499999999</v>
      </c>
      <c r="H576" s="377"/>
      <c r="I576" s="596">
        <f t="shared" si="48"/>
        <v>0</v>
      </c>
      <c r="J576" s="81">
        <f t="shared" si="52"/>
        <v>0</v>
      </c>
      <c r="K576" s="81"/>
      <c r="L576" s="597">
        <v>1006</v>
      </c>
      <c r="M576" s="81" t="str">
        <f>+IFERROR(VLOOKUP(L576,DATA!$G$4:$H$2000,2,FALSE),"")</f>
        <v>Оюундэлгэр /нярав/</v>
      </c>
      <c r="N576" s="166"/>
      <c r="O576" s="81" t="str">
        <f>IFERROR(VLOOKUP(N576,DATA!$K$4:$L$51,2,FALSE),"")</f>
        <v/>
      </c>
      <c r="P576" s="81"/>
      <c r="Q576" s="152">
        <f t="shared" si="49"/>
        <v>0</v>
      </c>
    </row>
    <row r="577" spans="2:17">
      <c r="B577" s="670">
        <f t="shared" si="50"/>
        <v>572</v>
      </c>
      <c r="C577" s="433">
        <v>42825</v>
      </c>
      <c r="D577" s="377" t="s">
        <v>1765</v>
      </c>
      <c r="E577" s="572">
        <v>700900</v>
      </c>
      <c r="F577" s="672" t="str">
        <f>IFERROR(VLOOKUP(E577,STAT1!$C$4:$D$8000,2,FALSE),"")</f>
        <v>Уур, ус</v>
      </c>
      <c r="G577" s="377"/>
      <c r="H577" s="377">
        <v>1128796.6499999999</v>
      </c>
      <c r="I577" s="596">
        <f t="shared" si="48"/>
        <v>0</v>
      </c>
      <c r="J577" s="81">
        <f t="shared" si="52"/>
        <v>0</v>
      </c>
      <c r="K577" s="81"/>
      <c r="L577" s="597">
        <v>1006</v>
      </c>
      <c r="M577" s="81" t="str">
        <f>+IFERROR(VLOOKUP(L577,DATA!$G$4:$H$2000,2,FALSE),"")</f>
        <v>Оюундэлгэр /нярав/</v>
      </c>
      <c r="N577" s="166"/>
      <c r="O577" s="81" t="str">
        <f>IFERROR(VLOOKUP(N577,DATA!$K$4:$L$51,2,FALSE),"")</f>
        <v/>
      </c>
      <c r="P577" s="81"/>
      <c r="Q577" s="152">
        <f t="shared" si="49"/>
        <v>0</v>
      </c>
    </row>
    <row r="578" spans="2:17">
      <c r="B578" s="670">
        <f t="shared" si="50"/>
        <v>573</v>
      </c>
      <c r="C578" s="433">
        <v>42825</v>
      </c>
      <c r="D578" s="377" t="s">
        <v>1765</v>
      </c>
      <c r="E578" s="572">
        <v>140401</v>
      </c>
      <c r="F578" s="672" t="str">
        <f>IFERROR(VLOOKUP(E578,STAT1!$C$4:$D$8000,2,FALSE),"")</f>
        <v>ҮНЗардал БОЛОВСРУУЛАХ ЦЕХ /нарс/</v>
      </c>
      <c r="G578" s="377">
        <v>15947484.696969697</v>
      </c>
      <c r="H578" s="377"/>
      <c r="I578" s="596">
        <f t="shared" si="48"/>
        <v>0</v>
      </c>
      <c r="J578" s="81">
        <f t="shared" si="52"/>
        <v>0</v>
      </c>
      <c r="K578" s="81"/>
      <c r="L578" s="597">
        <v>1006</v>
      </c>
      <c r="M578" s="81" t="str">
        <f>+IFERROR(VLOOKUP(L578,DATA!$G$4:$H$2000,2,FALSE),"")</f>
        <v>Оюундэлгэр /нярав/</v>
      </c>
      <c r="N578" s="166"/>
      <c r="O578" s="81" t="str">
        <f>IFERROR(VLOOKUP(N578,DATA!$K$4:$L$51,2,FALSE),"")</f>
        <v/>
      </c>
      <c r="P578" s="81"/>
      <c r="Q578" s="152">
        <f t="shared" si="49"/>
        <v>0</v>
      </c>
    </row>
    <row r="579" spans="2:17">
      <c r="B579" s="670">
        <f t="shared" si="50"/>
        <v>574</v>
      </c>
      <c r="C579" s="433">
        <v>42825</v>
      </c>
      <c r="D579" s="377" t="s">
        <v>1765</v>
      </c>
      <c r="E579" s="572">
        <v>700100</v>
      </c>
      <c r="F579" s="672" t="str">
        <f>IFERROR(VLOOKUP(E579,STAT1!$C$4:$D$8000,2,FALSE),"")</f>
        <v>Цалин хөлс, шагнал</v>
      </c>
      <c r="G579" s="377"/>
      <c r="H579" s="377">
        <v>15947484.696969697</v>
      </c>
      <c r="I579" s="596">
        <f t="shared" si="48"/>
        <v>0</v>
      </c>
      <c r="J579" s="81">
        <f t="shared" si="52"/>
        <v>0</v>
      </c>
      <c r="K579" s="81"/>
      <c r="L579" s="597">
        <v>1006</v>
      </c>
      <c r="M579" s="81" t="str">
        <f>+IFERROR(VLOOKUP(L579,DATA!$G$4:$H$2000,2,FALSE),"")</f>
        <v>Оюундэлгэр /нярав/</v>
      </c>
      <c r="N579" s="166"/>
      <c r="O579" s="81" t="str">
        <f>IFERROR(VLOOKUP(N579,DATA!$K$4:$L$51,2,FALSE),"")</f>
        <v/>
      </c>
      <c r="P579" s="81"/>
      <c r="Q579" s="152">
        <f t="shared" si="49"/>
        <v>0</v>
      </c>
    </row>
    <row r="580" spans="2:17">
      <c r="B580" s="670">
        <f t="shared" si="50"/>
        <v>575</v>
      </c>
      <c r="C580" s="433">
        <v>42825</v>
      </c>
      <c r="D580" s="377" t="s">
        <v>1765</v>
      </c>
      <c r="E580" s="572">
        <v>140401</v>
      </c>
      <c r="F580" s="672" t="str">
        <f>IFERROR(VLOOKUP(E580,STAT1!$C$4:$D$8000,2,FALSE),"")</f>
        <v>ҮНЗардал БОЛОВСРУУЛАХ ЦЕХ /нарс/</v>
      </c>
      <c r="G580" s="377">
        <v>1930602.3303030303</v>
      </c>
      <c r="H580" s="377"/>
      <c r="I580" s="596">
        <f t="shared" si="48"/>
        <v>0</v>
      </c>
      <c r="J580" s="81">
        <f t="shared" si="52"/>
        <v>0</v>
      </c>
      <c r="K580" s="81"/>
      <c r="L580" s="597">
        <v>1006</v>
      </c>
      <c r="M580" s="81" t="str">
        <f>+IFERROR(VLOOKUP(L580,DATA!$G$4:$H$2000,2,FALSE),"")</f>
        <v>Оюундэлгэр /нярав/</v>
      </c>
      <c r="N580" s="166"/>
      <c r="O580" s="81" t="str">
        <f>IFERROR(VLOOKUP(N580,DATA!$K$4:$L$51,2,FALSE),"")</f>
        <v/>
      </c>
      <c r="P580" s="81"/>
      <c r="Q580" s="152">
        <f t="shared" si="49"/>
        <v>0</v>
      </c>
    </row>
    <row r="581" spans="2:17">
      <c r="B581" s="670">
        <f t="shared" si="50"/>
        <v>576</v>
      </c>
      <c r="C581" s="433">
        <v>42825</v>
      </c>
      <c r="D581" s="377" t="s">
        <v>1765</v>
      </c>
      <c r="E581" s="572">
        <v>700200</v>
      </c>
      <c r="F581" s="672" t="str">
        <f>IFERROR(VLOOKUP(E581,STAT1!$C$4:$D$8000,2,FALSE),"")</f>
        <v>НДШимтгэл</v>
      </c>
      <c r="G581" s="377"/>
      <c r="H581" s="377">
        <v>1930602.3303030303</v>
      </c>
      <c r="I581" s="596">
        <f t="shared" si="48"/>
        <v>0</v>
      </c>
      <c r="J581" s="81">
        <f t="shared" si="52"/>
        <v>0</v>
      </c>
      <c r="K581" s="81"/>
      <c r="L581" s="597">
        <v>1006</v>
      </c>
      <c r="M581" s="81" t="str">
        <f>+IFERROR(VLOOKUP(L581,DATA!$G$4:$H$2000,2,FALSE),"")</f>
        <v>Оюундэлгэр /нярав/</v>
      </c>
      <c r="N581" s="166"/>
      <c r="O581" s="81" t="str">
        <f>IFERROR(VLOOKUP(N581,DATA!$K$4:$L$51,2,FALSE),"")</f>
        <v/>
      </c>
      <c r="P581" s="81"/>
      <c r="Q581" s="152">
        <f t="shared" si="49"/>
        <v>0</v>
      </c>
    </row>
    <row r="582" spans="2:17">
      <c r="B582" s="670">
        <f t="shared" si="50"/>
        <v>577</v>
      </c>
      <c r="C582" s="433">
        <v>42825</v>
      </c>
      <c r="D582" s="377" t="s">
        <v>1765</v>
      </c>
      <c r="E582" s="572">
        <v>140401</v>
      </c>
      <c r="F582" s="672" t="str">
        <f>IFERROR(VLOOKUP(E582,STAT1!$C$4:$D$8000,2,FALSE),"")</f>
        <v>ҮНЗардал БОЛОВСРУУЛАХ ЦЕХ /нарс/</v>
      </c>
      <c r="G582" s="377">
        <v>4330218.75</v>
      </c>
      <c r="H582" s="377"/>
      <c r="I582" s="596">
        <f t="shared" ref="I582:I645" si="53">+IF(OR(E582=100100,E582=100200,E582=110100,E582=110102,E582=110103,E582=110104,E582=110105,E582=110200,E582=110201,E582=110202,E582=110203,E582=110204,E582=110300),G582,0)+IF(OR(E582=100100,E582=100200,E582=110100,E582=110102,E582=110103,E582=110104,E582=110105,E582=110200,E582=110201,E582=110202,E582=110203,E582=110204,E582=110300),H582*-1,0)</f>
        <v>0</v>
      </c>
      <c r="J582" s="81">
        <f t="shared" si="52"/>
        <v>0</v>
      </c>
      <c r="K582" s="81"/>
      <c r="L582" s="597">
        <v>1006</v>
      </c>
      <c r="M582" s="81" t="str">
        <f>+IFERROR(VLOOKUP(L582,DATA!$G$4:$H$2000,2,FALSE),"")</f>
        <v>Оюундэлгэр /нярав/</v>
      </c>
      <c r="N582" s="166"/>
      <c r="O582" s="81" t="str">
        <f>IFERROR(VLOOKUP(N582,DATA!$K$4:$L$51,2,FALSE),"")</f>
        <v/>
      </c>
      <c r="P582" s="81"/>
      <c r="Q582" s="152">
        <f t="shared" si="49"/>
        <v>0</v>
      </c>
    </row>
    <row r="583" spans="2:17">
      <c r="B583" s="670">
        <f t="shared" si="50"/>
        <v>578</v>
      </c>
      <c r="C583" s="433">
        <v>42825</v>
      </c>
      <c r="D583" s="377" t="s">
        <v>1765</v>
      </c>
      <c r="E583" s="572">
        <v>701600</v>
      </c>
      <c r="F583" s="672" t="str">
        <f>IFERROR(VLOOKUP(E583,STAT1!$C$4:$D$8000,2,FALSE),"")</f>
        <v>Элэгдэл, хорогдлын зардал</v>
      </c>
      <c r="G583" s="377"/>
      <c r="H583" s="377">
        <v>4330218.75</v>
      </c>
      <c r="I583" s="596">
        <f t="shared" si="53"/>
        <v>0</v>
      </c>
      <c r="J583" s="81">
        <f t="shared" si="52"/>
        <v>0</v>
      </c>
      <c r="K583" s="81"/>
      <c r="L583" s="597">
        <v>1006</v>
      </c>
      <c r="M583" s="81" t="str">
        <f>+IFERROR(VLOOKUP(L583,DATA!$G$4:$H$2000,2,FALSE),"")</f>
        <v>Оюундэлгэр /нярав/</v>
      </c>
      <c r="N583" s="166"/>
      <c r="O583" s="81" t="str">
        <f>IFERROR(VLOOKUP(N583,DATA!$K$4:$L$51,2,FALSE),"")</f>
        <v/>
      </c>
      <c r="P583" s="81"/>
      <c r="Q583" s="152">
        <f t="shared" ref="Q583:Q646" si="54">+IF(I583,1,0)</f>
        <v>0</v>
      </c>
    </row>
    <row r="584" spans="2:17">
      <c r="B584" s="670">
        <f t="shared" si="50"/>
        <v>579</v>
      </c>
      <c r="C584" s="433">
        <v>42825</v>
      </c>
      <c r="D584" s="377" t="s">
        <v>1765</v>
      </c>
      <c r="E584" s="572">
        <v>140401</v>
      </c>
      <c r="F584" s="672" t="str">
        <f>IFERROR(VLOOKUP(E584,STAT1!$C$4:$D$8000,2,FALSE),"")</f>
        <v>ҮНЗардал БОЛОВСРУУЛАХ ЦЕХ /нарс/</v>
      </c>
      <c r="G584" s="377">
        <v>16849030.190000001</v>
      </c>
      <c r="H584" s="377"/>
      <c r="I584" s="596">
        <f t="shared" si="53"/>
        <v>0</v>
      </c>
      <c r="J584" s="81">
        <f t="shared" si="52"/>
        <v>0</v>
      </c>
      <c r="K584" s="81"/>
      <c r="L584" s="597">
        <v>1006</v>
      </c>
      <c r="M584" s="81" t="str">
        <f>+IFERROR(VLOOKUP(L584,DATA!$G$4:$H$2000,2,FALSE),"")</f>
        <v>Оюундэлгэр /нярав/</v>
      </c>
      <c r="N584" s="166"/>
      <c r="O584" s="81" t="str">
        <f>IFERROR(VLOOKUP(N584,DATA!$K$4:$L$51,2,FALSE),"")</f>
        <v/>
      </c>
      <c r="P584" s="81"/>
      <c r="Q584" s="152">
        <f t="shared" si="54"/>
        <v>0</v>
      </c>
    </row>
    <row r="585" spans="2:17">
      <c r="B585" s="670">
        <f t="shared" si="50"/>
        <v>580</v>
      </c>
      <c r="C585" s="433">
        <v>42825</v>
      </c>
      <c r="D585" s="377" t="s">
        <v>1765</v>
      </c>
      <c r="E585" s="572">
        <v>701600</v>
      </c>
      <c r="F585" s="672" t="str">
        <f>IFERROR(VLOOKUP(E585,STAT1!$C$4:$D$8000,2,FALSE),"")</f>
        <v>Элэгдэл, хорогдлын зардал</v>
      </c>
      <c r="G585" s="377"/>
      <c r="H585" s="377">
        <v>16849030.190000001</v>
      </c>
      <c r="I585" s="596">
        <f t="shared" si="53"/>
        <v>0</v>
      </c>
      <c r="J585" s="81">
        <f t="shared" si="52"/>
        <v>0</v>
      </c>
      <c r="K585" s="81"/>
      <c r="L585" s="597">
        <v>1006</v>
      </c>
      <c r="M585" s="81" t="str">
        <f>+IFERROR(VLOOKUP(L585,DATA!$G$4:$H$2000,2,FALSE),"")</f>
        <v>Оюундэлгэр /нярав/</v>
      </c>
      <c r="N585" s="166"/>
      <c r="O585" s="81" t="str">
        <f>IFERROR(VLOOKUP(N585,DATA!$K$4:$L$51,2,FALSE),"")</f>
        <v/>
      </c>
      <c r="P585" s="81"/>
      <c r="Q585" s="152">
        <f t="shared" si="54"/>
        <v>0</v>
      </c>
    </row>
    <row r="586" spans="2:17">
      <c r="B586" s="670">
        <f t="shared" si="50"/>
        <v>581</v>
      </c>
      <c r="C586" s="433">
        <v>42825</v>
      </c>
      <c r="D586" s="377" t="s">
        <v>1766</v>
      </c>
      <c r="E586" s="572">
        <v>701600</v>
      </c>
      <c r="F586" s="672" t="str">
        <f>IFERROR(VLOOKUP(E586,STAT1!$C$4:$D$8000,2,FALSE),"")</f>
        <v>Элэгдэл, хорогдлын зардал</v>
      </c>
      <c r="G586" s="377">
        <v>6661875</v>
      </c>
      <c r="H586" s="377"/>
      <c r="I586" s="596">
        <f t="shared" si="53"/>
        <v>0</v>
      </c>
      <c r="J586" s="81">
        <f t="shared" si="52"/>
        <v>0</v>
      </c>
      <c r="K586" s="81"/>
      <c r="L586" s="597">
        <v>1006</v>
      </c>
      <c r="M586" s="81" t="str">
        <f>+IFERROR(VLOOKUP(L586,DATA!$G$4:$H$2000,2,FALSE),"")</f>
        <v>Оюундэлгэр /нярав/</v>
      </c>
      <c r="N586" s="166"/>
      <c r="O586" s="81" t="str">
        <f>IFERROR(VLOOKUP(N586,DATA!$K$4:$L$51,2,FALSE),"")</f>
        <v/>
      </c>
      <c r="P586" s="81"/>
      <c r="Q586" s="152">
        <f t="shared" si="54"/>
        <v>0</v>
      </c>
    </row>
    <row r="587" spans="2:17">
      <c r="B587" s="670">
        <f t="shared" ref="B587:B650" si="55">+IF(C587="","",ROW()-5)</f>
        <v>582</v>
      </c>
      <c r="C587" s="433">
        <v>42825</v>
      </c>
      <c r="D587" s="377" t="s">
        <v>1766</v>
      </c>
      <c r="E587" s="572">
        <v>201200</v>
      </c>
      <c r="F587" s="672" t="str">
        <f>IFERROR(VLOOKUP(E587,STAT1!$C$4:$D$8000,2,FALSE),"")</f>
        <v>Хур. элэгдэл - Барилга байгууламж</v>
      </c>
      <c r="G587" s="377"/>
      <c r="H587" s="377">
        <v>6661875</v>
      </c>
      <c r="I587" s="596">
        <f t="shared" si="53"/>
        <v>0</v>
      </c>
      <c r="J587" s="81">
        <f t="shared" si="52"/>
        <v>0</v>
      </c>
      <c r="K587" s="81"/>
      <c r="L587" s="597">
        <v>1006</v>
      </c>
      <c r="M587" s="81" t="str">
        <f>+IFERROR(VLOOKUP(L587,DATA!$G$4:$H$2000,2,FALSE),"")</f>
        <v>Оюундэлгэр /нярав/</v>
      </c>
      <c r="N587" s="166"/>
      <c r="O587" s="81" t="str">
        <f>IFERROR(VLOOKUP(N587,DATA!$K$4:$L$51,2,FALSE),"")</f>
        <v/>
      </c>
      <c r="P587" s="81"/>
      <c r="Q587" s="152">
        <f t="shared" si="54"/>
        <v>0</v>
      </c>
    </row>
    <row r="588" spans="2:17">
      <c r="B588" s="670">
        <f t="shared" si="55"/>
        <v>583</v>
      </c>
      <c r="C588" s="433">
        <v>42825</v>
      </c>
      <c r="D588" s="377" t="s">
        <v>1767</v>
      </c>
      <c r="E588" s="572">
        <v>701600</v>
      </c>
      <c r="F588" s="672" t="str">
        <f>IFERROR(VLOOKUP(E588,STAT1!$C$4:$D$8000,2,FALSE),"")</f>
        <v>Элэгдэл, хорогдлын зардал</v>
      </c>
      <c r="G588" s="377">
        <v>73072.72</v>
      </c>
      <c r="H588" s="377"/>
      <c r="I588" s="596">
        <f t="shared" si="53"/>
        <v>0</v>
      </c>
      <c r="J588" s="81">
        <f t="shared" si="52"/>
        <v>0</v>
      </c>
      <c r="K588" s="81"/>
      <c r="L588" s="597">
        <v>1006</v>
      </c>
      <c r="M588" s="81" t="str">
        <f>+IFERROR(VLOOKUP(L588,DATA!$G$4:$H$2000,2,FALSE),"")</f>
        <v>Оюундэлгэр /нярав/</v>
      </c>
      <c r="N588" s="166"/>
      <c r="O588" s="81" t="str">
        <f>IFERROR(VLOOKUP(N588,DATA!$K$4:$L$51,2,FALSE),"")</f>
        <v/>
      </c>
      <c r="P588" s="81"/>
      <c r="Q588" s="152">
        <f t="shared" si="54"/>
        <v>0</v>
      </c>
    </row>
    <row r="589" spans="2:17">
      <c r="B589" s="670">
        <f t="shared" si="55"/>
        <v>584</v>
      </c>
      <c r="C589" s="433">
        <v>42825</v>
      </c>
      <c r="D589" s="377" t="s">
        <v>1767</v>
      </c>
      <c r="E589" s="572">
        <v>201300</v>
      </c>
      <c r="F589" s="672" t="str">
        <f>IFERROR(VLOOKUP(E589,STAT1!$C$4:$D$8000,2,FALSE),"")</f>
        <v>Хур. элэгдэл - Тавилга эд хогшил</v>
      </c>
      <c r="G589" s="377"/>
      <c r="H589" s="377">
        <v>73072.72</v>
      </c>
      <c r="I589" s="596">
        <f t="shared" si="53"/>
        <v>0</v>
      </c>
      <c r="J589" s="81">
        <f t="shared" si="52"/>
        <v>0</v>
      </c>
      <c r="K589" s="81"/>
      <c r="L589" s="597">
        <v>1006</v>
      </c>
      <c r="M589" s="81" t="str">
        <f>+IFERROR(VLOOKUP(L589,DATA!$G$4:$H$2000,2,FALSE),"")</f>
        <v>Оюундэлгэр /нярав/</v>
      </c>
      <c r="N589" s="166"/>
      <c r="O589" s="81" t="str">
        <f>IFERROR(VLOOKUP(N589,DATA!$K$4:$L$51,2,FALSE),"")</f>
        <v/>
      </c>
      <c r="P589" s="81"/>
      <c r="Q589" s="152">
        <f t="shared" si="54"/>
        <v>0</v>
      </c>
    </row>
    <row r="590" spans="2:17">
      <c r="B590" s="670">
        <f t="shared" si="55"/>
        <v>585</v>
      </c>
      <c r="C590" s="433">
        <v>42825</v>
      </c>
      <c r="D590" s="377" t="s">
        <v>1768</v>
      </c>
      <c r="E590" s="572">
        <v>701600</v>
      </c>
      <c r="F590" s="672" t="str">
        <f>IFERROR(VLOOKUP(E590,STAT1!$C$4:$D$8000,2,FALSE),"")</f>
        <v>Элэгдэл, хорогдлын зардал</v>
      </c>
      <c r="G590" s="377">
        <v>16849030.190000001</v>
      </c>
      <c r="H590" s="377"/>
      <c r="I590" s="596">
        <f t="shared" si="53"/>
        <v>0</v>
      </c>
      <c r="J590" s="81">
        <f t="shared" si="52"/>
        <v>0</v>
      </c>
      <c r="K590" s="81"/>
      <c r="L590" s="597">
        <v>1006</v>
      </c>
      <c r="M590" s="81" t="str">
        <f>+IFERROR(VLOOKUP(L590,DATA!$G$4:$H$2000,2,FALSE),"")</f>
        <v>Оюундэлгэр /нярав/</v>
      </c>
      <c r="N590" s="166"/>
      <c r="O590" s="81" t="str">
        <f>IFERROR(VLOOKUP(N590,DATA!$K$4:$L$51,2,FALSE),"")</f>
        <v/>
      </c>
      <c r="P590" s="81"/>
      <c r="Q590" s="152">
        <f t="shared" si="54"/>
        <v>0</v>
      </c>
    </row>
    <row r="591" spans="2:17">
      <c r="B591" s="670">
        <f t="shared" si="55"/>
        <v>586</v>
      </c>
      <c r="C591" s="433">
        <v>42825</v>
      </c>
      <c r="D591" s="377" t="s">
        <v>1768</v>
      </c>
      <c r="E591" s="572">
        <v>201400</v>
      </c>
      <c r="F591" s="672" t="str">
        <f>IFERROR(VLOOKUP(E591,STAT1!$C$4:$D$8000,2,FALSE),"")</f>
        <v>Хур. элэгдэл - Машин тоног төхөөрөмж</v>
      </c>
      <c r="G591" s="377"/>
      <c r="H591" s="377">
        <v>16849030.190000001</v>
      </c>
      <c r="I591" s="596">
        <f t="shared" si="53"/>
        <v>0</v>
      </c>
      <c r="J591" s="81">
        <f t="shared" si="52"/>
        <v>0</v>
      </c>
      <c r="K591" s="81"/>
      <c r="L591" s="597">
        <v>1006</v>
      </c>
      <c r="M591" s="81" t="str">
        <f>+IFERROR(VLOOKUP(L591,DATA!$G$4:$H$2000,2,FALSE),"")</f>
        <v>Оюундэлгэр /нярав/</v>
      </c>
      <c r="N591" s="166"/>
      <c r="O591" s="81" t="str">
        <f>IFERROR(VLOOKUP(N591,DATA!$K$4:$L$51,2,FALSE),"")</f>
        <v/>
      </c>
      <c r="P591" s="81"/>
      <c r="Q591" s="152">
        <f t="shared" si="54"/>
        <v>0</v>
      </c>
    </row>
    <row r="592" spans="2:17">
      <c r="B592" s="670">
        <f t="shared" si="55"/>
        <v>587</v>
      </c>
      <c r="C592" s="433">
        <v>42825</v>
      </c>
      <c r="D592" s="377" t="s">
        <v>2585</v>
      </c>
      <c r="E592" s="572">
        <v>701600</v>
      </c>
      <c r="F592" s="672" t="str">
        <f>IFERROR(VLOOKUP(E592,STAT1!$C$4:$D$8000,2,FALSE),"")</f>
        <v>Элэгдэл, хорогдлын зардал</v>
      </c>
      <c r="G592" s="377">
        <v>4245000</v>
      </c>
      <c r="H592" s="377"/>
      <c r="I592" s="596">
        <f t="shared" si="53"/>
        <v>0</v>
      </c>
      <c r="J592" s="81">
        <f t="shared" si="52"/>
        <v>0</v>
      </c>
      <c r="K592" s="81"/>
      <c r="L592" s="597">
        <v>1006</v>
      </c>
      <c r="M592" s="81" t="str">
        <f>+IFERROR(VLOOKUP(L592,DATA!$G$4:$H$2000,2,FALSE),"")</f>
        <v>Оюундэлгэр /нярав/</v>
      </c>
      <c r="N592" s="166"/>
      <c r="O592" s="81" t="str">
        <f>IFERROR(VLOOKUP(N592,DATA!$K$4:$L$51,2,FALSE),"")</f>
        <v/>
      </c>
      <c r="P592" s="81"/>
      <c r="Q592" s="152">
        <f t="shared" si="54"/>
        <v>0</v>
      </c>
    </row>
    <row r="593" spans="2:17">
      <c r="B593" s="670">
        <f t="shared" si="55"/>
        <v>588</v>
      </c>
      <c r="C593" s="433">
        <v>42825</v>
      </c>
      <c r="D593" s="377" t="s">
        <v>2585</v>
      </c>
      <c r="E593" s="572">
        <v>201500</v>
      </c>
      <c r="F593" s="672" t="str">
        <f>IFERROR(VLOOKUP(E593,STAT1!$C$4:$D$8000,2,FALSE),"")</f>
        <v>Хур. элэгдэл - Тээврийн хэрэгсэл</v>
      </c>
      <c r="G593" s="377"/>
      <c r="H593" s="377">
        <v>4245000</v>
      </c>
      <c r="I593" s="596">
        <f t="shared" si="53"/>
        <v>0</v>
      </c>
      <c r="J593" s="81">
        <f t="shared" si="52"/>
        <v>0</v>
      </c>
      <c r="K593" s="81"/>
      <c r="L593" s="597">
        <v>1006</v>
      </c>
      <c r="M593" s="81" t="str">
        <f>+IFERROR(VLOOKUP(L593,DATA!$G$4:$H$2000,2,FALSE),"")</f>
        <v>Оюундэлгэр /нярав/</v>
      </c>
      <c r="N593" s="166"/>
      <c r="O593" s="81" t="str">
        <f>IFERROR(VLOOKUP(N593,DATA!$K$4:$L$51,2,FALSE),"")</f>
        <v/>
      </c>
      <c r="P593" s="81"/>
      <c r="Q593" s="152">
        <f t="shared" si="54"/>
        <v>0</v>
      </c>
    </row>
    <row r="594" spans="2:17">
      <c r="B594" s="670">
        <f t="shared" si="55"/>
        <v>589</v>
      </c>
      <c r="C594" s="433">
        <v>42825</v>
      </c>
      <c r="D594" s="377" t="s">
        <v>2586</v>
      </c>
      <c r="E594" s="572">
        <v>701600</v>
      </c>
      <c r="F594" s="672" t="str">
        <f>IFERROR(VLOOKUP(E594,STAT1!$C$4:$D$8000,2,FALSE),"")</f>
        <v>Элэгдэл, хорогдлын зардал</v>
      </c>
      <c r="G594" s="377">
        <v>534613.19999999995</v>
      </c>
      <c r="H594" s="377"/>
      <c r="I594" s="596">
        <f t="shared" si="53"/>
        <v>0</v>
      </c>
      <c r="J594" s="81">
        <f t="shared" si="52"/>
        <v>0</v>
      </c>
      <c r="K594" s="81"/>
      <c r="L594" s="597">
        <v>1006</v>
      </c>
      <c r="M594" s="81" t="str">
        <f>+IFERROR(VLOOKUP(L594,DATA!$G$4:$H$2000,2,FALSE),"")</f>
        <v>Оюундэлгэр /нярав/</v>
      </c>
      <c r="N594" s="166"/>
      <c r="O594" s="81" t="str">
        <f>IFERROR(VLOOKUP(N594,DATA!$K$4:$L$51,2,FALSE),"")</f>
        <v/>
      </c>
      <c r="P594" s="81"/>
      <c r="Q594" s="152">
        <f t="shared" si="54"/>
        <v>0</v>
      </c>
    </row>
    <row r="595" spans="2:17">
      <c r="B595" s="670">
        <f t="shared" si="55"/>
        <v>590</v>
      </c>
      <c r="C595" s="433">
        <v>42825</v>
      </c>
      <c r="D595" s="377" t="s">
        <v>2586</v>
      </c>
      <c r="E595" s="572">
        <v>202000</v>
      </c>
      <c r="F595" s="672" t="str">
        <f>IFERROR(VLOOKUP(E595,STAT1!$C$4:$D$8000,2,FALSE),"")</f>
        <v>Хур. элэгдэл - Комъпютер, дагалдах хэрэгсэл</v>
      </c>
      <c r="G595" s="377"/>
      <c r="H595" s="377">
        <v>534613.19999999995</v>
      </c>
      <c r="I595" s="596">
        <f t="shared" si="53"/>
        <v>0</v>
      </c>
      <c r="J595" s="81">
        <f t="shared" si="52"/>
        <v>0</v>
      </c>
      <c r="K595" s="81"/>
      <c r="L595" s="597">
        <v>1006</v>
      </c>
      <c r="M595" s="81" t="str">
        <f>+IFERROR(VLOOKUP(L595,DATA!$G$4:$H$2000,2,FALSE),"")</f>
        <v>Оюундэлгэр /нярав/</v>
      </c>
      <c r="N595" s="166"/>
      <c r="O595" s="81" t="str">
        <f>IFERROR(VLOOKUP(N595,DATA!$K$4:$L$51,2,FALSE),"")</f>
        <v/>
      </c>
      <c r="P595" s="81"/>
      <c r="Q595" s="152">
        <f t="shared" si="54"/>
        <v>0</v>
      </c>
    </row>
    <row r="596" spans="2:17">
      <c r="B596" s="670">
        <f t="shared" si="55"/>
        <v>591</v>
      </c>
      <c r="C596" s="433">
        <v>42825</v>
      </c>
      <c r="D596" s="377" t="s">
        <v>1574</v>
      </c>
      <c r="E596" s="572">
        <v>700200</v>
      </c>
      <c r="F596" s="672" t="str">
        <f>IFERROR(VLOOKUP(E596,STAT1!$C$4:$D$8000,2,FALSE),"")</f>
        <v>НДШимтгэл</v>
      </c>
      <c r="G596" s="377">
        <v>1250672.3636363638</v>
      </c>
      <c r="H596" s="377"/>
      <c r="I596" s="596">
        <f t="shared" si="53"/>
        <v>0</v>
      </c>
      <c r="J596" s="81">
        <f t="shared" si="52"/>
        <v>0</v>
      </c>
      <c r="K596" s="81"/>
      <c r="L596" s="597">
        <v>1004</v>
      </c>
      <c r="M596" s="81" t="str">
        <f>+IFERROR(VLOOKUP(L596,DATA!$G$4:$H$2000,2,FALSE),"")</f>
        <v xml:space="preserve">Түмэндэлгэр </v>
      </c>
      <c r="N596" s="166"/>
      <c r="O596" s="81" t="str">
        <f>IFERROR(VLOOKUP(N596,DATA!$K$4:$L$51,2,FALSE),"")</f>
        <v/>
      </c>
      <c r="P596" s="81"/>
      <c r="Q596" s="152">
        <f t="shared" si="54"/>
        <v>0</v>
      </c>
    </row>
    <row r="597" spans="2:17">
      <c r="B597" s="670">
        <f t="shared" si="55"/>
        <v>592</v>
      </c>
      <c r="C597" s="433">
        <v>42825</v>
      </c>
      <c r="D597" s="377" t="s">
        <v>1574</v>
      </c>
      <c r="E597" s="572">
        <v>310800</v>
      </c>
      <c r="F597" s="672" t="str">
        <f>IFERROR(VLOOKUP(E597,STAT1!$C$4:$D$8000,2,FALSE),"")</f>
        <v>НД-ын байгууллагад өгөх өглөг</v>
      </c>
      <c r="G597" s="377"/>
      <c r="H597" s="377">
        <v>1250672.3636363638</v>
      </c>
      <c r="I597" s="596">
        <f t="shared" si="53"/>
        <v>0</v>
      </c>
      <c r="J597" s="81">
        <f t="shared" si="52"/>
        <v>0</v>
      </c>
      <c r="K597" s="81"/>
      <c r="L597" s="597">
        <v>1004</v>
      </c>
      <c r="M597" s="81" t="str">
        <f>+IFERROR(VLOOKUP(L597,DATA!$G$4:$H$2000,2,FALSE),"")</f>
        <v xml:space="preserve">Түмэндэлгэр </v>
      </c>
      <c r="N597" s="166"/>
      <c r="O597" s="81" t="str">
        <f>IFERROR(VLOOKUP(N597,DATA!$K$4:$L$51,2,FALSE),"")</f>
        <v/>
      </c>
      <c r="P597" s="81"/>
      <c r="Q597" s="152">
        <f t="shared" si="54"/>
        <v>0</v>
      </c>
    </row>
    <row r="598" spans="2:17">
      <c r="B598" s="670">
        <f t="shared" si="55"/>
        <v>593</v>
      </c>
      <c r="C598" s="433">
        <v>42825</v>
      </c>
      <c r="D598" s="377" t="s">
        <v>1575</v>
      </c>
      <c r="E598" s="572">
        <v>310800</v>
      </c>
      <c r="F598" s="672" t="str">
        <f>IFERROR(VLOOKUP(E598,STAT1!$C$4:$D$8000,2,FALSE),"")</f>
        <v>НД-ын байгууллагад өгөх өглөг</v>
      </c>
      <c r="G598" s="377"/>
      <c r="H598" s="377">
        <v>1024943.6363636364</v>
      </c>
      <c r="I598" s="596">
        <f t="shared" si="53"/>
        <v>0</v>
      </c>
      <c r="J598" s="81">
        <f t="shared" si="52"/>
        <v>0</v>
      </c>
      <c r="K598" s="81"/>
      <c r="L598" s="597">
        <v>1004</v>
      </c>
      <c r="M598" s="81" t="str">
        <f>+IFERROR(VLOOKUP(L598,DATA!$G$4:$H$2000,2,FALSE),"")</f>
        <v xml:space="preserve">Түмэндэлгэр </v>
      </c>
      <c r="N598" s="166"/>
      <c r="O598" s="81" t="str">
        <f>IFERROR(VLOOKUP(N598,DATA!$K$4:$L$51,2,FALSE),"")</f>
        <v/>
      </c>
      <c r="P598" s="81"/>
      <c r="Q598" s="152">
        <f t="shared" si="54"/>
        <v>0</v>
      </c>
    </row>
    <row r="599" spans="2:17">
      <c r="B599" s="670">
        <f t="shared" si="55"/>
        <v>594</v>
      </c>
      <c r="C599" s="433">
        <v>42825</v>
      </c>
      <c r="D599" s="377" t="s">
        <v>1576</v>
      </c>
      <c r="E599" s="572">
        <v>310700</v>
      </c>
      <c r="F599" s="672" t="str">
        <f>IFERROR(VLOOKUP(E599,STAT1!$C$4:$D$8000,2,FALSE),"")</f>
        <v>ХАОАТ өглөг</v>
      </c>
      <c r="G599" s="377"/>
      <c r="H599" s="377">
        <v>797149.27272727271</v>
      </c>
      <c r="I599" s="596">
        <f t="shared" si="53"/>
        <v>0</v>
      </c>
      <c r="J599" s="81">
        <f t="shared" si="52"/>
        <v>0</v>
      </c>
      <c r="K599" s="81"/>
      <c r="L599" s="597">
        <v>1004</v>
      </c>
      <c r="M599" s="81" t="str">
        <f>+IFERROR(VLOOKUP(L599,DATA!$G$4:$H$2000,2,FALSE),"")</f>
        <v xml:space="preserve">Түмэндэлгэр </v>
      </c>
      <c r="N599" s="166"/>
      <c r="O599" s="81" t="str">
        <f>IFERROR(VLOOKUP(N599,DATA!$K$4:$L$51,2,FALSE),"")</f>
        <v/>
      </c>
      <c r="P599" s="81"/>
      <c r="Q599" s="152">
        <f t="shared" si="54"/>
        <v>0</v>
      </c>
    </row>
    <row r="600" spans="2:17">
      <c r="B600" s="670">
        <f t="shared" si="55"/>
        <v>595</v>
      </c>
      <c r="C600" s="433">
        <v>42825</v>
      </c>
      <c r="D600" s="377" t="s">
        <v>1577</v>
      </c>
      <c r="E600" s="572">
        <v>311000</v>
      </c>
      <c r="F600" s="672" t="str">
        <f>IFERROR(VLOOKUP(E600,STAT1!$C$4:$D$8000,2,FALSE),"")</f>
        <v>Цалингийн өглөг</v>
      </c>
      <c r="G600" s="377"/>
      <c r="H600" s="377">
        <v>8504343.4545454551</v>
      </c>
      <c r="I600" s="596">
        <f t="shared" si="53"/>
        <v>0</v>
      </c>
      <c r="J600" s="81">
        <f t="shared" si="52"/>
        <v>0</v>
      </c>
      <c r="K600" s="81"/>
      <c r="L600" s="597">
        <v>1004</v>
      </c>
      <c r="M600" s="81" t="str">
        <f>+IFERROR(VLOOKUP(L600,DATA!$G$4:$H$2000,2,FALSE),"")</f>
        <v xml:space="preserve">Түмэндэлгэр </v>
      </c>
      <c r="N600" s="166"/>
      <c r="O600" s="81" t="str">
        <f>IFERROR(VLOOKUP(N600,DATA!$K$4:$L$51,2,FALSE),"")</f>
        <v/>
      </c>
      <c r="P600" s="81"/>
      <c r="Q600" s="152">
        <f t="shared" si="54"/>
        <v>0</v>
      </c>
    </row>
    <row r="601" spans="2:17">
      <c r="B601" s="670">
        <f t="shared" si="55"/>
        <v>596</v>
      </c>
      <c r="C601" s="433">
        <v>42825</v>
      </c>
      <c r="D601" s="377" t="s">
        <v>1772</v>
      </c>
      <c r="E601" s="572">
        <v>700100</v>
      </c>
      <c r="F601" s="672" t="str">
        <f>IFERROR(VLOOKUP(E601,STAT1!$C$4:$D$8000,2,FALSE),"")</f>
        <v>Цалин хөлс, шагнал</v>
      </c>
      <c r="G601" s="377">
        <v>10326436.369999999</v>
      </c>
      <c r="H601" s="377"/>
      <c r="I601" s="596">
        <f t="shared" si="53"/>
        <v>0</v>
      </c>
      <c r="J601" s="81"/>
      <c r="K601" s="81"/>
      <c r="L601" s="597">
        <v>1004</v>
      </c>
      <c r="M601" s="81" t="str">
        <f>+IFERROR(VLOOKUP(L601,DATA!$G$4:$H$2000,2,FALSE),"")</f>
        <v xml:space="preserve">Түмэндэлгэр </v>
      </c>
      <c r="N601" s="166"/>
      <c r="O601" s="81" t="str">
        <f>IFERROR(VLOOKUP(N601,DATA!$K$4:$L$51,2,FALSE),"")</f>
        <v/>
      </c>
      <c r="P601" s="81"/>
      <c r="Q601" s="152">
        <f t="shared" si="54"/>
        <v>0</v>
      </c>
    </row>
    <row r="602" spans="2:17">
      <c r="B602" s="670">
        <f t="shared" si="55"/>
        <v>597</v>
      </c>
      <c r="C602" s="433">
        <v>42825</v>
      </c>
      <c r="D602" s="377" t="s">
        <v>1773</v>
      </c>
      <c r="E602" s="572">
        <v>122000</v>
      </c>
      <c r="F602" s="672" t="str">
        <f>IFERROR(VLOOKUP(E602,STAT1!$C$4:$D$8000,2,FALSE),"")</f>
        <v>Борлуулалтын авлагын түр тооцоо MNT</v>
      </c>
      <c r="G602" s="377">
        <v>11722791</v>
      </c>
      <c r="H602" s="377"/>
      <c r="I602" s="596">
        <f t="shared" si="53"/>
        <v>0</v>
      </c>
      <c r="J602" s="81"/>
      <c r="K602" s="81"/>
      <c r="L602" s="597">
        <v>3001</v>
      </c>
      <c r="M602" s="81" t="str">
        <f>+IFERROR(VLOOKUP(L602,DATA!$G$4:$H$2000,2,FALSE),"")</f>
        <v>ХУРД ГРУПП ХХК</v>
      </c>
      <c r="N602" s="166"/>
      <c r="O602" s="81" t="str">
        <f>IFERROR(VLOOKUP(N602,DATA!$K$4:$L$51,2,FALSE),"")</f>
        <v/>
      </c>
      <c r="P602" s="81"/>
      <c r="Q602" s="152">
        <f t="shared" si="54"/>
        <v>0</v>
      </c>
    </row>
    <row r="603" spans="2:17">
      <c r="B603" s="670">
        <f t="shared" si="55"/>
        <v>598</v>
      </c>
      <c r="C603" s="433">
        <v>42825</v>
      </c>
      <c r="D603" s="377" t="s">
        <v>1773</v>
      </c>
      <c r="E603" s="572">
        <v>320100</v>
      </c>
      <c r="F603" s="672" t="str">
        <f>IFERROR(VLOOKUP(E603,STAT1!$C$4:$D$8000,2,FALSE),"")</f>
        <v>Урьдчилж орсон орлого MNT</v>
      </c>
      <c r="G603" s="377"/>
      <c r="H603" s="377">
        <v>11722791</v>
      </c>
      <c r="I603" s="596">
        <f t="shared" si="53"/>
        <v>0</v>
      </c>
      <c r="J603" s="81"/>
      <c r="K603" s="81"/>
      <c r="L603" s="597">
        <v>3001</v>
      </c>
      <c r="M603" s="81" t="str">
        <f>+IFERROR(VLOOKUP(L603,DATA!$G$4:$H$2000,2,FALSE),"")</f>
        <v>ХУРД ГРУПП ХХК</v>
      </c>
      <c r="N603" s="166"/>
      <c r="O603" s="81" t="str">
        <f>IFERROR(VLOOKUP(N603,DATA!$K$4:$L$51,2,FALSE),"")</f>
        <v/>
      </c>
      <c r="P603" s="81"/>
      <c r="Q603" s="152">
        <f t="shared" si="54"/>
        <v>0</v>
      </c>
    </row>
    <row r="604" spans="2:17">
      <c r="B604" s="670">
        <f t="shared" si="55"/>
        <v>599</v>
      </c>
      <c r="C604" s="601">
        <v>42826</v>
      </c>
      <c r="D604" s="377" t="s">
        <v>2690</v>
      </c>
      <c r="E604" s="572">
        <v>140401</v>
      </c>
      <c r="F604" s="672" t="str">
        <f>IFERROR(VLOOKUP(E604,STAT1!$C$4:$D$8000,2,FALSE),"")</f>
        <v>ҮНЗардал БОЛОВСРУУЛАХ ЦЕХ /нарс/</v>
      </c>
      <c r="G604" s="377">
        <v>270545.46000000002</v>
      </c>
      <c r="H604" s="597"/>
      <c r="I604" s="596">
        <f t="shared" si="53"/>
        <v>0</v>
      </c>
      <c r="J604" s="81"/>
      <c r="K604" s="81"/>
      <c r="L604" s="597">
        <v>1006</v>
      </c>
      <c r="M604" s="81" t="str">
        <f>+IFERROR(VLOOKUP(L604,DATA!$G$4:$H$2000,2,FALSE),"")</f>
        <v>Оюундэлгэр /нярав/</v>
      </c>
      <c r="N604" s="166"/>
      <c r="O604" s="81" t="str">
        <f>IFERROR(VLOOKUP(N604,DATA!$K$4:$L$51,2,FALSE),"")</f>
        <v/>
      </c>
      <c r="P604" s="81"/>
      <c r="Q604" s="152">
        <f t="shared" si="54"/>
        <v>0</v>
      </c>
    </row>
    <row r="605" spans="2:17">
      <c r="B605" s="670">
        <f t="shared" si="55"/>
        <v>600</v>
      </c>
      <c r="C605" s="601">
        <v>42826</v>
      </c>
      <c r="D605" s="377"/>
      <c r="E605" s="572">
        <v>160100</v>
      </c>
      <c r="F605" s="672" t="str">
        <f>IFERROR(VLOOKUP(E605,STAT1!$C$4:$D$8000,2,FALSE),"")</f>
        <v xml:space="preserve">Барилгын материал </v>
      </c>
      <c r="G605" s="597"/>
      <c r="H605" s="377">
        <v>270545.46000000002</v>
      </c>
      <c r="I605" s="596">
        <f t="shared" si="53"/>
        <v>0</v>
      </c>
      <c r="J605" s="81"/>
      <c r="K605" s="81"/>
      <c r="L605" s="597">
        <v>1006</v>
      </c>
      <c r="M605" s="81" t="str">
        <f>+IFERROR(VLOOKUP(L605,DATA!$G$4:$H$2000,2,FALSE),"")</f>
        <v>Оюундэлгэр /нярав/</v>
      </c>
      <c r="N605" s="166"/>
      <c r="O605" s="81" t="str">
        <f>IFERROR(VLOOKUP(N605,DATA!$K$4:$L$51,2,FALSE),"")</f>
        <v/>
      </c>
      <c r="P605" s="81"/>
      <c r="Q605" s="152">
        <f t="shared" si="54"/>
        <v>0</v>
      </c>
    </row>
    <row r="606" spans="2:17">
      <c r="B606" s="670">
        <f t="shared" si="55"/>
        <v>601</v>
      </c>
      <c r="C606" s="601">
        <v>42826</v>
      </c>
      <c r="D606" s="377" t="s">
        <v>2691</v>
      </c>
      <c r="E606" s="572">
        <v>140401</v>
      </c>
      <c r="F606" s="672" t="str">
        <f>IFERROR(VLOOKUP(E606,STAT1!$C$4:$D$8000,2,FALSE),"")</f>
        <v>ҮНЗардал БОЛОВСРУУЛАХ ЦЕХ /нарс/</v>
      </c>
      <c r="G606" s="377">
        <v>1026363.8600000001</v>
      </c>
      <c r="H606" s="597"/>
      <c r="I606" s="596">
        <f t="shared" si="53"/>
        <v>0</v>
      </c>
      <c r="J606" s="81"/>
      <c r="K606" s="81"/>
      <c r="L606" s="597">
        <v>1006</v>
      </c>
      <c r="M606" s="81" t="str">
        <f>+IFERROR(VLOOKUP(L606,DATA!$G$4:$H$2000,2,FALSE),"")</f>
        <v>Оюундэлгэр /нярав/</v>
      </c>
      <c r="N606" s="166"/>
      <c r="O606" s="81" t="str">
        <f>IFERROR(VLOOKUP(N606,DATA!$K$4:$L$51,2,FALSE),"")</f>
        <v/>
      </c>
      <c r="P606" s="81"/>
      <c r="Q606" s="152">
        <f t="shared" si="54"/>
        <v>0</v>
      </c>
    </row>
    <row r="607" spans="2:17">
      <c r="B607" s="670">
        <f t="shared" si="55"/>
        <v>602</v>
      </c>
      <c r="C607" s="601">
        <v>42826</v>
      </c>
      <c r="D607" s="377" t="s">
        <v>587</v>
      </c>
      <c r="E607" s="572">
        <v>160100</v>
      </c>
      <c r="F607" s="672" t="str">
        <f>IFERROR(VLOOKUP(E607,STAT1!$C$4:$D$8000,2,FALSE),"")</f>
        <v xml:space="preserve">Барилгын материал </v>
      </c>
      <c r="G607" s="597"/>
      <c r="H607" s="377">
        <v>1026363.8600000001</v>
      </c>
      <c r="I607" s="596">
        <f t="shared" si="53"/>
        <v>0</v>
      </c>
      <c r="J607" s="81"/>
      <c r="K607" s="81"/>
      <c r="L607" s="597">
        <v>1006</v>
      </c>
      <c r="M607" s="81" t="str">
        <f>+IFERROR(VLOOKUP(L607,DATA!$G$4:$H$2000,2,FALSE),"")</f>
        <v>Оюундэлгэр /нярав/</v>
      </c>
      <c r="N607" s="166"/>
      <c r="O607" s="81" t="str">
        <f>IFERROR(VLOOKUP(N607,DATA!$K$4:$L$51,2,FALSE),"")</f>
        <v/>
      </c>
      <c r="P607" s="81"/>
      <c r="Q607" s="152">
        <f t="shared" si="54"/>
        <v>0</v>
      </c>
    </row>
    <row r="608" spans="2:17">
      <c r="B608" s="670">
        <f t="shared" si="55"/>
        <v>603</v>
      </c>
      <c r="C608" s="601">
        <v>42826</v>
      </c>
      <c r="D608" s="377" t="s">
        <v>1774</v>
      </c>
      <c r="E608" s="573">
        <v>150101</v>
      </c>
      <c r="F608" s="672" t="str">
        <f>IFERROR(VLOOKUP(E608,STAT1!$C$4:$D$8000,2,FALSE),"")</f>
        <v>Бараа бэлэн бүтээгдэхүүн БОЛОВСРУУЛАХ ЦЕХ /нарс/</v>
      </c>
      <c r="G608" s="377">
        <v>178934565.5</v>
      </c>
      <c r="H608" s="377"/>
      <c r="I608" s="596">
        <f t="shared" si="53"/>
        <v>0</v>
      </c>
      <c r="J608" s="81"/>
      <c r="K608" s="81"/>
      <c r="L608" s="597">
        <v>1006</v>
      </c>
      <c r="M608" s="81" t="str">
        <f>+IFERROR(VLOOKUP(L608,DATA!$G$4:$H$2000,2,FALSE),"")</f>
        <v>Оюундэлгэр /нярав/</v>
      </c>
      <c r="N608" s="166"/>
      <c r="O608" s="81" t="str">
        <f>IFERROR(VLOOKUP(N608,DATA!$K$4:$L$51,2,FALSE),"")</f>
        <v/>
      </c>
      <c r="P608" s="81"/>
      <c r="Q608" s="152">
        <f t="shared" si="54"/>
        <v>0</v>
      </c>
    </row>
    <row r="609" spans="2:17">
      <c r="B609" s="670">
        <f t="shared" si="55"/>
        <v>604</v>
      </c>
      <c r="C609" s="601">
        <v>42826</v>
      </c>
      <c r="D609" s="377" t="s">
        <v>1774</v>
      </c>
      <c r="E609" s="572">
        <v>140501</v>
      </c>
      <c r="F609" s="672" t="str">
        <f>IFERROR(VLOOKUP(E609,STAT1!$C$4:$D$8000,2,FALSE),"")</f>
        <v>Нэгтгэл зардал БОЛОВСРУУЛАХ ЦЕХ /нарс/</v>
      </c>
      <c r="G609" s="377"/>
      <c r="H609" s="377">
        <v>178934565.5</v>
      </c>
      <c r="I609" s="596">
        <f t="shared" si="53"/>
        <v>0</v>
      </c>
      <c r="J609" s="81"/>
      <c r="K609" s="81"/>
      <c r="L609" s="597">
        <v>1006</v>
      </c>
      <c r="M609" s="81" t="str">
        <f>+IFERROR(VLOOKUP(L609,DATA!$G$4:$H$2000,2,FALSE),"")</f>
        <v>Оюундэлгэр /нярав/</v>
      </c>
      <c r="N609" s="166"/>
      <c r="O609" s="81" t="str">
        <f>IFERROR(VLOOKUP(N609,DATA!$K$4:$L$51,2,FALSE),"")</f>
        <v/>
      </c>
      <c r="P609" s="81"/>
      <c r="Q609" s="152">
        <f t="shared" si="54"/>
        <v>0</v>
      </c>
    </row>
    <row r="610" spans="2:17">
      <c r="B610" s="670">
        <f t="shared" si="55"/>
        <v>605</v>
      </c>
      <c r="C610" s="433">
        <v>42826</v>
      </c>
      <c r="D610" s="377" t="s">
        <v>1778</v>
      </c>
      <c r="E610" s="572">
        <v>140500</v>
      </c>
      <c r="F610" s="672" t="str">
        <f>IFERROR(VLOOKUP(E610,STAT1!$C$4:$D$8000,2,FALSE),"")</f>
        <v>Нэгтгэл зардал ХАТААХ ЦЕХ /нарс/</v>
      </c>
      <c r="G610" s="377">
        <v>285142154.75</v>
      </c>
      <c r="H610" s="377"/>
      <c r="I610" s="596">
        <f t="shared" si="53"/>
        <v>0</v>
      </c>
      <c r="J610" s="81"/>
      <c r="K610" s="81"/>
      <c r="L610" s="597">
        <v>1006</v>
      </c>
      <c r="M610" s="81" t="str">
        <f>+IFERROR(VLOOKUP(L610,DATA!$G$4:$H$2000,2,FALSE),"")</f>
        <v>Оюундэлгэр /нярав/</v>
      </c>
      <c r="N610" s="166"/>
      <c r="O610" s="81" t="str">
        <f>IFERROR(VLOOKUP(N610,DATA!$K$4:$L$51,2,FALSE),"")</f>
        <v/>
      </c>
      <c r="P610" s="81"/>
      <c r="Q610" s="152">
        <f t="shared" si="54"/>
        <v>0</v>
      </c>
    </row>
    <row r="611" spans="2:17">
      <c r="B611" s="670">
        <f t="shared" si="55"/>
        <v>606</v>
      </c>
      <c r="C611" s="433">
        <v>42826</v>
      </c>
      <c r="D611" s="377" t="s">
        <v>1778</v>
      </c>
      <c r="E611" s="572">
        <v>140200</v>
      </c>
      <c r="F611" s="672" t="str">
        <f>IFERROR(VLOOKUP(E611,STAT1!$C$4:$D$8000,2,FALSE),"")</f>
        <v>ШМЗардал ХАТААХ ЦЕХ /нарс/</v>
      </c>
      <c r="G611" s="377"/>
      <c r="H611" s="377">
        <v>285142154.75</v>
      </c>
      <c r="I611" s="596">
        <f t="shared" si="53"/>
        <v>0</v>
      </c>
      <c r="J611" s="81"/>
      <c r="K611" s="81"/>
      <c r="L611" s="597">
        <v>1006</v>
      </c>
      <c r="M611" s="81" t="str">
        <f>+IFERROR(VLOOKUP(L611,DATA!$G$4:$H$2000,2,FALSE),"")</f>
        <v>Оюундэлгэр /нярав/</v>
      </c>
      <c r="N611" s="166"/>
      <c r="O611" s="81" t="str">
        <f>IFERROR(VLOOKUP(N611,DATA!$K$4:$L$51,2,FALSE),"")</f>
        <v/>
      </c>
      <c r="P611" s="81"/>
      <c r="Q611" s="152">
        <f t="shared" si="54"/>
        <v>0</v>
      </c>
    </row>
    <row r="612" spans="2:17">
      <c r="B612" s="670">
        <f t="shared" si="55"/>
        <v>607</v>
      </c>
      <c r="C612" s="433">
        <v>42826</v>
      </c>
      <c r="D612" s="377" t="s">
        <v>1779</v>
      </c>
      <c r="E612" s="572">
        <v>140501</v>
      </c>
      <c r="F612" s="672" t="str">
        <f>IFERROR(VLOOKUP(E612,STAT1!$C$4:$D$8000,2,FALSE),"")</f>
        <v>Нэгтгэл зардал БОЛОВСРУУЛАХ ЦЕХ /нарс/</v>
      </c>
      <c r="G612" s="377">
        <v>178934565.5</v>
      </c>
      <c r="H612" s="377"/>
      <c r="I612" s="596">
        <f t="shared" si="53"/>
        <v>0</v>
      </c>
      <c r="J612" s="81"/>
      <c r="K612" s="81"/>
      <c r="L612" s="597">
        <v>1006</v>
      </c>
      <c r="M612" s="81" t="str">
        <f>+IFERROR(VLOOKUP(L612,DATA!$G$4:$H$2000,2,FALSE),"")</f>
        <v>Оюундэлгэр /нярав/</v>
      </c>
      <c r="N612" s="166"/>
      <c r="O612" s="81" t="str">
        <f>IFERROR(VLOOKUP(N612,DATA!$K$4:$L$51,2,FALSE),"")</f>
        <v/>
      </c>
      <c r="P612" s="81"/>
      <c r="Q612" s="152">
        <f t="shared" si="54"/>
        <v>0</v>
      </c>
    </row>
    <row r="613" spans="2:17">
      <c r="B613" s="670">
        <f t="shared" si="55"/>
        <v>608</v>
      </c>
      <c r="C613" s="433">
        <v>42826</v>
      </c>
      <c r="D613" s="377" t="s">
        <v>1779</v>
      </c>
      <c r="E613" s="572">
        <v>140201</v>
      </c>
      <c r="F613" s="672" t="str">
        <f>IFERROR(VLOOKUP(E613,STAT1!$C$4:$D$8000,2,FALSE),"")</f>
        <v>ШМЗардал БОЛОВСРУУЛАХ ЦЕХ /нарс/</v>
      </c>
      <c r="G613" s="377"/>
      <c r="H613" s="377">
        <v>131520539.86</v>
      </c>
      <c r="I613" s="596">
        <f t="shared" si="53"/>
        <v>0</v>
      </c>
      <c r="J613" s="81"/>
      <c r="K613" s="81"/>
      <c r="L613" s="597">
        <v>1006</v>
      </c>
      <c r="M613" s="81" t="str">
        <f>+IFERROR(VLOOKUP(L613,DATA!$G$4:$H$2000,2,FALSE),"")</f>
        <v>Оюундэлгэр /нярав/</v>
      </c>
      <c r="N613" s="166"/>
      <c r="O613" s="81" t="str">
        <f>IFERROR(VLOOKUP(N613,DATA!$K$4:$L$51,2,FALSE),"")</f>
        <v/>
      </c>
      <c r="P613" s="81"/>
      <c r="Q613" s="152">
        <f t="shared" si="54"/>
        <v>0</v>
      </c>
    </row>
    <row r="614" spans="2:17">
      <c r="B614" s="670">
        <f t="shared" si="55"/>
        <v>609</v>
      </c>
      <c r="C614" s="433">
        <v>42826</v>
      </c>
      <c r="D614" s="377" t="s">
        <v>1780</v>
      </c>
      <c r="E614" s="572">
        <v>140401</v>
      </c>
      <c r="F614" s="672" t="str">
        <f>IFERROR(VLOOKUP(E614,STAT1!$C$4:$D$8000,2,FALSE),"")</f>
        <v>ҮНЗардал БОЛОВСРУУЛАХ ЦЕХ /нарс/</v>
      </c>
      <c r="G614" s="377"/>
      <c r="H614" s="377">
        <v>47414025.640000001</v>
      </c>
      <c r="I614" s="596">
        <f t="shared" si="53"/>
        <v>0</v>
      </c>
      <c r="J614" s="81"/>
      <c r="K614" s="81"/>
      <c r="L614" s="597">
        <v>1006</v>
      </c>
      <c r="M614" s="81" t="str">
        <f>+IFERROR(VLOOKUP(L614,DATA!$G$4:$H$2000,2,FALSE),"")</f>
        <v>Оюундэлгэр /нярав/</v>
      </c>
      <c r="N614" s="166"/>
      <c r="O614" s="81" t="str">
        <f>IFERROR(VLOOKUP(N614,DATA!$K$4:$L$51,2,FALSE),"")</f>
        <v/>
      </c>
      <c r="P614" s="81"/>
      <c r="Q614" s="152">
        <f t="shared" si="54"/>
        <v>0</v>
      </c>
    </row>
    <row r="615" spans="2:17">
      <c r="B615" s="670">
        <f t="shared" si="55"/>
        <v>610</v>
      </c>
      <c r="C615" s="433">
        <v>42826</v>
      </c>
      <c r="D615" s="377" t="s">
        <v>1781</v>
      </c>
      <c r="E615" s="572">
        <v>140500</v>
      </c>
      <c r="F615" s="672" t="str">
        <f>IFERROR(VLOOKUP(E615,STAT1!$C$4:$D$8000,2,FALSE),"")</f>
        <v>Нэгтгэл зардал ХАТААХ ЦЕХ /нарс/</v>
      </c>
      <c r="G615" s="377">
        <v>8089532.2300000004</v>
      </c>
      <c r="H615" s="377"/>
      <c r="I615" s="596">
        <f t="shared" si="53"/>
        <v>0</v>
      </c>
      <c r="J615" s="81"/>
      <c r="K615" s="81"/>
      <c r="L615" s="597">
        <v>1006</v>
      </c>
      <c r="M615" s="81" t="str">
        <f>+IFERROR(VLOOKUP(L615,DATA!$G$4:$H$2000,2,FALSE),"")</f>
        <v>Оюундэлгэр /нярав/</v>
      </c>
      <c r="N615" s="166"/>
      <c r="O615" s="81" t="str">
        <f>IFERROR(VLOOKUP(N615,DATA!$K$4:$L$51,2,FALSE),"")</f>
        <v/>
      </c>
      <c r="P615" s="81"/>
      <c r="Q615" s="152">
        <f t="shared" si="54"/>
        <v>0</v>
      </c>
    </row>
    <row r="616" spans="2:17">
      <c r="B616" s="670">
        <f t="shared" si="55"/>
        <v>611</v>
      </c>
      <c r="C616" s="433">
        <v>42826</v>
      </c>
      <c r="D616" s="377" t="s">
        <v>1781</v>
      </c>
      <c r="E616" s="572">
        <v>140400</v>
      </c>
      <c r="F616" s="672" t="str">
        <f>IFERROR(VLOOKUP(E616,STAT1!$C$4:$D$8000,2,FALSE),"")</f>
        <v>ҮНЗардал ХАТААХ ЦЕХ /нарс/</v>
      </c>
      <c r="G616" s="377"/>
      <c r="H616" s="377">
        <v>8089532.2300000004</v>
      </c>
      <c r="I616" s="596">
        <f t="shared" si="53"/>
        <v>0</v>
      </c>
      <c r="J616" s="81"/>
      <c r="K616" s="81"/>
      <c r="L616" s="597">
        <v>1006</v>
      </c>
      <c r="M616" s="81" t="str">
        <f>+IFERROR(VLOOKUP(L616,DATA!$G$4:$H$2000,2,FALSE),"")</f>
        <v>Оюундэлгэр /нярав/</v>
      </c>
      <c r="N616" s="166"/>
      <c r="O616" s="81" t="str">
        <f>IFERROR(VLOOKUP(N616,DATA!$K$4:$L$51,2,FALSE),"")</f>
        <v/>
      </c>
      <c r="P616" s="81"/>
      <c r="Q616" s="152">
        <f t="shared" si="54"/>
        <v>0</v>
      </c>
    </row>
    <row r="617" spans="2:17">
      <c r="B617" s="670">
        <f t="shared" si="55"/>
        <v>612</v>
      </c>
      <c r="C617" s="601">
        <v>42827</v>
      </c>
      <c r="D617" s="377" t="s">
        <v>1658</v>
      </c>
      <c r="E617" s="572">
        <v>160100</v>
      </c>
      <c r="F617" s="672" t="str">
        <f>IFERROR(VLOOKUP(E617,STAT1!$C$4:$D$8000,2,FALSE),"")</f>
        <v xml:space="preserve">Барилгын материал </v>
      </c>
      <c r="G617" s="377">
        <v>10545454.545454545</v>
      </c>
      <c r="H617" s="597"/>
      <c r="I617" s="596">
        <f t="shared" si="53"/>
        <v>0</v>
      </c>
      <c r="J617" s="81"/>
      <c r="K617" s="81"/>
      <c r="L617" s="597">
        <v>3016</v>
      </c>
      <c r="M617" s="81" t="str">
        <f>+IFERROR(VLOOKUP(L617,DATA!$G$4:$H$2000,2,FALSE),"")</f>
        <v xml:space="preserve">СТИЙЛ АРТ ХХК </v>
      </c>
      <c r="N617" s="166"/>
      <c r="O617" s="81" t="str">
        <f>IFERROR(VLOOKUP(N617,DATA!$K$4:$L$51,2,FALSE),"")</f>
        <v/>
      </c>
      <c r="P617" s="81"/>
      <c r="Q617" s="152">
        <f t="shared" si="54"/>
        <v>0</v>
      </c>
    </row>
    <row r="618" spans="2:17">
      <c r="B618" s="670">
        <f t="shared" si="55"/>
        <v>613</v>
      </c>
      <c r="C618" s="601">
        <v>42827</v>
      </c>
      <c r="D618" s="377" t="s">
        <v>587</v>
      </c>
      <c r="E618" s="572">
        <v>120600</v>
      </c>
      <c r="F618" s="672" t="str">
        <f>IFERROR(VLOOKUP(E618,STAT1!$C$4:$D$8000,2,FALSE),"")</f>
        <v>НӨАТ авлага</v>
      </c>
      <c r="G618" s="377">
        <v>1054545.4545454546</v>
      </c>
      <c r="H618" s="597"/>
      <c r="I618" s="596">
        <f t="shared" si="53"/>
        <v>0</v>
      </c>
      <c r="J618" s="81"/>
      <c r="K618" s="81"/>
      <c r="L618" s="597">
        <v>3016</v>
      </c>
      <c r="M618" s="81" t="str">
        <f>+IFERROR(VLOOKUP(L618,DATA!$G$4:$H$2000,2,FALSE),"")</f>
        <v xml:space="preserve">СТИЙЛ АРТ ХХК </v>
      </c>
      <c r="N618" s="166"/>
      <c r="O618" s="81" t="str">
        <f>IFERROR(VLOOKUP(N618,DATA!$K$4:$L$51,2,FALSE),"")</f>
        <v/>
      </c>
      <c r="P618" s="81"/>
      <c r="Q618" s="152">
        <f t="shared" si="54"/>
        <v>0</v>
      </c>
    </row>
    <row r="619" spans="2:17">
      <c r="B619" s="670">
        <f t="shared" si="55"/>
        <v>614</v>
      </c>
      <c r="C619" s="601">
        <v>42827</v>
      </c>
      <c r="D619" s="377" t="s">
        <v>587</v>
      </c>
      <c r="E619" s="572">
        <v>120100</v>
      </c>
      <c r="F619" s="672" t="str">
        <f>IFERROR(VLOOKUP(E619,STAT1!$C$4:$D$8000,2,FALSE),"")</f>
        <v xml:space="preserve">Дансны авлага MNT </v>
      </c>
      <c r="G619" s="597"/>
      <c r="H619" s="377">
        <v>11600000</v>
      </c>
      <c r="I619" s="596">
        <f t="shared" si="53"/>
        <v>0</v>
      </c>
      <c r="J619" s="81"/>
      <c r="K619" s="81"/>
      <c r="L619" s="597">
        <v>3016</v>
      </c>
      <c r="M619" s="81" t="str">
        <f>+IFERROR(VLOOKUP(L619,DATA!$G$4:$H$2000,2,FALSE),"")</f>
        <v xml:space="preserve">СТИЙЛ АРТ ХХК </v>
      </c>
      <c r="N619" s="166"/>
      <c r="O619" s="81" t="str">
        <f>IFERROR(VLOOKUP(N619,DATA!$K$4:$L$51,2,FALSE),"")</f>
        <v/>
      </c>
      <c r="P619" s="81"/>
      <c r="Q619" s="152">
        <f t="shared" si="54"/>
        <v>0</v>
      </c>
    </row>
    <row r="620" spans="2:17">
      <c r="B620" s="670">
        <f t="shared" si="55"/>
        <v>615</v>
      </c>
      <c r="C620" s="433">
        <v>42828</v>
      </c>
      <c r="D620" s="377" t="s">
        <v>1355</v>
      </c>
      <c r="E620" s="572">
        <v>100100</v>
      </c>
      <c r="F620" s="672" t="str">
        <f>IFERROR(VLOOKUP(E620,STAT1!$C$4:$D$1000,2,FALSE),"")</f>
        <v>Касс мөнгө MNT</v>
      </c>
      <c r="G620" s="377"/>
      <c r="H620" s="377">
        <v>20000</v>
      </c>
      <c r="I620" s="596">
        <f t="shared" si="53"/>
        <v>-20000</v>
      </c>
      <c r="J620" s="81">
        <f t="shared" ref="J620:J626" si="56">+IF(E620=110102,I620/K620,0)</f>
        <v>0</v>
      </c>
      <c r="K620" s="81"/>
      <c r="L620" s="597">
        <v>1005</v>
      </c>
      <c r="M620" s="81" t="str">
        <f>+IFERROR(VLOOKUP(L620,DATA!$G$4:$H$2000,2,FALSE),"")</f>
        <v>Золжаргал</v>
      </c>
      <c r="N620" s="435">
        <v>55</v>
      </c>
      <c r="O620" s="81" t="str">
        <f>IFERROR(VLOOKUP(N620,DATA!$K$4:$L$51,2,FALSE),"")</f>
        <v>Түлш, шатахуун, тээврийн хөлс, сэлбэг хэрэгсэлд төлсөн</v>
      </c>
      <c r="P620" s="81"/>
      <c r="Q620" s="152">
        <f t="shared" si="54"/>
        <v>1</v>
      </c>
    </row>
    <row r="621" spans="2:17">
      <c r="B621" s="670">
        <f t="shared" si="55"/>
        <v>616</v>
      </c>
      <c r="C621" s="433">
        <v>42828</v>
      </c>
      <c r="D621" s="377" t="s">
        <v>1355</v>
      </c>
      <c r="E621" s="572">
        <v>702000</v>
      </c>
      <c r="F621" s="672" t="str">
        <f>IFERROR(VLOOKUP(E621,STAT1!$C$4:$D$1000,2,FALSE),"")</f>
        <v>Түлш, шатахуун</v>
      </c>
      <c r="G621" s="377">
        <v>20000</v>
      </c>
      <c r="H621" s="377"/>
      <c r="I621" s="596">
        <f t="shared" si="53"/>
        <v>0</v>
      </c>
      <c r="J621" s="81">
        <f t="shared" si="56"/>
        <v>0</v>
      </c>
      <c r="K621" s="81"/>
      <c r="L621" s="597">
        <v>1005</v>
      </c>
      <c r="M621" s="81" t="str">
        <f>+IFERROR(VLOOKUP(L621,DATA!$G$4:$H$2000,2,FALSE),"")</f>
        <v>Золжаргал</v>
      </c>
      <c r="N621" s="435"/>
      <c r="O621" s="81" t="str">
        <f>IFERROR(VLOOKUP(N621,DATA!$K$4:$L$51,2,FALSE),"")</f>
        <v/>
      </c>
      <c r="P621" s="81"/>
      <c r="Q621" s="152">
        <f t="shared" si="54"/>
        <v>0</v>
      </c>
    </row>
    <row r="622" spans="2:17">
      <c r="B622" s="670">
        <f t="shared" si="55"/>
        <v>617</v>
      </c>
      <c r="C622" s="433">
        <v>42828</v>
      </c>
      <c r="D622" s="377" t="s">
        <v>1718</v>
      </c>
      <c r="E622" s="572">
        <v>120600</v>
      </c>
      <c r="F622" s="672" t="str">
        <f>IFERROR(VLOOKUP(E622,STAT1!$C$4:$D$1000,2,FALSE),"")</f>
        <v>НӨАТ авлага</v>
      </c>
      <c r="G622" s="377">
        <v>1717.55</v>
      </c>
      <c r="H622" s="377"/>
      <c r="I622" s="596">
        <f t="shared" si="53"/>
        <v>0</v>
      </c>
      <c r="J622" s="81">
        <f t="shared" si="56"/>
        <v>0</v>
      </c>
      <c r="K622" s="81"/>
      <c r="L622" s="597">
        <v>1005</v>
      </c>
      <c r="M622" s="81" t="str">
        <f>+IFERROR(VLOOKUP(L622,DATA!$G$4:$H$2000,2,FALSE),"")</f>
        <v>Золжаргал</v>
      </c>
      <c r="N622" s="435"/>
      <c r="O622" s="81" t="str">
        <f>IFERROR(VLOOKUP(N622,DATA!$K$4:$L$51,2,FALSE),"")</f>
        <v/>
      </c>
      <c r="P622" s="81"/>
      <c r="Q622" s="152">
        <f t="shared" si="54"/>
        <v>0</v>
      </c>
    </row>
    <row r="623" spans="2:17">
      <c r="B623" s="670">
        <f t="shared" si="55"/>
        <v>618</v>
      </c>
      <c r="C623" s="433">
        <v>42828</v>
      </c>
      <c r="D623" s="377" t="s">
        <v>1718</v>
      </c>
      <c r="E623" s="572">
        <v>100100</v>
      </c>
      <c r="F623" s="672" t="str">
        <f>IFERROR(VLOOKUP(E623,STAT1!$C$4:$D$1000,2,FALSE),"")</f>
        <v>Касс мөнгө MNT</v>
      </c>
      <c r="G623" s="377"/>
      <c r="H623" s="377">
        <v>18893</v>
      </c>
      <c r="I623" s="596">
        <f t="shared" si="53"/>
        <v>-18893</v>
      </c>
      <c r="J623" s="81">
        <f t="shared" si="56"/>
        <v>0</v>
      </c>
      <c r="K623" s="81"/>
      <c r="L623" s="597">
        <v>1005</v>
      </c>
      <c r="M623" s="81" t="str">
        <f>+IFERROR(VLOOKUP(L623,DATA!$G$4:$H$2000,2,FALSE),"")</f>
        <v>Золжаргал</v>
      </c>
      <c r="N623" s="435">
        <v>53</v>
      </c>
      <c r="O623" s="81" t="str">
        <f>IFERROR(VLOOKUP(N623,DATA!$K$4:$L$51,2,FALSE),"")</f>
        <v>Бараа материал худалдан авахад төлсөн</v>
      </c>
      <c r="P623" s="81"/>
      <c r="Q623" s="152">
        <f t="shared" si="54"/>
        <v>1</v>
      </c>
    </row>
    <row r="624" spans="2:17">
      <c r="B624" s="670">
        <f t="shared" si="55"/>
        <v>619</v>
      </c>
      <c r="C624" s="433">
        <v>42828</v>
      </c>
      <c r="D624" s="377" t="s">
        <v>1718</v>
      </c>
      <c r="E624" s="572">
        <v>703700</v>
      </c>
      <c r="F624" s="672" t="str">
        <f>IFERROR(VLOOKUP(E624,STAT1!$C$4:$D$1000,2,FALSE),"")</f>
        <v>Бичиг хэргийн зардал</v>
      </c>
      <c r="G624" s="377">
        <v>17175.449999999997</v>
      </c>
      <c r="H624" s="377"/>
      <c r="I624" s="596">
        <f t="shared" si="53"/>
        <v>0</v>
      </c>
      <c r="J624" s="81">
        <f t="shared" si="56"/>
        <v>0</v>
      </c>
      <c r="K624" s="81"/>
      <c r="L624" s="597">
        <v>1005</v>
      </c>
      <c r="M624" s="81" t="str">
        <f>+IFERROR(VLOOKUP(L624,DATA!$G$4:$H$2000,2,FALSE),"")</f>
        <v>Золжаргал</v>
      </c>
      <c r="N624" s="435"/>
      <c r="O624" s="81" t="str">
        <f>IFERROR(VLOOKUP(N624,DATA!$K$4:$L$51,2,FALSE),"")</f>
        <v/>
      </c>
      <c r="P624" s="81"/>
      <c r="Q624" s="152">
        <f t="shared" si="54"/>
        <v>0</v>
      </c>
    </row>
    <row r="625" spans="2:17">
      <c r="B625" s="670">
        <f t="shared" si="55"/>
        <v>620</v>
      </c>
      <c r="C625" s="433">
        <v>42828</v>
      </c>
      <c r="D625" s="377" t="s">
        <v>1355</v>
      </c>
      <c r="E625" s="572">
        <v>100100</v>
      </c>
      <c r="F625" s="672" t="str">
        <f>IFERROR(VLOOKUP(E625,STAT1!$C$4:$D$1000,2,FALSE),"")</f>
        <v>Касс мөнгө MNT</v>
      </c>
      <c r="G625" s="377"/>
      <c r="H625" s="377">
        <v>25000</v>
      </c>
      <c r="I625" s="596">
        <f t="shared" si="53"/>
        <v>-25000</v>
      </c>
      <c r="J625" s="81">
        <f t="shared" si="56"/>
        <v>0</v>
      </c>
      <c r="K625" s="81"/>
      <c r="L625" s="597">
        <v>1007</v>
      </c>
      <c r="M625" s="81" t="str">
        <f>+IFERROR(VLOOKUP(L625,DATA!$G$4:$H$2000,2,FALSE),"")</f>
        <v xml:space="preserve">Нэргүй </v>
      </c>
      <c r="N625" s="435">
        <v>55</v>
      </c>
      <c r="O625" s="81" t="str">
        <f>IFERROR(VLOOKUP(N625,DATA!$K$4:$L$51,2,FALSE),"")</f>
        <v>Түлш, шатахуун, тээврийн хөлс, сэлбэг хэрэгсэлд төлсөн</v>
      </c>
      <c r="P625" s="81"/>
      <c r="Q625" s="152">
        <f t="shared" si="54"/>
        <v>1</v>
      </c>
    </row>
    <row r="626" spans="2:17">
      <c r="B626" s="670">
        <f t="shared" si="55"/>
        <v>621</v>
      </c>
      <c r="C626" s="433">
        <v>42828</v>
      </c>
      <c r="D626" s="377" t="s">
        <v>1355</v>
      </c>
      <c r="E626" s="572">
        <v>702000</v>
      </c>
      <c r="F626" s="672" t="str">
        <f>IFERROR(VLOOKUP(E626,STAT1!$C$4:$D$1000,2,FALSE),"")</f>
        <v>Түлш, шатахуун</v>
      </c>
      <c r="G626" s="377">
        <v>25000</v>
      </c>
      <c r="H626" s="377">
        <v>0</v>
      </c>
      <c r="I626" s="596">
        <f t="shared" si="53"/>
        <v>0</v>
      </c>
      <c r="J626" s="81">
        <f t="shared" si="56"/>
        <v>0</v>
      </c>
      <c r="K626" s="81"/>
      <c r="L626" s="597">
        <v>1007</v>
      </c>
      <c r="M626" s="81" t="str">
        <f>+IFERROR(VLOOKUP(L626,DATA!$G$4:$H$2000,2,FALSE),"")</f>
        <v xml:space="preserve">Нэргүй </v>
      </c>
      <c r="N626" s="435"/>
      <c r="O626" s="81" t="str">
        <f>IFERROR(VLOOKUP(N626,DATA!$K$4:$L$51,2,FALSE),"")</f>
        <v/>
      </c>
      <c r="P626" s="81"/>
      <c r="Q626" s="152">
        <f t="shared" si="54"/>
        <v>0</v>
      </c>
    </row>
    <row r="627" spans="2:17">
      <c r="B627" s="670">
        <f t="shared" si="55"/>
        <v>622</v>
      </c>
      <c r="C627" s="601">
        <v>42828</v>
      </c>
      <c r="D627" s="377" t="s">
        <v>2692</v>
      </c>
      <c r="E627" s="572">
        <v>140200</v>
      </c>
      <c r="F627" s="672" t="str">
        <f>IFERROR(VLOOKUP(E627,STAT1!$C$4:$D$8000,2,FALSE),"")</f>
        <v>ШМЗардал ХАТААХ ЦЕХ /нарс/</v>
      </c>
      <c r="G627" s="377">
        <v>80731200.575399995</v>
      </c>
      <c r="H627" s="597"/>
      <c r="I627" s="596">
        <f t="shared" si="53"/>
        <v>0</v>
      </c>
      <c r="J627" s="81"/>
      <c r="K627" s="81"/>
      <c r="L627" s="597">
        <v>1006</v>
      </c>
      <c r="M627" s="81" t="str">
        <f>+IFERROR(VLOOKUP(L627,DATA!$G$4:$H$2000,2,FALSE),"")</f>
        <v>Оюундэлгэр /нярав/</v>
      </c>
      <c r="N627" s="166"/>
      <c r="O627" s="81" t="str">
        <f>IFERROR(VLOOKUP(N627,DATA!$K$4:$L$51,2,FALSE),"")</f>
        <v/>
      </c>
      <c r="P627" s="81"/>
      <c r="Q627" s="152">
        <f t="shared" si="54"/>
        <v>0</v>
      </c>
    </row>
    <row r="628" spans="2:17">
      <c r="B628" s="670">
        <f t="shared" si="55"/>
        <v>623</v>
      </c>
      <c r="C628" s="601">
        <v>42828</v>
      </c>
      <c r="D628" s="377"/>
      <c r="E628" s="572">
        <v>140100</v>
      </c>
      <c r="F628" s="672" t="str">
        <f>IFERROR(VLOOKUP(E628,STAT1!$C$4:$D$8000,2,FALSE),"")</f>
        <v>Түүхий эд материал</v>
      </c>
      <c r="G628" s="597"/>
      <c r="H628" s="377">
        <v>80731200.575399995</v>
      </c>
      <c r="I628" s="596">
        <f t="shared" si="53"/>
        <v>0</v>
      </c>
      <c r="J628" s="81"/>
      <c r="K628" s="81"/>
      <c r="L628" s="597">
        <v>1006</v>
      </c>
      <c r="M628" s="81" t="str">
        <f>+IFERROR(VLOOKUP(L628,DATA!$G$4:$H$2000,2,FALSE),"")</f>
        <v>Оюундэлгэр /нярав/</v>
      </c>
      <c r="N628" s="166"/>
      <c r="O628" s="81" t="str">
        <f>IFERROR(VLOOKUP(N628,DATA!$K$4:$L$51,2,FALSE),"")</f>
        <v/>
      </c>
      <c r="P628" s="81"/>
      <c r="Q628" s="152">
        <f t="shared" si="54"/>
        <v>0</v>
      </c>
    </row>
    <row r="629" spans="2:17">
      <c r="B629" s="670">
        <f t="shared" si="55"/>
        <v>624</v>
      </c>
      <c r="C629" s="601">
        <v>42828</v>
      </c>
      <c r="D629" s="377" t="s">
        <v>2693</v>
      </c>
      <c r="E629" s="572">
        <v>140200</v>
      </c>
      <c r="F629" s="672" t="str">
        <f>IFERROR(VLOOKUP(E629,STAT1!$C$4:$D$8000,2,FALSE),"")</f>
        <v>ШМЗардал ХАТААХ ЦЕХ /нарс/</v>
      </c>
      <c r="G629" s="377">
        <v>45038605.913999997</v>
      </c>
      <c r="H629" s="597"/>
      <c r="I629" s="596">
        <f t="shared" si="53"/>
        <v>0</v>
      </c>
      <c r="J629" s="81"/>
      <c r="K629" s="81"/>
      <c r="L629" s="597">
        <v>1006</v>
      </c>
      <c r="M629" s="81" t="str">
        <f>+IFERROR(VLOOKUP(L629,DATA!$G$4:$H$2000,2,FALSE),"")</f>
        <v>Оюундэлгэр /нярав/</v>
      </c>
      <c r="N629" s="166"/>
      <c r="O629" s="81" t="str">
        <f>IFERROR(VLOOKUP(N629,DATA!$K$4:$L$51,2,FALSE),"")</f>
        <v/>
      </c>
      <c r="P629" s="81"/>
      <c r="Q629" s="152">
        <f t="shared" si="54"/>
        <v>0</v>
      </c>
    </row>
    <row r="630" spans="2:17">
      <c r="B630" s="670">
        <f t="shared" si="55"/>
        <v>625</v>
      </c>
      <c r="C630" s="601">
        <v>42828</v>
      </c>
      <c r="D630" s="377"/>
      <c r="E630" s="572">
        <v>140100</v>
      </c>
      <c r="F630" s="672" t="str">
        <f>IFERROR(VLOOKUP(E630,STAT1!$C$4:$D$8000,2,FALSE),"")</f>
        <v>Түүхий эд материал</v>
      </c>
      <c r="G630" s="597"/>
      <c r="H630" s="377">
        <v>45038605.913999997</v>
      </c>
      <c r="I630" s="596">
        <f t="shared" si="53"/>
        <v>0</v>
      </c>
      <c r="J630" s="81"/>
      <c r="K630" s="81"/>
      <c r="L630" s="597">
        <v>1006</v>
      </c>
      <c r="M630" s="81" t="str">
        <f>+IFERROR(VLOOKUP(L630,DATA!$G$4:$H$2000,2,FALSE),"")</f>
        <v>Оюундэлгэр /нярав/</v>
      </c>
      <c r="N630" s="166"/>
      <c r="O630" s="81" t="str">
        <f>IFERROR(VLOOKUP(N630,DATA!$K$4:$L$51,2,FALSE),"")</f>
        <v/>
      </c>
      <c r="P630" s="81"/>
      <c r="Q630" s="152">
        <f t="shared" si="54"/>
        <v>0</v>
      </c>
    </row>
    <row r="631" spans="2:17">
      <c r="B631" s="670">
        <f t="shared" si="55"/>
        <v>626</v>
      </c>
      <c r="C631" s="601">
        <v>42828</v>
      </c>
      <c r="D631" s="377" t="s">
        <v>2694</v>
      </c>
      <c r="E631" s="572">
        <v>140200</v>
      </c>
      <c r="F631" s="672" t="str">
        <f>IFERROR(VLOOKUP(E631,STAT1!$C$4:$D$8000,2,FALSE),"")</f>
        <v>ШМЗардал ХАТААХ ЦЕХ /нарс/</v>
      </c>
      <c r="G631" s="377">
        <v>10918123.600000001</v>
      </c>
      <c r="H631" s="597"/>
      <c r="I631" s="596">
        <f t="shared" si="53"/>
        <v>0</v>
      </c>
      <c r="J631" s="81"/>
      <c r="K631" s="81"/>
      <c r="L631" s="597">
        <v>1006</v>
      </c>
      <c r="M631" s="81" t="str">
        <f>+IFERROR(VLOOKUP(L631,DATA!$G$4:$H$2000,2,FALSE),"")</f>
        <v>Оюундэлгэр /нярав/</v>
      </c>
      <c r="N631" s="166"/>
      <c r="O631" s="81" t="str">
        <f>IFERROR(VLOOKUP(N631,DATA!$K$4:$L$51,2,FALSE),"")</f>
        <v/>
      </c>
      <c r="P631" s="81"/>
      <c r="Q631" s="152">
        <f t="shared" si="54"/>
        <v>0</v>
      </c>
    </row>
    <row r="632" spans="2:17">
      <c r="B632" s="670">
        <f t="shared" si="55"/>
        <v>627</v>
      </c>
      <c r="C632" s="601">
        <v>42828</v>
      </c>
      <c r="D632" s="377"/>
      <c r="E632" s="572">
        <v>140100</v>
      </c>
      <c r="F632" s="672" t="str">
        <f>IFERROR(VLOOKUP(E632,STAT1!$C$4:$D$8000,2,FALSE),"")</f>
        <v>Түүхий эд материал</v>
      </c>
      <c r="G632" s="597"/>
      <c r="H632" s="377">
        <v>10918123.600000001</v>
      </c>
      <c r="I632" s="596">
        <f t="shared" si="53"/>
        <v>0</v>
      </c>
      <c r="J632" s="81"/>
      <c r="K632" s="81"/>
      <c r="L632" s="597">
        <v>1006</v>
      </c>
      <c r="M632" s="81" t="str">
        <f>+IFERROR(VLOOKUP(L632,DATA!$G$4:$H$2000,2,FALSE),"")</f>
        <v>Оюундэлгэр /нярав/</v>
      </c>
      <c r="N632" s="166"/>
      <c r="O632" s="81" t="str">
        <f>IFERROR(VLOOKUP(N632,DATA!$K$4:$L$51,2,FALSE),"")</f>
        <v/>
      </c>
      <c r="P632" s="81"/>
      <c r="Q632" s="152">
        <f t="shared" si="54"/>
        <v>0</v>
      </c>
    </row>
    <row r="633" spans="2:17">
      <c r="B633" s="670">
        <f t="shared" si="55"/>
        <v>628</v>
      </c>
      <c r="C633" s="601">
        <v>42828</v>
      </c>
      <c r="D633" s="377" t="s">
        <v>2695</v>
      </c>
      <c r="E633" s="572">
        <v>140400</v>
      </c>
      <c r="F633" s="672" t="str">
        <f>IFERROR(VLOOKUP(E633,STAT1!$C$4:$D$8000,2,FALSE),"")</f>
        <v>ҮНЗардал ХАТААХ ЦЕХ /нарс/</v>
      </c>
      <c r="G633" s="377">
        <v>185000</v>
      </c>
      <c r="H633" s="597"/>
      <c r="I633" s="596">
        <f t="shared" si="53"/>
        <v>0</v>
      </c>
      <c r="J633" s="81"/>
      <c r="K633" s="81"/>
      <c r="L633" s="597">
        <v>1006</v>
      </c>
      <c r="M633" s="81" t="str">
        <f>+IFERROR(VLOOKUP(L633,DATA!$G$4:$H$2000,2,FALSE),"")</f>
        <v>Оюундэлгэр /нярав/</v>
      </c>
      <c r="N633" s="166"/>
      <c r="O633" s="81" t="str">
        <f>IFERROR(VLOOKUP(N633,DATA!$K$4:$L$51,2,FALSE),"")</f>
        <v/>
      </c>
      <c r="P633" s="81"/>
      <c r="Q633" s="152">
        <f t="shared" si="54"/>
        <v>0</v>
      </c>
    </row>
    <row r="634" spans="2:17">
      <c r="B634" s="670">
        <f t="shared" si="55"/>
        <v>629</v>
      </c>
      <c r="C634" s="601">
        <v>42828</v>
      </c>
      <c r="D634" s="377"/>
      <c r="E634" s="572">
        <v>160200</v>
      </c>
      <c r="F634" s="672" t="str">
        <f>IFERROR(VLOOKUP(E634,STAT1!$C$4:$D$8000,2,FALSE),"")</f>
        <v>Агуулахад байгаа материал, хангамж</v>
      </c>
      <c r="G634" s="597"/>
      <c r="H634" s="377">
        <v>185000</v>
      </c>
      <c r="I634" s="596">
        <f t="shared" si="53"/>
        <v>0</v>
      </c>
      <c r="J634" s="81"/>
      <c r="K634" s="81"/>
      <c r="L634" s="597">
        <v>1006</v>
      </c>
      <c r="M634" s="81" t="str">
        <f>+IFERROR(VLOOKUP(L634,DATA!$G$4:$H$2000,2,FALSE),"")</f>
        <v>Оюундэлгэр /нярав/</v>
      </c>
      <c r="N634" s="166"/>
      <c r="O634" s="81" t="str">
        <f>IFERROR(VLOOKUP(N634,DATA!$K$4:$L$51,2,FALSE),"")</f>
        <v/>
      </c>
      <c r="P634" s="81"/>
      <c r="Q634" s="152">
        <f t="shared" si="54"/>
        <v>0</v>
      </c>
    </row>
    <row r="635" spans="2:17">
      <c r="B635" s="670">
        <f t="shared" si="55"/>
        <v>630</v>
      </c>
      <c r="C635" s="601">
        <v>42828</v>
      </c>
      <c r="D635" s="377" t="s">
        <v>1635</v>
      </c>
      <c r="E635" s="572">
        <v>140400</v>
      </c>
      <c r="F635" s="672" t="str">
        <f>IFERROR(VLOOKUP(E635,STAT1!$C$4:$D$8000,2,FALSE),"")</f>
        <v>ҮНЗардал ХАТААХ ЦЕХ /нарс/</v>
      </c>
      <c r="G635" s="377">
        <v>801524.54545454541</v>
      </c>
      <c r="H635" s="597"/>
      <c r="I635" s="596">
        <f t="shared" si="53"/>
        <v>0</v>
      </c>
      <c r="J635" s="81"/>
      <c r="K635" s="81"/>
      <c r="L635" s="597">
        <v>1006</v>
      </c>
      <c r="M635" s="81" t="str">
        <f>+IFERROR(VLOOKUP(L635,DATA!$G$4:$H$2000,2,FALSE),"")</f>
        <v>Оюундэлгэр /нярав/</v>
      </c>
      <c r="N635" s="166"/>
      <c r="O635" s="81" t="str">
        <f>IFERROR(VLOOKUP(N635,DATA!$K$4:$L$51,2,FALSE),"")</f>
        <v/>
      </c>
      <c r="P635" s="81"/>
      <c r="Q635" s="152">
        <f t="shared" si="54"/>
        <v>0</v>
      </c>
    </row>
    <row r="636" spans="2:17">
      <c r="B636" s="670">
        <f t="shared" si="55"/>
        <v>631</v>
      </c>
      <c r="C636" s="601">
        <v>42828</v>
      </c>
      <c r="D636" s="377"/>
      <c r="E636" s="572">
        <v>160200</v>
      </c>
      <c r="F636" s="672" t="str">
        <f>IFERROR(VLOOKUP(E636,STAT1!$C$4:$D$8000,2,FALSE),"")</f>
        <v>Агуулахад байгаа материал, хангамж</v>
      </c>
      <c r="G636" s="597"/>
      <c r="H636" s="377">
        <v>801524.54545454541</v>
      </c>
      <c r="I636" s="596">
        <f t="shared" si="53"/>
        <v>0</v>
      </c>
      <c r="J636" s="81"/>
      <c r="K636" s="81"/>
      <c r="L636" s="597">
        <v>1006</v>
      </c>
      <c r="M636" s="81" t="str">
        <f>+IFERROR(VLOOKUP(L636,DATA!$G$4:$H$2000,2,FALSE),"")</f>
        <v>Оюундэлгэр /нярав/</v>
      </c>
      <c r="N636" s="166"/>
      <c r="O636" s="81" t="str">
        <f>IFERROR(VLOOKUP(N636,DATA!$K$4:$L$51,2,FALSE),"")</f>
        <v/>
      </c>
      <c r="P636" s="81"/>
      <c r="Q636" s="152">
        <f t="shared" si="54"/>
        <v>0</v>
      </c>
    </row>
    <row r="637" spans="2:17">
      <c r="B637" s="670">
        <f t="shared" si="55"/>
        <v>632</v>
      </c>
      <c r="C637" s="601">
        <v>42828</v>
      </c>
      <c r="D637" s="377" t="s">
        <v>2696</v>
      </c>
      <c r="E637" s="572">
        <v>140400</v>
      </c>
      <c r="F637" s="672" t="str">
        <f>IFERROR(VLOOKUP(E637,STAT1!$C$4:$D$8000,2,FALSE),"")</f>
        <v>ҮНЗардал ХАТААХ ЦЕХ /нарс/</v>
      </c>
      <c r="G637" s="377">
        <v>2723480.68</v>
      </c>
      <c r="H637" s="597"/>
      <c r="I637" s="596">
        <f t="shared" si="53"/>
        <v>0</v>
      </c>
      <c r="J637" s="81"/>
      <c r="K637" s="81"/>
      <c r="L637" s="597">
        <v>1006</v>
      </c>
      <c r="M637" s="81" t="str">
        <f>+IFERROR(VLOOKUP(L637,DATA!$G$4:$H$2000,2,FALSE),"")</f>
        <v>Оюундэлгэр /нярав/</v>
      </c>
      <c r="N637" s="166"/>
      <c r="O637" s="81" t="str">
        <f>IFERROR(VLOOKUP(N637,DATA!$K$4:$L$51,2,FALSE),"")</f>
        <v/>
      </c>
      <c r="P637" s="81"/>
      <c r="Q637" s="152">
        <f t="shared" si="54"/>
        <v>0</v>
      </c>
    </row>
    <row r="638" spans="2:17">
      <c r="B638" s="670">
        <f t="shared" si="55"/>
        <v>633</v>
      </c>
      <c r="C638" s="601">
        <v>42828</v>
      </c>
      <c r="D638" s="377" t="s">
        <v>587</v>
      </c>
      <c r="E638" s="572">
        <v>160100</v>
      </c>
      <c r="F638" s="672" t="str">
        <f>IFERROR(VLOOKUP(E638,STAT1!$C$4:$D$8000,2,FALSE),"")</f>
        <v xml:space="preserve">Барилгын материал </v>
      </c>
      <c r="G638" s="597"/>
      <c r="H638" s="377">
        <v>2723480.68</v>
      </c>
      <c r="I638" s="596">
        <f t="shared" si="53"/>
        <v>0</v>
      </c>
      <c r="J638" s="81"/>
      <c r="K638" s="81"/>
      <c r="L638" s="597">
        <v>1006</v>
      </c>
      <c r="M638" s="81" t="str">
        <f>+IFERROR(VLOOKUP(L638,DATA!$G$4:$H$2000,2,FALSE),"")</f>
        <v>Оюундэлгэр /нярав/</v>
      </c>
      <c r="N638" s="166"/>
      <c r="O638" s="81" t="str">
        <f>IFERROR(VLOOKUP(N638,DATA!$K$4:$L$51,2,FALSE),"")</f>
        <v/>
      </c>
      <c r="P638" s="81"/>
      <c r="Q638" s="152">
        <f t="shared" si="54"/>
        <v>0</v>
      </c>
    </row>
    <row r="639" spans="2:17">
      <c r="B639" s="670">
        <f t="shared" si="55"/>
        <v>634</v>
      </c>
      <c r="C639" s="601">
        <v>42828</v>
      </c>
      <c r="D639" s="377" t="s">
        <v>1777</v>
      </c>
      <c r="E639" s="572">
        <v>120600</v>
      </c>
      <c r="F639" s="672" t="str">
        <f>IFERROR(VLOOKUP(E639,STAT1!$C$4:$D$8000,2,FALSE),"")</f>
        <v>НӨАТ авлага</v>
      </c>
      <c r="G639" s="377">
        <v>36363.64</v>
      </c>
      <c r="H639" s="597"/>
      <c r="I639" s="596">
        <f t="shared" si="53"/>
        <v>0</v>
      </c>
      <c r="J639" s="81"/>
      <c r="K639" s="81"/>
      <c r="L639" s="597">
        <v>1004</v>
      </c>
      <c r="M639" s="81" t="str">
        <f>+IFERROR(VLOOKUP(L639,DATA!$G$4:$H$2000,2,FALSE),"")</f>
        <v xml:space="preserve">Түмэндэлгэр </v>
      </c>
      <c r="N639" s="166"/>
      <c r="O639" s="81" t="str">
        <f>IFERROR(VLOOKUP(N639,DATA!$K$4:$L$51,2,FALSE),"")</f>
        <v/>
      </c>
      <c r="P639" s="81"/>
      <c r="Q639" s="152">
        <f t="shared" si="54"/>
        <v>0</v>
      </c>
    </row>
    <row r="640" spans="2:17">
      <c r="B640" s="670">
        <f t="shared" si="55"/>
        <v>635</v>
      </c>
      <c r="C640" s="601">
        <v>42828</v>
      </c>
      <c r="D640" s="377" t="s">
        <v>1777</v>
      </c>
      <c r="E640" s="572">
        <v>706000</v>
      </c>
      <c r="F640" s="672" t="str">
        <f>IFERROR(VLOOKUP(E640,STAT1!$C$4:$D$8000,2,FALSE),"")</f>
        <v>Бусад зардал</v>
      </c>
      <c r="G640" s="377"/>
      <c r="H640" s="377">
        <v>36363.64</v>
      </c>
      <c r="I640" s="596">
        <f t="shared" si="53"/>
        <v>0</v>
      </c>
      <c r="J640" s="81"/>
      <c r="K640" s="81"/>
      <c r="L640" s="597">
        <v>1004</v>
      </c>
      <c r="M640" s="81" t="str">
        <f>+IFERROR(VLOOKUP(L640,DATA!$G$4:$H$2000,2,FALSE),"")</f>
        <v xml:space="preserve">Түмэндэлгэр </v>
      </c>
      <c r="N640" s="166"/>
      <c r="O640" s="81" t="str">
        <f>IFERROR(VLOOKUP(N640,DATA!$K$4:$L$51,2,FALSE),"")</f>
        <v/>
      </c>
      <c r="P640" s="81"/>
      <c r="Q640" s="152">
        <f t="shared" si="54"/>
        <v>0</v>
      </c>
    </row>
    <row r="641" spans="2:17">
      <c r="B641" s="670">
        <f t="shared" si="55"/>
        <v>636</v>
      </c>
      <c r="C641" s="433">
        <v>42831</v>
      </c>
      <c r="D641" s="377" t="s">
        <v>1719</v>
      </c>
      <c r="E641" s="572">
        <v>100100</v>
      </c>
      <c r="F641" s="672" t="str">
        <f>IFERROR(VLOOKUP(E641,STAT1!$C$4:$D$1000,2,FALSE),"")</f>
        <v>Касс мөнгө MNT</v>
      </c>
      <c r="G641" s="377"/>
      <c r="H641" s="377">
        <v>4500000</v>
      </c>
      <c r="I641" s="596">
        <f t="shared" si="53"/>
        <v>-4500000</v>
      </c>
      <c r="J641" s="81">
        <f t="shared" ref="J641:J646" si="57">+IF(E641=110102,I641/K641,0)</f>
        <v>0</v>
      </c>
      <c r="K641" s="81"/>
      <c r="L641" s="597">
        <v>3016</v>
      </c>
      <c r="M641" s="81" t="str">
        <f>+IFERROR(VLOOKUP(L641,DATA!$G$4:$H$2000,2,FALSE),"")</f>
        <v xml:space="preserve">СТИЙЛ АРТ ХХК </v>
      </c>
      <c r="N641" s="435">
        <v>53</v>
      </c>
      <c r="O641" s="81" t="str">
        <f>IFERROR(VLOOKUP(N641,DATA!$K$4:$L$51,2,FALSE),"")</f>
        <v>Бараа материал худалдан авахад төлсөн</v>
      </c>
      <c r="P641" s="81"/>
      <c r="Q641" s="152">
        <f t="shared" si="54"/>
        <v>1</v>
      </c>
    </row>
    <row r="642" spans="2:17">
      <c r="B642" s="670">
        <f t="shared" si="55"/>
        <v>637</v>
      </c>
      <c r="C642" s="433">
        <v>42831</v>
      </c>
      <c r="D642" s="377" t="s">
        <v>1719</v>
      </c>
      <c r="E642" s="572">
        <v>120100</v>
      </c>
      <c r="F642" s="672" t="str">
        <f>IFERROR(VLOOKUP(E642,STAT1!$C$4:$D$1000,2,FALSE),"")</f>
        <v xml:space="preserve">Дансны авлага MNT </v>
      </c>
      <c r="G642" s="377">
        <v>4500000</v>
      </c>
      <c r="H642" s="377">
        <v>0</v>
      </c>
      <c r="I642" s="596">
        <f t="shared" si="53"/>
        <v>0</v>
      </c>
      <c r="J642" s="81">
        <f t="shared" si="57"/>
        <v>0</v>
      </c>
      <c r="K642" s="81"/>
      <c r="L642" s="597">
        <v>3016</v>
      </c>
      <c r="M642" s="81" t="str">
        <f>+IFERROR(VLOOKUP(L642,DATA!$G$4:$H$2000,2,FALSE),"")</f>
        <v xml:space="preserve">СТИЙЛ АРТ ХХК </v>
      </c>
      <c r="N642" s="435"/>
      <c r="O642" s="81" t="str">
        <f>IFERROR(VLOOKUP(N642,DATA!$K$4:$L$51,2,FALSE),"")</f>
        <v/>
      </c>
      <c r="P642" s="81"/>
      <c r="Q642" s="152">
        <f t="shared" si="54"/>
        <v>0</v>
      </c>
    </row>
    <row r="643" spans="2:17">
      <c r="B643" s="670">
        <f t="shared" si="55"/>
        <v>638</v>
      </c>
      <c r="C643" s="433">
        <v>42832</v>
      </c>
      <c r="D643" s="377" t="s">
        <v>1741</v>
      </c>
      <c r="E643" s="572">
        <v>320100</v>
      </c>
      <c r="F643" s="672" t="str">
        <f>IFERROR(VLOOKUP(E643,STAT1!$C$4:$D$1000,2,FALSE),"")</f>
        <v>Урьдчилж орсон орлого MNT</v>
      </c>
      <c r="G643" s="377"/>
      <c r="H643" s="377">
        <v>374000</v>
      </c>
      <c r="I643" s="596">
        <f t="shared" si="53"/>
        <v>0</v>
      </c>
      <c r="J643" s="81">
        <f t="shared" si="57"/>
        <v>0</v>
      </c>
      <c r="K643" s="81"/>
      <c r="L643" s="597">
        <v>3057</v>
      </c>
      <c r="M643" s="81" t="str">
        <f>+IFERROR(VLOOKUP(L643,DATA!$G$4:$H$2000,2,FALSE),"")</f>
        <v>ЕНТҮМ ТРЭЙВЭЛ ХХК</v>
      </c>
      <c r="N643" s="435"/>
      <c r="O643" s="81" t="str">
        <f>IFERROR(VLOOKUP(N643,DATA!$K$4:$L$51,2,FALSE),"")</f>
        <v/>
      </c>
      <c r="P643" s="81"/>
      <c r="Q643" s="152">
        <f t="shared" si="54"/>
        <v>0</v>
      </c>
    </row>
    <row r="644" spans="2:17">
      <c r="B644" s="670">
        <f t="shared" si="55"/>
        <v>639</v>
      </c>
      <c r="C644" s="433">
        <v>42832</v>
      </c>
      <c r="D644" s="377" t="s">
        <v>1741</v>
      </c>
      <c r="E644" s="572">
        <v>100100</v>
      </c>
      <c r="F644" s="672" t="str">
        <f>IFERROR(VLOOKUP(E644,STAT1!$C$4:$D$1000,2,FALSE),"")</f>
        <v>Касс мөнгө MNT</v>
      </c>
      <c r="G644" s="377">
        <v>374000</v>
      </c>
      <c r="H644" s="377">
        <v>0</v>
      </c>
      <c r="I644" s="596">
        <f t="shared" si="53"/>
        <v>374000</v>
      </c>
      <c r="J644" s="81">
        <f t="shared" si="57"/>
        <v>0</v>
      </c>
      <c r="K644" s="81"/>
      <c r="L644" s="597">
        <v>3057</v>
      </c>
      <c r="M644" s="81" t="str">
        <f>+IFERROR(VLOOKUP(L644,DATA!$G$4:$H$2000,2,FALSE),"")</f>
        <v>ЕНТҮМ ТРЭЙВЭЛ ХХК</v>
      </c>
      <c r="N644" s="435">
        <v>41</v>
      </c>
      <c r="O644" s="81" t="str">
        <f>IFERROR(VLOOKUP(N644,DATA!$K$4:$L$51,2,FALSE),"")</f>
        <v>Бараа борлуулсан, үйлчилгээ үзүүлсэний орлого</v>
      </c>
      <c r="P644" s="81"/>
      <c r="Q644" s="152">
        <f t="shared" si="54"/>
        <v>1</v>
      </c>
    </row>
    <row r="645" spans="2:17">
      <c r="B645" s="670">
        <f t="shared" si="55"/>
        <v>640</v>
      </c>
      <c r="C645" s="433">
        <v>42832</v>
      </c>
      <c r="D645" s="377" t="s">
        <v>1741</v>
      </c>
      <c r="E645" s="572">
        <v>320100</v>
      </c>
      <c r="F645" s="672" t="str">
        <f>IFERROR(VLOOKUP(E645,STAT1!$C$4:$D$1000,2,FALSE),"")</f>
        <v>Урьдчилж орсон орлого MNT</v>
      </c>
      <c r="G645" s="377"/>
      <c r="H645" s="377">
        <v>348750</v>
      </c>
      <c r="I645" s="596">
        <f t="shared" si="53"/>
        <v>0</v>
      </c>
      <c r="J645" s="81">
        <f t="shared" si="57"/>
        <v>0</v>
      </c>
      <c r="K645" s="81"/>
      <c r="L645" s="597">
        <v>3051</v>
      </c>
      <c r="M645" s="81" t="str">
        <f>+IFERROR(VLOOKUP(L645,DATA!$G$4:$H$2000,2,FALSE),"")</f>
        <v xml:space="preserve">НОМАДС ТУР ХХК </v>
      </c>
      <c r="N645" s="435"/>
      <c r="O645" s="81" t="str">
        <f>IFERROR(VLOOKUP(N645,DATA!$K$4:$L$51,2,FALSE),"")</f>
        <v/>
      </c>
      <c r="P645" s="81"/>
      <c r="Q645" s="152">
        <f t="shared" si="54"/>
        <v>0</v>
      </c>
    </row>
    <row r="646" spans="2:17">
      <c r="B646" s="670">
        <f t="shared" si="55"/>
        <v>641</v>
      </c>
      <c r="C646" s="433">
        <v>42832</v>
      </c>
      <c r="D646" s="377" t="s">
        <v>1741</v>
      </c>
      <c r="E646" s="572">
        <v>100100</v>
      </c>
      <c r="F646" s="672" t="str">
        <f>IFERROR(VLOOKUP(E646,STAT1!$C$4:$D$1000,2,FALSE),"")</f>
        <v>Касс мөнгө MNT</v>
      </c>
      <c r="G646" s="377">
        <v>348750</v>
      </c>
      <c r="H646" s="377">
        <v>0</v>
      </c>
      <c r="I646" s="596">
        <f t="shared" ref="I646:I709" si="58">+IF(OR(E646=100100,E646=100200,E646=110100,E646=110102,E646=110103,E646=110104,E646=110105,E646=110200,E646=110201,E646=110202,E646=110203,E646=110204,E646=110300),G646,0)+IF(OR(E646=100100,E646=100200,E646=110100,E646=110102,E646=110103,E646=110104,E646=110105,E646=110200,E646=110201,E646=110202,E646=110203,E646=110204,E646=110300),H646*-1,0)</f>
        <v>348750</v>
      </c>
      <c r="J646" s="81">
        <f t="shared" si="57"/>
        <v>0</v>
      </c>
      <c r="K646" s="81"/>
      <c r="L646" s="597">
        <v>3051</v>
      </c>
      <c r="M646" s="81" t="str">
        <f>+IFERROR(VLOOKUP(L646,DATA!$G$4:$H$2000,2,FALSE),"")</f>
        <v xml:space="preserve">НОМАДС ТУР ХХК </v>
      </c>
      <c r="N646" s="435">
        <v>41</v>
      </c>
      <c r="O646" s="81" t="str">
        <f>IFERROR(VLOOKUP(N646,DATA!$K$4:$L$51,2,FALSE),"")</f>
        <v>Бараа борлуулсан, үйлчилгээ үзүүлсэний орлого</v>
      </c>
      <c r="P646" s="81"/>
      <c r="Q646" s="152">
        <f t="shared" si="54"/>
        <v>1</v>
      </c>
    </row>
    <row r="647" spans="2:17">
      <c r="B647" s="670">
        <f t="shared" si="55"/>
        <v>642</v>
      </c>
      <c r="C647" s="601">
        <v>42832</v>
      </c>
      <c r="D647" s="377" t="s">
        <v>2685</v>
      </c>
      <c r="E647" s="573">
        <v>150101</v>
      </c>
      <c r="F647" s="672" t="str">
        <f>IFERROR(VLOOKUP(E647,STAT1!$C$4:$D$1000,2,FALSE),"")</f>
        <v>Бараа бэлэн бүтээгдэхүүн БОЛОВСРУУЛАХ ЦЕХ /нарс/</v>
      </c>
      <c r="G647" s="597"/>
      <c r="H647" s="377">
        <v>199102.82860709212</v>
      </c>
      <c r="I647" s="596">
        <f t="shared" si="58"/>
        <v>0</v>
      </c>
      <c r="J647" s="81"/>
      <c r="K647" s="81"/>
      <c r="L647" s="597">
        <v>3057</v>
      </c>
      <c r="M647" s="81" t="str">
        <f>+IFERROR(VLOOKUP(L647,DATA!$G$4:$H$2000,2,FALSE),"")</f>
        <v>ЕНТҮМ ТРЭЙВЭЛ ХХК</v>
      </c>
      <c r="N647" s="166"/>
      <c r="O647" s="81" t="str">
        <f>IFERROR(VLOOKUP(N647,DATA!$K$4:$L$51,2,FALSE),"")</f>
        <v/>
      </c>
      <c r="P647" s="81"/>
      <c r="Q647" s="152">
        <f t="shared" ref="Q647:Q710" si="59">+IF(I647,1,0)</f>
        <v>0</v>
      </c>
    </row>
    <row r="648" spans="2:17">
      <c r="B648" s="670">
        <f t="shared" si="55"/>
        <v>643</v>
      </c>
      <c r="C648" s="601">
        <v>42832</v>
      </c>
      <c r="D648" s="377" t="s">
        <v>587</v>
      </c>
      <c r="E648" s="572">
        <v>610100</v>
      </c>
      <c r="F648" s="672" t="str">
        <f>IFERROR(VLOOKUP(E648,STAT1!$C$4:$D$1000,2,FALSE),"")</f>
        <v>Борлуулсан барааны өртөг</v>
      </c>
      <c r="G648" s="377">
        <v>199102.82860709212</v>
      </c>
      <c r="H648" s="597"/>
      <c r="I648" s="596">
        <f t="shared" si="58"/>
        <v>0</v>
      </c>
      <c r="J648" s="81"/>
      <c r="K648" s="81"/>
      <c r="L648" s="597">
        <v>3057</v>
      </c>
      <c r="M648" s="81" t="str">
        <f>+IFERROR(VLOOKUP(L648,DATA!$G$4:$H$2000,2,FALSE),"")</f>
        <v>ЕНТҮМ ТРЭЙВЭЛ ХХК</v>
      </c>
      <c r="N648" s="166"/>
      <c r="O648" s="81" t="str">
        <f>IFERROR(VLOOKUP(N648,DATA!$K$4:$L$51,2,FALSE),"")</f>
        <v/>
      </c>
      <c r="P648" s="81"/>
      <c r="Q648" s="152">
        <f t="shared" si="59"/>
        <v>0</v>
      </c>
    </row>
    <row r="649" spans="2:17">
      <c r="B649" s="670">
        <f t="shared" si="55"/>
        <v>644</v>
      </c>
      <c r="C649" s="601">
        <v>42832</v>
      </c>
      <c r="D649" s="377" t="s">
        <v>587</v>
      </c>
      <c r="E649" s="572">
        <v>310500</v>
      </c>
      <c r="F649" s="672" t="str">
        <f>IFERROR(VLOOKUP(E649,STAT1!$C$4:$D$1000,2,FALSE),"")</f>
        <v>НӨАТ өглөг</v>
      </c>
      <c r="G649" s="597"/>
      <c r="H649" s="377">
        <v>33999.999549</v>
      </c>
      <c r="I649" s="596">
        <f t="shared" si="58"/>
        <v>0</v>
      </c>
      <c r="J649" s="81"/>
      <c r="K649" s="81"/>
      <c r="L649" s="597">
        <v>3057</v>
      </c>
      <c r="M649" s="81" t="str">
        <f>+IFERROR(VLOOKUP(L649,DATA!$G$4:$H$2000,2,FALSE),"")</f>
        <v>ЕНТҮМ ТРЭЙВЭЛ ХХК</v>
      </c>
      <c r="N649" s="166"/>
      <c r="O649" s="81" t="str">
        <f>IFERROR(VLOOKUP(N649,DATA!$K$4:$L$51,2,FALSE),"")</f>
        <v/>
      </c>
      <c r="P649" s="81"/>
      <c r="Q649" s="152">
        <f t="shared" si="59"/>
        <v>0</v>
      </c>
    </row>
    <row r="650" spans="2:17">
      <c r="B650" s="670">
        <f t="shared" si="55"/>
        <v>645</v>
      </c>
      <c r="C650" s="601">
        <v>42832</v>
      </c>
      <c r="D650" s="377" t="s">
        <v>587</v>
      </c>
      <c r="E650" s="572">
        <v>510000</v>
      </c>
      <c r="F650" s="672" t="str">
        <f>IFERROR(VLOOKUP(E650,STAT1!$C$4:$D$1000,2,FALSE),"")</f>
        <v>Үндсэн үйл ажиллагааны борлуулалт</v>
      </c>
      <c r="G650" s="597"/>
      <c r="H650" s="377">
        <v>339999.99549</v>
      </c>
      <c r="I650" s="596">
        <f t="shared" si="58"/>
        <v>0</v>
      </c>
      <c r="J650" s="81"/>
      <c r="K650" s="81"/>
      <c r="L650" s="597">
        <v>3057</v>
      </c>
      <c r="M650" s="81" t="str">
        <f>+IFERROR(VLOOKUP(L650,DATA!$G$4:$H$2000,2,FALSE),"")</f>
        <v>ЕНТҮМ ТРЭЙВЭЛ ХХК</v>
      </c>
      <c r="N650" s="166"/>
      <c r="O650" s="81" t="str">
        <f>IFERROR(VLOOKUP(N650,DATA!$K$4:$L$51,2,FALSE),"")</f>
        <v/>
      </c>
      <c r="P650" s="81"/>
      <c r="Q650" s="152">
        <f t="shared" si="59"/>
        <v>0</v>
      </c>
    </row>
    <row r="651" spans="2:17">
      <c r="B651" s="670">
        <f t="shared" ref="B651:B714" si="60">+IF(C651="","",ROW()-5)</f>
        <v>646</v>
      </c>
      <c r="C651" s="601">
        <v>42832</v>
      </c>
      <c r="D651" s="377" t="s">
        <v>587</v>
      </c>
      <c r="E651" s="572">
        <v>320100</v>
      </c>
      <c r="F651" s="672" t="str">
        <f>IFERROR(VLOOKUP(E651,STAT1!$C$4:$D$1000,2,FALSE),"")</f>
        <v>Урьдчилж орсон орлого MNT</v>
      </c>
      <c r="G651" s="377">
        <v>373999.995039</v>
      </c>
      <c r="H651" s="597"/>
      <c r="I651" s="596">
        <f t="shared" si="58"/>
        <v>0</v>
      </c>
      <c r="J651" s="81"/>
      <c r="K651" s="81"/>
      <c r="L651" s="597">
        <v>3057</v>
      </c>
      <c r="M651" s="81" t="str">
        <f>+IFERROR(VLOOKUP(L651,DATA!$G$4:$H$2000,2,FALSE),"")</f>
        <v>ЕНТҮМ ТРЭЙВЭЛ ХХК</v>
      </c>
      <c r="N651" s="166"/>
      <c r="O651" s="81" t="str">
        <f>IFERROR(VLOOKUP(N651,DATA!$K$4:$L$51,2,FALSE),"")</f>
        <v/>
      </c>
      <c r="P651" s="81"/>
      <c r="Q651" s="152">
        <f t="shared" si="59"/>
        <v>0</v>
      </c>
    </row>
    <row r="652" spans="2:17">
      <c r="B652" s="670">
        <f t="shared" si="60"/>
        <v>647</v>
      </c>
      <c r="C652" s="601">
        <v>42832</v>
      </c>
      <c r="D652" s="377" t="s">
        <v>2681</v>
      </c>
      <c r="E652" s="573">
        <v>150101</v>
      </c>
      <c r="F652" s="672" t="str">
        <f>IFERROR(VLOOKUP(E652,STAT1!$C$4:$D$1000,2,FALSE),"")</f>
        <v>Бараа бэлэн бүтээгдэхүүн БОЛОВСРУУЛАХ ЦЕХ /нарс/</v>
      </c>
      <c r="G652" s="597"/>
      <c r="H652" s="377">
        <v>220239.68781648527</v>
      </c>
      <c r="I652" s="596">
        <f t="shared" si="58"/>
        <v>0</v>
      </c>
      <c r="J652" s="81"/>
      <c r="K652" s="81"/>
      <c r="L652" s="597">
        <v>3051</v>
      </c>
      <c r="M652" s="81" t="str">
        <f>+IFERROR(VLOOKUP(L652,DATA!$G$4:$H$2000,2,FALSE),"")</f>
        <v xml:space="preserve">НОМАДС ТУР ХХК </v>
      </c>
      <c r="N652" s="166"/>
      <c r="O652" s="81" t="str">
        <f>IFERROR(VLOOKUP(N652,DATA!$K$4:$L$51,2,FALSE),"")</f>
        <v/>
      </c>
      <c r="P652" s="81"/>
      <c r="Q652" s="152">
        <f t="shared" si="59"/>
        <v>0</v>
      </c>
    </row>
    <row r="653" spans="2:17">
      <c r="B653" s="670">
        <f t="shared" si="60"/>
        <v>648</v>
      </c>
      <c r="C653" s="601">
        <v>42832</v>
      </c>
      <c r="D653" s="377" t="s">
        <v>587</v>
      </c>
      <c r="E653" s="572">
        <v>610100</v>
      </c>
      <c r="F653" s="672" t="str">
        <f>IFERROR(VLOOKUP(E653,STAT1!$C$4:$D$1000,2,FALSE),"")</f>
        <v>Борлуулсан барааны өртөг</v>
      </c>
      <c r="G653" s="377">
        <v>220239.68781648527</v>
      </c>
      <c r="H653" s="597"/>
      <c r="I653" s="596">
        <f t="shared" si="58"/>
        <v>0</v>
      </c>
      <c r="J653" s="81"/>
      <c r="K653" s="81"/>
      <c r="L653" s="597">
        <v>3051</v>
      </c>
      <c r="M653" s="81" t="str">
        <f>+IFERROR(VLOOKUP(L653,DATA!$G$4:$H$2000,2,FALSE),"")</f>
        <v xml:space="preserve">НОМАДС ТУР ХХК </v>
      </c>
      <c r="N653" s="166"/>
      <c r="O653" s="81" t="str">
        <f>IFERROR(VLOOKUP(N653,DATA!$K$4:$L$51,2,FALSE),"")</f>
        <v/>
      </c>
      <c r="P653" s="81"/>
      <c r="Q653" s="152">
        <f t="shared" si="59"/>
        <v>0</v>
      </c>
    </row>
    <row r="654" spans="2:17">
      <c r="B654" s="670">
        <f t="shared" si="60"/>
        <v>649</v>
      </c>
      <c r="C654" s="601">
        <v>42832</v>
      </c>
      <c r="D654" s="377" t="s">
        <v>587</v>
      </c>
      <c r="E654" s="572">
        <v>310500</v>
      </c>
      <c r="F654" s="672" t="str">
        <f>IFERROR(VLOOKUP(E654,STAT1!$C$4:$D$1000,2,FALSE),"")</f>
        <v>НӨАТ өглөг</v>
      </c>
      <c r="G654" s="597"/>
      <c r="H654" s="377">
        <v>31704.545140100003</v>
      </c>
      <c r="I654" s="596">
        <f t="shared" si="58"/>
        <v>0</v>
      </c>
      <c r="J654" s="81"/>
      <c r="K654" s="81"/>
      <c r="L654" s="597">
        <v>3051</v>
      </c>
      <c r="M654" s="81" t="str">
        <f>+IFERROR(VLOOKUP(L654,DATA!$G$4:$H$2000,2,FALSE),"")</f>
        <v xml:space="preserve">НОМАДС ТУР ХХК </v>
      </c>
      <c r="N654" s="166"/>
      <c r="O654" s="81" t="str">
        <f>IFERROR(VLOOKUP(N654,DATA!$K$4:$L$51,2,FALSE),"")</f>
        <v/>
      </c>
      <c r="P654" s="81"/>
      <c r="Q654" s="152">
        <f t="shared" si="59"/>
        <v>0</v>
      </c>
    </row>
    <row r="655" spans="2:17">
      <c r="B655" s="670">
        <f t="shared" si="60"/>
        <v>650</v>
      </c>
      <c r="C655" s="601">
        <v>42832</v>
      </c>
      <c r="D655" s="377" t="s">
        <v>587</v>
      </c>
      <c r="E655" s="572">
        <v>510000</v>
      </c>
      <c r="F655" s="672" t="str">
        <f>IFERROR(VLOOKUP(E655,STAT1!$C$4:$D$1000,2,FALSE),"")</f>
        <v>Үндсэн үйл ажиллагааны борлуулалт</v>
      </c>
      <c r="G655" s="597"/>
      <c r="H655" s="377">
        <v>317045.45140100003</v>
      </c>
      <c r="I655" s="596">
        <f t="shared" si="58"/>
        <v>0</v>
      </c>
      <c r="J655" s="81"/>
      <c r="K655" s="81"/>
      <c r="L655" s="597">
        <v>3051</v>
      </c>
      <c r="M655" s="81" t="str">
        <f>+IFERROR(VLOOKUP(L655,DATA!$G$4:$H$2000,2,FALSE),"")</f>
        <v xml:space="preserve">НОМАДС ТУР ХХК </v>
      </c>
      <c r="N655" s="166"/>
      <c r="O655" s="81" t="str">
        <f>IFERROR(VLOOKUP(N655,DATA!$K$4:$L$51,2,FALSE),"")</f>
        <v/>
      </c>
      <c r="P655" s="81"/>
      <c r="Q655" s="152">
        <f t="shared" si="59"/>
        <v>0</v>
      </c>
    </row>
    <row r="656" spans="2:17">
      <c r="B656" s="670">
        <f t="shared" si="60"/>
        <v>651</v>
      </c>
      <c r="C656" s="601">
        <v>42832</v>
      </c>
      <c r="D656" s="377" t="s">
        <v>587</v>
      </c>
      <c r="E656" s="572">
        <v>320100</v>
      </c>
      <c r="F656" s="672" t="str">
        <f>IFERROR(VLOOKUP(E656,STAT1!$C$4:$D$1000,2,FALSE),"")</f>
        <v>Урьдчилж орсон орлого MNT</v>
      </c>
      <c r="G656" s="377">
        <v>348749.99654110003</v>
      </c>
      <c r="H656" s="597"/>
      <c r="I656" s="596">
        <f t="shared" si="58"/>
        <v>0</v>
      </c>
      <c r="J656" s="81"/>
      <c r="K656" s="81"/>
      <c r="L656" s="597">
        <v>3051</v>
      </c>
      <c r="M656" s="81" t="str">
        <f>+IFERROR(VLOOKUP(L656,DATA!$G$4:$H$2000,2,FALSE),"")</f>
        <v xml:space="preserve">НОМАДС ТУР ХХК </v>
      </c>
      <c r="N656" s="166"/>
      <c r="O656" s="81" t="str">
        <f>IFERROR(VLOOKUP(N656,DATA!$K$4:$L$51,2,FALSE),"")</f>
        <v/>
      </c>
      <c r="P656" s="81"/>
      <c r="Q656" s="152">
        <f t="shared" si="59"/>
        <v>0</v>
      </c>
    </row>
    <row r="657" spans="2:17">
      <c r="B657" s="670">
        <f t="shared" si="60"/>
        <v>652</v>
      </c>
      <c r="C657" s="433">
        <v>42833</v>
      </c>
      <c r="D657" s="377" t="s">
        <v>1741</v>
      </c>
      <c r="E657" s="572">
        <v>320100</v>
      </c>
      <c r="F657" s="672" t="str">
        <f>IFERROR(VLOOKUP(E657,STAT1!$C$4:$D$1000,2,FALSE),"")</f>
        <v>Урьдчилж орсон орлого MNT</v>
      </c>
      <c r="G657" s="377"/>
      <c r="H657" s="377">
        <v>561000</v>
      </c>
      <c r="I657" s="596">
        <f t="shared" si="58"/>
        <v>0</v>
      </c>
      <c r="J657" s="81">
        <f>+IF(E657=110102,I657/K657,0)</f>
        <v>0</v>
      </c>
      <c r="K657" s="81"/>
      <c r="L657" s="597">
        <v>3056</v>
      </c>
      <c r="M657" s="81" t="str">
        <f>+IFERROR(VLOOKUP(L657,DATA!$G$4:$H$2000,2,FALSE),"")</f>
        <v xml:space="preserve">САНТ-АСАР ХХК </v>
      </c>
      <c r="N657" s="435"/>
      <c r="O657" s="81" t="str">
        <f>IFERROR(VLOOKUP(N657,DATA!$K$4:$L$51,2,FALSE),"")</f>
        <v/>
      </c>
      <c r="P657" s="81"/>
      <c r="Q657" s="152">
        <f t="shared" si="59"/>
        <v>0</v>
      </c>
    </row>
    <row r="658" spans="2:17">
      <c r="B658" s="670">
        <f t="shared" si="60"/>
        <v>653</v>
      </c>
      <c r="C658" s="433">
        <v>42833</v>
      </c>
      <c r="D658" s="377" t="s">
        <v>1741</v>
      </c>
      <c r="E658" s="572">
        <v>100100</v>
      </c>
      <c r="F658" s="672" t="str">
        <f>IFERROR(VLOOKUP(E658,STAT1!$C$4:$D$1000,2,FALSE),"")</f>
        <v>Касс мөнгө MNT</v>
      </c>
      <c r="G658" s="377">
        <v>561000</v>
      </c>
      <c r="H658" s="377">
        <v>0</v>
      </c>
      <c r="I658" s="596">
        <f t="shared" si="58"/>
        <v>561000</v>
      </c>
      <c r="J658" s="81">
        <f>+IF(E658=110102,I658/K658,0)</f>
        <v>0</v>
      </c>
      <c r="K658" s="81"/>
      <c r="L658" s="597">
        <v>3056</v>
      </c>
      <c r="M658" s="81" t="str">
        <f>+IFERROR(VLOOKUP(L658,DATA!$G$4:$H$2000,2,FALSE),"")</f>
        <v xml:space="preserve">САНТ-АСАР ХХК </v>
      </c>
      <c r="N658" s="435">
        <v>41</v>
      </c>
      <c r="O658" s="81" t="str">
        <f>IFERROR(VLOOKUP(N658,DATA!$K$4:$L$51,2,FALSE),"")</f>
        <v>Бараа борлуулсан, үйлчилгээ үзүүлсэний орлого</v>
      </c>
      <c r="P658" s="81"/>
      <c r="Q658" s="152">
        <f t="shared" si="59"/>
        <v>1</v>
      </c>
    </row>
    <row r="659" spans="2:17">
      <c r="B659" s="670">
        <f t="shared" si="60"/>
        <v>654</v>
      </c>
      <c r="C659" s="601">
        <v>42833</v>
      </c>
      <c r="D659" s="377" t="s">
        <v>2689</v>
      </c>
      <c r="E659" s="573">
        <v>150101</v>
      </c>
      <c r="F659" s="672" t="str">
        <f>IFERROR(VLOOKUP(E659,STAT1!$C$4:$D$1000,2,FALSE),"")</f>
        <v>Бараа бэлэн бүтээгдэхүүн БОЛОВСРУУЛАХ ЦЕХ /нарс/</v>
      </c>
      <c r="G659" s="597"/>
      <c r="H659" s="377">
        <v>223012.29</v>
      </c>
      <c r="I659" s="596">
        <f t="shared" si="58"/>
        <v>0</v>
      </c>
      <c r="J659" s="81"/>
      <c r="K659" s="81"/>
      <c r="L659" s="597">
        <v>3056</v>
      </c>
      <c r="M659" s="81" t="str">
        <f>+IFERROR(VLOOKUP(L659,DATA!$G$4:$H$2000,2,FALSE),"")</f>
        <v xml:space="preserve">САНТ-АСАР ХХК </v>
      </c>
      <c r="N659" s="166"/>
      <c r="O659" s="81" t="str">
        <f>IFERROR(VLOOKUP(N659,DATA!$K$4:$L$51,2,FALSE),"")</f>
        <v/>
      </c>
      <c r="P659" s="81"/>
      <c r="Q659" s="152">
        <f t="shared" si="59"/>
        <v>0</v>
      </c>
    </row>
    <row r="660" spans="2:17">
      <c r="B660" s="670">
        <f t="shared" si="60"/>
        <v>655</v>
      </c>
      <c r="C660" s="601">
        <v>42833</v>
      </c>
      <c r="D660" s="377" t="s">
        <v>587</v>
      </c>
      <c r="E660" s="572">
        <v>610100</v>
      </c>
      <c r="F660" s="672" t="str">
        <f>IFERROR(VLOOKUP(E660,STAT1!$C$4:$D$1000,2,FALSE),"")</f>
        <v>Борлуулсан барааны өртөг</v>
      </c>
      <c r="G660" s="377">
        <v>223012.29</v>
      </c>
      <c r="H660" s="597"/>
      <c r="I660" s="596">
        <f t="shared" si="58"/>
        <v>0</v>
      </c>
      <c r="J660" s="81"/>
      <c r="K660" s="81"/>
      <c r="L660" s="597">
        <v>3056</v>
      </c>
      <c r="M660" s="81" t="str">
        <f>+IFERROR(VLOOKUP(L660,DATA!$G$4:$H$2000,2,FALSE),"")</f>
        <v xml:space="preserve">САНТ-АСАР ХХК </v>
      </c>
      <c r="N660" s="166"/>
      <c r="O660" s="81" t="str">
        <f>IFERROR(VLOOKUP(N660,DATA!$K$4:$L$51,2,FALSE),"")</f>
        <v/>
      </c>
      <c r="P660" s="81"/>
      <c r="Q660" s="152">
        <f t="shared" si="59"/>
        <v>0</v>
      </c>
    </row>
    <row r="661" spans="2:17">
      <c r="B661" s="670">
        <f t="shared" si="60"/>
        <v>656</v>
      </c>
      <c r="C661" s="601">
        <v>42833</v>
      </c>
      <c r="D661" s="377" t="s">
        <v>587</v>
      </c>
      <c r="E661" s="572">
        <v>310500</v>
      </c>
      <c r="F661" s="672" t="str">
        <f>IFERROR(VLOOKUP(E661,STAT1!$C$4:$D$1000,2,FALSE),"")</f>
        <v>НӨАТ өглөг</v>
      </c>
      <c r="G661" s="597"/>
      <c r="H661" s="377">
        <v>51000</v>
      </c>
      <c r="I661" s="596">
        <f t="shared" si="58"/>
        <v>0</v>
      </c>
      <c r="J661" s="81"/>
      <c r="K661" s="81"/>
      <c r="L661" s="597">
        <v>3056</v>
      </c>
      <c r="M661" s="81" t="str">
        <f>+IFERROR(VLOOKUP(L661,DATA!$G$4:$H$2000,2,FALSE),"")</f>
        <v xml:space="preserve">САНТ-АСАР ХХК </v>
      </c>
      <c r="N661" s="166"/>
      <c r="O661" s="81" t="str">
        <f>IFERROR(VLOOKUP(N661,DATA!$K$4:$L$51,2,FALSE),"")</f>
        <v/>
      </c>
      <c r="P661" s="81"/>
      <c r="Q661" s="152">
        <f t="shared" si="59"/>
        <v>0</v>
      </c>
    </row>
    <row r="662" spans="2:17">
      <c r="B662" s="670">
        <f t="shared" si="60"/>
        <v>657</v>
      </c>
      <c r="C662" s="601">
        <v>42833</v>
      </c>
      <c r="D662" s="377" t="s">
        <v>587</v>
      </c>
      <c r="E662" s="572">
        <v>510000</v>
      </c>
      <c r="F662" s="672" t="str">
        <f>IFERROR(VLOOKUP(E662,STAT1!$C$4:$D$1000,2,FALSE),"")</f>
        <v>Үндсэн үйл ажиллагааны борлуулалт</v>
      </c>
      <c r="G662" s="597"/>
      <c r="H662" s="377">
        <v>510000</v>
      </c>
      <c r="I662" s="596">
        <f t="shared" si="58"/>
        <v>0</v>
      </c>
      <c r="J662" s="81"/>
      <c r="K662" s="81"/>
      <c r="L662" s="597">
        <v>3056</v>
      </c>
      <c r="M662" s="81" t="str">
        <f>+IFERROR(VLOOKUP(L662,DATA!$G$4:$H$2000,2,FALSE),"")</f>
        <v xml:space="preserve">САНТ-АСАР ХХК </v>
      </c>
      <c r="N662" s="166"/>
      <c r="O662" s="81" t="str">
        <f>IFERROR(VLOOKUP(N662,DATA!$K$4:$L$51,2,FALSE),"")</f>
        <v/>
      </c>
      <c r="P662" s="81"/>
      <c r="Q662" s="152">
        <f t="shared" si="59"/>
        <v>0</v>
      </c>
    </row>
    <row r="663" spans="2:17">
      <c r="B663" s="670">
        <f t="shared" si="60"/>
        <v>658</v>
      </c>
      <c r="C663" s="601">
        <v>42833</v>
      </c>
      <c r="D663" s="377" t="s">
        <v>587</v>
      </c>
      <c r="E663" s="572">
        <v>320100</v>
      </c>
      <c r="F663" s="672" t="str">
        <f>IFERROR(VLOOKUP(E663,STAT1!$C$4:$D$1000,2,FALSE),"")</f>
        <v>Урьдчилж орсон орлого MNT</v>
      </c>
      <c r="G663" s="377">
        <v>561000</v>
      </c>
      <c r="H663" s="597"/>
      <c r="I663" s="596">
        <f t="shared" si="58"/>
        <v>0</v>
      </c>
      <c r="J663" s="81"/>
      <c r="K663" s="81"/>
      <c r="L663" s="597">
        <v>3056</v>
      </c>
      <c r="M663" s="81" t="str">
        <f>+IFERROR(VLOOKUP(L663,DATA!$G$4:$H$2000,2,FALSE),"")</f>
        <v xml:space="preserve">САНТ-АСАР ХХК </v>
      </c>
      <c r="N663" s="166"/>
      <c r="O663" s="81" t="str">
        <f>IFERROR(VLOOKUP(N663,DATA!$K$4:$L$51,2,FALSE),"")</f>
        <v/>
      </c>
      <c r="P663" s="81"/>
      <c r="Q663" s="152">
        <f t="shared" si="59"/>
        <v>0</v>
      </c>
    </row>
    <row r="664" spans="2:17">
      <c r="B664" s="670">
        <f t="shared" si="60"/>
        <v>659</v>
      </c>
      <c r="C664" s="433">
        <v>42836</v>
      </c>
      <c r="D664" s="377" t="s">
        <v>1720</v>
      </c>
      <c r="E664" s="572">
        <v>100100</v>
      </c>
      <c r="F664" s="672" t="str">
        <f>IFERROR(VLOOKUP(E664,STAT1!$C$4:$D$1000,2,FALSE),"")</f>
        <v>Касс мөнгө MNT</v>
      </c>
      <c r="G664" s="377"/>
      <c r="H664" s="377">
        <v>68600</v>
      </c>
      <c r="I664" s="596">
        <f t="shared" si="58"/>
        <v>-68600</v>
      </c>
      <c r="J664" s="81">
        <f t="shared" ref="J664:J677" si="61">+IF(E664=110102,I664/K664,0)</f>
        <v>0</v>
      </c>
      <c r="K664" s="81"/>
      <c r="L664" s="597">
        <v>1003</v>
      </c>
      <c r="M664" s="81" t="str">
        <f>+IFERROR(VLOOKUP(L664,DATA!$G$4:$H$2000,2,FALSE),"")</f>
        <v>Бахдамдэмбэрэл</v>
      </c>
      <c r="N664" s="435">
        <v>55</v>
      </c>
      <c r="O664" s="81" t="str">
        <f>IFERROR(VLOOKUP(N664,DATA!$K$4:$L$51,2,FALSE),"")</f>
        <v>Түлш, шатахуун, тээврийн хөлс, сэлбэг хэрэгсэлд төлсөн</v>
      </c>
      <c r="P664" s="81"/>
      <c r="Q664" s="152">
        <f t="shared" si="59"/>
        <v>1</v>
      </c>
    </row>
    <row r="665" spans="2:17">
      <c r="B665" s="670">
        <f t="shared" si="60"/>
        <v>660</v>
      </c>
      <c r="C665" s="433">
        <v>42836</v>
      </c>
      <c r="D665" s="377" t="s">
        <v>1720</v>
      </c>
      <c r="E665" s="572">
        <v>120600</v>
      </c>
      <c r="F665" s="672" t="str">
        <f>IFERROR(VLOOKUP(E665,STAT1!$C$4:$D$1000,2,FALSE),"")</f>
        <v>НӨАТ авлага</v>
      </c>
      <c r="G665" s="377">
        <v>6236.36</v>
      </c>
      <c r="H665" s="377"/>
      <c r="I665" s="596">
        <f t="shared" si="58"/>
        <v>0</v>
      </c>
      <c r="J665" s="81">
        <f t="shared" si="61"/>
        <v>0</v>
      </c>
      <c r="K665" s="81"/>
      <c r="L665" s="597">
        <v>1003</v>
      </c>
      <c r="M665" s="81" t="str">
        <f>+IFERROR(VLOOKUP(L665,DATA!$G$4:$H$2000,2,FALSE),"")</f>
        <v>Бахдамдэмбэрэл</v>
      </c>
      <c r="N665" s="435"/>
      <c r="O665" s="81" t="str">
        <f>IFERROR(VLOOKUP(N665,DATA!$K$4:$L$51,2,FALSE),"")</f>
        <v/>
      </c>
      <c r="P665" s="81"/>
      <c r="Q665" s="152">
        <f t="shared" si="59"/>
        <v>0</v>
      </c>
    </row>
    <row r="666" spans="2:17">
      <c r="B666" s="670">
        <f t="shared" si="60"/>
        <v>661</v>
      </c>
      <c r="C666" s="433">
        <v>42836</v>
      </c>
      <c r="D666" s="377" t="s">
        <v>1720</v>
      </c>
      <c r="E666" s="572">
        <v>702000</v>
      </c>
      <c r="F666" s="672" t="str">
        <f>IFERROR(VLOOKUP(E666,STAT1!$C$4:$D$1000,2,FALSE),"")</f>
        <v>Түлш, шатахуун</v>
      </c>
      <c r="G666" s="377">
        <v>62363.64</v>
      </c>
      <c r="H666" s="377"/>
      <c r="I666" s="596">
        <f t="shared" si="58"/>
        <v>0</v>
      </c>
      <c r="J666" s="81">
        <f t="shared" si="61"/>
        <v>0</v>
      </c>
      <c r="K666" s="81"/>
      <c r="L666" s="597">
        <v>1003</v>
      </c>
      <c r="M666" s="81" t="str">
        <f>+IFERROR(VLOOKUP(L666,DATA!$G$4:$H$2000,2,FALSE),"")</f>
        <v>Бахдамдэмбэрэл</v>
      </c>
      <c r="N666" s="435"/>
      <c r="O666" s="81" t="str">
        <f>IFERROR(VLOOKUP(N666,DATA!$K$4:$L$51,2,FALSE),"")</f>
        <v/>
      </c>
      <c r="P666" s="81"/>
      <c r="Q666" s="152">
        <f t="shared" si="59"/>
        <v>0</v>
      </c>
    </row>
    <row r="667" spans="2:17">
      <c r="B667" s="670">
        <f t="shared" si="60"/>
        <v>662</v>
      </c>
      <c r="C667" s="433">
        <v>42836</v>
      </c>
      <c r="D667" s="598" t="s">
        <v>1741</v>
      </c>
      <c r="E667" s="572">
        <v>110100</v>
      </c>
      <c r="F667" s="672" t="str">
        <f>IFERROR(VLOOKUP(E667,STAT1!$C$4:$D$1000,2,FALSE),"")</f>
        <v>Хаан Банк 5024654020</v>
      </c>
      <c r="G667" s="377">
        <v>602370</v>
      </c>
      <c r="H667" s="377"/>
      <c r="I667" s="596">
        <f t="shared" si="58"/>
        <v>602370</v>
      </c>
      <c r="J667" s="81">
        <f t="shared" si="61"/>
        <v>0</v>
      </c>
      <c r="K667" s="81"/>
      <c r="L667" s="597">
        <v>3047</v>
      </c>
      <c r="M667" s="81" t="str">
        <f>+IFERROR(VLOOKUP(L667,DATA!$G$4:$H$2000,2,FALSE),"")</f>
        <v>ГЛОБАЛ ГАЗАР ХХК</v>
      </c>
      <c r="N667" s="435">
        <v>41</v>
      </c>
      <c r="O667" s="81" t="str">
        <f>IFERROR(VLOOKUP(N667,DATA!$K$4:$L$51,2,FALSE),"")</f>
        <v>Бараа борлуулсан, үйлчилгээ үзүүлсэний орлого</v>
      </c>
      <c r="P667" s="81"/>
      <c r="Q667" s="152">
        <f t="shared" si="59"/>
        <v>1</v>
      </c>
    </row>
    <row r="668" spans="2:17">
      <c r="B668" s="670">
        <f t="shared" si="60"/>
        <v>663</v>
      </c>
      <c r="C668" s="433">
        <v>42836</v>
      </c>
      <c r="D668" s="598" t="s">
        <v>1741</v>
      </c>
      <c r="E668" s="572">
        <v>320100</v>
      </c>
      <c r="F668" s="672" t="str">
        <f>IFERROR(VLOOKUP(E668,STAT1!$C$4:$D$1000,2,FALSE),"")</f>
        <v>Урьдчилж орсон орлого MNT</v>
      </c>
      <c r="G668" s="377">
        <v>0</v>
      </c>
      <c r="H668" s="377">
        <v>602370</v>
      </c>
      <c r="I668" s="596">
        <f t="shared" si="58"/>
        <v>0</v>
      </c>
      <c r="J668" s="81">
        <f t="shared" si="61"/>
        <v>0</v>
      </c>
      <c r="K668" s="81"/>
      <c r="L668" s="597">
        <v>3047</v>
      </c>
      <c r="M668" s="81" t="str">
        <f>+IFERROR(VLOOKUP(L668,DATA!$G$4:$H$2000,2,FALSE),"")</f>
        <v>ГЛОБАЛ ГАЗАР ХХК</v>
      </c>
      <c r="N668" s="435"/>
      <c r="O668" s="81" t="str">
        <f>IFERROR(VLOOKUP(N668,DATA!$K$4:$L$51,2,FALSE),"")</f>
        <v/>
      </c>
      <c r="P668" s="81"/>
      <c r="Q668" s="152">
        <f t="shared" si="59"/>
        <v>0</v>
      </c>
    </row>
    <row r="669" spans="2:17">
      <c r="B669" s="670">
        <f t="shared" si="60"/>
        <v>664</v>
      </c>
      <c r="C669" s="433">
        <v>42837</v>
      </c>
      <c r="D669" s="377" t="s">
        <v>1701</v>
      </c>
      <c r="E669" s="572">
        <v>100100</v>
      </c>
      <c r="F669" s="672" t="str">
        <f>IFERROR(VLOOKUP(E669,STAT1!$C$4:$D$1000,2,FALSE),"")</f>
        <v>Касс мөнгө MNT</v>
      </c>
      <c r="G669" s="377"/>
      <c r="H669" s="377">
        <v>1500000</v>
      </c>
      <c r="I669" s="596">
        <f t="shared" si="58"/>
        <v>-1500000</v>
      </c>
      <c r="J669" s="81">
        <f t="shared" si="61"/>
        <v>0</v>
      </c>
      <c r="K669" s="81"/>
      <c r="L669" s="597">
        <v>2012</v>
      </c>
      <c r="M669" s="81" t="str">
        <f>+IFERROR(VLOOKUP(L669,DATA!$G$4:$H$2000,2,FALSE),"")</f>
        <v>ИХ ТУГЧ ХХК</v>
      </c>
      <c r="N669" s="435">
        <v>59</v>
      </c>
      <c r="O669" s="81" t="str">
        <f>IFERROR(VLOOKUP(N669,DATA!$K$4:$L$51,2,FALSE),"")</f>
        <v>Бусад мөнгөн зарлага</v>
      </c>
      <c r="P669" s="81"/>
      <c r="Q669" s="152">
        <f t="shared" si="59"/>
        <v>1</v>
      </c>
    </row>
    <row r="670" spans="2:17">
      <c r="B670" s="670">
        <f t="shared" si="60"/>
        <v>665</v>
      </c>
      <c r="C670" s="433">
        <v>42837</v>
      </c>
      <c r="D670" s="377" t="s">
        <v>1701</v>
      </c>
      <c r="E670" s="572">
        <v>705800</v>
      </c>
      <c r="F670" s="672" t="str">
        <f>IFERROR(VLOOKUP(E670,STAT1!$C$4:$D$1000,2,FALSE),"")</f>
        <v>Харуул хамгаалалт</v>
      </c>
      <c r="G670" s="377">
        <v>1500000</v>
      </c>
      <c r="H670" s="377">
        <v>0</v>
      </c>
      <c r="I670" s="596">
        <f t="shared" si="58"/>
        <v>0</v>
      </c>
      <c r="J670" s="81">
        <f t="shared" si="61"/>
        <v>0</v>
      </c>
      <c r="K670" s="81"/>
      <c r="L670" s="597">
        <v>2012</v>
      </c>
      <c r="M670" s="81" t="str">
        <f>+IFERROR(VLOOKUP(L670,DATA!$G$4:$H$2000,2,FALSE),"")</f>
        <v>ИХ ТУГЧ ХХК</v>
      </c>
      <c r="N670" s="435"/>
      <c r="O670" s="81" t="str">
        <f>IFERROR(VLOOKUP(N670,DATA!$K$4:$L$51,2,FALSE),"")</f>
        <v/>
      </c>
      <c r="P670" s="81"/>
      <c r="Q670" s="152">
        <f t="shared" si="59"/>
        <v>0</v>
      </c>
    </row>
    <row r="671" spans="2:17">
      <c r="B671" s="670">
        <f t="shared" si="60"/>
        <v>666</v>
      </c>
      <c r="C671" s="433">
        <v>42837</v>
      </c>
      <c r="D671" s="598" t="s">
        <v>1745</v>
      </c>
      <c r="E671" s="572">
        <v>701900</v>
      </c>
      <c r="F671" s="672" t="str">
        <f>IFERROR(VLOOKUP(E671,STAT1!$C$4:$D$1000,2,FALSE),"")</f>
        <v>Харилцаа холбоо</v>
      </c>
      <c r="G671" s="377">
        <v>19727.27</v>
      </c>
      <c r="H671" s="377">
        <v>0</v>
      </c>
      <c r="I671" s="596">
        <f t="shared" si="58"/>
        <v>0</v>
      </c>
      <c r="J671" s="81">
        <f t="shared" si="61"/>
        <v>0</v>
      </c>
      <c r="K671" s="81"/>
      <c r="L671" s="597">
        <v>2006</v>
      </c>
      <c r="M671" s="81" t="str">
        <f>+IFERROR(VLOOKUP(L671,DATA!$G$4:$H$2000,2,FALSE),"")</f>
        <v xml:space="preserve">МЦХОЛБОО </v>
      </c>
      <c r="N671" s="435"/>
      <c r="O671" s="81" t="str">
        <f>IFERROR(VLOOKUP(N671,DATA!$K$4:$L$51,2,FALSE),"")</f>
        <v/>
      </c>
      <c r="P671" s="81"/>
      <c r="Q671" s="152">
        <f t="shared" si="59"/>
        <v>0</v>
      </c>
    </row>
    <row r="672" spans="2:17">
      <c r="B672" s="670">
        <f t="shared" si="60"/>
        <v>667</v>
      </c>
      <c r="C672" s="433">
        <v>42837</v>
      </c>
      <c r="D672" s="598" t="s">
        <v>1745</v>
      </c>
      <c r="E672" s="572">
        <v>120600</v>
      </c>
      <c r="F672" s="672" t="str">
        <f>IFERROR(VLOOKUP(E672,STAT1!$C$4:$D$1000,2,FALSE),"")</f>
        <v>НӨАТ авлага</v>
      </c>
      <c r="G672" s="377">
        <v>1972.73</v>
      </c>
      <c r="H672" s="377"/>
      <c r="I672" s="596">
        <f t="shared" si="58"/>
        <v>0</v>
      </c>
      <c r="J672" s="81">
        <f t="shared" si="61"/>
        <v>0</v>
      </c>
      <c r="K672" s="81"/>
      <c r="L672" s="597">
        <v>2006</v>
      </c>
      <c r="M672" s="81" t="str">
        <f>+IFERROR(VLOOKUP(L672,DATA!$G$4:$H$2000,2,FALSE),"")</f>
        <v xml:space="preserve">МЦХОЛБОО </v>
      </c>
      <c r="N672" s="435"/>
      <c r="O672" s="81" t="str">
        <f>IFERROR(VLOOKUP(N672,DATA!$K$4:$L$51,2,FALSE),"")</f>
        <v/>
      </c>
      <c r="P672" s="81"/>
      <c r="Q672" s="152">
        <f t="shared" si="59"/>
        <v>0</v>
      </c>
    </row>
    <row r="673" spans="2:17">
      <c r="B673" s="670">
        <f t="shared" si="60"/>
        <v>668</v>
      </c>
      <c r="C673" s="433">
        <v>42837</v>
      </c>
      <c r="D673" s="598" t="s">
        <v>1745</v>
      </c>
      <c r="E673" s="572">
        <v>110100</v>
      </c>
      <c r="F673" s="672" t="str">
        <f>IFERROR(VLOOKUP(E673,STAT1!$C$4:$D$1000,2,FALSE),"")</f>
        <v>Хаан Банк 5024654020</v>
      </c>
      <c r="G673" s="377"/>
      <c r="H673" s="377">
        <v>21700</v>
      </c>
      <c r="I673" s="596">
        <f t="shared" si="58"/>
        <v>-21700</v>
      </c>
      <c r="J673" s="81">
        <f t="shared" si="61"/>
        <v>0</v>
      </c>
      <c r="K673" s="81"/>
      <c r="L673" s="597">
        <v>2006</v>
      </c>
      <c r="M673" s="81" t="str">
        <f>+IFERROR(VLOOKUP(L673,DATA!$G$4:$H$2000,2,FALSE),"")</f>
        <v xml:space="preserve">МЦХОЛБОО </v>
      </c>
      <c r="N673" s="435">
        <v>59</v>
      </c>
      <c r="O673" s="81" t="str">
        <f>IFERROR(VLOOKUP(N673,DATA!$K$4:$L$51,2,FALSE),"")</f>
        <v>Бусад мөнгөн зарлага</v>
      </c>
      <c r="P673" s="81"/>
      <c r="Q673" s="152">
        <f t="shared" si="59"/>
        <v>1</v>
      </c>
    </row>
    <row r="674" spans="2:17">
      <c r="B674" s="670">
        <f t="shared" si="60"/>
        <v>669</v>
      </c>
      <c r="C674" s="433">
        <v>42839</v>
      </c>
      <c r="D674" s="377" t="s">
        <v>1355</v>
      </c>
      <c r="E674" s="572">
        <v>100100</v>
      </c>
      <c r="F674" s="672" t="str">
        <f>IFERROR(VLOOKUP(E674,STAT1!$C$4:$D$1000,2,FALSE),"")</f>
        <v>Касс мөнгө MNT</v>
      </c>
      <c r="G674" s="377"/>
      <c r="H674" s="377">
        <v>40000</v>
      </c>
      <c r="I674" s="596">
        <f t="shared" si="58"/>
        <v>-40000</v>
      </c>
      <c r="J674" s="81">
        <f t="shared" si="61"/>
        <v>0</v>
      </c>
      <c r="K674" s="81"/>
      <c r="L674" s="597">
        <v>1005</v>
      </c>
      <c r="M674" s="81" t="str">
        <f>+IFERROR(VLOOKUP(L674,DATA!$G$4:$H$2000,2,FALSE),"")</f>
        <v>Золжаргал</v>
      </c>
      <c r="N674" s="435">
        <v>55</v>
      </c>
      <c r="O674" s="81" t="str">
        <f>IFERROR(VLOOKUP(N674,DATA!$K$4:$L$51,2,FALSE),"")</f>
        <v>Түлш, шатахуун, тээврийн хөлс, сэлбэг хэрэгсэлд төлсөн</v>
      </c>
      <c r="P674" s="81"/>
      <c r="Q674" s="152">
        <f t="shared" si="59"/>
        <v>1</v>
      </c>
    </row>
    <row r="675" spans="2:17">
      <c r="B675" s="670">
        <f t="shared" si="60"/>
        <v>670</v>
      </c>
      <c r="C675" s="433">
        <v>42839</v>
      </c>
      <c r="D675" s="377" t="s">
        <v>1355</v>
      </c>
      <c r="E675" s="572">
        <v>702000</v>
      </c>
      <c r="F675" s="672" t="str">
        <f>IFERROR(VLOOKUP(E675,STAT1!$C$4:$D$1000,2,FALSE),"")</f>
        <v>Түлш, шатахуун</v>
      </c>
      <c r="G675" s="377">
        <v>40000</v>
      </c>
      <c r="H675" s="377">
        <v>0</v>
      </c>
      <c r="I675" s="596">
        <f t="shared" si="58"/>
        <v>0</v>
      </c>
      <c r="J675" s="81">
        <f t="shared" si="61"/>
        <v>0</v>
      </c>
      <c r="K675" s="81"/>
      <c r="L675" s="597">
        <v>1005</v>
      </c>
      <c r="M675" s="81" t="str">
        <f>+IFERROR(VLOOKUP(L675,DATA!$G$4:$H$2000,2,FALSE),"")</f>
        <v>Золжаргал</v>
      </c>
      <c r="N675" s="435"/>
      <c r="O675" s="81" t="str">
        <f>IFERROR(VLOOKUP(N675,DATA!$K$4:$L$51,2,FALSE),"")</f>
        <v/>
      </c>
      <c r="P675" s="81"/>
      <c r="Q675" s="152">
        <f t="shared" si="59"/>
        <v>0</v>
      </c>
    </row>
    <row r="676" spans="2:17">
      <c r="B676" s="670">
        <f t="shared" si="60"/>
        <v>671</v>
      </c>
      <c r="C676" s="433">
        <v>42839</v>
      </c>
      <c r="D676" s="377" t="s">
        <v>1741</v>
      </c>
      <c r="E676" s="572">
        <v>320100</v>
      </c>
      <c r="F676" s="672" t="str">
        <f>IFERROR(VLOOKUP(E676,STAT1!$C$4:$D$1000,2,FALSE),"")</f>
        <v>Урьдчилж орсон орлого MNT</v>
      </c>
      <c r="G676" s="377"/>
      <c r="H676" s="377">
        <v>24300</v>
      </c>
      <c r="I676" s="596">
        <f t="shared" si="58"/>
        <v>0</v>
      </c>
      <c r="J676" s="81">
        <f t="shared" si="61"/>
        <v>0</v>
      </c>
      <c r="K676" s="81"/>
      <c r="L676" s="597">
        <v>3055</v>
      </c>
      <c r="M676" s="81" t="str">
        <f>+IFERROR(VLOOKUP(L676,DATA!$G$4:$H$2000,2,FALSE),"")</f>
        <v xml:space="preserve">МЧБС ХХК </v>
      </c>
      <c r="N676" s="435"/>
      <c r="O676" s="81" t="str">
        <f>IFERROR(VLOOKUP(N676,DATA!$K$4:$L$51,2,FALSE),"")</f>
        <v/>
      </c>
      <c r="P676" s="81"/>
      <c r="Q676" s="152">
        <f t="shared" si="59"/>
        <v>0</v>
      </c>
    </row>
    <row r="677" spans="2:17">
      <c r="B677" s="670">
        <f t="shared" si="60"/>
        <v>672</v>
      </c>
      <c r="C677" s="433">
        <v>42839</v>
      </c>
      <c r="D677" s="377" t="s">
        <v>1741</v>
      </c>
      <c r="E677" s="572">
        <v>100100</v>
      </c>
      <c r="F677" s="672" t="str">
        <f>IFERROR(VLOOKUP(E677,STAT1!$C$4:$D$1000,2,FALSE),"")</f>
        <v>Касс мөнгө MNT</v>
      </c>
      <c r="G677" s="377">
        <v>24300</v>
      </c>
      <c r="H677" s="377">
        <v>0</v>
      </c>
      <c r="I677" s="596">
        <f t="shared" si="58"/>
        <v>24300</v>
      </c>
      <c r="J677" s="81">
        <f t="shared" si="61"/>
        <v>0</v>
      </c>
      <c r="K677" s="81"/>
      <c r="L677" s="597">
        <v>3055</v>
      </c>
      <c r="M677" s="81" t="str">
        <f>+IFERROR(VLOOKUP(L677,DATA!$G$4:$H$2000,2,FALSE),"")</f>
        <v xml:space="preserve">МЧБС ХХК </v>
      </c>
      <c r="N677" s="435">
        <v>41</v>
      </c>
      <c r="O677" s="81" t="str">
        <f>IFERROR(VLOOKUP(N677,DATA!$K$4:$L$51,2,FALSE),"")</f>
        <v>Бараа борлуулсан, үйлчилгээ үзүүлсэний орлого</v>
      </c>
      <c r="P677" s="81"/>
      <c r="Q677" s="152">
        <f t="shared" si="59"/>
        <v>1</v>
      </c>
    </row>
    <row r="678" spans="2:17">
      <c r="B678" s="670">
        <f t="shared" si="60"/>
        <v>673</v>
      </c>
      <c r="C678" s="601">
        <v>42839</v>
      </c>
      <c r="D678" s="377" t="s">
        <v>2680</v>
      </c>
      <c r="E678" s="573">
        <v>150101</v>
      </c>
      <c r="F678" s="672" t="str">
        <f>IFERROR(VLOOKUP(E678,STAT1!$C$4:$D$1000,2,FALSE),"")</f>
        <v>Бараа бэлэн бүтээгдэхүүн БОЛОВСРУУЛАХ ЦЕХ /нарс/</v>
      </c>
      <c r="G678" s="597"/>
      <c r="H678" s="377">
        <v>112301.44569967713</v>
      </c>
      <c r="I678" s="596">
        <f t="shared" si="58"/>
        <v>0</v>
      </c>
      <c r="J678" s="81"/>
      <c r="K678" s="81"/>
      <c r="L678" s="597">
        <v>3042</v>
      </c>
      <c r="M678" s="81" t="str">
        <f>+IFERROR(VLOOKUP(L678,DATA!$G$4:$H$2000,2,FALSE),"")</f>
        <v xml:space="preserve">ЖУРМАК ХХК </v>
      </c>
      <c r="N678" s="166"/>
      <c r="O678" s="81" t="str">
        <f>IFERROR(VLOOKUP(N678,DATA!$K$4:$L$51,2,FALSE),"")</f>
        <v/>
      </c>
      <c r="P678" s="81"/>
      <c r="Q678" s="152">
        <f t="shared" si="59"/>
        <v>0</v>
      </c>
    </row>
    <row r="679" spans="2:17">
      <c r="B679" s="670">
        <f t="shared" si="60"/>
        <v>674</v>
      </c>
      <c r="C679" s="601">
        <v>42839</v>
      </c>
      <c r="D679" s="377" t="s">
        <v>587</v>
      </c>
      <c r="E679" s="572">
        <v>610100</v>
      </c>
      <c r="F679" s="672" t="str">
        <f>IFERROR(VLOOKUP(E679,STAT1!$C$4:$D$1000,2,FALSE),"")</f>
        <v>Борлуулсан барааны өртөг</v>
      </c>
      <c r="G679" s="377">
        <v>112301.44569967713</v>
      </c>
      <c r="H679" s="597"/>
      <c r="I679" s="596">
        <f t="shared" si="58"/>
        <v>0</v>
      </c>
      <c r="J679" s="81"/>
      <c r="K679" s="81"/>
      <c r="L679" s="597">
        <v>3042</v>
      </c>
      <c r="M679" s="81" t="str">
        <f>+IFERROR(VLOOKUP(L679,DATA!$G$4:$H$2000,2,FALSE),"")</f>
        <v xml:space="preserve">ЖУРМАК ХХК </v>
      </c>
      <c r="N679" s="166"/>
      <c r="O679" s="81" t="str">
        <f>IFERROR(VLOOKUP(N679,DATA!$K$4:$L$51,2,FALSE),"")</f>
        <v/>
      </c>
      <c r="P679" s="81"/>
      <c r="Q679" s="152">
        <f t="shared" si="59"/>
        <v>0</v>
      </c>
    </row>
    <row r="680" spans="2:17">
      <c r="B680" s="670">
        <f t="shared" si="60"/>
        <v>675</v>
      </c>
      <c r="C680" s="601">
        <v>42839</v>
      </c>
      <c r="D680" s="377" t="s">
        <v>587</v>
      </c>
      <c r="E680" s="572">
        <v>310500</v>
      </c>
      <c r="F680" s="672" t="str">
        <f>IFERROR(VLOOKUP(E680,STAT1!$C$4:$D$1000,2,FALSE),"")</f>
        <v>НӨАТ өглөг</v>
      </c>
      <c r="G680" s="597"/>
      <c r="H680" s="377">
        <v>16999.999800000001</v>
      </c>
      <c r="I680" s="596">
        <f t="shared" si="58"/>
        <v>0</v>
      </c>
      <c r="J680" s="81"/>
      <c r="K680" s="81"/>
      <c r="L680" s="597">
        <v>3042</v>
      </c>
      <c r="M680" s="81" t="str">
        <f>+IFERROR(VLOOKUP(L680,DATA!$G$4:$H$2000,2,FALSE),"")</f>
        <v xml:space="preserve">ЖУРМАК ХХК </v>
      </c>
      <c r="N680" s="166"/>
      <c r="O680" s="81" t="str">
        <f>IFERROR(VLOOKUP(N680,DATA!$K$4:$L$51,2,FALSE),"")</f>
        <v/>
      </c>
      <c r="P680" s="81"/>
      <c r="Q680" s="152">
        <f t="shared" si="59"/>
        <v>0</v>
      </c>
    </row>
    <row r="681" spans="2:17">
      <c r="B681" s="670">
        <f t="shared" si="60"/>
        <v>676</v>
      </c>
      <c r="C681" s="601">
        <v>42839</v>
      </c>
      <c r="D681" s="377" t="s">
        <v>587</v>
      </c>
      <c r="E681" s="572">
        <v>510000</v>
      </c>
      <c r="F681" s="672" t="str">
        <f>IFERROR(VLOOKUP(E681,STAT1!$C$4:$D$1000,2,FALSE),"")</f>
        <v>Үндсэн үйл ажиллагааны борлуулалт</v>
      </c>
      <c r="G681" s="597"/>
      <c r="H681" s="377">
        <v>169999.99799999999</v>
      </c>
      <c r="I681" s="596">
        <f t="shared" si="58"/>
        <v>0</v>
      </c>
      <c r="J681" s="81"/>
      <c r="K681" s="81"/>
      <c r="L681" s="597">
        <v>3042</v>
      </c>
      <c r="M681" s="81" t="str">
        <f>+IFERROR(VLOOKUP(L681,DATA!$G$4:$H$2000,2,FALSE),"")</f>
        <v xml:space="preserve">ЖУРМАК ХХК </v>
      </c>
      <c r="N681" s="166"/>
      <c r="O681" s="81" t="str">
        <f>IFERROR(VLOOKUP(N681,DATA!$K$4:$L$51,2,FALSE),"")</f>
        <v/>
      </c>
      <c r="P681" s="81"/>
      <c r="Q681" s="152">
        <f t="shared" si="59"/>
        <v>0</v>
      </c>
    </row>
    <row r="682" spans="2:17">
      <c r="B682" s="670">
        <f t="shared" si="60"/>
        <v>677</v>
      </c>
      <c r="C682" s="601">
        <v>42839</v>
      </c>
      <c r="D682" s="377" t="s">
        <v>587</v>
      </c>
      <c r="E682" s="572">
        <v>320100</v>
      </c>
      <c r="F682" s="672" t="str">
        <f>IFERROR(VLOOKUP(E682,STAT1!$C$4:$D$1000,2,FALSE),"")</f>
        <v>Урьдчилж орсон орлого MNT</v>
      </c>
      <c r="G682" s="377">
        <v>186999.99779999998</v>
      </c>
      <c r="H682" s="597"/>
      <c r="I682" s="596">
        <f t="shared" si="58"/>
        <v>0</v>
      </c>
      <c r="J682" s="81"/>
      <c r="K682" s="81"/>
      <c r="L682" s="597">
        <v>3042</v>
      </c>
      <c r="M682" s="81" t="str">
        <f>+IFERROR(VLOOKUP(L682,DATA!$G$4:$H$2000,2,FALSE),"")</f>
        <v xml:space="preserve">ЖУРМАК ХХК </v>
      </c>
      <c r="N682" s="166"/>
      <c r="O682" s="81" t="str">
        <f>IFERROR(VLOOKUP(N682,DATA!$K$4:$L$51,2,FALSE),"")</f>
        <v/>
      </c>
      <c r="P682" s="81"/>
      <c r="Q682" s="152">
        <f t="shared" si="59"/>
        <v>0</v>
      </c>
    </row>
    <row r="683" spans="2:17">
      <c r="B683" s="670">
        <f t="shared" si="60"/>
        <v>678</v>
      </c>
      <c r="C683" s="433">
        <v>42840</v>
      </c>
      <c r="D683" s="377" t="s">
        <v>1742</v>
      </c>
      <c r="E683" s="572">
        <v>110100</v>
      </c>
      <c r="F683" s="672" t="str">
        <f>IFERROR(VLOOKUP(E683,STAT1!$C$4:$D$1000,2,FALSE),"")</f>
        <v>Хаан Банк 5024654020</v>
      </c>
      <c r="G683" s="377"/>
      <c r="H683" s="377">
        <v>1580000</v>
      </c>
      <c r="I683" s="596">
        <f t="shared" si="58"/>
        <v>-1580000</v>
      </c>
      <c r="J683" s="81">
        <f t="shared" ref="J683:J692" si="62">+IF(E683=110102,I683/K683,0)</f>
        <v>0</v>
      </c>
      <c r="K683" s="81"/>
      <c r="L683" s="597">
        <v>1004</v>
      </c>
      <c r="M683" s="81" t="str">
        <f>+IFERROR(VLOOKUP(L683,DATA!$G$4:$H$2000,2,FALSE),"")</f>
        <v xml:space="preserve">Түмэндэлгэр </v>
      </c>
      <c r="N683" s="435"/>
      <c r="O683" s="81" t="str">
        <f>IFERROR(VLOOKUP(N683,DATA!$K$4:$L$51,2,FALSE),"")</f>
        <v/>
      </c>
      <c r="P683" s="81"/>
      <c r="Q683" s="152">
        <f t="shared" si="59"/>
        <v>1</v>
      </c>
    </row>
    <row r="684" spans="2:17">
      <c r="B684" s="670">
        <f t="shared" si="60"/>
        <v>679</v>
      </c>
      <c r="C684" s="433">
        <v>42840</v>
      </c>
      <c r="D684" s="377" t="s">
        <v>1742</v>
      </c>
      <c r="E684" s="572">
        <v>100100</v>
      </c>
      <c r="F684" s="672" t="str">
        <f>IFERROR(VLOOKUP(E684,STAT1!$C$4:$D$1000,2,FALSE),"")</f>
        <v>Касс мөнгө MNT</v>
      </c>
      <c r="G684" s="377">
        <v>1580000</v>
      </c>
      <c r="H684" s="377">
        <v>0</v>
      </c>
      <c r="I684" s="596">
        <f t="shared" si="58"/>
        <v>1580000</v>
      </c>
      <c r="J684" s="81">
        <f t="shared" si="62"/>
        <v>0</v>
      </c>
      <c r="K684" s="81"/>
      <c r="L684" s="597">
        <v>1004</v>
      </c>
      <c r="M684" s="81" t="str">
        <f>+IFERROR(VLOOKUP(L684,DATA!$G$4:$H$2000,2,FALSE),"")</f>
        <v xml:space="preserve">Түмэндэлгэр </v>
      </c>
      <c r="N684" s="435"/>
      <c r="O684" s="81" t="str">
        <f>IFERROR(VLOOKUP(N684,DATA!$K$4:$L$51,2,FALSE),"")</f>
        <v/>
      </c>
      <c r="P684" s="81"/>
      <c r="Q684" s="152">
        <f t="shared" si="59"/>
        <v>1</v>
      </c>
    </row>
    <row r="685" spans="2:17">
      <c r="B685" s="670">
        <f t="shared" si="60"/>
        <v>680</v>
      </c>
      <c r="C685" s="433">
        <v>42840</v>
      </c>
      <c r="D685" s="377" t="s">
        <v>1741</v>
      </c>
      <c r="E685" s="572">
        <v>320100</v>
      </c>
      <c r="F685" s="672" t="str">
        <f>IFERROR(VLOOKUP(E685,STAT1!$C$4:$D$1000,2,FALSE),"")</f>
        <v>Урьдчилж орсон орлого MNT</v>
      </c>
      <c r="G685" s="377"/>
      <c r="H685" s="377">
        <v>174880</v>
      </c>
      <c r="I685" s="596">
        <f t="shared" si="58"/>
        <v>0</v>
      </c>
      <c r="J685" s="81">
        <f t="shared" si="62"/>
        <v>0</v>
      </c>
      <c r="K685" s="81"/>
      <c r="L685" s="597">
        <v>3051</v>
      </c>
      <c r="M685" s="81" t="str">
        <f>+IFERROR(VLOOKUP(L685,DATA!$G$4:$H$2000,2,FALSE),"")</f>
        <v xml:space="preserve">НОМАДС ТУР ХХК </v>
      </c>
      <c r="N685" s="435"/>
      <c r="O685" s="81" t="str">
        <f>IFERROR(VLOOKUP(N685,DATA!$K$4:$L$51,2,FALSE),"")</f>
        <v/>
      </c>
      <c r="P685" s="81"/>
      <c r="Q685" s="152">
        <f t="shared" si="59"/>
        <v>0</v>
      </c>
    </row>
    <row r="686" spans="2:17">
      <c r="B686" s="670">
        <f t="shared" si="60"/>
        <v>681</v>
      </c>
      <c r="C686" s="433">
        <v>42840</v>
      </c>
      <c r="D686" s="377" t="s">
        <v>1741</v>
      </c>
      <c r="E686" s="572">
        <v>100100</v>
      </c>
      <c r="F686" s="672" t="str">
        <f>IFERROR(VLOOKUP(E686,STAT1!$C$4:$D$1000,2,FALSE),"")</f>
        <v>Касс мөнгө MNT</v>
      </c>
      <c r="G686" s="377">
        <v>174880</v>
      </c>
      <c r="H686" s="377">
        <v>0</v>
      </c>
      <c r="I686" s="596">
        <f t="shared" si="58"/>
        <v>174880</v>
      </c>
      <c r="J686" s="81">
        <f t="shared" si="62"/>
        <v>0</v>
      </c>
      <c r="K686" s="81"/>
      <c r="L686" s="597">
        <v>3051</v>
      </c>
      <c r="M686" s="81" t="str">
        <f>+IFERROR(VLOOKUP(L686,DATA!$G$4:$H$2000,2,FALSE),"")</f>
        <v xml:space="preserve">НОМАДС ТУР ХХК </v>
      </c>
      <c r="N686" s="435">
        <v>41</v>
      </c>
      <c r="O686" s="81" t="str">
        <f>IFERROR(VLOOKUP(N686,DATA!$K$4:$L$51,2,FALSE),"")</f>
        <v>Бараа борлуулсан, үйлчилгээ үзүүлсэний орлого</v>
      </c>
      <c r="P686" s="81"/>
      <c r="Q686" s="152">
        <f t="shared" si="59"/>
        <v>1</v>
      </c>
    </row>
    <row r="687" spans="2:17">
      <c r="B687" s="670">
        <f t="shared" si="60"/>
        <v>682</v>
      </c>
      <c r="C687" s="433">
        <v>42840</v>
      </c>
      <c r="D687" s="377" t="s">
        <v>1741</v>
      </c>
      <c r="E687" s="572">
        <v>320100</v>
      </c>
      <c r="F687" s="672" t="str">
        <f>IFERROR(VLOOKUP(E687,STAT1!$C$4:$D$1000,2,FALSE),"")</f>
        <v>Урьдчилж орсон орлого MNT</v>
      </c>
      <c r="G687" s="377"/>
      <c r="H687" s="377">
        <v>2376000</v>
      </c>
      <c r="I687" s="596">
        <f t="shared" si="58"/>
        <v>0</v>
      </c>
      <c r="J687" s="81">
        <f t="shared" si="62"/>
        <v>0</v>
      </c>
      <c r="K687" s="81"/>
      <c r="L687" s="597">
        <v>3053</v>
      </c>
      <c r="M687" s="81" t="str">
        <f>+IFERROR(VLOOKUP(L687,DATA!$G$4:$H$2000,2,FALSE),"")</f>
        <v>ЧИНГИС ТРЕЙД ХХК</v>
      </c>
      <c r="N687" s="435"/>
      <c r="O687" s="81" t="str">
        <f>IFERROR(VLOOKUP(N687,DATA!$K$4:$L$51,2,FALSE),"")</f>
        <v/>
      </c>
      <c r="P687" s="81"/>
      <c r="Q687" s="152">
        <f t="shared" si="59"/>
        <v>0</v>
      </c>
    </row>
    <row r="688" spans="2:17">
      <c r="B688" s="670">
        <f t="shared" si="60"/>
        <v>683</v>
      </c>
      <c r="C688" s="433">
        <v>42840</v>
      </c>
      <c r="D688" s="377" t="s">
        <v>1741</v>
      </c>
      <c r="E688" s="572">
        <v>100100</v>
      </c>
      <c r="F688" s="672" t="str">
        <f>IFERROR(VLOOKUP(E688,STAT1!$C$4:$D$1000,2,FALSE),"")</f>
        <v>Касс мөнгө MNT</v>
      </c>
      <c r="G688" s="377">
        <v>2376000</v>
      </c>
      <c r="H688" s="377">
        <v>0</v>
      </c>
      <c r="I688" s="596">
        <f t="shared" si="58"/>
        <v>2376000</v>
      </c>
      <c r="J688" s="81">
        <f t="shared" si="62"/>
        <v>0</v>
      </c>
      <c r="K688" s="81"/>
      <c r="L688" s="597">
        <v>3053</v>
      </c>
      <c r="M688" s="81" t="str">
        <f>+IFERROR(VLOOKUP(L688,DATA!$G$4:$H$2000,2,FALSE),"")</f>
        <v>ЧИНГИС ТРЕЙД ХХК</v>
      </c>
      <c r="N688" s="435">
        <v>41</v>
      </c>
      <c r="O688" s="81" t="str">
        <f>IFERROR(VLOOKUP(N688,DATA!$K$4:$L$51,2,FALSE),"")</f>
        <v>Бараа борлуулсан, үйлчилгээ үзүүлсэний орлого</v>
      </c>
      <c r="P688" s="81"/>
      <c r="Q688" s="152">
        <f t="shared" si="59"/>
        <v>1</v>
      </c>
    </row>
    <row r="689" spans="1:17">
      <c r="B689" s="670">
        <f t="shared" si="60"/>
        <v>684</v>
      </c>
      <c r="C689" s="433">
        <v>42840</v>
      </c>
      <c r="D689" s="377" t="s">
        <v>1741</v>
      </c>
      <c r="E689" s="572">
        <v>320100</v>
      </c>
      <c r="F689" s="672" t="str">
        <f>IFERROR(VLOOKUP(E689,STAT1!$C$4:$D$1000,2,FALSE),"")</f>
        <v>Урьдчилж орсон орлого MNT</v>
      </c>
      <c r="G689" s="377"/>
      <c r="H689" s="377">
        <v>660000</v>
      </c>
      <c r="I689" s="596">
        <f t="shared" si="58"/>
        <v>0</v>
      </c>
      <c r="J689" s="81">
        <f t="shared" si="62"/>
        <v>0</v>
      </c>
      <c r="K689" s="81"/>
      <c r="L689" s="597">
        <v>3054</v>
      </c>
      <c r="M689" s="81" t="str">
        <f>+IFERROR(VLOOKUP(L689,DATA!$G$4:$H$2000,2,FALSE),"")</f>
        <v>3 МЕН ХХК</v>
      </c>
      <c r="N689" s="435"/>
      <c r="O689" s="81" t="str">
        <f>IFERROR(VLOOKUP(N689,DATA!$K$4:$L$51,2,FALSE),"")</f>
        <v/>
      </c>
      <c r="P689" s="81"/>
      <c r="Q689" s="152">
        <f t="shared" si="59"/>
        <v>0</v>
      </c>
    </row>
    <row r="690" spans="1:17">
      <c r="A690" s="599"/>
      <c r="B690" s="670">
        <f t="shared" si="60"/>
        <v>685</v>
      </c>
      <c r="C690" s="433">
        <v>42840</v>
      </c>
      <c r="D690" s="377" t="s">
        <v>1741</v>
      </c>
      <c r="E690" s="572">
        <v>100100</v>
      </c>
      <c r="F690" s="672" t="str">
        <f>IFERROR(VLOOKUP(E690,STAT1!$C$4:$D$1000,2,FALSE),"")</f>
        <v>Касс мөнгө MNT</v>
      </c>
      <c r="G690" s="377">
        <v>660000</v>
      </c>
      <c r="H690" s="377">
        <v>0</v>
      </c>
      <c r="I690" s="596">
        <f t="shared" si="58"/>
        <v>660000</v>
      </c>
      <c r="J690" s="81">
        <f t="shared" si="62"/>
        <v>0</v>
      </c>
      <c r="K690" s="81"/>
      <c r="L690" s="597">
        <v>3054</v>
      </c>
      <c r="M690" s="81" t="str">
        <f>+IFERROR(VLOOKUP(L690,DATA!$G$4:$H$2000,2,FALSE),"")</f>
        <v>3 МЕН ХХК</v>
      </c>
      <c r="N690" s="435">
        <v>41</v>
      </c>
      <c r="O690" s="81" t="str">
        <f>IFERROR(VLOOKUP(N690,DATA!$K$4:$L$51,2,FALSE),"")</f>
        <v>Бараа борлуулсан, үйлчилгээ үзүүлсэний орлого</v>
      </c>
      <c r="P690" s="81"/>
      <c r="Q690" s="152">
        <f t="shared" si="59"/>
        <v>1</v>
      </c>
    </row>
    <row r="691" spans="1:17">
      <c r="A691" s="599"/>
      <c r="B691" s="670">
        <f t="shared" si="60"/>
        <v>686</v>
      </c>
      <c r="C691" s="433">
        <v>42840</v>
      </c>
      <c r="D691" s="598" t="s">
        <v>1741</v>
      </c>
      <c r="E691" s="572">
        <v>110100</v>
      </c>
      <c r="F691" s="672" t="str">
        <f>IFERROR(VLOOKUP(E691,STAT1!$C$4:$D$1000,2,FALSE),"")</f>
        <v>Хаан Банк 5024654020</v>
      </c>
      <c r="G691" s="377">
        <v>1000000</v>
      </c>
      <c r="H691" s="377"/>
      <c r="I691" s="596">
        <f t="shared" si="58"/>
        <v>1000000</v>
      </c>
      <c r="J691" s="81">
        <f t="shared" si="62"/>
        <v>0</v>
      </c>
      <c r="K691" s="81"/>
      <c r="L691" s="597">
        <v>3039</v>
      </c>
      <c r="M691" s="81" t="str">
        <f>+IFERROR(VLOOKUP(L691,DATA!$G$4:$H$2000,2,FALSE),"")</f>
        <v xml:space="preserve">САССИР ХХК </v>
      </c>
      <c r="N691" s="435">
        <v>41</v>
      </c>
      <c r="O691" s="81" t="str">
        <f>IFERROR(VLOOKUP(N691,DATA!$K$4:$L$51,2,FALSE),"")</f>
        <v>Бараа борлуулсан, үйлчилгээ үзүүлсэний орлого</v>
      </c>
      <c r="P691" s="81"/>
      <c r="Q691" s="152">
        <f t="shared" si="59"/>
        <v>1</v>
      </c>
    </row>
    <row r="692" spans="1:17">
      <c r="A692" s="599"/>
      <c r="B692" s="670">
        <f t="shared" si="60"/>
        <v>687</v>
      </c>
      <c r="C692" s="433">
        <v>42840</v>
      </c>
      <c r="D692" s="598" t="s">
        <v>1741</v>
      </c>
      <c r="E692" s="572">
        <v>320100</v>
      </c>
      <c r="F692" s="672" t="str">
        <f>IFERROR(VLOOKUP(E692,STAT1!$C$4:$D$1000,2,FALSE),"")</f>
        <v>Урьдчилж орсон орлого MNT</v>
      </c>
      <c r="G692" s="377">
        <v>0</v>
      </c>
      <c r="H692" s="377">
        <v>1000000</v>
      </c>
      <c r="I692" s="596">
        <f t="shared" si="58"/>
        <v>0</v>
      </c>
      <c r="J692" s="81">
        <f t="shared" si="62"/>
        <v>0</v>
      </c>
      <c r="K692" s="81"/>
      <c r="L692" s="597">
        <v>3039</v>
      </c>
      <c r="M692" s="81" t="str">
        <f>+IFERROR(VLOOKUP(L692,DATA!$G$4:$H$2000,2,FALSE),"")</f>
        <v xml:space="preserve">САССИР ХХК </v>
      </c>
      <c r="N692" s="435"/>
      <c r="O692" s="81" t="str">
        <f>IFERROR(VLOOKUP(N692,DATA!$K$4:$L$51,2,FALSE),"")</f>
        <v/>
      </c>
      <c r="P692" s="81"/>
      <c r="Q692" s="152">
        <f t="shared" si="59"/>
        <v>0</v>
      </c>
    </row>
    <row r="693" spans="1:17">
      <c r="A693" s="599"/>
      <c r="B693" s="670">
        <f t="shared" si="60"/>
        <v>688</v>
      </c>
      <c r="C693" s="601">
        <v>42840</v>
      </c>
      <c r="D693" s="377" t="s">
        <v>2678</v>
      </c>
      <c r="E693" s="573">
        <v>150101</v>
      </c>
      <c r="F693" s="672" t="str">
        <f>IFERROR(VLOOKUP(E693,STAT1!$C$4:$D$1000,2,FALSE),"")</f>
        <v>Бараа бэлэн бүтээгдэхүүн БОЛОВСРУУЛАХ ЦЕХ /нарс/</v>
      </c>
      <c r="G693" s="597"/>
      <c r="H693" s="377">
        <v>92899.67</v>
      </c>
      <c r="I693" s="596">
        <f t="shared" si="58"/>
        <v>0</v>
      </c>
      <c r="J693" s="81"/>
      <c r="K693" s="81"/>
      <c r="L693" s="597">
        <v>3051</v>
      </c>
      <c r="M693" s="81" t="str">
        <f>+IFERROR(VLOOKUP(L693,DATA!$G$4:$H$2000,2,FALSE),"")</f>
        <v xml:space="preserve">НОМАДС ТУР ХХК </v>
      </c>
      <c r="N693" s="166"/>
      <c r="O693" s="81" t="str">
        <f>IFERROR(VLOOKUP(N693,DATA!$K$4:$L$51,2,FALSE),"")</f>
        <v/>
      </c>
      <c r="P693" s="81"/>
      <c r="Q693" s="152">
        <f t="shared" si="59"/>
        <v>0</v>
      </c>
    </row>
    <row r="694" spans="1:17">
      <c r="A694" s="599"/>
      <c r="B694" s="670">
        <f t="shared" si="60"/>
        <v>689</v>
      </c>
      <c r="C694" s="601">
        <v>42840</v>
      </c>
      <c r="D694" s="377" t="s">
        <v>587</v>
      </c>
      <c r="E694" s="572">
        <v>610100</v>
      </c>
      <c r="F694" s="672" t="str">
        <f>IFERROR(VLOOKUP(E694,STAT1!$C$4:$D$1000,2,FALSE),"")</f>
        <v>Борлуулсан барааны өртөг</v>
      </c>
      <c r="G694" s="377">
        <v>92899.67</v>
      </c>
      <c r="H694" s="597"/>
      <c r="I694" s="596">
        <f t="shared" si="58"/>
        <v>0</v>
      </c>
      <c r="J694" s="81"/>
      <c r="K694" s="81"/>
      <c r="L694" s="597">
        <v>3051</v>
      </c>
      <c r="M694" s="81" t="str">
        <f>+IFERROR(VLOOKUP(L694,DATA!$G$4:$H$2000,2,FALSE),"")</f>
        <v xml:space="preserve">НОМАДС ТУР ХХК </v>
      </c>
      <c r="N694" s="166"/>
      <c r="O694" s="81" t="str">
        <f>IFERROR(VLOOKUP(N694,DATA!$K$4:$L$51,2,FALSE),"")</f>
        <v/>
      </c>
      <c r="P694" s="81"/>
      <c r="Q694" s="152">
        <f t="shared" si="59"/>
        <v>0</v>
      </c>
    </row>
    <row r="695" spans="1:17">
      <c r="A695" s="599"/>
      <c r="B695" s="670">
        <f t="shared" si="60"/>
        <v>690</v>
      </c>
      <c r="C695" s="601">
        <v>42840</v>
      </c>
      <c r="D695" s="377" t="s">
        <v>587</v>
      </c>
      <c r="E695" s="572">
        <v>310500</v>
      </c>
      <c r="F695" s="672" t="str">
        <f>IFERROR(VLOOKUP(E695,STAT1!$C$4:$D$1000,2,FALSE),"")</f>
        <v>НӨАТ өглөг</v>
      </c>
      <c r="G695" s="597"/>
      <c r="H695" s="377">
        <v>15898.18</v>
      </c>
      <c r="I695" s="596">
        <f t="shared" si="58"/>
        <v>0</v>
      </c>
      <c r="J695" s="81"/>
      <c r="K695" s="81"/>
      <c r="L695" s="597">
        <v>3051</v>
      </c>
      <c r="M695" s="81" t="str">
        <f>+IFERROR(VLOOKUP(L695,DATA!$G$4:$H$2000,2,FALSE),"")</f>
        <v xml:space="preserve">НОМАДС ТУР ХХК </v>
      </c>
      <c r="N695" s="166"/>
      <c r="O695" s="81" t="str">
        <f>IFERROR(VLOOKUP(N695,DATA!$K$4:$L$51,2,FALSE),"")</f>
        <v/>
      </c>
      <c r="P695" s="81"/>
      <c r="Q695" s="152">
        <f t="shared" si="59"/>
        <v>0</v>
      </c>
    </row>
    <row r="696" spans="1:17">
      <c r="A696" s="599"/>
      <c r="B696" s="670">
        <f t="shared" si="60"/>
        <v>691</v>
      </c>
      <c r="C696" s="601">
        <v>42840</v>
      </c>
      <c r="D696" s="377" t="s">
        <v>587</v>
      </c>
      <c r="E696" s="572">
        <v>510000</v>
      </c>
      <c r="F696" s="672" t="str">
        <f>IFERROR(VLOOKUP(E696,STAT1!$C$4:$D$1000,2,FALSE),"")</f>
        <v>Үндсэн үйл ажиллагааны борлуулалт</v>
      </c>
      <c r="G696" s="597"/>
      <c r="H696" s="377">
        <v>158981.82</v>
      </c>
      <c r="I696" s="596">
        <f t="shared" si="58"/>
        <v>0</v>
      </c>
      <c r="J696" s="81"/>
      <c r="K696" s="81"/>
      <c r="L696" s="597">
        <v>3051</v>
      </c>
      <c r="M696" s="81" t="str">
        <f>+IFERROR(VLOOKUP(L696,DATA!$G$4:$H$2000,2,FALSE),"")</f>
        <v xml:space="preserve">НОМАДС ТУР ХХК </v>
      </c>
      <c r="N696" s="166"/>
      <c r="O696" s="81" t="str">
        <f>IFERROR(VLOOKUP(N696,DATA!$K$4:$L$51,2,FALSE),"")</f>
        <v/>
      </c>
      <c r="P696" s="81"/>
      <c r="Q696" s="152">
        <f t="shared" si="59"/>
        <v>0</v>
      </c>
    </row>
    <row r="697" spans="1:17">
      <c r="A697" s="599"/>
      <c r="B697" s="670">
        <f t="shared" si="60"/>
        <v>692</v>
      </c>
      <c r="C697" s="601">
        <v>42840</v>
      </c>
      <c r="D697" s="377" t="s">
        <v>587</v>
      </c>
      <c r="E697" s="572">
        <v>320100</v>
      </c>
      <c r="F697" s="672" t="str">
        <f>IFERROR(VLOOKUP(E697,STAT1!$C$4:$D$1000,2,FALSE),"")</f>
        <v>Урьдчилж орсон орлого MNT</v>
      </c>
      <c r="G697" s="377">
        <v>174880</v>
      </c>
      <c r="H697" s="597"/>
      <c r="I697" s="596">
        <f t="shared" si="58"/>
        <v>0</v>
      </c>
      <c r="J697" s="81"/>
      <c r="K697" s="81"/>
      <c r="L697" s="597">
        <v>3051</v>
      </c>
      <c r="M697" s="81" t="str">
        <f>+IFERROR(VLOOKUP(L697,DATA!$G$4:$H$2000,2,FALSE),"")</f>
        <v xml:space="preserve">НОМАДС ТУР ХХК </v>
      </c>
      <c r="N697" s="166"/>
      <c r="O697" s="81" t="str">
        <f>IFERROR(VLOOKUP(N697,DATA!$K$4:$L$51,2,FALSE),"")</f>
        <v/>
      </c>
      <c r="P697" s="81"/>
      <c r="Q697" s="152">
        <f t="shared" si="59"/>
        <v>0</v>
      </c>
    </row>
    <row r="698" spans="1:17">
      <c r="A698" s="599"/>
      <c r="B698" s="670">
        <f t="shared" si="60"/>
        <v>693</v>
      </c>
      <c r="C698" s="601">
        <v>42840</v>
      </c>
      <c r="D698" s="377" t="s">
        <v>2678</v>
      </c>
      <c r="E698" s="573">
        <v>150101</v>
      </c>
      <c r="F698" s="672" t="str">
        <f>IFERROR(VLOOKUP(E698,STAT1!$C$4:$D$1000,2,FALSE),"")</f>
        <v>Бараа бэлэн бүтээгдэхүүн БОЛОВСРУУЛАХ ЦЕХ /нарс/</v>
      </c>
      <c r="G698" s="597"/>
      <c r="H698" s="377">
        <v>1262223.7683513314</v>
      </c>
      <c r="I698" s="596">
        <f t="shared" si="58"/>
        <v>0</v>
      </c>
      <c r="J698" s="81"/>
      <c r="K698" s="81"/>
      <c r="L698" s="597">
        <v>3053</v>
      </c>
      <c r="M698" s="81" t="str">
        <f>+IFERROR(VLOOKUP(L698,DATA!$G$4:$H$2000,2,FALSE),"")</f>
        <v>ЧИНГИС ТРЕЙД ХХК</v>
      </c>
      <c r="N698" s="166"/>
      <c r="O698" s="81" t="str">
        <f>IFERROR(VLOOKUP(N698,DATA!$K$4:$L$51,2,FALSE),"")</f>
        <v/>
      </c>
      <c r="P698" s="81"/>
      <c r="Q698" s="152">
        <f t="shared" si="59"/>
        <v>0</v>
      </c>
    </row>
    <row r="699" spans="1:17">
      <c r="A699" s="599"/>
      <c r="B699" s="670">
        <f t="shared" si="60"/>
        <v>694</v>
      </c>
      <c r="C699" s="601">
        <v>42840</v>
      </c>
      <c r="D699" s="377" t="s">
        <v>587</v>
      </c>
      <c r="E699" s="572">
        <v>610100</v>
      </c>
      <c r="F699" s="672" t="str">
        <f>IFERROR(VLOOKUP(E699,STAT1!$C$4:$D$1000,2,FALSE),"")</f>
        <v>Борлуулсан барааны өртөг</v>
      </c>
      <c r="G699" s="377">
        <v>1262223.7683513314</v>
      </c>
      <c r="H699" s="597"/>
      <c r="I699" s="596">
        <f t="shared" si="58"/>
        <v>0</v>
      </c>
      <c r="J699" s="81"/>
      <c r="K699" s="81"/>
      <c r="L699" s="597">
        <v>3053</v>
      </c>
      <c r="M699" s="81" t="str">
        <f>+IFERROR(VLOOKUP(L699,DATA!$G$4:$H$2000,2,FALSE),"")</f>
        <v>ЧИНГИС ТРЕЙД ХХК</v>
      </c>
      <c r="N699" s="166"/>
      <c r="O699" s="81" t="str">
        <f>IFERROR(VLOOKUP(N699,DATA!$K$4:$L$51,2,FALSE),"")</f>
        <v/>
      </c>
      <c r="P699" s="81"/>
      <c r="Q699" s="152">
        <f t="shared" si="59"/>
        <v>0</v>
      </c>
    </row>
    <row r="700" spans="1:17">
      <c r="A700" s="599"/>
      <c r="B700" s="670">
        <f t="shared" si="60"/>
        <v>695</v>
      </c>
      <c r="C700" s="601">
        <v>42840</v>
      </c>
      <c r="D700" s="377" t="s">
        <v>587</v>
      </c>
      <c r="E700" s="572">
        <v>310500</v>
      </c>
      <c r="F700" s="672" t="str">
        <f>IFERROR(VLOOKUP(E700,STAT1!$C$4:$D$1000,2,FALSE),"")</f>
        <v>НӨАТ өглөг</v>
      </c>
      <c r="G700" s="597"/>
      <c r="H700" s="377">
        <v>216000</v>
      </c>
      <c r="I700" s="596">
        <f t="shared" si="58"/>
        <v>0</v>
      </c>
      <c r="J700" s="81"/>
      <c r="K700" s="81"/>
      <c r="L700" s="597">
        <v>3053</v>
      </c>
      <c r="M700" s="81" t="str">
        <f>+IFERROR(VLOOKUP(L700,DATA!$G$4:$H$2000,2,FALSE),"")</f>
        <v>ЧИНГИС ТРЕЙД ХХК</v>
      </c>
      <c r="N700" s="166"/>
      <c r="O700" s="81" t="str">
        <f>IFERROR(VLOOKUP(N700,DATA!$K$4:$L$51,2,FALSE),"")</f>
        <v/>
      </c>
      <c r="P700" s="81"/>
      <c r="Q700" s="152">
        <f t="shared" si="59"/>
        <v>0</v>
      </c>
    </row>
    <row r="701" spans="1:17">
      <c r="A701" s="599"/>
      <c r="B701" s="670">
        <f t="shared" si="60"/>
        <v>696</v>
      </c>
      <c r="C701" s="601">
        <v>42840</v>
      </c>
      <c r="D701" s="377" t="s">
        <v>587</v>
      </c>
      <c r="E701" s="572">
        <v>510000</v>
      </c>
      <c r="F701" s="672" t="str">
        <f>IFERROR(VLOOKUP(E701,STAT1!$C$4:$D$1000,2,FALSE),"")</f>
        <v>Үндсэн үйл ажиллагааны борлуулалт</v>
      </c>
      <c r="G701" s="597"/>
      <c r="H701" s="377">
        <v>2160000</v>
      </c>
      <c r="I701" s="596">
        <f t="shared" si="58"/>
        <v>0</v>
      </c>
      <c r="J701" s="81"/>
      <c r="K701" s="81"/>
      <c r="L701" s="597">
        <v>3053</v>
      </c>
      <c r="M701" s="81" t="str">
        <f>+IFERROR(VLOOKUP(L701,DATA!$G$4:$H$2000,2,FALSE),"")</f>
        <v>ЧИНГИС ТРЕЙД ХХК</v>
      </c>
      <c r="N701" s="166"/>
      <c r="O701" s="81" t="str">
        <f>IFERROR(VLOOKUP(N701,DATA!$K$4:$L$51,2,FALSE),"")</f>
        <v/>
      </c>
      <c r="P701" s="81"/>
      <c r="Q701" s="152">
        <f t="shared" si="59"/>
        <v>0</v>
      </c>
    </row>
    <row r="702" spans="1:17">
      <c r="A702" s="599"/>
      <c r="B702" s="670">
        <f t="shared" si="60"/>
        <v>697</v>
      </c>
      <c r="C702" s="601">
        <v>42840</v>
      </c>
      <c r="D702" s="377" t="s">
        <v>587</v>
      </c>
      <c r="E702" s="572">
        <v>320100</v>
      </c>
      <c r="F702" s="672" t="str">
        <f>IFERROR(VLOOKUP(E702,STAT1!$C$4:$D$1000,2,FALSE),"")</f>
        <v>Урьдчилж орсон орлого MNT</v>
      </c>
      <c r="G702" s="377">
        <v>2376000</v>
      </c>
      <c r="H702" s="597"/>
      <c r="I702" s="596">
        <f t="shared" si="58"/>
        <v>0</v>
      </c>
      <c r="J702" s="81"/>
      <c r="K702" s="81"/>
      <c r="L702" s="597">
        <v>3053</v>
      </c>
      <c r="M702" s="81" t="str">
        <f>+IFERROR(VLOOKUP(L702,DATA!$G$4:$H$2000,2,FALSE),"")</f>
        <v>ЧИНГИС ТРЕЙД ХХК</v>
      </c>
      <c r="N702" s="166"/>
      <c r="O702" s="81" t="str">
        <f>IFERROR(VLOOKUP(N702,DATA!$K$4:$L$51,2,FALSE),"")</f>
        <v/>
      </c>
      <c r="P702" s="81"/>
      <c r="Q702" s="152">
        <f t="shared" si="59"/>
        <v>0</v>
      </c>
    </row>
    <row r="703" spans="1:17">
      <c r="A703" s="599"/>
      <c r="B703" s="670">
        <f t="shared" si="60"/>
        <v>698</v>
      </c>
      <c r="C703" s="601">
        <v>42840</v>
      </c>
      <c r="D703" s="377" t="s">
        <v>2681</v>
      </c>
      <c r="E703" s="573">
        <v>150101</v>
      </c>
      <c r="F703" s="672" t="str">
        <f>IFERROR(VLOOKUP(E703,STAT1!$C$4:$D$1000,2,FALSE),"")</f>
        <v>Бараа бэлэн бүтээгдэхүүн БОЛОВСРУУЛАХ ЦЕХ /нарс/</v>
      </c>
      <c r="G703" s="597"/>
      <c r="H703" s="377">
        <v>416725.99397632026</v>
      </c>
      <c r="I703" s="596">
        <f t="shared" si="58"/>
        <v>0</v>
      </c>
      <c r="J703" s="81"/>
      <c r="K703" s="81"/>
      <c r="L703" s="597">
        <v>3054</v>
      </c>
      <c r="M703" s="81" t="str">
        <f>+IFERROR(VLOOKUP(L703,DATA!$G$4:$H$2000,2,FALSE),"")</f>
        <v>3 МЕН ХХК</v>
      </c>
      <c r="N703" s="166"/>
      <c r="O703" s="81" t="str">
        <f>IFERROR(VLOOKUP(N703,DATA!$K$4:$L$51,2,FALSE),"")</f>
        <v/>
      </c>
      <c r="P703" s="81"/>
      <c r="Q703" s="152">
        <f t="shared" si="59"/>
        <v>0</v>
      </c>
    </row>
    <row r="704" spans="1:17">
      <c r="A704" s="599"/>
      <c r="B704" s="670">
        <f t="shared" si="60"/>
        <v>699</v>
      </c>
      <c r="C704" s="601">
        <v>42840</v>
      </c>
      <c r="D704" s="377" t="s">
        <v>587</v>
      </c>
      <c r="E704" s="572">
        <v>610100</v>
      </c>
      <c r="F704" s="672" t="str">
        <f>IFERROR(VLOOKUP(E704,STAT1!$C$4:$D$1000,2,FALSE),"")</f>
        <v>Борлуулсан барааны өртөг</v>
      </c>
      <c r="G704" s="377">
        <v>416725.99397632026</v>
      </c>
      <c r="H704" s="597"/>
      <c r="I704" s="596">
        <f t="shared" si="58"/>
        <v>0</v>
      </c>
      <c r="J704" s="81"/>
      <c r="K704" s="81"/>
      <c r="L704" s="597">
        <v>3054</v>
      </c>
      <c r="M704" s="81" t="str">
        <f>+IFERROR(VLOOKUP(L704,DATA!$G$4:$H$2000,2,FALSE),"")</f>
        <v>3 МЕН ХХК</v>
      </c>
      <c r="N704" s="166"/>
      <c r="O704" s="81" t="str">
        <f>IFERROR(VLOOKUP(N704,DATA!$K$4:$L$51,2,FALSE),"")</f>
        <v/>
      </c>
      <c r="P704" s="81"/>
      <c r="Q704" s="152">
        <f t="shared" si="59"/>
        <v>0</v>
      </c>
    </row>
    <row r="705" spans="1:17">
      <c r="A705" s="599"/>
      <c r="B705" s="670">
        <f t="shared" si="60"/>
        <v>700</v>
      </c>
      <c r="C705" s="601">
        <v>42840</v>
      </c>
      <c r="D705" s="377" t="s">
        <v>587</v>
      </c>
      <c r="E705" s="572">
        <v>310500</v>
      </c>
      <c r="F705" s="672" t="str">
        <f>IFERROR(VLOOKUP(E705,STAT1!$C$4:$D$1000,2,FALSE),"")</f>
        <v>НӨАТ өглөг</v>
      </c>
      <c r="G705" s="597"/>
      <c r="H705" s="377">
        <v>60000</v>
      </c>
      <c r="I705" s="596">
        <f t="shared" si="58"/>
        <v>0</v>
      </c>
      <c r="J705" s="81"/>
      <c r="K705" s="81"/>
      <c r="L705" s="597">
        <v>3054</v>
      </c>
      <c r="M705" s="81" t="str">
        <f>+IFERROR(VLOOKUP(L705,DATA!$G$4:$H$2000,2,FALSE),"")</f>
        <v>3 МЕН ХХК</v>
      </c>
      <c r="N705" s="166"/>
      <c r="O705" s="81" t="str">
        <f>IFERROR(VLOOKUP(N705,DATA!$K$4:$L$51,2,FALSE),"")</f>
        <v/>
      </c>
      <c r="P705" s="81"/>
      <c r="Q705" s="152">
        <f t="shared" si="59"/>
        <v>0</v>
      </c>
    </row>
    <row r="706" spans="1:17">
      <c r="A706" s="599"/>
      <c r="B706" s="670">
        <f t="shared" si="60"/>
        <v>701</v>
      </c>
      <c r="C706" s="601">
        <v>42840</v>
      </c>
      <c r="D706" s="377" t="s">
        <v>587</v>
      </c>
      <c r="E706" s="572">
        <v>510000</v>
      </c>
      <c r="F706" s="672" t="str">
        <f>IFERROR(VLOOKUP(E706,STAT1!$C$4:$D$1000,2,FALSE),"")</f>
        <v>Үндсэн үйл ажиллагааны борлуулалт</v>
      </c>
      <c r="G706" s="597"/>
      <c r="H706" s="377">
        <v>600000</v>
      </c>
      <c r="I706" s="596">
        <f t="shared" si="58"/>
        <v>0</v>
      </c>
      <c r="J706" s="81"/>
      <c r="K706" s="81"/>
      <c r="L706" s="597">
        <v>3054</v>
      </c>
      <c r="M706" s="81" t="str">
        <f>+IFERROR(VLOOKUP(L706,DATA!$G$4:$H$2000,2,FALSE),"")</f>
        <v>3 МЕН ХХК</v>
      </c>
      <c r="N706" s="166"/>
      <c r="O706" s="81" t="str">
        <f>IFERROR(VLOOKUP(N706,DATA!$K$4:$L$51,2,FALSE),"")</f>
        <v/>
      </c>
      <c r="P706" s="81"/>
      <c r="Q706" s="152">
        <f t="shared" si="59"/>
        <v>0</v>
      </c>
    </row>
    <row r="707" spans="1:17">
      <c r="A707" s="599"/>
      <c r="B707" s="670">
        <f t="shared" si="60"/>
        <v>702</v>
      </c>
      <c r="C707" s="601">
        <v>42840</v>
      </c>
      <c r="D707" s="377" t="s">
        <v>587</v>
      </c>
      <c r="E707" s="572">
        <v>320100</v>
      </c>
      <c r="F707" s="672" t="str">
        <f>IFERROR(VLOOKUP(E707,STAT1!$C$4:$D$1000,2,FALSE),"")</f>
        <v>Урьдчилж орсон орлого MNT</v>
      </c>
      <c r="G707" s="377">
        <v>660000</v>
      </c>
      <c r="H707" s="597"/>
      <c r="I707" s="596">
        <f t="shared" si="58"/>
        <v>0</v>
      </c>
      <c r="J707" s="81"/>
      <c r="K707" s="81"/>
      <c r="L707" s="597">
        <v>3054</v>
      </c>
      <c r="M707" s="81" t="str">
        <f>+IFERROR(VLOOKUP(L707,DATA!$G$4:$H$2000,2,FALSE),"")</f>
        <v>3 МЕН ХХК</v>
      </c>
      <c r="N707" s="166"/>
      <c r="O707" s="81" t="str">
        <f>IFERROR(VLOOKUP(N707,DATA!$K$4:$L$51,2,FALSE),"")</f>
        <v/>
      </c>
      <c r="P707" s="81"/>
      <c r="Q707" s="152">
        <f t="shared" si="59"/>
        <v>0</v>
      </c>
    </row>
    <row r="708" spans="1:17">
      <c r="B708" s="670">
        <f t="shared" si="60"/>
        <v>703</v>
      </c>
      <c r="C708" s="601">
        <v>42840</v>
      </c>
      <c r="D708" s="377" t="s">
        <v>2685</v>
      </c>
      <c r="E708" s="573">
        <v>150101</v>
      </c>
      <c r="F708" s="672" t="str">
        <f>IFERROR(VLOOKUP(E708,STAT1!$C$4:$D$1000,2,FALSE),"")</f>
        <v>Бараа бэлэн бүтээгдэхүүн БОЛОВСРУУЛАХ ЦЕХ /нарс/</v>
      </c>
      <c r="G708" s="597"/>
      <c r="H708" s="377">
        <v>12964.34511311399</v>
      </c>
      <c r="I708" s="596">
        <f t="shared" si="58"/>
        <v>0</v>
      </c>
      <c r="J708" s="81"/>
      <c r="K708" s="81"/>
      <c r="L708" s="597">
        <v>3055</v>
      </c>
      <c r="M708" s="81" t="str">
        <f>+IFERROR(VLOOKUP(L708,DATA!$G$4:$H$2000,2,FALSE),"")</f>
        <v xml:space="preserve">МЧБС ХХК </v>
      </c>
      <c r="N708" s="166"/>
      <c r="O708" s="81" t="str">
        <f>IFERROR(VLOOKUP(N708,DATA!$K$4:$L$51,2,FALSE),"")</f>
        <v/>
      </c>
      <c r="P708" s="81"/>
      <c r="Q708" s="152">
        <f t="shared" si="59"/>
        <v>0</v>
      </c>
    </row>
    <row r="709" spans="1:17">
      <c r="B709" s="670">
        <f t="shared" si="60"/>
        <v>704</v>
      </c>
      <c r="C709" s="601">
        <v>42840</v>
      </c>
      <c r="D709" s="377" t="s">
        <v>587</v>
      </c>
      <c r="E709" s="572">
        <v>610100</v>
      </c>
      <c r="F709" s="672" t="str">
        <f>IFERROR(VLOOKUP(E709,STAT1!$C$4:$D$1000,2,FALSE),"")</f>
        <v>Борлуулсан барааны өртөг</v>
      </c>
      <c r="G709" s="377">
        <v>12964.34511311399</v>
      </c>
      <c r="H709" s="597"/>
      <c r="I709" s="596">
        <f t="shared" si="58"/>
        <v>0</v>
      </c>
      <c r="J709" s="81"/>
      <c r="K709" s="81"/>
      <c r="L709" s="597">
        <v>3055</v>
      </c>
      <c r="M709" s="81" t="str">
        <f>+IFERROR(VLOOKUP(L709,DATA!$G$4:$H$2000,2,FALSE),"")</f>
        <v xml:space="preserve">МЧБС ХХК </v>
      </c>
      <c r="N709" s="166"/>
      <c r="O709" s="81" t="str">
        <f>IFERROR(VLOOKUP(N709,DATA!$K$4:$L$51,2,FALSE),"")</f>
        <v/>
      </c>
      <c r="P709" s="81"/>
      <c r="Q709" s="152">
        <f t="shared" si="59"/>
        <v>0</v>
      </c>
    </row>
    <row r="710" spans="1:17">
      <c r="B710" s="670">
        <f t="shared" si="60"/>
        <v>705</v>
      </c>
      <c r="C710" s="601">
        <v>42840</v>
      </c>
      <c r="D710" s="377" t="s">
        <v>587</v>
      </c>
      <c r="E710" s="572">
        <v>310500</v>
      </c>
      <c r="F710" s="672" t="str">
        <f>IFERROR(VLOOKUP(E710,STAT1!$C$4:$D$1000,2,FALSE),"")</f>
        <v>НӨАТ өглөг</v>
      </c>
      <c r="G710" s="597"/>
      <c r="H710" s="377">
        <v>2209.0908240000003</v>
      </c>
      <c r="I710" s="596">
        <f t="shared" ref="I710:I773" si="63">+IF(OR(E710=100100,E710=100200,E710=110100,E710=110102,E710=110103,E710=110104,E710=110105,E710=110200,E710=110201,E710=110202,E710=110203,E710=110204,E710=110300),G710,0)+IF(OR(E710=100100,E710=100200,E710=110100,E710=110102,E710=110103,E710=110104,E710=110105,E710=110200,E710=110201,E710=110202,E710=110203,E710=110204,E710=110300),H710*-1,0)</f>
        <v>0</v>
      </c>
      <c r="J710" s="81"/>
      <c r="K710" s="81"/>
      <c r="L710" s="597">
        <v>3055</v>
      </c>
      <c r="M710" s="81" t="str">
        <f>+IFERROR(VLOOKUP(L710,DATA!$G$4:$H$2000,2,FALSE),"")</f>
        <v xml:space="preserve">МЧБС ХХК </v>
      </c>
      <c r="N710" s="166"/>
      <c r="O710" s="81" t="str">
        <f>IFERROR(VLOOKUP(N710,DATA!$K$4:$L$51,2,FALSE),"")</f>
        <v/>
      </c>
      <c r="P710" s="81"/>
      <c r="Q710" s="152">
        <f t="shared" si="59"/>
        <v>0</v>
      </c>
    </row>
    <row r="711" spans="1:17">
      <c r="B711" s="670">
        <f t="shared" si="60"/>
        <v>706</v>
      </c>
      <c r="C711" s="601">
        <v>42840</v>
      </c>
      <c r="D711" s="377" t="s">
        <v>587</v>
      </c>
      <c r="E711" s="572">
        <v>510000</v>
      </c>
      <c r="F711" s="672" t="str">
        <f>IFERROR(VLOOKUP(E711,STAT1!$C$4:$D$1000,2,FALSE),"")</f>
        <v>Үндсэн үйл ажиллагааны борлуулалт</v>
      </c>
      <c r="G711" s="597"/>
      <c r="H711" s="377">
        <v>22090.908240000001</v>
      </c>
      <c r="I711" s="596">
        <f t="shared" si="63"/>
        <v>0</v>
      </c>
      <c r="J711" s="81"/>
      <c r="K711" s="81"/>
      <c r="L711" s="597">
        <v>3055</v>
      </c>
      <c r="M711" s="81" t="str">
        <f>+IFERROR(VLOOKUP(L711,DATA!$G$4:$H$2000,2,FALSE),"")</f>
        <v xml:space="preserve">МЧБС ХХК </v>
      </c>
      <c r="N711" s="166"/>
      <c r="O711" s="81" t="str">
        <f>IFERROR(VLOOKUP(N711,DATA!$K$4:$L$51,2,FALSE),"")</f>
        <v/>
      </c>
      <c r="P711" s="81"/>
      <c r="Q711" s="152">
        <f t="shared" ref="Q711:Q774" si="64">+IF(I711,1,0)</f>
        <v>0</v>
      </c>
    </row>
    <row r="712" spans="1:17">
      <c r="B712" s="670">
        <f t="shared" si="60"/>
        <v>707</v>
      </c>
      <c r="C712" s="601">
        <v>42840</v>
      </c>
      <c r="D712" s="377" t="s">
        <v>587</v>
      </c>
      <c r="E712" s="572">
        <v>320100</v>
      </c>
      <c r="F712" s="672" t="str">
        <f>IFERROR(VLOOKUP(E712,STAT1!$C$4:$D$1000,2,FALSE),"")</f>
        <v>Урьдчилж орсон орлого MNT</v>
      </c>
      <c r="G712" s="377">
        <v>24299.999064</v>
      </c>
      <c r="H712" s="597"/>
      <c r="I712" s="596">
        <f t="shared" si="63"/>
        <v>0</v>
      </c>
      <c r="J712" s="81"/>
      <c r="K712" s="81"/>
      <c r="L712" s="597">
        <v>3055</v>
      </c>
      <c r="M712" s="81" t="str">
        <f>+IFERROR(VLOOKUP(L712,DATA!$G$4:$H$2000,2,FALSE),"")</f>
        <v xml:space="preserve">МЧБС ХХК </v>
      </c>
      <c r="N712" s="166"/>
      <c r="O712" s="81" t="str">
        <f>IFERROR(VLOOKUP(N712,DATA!$K$4:$L$51,2,FALSE),"")</f>
        <v/>
      </c>
      <c r="P712" s="81"/>
      <c r="Q712" s="152">
        <f t="shared" si="64"/>
        <v>0</v>
      </c>
    </row>
    <row r="713" spans="1:17">
      <c r="B713" s="670">
        <f t="shared" si="60"/>
        <v>708</v>
      </c>
      <c r="C713" s="601">
        <v>42840</v>
      </c>
      <c r="D713" s="377" t="s">
        <v>1775</v>
      </c>
      <c r="E713" s="572">
        <v>150100</v>
      </c>
      <c r="F713" s="672" t="str">
        <f>IFERROR(VLOOKUP(E713,STAT1!$C$4:$D$8000,2,FALSE),"")</f>
        <v>Бараа бэлэн бүтээгдэхүүн ХАТААХ ЦЕХ /нарс/</v>
      </c>
      <c r="G713" s="377">
        <v>293231686.98000002</v>
      </c>
      <c r="H713" s="597"/>
      <c r="I713" s="596">
        <f t="shared" si="63"/>
        <v>0</v>
      </c>
      <c r="J713" s="81"/>
      <c r="K713" s="81"/>
      <c r="L713" s="597">
        <v>1006</v>
      </c>
      <c r="M713" s="81" t="str">
        <f>+IFERROR(VLOOKUP(L713,DATA!$G$4:$H$2000,2,FALSE),"")</f>
        <v>Оюундэлгэр /нярав/</v>
      </c>
      <c r="N713" s="166"/>
      <c r="O713" s="81" t="str">
        <f>IFERROR(VLOOKUP(N713,DATA!$K$4:$L$51,2,FALSE),"")</f>
        <v/>
      </c>
      <c r="P713" s="81"/>
      <c r="Q713" s="152">
        <f t="shared" si="64"/>
        <v>0</v>
      </c>
    </row>
    <row r="714" spans="1:17">
      <c r="B714" s="670">
        <f t="shared" si="60"/>
        <v>709</v>
      </c>
      <c r="C714" s="601">
        <v>42841</v>
      </c>
      <c r="D714" s="377" t="s">
        <v>1775</v>
      </c>
      <c r="E714" s="572">
        <v>140201</v>
      </c>
      <c r="F714" s="672" t="str">
        <f>IFERROR(VLOOKUP(E714,STAT1!$C$4:$D$8000,2,FALSE),"")</f>
        <v>ШМЗардал БОЛОВСРУУЛАХ ЦЕХ /нарс/</v>
      </c>
      <c r="G714" s="377">
        <v>127924805.86260495</v>
      </c>
      <c r="H714" s="597"/>
      <c r="I714" s="596">
        <f t="shared" si="63"/>
        <v>0</v>
      </c>
      <c r="J714" s="81"/>
      <c r="K714" s="81"/>
      <c r="L714" s="597">
        <v>1006</v>
      </c>
      <c r="M714" s="81" t="str">
        <f>+IFERROR(VLOOKUP(L714,DATA!$G$4:$H$2000,2,FALSE),"")</f>
        <v>Оюундэлгэр /нярав/</v>
      </c>
      <c r="N714" s="166"/>
      <c r="O714" s="81" t="str">
        <f>IFERROR(VLOOKUP(N714,DATA!$K$4:$L$51,2,FALSE),"")</f>
        <v/>
      </c>
      <c r="P714" s="81"/>
      <c r="Q714" s="152">
        <f t="shared" si="64"/>
        <v>0</v>
      </c>
    </row>
    <row r="715" spans="1:17">
      <c r="B715" s="670">
        <f t="shared" ref="B715:B778" si="65">+IF(C715="","",ROW()-5)</f>
        <v>710</v>
      </c>
      <c r="C715" s="601">
        <v>42841</v>
      </c>
      <c r="D715" s="377"/>
      <c r="E715" s="572">
        <v>150100</v>
      </c>
      <c r="F715" s="672" t="str">
        <f>IFERROR(VLOOKUP(E715,STAT1!$C$4:$D$8000,2,FALSE),"")</f>
        <v>Бараа бэлэн бүтээгдэхүүн ХАТААХ ЦЕХ /нарс/</v>
      </c>
      <c r="G715" s="597"/>
      <c r="H715" s="377">
        <v>127924805.86260495</v>
      </c>
      <c r="I715" s="596">
        <f t="shared" si="63"/>
        <v>0</v>
      </c>
      <c r="J715" s="81"/>
      <c r="K715" s="81"/>
      <c r="L715" s="597">
        <v>1006</v>
      </c>
      <c r="M715" s="81" t="str">
        <f>+IFERROR(VLOOKUP(L715,DATA!$G$4:$H$2000,2,FALSE),"")</f>
        <v>Оюундэлгэр /нярав/</v>
      </c>
      <c r="N715" s="166"/>
      <c r="O715" s="81" t="str">
        <f>IFERROR(VLOOKUP(N715,DATA!$K$4:$L$51,2,FALSE),"")</f>
        <v/>
      </c>
      <c r="P715" s="81"/>
      <c r="Q715" s="152">
        <f t="shared" si="64"/>
        <v>0</v>
      </c>
    </row>
    <row r="716" spans="1:17">
      <c r="B716" s="670">
        <f t="shared" si="65"/>
        <v>711</v>
      </c>
      <c r="C716" s="433">
        <v>42842</v>
      </c>
      <c r="D716" s="377" t="s">
        <v>1742</v>
      </c>
      <c r="E716" s="572">
        <v>110100</v>
      </c>
      <c r="F716" s="672" t="str">
        <f>IFERROR(VLOOKUP(E716,STAT1!$C$4:$D$1000,2,FALSE),"")</f>
        <v>Хаан Банк 5024654020</v>
      </c>
      <c r="G716" s="377"/>
      <c r="H716" s="377">
        <v>1450000</v>
      </c>
      <c r="I716" s="596">
        <f t="shared" si="63"/>
        <v>-1450000</v>
      </c>
      <c r="J716" s="81">
        <f t="shared" ref="J716:J731" si="66">+IF(E716=110102,I716/K716,0)</f>
        <v>0</v>
      </c>
      <c r="K716" s="81"/>
      <c r="L716" s="597">
        <v>1004</v>
      </c>
      <c r="M716" s="81" t="str">
        <f>+IFERROR(VLOOKUP(L716,DATA!$G$4:$H$2000,2,FALSE),"")</f>
        <v xml:space="preserve">Түмэндэлгэр </v>
      </c>
      <c r="N716" s="435"/>
      <c r="O716" s="81" t="str">
        <f>IFERROR(VLOOKUP(N716,DATA!$K$4:$L$51,2,FALSE),"")</f>
        <v/>
      </c>
      <c r="P716" s="81"/>
      <c r="Q716" s="152">
        <f t="shared" si="64"/>
        <v>1</v>
      </c>
    </row>
    <row r="717" spans="1:17">
      <c r="B717" s="670">
        <f t="shared" si="65"/>
        <v>712</v>
      </c>
      <c r="C717" s="433">
        <v>42842</v>
      </c>
      <c r="D717" s="377" t="s">
        <v>1742</v>
      </c>
      <c r="E717" s="572">
        <v>100100</v>
      </c>
      <c r="F717" s="672" t="str">
        <f>IFERROR(VLOOKUP(E717,STAT1!$C$4:$D$1000,2,FALSE),"")</f>
        <v>Касс мөнгө MNT</v>
      </c>
      <c r="G717" s="377">
        <v>1450000</v>
      </c>
      <c r="H717" s="377">
        <v>0</v>
      </c>
      <c r="I717" s="596">
        <f t="shared" si="63"/>
        <v>1450000</v>
      </c>
      <c r="J717" s="81">
        <f t="shared" si="66"/>
        <v>0</v>
      </c>
      <c r="K717" s="81"/>
      <c r="L717" s="597">
        <v>1004</v>
      </c>
      <c r="M717" s="81" t="str">
        <f>+IFERROR(VLOOKUP(L717,DATA!$G$4:$H$2000,2,FALSE),"")</f>
        <v xml:space="preserve">Түмэндэлгэр </v>
      </c>
      <c r="N717" s="435"/>
      <c r="O717" s="81" t="str">
        <f>IFERROR(VLOOKUP(N717,DATA!$K$4:$L$51,2,FALSE),"")</f>
        <v/>
      </c>
      <c r="P717" s="81"/>
      <c r="Q717" s="152">
        <f t="shared" si="64"/>
        <v>1</v>
      </c>
    </row>
    <row r="718" spans="1:17">
      <c r="B718" s="670">
        <f t="shared" si="65"/>
        <v>713</v>
      </c>
      <c r="C718" s="433">
        <v>42842</v>
      </c>
      <c r="D718" s="598" t="s">
        <v>1741</v>
      </c>
      <c r="E718" s="572">
        <v>110100</v>
      </c>
      <c r="F718" s="672" t="str">
        <f>IFERROR(VLOOKUP(E718,STAT1!$C$4:$D$1000,2,FALSE),"")</f>
        <v>Хаан Банк 5024654020</v>
      </c>
      <c r="G718" s="377">
        <v>1457445</v>
      </c>
      <c r="H718" s="377"/>
      <c r="I718" s="596">
        <f t="shared" si="63"/>
        <v>1457445</v>
      </c>
      <c r="J718" s="81">
        <f t="shared" si="66"/>
        <v>0</v>
      </c>
      <c r="K718" s="81"/>
      <c r="L718" s="597">
        <v>3002</v>
      </c>
      <c r="M718" s="81" t="str">
        <f>+IFERROR(VLOOKUP(L718,DATA!$G$4:$H$2000,2,FALSE),"")</f>
        <v>ЭКО КОНСТРАКШН ХХК</v>
      </c>
      <c r="N718" s="435">
        <v>41</v>
      </c>
      <c r="O718" s="81" t="str">
        <f>IFERROR(VLOOKUP(N718,DATA!$K$4:$L$51,2,FALSE),"")</f>
        <v>Бараа борлуулсан, үйлчилгээ үзүүлсэний орлого</v>
      </c>
      <c r="P718" s="81"/>
      <c r="Q718" s="152">
        <f t="shared" si="64"/>
        <v>1</v>
      </c>
    </row>
    <row r="719" spans="1:17">
      <c r="B719" s="670">
        <f t="shared" si="65"/>
        <v>714</v>
      </c>
      <c r="C719" s="433">
        <v>42842</v>
      </c>
      <c r="D719" s="598" t="s">
        <v>1741</v>
      </c>
      <c r="E719" s="572">
        <v>320100</v>
      </c>
      <c r="F719" s="672" t="str">
        <f>IFERROR(VLOOKUP(E719,STAT1!$C$4:$D$1000,2,FALSE),"")</f>
        <v>Урьдчилж орсон орлого MNT</v>
      </c>
      <c r="G719" s="377">
        <v>0</v>
      </c>
      <c r="H719" s="377">
        <v>1457445</v>
      </c>
      <c r="I719" s="596">
        <f t="shared" si="63"/>
        <v>0</v>
      </c>
      <c r="J719" s="81">
        <f t="shared" si="66"/>
        <v>0</v>
      </c>
      <c r="K719" s="81"/>
      <c r="L719" s="597">
        <v>3002</v>
      </c>
      <c r="M719" s="81" t="str">
        <f>+IFERROR(VLOOKUP(L719,DATA!$G$4:$H$2000,2,FALSE),"")</f>
        <v>ЭКО КОНСТРАКШН ХХК</v>
      </c>
      <c r="N719" s="435"/>
      <c r="O719" s="81" t="str">
        <f>IFERROR(VLOOKUP(N719,DATA!$K$4:$L$51,2,FALSE),"")</f>
        <v/>
      </c>
      <c r="P719" s="81"/>
      <c r="Q719" s="152">
        <f t="shared" si="64"/>
        <v>0</v>
      </c>
    </row>
    <row r="720" spans="1:17">
      <c r="B720" s="670">
        <f t="shared" si="65"/>
        <v>715</v>
      </c>
      <c r="C720" s="433">
        <v>42842</v>
      </c>
      <c r="D720" s="598" t="s">
        <v>1746</v>
      </c>
      <c r="E720" s="572">
        <v>702500</v>
      </c>
      <c r="F720" s="672" t="str">
        <f>IFERROR(VLOOKUP(E720,STAT1!$C$4:$D$1000,2,FALSE),"")</f>
        <v>Зээлийн хүүгийн зардал</v>
      </c>
      <c r="G720" s="377">
        <v>327</v>
      </c>
      <c r="H720" s="377">
        <v>0</v>
      </c>
      <c r="I720" s="596">
        <f t="shared" si="63"/>
        <v>0</v>
      </c>
      <c r="J720" s="81">
        <f t="shared" si="66"/>
        <v>0</v>
      </c>
      <c r="K720" s="81"/>
      <c r="L720" s="597">
        <v>2009</v>
      </c>
      <c r="M720" s="81" t="str">
        <f>+IFERROR(VLOOKUP(L720,DATA!$G$4:$H$2000,2,FALSE),"")</f>
        <v>ХААН БАНК</v>
      </c>
      <c r="N720" s="435"/>
      <c r="O720" s="81" t="str">
        <f>IFERROR(VLOOKUP(N720,DATA!$K$4:$L$51,2,FALSE),"")</f>
        <v/>
      </c>
      <c r="P720" s="81"/>
      <c r="Q720" s="152">
        <f t="shared" si="64"/>
        <v>0</v>
      </c>
    </row>
    <row r="721" spans="2:17">
      <c r="B721" s="670">
        <f t="shared" si="65"/>
        <v>716</v>
      </c>
      <c r="C721" s="433">
        <v>42842</v>
      </c>
      <c r="D721" s="598" t="s">
        <v>1746</v>
      </c>
      <c r="E721" s="572">
        <v>110100</v>
      </c>
      <c r="F721" s="672" t="str">
        <f>IFERROR(VLOOKUP(E721,STAT1!$C$4:$D$1000,2,FALSE),"")</f>
        <v>Хаан Банк 5024654020</v>
      </c>
      <c r="G721" s="377"/>
      <c r="H721" s="377">
        <v>327</v>
      </c>
      <c r="I721" s="596">
        <f t="shared" si="63"/>
        <v>-327</v>
      </c>
      <c r="J721" s="81">
        <f t="shared" si="66"/>
        <v>0</v>
      </c>
      <c r="K721" s="81"/>
      <c r="L721" s="597">
        <v>2009</v>
      </c>
      <c r="M721" s="81" t="str">
        <f>+IFERROR(VLOOKUP(L721,DATA!$G$4:$H$2000,2,FALSE),"")</f>
        <v>ХААН БАНК</v>
      </c>
      <c r="N721" s="435">
        <v>56</v>
      </c>
      <c r="O721" s="81" t="str">
        <f>IFERROR(VLOOKUP(N721,DATA!$K$4:$L$51,2,FALSE),"")</f>
        <v>Хүүний төлбөрт төлсөн</v>
      </c>
      <c r="P721" s="81"/>
      <c r="Q721" s="152">
        <f t="shared" si="64"/>
        <v>1</v>
      </c>
    </row>
    <row r="722" spans="2:17">
      <c r="B722" s="670">
        <f t="shared" si="65"/>
        <v>717</v>
      </c>
      <c r="C722" s="433">
        <v>42842</v>
      </c>
      <c r="D722" s="598" t="s">
        <v>1746</v>
      </c>
      <c r="E722" s="572">
        <v>702500</v>
      </c>
      <c r="F722" s="672" t="str">
        <f>IFERROR(VLOOKUP(E722,STAT1!$C$4:$D$1000,2,FALSE),"")</f>
        <v>Зээлийн хүүгийн зардал</v>
      </c>
      <c r="G722" s="377">
        <v>7345</v>
      </c>
      <c r="H722" s="377">
        <v>0</v>
      </c>
      <c r="I722" s="596">
        <f t="shared" si="63"/>
        <v>0</v>
      </c>
      <c r="J722" s="81">
        <f t="shared" si="66"/>
        <v>0</v>
      </c>
      <c r="K722" s="81"/>
      <c r="L722" s="597">
        <v>2009</v>
      </c>
      <c r="M722" s="81" t="str">
        <f>+IFERROR(VLOOKUP(L722,DATA!$G$4:$H$2000,2,FALSE),"")</f>
        <v>ХААН БАНК</v>
      </c>
      <c r="N722" s="435"/>
      <c r="O722" s="81" t="str">
        <f>IFERROR(VLOOKUP(N722,DATA!$K$4:$L$51,2,FALSE),"")</f>
        <v/>
      </c>
      <c r="P722" s="81"/>
      <c r="Q722" s="152">
        <f t="shared" si="64"/>
        <v>0</v>
      </c>
    </row>
    <row r="723" spans="2:17">
      <c r="B723" s="670">
        <f t="shared" si="65"/>
        <v>718</v>
      </c>
      <c r="C723" s="433">
        <v>42842</v>
      </c>
      <c r="D723" s="598" t="s">
        <v>1746</v>
      </c>
      <c r="E723" s="572">
        <v>110100</v>
      </c>
      <c r="F723" s="672" t="str">
        <f>IFERROR(VLOOKUP(E723,STAT1!$C$4:$D$1000,2,FALSE),"")</f>
        <v>Хаан Банк 5024654020</v>
      </c>
      <c r="G723" s="377"/>
      <c r="H723" s="377">
        <v>7345</v>
      </c>
      <c r="I723" s="596">
        <f t="shared" si="63"/>
        <v>-7345</v>
      </c>
      <c r="J723" s="81">
        <f t="shared" si="66"/>
        <v>0</v>
      </c>
      <c r="K723" s="81"/>
      <c r="L723" s="597">
        <v>2009</v>
      </c>
      <c r="M723" s="81" t="str">
        <f>+IFERROR(VLOOKUP(L723,DATA!$G$4:$H$2000,2,FALSE),"")</f>
        <v>ХААН БАНК</v>
      </c>
      <c r="N723" s="435">
        <v>56</v>
      </c>
      <c r="O723" s="81" t="str">
        <f>IFERROR(VLOOKUP(N723,DATA!$K$4:$L$51,2,FALSE),"")</f>
        <v>Хүүний төлбөрт төлсөн</v>
      </c>
      <c r="P723" s="81"/>
      <c r="Q723" s="152">
        <f t="shared" si="64"/>
        <v>1</v>
      </c>
    </row>
    <row r="724" spans="2:17">
      <c r="B724" s="670">
        <f t="shared" si="65"/>
        <v>719</v>
      </c>
      <c r="C724" s="433">
        <v>42845</v>
      </c>
      <c r="D724" s="377" t="s">
        <v>1741</v>
      </c>
      <c r="E724" s="572">
        <v>320100</v>
      </c>
      <c r="F724" s="672" t="str">
        <f>IFERROR(VLOOKUP(E724,STAT1!$C$4:$D$1000,2,FALSE),"")</f>
        <v>Урьдчилж орсон орлого MNT</v>
      </c>
      <c r="G724" s="377"/>
      <c r="H724" s="377">
        <v>2456650</v>
      </c>
      <c r="I724" s="596">
        <f t="shared" si="63"/>
        <v>0</v>
      </c>
      <c r="J724" s="81">
        <f t="shared" si="66"/>
        <v>0</v>
      </c>
      <c r="K724" s="81"/>
      <c r="L724" s="597">
        <v>3039</v>
      </c>
      <c r="M724" s="81" t="str">
        <f>+IFERROR(VLOOKUP(L724,DATA!$G$4:$H$2000,2,FALSE),"")</f>
        <v xml:space="preserve">САССИР ХХК </v>
      </c>
      <c r="N724" s="435"/>
      <c r="O724" s="81" t="str">
        <f>IFERROR(VLOOKUP(N724,DATA!$K$4:$L$51,2,FALSE),"")</f>
        <v/>
      </c>
      <c r="P724" s="81"/>
      <c r="Q724" s="152">
        <f t="shared" si="64"/>
        <v>0</v>
      </c>
    </row>
    <row r="725" spans="2:17">
      <c r="B725" s="670">
        <f t="shared" si="65"/>
        <v>720</v>
      </c>
      <c r="C725" s="433">
        <v>42845</v>
      </c>
      <c r="D725" s="377" t="s">
        <v>1741</v>
      </c>
      <c r="E725" s="572">
        <v>100100</v>
      </c>
      <c r="F725" s="672" t="str">
        <f>IFERROR(VLOOKUP(E725,STAT1!$C$4:$D$1000,2,FALSE),"")</f>
        <v>Касс мөнгө MNT</v>
      </c>
      <c r="G725" s="377">
        <v>2456650</v>
      </c>
      <c r="H725" s="377">
        <v>0</v>
      </c>
      <c r="I725" s="596">
        <f t="shared" si="63"/>
        <v>2456650</v>
      </c>
      <c r="J725" s="81">
        <f t="shared" si="66"/>
        <v>0</v>
      </c>
      <c r="K725" s="81"/>
      <c r="L725" s="597">
        <v>3039</v>
      </c>
      <c r="M725" s="81" t="str">
        <f>+IFERROR(VLOOKUP(L725,DATA!$G$4:$H$2000,2,FALSE),"")</f>
        <v xml:space="preserve">САССИР ХХК </v>
      </c>
      <c r="N725" s="435">
        <v>41</v>
      </c>
      <c r="O725" s="81" t="str">
        <f>IFERROR(VLOOKUP(N725,DATA!$K$4:$L$51,2,FALSE),"")</f>
        <v>Бараа борлуулсан, үйлчилгээ үзүүлсэний орлого</v>
      </c>
      <c r="P725" s="81"/>
      <c r="Q725" s="152">
        <f t="shared" si="64"/>
        <v>1</v>
      </c>
    </row>
    <row r="726" spans="2:17">
      <c r="B726" s="670">
        <f t="shared" si="65"/>
        <v>721</v>
      </c>
      <c r="C726" s="433">
        <v>42845</v>
      </c>
      <c r="D726" s="598" t="s">
        <v>1741</v>
      </c>
      <c r="E726" s="572">
        <v>110100</v>
      </c>
      <c r="F726" s="672" t="str">
        <f>IFERROR(VLOOKUP(E726,STAT1!$C$4:$D$1000,2,FALSE),"")</f>
        <v>Хаан Банк 5024654020</v>
      </c>
      <c r="G726" s="377">
        <v>3696000</v>
      </c>
      <c r="H726" s="377"/>
      <c r="I726" s="596">
        <f t="shared" si="63"/>
        <v>3696000</v>
      </c>
      <c r="J726" s="81">
        <f t="shared" si="66"/>
        <v>0</v>
      </c>
      <c r="K726" s="81"/>
      <c r="L726" s="597">
        <v>3040</v>
      </c>
      <c r="M726" s="81" t="str">
        <f>+IFERROR(VLOOKUP(L726,DATA!$G$4:$H$2000,2,FALSE),"")</f>
        <v xml:space="preserve">АР ПИ ДИ ХХК </v>
      </c>
      <c r="N726" s="435">
        <v>41</v>
      </c>
      <c r="O726" s="81" t="str">
        <f>IFERROR(VLOOKUP(N726,DATA!$K$4:$L$51,2,FALSE),"")</f>
        <v>Бараа борлуулсан, үйлчилгээ үзүүлсэний орлого</v>
      </c>
      <c r="P726" s="81"/>
      <c r="Q726" s="152">
        <f t="shared" si="64"/>
        <v>1</v>
      </c>
    </row>
    <row r="727" spans="2:17">
      <c r="B727" s="670">
        <f t="shared" si="65"/>
        <v>722</v>
      </c>
      <c r="C727" s="433">
        <v>42845</v>
      </c>
      <c r="D727" s="598" t="s">
        <v>1741</v>
      </c>
      <c r="E727" s="572">
        <v>320100</v>
      </c>
      <c r="F727" s="672" t="str">
        <f>IFERROR(VLOOKUP(E727,STAT1!$C$4:$D$1000,2,FALSE),"")</f>
        <v>Урьдчилж орсон орлого MNT</v>
      </c>
      <c r="G727" s="377">
        <v>0</v>
      </c>
      <c r="H727" s="377">
        <v>3696000</v>
      </c>
      <c r="I727" s="596">
        <f t="shared" si="63"/>
        <v>0</v>
      </c>
      <c r="J727" s="81">
        <f t="shared" si="66"/>
        <v>0</v>
      </c>
      <c r="K727" s="81"/>
      <c r="L727" s="597">
        <v>3040</v>
      </c>
      <c r="M727" s="81" t="str">
        <f>+IFERROR(VLOOKUP(L727,DATA!$G$4:$H$2000,2,FALSE),"")</f>
        <v xml:space="preserve">АР ПИ ДИ ХХК </v>
      </c>
      <c r="N727" s="435"/>
      <c r="O727" s="81" t="str">
        <f>IFERROR(VLOOKUP(N727,DATA!$K$4:$L$51,2,FALSE),"")</f>
        <v/>
      </c>
      <c r="P727" s="81"/>
      <c r="Q727" s="152">
        <f t="shared" si="64"/>
        <v>0</v>
      </c>
    </row>
    <row r="728" spans="2:17">
      <c r="B728" s="670">
        <f t="shared" si="65"/>
        <v>723</v>
      </c>
      <c r="C728" s="433">
        <v>42845</v>
      </c>
      <c r="D728" s="598" t="s">
        <v>1747</v>
      </c>
      <c r="E728" s="572">
        <v>311100</v>
      </c>
      <c r="F728" s="672" t="str">
        <f>IFERROR(VLOOKUP(E728,STAT1!$C$4:$D$1000,2,FALSE),"")</f>
        <v xml:space="preserve">Бусад богино хугацаат өглөг </v>
      </c>
      <c r="G728" s="377">
        <v>2825762</v>
      </c>
      <c r="H728" s="377">
        <v>0</v>
      </c>
      <c r="I728" s="596">
        <f t="shared" si="63"/>
        <v>0</v>
      </c>
      <c r="J728" s="81">
        <f t="shared" si="66"/>
        <v>0</v>
      </c>
      <c r="K728" s="81"/>
      <c r="L728" s="597">
        <v>2009</v>
      </c>
      <c r="M728" s="81" t="str">
        <f>+IFERROR(VLOOKUP(L728,DATA!$G$4:$H$2000,2,FALSE),"")</f>
        <v>ХААН БАНК</v>
      </c>
      <c r="N728" s="435"/>
      <c r="O728" s="81" t="str">
        <f>IFERROR(VLOOKUP(N728,DATA!$K$4:$L$51,2,FALSE),"")</f>
        <v/>
      </c>
      <c r="P728" s="81"/>
      <c r="Q728" s="152">
        <f t="shared" si="64"/>
        <v>0</v>
      </c>
    </row>
    <row r="729" spans="2:17">
      <c r="B729" s="670">
        <f t="shared" si="65"/>
        <v>724</v>
      </c>
      <c r="C729" s="433">
        <v>42845</v>
      </c>
      <c r="D729" s="598" t="s">
        <v>1747</v>
      </c>
      <c r="E729" s="572">
        <v>110100</v>
      </c>
      <c r="F729" s="672" t="str">
        <f>IFERROR(VLOOKUP(E729,STAT1!$C$4:$D$1000,2,FALSE),"")</f>
        <v>Хаан Банк 5024654020</v>
      </c>
      <c r="G729" s="377"/>
      <c r="H729" s="377">
        <v>2825762</v>
      </c>
      <c r="I729" s="596">
        <f t="shared" si="63"/>
        <v>-2825762</v>
      </c>
      <c r="J729" s="81">
        <f t="shared" si="66"/>
        <v>0</v>
      </c>
      <c r="K729" s="81"/>
      <c r="L729" s="597">
        <v>2009</v>
      </c>
      <c r="M729" s="81" t="str">
        <f>+IFERROR(VLOOKUP(L729,DATA!$G$4:$H$2000,2,FALSE),"")</f>
        <v>ХААН БАНК</v>
      </c>
      <c r="N729" s="435">
        <v>91</v>
      </c>
      <c r="O729" s="81" t="str">
        <f>IFERROR(VLOOKUP(N729,DATA!$K$4:$L$51,2,FALSE),"")</f>
        <v>Зээл, өрийн үнэт цаасны төлбөрт төлсөн</v>
      </c>
      <c r="P729" s="81"/>
      <c r="Q729" s="152">
        <f t="shared" si="64"/>
        <v>1</v>
      </c>
    </row>
    <row r="730" spans="2:17">
      <c r="B730" s="670">
        <f t="shared" si="65"/>
        <v>725</v>
      </c>
      <c r="C730" s="433">
        <v>42845</v>
      </c>
      <c r="D730" s="598" t="s">
        <v>1747</v>
      </c>
      <c r="E730" s="572">
        <v>702500</v>
      </c>
      <c r="F730" s="672" t="str">
        <f>IFERROR(VLOOKUP(E730,STAT1!$C$4:$D$1000,2,FALSE),"")</f>
        <v>Зээлийн хүүгийн зардал</v>
      </c>
      <c r="G730" s="377">
        <v>870238</v>
      </c>
      <c r="H730" s="377">
        <v>0</v>
      </c>
      <c r="I730" s="596">
        <f t="shared" si="63"/>
        <v>0</v>
      </c>
      <c r="J730" s="81">
        <f t="shared" si="66"/>
        <v>0</v>
      </c>
      <c r="K730" s="81"/>
      <c r="L730" s="597">
        <v>2009</v>
      </c>
      <c r="M730" s="81" t="str">
        <f>+IFERROR(VLOOKUP(L730,DATA!$G$4:$H$2000,2,FALSE),"")</f>
        <v>ХААН БАНК</v>
      </c>
      <c r="N730" s="435"/>
      <c r="O730" s="81" t="str">
        <f>IFERROR(VLOOKUP(N730,DATA!$K$4:$L$51,2,FALSE),"")</f>
        <v/>
      </c>
      <c r="P730" s="81"/>
      <c r="Q730" s="152">
        <f t="shared" si="64"/>
        <v>0</v>
      </c>
    </row>
    <row r="731" spans="2:17">
      <c r="B731" s="670">
        <f t="shared" si="65"/>
        <v>726</v>
      </c>
      <c r="C731" s="433">
        <v>42845</v>
      </c>
      <c r="D731" s="598" t="s">
        <v>1747</v>
      </c>
      <c r="E731" s="572">
        <v>110100</v>
      </c>
      <c r="F731" s="672" t="str">
        <f>IFERROR(VLOOKUP(E731,STAT1!$C$4:$D$1000,2,FALSE),"")</f>
        <v>Хаан Банк 5024654020</v>
      </c>
      <c r="G731" s="377"/>
      <c r="H731" s="377">
        <v>870238</v>
      </c>
      <c r="I731" s="596">
        <f t="shared" si="63"/>
        <v>-870238</v>
      </c>
      <c r="J731" s="81">
        <f t="shared" si="66"/>
        <v>0</v>
      </c>
      <c r="K731" s="81"/>
      <c r="L731" s="597">
        <v>2009</v>
      </c>
      <c r="M731" s="81" t="str">
        <f>+IFERROR(VLOOKUP(L731,DATA!$G$4:$H$2000,2,FALSE),"")</f>
        <v>ХААН БАНК</v>
      </c>
      <c r="N731" s="435">
        <v>56</v>
      </c>
      <c r="O731" s="81" t="str">
        <f>IFERROR(VLOOKUP(N731,DATA!$K$4:$L$51,2,FALSE),"")</f>
        <v>Хүүний төлбөрт төлсөн</v>
      </c>
      <c r="P731" s="81"/>
      <c r="Q731" s="152">
        <f t="shared" si="64"/>
        <v>1</v>
      </c>
    </row>
    <row r="732" spans="2:17">
      <c r="B732" s="670">
        <f t="shared" si="65"/>
        <v>727</v>
      </c>
      <c r="C732" s="601">
        <v>42845</v>
      </c>
      <c r="D732" s="377" t="s">
        <v>2682</v>
      </c>
      <c r="E732" s="573">
        <v>150101</v>
      </c>
      <c r="F732" s="672" t="str">
        <f>IFERROR(VLOOKUP(E732,STAT1!$C$4:$D$1000,2,FALSE),"")</f>
        <v>Бараа бэлэн бүтээгдэхүүн БОЛОВСРУУЛАХ ЦЕХ /нарс/</v>
      </c>
      <c r="G732" s="597"/>
      <c r="H732" s="377">
        <v>1676153.6802405317</v>
      </c>
      <c r="I732" s="596">
        <f t="shared" si="63"/>
        <v>0</v>
      </c>
      <c r="J732" s="81"/>
      <c r="K732" s="81"/>
      <c r="L732" s="597">
        <v>3039</v>
      </c>
      <c r="M732" s="81" t="str">
        <f>+IFERROR(VLOOKUP(L732,DATA!$G$4:$H$2000,2,FALSE),"")</f>
        <v xml:space="preserve">САССИР ХХК </v>
      </c>
      <c r="N732" s="166"/>
      <c r="O732" s="81" t="str">
        <f>IFERROR(VLOOKUP(N732,DATA!$K$4:$L$51,2,FALSE),"")</f>
        <v/>
      </c>
      <c r="P732" s="81"/>
      <c r="Q732" s="152">
        <f t="shared" si="64"/>
        <v>0</v>
      </c>
    </row>
    <row r="733" spans="2:17">
      <c r="B733" s="670">
        <f t="shared" si="65"/>
        <v>728</v>
      </c>
      <c r="C733" s="601">
        <v>42845</v>
      </c>
      <c r="D733" s="377" t="s">
        <v>587</v>
      </c>
      <c r="E733" s="572">
        <v>610100</v>
      </c>
      <c r="F733" s="672" t="str">
        <f>IFERROR(VLOOKUP(E733,STAT1!$C$4:$D$1000,2,FALSE),"")</f>
        <v>Борлуулсан барааны өртөг</v>
      </c>
      <c r="G733" s="377">
        <v>1676153.6802405317</v>
      </c>
      <c r="H733" s="597"/>
      <c r="I733" s="596">
        <f t="shared" si="63"/>
        <v>0</v>
      </c>
      <c r="J733" s="81"/>
      <c r="K733" s="81"/>
      <c r="L733" s="597">
        <v>3039</v>
      </c>
      <c r="M733" s="81" t="str">
        <f>+IFERROR(VLOOKUP(L733,DATA!$G$4:$H$2000,2,FALSE),"")</f>
        <v xml:space="preserve">САССИР ХХК </v>
      </c>
      <c r="N733" s="166"/>
      <c r="O733" s="81" t="str">
        <f>IFERROR(VLOOKUP(N733,DATA!$K$4:$L$51,2,FALSE),"")</f>
        <v/>
      </c>
      <c r="P733" s="81"/>
      <c r="Q733" s="152">
        <f t="shared" si="64"/>
        <v>0</v>
      </c>
    </row>
    <row r="734" spans="2:17">
      <c r="B734" s="670">
        <f t="shared" si="65"/>
        <v>729</v>
      </c>
      <c r="C734" s="601">
        <v>42845</v>
      </c>
      <c r="D734" s="377" t="s">
        <v>587</v>
      </c>
      <c r="E734" s="572">
        <v>310500</v>
      </c>
      <c r="F734" s="672" t="str">
        <f>IFERROR(VLOOKUP(E734,STAT1!$C$4:$D$1000,2,FALSE),"")</f>
        <v>НӨАТ өглөг</v>
      </c>
      <c r="G734" s="597"/>
      <c r="H734" s="377">
        <v>223331.8181182</v>
      </c>
      <c r="I734" s="596">
        <f t="shared" si="63"/>
        <v>0</v>
      </c>
      <c r="J734" s="81"/>
      <c r="K734" s="81"/>
      <c r="L734" s="597">
        <v>3039</v>
      </c>
      <c r="M734" s="81" t="str">
        <f>+IFERROR(VLOOKUP(L734,DATA!$G$4:$H$2000,2,FALSE),"")</f>
        <v xml:space="preserve">САССИР ХХК </v>
      </c>
      <c r="N734" s="166"/>
      <c r="O734" s="81" t="str">
        <f>IFERROR(VLOOKUP(N734,DATA!$K$4:$L$51,2,FALSE),"")</f>
        <v/>
      </c>
      <c r="P734" s="81"/>
      <c r="Q734" s="152">
        <f t="shared" si="64"/>
        <v>0</v>
      </c>
    </row>
    <row r="735" spans="2:17">
      <c r="B735" s="670">
        <f t="shared" si="65"/>
        <v>730</v>
      </c>
      <c r="C735" s="601">
        <v>42845</v>
      </c>
      <c r="D735" s="377" t="s">
        <v>587</v>
      </c>
      <c r="E735" s="572">
        <v>510000</v>
      </c>
      <c r="F735" s="672" t="str">
        <f>IFERROR(VLOOKUP(E735,STAT1!$C$4:$D$1000,2,FALSE),"")</f>
        <v>Үндсэн үйл ажиллагааны борлуулалт</v>
      </c>
      <c r="G735" s="597"/>
      <c r="H735" s="377">
        <v>2233318.1811819999</v>
      </c>
      <c r="I735" s="596">
        <f t="shared" si="63"/>
        <v>0</v>
      </c>
      <c r="J735" s="81"/>
      <c r="K735" s="81"/>
      <c r="L735" s="597">
        <v>3039</v>
      </c>
      <c r="M735" s="81" t="str">
        <f>+IFERROR(VLOOKUP(L735,DATA!$G$4:$H$2000,2,FALSE),"")</f>
        <v xml:space="preserve">САССИР ХХК </v>
      </c>
      <c r="N735" s="166"/>
      <c r="O735" s="81" t="str">
        <f>IFERROR(VLOOKUP(N735,DATA!$K$4:$L$51,2,FALSE),"")</f>
        <v/>
      </c>
      <c r="P735" s="81"/>
      <c r="Q735" s="152">
        <f t="shared" si="64"/>
        <v>0</v>
      </c>
    </row>
    <row r="736" spans="2:17">
      <c r="B736" s="670">
        <f t="shared" si="65"/>
        <v>731</v>
      </c>
      <c r="C736" s="601">
        <v>42845</v>
      </c>
      <c r="D736" s="377" t="s">
        <v>587</v>
      </c>
      <c r="E736" s="572">
        <v>320100</v>
      </c>
      <c r="F736" s="672" t="str">
        <f>IFERROR(VLOOKUP(E736,STAT1!$C$4:$D$1000,2,FALSE),"")</f>
        <v>Урьдчилж орсон орлого MNT</v>
      </c>
      <c r="G736" s="377">
        <v>2456649.9993002</v>
      </c>
      <c r="H736" s="597"/>
      <c r="I736" s="596">
        <f t="shared" si="63"/>
        <v>0</v>
      </c>
      <c r="J736" s="81"/>
      <c r="K736" s="81"/>
      <c r="L736" s="597">
        <v>3039</v>
      </c>
      <c r="M736" s="81" t="str">
        <f>+IFERROR(VLOOKUP(L736,DATA!$G$4:$H$2000,2,FALSE),"")</f>
        <v xml:space="preserve">САССИР ХХК </v>
      </c>
      <c r="N736" s="166"/>
      <c r="O736" s="81" t="str">
        <f>IFERROR(VLOOKUP(N736,DATA!$K$4:$L$51,2,FALSE),"")</f>
        <v/>
      </c>
      <c r="P736" s="81"/>
      <c r="Q736" s="152">
        <f t="shared" si="64"/>
        <v>0</v>
      </c>
    </row>
    <row r="737" spans="2:17">
      <c r="B737" s="670">
        <f t="shared" si="65"/>
        <v>732</v>
      </c>
      <c r="C737" s="601">
        <v>42845</v>
      </c>
      <c r="D737" s="377" t="s">
        <v>2681</v>
      </c>
      <c r="E737" s="573">
        <v>150101</v>
      </c>
      <c r="F737" s="672" t="str">
        <f>IFERROR(VLOOKUP(E737,STAT1!$C$4:$D$1000,2,FALSE),"")</f>
        <v>Бараа бэлэн бүтээгдэхүүн БОЛОВСРУУЛАХ ЦЕХ /нарс/</v>
      </c>
      <c r="G737" s="597"/>
      <c r="H737" s="377">
        <v>920235.17619820917</v>
      </c>
      <c r="I737" s="596">
        <f t="shared" si="63"/>
        <v>0</v>
      </c>
      <c r="J737" s="81"/>
      <c r="K737" s="81"/>
      <c r="L737" s="597">
        <v>3002</v>
      </c>
      <c r="M737" s="81" t="str">
        <f>+IFERROR(VLOOKUP(L737,DATA!$G$4:$H$2000,2,FALSE),"")</f>
        <v>ЭКО КОНСТРАКШН ХХК</v>
      </c>
      <c r="N737" s="166"/>
      <c r="O737" s="81" t="str">
        <f>IFERROR(VLOOKUP(N737,DATA!$K$4:$L$51,2,FALSE),"")</f>
        <v/>
      </c>
      <c r="P737" s="81"/>
      <c r="Q737" s="152">
        <f t="shared" si="64"/>
        <v>0</v>
      </c>
    </row>
    <row r="738" spans="2:17">
      <c r="B738" s="670">
        <f t="shared" si="65"/>
        <v>733</v>
      </c>
      <c r="C738" s="601">
        <v>42845</v>
      </c>
      <c r="D738" s="377" t="s">
        <v>587</v>
      </c>
      <c r="E738" s="572">
        <v>610100</v>
      </c>
      <c r="F738" s="672" t="str">
        <f>IFERROR(VLOOKUP(E738,STAT1!$C$4:$D$1000,2,FALSE),"")</f>
        <v>Борлуулсан барааны өртөг</v>
      </c>
      <c r="G738" s="377">
        <v>920235.17619820917</v>
      </c>
      <c r="H738" s="597"/>
      <c r="I738" s="596">
        <f t="shared" si="63"/>
        <v>0</v>
      </c>
      <c r="J738" s="81"/>
      <c r="K738" s="81"/>
      <c r="L738" s="597">
        <v>3002</v>
      </c>
      <c r="M738" s="81" t="str">
        <f>+IFERROR(VLOOKUP(L738,DATA!$G$4:$H$2000,2,FALSE),"")</f>
        <v>ЭКО КОНСТРАКШН ХХК</v>
      </c>
      <c r="N738" s="166"/>
      <c r="O738" s="81" t="str">
        <f>IFERROR(VLOOKUP(N738,DATA!$K$4:$L$51,2,FALSE),"")</f>
        <v/>
      </c>
      <c r="P738" s="81"/>
      <c r="Q738" s="152">
        <f t="shared" si="64"/>
        <v>0</v>
      </c>
    </row>
    <row r="739" spans="2:17">
      <c r="B739" s="670">
        <f t="shared" si="65"/>
        <v>734</v>
      </c>
      <c r="C739" s="601">
        <v>42845</v>
      </c>
      <c r="D739" s="377" t="s">
        <v>587</v>
      </c>
      <c r="E739" s="572">
        <v>310500</v>
      </c>
      <c r="F739" s="672" t="str">
        <f>IFERROR(VLOOKUP(E739,STAT1!$C$4:$D$1000,2,FALSE),"")</f>
        <v>НӨАТ өглөг</v>
      </c>
      <c r="G739" s="597"/>
      <c r="H739" s="377">
        <v>132495</v>
      </c>
      <c r="I739" s="596">
        <f t="shared" si="63"/>
        <v>0</v>
      </c>
      <c r="J739" s="81"/>
      <c r="K739" s="81"/>
      <c r="L739" s="597">
        <v>3002</v>
      </c>
      <c r="M739" s="81" t="str">
        <f>+IFERROR(VLOOKUP(L739,DATA!$G$4:$H$2000,2,FALSE),"")</f>
        <v>ЭКО КОНСТРАКШН ХХК</v>
      </c>
      <c r="N739" s="166"/>
      <c r="O739" s="81" t="str">
        <f>IFERROR(VLOOKUP(N739,DATA!$K$4:$L$51,2,FALSE),"")</f>
        <v/>
      </c>
      <c r="P739" s="81"/>
      <c r="Q739" s="152">
        <f t="shared" si="64"/>
        <v>0</v>
      </c>
    </row>
    <row r="740" spans="2:17">
      <c r="B740" s="670">
        <f t="shared" si="65"/>
        <v>735</v>
      </c>
      <c r="C740" s="601">
        <v>42845</v>
      </c>
      <c r="D740" s="377" t="s">
        <v>587</v>
      </c>
      <c r="E740" s="572">
        <v>510000</v>
      </c>
      <c r="F740" s="672" t="str">
        <f>IFERROR(VLOOKUP(E740,STAT1!$C$4:$D$1000,2,FALSE),"")</f>
        <v>Үндсэн үйл ажиллагааны борлуулалт</v>
      </c>
      <c r="G740" s="597"/>
      <c r="H740" s="377">
        <v>1324950</v>
      </c>
      <c r="I740" s="596">
        <f t="shared" si="63"/>
        <v>0</v>
      </c>
      <c r="J740" s="81"/>
      <c r="K740" s="81"/>
      <c r="L740" s="597">
        <v>3002</v>
      </c>
      <c r="M740" s="81" t="str">
        <f>+IFERROR(VLOOKUP(L740,DATA!$G$4:$H$2000,2,FALSE),"")</f>
        <v>ЭКО КОНСТРАКШН ХХК</v>
      </c>
      <c r="N740" s="166"/>
      <c r="O740" s="81" t="str">
        <f>IFERROR(VLOOKUP(N740,DATA!$K$4:$L$51,2,FALSE),"")</f>
        <v/>
      </c>
      <c r="P740" s="81"/>
      <c r="Q740" s="152">
        <f t="shared" si="64"/>
        <v>0</v>
      </c>
    </row>
    <row r="741" spans="2:17">
      <c r="B741" s="670">
        <f t="shared" si="65"/>
        <v>736</v>
      </c>
      <c r="C741" s="601">
        <v>42845</v>
      </c>
      <c r="D741" s="377" t="s">
        <v>587</v>
      </c>
      <c r="E741" s="572">
        <v>320100</v>
      </c>
      <c r="F741" s="672" t="str">
        <f>IFERROR(VLOOKUP(E741,STAT1!$C$4:$D$1000,2,FALSE),"")</f>
        <v>Урьдчилж орсон орлого MNT</v>
      </c>
      <c r="G741" s="377">
        <v>1457445</v>
      </c>
      <c r="H741" s="597"/>
      <c r="I741" s="596">
        <f t="shared" si="63"/>
        <v>0</v>
      </c>
      <c r="J741" s="81"/>
      <c r="K741" s="81"/>
      <c r="L741" s="597">
        <v>3002</v>
      </c>
      <c r="M741" s="81" t="str">
        <f>+IFERROR(VLOOKUP(L741,DATA!$G$4:$H$2000,2,FALSE),"")</f>
        <v>ЭКО КОНСТРАКШН ХХК</v>
      </c>
      <c r="N741" s="166"/>
      <c r="O741" s="81" t="str">
        <f>IFERROR(VLOOKUP(N741,DATA!$K$4:$L$51,2,FALSE),"")</f>
        <v/>
      </c>
      <c r="P741" s="81"/>
      <c r="Q741" s="152">
        <f t="shared" si="64"/>
        <v>0</v>
      </c>
    </row>
    <row r="742" spans="2:17">
      <c r="B742" s="670">
        <f t="shared" si="65"/>
        <v>737</v>
      </c>
      <c r="C742" s="601">
        <v>42845</v>
      </c>
      <c r="D742" s="377" t="s">
        <v>2694</v>
      </c>
      <c r="E742" s="572">
        <v>140200</v>
      </c>
      <c r="F742" s="672" t="str">
        <f>IFERROR(VLOOKUP(E742,STAT1!$C$4:$D$8000,2,FALSE),"")</f>
        <v>ШМЗардал ХАТААХ ЦЕХ /нарс/</v>
      </c>
      <c r="G742" s="377">
        <v>31122111.321800001</v>
      </c>
      <c r="H742" s="597"/>
      <c r="I742" s="596">
        <f t="shared" si="63"/>
        <v>0</v>
      </c>
      <c r="J742" s="81"/>
      <c r="K742" s="81"/>
      <c r="L742" s="597">
        <v>1006</v>
      </c>
      <c r="M742" s="81" t="str">
        <f>+IFERROR(VLOOKUP(L742,DATA!$G$4:$H$2000,2,FALSE),"")</f>
        <v>Оюундэлгэр /нярав/</v>
      </c>
      <c r="N742" s="166"/>
      <c r="O742" s="81" t="str">
        <f>IFERROR(VLOOKUP(N742,DATA!$K$4:$L$51,2,FALSE),"")</f>
        <v/>
      </c>
      <c r="P742" s="81"/>
      <c r="Q742" s="152">
        <f t="shared" si="64"/>
        <v>0</v>
      </c>
    </row>
    <row r="743" spans="2:17">
      <c r="B743" s="670">
        <f t="shared" si="65"/>
        <v>738</v>
      </c>
      <c r="C743" s="601">
        <v>42845</v>
      </c>
      <c r="D743" s="377"/>
      <c r="E743" s="572">
        <v>140100</v>
      </c>
      <c r="F743" s="672" t="str">
        <f>IFERROR(VLOOKUP(E743,STAT1!$C$4:$D$8000,2,FALSE),"")</f>
        <v>Түүхий эд материал</v>
      </c>
      <c r="G743" s="597"/>
      <c r="H743" s="377">
        <v>31122111.321800001</v>
      </c>
      <c r="I743" s="596">
        <f t="shared" si="63"/>
        <v>0</v>
      </c>
      <c r="J743" s="81"/>
      <c r="K743" s="81"/>
      <c r="L743" s="597">
        <v>1006</v>
      </c>
      <c r="M743" s="81" t="str">
        <f>+IFERROR(VLOOKUP(L743,DATA!$G$4:$H$2000,2,FALSE),"")</f>
        <v>Оюундэлгэр /нярав/</v>
      </c>
      <c r="N743" s="166"/>
      <c r="O743" s="81" t="str">
        <f>IFERROR(VLOOKUP(N743,DATA!$K$4:$L$51,2,FALSE),"")</f>
        <v/>
      </c>
      <c r="P743" s="81"/>
      <c r="Q743" s="152">
        <f t="shared" si="64"/>
        <v>0</v>
      </c>
    </row>
    <row r="744" spans="2:17">
      <c r="B744" s="670">
        <f t="shared" si="65"/>
        <v>739</v>
      </c>
      <c r="C744" s="601">
        <v>42845</v>
      </c>
      <c r="D744" s="377" t="s">
        <v>2697</v>
      </c>
      <c r="E744" s="572">
        <v>140200</v>
      </c>
      <c r="F744" s="672" t="str">
        <f>IFERROR(VLOOKUP(E744,STAT1!$C$4:$D$8000,2,FALSE),"")</f>
        <v>ШМЗардал ХАТААХ ЦЕХ /нарс/</v>
      </c>
      <c r="G744" s="377">
        <v>75944738.795127735</v>
      </c>
      <c r="H744" s="597"/>
      <c r="I744" s="596">
        <f t="shared" si="63"/>
        <v>0</v>
      </c>
      <c r="J744" s="81"/>
      <c r="K744" s="81"/>
      <c r="L744" s="597">
        <v>1006</v>
      </c>
      <c r="M744" s="81" t="str">
        <f>+IFERROR(VLOOKUP(L744,DATA!$G$4:$H$2000,2,FALSE),"")</f>
        <v>Оюундэлгэр /нярав/</v>
      </c>
      <c r="N744" s="166"/>
      <c r="O744" s="81" t="str">
        <f>IFERROR(VLOOKUP(N744,DATA!$K$4:$L$51,2,FALSE),"")</f>
        <v/>
      </c>
      <c r="P744" s="81"/>
      <c r="Q744" s="152">
        <f t="shared" si="64"/>
        <v>0</v>
      </c>
    </row>
    <row r="745" spans="2:17">
      <c r="B745" s="670">
        <f t="shared" si="65"/>
        <v>740</v>
      </c>
      <c r="C745" s="601">
        <v>42845</v>
      </c>
      <c r="D745" s="377"/>
      <c r="E745" s="572">
        <v>140100</v>
      </c>
      <c r="F745" s="672" t="str">
        <f>IFERROR(VLOOKUP(E745,STAT1!$C$4:$D$8000,2,FALSE),"")</f>
        <v>Түүхий эд материал</v>
      </c>
      <c r="G745" s="597"/>
      <c r="H745" s="377">
        <v>75944738.795127735</v>
      </c>
      <c r="I745" s="596">
        <f t="shared" si="63"/>
        <v>0</v>
      </c>
      <c r="J745" s="81"/>
      <c r="K745" s="81"/>
      <c r="L745" s="597">
        <v>1006</v>
      </c>
      <c r="M745" s="81" t="str">
        <f>+IFERROR(VLOOKUP(L745,DATA!$G$4:$H$2000,2,FALSE),"")</f>
        <v>Оюундэлгэр /нярав/</v>
      </c>
      <c r="N745" s="166"/>
      <c r="O745" s="81" t="str">
        <f>IFERROR(VLOOKUP(N745,DATA!$K$4:$L$51,2,FALSE),"")</f>
        <v/>
      </c>
      <c r="P745" s="81"/>
      <c r="Q745" s="152">
        <f t="shared" si="64"/>
        <v>0</v>
      </c>
    </row>
    <row r="746" spans="2:17">
      <c r="B746" s="670">
        <f t="shared" si="65"/>
        <v>741</v>
      </c>
      <c r="C746" s="433">
        <v>42846</v>
      </c>
      <c r="D746" s="377" t="s">
        <v>1721</v>
      </c>
      <c r="E746" s="572">
        <v>100100</v>
      </c>
      <c r="F746" s="672" t="str">
        <f>IFERROR(VLOOKUP(E746,STAT1!$C$4:$D$1000,2,FALSE),"")</f>
        <v>Касс мөнгө MNT</v>
      </c>
      <c r="G746" s="377"/>
      <c r="H746" s="377">
        <v>10000</v>
      </c>
      <c r="I746" s="596">
        <f t="shared" si="63"/>
        <v>-10000</v>
      </c>
      <c r="J746" s="81">
        <f>+IF(E746=110102,I746/K746,0)</f>
        <v>0</v>
      </c>
      <c r="K746" s="81"/>
      <c r="L746" s="597">
        <v>2013</v>
      </c>
      <c r="M746" s="81" t="str">
        <f>+IFERROR(VLOOKUP(L746,DATA!$G$4:$H$2000,2,FALSE),"")</f>
        <v>УБДС ТӨХК</v>
      </c>
      <c r="N746" s="435">
        <v>55</v>
      </c>
      <c r="O746" s="81" t="str">
        <f>IFERROR(VLOOKUP(N746,DATA!$K$4:$L$51,2,FALSE),"")</f>
        <v>Түлш, шатахуун, тээврийн хөлс, сэлбэг хэрэгсэлд төлсөн</v>
      </c>
      <c r="P746" s="81"/>
      <c r="Q746" s="152">
        <f t="shared" si="64"/>
        <v>1</v>
      </c>
    </row>
    <row r="747" spans="2:17">
      <c r="B747" s="670">
        <f t="shared" si="65"/>
        <v>742</v>
      </c>
      <c r="C747" s="433">
        <v>42846</v>
      </c>
      <c r="D747" s="377" t="s">
        <v>1721</v>
      </c>
      <c r="E747" s="572">
        <v>702000</v>
      </c>
      <c r="F747" s="672" t="str">
        <f>IFERROR(VLOOKUP(E747,STAT1!$C$4:$D$1000,2,FALSE),"")</f>
        <v>Түлш, шатахуун</v>
      </c>
      <c r="G747" s="377">
        <v>10000</v>
      </c>
      <c r="H747" s="377"/>
      <c r="I747" s="596">
        <f t="shared" si="63"/>
        <v>0</v>
      </c>
      <c r="J747" s="81"/>
      <c r="K747" s="81"/>
      <c r="L747" s="597">
        <v>2013</v>
      </c>
      <c r="M747" s="81" t="str">
        <f>+IFERROR(VLOOKUP(L747,DATA!$G$4:$H$2000,2,FALSE),"")</f>
        <v>УБДС ТӨХК</v>
      </c>
      <c r="N747" s="435"/>
      <c r="O747" s="81"/>
      <c r="P747" s="81"/>
      <c r="Q747" s="152">
        <f t="shared" si="64"/>
        <v>0</v>
      </c>
    </row>
    <row r="748" spans="2:17">
      <c r="B748" s="670">
        <f t="shared" si="65"/>
        <v>743</v>
      </c>
      <c r="C748" s="433">
        <v>42846</v>
      </c>
      <c r="D748" s="377" t="s">
        <v>1721</v>
      </c>
      <c r="E748" s="572">
        <v>100100</v>
      </c>
      <c r="F748" s="672" t="str">
        <f>IFERROR(VLOOKUP(E748,STAT1!$C$4:$D$1000,2,FALSE),"")</f>
        <v>Касс мөнгө MNT</v>
      </c>
      <c r="G748" s="377"/>
      <c r="H748" s="377">
        <v>1280000</v>
      </c>
      <c r="I748" s="596">
        <f t="shared" si="63"/>
        <v>-1280000</v>
      </c>
      <c r="J748" s="81">
        <f t="shared" ref="J748:J755" si="67">+IF(E748=110102,I748/K748,0)</f>
        <v>0</v>
      </c>
      <c r="K748" s="81"/>
      <c r="L748" s="597">
        <v>2013</v>
      </c>
      <c r="M748" s="81" t="str">
        <f>+IFERROR(VLOOKUP(L748,DATA!$G$4:$H$2000,2,FALSE),"")</f>
        <v>УБДС ТӨХК</v>
      </c>
      <c r="N748" s="435">
        <v>54</v>
      </c>
      <c r="O748" s="81" t="str">
        <f>IFERROR(VLOOKUP(N748,DATA!$K$4:$L$51,2,FALSE),"")</f>
        <v>Ашиглалтын зардалд төлсөн</v>
      </c>
      <c r="P748" s="81"/>
      <c r="Q748" s="152">
        <f t="shared" si="64"/>
        <v>1</v>
      </c>
    </row>
    <row r="749" spans="2:17">
      <c r="B749" s="670">
        <f t="shared" si="65"/>
        <v>744</v>
      </c>
      <c r="C749" s="433">
        <v>42846</v>
      </c>
      <c r="D749" s="377" t="s">
        <v>1721</v>
      </c>
      <c r="E749" s="572">
        <v>310100</v>
      </c>
      <c r="F749" s="672" t="str">
        <f>IFERROR(VLOOKUP(E749,STAT1!$C$4:$D$1000,2,FALSE),"")</f>
        <v>Дансны өглөг MNT</v>
      </c>
      <c r="G749" s="377">
        <v>1280000</v>
      </c>
      <c r="H749" s="377">
        <v>0</v>
      </c>
      <c r="I749" s="596">
        <f t="shared" si="63"/>
        <v>0</v>
      </c>
      <c r="J749" s="81">
        <f t="shared" si="67"/>
        <v>0</v>
      </c>
      <c r="K749" s="81"/>
      <c r="L749" s="597">
        <v>2013</v>
      </c>
      <c r="M749" s="81" t="str">
        <f>+IFERROR(VLOOKUP(L749,DATA!$G$4:$H$2000,2,FALSE),"")</f>
        <v>УБДС ТӨХК</v>
      </c>
      <c r="N749" s="435"/>
      <c r="O749" s="81" t="str">
        <f>IFERROR(VLOOKUP(N749,DATA!$K$4:$L$51,2,FALSE),"")</f>
        <v/>
      </c>
      <c r="P749" s="81"/>
      <c r="Q749" s="152">
        <f t="shared" si="64"/>
        <v>0</v>
      </c>
    </row>
    <row r="750" spans="2:17">
      <c r="B750" s="670">
        <f t="shared" si="65"/>
        <v>745</v>
      </c>
      <c r="C750" s="433">
        <v>42846</v>
      </c>
      <c r="D750" s="377" t="s">
        <v>1722</v>
      </c>
      <c r="E750" s="572">
        <v>100100</v>
      </c>
      <c r="F750" s="672" t="str">
        <f>IFERROR(VLOOKUP(E750,STAT1!$C$4:$D$1000,2,FALSE),"")</f>
        <v>Касс мөнгө MNT</v>
      </c>
      <c r="G750" s="377"/>
      <c r="H750" s="377">
        <v>35000</v>
      </c>
      <c r="I750" s="596">
        <f t="shared" si="63"/>
        <v>-35000</v>
      </c>
      <c r="J750" s="81">
        <f t="shared" si="67"/>
        <v>0</v>
      </c>
      <c r="K750" s="81"/>
      <c r="L750" s="597">
        <v>1004</v>
      </c>
      <c r="M750" s="81" t="str">
        <f>+IFERROR(VLOOKUP(L750,DATA!$G$4:$H$2000,2,FALSE),"")</f>
        <v xml:space="preserve">Түмэндэлгэр </v>
      </c>
      <c r="N750" s="435">
        <v>53</v>
      </c>
      <c r="O750" s="81" t="str">
        <f>IFERROR(VLOOKUP(N750,DATA!$K$4:$L$51,2,FALSE),"")</f>
        <v>Бараа материал худалдан авахад төлсөн</v>
      </c>
      <c r="P750" s="81"/>
      <c r="Q750" s="152">
        <f t="shared" si="64"/>
        <v>1</v>
      </c>
    </row>
    <row r="751" spans="2:17">
      <c r="B751" s="670">
        <f t="shared" si="65"/>
        <v>746</v>
      </c>
      <c r="C751" s="433">
        <v>42846</v>
      </c>
      <c r="D751" s="377" t="s">
        <v>1722</v>
      </c>
      <c r="E751" s="572">
        <v>120600</v>
      </c>
      <c r="F751" s="672" t="str">
        <f>IFERROR(VLOOKUP(E751,STAT1!$C$4:$D$1000,2,FALSE),"")</f>
        <v>НӨАТ авлага</v>
      </c>
      <c r="G751" s="377">
        <v>1090.9100000000001</v>
      </c>
      <c r="H751" s="377"/>
      <c r="I751" s="596">
        <f t="shared" si="63"/>
        <v>0</v>
      </c>
      <c r="J751" s="81">
        <f t="shared" si="67"/>
        <v>0</v>
      </c>
      <c r="K751" s="81"/>
      <c r="L751" s="597">
        <v>1004</v>
      </c>
      <c r="M751" s="81" t="str">
        <f>+IFERROR(VLOOKUP(L751,DATA!$G$4:$H$2000,2,FALSE),"")</f>
        <v xml:space="preserve">Түмэндэлгэр </v>
      </c>
      <c r="N751" s="435"/>
      <c r="O751" s="81" t="str">
        <f>IFERROR(VLOOKUP(N751,DATA!$K$4:$L$51,2,FALSE),"")</f>
        <v/>
      </c>
      <c r="P751" s="81"/>
      <c r="Q751" s="152">
        <f t="shared" si="64"/>
        <v>0</v>
      </c>
    </row>
    <row r="752" spans="2:17">
      <c r="B752" s="670">
        <f t="shared" si="65"/>
        <v>747</v>
      </c>
      <c r="C752" s="433">
        <v>42846</v>
      </c>
      <c r="D752" s="377" t="s">
        <v>1722</v>
      </c>
      <c r="E752" s="572">
        <v>702000</v>
      </c>
      <c r="F752" s="672" t="str">
        <f>IFERROR(VLOOKUP(E752,STAT1!$C$4:$D$1000,2,FALSE),"")</f>
        <v>Түлш, шатахуун</v>
      </c>
      <c r="G752" s="377">
        <v>23000</v>
      </c>
      <c r="H752" s="377"/>
      <c r="I752" s="596">
        <f t="shared" si="63"/>
        <v>0</v>
      </c>
      <c r="J752" s="81">
        <f t="shared" si="67"/>
        <v>0</v>
      </c>
      <c r="K752" s="81"/>
      <c r="L752" s="597">
        <v>1004</v>
      </c>
      <c r="M752" s="81" t="str">
        <f>+IFERROR(VLOOKUP(L752,DATA!$G$4:$H$2000,2,FALSE),"")</f>
        <v xml:space="preserve">Түмэндэлгэр </v>
      </c>
      <c r="N752" s="435"/>
      <c r="O752" s="81" t="str">
        <f>IFERROR(VLOOKUP(N752,DATA!$K$4:$L$51,2,FALSE),"")</f>
        <v/>
      </c>
      <c r="P752" s="81"/>
      <c r="Q752" s="152">
        <f t="shared" si="64"/>
        <v>0</v>
      </c>
    </row>
    <row r="753" spans="2:17">
      <c r="B753" s="670">
        <f t="shared" si="65"/>
        <v>748</v>
      </c>
      <c r="C753" s="433">
        <v>42846</v>
      </c>
      <c r="D753" s="377" t="s">
        <v>1722</v>
      </c>
      <c r="E753" s="572">
        <v>701500</v>
      </c>
      <c r="F753" s="672" t="str">
        <f>IFERROR(VLOOKUP(E753,STAT1!$C$4:$D$1000,2,FALSE),"")</f>
        <v>Урсгал засварын зардал</v>
      </c>
      <c r="G753" s="377">
        <v>10909.089999999997</v>
      </c>
      <c r="H753" s="377">
        <v>0</v>
      </c>
      <c r="I753" s="596">
        <f t="shared" si="63"/>
        <v>0</v>
      </c>
      <c r="J753" s="81">
        <f t="shared" si="67"/>
        <v>0</v>
      </c>
      <c r="K753" s="81"/>
      <c r="L753" s="597">
        <v>1004</v>
      </c>
      <c r="M753" s="81" t="str">
        <f>+IFERROR(VLOOKUP(L753,DATA!$G$4:$H$2000,2,FALSE),"")</f>
        <v xml:space="preserve">Түмэндэлгэр </v>
      </c>
      <c r="N753" s="435"/>
      <c r="O753" s="81" t="str">
        <f>IFERROR(VLOOKUP(N753,DATA!$K$4:$L$51,2,FALSE),"")</f>
        <v/>
      </c>
      <c r="P753" s="81"/>
      <c r="Q753" s="152">
        <f t="shared" si="64"/>
        <v>0</v>
      </c>
    </row>
    <row r="754" spans="2:17">
      <c r="B754" s="670">
        <f t="shared" si="65"/>
        <v>749</v>
      </c>
      <c r="C754" s="433">
        <v>42848</v>
      </c>
      <c r="D754" s="377" t="s">
        <v>1741</v>
      </c>
      <c r="E754" s="572">
        <v>320100</v>
      </c>
      <c r="F754" s="672" t="str">
        <f>IFERROR(VLOOKUP(E754,STAT1!$C$4:$D$1000,2,FALSE),"")</f>
        <v>Урьдчилж орсон орлого MNT</v>
      </c>
      <c r="G754" s="377"/>
      <c r="H754" s="377">
        <v>1530000</v>
      </c>
      <c r="I754" s="596">
        <f t="shared" si="63"/>
        <v>0</v>
      </c>
      <c r="J754" s="81">
        <f t="shared" si="67"/>
        <v>0</v>
      </c>
      <c r="K754" s="81"/>
      <c r="L754" s="597">
        <v>3051</v>
      </c>
      <c r="M754" s="81" t="str">
        <f>+IFERROR(VLOOKUP(L754,DATA!$G$4:$H$2000,2,FALSE),"")</f>
        <v xml:space="preserve">НОМАДС ТУР ХХК </v>
      </c>
      <c r="N754" s="435"/>
      <c r="O754" s="81" t="str">
        <f>IFERROR(VLOOKUP(N754,DATA!$K$4:$L$51,2,FALSE),"")</f>
        <v/>
      </c>
      <c r="P754" s="81"/>
      <c r="Q754" s="152">
        <f t="shared" si="64"/>
        <v>0</v>
      </c>
    </row>
    <row r="755" spans="2:17">
      <c r="B755" s="670">
        <f t="shared" si="65"/>
        <v>750</v>
      </c>
      <c r="C755" s="433">
        <v>42848</v>
      </c>
      <c r="D755" s="377" t="s">
        <v>1741</v>
      </c>
      <c r="E755" s="572">
        <v>100100</v>
      </c>
      <c r="F755" s="672" t="str">
        <f>IFERROR(VLOOKUP(E755,STAT1!$C$4:$D$1000,2,FALSE),"")</f>
        <v>Касс мөнгө MNT</v>
      </c>
      <c r="G755" s="377">
        <v>1530000</v>
      </c>
      <c r="H755" s="377">
        <v>0</v>
      </c>
      <c r="I755" s="596">
        <f t="shared" si="63"/>
        <v>1530000</v>
      </c>
      <c r="J755" s="81">
        <f t="shared" si="67"/>
        <v>0</v>
      </c>
      <c r="K755" s="81"/>
      <c r="L755" s="597">
        <v>3051</v>
      </c>
      <c r="M755" s="81" t="str">
        <f>+IFERROR(VLOOKUP(L755,DATA!$G$4:$H$2000,2,FALSE),"")</f>
        <v xml:space="preserve">НОМАДС ТУР ХХК </v>
      </c>
      <c r="N755" s="435">
        <v>41</v>
      </c>
      <c r="O755" s="81" t="str">
        <f>IFERROR(VLOOKUP(N755,DATA!$K$4:$L$51,2,FALSE),"")</f>
        <v>Бараа борлуулсан, үйлчилгээ үзүүлсэний орлого</v>
      </c>
      <c r="P755" s="81"/>
      <c r="Q755" s="152">
        <f t="shared" si="64"/>
        <v>1</v>
      </c>
    </row>
    <row r="756" spans="2:17">
      <c r="B756" s="670">
        <f t="shared" si="65"/>
        <v>751</v>
      </c>
      <c r="C756" s="601">
        <v>42848</v>
      </c>
      <c r="D756" s="377" t="s">
        <v>2680</v>
      </c>
      <c r="E756" s="573">
        <v>150101</v>
      </c>
      <c r="F756" s="672" t="str">
        <f>IFERROR(VLOOKUP(E756,STAT1!$C$4:$D$1000,2,FALSE),"")</f>
        <v>Бараа бэлэн бүтээгдэхүүн БОЛОВСРУУЛАХ ЦЕХ /нарс/</v>
      </c>
      <c r="G756" s="597"/>
      <c r="H756" s="377">
        <v>452200.48801736656</v>
      </c>
      <c r="I756" s="596">
        <f t="shared" si="63"/>
        <v>0</v>
      </c>
      <c r="J756" s="81"/>
      <c r="K756" s="81"/>
      <c r="L756" s="597">
        <v>3052</v>
      </c>
      <c r="M756" s="81" t="str">
        <f>+IFERROR(VLOOKUP(L756,DATA!$G$4:$H$2000,2,FALSE),"")</f>
        <v>ШИНЭ ОРОН СУУЦ ХХК</v>
      </c>
      <c r="N756" s="166"/>
      <c r="O756" s="81" t="str">
        <f>IFERROR(VLOOKUP(N756,DATA!$K$4:$L$51,2,FALSE),"")</f>
        <v/>
      </c>
      <c r="P756" s="81"/>
      <c r="Q756" s="152">
        <f t="shared" si="64"/>
        <v>0</v>
      </c>
    </row>
    <row r="757" spans="2:17">
      <c r="B757" s="670">
        <f t="shared" si="65"/>
        <v>752</v>
      </c>
      <c r="C757" s="601">
        <v>42848</v>
      </c>
      <c r="D757" s="377" t="s">
        <v>587</v>
      </c>
      <c r="E757" s="572">
        <v>610100</v>
      </c>
      <c r="F757" s="672" t="str">
        <f>IFERROR(VLOOKUP(E757,STAT1!$C$4:$D$1000,2,FALSE),"")</f>
        <v>Борлуулсан барааны өртөг</v>
      </c>
      <c r="G757" s="377">
        <v>452200.48801736656</v>
      </c>
      <c r="H757" s="597"/>
      <c r="I757" s="596">
        <f t="shared" si="63"/>
        <v>0</v>
      </c>
      <c r="J757" s="81"/>
      <c r="K757" s="81"/>
      <c r="L757" s="597">
        <v>3052</v>
      </c>
      <c r="M757" s="81" t="str">
        <f>+IFERROR(VLOOKUP(L757,DATA!$G$4:$H$2000,2,FALSE),"")</f>
        <v>ШИНЭ ОРОН СУУЦ ХХК</v>
      </c>
      <c r="N757" s="166"/>
      <c r="O757" s="81" t="str">
        <f>IFERROR(VLOOKUP(N757,DATA!$K$4:$L$51,2,FALSE),"")</f>
        <v/>
      </c>
      <c r="P757" s="81"/>
      <c r="Q757" s="152">
        <f t="shared" si="64"/>
        <v>0</v>
      </c>
    </row>
    <row r="758" spans="2:17">
      <c r="B758" s="670">
        <f t="shared" si="65"/>
        <v>753</v>
      </c>
      <c r="C758" s="601">
        <v>42848</v>
      </c>
      <c r="D758" s="377" t="s">
        <v>587</v>
      </c>
      <c r="E758" s="572">
        <v>310500</v>
      </c>
      <c r="F758" s="672" t="str">
        <f>IFERROR(VLOOKUP(E758,STAT1!$C$4:$D$1000,2,FALSE),"")</f>
        <v>НӨАТ өглөг</v>
      </c>
      <c r="G758" s="597"/>
      <c r="H758" s="377">
        <v>68454.545454545456</v>
      </c>
      <c r="I758" s="596">
        <f t="shared" si="63"/>
        <v>0</v>
      </c>
      <c r="J758" s="81"/>
      <c r="K758" s="81"/>
      <c r="L758" s="597">
        <v>3052</v>
      </c>
      <c r="M758" s="81" t="str">
        <f>+IFERROR(VLOOKUP(L758,DATA!$G$4:$H$2000,2,FALSE),"")</f>
        <v>ШИНЭ ОРОН СУУЦ ХХК</v>
      </c>
      <c r="N758" s="166"/>
      <c r="O758" s="81" t="str">
        <f>IFERROR(VLOOKUP(N758,DATA!$K$4:$L$51,2,FALSE),"")</f>
        <v/>
      </c>
      <c r="P758" s="81"/>
      <c r="Q758" s="152">
        <f t="shared" si="64"/>
        <v>0</v>
      </c>
    </row>
    <row r="759" spans="2:17">
      <c r="B759" s="670">
        <f t="shared" si="65"/>
        <v>754</v>
      </c>
      <c r="C759" s="601">
        <v>42848</v>
      </c>
      <c r="D759" s="377" t="s">
        <v>587</v>
      </c>
      <c r="E759" s="572">
        <v>510000</v>
      </c>
      <c r="F759" s="672" t="str">
        <f>IFERROR(VLOOKUP(E759,STAT1!$C$4:$D$1000,2,FALSE),"")</f>
        <v>Үндсэн үйл ажиллагааны борлуулалт</v>
      </c>
      <c r="G759" s="597"/>
      <c r="H759" s="377">
        <v>684545.45454545447</v>
      </c>
      <c r="I759" s="596">
        <f t="shared" si="63"/>
        <v>0</v>
      </c>
      <c r="J759" s="81"/>
      <c r="K759" s="81"/>
      <c r="L759" s="597">
        <v>3052</v>
      </c>
      <c r="M759" s="81" t="str">
        <f>+IFERROR(VLOOKUP(L759,DATA!$G$4:$H$2000,2,FALSE),"")</f>
        <v>ШИНЭ ОРОН СУУЦ ХХК</v>
      </c>
      <c r="N759" s="166"/>
      <c r="O759" s="81" t="str">
        <f>IFERROR(VLOOKUP(N759,DATA!$K$4:$L$51,2,FALSE),"")</f>
        <v/>
      </c>
      <c r="P759" s="81"/>
      <c r="Q759" s="152">
        <f t="shared" si="64"/>
        <v>0</v>
      </c>
    </row>
    <row r="760" spans="2:17">
      <c r="B760" s="670">
        <f t="shared" si="65"/>
        <v>755</v>
      </c>
      <c r="C760" s="601">
        <v>42848</v>
      </c>
      <c r="D760" s="377" t="s">
        <v>587</v>
      </c>
      <c r="E760" s="572">
        <v>320100</v>
      </c>
      <c r="F760" s="672" t="str">
        <f>IFERROR(VLOOKUP(E760,STAT1!$C$4:$D$1000,2,FALSE),"")</f>
        <v>Урьдчилж орсон орлого MNT</v>
      </c>
      <c r="G760" s="377">
        <v>752999.99999999988</v>
      </c>
      <c r="H760" s="597"/>
      <c r="I760" s="596">
        <f t="shared" si="63"/>
        <v>0</v>
      </c>
      <c r="J760" s="81"/>
      <c r="K760" s="81"/>
      <c r="L760" s="597">
        <v>3052</v>
      </c>
      <c r="M760" s="81" t="str">
        <f>+IFERROR(VLOOKUP(L760,DATA!$G$4:$H$2000,2,FALSE),"")</f>
        <v>ШИНЭ ОРОН СУУЦ ХХК</v>
      </c>
      <c r="N760" s="166"/>
      <c r="O760" s="81" t="str">
        <f>IFERROR(VLOOKUP(N760,DATA!$K$4:$L$51,2,FALSE),"")</f>
        <v/>
      </c>
      <c r="P760" s="81"/>
      <c r="Q760" s="152">
        <f t="shared" si="64"/>
        <v>0</v>
      </c>
    </row>
    <row r="761" spans="2:17">
      <c r="B761" s="670">
        <f t="shared" si="65"/>
        <v>756</v>
      </c>
      <c r="C761" s="433">
        <v>42849</v>
      </c>
      <c r="D761" s="377" t="s">
        <v>1714</v>
      </c>
      <c r="E761" s="572">
        <v>100100</v>
      </c>
      <c r="F761" s="672" t="str">
        <f>IFERROR(VLOOKUP(E761,STAT1!$C$4:$D$1000,2,FALSE),"")</f>
        <v>Касс мөнгө MNT</v>
      </c>
      <c r="G761" s="377"/>
      <c r="H761" s="377">
        <v>3010000</v>
      </c>
      <c r="I761" s="596">
        <f t="shared" si="63"/>
        <v>-3010000</v>
      </c>
      <c r="J761" s="81">
        <f t="shared" ref="J761:J771" si="68">+IF(E761=110102,I761/K761,0)</f>
        <v>0</v>
      </c>
      <c r="K761" s="81"/>
      <c r="L761" s="597">
        <v>2003</v>
      </c>
      <c r="M761" s="81" t="str">
        <f>+IFERROR(VLOOKUP(L761,DATA!$G$4:$H$2000,2,FALSE),"")</f>
        <v xml:space="preserve">УБЦТС ТӨХК </v>
      </c>
      <c r="N761" s="435">
        <v>54</v>
      </c>
      <c r="O761" s="81" t="str">
        <f>IFERROR(VLOOKUP(N761,DATA!$K$4:$L$51,2,FALSE),"")</f>
        <v>Ашиглалтын зардалд төлсөн</v>
      </c>
      <c r="P761" s="81"/>
      <c r="Q761" s="152">
        <f t="shared" si="64"/>
        <v>1</v>
      </c>
    </row>
    <row r="762" spans="2:17">
      <c r="B762" s="670">
        <f t="shared" si="65"/>
        <v>757</v>
      </c>
      <c r="C762" s="433">
        <v>42849</v>
      </c>
      <c r="D762" s="377" t="s">
        <v>1714</v>
      </c>
      <c r="E762" s="572">
        <v>120600</v>
      </c>
      <c r="F762" s="672" t="str">
        <f>IFERROR(VLOOKUP(E762,STAT1!$C$4:$D$1000,2,FALSE),"")</f>
        <v>НӨАТ авлага</v>
      </c>
      <c r="G762" s="377">
        <v>273644.2</v>
      </c>
      <c r="H762" s="377"/>
      <c r="I762" s="596">
        <f t="shared" si="63"/>
        <v>0</v>
      </c>
      <c r="J762" s="81">
        <f t="shared" si="68"/>
        <v>0</v>
      </c>
      <c r="K762" s="81"/>
      <c r="L762" s="597">
        <v>2003</v>
      </c>
      <c r="M762" s="81" t="str">
        <f>+IFERROR(VLOOKUP(L762,DATA!$G$4:$H$2000,2,FALSE),"")</f>
        <v xml:space="preserve">УБЦТС ТӨХК </v>
      </c>
      <c r="N762" s="435"/>
      <c r="O762" s="81" t="str">
        <f>IFERROR(VLOOKUP(N762,DATA!$K$4:$L$51,2,FALSE),"")</f>
        <v/>
      </c>
      <c r="P762" s="81"/>
      <c r="Q762" s="152">
        <f t="shared" si="64"/>
        <v>0</v>
      </c>
    </row>
    <row r="763" spans="2:17">
      <c r="B763" s="670">
        <f t="shared" si="65"/>
        <v>758</v>
      </c>
      <c r="C763" s="433">
        <v>42849</v>
      </c>
      <c r="D763" s="377" t="s">
        <v>1714</v>
      </c>
      <c r="E763" s="572">
        <v>700700</v>
      </c>
      <c r="F763" s="672" t="str">
        <f>IFERROR(VLOOKUP(E763,STAT1!$C$4:$D$1000,2,FALSE),"")</f>
        <v>Цахилгаан эрчим хүч</v>
      </c>
      <c r="G763" s="377">
        <v>2736355.8</v>
      </c>
      <c r="H763" s="377">
        <v>0</v>
      </c>
      <c r="I763" s="596">
        <f t="shared" si="63"/>
        <v>0</v>
      </c>
      <c r="J763" s="81">
        <f t="shared" si="68"/>
        <v>0</v>
      </c>
      <c r="K763" s="81"/>
      <c r="L763" s="597">
        <v>2003</v>
      </c>
      <c r="M763" s="81" t="str">
        <f>+IFERROR(VLOOKUP(L763,DATA!$G$4:$H$2000,2,FALSE),"")</f>
        <v xml:space="preserve">УБЦТС ТӨХК </v>
      </c>
      <c r="N763" s="435"/>
      <c r="O763" s="81" t="str">
        <f>IFERROR(VLOOKUP(N763,DATA!$K$4:$L$51,2,FALSE),"")</f>
        <v/>
      </c>
      <c r="P763" s="81"/>
      <c r="Q763" s="152">
        <f t="shared" si="64"/>
        <v>0</v>
      </c>
    </row>
    <row r="764" spans="2:17">
      <c r="B764" s="670">
        <f t="shared" si="65"/>
        <v>759</v>
      </c>
      <c r="C764" s="433">
        <v>42849</v>
      </c>
      <c r="D764" s="377" t="s">
        <v>1741</v>
      </c>
      <c r="E764" s="572">
        <v>320100</v>
      </c>
      <c r="F764" s="672" t="str">
        <f>IFERROR(VLOOKUP(E764,STAT1!$C$4:$D$1000,2,FALSE),"")</f>
        <v>Урьдчилж орсон орлого MNT</v>
      </c>
      <c r="G764" s="377"/>
      <c r="H764" s="377">
        <v>231000</v>
      </c>
      <c r="I764" s="596">
        <f t="shared" si="63"/>
        <v>0</v>
      </c>
      <c r="J764" s="81">
        <f t="shared" si="68"/>
        <v>0</v>
      </c>
      <c r="K764" s="81"/>
      <c r="L764" s="597">
        <v>3050</v>
      </c>
      <c r="M764" s="81" t="str">
        <f>+IFERROR(VLOOKUP(L764,DATA!$G$4:$H$2000,2,FALSE),"")</f>
        <v>БАЯЛАГ ОД ХХК</v>
      </c>
      <c r="N764" s="435"/>
      <c r="O764" s="81" t="str">
        <f>IFERROR(VLOOKUP(N764,DATA!$K$4:$L$51,2,FALSE),"")</f>
        <v/>
      </c>
      <c r="P764" s="81"/>
      <c r="Q764" s="152">
        <f t="shared" si="64"/>
        <v>0</v>
      </c>
    </row>
    <row r="765" spans="2:17">
      <c r="B765" s="670">
        <f t="shared" si="65"/>
        <v>760</v>
      </c>
      <c r="C765" s="433">
        <v>42849</v>
      </c>
      <c r="D765" s="377" t="s">
        <v>1741</v>
      </c>
      <c r="E765" s="572">
        <v>100100</v>
      </c>
      <c r="F765" s="672" t="str">
        <f>IFERROR(VLOOKUP(E765,STAT1!$C$4:$D$1000,2,FALSE),"")</f>
        <v>Касс мөнгө MNT</v>
      </c>
      <c r="G765" s="377">
        <v>231000</v>
      </c>
      <c r="H765" s="377">
        <v>0</v>
      </c>
      <c r="I765" s="596">
        <f t="shared" si="63"/>
        <v>231000</v>
      </c>
      <c r="J765" s="81">
        <f t="shared" si="68"/>
        <v>0</v>
      </c>
      <c r="K765" s="81"/>
      <c r="L765" s="597">
        <v>3050</v>
      </c>
      <c r="M765" s="81" t="str">
        <f>+IFERROR(VLOOKUP(L765,DATA!$G$4:$H$2000,2,FALSE),"")</f>
        <v>БАЯЛАГ ОД ХХК</v>
      </c>
      <c r="N765" s="435">
        <v>41</v>
      </c>
      <c r="O765" s="81" t="str">
        <f>IFERROR(VLOOKUP(N765,DATA!$K$4:$L$51,2,FALSE),"")</f>
        <v>Бараа борлуулсан, үйлчилгээ үзүүлсэний орлого</v>
      </c>
      <c r="P765" s="81"/>
      <c r="Q765" s="152">
        <f t="shared" si="64"/>
        <v>1</v>
      </c>
    </row>
    <row r="766" spans="2:17">
      <c r="B766" s="670">
        <f t="shared" si="65"/>
        <v>761</v>
      </c>
      <c r="C766" s="433">
        <v>42849</v>
      </c>
      <c r="D766" s="377" t="s">
        <v>1741</v>
      </c>
      <c r="E766" s="572">
        <v>320100</v>
      </c>
      <c r="F766" s="672" t="str">
        <f>IFERROR(VLOOKUP(E766,STAT1!$C$4:$D$1000,2,FALSE),"")</f>
        <v>Урьдчилж орсон орлого MNT</v>
      </c>
      <c r="G766" s="377"/>
      <c r="H766" s="377">
        <v>753000</v>
      </c>
      <c r="I766" s="596">
        <f t="shared" si="63"/>
        <v>0</v>
      </c>
      <c r="J766" s="81">
        <f t="shared" si="68"/>
        <v>0</v>
      </c>
      <c r="K766" s="81"/>
      <c r="L766" s="597">
        <v>3052</v>
      </c>
      <c r="M766" s="81" t="str">
        <f>+IFERROR(VLOOKUP(L766,DATA!$G$4:$H$2000,2,FALSE),"")</f>
        <v>ШИНЭ ОРОН СУУЦ ХХК</v>
      </c>
      <c r="N766" s="435"/>
      <c r="O766" s="81" t="str">
        <f>IFERROR(VLOOKUP(N766,DATA!$K$4:$L$51,2,FALSE),"")</f>
        <v/>
      </c>
      <c r="P766" s="81"/>
      <c r="Q766" s="152">
        <f t="shared" si="64"/>
        <v>0</v>
      </c>
    </row>
    <row r="767" spans="2:17">
      <c r="B767" s="670">
        <f t="shared" si="65"/>
        <v>762</v>
      </c>
      <c r="C767" s="433">
        <v>42849</v>
      </c>
      <c r="D767" s="377" t="s">
        <v>1741</v>
      </c>
      <c r="E767" s="572">
        <v>100100</v>
      </c>
      <c r="F767" s="672" t="str">
        <f>IFERROR(VLOOKUP(E767,STAT1!$C$4:$D$1000,2,FALSE),"")</f>
        <v>Касс мөнгө MNT</v>
      </c>
      <c r="G767" s="377">
        <v>753000</v>
      </c>
      <c r="H767" s="377">
        <v>0</v>
      </c>
      <c r="I767" s="596">
        <f t="shared" si="63"/>
        <v>753000</v>
      </c>
      <c r="J767" s="81">
        <f t="shared" si="68"/>
        <v>0</v>
      </c>
      <c r="K767" s="81"/>
      <c r="L767" s="597">
        <v>3052</v>
      </c>
      <c r="M767" s="81" t="str">
        <f>+IFERROR(VLOOKUP(L767,DATA!$G$4:$H$2000,2,FALSE),"")</f>
        <v>ШИНЭ ОРОН СУУЦ ХХК</v>
      </c>
      <c r="N767" s="435">
        <v>41</v>
      </c>
      <c r="O767" s="81" t="str">
        <f>IFERROR(VLOOKUP(N767,DATA!$K$4:$L$51,2,FALSE),"")</f>
        <v>Бараа борлуулсан, үйлчилгээ үзүүлсэний орлого</v>
      </c>
      <c r="P767" s="81"/>
      <c r="Q767" s="152">
        <f t="shared" si="64"/>
        <v>1</v>
      </c>
    </row>
    <row r="768" spans="2:17">
      <c r="B768" s="670">
        <f t="shared" si="65"/>
        <v>763</v>
      </c>
      <c r="C768" s="433">
        <v>42849</v>
      </c>
      <c r="D768" s="377" t="s">
        <v>1741</v>
      </c>
      <c r="E768" s="572">
        <v>320100</v>
      </c>
      <c r="F768" s="672" t="str">
        <f>IFERROR(VLOOKUP(E768,STAT1!$C$4:$D$1000,2,FALSE),"")</f>
        <v>Урьдчилж орсон орлого MNT</v>
      </c>
      <c r="G768" s="377"/>
      <c r="H768" s="377">
        <v>1779000</v>
      </c>
      <c r="I768" s="596">
        <f t="shared" si="63"/>
        <v>0</v>
      </c>
      <c r="J768" s="81">
        <f t="shared" si="68"/>
        <v>0</v>
      </c>
      <c r="K768" s="81"/>
      <c r="L768" s="597">
        <v>3047</v>
      </c>
      <c r="M768" s="81" t="str">
        <f>+IFERROR(VLOOKUP(L768,DATA!$G$4:$H$2000,2,FALSE),"")</f>
        <v>ГЛОБАЛ ГАЗАР ХХК</v>
      </c>
      <c r="N768" s="435"/>
      <c r="O768" s="81" t="str">
        <f>IFERROR(VLOOKUP(N768,DATA!$K$4:$L$51,2,FALSE),"")</f>
        <v/>
      </c>
      <c r="P768" s="81"/>
      <c r="Q768" s="152">
        <f t="shared" si="64"/>
        <v>0</v>
      </c>
    </row>
    <row r="769" spans="2:17">
      <c r="B769" s="670">
        <f t="shared" si="65"/>
        <v>764</v>
      </c>
      <c r="C769" s="433">
        <v>42849</v>
      </c>
      <c r="D769" s="377" t="s">
        <v>1741</v>
      </c>
      <c r="E769" s="572">
        <v>100100</v>
      </c>
      <c r="F769" s="672" t="str">
        <f>IFERROR(VLOOKUP(E769,STAT1!$C$4:$D$1000,2,FALSE),"")</f>
        <v>Касс мөнгө MNT</v>
      </c>
      <c r="G769" s="377">
        <v>1779000</v>
      </c>
      <c r="H769" s="377">
        <v>0</v>
      </c>
      <c r="I769" s="596">
        <f t="shared" si="63"/>
        <v>1779000</v>
      </c>
      <c r="J769" s="81">
        <f t="shared" si="68"/>
        <v>0</v>
      </c>
      <c r="K769" s="81"/>
      <c r="L769" s="597">
        <v>3047</v>
      </c>
      <c r="M769" s="81" t="str">
        <f>+IFERROR(VLOOKUP(L769,DATA!$G$4:$H$2000,2,FALSE),"")</f>
        <v>ГЛОБАЛ ГАЗАР ХХК</v>
      </c>
      <c r="N769" s="435">
        <v>41</v>
      </c>
      <c r="O769" s="81" t="str">
        <f>IFERROR(VLOOKUP(N769,DATA!$K$4:$L$51,2,FALSE),"")</f>
        <v>Бараа борлуулсан, үйлчилгээ үзүүлсэний орлого</v>
      </c>
      <c r="P769" s="81"/>
      <c r="Q769" s="152">
        <f t="shared" si="64"/>
        <v>1</v>
      </c>
    </row>
    <row r="770" spans="2:17">
      <c r="B770" s="670">
        <f t="shared" si="65"/>
        <v>765</v>
      </c>
      <c r="C770" s="433">
        <v>42849</v>
      </c>
      <c r="D770" s="377" t="s">
        <v>1741</v>
      </c>
      <c r="E770" s="572">
        <v>320100</v>
      </c>
      <c r="F770" s="672" t="str">
        <f>IFERROR(VLOOKUP(E770,STAT1!$C$4:$D$1000,2,FALSE),"")</f>
        <v>Урьдчилж орсон орлого MNT</v>
      </c>
      <c r="G770" s="377"/>
      <c r="H770" s="377">
        <v>300000</v>
      </c>
      <c r="I770" s="596">
        <f t="shared" si="63"/>
        <v>0</v>
      </c>
      <c r="J770" s="81">
        <f t="shared" si="68"/>
        <v>0</v>
      </c>
      <c r="K770" s="81"/>
      <c r="L770" s="597">
        <v>3047</v>
      </c>
      <c r="M770" s="81" t="str">
        <f>+IFERROR(VLOOKUP(L770,DATA!$G$4:$H$2000,2,FALSE),"")</f>
        <v>ГЛОБАЛ ГАЗАР ХХК</v>
      </c>
      <c r="N770" s="435"/>
      <c r="O770" s="81" t="str">
        <f>IFERROR(VLOOKUP(N770,DATA!$K$4:$L$51,2,FALSE),"")</f>
        <v/>
      </c>
      <c r="P770" s="81"/>
      <c r="Q770" s="152">
        <f t="shared" si="64"/>
        <v>0</v>
      </c>
    </row>
    <row r="771" spans="2:17">
      <c r="B771" s="670">
        <f t="shared" si="65"/>
        <v>766</v>
      </c>
      <c r="C771" s="433">
        <v>42849</v>
      </c>
      <c r="D771" s="377" t="s">
        <v>1741</v>
      </c>
      <c r="E771" s="572">
        <v>100100</v>
      </c>
      <c r="F771" s="672" t="str">
        <f>IFERROR(VLOOKUP(E771,STAT1!$C$4:$D$1000,2,FALSE),"")</f>
        <v>Касс мөнгө MNT</v>
      </c>
      <c r="G771" s="377">
        <v>300000</v>
      </c>
      <c r="H771" s="377">
        <v>0</v>
      </c>
      <c r="I771" s="596">
        <f t="shared" si="63"/>
        <v>300000</v>
      </c>
      <c r="J771" s="81">
        <f t="shared" si="68"/>
        <v>0</v>
      </c>
      <c r="K771" s="81"/>
      <c r="L771" s="597">
        <v>3047</v>
      </c>
      <c r="M771" s="81" t="str">
        <f>+IFERROR(VLOOKUP(L771,DATA!$G$4:$H$2000,2,FALSE),"")</f>
        <v>ГЛОБАЛ ГАЗАР ХХК</v>
      </c>
      <c r="N771" s="435">
        <v>41</v>
      </c>
      <c r="O771" s="81" t="str">
        <f>IFERROR(VLOOKUP(N771,DATA!$K$4:$L$51,2,FALSE),"")</f>
        <v>Бараа борлуулсан, үйлчилгээ үзүүлсэний орлого</v>
      </c>
      <c r="P771" s="81"/>
      <c r="Q771" s="152">
        <f t="shared" si="64"/>
        <v>1</v>
      </c>
    </row>
    <row r="772" spans="2:17">
      <c r="B772" s="670">
        <f t="shared" si="65"/>
        <v>767</v>
      </c>
      <c r="C772" s="601">
        <v>42849</v>
      </c>
      <c r="D772" s="377" t="s">
        <v>2681</v>
      </c>
      <c r="E772" s="573">
        <v>150101</v>
      </c>
      <c r="F772" s="672" t="str">
        <f>IFERROR(VLOOKUP(E772,STAT1!$C$4:$D$1000,2,FALSE),"")</f>
        <v>Бараа бэлэн бүтээгдэхүүн БОЛОВСРУУЛАХ ЦЕХ /нарс/</v>
      </c>
      <c r="G772" s="597"/>
      <c r="H772" s="377">
        <v>145854.0978917121</v>
      </c>
      <c r="I772" s="596">
        <f t="shared" si="63"/>
        <v>0</v>
      </c>
      <c r="J772" s="81"/>
      <c r="K772" s="81"/>
      <c r="L772" s="597">
        <v>3050</v>
      </c>
      <c r="M772" s="81" t="str">
        <f>+IFERROR(VLOOKUP(L772,DATA!$G$4:$H$2000,2,FALSE),"")</f>
        <v>БАЯЛАГ ОД ХХК</v>
      </c>
      <c r="N772" s="166"/>
      <c r="O772" s="81" t="str">
        <f>IFERROR(VLOOKUP(N772,DATA!$K$4:$L$51,2,FALSE),"")</f>
        <v/>
      </c>
      <c r="P772" s="81"/>
      <c r="Q772" s="152">
        <f t="shared" si="64"/>
        <v>0</v>
      </c>
    </row>
    <row r="773" spans="2:17">
      <c r="B773" s="670">
        <f t="shared" si="65"/>
        <v>768</v>
      </c>
      <c r="C773" s="601">
        <v>42849</v>
      </c>
      <c r="D773" s="377" t="s">
        <v>587</v>
      </c>
      <c r="E773" s="572">
        <v>610100</v>
      </c>
      <c r="F773" s="672" t="str">
        <f>IFERROR(VLOOKUP(E773,STAT1!$C$4:$D$1000,2,FALSE),"")</f>
        <v>Борлуулсан барааны өртөг</v>
      </c>
      <c r="G773" s="377">
        <v>145854.0978917121</v>
      </c>
      <c r="H773" s="597"/>
      <c r="I773" s="596">
        <f t="shared" si="63"/>
        <v>0</v>
      </c>
      <c r="J773" s="81"/>
      <c r="K773" s="81"/>
      <c r="L773" s="597">
        <v>3050</v>
      </c>
      <c r="M773" s="81" t="str">
        <f>+IFERROR(VLOOKUP(L773,DATA!$G$4:$H$2000,2,FALSE),"")</f>
        <v>БАЯЛАГ ОД ХХК</v>
      </c>
      <c r="N773" s="166"/>
      <c r="O773" s="81" t="str">
        <f>IFERROR(VLOOKUP(N773,DATA!$K$4:$L$51,2,FALSE),"")</f>
        <v/>
      </c>
      <c r="P773" s="81"/>
      <c r="Q773" s="152">
        <f t="shared" si="64"/>
        <v>0</v>
      </c>
    </row>
    <row r="774" spans="2:17">
      <c r="B774" s="670">
        <f t="shared" si="65"/>
        <v>769</v>
      </c>
      <c r="C774" s="601">
        <v>42849</v>
      </c>
      <c r="D774" s="377" t="s">
        <v>587</v>
      </c>
      <c r="E774" s="572">
        <v>310500</v>
      </c>
      <c r="F774" s="672" t="str">
        <f>IFERROR(VLOOKUP(E774,STAT1!$C$4:$D$1000,2,FALSE),"")</f>
        <v>НӨАТ өглөг</v>
      </c>
      <c r="G774" s="597"/>
      <c r="H774" s="377">
        <v>21000</v>
      </c>
      <c r="I774" s="596">
        <f t="shared" ref="I774:I837" si="69">+IF(OR(E774=100100,E774=100200,E774=110100,E774=110102,E774=110103,E774=110104,E774=110105,E774=110200,E774=110201,E774=110202,E774=110203,E774=110204,E774=110300),G774,0)+IF(OR(E774=100100,E774=100200,E774=110100,E774=110102,E774=110103,E774=110104,E774=110105,E774=110200,E774=110201,E774=110202,E774=110203,E774=110204,E774=110300),H774*-1,0)</f>
        <v>0</v>
      </c>
      <c r="J774" s="81"/>
      <c r="K774" s="81"/>
      <c r="L774" s="597">
        <v>3050</v>
      </c>
      <c r="M774" s="81" t="str">
        <f>+IFERROR(VLOOKUP(L774,DATA!$G$4:$H$2000,2,FALSE),"")</f>
        <v>БАЯЛАГ ОД ХХК</v>
      </c>
      <c r="N774" s="166"/>
      <c r="O774" s="81" t="str">
        <f>IFERROR(VLOOKUP(N774,DATA!$K$4:$L$51,2,FALSE),"")</f>
        <v/>
      </c>
      <c r="P774" s="81"/>
      <c r="Q774" s="152">
        <f t="shared" si="64"/>
        <v>0</v>
      </c>
    </row>
    <row r="775" spans="2:17">
      <c r="B775" s="670">
        <f t="shared" si="65"/>
        <v>770</v>
      </c>
      <c r="C775" s="601">
        <v>42849</v>
      </c>
      <c r="D775" s="377" t="s">
        <v>587</v>
      </c>
      <c r="E775" s="572">
        <v>510000</v>
      </c>
      <c r="F775" s="672" t="str">
        <f>IFERROR(VLOOKUP(E775,STAT1!$C$4:$D$1000,2,FALSE),"")</f>
        <v>Үндсэн үйл ажиллагааны борлуулалт</v>
      </c>
      <c r="G775" s="597"/>
      <c r="H775" s="377">
        <v>210000</v>
      </c>
      <c r="I775" s="596">
        <f t="shared" si="69"/>
        <v>0</v>
      </c>
      <c r="J775" s="81"/>
      <c r="K775" s="81"/>
      <c r="L775" s="597">
        <v>3050</v>
      </c>
      <c r="M775" s="81" t="str">
        <f>+IFERROR(VLOOKUP(L775,DATA!$G$4:$H$2000,2,FALSE),"")</f>
        <v>БАЯЛАГ ОД ХХК</v>
      </c>
      <c r="N775" s="166"/>
      <c r="O775" s="81" t="str">
        <f>IFERROR(VLOOKUP(N775,DATA!$K$4:$L$51,2,FALSE),"")</f>
        <v/>
      </c>
      <c r="P775" s="81"/>
      <c r="Q775" s="152">
        <f t="shared" ref="Q775:Q838" si="70">+IF(I775,1,0)</f>
        <v>0</v>
      </c>
    </row>
    <row r="776" spans="2:17">
      <c r="B776" s="670">
        <f t="shared" si="65"/>
        <v>771</v>
      </c>
      <c r="C776" s="601">
        <v>42849</v>
      </c>
      <c r="D776" s="377" t="s">
        <v>587</v>
      </c>
      <c r="E776" s="572">
        <v>320100</v>
      </c>
      <c r="F776" s="672" t="str">
        <f>IFERROR(VLOOKUP(E776,STAT1!$C$4:$D$1000,2,FALSE),"")</f>
        <v>Урьдчилж орсон орлого MNT</v>
      </c>
      <c r="G776" s="377">
        <v>231000</v>
      </c>
      <c r="H776" s="597"/>
      <c r="I776" s="596">
        <f t="shared" si="69"/>
        <v>0</v>
      </c>
      <c r="J776" s="81"/>
      <c r="K776" s="81"/>
      <c r="L776" s="597">
        <v>3050</v>
      </c>
      <c r="M776" s="81" t="str">
        <f>+IFERROR(VLOOKUP(L776,DATA!$G$4:$H$2000,2,FALSE),"")</f>
        <v>БАЯЛАГ ОД ХХК</v>
      </c>
      <c r="N776" s="166"/>
      <c r="O776" s="81" t="str">
        <f>IFERROR(VLOOKUP(N776,DATA!$K$4:$L$51,2,FALSE),"")</f>
        <v/>
      </c>
      <c r="P776" s="81"/>
      <c r="Q776" s="152">
        <f t="shared" si="70"/>
        <v>0</v>
      </c>
    </row>
    <row r="777" spans="2:17">
      <c r="B777" s="670">
        <f t="shared" si="65"/>
        <v>772</v>
      </c>
      <c r="C777" s="601">
        <v>42849</v>
      </c>
      <c r="D777" s="377" t="s">
        <v>2681</v>
      </c>
      <c r="E777" s="573">
        <v>150101</v>
      </c>
      <c r="F777" s="672" t="str">
        <f>IFERROR(VLOOKUP(E777,STAT1!$C$4:$D$1000,2,FALSE),"")</f>
        <v>Бараа бэлэн бүтээгдэхүүн БОЛОВСРУУЛАХ ЦЕХ /нарс/</v>
      </c>
      <c r="G777" s="597"/>
      <c r="H777" s="377">
        <v>965970.85403711034</v>
      </c>
      <c r="I777" s="596">
        <f t="shared" si="69"/>
        <v>0</v>
      </c>
      <c r="J777" s="81"/>
      <c r="K777" s="81"/>
      <c r="L777" s="597">
        <v>3051</v>
      </c>
      <c r="M777" s="81" t="str">
        <f>+IFERROR(VLOOKUP(L777,DATA!$G$4:$H$2000,2,FALSE),"")</f>
        <v xml:space="preserve">НОМАДС ТУР ХХК </v>
      </c>
      <c r="N777" s="166"/>
      <c r="O777" s="81" t="str">
        <f>IFERROR(VLOOKUP(N777,DATA!$K$4:$L$51,2,FALSE),"")</f>
        <v/>
      </c>
      <c r="P777" s="81"/>
      <c r="Q777" s="152">
        <f t="shared" si="70"/>
        <v>0</v>
      </c>
    </row>
    <row r="778" spans="2:17">
      <c r="B778" s="670">
        <f t="shared" si="65"/>
        <v>773</v>
      </c>
      <c r="C778" s="601">
        <v>42849</v>
      </c>
      <c r="D778" s="377" t="s">
        <v>587</v>
      </c>
      <c r="E778" s="572">
        <v>610100</v>
      </c>
      <c r="F778" s="672" t="str">
        <f>IFERROR(VLOOKUP(E778,STAT1!$C$4:$D$1000,2,FALSE),"")</f>
        <v>Борлуулсан барааны өртөг</v>
      </c>
      <c r="G778" s="377">
        <v>965970.85403711034</v>
      </c>
      <c r="H778" s="597"/>
      <c r="I778" s="596">
        <f t="shared" si="69"/>
        <v>0</v>
      </c>
      <c r="J778" s="81"/>
      <c r="K778" s="81"/>
      <c r="L778" s="597">
        <v>3051</v>
      </c>
      <c r="M778" s="81" t="str">
        <f>+IFERROR(VLOOKUP(L778,DATA!$G$4:$H$2000,2,FALSE),"")</f>
        <v xml:space="preserve">НОМАДС ТУР ХХК </v>
      </c>
      <c r="N778" s="166"/>
      <c r="O778" s="81" t="str">
        <f>IFERROR(VLOOKUP(N778,DATA!$K$4:$L$51,2,FALSE),"")</f>
        <v/>
      </c>
      <c r="P778" s="81"/>
      <c r="Q778" s="152">
        <f t="shared" si="70"/>
        <v>0</v>
      </c>
    </row>
    <row r="779" spans="2:17">
      <c r="B779" s="670">
        <f t="shared" ref="B779:B842" si="71">+IF(C779="","",ROW()-5)</f>
        <v>774</v>
      </c>
      <c r="C779" s="601">
        <v>42849</v>
      </c>
      <c r="D779" s="377" t="s">
        <v>587</v>
      </c>
      <c r="E779" s="572">
        <v>310500</v>
      </c>
      <c r="F779" s="672" t="str">
        <f>IFERROR(VLOOKUP(E779,STAT1!$C$4:$D$1000,2,FALSE),"")</f>
        <v>НӨАТ өглөг</v>
      </c>
      <c r="G779" s="597"/>
      <c r="H779" s="377">
        <v>139090.90943520001</v>
      </c>
      <c r="I779" s="596">
        <f t="shared" si="69"/>
        <v>0</v>
      </c>
      <c r="J779" s="81"/>
      <c r="K779" s="81"/>
      <c r="L779" s="597">
        <v>3051</v>
      </c>
      <c r="M779" s="81" t="str">
        <f>+IFERROR(VLOOKUP(L779,DATA!$G$4:$H$2000,2,FALSE),"")</f>
        <v xml:space="preserve">НОМАДС ТУР ХХК </v>
      </c>
      <c r="N779" s="166"/>
      <c r="O779" s="81" t="str">
        <f>IFERROR(VLOOKUP(N779,DATA!$K$4:$L$51,2,FALSE),"")</f>
        <v/>
      </c>
      <c r="P779" s="81"/>
      <c r="Q779" s="152">
        <f t="shared" si="70"/>
        <v>0</v>
      </c>
    </row>
    <row r="780" spans="2:17">
      <c r="B780" s="670">
        <f t="shared" si="71"/>
        <v>775</v>
      </c>
      <c r="C780" s="601">
        <v>42849</v>
      </c>
      <c r="D780" s="377" t="s">
        <v>587</v>
      </c>
      <c r="E780" s="572">
        <v>510000</v>
      </c>
      <c r="F780" s="672" t="str">
        <f>IFERROR(VLOOKUP(E780,STAT1!$C$4:$D$1000,2,FALSE),"")</f>
        <v>Үндсэн үйл ажиллагааны борлуулалт</v>
      </c>
      <c r="G780" s="597"/>
      <c r="H780" s="377">
        <v>1390909.0943520002</v>
      </c>
      <c r="I780" s="596">
        <f t="shared" si="69"/>
        <v>0</v>
      </c>
      <c r="J780" s="81"/>
      <c r="K780" s="81"/>
      <c r="L780" s="597">
        <v>3051</v>
      </c>
      <c r="M780" s="81" t="str">
        <f>+IFERROR(VLOOKUP(L780,DATA!$G$4:$H$2000,2,FALSE),"")</f>
        <v xml:space="preserve">НОМАДС ТУР ХХК </v>
      </c>
      <c r="N780" s="166"/>
      <c r="O780" s="81" t="str">
        <f>IFERROR(VLOOKUP(N780,DATA!$K$4:$L$51,2,FALSE),"")</f>
        <v/>
      </c>
      <c r="P780" s="81"/>
      <c r="Q780" s="152">
        <f t="shared" si="70"/>
        <v>0</v>
      </c>
    </row>
    <row r="781" spans="2:17">
      <c r="B781" s="670">
        <f t="shared" si="71"/>
        <v>776</v>
      </c>
      <c r="C781" s="601">
        <v>42849</v>
      </c>
      <c r="D781" s="377" t="s">
        <v>587</v>
      </c>
      <c r="E781" s="572">
        <v>320100</v>
      </c>
      <c r="F781" s="672" t="str">
        <f>IFERROR(VLOOKUP(E781,STAT1!$C$4:$D$1000,2,FALSE),"")</f>
        <v>Урьдчилж орсон орлого MNT</v>
      </c>
      <c r="G781" s="377">
        <v>1530000.0037872002</v>
      </c>
      <c r="H781" s="597"/>
      <c r="I781" s="596">
        <f t="shared" si="69"/>
        <v>0</v>
      </c>
      <c r="J781" s="81"/>
      <c r="K781" s="81"/>
      <c r="L781" s="597">
        <v>3051</v>
      </c>
      <c r="M781" s="81" t="str">
        <f>+IFERROR(VLOOKUP(L781,DATA!$G$4:$H$2000,2,FALSE),"")</f>
        <v xml:space="preserve">НОМАДС ТУР ХХК </v>
      </c>
      <c r="N781" s="166"/>
      <c r="O781" s="81" t="str">
        <f>IFERROR(VLOOKUP(N781,DATA!$K$4:$L$51,2,FALSE),"")</f>
        <v/>
      </c>
      <c r="P781" s="81"/>
      <c r="Q781" s="152">
        <f t="shared" si="70"/>
        <v>0</v>
      </c>
    </row>
    <row r="782" spans="2:17">
      <c r="B782" s="670">
        <f t="shared" si="71"/>
        <v>777</v>
      </c>
      <c r="C782" s="601">
        <v>42849</v>
      </c>
      <c r="D782" s="377" t="s">
        <v>2682</v>
      </c>
      <c r="E782" s="573">
        <v>150101</v>
      </c>
      <c r="F782" s="672" t="str">
        <f>IFERROR(VLOOKUP(E782,STAT1!$C$4:$D$1000,2,FALSE),"")</f>
        <v>Бараа бэлэн бүтээгдэхүүн БОЛОВСРУУЛАХ ЦЕХ /нарс/</v>
      </c>
      <c r="G782" s="597"/>
      <c r="H782" s="377">
        <v>1829052.533626213</v>
      </c>
      <c r="I782" s="596">
        <f t="shared" si="69"/>
        <v>0</v>
      </c>
      <c r="J782" s="81"/>
      <c r="K782" s="81"/>
      <c r="L782" s="597">
        <v>3047</v>
      </c>
      <c r="M782" s="81" t="str">
        <f>+IFERROR(VLOOKUP(L782,DATA!$G$4:$H$2000,2,FALSE),"")</f>
        <v>ГЛОБАЛ ГАЗАР ХХК</v>
      </c>
      <c r="N782" s="166"/>
      <c r="O782" s="81" t="str">
        <f>IFERROR(VLOOKUP(N782,DATA!$K$4:$L$51,2,FALSE),"")</f>
        <v/>
      </c>
      <c r="P782" s="81"/>
      <c r="Q782" s="152">
        <f t="shared" si="70"/>
        <v>0</v>
      </c>
    </row>
    <row r="783" spans="2:17">
      <c r="B783" s="670">
        <f t="shared" si="71"/>
        <v>778</v>
      </c>
      <c r="C783" s="601">
        <v>42849</v>
      </c>
      <c r="D783" s="377" t="s">
        <v>587</v>
      </c>
      <c r="E783" s="572">
        <v>610100</v>
      </c>
      <c r="F783" s="672" t="str">
        <f>IFERROR(VLOOKUP(E783,STAT1!$C$4:$D$1000,2,FALSE),"")</f>
        <v>Борлуулсан барааны өртөг</v>
      </c>
      <c r="G783" s="377">
        <v>1829052.533626213</v>
      </c>
      <c r="H783" s="597"/>
      <c r="I783" s="596">
        <f t="shared" si="69"/>
        <v>0</v>
      </c>
      <c r="J783" s="81"/>
      <c r="K783" s="81"/>
      <c r="L783" s="597">
        <v>3047</v>
      </c>
      <c r="M783" s="81" t="str">
        <f>+IFERROR(VLOOKUP(L783,DATA!$G$4:$H$2000,2,FALSE),"")</f>
        <v>ГЛОБАЛ ГАЗАР ХХК</v>
      </c>
      <c r="N783" s="166"/>
      <c r="O783" s="81" t="str">
        <f>IFERROR(VLOOKUP(N783,DATA!$K$4:$L$51,2,FALSE),"")</f>
        <v/>
      </c>
      <c r="P783" s="81"/>
      <c r="Q783" s="152">
        <f t="shared" si="70"/>
        <v>0</v>
      </c>
    </row>
    <row r="784" spans="2:17">
      <c r="B784" s="670">
        <f t="shared" si="71"/>
        <v>779</v>
      </c>
      <c r="C784" s="601">
        <v>42849</v>
      </c>
      <c r="D784" s="377" t="s">
        <v>587</v>
      </c>
      <c r="E784" s="572">
        <v>310500</v>
      </c>
      <c r="F784" s="672" t="str">
        <f>IFERROR(VLOOKUP(E784,STAT1!$C$4:$D$1000,2,FALSE),"")</f>
        <v>НӨАТ өглөг</v>
      </c>
      <c r="G784" s="597"/>
      <c r="H784" s="377">
        <v>243760.90945800004</v>
      </c>
      <c r="I784" s="596">
        <f t="shared" si="69"/>
        <v>0</v>
      </c>
      <c r="J784" s="81"/>
      <c r="K784" s="81"/>
      <c r="L784" s="597">
        <v>3047</v>
      </c>
      <c r="M784" s="81" t="str">
        <f>+IFERROR(VLOOKUP(L784,DATA!$G$4:$H$2000,2,FALSE),"")</f>
        <v>ГЛОБАЛ ГАЗАР ХХК</v>
      </c>
      <c r="N784" s="166"/>
      <c r="O784" s="81" t="str">
        <f>IFERROR(VLOOKUP(N784,DATA!$K$4:$L$51,2,FALSE),"")</f>
        <v/>
      </c>
      <c r="P784" s="81"/>
      <c r="Q784" s="152">
        <f t="shared" si="70"/>
        <v>0</v>
      </c>
    </row>
    <row r="785" spans="2:17">
      <c r="B785" s="670">
        <f t="shared" si="71"/>
        <v>780</v>
      </c>
      <c r="C785" s="601">
        <v>42849</v>
      </c>
      <c r="D785" s="377" t="s">
        <v>587</v>
      </c>
      <c r="E785" s="572">
        <v>510000</v>
      </c>
      <c r="F785" s="672" t="str">
        <f>IFERROR(VLOOKUP(E785,STAT1!$C$4:$D$1000,2,FALSE),"")</f>
        <v>Үндсэн үйл ажиллагааны борлуулалт</v>
      </c>
      <c r="G785" s="597"/>
      <c r="H785" s="377">
        <v>2437609.0945800003</v>
      </c>
      <c r="I785" s="596">
        <f t="shared" si="69"/>
        <v>0</v>
      </c>
      <c r="J785" s="81"/>
      <c r="K785" s="81"/>
      <c r="L785" s="597">
        <v>3047</v>
      </c>
      <c r="M785" s="81" t="str">
        <f>+IFERROR(VLOOKUP(L785,DATA!$G$4:$H$2000,2,FALSE),"")</f>
        <v>ГЛОБАЛ ГАЗАР ХХК</v>
      </c>
      <c r="N785" s="166"/>
      <c r="O785" s="81" t="str">
        <f>IFERROR(VLOOKUP(N785,DATA!$K$4:$L$51,2,FALSE),"")</f>
        <v/>
      </c>
      <c r="P785" s="81"/>
      <c r="Q785" s="152">
        <f t="shared" si="70"/>
        <v>0</v>
      </c>
    </row>
    <row r="786" spans="2:17">
      <c r="B786" s="670">
        <f t="shared" si="71"/>
        <v>781</v>
      </c>
      <c r="C786" s="601">
        <v>42849</v>
      </c>
      <c r="D786" s="377" t="s">
        <v>587</v>
      </c>
      <c r="E786" s="572">
        <v>320100</v>
      </c>
      <c r="F786" s="672" t="str">
        <f>IFERROR(VLOOKUP(E786,STAT1!$C$4:$D$1000,2,FALSE),"")</f>
        <v>Урьдчилж орсон орлого MNT</v>
      </c>
      <c r="G786" s="377">
        <v>2681370.0040380005</v>
      </c>
      <c r="H786" s="597"/>
      <c r="I786" s="596">
        <f t="shared" si="69"/>
        <v>0</v>
      </c>
      <c r="J786" s="81"/>
      <c r="K786" s="81"/>
      <c r="L786" s="597">
        <v>3047</v>
      </c>
      <c r="M786" s="81" t="str">
        <f>+IFERROR(VLOOKUP(L786,DATA!$G$4:$H$2000,2,FALSE),"")</f>
        <v>ГЛОБАЛ ГАЗАР ХХК</v>
      </c>
      <c r="N786" s="166"/>
      <c r="O786" s="81" t="str">
        <f>IFERROR(VLOOKUP(N786,DATA!$K$4:$L$51,2,FALSE),"")</f>
        <v/>
      </c>
      <c r="P786" s="81"/>
      <c r="Q786" s="152">
        <f t="shared" si="70"/>
        <v>0</v>
      </c>
    </row>
    <row r="787" spans="2:17">
      <c r="B787" s="670">
        <f t="shared" si="71"/>
        <v>782</v>
      </c>
      <c r="C787" s="433">
        <v>42850</v>
      </c>
      <c r="D787" s="377" t="s">
        <v>1741</v>
      </c>
      <c r="E787" s="572">
        <v>320100</v>
      </c>
      <c r="F787" s="672" t="str">
        <f>IFERROR(VLOOKUP(E787,STAT1!$C$4:$D$1000,2,FALSE),"")</f>
        <v>Урьдчилж орсон орлого MNT</v>
      </c>
      <c r="G787" s="377"/>
      <c r="H787" s="377">
        <v>1206000</v>
      </c>
      <c r="I787" s="596">
        <f t="shared" si="69"/>
        <v>0</v>
      </c>
      <c r="J787" s="81">
        <f>+IF(E787=110102,I787/K787,0)</f>
        <v>0</v>
      </c>
      <c r="K787" s="81"/>
      <c r="L787" s="597">
        <v>3049</v>
      </c>
      <c r="M787" s="81" t="str">
        <f>+IFERROR(VLOOKUP(L787,DATA!$G$4:$H$2000,2,FALSE),"")</f>
        <v xml:space="preserve">НОЁН ХХК </v>
      </c>
      <c r="N787" s="435"/>
      <c r="O787" s="81" t="str">
        <f>IFERROR(VLOOKUP(N787,DATA!$K$4:$L$51,2,FALSE),"")</f>
        <v/>
      </c>
      <c r="P787" s="81"/>
      <c r="Q787" s="152">
        <f t="shared" si="70"/>
        <v>0</v>
      </c>
    </row>
    <row r="788" spans="2:17">
      <c r="B788" s="670">
        <f t="shared" si="71"/>
        <v>783</v>
      </c>
      <c r="C788" s="433">
        <v>42850</v>
      </c>
      <c r="D788" s="377" t="s">
        <v>1741</v>
      </c>
      <c r="E788" s="572">
        <v>100100</v>
      </c>
      <c r="F788" s="672" t="str">
        <f>IFERROR(VLOOKUP(E788,STAT1!$C$4:$D$1000,2,FALSE),"")</f>
        <v>Касс мөнгө MNT</v>
      </c>
      <c r="G788" s="377">
        <v>1206000</v>
      </c>
      <c r="H788" s="377">
        <v>0</v>
      </c>
      <c r="I788" s="596">
        <f t="shared" si="69"/>
        <v>1206000</v>
      </c>
      <c r="J788" s="81">
        <f>+IF(E788=110102,I788/K788,0)</f>
        <v>0</v>
      </c>
      <c r="K788" s="81"/>
      <c r="L788" s="597">
        <v>3049</v>
      </c>
      <c r="M788" s="81" t="str">
        <f>+IFERROR(VLOOKUP(L788,DATA!$G$4:$H$2000,2,FALSE),"")</f>
        <v xml:space="preserve">НОЁН ХХК </v>
      </c>
      <c r="N788" s="435">
        <v>41</v>
      </c>
      <c r="O788" s="81" t="str">
        <f>IFERROR(VLOOKUP(N788,DATA!$K$4:$L$51,2,FALSE),"")</f>
        <v>Бараа борлуулсан, үйлчилгээ үзүүлсэний орлого</v>
      </c>
      <c r="P788" s="81"/>
      <c r="Q788" s="152">
        <f t="shared" si="70"/>
        <v>1</v>
      </c>
    </row>
    <row r="789" spans="2:17">
      <c r="B789" s="670">
        <f t="shared" si="71"/>
        <v>784</v>
      </c>
      <c r="C789" s="601">
        <v>42850</v>
      </c>
      <c r="D789" s="377" t="s">
        <v>2698</v>
      </c>
      <c r="E789" s="573">
        <v>150101</v>
      </c>
      <c r="F789" s="672" t="str">
        <f>IFERROR(VLOOKUP(E789,STAT1!$C$4:$D$1000,2,FALSE),"")</f>
        <v>Бараа бэлэн бүтээгдэхүүн БОЛОВСРУУЛАХ ЦЕХ /нарс/</v>
      </c>
      <c r="G789" s="597"/>
      <c r="H789" s="377">
        <v>641893.18000000005</v>
      </c>
      <c r="I789" s="596">
        <f t="shared" si="69"/>
        <v>0</v>
      </c>
      <c r="J789" s="81"/>
      <c r="K789" s="81"/>
      <c r="L789" s="597">
        <v>3049</v>
      </c>
      <c r="M789" s="81" t="str">
        <f>+IFERROR(VLOOKUP(L789,DATA!$G$4:$H$2000,2,FALSE),"")</f>
        <v xml:space="preserve">НОЁН ХХК </v>
      </c>
      <c r="N789" s="166"/>
      <c r="O789" s="81" t="str">
        <f>IFERROR(VLOOKUP(N789,DATA!$K$4:$L$51,2,FALSE),"")</f>
        <v/>
      </c>
      <c r="P789" s="81"/>
      <c r="Q789" s="152">
        <f t="shared" si="70"/>
        <v>0</v>
      </c>
    </row>
    <row r="790" spans="2:17">
      <c r="B790" s="670">
        <f t="shared" si="71"/>
        <v>785</v>
      </c>
      <c r="C790" s="601">
        <v>42850</v>
      </c>
      <c r="D790" s="377" t="s">
        <v>587</v>
      </c>
      <c r="E790" s="572">
        <v>610100</v>
      </c>
      <c r="F790" s="672" t="str">
        <f>IFERROR(VLOOKUP(E790,STAT1!$C$4:$D$1000,2,FALSE),"")</f>
        <v>Борлуулсан барааны өртөг</v>
      </c>
      <c r="G790" s="377">
        <v>641893.18000000005</v>
      </c>
      <c r="H790" s="597"/>
      <c r="I790" s="596">
        <f t="shared" si="69"/>
        <v>0</v>
      </c>
      <c r="J790" s="81"/>
      <c r="K790" s="81"/>
      <c r="L790" s="597">
        <v>3049</v>
      </c>
      <c r="M790" s="81" t="str">
        <f>+IFERROR(VLOOKUP(L790,DATA!$G$4:$H$2000,2,FALSE),"")</f>
        <v xml:space="preserve">НОЁН ХХК </v>
      </c>
      <c r="N790" s="166"/>
      <c r="O790" s="81" t="str">
        <f>IFERROR(VLOOKUP(N790,DATA!$K$4:$L$51,2,FALSE),"")</f>
        <v/>
      </c>
      <c r="P790" s="81"/>
      <c r="Q790" s="152">
        <f t="shared" si="70"/>
        <v>0</v>
      </c>
    </row>
    <row r="791" spans="2:17">
      <c r="B791" s="670">
        <f t="shared" si="71"/>
        <v>786</v>
      </c>
      <c r="C791" s="601">
        <v>42850</v>
      </c>
      <c r="D791" s="377" t="s">
        <v>587</v>
      </c>
      <c r="E791" s="572">
        <v>310500</v>
      </c>
      <c r="F791" s="672" t="str">
        <f>IFERROR(VLOOKUP(E791,STAT1!$C$4:$D$1000,2,FALSE),"")</f>
        <v>НӨАТ өглөг</v>
      </c>
      <c r="G791" s="597"/>
      <c r="H791" s="377">
        <v>109636.36383</v>
      </c>
      <c r="I791" s="596">
        <f t="shared" si="69"/>
        <v>0</v>
      </c>
      <c r="J791" s="81"/>
      <c r="K791" s="81"/>
      <c r="L791" s="597">
        <v>3049</v>
      </c>
      <c r="M791" s="81" t="str">
        <f>+IFERROR(VLOOKUP(L791,DATA!$G$4:$H$2000,2,FALSE),"")</f>
        <v xml:space="preserve">НОЁН ХХК </v>
      </c>
      <c r="N791" s="166"/>
      <c r="O791" s="81" t="str">
        <f>IFERROR(VLOOKUP(N791,DATA!$K$4:$L$51,2,FALSE),"")</f>
        <v/>
      </c>
      <c r="P791" s="81"/>
      <c r="Q791" s="152">
        <f t="shared" si="70"/>
        <v>0</v>
      </c>
    </row>
    <row r="792" spans="2:17">
      <c r="B792" s="670">
        <f t="shared" si="71"/>
        <v>787</v>
      </c>
      <c r="C792" s="601">
        <v>42850</v>
      </c>
      <c r="D792" s="377" t="s">
        <v>587</v>
      </c>
      <c r="E792" s="572">
        <v>510000</v>
      </c>
      <c r="F792" s="672" t="str">
        <f>IFERROR(VLOOKUP(E792,STAT1!$C$4:$D$1000,2,FALSE),"")</f>
        <v>Үндсэн үйл ажиллагааны борлуулалт</v>
      </c>
      <c r="G792" s="597"/>
      <c r="H792" s="377">
        <v>1096363.6200000001</v>
      </c>
      <c r="I792" s="596">
        <f t="shared" si="69"/>
        <v>0</v>
      </c>
      <c r="J792" s="81"/>
      <c r="K792" s="81"/>
      <c r="L792" s="597">
        <v>3049</v>
      </c>
      <c r="M792" s="81" t="str">
        <f>+IFERROR(VLOOKUP(L792,DATA!$G$4:$H$2000,2,FALSE),"")</f>
        <v xml:space="preserve">НОЁН ХХК </v>
      </c>
      <c r="N792" s="166"/>
      <c r="O792" s="81" t="str">
        <f>IFERROR(VLOOKUP(N792,DATA!$K$4:$L$51,2,FALSE),"")</f>
        <v/>
      </c>
      <c r="P792" s="81"/>
      <c r="Q792" s="152">
        <f t="shared" si="70"/>
        <v>0</v>
      </c>
    </row>
    <row r="793" spans="2:17">
      <c r="B793" s="670">
        <f t="shared" si="71"/>
        <v>788</v>
      </c>
      <c r="C793" s="601">
        <v>42850</v>
      </c>
      <c r="D793" s="377" t="s">
        <v>587</v>
      </c>
      <c r="E793" s="572">
        <v>320100</v>
      </c>
      <c r="F793" s="672" t="str">
        <f>IFERROR(VLOOKUP(E793,STAT1!$C$4:$D$1000,2,FALSE),"")</f>
        <v>Урьдчилж орсон орлого MNT</v>
      </c>
      <c r="G793" s="377">
        <v>1206000</v>
      </c>
      <c r="H793" s="597"/>
      <c r="I793" s="596">
        <f t="shared" si="69"/>
        <v>0</v>
      </c>
      <c r="J793" s="81"/>
      <c r="K793" s="81"/>
      <c r="L793" s="597">
        <v>3049</v>
      </c>
      <c r="M793" s="81" t="str">
        <f>+IFERROR(VLOOKUP(L793,DATA!$G$4:$H$2000,2,FALSE),"")</f>
        <v xml:space="preserve">НОЁН ХХК </v>
      </c>
      <c r="N793" s="166"/>
      <c r="O793" s="81" t="str">
        <f>IFERROR(VLOOKUP(N793,DATA!$K$4:$L$51,2,FALSE),"")</f>
        <v/>
      </c>
      <c r="P793" s="81"/>
      <c r="Q793" s="152">
        <f t="shared" si="70"/>
        <v>0</v>
      </c>
    </row>
    <row r="794" spans="2:17">
      <c r="B794" s="670">
        <f t="shared" si="71"/>
        <v>789</v>
      </c>
      <c r="C794" s="433">
        <v>42851</v>
      </c>
      <c r="D794" s="377" t="s">
        <v>1723</v>
      </c>
      <c r="E794" s="572">
        <v>100100</v>
      </c>
      <c r="F794" s="672" t="str">
        <f>IFERROR(VLOOKUP(E794,STAT1!$C$4:$D$1000,2,FALSE),"")</f>
        <v>Касс мөнгө MNT</v>
      </c>
      <c r="G794" s="377"/>
      <c r="H794" s="377">
        <v>20190</v>
      </c>
      <c r="I794" s="596">
        <f t="shared" si="69"/>
        <v>-20190</v>
      </c>
      <c r="J794" s="81">
        <f>+IF(E794=110102,I794/K794,0)</f>
        <v>0</v>
      </c>
      <c r="K794" s="81"/>
      <c r="L794" s="597">
        <v>1005</v>
      </c>
      <c r="M794" s="81" t="str">
        <f>+IFERROR(VLOOKUP(L794,DATA!$G$4:$H$2000,2,FALSE),"")</f>
        <v>Золжаргал</v>
      </c>
      <c r="N794" s="435">
        <v>53</v>
      </c>
      <c r="O794" s="81" t="str">
        <f>IFERROR(VLOOKUP(N794,DATA!$K$4:$L$51,2,FALSE),"")</f>
        <v>Бараа материал худалдан авахад төлсөн</v>
      </c>
      <c r="P794" s="81"/>
      <c r="Q794" s="152">
        <f t="shared" si="70"/>
        <v>1</v>
      </c>
    </row>
    <row r="795" spans="2:17">
      <c r="B795" s="670">
        <f t="shared" si="71"/>
        <v>790</v>
      </c>
      <c r="C795" s="433">
        <v>42851</v>
      </c>
      <c r="D795" s="377" t="s">
        <v>1723</v>
      </c>
      <c r="E795" s="572">
        <v>120600</v>
      </c>
      <c r="F795" s="672" t="str">
        <f>IFERROR(VLOOKUP(E795,STAT1!$C$4:$D$1000,2,FALSE),"")</f>
        <v>НӨАТ авлага</v>
      </c>
      <c r="G795" s="377">
        <v>1835.46</v>
      </c>
      <c r="H795" s="377"/>
      <c r="I795" s="596">
        <f t="shared" si="69"/>
        <v>0</v>
      </c>
      <c r="J795" s="81">
        <f>+IF(E795=110102,I795/K795,0)</f>
        <v>0</v>
      </c>
      <c r="K795" s="81"/>
      <c r="L795" s="597">
        <v>1005</v>
      </c>
      <c r="M795" s="81" t="str">
        <f>+IFERROR(VLOOKUP(L795,DATA!$G$4:$H$2000,2,FALSE),"")</f>
        <v>Золжаргал</v>
      </c>
      <c r="N795" s="435"/>
      <c r="O795" s="81" t="str">
        <f>IFERROR(VLOOKUP(N795,DATA!$K$4:$L$51,2,FALSE),"")</f>
        <v/>
      </c>
      <c r="P795" s="81"/>
      <c r="Q795" s="152">
        <f t="shared" si="70"/>
        <v>0</v>
      </c>
    </row>
    <row r="796" spans="2:17">
      <c r="B796" s="670">
        <f t="shared" si="71"/>
        <v>791</v>
      </c>
      <c r="C796" s="433">
        <v>42851</v>
      </c>
      <c r="D796" s="377" t="s">
        <v>1723</v>
      </c>
      <c r="E796" s="572">
        <v>703700</v>
      </c>
      <c r="F796" s="672" t="str">
        <f>IFERROR(VLOOKUP(E796,STAT1!$C$4:$D$1000,2,FALSE),"")</f>
        <v>Бичиг хэргийн зардал</v>
      </c>
      <c r="G796" s="377">
        <v>18354.54</v>
      </c>
      <c r="H796" s="377"/>
      <c r="I796" s="596">
        <f t="shared" si="69"/>
        <v>0</v>
      </c>
      <c r="J796" s="81">
        <f>+IF(E796=110102,I796/K796,0)</f>
        <v>0</v>
      </c>
      <c r="K796" s="81"/>
      <c r="L796" s="597">
        <v>1005</v>
      </c>
      <c r="M796" s="81" t="str">
        <f>+IFERROR(VLOOKUP(L796,DATA!$G$4:$H$2000,2,FALSE),"")</f>
        <v>Золжаргал</v>
      </c>
      <c r="N796" s="435"/>
      <c r="O796" s="81" t="str">
        <f>IFERROR(VLOOKUP(N796,DATA!$K$4:$L$51,2,FALSE),"")</f>
        <v/>
      </c>
      <c r="P796" s="81"/>
      <c r="Q796" s="152">
        <f t="shared" si="70"/>
        <v>0</v>
      </c>
    </row>
    <row r="797" spans="2:17">
      <c r="B797" s="670">
        <f t="shared" si="71"/>
        <v>792</v>
      </c>
      <c r="C797" s="433">
        <v>42852</v>
      </c>
      <c r="D797" s="377" t="s">
        <v>1355</v>
      </c>
      <c r="E797" s="572">
        <v>100100</v>
      </c>
      <c r="F797" s="672" t="str">
        <f>IFERROR(VLOOKUP(E797,STAT1!$C$4:$D$1000,2,FALSE),"")</f>
        <v>Касс мөнгө MNT</v>
      </c>
      <c r="G797" s="377"/>
      <c r="H797" s="377">
        <v>10000</v>
      </c>
      <c r="I797" s="596">
        <f t="shared" si="69"/>
        <v>-10000</v>
      </c>
      <c r="J797" s="81">
        <f>+IF(E797=110102,I797/K797,0)</f>
        <v>0</v>
      </c>
      <c r="K797" s="81"/>
      <c r="L797" s="597">
        <v>2005</v>
      </c>
      <c r="M797" s="81" t="str">
        <f>+IFERROR(VLOOKUP(L797,DATA!$G$4:$H$2000,2,FALSE),"")</f>
        <v xml:space="preserve">УСУГ ТӨХК </v>
      </c>
      <c r="N797" s="435">
        <v>55</v>
      </c>
      <c r="O797" s="81" t="str">
        <f>IFERROR(VLOOKUP(N797,DATA!$K$4:$L$51,2,FALSE),"")</f>
        <v>Түлш, шатахуун, тээврийн хөлс, сэлбэг хэрэгсэлд төлсөн</v>
      </c>
      <c r="P797" s="81"/>
      <c r="Q797" s="152">
        <f t="shared" si="70"/>
        <v>1</v>
      </c>
    </row>
    <row r="798" spans="2:17">
      <c r="B798" s="670">
        <f t="shared" si="71"/>
        <v>793</v>
      </c>
      <c r="C798" s="433">
        <v>42852</v>
      </c>
      <c r="D798" s="377" t="s">
        <v>1355</v>
      </c>
      <c r="E798" s="572">
        <v>702000</v>
      </c>
      <c r="F798" s="672" t="str">
        <f>IFERROR(VLOOKUP(E798,STAT1!$C$4:$D$1000,2,FALSE),"")</f>
        <v>Түлш, шатахуун</v>
      </c>
      <c r="G798" s="377">
        <v>10000</v>
      </c>
      <c r="H798" s="377"/>
      <c r="I798" s="596">
        <f t="shared" si="69"/>
        <v>0</v>
      </c>
      <c r="J798" s="81"/>
      <c r="K798" s="81"/>
      <c r="L798" s="597">
        <v>2005</v>
      </c>
      <c r="M798" s="81" t="str">
        <f>+IFERROR(VLOOKUP(L798,DATA!$G$4:$H$2000,2,FALSE),"")</f>
        <v xml:space="preserve">УСУГ ТӨХК </v>
      </c>
      <c r="N798" s="435"/>
      <c r="O798" s="81" t="str">
        <f>IFERROR(VLOOKUP(N798,DATA!$K$4:$L$51,2,FALSE),"")</f>
        <v/>
      </c>
      <c r="P798" s="81"/>
      <c r="Q798" s="152">
        <f t="shared" si="70"/>
        <v>0</v>
      </c>
    </row>
    <row r="799" spans="2:17">
      <c r="B799" s="670">
        <f t="shared" si="71"/>
        <v>794</v>
      </c>
      <c r="C799" s="433">
        <v>42852</v>
      </c>
      <c r="D799" s="377" t="s">
        <v>1715</v>
      </c>
      <c r="E799" s="572">
        <v>120600</v>
      </c>
      <c r="F799" s="672" t="str">
        <f>IFERROR(VLOOKUP(E799,STAT1!$C$4:$D$1000,2,FALSE),"")</f>
        <v>НӨАТ авлага</v>
      </c>
      <c r="G799" s="377">
        <v>11068</v>
      </c>
      <c r="H799" s="377"/>
      <c r="I799" s="596">
        <f t="shared" si="69"/>
        <v>0</v>
      </c>
      <c r="J799" s="81">
        <f t="shared" ref="J799:J820" si="72">+IF(E799=110102,I799/K799,0)</f>
        <v>0</v>
      </c>
      <c r="K799" s="81"/>
      <c r="L799" s="597">
        <v>2005</v>
      </c>
      <c r="M799" s="81" t="str">
        <f>+IFERROR(VLOOKUP(L799,DATA!$G$4:$H$2000,2,FALSE),"")</f>
        <v xml:space="preserve">УСУГ ТӨХК </v>
      </c>
      <c r="N799" s="435"/>
      <c r="O799" s="81" t="str">
        <f>IFERROR(VLOOKUP(N799,DATA!$K$4:$L$51,2,FALSE),"")</f>
        <v/>
      </c>
      <c r="P799" s="81"/>
      <c r="Q799" s="152">
        <f t="shared" si="70"/>
        <v>0</v>
      </c>
    </row>
    <row r="800" spans="2:17">
      <c r="B800" s="670">
        <f t="shared" si="71"/>
        <v>795</v>
      </c>
      <c r="C800" s="433">
        <v>42852</v>
      </c>
      <c r="D800" s="377" t="s">
        <v>1715</v>
      </c>
      <c r="E800" s="572">
        <v>100100</v>
      </c>
      <c r="F800" s="672" t="str">
        <f>IFERROR(VLOOKUP(E800,STAT1!$C$4:$D$1000,2,FALSE),"")</f>
        <v>Касс мөнгө MNT</v>
      </c>
      <c r="G800" s="377"/>
      <c r="H800" s="377">
        <v>122000</v>
      </c>
      <c r="I800" s="596">
        <f t="shared" si="69"/>
        <v>-122000</v>
      </c>
      <c r="J800" s="81">
        <f t="shared" si="72"/>
        <v>0</v>
      </c>
      <c r="K800" s="81"/>
      <c r="L800" s="597">
        <v>2005</v>
      </c>
      <c r="M800" s="81" t="str">
        <f>+IFERROR(VLOOKUP(L800,DATA!$G$4:$H$2000,2,FALSE),"")</f>
        <v xml:space="preserve">УСУГ ТӨХК </v>
      </c>
      <c r="N800" s="435">
        <v>54</v>
      </c>
      <c r="O800" s="81" t="str">
        <f>IFERROR(VLOOKUP(N800,DATA!$K$4:$L$51,2,FALSE),"")</f>
        <v>Ашиглалтын зардалд төлсөн</v>
      </c>
      <c r="P800" s="81"/>
      <c r="Q800" s="152">
        <f t="shared" si="70"/>
        <v>1</v>
      </c>
    </row>
    <row r="801" spans="2:17">
      <c r="B801" s="670">
        <f t="shared" si="71"/>
        <v>796</v>
      </c>
      <c r="C801" s="433">
        <v>42852</v>
      </c>
      <c r="D801" s="377" t="s">
        <v>1715</v>
      </c>
      <c r="E801" s="572">
        <v>700900</v>
      </c>
      <c r="F801" s="672" t="str">
        <f>IFERROR(VLOOKUP(E801,STAT1!$C$4:$D$1000,2,FALSE),"")</f>
        <v>Уур, ус</v>
      </c>
      <c r="G801" s="377">
        <v>110932</v>
      </c>
      <c r="H801" s="377">
        <v>0</v>
      </c>
      <c r="I801" s="596">
        <f t="shared" si="69"/>
        <v>0</v>
      </c>
      <c r="J801" s="81">
        <f t="shared" si="72"/>
        <v>0</v>
      </c>
      <c r="K801" s="81"/>
      <c r="L801" s="597">
        <v>2005</v>
      </c>
      <c r="M801" s="81" t="str">
        <f>+IFERROR(VLOOKUP(L801,DATA!$G$4:$H$2000,2,FALSE),"")</f>
        <v xml:space="preserve">УСУГ ТӨХК </v>
      </c>
      <c r="N801" s="435"/>
      <c r="O801" s="81" t="str">
        <f>IFERROR(VLOOKUP(N801,DATA!$K$4:$L$51,2,FALSE),"")</f>
        <v/>
      </c>
      <c r="P801" s="81"/>
      <c r="Q801" s="152">
        <f t="shared" si="70"/>
        <v>0</v>
      </c>
    </row>
    <row r="802" spans="2:17">
      <c r="B802" s="670">
        <f t="shared" si="71"/>
        <v>797</v>
      </c>
      <c r="C802" s="433">
        <v>42852</v>
      </c>
      <c r="D802" s="598" t="s">
        <v>1741</v>
      </c>
      <c r="E802" s="572">
        <v>110100</v>
      </c>
      <c r="F802" s="672" t="str">
        <f>IFERROR(VLOOKUP(E802,STAT1!$C$4:$D$1000,2,FALSE),"")</f>
        <v>Хаан Банк 5024654020</v>
      </c>
      <c r="G802" s="377">
        <v>1200000</v>
      </c>
      <c r="H802" s="377"/>
      <c r="I802" s="596">
        <f t="shared" si="69"/>
        <v>1200000</v>
      </c>
      <c r="J802" s="81">
        <f t="shared" si="72"/>
        <v>0</v>
      </c>
      <c r="K802" s="81"/>
      <c r="L802" s="597">
        <v>3001</v>
      </c>
      <c r="M802" s="81" t="str">
        <f>+IFERROR(VLOOKUP(L802,DATA!$G$4:$H$2000,2,FALSE),"")</f>
        <v>ХУРД ГРУПП ХХК</v>
      </c>
      <c r="N802" s="435">
        <v>41</v>
      </c>
      <c r="O802" s="81" t="str">
        <f>IFERROR(VLOOKUP(N802,DATA!$K$4:$L$51,2,FALSE),"")</f>
        <v>Бараа борлуулсан, үйлчилгээ үзүүлсэний орлого</v>
      </c>
      <c r="P802" s="81"/>
      <c r="Q802" s="152">
        <f t="shared" si="70"/>
        <v>1</v>
      </c>
    </row>
    <row r="803" spans="2:17">
      <c r="B803" s="670">
        <f t="shared" si="71"/>
        <v>798</v>
      </c>
      <c r="C803" s="433">
        <v>42852</v>
      </c>
      <c r="D803" s="598" t="s">
        <v>1741</v>
      </c>
      <c r="E803" s="572">
        <v>320100</v>
      </c>
      <c r="F803" s="672" t="str">
        <f>IFERROR(VLOOKUP(E803,STAT1!$C$4:$D$1000,2,FALSE),"")</f>
        <v>Урьдчилж орсон орлого MNT</v>
      </c>
      <c r="G803" s="377">
        <v>0</v>
      </c>
      <c r="H803" s="377">
        <v>1200000</v>
      </c>
      <c r="I803" s="596">
        <f t="shared" si="69"/>
        <v>0</v>
      </c>
      <c r="J803" s="81">
        <f t="shared" si="72"/>
        <v>0</v>
      </c>
      <c r="K803" s="81"/>
      <c r="L803" s="597">
        <v>3001</v>
      </c>
      <c r="M803" s="81" t="str">
        <f>+IFERROR(VLOOKUP(L803,DATA!$G$4:$H$2000,2,FALSE),"")</f>
        <v>ХУРД ГРУПП ХХК</v>
      </c>
      <c r="N803" s="435"/>
      <c r="O803" s="81" t="str">
        <f>IFERROR(VLOOKUP(N803,DATA!$K$4:$L$51,2,FALSE),"")</f>
        <v/>
      </c>
      <c r="P803" s="81"/>
      <c r="Q803" s="152">
        <f t="shared" si="70"/>
        <v>0</v>
      </c>
    </row>
    <row r="804" spans="2:17">
      <c r="B804" s="670">
        <f t="shared" si="71"/>
        <v>799</v>
      </c>
      <c r="C804" s="433">
        <v>42852</v>
      </c>
      <c r="D804" s="598" t="s">
        <v>1747</v>
      </c>
      <c r="E804" s="572">
        <v>702500</v>
      </c>
      <c r="F804" s="672" t="str">
        <f>IFERROR(VLOOKUP(E804,STAT1!$C$4:$D$1000,2,FALSE),"")</f>
        <v>Зээлийн хүүгийн зардал</v>
      </c>
      <c r="G804" s="377">
        <v>447363.24</v>
      </c>
      <c r="H804" s="377">
        <v>0</v>
      </c>
      <c r="I804" s="596">
        <f t="shared" si="69"/>
        <v>0</v>
      </c>
      <c r="J804" s="81">
        <f t="shared" si="72"/>
        <v>0</v>
      </c>
      <c r="K804" s="81"/>
      <c r="L804" s="597">
        <v>2009</v>
      </c>
      <c r="M804" s="81" t="str">
        <f>+IFERROR(VLOOKUP(L804,DATA!$G$4:$H$2000,2,FALSE),"")</f>
        <v>ХААН БАНК</v>
      </c>
      <c r="N804" s="435"/>
      <c r="O804" s="81" t="str">
        <f>IFERROR(VLOOKUP(N804,DATA!$K$4:$L$51,2,FALSE),"")</f>
        <v/>
      </c>
      <c r="P804" s="81"/>
      <c r="Q804" s="152">
        <f t="shared" si="70"/>
        <v>0</v>
      </c>
    </row>
    <row r="805" spans="2:17">
      <c r="B805" s="670">
        <f t="shared" si="71"/>
        <v>800</v>
      </c>
      <c r="C805" s="433">
        <v>42852</v>
      </c>
      <c r="D805" s="598" t="s">
        <v>1747</v>
      </c>
      <c r="E805" s="572">
        <v>110100</v>
      </c>
      <c r="F805" s="672" t="str">
        <f>IFERROR(VLOOKUP(E805,STAT1!$C$4:$D$1000,2,FALSE),"")</f>
        <v>Хаан Банк 5024654020</v>
      </c>
      <c r="G805" s="377"/>
      <c r="H805" s="377">
        <v>447363.24</v>
      </c>
      <c r="I805" s="596">
        <f t="shared" si="69"/>
        <v>-447363.24</v>
      </c>
      <c r="J805" s="81">
        <f t="shared" si="72"/>
        <v>0</v>
      </c>
      <c r="K805" s="81"/>
      <c r="L805" s="597">
        <v>2009</v>
      </c>
      <c r="M805" s="81" t="str">
        <f>+IFERROR(VLOOKUP(L805,DATA!$G$4:$H$2000,2,FALSE),"")</f>
        <v>ХААН БАНК</v>
      </c>
      <c r="N805" s="435">
        <v>56</v>
      </c>
      <c r="O805" s="81" t="str">
        <f>IFERROR(VLOOKUP(N805,DATA!$K$4:$L$51,2,FALSE),"")</f>
        <v>Хүүний төлбөрт төлсөн</v>
      </c>
      <c r="P805" s="81"/>
      <c r="Q805" s="152">
        <f t="shared" si="70"/>
        <v>1</v>
      </c>
    </row>
    <row r="806" spans="2:17">
      <c r="B806" s="670">
        <f t="shared" si="71"/>
        <v>801</v>
      </c>
      <c r="C806" s="433">
        <v>42853</v>
      </c>
      <c r="D806" s="377" t="s">
        <v>1724</v>
      </c>
      <c r="E806" s="572">
        <v>100100</v>
      </c>
      <c r="F806" s="672" t="str">
        <f>IFERROR(VLOOKUP(E806,STAT1!$C$4:$D$1000,2,FALSE),"")</f>
        <v>Касс мөнгө MNT</v>
      </c>
      <c r="G806" s="377"/>
      <c r="H806" s="377">
        <v>135000</v>
      </c>
      <c r="I806" s="596">
        <f t="shared" si="69"/>
        <v>-135000</v>
      </c>
      <c r="J806" s="81">
        <f t="shared" si="72"/>
        <v>0</v>
      </c>
      <c r="K806" s="81"/>
      <c r="L806" s="597">
        <v>1005</v>
      </c>
      <c r="M806" s="81" t="str">
        <f>+IFERROR(VLOOKUP(L806,DATA!$G$4:$H$2000,2,FALSE),"")</f>
        <v>Золжаргал</v>
      </c>
      <c r="N806" s="435">
        <v>55</v>
      </c>
      <c r="O806" s="81" t="str">
        <f>IFERROR(VLOOKUP(N806,DATA!$K$4:$L$51,2,FALSE),"")</f>
        <v>Түлш, шатахуун, тээврийн хөлс, сэлбэг хэрэгсэлд төлсөн</v>
      </c>
      <c r="P806" s="81"/>
      <c r="Q806" s="152">
        <f t="shared" si="70"/>
        <v>1</v>
      </c>
    </row>
    <row r="807" spans="2:17">
      <c r="B807" s="670">
        <f t="shared" si="71"/>
        <v>802</v>
      </c>
      <c r="C807" s="433">
        <v>42853</v>
      </c>
      <c r="D807" s="377" t="s">
        <v>1724</v>
      </c>
      <c r="E807" s="572">
        <v>120600</v>
      </c>
      <c r="F807" s="672" t="str">
        <f>IFERROR(VLOOKUP(E807,STAT1!$C$4:$D$1000,2,FALSE),"")</f>
        <v>НӨАТ авлага</v>
      </c>
      <c r="G807" s="377">
        <v>37546.19</v>
      </c>
      <c r="H807" s="377"/>
      <c r="I807" s="596">
        <f t="shared" si="69"/>
        <v>0</v>
      </c>
      <c r="J807" s="81">
        <f t="shared" si="72"/>
        <v>0</v>
      </c>
      <c r="K807" s="81"/>
      <c r="L807" s="597">
        <v>1005</v>
      </c>
      <c r="M807" s="81" t="str">
        <f>+IFERROR(VLOOKUP(L807,DATA!$G$4:$H$2000,2,FALSE),"")</f>
        <v>Золжаргал</v>
      </c>
      <c r="N807" s="435"/>
      <c r="O807" s="81" t="str">
        <f>IFERROR(VLOOKUP(N807,DATA!$K$4:$L$51,2,FALSE),"")</f>
        <v/>
      </c>
      <c r="P807" s="81"/>
      <c r="Q807" s="152">
        <f t="shared" si="70"/>
        <v>0</v>
      </c>
    </row>
    <row r="808" spans="2:17">
      <c r="B808" s="670">
        <f t="shared" si="71"/>
        <v>803</v>
      </c>
      <c r="C808" s="433">
        <v>42853</v>
      </c>
      <c r="D808" s="377" t="s">
        <v>1724</v>
      </c>
      <c r="E808" s="572">
        <v>702000</v>
      </c>
      <c r="F808" s="672" t="str">
        <f>IFERROR(VLOOKUP(E808,STAT1!$C$4:$D$1000,2,FALSE),"")</f>
        <v>Түлш, шатахуун</v>
      </c>
      <c r="G808" s="377">
        <v>97453.81</v>
      </c>
      <c r="H808" s="377">
        <v>0</v>
      </c>
      <c r="I808" s="596">
        <f t="shared" si="69"/>
        <v>0</v>
      </c>
      <c r="J808" s="81">
        <f t="shared" si="72"/>
        <v>0</v>
      </c>
      <c r="K808" s="81"/>
      <c r="L808" s="597">
        <v>1005</v>
      </c>
      <c r="M808" s="81" t="str">
        <f>+IFERROR(VLOOKUP(L808,DATA!$G$4:$H$2000,2,FALSE),"")</f>
        <v>Золжаргал</v>
      </c>
      <c r="N808" s="435"/>
      <c r="O808" s="81" t="str">
        <f>IFERROR(VLOOKUP(N808,DATA!$K$4:$L$51,2,FALSE),"")</f>
        <v/>
      </c>
      <c r="P808" s="81"/>
      <c r="Q808" s="152">
        <f t="shared" si="70"/>
        <v>0</v>
      </c>
    </row>
    <row r="809" spans="2:17">
      <c r="B809" s="670">
        <f t="shared" si="71"/>
        <v>804</v>
      </c>
      <c r="C809" s="433">
        <v>42853</v>
      </c>
      <c r="D809" s="598" t="s">
        <v>1741</v>
      </c>
      <c r="E809" s="572">
        <v>110100</v>
      </c>
      <c r="F809" s="672" t="str">
        <f>IFERROR(VLOOKUP(E809,STAT1!$C$4:$D$1000,2,FALSE),"")</f>
        <v>Хаан Банк 5024654020</v>
      </c>
      <c r="G809" s="377">
        <v>994500</v>
      </c>
      <c r="H809" s="377"/>
      <c r="I809" s="596">
        <f t="shared" si="69"/>
        <v>994500</v>
      </c>
      <c r="J809" s="81">
        <f t="shared" si="72"/>
        <v>0</v>
      </c>
      <c r="K809" s="81"/>
      <c r="L809" s="597">
        <v>3040</v>
      </c>
      <c r="M809" s="81" t="str">
        <f>+IFERROR(VLOOKUP(L809,DATA!$G$4:$H$2000,2,FALSE),"")</f>
        <v xml:space="preserve">АР ПИ ДИ ХХК </v>
      </c>
      <c r="N809" s="435">
        <v>41</v>
      </c>
      <c r="O809" s="81" t="str">
        <f>IFERROR(VLOOKUP(N809,DATA!$K$4:$L$51,2,FALSE),"")</f>
        <v>Бараа борлуулсан, үйлчилгээ үзүүлсэний орлого</v>
      </c>
      <c r="P809" s="81"/>
      <c r="Q809" s="152">
        <f t="shared" si="70"/>
        <v>1</v>
      </c>
    </row>
    <row r="810" spans="2:17">
      <c r="B810" s="670">
        <f t="shared" si="71"/>
        <v>805</v>
      </c>
      <c r="C810" s="433">
        <v>42853</v>
      </c>
      <c r="D810" s="598" t="s">
        <v>1741</v>
      </c>
      <c r="E810" s="572">
        <v>320100</v>
      </c>
      <c r="F810" s="672" t="str">
        <f>IFERROR(VLOOKUP(E810,STAT1!$C$4:$D$1000,2,FALSE),"")</f>
        <v>Урьдчилж орсон орлого MNT</v>
      </c>
      <c r="G810" s="377">
        <v>0</v>
      </c>
      <c r="H810" s="377">
        <v>994500</v>
      </c>
      <c r="I810" s="596">
        <f t="shared" si="69"/>
        <v>0</v>
      </c>
      <c r="J810" s="81">
        <f t="shared" si="72"/>
        <v>0</v>
      </c>
      <c r="K810" s="81"/>
      <c r="L810" s="597">
        <v>3040</v>
      </c>
      <c r="M810" s="81" t="str">
        <f>+IFERROR(VLOOKUP(L810,DATA!$G$4:$H$2000,2,FALSE),"")</f>
        <v xml:space="preserve">АР ПИ ДИ ХХК </v>
      </c>
      <c r="N810" s="435"/>
      <c r="O810" s="81" t="str">
        <f>IFERROR(VLOOKUP(N810,DATA!$K$4:$L$51,2,FALSE),"")</f>
        <v/>
      </c>
      <c r="P810" s="81"/>
      <c r="Q810" s="152">
        <f t="shared" si="70"/>
        <v>0</v>
      </c>
    </row>
    <row r="811" spans="2:17">
      <c r="B811" s="670">
        <f t="shared" si="71"/>
        <v>806</v>
      </c>
      <c r="C811" s="433">
        <v>42855</v>
      </c>
      <c r="D811" s="377" t="s">
        <v>1725</v>
      </c>
      <c r="E811" s="572">
        <v>100100</v>
      </c>
      <c r="F811" s="672" t="str">
        <f>IFERROR(VLOOKUP(E811,STAT1!$C$4:$D$1000,2,FALSE),"")</f>
        <v>Касс мөнгө MNT</v>
      </c>
      <c r="G811" s="377"/>
      <c r="H811" s="377">
        <v>8667887.625</v>
      </c>
      <c r="I811" s="596">
        <f t="shared" si="69"/>
        <v>-8667887.625</v>
      </c>
      <c r="J811" s="81">
        <f t="shared" si="72"/>
        <v>0</v>
      </c>
      <c r="K811" s="81"/>
      <c r="L811" s="597">
        <v>1004</v>
      </c>
      <c r="M811" s="81" t="str">
        <f>+IFERROR(VLOOKUP(L811,DATA!$G$4:$H$2000,2,FALSE),"")</f>
        <v xml:space="preserve">Түмэндэлгэр </v>
      </c>
      <c r="N811" s="435">
        <v>51</v>
      </c>
      <c r="O811" s="81" t="str">
        <f>IFERROR(VLOOKUP(N811,DATA!$K$4:$L$51,2,FALSE),"")</f>
        <v>Ажиллагчдад төлсөн</v>
      </c>
      <c r="P811" s="81"/>
      <c r="Q811" s="152">
        <f t="shared" si="70"/>
        <v>1</v>
      </c>
    </row>
    <row r="812" spans="2:17">
      <c r="B812" s="670">
        <f t="shared" si="71"/>
        <v>807</v>
      </c>
      <c r="C812" s="433">
        <v>42855</v>
      </c>
      <c r="D812" s="377" t="s">
        <v>1725</v>
      </c>
      <c r="E812" s="572">
        <v>311000</v>
      </c>
      <c r="F812" s="672" t="str">
        <f>IFERROR(VLOOKUP(E812,STAT1!$C$4:$D$1000,2,FALSE),"")</f>
        <v>Цалингийн өглөг</v>
      </c>
      <c r="G812" s="377">
        <v>8667887.625</v>
      </c>
      <c r="H812" s="377">
        <v>0</v>
      </c>
      <c r="I812" s="596">
        <f t="shared" si="69"/>
        <v>0</v>
      </c>
      <c r="J812" s="81">
        <f t="shared" si="72"/>
        <v>0</v>
      </c>
      <c r="K812" s="81"/>
      <c r="L812" s="597">
        <v>1004</v>
      </c>
      <c r="M812" s="81" t="str">
        <f>+IFERROR(VLOOKUP(L812,DATA!$G$4:$H$2000,2,FALSE),"")</f>
        <v xml:space="preserve">Түмэндэлгэр </v>
      </c>
      <c r="N812" s="435"/>
      <c r="O812" s="81" t="str">
        <f>IFERROR(VLOOKUP(N812,DATA!$K$4:$L$51,2,FALSE),"")</f>
        <v/>
      </c>
      <c r="P812" s="81"/>
      <c r="Q812" s="152">
        <f t="shared" si="70"/>
        <v>0</v>
      </c>
    </row>
    <row r="813" spans="2:17">
      <c r="B813" s="670">
        <f t="shared" si="71"/>
        <v>808</v>
      </c>
      <c r="C813" s="433">
        <v>42855</v>
      </c>
      <c r="D813" s="377" t="s">
        <v>1741</v>
      </c>
      <c r="E813" s="572">
        <v>320100</v>
      </c>
      <c r="F813" s="672" t="str">
        <f>IFERROR(VLOOKUP(E813,STAT1!$C$4:$D$1000,2,FALSE),"")</f>
        <v>Урьдчилж орсон орлого MNT</v>
      </c>
      <c r="G813" s="377"/>
      <c r="H813" s="377">
        <v>297000</v>
      </c>
      <c r="I813" s="596">
        <f t="shared" si="69"/>
        <v>0</v>
      </c>
      <c r="J813" s="81">
        <f t="shared" si="72"/>
        <v>0</v>
      </c>
      <c r="K813" s="81"/>
      <c r="L813" s="597">
        <v>3048</v>
      </c>
      <c r="M813" s="81" t="str">
        <f>+IFERROR(VLOOKUP(L813,DATA!$G$4:$H$2000,2,FALSE),"")</f>
        <v xml:space="preserve">МАК ХХК </v>
      </c>
      <c r="N813" s="435"/>
      <c r="O813" s="81" t="str">
        <f>IFERROR(VLOOKUP(N813,DATA!$K$4:$L$51,2,FALSE),"")</f>
        <v/>
      </c>
      <c r="P813" s="81"/>
      <c r="Q813" s="152">
        <f t="shared" si="70"/>
        <v>0</v>
      </c>
    </row>
    <row r="814" spans="2:17">
      <c r="B814" s="670">
        <f t="shared" si="71"/>
        <v>809</v>
      </c>
      <c r="C814" s="433">
        <v>42855</v>
      </c>
      <c r="D814" s="377" t="s">
        <v>1741</v>
      </c>
      <c r="E814" s="572">
        <v>100100</v>
      </c>
      <c r="F814" s="672" t="str">
        <f>IFERROR(VLOOKUP(E814,STAT1!$C$4:$D$1000,2,FALSE),"")</f>
        <v>Касс мөнгө MNT</v>
      </c>
      <c r="G814" s="377">
        <v>297000</v>
      </c>
      <c r="H814" s="377">
        <v>0</v>
      </c>
      <c r="I814" s="596">
        <f t="shared" si="69"/>
        <v>297000</v>
      </c>
      <c r="J814" s="81">
        <f t="shared" si="72"/>
        <v>0</v>
      </c>
      <c r="K814" s="81"/>
      <c r="L814" s="597">
        <v>3048</v>
      </c>
      <c r="M814" s="81" t="str">
        <f>+IFERROR(VLOOKUP(L814,DATA!$G$4:$H$2000,2,FALSE),"")</f>
        <v xml:space="preserve">МАК ХХК </v>
      </c>
      <c r="N814" s="435">
        <v>41</v>
      </c>
      <c r="O814" s="81" t="str">
        <f>IFERROR(VLOOKUP(N814,DATA!$K$4:$L$51,2,FALSE),"")</f>
        <v>Бараа борлуулсан, үйлчилгээ үзүүлсэний орлого</v>
      </c>
      <c r="P814" s="81"/>
      <c r="Q814" s="152">
        <f t="shared" si="70"/>
        <v>1</v>
      </c>
    </row>
    <row r="815" spans="2:17">
      <c r="B815" s="670">
        <f t="shared" si="71"/>
        <v>810</v>
      </c>
      <c r="C815" s="433">
        <v>42855</v>
      </c>
      <c r="D815" s="377" t="s">
        <v>1741</v>
      </c>
      <c r="E815" s="572">
        <v>320100</v>
      </c>
      <c r="F815" s="672" t="str">
        <f>IFERROR(VLOOKUP(E815,STAT1!$C$4:$D$1000,2,FALSE),"")</f>
        <v>Урьдчилж орсон орлого MNT</v>
      </c>
      <c r="G815" s="377"/>
      <c r="H815" s="377">
        <v>1666496</v>
      </c>
      <c r="I815" s="596">
        <f t="shared" si="69"/>
        <v>0</v>
      </c>
      <c r="J815" s="81">
        <f t="shared" si="72"/>
        <v>0</v>
      </c>
      <c r="K815" s="81"/>
      <c r="L815" s="597">
        <v>3039</v>
      </c>
      <c r="M815" s="81" t="str">
        <f>+IFERROR(VLOOKUP(L815,DATA!$G$4:$H$2000,2,FALSE),"")</f>
        <v xml:space="preserve">САССИР ХХК </v>
      </c>
      <c r="N815" s="435"/>
      <c r="O815" s="81" t="str">
        <f>IFERROR(VLOOKUP(N815,DATA!$K$4:$L$51,2,FALSE),"")</f>
        <v/>
      </c>
      <c r="P815" s="81"/>
      <c r="Q815" s="152">
        <f t="shared" si="70"/>
        <v>0</v>
      </c>
    </row>
    <row r="816" spans="2:17">
      <c r="B816" s="670">
        <f t="shared" si="71"/>
        <v>811</v>
      </c>
      <c r="C816" s="433">
        <v>42855</v>
      </c>
      <c r="D816" s="377" t="s">
        <v>1741</v>
      </c>
      <c r="E816" s="572">
        <v>100100</v>
      </c>
      <c r="F816" s="672" t="str">
        <f>IFERROR(VLOOKUP(E816,STAT1!$C$4:$D$1000,2,FALSE),"")</f>
        <v>Касс мөнгө MNT</v>
      </c>
      <c r="G816" s="377">
        <v>1666496</v>
      </c>
      <c r="H816" s="377">
        <v>0</v>
      </c>
      <c r="I816" s="596">
        <f t="shared" si="69"/>
        <v>1666496</v>
      </c>
      <c r="J816" s="81">
        <f t="shared" si="72"/>
        <v>0</v>
      </c>
      <c r="K816" s="81"/>
      <c r="L816" s="597">
        <v>3039</v>
      </c>
      <c r="M816" s="81" t="str">
        <f>+IFERROR(VLOOKUP(L816,DATA!$G$4:$H$2000,2,FALSE),"")</f>
        <v xml:space="preserve">САССИР ХХК </v>
      </c>
      <c r="N816" s="435">
        <v>41</v>
      </c>
      <c r="O816" s="81" t="str">
        <f>IFERROR(VLOOKUP(N816,DATA!$K$4:$L$51,2,FALSE),"")</f>
        <v>Бараа борлуулсан, үйлчилгээ үзүүлсэний орлого</v>
      </c>
      <c r="P816" s="81"/>
      <c r="Q816" s="152">
        <f t="shared" si="70"/>
        <v>1</v>
      </c>
    </row>
    <row r="817" spans="2:17">
      <c r="B817" s="670">
        <f t="shared" si="71"/>
        <v>812</v>
      </c>
      <c r="C817" s="433">
        <v>42855</v>
      </c>
      <c r="D817" s="377" t="s">
        <v>1741</v>
      </c>
      <c r="E817" s="572">
        <v>320100</v>
      </c>
      <c r="F817" s="672" t="str">
        <f>IFERROR(VLOOKUP(E817,STAT1!$C$4:$D$1000,2,FALSE),"")</f>
        <v>Урьдчилж орсон орлого MNT</v>
      </c>
      <c r="G817" s="377"/>
      <c r="H817" s="377">
        <v>806660</v>
      </c>
      <c r="I817" s="596">
        <f t="shared" si="69"/>
        <v>0</v>
      </c>
      <c r="J817" s="81">
        <f t="shared" si="72"/>
        <v>0</v>
      </c>
      <c r="K817" s="81"/>
      <c r="L817" s="597">
        <v>4002</v>
      </c>
      <c r="M817" s="81" t="str">
        <f>+IFERROR(VLOOKUP(L817,DATA!$G$4:$H$2000,2,FALSE),"")</f>
        <v xml:space="preserve">Хувь хүн </v>
      </c>
      <c r="N817" s="435"/>
      <c r="O817" s="81" t="str">
        <f>IFERROR(VLOOKUP(N817,DATA!$K$4:$L$51,2,FALSE),"")</f>
        <v/>
      </c>
      <c r="P817" s="81"/>
      <c r="Q817" s="152">
        <f t="shared" si="70"/>
        <v>0</v>
      </c>
    </row>
    <row r="818" spans="2:17">
      <c r="B818" s="670">
        <f t="shared" si="71"/>
        <v>813</v>
      </c>
      <c r="C818" s="433">
        <v>42855</v>
      </c>
      <c r="D818" s="377" t="s">
        <v>1741</v>
      </c>
      <c r="E818" s="572">
        <v>100100</v>
      </c>
      <c r="F818" s="672" t="str">
        <f>IFERROR(VLOOKUP(E818,STAT1!$C$4:$D$1000,2,FALSE),"")</f>
        <v>Касс мөнгө MNT</v>
      </c>
      <c r="G818" s="377">
        <v>806660</v>
      </c>
      <c r="H818" s="377">
        <v>0</v>
      </c>
      <c r="I818" s="596">
        <f t="shared" si="69"/>
        <v>806660</v>
      </c>
      <c r="J818" s="81">
        <f t="shared" si="72"/>
        <v>0</v>
      </c>
      <c r="K818" s="81"/>
      <c r="L818" s="597">
        <v>4002</v>
      </c>
      <c r="M818" s="81" t="str">
        <f>+IFERROR(VLOOKUP(L818,DATA!$G$4:$H$2000,2,FALSE),"")</f>
        <v xml:space="preserve">Хувь хүн </v>
      </c>
      <c r="N818" s="435">
        <v>41</v>
      </c>
      <c r="O818" s="81" t="str">
        <f>IFERROR(VLOOKUP(N818,DATA!$K$4:$L$51,2,FALSE),"")</f>
        <v>Бараа борлуулсан, үйлчилгээ үзүүлсэний орлого</v>
      </c>
      <c r="P818" s="81"/>
      <c r="Q818" s="152">
        <f t="shared" si="70"/>
        <v>1</v>
      </c>
    </row>
    <row r="819" spans="2:17">
      <c r="B819" s="670">
        <f t="shared" si="71"/>
        <v>814</v>
      </c>
      <c r="C819" s="433">
        <v>42855</v>
      </c>
      <c r="D819" s="598" t="s">
        <v>1351</v>
      </c>
      <c r="E819" s="572">
        <v>704900</v>
      </c>
      <c r="F819" s="672" t="str">
        <f>IFERROR(VLOOKUP(E819,STAT1!$C$4:$D$1000,2,FALSE),"")</f>
        <v>Банкны үйлчилгээ</v>
      </c>
      <c r="G819" s="377">
        <v>2300</v>
      </c>
      <c r="H819" s="377">
        <v>0</v>
      </c>
      <c r="I819" s="596">
        <f t="shared" si="69"/>
        <v>0</v>
      </c>
      <c r="J819" s="81">
        <f t="shared" si="72"/>
        <v>0</v>
      </c>
      <c r="K819" s="81"/>
      <c r="L819" s="597">
        <v>2009</v>
      </c>
      <c r="M819" s="81" t="str">
        <f>+IFERROR(VLOOKUP(L819,DATA!$G$4:$H$2000,2,FALSE),"")</f>
        <v>ХААН БАНК</v>
      </c>
      <c r="N819" s="435"/>
      <c r="O819" s="81" t="str">
        <f>IFERROR(VLOOKUP(N819,DATA!$K$4:$L$51,2,FALSE),"")</f>
        <v/>
      </c>
      <c r="P819" s="81"/>
      <c r="Q819" s="152">
        <f t="shared" si="70"/>
        <v>0</v>
      </c>
    </row>
    <row r="820" spans="2:17">
      <c r="B820" s="670">
        <f t="shared" si="71"/>
        <v>815</v>
      </c>
      <c r="C820" s="433">
        <v>42855</v>
      </c>
      <c r="D820" s="598" t="s">
        <v>1351</v>
      </c>
      <c r="E820" s="572">
        <v>110100</v>
      </c>
      <c r="F820" s="672" t="str">
        <f>IFERROR(VLOOKUP(E820,STAT1!$C$4:$D$1000,2,FALSE),"")</f>
        <v>Хаан Банк 5024654020</v>
      </c>
      <c r="G820" s="377"/>
      <c r="H820" s="377">
        <v>2300</v>
      </c>
      <c r="I820" s="596">
        <f t="shared" si="69"/>
        <v>-2300</v>
      </c>
      <c r="J820" s="81">
        <f t="shared" si="72"/>
        <v>0</v>
      </c>
      <c r="K820" s="81"/>
      <c r="L820" s="597">
        <v>2009</v>
      </c>
      <c r="M820" s="81" t="str">
        <f>+IFERROR(VLOOKUP(L820,DATA!$G$4:$H$2000,2,FALSE),"")</f>
        <v>ХААН БАНК</v>
      </c>
      <c r="N820" s="435">
        <v>59</v>
      </c>
      <c r="O820" s="81" t="str">
        <f>IFERROR(VLOOKUP(N820,DATA!$K$4:$L$51,2,FALSE),"")</f>
        <v>Бусад мөнгөн зарлага</v>
      </c>
      <c r="P820" s="81"/>
      <c r="Q820" s="152">
        <f t="shared" si="70"/>
        <v>1</v>
      </c>
    </row>
    <row r="821" spans="2:17">
      <c r="B821" s="670">
        <f t="shared" si="71"/>
        <v>816</v>
      </c>
      <c r="C821" s="601">
        <v>42855</v>
      </c>
      <c r="D821" s="377" t="s">
        <v>2698</v>
      </c>
      <c r="E821" s="573">
        <v>150101</v>
      </c>
      <c r="F821" s="672" t="str">
        <f>IFERROR(VLOOKUP(E821,STAT1!$C$4:$D$1000,2,FALSE),"")</f>
        <v>Бараа бэлэн бүтээгдэхүүн БОЛОВСРУУЛАХ ЦЕХ /нарс/</v>
      </c>
      <c r="G821" s="377"/>
      <c r="H821" s="377">
        <v>157777.97104391642</v>
      </c>
      <c r="I821" s="596">
        <f t="shared" si="69"/>
        <v>0</v>
      </c>
      <c r="J821" s="81"/>
      <c r="K821" s="81"/>
      <c r="L821" s="597">
        <v>3048</v>
      </c>
      <c r="M821" s="81" t="str">
        <f>+IFERROR(VLOOKUP(L821,DATA!$G$4:$H$2000,2,FALSE),"")</f>
        <v xml:space="preserve">МАК ХХК </v>
      </c>
      <c r="N821" s="166"/>
      <c r="O821" s="81" t="str">
        <f>IFERROR(VLOOKUP(N821,DATA!$K$4:$L$51,2,FALSE),"")</f>
        <v/>
      </c>
      <c r="P821" s="81"/>
      <c r="Q821" s="152">
        <f t="shared" si="70"/>
        <v>0</v>
      </c>
    </row>
    <row r="822" spans="2:17">
      <c r="B822" s="670">
        <f t="shared" si="71"/>
        <v>817</v>
      </c>
      <c r="C822" s="601">
        <v>42855</v>
      </c>
      <c r="D822" s="377" t="s">
        <v>587</v>
      </c>
      <c r="E822" s="572">
        <v>610100</v>
      </c>
      <c r="F822" s="672" t="str">
        <f>IFERROR(VLOOKUP(E822,STAT1!$C$4:$D$1000,2,FALSE),"")</f>
        <v>Борлуулсан барааны өртөг</v>
      </c>
      <c r="G822" s="377">
        <v>157777.97104391642</v>
      </c>
      <c r="H822" s="597"/>
      <c r="I822" s="596">
        <f t="shared" si="69"/>
        <v>0</v>
      </c>
      <c r="J822" s="81"/>
      <c r="K822" s="81"/>
      <c r="L822" s="597">
        <v>3048</v>
      </c>
      <c r="M822" s="81" t="str">
        <f>+IFERROR(VLOOKUP(L822,DATA!$G$4:$H$2000,2,FALSE),"")</f>
        <v xml:space="preserve">МАК ХХК </v>
      </c>
      <c r="N822" s="166"/>
      <c r="O822" s="81" t="str">
        <f>IFERROR(VLOOKUP(N822,DATA!$K$4:$L$51,2,FALSE),"")</f>
        <v/>
      </c>
      <c r="P822" s="81"/>
      <c r="Q822" s="152">
        <f t="shared" si="70"/>
        <v>0</v>
      </c>
    </row>
    <row r="823" spans="2:17">
      <c r="B823" s="670">
        <f t="shared" si="71"/>
        <v>818</v>
      </c>
      <c r="C823" s="601">
        <v>42855</v>
      </c>
      <c r="D823" s="377" t="s">
        <v>587</v>
      </c>
      <c r="E823" s="572">
        <v>310500</v>
      </c>
      <c r="F823" s="672" t="str">
        <f>IFERROR(VLOOKUP(E823,STAT1!$C$4:$D$1000,2,FALSE),"")</f>
        <v>НӨАТ өглөг</v>
      </c>
      <c r="G823" s="597"/>
      <c r="H823" s="377">
        <v>27000</v>
      </c>
      <c r="I823" s="596">
        <f t="shared" si="69"/>
        <v>0</v>
      </c>
      <c r="J823" s="81"/>
      <c r="K823" s="81"/>
      <c r="L823" s="597">
        <v>3048</v>
      </c>
      <c r="M823" s="81" t="str">
        <f>+IFERROR(VLOOKUP(L823,DATA!$G$4:$H$2000,2,FALSE),"")</f>
        <v xml:space="preserve">МАК ХХК </v>
      </c>
      <c r="N823" s="166"/>
      <c r="O823" s="81" t="str">
        <f>IFERROR(VLOOKUP(N823,DATA!$K$4:$L$51,2,FALSE),"")</f>
        <v/>
      </c>
      <c r="P823" s="81"/>
      <c r="Q823" s="152">
        <f t="shared" si="70"/>
        <v>0</v>
      </c>
    </row>
    <row r="824" spans="2:17">
      <c r="B824" s="670">
        <f t="shared" si="71"/>
        <v>819</v>
      </c>
      <c r="C824" s="601">
        <v>42855</v>
      </c>
      <c r="D824" s="377" t="s">
        <v>587</v>
      </c>
      <c r="E824" s="572">
        <v>510000</v>
      </c>
      <c r="F824" s="672" t="str">
        <f>IFERROR(VLOOKUP(E824,STAT1!$C$4:$D$1000,2,FALSE),"")</f>
        <v>Үндсэн үйл ажиллагааны борлуулалт</v>
      </c>
      <c r="G824" s="597"/>
      <c r="H824" s="377">
        <v>270000</v>
      </c>
      <c r="I824" s="596">
        <f t="shared" si="69"/>
        <v>0</v>
      </c>
      <c r="J824" s="81"/>
      <c r="K824" s="81"/>
      <c r="L824" s="597">
        <v>3048</v>
      </c>
      <c r="M824" s="81" t="str">
        <f>+IFERROR(VLOOKUP(L824,DATA!$G$4:$H$2000,2,FALSE),"")</f>
        <v xml:space="preserve">МАК ХХК </v>
      </c>
      <c r="N824" s="166"/>
      <c r="O824" s="81" t="str">
        <f>IFERROR(VLOOKUP(N824,DATA!$K$4:$L$51,2,FALSE),"")</f>
        <v/>
      </c>
      <c r="P824" s="81"/>
      <c r="Q824" s="152">
        <f t="shared" si="70"/>
        <v>0</v>
      </c>
    </row>
    <row r="825" spans="2:17">
      <c r="B825" s="670">
        <f t="shared" si="71"/>
        <v>820</v>
      </c>
      <c r="C825" s="601">
        <v>42855</v>
      </c>
      <c r="D825" s="377" t="s">
        <v>587</v>
      </c>
      <c r="E825" s="572">
        <v>320100</v>
      </c>
      <c r="F825" s="672" t="str">
        <f>IFERROR(VLOOKUP(E825,STAT1!$C$4:$D$1000,2,FALSE),"")</f>
        <v>Урьдчилж орсон орлого MNT</v>
      </c>
      <c r="G825" s="377">
        <v>297000</v>
      </c>
      <c r="H825" s="597"/>
      <c r="I825" s="596">
        <f t="shared" si="69"/>
        <v>0</v>
      </c>
      <c r="J825" s="81"/>
      <c r="K825" s="81"/>
      <c r="L825" s="597">
        <v>3048</v>
      </c>
      <c r="M825" s="81" t="str">
        <f>+IFERROR(VLOOKUP(L825,DATA!$G$4:$H$2000,2,FALSE),"")</f>
        <v xml:space="preserve">МАК ХХК </v>
      </c>
      <c r="N825" s="166"/>
      <c r="O825" s="81" t="str">
        <f>IFERROR(VLOOKUP(N825,DATA!$K$4:$L$51,2,FALSE),"")</f>
        <v/>
      </c>
      <c r="P825" s="81"/>
      <c r="Q825" s="152">
        <f t="shared" si="70"/>
        <v>0</v>
      </c>
    </row>
    <row r="826" spans="2:17">
      <c r="B826" s="670">
        <f t="shared" si="71"/>
        <v>821</v>
      </c>
      <c r="C826" s="601">
        <v>42855</v>
      </c>
      <c r="D826" s="377" t="s">
        <v>2698</v>
      </c>
      <c r="E826" s="573">
        <v>150101</v>
      </c>
      <c r="F826" s="672" t="str">
        <f>IFERROR(VLOOKUP(E826,STAT1!$C$4:$D$1000,2,FALSE),"")</f>
        <v>Бараа бэлэн бүтээгдэхүүн БОЛОВСРУУЛАХ ЦЕХ /нарс/</v>
      </c>
      <c r="G826" s="597"/>
      <c r="H826" s="377">
        <v>1419437.6881163097</v>
      </c>
      <c r="I826" s="596">
        <f t="shared" si="69"/>
        <v>0</v>
      </c>
      <c r="J826" s="81"/>
      <c r="K826" s="81"/>
      <c r="L826" s="597">
        <v>3039</v>
      </c>
      <c r="M826" s="81" t="str">
        <f>+IFERROR(VLOOKUP(L826,DATA!$G$4:$H$2000,2,FALSE),"")</f>
        <v xml:space="preserve">САССИР ХХК </v>
      </c>
      <c r="N826" s="166"/>
      <c r="O826" s="81" t="str">
        <f>IFERROR(VLOOKUP(N826,DATA!$K$4:$L$51,2,FALSE),"")</f>
        <v/>
      </c>
      <c r="P826" s="81"/>
      <c r="Q826" s="152">
        <f t="shared" si="70"/>
        <v>0</v>
      </c>
    </row>
    <row r="827" spans="2:17">
      <c r="B827" s="670">
        <f t="shared" si="71"/>
        <v>822</v>
      </c>
      <c r="C827" s="601">
        <v>42855</v>
      </c>
      <c r="D827" s="377" t="s">
        <v>587</v>
      </c>
      <c r="E827" s="572">
        <v>610100</v>
      </c>
      <c r="F827" s="672" t="str">
        <f>IFERROR(VLOOKUP(E827,STAT1!$C$4:$D$1000,2,FALSE),"")</f>
        <v>Борлуулсан барааны өртөг</v>
      </c>
      <c r="G827" s="377">
        <v>1419437.6881163097</v>
      </c>
      <c r="H827" s="597"/>
      <c r="I827" s="596">
        <f t="shared" si="69"/>
        <v>0</v>
      </c>
      <c r="J827" s="81"/>
      <c r="K827" s="81"/>
      <c r="L827" s="597">
        <v>3039</v>
      </c>
      <c r="M827" s="81" t="str">
        <f>+IFERROR(VLOOKUP(L827,DATA!$G$4:$H$2000,2,FALSE),"")</f>
        <v xml:space="preserve">САССИР ХХК </v>
      </c>
      <c r="N827" s="166"/>
      <c r="O827" s="81" t="str">
        <f>IFERROR(VLOOKUP(N827,DATA!$K$4:$L$51,2,FALSE),"")</f>
        <v/>
      </c>
      <c r="P827" s="81"/>
      <c r="Q827" s="152">
        <f t="shared" si="70"/>
        <v>0</v>
      </c>
    </row>
    <row r="828" spans="2:17">
      <c r="B828" s="670">
        <f t="shared" si="71"/>
        <v>823</v>
      </c>
      <c r="C828" s="601">
        <v>42855</v>
      </c>
      <c r="D828" s="377" t="s">
        <v>587</v>
      </c>
      <c r="E828" s="572">
        <v>310500</v>
      </c>
      <c r="F828" s="672" t="str">
        <f>IFERROR(VLOOKUP(E828,STAT1!$C$4:$D$1000,2,FALSE),"")</f>
        <v>НӨАТ өглөг</v>
      </c>
      <c r="G828" s="597"/>
      <c r="H828" s="377">
        <v>242408.7270675</v>
      </c>
      <c r="I828" s="596">
        <f t="shared" si="69"/>
        <v>0</v>
      </c>
      <c r="J828" s="81"/>
      <c r="K828" s="81"/>
      <c r="L828" s="597">
        <v>3039</v>
      </c>
      <c r="M828" s="81" t="str">
        <f>+IFERROR(VLOOKUP(L828,DATA!$G$4:$H$2000,2,FALSE),"")</f>
        <v xml:space="preserve">САССИР ХХК </v>
      </c>
      <c r="N828" s="166"/>
      <c r="O828" s="81" t="str">
        <f>IFERROR(VLOOKUP(N828,DATA!$K$4:$L$51,2,FALSE),"")</f>
        <v/>
      </c>
      <c r="P828" s="81"/>
      <c r="Q828" s="152">
        <f t="shared" si="70"/>
        <v>0</v>
      </c>
    </row>
    <row r="829" spans="2:17">
      <c r="B829" s="670">
        <f t="shared" si="71"/>
        <v>824</v>
      </c>
      <c r="C829" s="601">
        <v>42855</v>
      </c>
      <c r="D829" s="377" t="s">
        <v>587</v>
      </c>
      <c r="E829" s="572">
        <v>510000</v>
      </c>
      <c r="F829" s="672" t="str">
        <f>IFERROR(VLOOKUP(E829,STAT1!$C$4:$D$1000,2,FALSE),"")</f>
        <v>Үндсэн үйл ажиллагааны борлуулалт</v>
      </c>
      <c r="G829" s="597"/>
      <c r="H829" s="377">
        <v>2424087.2706749998</v>
      </c>
      <c r="I829" s="596">
        <f t="shared" si="69"/>
        <v>0</v>
      </c>
      <c r="J829" s="81"/>
      <c r="K829" s="81"/>
      <c r="L829" s="597">
        <v>3039</v>
      </c>
      <c r="M829" s="81" t="str">
        <f>+IFERROR(VLOOKUP(L829,DATA!$G$4:$H$2000,2,FALSE),"")</f>
        <v xml:space="preserve">САССИР ХХК </v>
      </c>
      <c r="N829" s="166"/>
      <c r="O829" s="81" t="str">
        <f>IFERROR(VLOOKUP(N829,DATA!$K$4:$L$51,2,FALSE),"")</f>
        <v/>
      </c>
      <c r="P829" s="81"/>
      <c r="Q829" s="152">
        <f t="shared" si="70"/>
        <v>0</v>
      </c>
    </row>
    <row r="830" spans="2:17">
      <c r="B830" s="670">
        <f t="shared" si="71"/>
        <v>825</v>
      </c>
      <c r="C830" s="601">
        <v>42855</v>
      </c>
      <c r="D830" s="377" t="s">
        <v>587</v>
      </c>
      <c r="E830" s="572">
        <v>320100</v>
      </c>
      <c r="F830" s="672" t="str">
        <f>IFERROR(VLOOKUP(E830,STAT1!$C$4:$D$1000,2,FALSE),"")</f>
        <v>Урьдчилж орсон орлого MNT</v>
      </c>
      <c r="G830" s="377">
        <v>2666495.9977424997</v>
      </c>
      <c r="H830" s="597"/>
      <c r="I830" s="596">
        <f t="shared" si="69"/>
        <v>0</v>
      </c>
      <c r="J830" s="81"/>
      <c r="K830" s="81"/>
      <c r="L830" s="597">
        <v>3039</v>
      </c>
      <c r="M830" s="81" t="str">
        <f>+IFERROR(VLOOKUP(L830,DATA!$G$4:$H$2000,2,FALSE),"")</f>
        <v xml:space="preserve">САССИР ХХК </v>
      </c>
      <c r="N830" s="166"/>
      <c r="O830" s="81" t="str">
        <f>IFERROR(VLOOKUP(N830,DATA!$K$4:$L$51,2,FALSE),"")</f>
        <v/>
      </c>
      <c r="P830" s="81"/>
      <c r="Q830" s="152">
        <f t="shared" si="70"/>
        <v>0</v>
      </c>
    </row>
    <row r="831" spans="2:17">
      <c r="B831" s="670">
        <f t="shared" si="71"/>
        <v>826</v>
      </c>
      <c r="C831" s="601">
        <v>42855</v>
      </c>
      <c r="D831" s="377" t="s">
        <v>2698</v>
      </c>
      <c r="E831" s="573">
        <v>150101</v>
      </c>
      <c r="F831" s="672" t="str">
        <f>IFERROR(VLOOKUP(E831,STAT1!$C$4:$D$1000,2,FALSE),"")</f>
        <v>Бараа бэлэн бүтээгдэхүүн БОЛОВСРУУЛАХ ЦЕХ /нарс/</v>
      </c>
      <c r="G831" s="597"/>
      <c r="H831" s="377">
        <v>428524.96935527708</v>
      </c>
      <c r="I831" s="596">
        <f t="shared" si="69"/>
        <v>0</v>
      </c>
      <c r="J831" s="81"/>
      <c r="K831" s="81"/>
      <c r="L831" s="597">
        <v>4002</v>
      </c>
      <c r="M831" s="81" t="str">
        <f>+IFERROR(VLOOKUP(L831,DATA!$G$4:$H$2000,2,FALSE),"")</f>
        <v xml:space="preserve">Хувь хүн </v>
      </c>
      <c r="N831" s="166"/>
      <c r="O831" s="81" t="str">
        <f>IFERROR(VLOOKUP(N831,DATA!$K$4:$L$51,2,FALSE),"")</f>
        <v/>
      </c>
      <c r="P831" s="81"/>
      <c r="Q831" s="152">
        <f t="shared" si="70"/>
        <v>0</v>
      </c>
    </row>
    <row r="832" spans="2:17">
      <c r="B832" s="670">
        <f t="shared" si="71"/>
        <v>827</v>
      </c>
      <c r="C832" s="601">
        <v>42855</v>
      </c>
      <c r="D832" s="377" t="s">
        <v>587</v>
      </c>
      <c r="E832" s="572">
        <v>610100</v>
      </c>
      <c r="F832" s="672" t="str">
        <f>IFERROR(VLOOKUP(E832,STAT1!$C$4:$D$1000,2,FALSE),"")</f>
        <v>Борлуулсан барааны өртөг</v>
      </c>
      <c r="G832" s="377">
        <v>428524.96935527708</v>
      </c>
      <c r="H832" s="597"/>
      <c r="I832" s="596">
        <f t="shared" si="69"/>
        <v>0</v>
      </c>
      <c r="J832" s="81"/>
      <c r="K832" s="81"/>
      <c r="L832" s="597">
        <v>4002</v>
      </c>
      <c r="M832" s="81" t="str">
        <f>+IFERROR(VLOOKUP(L832,DATA!$G$4:$H$2000,2,FALSE),"")</f>
        <v xml:space="preserve">Хувь хүн </v>
      </c>
      <c r="N832" s="166"/>
      <c r="O832" s="81" t="str">
        <f>IFERROR(VLOOKUP(N832,DATA!$K$4:$L$51,2,FALSE),"")</f>
        <v/>
      </c>
      <c r="P832" s="81"/>
      <c r="Q832" s="152">
        <f t="shared" si="70"/>
        <v>0</v>
      </c>
    </row>
    <row r="833" spans="2:17">
      <c r="B833" s="670">
        <f t="shared" si="71"/>
        <v>828</v>
      </c>
      <c r="C833" s="601">
        <v>42855</v>
      </c>
      <c r="D833" s="377" t="s">
        <v>587</v>
      </c>
      <c r="E833" s="572">
        <v>310500</v>
      </c>
      <c r="F833" s="672" t="str">
        <f>IFERROR(VLOOKUP(E833,STAT1!$C$4:$D$1000,2,FALSE),"")</f>
        <v>НӨАТ өглөг</v>
      </c>
      <c r="G833" s="597"/>
      <c r="H833" s="377">
        <v>73332.727548499999</v>
      </c>
      <c r="I833" s="596">
        <f t="shared" si="69"/>
        <v>0</v>
      </c>
      <c r="J833" s="81"/>
      <c r="K833" s="81"/>
      <c r="L833" s="597">
        <v>4002</v>
      </c>
      <c r="M833" s="81" t="str">
        <f>+IFERROR(VLOOKUP(L833,DATA!$G$4:$H$2000,2,FALSE),"")</f>
        <v xml:space="preserve">Хувь хүн </v>
      </c>
      <c r="N833" s="166"/>
      <c r="O833" s="81" t="str">
        <f>IFERROR(VLOOKUP(N833,DATA!$K$4:$L$51,2,FALSE),"")</f>
        <v/>
      </c>
      <c r="P833" s="81"/>
      <c r="Q833" s="152">
        <f t="shared" si="70"/>
        <v>0</v>
      </c>
    </row>
    <row r="834" spans="2:17">
      <c r="B834" s="670">
        <f t="shared" si="71"/>
        <v>829</v>
      </c>
      <c r="C834" s="601">
        <v>42855</v>
      </c>
      <c r="D834" s="377" t="s">
        <v>587</v>
      </c>
      <c r="E834" s="572">
        <v>510000</v>
      </c>
      <c r="F834" s="672" t="str">
        <f>IFERROR(VLOOKUP(E834,STAT1!$C$4:$D$1000,2,FALSE),"")</f>
        <v>Үндсэн үйл ажиллагааны борлуулалт</v>
      </c>
      <c r="G834" s="597"/>
      <c r="H834" s="377">
        <v>733327.27548499999</v>
      </c>
      <c r="I834" s="596">
        <f t="shared" si="69"/>
        <v>0</v>
      </c>
      <c r="J834" s="81"/>
      <c r="K834" s="81"/>
      <c r="L834" s="597">
        <v>4002</v>
      </c>
      <c r="M834" s="81" t="str">
        <f>+IFERROR(VLOOKUP(L834,DATA!$G$4:$H$2000,2,FALSE),"")</f>
        <v xml:space="preserve">Хувь хүн </v>
      </c>
      <c r="N834" s="166"/>
      <c r="O834" s="81" t="str">
        <f>IFERROR(VLOOKUP(N834,DATA!$K$4:$L$51,2,FALSE),"")</f>
        <v/>
      </c>
      <c r="P834" s="81"/>
      <c r="Q834" s="152">
        <f t="shared" si="70"/>
        <v>0</v>
      </c>
    </row>
    <row r="835" spans="2:17">
      <c r="B835" s="670">
        <f t="shared" si="71"/>
        <v>830</v>
      </c>
      <c r="C835" s="601">
        <v>42855</v>
      </c>
      <c r="D835" s="377" t="s">
        <v>587</v>
      </c>
      <c r="E835" s="572">
        <v>320100</v>
      </c>
      <c r="F835" s="672" t="str">
        <f>IFERROR(VLOOKUP(E835,STAT1!$C$4:$D$1000,2,FALSE),"")</f>
        <v>Урьдчилж орсон орлого MNT</v>
      </c>
      <c r="G835" s="377">
        <v>806660.00303349993</v>
      </c>
      <c r="H835" s="597"/>
      <c r="I835" s="596">
        <f t="shared" si="69"/>
        <v>0</v>
      </c>
      <c r="J835" s="81"/>
      <c r="K835" s="81"/>
      <c r="L835" s="597">
        <v>4002</v>
      </c>
      <c r="M835" s="81" t="str">
        <f>+IFERROR(VLOOKUP(L835,DATA!$G$4:$H$2000,2,FALSE),"")</f>
        <v xml:space="preserve">Хувь хүн </v>
      </c>
      <c r="N835" s="166"/>
      <c r="O835" s="81" t="str">
        <f>IFERROR(VLOOKUP(N835,DATA!$K$4:$L$51,2,FALSE),"")</f>
        <v/>
      </c>
      <c r="P835" s="81"/>
      <c r="Q835" s="152">
        <f t="shared" si="70"/>
        <v>0</v>
      </c>
    </row>
    <row r="836" spans="2:17">
      <c r="B836" s="670">
        <f t="shared" si="71"/>
        <v>831</v>
      </c>
      <c r="C836" s="433">
        <v>42855</v>
      </c>
      <c r="D836" s="597" t="s">
        <v>1579</v>
      </c>
      <c r="E836" s="572">
        <v>310800</v>
      </c>
      <c r="F836" s="672" t="str">
        <f>IFERROR(VLOOKUP(E836,STAT1!$C$4:$D$8000,2,FALSE),"")</f>
        <v>НД-ын байгууллагад өгөх өглөг</v>
      </c>
      <c r="G836" s="377"/>
      <c r="H836" s="679">
        <v>1276476</v>
      </c>
      <c r="I836" s="596">
        <f t="shared" si="69"/>
        <v>0</v>
      </c>
      <c r="J836" s="81"/>
      <c r="K836" s="81"/>
      <c r="L836" s="597">
        <v>1004</v>
      </c>
      <c r="M836" s="81" t="str">
        <f>+IFERROR(VLOOKUP(L836,DATA!$G$4:$H$2000,2,FALSE),"")</f>
        <v xml:space="preserve">Түмэндэлгэр </v>
      </c>
      <c r="N836" s="166"/>
      <c r="O836" s="81" t="str">
        <f>IFERROR(VLOOKUP(N836,DATA!$K$4:$L$51,2,FALSE),"")</f>
        <v/>
      </c>
      <c r="P836" s="81"/>
      <c r="Q836" s="152">
        <f t="shared" si="70"/>
        <v>0</v>
      </c>
    </row>
    <row r="837" spans="2:17">
      <c r="B837" s="670">
        <f t="shared" si="71"/>
        <v>832</v>
      </c>
      <c r="C837" s="433">
        <v>42855</v>
      </c>
      <c r="D837" s="597" t="s">
        <v>1579</v>
      </c>
      <c r="E837" s="572">
        <v>700200</v>
      </c>
      <c r="F837" s="672" t="str">
        <f>IFERROR(VLOOKUP(E837,STAT1!$C$4:$D$8000,2,FALSE),"")</f>
        <v>НДШимтгэл</v>
      </c>
      <c r="G837" s="679">
        <v>1276476</v>
      </c>
      <c r="H837" s="679"/>
      <c r="I837" s="596">
        <f t="shared" si="69"/>
        <v>0</v>
      </c>
      <c r="J837" s="81"/>
      <c r="K837" s="81"/>
      <c r="L837" s="597">
        <v>1004</v>
      </c>
      <c r="M837" s="81" t="str">
        <f>+IFERROR(VLOOKUP(L837,DATA!$G$4:$H$2000,2,FALSE),"")</f>
        <v xml:space="preserve">Түмэндэлгэр </v>
      </c>
      <c r="N837" s="166"/>
      <c r="O837" s="81" t="str">
        <f>IFERROR(VLOOKUP(N837,DATA!$K$4:$L$51,2,FALSE),"")</f>
        <v/>
      </c>
      <c r="P837" s="81"/>
      <c r="Q837" s="152">
        <f t="shared" si="70"/>
        <v>0</v>
      </c>
    </row>
    <row r="838" spans="2:17">
      <c r="B838" s="670">
        <f t="shared" si="71"/>
        <v>833</v>
      </c>
      <c r="C838" s="433">
        <v>42855</v>
      </c>
      <c r="D838" s="597" t="s">
        <v>1580</v>
      </c>
      <c r="E838" s="572">
        <v>310800</v>
      </c>
      <c r="F838" s="672" t="str">
        <f>IFERROR(VLOOKUP(E838,STAT1!$C$4:$D$8000,2,FALSE),"")</f>
        <v>НД-ын байгууллагад өгөх өглөг</v>
      </c>
      <c r="G838" s="377"/>
      <c r="H838" s="679">
        <v>1046105.4166666666</v>
      </c>
      <c r="I838" s="596">
        <f t="shared" ref="I838:I901" si="73">+IF(OR(E838=100100,E838=100200,E838=110100,E838=110102,E838=110103,E838=110104,E838=110105,E838=110200,E838=110201,E838=110202,E838=110203,E838=110204,E838=110300),G838,0)+IF(OR(E838=100100,E838=100200,E838=110100,E838=110102,E838=110103,E838=110104,E838=110105,E838=110200,E838=110201,E838=110202,E838=110203,E838=110204,E838=110300),H838*-1,0)</f>
        <v>0</v>
      </c>
      <c r="J838" s="81"/>
      <c r="K838" s="81"/>
      <c r="L838" s="597">
        <v>1004</v>
      </c>
      <c r="M838" s="81" t="str">
        <f>+IFERROR(VLOOKUP(L838,DATA!$G$4:$H$2000,2,FALSE),"")</f>
        <v xml:space="preserve">Түмэндэлгэр </v>
      </c>
      <c r="N838" s="166"/>
      <c r="O838" s="81" t="str">
        <f>IFERROR(VLOOKUP(N838,DATA!$K$4:$L$51,2,FALSE),"")</f>
        <v/>
      </c>
      <c r="P838" s="81"/>
      <c r="Q838" s="152">
        <f t="shared" si="70"/>
        <v>0</v>
      </c>
    </row>
    <row r="839" spans="2:17">
      <c r="B839" s="670">
        <f t="shared" si="71"/>
        <v>834</v>
      </c>
      <c r="C839" s="433">
        <v>42855</v>
      </c>
      <c r="D839" s="597" t="s">
        <v>1580</v>
      </c>
      <c r="E839" s="572">
        <v>700100</v>
      </c>
      <c r="F839" s="672" t="str">
        <f>IFERROR(VLOOKUP(E839,STAT1!$C$4:$D$8000,2,FALSE),"")</f>
        <v>Цалин хөлс, шагнал</v>
      </c>
      <c r="G839" s="679">
        <v>1046105.4166666666</v>
      </c>
      <c r="H839" s="679"/>
      <c r="I839" s="596">
        <f t="shared" si="73"/>
        <v>0</v>
      </c>
      <c r="J839" s="81"/>
      <c r="K839" s="81"/>
      <c r="L839" s="597">
        <v>1004</v>
      </c>
      <c r="M839" s="81" t="str">
        <f>+IFERROR(VLOOKUP(L839,DATA!$G$4:$H$2000,2,FALSE),"")</f>
        <v xml:space="preserve">Түмэндэлгэр </v>
      </c>
      <c r="N839" s="166"/>
      <c r="O839" s="81" t="str">
        <f>IFERROR(VLOOKUP(N839,DATA!$K$4:$L$51,2,FALSE),"")</f>
        <v/>
      </c>
      <c r="P839" s="81"/>
      <c r="Q839" s="152">
        <f t="shared" ref="Q839:Q902" si="74">+IF(I839,1,0)</f>
        <v>0</v>
      </c>
    </row>
    <row r="840" spans="2:17">
      <c r="B840" s="670">
        <f t="shared" si="71"/>
        <v>835</v>
      </c>
      <c r="C840" s="433">
        <v>42855</v>
      </c>
      <c r="D840" s="597" t="s">
        <v>1581</v>
      </c>
      <c r="E840" s="572">
        <v>310700</v>
      </c>
      <c r="F840" s="672" t="str">
        <f>IFERROR(VLOOKUP(E840,STAT1!$C$4:$D$8000,2,FALSE),"")</f>
        <v>ХАОАТ өглөг</v>
      </c>
      <c r="G840" s="377"/>
      <c r="H840" s="679">
        <v>823098.625</v>
      </c>
      <c r="I840" s="596">
        <f t="shared" si="73"/>
        <v>0</v>
      </c>
      <c r="J840" s="81"/>
      <c r="K840" s="81"/>
      <c r="L840" s="597">
        <v>1004</v>
      </c>
      <c r="M840" s="81" t="str">
        <f>+IFERROR(VLOOKUP(L840,DATA!$G$4:$H$2000,2,FALSE),"")</f>
        <v xml:space="preserve">Түмэндэлгэр </v>
      </c>
      <c r="N840" s="166"/>
      <c r="O840" s="81" t="str">
        <f>IFERROR(VLOOKUP(N840,DATA!$K$4:$L$51,2,FALSE),"")</f>
        <v/>
      </c>
      <c r="P840" s="81"/>
      <c r="Q840" s="152">
        <f t="shared" si="74"/>
        <v>0</v>
      </c>
    </row>
    <row r="841" spans="2:17">
      <c r="B841" s="670">
        <f t="shared" si="71"/>
        <v>836</v>
      </c>
      <c r="C841" s="433">
        <v>42855</v>
      </c>
      <c r="D841" s="597" t="s">
        <v>1581</v>
      </c>
      <c r="E841" s="572">
        <v>700100</v>
      </c>
      <c r="F841" s="672" t="str">
        <f>IFERROR(VLOOKUP(E841,STAT1!$C$4:$D$8000,2,FALSE),"")</f>
        <v>Цалин хөлс, шагнал</v>
      </c>
      <c r="G841" s="679">
        <v>823098.625</v>
      </c>
      <c r="H841" s="377"/>
      <c r="I841" s="596">
        <f t="shared" si="73"/>
        <v>0</v>
      </c>
      <c r="J841" s="81"/>
      <c r="K841" s="81"/>
      <c r="L841" s="597">
        <v>1004</v>
      </c>
      <c r="M841" s="81" t="str">
        <f>+IFERROR(VLOOKUP(L841,DATA!$G$4:$H$2000,2,FALSE),"")</f>
        <v xml:space="preserve">Түмэндэлгэр </v>
      </c>
      <c r="N841" s="166"/>
      <c r="O841" s="81" t="str">
        <f>IFERROR(VLOOKUP(N841,DATA!$K$4:$L$51,2,FALSE),"")</f>
        <v/>
      </c>
      <c r="P841" s="81"/>
      <c r="Q841" s="152">
        <f t="shared" si="74"/>
        <v>0</v>
      </c>
    </row>
    <row r="842" spans="2:17">
      <c r="B842" s="670">
        <f t="shared" si="71"/>
        <v>837</v>
      </c>
      <c r="C842" s="433">
        <v>42855</v>
      </c>
      <c r="D842" s="597" t="s">
        <v>1582</v>
      </c>
      <c r="E842" s="572">
        <v>311000</v>
      </c>
      <c r="F842" s="672" t="str">
        <f>IFERROR(VLOOKUP(E842,STAT1!$C$4:$D$8000,2,FALSE),"")</f>
        <v>Цалингийн өглөг</v>
      </c>
      <c r="G842" s="377"/>
      <c r="H842" s="679">
        <v>8667887.625</v>
      </c>
      <c r="I842" s="596">
        <f t="shared" si="73"/>
        <v>0</v>
      </c>
      <c r="J842" s="81"/>
      <c r="K842" s="81"/>
      <c r="L842" s="597">
        <v>1004</v>
      </c>
      <c r="M842" s="81" t="str">
        <f>+IFERROR(VLOOKUP(L842,DATA!$G$4:$H$2000,2,FALSE),"")</f>
        <v xml:space="preserve">Түмэндэлгэр </v>
      </c>
      <c r="N842" s="166"/>
      <c r="O842" s="81" t="str">
        <f>IFERROR(VLOOKUP(N842,DATA!$K$4:$L$51,2,FALSE),"")</f>
        <v/>
      </c>
      <c r="P842" s="81"/>
      <c r="Q842" s="152">
        <f t="shared" si="74"/>
        <v>0</v>
      </c>
    </row>
    <row r="843" spans="2:17">
      <c r="B843" s="670">
        <f t="shared" ref="B843:B906" si="75">+IF(C843="","",ROW()-5)</f>
        <v>838</v>
      </c>
      <c r="C843" s="433">
        <v>42855</v>
      </c>
      <c r="D843" s="597" t="s">
        <v>1582</v>
      </c>
      <c r="E843" s="572">
        <v>700100</v>
      </c>
      <c r="F843" s="672" t="str">
        <f>IFERROR(VLOOKUP(E843,STAT1!$C$4:$D$8000,2,FALSE),"")</f>
        <v>Цалин хөлс, шагнал</v>
      </c>
      <c r="G843" s="679">
        <v>8667887.625</v>
      </c>
      <c r="H843" s="377"/>
      <c r="I843" s="596">
        <f t="shared" si="73"/>
        <v>0</v>
      </c>
      <c r="J843" s="81"/>
      <c r="K843" s="81"/>
      <c r="L843" s="597">
        <v>1004</v>
      </c>
      <c r="M843" s="81" t="str">
        <f>+IFERROR(VLOOKUP(L843,DATA!$G$4:$H$2000,2,FALSE),"")</f>
        <v xml:space="preserve">Түмэндэлгэр </v>
      </c>
      <c r="N843" s="166"/>
      <c r="O843" s="81" t="str">
        <f>IFERROR(VLOOKUP(N843,DATA!$K$4:$L$51,2,FALSE),"")</f>
        <v/>
      </c>
      <c r="P843" s="81"/>
      <c r="Q843" s="152">
        <f t="shared" si="74"/>
        <v>0</v>
      </c>
    </row>
    <row r="844" spans="2:17">
      <c r="B844" s="670">
        <f t="shared" si="75"/>
        <v>839</v>
      </c>
      <c r="C844" s="433">
        <v>42856</v>
      </c>
      <c r="D844" s="377" t="s">
        <v>1721</v>
      </c>
      <c r="E844" s="572">
        <v>100100</v>
      </c>
      <c r="F844" s="672" t="str">
        <f>IFERROR(VLOOKUP(E844,STAT1!$C$4:$D$1000,2,FALSE),"")</f>
        <v>Касс мөнгө MNT</v>
      </c>
      <c r="G844" s="377"/>
      <c r="H844" s="377">
        <v>2719383</v>
      </c>
      <c r="I844" s="596">
        <f t="shared" si="73"/>
        <v>-2719383</v>
      </c>
      <c r="J844" s="81">
        <f>+IF(E844=110102,I844/K844,0)</f>
        <v>0</v>
      </c>
      <c r="K844" s="81"/>
      <c r="L844" s="597">
        <v>2013</v>
      </c>
      <c r="M844" s="81" t="str">
        <f>+IFERROR(VLOOKUP(L844,DATA!$G$4:$H$2000,2,FALSE),"")</f>
        <v>УБДС ТӨХК</v>
      </c>
      <c r="N844" s="435">
        <v>54</v>
      </c>
      <c r="O844" s="81" t="str">
        <f>IFERROR(VLOOKUP(N844,DATA!$K$4:$L$51,2,FALSE),"")</f>
        <v>Ашиглалтын зардалд төлсөн</v>
      </c>
      <c r="P844" s="81"/>
      <c r="Q844" s="152">
        <f t="shared" si="74"/>
        <v>1</v>
      </c>
    </row>
    <row r="845" spans="2:17">
      <c r="B845" s="670">
        <f t="shared" si="75"/>
        <v>840</v>
      </c>
      <c r="C845" s="433">
        <v>42856</v>
      </c>
      <c r="D845" s="377" t="s">
        <v>1721</v>
      </c>
      <c r="E845" s="572">
        <v>120600</v>
      </c>
      <c r="F845" s="672" t="str">
        <f>IFERROR(VLOOKUP(E845,STAT1!$C$4:$D$1000,2,FALSE),"")</f>
        <v>НӨАТ авлага</v>
      </c>
      <c r="G845" s="377">
        <v>247216.5</v>
      </c>
      <c r="H845" s="377"/>
      <c r="I845" s="596">
        <f t="shared" si="73"/>
        <v>0</v>
      </c>
      <c r="J845" s="81">
        <f>+IF(E845=110102,I845/K845,0)</f>
        <v>0</v>
      </c>
      <c r="K845" s="81"/>
      <c r="L845" s="597">
        <v>2013</v>
      </c>
      <c r="M845" s="81" t="str">
        <f>+IFERROR(VLOOKUP(L845,DATA!$G$4:$H$2000,2,FALSE),"")</f>
        <v>УБДС ТӨХК</v>
      </c>
      <c r="N845" s="435"/>
      <c r="O845" s="81" t="str">
        <f>IFERROR(VLOOKUP(N845,DATA!$K$4:$L$51,2,FALSE),"")</f>
        <v/>
      </c>
      <c r="P845" s="81"/>
      <c r="Q845" s="152">
        <f t="shared" si="74"/>
        <v>0</v>
      </c>
    </row>
    <row r="846" spans="2:17">
      <c r="B846" s="670">
        <f t="shared" si="75"/>
        <v>841</v>
      </c>
      <c r="C846" s="433">
        <v>42856</v>
      </c>
      <c r="D846" s="377" t="s">
        <v>1721</v>
      </c>
      <c r="E846" s="572">
        <v>700800</v>
      </c>
      <c r="F846" s="672" t="str">
        <f>IFERROR(VLOOKUP(E846,STAT1!$C$4:$D$1000,2,FALSE),"")</f>
        <v>Дулаан</v>
      </c>
      <c r="G846" s="377">
        <v>2472166.5</v>
      </c>
      <c r="H846" s="377">
        <v>0</v>
      </c>
      <c r="I846" s="596">
        <f t="shared" si="73"/>
        <v>0</v>
      </c>
      <c r="J846" s="81">
        <f>+IF(E846=110102,I846/K846,0)</f>
        <v>0</v>
      </c>
      <c r="K846" s="81"/>
      <c r="L846" s="597">
        <v>2013</v>
      </c>
      <c r="M846" s="81" t="str">
        <f>+IFERROR(VLOOKUP(L846,DATA!$G$4:$H$2000,2,FALSE),"")</f>
        <v>УБДС ТӨХК</v>
      </c>
      <c r="N846" s="435"/>
      <c r="O846" s="81" t="str">
        <f>IFERROR(VLOOKUP(N846,DATA!$K$4:$L$51,2,FALSE),"")</f>
        <v/>
      </c>
      <c r="P846" s="81"/>
      <c r="Q846" s="152">
        <f t="shared" si="74"/>
        <v>0</v>
      </c>
    </row>
    <row r="847" spans="2:17">
      <c r="B847" s="670">
        <f t="shared" si="75"/>
        <v>842</v>
      </c>
      <c r="C847" s="433">
        <v>42857</v>
      </c>
      <c r="D847" s="377" t="s">
        <v>1355</v>
      </c>
      <c r="E847" s="572">
        <v>100100</v>
      </c>
      <c r="F847" s="672" t="str">
        <f>IFERROR(VLOOKUP(E847,STAT1!$C$4:$D$1000,2,FALSE),"")</f>
        <v>Касс мөнгө MNT</v>
      </c>
      <c r="G847" s="377"/>
      <c r="H847" s="377">
        <v>20000</v>
      </c>
      <c r="I847" s="596">
        <f t="shared" si="73"/>
        <v>-20000</v>
      </c>
      <c r="J847" s="81">
        <f>+IF(E847=110102,I847/K847,0)</f>
        <v>0</v>
      </c>
      <c r="K847" s="81"/>
      <c r="L847" s="597">
        <v>1005</v>
      </c>
      <c r="M847" s="81" t="str">
        <f>+IFERROR(VLOOKUP(L847,DATA!$G$4:$H$2000,2,FALSE),"")</f>
        <v>Золжаргал</v>
      </c>
      <c r="N847" s="435">
        <v>55</v>
      </c>
      <c r="O847" s="81" t="str">
        <f>IFERROR(VLOOKUP(N847,DATA!$K$4:$L$51,2,FALSE),"")</f>
        <v>Түлш, шатахуун, тээврийн хөлс, сэлбэг хэрэгсэлд төлсөн</v>
      </c>
      <c r="P847" s="81"/>
      <c r="Q847" s="152">
        <f t="shared" si="74"/>
        <v>1</v>
      </c>
    </row>
    <row r="848" spans="2:17">
      <c r="B848" s="670">
        <f t="shared" si="75"/>
        <v>843</v>
      </c>
      <c r="C848" s="433">
        <v>42857</v>
      </c>
      <c r="D848" s="377" t="s">
        <v>1355</v>
      </c>
      <c r="E848" s="572">
        <v>702000</v>
      </c>
      <c r="F848" s="672" t="str">
        <f>IFERROR(VLOOKUP(E848,STAT1!$C$4:$D$1000,2,FALSE),"")</f>
        <v>Түлш, шатахуун</v>
      </c>
      <c r="G848" s="377">
        <v>20000</v>
      </c>
      <c r="H848" s="377"/>
      <c r="I848" s="596">
        <f t="shared" si="73"/>
        <v>0</v>
      </c>
      <c r="J848" s="81"/>
      <c r="K848" s="81"/>
      <c r="L848" s="597">
        <v>1005</v>
      </c>
      <c r="M848" s="81" t="str">
        <f>+IFERROR(VLOOKUP(L848,DATA!$G$4:$H$2000,2,FALSE),"")</f>
        <v>Золжаргал</v>
      </c>
      <c r="N848" s="435"/>
      <c r="O848" s="81"/>
      <c r="P848" s="81"/>
      <c r="Q848" s="152">
        <f t="shared" si="74"/>
        <v>0</v>
      </c>
    </row>
    <row r="849" spans="2:17">
      <c r="B849" s="670">
        <f t="shared" si="75"/>
        <v>844</v>
      </c>
      <c r="C849" s="433">
        <v>42857</v>
      </c>
      <c r="D849" s="377" t="s">
        <v>1726</v>
      </c>
      <c r="E849" s="572">
        <v>100100</v>
      </c>
      <c r="F849" s="672" t="str">
        <f>IFERROR(VLOOKUP(E849,STAT1!$C$4:$D$1000,2,FALSE),"")</f>
        <v>Касс мөнгө MNT</v>
      </c>
      <c r="G849" s="377"/>
      <c r="H849" s="377">
        <v>125321</v>
      </c>
      <c r="I849" s="596">
        <f t="shared" si="73"/>
        <v>-125321</v>
      </c>
      <c r="J849" s="81">
        <f>+IF(E849=110102,I849/K849,0)</f>
        <v>0</v>
      </c>
      <c r="K849" s="81"/>
      <c r="L849" s="597">
        <v>1005</v>
      </c>
      <c r="M849" s="81" t="str">
        <f>+IFERROR(VLOOKUP(L849,DATA!$G$4:$H$2000,2,FALSE),"")</f>
        <v>Золжаргал</v>
      </c>
      <c r="N849" s="435">
        <v>53</v>
      </c>
      <c r="O849" s="81" t="str">
        <f>IFERROR(VLOOKUP(N849,DATA!$K$4:$L$51,2,FALSE),"")</f>
        <v>Бараа материал худалдан авахад төлсөн</v>
      </c>
      <c r="P849" s="81"/>
      <c r="Q849" s="152">
        <f t="shared" si="74"/>
        <v>1</v>
      </c>
    </row>
    <row r="850" spans="2:17">
      <c r="B850" s="670">
        <f t="shared" si="75"/>
        <v>845</v>
      </c>
      <c r="C850" s="433">
        <v>42857</v>
      </c>
      <c r="D850" s="377" t="s">
        <v>1726</v>
      </c>
      <c r="E850" s="572">
        <v>120600</v>
      </c>
      <c r="F850" s="672" t="str">
        <f>IFERROR(VLOOKUP(E850,STAT1!$C$4:$D$1000,2,FALSE),"")</f>
        <v>НӨАТ авлага</v>
      </c>
      <c r="G850" s="377">
        <v>5728.91</v>
      </c>
      <c r="H850" s="377"/>
      <c r="I850" s="596">
        <f t="shared" si="73"/>
        <v>0</v>
      </c>
      <c r="J850" s="81">
        <f>+IF(E850=110102,I850/K850,0)</f>
        <v>0</v>
      </c>
      <c r="K850" s="81"/>
      <c r="L850" s="597">
        <v>1005</v>
      </c>
      <c r="M850" s="81" t="str">
        <f>+IFERROR(VLOOKUP(L850,DATA!$G$4:$H$2000,2,FALSE),"")</f>
        <v>Золжаргал</v>
      </c>
      <c r="N850" s="435"/>
      <c r="O850" s="81" t="str">
        <f>IFERROR(VLOOKUP(N850,DATA!$K$4:$L$51,2,FALSE),"")</f>
        <v/>
      </c>
      <c r="P850" s="81"/>
      <c r="Q850" s="152">
        <f t="shared" si="74"/>
        <v>0</v>
      </c>
    </row>
    <row r="851" spans="2:17">
      <c r="B851" s="670">
        <f t="shared" si="75"/>
        <v>846</v>
      </c>
      <c r="C851" s="433">
        <v>42857</v>
      </c>
      <c r="D851" s="377" t="s">
        <v>1726</v>
      </c>
      <c r="E851" s="572">
        <v>704700</v>
      </c>
      <c r="F851" s="672" t="str">
        <f>IFERROR(VLOOKUP(E851,STAT1!$C$4:$D$1000,2,FALSE),"")</f>
        <v>Цэвэрлэгээ</v>
      </c>
      <c r="G851" s="377">
        <v>119592.09</v>
      </c>
      <c r="H851" s="377">
        <v>0</v>
      </c>
      <c r="I851" s="596">
        <f t="shared" si="73"/>
        <v>0</v>
      </c>
      <c r="J851" s="81">
        <f>+IF(E851=110102,I851/K851,0)</f>
        <v>0</v>
      </c>
      <c r="K851" s="81"/>
      <c r="L851" s="597">
        <v>1005</v>
      </c>
      <c r="M851" s="81" t="str">
        <f>+IFERROR(VLOOKUP(L851,DATA!$G$4:$H$2000,2,FALSE),"")</f>
        <v>Золжаргал</v>
      </c>
      <c r="N851" s="435"/>
      <c r="O851" s="81" t="str">
        <f>IFERROR(VLOOKUP(N851,DATA!$K$4:$L$51,2,FALSE),"")</f>
        <v/>
      </c>
      <c r="P851" s="81"/>
      <c r="Q851" s="152">
        <f t="shared" si="74"/>
        <v>0</v>
      </c>
    </row>
    <row r="852" spans="2:17">
      <c r="B852" s="670">
        <f t="shared" si="75"/>
        <v>847</v>
      </c>
      <c r="C852" s="433">
        <v>42857</v>
      </c>
      <c r="D852" s="377" t="s">
        <v>1355</v>
      </c>
      <c r="E852" s="572">
        <v>702000</v>
      </c>
      <c r="F852" s="672" t="str">
        <f>IFERROR(VLOOKUP(E852,STAT1!$C$4:$D$1000,2,FALSE),"")</f>
        <v>Түлш, шатахуун</v>
      </c>
      <c r="G852" s="377">
        <v>20000</v>
      </c>
      <c r="H852" s="377"/>
      <c r="I852" s="596">
        <f t="shared" si="73"/>
        <v>0</v>
      </c>
      <c r="J852" s="81"/>
      <c r="K852" s="81"/>
      <c r="L852" s="597">
        <v>1005</v>
      </c>
      <c r="M852" s="81" t="str">
        <f>+IFERROR(VLOOKUP(L852,DATA!$G$4:$H$2000,2,FALSE),"")</f>
        <v>Золжаргал</v>
      </c>
      <c r="N852" s="435"/>
      <c r="O852" s="81" t="str">
        <f>IFERROR(VLOOKUP(N852,DATA!$K$4:$L$51,2,FALSE),"")</f>
        <v/>
      </c>
      <c r="P852" s="81"/>
      <c r="Q852" s="152">
        <f t="shared" si="74"/>
        <v>0</v>
      </c>
    </row>
    <row r="853" spans="2:17">
      <c r="B853" s="670">
        <f t="shared" si="75"/>
        <v>848</v>
      </c>
      <c r="C853" s="433">
        <v>42858</v>
      </c>
      <c r="D853" s="377" t="s">
        <v>1355</v>
      </c>
      <c r="E853" s="572">
        <v>100100</v>
      </c>
      <c r="F853" s="672" t="str">
        <f>IFERROR(VLOOKUP(E853,STAT1!$C$4:$D$1000,2,FALSE),"")</f>
        <v>Касс мөнгө MNT</v>
      </c>
      <c r="G853" s="377"/>
      <c r="H853" s="377">
        <v>20000</v>
      </c>
      <c r="I853" s="596">
        <f t="shared" si="73"/>
        <v>-20000</v>
      </c>
      <c r="J853" s="81">
        <f>+IF(E853=110102,I853/K853,0)</f>
        <v>0</v>
      </c>
      <c r="K853" s="81"/>
      <c r="L853" s="597">
        <v>1005</v>
      </c>
      <c r="M853" s="81" t="str">
        <f>+IFERROR(VLOOKUP(L853,DATA!$G$4:$H$2000,2,FALSE),"")</f>
        <v>Золжаргал</v>
      </c>
      <c r="N853" s="435">
        <v>55</v>
      </c>
      <c r="O853" s="81" t="str">
        <f>IFERROR(VLOOKUP(N853,DATA!$K$4:$L$51,2,FALSE),"")</f>
        <v>Түлш, шатахуун, тээврийн хөлс, сэлбэг хэрэгсэлд төлсөн</v>
      </c>
      <c r="P853" s="81"/>
      <c r="Q853" s="152">
        <f t="shared" si="74"/>
        <v>1</v>
      </c>
    </row>
    <row r="854" spans="2:17">
      <c r="B854" s="670">
        <f t="shared" si="75"/>
        <v>849</v>
      </c>
      <c r="C854" s="433">
        <v>42858</v>
      </c>
      <c r="D854" s="377" t="s">
        <v>1698</v>
      </c>
      <c r="E854" s="572">
        <v>100100</v>
      </c>
      <c r="F854" s="672" t="str">
        <f>IFERROR(VLOOKUP(E854,STAT1!$C$4:$D$1000,2,FALSE),"")</f>
        <v>Касс мөнгө MNT</v>
      </c>
      <c r="G854" s="377"/>
      <c r="H854" s="377">
        <v>144760</v>
      </c>
      <c r="I854" s="596">
        <f t="shared" si="73"/>
        <v>-144760</v>
      </c>
      <c r="J854" s="81">
        <f>+IF(E854=110102,I854/K854,0)</f>
        <v>0</v>
      </c>
      <c r="K854" s="81"/>
      <c r="L854" s="597">
        <v>1005</v>
      </c>
      <c r="M854" s="81" t="str">
        <f>+IFERROR(VLOOKUP(L854,DATA!$G$4:$H$2000,2,FALSE),"")</f>
        <v>Золжаргал</v>
      </c>
      <c r="N854" s="435">
        <v>53</v>
      </c>
      <c r="O854" s="81" t="str">
        <f>IFERROR(VLOOKUP(N854,DATA!$K$4:$L$51,2,FALSE),"")</f>
        <v>Бараа материал худалдан авахад төлсөн</v>
      </c>
      <c r="P854" s="81"/>
      <c r="Q854" s="152">
        <f t="shared" si="74"/>
        <v>1</v>
      </c>
    </row>
    <row r="855" spans="2:17">
      <c r="B855" s="670">
        <f t="shared" si="75"/>
        <v>850</v>
      </c>
      <c r="C855" s="433">
        <v>42858</v>
      </c>
      <c r="D855" s="377" t="s">
        <v>1698</v>
      </c>
      <c r="E855" s="572">
        <v>120600</v>
      </c>
      <c r="F855" s="672" t="str">
        <f>IFERROR(VLOOKUP(E855,STAT1!$C$4:$D$1000,2,FALSE),"")</f>
        <v>НӨАТ авлага</v>
      </c>
      <c r="G855" s="377">
        <v>9445.4500000000007</v>
      </c>
      <c r="H855" s="377"/>
      <c r="I855" s="596">
        <f t="shared" si="73"/>
        <v>0</v>
      </c>
      <c r="J855" s="81">
        <f>+IF(E855=110102,I855/K855,0)</f>
        <v>0</v>
      </c>
      <c r="K855" s="81"/>
      <c r="L855" s="597">
        <v>1005</v>
      </c>
      <c r="M855" s="81" t="str">
        <f>+IFERROR(VLOOKUP(L855,DATA!$G$4:$H$2000,2,FALSE),"")</f>
        <v>Золжаргал</v>
      </c>
      <c r="N855" s="435"/>
      <c r="O855" s="81" t="str">
        <f>IFERROR(VLOOKUP(N855,DATA!$K$4:$L$51,2,FALSE),"")</f>
        <v/>
      </c>
      <c r="P855" s="81"/>
      <c r="Q855" s="152">
        <f t="shared" si="74"/>
        <v>0</v>
      </c>
    </row>
    <row r="856" spans="2:17">
      <c r="B856" s="670">
        <f t="shared" si="75"/>
        <v>851</v>
      </c>
      <c r="C856" s="433">
        <v>42858</v>
      </c>
      <c r="D856" s="377" t="s">
        <v>1698</v>
      </c>
      <c r="E856" s="572">
        <v>703700</v>
      </c>
      <c r="F856" s="672" t="str">
        <f>IFERROR(VLOOKUP(E856,STAT1!$C$4:$D$1000,2,FALSE),"")</f>
        <v>Бичиг хэргийн зардал</v>
      </c>
      <c r="G856" s="377">
        <v>135314.54999999999</v>
      </c>
      <c r="H856" s="377"/>
      <c r="I856" s="596">
        <f t="shared" si="73"/>
        <v>0</v>
      </c>
      <c r="J856" s="81">
        <f>+IF(E856=110102,I856/K856,0)</f>
        <v>0</v>
      </c>
      <c r="K856" s="81"/>
      <c r="L856" s="597">
        <v>1005</v>
      </c>
      <c r="M856" s="81" t="str">
        <f>+IFERROR(VLOOKUP(L856,DATA!$G$4:$H$2000,2,FALSE),"")</f>
        <v>Золжаргал</v>
      </c>
      <c r="N856" s="435"/>
      <c r="O856" s="81" t="str">
        <f>IFERROR(VLOOKUP(N856,DATA!$K$4:$L$51,2,FALSE),"")</f>
        <v/>
      </c>
      <c r="P856" s="81"/>
      <c r="Q856" s="152">
        <f t="shared" si="74"/>
        <v>0</v>
      </c>
    </row>
    <row r="857" spans="2:17">
      <c r="B857" s="670">
        <f t="shared" si="75"/>
        <v>852</v>
      </c>
      <c r="C857" s="601">
        <v>42858</v>
      </c>
      <c r="D857" s="377" t="s">
        <v>2699</v>
      </c>
      <c r="E857" s="572">
        <v>140200</v>
      </c>
      <c r="F857" s="672" t="str">
        <f>IFERROR(VLOOKUP(E857,STAT1!$C$4:$D$8000,2,FALSE),"")</f>
        <v>ШМЗардал ХАТААХ ЦЕХ /нарс/</v>
      </c>
      <c r="G857" s="377">
        <v>41387374.545599997</v>
      </c>
      <c r="H857" s="597"/>
      <c r="I857" s="596">
        <f t="shared" si="73"/>
        <v>0</v>
      </c>
      <c r="J857" s="81"/>
      <c r="K857" s="81"/>
      <c r="L857" s="597">
        <v>1006</v>
      </c>
      <c r="M857" s="81" t="str">
        <f>+IFERROR(VLOOKUP(L857,DATA!$G$4:$H$2000,2,FALSE),"")</f>
        <v>Оюундэлгэр /нярав/</v>
      </c>
      <c r="N857" s="166"/>
      <c r="O857" s="81" t="str">
        <f>IFERROR(VLOOKUP(N857,DATA!$K$4:$L$51,2,FALSE),"")</f>
        <v/>
      </c>
      <c r="P857" s="81"/>
      <c r="Q857" s="152">
        <f t="shared" si="74"/>
        <v>0</v>
      </c>
    </row>
    <row r="858" spans="2:17">
      <c r="B858" s="670">
        <f t="shared" si="75"/>
        <v>853</v>
      </c>
      <c r="C858" s="601">
        <v>42858</v>
      </c>
      <c r="D858" s="377"/>
      <c r="E858" s="572">
        <v>140100</v>
      </c>
      <c r="F858" s="672" t="str">
        <f>IFERROR(VLOOKUP(E858,STAT1!$C$4:$D$8000,2,FALSE),"")</f>
        <v>Түүхий эд материал</v>
      </c>
      <c r="G858" s="597"/>
      <c r="H858" s="377">
        <v>41387374.545599997</v>
      </c>
      <c r="I858" s="596">
        <f t="shared" si="73"/>
        <v>0</v>
      </c>
      <c r="J858" s="81"/>
      <c r="K858" s="81"/>
      <c r="L858" s="597">
        <v>1006</v>
      </c>
      <c r="M858" s="81" t="str">
        <f>+IFERROR(VLOOKUP(L858,DATA!$G$4:$H$2000,2,FALSE),"")</f>
        <v>Оюундэлгэр /нярав/</v>
      </c>
      <c r="N858" s="166"/>
      <c r="O858" s="81" t="str">
        <f>IFERROR(VLOOKUP(N858,DATA!$K$4:$L$51,2,FALSE),"")</f>
        <v/>
      </c>
      <c r="P858" s="81"/>
      <c r="Q858" s="152">
        <f t="shared" si="74"/>
        <v>0</v>
      </c>
    </row>
    <row r="859" spans="2:17">
      <c r="B859" s="670">
        <f t="shared" si="75"/>
        <v>854</v>
      </c>
      <c r="C859" s="433">
        <v>42859</v>
      </c>
      <c r="D859" s="377" t="s">
        <v>1699</v>
      </c>
      <c r="E859" s="572">
        <v>100100</v>
      </c>
      <c r="F859" s="672" t="str">
        <f>IFERROR(VLOOKUP(E859,STAT1!$C$4:$D$1000,2,FALSE),"")</f>
        <v>Касс мөнгө MNT</v>
      </c>
      <c r="G859" s="377"/>
      <c r="H859" s="377">
        <v>4200000</v>
      </c>
      <c r="I859" s="596">
        <f t="shared" si="73"/>
        <v>-4200000</v>
      </c>
      <c r="J859" s="81">
        <f t="shared" ref="J859:J868" si="76">+IF(E859=110102,I859/K859,0)</f>
        <v>0</v>
      </c>
      <c r="K859" s="81"/>
      <c r="L859" s="597">
        <v>1004</v>
      </c>
      <c r="M859" s="81" t="str">
        <f>+IFERROR(VLOOKUP(L859,DATA!$G$4:$H$2000,2,FALSE),"")</f>
        <v xml:space="preserve">Түмэндэлгэр </v>
      </c>
      <c r="N859" s="435"/>
      <c r="O859" s="81" t="str">
        <f>IFERROR(VLOOKUP(N859,DATA!$K$4:$L$51,2,FALSE),"")</f>
        <v/>
      </c>
      <c r="P859" s="81"/>
      <c r="Q859" s="152">
        <f t="shared" si="74"/>
        <v>1</v>
      </c>
    </row>
    <row r="860" spans="2:17">
      <c r="B860" s="670">
        <f t="shared" si="75"/>
        <v>855</v>
      </c>
      <c r="C860" s="433">
        <v>42859</v>
      </c>
      <c r="D860" s="377" t="s">
        <v>1699</v>
      </c>
      <c r="E860" s="572">
        <v>110100</v>
      </c>
      <c r="F860" s="672" t="str">
        <f>IFERROR(VLOOKUP(E860,STAT1!$C$4:$D$1000,2,FALSE),"")</f>
        <v>Хаан Банк 5024654020</v>
      </c>
      <c r="G860" s="377">
        <v>4200000</v>
      </c>
      <c r="H860" s="377">
        <v>0</v>
      </c>
      <c r="I860" s="596">
        <f t="shared" si="73"/>
        <v>4200000</v>
      </c>
      <c r="J860" s="81">
        <f t="shared" si="76"/>
        <v>0</v>
      </c>
      <c r="K860" s="81"/>
      <c r="L860" s="597">
        <v>1004</v>
      </c>
      <c r="M860" s="81" t="str">
        <f>+IFERROR(VLOOKUP(L860,DATA!$G$4:$H$2000,2,FALSE),"")</f>
        <v xml:space="preserve">Түмэндэлгэр </v>
      </c>
      <c r="N860" s="435"/>
      <c r="O860" s="81" t="str">
        <f>IFERROR(VLOOKUP(N860,DATA!$K$4:$L$51,2,FALSE),"")</f>
        <v/>
      </c>
      <c r="P860" s="81"/>
      <c r="Q860" s="152">
        <f t="shared" si="74"/>
        <v>1</v>
      </c>
    </row>
    <row r="861" spans="2:17">
      <c r="B861" s="670">
        <f t="shared" si="75"/>
        <v>856</v>
      </c>
      <c r="C861" s="433">
        <v>42859</v>
      </c>
      <c r="D861" s="377" t="s">
        <v>1741</v>
      </c>
      <c r="E861" s="572">
        <v>320100</v>
      </c>
      <c r="F861" s="672" t="str">
        <f>IFERROR(VLOOKUP(E861,STAT1!$C$4:$D$1000,2,FALSE),"")</f>
        <v>Урьдчилж орсон орлого MNT</v>
      </c>
      <c r="G861" s="377"/>
      <c r="H861" s="377">
        <v>4890600</v>
      </c>
      <c r="I861" s="596">
        <f t="shared" si="73"/>
        <v>0</v>
      </c>
      <c r="J861" s="81">
        <f t="shared" si="76"/>
        <v>0</v>
      </c>
      <c r="K861" s="81"/>
      <c r="L861" s="597">
        <v>4002</v>
      </c>
      <c r="M861" s="81" t="str">
        <f>+IFERROR(VLOOKUP(L861,DATA!$G$4:$H$2000,2,FALSE),"")</f>
        <v xml:space="preserve">Хувь хүн </v>
      </c>
      <c r="N861" s="435"/>
      <c r="O861" s="81" t="str">
        <f>IFERROR(VLOOKUP(N861,DATA!$K$4:$L$51,2,FALSE),"")</f>
        <v/>
      </c>
      <c r="P861" s="81"/>
      <c r="Q861" s="152">
        <f t="shared" si="74"/>
        <v>0</v>
      </c>
    </row>
    <row r="862" spans="2:17">
      <c r="B862" s="670">
        <f t="shared" si="75"/>
        <v>857</v>
      </c>
      <c r="C862" s="433">
        <v>42859</v>
      </c>
      <c r="D862" s="377" t="s">
        <v>1741</v>
      </c>
      <c r="E862" s="572">
        <v>100100</v>
      </c>
      <c r="F862" s="672" t="str">
        <f>IFERROR(VLOOKUP(E862,STAT1!$C$4:$D$1000,2,FALSE),"")</f>
        <v>Касс мөнгө MNT</v>
      </c>
      <c r="G862" s="377">
        <v>4890600</v>
      </c>
      <c r="H862" s="377">
        <v>0</v>
      </c>
      <c r="I862" s="596">
        <f t="shared" si="73"/>
        <v>4890600</v>
      </c>
      <c r="J862" s="81">
        <f t="shared" si="76"/>
        <v>0</v>
      </c>
      <c r="K862" s="81"/>
      <c r="L862" s="597">
        <v>4002</v>
      </c>
      <c r="M862" s="81" t="str">
        <f>+IFERROR(VLOOKUP(L862,DATA!$G$4:$H$2000,2,FALSE),"")</f>
        <v xml:space="preserve">Хувь хүн </v>
      </c>
      <c r="N862" s="435">
        <v>41</v>
      </c>
      <c r="O862" s="81" t="str">
        <f>IFERROR(VLOOKUP(N862,DATA!$K$4:$L$51,2,FALSE),"")</f>
        <v>Бараа борлуулсан, үйлчилгээ үзүүлсэний орлого</v>
      </c>
      <c r="P862" s="81"/>
      <c r="Q862" s="152">
        <f t="shared" si="74"/>
        <v>1</v>
      </c>
    </row>
    <row r="863" spans="2:17">
      <c r="B863" s="670">
        <f t="shared" si="75"/>
        <v>858</v>
      </c>
      <c r="C863" s="433">
        <v>42859</v>
      </c>
      <c r="D863" s="598" t="s">
        <v>1746</v>
      </c>
      <c r="E863" s="572">
        <v>310400</v>
      </c>
      <c r="F863" s="672" t="str">
        <f>IFERROR(VLOOKUP(E863,STAT1!$C$4:$D$1000,2,FALSE),"")</f>
        <v>Банкны богино хугацаат зээл MNT</v>
      </c>
      <c r="G863" s="377">
        <v>4518302</v>
      </c>
      <c r="H863" s="377">
        <v>0</v>
      </c>
      <c r="I863" s="596">
        <f t="shared" si="73"/>
        <v>0</v>
      </c>
      <c r="J863" s="81">
        <f t="shared" si="76"/>
        <v>0</v>
      </c>
      <c r="K863" s="81"/>
      <c r="L863" s="597">
        <v>2009</v>
      </c>
      <c r="M863" s="81" t="str">
        <f>+IFERROR(VLOOKUP(L863,DATA!$G$4:$H$2000,2,FALSE),"")</f>
        <v>ХААН БАНК</v>
      </c>
      <c r="N863" s="435"/>
      <c r="O863" s="81" t="str">
        <f>IFERROR(VLOOKUP(N863,DATA!$K$4:$L$51,2,FALSE),"")</f>
        <v/>
      </c>
      <c r="P863" s="81"/>
      <c r="Q863" s="152">
        <f t="shared" si="74"/>
        <v>0</v>
      </c>
    </row>
    <row r="864" spans="2:17">
      <c r="B864" s="670">
        <f t="shared" si="75"/>
        <v>859</v>
      </c>
      <c r="C864" s="433">
        <v>42859</v>
      </c>
      <c r="D864" s="598" t="s">
        <v>1746</v>
      </c>
      <c r="E864" s="572">
        <v>110100</v>
      </c>
      <c r="F864" s="672" t="str">
        <f>IFERROR(VLOOKUP(E864,STAT1!$C$4:$D$1000,2,FALSE),"")</f>
        <v>Хаан Банк 5024654020</v>
      </c>
      <c r="G864" s="377"/>
      <c r="H864" s="377">
        <v>4518302</v>
      </c>
      <c r="I864" s="596">
        <f t="shared" si="73"/>
        <v>-4518302</v>
      </c>
      <c r="J864" s="81">
        <f t="shared" si="76"/>
        <v>0</v>
      </c>
      <c r="K864" s="81"/>
      <c r="L864" s="597">
        <v>2009</v>
      </c>
      <c r="M864" s="81" t="str">
        <f>+IFERROR(VLOOKUP(L864,DATA!$G$4:$H$2000,2,FALSE),"")</f>
        <v>ХААН БАНК</v>
      </c>
      <c r="N864" s="435">
        <v>91</v>
      </c>
      <c r="O864" s="81" t="str">
        <f>IFERROR(VLOOKUP(N864,DATA!$K$4:$L$51,2,FALSE),"")</f>
        <v>Зээл, өрийн үнэт цаасны төлбөрт төлсөн</v>
      </c>
      <c r="P864" s="81"/>
      <c r="Q864" s="152">
        <f t="shared" si="74"/>
        <v>1</v>
      </c>
    </row>
    <row r="865" spans="2:17">
      <c r="B865" s="670">
        <f t="shared" si="75"/>
        <v>860</v>
      </c>
      <c r="C865" s="433">
        <v>42859</v>
      </c>
      <c r="D865" s="598" t="s">
        <v>1746</v>
      </c>
      <c r="E865" s="572">
        <v>702500</v>
      </c>
      <c r="F865" s="672" t="str">
        <f>IFERROR(VLOOKUP(E865,STAT1!$C$4:$D$1000,2,FALSE),"")</f>
        <v>Зээлийн хүүгийн зардал</v>
      </c>
      <c r="G865" s="377">
        <v>1351698</v>
      </c>
      <c r="H865" s="377"/>
      <c r="I865" s="596">
        <f t="shared" si="73"/>
        <v>0</v>
      </c>
      <c r="J865" s="81">
        <f t="shared" si="76"/>
        <v>0</v>
      </c>
      <c r="K865" s="81"/>
      <c r="L865" s="597">
        <v>2009</v>
      </c>
      <c r="M865" s="81" t="str">
        <f>+IFERROR(VLOOKUP(L865,DATA!$G$4:$H$2000,2,FALSE),"")</f>
        <v>ХААН БАНК</v>
      </c>
      <c r="N865" s="435"/>
      <c r="O865" s="81" t="str">
        <f>IFERROR(VLOOKUP(N865,DATA!$K$4:$L$51,2,FALSE),"")</f>
        <v/>
      </c>
      <c r="P865" s="81"/>
      <c r="Q865" s="152">
        <f t="shared" si="74"/>
        <v>0</v>
      </c>
    </row>
    <row r="866" spans="2:17">
      <c r="B866" s="670">
        <f t="shared" si="75"/>
        <v>861</v>
      </c>
      <c r="C866" s="433">
        <v>42859</v>
      </c>
      <c r="D866" s="598" t="s">
        <v>1746</v>
      </c>
      <c r="E866" s="572">
        <v>110100</v>
      </c>
      <c r="F866" s="672" t="str">
        <f>IFERROR(VLOOKUP(E866,STAT1!$C$4:$D$1000,2,FALSE),"")</f>
        <v>Хаан Банк 5024654020</v>
      </c>
      <c r="G866" s="377"/>
      <c r="H866" s="377">
        <v>1351698</v>
      </c>
      <c r="I866" s="596">
        <f t="shared" si="73"/>
        <v>-1351698</v>
      </c>
      <c r="J866" s="81">
        <f t="shared" si="76"/>
        <v>0</v>
      </c>
      <c r="K866" s="81"/>
      <c r="L866" s="597">
        <v>2009</v>
      </c>
      <c r="M866" s="81" t="str">
        <f>+IFERROR(VLOOKUP(L866,DATA!$G$4:$H$2000,2,FALSE),"")</f>
        <v>ХААН БАНК</v>
      </c>
      <c r="N866" s="435">
        <v>56</v>
      </c>
      <c r="O866" s="81" t="str">
        <f>IFERROR(VLOOKUP(N866,DATA!$K$4:$L$51,2,FALSE),"")</f>
        <v>Хүүний төлбөрт төлсөн</v>
      </c>
      <c r="P866" s="81"/>
      <c r="Q866" s="152">
        <f t="shared" si="74"/>
        <v>1</v>
      </c>
    </row>
    <row r="867" spans="2:17">
      <c r="B867" s="670">
        <f t="shared" si="75"/>
        <v>862</v>
      </c>
      <c r="C867" s="433">
        <v>42859</v>
      </c>
      <c r="D867" s="598" t="s">
        <v>1746</v>
      </c>
      <c r="E867" s="572">
        <v>702500</v>
      </c>
      <c r="F867" s="672" t="str">
        <f>IFERROR(VLOOKUP(E867,STAT1!$C$4:$D$1000,2,FALSE),"")</f>
        <v>Зээлийн хүүгийн зардал</v>
      </c>
      <c r="G867" s="377">
        <v>10000</v>
      </c>
      <c r="H867" s="377">
        <v>0</v>
      </c>
      <c r="I867" s="596">
        <f t="shared" si="73"/>
        <v>0</v>
      </c>
      <c r="J867" s="81">
        <f t="shared" si="76"/>
        <v>0</v>
      </c>
      <c r="K867" s="81"/>
      <c r="L867" s="597">
        <v>2009</v>
      </c>
      <c r="M867" s="81" t="str">
        <f>+IFERROR(VLOOKUP(L867,DATA!$G$4:$H$2000,2,FALSE),"")</f>
        <v>ХААН БАНК</v>
      </c>
      <c r="N867" s="435"/>
      <c r="O867" s="81" t="str">
        <f>IFERROR(VLOOKUP(N867,DATA!$K$4:$L$51,2,FALSE),"")</f>
        <v/>
      </c>
      <c r="P867" s="81"/>
      <c r="Q867" s="152">
        <f t="shared" si="74"/>
        <v>0</v>
      </c>
    </row>
    <row r="868" spans="2:17">
      <c r="B868" s="670">
        <f t="shared" si="75"/>
        <v>863</v>
      </c>
      <c r="C868" s="433">
        <v>42859</v>
      </c>
      <c r="D868" s="598" t="s">
        <v>1746</v>
      </c>
      <c r="E868" s="572">
        <v>110100</v>
      </c>
      <c r="F868" s="672" t="str">
        <f>IFERROR(VLOOKUP(E868,STAT1!$C$4:$D$1000,2,FALSE),"")</f>
        <v>Хаан Банк 5024654020</v>
      </c>
      <c r="G868" s="377"/>
      <c r="H868" s="377">
        <v>10000</v>
      </c>
      <c r="I868" s="596">
        <f t="shared" si="73"/>
        <v>-10000</v>
      </c>
      <c r="J868" s="81">
        <f t="shared" si="76"/>
        <v>0</v>
      </c>
      <c r="K868" s="81"/>
      <c r="L868" s="597">
        <v>2009</v>
      </c>
      <c r="M868" s="81" t="str">
        <f>+IFERROR(VLOOKUP(L868,DATA!$G$4:$H$2000,2,FALSE),"")</f>
        <v>ХААН БАНК</v>
      </c>
      <c r="N868" s="435">
        <v>56</v>
      </c>
      <c r="O868" s="81" t="str">
        <f>IFERROR(VLOOKUP(N868,DATA!$K$4:$L$51,2,FALSE),"")</f>
        <v>Хүүний төлбөрт төлсөн</v>
      </c>
      <c r="P868" s="81"/>
      <c r="Q868" s="152">
        <f t="shared" si="74"/>
        <v>1</v>
      </c>
    </row>
    <row r="869" spans="2:17">
      <c r="B869" s="670">
        <f t="shared" si="75"/>
        <v>864</v>
      </c>
      <c r="C869" s="601">
        <v>42859</v>
      </c>
      <c r="D869" s="377" t="s">
        <v>2682</v>
      </c>
      <c r="E869" s="573">
        <v>150101</v>
      </c>
      <c r="F869" s="672" t="str">
        <f>IFERROR(VLOOKUP(E869,STAT1!$C$4:$D$8000,2,FALSE),"")</f>
        <v>Бараа бэлэн бүтээгдэхүүн БОЛОВСРУУЛАХ ЦЕХ /нарс/</v>
      </c>
      <c r="G869" s="597"/>
      <c r="H869" s="377">
        <v>5594587.3799999999</v>
      </c>
      <c r="I869" s="596">
        <f t="shared" si="73"/>
        <v>0</v>
      </c>
      <c r="J869" s="81"/>
      <c r="K869" s="81"/>
      <c r="L869" s="597">
        <v>4002</v>
      </c>
      <c r="M869" s="81" t="str">
        <f>+IFERROR(VLOOKUP(L869,DATA!$G$4:$H$2000,2,FALSE),"")</f>
        <v xml:space="preserve">Хувь хүн </v>
      </c>
      <c r="N869" s="166"/>
      <c r="O869" s="81" t="str">
        <f>IFERROR(VLOOKUP(N869,DATA!$K$4:$L$51,2,FALSE),"")</f>
        <v/>
      </c>
      <c r="P869" s="81"/>
      <c r="Q869" s="152">
        <f t="shared" si="74"/>
        <v>0</v>
      </c>
    </row>
    <row r="870" spans="2:17">
      <c r="B870" s="670">
        <f t="shared" si="75"/>
        <v>865</v>
      </c>
      <c r="C870" s="601">
        <v>42859</v>
      </c>
      <c r="D870" s="377" t="s">
        <v>2682</v>
      </c>
      <c r="E870" s="572">
        <v>610100</v>
      </c>
      <c r="F870" s="672" t="str">
        <f>IFERROR(VLOOKUP(E870,STAT1!$C$4:$D$8000,2,FALSE),"")</f>
        <v>Борлуулсан барааны өртөг</v>
      </c>
      <c r="G870" s="377">
        <v>5594587.3799999999</v>
      </c>
      <c r="H870" s="597"/>
      <c r="I870" s="596">
        <f t="shared" si="73"/>
        <v>0</v>
      </c>
      <c r="J870" s="81"/>
      <c r="K870" s="81"/>
      <c r="L870" s="597">
        <v>4002</v>
      </c>
      <c r="M870" s="81" t="str">
        <f>+IFERROR(VLOOKUP(L870,DATA!$G$4:$H$2000,2,FALSE),"")</f>
        <v xml:space="preserve">Хувь хүн </v>
      </c>
      <c r="N870" s="166"/>
      <c r="O870" s="81" t="str">
        <f>IFERROR(VLOOKUP(N870,DATA!$K$4:$L$51,2,FALSE),"")</f>
        <v/>
      </c>
      <c r="P870" s="81"/>
      <c r="Q870" s="152">
        <f t="shared" si="74"/>
        <v>0</v>
      </c>
    </row>
    <row r="871" spans="2:17">
      <c r="B871" s="670">
        <f t="shared" si="75"/>
        <v>866</v>
      </c>
      <c r="C871" s="601">
        <v>42859</v>
      </c>
      <c r="D871" s="377" t="s">
        <v>2700</v>
      </c>
      <c r="E871" s="572">
        <v>310500</v>
      </c>
      <c r="F871" s="672" t="str">
        <f>IFERROR(VLOOKUP(E871,STAT1!$C$4:$D$8000,2,FALSE),"")</f>
        <v>НӨАТ өглөг</v>
      </c>
      <c r="G871" s="597"/>
      <c r="H871" s="377">
        <v>753916.36356288998</v>
      </c>
      <c r="I871" s="596">
        <f t="shared" si="73"/>
        <v>0</v>
      </c>
      <c r="J871" s="81"/>
      <c r="K871" s="81"/>
      <c r="L871" s="597">
        <v>4002</v>
      </c>
      <c r="M871" s="81" t="str">
        <f>+IFERROR(VLOOKUP(L871,DATA!$G$4:$H$2000,2,FALSE),"")</f>
        <v xml:space="preserve">Хувь хүн </v>
      </c>
      <c r="N871" s="166"/>
      <c r="O871" s="81" t="str">
        <f>IFERROR(VLOOKUP(N871,DATA!$K$4:$L$51,2,FALSE),"")</f>
        <v/>
      </c>
      <c r="P871" s="81"/>
      <c r="Q871" s="152">
        <f t="shared" si="74"/>
        <v>0</v>
      </c>
    </row>
    <row r="872" spans="2:17">
      <c r="B872" s="670">
        <f t="shared" si="75"/>
        <v>867</v>
      </c>
      <c r="C872" s="601">
        <v>42859</v>
      </c>
      <c r="D872" s="377" t="s">
        <v>2698</v>
      </c>
      <c r="E872" s="572">
        <v>510000</v>
      </c>
      <c r="F872" s="672" t="str">
        <f>IFERROR(VLOOKUP(E872,STAT1!$C$4:$D$8000,2,FALSE),"")</f>
        <v>Үндсэн үйл ажиллагааны борлуулалт</v>
      </c>
      <c r="G872" s="597"/>
      <c r="H872" s="377">
        <v>7539163.6356288996</v>
      </c>
      <c r="I872" s="596">
        <f t="shared" si="73"/>
        <v>0</v>
      </c>
      <c r="J872" s="81"/>
      <c r="K872" s="81"/>
      <c r="L872" s="597">
        <v>4002</v>
      </c>
      <c r="M872" s="81" t="str">
        <f>+IFERROR(VLOOKUP(L872,DATA!$G$4:$H$2000,2,FALSE),"")</f>
        <v xml:space="preserve">Хувь хүн </v>
      </c>
      <c r="N872" s="166"/>
      <c r="O872" s="81" t="str">
        <f>IFERROR(VLOOKUP(N872,DATA!$K$4:$L$51,2,FALSE),"")</f>
        <v/>
      </c>
      <c r="P872" s="81"/>
      <c r="Q872" s="152">
        <f t="shared" si="74"/>
        <v>0</v>
      </c>
    </row>
    <row r="873" spans="2:17">
      <c r="B873" s="670">
        <f t="shared" si="75"/>
        <v>868</v>
      </c>
      <c r="C873" s="601">
        <v>42859</v>
      </c>
      <c r="D873" s="377" t="s">
        <v>587</v>
      </c>
      <c r="E873" s="572">
        <v>320100</v>
      </c>
      <c r="F873" s="672" t="str">
        <f>IFERROR(VLOOKUP(E873,STAT1!$C$4:$D$8000,2,FALSE),"")</f>
        <v>Урьдчилж орсон орлого MNT</v>
      </c>
      <c r="G873" s="377">
        <v>8293079.9991917899</v>
      </c>
      <c r="H873" s="597"/>
      <c r="I873" s="596">
        <f t="shared" si="73"/>
        <v>0</v>
      </c>
      <c r="J873" s="81"/>
      <c r="K873" s="81"/>
      <c r="L873" s="597">
        <v>4002</v>
      </c>
      <c r="M873" s="81" t="str">
        <f>+IFERROR(VLOOKUP(L873,DATA!$G$4:$H$2000,2,FALSE),"")</f>
        <v xml:space="preserve">Хувь хүн </v>
      </c>
      <c r="N873" s="166"/>
      <c r="O873" s="81" t="str">
        <f>IFERROR(VLOOKUP(N873,DATA!$K$4:$L$51,2,FALSE),"")</f>
        <v/>
      </c>
      <c r="P873" s="81"/>
      <c r="Q873" s="152">
        <f t="shared" si="74"/>
        <v>0</v>
      </c>
    </row>
    <row r="874" spans="2:17">
      <c r="B874" s="670">
        <f t="shared" si="75"/>
        <v>869</v>
      </c>
      <c r="C874" s="433">
        <v>42860</v>
      </c>
      <c r="D874" s="377" t="s">
        <v>1741</v>
      </c>
      <c r="E874" s="572">
        <v>320100</v>
      </c>
      <c r="F874" s="672" t="str">
        <f>IFERROR(VLOOKUP(E874,STAT1!$C$4:$D$1000,2,FALSE),"")</f>
        <v>Урьдчилж орсон орлого MNT</v>
      </c>
      <c r="G874" s="377"/>
      <c r="H874" s="377">
        <v>176000</v>
      </c>
      <c r="I874" s="596">
        <f t="shared" si="73"/>
        <v>0</v>
      </c>
      <c r="J874" s="81">
        <f>+IF(E874=110102,I874/K874,0)</f>
        <v>0</v>
      </c>
      <c r="K874" s="81"/>
      <c r="L874" s="597">
        <v>4002</v>
      </c>
      <c r="M874" s="81" t="str">
        <f>+IFERROR(VLOOKUP(L874,DATA!$G$4:$H$2000,2,FALSE),"")</f>
        <v xml:space="preserve">Хувь хүн </v>
      </c>
      <c r="N874" s="435"/>
      <c r="O874" s="81" t="str">
        <f>IFERROR(VLOOKUP(N874,DATA!$K$4:$L$51,2,FALSE),"")</f>
        <v/>
      </c>
      <c r="P874" s="81"/>
      <c r="Q874" s="152">
        <f t="shared" si="74"/>
        <v>0</v>
      </c>
    </row>
    <row r="875" spans="2:17">
      <c r="B875" s="670">
        <f t="shared" si="75"/>
        <v>870</v>
      </c>
      <c r="C875" s="433">
        <v>42860</v>
      </c>
      <c r="D875" s="377" t="s">
        <v>1741</v>
      </c>
      <c r="E875" s="572">
        <v>100100</v>
      </c>
      <c r="F875" s="672" t="str">
        <f>IFERROR(VLOOKUP(E875,STAT1!$C$4:$D$1000,2,FALSE),"")</f>
        <v>Касс мөнгө MNT</v>
      </c>
      <c r="G875" s="377">
        <v>176000</v>
      </c>
      <c r="H875" s="377">
        <v>0</v>
      </c>
      <c r="I875" s="596">
        <f t="shared" si="73"/>
        <v>176000</v>
      </c>
      <c r="J875" s="81">
        <f>+IF(E875=110102,I875/K875,0)</f>
        <v>0</v>
      </c>
      <c r="K875" s="81"/>
      <c r="L875" s="597">
        <v>4002</v>
      </c>
      <c r="M875" s="81" t="str">
        <f>+IFERROR(VLOOKUP(L875,DATA!$G$4:$H$2000,2,FALSE),"")</f>
        <v xml:space="preserve">Хувь хүн </v>
      </c>
      <c r="N875" s="435">
        <v>41</v>
      </c>
      <c r="O875" s="81" t="str">
        <f>IFERROR(VLOOKUP(N875,DATA!$K$4:$L$51,2,FALSE),"")</f>
        <v>Бараа борлуулсан, үйлчилгээ үзүүлсэний орлого</v>
      </c>
      <c r="P875" s="81"/>
      <c r="Q875" s="152">
        <f t="shared" si="74"/>
        <v>1</v>
      </c>
    </row>
    <row r="876" spans="2:17">
      <c r="B876" s="670">
        <f t="shared" si="75"/>
        <v>871</v>
      </c>
      <c r="C876" s="601">
        <v>42860</v>
      </c>
      <c r="D876" s="377" t="s">
        <v>1775</v>
      </c>
      <c r="E876" s="572">
        <v>140500</v>
      </c>
      <c r="F876" s="672" t="str">
        <f>IFERROR(VLOOKUP(E876,STAT1!$C$4:$D$8000,2,FALSE),"")</f>
        <v>Нэгтгэл зардал ХАТААХ ЦЕХ /нарс/</v>
      </c>
      <c r="G876" s="597"/>
      <c r="H876" s="377">
        <v>293231686.98000002</v>
      </c>
      <c r="I876" s="596">
        <f t="shared" si="73"/>
        <v>0</v>
      </c>
      <c r="J876" s="81"/>
      <c r="K876" s="81"/>
      <c r="L876" s="597">
        <v>1006</v>
      </c>
      <c r="M876" s="81" t="str">
        <f>+IFERROR(VLOOKUP(L876,DATA!$G$4:$H$2000,2,FALSE),"")</f>
        <v>Оюундэлгэр /нярав/</v>
      </c>
      <c r="N876" s="166"/>
      <c r="O876" s="81" t="str">
        <f>IFERROR(VLOOKUP(N876,DATA!$K$4:$L$51,2,FALSE),"")</f>
        <v/>
      </c>
      <c r="P876" s="81"/>
      <c r="Q876" s="152">
        <f t="shared" si="74"/>
        <v>0</v>
      </c>
    </row>
    <row r="877" spans="2:17">
      <c r="B877" s="670">
        <f t="shared" si="75"/>
        <v>872</v>
      </c>
      <c r="C877" s="433">
        <v>42861</v>
      </c>
      <c r="D877" s="377" t="s">
        <v>1355</v>
      </c>
      <c r="E877" s="572">
        <v>100100</v>
      </c>
      <c r="F877" s="672" t="str">
        <f>IFERROR(VLOOKUP(E877,STAT1!$C$4:$D$1000,2,FALSE),"")</f>
        <v>Касс мөнгө MNT</v>
      </c>
      <c r="G877" s="377"/>
      <c r="H877" s="377">
        <v>40000</v>
      </c>
      <c r="I877" s="596">
        <f t="shared" si="73"/>
        <v>-40000</v>
      </c>
      <c r="J877" s="81">
        <f>+IF(E877=110102,I877/K877,0)</f>
        <v>0</v>
      </c>
      <c r="K877" s="81"/>
      <c r="L877" s="597">
        <v>1003</v>
      </c>
      <c r="M877" s="81" t="str">
        <f>+IFERROR(VLOOKUP(L877,DATA!$G$4:$H$2000,2,FALSE),"")</f>
        <v>Бахдамдэмбэрэл</v>
      </c>
      <c r="N877" s="435">
        <v>55</v>
      </c>
      <c r="O877" s="81" t="str">
        <f>IFERROR(VLOOKUP(N877,DATA!$K$4:$L$51,2,FALSE),"")</f>
        <v>Түлш, шатахуун, тээврийн хөлс, сэлбэг хэрэгсэлд төлсөн</v>
      </c>
      <c r="P877" s="81"/>
      <c r="Q877" s="152">
        <f t="shared" si="74"/>
        <v>1</v>
      </c>
    </row>
    <row r="878" spans="2:17">
      <c r="B878" s="670">
        <f t="shared" si="75"/>
        <v>873</v>
      </c>
      <c r="C878" s="433">
        <v>42861</v>
      </c>
      <c r="D878" s="377" t="s">
        <v>1355</v>
      </c>
      <c r="E878" s="572">
        <v>702000</v>
      </c>
      <c r="F878" s="672" t="str">
        <f>IFERROR(VLOOKUP(E878,STAT1!$C$4:$D$1000,2,FALSE),"")</f>
        <v>Түлш, шатахуун</v>
      </c>
      <c r="G878" s="377">
        <v>40000</v>
      </c>
      <c r="H878" s="377">
        <v>0</v>
      </c>
      <c r="I878" s="596">
        <f t="shared" si="73"/>
        <v>0</v>
      </c>
      <c r="J878" s="81">
        <f>+IF(E878=110102,I878/K878,0)</f>
        <v>0</v>
      </c>
      <c r="K878" s="81"/>
      <c r="L878" s="597">
        <v>1003</v>
      </c>
      <c r="M878" s="81" t="str">
        <f>+IFERROR(VLOOKUP(L878,DATA!$G$4:$H$2000,2,FALSE),"")</f>
        <v>Бахдамдэмбэрэл</v>
      </c>
      <c r="N878" s="435"/>
      <c r="O878" s="81" t="str">
        <f>IFERROR(VLOOKUP(N878,DATA!$K$4:$L$51,2,FALSE),"")</f>
        <v/>
      </c>
      <c r="P878" s="81"/>
      <c r="Q878" s="152">
        <f t="shared" si="74"/>
        <v>0</v>
      </c>
    </row>
    <row r="879" spans="2:17">
      <c r="B879" s="670">
        <f t="shared" si="75"/>
        <v>874</v>
      </c>
      <c r="C879" s="433">
        <v>42861</v>
      </c>
      <c r="D879" s="377" t="s">
        <v>1355</v>
      </c>
      <c r="E879" s="572">
        <v>100100</v>
      </c>
      <c r="F879" s="672" t="str">
        <f>IFERROR(VLOOKUP(E879,STAT1!$C$4:$D$1000,2,FALSE),"")</f>
        <v>Касс мөнгө MNT</v>
      </c>
      <c r="G879" s="377"/>
      <c r="H879" s="377">
        <v>70000</v>
      </c>
      <c r="I879" s="596">
        <f t="shared" si="73"/>
        <v>-70000</v>
      </c>
      <c r="J879" s="81">
        <f>+IF(E879=110102,I879/K879,0)</f>
        <v>0</v>
      </c>
      <c r="K879" s="81"/>
      <c r="L879" s="597">
        <v>1003</v>
      </c>
      <c r="M879" s="81" t="str">
        <f>+IFERROR(VLOOKUP(L879,DATA!$G$4:$H$2000,2,FALSE),"")</f>
        <v>Бахдамдэмбэрэл</v>
      </c>
      <c r="N879" s="435">
        <v>55</v>
      </c>
      <c r="O879" s="81" t="str">
        <f>IFERROR(VLOOKUP(N879,DATA!$K$4:$L$51,2,FALSE),"")</f>
        <v>Түлш, шатахуун, тээврийн хөлс, сэлбэг хэрэгсэлд төлсөн</v>
      </c>
      <c r="P879" s="81"/>
      <c r="Q879" s="152">
        <f t="shared" si="74"/>
        <v>1</v>
      </c>
    </row>
    <row r="880" spans="2:17">
      <c r="B880" s="670">
        <f t="shared" si="75"/>
        <v>875</v>
      </c>
      <c r="C880" s="433">
        <v>42861</v>
      </c>
      <c r="D880" s="377" t="s">
        <v>1355</v>
      </c>
      <c r="E880" s="572">
        <v>120600</v>
      </c>
      <c r="F880" s="672" t="str">
        <f>IFERROR(VLOOKUP(E880,STAT1!$C$4:$D$1000,2,FALSE),"")</f>
        <v>НӨАТ авлага</v>
      </c>
      <c r="G880" s="377">
        <v>20909.09</v>
      </c>
      <c r="H880" s="377"/>
      <c r="I880" s="596">
        <f t="shared" si="73"/>
        <v>0</v>
      </c>
      <c r="J880" s="81">
        <f>+IF(E880=110102,I880/K880,0)</f>
        <v>0</v>
      </c>
      <c r="K880" s="81"/>
      <c r="L880" s="597">
        <v>1003</v>
      </c>
      <c r="M880" s="81" t="str">
        <f>+IFERROR(VLOOKUP(L880,DATA!$G$4:$H$2000,2,FALSE),"")</f>
        <v>Бахдамдэмбэрэл</v>
      </c>
      <c r="N880" s="435"/>
      <c r="O880" s="81" t="str">
        <f>IFERROR(VLOOKUP(N880,DATA!$K$4:$L$51,2,FALSE),"")</f>
        <v/>
      </c>
      <c r="P880" s="81"/>
      <c r="Q880" s="152">
        <f t="shared" si="74"/>
        <v>0</v>
      </c>
    </row>
    <row r="881" spans="2:17">
      <c r="B881" s="670">
        <f t="shared" si="75"/>
        <v>876</v>
      </c>
      <c r="C881" s="433">
        <v>42861</v>
      </c>
      <c r="D881" s="377" t="s">
        <v>1355</v>
      </c>
      <c r="E881" s="572">
        <v>702000</v>
      </c>
      <c r="F881" s="672" t="str">
        <f>IFERROR(VLOOKUP(E881,STAT1!$C$4:$D$1000,2,FALSE),"")</f>
        <v>Түлш, шатахуун</v>
      </c>
      <c r="G881" s="377">
        <v>49090.91</v>
      </c>
      <c r="H881" s="377">
        <v>0</v>
      </c>
      <c r="I881" s="596">
        <f t="shared" si="73"/>
        <v>0</v>
      </c>
      <c r="J881" s="81">
        <f>+IF(E881=110102,I881/K881,0)</f>
        <v>0</v>
      </c>
      <c r="K881" s="81"/>
      <c r="L881" s="597">
        <v>1003</v>
      </c>
      <c r="M881" s="81" t="str">
        <f>+IFERROR(VLOOKUP(L881,DATA!$G$4:$H$2000,2,FALSE),"")</f>
        <v>Бахдамдэмбэрэл</v>
      </c>
      <c r="N881" s="435"/>
      <c r="O881" s="81" t="str">
        <f>IFERROR(VLOOKUP(N881,DATA!$K$4:$L$51,2,FALSE),"")</f>
        <v/>
      </c>
      <c r="P881" s="81"/>
      <c r="Q881" s="152">
        <f t="shared" si="74"/>
        <v>0</v>
      </c>
    </row>
    <row r="882" spans="2:17">
      <c r="B882" s="670">
        <f t="shared" si="75"/>
        <v>877</v>
      </c>
      <c r="C882" s="601">
        <v>42863</v>
      </c>
      <c r="D882" s="377" t="s">
        <v>2700</v>
      </c>
      <c r="E882" s="573">
        <v>150101</v>
      </c>
      <c r="F882" s="672" t="str">
        <f>IFERROR(VLOOKUP(E882,STAT1!$C$4:$D$1000,2,FALSE),"")</f>
        <v>Бараа бэлэн бүтээгдэхүүн БОЛОВСРУУЛАХ ЦЕХ /нарс/</v>
      </c>
      <c r="G882" s="597"/>
      <c r="H882" s="377">
        <v>180827.83902836722</v>
      </c>
      <c r="I882" s="596">
        <f t="shared" si="73"/>
        <v>0</v>
      </c>
      <c r="J882" s="81"/>
      <c r="K882" s="81"/>
      <c r="L882" s="597">
        <v>3025</v>
      </c>
      <c r="M882" s="81" t="str">
        <f>+IFERROR(VLOOKUP(L882,DATA!$G$4:$H$2000,2,FALSE),"")</f>
        <v xml:space="preserve">ТОСОН ВҮҮД ХХК </v>
      </c>
      <c r="N882" s="166"/>
      <c r="O882" s="81" t="str">
        <f>IFERROR(VLOOKUP(N882,DATA!$K$4:$L$51,2,FALSE),"")</f>
        <v/>
      </c>
      <c r="P882" s="81"/>
      <c r="Q882" s="152">
        <f t="shared" si="74"/>
        <v>0</v>
      </c>
    </row>
    <row r="883" spans="2:17">
      <c r="B883" s="670">
        <f t="shared" si="75"/>
        <v>878</v>
      </c>
      <c r="C883" s="601">
        <v>42863</v>
      </c>
      <c r="D883" s="377" t="s">
        <v>587</v>
      </c>
      <c r="E883" s="572">
        <v>610100</v>
      </c>
      <c r="F883" s="672" t="str">
        <f>IFERROR(VLOOKUP(E883,STAT1!$C$4:$D$1000,2,FALSE),"")</f>
        <v>Борлуулсан барааны өртөг</v>
      </c>
      <c r="G883" s="377">
        <v>180827.83902836722</v>
      </c>
      <c r="H883" s="597"/>
      <c r="I883" s="596">
        <f t="shared" si="73"/>
        <v>0</v>
      </c>
      <c r="J883" s="81"/>
      <c r="K883" s="81"/>
      <c r="L883" s="597">
        <v>3025</v>
      </c>
      <c r="M883" s="81" t="str">
        <f>+IFERROR(VLOOKUP(L883,DATA!$G$4:$H$2000,2,FALSE),"")</f>
        <v xml:space="preserve">ТОСОН ВҮҮД ХХК </v>
      </c>
      <c r="N883" s="166"/>
      <c r="O883" s="81" t="str">
        <f>IFERROR(VLOOKUP(N883,DATA!$K$4:$L$51,2,FALSE),"")</f>
        <v/>
      </c>
      <c r="P883" s="81"/>
      <c r="Q883" s="152">
        <f t="shared" si="74"/>
        <v>0</v>
      </c>
    </row>
    <row r="884" spans="2:17">
      <c r="B884" s="670">
        <f t="shared" si="75"/>
        <v>879</v>
      </c>
      <c r="C884" s="601">
        <v>42863</v>
      </c>
      <c r="D884" s="377" t="s">
        <v>587</v>
      </c>
      <c r="E884" s="572">
        <v>310500</v>
      </c>
      <c r="F884" s="672" t="str">
        <f>IFERROR(VLOOKUP(E884,STAT1!$C$4:$D$1000,2,FALSE),"")</f>
        <v>НӨАТ өглөг</v>
      </c>
      <c r="G884" s="597"/>
      <c r="H884" s="377">
        <v>22000</v>
      </c>
      <c r="I884" s="596">
        <f t="shared" si="73"/>
        <v>0</v>
      </c>
      <c r="J884" s="81"/>
      <c r="K884" s="81"/>
      <c r="L884" s="597">
        <v>3025</v>
      </c>
      <c r="M884" s="81" t="str">
        <f>+IFERROR(VLOOKUP(L884,DATA!$G$4:$H$2000,2,FALSE),"")</f>
        <v xml:space="preserve">ТОСОН ВҮҮД ХХК </v>
      </c>
      <c r="N884" s="166"/>
      <c r="O884" s="81" t="str">
        <f>IFERROR(VLOOKUP(N884,DATA!$K$4:$L$51,2,FALSE),"")</f>
        <v/>
      </c>
      <c r="P884" s="81"/>
      <c r="Q884" s="152">
        <f t="shared" si="74"/>
        <v>0</v>
      </c>
    </row>
    <row r="885" spans="2:17">
      <c r="B885" s="670">
        <f t="shared" si="75"/>
        <v>880</v>
      </c>
      <c r="C885" s="601">
        <v>42863</v>
      </c>
      <c r="D885" s="377" t="s">
        <v>587</v>
      </c>
      <c r="E885" s="572">
        <v>510000</v>
      </c>
      <c r="F885" s="672" t="str">
        <f>IFERROR(VLOOKUP(E885,STAT1!$C$4:$D$1000,2,FALSE),"")</f>
        <v>Үндсэн үйл ажиллагааны борлуулалт</v>
      </c>
      <c r="G885" s="597"/>
      <c r="H885" s="377">
        <v>220000</v>
      </c>
      <c r="I885" s="596">
        <f t="shared" si="73"/>
        <v>0</v>
      </c>
      <c r="J885" s="81"/>
      <c r="K885" s="81"/>
      <c r="L885" s="597">
        <v>3025</v>
      </c>
      <c r="M885" s="81" t="str">
        <f>+IFERROR(VLOOKUP(L885,DATA!$G$4:$H$2000,2,FALSE),"")</f>
        <v xml:space="preserve">ТОСОН ВҮҮД ХХК </v>
      </c>
      <c r="N885" s="166"/>
      <c r="O885" s="81" t="str">
        <f>IFERROR(VLOOKUP(N885,DATA!$K$4:$L$51,2,FALSE),"")</f>
        <v/>
      </c>
      <c r="P885" s="81"/>
      <c r="Q885" s="152">
        <f t="shared" si="74"/>
        <v>0</v>
      </c>
    </row>
    <row r="886" spans="2:17">
      <c r="B886" s="670">
        <f t="shared" si="75"/>
        <v>881</v>
      </c>
      <c r="C886" s="601">
        <v>42863</v>
      </c>
      <c r="D886" s="377" t="s">
        <v>587</v>
      </c>
      <c r="E886" s="572">
        <v>320100</v>
      </c>
      <c r="F886" s="672" t="str">
        <f>IFERROR(VLOOKUP(E886,STAT1!$C$4:$D$1000,2,FALSE),"")</f>
        <v>Урьдчилж орсон орлого MNT</v>
      </c>
      <c r="G886" s="377">
        <v>242000</v>
      </c>
      <c r="H886" s="597"/>
      <c r="I886" s="596">
        <f t="shared" si="73"/>
        <v>0</v>
      </c>
      <c r="J886" s="81"/>
      <c r="K886" s="81"/>
      <c r="L886" s="597">
        <v>3025</v>
      </c>
      <c r="M886" s="81" t="str">
        <f>+IFERROR(VLOOKUP(L886,DATA!$G$4:$H$2000,2,FALSE),"")</f>
        <v xml:space="preserve">ТОСОН ВҮҮД ХХК </v>
      </c>
      <c r="N886" s="166"/>
      <c r="O886" s="81" t="str">
        <f>IFERROR(VLOOKUP(N886,DATA!$K$4:$L$51,2,FALSE),"")</f>
        <v/>
      </c>
      <c r="P886" s="81"/>
      <c r="Q886" s="152">
        <f t="shared" si="74"/>
        <v>0</v>
      </c>
    </row>
    <row r="887" spans="2:17">
      <c r="B887" s="670">
        <f t="shared" si="75"/>
        <v>882</v>
      </c>
      <c r="C887" s="433">
        <v>42864</v>
      </c>
      <c r="D887" s="377" t="s">
        <v>1727</v>
      </c>
      <c r="E887" s="572">
        <v>100100</v>
      </c>
      <c r="F887" s="672" t="str">
        <f>IFERROR(VLOOKUP(E887,STAT1!$C$4:$D$1000,2,FALSE),"")</f>
        <v>Касс мөнгө MNT</v>
      </c>
      <c r="G887" s="377"/>
      <c r="H887" s="377">
        <v>15000</v>
      </c>
      <c r="I887" s="596">
        <f t="shared" si="73"/>
        <v>-15000</v>
      </c>
      <c r="J887" s="81">
        <f>+IF(E887=110102,I887/K887,0)</f>
        <v>0</v>
      </c>
      <c r="K887" s="81"/>
      <c r="L887" s="597">
        <v>1004</v>
      </c>
      <c r="M887" s="81" t="str">
        <f>+IFERROR(VLOOKUP(L887,DATA!$G$4:$H$2000,2,FALSE),"")</f>
        <v xml:space="preserve">Түмэндэлгэр </v>
      </c>
      <c r="N887" s="435">
        <v>55</v>
      </c>
      <c r="O887" s="81" t="str">
        <f>IFERROR(VLOOKUP(N887,DATA!$K$4:$L$51,2,FALSE),"")</f>
        <v>Түлш, шатахуун, тээврийн хөлс, сэлбэг хэрэгсэлд төлсөн</v>
      </c>
      <c r="P887" s="81"/>
      <c r="Q887" s="152">
        <f t="shared" si="74"/>
        <v>1</v>
      </c>
    </row>
    <row r="888" spans="2:17">
      <c r="B888" s="670">
        <f t="shared" si="75"/>
        <v>883</v>
      </c>
      <c r="C888" s="433">
        <v>42864</v>
      </c>
      <c r="D888" s="377" t="s">
        <v>1727</v>
      </c>
      <c r="E888" s="572">
        <v>702000</v>
      </c>
      <c r="F888" s="672" t="str">
        <f>IFERROR(VLOOKUP(E888,STAT1!$C$4:$D$1000,2,FALSE),"")</f>
        <v>Түлш, шатахуун</v>
      </c>
      <c r="G888" s="377">
        <v>15000</v>
      </c>
      <c r="H888" s="377"/>
      <c r="I888" s="596">
        <f t="shared" si="73"/>
        <v>0</v>
      </c>
      <c r="J888" s="81"/>
      <c r="K888" s="81"/>
      <c r="L888" s="597">
        <v>1004</v>
      </c>
      <c r="M888" s="81" t="str">
        <f>+IFERROR(VLOOKUP(L888,DATA!$G$4:$H$2000,2,FALSE),"")</f>
        <v xml:space="preserve">Түмэндэлгэр </v>
      </c>
      <c r="N888" s="435"/>
      <c r="O888" s="81" t="str">
        <f>IFERROR(VLOOKUP(N888,DATA!$K$4:$L$51,2,FALSE),"")</f>
        <v/>
      </c>
      <c r="P888" s="81"/>
      <c r="Q888" s="152">
        <f t="shared" si="74"/>
        <v>0</v>
      </c>
    </row>
    <row r="889" spans="2:17">
      <c r="B889" s="670">
        <f t="shared" si="75"/>
        <v>884</v>
      </c>
      <c r="C889" s="433">
        <v>42864</v>
      </c>
      <c r="D889" s="377" t="s">
        <v>1727</v>
      </c>
      <c r="E889" s="572">
        <v>120600</v>
      </c>
      <c r="F889" s="672" t="str">
        <f>IFERROR(VLOOKUP(E889,STAT1!$C$4:$D$1000,2,FALSE),"")</f>
        <v>НӨАТ авлага</v>
      </c>
      <c r="G889" s="377">
        <v>3954.55</v>
      </c>
      <c r="H889" s="377"/>
      <c r="I889" s="596">
        <f t="shared" si="73"/>
        <v>0</v>
      </c>
      <c r="J889" s="81">
        <f>+IF(E889=110102,I889/K889,0)</f>
        <v>0</v>
      </c>
      <c r="K889" s="81"/>
      <c r="L889" s="597">
        <v>1004</v>
      </c>
      <c r="M889" s="81" t="str">
        <f>+IFERROR(VLOOKUP(L889,DATA!$G$4:$H$2000,2,FALSE),"")</f>
        <v xml:space="preserve">Түмэндэлгэр </v>
      </c>
      <c r="N889" s="435"/>
      <c r="O889" s="81" t="str">
        <f>IFERROR(VLOOKUP(N889,DATA!$K$4:$L$51,2,FALSE),"")</f>
        <v/>
      </c>
      <c r="P889" s="81"/>
      <c r="Q889" s="152">
        <f t="shared" si="74"/>
        <v>0</v>
      </c>
    </row>
    <row r="890" spans="2:17">
      <c r="B890" s="670">
        <f t="shared" si="75"/>
        <v>885</v>
      </c>
      <c r="C890" s="433">
        <v>42864</v>
      </c>
      <c r="D890" s="377" t="s">
        <v>1727</v>
      </c>
      <c r="E890" s="572">
        <v>100100</v>
      </c>
      <c r="F890" s="672" t="str">
        <f>IFERROR(VLOOKUP(E890,STAT1!$C$4:$D$1000,2,FALSE),"")</f>
        <v>Касс мөнгө MNT</v>
      </c>
      <c r="G890" s="377"/>
      <c r="H890" s="377">
        <v>43500</v>
      </c>
      <c r="I890" s="596">
        <f t="shared" si="73"/>
        <v>-43500</v>
      </c>
      <c r="J890" s="81">
        <f>+IF(E890=110102,I890/K890,0)</f>
        <v>0</v>
      </c>
      <c r="K890" s="81"/>
      <c r="L890" s="597">
        <v>1004</v>
      </c>
      <c r="M890" s="81" t="str">
        <f>+IFERROR(VLOOKUP(L890,DATA!$G$4:$H$2000,2,FALSE),"")</f>
        <v xml:space="preserve">Түмэндэлгэр </v>
      </c>
      <c r="N890" s="435">
        <v>53</v>
      </c>
      <c r="O890" s="81" t="str">
        <f>IFERROR(VLOOKUP(N890,DATA!$K$4:$L$51,2,FALSE),"")</f>
        <v>Бараа материал худалдан авахад төлсөн</v>
      </c>
      <c r="P890" s="81"/>
      <c r="Q890" s="152">
        <f t="shared" si="74"/>
        <v>1</v>
      </c>
    </row>
    <row r="891" spans="2:17">
      <c r="B891" s="670">
        <f t="shared" si="75"/>
        <v>886</v>
      </c>
      <c r="C891" s="433">
        <v>42864</v>
      </c>
      <c r="D891" s="377" t="s">
        <v>1727</v>
      </c>
      <c r="E891" s="572">
        <v>701500</v>
      </c>
      <c r="F891" s="672" t="str">
        <f>IFERROR(VLOOKUP(E891,STAT1!$C$4:$D$1000,2,FALSE),"")</f>
        <v>Урсгал засварын зардал</v>
      </c>
      <c r="G891" s="377">
        <v>39545.449999999997</v>
      </c>
      <c r="H891" s="377">
        <v>0</v>
      </c>
      <c r="I891" s="596">
        <f t="shared" si="73"/>
        <v>0</v>
      </c>
      <c r="J891" s="81">
        <f>+IF(E891=110102,I891/K891,0)</f>
        <v>0</v>
      </c>
      <c r="K891" s="81"/>
      <c r="L891" s="597">
        <v>1004</v>
      </c>
      <c r="M891" s="81" t="str">
        <f>+IFERROR(VLOOKUP(L891,DATA!$G$4:$H$2000,2,FALSE),"")</f>
        <v xml:space="preserve">Түмэндэлгэр </v>
      </c>
      <c r="N891" s="435"/>
      <c r="O891" s="81" t="str">
        <f>IFERROR(VLOOKUP(N891,DATA!$K$4:$L$51,2,FALSE),"")</f>
        <v/>
      </c>
      <c r="P891" s="81"/>
      <c r="Q891" s="152">
        <f t="shared" si="74"/>
        <v>0</v>
      </c>
    </row>
    <row r="892" spans="2:17">
      <c r="B892" s="670">
        <f t="shared" si="75"/>
        <v>887</v>
      </c>
      <c r="C892" s="433">
        <v>42864</v>
      </c>
      <c r="D892" s="377" t="s">
        <v>1726</v>
      </c>
      <c r="E892" s="572">
        <v>100100</v>
      </c>
      <c r="F892" s="672" t="str">
        <f>IFERROR(VLOOKUP(E892,STAT1!$C$4:$D$1000,2,FALSE),"")</f>
        <v>Касс мөнгө MNT</v>
      </c>
      <c r="G892" s="377"/>
      <c r="H892" s="377">
        <v>20000</v>
      </c>
      <c r="I892" s="596">
        <f t="shared" si="73"/>
        <v>-20000</v>
      </c>
      <c r="J892" s="81">
        <f>+IF(E892=110102,I892/K892,0)</f>
        <v>0</v>
      </c>
      <c r="K892" s="81"/>
      <c r="L892" s="597">
        <v>1005</v>
      </c>
      <c r="M892" s="81" t="str">
        <f>+IFERROR(VLOOKUP(L892,DATA!$G$4:$H$2000,2,FALSE),"")</f>
        <v>Золжаргал</v>
      </c>
      <c r="N892" s="435">
        <v>55</v>
      </c>
      <c r="O892" s="81" t="str">
        <f>IFERROR(VLOOKUP(N892,DATA!$K$4:$L$51,2,FALSE),"")</f>
        <v>Түлш, шатахуун, тээврийн хөлс, сэлбэг хэрэгсэлд төлсөн</v>
      </c>
      <c r="P892" s="81"/>
      <c r="Q892" s="152">
        <f t="shared" si="74"/>
        <v>1</v>
      </c>
    </row>
    <row r="893" spans="2:17">
      <c r="B893" s="670">
        <f t="shared" si="75"/>
        <v>888</v>
      </c>
      <c r="C893" s="433">
        <v>42864</v>
      </c>
      <c r="D893" s="377" t="s">
        <v>1726</v>
      </c>
      <c r="E893" s="572">
        <v>702000</v>
      </c>
      <c r="F893" s="672" t="str">
        <f>IFERROR(VLOOKUP(E893,STAT1!$C$4:$D$1000,2,FALSE),"")</f>
        <v>Түлш, шатахуун</v>
      </c>
      <c r="G893" s="377">
        <v>20000</v>
      </c>
      <c r="H893" s="377"/>
      <c r="I893" s="596">
        <f t="shared" si="73"/>
        <v>0</v>
      </c>
      <c r="J893" s="81">
        <f>+IF(E893=110102,I893/K893,0)</f>
        <v>0</v>
      </c>
      <c r="K893" s="81"/>
      <c r="L893" s="597">
        <v>1005</v>
      </c>
      <c r="M893" s="81" t="str">
        <f>+IFERROR(VLOOKUP(L893,DATA!$G$4:$H$2000,2,FALSE),"")</f>
        <v>Золжаргал</v>
      </c>
      <c r="N893" s="435"/>
      <c r="O893" s="81"/>
      <c r="P893" s="81"/>
      <c r="Q893" s="152">
        <f t="shared" si="74"/>
        <v>0</v>
      </c>
    </row>
    <row r="894" spans="2:17">
      <c r="B894" s="670">
        <f t="shared" si="75"/>
        <v>889</v>
      </c>
      <c r="C894" s="433">
        <v>42864</v>
      </c>
      <c r="D894" s="377" t="s">
        <v>1726</v>
      </c>
      <c r="E894" s="572">
        <v>100100</v>
      </c>
      <c r="F894" s="672" t="str">
        <f>IFERROR(VLOOKUP(E894,STAT1!$C$4:$D$1000,2,FALSE),"")</f>
        <v>Касс мөнгө MNT</v>
      </c>
      <c r="G894" s="377"/>
      <c r="H894" s="377">
        <v>63042</v>
      </c>
      <c r="I894" s="596">
        <f t="shared" si="73"/>
        <v>-63042</v>
      </c>
      <c r="J894" s="81"/>
      <c r="K894" s="81"/>
      <c r="L894" s="597">
        <v>1005</v>
      </c>
      <c r="M894" s="81" t="str">
        <f>+IFERROR(VLOOKUP(L894,DATA!$G$4:$H$2000,2,FALSE),"")</f>
        <v>Золжаргал</v>
      </c>
      <c r="N894" s="435">
        <v>53</v>
      </c>
      <c r="O894" s="81" t="str">
        <f>IFERROR(VLOOKUP(N894,DATA!$K$4:$L$51,2,FALSE),"")</f>
        <v>Бараа материал худалдан авахад төлсөн</v>
      </c>
      <c r="P894" s="81"/>
      <c r="Q894" s="152">
        <f t="shared" si="74"/>
        <v>1</v>
      </c>
    </row>
    <row r="895" spans="2:17">
      <c r="B895" s="670">
        <f t="shared" si="75"/>
        <v>890</v>
      </c>
      <c r="C895" s="433">
        <v>42864</v>
      </c>
      <c r="D895" s="377" t="s">
        <v>1726</v>
      </c>
      <c r="E895" s="572">
        <v>120600</v>
      </c>
      <c r="F895" s="672" t="str">
        <f>IFERROR(VLOOKUP(E895,STAT1!$C$4:$D$1000,2,FALSE),"")</f>
        <v>НӨАТ авлага</v>
      </c>
      <c r="G895" s="377">
        <v>11392.82</v>
      </c>
      <c r="H895" s="377"/>
      <c r="I895" s="596">
        <f t="shared" si="73"/>
        <v>0</v>
      </c>
      <c r="J895" s="81">
        <f t="shared" ref="J895:J901" si="77">+IF(E895=110102,I895/K895,0)</f>
        <v>0</v>
      </c>
      <c r="K895" s="81"/>
      <c r="L895" s="597">
        <v>1005</v>
      </c>
      <c r="M895" s="81" t="str">
        <f>+IFERROR(VLOOKUP(L895,DATA!$G$4:$H$2000,2,FALSE),"")</f>
        <v>Золжаргал</v>
      </c>
      <c r="N895" s="435"/>
      <c r="O895" s="81" t="str">
        <f>IFERROR(VLOOKUP(N895,DATA!$K$4:$L$51,2,FALSE),"")</f>
        <v/>
      </c>
      <c r="P895" s="81"/>
      <c r="Q895" s="152">
        <f t="shared" si="74"/>
        <v>0</v>
      </c>
    </row>
    <row r="896" spans="2:17">
      <c r="B896" s="670">
        <f t="shared" si="75"/>
        <v>891</v>
      </c>
      <c r="C896" s="433">
        <v>42864</v>
      </c>
      <c r="D896" s="377" t="s">
        <v>1726</v>
      </c>
      <c r="E896" s="572">
        <v>704700</v>
      </c>
      <c r="F896" s="672" t="str">
        <f>IFERROR(VLOOKUP(E896,STAT1!$C$4:$D$1000,2,FALSE),"")</f>
        <v>Цэвэрлэгээ</v>
      </c>
      <c r="G896" s="377">
        <v>51649.179999999993</v>
      </c>
      <c r="H896" s="377">
        <v>0</v>
      </c>
      <c r="I896" s="596">
        <f t="shared" si="73"/>
        <v>0</v>
      </c>
      <c r="J896" s="81">
        <f t="shared" si="77"/>
        <v>0</v>
      </c>
      <c r="K896" s="81"/>
      <c r="L896" s="597">
        <v>1005</v>
      </c>
      <c r="M896" s="81" t="str">
        <f>+IFERROR(VLOOKUP(L896,DATA!$G$4:$H$2000,2,FALSE),"")</f>
        <v>Золжаргал</v>
      </c>
      <c r="N896" s="435"/>
      <c r="O896" s="81" t="str">
        <f>IFERROR(VLOOKUP(N896,DATA!$K$4:$L$51,2,FALSE),"")</f>
        <v/>
      </c>
      <c r="P896" s="81"/>
      <c r="Q896" s="152">
        <f t="shared" si="74"/>
        <v>0</v>
      </c>
    </row>
    <row r="897" spans="2:17">
      <c r="B897" s="670">
        <f t="shared" si="75"/>
        <v>892</v>
      </c>
      <c r="C897" s="433">
        <v>42864</v>
      </c>
      <c r="D897" s="377" t="s">
        <v>1355</v>
      </c>
      <c r="E897" s="572">
        <v>100100</v>
      </c>
      <c r="F897" s="672" t="str">
        <f>IFERROR(VLOOKUP(E897,STAT1!$C$4:$D$1000,2,FALSE),"")</f>
        <v>Касс мөнгө MNT</v>
      </c>
      <c r="G897" s="377"/>
      <c r="H897" s="377">
        <v>35000</v>
      </c>
      <c r="I897" s="596">
        <f t="shared" si="73"/>
        <v>-35000</v>
      </c>
      <c r="J897" s="81">
        <f t="shared" si="77"/>
        <v>0</v>
      </c>
      <c r="K897" s="81"/>
      <c r="L897" s="597">
        <v>1004</v>
      </c>
      <c r="M897" s="81" t="str">
        <f>+IFERROR(VLOOKUP(L897,DATA!$G$4:$H$2000,2,FALSE),"")</f>
        <v xml:space="preserve">Түмэндэлгэр </v>
      </c>
      <c r="N897" s="435">
        <v>55</v>
      </c>
      <c r="O897" s="81" t="str">
        <f>IFERROR(VLOOKUP(N897,DATA!$K$4:$L$51,2,FALSE),"")</f>
        <v>Түлш, шатахуун, тээврийн хөлс, сэлбэг хэрэгсэлд төлсөн</v>
      </c>
      <c r="P897" s="81"/>
      <c r="Q897" s="152">
        <f t="shared" si="74"/>
        <v>1</v>
      </c>
    </row>
    <row r="898" spans="2:17">
      <c r="B898" s="670">
        <f t="shared" si="75"/>
        <v>893</v>
      </c>
      <c r="C898" s="433">
        <v>42864</v>
      </c>
      <c r="D898" s="377" t="s">
        <v>1355</v>
      </c>
      <c r="E898" s="572">
        <v>702000</v>
      </c>
      <c r="F898" s="672" t="str">
        <f>IFERROR(VLOOKUP(E898,STAT1!$C$4:$D$1000,2,FALSE),"")</f>
        <v>Түлш, шатахуун</v>
      </c>
      <c r="G898" s="377">
        <v>35000</v>
      </c>
      <c r="H898" s="377">
        <v>0</v>
      </c>
      <c r="I898" s="596">
        <f t="shared" si="73"/>
        <v>0</v>
      </c>
      <c r="J898" s="81">
        <f t="shared" si="77"/>
        <v>0</v>
      </c>
      <c r="K898" s="81"/>
      <c r="L898" s="597">
        <v>1004</v>
      </c>
      <c r="M898" s="81" t="str">
        <f>+IFERROR(VLOOKUP(L898,DATA!$G$4:$H$2000,2,FALSE),"")</f>
        <v xml:space="preserve">Түмэндэлгэр </v>
      </c>
      <c r="N898" s="435"/>
      <c r="O898" s="81" t="str">
        <f>IFERROR(VLOOKUP(N898,DATA!$K$4:$L$51,2,FALSE),"")</f>
        <v/>
      </c>
      <c r="P898" s="81"/>
      <c r="Q898" s="152">
        <f t="shared" si="74"/>
        <v>0</v>
      </c>
    </row>
    <row r="899" spans="2:17">
      <c r="B899" s="670">
        <f t="shared" si="75"/>
        <v>894</v>
      </c>
      <c r="C899" s="433">
        <v>42865</v>
      </c>
      <c r="D899" s="598" t="s">
        <v>1745</v>
      </c>
      <c r="E899" s="572">
        <v>701900</v>
      </c>
      <c r="F899" s="672" t="str">
        <f>IFERROR(VLOOKUP(E899,STAT1!$C$4:$D$1000,2,FALSE),"")</f>
        <v>Харилцаа холбоо</v>
      </c>
      <c r="G899" s="377">
        <v>36363.64</v>
      </c>
      <c r="H899" s="377">
        <v>0</v>
      </c>
      <c r="I899" s="596">
        <f t="shared" si="73"/>
        <v>0</v>
      </c>
      <c r="J899" s="81">
        <f t="shared" si="77"/>
        <v>0</v>
      </c>
      <c r="K899" s="81"/>
      <c r="L899" s="597">
        <v>2006</v>
      </c>
      <c r="M899" s="81" t="str">
        <f>+IFERROR(VLOOKUP(L899,DATA!$G$4:$H$2000,2,FALSE),"")</f>
        <v xml:space="preserve">МЦХОЛБОО </v>
      </c>
      <c r="N899" s="435"/>
      <c r="O899" s="81" t="str">
        <f>IFERROR(VLOOKUP(N899,DATA!$K$4:$L$51,2,FALSE),"")</f>
        <v/>
      </c>
      <c r="P899" s="81"/>
      <c r="Q899" s="152">
        <f t="shared" si="74"/>
        <v>0</v>
      </c>
    </row>
    <row r="900" spans="2:17">
      <c r="B900" s="670">
        <f t="shared" si="75"/>
        <v>895</v>
      </c>
      <c r="C900" s="433">
        <v>42865</v>
      </c>
      <c r="D900" s="598" t="s">
        <v>1745</v>
      </c>
      <c r="E900" s="572">
        <v>120600</v>
      </c>
      <c r="F900" s="672" t="str">
        <f>IFERROR(VLOOKUP(E900,STAT1!$C$4:$D$1000,2,FALSE),"")</f>
        <v>НӨАТ авлага</v>
      </c>
      <c r="G900" s="377">
        <v>3636.36</v>
      </c>
      <c r="H900" s="377"/>
      <c r="I900" s="596">
        <f t="shared" si="73"/>
        <v>0</v>
      </c>
      <c r="J900" s="81">
        <f t="shared" si="77"/>
        <v>0</v>
      </c>
      <c r="K900" s="81"/>
      <c r="L900" s="597">
        <v>2006</v>
      </c>
      <c r="M900" s="81" t="str">
        <f>+IFERROR(VLOOKUP(L900,DATA!$G$4:$H$2000,2,FALSE),"")</f>
        <v xml:space="preserve">МЦХОЛБОО </v>
      </c>
      <c r="N900" s="435"/>
      <c r="O900" s="81" t="str">
        <f>IFERROR(VLOOKUP(N900,DATA!$K$4:$L$51,2,FALSE),"")</f>
        <v/>
      </c>
      <c r="P900" s="81"/>
      <c r="Q900" s="152">
        <f t="shared" si="74"/>
        <v>0</v>
      </c>
    </row>
    <row r="901" spans="2:17">
      <c r="B901" s="670">
        <f t="shared" si="75"/>
        <v>896</v>
      </c>
      <c r="C901" s="433">
        <v>42865</v>
      </c>
      <c r="D901" s="598" t="s">
        <v>1745</v>
      </c>
      <c r="E901" s="572">
        <v>110100</v>
      </c>
      <c r="F901" s="672" t="str">
        <f>IFERROR(VLOOKUP(E901,STAT1!$C$4:$D$1000,2,FALSE),"")</f>
        <v>Хаан Банк 5024654020</v>
      </c>
      <c r="G901" s="377"/>
      <c r="H901" s="377">
        <v>40000</v>
      </c>
      <c r="I901" s="596">
        <f t="shared" si="73"/>
        <v>-40000</v>
      </c>
      <c r="J901" s="81">
        <f t="shared" si="77"/>
        <v>0</v>
      </c>
      <c r="K901" s="81"/>
      <c r="L901" s="597">
        <v>2006</v>
      </c>
      <c r="M901" s="81" t="str">
        <f>+IFERROR(VLOOKUP(L901,DATA!$G$4:$H$2000,2,FALSE),"")</f>
        <v xml:space="preserve">МЦХОЛБОО </v>
      </c>
      <c r="N901" s="435">
        <v>59</v>
      </c>
      <c r="O901" s="81" t="str">
        <f>IFERROR(VLOOKUP(N901,DATA!$K$4:$L$51,2,FALSE),"")</f>
        <v>Бусад мөнгөн зарлага</v>
      </c>
      <c r="P901" s="81"/>
      <c r="Q901" s="152">
        <f t="shared" si="74"/>
        <v>1</v>
      </c>
    </row>
    <row r="902" spans="2:17">
      <c r="B902" s="670">
        <f t="shared" si="75"/>
        <v>897</v>
      </c>
      <c r="C902" s="601">
        <v>42865</v>
      </c>
      <c r="D902" s="377" t="s">
        <v>2700</v>
      </c>
      <c r="E902" s="573">
        <v>150101</v>
      </c>
      <c r="F902" s="672" t="str">
        <f>IFERROR(VLOOKUP(E902,STAT1!$C$4:$D$1000,2,FALSE),"")</f>
        <v>Бараа бэлэн бүтээгдэхүүн БОЛОВСРУУЛАХ ЦЕХ /нарс/</v>
      </c>
      <c r="G902" s="597"/>
      <c r="H902" s="377">
        <v>32380.250176740239</v>
      </c>
      <c r="I902" s="596">
        <f t="shared" ref="I902:I965" si="78">+IF(OR(E902=100100,E902=100200,E902=110100,E902=110102,E902=110103,E902=110104,E902=110105,E902=110200,E902=110201,E902=110202,E902=110203,E902=110204,E902=110300),G902,0)+IF(OR(E902=100100,E902=100200,E902=110100,E902=110102,E902=110103,E902=110104,E902=110105,E902=110200,E902=110201,E902=110202,E902=110203,E902=110204,E902=110300),H902*-1,0)</f>
        <v>0</v>
      </c>
      <c r="J902" s="81"/>
      <c r="K902" s="81"/>
      <c r="L902" s="597">
        <v>3055</v>
      </c>
      <c r="M902" s="81" t="str">
        <f>+IFERROR(VLOOKUP(L902,DATA!$G$4:$H$2000,2,FALSE),"")</f>
        <v xml:space="preserve">МЧБС ХХК </v>
      </c>
      <c r="N902" s="166"/>
      <c r="O902" s="81" t="str">
        <f>IFERROR(VLOOKUP(N902,DATA!$K$4:$L$51,2,FALSE),"")</f>
        <v/>
      </c>
      <c r="P902" s="81"/>
      <c r="Q902" s="152">
        <f t="shared" si="74"/>
        <v>0</v>
      </c>
    </row>
    <row r="903" spans="2:17">
      <c r="B903" s="670">
        <f t="shared" si="75"/>
        <v>898</v>
      </c>
      <c r="C903" s="601">
        <v>42865</v>
      </c>
      <c r="D903" s="377" t="s">
        <v>587</v>
      </c>
      <c r="E903" s="572">
        <v>610100</v>
      </c>
      <c r="F903" s="672" t="str">
        <f>IFERROR(VLOOKUP(E903,STAT1!$C$4:$D$1000,2,FALSE),"")</f>
        <v>Борлуулсан барааны өртөг</v>
      </c>
      <c r="G903" s="377">
        <v>32380.250176740239</v>
      </c>
      <c r="H903" s="597"/>
      <c r="I903" s="596">
        <f t="shared" si="78"/>
        <v>0</v>
      </c>
      <c r="J903" s="81"/>
      <c r="K903" s="81"/>
      <c r="L903" s="597">
        <v>3055</v>
      </c>
      <c r="M903" s="81" t="str">
        <f>+IFERROR(VLOOKUP(L903,DATA!$G$4:$H$2000,2,FALSE),"")</f>
        <v xml:space="preserve">МЧБС ХХК </v>
      </c>
      <c r="N903" s="166"/>
      <c r="O903" s="81" t="str">
        <f>IFERROR(VLOOKUP(N903,DATA!$K$4:$L$51,2,FALSE),"")</f>
        <v/>
      </c>
      <c r="P903" s="81"/>
      <c r="Q903" s="152">
        <f t="shared" ref="Q903:Q966" si="79">+IF(I903,1,0)</f>
        <v>0</v>
      </c>
    </row>
    <row r="904" spans="2:17">
      <c r="B904" s="670">
        <f t="shared" si="75"/>
        <v>899</v>
      </c>
      <c r="C904" s="601">
        <v>42865</v>
      </c>
      <c r="D904" s="377" t="s">
        <v>587</v>
      </c>
      <c r="E904" s="572">
        <v>310500</v>
      </c>
      <c r="F904" s="672" t="str">
        <f>IFERROR(VLOOKUP(E904,STAT1!$C$4:$D$1000,2,FALSE),"")</f>
        <v>НӨАТ өглөг</v>
      </c>
      <c r="G904" s="597"/>
      <c r="H904" s="377">
        <v>4890.9090883999997</v>
      </c>
      <c r="I904" s="596">
        <f t="shared" si="78"/>
        <v>0</v>
      </c>
      <c r="J904" s="81"/>
      <c r="K904" s="81"/>
      <c r="L904" s="597">
        <v>3055</v>
      </c>
      <c r="M904" s="81" t="str">
        <f>+IFERROR(VLOOKUP(L904,DATA!$G$4:$H$2000,2,FALSE),"")</f>
        <v xml:space="preserve">МЧБС ХХК </v>
      </c>
      <c r="N904" s="166"/>
      <c r="O904" s="81" t="str">
        <f>IFERROR(VLOOKUP(N904,DATA!$K$4:$L$51,2,FALSE),"")</f>
        <v/>
      </c>
      <c r="P904" s="81"/>
      <c r="Q904" s="152">
        <f t="shared" si="79"/>
        <v>0</v>
      </c>
    </row>
    <row r="905" spans="2:17">
      <c r="B905" s="670">
        <f t="shared" si="75"/>
        <v>900</v>
      </c>
      <c r="C905" s="601">
        <v>42865</v>
      </c>
      <c r="D905" s="377" t="s">
        <v>587</v>
      </c>
      <c r="E905" s="572">
        <v>510000</v>
      </c>
      <c r="F905" s="672" t="str">
        <f>IFERROR(VLOOKUP(E905,STAT1!$C$4:$D$1000,2,FALSE),"")</f>
        <v>Үндсэн үйл ажиллагааны борлуулалт</v>
      </c>
      <c r="G905" s="597"/>
      <c r="H905" s="377">
        <v>48909.090883999997</v>
      </c>
      <c r="I905" s="596">
        <f t="shared" si="78"/>
        <v>0</v>
      </c>
      <c r="J905" s="81"/>
      <c r="K905" s="81"/>
      <c r="L905" s="597">
        <v>3055</v>
      </c>
      <c r="M905" s="81" t="str">
        <f>+IFERROR(VLOOKUP(L905,DATA!$G$4:$H$2000,2,FALSE),"")</f>
        <v xml:space="preserve">МЧБС ХХК </v>
      </c>
      <c r="N905" s="166"/>
      <c r="O905" s="81" t="str">
        <f>IFERROR(VLOOKUP(N905,DATA!$K$4:$L$51,2,FALSE),"")</f>
        <v/>
      </c>
      <c r="P905" s="81"/>
      <c r="Q905" s="152">
        <f t="shared" si="79"/>
        <v>0</v>
      </c>
    </row>
    <row r="906" spans="2:17">
      <c r="B906" s="670">
        <f t="shared" si="75"/>
        <v>901</v>
      </c>
      <c r="C906" s="601">
        <v>42865</v>
      </c>
      <c r="D906" s="377" t="s">
        <v>587</v>
      </c>
      <c r="E906" s="572">
        <v>320100</v>
      </c>
      <c r="F906" s="672" t="str">
        <f>IFERROR(VLOOKUP(E906,STAT1!$C$4:$D$1000,2,FALSE),"")</f>
        <v>Урьдчилж орсон орлого MNT</v>
      </c>
      <c r="G906" s="377">
        <v>53799.999972399994</v>
      </c>
      <c r="H906" s="597"/>
      <c r="I906" s="596">
        <f t="shared" si="78"/>
        <v>0</v>
      </c>
      <c r="J906" s="81"/>
      <c r="K906" s="81"/>
      <c r="L906" s="597">
        <v>3055</v>
      </c>
      <c r="M906" s="81" t="str">
        <f>+IFERROR(VLOOKUP(L906,DATA!$G$4:$H$2000,2,FALSE),"")</f>
        <v xml:space="preserve">МЧБС ХХК </v>
      </c>
      <c r="N906" s="166"/>
      <c r="O906" s="81" t="str">
        <f>IFERROR(VLOOKUP(N906,DATA!$K$4:$L$51,2,FALSE),"")</f>
        <v/>
      </c>
      <c r="P906" s="81"/>
      <c r="Q906" s="152">
        <f t="shared" si="79"/>
        <v>0</v>
      </c>
    </row>
    <row r="907" spans="2:17">
      <c r="B907" s="670">
        <f t="shared" ref="B907:B970" si="80">+IF(C907="","",ROW()-5)</f>
        <v>902</v>
      </c>
      <c r="C907" s="433">
        <v>42866</v>
      </c>
      <c r="D907" s="377" t="s">
        <v>1741</v>
      </c>
      <c r="E907" s="572">
        <v>320100</v>
      </c>
      <c r="F907" s="672" t="str">
        <f>IFERROR(VLOOKUP(E907,STAT1!$C$4:$D$1000,2,FALSE),"")</f>
        <v>Урьдчилж орсон орлого MNT</v>
      </c>
      <c r="G907" s="377"/>
      <c r="H907" s="377">
        <v>247500</v>
      </c>
      <c r="I907" s="596">
        <f t="shared" si="78"/>
        <v>0</v>
      </c>
      <c r="J907" s="81">
        <f t="shared" ref="J907:J917" si="81">+IF(E907=110102,I907/K907,0)</f>
        <v>0</v>
      </c>
      <c r="K907" s="81"/>
      <c r="L907" s="597">
        <v>3047</v>
      </c>
      <c r="M907" s="81" t="str">
        <f>+IFERROR(VLOOKUP(L907,DATA!$G$4:$H$2000,2,FALSE),"")</f>
        <v>ГЛОБАЛ ГАЗАР ХХК</v>
      </c>
      <c r="N907" s="435"/>
      <c r="O907" s="81" t="str">
        <f>IFERROR(VLOOKUP(N907,DATA!$K$4:$L$51,2,FALSE),"")</f>
        <v/>
      </c>
      <c r="P907" s="81"/>
      <c r="Q907" s="152">
        <f t="shared" si="79"/>
        <v>0</v>
      </c>
    </row>
    <row r="908" spans="2:17">
      <c r="B908" s="670">
        <f t="shared" si="80"/>
        <v>903</v>
      </c>
      <c r="C908" s="433">
        <v>42866</v>
      </c>
      <c r="D908" s="377" t="s">
        <v>1741</v>
      </c>
      <c r="E908" s="572">
        <v>100100</v>
      </c>
      <c r="F908" s="672" t="str">
        <f>IFERROR(VLOOKUP(E908,STAT1!$C$4:$D$1000,2,FALSE),"")</f>
        <v>Касс мөнгө MNT</v>
      </c>
      <c r="G908" s="377">
        <v>247500</v>
      </c>
      <c r="H908" s="377">
        <v>0</v>
      </c>
      <c r="I908" s="596">
        <f t="shared" si="78"/>
        <v>247500</v>
      </c>
      <c r="J908" s="81">
        <f t="shared" si="81"/>
        <v>0</v>
      </c>
      <c r="K908" s="81"/>
      <c r="L908" s="597">
        <v>3047</v>
      </c>
      <c r="M908" s="81" t="str">
        <f>+IFERROR(VLOOKUP(L908,DATA!$G$4:$H$2000,2,FALSE),"")</f>
        <v>ГЛОБАЛ ГАЗАР ХХК</v>
      </c>
      <c r="N908" s="435">
        <v>41</v>
      </c>
      <c r="O908" s="81" t="str">
        <f>IFERROR(VLOOKUP(N908,DATA!$K$4:$L$51,2,FALSE),"")</f>
        <v>Бараа борлуулсан, үйлчилгээ үзүүлсэний орлого</v>
      </c>
      <c r="P908" s="81"/>
      <c r="Q908" s="152">
        <f t="shared" si="79"/>
        <v>1</v>
      </c>
    </row>
    <row r="909" spans="2:17">
      <c r="B909" s="670">
        <f t="shared" si="80"/>
        <v>904</v>
      </c>
      <c r="C909" s="433">
        <v>42866</v>
      </c>
      <c r="D909" s="377" t="s">
        <v>1741</v>
      </c>
      <c r="E909" s="572">
        <v>320100</v>
      </c>
      <c r="F909" s="672" t="str">
        <f>IFERROR(VLOOKUP(E909,STAT1!$C$4:$D$1000,2,FALSE),"")</f>
        <v>Урьдчилж орсон орлого MNT</v>
      </c>
      <c r="G909" s="377"/>
      <c r="H909" s="377">
        <v>605000</v>
      </c>
      <c r="I909" s="596">
        <f t="shared" si="78"/>
        <v>0</v>
      </c>
      <c r="J909" s="81">
        <f t="shared" si="81"/>
        <v>0</v>
      </c>
      <c r="K909" s="81"/>
      <c r="L909" s="597">
        <v>3046</v>
      </c>
      <c r="M909" s="81" t="str">
        <f>+IFERROR(VLOOKUP(L909,DATA!$G$4:$H$2000,2,FALSE),"")</f>
        <v xml:space="preserve">ТЭГШРЭХ ГУРВАН ЭРДЭНЭ ХХК </v>
      </c>
      <c r="N909" s="435"/>
      <c r="O909" s="81" t="str">
        <f>IFERROR(VLOOKUP(N909,DATA!$K$4:$L$51,2,FALSE),"")</f>
        <v/>
      </c>
      <c r="P909" s="81"/>
      <c r="Q909" s="152">
        <f t="shared" si="79"/>
        <v>0</v>
      </c>
    </row>
    <row r="910" spans="2:17">
      <c r="B910" s="670">
        <f t="shared" si="80"/>
        <v>905</v>
      </c>
      <c r="C910" s="433">
        <v>42866</v>
      </c>
      <c r="D910" s="377" t="s">
        <v>1741</v>
      </c>
      <c r="E910" s="572">
        <v>100100</v>
      </c>
      <c r="F910" s="672" t="str">
        <f>IFERROR(VLOOKUP(E910,STAT1!$C$4:$D$1000,2,FALSE),"")</f>
        <v>Касс мөнгө MNT</v>
      </c>
      <c r="G910" s="377">
        <v>605000</v>
      </c>
      <c r="H910" s="377">
        <v>0</v>
      </c>
      <c r="I910" s="596">
        <f t="shared" si="78"/>
        <v>605000</v>
      </c>
      <c r="J910" s="81">
        <f t="shared" si="81"/>
        <v>0</v>
      </c>
      <c r="K910" s="81"/>
      <c r="L910" s="597">
        <v>3046</v>
      </c>
      <c r="M910" s="81" t="str">
        <f>+IFERROR(VLOOKUP(L910,DATA!$G$4:$H$2000,2,FALSE),"")</f>
        <v xml:space="preserve">ТЭГШРЭХ ГУРВАН ЭРДЭНЭ ХХК </v>
      </c>
      <c r="N910" s="435">
        <v>41</v>
      </c>
      <c r="O910" s="81" t="str">
        <f>IFERROR(VLOOKUP(N910,DATA!$K$4:$L$51,2,FALSE),"")</f>
        <v>Бараа борлуулсан, үйлчилгээ үзүүлсэний орлого</v>
      </c>
      <c r="P910" s="81"/>
      <c r="Q910" s="152">
        <f t="shared" si="79"/>
        <v>1</v>
      </c>
    </row>
    <row r="911" spans="2:17">
      <c r="B911" s="670">
        <f t="shared" si="80"/>
        <v>906</v>
      </c>
      <c r="C911" s="433">
        <v>42866</v>
      </c>
      <c r="D911" s="377" t="s">
        <v>1741</v>
      </c>
      <c r="E911" s="572">
        <v>320100</v>
      </c>
      <c r="F911" s="672" t="str">
        <f>IFERROR(VLOOKUP(E911,STAT1!$C$4:$D$1000,2,FALSE),"")</f>
        <v>Урьдчилж орсон орлого MNT</v>
      </c>
      <c r="G911" s="377"/>
      <c r="H911" s="377">
        <v>53800</v>
      </c>
      <c r="I911" s="596">
        <f t="shared" si="78"/>
        <v>0</v>
      </c>
      <c r="J911" s="81">
        <f t="shared" si="81"/>
        <v>0</v>
      </c>
      <c r="K911" s="81"/>
      <c r="L911" s="597">
        <v>3055</v>
      </c>
      <c r="M911" s="81" t="str">
        <f>+IFERROR(VLOOKUP(L911,DATA!$G$4:$H$2000,2,FALSE),"")</f>
        <v xml:space="preserve">МЧБС ХХК </v>
      </c>
      <c r="N911" s="435"/>
      <c r="O911" s="81" t="str">
        <f>IFERROR(VLOOKUP(N911,DATA!$K$4:$L$51,2,FALSE),"")</f>
        <v/>
      </c>
      <c r="P911" s="81"/>
      <c r="Q911" s="152">
        <f t="shared" si="79"/>
        <v>0</v>
      </c>
    </row>
    <row r="912" spans="2:17">
      <c r="B912" s="670">
        <f t="shared" si="80"/>
        <v>907</v>
      </c>
      <c r="C912" s="433">
        <v>42866</v>
      </c>
      <c r="D912" s="377" t="s">
        <v>1741</v>
      </c>
      <c r="E912" s="572">
        <v>100100</v>
      </c>
      <c r="F912" s="672" t="str">
        <f>IFERROR(VLOOKUP(E912,STAT1!$C$4:$D$1000,2,FALSE),"")</f>
        <v>Касс мөнгө MNT</v>
      </c>
      <c r="G912" s="377">
        <v>53800</v>
      </c>
      <c r="H912" s="377">
        <v>0</v>
      </c>
      <c r="I912" s="596">
        <f t="shared" si="78"/>
        <v>53800</v>
      </c>
      <c r="J912" s="81">
        <f t="shared" si="81"/>
        <v>0</v>
      </c>
      <c r="K912" s="81"/>
      <c r="L912" s="597">
        <v>3055</v>
      </c>
      <c r="M912" s="81" t="str">
        <f>+IFERROR(VLOOKUP(L912,DATA!$G$4:$H$2000,2,FALSE),"")</f>
        <v xml:space="preserve">МЧБС ХХК </v>
      </c>
      <c r="N912" s="435">
        <v>41</v>
      </c>
      <c r="O912" s="81" t="str">
        <f>IFERROR(VLOOKUP(N912,DATA!$K$4:$L$51,2,FALSE),"")</f>
        <v>Бараа борлуулсан, үйлчилгээ үзүүлсэний орлого</v>
      </c>
      <c r="P912" s="81"/>
      <c r="Q912" s="152">
        <f t="shared" si="79"/>
        <v>1</v>
      </c>
    </row>
    <row r="913" spans="2:17">
      <c r="B913" s="670">
        <f t="shared" si="80"/>
        <v>908</v>
      </c>
      <c r="C913" s="433">
        <v>42866</v>
      </c>
      <c r="D913" s="598" t="s">
        <v>1741</v>
      </c>
      <c r="E913" s="572">
        <v>110100</v>
      </c>
      <c r="F913" s="672" t="str">
        <f>IFERROR(VLOOKUP(E913,STAT1!$C$4:$D$1000,2,FALSE),"")</f>
        <v>Хаан Банк 5024654020</v>
      </c>
      <c r="G913" s="377">
        <v>5516535</v>
      </c>
      <c r="H913" s="377"/>
      <c r="I913" s="596">
        <f t="shared" si="78"/>
        <v>5516535</v>
      </c>
      <c r="J913" s="81">
        <f t="shared" si="81"/>
        <v>0</v>
      </c>
      <c r="K913" s="81"/>
      <c r="L913" s="597">
        <v>3002</v>
      </c>
      <c r="M913" s="81" t="str">
        <f>+IFERROR(VLOOKUP(L913,DATA!$G$4:$H$2000,2,FALSE),"")</f>
        <v>ЭКО КОНСТРАКШН ХХК</v>
      </c>
      <c r="N913" s="435">
        <v>41</v>
      </c>
      <c r="O913" s="81" t="str">
        <f>IFERROR(VLOOKUP(N913,DATA!$K$4:$L$51,2,FALSE),"")</f>
        <v>Бараа борлуулсан, үйлчилгээ үзүүлсэний орлого</v>
      </c>
      <c r="P913" s="81"/>
      <c r="Q913" s="152">
        <f t="shared" si="79"/>
        <v>1</v>
      </c>
    </row>
    <row r="914" spans="2:17">
      <c r="B914" s="670">
        <f t="shared" si="80"/>
        <v>909</v>
      </c>
      <c r="C914" s="433">
        <v>42866</v>
      </c>
      <c r="D914" s="598" t="s">
        <v>1741</v>
      </c>
      <c r="E914" s="572">
        <v>320100</v>
      </c>
      <c r="F914" s="672" t="str">
        <f>IFERROR(VLOOKUP(E914,STAT1!$C$4:$D$1000,2,FALSE),"")</f>
        <v>Урьдчилж орсон орлого MNT</v>
      </c>
      <c r="G914" s="377">
        <v>0</v>
      </c>
      <c r="H914" s="377">
        <v>5516535</v>
      </c>
      <c r="I914" s="596">
        <f t="shared" si="78"/>
        <v>0</v>
      </c>
      <c r="J914" s="81">
        <f t="shared" si="81"/>
        <v>0</v>
      </c>
      <c r="K914" s="81"/>
      <c r="L914" s="597">
        <v>3002</v>
      </c>
      <c r="M914" s="81" t="str">
        <f>+IFERROR(VLOOKUP(L914,DATA!$G$4:$H$2000,2,FALSE),"")</f>
        <v>ЭКО КОНСТРАКШН ХХК</v>
      </c>
      <c r="N914" s="435"/>
      <c r="O914" s="81" t="str">
        <f>IFERROR(VLOOKUP(N914,DATA!$K$4:$L$51,2,FALSE),"")</f>
        <v/>
      </c>
      <c r="P914" s="81"/>
      <c r="Q914" s="152">
        <f t="shared" si="79"/>
        <v>0</v>
      </c>
    </row>
    <row r="915" spans="2:17">
      <c r="B915" s="670">
        <f t="shared" si="80"/>
        <v>910</v>
      </c>
      <c r="C915" s="433">
        <v>42866</v>
      </c>
      <c r="D915" s="598" t="s">
        <v>1748</v>
      </c>
      <c r="E915" s="572">
        <v>700800</v>
      </c>
      <c r="F915" s="672" t="str">
        <f>IFERROR(VLOOKUP(E915,STAT1!$C$4:$D$1000,2,FALSE),"")</f>
        <v>Дулаан</v>
      </c>
      <c r="G915" s="377">
        <v>70641.73</v>
      </c>
      <c r="H915" s="377">
        <v>0</v>
      </c>
      <c r="I915" s="596">
        <f t="shared" si="78"/>
        <v>0</v>
      </c>
      <c r="J915" s="81">
        <f t="shared" si="81"/>
        <v>0</v>
      </c>
      <c r="K915" s="81"/>
      <c r="L915" s="597">
        <v>2013</v>
      </c>
      <c r="M915" s="81" t="str">
        <f>+IFERROR(VLOOKUP(L915,DATA!$G$4:$H$2000,2,FALSE),"")</f>
        <v>УБДС ТӨХК</v>
      </c>
      <c r="N915" s="435"/>
      <c r="O915" s="81" t="str">
        <f>IFERROR(VLOOKUP(N915,DATA!$K$4:$L$51,2,FALSE),"")</f>
        <v/>
      </c>
      <c r="P915" s="81"/>
      <c r="Q915" s="152">
        <f t="shared" si="79"/>
        <v>0</v>
      </c>
    </row>
    <row r="916" spans="2:17">
      <c r="B916" s="670">
        <f t="shared" si="80"/>
        <v>911</v>
      </c>
      <c r="C916" s="433">
        <v>42866</v>
      </c>
      <c r="D916" s="598" t="s">
        <v>1748</v>
      </c>
      <c r="E916" s="572">
        <v>120600</v>
      </c>
      <c r="F916" s="672" t="str">
        <f>IFERROR(VLOOKUP(E916,STAT1!$C$4:$D$1000,2,FALSE),"")</f>
        <v>НӨАТ авлага</v>
      </c>
      <c r="G916" s="377">
        <v>7064.27</v>
      </c>
      <c r="H916" s="377"/>
      <c r="I916" s="596">
        <f t="shared" si="78"/>
        <v>0</v>
      </c>
      <c r="J916" s="81">
        <f t="shared" si="81"/>
        <v>0</v>
      </c>
      <c r="K916" s="81"/>
      <c r="L916" s="597">
        <v>2013</v>
      </c>
      <c r="M916" s="81" t="str">
        <f>+IFERROR(VLOOKUP(L916,DATA!$G$4:$H$2000,2,FALSE),"")</f>
        <v>УБДС ТӨХК</v>
      </c>
      <c r="N916" s="435"/>
      <c r="O916" s="81" t="str">
        <f>IFERROR(VLOOKUP(N916,DATA!$K$4:$L$51,2,FALSE),"")</f>
        <v/>
      </c>
      <c r="P916" s="81"/>
      <c r="Q916" s="152">
        <f t="shared" si="79"/>
        <v>0</v>
      </c>
    </row>
    <row r="917" spans="2:17">
      <c r="B917" s="670">
        <f t="shared" si="80"/>
        <v>912</v>
      </c>
      <c r="C917" s="433">
        <v>42866</v>
      </c>
      <c r="D917" s="598" t="s">
        <v>1748</v>
      </c>
      <c r="E917" s="572">
        <v>110100</v>
      </c>
      <c r="F917" s="672" t="str">
        <f>IFERROR(VLOOKUP(E917,STAT1!$C$4:$D$1000,2,FALSE),"")</f>
        <v>Хаан Банк 5024654020</v>
      </c>
      <c r="G917" s="377"/>
      <c r="H917" s="377">
        <v>77706</v>
      </c>
      <c r="I917" s="596">
        <f t="shared" si="78"/>
        <v>-77706</v>
      </c>
      <c r="J917" s="81">
        <f t="shared" si="81"/>
        <v>0</v>
      </c>
      <c r="K917" s="81"/>
      <c r="L917" s="597">
        <v>2013</v>
      </c>
      <c r="M917" s="81" t="str">
        <f>+IFERROR(VLOOKUP(L917,DATA!$G$4:$H$2000,2,FALSE),"")</f>
        <v>УБДС ТӨХК</v>
      </c>
      <c r="N917" s="435">
        <v>54</v>
      </c>
      <c r="O917" s="81" t="str">
        <f>IFERROR(VLOOKUP(N917,DATA!$K$4:$L$51,2,FALSE),"")</f>
        <v>Ашиглалтын зардалд төлсөн</v>
      </c>
      <c r="P917" s="81"/>
      <c r="Q917" s="152">
        <f t="shared" si="79"/>
        <v>1</v>
      </c>
    </row>
    <row r="918" spans="2:17">
      <c r="B918" s="670">
        <f t="shared" si="80"/>
        <v>913</v>
      </c>
      <c r="C918" s="601">
        <v>42866</v>
      </c>
      <c r="D918" s="377" t="s">
        <v>2700</v>
      </c>
      <c r="E918" s="573">
        <v>150101</v>
      </c>
      <c r="F918" s="672" t="str">
        <f>IFERROR(VLOOKUP(E918,STAT1!$C$4:$D$1000,2,FALSE),"")</f>
        <v>Бараа бэлэн бүтээгдэхүүн БОЛОВСРУУЛАХ ЦЕХ /нарс/</v>
      </c>
      <c r="G918" s="597"/>
      <c r="H918" s="377">
        <v>156272.24774112008</v>
      </c>
      <c r="I918" s="596">
        <f t="shared" si="78"/>
        <v>0</v>
      </c>
      <c r="J918" s="81"/>
      <c r="K918" s="81"/>
      <c r="L918" s="597">
        <v>3047</v>
      </c>
      <c r="M918" s="81" t="str">
        <f>+IFERROR(VLOOKUP(L918,DATA!$G$4:$H$2000,2,FALSE),"")</f>
        <v>ГЛОБАЛ ГАЗАР ХХК</v>
      </c>
      <c r="N918" s="166"/>
      <c r="O918" s="81" t="str">
        <f>IFERROR(VLOOKUP(N918,DATA!$K$4:$L$51,2,FALSE),"")</f>
        <v/>
      </c>
      <c r="P918" s="81"/>
      <c r="Q918" s="152">
        <f t="shared" si="79"/>
        <v>0</v>
      </c>
    </row>
    <row r="919" spans="2:17">
      <c r="B919" s="670">
        <f t="shared" si="80"/>
        <v>914</v>
      </c>
      <c r="C919" s="601">
        <v>42866</v>
      </c>
      <c r="D919" s="377" t="s">
        <v>587</v>
      </c>
      <c r="E919" s="572">
        <v>610100</v>
      </c>
      <c r="F919" s="672" t="str">
        <f>IFERROR(VLOOKUP(E919,STAT1!$C$4:$D$1000,2,FALSE),"")</f>
        <v>Борлуулсан барааны өртөг</v>
      </c>
      <c r="G919" s="377">
        <v>156272.24774112008</v>
      </c>
      <c r="H919" s="597"/>
      <c r="I919" s="596">
        <f t="shared" si="78"/>
        <v>0</v>
      </c>
      <c r="J919" s="81"/>
      <c r="K919" s="81"/>
      <c r="L919" s="597">
        <v>3047</v>
      </c>
      <c r="M919" s="81" t="str">
        <f>+IFERROR(VLOOKUP(L919,DATA!$G$4:$H$2000,2,FALSE),"")</f>
        <v>ГЛОБАЛ ГАЗАР ХХК</v>
      </c>
      <c r="N919" s="166"/>
      <c r="O919" s="81" t="str">
        <f>IFERROR(VLOOKUP(N919,DATA!$K$4:$L$51,2,FALSE),"")</f>
        <v/>
      </c>
      <c r="P919" s="81"/>
      <c r="Q919" s="152">
        <f t="shared" si="79"/>
        <v>0</v>
      </c>
    </row>
    <row r="920" spans="2:17">
      <c r="B920" s="670">
        <f t="shared" si="80"/>
        <v>915</v>
      </c>
      <c r="C920" s="601">
        <v>42866</v>
      </c>
      <c r="D920" s="377" t="s">
        <v>587</v>
      </c>
      <c r="E920" s="572">
        <v>310500</v>
      </c>
      <c r="F920" s="672" t="str">
        <f>IFERROR(VLOOKUP(E920,STAT1!$C$4:$D$1000,2,FALSE),"")</f>
        <v>НӨАТ өглөг</v>
      </c>
      <c r="G920" s="597"/>
      <c r="H920" s="377">
        <v>22500</v>
      </c>
      <c r="I920" s="596">
        <f t="shared" si="78"/>
        <v>0</v>
      </c>
      <c r="J920" s="81"/>
      <c r="K920" s="81"/>
      <c r="L920" s="597">
        <v>3047</v>
      </c>
      <c r="M920" s="81" t="str">
        <f>+IFERROR(VLOOKUP(L920,DATA!$G$4:$H$2000,2,FALSE),"")</f>
        <v>ГЛОБАЛ ГАЗАР ХХК</v>
      </c>
      <c r="N920" s="166"/>
      <c r="O920" s="81" t="str">
        <f>IFERROR(VLOOKUP(N920,DATA!$K$4:$L$51,2,FALSE),"")</f>
        <v/>
      </c>
      <c r="P920" s="81"/>
      <c r="Q920" s="152">
        <f t="shared" si="79"/>
        <v>0</v>
      </c>
    </row>
    <row r="921" spans="2:17">
      <c r="B921" s="670">
        <f t="shared" si="80"/>
        <v>916</v>
      </c>
      <c r="C921" s="601">
        <v>42866</v>
      </c>
      <c r="D921" s="377" t="s">
        <v>587</v>
      </c>
      <c r="E921" s="572">
        <v>510000</v>
      </c>
      <c r="F921" s="672" t="str">
        <f>IFERROR(VLOOKUP(E921,STAT1!$C$4:$D$1000,2,FALSE),"")</f>
        <v>Үндсэн үйл ажиллагааны борлуулалт</v>
      </c>
      <c r="G921" s="597"/>
      <c r="H921" s="377">
        <v>225000</v>
      </c>
      <c r="I921" s="596">
        <f t="shared" si="78"/>
        <v>0</v>
      </c>
      <c r="J921" s="81"/>
      <c r="K921" s="81"/>
      <c r="L921" s="597">
        <v>3047</v>
      </c>
      <c r="M921" s="81" t="str">
        <f>+IFERROR(VLOOKUP(L921,DATA!$G$4:$H$2000,2,FALSE),"")</f>
        <v>ГЛОБАЛ ГАЗАР ХХК</v>
      </c>
      <c r="N921" s="166"/>
      <c r="O921" s="81" t="str">
        <f>IFERROR(VLOOKUP(N921,DATA!$K$4:$L$51,2,FALSE),"")</f>
        <v/>
      </c>
      <c r="P921" s="81"/>
      <c r="Q921" s="152">
        <f t="shared" si="79"/>
        <v>0</v>
      </c>
    </row>
    <row r="922" spans="2:17">
      <c r="B922" s="670">
        <f t="shared" si="80"/>
        <v>917</v>
      </c>
      <c r="C922" s="601">
        <v>42866</v>
      </c>
      <c r="D922" s="377" t="s">
        <v>587</v>
      </c>
      <c r="E922" s="572">
        <v>320100</v>
      </c>
      <c r="F922" s="672" t="str">
        <f>IFERROR(VLOOKUP(E922,STAT1!$C$4:$D$1000,2,FALSE),"")</f>
        <v>Урьдчилж орсон орлого MNT</v>
      </c>
      <c r="G922" s="377">
        <v>247500</v>
      </c>
      <c r="H922" s="597"/>
      <c r="I922" s="596">
        <f t="shared" si="78"/>
        <v>0</v>
      </c>
      <c r="J922" s="81"/>
      <c r="K922" s="81"/>
      <c r="L922" s="597">
        <v>3047</v>
      </c>
      <c r="M922" s="81" t="str">
        <f>+IFERROR(VLOOKUP(L922,DATA!$G$4:$H$2000,2,FALSE),"")</f>
        <v>ГЛОБАЛ ГАЗАР ХХК</v>
      </c>
      <c r="N922" s="166"/>
      <c r="O922" s="81" t="str">
        <f>IFERROR(VLOOKUP(N922,DATA!$K$4:$L$51,2,FALSE),"")</f>
        <v/>
      </c>
      <c r="P922" s="81"/>
      <c r="Q922" s="152">
        <f t="shared" si="79"/>
        <v>0</v>
      </c>
    </row>
    <row r="923" spans="2:17">
      <c r="B923" s="670">
        <f t="shared" si="80"/>
        <v>918</v>
      </c>
      <c r="C923" s="601">
        <v>42866</v>
      </c>
      <c r="D923" s="377" t="s">
        <v>2698</v>
      </c>
      <c r="E923" s="573">
        <v>150101</v>
      </c>
      <c r="F923" s="672" t="str">
        <f>IFERROR(VLOOKUP(E923,STAT1!$C$4:$D$1000,2,FALSE),"")</f>
        <v>Бараа бэлэн бүтээгдэхүүн БОЛОВСРУУЛАХ ЦЕХ /нарс/</v>
      </c>
      <c r="G923" s="597"/>
      <c r="H923" s="377">
        <v>118065.33</v>
      </c>
      <c r="I923" s="596">
        <f t="shared" si="78"/>
        <v>0</v>
      </c>
      <c r="J923" s="81"/>
      <c r="K923" s="81"/>
      <c r="L923" s="597">
        <v>3042</v>
      </c>
      <c r="M923" s="81" t="str">
        <f>+IFERROR(VLOOKUP(L923,DATA!$G$4:$H$2000,2,FALSE),"")</f>
        <v xml:space="preserve">ЖУРМАК ХХК </v>
      </c>
      <c r="N923" s="166"/>
      <c r="O923" s="81" t="str">
        <f>IFERROR(VLOOKUP(N923,DATA!$K$4:$L$51,2,FALSE),"")</f>
        <v/>
      </c>
      <c r="P923" s="81"/>
      <c r="Q923" s="152">
        <f t="shared" si="79"/>
        <v>0</v>
      </c>
    </row>
    <row r="924" spans="2:17">
      <c r="B924" s="670">
        <f t="shared" si="80"/>
        <v>919</v>
      </c>
      <c r="C924" s="601">
        <v>42866</v>
      </c>
      <c r="D924" s="377" t="s">
        <v>587</v>
      </c>
      <c r="E924" s="572">
        <v>610100</v>
      </c>
      <c r="F924" s="672" t="str">
        <f>IFERROR(VLOOKUP(E924,STAT1!$C$4:$D$1000,2,FALSE),"")</f>
        <v>Борлуулсан барааны өртөг</v>
      </c>
      <c r="G924" s="377">
        <v>118065.33</v>
      </c>
      <c r="H924" s="597"/>
      <c r="I924" s="596">
        <f t="shared" si="78"/>
        <v>0</v>
      </c>
      <c r="J924" s="81"/>
      <c r="K924" s="81"/>
      <c r="L924" s="597">
        <v>3042</v>
      </c>
      <c r="M924" s="81" t="str">
        <f>+IFERROR(VLOOKUP(L924,DATA!$G$4:$H$2000,2,FALSE),"")</f>
        <v xml:space="preserve">ЖУРМАК ХХК </v>
      </c>
      <c r="N924" s="166"/>
      <c r="O924" s="81" t="str">
        <f>IFERROR(VLOOKUP(N924,DATA!$K$4:$L$51,2,FALSE),"")</f>
        <v/>
      </c>
      <c r="P924" s="81"/>
      <c r="Q924" s="152">
        <f t="shared" si="79"/>
        <v>0</v>
      </c>
    </row>
    <row r="925" spans="2:17">
      <c r="B925" s="670">
        <f t="shared" si="80"/>
        <v>920</v>
      </c>
      <c r="C925" s="601">
        <v>42866</v>
      </c>
      <c r="D925" s="377" t="s">
        <v>587</v>
      </c>
      <c r="E925" s="572">
        <v>310500</v>
      </c>
      <c r="F925" s="672" t="str">
        <f>IFERROR(VLOOKUP(E925,STAT1!$C$4:$D$1000,2,FALSE),"")</f>
        <v>НӨАТ өглөг</v>
      </c>
      <c r="G925" s="597"/>
      <c r="H925" s="377">
        <v>27000</v>
      </c>
      <c r="I925" s="596">
        <f t="shared" si="78"/>
        <v>0</v>
      </c>
      <c r="J925" s="81"/>
      <c r="K925" s="81"/>
      <c r="L925" s="597">
        <v>3042</v>
      </c>
      <c r="M925" s="81" t="str">
        <f>+IFERROR(VLOOKUP(L925,DATA!$G$4:$H$2000,2,FALSE),"")</f>
        <v xml:space="preserve">ЖУРМАК ХХК </v>
      </c>
      <c r="N925" s="166"/>
      <c r="O925" s="81" t="str">
        <f>IFERROR(VLOOKUP(N925,DATA!$K$4:$L$51,2,FALSE),"")</f>
        <v/>
      </c>
      <c r="P925" s="81"/>
      <c r="Q925" s="152">
        <f t="shared" si="79"/>
        <v>0</v>
      </c>
    </row>
    <row r="926" spans="2:17">
      <c r="B926" s="670">
        <f t="shared" si="80"/>
        <v>921</v>
      </c>
      <c r="C926" s="601">
        <v>42866</v>
      </c>
      <c r="D926" s="377" t="s">
        <v>587</v>
      </c>
      <c r="E926" s="572">
        <v>510000</v>
      </c>
      <c r="F926" s="672" t="str">
        <f>IFERROR(VLOOKUP(E926,STAT1!$C$4:$D$1000,2,FALSE),"")</f>
        <v>Үндсэн үйл ажиллагааны борлуулалт</v>
      </c>
      <c r="G926" s="597"/>
      <c r="H926" s="377">
        <v>270000</v>
      </c>
      <c r="I926" s="596">
        <f t="shared" si="78"/>
        <v>0</v>
      </c>
      <c r="J926" s="81"/>
      <c r="K926" s="81"/>
      <c r="L926" s="597">
        <v>3042</v>
      </c>
      <c r="M926" s="81" t="str">
        <f>+IFERROR(VLOOKUP(L926,DATA!$G$4:$H$2000,2,FALSE),"")</f>
        <v xml:space="preserve">ЖУРМАК ХХК </v>
      </c>
      <c r="N926" s="166"/>
      <c r="O926" s="81" t="str">
        <f>IFERROR(VLOOKUP(N926,DATA!$K$4:$L$51,2,FALSE),"")</f>
        <v/>
      </c>
      <c r="P926" s="81"/>
      <c r="Q926" s="152">
        <f t="shared" si="79"/>
        <v>0</v>
      </c>
    </row>
    <row r="927" spans="2:17">
      <c r="B927" s="670">
        <f t="shared" si="80"/>
        <v>922</v>
      </c>
      <c r="C927" s="601">
        <v>42866</v>
      </c>
      <c r="D927" s="377" t="s">
        <v>587</v>
      </c>
      <c r="E927" s="572">
        <v>320100</v>
      </c>
      <c r="F927" s="672" t="str">
        <f>IFERROR(VLOOKUP(E927,STAT1!$C$4:$D$1000,2,FALSE),"")</f>
        <v>Урьдчилж орсон орлого MNT</v>
      </c>
      <c r="G927" s="377">
        <v>297000</v>
      </c>
      <c r="H927" s="597"/>
      <c r="I927" s="596">
        <f t="shared" si="78"/>
        <v>0</v>
      </c>
      <c r="J927" s="81"/>
      <c r="K927" s="81"/>
      <c r="L927" s="597">
        <v>3042</v>
      </c>
      <c r="M927" s="81" t="str">
        <f>+IFERROR(VLOOKUP(L927,DATA!$G$4:$H$2000,2,FALSE),"")</f>
        <v xml:space="preserve">ЖУРМАК ХХК </v>
      </c>
      <c r="N927" s="166"/>
      <c r="O927" s="81" t="str">
        <f>IFERROR(VLOOKUP(N927,DATA!$K$4:$L$51,2,FALSE),"")</f>
        <v/>
      </c>
      <c r="P927" s="81"/>
      <c r="Q927" s="152">
        <f t="shared" si="79"/>
        <v>0</v>
      </c>
    </row>
    <row r="928" spans="2:17">
      <c r="B928" s="670">
        <f t="shared" si="80"/>
        <v>923</v>
      </c>
      <c r="C928" s="601">
        <v>42866</v>
      </c>
      <c r="D928" s="377" t="s">
        <v>2700</v>
      </c>
      <c r="E928" s="573">
        <v>150101</v>
      </c>
      <c r="F928" s="672" t="str">
        <f>IFERROR(VLOOKUP(E928,STAT1!$C$4:$D$1000,2,FALSE),"")</f>
        <v>Бараа бэлэн бүтээгдэхүүн БОЛОВСРУУЛАХ ЦЕХ /нарс/</v>
      </c>
      <c r="G928" s="597"/>
      <c r="H928" s="377">
        <v>452069.59757091809</v>
      </c>
      <c r="I928" s="596">
        <f t="shared" si="78"/>
        <v>0</v>
      </c>
      <c r="J928" s="81"/>
      <c r="K928" s="81"/>
      <c r="L928" s="597">
        <v>3046</v>
      </c>
      <c r="M928" s="81" t="str">
        <f>+IFERROR(VLOOKUP(L928,DATA!$G$4:$H$2000,2,FALSE),"")</f>
        <v xml:space="preserve">ТЭГШРЭХ ГУРВАН ЭРДЭНЭ ХХК </v>
      </c>
      <c r="N928" s="166"/>
      <c r="O928" s="81" t="str">
        <f>IFERROR(VLOOKUP(N928,DATA!$K$4:$L$51,2,FALSE),"")</f>
        <v/>
      </c>
      <c r="P928" s="81"/>
      <c r="Q928" s="152">
        <f t="shared" si="79"/>
        <v>0</v>
      </c>
    </row>
    <row r="929" spans="2:17">
      <c r="B929" s="670">
        <f t="shared" si="80"/>
        <v>924</v>
      </c>
      <c r="C929" s="601">
        <v>42866</v>
      </c>
      <c r="D929" s="377" t="s">
        <v>587</v>
      </c>
      <c r="E929" s="572">
        <v>610100</v>
      </c>
      <c r="F929" s="672" t="str">
        <f>IFERROR(VLOOKUP(E929,STAT1!$C$4:$D$1000,2,FALSE),"")</f>
        <v>Борлуулсан барааны өртөг</v>
      </c>
      <c r="G929" s="377">
        <v>452069.59757091809</v>
      </c>
      <c r="H929" s="597"/>
      <c r="I929" s="596">
        <f t="shared" si="78"/>
        <v>0</v>
      </c>
      <c r="J929" s="81"/>
      <c r="K929" s="81"/>
      <c r="L929" s="597">
        <v>3046</v>
      </c>
      <c r="M929" s="81" t="str">
        <f>+IFERROR(VLOOKUP(L929,DATA!$G$4:$H$2000,2,FALSE),"")</f>
        <v xml:space="preserve">ТЭГШРЭХ ГУРВАН ЭРДЭНЭ ХХК </v>
      </c>
      <c r="N929" s="166"/>
      <c r="O929" s="81" t="str">
        <f>IFERROR(VLOOKUP(N929,DATA!$K$4:$L$51,2,FALSE),"")</f>
        <v/>
      </c>
      <c r="P929" s="81"/>
      <c r="Q929" s="152">
        <f t="shared" si="79"/>
        <v>0</v>
      </c>
    </row>
    <row r="930" spans="2:17">
      <c r="B930" s="670">
        <f t="shared" si="80"/>
        <v>925</v>
      </c>
      <c r="C930" s="601">
        <v>42866</v>
      </c>
      <c r="D930" s="377" t="s">
        <v>587</v>
      </c>
      <c r="E930" s="572">
        <v>310500</v>
      </c>
      <c r="F930" s="672" t="str">
        <f>IFERROR(VLOOKUP(E930,STAT1!$C$4:$D$1000,2,FALSE),"")</f>
        <v>НӨАТ өглөг</v>
      </c>
      <c r="G930" s="597"/>
      <c r="H930" s="377">
        <v>55000</v>
      </c>
      <c r="I930" s="596">
        <f t="shared" si="78"/>
        <v>0</v>
      </c>
      <c r="J930" s="81"/>
      <c r="K930" s="81"/>
      <c r="L930" s="597">
        <v>3046</v>
      </c>
      <c r="M930" s="81" t="str">
        <f>+IFERROR(VLOOKUP(L930,DATA!$G$4:$H$2000,2,FALSE),"")</f>
        <v xml:space="preserve">ТЭГШРЭХ ГУРВАН ЭРДЭНЭ ХХК </v>
      </c>
      <c r="N930" s="166"/>
      <c r="O930" s="81" t="str">
        <f>IFERROR(VLOOKUP(N930,DATA!$K$4:$L$51,2,FALSE),"")</f>
        <v/>
      </c>
      <c r="P930" s="81"/>
      <c r="Q930" s="152">
        <f t="shared" si="79"/>
        <v>0</v>
      </c>
    </row>
    <row r="931" spans="2:17">
      <c r="B931" s="670">
        <f t="shared" si="80"/>
        <v>926</v>
      </c>
      <c r="C931" s="601">
        <v>42866</v>
      </c>
      <c r="D931" s="377" t="s">
        <v>587</v>
      </c>
      <c r="E931" s="572">
        <v>510000</v>
      </c>
      <c r="F931" s="672" t="str">
        <f>IFERROR(VLOOKUP(E931,STAT1!$C$4:$D$1000,2,FALSE),"")</f>
        <v>Үндсэн үйл ажиллагааны борлуулалт</v>
      </c>
      <c r="G931" s="597"/>
      <c r="H931" s="377">
        <v>550000</v>
      </c>
      <c r="I931" s="596">
        <f t="shared" si="78"/>
        <v>0</v>
      </c>
      <c r="J931" s="81"/>
      <c r="K931" s="81"/>
      <c r="L931" s="597">
        <v>3046</v>
      </c>
      <c r="M931" s="81" t="str">
        <f>+IFERROR(VLOOKUP(L931,DATA!$G$4:$H$2000,2,FALSE),"")</f>
        <v xml:space="preserve">ТЭГШРЭХ ГУРВАН ЭРДЭНЭ ХХК </v>
      </c>
      <c r="N931" s="166"/>
      <c r="O931" s="81" t="str">
        <f>IFERROR(VLOOKUP(N931,DATA!$K$4:$L$51,2,FALSE),"")</f>
        <v/>
      </c>
      <c r="P931" s="81"/>
      <c r="Q931" s="152">
        <f t="shared" si="79"/>
        <v>0</v>
      </c>
    </row>
    <row r="932" spans="2:17">
      <c r="B932" s="670">
        <f t="shared" si="80"/>
        <v>927</v>
      </c>
      <c r="C932" s="601">
        <v>42866</v>
      </c>
      <c r="D932" s="377" t="s">
        <v>587</v>
      </c>
      <c r="E932" s="572">
        <v>320100</v>
      </c>
      <c r="F932" s="672" t="str">
        <f>IFERROR(VLOOKUP(E932,STAT1!$C$4:$D$1000,2,FALSE),"")</f>
        <v>Урьдчилж орсон орлого MNT</v>
      </c>
      <c r="G932" s="377">
        <v>605000</v>
      </c>
      <c r="H932" s="597"/>
      <c r="I932" s="596">
        <f t="shared" si="78"/>
        <v>0</v>
      </c>
      <c r="J932" s="81"/>
      <c r="K932" s="81"/>
      <c r="L932" s="597">
        <v>3046</v>
      </c>
      <c r="M932" s="81" t="str">
        <f>+IFERROR(VLOOKUP(L932,DATA!$G$4:$H$2000,2,FALSE),"")</f>
        <v xml:space="preserve">ТЭГШРЭХ ГУРВАН ЭРДЭНЭ ХХК </v>
      </c>
      <c r="N932" s="166"/>
      <c r="O932" s="81" t="str">
        <f>IFERROR(VLOOKUP(N932,DATA!$K$4:$L$51,2,FALSE),"")</f>
        <v/>
      </c>
      <c r="P932" s="81"/>
      <c r="Q932" s="152">
        <f t="shared" si="79"/>
        <v>0</v>
      </c>
    </row>
    <row r="933" spans="2:17">
      <c r="B933" s="670">
        <f t="shared" si="80"/>
        <v>928</v>
      </c>
      <c r="C933" s="433">
        <v>42867</v>
      </c>
      <c r="D933" s="377" t="s">
        <v>1741</v>
      </c>
      <c r="E933" s="572">
        <v>320100</v>
      </c>
      <c r="F933" s="672" t="str">
        <f>IFERROR(VLOOKUP(E933,STAT1!$C$4:$D$1000,2,FALSE),"")</f>
        <v>Урьдчилж орсон орлого MNT</v>
      </c>
      <c r="G933" s="377"/>
      <c r="H933" s="377">
        <v>445500</v>
      </c>
      <c r="I933" s="596">
        <f t="shared" si="78"/>
        <v>0</v>
      </c>
      <c r="J933" s="81">
        <f>+IF(E933=110102,I933/K933,0)</f>
        <v>0</v>
      </c>
      <c r="K933" s="81"/>
      <c r="L933" s="597">
        <v>3042</v>
      </c>
      <c r="M933" s="81" t="str">
        <f>+IFERROR(VLOOKUP(L933,DATA!$G$4:$H$2000,2,FALSE),"")</f>
        <v xml:space="preserve">ЖУРМАК ХХК </v>
      </c>
      <c r="N933" s="435"/>
      <c r="O933" s="81" t="str">
        <f>IFERROR(VLOOKUP(N933,DATA!$K$4:$L$51,2,FALSE),"")</f>
        <v/>
      </c>
      <c r="P933" s="81"/>
      <c r="Q933" s="152">
        <f t="shared" si="79"/>
        <v>0</v>
      </c>
    </row>
    <row r="934" spans="2:17">
      <c r="B934" s="670">
        <f t="shared" si="80"/>
        <v>929</v>
      </c>
      <c r="C934" s="433">
        <v>42867</v>
      </c>
      <c r="D934" s="377" t="s">
        <v>1741</v>
      </c>
      <c r="E934" s="572">
        <v>100100</v>
      </c>
      <c r="F934" s="672" t="str">
        <f>IFERROR(VLOOKUP(E934,STAT1!$C$4:$D$1000,2,FALSE),"")</f>
        <v>Касс мөнгө MNT</v>
      </c>
      <c r="G934" s="377">
        <v>445500</v>
      </c>
      <c r="H934" s="377">
        <v>0</v>
      </c>
      <c r="I934" s="596">
        <f t="shared" si="78"/>
        <v>445500</v>
      </c>
      <c r="J934" s="81">
        <f>+IF(E934=110102,I934/K934,0)</f>
        <v>0</v>
      </c>
      <c r="K934" s="81"/>
      <c r="L934" s="597">
        <v>3042</v>
      </c>
      <c r="M934" s="81" t="str">
        <f>+IFERROR(VLOOKUP(L934,DATA!$G$4:$H$2000,2,FALSE),"")</f>
        <v xml:space="preserve">ЖУРМАК ХХК </v>
      </c>
      <c r="N934" s="435">
        <v>41</v>
      </c>
      <c r="O934" s="81" t="str">
        <f>IFERROR(VLOOKUP(N934,DATA!$K$4:$L$51,2,FALSE),"")</f>
        <v>Бараа борлуулсан, үйлчилгээ үзүүлсэний орлого</v>
      </c>
      <c r="P934" s="81"/>
      <c r="Q934" s="152">
        <f t="shared" si="79"/>
        <v>1</v>
      </c>
    </row>
    <row r="935" spans="2:17">
      <c r="B935" s="670">
        <f t="shared" si="80"/>
        <v>930</v>
      </c>
      <c r="C935" s="433">
        <v>42867</v>
      </c>
      <c r="D935" s="598" t="s">
        <v>1741</v>
      </c>
      <c r="E935" s="572">
        <v>110100</v>
      </c>
      <c r="F935" s="672" t="str">
        <f>IFERROR(VLOOKUP(E935,STAT1!$C$4:$D$1000,2,FALSE),"")</f>
        <v>Хаан Банк 5024654020</v>
      </c>
      <c r="G935" s="377">
        <v>264000</v>
      </c>
      <c r="H935" s="377"/>
      <c r="I935" s="596">
        <f t="shared" si="78"/>
        <v>264000</v>
      </c>
      <c r="J935" s="81">
        <f>+IF(E935=110102,I935/K935,0)</f>
        <v>0</v>
      </c>
      <c r="K935" s="81"/>
      <c r="L935" s="597">
        <v>3046</v>
      </c>
      <c r="M935" s="81" t="str">
        <f>+IFERROR(VLOOKUP(L935,DATA!$G$4:$H$2000,2,FALSE),"")</f>
        <v xml:space="preserve">ТЭГШРЭХ ГУРВАН ЭРДЭНЭ ХХК </v>
      </c>
      <c r="N935" s="435">
        <v>41</v>
      </c>
      <c r="O935" s="81" t="str">
        <f>IFERROR(VLOOKUP(N935,DATA!$K$4:$L$51,2,FALSE),"")</f>
        <v>Бараа борлуулсан, үйлчилгээ үзүүлсэний орлого</v>
      </c>
      <c r="P935" s="81"/>
      <c r="Q935" s="152">
        <f t="shared" si="79"/>
        <v>1</v>
      </c>
    </row>
    <row r="936" spans="2:17">
      <c r="B936" s="670">
        <f t="shared" si="80"/>
        <v>931</v>
      </c>
      <c r="C936" s="433">
        <v>42867</v>
      </c>
      <c r="D936" s="598" t="s">
        <v>1741</v>
      </c>
      <c r="E936" s="572">
        <v>320100</v>
      </c>
      <c r="F936" s="672" t="str">
        <f>IFERROR(VLOOKUP(E936,STAT1!$C$4:$D$1000,2,FALSE),"")</f>
        <v>Урьдчилж орсон орлого MNT</v>
      </c>
      <c r="G936" s="377">
        <v>0</v>
      </c>
      <c r="H936" s="377">
        <v>264000</v>
      </c>
      <c r="I936" s="596">
        <f t="shared" si="78"/>
        <v>0</v>
      </c>
      <c r="J936" s="81">
        <f>+IF(E936=110102,I936/K936,0)</f>
        <v>0</v>
      </c>
      <c r="K936" s="81"/>
      <c r="L936" s="597">
        <v>3046</v>
      </c>
      <c r="M936" s="81" t="str">
        <f>+IFERROR(VLOOKUP(L936,DATA!$G$4:$H$2000,2,FALSE),"")</f>
        <v xml:space="preserve">ТЭГШРЭХ ГУРВАН ЭРДЭНЭ ХХК </v>
      </c>
      <c r="N936" s="435"/>
      <c r="O936" s="81" t="str">
        <f>IFERROR(VLOOKUP(N936,DATA!$K$4:$L$51,2,FALSE),"")</f>
        <v/>
      </c>
      <c r="P936" s="81"/>
      <c r="Q936" s="152">
        <f t="shared" si="79"/>
        <v>0</v>
      </c>
    </row>
    <row r="937" spans="2:17">
      <c r="B937" s="670">
        <f t="shared" si="80"/>
        <v>932</v>
      </c>
      <c r="C937" s="601">
        <v>42867</v>
      </c>
      <c r="D937" s="377" t="s">
        <v>2700</v>
      </c>
      <c r="E937" s="573">
        <v>150101</v>
      </c>
      <c r="F937" s="672" t="str">
        <f>IFERROR(VLOOKUP(E937,STAT1!$C$4:$D$1000,2,FALSE),"")</f>
        <v>Бараа бэлэн бүтээгдэхүүн БОЛОВСРУУЛАХ ЦЕХ /нарс/</v>
      </c>
      <c r="G937" s="597"/>
      <c r="H937" s="377">
        <v>197266.73348549154</v>
      </c>
      <c r="I937" s="596">
        <f t="shared" si="78"/>
        <v>0</v>
      </c>
      <c r="J937" s="81"/>
      <c r="K937" s="81"/>
      <c r="L937" s="597">
        <v>3046</v>
      </c>
      <c r="M937" s="81" t="str">
        <f>+IFERROR(VLOOKUP(L937,DATA!$G$4:$H$2000,2,FALSE),"")</f>
        <v xml:space="preserve">ТЭГШРЭХ ГУРВАН ЭРДЭНЭ ХХК </v>
      </c>
      <c r="N937" s="166"/>
      <c r="O937" s="81" t="str">
        <f>IFERROR(VLOOKUP(N937,DATA!$K$4:$L$51,2,FALSE),"")</f>
        <v/>
      </c>
      <c r="P937" s="81"/>
      <c r="Q937" s="152">
        <f t="shared" si="79"/>
        <v>0</v>
      </c>
    </row>
    <row r="938" spans="2:17">
      <c r="B938" s="670">
        <f t="shared" si="80"/>
        <v>933</v>
      </c>
      <c r="C938" s="601">
        <v>42867</v>
      </c>
      <c r="D938" s="377" t="s">
        <v>587</v>
      </c>
      <c r="E938" s="572">
        <v>610100</v>
      </c>
      <c r="F938" s="672" t="str">
        <f>IFERROR(VLOOKUP(E938,STAT1!$C$4:$D$1000,2,FALSE),"")</f>
        <v>Борлуулсан барааны өртөг</v>
      </c>
      <c r="G938" s="377">
        <v>197266.73348549154</v>
      </c>
      <c r="H938" s="597"/>
      <c r="I938" s="596">
        <f t="shared" si="78"/>
        <v>0</v>
      </c>
      <c r="J938" s="81"/>
      <c r="K938" s="81"/>
      <c r="L938" s="597">
        <v>3046</v>
      </c>
      <c r="M938" s="81" t="str">
        <f>+IFERROR(VLOOKUP(L938,DATA!$G$4:$H$2000,2,FALSE),"")</f>
        <v xml:space="preserve">ТЭГШРЭХ ГУРВАН ЭРДЭНЭ ХХК </v>
      </c>
      <c r="N938" s="166"/>
      <c r="O938" s="81" t="str">
        <f>IFERROR(VLOOKUP(N938,DATA!$K$4:$L$51,2,FALSE),"")</f>
        <v/>
      </c>
      <c r="P938" s="81"/>
      <c r="Q938" s="152">
        <f t="shared" si="79"/>
        <v>0</v>
      </c>
    </row>
    <row r="939" spans="2:17">
      <c r="B939" s="670">
        <f t="shared" si="80"/>
        <v>934</v>
      </c>
      <c r="C939" s="601">
        <v>42867</v>
      </c>
      <c r="D939" s="377" t="s">
        <v>587</v>
      </c>
      <c r="E939" s="572">
        <v>310500</v>
      </c>
      <c r="F939" s="672" t="str">
        <f>IFERROR(VLOOKUP(E939,STAT1!$C$4:$D$1000,2,FALSE),"")</f>
        <v>НӨАТ өглөг</v>
      </c>
      <c r="G939" s="597"/>
      <c r="H939" s="377">
        <v>24000</v>
      </c>
      <c r="I939" s="596">
        <f t="shared" si="78"/>
        <v>0</v>
      </c>
      <c r="J939" s="81"/>
      <c r="K939" s="81"/>
      <c r="L939" s="597">
        <v>3046</v>
      </c>
      <c r="M939" s="81" t="str">
        <f>+IFERROR(VLOOKUP(L939,DATA!$G$4:$H$2000,2,FALSE),"")</f>
        <v xml:space="preserve">ТЭГШРЭХ ГУРВАН ЭРДЭНЭ ХХК </v>
      </c>
      <c r="N939" s="166"/>
      <c r="O939" s="81" t="str">
        <f>IFERROR(VLOOKUP(N939,DATA!$K$4:$L$51,2,FALSE),"")</f>
        <v/>
      </c>
      <c r="P939" s="81"/>
      <c r="Q939" s="152">
        <f t="shared" si="79"/>
        <v>0</v>
      </c>
    </row>
    <row r="940" spans="2:17">
      <c r="B940" s="670">
        <f t="shared" si="80"/>
        <v>935</v>
      </c>
      <c r="C940" s="601">
        <v>42867</v>
      </c>
      <c r="D940" s="377" t="s">
        <v>587</v>
      </c>
      <c r="E940" s="572">
        <v>510000</v>
      </c>
      <c r="F940" s="672" t="str">
        <f>IFERROR(VLOOKUP(E940,STAT1!$C$4:$D$1000,2,FALSE),"")</f>
        <v>Үндсэн үйл ажиллагааны борлуулалт</v>
      </c>
      <c r="G940" s="597"/>
      <c r="H940" s="377">
        <v>240000</v>
      </c>
      <c r="I940" s="596">
        <f t="shared" si="78"/>
        <v>0</v>
      </c>
      <c r="J940" s="81"/>
      <c r="K940" s="81"/>
      <c r="L940" s="597">
        <v>3046</v>
      </c>
      <c r="M940" s="81" t="str">
        <f>+IFERROR(VLOOKUP(L940,DATA!$G$4:$H$2000,2,FALSE),"")</f>
        <v xml:space="preserve">ТЭГШРЭХ ГУРВАН ЭРДЭНЭ ХХК </v>
      </c>
      <c r="N940" s="166"/>
      <c r="O940" s="81" t="str">
        <f>IFERROR(VLOOKUP(N940,DATA!$K$4:$L$51,2,FALSE),"")</f>
        <v/>
      </c>
      <c r="P940" s="81"/>
      <c r="Q940" s="152">
        <f t="shared" si="79"/>
        <v>0</v>
      </c>
    </row>
    <row r="941" spans="2:17">
      <c r="B941" s="670">
        <f t="shared" si="80"/>
        <v>936</v>
      </c>
      <c r="C941" s="601">
        <v>42867</v>
      </c>
      <c r="D941" s="377" t="s">
        <v>587</v>
      </c>
      <c r="E941" s="572">
        <v>320100</v>
      </c>
      <c r="F941" s="672" t="str">
        <f>IFERROR(VLOOKUP(E941,STAT1!$C$4:$D$1000,2,FALSE),"")</f>
        <v>Урьдчилж орсон орлого MNT</v>
      </c>
      <c r="G941" s="377">
        <v>264000</v>
      </c>
      <c r="H941" s="597"/>
      <c r="I941" s="596">
        <f t="shared" si="78"/>
        <v>0</v>
      </c>
      <c r="J941" s="81"/>
      <c r="K941" s="81"/>
      <c r="L941" s="597">
        <v>3046</v>
      </c>
      <c r="M941" s="81" t="str">
        <f>+IFERROR(VLOOKUP(L941,DATA!$G$4:$H$2000,2,FALSE),"")</f>
        <v xml:space="preserve">ТЭГШРЭХ ГУРВАН ЭРДЭНЭ ХХК </v>
      </c>
      <c r="N941" s="166"/>
      <c r="O941" s="81" t="str">
        <f>IFERROR(VLOOKUP(N941,DATA!$K$4:$L$51,2,FALSE),"")</f>
        <v/>
      </c>
      <c r="P941" s="81"/>
      <c r="Q941" s="152">
        <f t="shared" si="79"/>
        <v>0</v>
      </c>
    </row>
    <row r="942" spans="2:17">
      <c r="B942" s="670">
        <f t="shared" si="80"/>
        <v>937</v>
      </c>
      <c r="C942" s="433">
        <v>42868</v>
      </c>
      <c r="D942" s="377" t="s">
        <v>1741</v>
      </c>
      <c r="E942" s="572">
        <v>320100</v>
      </c>
      <c r="F942" s="672" t="str">
        <f>IFERROR(VLOOKUP(E942,STAT1!$C$4:$D$1000,2,FALSE),"")</f>
        <v>Урьдчилж орсон орлого MNT</v>
      </c>
      <c r="G942" s="377"/>
      <c r="H942" s="377">
        <v>232650</v>
      </c>
      <c r="I942" s="596">
        <f t="shared" si="78"/>
        <v>0</v>
      </c>
      <c r="J942" s="81">
        <f>+IF(E942=110102,I942/K942,0)</f>
        <v>0</v>
      </c>
      <c r="K942" s="81"/>
      <c r="L942" s="597">
        <v>3047</v>
      </c>
      <c r="M942" s="81" t="str">
        <f>+IFERROR(VLOOKUP(L942,DATA!$G$4:$H$2000,2,FALSE),"")</f>
        <v>ГЛОБАЛ ГАЗАР ХХК</v>
      </c>
      <c r="N942" s="435"/>
      <c r="O942" s="81" t="str">
        <f>IFERROR(VLOOKUP(N942,DATA!$K$4:$L$51,2,FALSE),"")</f>
        <v/>
      </c>
      <c r="P942" s="81"/>
      <c r="Q942" s="152">
        <f t="shared" si="79"/>
        <v>0</v>
      </c>
    </row>
    <row r="943" spans="2:17">
      <c r="B943" s="670">
        <f t="shared" si="80"/>
        <v>938</v>
      </c>
      <c r="C943" s="433">
        <v>42868</v>
      </c>
      <c r="D943" s="377" t="s">
        <v>1741</v>
      </c>
      <c r="E943" s="572">
        <v>100100</v>
      </c>
      <c r="F943" s="672" t="str">
        <f>IFERROR(VLOOKUP(E943,STAT1!$C$4:$D$1000,2,FALSE),"")</f>
        <v>Касс мөнгө MNT</v>
      </c>
      <c r="G943" s="377">
        <v>232650</v>
      </c>
      <c r="H943" s="377">
        <v>0</v>
      </c>
      <c r="I943" s="596">
        <f t="shared" si="78"/>
        <v>232650</v>
      </c>
      <c r="J943" s="81">
        <f>+IF(E943=110102,I943/K943,0)</f>
        <v>0</v>
      </c>
      <c r="K943" s="81"/>
      <c r="L943" s="597">
        <v>3047</v>
      </c>
      <c r="M943" s="81" t="str">
        <f>+IFERROR(VLOOKUP(L943,DATA!$G$4:$H$2000,2,FALSE),"")</f>
        <v>ГЛОБАЛ ГАЗАР ХХК</v>
      </c>
      <c r="N943" s="435">
        <v>41</v>
      </c>
      <c r="O943" s="81" t="str">
        <f>IFERROR(VLOOKUP(N943,DATA!$K$4:$L$51,2,FALSE),"")</f>
        <v>Бараа борлуулсан, үйлчилгээ үзүүлсэний орлого</v>
      </c>
      <c r="P943" s="81"/>
      <c r="Q943" s="152">
        <f t="shared" si="79"/>
        <v>1</v>
      </c>
    </row>
    <row r="944" spans="2:17">
      <c r="B944" s="670">
        <f t="shared" si="80"/>
        <v>939</v>
      </c>
      <c r="C944" s="601">
        <v>42868</v>
      </c>
      <c r="D944" s="377" t="s">
        <v>2698</v>
      </c>
      <c r="E944" s="573">
        <v>150101</v>
      </c>
      <c r="F944" s="672" t="str">
        <f>IFERROR(VLOOKUP(E944,STAT1!$C$4:$D$1000,2,FALSE),"")</f>
        <v>Бараа бэлэн бүтээгдэхүүн БОЛОВСРУУЛАХ ЦЕХ /нарс/</v>
      </c>
      <c r="G944" s="597"/>
      <c r="H944" s="377">
        <v>123571.70692159532</v>
      </c>
      <c r="I944" s="596">
        <f t="shared" si="78"/>
        <v>0</v>
      </c>
      <c r="J944" s="81"/>
      <c r="K944" s="81"/>
      <c r="L944" s="597">
        <v>3047</v>
      </c>
      <c r="M944" s="81" t="str">
        <f>+IFERROR(VLOOKUP(L944,DATA!$G$4:$H$2000,2,FALSE),"")</f>
        <v>ГЛОБАЛ ГАЗАР ХХК</v>
      </c>
      <c r="N944" s="166"/>
      <c r="O944" s="81" t="str">
        <f>IFERROR(VLOOKUP(N944,DATA!$K$4:$L$51,2,FALSE),"")</f>
        <v/>
      </c>
      <c r="P944" s="81"/>
      <c r="Q944" s="152">
        <f t="shared" si="79"/>
        <v>0</v>
      </c>
    </row>
    <row r="945" spans="2:17">
      <c r="B945" s="670">
        <f t="shared" si="80"/>
        <v>940</v>
      </c>
      <c r="C945" s="601">
        <v>42868</v>
      </c>
      <c r="D945" s="377" t="s">
        <v>587</v>
      </c>
      <c r="E945" s="572">
        <v>610100</v>
      </c>
      <c r="F945" s="672" t="str">
        <f>IFERROR(VLOOKUP(E945,STAT1!$C$4:$D$1000,2,FALSE),"")</f>
        <v>Борлуулсан барааны өртөг</v>
      </c>
      <c r="G945" s="377">
        <v>123571.70692159532</v>
      </c>
      <c r="H945" s="597"/>
      <c r="I945" s="596">
        <f t="shared" si="78"/>
        <v>0</v>
      </c>
      <c r="J945" s="81"/>
      <c r="K945" s="81"/>
      <c r="L945" s="597">
        <v>3047</v>
      </c>
      <c r="M945" s="81" t="str">
        <f>+IFERROR(VLOOKUP(L945,DATA!$G$4:$H$2000,2,FALSE),"")</f>
        <v>ГЛОБАЛ ГАЗАР ХХК</v>
      </c>
      <c r="N945" s="166"/>
      <c r="O945" s="81" t="str">
        <f>IFERROR(VLOOKUP(N945,DATA!$K$4:$L$51,2,FALSE),"")</f>
        <v/>
      </c>
      <c r="P945" s="81"/>
      <c r="Q945" s="152">
        <f t="shared" si="79"/>
        <v>0</v>
      </c>
    </row>
    <row r="946" spans="2:17">
      <c r="B946" s="670">
        <f t="shared" si="80"/>
        <v>941</v>
      </c>
      <c r="C946" s="601">
        <v>42868</v>
      </c>
      <c r="D946" s="377" t="s">
        <v>587</v>
      </c>
      <c r="E946" s="572">
        <v>310500</v>
      </c>
      <c r="F946" s="672" t="str">
        <f>IFERROR(VLOOKUP(E946,STAT1!$C$4:$D$1000,2,FALSE),"")</f>
        <v>НӨАТ өглөг</v>
      </c>
      <c r="G946" s="597"/>
      <c r="H946" s="377">
        <v>21149.999782999999</v>
      </c>
      <c r="I946" s="596">
        <f t="shared" si="78"/>
        <v>0</v>
      </c>
      <c r="J946" s="81"/>
      <c r="K946" s="81"/>
      <c r="L946" s="597">
        <v>3047</v>
      </c>
      <c r="M946" s="81" t="str">
        <f>+IFERROR(VLOOKUP(L946,DATA!$G$4:$H$2000,2,FALSE),"")</f>
        <v>ГЛОБАЛ ГАЗАР ХХК</v>
      </c>
      <c r="N946" s="166"/>
      <c r="O946" s="81" t="str">
        <f>IFERROR(VLOOKUP(N946,DATA!$K$4:$L$51,2,FALSE),"")</f>
        <v/>
      </c>
      <c r="P946" s="81"/>
      <c r="Q946" s="152">
        <f t="shared" si="79"/>
        <v>0</v>
      </c>
    </row>
    <row r="947" spans="2:17">
      <c r="B947" s="670">
        <f t="shared" si="80"/>
        <v>942</v>
      </c>
      <c r="C947" s="601">
        <v>42868</v>
      </c>
      <c r="D947" s="377" t="s">
        <v>587</v>
      </c>
      <c r="E947" s="572">
        <v>510000</v>
      </c>
      <c r="F947" s="672" t="str">
        <f>IFERROR(VLOOKUP(E947,STAT1!$C$4:$D$1000,2,FALSE),"")</f>
        <v>Үндсэн үйл ажиллагааны борлуулалт</v>
      </c>
      <c r="G947" s="597"/>
      <c r="H947" s="377">
        <v>211499.99782999998</v>
      </c>
      <c r="I947" s="596">
        <f t="shared" si="78"/>
        <v>0</v>
      </c>
      <c r="J947" s="81"/>
      <c r="K947" s="81"/>
      <c r="L947" s="597">
        <v>3047</v>
      </c>
      <c r="M947" s="81" t="str">
        <f>+IFERROR(VLOOKUP(L947,DATA!$G$4:$H$2000,2,FALSE),"")</f>
        <v>ГЛОБАЛ ГАЗАР ХХК</v>
      </c>
      <c r="N947" s="166"/>
      <c r="O947" s="81" t="str">
        <f>IFERROR(VLOOKUP(N947,DATA!$K$4:$L$51,2,FALSE),"")</f>
        <v/>
      </c>
      <c r="P947" s="81"/>
      <c r="Q947" s="152">
        <f t="shared" si="79"/>
        <v>0</v>
      </c>
    </row>
    <row r="948" spans="2:17">
      <c r="B948" s="670">
        <f t="shared" si="80"/>
        <v>943</v>
      </c>
      <c r="C948" s="601">
        <v>42868</v>
      </c>
      <c r="D948" s="377" t="s">
        <v>587</v>
      </c>
      <c r="E948" s="572">
        <v>320100</v>
      </c>
      <c r="F948" s="672" t="str">
        <f>IFERROR(VLOOKUP(E948,STAT1!$C$4:$D$1000,2,FALSE),"")</f>
        <v>Урьдчилж орсон орлого MNT</v>
      </c>
      <c r="G948" s="377">
        <v>232649.99761299998</v>
      </c>
      <c r="H948" s="597"/>
      <c r="I948" s="596">
        <f t="shared" si="78"/>
        <v>0</v>
      </c>
      <c r="J948" s="81"/>
      <c r="K948" s="81"/>
      <c r="L948" s="597">
        <v>3047</v>
      </c>
      <c r="M948" s="81" t="str">
        <f>+IFERROR(VLOOKUP(L948,DATA!$G$4:$H$2000,2,FALSE),"")</f>
        <v>ГЛОБАЛ ГАЗАР ХХК</v>
      </c>
      <c r="N948" s="166"/>
      <c r="O948" s="81" t="str">
        <f>IFERROR(VLOOKUP(N948,DATA!$K$4:$L$51,2,FALSE),"")</f>
        <v/>
      </c>
      <c r="P948" s="81"/>
      <c r="Q948" s="152">
        <f t="shared" si="79"/>
        <v>0</v>
      </c>
    </row>
    <row r="949" spans="2:17">
      <c r="B949" s="670">
        <f t="shared" si="80"/>
        <v>944</v>
      </c>
      <c r="C949" s="433">
        <v>42870</v>
      </c>
      <c r="D949" s="377" t="s">
        <v>1742</v>
      </c>
      <c r="E949" s="572">
        <v>110100</v>
      </c>
      <c r="F949" s="672" t="str">
        <f>IFERROR(VLOOKUP(E949,STAT1!$C$4:$D$1000,2,FALSE),"")</f>
        <v>Хаан Банк 5024654020</v>
      </c>
      <c r="G949" s="377"/>
      <c r="H949" s="377">
        <v>5700000</v>
      </c>
      <c r="I949" s="596">
        <f t="shared" si="78"/>
        <v>-5700000</v>
      </c>
      <c r="J949" s="81">
        <f t="shared" ref="J949:J960" si="82">+IF(E949=110102,I949/K949,0)</f>
        <v>0</v>
      </c>
      <c r="K949" s="81"/>
      <c r="L949" s="597">
        <v>1004</v>
      </c>
      <c r="M949" s="81" t="str">
        <f>+IFERROR(VLOOKUP(L949,DATA!$G$4:$H$2000,2,FALSE),"")</f>
        <v xml:space="preserve">Түмэндэлгэр </v>
      </c>
      <c r="N949" s="435"/>
      <c r="O949" s="81" t="str">
        <f>IFERROR(VLOOKUP(N949,DATA!$K$4:$L$51,2,FALSE),"")</f>
        <v/>
      </c>
      <c r="P949" s="81"/>
      <c r="Q949" s="152">
        <f t="shared" si="79"/>
        <v>1</v>
      </c>
    </row>
    <row r="950" spans="2:17">
      <c r="B950" s="670">
        <f t="shared" si="80"/>
        <v>945</v>
      </c>
      <c r="C950" s="433">
        <v>42870</v>
      </c>
      <c r="D950" s="377" t="s">
        <v>1742</v>
      </c>
      <c r="E950" s="572">
        <v>100100</v>
      </c>
      <c r="F950" s="672" t="str">
        <f>IFERROR(VLOOKUP(E950,STAT1!$C$4:$D$1000,2,FALSE),"")</f>
        <v>Касс мөнгө MNT</v>
      </c>
      <c r="G950" s="377">
        <v>5700000</v>
      </c>
      <c r="H950" s="377">
        <v>0</v>
      </c>
      <c r="I950" s="596">
        <f t="shared" si="78"/>
        <v>5700000</v>
      </c>
      <c r="J950" s="81">
        <f t="shared" si="82"/>
        <v>0</v>
      </c>
      <c r="K950" s="81"/>
      <c r="L950" s="597">
        <v>1004</v>
      </c>
      <c r="M950" s="81" t="str">
        <f>+IFERROR(VLOOKUP(L950,DATA!$G$4:$H$2000,2,FALSE),"")</f>
        <v xml:space="preserve">Түмэндэлгэр </v>
      </c>
      <c r="N950" s="435"/>
      <c r="O950" s="81" t="str">
        <f>IFERROR(VLOOKUP(N950,DATA!$K$4:$L$51,2,FALSE),"")</f>
        <v/>
      </c>
      <c r="P950" s="81"/>
      <c r="Q950" s="152">
        <f t="shared" si="79"/>
        <v>1</v>
      </c>
    </row>
    <row r="951" spans="2:17">
      <c r="B951" s="670">
        <f t="shared" si="80"/>
        <v>946</v>
      </c>
      <c r="C951" s="433">
        <v>42870</v>
      </c>
      <c r="D951" s="598" t="s">
        <v>1743</v>
      </c>
      <c r="E951" s="572">
        <v>110100</v>
      </c>
      <c r="F951" s="672" t="str">
        <f>IFERROR(VLOOKUP(E951,STAT1!$C$4:$D$1000,2,FALSE),"")</f>
        <v>Хаан Банк 5024654020</v>
      </c>
      <c r="G951" s="377">
        <v>1184000</v>
      </c>
      <c r="H951" s="377"/>
      <c r="I951" s="596">
        <f t="shared" si="78"/>
        <v>1184000</v>
      </c>
      <c r="J951" s="81">
        <f t="shared" si="82"/>
        <v>0</v>
      </c>
      <c r="K951" s="81"/>
      <c r="L951" s="597">
        <v>3040</v>
      </c>
      <c r="M951" s="81" t="str">
        <f>+IFERROR(VLOOKUP(L951,DATA!$G$4:$H$2000,2,FALSE),"")</f>
        <v xml:space="preserve">АР ПИ ДИ ХХК </v>
      </c>
      <c r="N951" s="435">
        <v>41</v>
      </c>
      <c r="O951" s="81" t="str">
        <f>IFERROR(VLOOKUP(N951,DATA!$K$4:$L$51,2,FALSE),"")</f>
        <v>Бараа борлуулсан, үйлчилгээ үзүүлсэний орлого</v>
      </c>
      <c r="P951" s="81"/>
      <c r="Q951" s="152">
        <f t="shared" si="79"/>
        <v>1</v>
      </c>
    </row>
    <row r="952" spans="2:17">
      <c r="B952" s="670">
        <f t="shared" si="80"/>
        <v>947</v>
      </c>
      <c r="C952" s="433">
        <v>42870</v>
      </c>
      <c r="D952" s="598" t="s">
        <v>1743</v>
      </c>
      <c r="E952" s="572">
        <v>320100</v>
      </c>
      <c r="F952" s="672" t="str">
        <f>IFERROR(VLOOKUP(E952,STAT1!$C$4:$D$1000,2,FALSE),"")</f>
        <v>Урьдчилж орсон орлого MNT</v>
      </c>
      <c r="G952" s="377">
        <v>0</v>
      </c>
      <c r="H952" s="377">
        <v>1184000</v>
      </c>
      <c r="I952" s="596">
        <f t="shared" si="78"/>
        <v>0</v>
      </c>
      <c r="J952" s="81">
        <f t="shared" si="82"/>
        <v>0</v>
      </c>
      <c r="K952" s="81"/>
      <c r="L952" s="597">
        <v>3040</v>
      </c>
      <c r="M952" s="81" t="str">
        <f>+IFERROR(VLOOKUP(L952,DATA!$G$4:$H$2000,2,FALSE),"")</f>
        <v xml:space="preserve">АР ПИ ДИ ХХК </v>
      </c>
      <c r="N952" s="435"/>
      <c r="O952" s="81" t="str">
        <f>IFERROR(VLOOKUP(N952,DATA!$K$4:$L$51,2,FALSE),"")</f>
        <v/>
      </c>
      <c r="P952" s="81"/>
      <c r="Q952" s="152">
        <f t="shared" si="79"/>
        <v>0</v>
      </c>
    </row>
    <row r="953" spans="2:17">
      <c r="B953" s="670">
        <f t="shared" si="80"/>
        <v>948</v>
      </c>
      <c r="C953" s="433">
        <v>42871</v>
      </c>
      <c r="D953" s="377" t="s">
        <v>1741</v>
      </c>
      <c r="E953" s="572">
        <v>320100</v>
      </c>
      <c r="F953" s="672" t="str">
        <f>IFERROR(VLOOKUP(E953,STAT1!$C$4:$D$1000,2,FALSE),"")</f>
        <v>Урьдчилж орсон орлого MNT</v>
      </c>
      <c r="G953" s="377"/>
      <c r="H953" s="377">
        <v>394350</v>
      </c>
      <c r="I953" s="596">
        <f t="shared" si="78"/>
        <v>0</v>
      </c>
      <c r="J953" s="81">
        <f t="shared" si="82"/>
        <v>0</v>
      </c>
      <c r="K953" s="81"/>
      <c r="L953" s="597">
        <v>4002</v>
      </c>
      <c r="M953" s="81" t="str">
        <f>+IFERROR(VLOOKUP(L953,DATA!$G$4:$H$2000,2,FALSE),"")</f>
        <v xml:space="preserve">Хувь хүн </v>
      </c>
      <c r="N953" s="435"/>
      <c r="O953" s="81" t="str">
        <f>IFERROR(VLOOKUP(N953,DATA!$K$4:$L$51,2,FALSE),"")</f>
        <v/>
      </c>
      <c r="P953" s="81"/>
      <c r="Q953" s="152">
        <f t="shared" si="79"/>
        <v>0</v>
      </c>
    </row>
    <row r="954" spans="2:17">
      <c r="B954" s="670">
        <f t="shared" si="80"/>
        <v>949</v>
      </c>
      <c r="C954" s="433">
        <v>42871</v>
      </c>
      <c r="D954" s="377" t="s">
        <v>1741</v>
      </c>
      <c r="E954" s="572">
        <v>100100</v>
      </c>
      <c r="F954" s="672" t="str">
        <f>IFERROR(VLOOKUP(E954,STAT1!$C$4:$D$1000,2,FALSE),"")</f>
        <v>Касс мөнгө MNT</v>
      </c>
      <c r="G954" s="377">
        <v>394350</v>
      </c>
      <c r="H954" s="377">
        <v>0</v>
      </c>
      <c r="I954" s="596">
        <f t="shared" si="78"/>
        <v>394350</v>
      </c>
      <c r="J954" s="81">
        <f t="shared" si="82"/>
        <v>0</v>
      </c>
      <c r="K954" s="81"/>
      <c r="L954" s="597">
        <v>4002</v>
      </c>
      <c r="M954" s="81" t="str">
        <f>+IFERROR(VLOOKUP(L954,DATA!$G$4:$H$2000,2,FALSE),"")</f>
        <v xml:space="preserve">Хувь хүн </v>
      </c>
      <c r="N954" s="435">
        <v>41</v>
      </c>
      <c r="O954" s="81" t="str">
        <f>IFERROR(VLOOKUP(N954,DATA!$K$4:$L$51,2,FALSE),"")</f>
        <v>Бараа борлуулсан, үйлчилгээ үзүүлсэний орлого</v>
      </c>
      <c r="P954" s="81"/>
      <c r="Q954" s="152">
        <f t="shared" si="79"/>
        <v>1</v>
      </c>
    </row>
    <row r="955" spans="2:17">
      <c r="B955" s="670">
        <f t="shared" si="80"/>
        <v>950</v>
      </c>
      <c r="C955" s="433">
        <v>42872</v>
      </c>
      <c r="D955" s="377" t="s">
        <v>1728</v>
      </c>
      <c r="E955" s="572">
        <v>100100</v>
      </c>
      <c r="F955" s="672" t="str">
        <f>IFERROR(VLOOKUP(E955,STAT1!$C$4:$D$1000,2,FALSE),"")</f>
        <v>Касс мөнгө MNT</v>
      </c>
      <c r="G955" s="377"/>
      <c r="H955" s="377">
        <v>895400</v>
      </c>
      <c r="I955" s="596">
        <f t="shared" si="78"/>
        <v>-895400</v>
      </c>
      <c r="J955" s="81">
        <f t="shared" si="82"/>
        <v>0</v>
      </c>
      <c r="K955" s="81"/>
      <c r="L955" s="597">
        <v>3017</v>
      </c>
      <c r="M955" s="81" t="str">
        <f>+IFERROR(VLOOKUP(L955,DATA!$G$4:$H$2000,2,FALSE),"")</f>
        <v xml:space="preserve">ВОС ХХК </v>
      </c>
      <c r="N955" s="435">
        <v>53</v>
      </c>
      <c r="O955" s="81" t="str">
        <f>IFERROR(VLOOKUP(N955,DATA!$K$4:$L$51,2,FALSE),"")</f>
        <v>Бараа материал худалдан авахад төлсөн</v>
      </c>
      <c r="P955" s="81"/>
      <c r="Q955" s="152">
        <f t="shared" si="79"/>
        <v>1</v>
      </c>
    </row>
    <row r="956" spans="2:17">
      <c r="B956" s="670">
        <f t="shared" si="80"/>
        <v>951</v>
      </c>
      <c r="C956" s="433">
        <v>42872</v>
      </c>
      <c r="D956" s="377" t="s">
        <v>1728</v>
      </c>
      <c r="E956" s="572">
        <v>120100</v>
      </c>
      <c r="F956" s="672" t="str">
        <f>IFERROR(VLOOKUP(E956,STAT1!$C$4:$D$1000,2,FALSE),"")</f>
        <v xml:space="preserve">Дансны авлага MNT </v>
      </c>
      <c r="G956" s="377">
        <v>895400</v>
      </c>
      <c r="H956" s="377">
        <v>0</v>
      </c>
      <c r="I956" s="596">
        <f t="shared" si="78"/>
        <v>0</v>
      </c>
      <c r="J956" s="81">
        <f t="shared" si="82"/>
        <v>0</v>
      </c>
      <c r="K956" s="81"/>
      <c r="L956" s="597">
        <v>3017</v>
      </c>
      <c r="M956" s="81" t="str">
        <f>+IFERROR(VLOOKUP(L956,DATA!$G$4:$H$2000,2,FALSE),"")</f>
        <v xml:space="preserve">ВОС ХХК </v>
      </c>
      <c r="N956" s="435"/>
      <c r="O956" s="81" t="str">
        <f>IFERROR(VLOOKUP(N956,DATA!$K$4:$L$51,2,FALSE),"")</f>
        <v/>
      </c>
      <c r="P956" s="81"/>
      <c r="Q956" s="152">
        <f t="shared" si="79"/>
        <v>0</v>
      </c>
    </row>
    <row r="957" spans="2:17">
      <c r="B957" s="670">
        <f t="shared" si="80"/>
        <v>952</v>
      </c>
      <c r="C957" s="433">
        <v>42872</v>
      </c>
      <c r="D957" s="377" t="s">
        <v>1741</v>
      </c>
      <c r="E957" s="572">
        <v>320100</v>
      </c>
      <c r="F957" s="672" t="str">
        <f>IFERROR(VLOOKUP(E957,STAT1!$C$4:$D$1000,2,FALSE),"")</f>
        <v>Урьдчилж орсон орлого MNT</v>
      </c>
      <c r="G957" s="377"/>
      <c r="H957" s="377">
        <v>484000</v>
      </c>
      <c r="I957" s="596">
        <f t="shared" si="78"/>
        <v>0</v>
      </c>
      <c r="J957" s="81">
        <f t="shared" si="82"/>
        <v>0</v>
      </c>
      <c r="K957" s="81"/>
      <c r="L957" s="597">
        <v>3058</v>
      </c>
      <c r="M957" s="81" t="str">
        <f>+IFERROR(VLOOKUP(L957,DATA!$G$4:$H$2000,2,FALSE),"")</f>
        <v>БЕСТ СТАЙЛ ХХК</v>
      </c>
      <c r="N957" s="435"/>
      <c r="O957" s="81" t="str">
        <f>IFERROR(VLOOKUP(N957,DATA!$K$4:$L$51,2,FALSE),"")</f>
        <v/>
      </c>
      <c r="P957" s="81"/>
      <c r="Q957" s="152">
        <f t="shared" si="79"/>
        <v>0</v>
      </c>
    </row>
    <row r="958" spans="2:17">
      <c r="B958" s="670">
        <f t="shared" si="80"/>
        <v>953</v>
      </c>
      <c r="C958" s="433">
        <v>42872</v>
      </c>
      <c r="D958" s="377" t="s">
        <v>1741</v>
      </c>
      <c r="E958" s="572">
        <v>100100</v>
      </c>
      <c r="F958" s="672" t="str">
        <f>IFERROR(VLOOKUP(E958,STAT1!$C$4:$D$1000,2,FALSE),"")</f>
        <v>Касс мөнгө MNT</v>
      </c>
      <c r="G958" s="377">
        <v>484000</v>
      </c>
      <c r="H958" s="377">
        <v>0</v>
      </c>
      <c r="I958" s="596">
        <f t="shared" si="78"/>
        <v>484000</v>
      </c>
      <c r="J958" s="81">
        <f t="shared" si="82"/>
        <v>0</v>
      </c>
      <c r="K958" s="81"/>
      <c r="L958" s="597">
        <v>3058</v>
      </c>
      <c r="M958" s="81" t="str">
        <f>+IFERROR(VLOOKUP(L958,DATA!$G$4:$H$2000,2,FALSE),"")</f>
        <v>БЕСТ СТАЙЛ ХХК</v>
      </c>
      <c r="N958" s="435">
        <v>41</v>
      </c>
      <c r="O958" s="81" t="str">
        <f>IFERROR(VLOOKUP(N958,DATA!$K$4:$L$51,2,FALSE),"")</f>
        <v>Бараа борлуулсан, үйлчилгээ үзүүлсэний орлого</v>
      </c>
      <c r="P958" s="81"/>
      <c r="Q958" s="152">
        <f t="shared" si="79"/>
        <v>1</v>
      </c>
    </row>
    <row r="959" spans="2:17">
      <c r="B959" s="670">
        <f t="shared" si="80"/>
        <v>954</v>
      </c>
      <c r="C959" s="433">
        <v>42872</v>
      </c>
      <c r="D959" s="598" t="s">
        <v>1746</v>
      </c>
      <c r="E959" s="572">
        <v>702500</v>
      </c>
      <c r="F959" s="672" t="str">
        <f>IFERROR(VLOOKUP(E959,STAT1!$C$4:$D$1000,2,FALSE),"")</f>
        <v>Зээлийн хүүгийн зардал</v>
      </c>
      <c r="G959" s="377">
        <v>1211465.76</v>
      </c>
      <c r="H959" s="377">
        <v>0</v>
      </c>
      <c r="I959" s="596">
        <f t="shared" si="78"/>
        <v>0</v>
      </c>
      <c r="J959" s="81">
        <f t="shared" si="82"/>
        <v>0</v>
      </c>
      <c r="K959" s="81"/>
      <c r="L959" s="597">
        <v>2013</v>
      </c>
      <c r="M959" s="81" t="str">
        <f>+IFERROR(VLOOKUP(L959,DATA!$G$4:$H$2000,2,FALSE),"")</f>
        <v>УБДС ТӨХК</v>
      </c>
      <c r="N959" s="435"/>
      <c r="O959" s="81" t="str">
        <f>IFERROR(VLOOKUP(N959,DATA!$K$4:$L$51,2,FALSE),"")</f>
        <v/>
      </c>
      <c r="P959" s="81"/>
      <c r="Q959" s="152">
        <f t="shared" si="79"/>
        <v>0</v>
      </c>
    </row>
    <row r="960" spans="2:17">
      <c r="B960" s="670">
        <f t="shared" si="80"/>
        <v>955</v>
      </c>
      <c r="C960" s="433">
        <v>42872</v>
      </c>
      <c r="D960" s="598" t="s">
        <v>1746</v>
      </c>
      <c r="E960" s="572">
        <v>110100</v>
      </c>
      <c r="F960" s="672" t="str">
        <f>IFERROR(VLOOKUP(E960,STAT1!$C$4:$D$1000,2,FALSE),"")</f>
        <v>Хаан Банк 5024654020</v>
      </c>
      <c r="G960" s="377"/>
      <c r="H960" s="377">
        <v>1211465.76</v>
      </c>
      <c r="I960" s="596">
        <f t="shared" si="78"/>
        <v>-1211465.76</v>
      </c>
      <c r="J960" s="81">
        <f t="shared" si="82"/>
        <v>0</v>
      </c>
      <c r="K960" s="81"/>
      <c r="L960" s="597">
        <v>2009</v>
      </c>
      <c r="M960" s="81" t="str">
        <f>+IFERROR(VLOOKUP(L960,DATA!$G$4:$H$2000,2,FALSE),"")</f>
        <v>ХААН БАНК</v>
      </c>
      <c r="N960" s="435">
        <v>56</v>
      </c>
      <c r="O960" s="81" t="str">
        <f>IFERROR(VLOOKUP(N960,DATA!$K$4:$L$51,2,FALSE),"")</f>
        <v>Хүүний төлбөрт төлсөн</v>
      </c>
      <c r="P960" s="81"/>
      <c r="Q960" s="152">
        <f t="shared" si="79"/>
        <v>1</v>
      </c>
    </row>
    <row r="961" spans="1:17">
      <c r="B961" s="670">
        <f t="shared" si="80"/>
        <v>956</v>
      </c>
      <c r="C961" s="601">
        <v>42872</v>
      </c>
      <c r="D961" s="377" t="s">
        <v>2700</v>
      </c>
      <c r="E961" s="573">
        <v>150101</v>
      </c>
      <c r="F961" s="672" t="str">
        <f>IFERROR(VLOOKUP(E961,STAT1!$C$4:$D$1000,2,FALSE),"")</f>
        <v>Бараа бэлэн бүтээгдэхүүн БОЛОВСРУУЛАХ ЦЕХ /нарс/</v>
      </c>
      <c r="G961" s="597"/>
      <c r="H961" s="377">
        <v>361655.67805673444</v>
      </c>
      <c r="I961" s="596">
        <f t="shared" si="78"/>
        <v>0</v>
      </c>
      <c r="J961" s="81"/>
      <c r="K961" s="81"/>
      <c r="L961" s="597">
        <v>3058</v>
      </c>
      <c r="M961" s="81" t="str">
        <f>+IFERROR(VLOOKUP(L961,DATA!$G$4:$H$2000,2,FALSE),"")</f>
        <v>БЕСТ СТАЙЛ ХХК</v>
      </c>
      <c r="N961" s="166"/>
      <c r="O961" s="81" t="str">
        <f>IFERROR(VLOOKUP(N961,DATA!$K$4:$L$51,2,FALSE),"")</f>
        <v/>
      </c>
      <c r="P961" s="81"/>
      <c r="Q961" s="152">
        <f t="shared" si="79"/>
        <v>0</v>
      </c>
    </row>
    <row r="962" spans="1:17">
      <c r="B962" s="670">
        <f t="shared" si="80"/>
        <v>957</v>
      </c>
      <c r="C962" s="601">
        <v>42872</v>
      </c>
      <c r="D962" s="377" t="s">
        <v>587</v>
      </c>
      <c r="E962" s="572">
        <v>610100</v>
      </c>
      <c r="F962" s="672" t="str">
        <f>IFERROR(VLOOKUP(E962,STAT1!$C$4:$D$1000,2,FALSE),"")</f>
        <v>Борлуулсан барааны өртөг</v>
      </c>
      <c r="G962" s="377">
        <v>361655.67805673444</v>
      </c>
      <c r="H962" s="597"/>
      <c r="I962" s="596">
        <f t="shared" si="78"/>
        <v>0</v>
      </c>
      <c r="J962" s="81"/>
      <c r="K962" s="81"/>
      <c r="L962" s="597">
        <v>3058</v>
      </c>
      <c r="M962" s="81" t="str">
        <f>+IFERROR(VLOOKUP(L962,DATA!$G$4:$H$2000,2,FALSE),"")</f>
        <v>БЕСТ СТАЙЛ ХХК</v>
      </c>
      <c r="N962" s="166"/>
      <c r="O962" s="81" t="str">
        <f>IFERROR(VLOOKUP(N962,DATA!$K$4:$L$51,2,FALSE),"")</f>
        <v/>
      </c>
      <c r="P962" s="81"/>
      <c r="Q962" s="152">
        <f t="shared" si="79"/>
        <v>0</v>
      </c>
    </row>
    <row r="963" spans="1:17">
      <c r="B963" s="670">
        <f t="shared" si="80"/>
        <v>958</v>
      </c>
      <c r="C963" s="601">
        <v>42872</v>
      </c>
      <c r="D963" s="377" t="s">
        <v>587</v>
      </c>
      <c r="E963" s="572">
        <v>310500</v>
      </c>
      <c r="F963" s="672" t="str">
        <f>IFERROR(VLOOKUP(E963,STAT1!$C$4:$D$1000,2,FALSE),"")</f>
        <v>НӨАТ өглөг</v>
      </c>
      <c r="G963" s="597"/>
      <c r="H963" s="377">
        <v>44000</v>
      </c>
      <c r="I963" s="596">
        <f t="shared" si="78"/>
        <v>0</v>
      </c>
      <c r="J963" s="81"/>
      <c r="K963" s="81"/>
      <c r="L963" s="597">
        <v>3058</v>
      </c>
      <c r="M963" s="81" t="str">
        <f>+IFERROR(VLOOKUP(L963,DATA!$G$4:$H$2000,2,FALSE),"")</f>
        <v>БЕСТ СТАЙЛ ХХК</v>
      </c>
      <c r="N963" s="166"/>
      <c r="O963" s="81" t="str">
        <f>IFERROR(VLOOKUP(N963,DATA!$K$4:$L$51,2,FALSE),"")</f>
        <v/>
      </c>
      <c r="P963" s="81"/>
      <c r="Q963" s="152">
        <f t="shared" si="79"/>
        <v>0</v>
      </c>
    </row>
    <row r="964" spans="1:17">
      <c r="B964" s="670">
        <f t="shared" si="80"/>
        <v>959</v>
      </c>
      <c r="C964" s="601">
        <v>42872</v>
      </c>
      <c r="D964" s="377" t="s">
        <v>587</v>
      </c>
      <c r="E964" s="572">
        <v>510000</v>
      </c>
      <c r="F964" s="672" t="str">
        <f>IFERROR(VLOOKUP(E964,STAT1!$C$4:$D$1000,2,FALSE),"")</f>
        <v>Үндсэн үйл ажиллагааны борлуулалт</v>
      </c>
      <c r="G964" s="597"/>
      <c r="H964" s="377">
        <v>440000</v>
      </c>
      <c r="I964" s="596">
        <f t="shared" si="78"/>
        <v>0</v>
      </c>
      <c r="J964" s="81"/>
      <c r="K964" s="81"/>
      <c r="L964" s="597">
        <v>3058</v>
      </c>
      <c r="M964" s="81" t="str">
        <f>+IFERROR(VLOOKUP(L964,DATA!$G$4:$H$2000,2,FALSE),"")</f>
        <v>БЕСТ СТАЙЛ ХХК</v>
      </c>
      <c r="N964" s="166"/>
      <c r="O964" s="81" t="str">
        <f>IFERROR(VLOOKUP(N964,DATA!$K$4:$L$51,2,FALSE),"")</f>
        <v/>
      </c>
      <c r="P964" s="81"/>
      <c r="Q964" s="152">
        <f t="shared" si="79"/>
        <v>0</v>
      </c>
    </row>
    <row r="965" spans="1:17">
      <c r="B965" s="670">
        <f t="shared" si="80"/>
        <v>960</v>
      </c>
      <c r="C965" s="601">
        <v>42872</v>
      </c>
      <c r="D965" s="377" t="s">
        <v>587</v>
      </c>
      <c r="E965" s="572">
        <v>320100</v>
      </c>
      <c r="F965" s="672" t="str">
        <f>IFERROR(VLOOKUP(E965,STAT1!$C$4:$D$1000,2,FALSE),"")</f>
        <v>Урьдчилж орсон орлого MNT</v>
      </c>
      <c r="G965" s="377">
        <v>484000</v>
      </c>
      <c r="H965" s="597"/>
      <c r="I965" s="596">
        <f t="shared" si="78"/>
        <v>0</v>
      </c>
      <c r="J965" s="81"/>
      <c r="K965" s="81"/>
      <c r="L965" s="597">
        <v>3058</v>
      </c>
      <c r="M965" s="81" t="str">
        <f>+IFERROR(VLOOKUP(L965,DATA!$G$4:$H$2000,2,FALSE),"")</f>
        <v>БЕСТ СТАЙЛ ХХК</v>
      </c>
      <c r="N965" s="166"/>
      <c r="O965" s="81" t="str">
        <f>IFERROR(VLOOKUP(N965,DATA!$K$4:$L$51,2,FALSE),"")</f>
        <v/>
      </c>
      <c r="P965" s="81"/>
      <c r="Q965" s="152">
        <f t="shared" si="79"/>
        <v>0</v>
      </c>
    </row>
    <row r="966" spans="1:17">
      <c r="B966" s="670">
        <f t="shared" si="80"/>
        <v>961</v>
      </c>
      <c r="C966" s="601">
        <v>42872</v>
      </c>
      <c r="D966" s="377" t="s">
        <v>1640</v>
      </c>
      <c r="E966" s="572">
        <v>160100</v>
      </c>
      <c r="F966" s="672" t="str">
        <f>IFERROR(VLOOKUP(E966,STAT1!$C$4:$D$8000,2,FALSE),"")</f>
        <v xml:space="preserve">Барилгын материал </v>
      </c>
      <c r="G966" s="377">
        <v>813999.99959999998</v>
      </c>
      <c r="H966" s="597"/>
      <c r="I966" s="596">
        <f t="shared" ref="I966:I1029" si="83">+IF(OR(E966=100100,E966=100200,E966=110100,E966=110102,E966=110103,E966=110104,E966=110105,E966=110200,E966=110201,E966=110202,E966=110203,E966=110204,E966=110300),G966,0)+IF(OR(E966=100100,E966=100200,E966=110100,E966=110102,E966=110103,E966=110104,E966=110105,E966=110200,E966=110201,E966=110202,E966=110203,E966=110204,E966=110300),H966*-1,0)</f>
        <v>0</v>
      </c>
      <c r="J966" s="81"/>
      <c r="K966" s="81"/>
      <c r="L966" s="597">
        <v>3017</v>
      </c>
      <c r="M966" s="81" t="str">
        <f>+IFERROR(VLOOKUP(L966,DATA!$G$4:$H$2000,2,FALSE),"")</f>
        <v xml:space="preserve">ВОС ХХК </v>
      </c>
      <c r="N966" s="166"/>
      <c r="O966" s="81" t="str">
        <f>IFERROR(VLOOKUP(N966,DATA!$K$4:$L$51,2,FALSE),"")</f>
        <v/>
      </c>
      <c r="P966" s="81"/>
      <c r="Q966" s="152">
        <f t="shared" si="79"/>
        <v>0</v>
      </c>
    </row>
    <row r="967" spans="1:17">
      <c r="B967" s="670">
        <f t="shared" si="80"/>
        <v>962</v>
      </c>
      <c r="C967" s="601">
        <v>42872</v>
      </c>
      <c r="D967" s="377" t="s">
        <v>1637</v>
      </c>
      <c r="E967" s="572">
        <v>120600</v>
      </c>
      <c r="F967" s="672" t="str">
        <f>IFERROR(VLOOKUP(E967,STAT1!$C$4:$D$8000,2,FALSE),"")</f>
        <v>НӨАТ авлага</v>
      </c>
      <c r="G967" s="377">
        <v>81399.999960000001</v>
      </c>
      <c r="H967" s="597"/>
      <c r="I967" s="596">
        <f t="shared" si="83"/>
        <v>0</v>
      </c>
      <c r="J967" s="81"/>
      <c r="K967" s="81"/>
      <c r="L967" s="597">
        <v>3017</v>
      </c>
      <c r="M967" s="81" t="str">
        <f>+IFERROR(VLOOKUP(L967,DATA!$G$4:$H$2000,2,FALSE),"")</f>
        <v xml:space="preserve">ВОС ХХК </v>
      </c>
      <c r="N967" s="166"/>
      <c r="O967" s="81" t="str">
        <f>IFERROR(VLOOKUP(N967,DATA!$K$4:$L$51,2,FALSE),"")</f>
        <v/>
      </c>
      <c r="P967" s="81"/>
      <c r="Q967" s="152">
        <f t="shared" ref="Q967:Q1030" si="84">+IF(I967,1,0)</f>
        <v>0</v>
      </c>
    </row>
    <row r="968" spans="1:17">
      <c r="B968" s="670">
        <f t="shared" si="80"/>
        <v>963</v>
      </c>
      <c r="C968" s="601">
        <v>42872</v>
      </c>
      <c r="D968" s="377" t="s">
        <v>1652</v>
      </c>
      <c r="E968" s="572">
        <v>120100</v>
      </c>
      <c r="F968" s="672" t="str">
        <f>IFERROR(VLOOKUP(E968,STAT1!$C$4:$D$8000,2,FALSE),"")</f>
        <v xml:space="preserve">Дансны авлага MNT </v>
      </c>
      <c r="G968" s="597"/>
      <c r="H968" s="377">
        <v>895399.99956000003</v>
      </c>
      <c r="I968" s="596">
        <f t="shared" si="83"/>
        <v>0</v>
      </c>
      <c r="J968" s="81"/>
      <c r="K968" s="81"/>
      <c r="L968" s="597">
        <v>3017</v>
      </c>
      <c r="M968" s="81" t="str">
        <f>+IFERROR(VLOOKUP(L968,DATA!$G$4:$H$2000,2,FALSE),"")</f>
        <v xml:space="preserve">ВОС ХХК </v>
      </c>
      <c r="N968" s="166"/>
      <c r="O968" s="81" t="str">
        <f>IFERROR(VLOOKUP(N968,DATA!$K$4:$L$51,2,FALSE),"")</f>
        <v/>
      </c>
      <c r="P968" s="81"/>
      <c r="Q968" s="152">
        <f t="shared" si="84"/>
        <v>0</v>
      </c>
    </row>
    <row r="969" spans="1:17">
      <c r="B969" s="670">
        <f t="shared" si="80"/>
        <v>964</v>
      </c>
      <c r="C969" s="433">
        <v>42873</v>
      </c>
      <c r="D969" s="377" t="s">
        <v>1741</v>
      </c>
      <c r="E969" s="572">
        <v>320100</v>
      </c>
      <c r="F969" s="672" t="str">
        <f>IFERROR(VLOOKUP(E969,STAT1!$C$4:$D$1000,2,FALSE),"")</f>
        <v>Урьдчилж орсон орлого MNT</v>
      </c>
      <c r="G969" s="377"/>
      <c r="H969" s="377">
        <v>242000</v>
      </c>
      <c r="I969" s="596">
        <f t="shared" si="83"/>
        <v>0</v>
      </c>
      <c r="J969" s="81">
        <f t="shared" ref="J969:J990" si="85">+IF(E969=110102,I969/K969,0)</f>
        <v>0</v>
      </c>
      <c r="K969" s="81"/>
      <c r="L969" s="597">
        <v>3025</v>
      </c>
      <c r="M969" s="81" t="str">
        <f>+IFERROR(VLOOKUP(L969,DATA!$G$4:$H$2000,2,FALSE),"")</f>
        <v xml:space="preserve">ТОСОН ВҮҮД ХХК </v>
      </c>
      <c r="N969" s="435"/>
      <c r="O969" s="81" t="str">
        <f>IFERROR(VLOOKUP(N969,DATA!$K$4:$L$51,2,FALSE),"")</f>
        <v/>
      </c>
      <c r="P969" s="81"/>
      <c r="Q969" s="152">
        <f t="shared" si="84"/>
        <v>0</v>
      </c>
    </row>
    <row r="970" spans="1:17">
      <c r="B970" s="670">
        <f t="shared" si="80"/>
        <v>965</v>
      </c>
      <c r="C970" s="433">
        <v>42873</v>
      </c>
      <c r="D970" s="377" t="s">
        <v>1741</v>
      </c>
      <c r="E970" s="572">
        <v>100100</v>
      </c>
      <c r="F970" s="672" t="str">
        <f>IFERROR(VLOOKUP(E970,STAT1!$C$4:$D$1000,2,FALSE),"")</f>
        <v>Касс мөнгө MNT</v>
      </c>
      <c r="G970" s="377">
        <v>242000</v>
      </c>
      <c r="H970" s="377">
        <v>0</v>
      </c>
      <c r="I970" s="596">
        <f t="shared" si="83"/>
        <v>242000</v>
      </c>
      <c r="J970" s="81">
        <f t="shared" si="85"/>
        <v>0</v>
      </c>
      <c r="K970" s="81"/>
      <c r="L970" s="597">
        <v>3025</v>
      </c>
      <c r="M970" s="81" t="str">
        <f>+IFERROR(VLOOKUP(L970,DATA!$G$4:$H$2000,2,FALSE),"")</f>
        <v xml:space="preserve">ТОСОН ВҮҮД ХХК </v>
      </c>
      <c r="N970" s="435">
        <v>41</v>
      </c>
      <c r="O970" s="81" t="str">
        <f>IFERROR(VLOOKUP(N970,DATA!$K$4:$L$51,2,FALSE),"")</f>
        <v>Бараа борлуулсан, үйлчилгээ үзүүлсэний орлого</v>
      </c>
      <c r="P970" s="81"/>
      <c r="Q970" s="152">
        <f t="shared" si="84"/>
        <v>1</v>
      </c>
    </row>
    <row r="971" spans="1:17">
      <c r="B971" s="670">
        <f t="shared" ref="B971:B1001" si="86">+IF(C971="","",ROW()-5)</f>
        <v>966</v>
      </c>
      <c r="C971" s="433">
        <v>42873</v>
      </c>
      <c r="D971" s="598" t="s">
        <v>1741</v>
      </c>
      <c r="E971" s="572">
        <v>110100</v>
      </c>
      <c r="F971" s="672" t="str">
        <f>IFERROR(VLOOKUP(E971,STAT1!$C$4:$D$1000,2,FALSE),"")</f>
        <v>Хаан Банк 5024654020</v>
      </c>
      <c r="G971" s="377">
        <v>264000</v>
      </c>
      <c r="H971" s="377"/>
      <c r="I971" s="596">
        <f t="shared" si="83"/>
        <v>264000</v>
      </c>
      <c r="J971" s="81">
        <f t="shared" si="85"/>
        <v>0</v>
      </c>
      <c r="K971" s="81"/>
      <c r="L971" s="597">
        <v>3010</v>
      </c>
      <c r="M971" s="81" t="str">
        <f>+IFERROR(VLOOKUP(L971,DATA!$G$4:$H$2000,2,FALSE),"")</f>
        <v xml:space="preserve">РЕНДЕР ХХК </v>
      </c>
      <c r="N971" s="435">
        <v>41</v>
      </c>
      <c r="O971" s="81" t="str">
        <f>IFERROR(VLOOKUP(N971,DATA!$K$4:$L$51,2,FALSE),"")</f>
        <v>Бараа борлуулсан, үйлчилгээ үзүүлсэний орлого</v>
      </c>
      <c r="P971" s="81"/>
      <c r="Q971" s="152">
        <f t="shared" si="84"/>
        <v>1</v>
      </c>
    </row>
    <row r="972" spans="1:17">
      <c r="B972" s="670">
        <f t="shared" si="86"/>
        <v>967</v>
      </c>
      <c r="C972" s="433">
        <v>42873</v>
      </c>
      <c r="D972" s="598" t="s">
        <v>1741</v>
      </c>
      <c r="E972" s="572">
        <v>320100</v>
      </c>
      <c r="F972" s="672" t="str">
        <f>IFERROR(VLOOKUP(E972,STAT1!$C$4:$D$1000,2,FALSE),"")</f>
        <v>Урьдчилж орсон орлого MNT</v>
      </c>
      <c r="G972" s="377">
        <v>0</v>
      </c>
      <c r="H972" s="377">
        <v>264000</v>
      </c>
      <c r="I972" s="596">
        <f t="shared" si="83"/>
        <v>0</v>
      </c>
      <c r="J972" s="81">
        <f t="shared" si="85"/>
        <v>0</v>
      </c>
      <c r="K972" s="81"/>
      <c r="L972" s="597">
        <v>3010</v>
      </c>
      <c r="M972" s="81" t="str">
        <f>+IFERROR(VLOOKUP(L972,DATA!$G$4:$H$2000,2,FALSE),"")</f>
        <v xml:space="preserve">РЕНДЕР ХХК </v>
      </c>
      <c r="N972" s="435"/>
      <c r="O972" s="81" t="str">
        <f>IFERROR(VLOOKUP(N972,DATA!$K$4:$L$51,2,FALSE),"")</f>
        <v/>
      </c>
      <c r="P972" s="81"/>
      <c r="Q972" s="152">
        <f t="shared" si="84"/>
        <v>0</v>
      </c>
    </row>
    <row r="973" spans="1:17">
      <c r="A973" s="600"/>
      <c r="B973" s="670">
        <f t="shared" si="86"/>
        <v>968</v>
      </c>
      <c r="C973" s="433">
        <v>42873</v>
      </c>
      <c r="D973" s="598" t="s">
        <v>1741</v>
      </c>
      <c r="E973" s="572">
        <v>110100</v>
      </c>
      <c r="F973" s="672" t="str">
        <f>IFERROR(VLOOKUP(E973,STAT1!$C$4:$D$1000,2,FALSE),"")</f>
        <v>Хаан Банк 5024654020</v>
      </c>
      <c r="G973" s="377">
        <v>792000</v>
      </c>
      <c r="H973" s="377"/>
      <c r="I973" s="596">
        <f t="shared" si="83"/>
        <v>792000</v>
      </c>
      <c r="J973" s="81">
        <f t="shared" si="85"/>
        <v>0</v>
      </c>
      <c r="K973" s="81"/>
      <c r="L973" s="597">
        <v>3041</v>
      </c>
      <c r="M973" s="81" t="str">
        <f>+IFERROR(VLOOKUP(L973,DATA!$G$4:$H$2000,2,FALSE),"")</f>
        <v>БҮТЭЭГЧ ХХК</v>
      </c>
      <c r="N973" s="435">
        <v>41</v>
      </c>
      <c r="O973" s="81" t="str">
        <f>IFERROR(VLOOKUP(N973,DATA!$K$4:$L$51,2,FALSE),"")</f>
        <v>Бараа борлуулсан, үйлчилгээ үзүүлсэний орлого</v>
      </c>
      <c r="P973" s="81"/>
      <c r="Q973" s="152">
        <f t="shared" si="84"/>
        <v>1</v>
      </c>
    </row>
    <row r="974" spans="1:17">
      <c r="A974" s="600"/>
      <c r="B974" s="670">
        <f t="shared" si="86"/>
        <v>969</v>
      </c>
      <c r="C974" s="433">
        <v>42873</v>
      </c>
      <c r="D974" s="598" t="s">
        <v>1741</v>
      </c>
      <c r="E974" s="572">
        <v>320100</v>
      </c>
      <c r="F974" s="672" t="str">
        <f>IFERROR(VLOOKUP(E974,STAT1!$C$4:$D$1000,2,FALSE),"")</f>
        <v>Урьдчилж орсон орлого MNT</v>
      </c>
      <c r="G974" s="377">
        <v>0</v>
      </c>
      <c r="H974" s="377">
        <v>792000</v>
      </c>
      <c r="I974" s="596">
        <f t="shared" si="83"/>
        <v>0</v>
      </c>
      <c r="J974" s="81">
        <f t="shared" si="85"/>
        <v>0</v>
      </c>
      <c r="K974" s="81"/>
      <c r="L974" s="597">
        <v>3041</v>
      </c>
      <c r="M974" s="81" t="str">
        <f>+IFERROR(VLOOKUP(L974,DATA!$G$4:$H$2000,2,FALSE),"")</f>
        <v>БҮТЭЭГЧ ХХК</v>
      </c>
      <c r="N974" s="435"/>
      <c r="O974" s="81" t="str">
        <f>IFERROR(VLOOKUP(N974,DATA!$K$4:$L$51,2,FALSE),"")</f>
        <v/>
      </c>
      <c r="P974" s="81"/>
      <c r="Q974" s="152">
        <f t="shared" si="84"/>
        <v>0</v>
      </c>
    </row>
    <row r="975" spans="1:17">
      <c r="B975" s="670">
        <f t="shared" si="86"/>
        <v>970</v>
      </c>
      <c r="C975" s="433">
        <v>42873</v>
      </c>
      <c r="D975" s="598" t="s">
        <v>1746</v>
      </c>
      <c r="E975" s="572">
        <v>310400</v>
      </c>
      <c r="F975" s="672" t="str">
        <f>IFERROR(VLOOKUP(E975,STAT1!$C$4:$D$1000,2,FALSE),"")</f>
        <v>Банкны богино хугацаат зээл MNT</v>
      </c>
      <c r="G975" s="377">
        <v>1056000</v>
      </c>
      <c r="H975" s="377">
        <v>0</v>
      </c>
      <c r="I975" s="596">
        <f t="shared" si="83"/>
        <v>0</v>
      </c>
      <c r="J975" s="81">
        <f t="shared" si="85"/>
        <v>0</v>
      </c>
      <c r="K975" s="81"/>
      <c r="L975" s="597">
        <v>2009</v>
      </c>
      <c r="M975" s="81" t="str">
        <f>+IFERROR(VLOOKUP(L975,DATA!$G$4:$H$2000,2,FALSE),"")</f>
        <v>ХААН БАНК</v>
      </c>
      <c r="N975" s="435"/>
      <c r="O975" s="81" t="str">
        <f>IFERROR(VLOOKUP(N975,DATA!$K$4:$L$51,2,FALSE),"")</f>
        <v/>
      </c>
      <c r="P975" s="81"/>
      <c r="Q975" s="152">
        <f t="shared" si="84"/>
        <v>0</v>
      </c>
    </row>
    <row r="976" spans="1:17">
      <c r="B976" s="670">
        <f t="shared" si="86"/>
        <v>971</v>
      </c>
      <c r="C976" s="433">
        <v>42873</v>
      </c>
      <c r="D976" s="598" t="s">
        <v>1746</v>
      </c>
      <c r="E976" s="572">
        <v>110100</v>
      </c>
      <c r="F976" s="672" t="str">
        <f>IFERROR(VLOOKUP(E976,STAT1!$C$4:$D$1000,2,FALSE),"")</f>
        <v>Хаан Банк 5024654020</v>
      </c>
      <c r="G976" s="377"/>
      <c r="H976" s="377">
        <v>1056000</v>
      </c>
      <c r="I976" s="596">
        <f t="shared" si="83"/>
        <v>-1056000</v>
      </c>
      <c r="J976" s="81">
        <f t="shared" si="85"/>
        <v>0</v>
      </c>
      <c r="K976" s="81"/>
      <c r="L976" s="597">
        <v>2009</v>
      </c>
      <c r="M976" s="81" t="str">
        <f>+IFERROR(VLOOKUP(L976,DATA!$G$4:$H$2000,2,FALSE),"")</f>
        <v>ХААН БАНК</v>
      </c>
      <c r="N976" s="435">
        <v>91</v>
      </c>
      <c r="O976" s="81" t="str">
        <f>IFERROR(VLOOKUP(N976,DATA!$K$4:$L$51,2,FALSE),"")</f>
        <v>Зээл, өрийн үнэт цаасны төлбөрт төлсөн</v>
      </c>
      <c r="P976" s="81"/>
      <c r="Q976" s="152">
        <f t="shared" si="84"/>
        <v>1</v>
      </c>
    </row>
    <row r="977" spans="2:17">
      <c r="B977" s="670">
        <f t="shared" si="86"/>
        <v>972</v>
      </c>
      <c r="C977" s="433">
        <v>42874</v>
      </c>
      <c r="D977" s="377" t="s">
        <v>1729</v>
      </c>
      <c r="E977" s="572">
        <v>100100</v>
      </c>
      <c r="F977" s="672" t="str">
        <f>IFERROR(VLOOKUP(E977,STAT1!$C$4:$D$1000,2,FALSE),"")</f>
        <v>Касс мөнгө MNT</v>
      </c>
      <c r="G977" s="377"/>
      <c r="H977" s="377">
        <v>5100000</v>
      </c>
      <c r="I977" s="596">
        <f t="shared" si="83"/>
        <v>-5100000</v>
      </c>
      <c r="J977" s="81">
        <f t="shared" si="85"/>
        <v>0</v>
      </c>
      <c r="K977" s="81"/>
      <c r="L977" s="597">
        <v>1005</v>
      </c>
      <c r="M977" s="81" t="str">
        <f>+IFERROR(VLOOKUP(L977,DATA!$G$4:$H$2000,2,FALSE),"")</f>
        <v>Золжаргал</v>
      </c>
      <c r="N977" s="435">
        <v>57</v>
      </c>
      <c r="O977" s="81" t="str">
        <f>IFERROR(VLOOKUP(N977,DATA!$K$4:$L$51,2,FALSE),"")</f>
        <v>Татварын байгууллагад төлсөн</v>
      </c>
      <c r="P977" s="81"/>
      <c r="Q977" s="152">
        <f t="shared" si="84"/>
        <v>1</v>
      </c>
    </row>
    <row r="978" spans="2:17">
      <c r="B978" s="670">
        <f t="shared" si="86"/>
        <v>973</v>
      </c>
      <c r="C978" s="433">
        <v>42874</v>
      </c>
      <c r="D978" s="377" t="s">
        <v>1729</v>
      </c>
      <c r="E978" s="572">
        <v>120700</v>
      </c>
      <c r="F978" s="672" t="str">
        <f>IFERROR(VLOOKUP(E978,STAT1!$C$4:$D$1000,2,FALSE),"")</f>
        <v>ААНОАТ авлага</v>
      </c>
      <c r="G978" s="377">
        <v>100000</v>
      </c>
      <c r="H978" s="377"/>
      <c r="I978" s="596">
        <f t="shared" si="83"/>
        <v>0</v>
      </c>
      <c r="J978" s="81">
        <f t="shared" si="85"/>
        <v>0</v>
      </c>
      <c r="K978" s="81"/>
      <c r="L978" s="597">
        <v>1005</v>
      </c>
      <c r="M978" s="81" t="str">
        <f>+IFERROR(VLOOKUP(L978,DATA!$G$4:$H$2000,2,FALSE),"")</f>
        <v>Золжаргал</v>
      </c>
      <c r="N978" s="435"/>
      <c r="O978" s="81" t="str">
        <f>IFERROR(VLOOKUP(N978,DATA!$K$4:$L$51,2,FALSE),"")</f>
        <v/>
      </c>
      <c r="P978" s="81"/>
      <c r="Q978" s="152">
        <f t="shared" si="84"/>
        <v>0</v>
      </c>
    </row>
    <row r="979" spans="2:17">
      <c r="B979" s="670">
        <f t="shared" si="86"/>
        <v>974</v>
      </c>
      <c r="C979" s="433">
        <v>42874</v>
      </c>
      <c r="D979" s="377" t="s">
        <v>1729</v>
      </c>
      <c r="E979" s="572">
        <v>703900</v>
      </c>
      <c r="F979" s="672" t="str">
        <f>IFERROR(VLOOKUP(E979,STAT1!$C$4:$D$1000,2,FALSE),"")</f>
        <v>Үл хөдлөхийн татвар</v>
      </c>
      <c r="G979" s="377">
        <v>2000000</v>
      </c>
      <c r="H979" s="377"/>
      <c r="I979" s="596">
        <f t="shared" si="83"/>
        <v>0</v>
      </c>
      <c r="J979" s="81">
        <f t="shared" si="85"/>
        <v>0</v>
      </c>
      <c r="K979" s="81"/>
      <c r="L979" s="597">
        <v>1005</v>
      </c>
      <c r="M979" s="81" t="str">
        <f>+IFERROR(VLOOKUP(L979,DATA!$G$4:$H$2000,2,FALSE),"")</f>
        <v>Золжаргал</v>
      </c>
      <c r="N979" s="435"/>
      <c r="O979" s="81" t="str">
        <f>IFERROR(VLOOKUP(N979,DATA!$K$4:$L$51,2,FALSE),"")</f>
        <v/>
      </c>
      <c r="P979" s="81"/>
      <c r="Q979" s="152">
        <f t="shared" si="84"/>
        <v>0</v>
      </c>
    </row>
    <row r="980" spans="2:17">
      <c r="B980" s="670">
        <f t="shared" si="86"/>
        <v>975</v>
      </c>
      <c r="C980" s="433">
        <v>42874</v>
      </c>
      <c r="D980" s="377" t="s">
        <v>1729</v>
      </c>
      <c r="E980" s="572">
        <v>120800</v>
      </c>
      <c r="F980" s="672" t="str">
        <f>IFERROR(VLOOKUP(E980,STAT1!$C$4:$D$1000,2,FALSE),"")</f>
        <v>ХАОАТ авлага</v>
      </c>
      <c r="G980" s="377">
        <v>3000000</v>
      </c>
      <c r="H980" s="377"/>
      <c r="I980" s="596">
        <f t="shared" si="83"/>
        <v>0</v>
      </c>
      <c r="J980" s="81">
        <f t="shared" si="85"/>
        <v>0</v>
      </c>
      <c r="K980" s="81"/>
      <c r="L980" s="597">
        <v>1005</v>
      </c>
      <c r="M980" s="81" t="str">
        <f>+IFERROR(VLOOKUP(L980,DATA!$G$4:$H$2000,2,FALSE),"")</f>
        <v>Золжаргал</v>
      </c>
      <c r="N980" s="435"/>
      <c r="O980" s="81" t="str">
        <f>IFERROR(VLOOKUP(N980,DATA!$K$4:$L$51,2,FALSE),"")</f>
        <v/>
      </c>
      <c r="P980" s="81"/>
      <c r="Q980" s="152">
        <f t="shared" si="84"/>
        <v>0</v>
      </c>
    </row>
    <row r="981" spans="2:17">
      <c r="B981" s="670">
        <f t="shared" si="86"/>
        <v>976</v>
      </c>
      <c r="C981" s="433">
        <v>42874</v>
      </c>
      <c r="D981" s="377" t="s">
        <v>1351</v>
      </c>
      <c r="E981" s="572">
        <v>704900</v>
      </c>
      <c r="F981" s="672" t="str">
        <f>IFERROR(VLOOKUP(E981,STAT1!$C$4:$D$1000,2,FALSE),"")</f>
        <v>Банкны үйлчилгээ</v>
      </c>
      <c r="G981" s="377">
        <v>300</v>
      </c>
      <c r="H981" s="377"/>
      <c r="I981" s="596">
        <f t="shared" si="83"/>
        <v>0</v>
      </c>
      <c r="J981" s="81">
        <f t="shared" si="85"/>
        <v>0</v>
      </c>
      <c r="K981" s="81"/>
      <c r="L981" s="597">
        <v>1005</v>
      </c>
      <c r="M981" s="81" t="str">
        <f>+IFERROR(VLOOKUP(L981,DATA!$G$4:$H$2000,2,FALSE),"")</f>
        <v>Золжаргал</v>
      </c>
      <c r="N981" s="435"/>
      <c r="O981" s="81"/>
      <c r="P981" s="81"/>
      <c r="Q981" s="152">
        <f t="shared" si="84"/>
        <v>0</v>
      </c>
    </row>
    <row r="982" spans="2:17">
      <c r="B982" s="670">
        <f t="shared" si="86"/>
        <v>977</v>
      </c>
      <c r="C982" s="433">
        <v>42874</v>
      </c>
      <c r="D982" s="377" t="s">
        <v>1351</v>
      </c>
      <c r="E982" s="572">
        <v>100100</v>
      </c>
      <c r="F982" s="672" t="str">
        <f>IFERROR(VLOOKUP(E982,STAT1!$C$4:$D$1000,2,FALSE),"")</f>
        <v>Касс мөнгө MNT</v>
      </c>
      <c r="G982" s="377"/>
      <c r="H982" s="377">
        <v>300</v>
      </c>
      <c r="I982" s="596">
        <f t="shared" si="83"/>
        <v>-300</v>
      </c>
      <c r="J982" s="81">
        <f t="shared" si="85"/>
        <v>0</v>
      </c>
      <c r="K982" s="81"/>
      <c r="L982" s="597">
        <v>1005</v>
      </c>
      <c r="M982" s="81" t="str">
        <f>+IFERROR(VLOOKUP(L982,DATA!$G$4:$H$2000,2,FALSE),"")</f>
        <v>Золжаргал</v>
      </c>
      <c r="N982" s="435">
        <v>59</v>
      </c>
      <c r="O982" s="81" t="str">
        <f>IFERROR(VLOOKUP(N982,DATA!$K$4:$L$51,2,FALSE),"")</f>
        <v>Бусад мөнгөн зарлага</v>
      </c>
      <c r="P982" s="81"/>
      <c r="Q982" s="152">
        <f t="shared" si="84"/>
        <v>1</v>
      </c>
    </row>
    <row r="983" spans="2:17">
      <c r="B983" s="670">
        <f t="shared" si="86"/>
        <v>978</v>
      </c>
      <c r="C983" s="433">
        <v>42874</v>
      </c>
      <c r="D983" s="377" t="s">
        <v>1741</v>
      </c>
      <c r="E983" s="572">
        <v>320100</v>
      </c>
      <c r="F983" s="672" t="str">
        <f>IFERROR(VLOOKUP(E983,STAT1!$C$4:$D$1000,2,FALSE),"")</f>
        <v>Урьдчилж орсон орлого MNT</v>
      </c>
      <c r="G983" s="377"/>
      <c r="H983" s="377">
        <v>379500</v>
      </c>
      <c r="I983" s="596">
        <f t="shared" si="83"/>
        <v>0</v>
      </c>
      <c r="J983" s="81">
        <f t="shared" si="85"/>
        <v>0</v>
      </c>
      <c r="K983" s="81"/>
      <c r="L983" s="597">
        <v>3059</v>
      </c>
      <c r="M983" s="81" t="str">
        <f>+IFERROR(VLOOKUP(L983,DATA!$G$4:$H$2000,2,FALSE),"")</f>
        <v>ЦАМХАГТ АСАР КОНСТРАКШН ХХК</v>
      </c>
      <c r="N983" s="435"/>
      <c r="O983" s="81" t="str">
        <f>IFERROR(VLOOKUP(N983,DATA!$K$4:$L$51,2,FALSE),"")</f>
        <v/>
      </c>
      <c r="P983" s="81"/>
      <c r="Q983" s="152">
        <f t="shared" si="84"/>
        <v>0</v>
      </c>
    </row>
    <row r="984" spans="2:17">
      <c r="B984" s="670">
        <f t="shared" si="86"/>
        <v>979</v>
      </c>
      <c r="C984" s="433">
        <v>42874</v>
      </c>
      <c r="D984" s="377" t="s">
        <v>1741</v>
      </c>
      <c r="E984" s="572">
        <v>100100</v>
      </c>
      <c r="F984" s="672" t="str">
        <f>IFERROR(VLOOKUP(E984,STAT1!$C$4:$D$1000,2,FALSE),"")</f>
        <v>Касс мөнгө MNT</v>
      </c>
      <c r="G984" s="377">
        <v>379500</v>
      </c>
      <c r="H984" s="377">
        <v>0</v>
      </c>
      <c r="I984" s="596">
        <f t="shared" si="83"/>
        <v>379500</v>
      </c>
      <c r="J984" s="81">
        <f t="shared" si="85"/>
        <v>0</v>
      </c>
      <c r="K984" s="81"/>
      <c r="L984" s="597">
        <v>3059</v>
      </c>
      <c r="M984" s="81" t="str">
        <f>+IFERROR(VLOOKUP(L984,DATA!$G$4:$H$2000,2,FALSE),"")</f>
        <v>ЦАМХАГТ АСАР КОНСТРАКШН ХХК</v>
      </c>
      <c r="N984" s="435">
        <v>41</v>
      </c>
      <c r="O984" s="81" t="str">
        <f>IFERROR(VLOOKUP(N984,DATA!$K$4:$L$51,2,FALSE),"")</f>
        <v>Бараа борлуулсан, үйлчилгээ үзүүлсэний орлого</v>
      </c>
      <c r="P984" s="81"/>
      <c r="Q984" s="152">
        <f t="shared" si="84"/>
        <v>1</v>
      </c>
    </row>
    <row r="985" spans="2:17">
      <c r="B985" s="670">
        <f t="shared" si="86"/>
        <v>980</v>
      </c>
      <c r="C985" s="433">
        <v>42874</v>
      </c>
      <c r="D985" s="598" t="s">
        <v>1744</v>
      </c>
      <c r="E985" s="572">
        <v>110100</v>
      </c>
      <c r="F985" s="672" t="str">
        <f>IFERROR(VLOOKUP(E985,STAT1!$C$4:$D$1000,2,FALSE),"")</f>
        <v>Хаан Банк 5024654020</v>
      </c>
      <c r="G985" s="377">
        <v>6580000</v>
      </c>
      <c r="H985" s="377"/>
      <c r="I985" s="596">
        <f t="shared" si="83"/>
        <v>6580000</v>
      </c>
      <c r="J985" s="81">
        <f t="shared" si="85"/>
        <v>0</v>
      </c>
      <c r="K985" s="81"/>
      <c r="L985" s="597">
        <v>3001</v>
      </c>
      <c r="M985" s="81" t="str">
        <f>+IFERROR(VLOOKUP(L985,DATA!$G$4:$H$2000,2,FALSE),"")</f>
        <v>ХУРД ГРУПП ХХК</v>
      </c>
      <c r="N985" s="435">
        <v>41</v>
      </c>
      <c r="O985" s="81" t="str">
        <f>IFERROR(VLOOKUP(N985,DATA!$K$4:$L$51,2,FALSE),"")</f>
        <v>Бараа борлуулсан, үйлчилгээ үзүүлсэний орлого</v>
      </c>
      <c r="P985" s="81"/>
      <c r="Q985" s="152">
        <f t="shared" si="84"/>
        <v>1</v>
      </c>
    </row>
    <row r="986" spans="2:17">
      <c r="B986" s="670">
        <f t="shared" si="86"/>
        <v>981</v>
      </c>
      <c r="C986" s="433">
        <v>42874</v>
      </c>
      <c r="D986" s="598" t="s">
        <v>1744</v>
      </c>
      <c r="E986" s="572">
        <v>320100</v>
      </c>
      <c r="F986" s="672" t="str">
        <f>IFERROR(VLOOKUP(E986,STAT1!$C$4:$D$1000,2,FALSE),"")</f>
        <v>Урьдчилж орсон орлого MNT</v>
      </c>
      <c r="G986" s="377">
        <v>0</v>
      </c>
      <c r="H986" s="377">
        <v>6580000</v>
      </c>
      <c r="I986" s="596">
        <f t="shared" si="83"/>
        <v>0</v>
      </c>
      <c r="J986" s="81">
        <f t="shared" si="85"/>
        <v>0</v>
      </c>
      <c r="K986" s="81"/>
      <c r="L986" s="597">
        <v>3001</v>
      </c>
      <c r="M986" s="81" t="str">
        <f>+IFERROR(VLOOKUP(L986,DATA!$G$4:$H$2000,2,FALSE),"")</f>
        <v>ХУРД ГРУПП ХХК</v>
      </c>
      <c r="N986" s="435"/>
      <c r="O986" s="81" t="str">
        <f>IFERROR(VLOOKUP(N986,DATA!$K$4:$L$51,2,FALSE),"")</f>
        <v/>
      </c>
      <c r="P986" s="81"/>
      <c r="Q986" s="152">
        <f t="shared" si="84"/>
        <v>0</v>
      </c>
    </row>
    <row r="987" spans="2:17">
      <c r="B987" s="670">
        <f t="shared" si="86"/>
        <v>982</v>
      </c>
      <c r="C987" s="433">
        <v>42874</v>
      </c>
      <c r="D987" s="598" t="s">
        <v>1746</v>
      </c>
      <c r="E987" s="572">
        <v>310400</v>
      </c>
      <c r="F987" s="672" t="str">
        <f>IFERROR(VLOOKUP(E987,STAT1!$C$4:$D$1000,2,FALSE),"")</f>
        <v>Банкны богино хугацаат зээл MNT</v>
      </c>
      <c r="G987" s="377">
        <v>3595307</v>
      </c>
      <c r="H987" s="377">
        <v>0</v>
      </c>
      <c r="I987" s="596">
        <f t="shared" si="83"/>
        <v>0</v>
      </c>
      <c r="J987" s="81">
        <f t="shared" si="85"/>
        <v>0</v>
      </c>
      <c r="K987" s="81"/>
      <c r="L987" s="597">
        <v>2009</v>
      </c>
      <c r="M987" s="81" t="str">
        <f>+IFERROR(VLOOKUP(L987,DATA!$G$4:$H$2000,2,FALSE),"")</f>
        <v>ХААН БАНК</v>
      </c>
      <c r="N987" s="435"/>
      <c r="O987" s="81" t="str">
        <f>IFERROR(VLOOKUP(N987,DATA!$K$4:$L$51,2,FALSE),"")</f>
        <v/>
      </c>
      <c r="P987" s="81"/>
      <c r="Q987" s="152">
        <f t="shared" si="84"/>
        <v>0</v>
      </c>
    </row>
    <row r="988" spans="2:17">
      <c r="B988" s="670">
        <f t="shared" si="86"/>
        <v>983</v>
      </c>
      <c r="C988" s="433">
        <v>42874</v>
      </c>
      <c r="D988" s="598" t="s">
        <v>1746</v>
      </c>
      <c r="E988" s="572">
        <v>110100</v>
      </c>
      <c r="F988" s="672" t="str">
        <f>IFERROR(VLOOKUP(E988,STAT1!$C$4:$D$1000,2,FALSE),"")</f>
        <v>Хаан Банк 5024654020</v>
      </c>
      <c r="G988" s="377"/>
      <c r="H988" s="377">
        <v>3595307</v>
      </c>
      <c r="I988" s="596">
        <f t="shared" si="83"/>
        <v>-3595307</v>
      </c>
      <c r="J988" s="81">
        <f t="shared" si="85"/>
        <v>0</v>
      </c>
      <c r="K988" s="81"/>
      <c r="L988" s="597">
        <v>2009</v>
      </c>
      <c r="M988" s="81" t="str">
        <f>+IFERROR(VLOOKUP(L988,DATA!$G$4:$H$2000,2,FALSE),"")</f>
        <v>ХААН БАНК</v>
      </c>
      <c r="N988" s="435">
        <v>91</v>
      </c>
      <c r="O988" s="81" t="str">
        <f>IFERROR(VLOOKUP(N988,DATA!$K$4:$L$51,2,FALSE),"")</f>
        <v>Зээл, өрийн үнэт цаасны төлбөрт төлсөн</v>
      </c>
      <c r="P988" s="81"/>
      <c r="Q988" s="152">
        <f t="shared" si="84"/>
        <v>1</v>
      </c>
    </row>
    <row r="989" spans="2:17">
      <c r="B989" s="670">
        <f t="shared" si="86"/>
        <v>984</v>
      </c>
      <c r="C989" s="433">
        <v>42874</v>
      </c>
      <c r="D989" s="598" t="s">
        <v>1746</v>
      </c>
      <c r="E989" s="572">
        <v>702500</v>
      </c>
      <c r="F989" s="672" t="str">
        <f>IFERROR(VLOOKUP(E989,STAT1!$C$4:$D$1000,2,FALSE),"")</f>
        <v>Зээлийн хүүгийн зардал</v>
      </c>
      <c r="G989" s="377">
        <v>15304.7</v>
      </c>
      <c r="H989" s="377"/>
      <c r="I989" s="596">
        <f t="shared" si="83"/>
        <v>0</v>
      </c>
      <c r="J989" s="81">
        <f t="shared" si="85"/>
        <v>0</v>
      </c>
      <c r="K989" s="81"/>
      <c r="L989" s="597">
        <v>2009</v>
      </c>
      <c r="M989" s="81" t="str">
        <f>+IFERROR(VLOOKUP(L989,DATA!$G$4:$H$2000,2,FALSE),"")</f>
        <v>ХААН БАНК</v>
      </c>
      <c r="N989" s="435"/>
      <c r="O989" s="81" t="str">
        <f>IFERROR(VLOOKUP(N989,DATA!$K$4:$L$51,2,FALSE),"")</f>
        <v/>
      </c>
      <c r="P989" s="81"/>
      <c r="Q989" s="152">
        <f t="shared" si="84"/>
        <v>0</v>
      </c>
    </row>
    <row r="990" spans="2:17">
      <c r="B990" s="670">
        <f t="shared" si="86"/>
        <v>985</v>
      </c>
      <c r="C990" s="433">
        <v>42874</v>
      </c>
      <c r="D990" s="598" t="s">
        <v>1746</v>
      </c>
      <c r="E990" s="572">
        <v>110100</v>
      </c>
      <c r="F990" s="672" t="str">
        <f>IFERROR(VLOOKUP(E990,STAT1!$C$4:$D$1000,2,FALSE),"")</f>
        <v>Хаан Банк 5024654020</v>
      </c>
      <c r="G990" s="377"/>
      <c r="H990" s="377">
        <v>15304.7</v>
      </c>
      <c r="I990" s="596">
        <f t="shared" si="83"/>
        <v>-15304.7</v>
      </c>
      <c r="J990" s="81">
        <f t="shared" si="85"/>
        <v>0</v>
      </c>
      <c r="K990" s="81"/>
      <c r="L990" s="597">
        <v>2009</v>
      </c>
      <c r="M990" s="81" t="str">
        <f>+IFERROR(VLOOKUP(L990,DATA!$G$4:$H$2000,2,FALSE),"")</f>
        <v>ХААН БАНК</v>
      </c>
      <c r="N990" s="435">
        <v>56</v>
      </c>
      <c r="O990" s="81" t="str">
        <f>IFERROR(VLOOKUP(N990,DATA!$K$4:$L$51,2,FALSE),"")</f>
        <v>Хүүний төлбөрт төлсөн</v>
      </c>
      <c r="P990" s="81"/>
      <c r="Q990" s="152">
        <f t="shared" si="84"/>
        <v>1</v>
      </c>
    </row>
    <row r="991" spans="2:17">
      <c r="B991" s="670">
        <f t="shared" si="86"/>
        <v>986</v>
      </c>
      <c r="C991" s="601">
        <v>42874</v>
      </c>
      <c r="D991" s="377" t="s">
        <v>2700</v>
      </c>
      <c r="E991" s="573">
        <v>150101</v>
      </c>
      <c r="F991" s="672" t="str">
        <f>IFERROR(VLOOKUP(E991,STAT1!$C$4:$D$1000,2,FALSE),"")</f>
        <v>Бараа бэлэн бүтээгдэхүүн БОЛОВСРУУЛАХ ЦЕХ /нарс/</v>
      </c>
      <c r="G991" s="597"/>
      <c r="H991" s="377">
        <v>197266.73348549154</v>
      </c>
      <c r="I991" s="596">
        <f t="shared" si="83"/>
        <v>0</v>
      </c>
      <c r="J991" s="81"/>
      <c r="K991" s="81"/>
      <c r="L991" s="597">
        <v>3010</v>
      </c>
      <c r="M991" s="81" t="str">
        <f>+IFERROR(VLOOKUP(L991,DATA!$G$4:$H$2000,2,FALSE),"")</f>
        <v xml:space="preserve">РЕНДЕР ХХК </v>
      </c>
      <c r="N991" s="166"/>
      <c r="O991" s="81" t="str">
        <f>IFERROR(VLOOKUP(N991,DATA!$K$4:$L$51,2,FALSE),"")</f>
        <v/>
      </c>
      <c r="P991" s="81"/>
      <c r="Q991" s="152">
        <f t="shared" si="84"/>
        <v>0</v>
      </c>
    </row>
    <row r="992" spans="2:17">
      <c r="B992" s="670">
        <f t="shared" si="86"/>
        <v>987</v>
      </c>
      <c r="C992" s="601">
        <v>42874</v>
      </c>
      <c r="D992" s="377" t="s">
        <v>587</v>
      </c>
      <c r="E992" s="572">
        <v>610100</v>
      </c>
      <c r="F992" s="672" t="str">
        <f>IFERROR(VLOOKUP(E992,STAT1!$C$4:$D$1000,2,FALSE),"")</f>
        <v>Борлуулсан барааны өртөг</v>
      </c>
      <c r="G992" s="377">
        <v>197266.73348549154</v>
      </c>
      <c r="H992" s="597"/>
      <c r="I992" s="596">
        <f t="shared" si="83"/>
        <v>0</v>
      </c>
      <c r="J992" s="81"/>
      <c r="K992" s="81"/>
      <c r="L992" s="597">
        <v>3010</v>
      </c>
      <c r="M992" s="81" t="str">
        <f>+IFERROR(VLOOKUP(L992,DATA!$G$4:$H$2000,2,FALSE),"")</f>
        <v xml:space="preserve">РЕНДЕР ХХК </v>
      </c>
      <c r="N992" s="166"/>
      <c r="O992" s="81" t="str">
        <f>IFERROR(VLOOKUP(N992,DATA!$K$4:$L$51,2,FALSE),"")</f>
        <v/>
      </c>
      <c r="P992" s="81"/>
      <c r="Q992" s="152">
        <f t="shared" si="84"/>
        <v>0</v>
      </c>
    </row>
    <row r="993" spans="2:17">
      <c r="B993" s="670">
        <f t="shared" si="86"/>
        <v>988</v>
      </c>
      <c r="C993" s="601">
        <v>42874</v>
      </c>
      <c r="D993" s="377" t="s">
        <v>587</v>
      </c>
      <c r="E993" s="572">
        <v>310500</v>
      </c>
      <c r="F993" s="672" t="str">
        <f>IFERROR(VLOOKUP(E993,STAT1!$C$4:$D$1000,2,FALSE),"")</f>
        <v>НӨАТ өглөг</v>
      </c>
      <c r="G993" s="597"/>
      <c r="H993" s="377">
        <v>24000</v>
      </c>
      <c r="I993" s="596">
        <f t="shared" si="83"/>
        <v>0</v>
      </c>
      <c r="J993" s="81"/>
      <c r="K993" s="81"/>
      <c r="L993" s="597">
        <v>3010</v>
      </c>
      <c r="M993" s="81" t="str">
        <f>+IFERROR(VLOOKUP(L993,DATA!$G$4:$H$2000,2,FALSE),"")</f>
        <v xml:space="preserve">РЕНДЕР ХХК </v>
      </c>
      <c r="N993" s="166"/>
      <c r="O993" s="81" t="str">
        <f>IFERROR(VLOOKUP(N993,DATA!$K$4:$L$51,2,FALSE),"")</f>
        <v/>
      </c>
      <c r="P993" s="81"/>
      <c r="Q993" s="152">
        <f t="shared" si="84"/>
        <v>0</v>
      </c>
    </row>
    <row r="994" spans="2:17">
      <c r="B994" s="670">
        <f t="shared" si="86"/>
        <v>989</v>
      </c>
      <c r="C994" s="601">
        <v>42874</v>
      </c>
      <c r="D994" s="377" t="s">
        <v>587</v>
      </c>
      <c r="E994" s="572">
        <v>510000</v>
      </c>
      <c r="F994" s="672" t="str">
        <f>IFERROR(VLOOKUP(E994,STAT1!$C$4:$D$1000,2,FALSE),"")</f>
        <v>Үндсэн үйл ажиллагааны борлуулалт</v>
      </c>
      <c r="G994" s="597"/>
      <c r="H994" s="377">
        <v>240000</v>
      </c>
      <c r="I994" s="596">
        <f t="shared" si="83"/>
        <v>0</v>
      </c>
      <c r="J994" s="81"/>
      <c r="K994" s="81"/>
      <c r="L994" s="597">
        <v>3010</v>
      </c>
      <c r="M994" s="81" t="str">
        <f>+IFERROR(VLOOKUP(L994,DATA!$G$4:$H$2000,2,FALSE),"")</f>
        <v xml:space="preserve">РЕНДЕР ХХК </v>
      </c>
      <c r="N994" s="166"/>
      <c r="O994" s="81" t="str">
        <f>IFERROR(VLOOKUP(N994,DATA!$K$4:$L$51,2,FALSE),"")</f>
        <v/>
      </c>
      <c r="P994" s="81"/>
      <c r="Q994" s="152">
        <f t="shared" si="84"/>
        <v>0</v>
      </c>
    </row>
    <row r="995" spans="2:17">
      <c r="B995" s="670">
        <f t="shared" si="86"/>
        <v>990</v>
      </c>
      <c r="C995" s="601">
        <v>42874</v>
      </c>
      <c r="D995" s="377" t="s">
        <v>587</v>
      </c>
      <c r="E995" s="572">
        <v>320100</v>
      </c>
      <c r="F995" s="672" t="str">
        <f>IFERROR(VLOOKUP(E995,STAT1!$C$4:$D$1000,2,FALSE),"")</f>
        <v>Урьдчилж орсон орлого MNT</v>
      </c>
      <c r="G995" s="377">
        <v>264000</v>
      </c>
      <c r="H995" s="597"/>
      <c r="I995" s="596">
        <f t="shared" si="83"/>
        <v>0</v>
      </c>
      <c r="J995" s="81"/>
      <c r="K995" s="81"/>
      <c r="L995" s="597">
        <v>3010</v>
      </c>
      <c r="M995" s="81" t="str">
        <f>+IFERROR(VLOOKUP(L995,DATA!$G$4:$H$2000,2,FALSE),"")</f>
        <v xml:space="preserve">РЕНДЕР ХХК </v>
      </c>
      <c r="N995" s="166"/>
      <c r="O995" s="81" t="str">
        <f>IFERROR(VLOOKUP(N995,DATA!$K$4:$L$51,2,FALSE),"")</f>
        <v/>
      </c>
      <c r="P995" s="81"/>
      <c r="Q995" s="152">
        <f t="shared" si="84"/>
        <v>0</v>
      </c>
    </row>
    <row r="996" spans="2:17">
      <c r="B996" s="670">
        <f t="shared" si="86"/>
        <v>991</v>
      </c>
      <c r="C996" s="601">
        <v>42874</v>
      </c>
      <c r="D996" s="377" t="s">
        <v>2698</v>
      </c>
      <c r="E996" s="573">
        <v>150101</v>
      </c>
      <c r="F996" s="672" t="str">
        <f>IFERROR(VLOOKUP(E996,STAT1!$C$4:$D$1000,2,FALSE),"")</f>
        <v>Бараа бэлэн бүтээгдэхүүн БОЛОВСРУУЛАХ ЦЕХ /нарс/</v>
      </c>
      <c r="G996" s="597"/>
      <c r="H996" s="377">
        <v>201948.6604611903</v>
      </c>
      <c r="I996" s="596">
        <f t="shared" si="83"/>
        <v>0</v>
      </c>
      <c r="J996" s="81"/>
      <c r="K996" s="81"/>
      <c r="L996" s="597">
        <v>3059</v>
      </c>
      <c r="M996" s="81" t="str">
        <f>+IFERROR(VLOOKUP(L996,DATA!$G$4:$H$2000,2,FALSE),"")</f>
        <v>ЦАМХАГТ АСАР КОНСТРАКШН ХХК</v>
      </c>
      <c r="N996" s="166"/>
      <c r="O996" s="81" t="str">
        <f>IFERROR(VLOOKUP(N996,DATA!$K$4:$L$51,2,FALSE),"")</f>
        <v/>
      </c>
      <c r="P996" s="81"/>
      <c r="Q996" s="152">
        <f t="shared" si="84"/>
        <v>0</v>
      </c>
    </row>
    <row r="997" spans="2:17">
      <c r="B997" s="670">
        <f t="shared" si="86"/>
        <v>992</v>
      </c>
      <c r="C997" s="601">
        <v>42874</v>
      </c>
      <c r="D997" s="377" t="s">
        <v>587</v>
      </c>
      <c r="E997" s="572">
        <v>610100</v>
      </c>
      <c r="F997" s="672" t="str">
        <f>IFERROR(VLOOKUP(E997,STAT1!$C$4:$D$1000,2,FALSE),"")</f>
        <v>Борлуулсан барааны өртөг</v>
      </c>
      <c r="G997" s="377">
        <v>201948.6604611903</v>
      </c>
      <c r="H997" s="597"/>
      <c r="I997" s="596">
        <f t="shared" si="83"/>
        <v>0</v>
      </c>
      <c r="J997" s="81"/>
      <c r="K997" s="81"/>
      <c r="L997" s="597">
        <v>3059</v>
      </c>
      <c r="M997" s="81" t="str">
        <f>+IFERROR(VLOOKUP(L997,DATA!$G$4:$H$2000,2,FALSE),"")</f>
        <v>ЦАМХАГТ АСАР КОНСТРАКШН ХХК</v>
      </c>
      <c r="N997" s="166"/>
      <c r="O997" s="81" t="str">
        <f>IFERROR(VLOOKUP(N997,DATA!$K$4:$L$51,2,FALSE),"")</f>
        <v/>
      </c>
      <c r="P997" s="81"/>
      <c r="Q997" s="152">
        <f t="shared" si="84"/>
        <v>0</v>
      </c>
    </row>
    <row r="998" spans="2:17">
      <c r="B998" s="670">
        <f t="shared" si="86"/>
        <v>993</v>
      </c>
      <c r="C998" s="601">
        <v>42874</v>
      </c>
      <c r="D998" s="377" t="s">
        <v>587</v>
      </c>
      <c r="E998" s="572">
        <v>310500</v>
      </c>
      <c r="F998" s="672" t="str">
        <f>IFERROR(VLOOKUP(E998,STAT1!$C$4:$D$1000,2,FALSE),"")</f>
        <v>НӨАТ өглөг</v>
      </c>
      <c r="G998" s="597"/>
      <c r="H998" s="377">
        <v>34499.999907999998</v>
      </c>
      <c r="I998" s="596">
        <f t="shared" si="83"/>
        <v>0</v>
      </c>
      <c r="J998" s="81"/>
      <c r="K998" s="81"/>
      <c r="L998" s="597">
        <v>3059</v>
      </c>
      <c r="M998" s="81" t="str">
        <f>+IFERROR(VLOOKUP(L998,DATA!$G$4:$H$2000,2,FALSE),"")</f>
        <v>ЦАМХАГТ АСАР КОНСТРАКШН ХХК</v>
      </c>
      <c r="N998" s="166"/>
      <c r="O998" s="81" t="str">
        <f>IFERROR(VLOOKUP(N998,DATA!$K$4:$L$51,2,FALSE),"")</f>
        <v/>
      </c>
      <c r="P998" s="81"/>
      <c r="Q998" s="152">
        <f t="shared" si="84"/>
        <v>0</v>
      </c>
    </row>
    <row r="999" spans="2:17">
      <c r="B999" s="670">
        <f t="shared" si="86"/>
        <v>994</v>
      </c>
      <c r="C999" s="601">
        <v>42874</v>
      </c>
      <c r="D999" s="377" t="s">
        <v>587</v>
      </c>
      <c r="E999" s="572">
        <v>510000</v>
      </c>
      <c r="F999" s="672" t="str">
        <f>IFERROR(VLOOKUP(E999,STAT1!$C$4:$D$1000,2,FALSE),"")</f>
        <v>Үндсэн үйл ажиллагааны борлуулалт</v>
      </c>
      <c r="G999" s="597"/>
      <c r="H999" s="377">
        <v>344999.99907999998</v>
      </c>
      <c r="I999" s="596">
        <f t="shared" si="83"/>
        <v>0</v>
      </c>
      <c r="J999" s="81"/>
      <c r="K999" s="81"/>
      <c r="L999" s="597">
        <v>3059</v>
      </c>
      <c r="M999" s="81" t="str">
        <f>+IFERROR(VLOOKUP(L999,DATA!$G$4:$H$2000,2,FALSE),"")</f>
        <v>ЦАМХАГТ АСАР КОНСТРАКШН ХХК</v>
      </c>
      <c r="N999" s="166"/>
      <c r="O999" s="81" t="str">
        <f>IFERROR(VLOOKUP(N999,DATA!$K$4:$L$51,2,FALSE),"")</f>
        <v/>
      </c>
      <c r="P999" s="81"/>
      <c r="Q999" s="152">
        <f t="shared" si="84"/>
        <v>0</v>
      </c>
    </row>
    <row r="1000" spans="2:17">
      <c r="B1000" s="670">
        <f t="shared" si="86"/>
        <v>995</v>
      </c>
      <c r="C1000" s="601">
        <v>42874</v>
      </c>
      <c r="D1000" s="377" t="s">
        <v>587</v>
      </c>
      <c r="E1000" s="572">
        <v>320100</v>
      </c>
      <c r="F1000" s="672" t="str">
        <f>IFERROR(VLOOKUP(E1000,STAT1!$C$4:$D$1000,2,FALSE),"")</f>
        <v>Урьдчилж орсон орлого MNT</v>
      </c>
      <c r="G1000" s="377">
        <v>379499.99898799998</v>
      </c>
      <c r="H1000" s="597"/>
      <c r="I1000" s="596">
        <f t="shared" si="83"/>
        <v>0</v>
      </c>
      <c r="J1000" s="81"/>
      <c r="K1000" s="81"/>
      <c r="L1000" s="597">
        <v>3059</v>
      </c>
      <c r="M1000" s="81" t="str">
        <f>+IFERROR(VLOOKUP(L1000,DATA!$G$4:$H$2000,2,FALSE),"")</f>
        <v>ЦАМХАГТ АСАР КОНСТРАКШН ХХК</v>
      </c>
      <c r="N1000" s="166"/>
      <c r="O1000" s="81" t="str">
        <f>IFERROR(VLOOKUP(N1000,DATA!$K$4:$L$51,2,FALSE),"")</f>
        <v/>
      </c>
      <c r="P1000" s="81"/>
      <c r="Q1000" s="152">
        <f t="shared" si="84"/>
        <v>0</v>
      </c>
    </row>
    <row r="1001" spans="2:17">
      <c r="B1001" s="670">
        <f t="shared" si="86"/>
        <v>996</v>
      </c>
      <c r="C1001" s="433">
        <v>42875</v>
      </c>
      <c r="D1001" s="598" t="s">
        <v>1747</v>
      </c>
      <c r="E1001" s="572">
        <v>311100</v>
      </c>
      <c r="F1001" s="672" t="str">
        <f>IFERROR(VLOOKUP(E1001,STAT1!$C$4:$D$1000,2,FALSE),"")</f>
        <v xml:space="preserve">Бусад богино хугацаат өглөг </v>
      </c>
      <c r="G1001" s="377">
        <v>2931124</v>
      </c>
      <c r="H1001" s="377">
        <v>0</v>
      </c>
      <c r="I1001" s="596">
        <f t="shared" si="83"/>
        <v>0</v>
      </c>
      <c r="J1001" s="81">
        <f t="shared" ref="J1001:J1029" si="87">+IF(E1001=110102,I1001/K1001,0)</f>
        <v>0</v>
      </c>
      <c r="K1001" s="81"/>
      <c r="L1001" s="597">
        <v>2009</v>
      </c>
      <c r="M1001" s="81" t="str">
        <f>+IFERROR(VLOOKUP(L1001,DATA!$G$4:$H$2000,2,FALSE),"")</f>
        <v>ХААН БАНК</v>
      </c>
      <c r="N1001" s="435"/>
      <c r="O1001" s="81" t="str">
        <f>IFERROR(VLOOKUP(N1001,DATA!$K$4:$L$51,2,FALSE),"")</f>
        <v/>
      </c>
      <c r="P1001" s="81"/>
      <c r="Q1001" s="152">
        <f t="shared" si="84"/>
        <v>0</v>
      </c>
    </row>
    <row r="1002" spans="2:17">
      <c r="B1002" s="670">
        <f t="shared" ref="B1002:B1043" si="88">+IF(C1002="","",ROW()-5)</f>
        <v>997</v>
      </c>
      <c r="C1002" s="433">
        <v>42875</v>
      </c>
      <c r="D1002" s="598" t="s">
        <v>1747</v>
      </c>
      <c r="E1002" s="572">
        <v>110100</v>
      </c>
      <c r="F1002" s="672" t="str">
        <f>IFERROR(VLOOKUP(E1002,STAT1!$C$4:$D$1000,2,FALSE),"")</f>
        <v>Хаан Банк 5024654020</v>
      </c>
      <c r="G1002" s="377"/>
      <c r="H1002" s="377">
        <v>2931124</v>
      </c>
      <c r="I1002" s="596">
        <f t="shared" si="83"/>
        <v>-2931124</v>
      </c>
      <c r="J1002" s="81">
        <f t="shared" si="87"/>
        <v>0</v>
      </c>
      <c r="K1002" s="81"/>
      <c r="L1002" s="597">
        <v>2009</v>
      </c>
      <c r="M1002" s="81" t="str">
        <f>+IFERROR(VLOOKUP(L1002,DATA!$G$4:$H$2000,2,FALSE),"")</f>
        <v>ХААН БАНК</v>
      </c>
      <c r="N1002" s="435">
        <v>91</v>
      </c>
      <c r="O1002" s="81" t="str">
        <f>IFERROR(VLOOKUP(N1002,DATA!$K$4:$L$51,2,FALSE),"")</f>
        <v>Зээл, өрийн үнэт цаасны төлбөрт төлсөн</v>
      </c>
      <c r="P1002" s="81"/>
      <c r="Q1002" s="152">
        <f t="shared" si="84"/>
        <v>1</v>
      </c>
    </row>
    <row r="1003" spans="2:17">
      <c r="B1003" s="670">
        <f t="shared" ref="B1003" si="89">+IF(C1003="","",ROW()-5)</f>
        <v>998</v>
      </c>
      <c r="C1003" s="433">
        <v>42875</v>
      </c>
      <c r="D1003" s="598" t="s">
        <v>1747</v>
      </c>
      <c r="E1003" s="572">
        <v>702500</v>
      </c>
      <c r="F1003" s="672" t="str">
        <f>IFERROR(VLOOKUP(E1003,STAT1!$C$4:$D$1000,2,FALSE),"")</f>
        <v>Зээлийн хүүгийн зардал</v>
      </c>
      <c r="G1003" s="377">
        <v>38264.300000000003</v>
      </c>
      <c r="H1003" s="377"/>
      <c r="I1003" s="596">
        <f t="shared" si="83"/>
        <v>0</v>
      </c>
      <c r="J1003" s="81">
        <f t="shared" si="87"/>
        <v>0</v>
      </c>
      <c r="K1003" s="81"/>
      <c r="L1003" s="597">
        <v>2009</v>
      </c>
      <c r="M1003" s="81" t="str">
        <f>+IFERROR(VLOOKUP(L1003,DATA!$G$4:$H$2000,2,FALSE),"")</f>
        <v>ХААН БАНК</v>
      </c>
      <c r="N1003" s="435"/>
      <c r="O1003" s="81" t="str">
        <f>IFERROR(VLOOKUP(N1003,DATA!$K$4:$L$51,2,FALSE),"")</f>
        <v/>
      </c>
      <c r="P1003" s="81"/>
      <c r="Q1003" s="152">
        <f t="shared" si="84"/>
        <v>0</v>
      </c>
    </row>
    <row r="1004" spans="2:17">
      <c r="B1004" s="670">
        <f t="shared" si="88"/>
        <v>999</v>
      </c>
      <c r="C1004" s="433">
        <v>42875</v>
      </c>
      <c r="D1004" s="598" t="s">
        <v>1747</v>
      </c>
      <c r="E1004" s="572">
        <v>110100</v>
      </c>
      <c r="F1004" s="672" t="str">
        <f>IFERROR(VLOOKUP(E1004,STAT1!$C$4:$D$1000,2,FALSE),"")</f>
        <v>Хаан Банк 5024654020</v>
      </c>
      <c r="G1004" s="377"/>
      <c r="H1004" s="377">
        <v>38264.300000000003</v>
      </c>
      <c r="I1004" s="596">
        <f t="shared" si="83"/>
        <v>-38264.300000000003</v>
      </c>
      <c r="J1004" s="81">
        <f t="shared" si="87"/>
        <v>0</v>
      </c>
      <c r="K1004" s="81"/>
      <c r="L1004" s="597">
        <v>2009</v>
      </c>
      <c r="M1004" s="81" t="str">
        <f>+IFERROR(VLOOKUP(L1004,DATA!$G$4:$H$2000,2,FALSE),"")</f>
        <v>ХААН БАНК</v>
      </c>
      <c r="N1004" s="435">
        <v>56</v>
      </c>
      <c r="O1004" s="81" t="str">
        <f>IFERROR(VLOOKUP(N1004,DATA!$K$4:$L$51,2,FALSE),"")</f>
        <v>Хүүний төлбөрт төлсөн</v>
      </c>
      <c r="P1004" s="81"/>
      <c r="Q1004" s="152">
        <f t="shared" si="84"/>
        <v>1</v>
      </c>
    </row>
    <row r="1005" spans="2:17">
      <c r="B1005" s="670">
        <f t="shared" si="88"/>
        <v>1000</v>
      </c>
      <c r="C1005" s="433">
        <v>42877</v>
      </c>
      <c r="D1005" s="377" t="s">
        <v>2701</v>
      </c>
      <c r="E1005" s="572">
        <v>100100</v>
      </c>
      <c r="F1005" s="672" t="str">
        <f>IFERROR(VLOOKUP(E1005,STAT1!$C$4:$D$1000,2,FALSE),"")</f>
        <v>Касс мөнгө MNT</v>
      </c>
      <c r="G1005" s="377"/>
      <c r="H1005" s="377">
        <v>1720000</v>
      </c>
      <c r="I1005" s="596">
        <f t="shared" si="83"/>
        <v>-1720000</v>
      </c>
      <c r="J1005" s="81">
        <f t="shared" si="87"/>
        <v>0</v>
      </c>
      <c r="K1005" s="81"/>
      <c r="L1005" s="597">
        <v>1005</v>
      </c>
      <c r="M1005" s="81" t="str">
        <f>+IFERROR(VLOOKUP(L1005,DATA!$G$4:$H$2000,2,FALSE),"")</f>
        <v>Золжаргал</v>
      </c>
      <c r="N1005" s="435">
        <v>57</v>
      </c>
      <c r="O1005" s="81" t="str">
        <f>IFERROR(VLOOKUP(N1005,DATA!$K$4:$L$51,2,FALSE),"")</f>
        <v>Татварын байгууллагад төлсөн</v>
      </c>
      <c r="P1005" s="81"/>
      <c r="Q1005" s="152">
        <f t="shared" si="84"/>
        <v>1</v>
      </c>
    </row>
    <row r="1006" spans="2:17">
      <c r="B1006" s="670">
        <f t="shared" si="88"/>
        <v>1001</v>
      </c>
      <c r="C1006" s="433">
        <v>42877</v>
      </c>
      <c r="D1006" s="377" t="s">
        <v>2701</v>
      </c>
      <c r="E1006" s="572">
        <v>704100</v>
      </c>
      <c r="F1006" s="672" t="str">
        <f>IFERROR(VLOOKUP(E1006,STAT1!$C$4:$D$1000,2,FALSE),"")</f>
        <v>Газар, байгалийн нөөц ашигласны төлбөр, хураамж</v>
      </c>
      <c r="G1006" s="377">
        <v>1720000</v>
      </c>
      <c r="H1006" s="377">
        <v>0</v>
      </c>
      <c r="I1006" s="596">
        <f t="shared" si="83"/>
        <v>0</v>
      </c>
      <c r="J1006" s="81">
        <f t="shared" si="87"/>
        <v>0</v>
      </c>
      <c r="K1006" s="81"/>
      <c r="L1006" s="597">
        <v>1005</v>
      </c>
      <c r="M1006" s="81" t="str">
        <f>+IFERROR(VLOOKUP(L1006,DATA!$G$4:$H$2000,2,FALSE),"")</f>
        <v>Золжаргал</v>
      </c>
      <c r="N1006" s="435"/>
      <c r="O1006" s="81" t="str">
        <f>IFERROR(VLOOKUP(N1006,DATA!$K$4:$L$51,2,FALSE),"")</f>
        <v/>
      </c>
      <c r="P1006" s="81"/>
      <c r="Q1006" s="152">
        <f t="shared" si="84"/>
        <v>0</v>
      </c>
    </row>
    <row r="1007" spans="2:17">
      <c r="B1007" s="670">
        <f t="shared" si="88"/>
        <v>1002</v>
      </c>
      <c r="C1007" s="433">
        <v>42877</v>
      </c>
      <c r="D1007" s="377" t="s">
        <v>1699</v>
      </c>
      <c r="E1007" s="572">
        <v>100100</v>
      </c>
      <c r="F1007" s="672" t="str">
        <f>IFERROR(VLOOKUP(E1007,STAT1!$C$4:$D$1000,2,FALSE),"")</f>
        <v>Касс мөнгө MNT</v>
      </c>
      <c r="G1007" s="377"/>
      <c r="H1007" s="377">
        <v>2200000</v>
      </c>
      <c r="I1007" s="596">
        <f t="shared" si="83"/>
        <v>-2200000</v>
      </c>
      <c r="J1007" s="81">
        <f t="shared" si="87"/>
        <v>0</v>
      </c>
      <c r="K1007" s="81"/>
      <c r="L1007" s="597">
        <v>1004</v>
      </c>
      <c r="M1007" s="81" t="str">
        <f>+IFERROR(VLOOKUP(L1007,DATA!$G$4:$H$2000,2,FALSE),"")</f>
        <v xml:space="preserve">Түмэндэлгэр </v>
      </c>
      <c r="N1007" s="435"/>
      <c r="O1007" s="81" t="str">
        <f>IFERROR(VLOOKUP(N1007,DATA!$K$4:$L$51,2,FALSE),"")</f>
        <v/>
      </c>
      <c r="P1007" s="81"/>
      <c r="Q1007" s="152">
        <f t="shared" si="84"/>
        <v>1</v>
      </c>
    </row>
    <row r="1008" spans="2:17">
      <c r="B1008" s="670">
        <f t="shared" si="88"/>
        <v>1003</v>
      </c>
      <c r="C1008" s="433">
        <v>42877</v>
      </c>
      <c r="D1008" s="377" t="s">
        <v>1699</v>
      </c>
      <c r="E1008" s="572">
        <v>110100</v>
      </c>
      <c r="F1008" s="672" t="str">
        <f>IFERROR(VLOOKUP(E1008,STAT1!$C$4:$D$1000,2,FALSE),"")</f>
        <v>Хаан Банк 5024654020</v>
      </c>
      <c r="G1008" s="377">
        <v>2200000</v>
      </c>
      <c r="H1008" s="377">
        <v>0</v>
      </c>
      <c r="I1008" s="596">
        <f t="shared" si="83"/>
        <v>2200000</v>
      </c>
      <c r="J1008" s="81">
        <f t="shared" si="87"/>
        <v>0</v>
      </c>
      <c r="K1008" s="81"/>
      <c r="L1008" s="597">
        <v>1004</v>
      </c>
      <c r="M1008" s="81" t="str">
        <f>+IFERROR(VLOOKUP(L1008,DATA!$G$4:$H$2000,2,FALSE),"")</f>
        <v xml:space="preserve">Түмэндэлгэр </v>
      </c>
      <c r="N1008" s="435"/>
      <c r="O1008" s="81" t="str">
        <f>IFERROR(VLOOKUP(N1008,DATA!$K$4:$L$51,2,FALSE),"")</f>
        <v/>
      </c>
      <c r="P1008" s="81"/>
      <c r="Q1008" s="152">
        <f t="shared" si="84"/>
        <v>1</v>
      </c>
    </row>
    <row r="1009" spans="2:17">
      <c r="B1009" s="670">
        <f t="shared" si="88"/>
        <v>1004</v>
      </c>
      <c r="C1009" s="433">
        <v>42877</v>
      </c>
      <c r="D1009" s="377" t="s">
        <v>1741</v>
      </c>
      <c r="E1009" s="572">
        <v>320100</v>
      </c>
      <c r="F1009" s="672" t="str">
        <f>IFERROR(VLOOKUP(E1009,STAT1!$C$4:$D$1000,2,FALSE),"")</f>
        <v>Урьдчилж орсон орлого MNT</v>
      </c>
      <c r="G1009" s="377"/>
      <c r="H1009" s="377">
        <v>1056000</v>
      </c>
      <c r="I1009" s="596">
        <f t="shared" si="83"/>
        <v>0</v>
      </c>
      <c r="J1009" s="81">
        <f t="shared" si="87"/>
        <v>0</v>
      </c>
      <c r="K1009" s="81"/>
      <c r="L1009" s="597">
        <v>3060</v>
      </c>
      <c r="M1009" s="81" t="str">
        <f>+IFERROR(VLOOKUP(L1009,DATA!$G$4:$H$2000,2,FALSE),"")</f>
        <v>САУНД ОФ МОНГОЛИЯ ХХК</v>
      </c>
      <c r="N1009" s="435"/>
      <c r="O1009" s="81" t="str">
        <f>IFERROR(VLOOKUP(N1009,DATA!$K$4:$L$51,2,FALSE),"")</f>
        <v/>
      </c>
      <c r="P1009" s="81"/>
      <c r="Q1009" s="152">
        <f t="shared" si="84"/>
        <v>0</v>
      </c>
    </row>
    <row r="1010" spans="2:17">
      <c r="B1010" s="670">
        <f t="shared" si="88"/>
        <v>1005</v>
      </c>
      <c r="C1010" s="433">
        <v>42877</v>
      </c>
      <c r="D1010" s="377" t="s">
        <v>1741</v>
      </c>
      <c r="E1010" s="572">
        <v>100100</v>
      </c>
      <c r="F1010" s="672" t="str">
        <f>IFERROR(VLOOKUP(E1010,STAT1!$C$4:$D$1000,2,FALSE),"")</f>
        <v>Касс мөнгө MNT</v>
      </c>
      <c r="G1010" s="377">
        <v>1056000</v>
      </c>
      <c r="H1010" s="377">
        <v>0</v>
      </c>
      <c r="I1010" s="596">
        <f t="shared" si="83"/>
        <v>1056000</v>
      </c>
      <c r="J1010" s="81">
        <f t="shared" si="87"/>
        <v>0</v>
      </c>
      <c r="K1010" s="81"/>
      <c r="L1010" s="597">
        <v>3060</v>
      </c>
      <c r="M1010" s="81" t="str">
        <f>+IFERROR(VLOOKUP(L1010,DATA!$G$4:$H$2000,2,FALSE),"")</f>
        <v>САУНД ОФ МОНГОЛИЯ ХХК</v>
      </c>
      <c r="N1010" s="435">
        <v>41</v>
      </c>
      <c r="O1010" s="81" t="str">
        <f>IFERROR(VLOOKUP(N1010,DATA!$K$4:$L$51,2,FALSE),"")</f>
        <v>Бараа борлуулсан, үйлчилгээ үзүүлсэний орлого</v>
      </c>
      <c r="P1010" s="81"/>
      <c r="Q1010" s="152">
        <f t="shared" si="84"/>
        <v>1</v>
      </c>
    </row>
    <row r="1011" spans="2:17">
      <c r="B1011" s="670">
        <f t="shared" ref="B1011" si="90">+IF(C1011="","",ROW()-5)</f>
        <v>1006</v>
      </c>
      <c r="C1011" s="433">
        <v>42877</v>
      </c>
      <c r="D1011" s="377" t="s">
        <v>1741</v>
      </c>
      <c r="E1011" s="572">
        <v>320100</v>
      </c>
      <c r="F1011" s="672" t="str">
        <f>IFERROR(VLOOKUP(E1011,STAT1!$C$4:$D$1000,2,FALSE),"")</f>
        <v>Урьдчилж орсон орлого MNT</v>
      </c>
      <c r="G1011" s="377"/>
      <c r="H1011" s="377">
        <v>2691880</v>
      </c>
      <c r="I1011" s="596">
        <f t="shared" si="83"/>
        <v>0</v>
      </c>
      <c r="J1011" s="81">
        <f t="shared" si="87"/>
        <v>0</v>
      </c>
      <c r="K1011" s="81"/>
      <c r="L1011" s="597">
        <v>4002</v>
      </c>
      <c r="M1011" s="81" t="str">
        <f>+IFERROR(VLOOKUP(L1011,DATA!$G$4:$H$2000,2,FALSE),"")</f>
        <v xml:space="preserve">Хувь хүн </v>
      </c>
      <c r="N1011" s="435"/>
      <c r="O1011" s="81" t="str">
        <f>IFERROR(VLOOKUP(N1011,DATA!$K$4:$L$51,2,FALSE),"")</f>
        <v/>
      </c>
      <c r="P1011" s="81"/>
      <c r="Q1011" s="152">
        <f t="shared" si="84"/>
        <v>0</v>
      </c>
    </row>
    <row r="1012" spans="2:17">
      <c r="B1012" s="670">
        <f t="shared" ref="B1012" si="91">+IF(C1012="","",ROW()-5)</f>
        <v>1007</v>
      </c>
      <c r="C1012" s="433">
        <v>42877</v>
      </c>
      <c r="D1012" s="377" t="s">
        <v>1741</v>
      </c>
      <c r="E1012" s="572">
        <v>100100</v>
      </c>
      <c r="F1012" s="672" t="str">
        <f>IFERROR(VLOOKUP(E1012,STAT1!$C$4:$D$1000,2,FALSE),"")</f>
        <v>Касс мөнгө MNT</v>
      </c>
      <c r="G1012" s="377">
        <v>2691880</v>
      </c>
      <c r="H1012" s="377">
        <v>0</v>
      </c>
      <c r="I1012" s="596">
        <f t="shared" si="83"/>
        <v>2691880</v>
      </c>
      <c r="J1012" s="81">
        <f t="shared" si="87"/>
        <v>0</v>
      </c>
      <c r="K1012" s="81"/>
      <c r="L1012" s="597">
        <v>4002</v>
      </c>
      <c r="M1012" s="81" t="str">
        <f>+IFERROR(VLOOKUP(L1012,DATA!$G$4:$H$2000,2,FALSE),"")</f>
        <v xml:space="preserve">Хувь хүн </v>
      </c>
      <c r="N1012" s="435">
        <v>41</v>
      </c>
      <c r="O1012" s="81" t="str">
        <f>IFERROR(VLOOKUP(N1012,DATA!$K$4:$L$51,2,FALSE),"")</f>
        <v>Бараа борлуулсан, үйлчилгээ үзүүлсэний орлого</v>
      </c>
      <c r="P1012" s="81"/>
      <c r="Q1012" s="152">
        <f t="shared" si="84"/>
        <v>1</v>
      </c>
    </row>
    <row r="1013" spans="2:17">
      <c r="B1013" s="670">
        <f t="shared" si="88"/>
        <v>1008</v>
      </c>
      <c r="C1013" s="433">
        <v>42877</v>
      </c>
      <c r="D1013" s="598" t="s">
        <v>1741</v>
      </c>
      <c r="E1013" s="572">
        <v>110100</v>
      </c>
      <c r="F1013" s="672" t="str">
        <f>IFERROR(VLOOKUP(E1013,STAT1!$C$4:$D$1000,2,FALSE),"")</f>
        <v>Хаан Банк 5024654020</v>
      </c>
      <c r="G1013" s="377">
        <v>88000</v>
      </c>
      <c r="H1013" s="377"/>
      <c r="I1013" s="596">
        <f t="shared" si="83"/>
        <v>88000</v>
      </c>
      <c r="J1013" s="81">
        <f t="shared" si="87"/>
        <v>0</v>
      </c>
      <c r="K1013" s="81"/>
      <c r="L1013" s="597">
        <v>3045</v>
      </c>
      <c r="M1013" s="81" t="str">
        <f>+IFERROR(VLOOKUP(L1013,DATA!$G$4:$H$2000,2,FALSE),"")</f>
        <v xml:space="preserve">МОНГОЛ ИДЕАЛ ХХК </v>
      </c>
      <c r="N1013" s="435">
        <v>41</v>
      </c>
      <c r="O1013" s="81" t="str">
        <f>IFERROR(VLOOKUP(N1013,DATA!$K$4:$L$51,2,FALSE),"")</f>
        <v>Бараа борлуулсан, үйлчилгээ үзүүлсэний орлого</v>
      </c>
      <c r="P1013" s="81"/>
      <c r="Q1013" s="152">
        <f t="shared" si="84"/>
        <v>1</v>
      </c>
    </row>
    <row r="1014" spans="2:17">
      <c r="B1014" s="670">
        <f t="shared" si="88"/>
        <v>1009</v>
      </c>
      <c r="C1014" s="433">
        <v>42877</v>
      </c>
      <c r="D1014" s="598" t="s">
        <v>1741</v>
      </c>
      <c r="E1014" s="572">
        <v>320100</v>
      </c>
      <c r="F1014" s="672" t="str">
        <f>IFERROR(VLOOKUP(E1014,STAT1!$C$4:$D$1000,2,FALSE),"")</f>
        <v>Урьдчилж орсон орлого MNT</v>
      </c>
      <c r="G1014" s="377">
        <v>0</v>
      </c>
      <c r="H1014" s="377">
        <v>88000</v>
      </c>
      <c r="I1014" s="596">
        <f t="shared" si="83"/>
        <v>0</v>
      </c>
      <c r="J1014" s="81">
        <f t="shared" si="87"/>
        <v>0</v>
      </c>
      <c r="K1014" s="81"/>
      <c r="L1014" s="597">
        <v>3045</v>
      </c>
      <c r="M1014" s="81" t="str">
        <f>+IFERROR(VLOOKUP(L1014,DATA!$G$4:$H$2000,2,FALSE),"")</f>
        <v xml:space="preserve">МОНГОЛ ИДЕАЛ ХХК </v>
      </c>
      <c r="N1014" s="435"/>
      <c r="O1014" s="81" t="str">
        <f>IFERROR(VLOOKUP(N1014,DATA!$K$4:$L$51,2,FALSE),"")</f>
        <v/>
      </c>
      <c r="P1014" s="81"/>
      <c r="Q1014" s="152">
        <f t="shared" si="84"/>
        <v>0</v>
      </c>
    </row>
    <row r="1015" spans="2:17">
      <c r="B1015" s="670">
        <f t="shared" si="88"/>
        <v>1010</v>
      </c>
      <c r="C1015" s="433">
        <v>42877</v>
      </c>
      <c r="D1015" s="598" t="s">
        <v>1755</v>
      </c>
      <c r="E1015" s="572">
        <v>700800</v>
      </c>
      <c r="F1015" s="672" t="str">
        <f>IFERROR(VLOOKUP(E1015,STAT1!$C$4:$D$1000,2,FALSE),"")</f>
        <v>Дулаан</v>
      </c>
      <c r="G1015" s="377">
        <v>123000</v>
      </c>
      <c r="H1015" s="377">
        <v>0</v>
      </c>
      <c r="I1015" s="596">
        <f t="shared" si="83"/>
        <v>0</v>
      </c>
      <c r="J1015" s="81">
        <f t="shared" si="87"/>
        <v>0</v>
      </c>
      <c r="K1015" s="81"/>
      <c r="L1015" s="597">
        <v>2013</v>
      </c>
      <c r="M1015" s="81" t="str">
        <f>+IFERROR(VLOOKUP(L1015,DATA!$G$4:$H$2000,2,FALSE),"")</f>
        <v>УБДС ТӨХК</v>
      </c>
      <c r="N1015" s="435"/>
      <c r="O1015" s="81" t="str">
        <f>IFERROR(VLOOKUP(N1015,DATA!$K$4:$L$51,2,FALSE),"")</f>
        <v/>
      </c>
      <c r="P1015" s="81"/>
      <c r="Q1015" s="152">
        <f t="shared" si="84"/>
        <v>0</v>
      </c>
    </row>
    <row r="1016" spans="2:17">
      <c r="B1016" s="670">
        <f t="shared" si="88"/>
        <v>1011</v>
      </c>
      <c r="C1016" s="433">
        <v>42877</v>
      </c>
      <c r="D1016" s="598" t="s">
        <v>1755</v>
      </c>
      <c r="E1016" s="572">
        <v>120600</v>
      </c>
      <c r="F1016" s="672" t="str">
        <f>IFERROR(VLOOKUP(E1016,STAT1!$C$4:$D$1000,2,FALSE),"")</f>
        <v>НӨАТ авлага</v>
      </c>
      <c r="G1016" s="377">
        <v>12300</v>
      </c>
      <c r="H1016" s="377"/>
      <c r="I1016" s="596">
        <f t="shared" si="83"/>
        <v>0</v>
      </c>
      <c r="J1016" s="81">
        <f t="shared" si="87"/>
        <v>0</v>
      </c>
      <c r="K1016" s="81"/>
      <c r="L1016" s="597">
        <v>2013</v>
      </c>
      <c r="M1016" s="81" t="str">
        <f>+IFERROR(VLOOKUP(L1016,DATA!$G$4:$H$2000,2,FALSE),"")</f>
        <v>УБДС ТӨХК</v>
      </c>
      <c r="N1016" s="435"/>
      <c r="O1016" s="81" t="str">
        <f>IFERROR(VLOOKUP(N1016,DATA!$K$4:$L$51,2,FALSE),"")</f>
        <v/>
      </c>
      <c r="P1016" s="81"/>
      <c r="Q1016" s="152">
        <f t="shared" si="84"/>
        <v>0</v>
      </c>
    </row>
    <row r="1017" spans="2:17">
      <c r="B1017" s="670">
        <f t="shared" si="88"/>
        <v>1012</v>
      </c>
      <c r="C1017" s="433">
        <v>42877</v>
      </c>
      <c r="D1017" s="598" t="s">
        <v>1755</v>
      </c>
      <c r="E1017" s="572">
        <v>110100</v>
      </c>
      <c r="F1017" s="672" t="str">
        <f>IFERROR(VLOOKUP(E1017,STAT1!$C$4:$D$1000,2,FALSE),"")</f>
        <v>Хаан Банк 5024654020</v>
      </c>
      <c r="G1017" s="377"/>
      <c r="H1017" s="377">
        <v>135300</v>
      </c>
      <c r="I1017" s="596">
        <f t="shared" si="83"/>
        <v>-135300</v>
      </c>
      <c r="J1017" s="81">
        <f t="shared" si="87"/>
        <v>0</v>
      </c>
      <c r="K1017" s="81"/>
      <c r="L1017" s="597">
        <v>2013</v>
      </c>
      <c r="M1017" s="81" t="str">
        <f>+IFERROR(VLOOKUP(L1017,DATA!$G$4:$H$2000,2,FALSE),"")</f>
        <v>УБДС ТӨХК</v>
      </c>
      <c r="N1017" s="435">
        <v>59</v>
      </c>
      <c r="O1017" s="81" t="str">
        <f>IFERROR(VLOOKUP(N1017,DATA!$K$4:$L$51,2,FALSE),"")</f>
        <v>Бусад мөнгөн зарлага</v>
      </c>
      <c r="P1017" s="81"/>
      <c r="Q1017" s="152">
        <f t="shared" si="84"/>
        <v>1</v>
      </c>
    </row>
    <row r="1018" spans="2:17">
      <c r="B1018" s="670">
        <f t="shared" si="88"/>
        <v>1013</v>
      </c>
      <c r="C1018" s="433">
        <v>42877</v>
      </c>
      <c r="D1018" s="598" t="s">
        <v>1756</v>
      </c>
      <c r="E1018" s="572">
        <v>700800</v>
      </c>
      <c r="F1018" s="672" t="str">
        <f>IFERROR(VLOOKUP(E1018,STAT1!$C$4:$D$1000,2,FALSE),"")</f>
        <v>Дулаан</v>
      </c>
      <c r="G1018" s="377">
        <v>120000</v>
      </c>
      <c r="H1018" s="377">
        <v>0</v>
      </c>
      <c r="I1018" s="596">
        <f t="shared" si="83"/>
        <v>0</v>
      </c>
      <c r="J1018" s="81">
        <f t="shared" si="87"/>
        <v>0</v>
      </c>
      <c r="K1018" s="81"/>
      <c r="L1018" s="597">
        <v>2013</v>
      </c>
      <c r="M1018" s="81" t="str">
        <f>+IFERROR(VLOOKUP(L1018,DATA!$G$4:$H$2000,2,FALSE),"")</f>
        <v>УБДС ТӨХК</v>
      </c>
      <c r="N1018" s="435"/>
      <c r="O1018" s="81" t="str">
        <f>IFERROR(VLOOKUP(N1018,DATA!$K$4:$L$51,2,FALSE),"")</f>
        <v/>
      </c>
      <c r="P1018" s="81"/>
      <c r="Q1018" s="152">
        <f t="shared" si="84"/>
        <v>0</v>
      </c>
    </row>
    <row r="1019" spans="2:17">
      <c r="B1019" s="670">
        <f t="shared" si="88"/>
        <v>1014</v>
      </c>
      <c r="C1019" s="433">
        <v>42877</v>
      </c>
      <c r="D1019" s="598" t="s">
        <v>1756</v>
      </c>
      <c r="E1019" s="572">
        <v>120600</v>
      </c>
      <c r="F1019" s="672" t="str">
        <f>IFERROR(VLOOKUP(E1019,STAT1!$C$4:$D$1000,2,FALSE),"")</f>
        <v>НӨАТ авлага</v>
      </c>
      <c r="G1019" s="377">
        <v>12000</v>
      </c>
      <c r="H1019" s="377"/>
      <c r="I1019" s="596">
        <f t="shared" si="83"/>
        <v>0</v>
      </c>
      <c r="J1019" s="81">
        <f t="shared" si="87"/>
        <v>0</v>
      </c>
      <c r="K1019" s="81"/>
      <c r="L1019" s="597">
        <v>2013</v>
      </c>
      <c r="M1019" s="81" t="str">
        <f>+IFERROR(VLOOKUP(L1019,DATA!$G$4:$H$2000,2,FALSE),"")</f>
        <v>УБДС ТӨХК</v>
      </c>
      <c r="N1019" s="435"/>
      <c r="O1019" s="81" t="str">
        <f>IFERROR(VLOOKUP(N1019,DATA!$K$4:$L$51,2,FALSE),"")</f>
        <v/>
      </c>
      <c r="P1019" s="81"/>
      <c r="Q1019" s="152">
        <f t="shared" si="84"/>
        <v>0</v>
      </c>
    </row>
    <row r="1020" spans="2:17">
      <c r="B1020" s="670">
        <f t="shared" si="88"/>
        <v>1015</v>
      </c>
      <c r="C1020" s="433">
        <v>42877</v>
      </c>
      <c r="D1020" s="598" t="s">
        <v>1756</v>
      </c>
      <c r="E1020" s="572">
        <v>110100</v>
      </c>
      <c r="F1020" s="672" t="str">
        <f>IFERROR(VLOOKUP(E1020,STAT1!$C$4:$D$1000,2,FALSE),"")</f>
        <v>Хаан Банк 5024654020</v>
      </c>
      <c r="G1020" s="377"/>
      <c r="H1020" s="377">
        <v>132000</v>
      </c>
      <c r="I1020" s="596">
        <f t="shared" si="83"/>
        <v>-132000</v>
      </c>
      <c r="J1020" s="81">
        <f t="shared" si="87"/>
        <v>0</v>
      </c>
      <c r="K1020" s="81"/>
      <c r="L1020" s="597">
        <v>2013</v>
      </c>
      <c r="M1020" s="81" t="str">
        <f>+IFERROR(VLOOKUP(L1020,DATA!$G$4:$H$2000,2,FALSE),"")</f>
        <v>УБДС ТӨХК</v>
      </c>
      <c r="N1020" s="435">
        <v>53</v>
      </c>
      <c r="O1020" s="81" t="str">
        <f>IFERROR(VLOOKUP(N1020,DATA!$K$4:$L$51,2,FALSE),"")</f>
        <v>Бараа материал худалдан авахад төлсөн</v>
      </c>
      <c r="P1020" s="81"/>
      <c r="Q1020" s="152">
        <f t="shared" si="84"/>
        <v>1</v>
      </c>
    </row>
    <row r="1021" spans="2:17">
      <c r="B1021" s="670">
        <f t="shared" si="88"/>
        <v>1016</v>
      </c>
      <c r="C1021" s="433">
        <v>42877</v>
      </c>
      <c r="D1021" s="598" t="s">
        <v>1757</v>
      </c>
      <c r="E1021" s="572">
        <v>700800</v>
      </c>
      <c r="F1021" s="672" t="str">
        <f>IFERROR(VLOOKUP(E1021,STAT1!$C$4:$D$1000,2,FALSE),"")</f>
        <v>Дулаан</v>
      </c>
      <c r="G1021" s="377">
        <v>54000</v>
      </c>
      <c r="H1021" s="377">
        <v>0</v>
      </c>
      <c r="I1021" s="596">
        <f t="shared" si="83"/>
        <v>0</v>
      </c>
      <c r="J1021" s="81">
        <f t="shared" si="87"/>
        <v>0</v>
      </c>
      <c r="K1021" s="81"/>
      <c r="L1021" s="597">
        <v>2013</v>
      </c>
      <c r="M1021" s="81" t="str">
        <f>+IFERROR(VLOOKUP(L1021,DATA!$G$4:$H$2000,2,FALSE),"")</f>
        <v>УБДС ТӨХК</v>
      </c>
      <c r="N1021" s="435"/>
      <c r="O1021" s="81" t="str">
        <f>IFERROR(VLOOKUP(N1021,DATA!$K$4:$L$51,2,FALSE),"")</f>
        <v/>
      </c>
      <c r="P1021" s="81"/>
      <c r="Q1021" s="152">
        <f t="shared" si="84"/>
        <v>0</v>
      </c>
    </row>
    <row r="1022" spans="2:17">
      <c r="B1022" s="670">
        <f t="shared" si="88"/>
        <v>1017</v>
      </c>
      <c r="C1022" s="433">
        <v>42877</v>
      </c>
      <c r="D1022" s="598" t="s">
        <v>1757</v>
      </c>
      <c r="E1022" s="572">
        <v>110100</v>
      </c>
      <c r="F1022" s="672" t="str">
        <f>IFERROR(VLOOKUP(E1022,STAT1!$C$4:$D$1000,2,FALSE),"")</f>
        <v>Хаан Банк 5024654020</v>
      </c>
      <c r="G1022" s="377"/>
      <c r="H1022" s="377">
        <v>54000</v>
      </c>
      <c r="I1022" s="596">
        <f t="shared" si="83"/>
        <v>-54000</v>
      </c>
      <c r="J1022" s="81">
        <f t="shared" si="87"/>
        <v>0</v>
      </c>
      <c r="K1022" s="81"/>
      <c r="L1022" s="597">
        <v>2013</v>
      </c>
      <c r="M1022" s="81" t="str">
        <f>+IFERROR(VLOOKUP(L1022,DATA!$G$4:$H$2000,2,FALSE),"")</f>
        <v>УБДС ТӨХК</v>
      </c>
      <c r="N1022" s="435">
        <v>59</v>
      </c>
      <c r="O1022" s="81" t="str">
        <f>IFERROR(VLOOKUP(N1022,DATA!$K$4:$L$51,2,FALSE),"")</f>
        <v>Бусад мөнгөн зарлага</v>
      </c>
      <c r="P1022" s="81"/>
      <c r="Q1022" s="152">
        <f t="shared" si="84"/>
        <v>1</v>
      </c>
    </row>
    <row r="1023" spans="2:17">
      <c r="B1023" s="670">
        <f t="shared" si="88"/>
        <v>1018</v>
      </c>
      <c r="C1023" s="433">
        <v>42877</v>
      </c>
      <c r="D1023" s="598" t="s">
        <v>1715</v>
      </c>
      <c r="E1023" s="572">
        <v>700900</v>
      </c>
      <c r="F1023" s="672" t="str">
        <f>IFERROR(VLOOKUP(E1023,STAT1!$C$4:$D$1000,2,FALSE),"")</f>
        <v>Уур, ус</v>
      </c>
      <c r="G1023" s="377">
        <v>69360</v>
      </c>
      <c r="H1023" s="377">
        <v>0</v>
      </c>
      <c r="I1023" s="596">
        <f t="shared" si="83"/>
        <v>0</v>
      </c>
      <c r="J1023" s="81">
        <f t="shared" si="87"/>
        <v>0</v>
      </c>
      <c r="K1023" s="81"/>
      <c r="L1023" s="597">
        <v>2005</v>
      </c>
      <c r="M1023" s="81" t="str">
        <f>+IFERROR(VLOOKUP(L1023,DATA!$G$4:$H$2000,2,FALSE),"")</f>
        <v xml:space="preserve">УСУГ ТӨХК </v>
      </c>
      <c r="N1023" s="435"/>
      <c r="O1023" s="81" t="str">
        <f>IFERROR(VLOOKUP(N1023,DATA!$K$4:$L$51,2,FALSE),"")</f>
        <v/>
      </c>
      <c r="P1023" s="81"/>
      <c r="Q1023" s="152">
        <f t="shared" si="84"/>
        <v>0</v>
      </c>
    </row>
    <row r="1024" spans="2:17">
      <c r="B1024" s="670">
        <f t="shared" si="88"/>
        <v>1019</v>
      </c>
      <c r="C1024" s="433">
        <v>42877</v>
      </c>
      <c r="D1024" s="598" t="s">
        <v>1715</v>
      </c>
      <c r="E1024" s="572">
        <v>120600</v>
      </c>
      <c r="F1024" s="672" t="str">
        <f>IFERROR(VLOOKUP(E1024,STAT1!$C$4:$D$1000,2,FALSE),"")</f>
        <v>НӨАТ авлага</v>
      </c>
      <c r="G1024" s="377">
        <v>6973</v>
      </c>
      <c r="H1024" s="377"/>
      <c r="I1024" s="596">
        <f t="shared" si="83"/>
        <v>0</v>
      </c>
      <c r="J1024" s="81">
        <f t="shared" si="87"/>
        <v>0</v>
      </c>
      <c r="K1024" s="81"/>
      <c r="L1024" s="597">
        <v>2005</v>
      </c>
      <c r="M1024" s="81" t="str">
        <f>+IFERROR(VLOOKUP(L1024,DATA!$G$4:$H$2000,2,FALSE),"")</f>
        <v xml:space="preserve">УСУГ ТӨХК </v>
      </c>
      <c r="N1024" s="435"/>
      <c r="O1024" s="81" t="str">
        <f>IFERROR(VLOOKUP(N1024,DATA!$K$4:$L$51,2,FALSE),"")</f>
        <v/>
      </c>
      <c r="P1024" s="81"/>
      <c r="Q1024" s="152">
        <f t="shared" si="84"/>
        <v>0</v>
      </c>
    </row>
    <row r="1025" spans="2:17">
      <c r="B1025" s="670">
        <f t="shared" si="88"/>
        <v>1020</v>
      </c>
      <c r="C1025" s="433">
        <v>42877</v>
      </c>
      <c r="D1025" s="598" t="s">
        <v>1715</v>
      </c>
      <c r="E1025" s="572">
        <v>110100</v>
      </c>
      <c r="F1025" s="672" t="str">
        <f>IFERROR(VLOOKUP(E1025,STAT1!$C$4:$D$1000,2,FALSE),"")</f>
        <v>Хаан Банк 5024654020</v>
      </c>
      <c r="G1025" s="377"/>
      <c r="H1025" s="377">
        <v>76333</v>
      </c>
      <c r="I1025" s="596">
        <f t="shared" si="83"/>
        <v>-76333</v>
      </c>
      <c r="J1025" s="81">
        <f t="shared" si="87"/>
        <v>0</v>
      </c>
      <c r="K1025" s="81"/>
      <c r="L1025" s="597">
        <v>2005</v>
      </c>
      <c r="M1025" s="81" t="str">
        <f>+IFERROR(VLOOKUP(L1025,DATA!$G$4:$H$2000,2,FALSE),"")</f>
        <v xml:space="preserve">УСУГ ТӨХК </v>
      </c>
      <c r="N1025" s="435">
        <v>54</v>
      </c>
      <c r="O1025" s="81" t="str">
        <f>IFERROR(VLOOKUP(N1025,DATA!$K$4:$L$51,2,FALSE),"")</f>
        <v>Ашиглалтын зардалд төлсөн</v>
      </c>
      <c r="P1025" s="81"/>
      <c r="Q1025" s="152">
        <f t="shared" si="84"/>
        <v>1</v>
      </c>
    </row>
    <row r="1026" spans="2:17">
      <c r="B1026" s="670">
        <f t="shared" si="88"/>
        <v>1021</v>
      </c>
      <c r="C1026" s="433">
        <v>42877</v>
      </c>
      <c r="D1026" s="598" t="s">
        <v>1758</v>
      </c>
      <c r="E1026" s="572">
        <v>701700</v>
      </c>
      <c r="F1026" s="672" t="str">
        <f>IFERROR(VLOOKUP(E1026,STAT1!$C$4:$D$1000,2,FALSE),"")</f>
        <v>Зар сурталчилгааны зардал</v>
      </c>
      <c r="G1026" s="377">
        <v>89100</v>
      </c>
      <c r="H1026" s="377">
        <v>0</v>
      </c>
      <c r="I1026" s="596">
        <f t="shared" si="83"/>
        <v>0</v>
      </c>
      <c r="J1026" s="81">
        <f t="shared" si="87"/>
        <v>0</v>
      </c>
      <c r="K1026" s="81"/>
      <c r="L1026" s="597">
        <v>1003</v>
      </c>
      <c r="M1026" s="81" t="str">
        <f>+IFERROR(VLOOKUP(L1026,DATA!$G$4:$H$2000,2,FALSE),"")</f>
        <v>Бахдамдэмбэрэл</v>
      </c>
      <c r="N1026" s="435"/>
      <c r="O1026" s="81" t="str">
        <f>IFERROR(VLOOKUP(N1026,DATA!$K$4:$L$51,2,FALSE),"")</f>
        <v/>
      </c>
      <c r="P1026" s="81"/>
      <c r="Q1026" s="152">
        <f t="shared" si="84"/>
        <v>0</v>
      </c>
    </row>
    <row r="1027" spans="2:17">
      <c r="B1027" s="670">
        <f t="shared" ref="B1027" si="92">+IF(C1027="","",ROW()-5)</f>
        <v>1022</v>
      </c>
      <c r="C1027" s="433">
        <v>42877</v>
      </c>
      <c r="D1027" s="598" t="s">
        <v>1758</v>
      </c>
      <c r="E1027" s="572">
        <v>110100</v>
      </c>
      <c r="F1027" s="672" t="str">
        <f>IFERROR(VLOOKUP(E1027,STAT1!$C$4:$D$1000,2,FALSE),"")</f>
        <v>Хаан Банк 5024654020</v>
      </c>
      <c r="G1027" s="377"/>
      <c r="H1027" s="377">
        <v>89100</v>
      </c>
      <c r="I1027" s="596">
        <f t="shared" si="83"/>
        <v>-89100</v>
      </c>
      <c r="J1027" s="81">
        <f t="shared" si="87"/>
        <v>0</v>
      </c>
      <c r="K1027" s="81"/>
      <c r="L1027" s="597">
        <v>1003</v>
      </c>
      <c r="M1027" s="81" t="str">
        <f>+IFERROR(VLOOKUP(L1027,DATA!$G$4:$H$2000,2,FALSE),"")</f>
        <v>Бахдамдэмбэрэл</v>
      </c>
      <c r="N1027" s="435">
        <v>59</v>
      </c>
      <c r="O1027" s="81" t="str">
        <f>IFERROR(VLOOKUP(N1027,DATA!$K$4:$L$51,2,FALSE),"")</f>
        <v>Бусад мөнгөн зарлага</v>
      </c>
      <c r="P1027" s="81"/>
      <c r="Q1027" s="152">
        <f t="shared" si="84"/>
        <v>1</v>
      </c>
    </row>
    <row r="1028" spans="2:17">
      <c r="B1028" s="670">
        <f t="shared" ref="B1028" si="93">+IF(C1028="","",ROW()-5)</f>
        <v>1023</v>
      </c>
      <c r="C1028" s="433">
        <v>42877</v>
      </c>
      <c r="D1028" s="598" t="s">
        <v>1747</v>
      </c>
      <c r="E1028" s="572">
        <v>702500</v>
      </c>
      <c r="F1028" s="672" t="str">
        <f>IFERROR(VLOOKUP(E1028,STAT1!$C$4:$D$1000,2,FALSE),"")</f>
        <v>Зээлийн хүүгийн зардал</v>
      </c>
      <c r="G1028" s="377">
        <v>1610982.36</v>
      </c>
      <c r="H1028" s="377">
        <v>0</v>
      </c>
      <c r="I1028" s="596">
        <f t="shared" si="83"/>
        <v>0</v>
      </c>
      <c r="J1028" s="81">
        <f t="shared" si="87"/>
        <v>0</v>
      </c>
      <c r="K1028" s="81"/>
      <c r="L1028" s="597">
        <v>2009</v>
      </c>
      <c r="M1028" s="81" t="str">
        <f>+IFERROR(VLOOKUP(L1028,DATA!$G$4:$H$2000,2,FALSE),"")</f>
        <v>ХААН БАНК</v>
      </c>
      <c r="N1028" s="435"/>
      <c r="O1028" s="81" t="str">
        <f>IFERROR(VLOOKUP(N1028,DATA!$K$4:$L$51,2,FALSE),"")</f>
        <v/>
      </c>
      <c r="P1028" s="81"/>
      <c r="Q1028" s="152">
        <f t="shared" si="84"/>
        <v>0</v>
      </c>
    </row>
    <row r="1029" spans="2:17">
      <c r="B1029" s="670">
        <f t="shared" si="88"/>
        <v>1024</v>
      </c>
      <c r="C1029" s="433">
        <v>42877</v>
      </c>
      <c r="D1029" s="598" t="s">
        <v>1747</v>
      </c>
      <c r="E1029" s="572">
        <v>110100</v>
      </c>
      <c r="F1029" s="672" t="str">
        <f>IFERROR(VLOOKUP(E1029,STAT1!$C$4:$D$1000,2,FALSE),"")</f>
        <v>Хаан Банк 5024654020</v>
      </c>
      <c r="G1029" s="377"/>
      <c r="H1029" s="377">
        <v>1610982.36</v>
      </c>
      <c r="I1029" s="596">
        <f t="shared" si="83"/>
        <v>-1610982.36</v>
      </c>
      <c r="J1029" s="81">
        <f t="shared" si="87"/>
        <v>0</v>
      </c>
      <c r="K1029" s="81"/>
      <c r="L1029" s="597">
        <v>2009</v>
      </c>
      <c r="M1029" s="81" t="str">
        <f>+IFERROR(VLOOKUP(L1029,DATA!$G$4:$H$2000,2,FALSE),"")</f>
        <v>ХААН БАНК</v>
      </c>
      <c r="N1029" s="435">
        <v>56</v>
      </c>
      <c r="O1029" s="81" t="str">
        <f>IFERROR(VLOOKUP(N1029,DATA!$K$4:$L$51,2,FALSE),"")</f>
        <v>Хүүний төлбөрт төлсөн</v>
      </c>
      <c r="P1029" s="81"/>
      <c r="Q1029" s="152">
        <f t="shared" si="84"/>
        <v>1</v>
      </c>
    </row>
    <row r="1030" spans="2:17">
      <c r="B1030" s="670">
        <f t="shared" si="88"/>
        <v>1025</v>
      </c>
      <c r="C1030" s="601">
        <v>42877</v>
      </c>
      <c r="D1030" s="377" t="s">
        <v>2698</v>
      </c>
      <c r="E1030" s="573">
        <v>150101</v>
      </c>
      <c r="F1030" s="672" t="str">
        <f>IFERROR(VLOOKUP(E1030,STAT1!$C$4:$D$1000,2,FALSE),"")</f>
        <v>Бараа бэлэн бүтээгдэхүүн БОЛОВСРУУЛАХ ЦЕХ /нарс/</v>
      </c>
      <c r="G1030" s="597"/>
      <c r="H1030" s="377">
        <v>46798.123822948066</v>
      </c>
      <c r="I1030" s="596">
        <f t="shared" ref="I1030:I1093" si="94">+IF(OR(E1030=100100,E1030=100200,E1030=110100,E1030=110102,E1030=110103,E1030=110104,E1030=110105,E1030=110200,E1030=110201,E1030=110202,E1030=110203,E1030=110204,E1030=110300),G1030,0)+IF(OR(E1030=100100,E1030=100200,E1030=110100,E1030=110102,E1030=110103,E1030=110104,E1030=110105,E1030=110200,E1030=110201,E1030=110202,E1030=110203,E1030=110204,E1030=110300),H1030*-1,0)</f>
        <v>0</v>
      </c>
      <c r="J1030" s="81"/>
      <c r="K1030" s="81"/>
      <c r="L1030" s="597">
        <v>3045</v>
      </c>
      <c r="M1030" s="81" t="str">
        <f>+IFERROR(VLOOKUP(L1030,DATA!$G$4:$H$2000,2,FALSE),"")</f>
        <v xml:space="preserve">МОНГОЛ ИДЕАЛ ХХК </v>
      </c>
      <c r="N1030" s="166"/>
      <c r="O1030" s="81" t="str">
        <f>IFERROR(VLOOKUP(N1030,DATA!$K$4:$L$51,2,FALSE),"")</f>
        <v/>
      </c>
      <c r="P1030" s="81"/>
      <c r="Q1030" s="152">
        <f t="shared" si="84"/>
        <v>0</v>
      </c>
    </row>
    <row r="1031" spans="2:17">
      <c r="B1031" s="670">
        <f t="shared" ref="B1031" si="95">+IF(C1031="","",ROW()-5)</f>
        <v>1026</v>
      </c>
      <c r="C1031" s="601">
        <v>42877</v>
      </c>
      <c r="D1031" s="377" t="s">
        <v>587</v>
      </c>
      <c r="E1031" s="572">
        <v>610100</v>
      </c>
      <c r="F1031" s="672" t="str">
        <f>IFERROR(VLOOKUP(E1031,STAT1!$C$4:$D$1000,2,FALSE),"")</f>
        <v>Борлуулсан барааны өртөг</v>
      </c>
      <c r="G1031" s="377">
        <v>46798.123822948066</v>
      </c>
      <c r="H1031" s="597"/>
      <c r="I1031" s="596">
        <f t="shared" si="94"/>
        <v>0</v>
      </c>
      <c r="J1031" s="81"/>
      <c r="K1031" s="81"/>
      <c r="L1031" s="597">
        <v>3045</v>
      </c>
      <c r="M1031" s="81" t="str">
        <f>+IFERROR(VLOOKUP(L1031,DATA!$G$4:$H$2000,2,FALSE),"")</f>
        <v xml:space="preserve">МОНГОЛ ИДЕАЛ ХХК </v>
      </c>
      <c r="N1031" s="166"/>
      <c r="O1031" s="81" t="str">
        <f>IFERROR(VLOOKUP(N1031,DATA!$K$4:$L$51,2,FALSE),"")</f>
        <v/>
      </c>
      <c r="P1031" s="81"/>
      <c r="Q1031" s="152">
        <f t="shared" ref="Q1031:Q1094" si="96">+IF(I1031,1,0)</f>
        <v>0</v>
      </c>
    </row>
    <row r="1032" spans="2:17">
      <c r="B1032" s="670">
        <f t="shared" ref="B1032" si="97">+IF(C1032="","",ROW()-5)</f>
        <v>1027</v>
      </c>
      <c r="C1032" s="601">
        <v>42877</v>
      </c>
      <c r="D1032" s="377" t="s">
        <v>587</v>
      </c>
      <c r="E1032" s="572">
        <v>310500</v>
      </c>
      <c r="F1032" s="672" t="str">
        <f>IFERROR(VLOOKUP(E1032,STAT1!$C$4:$D$1000,2,FALSE),"")</f>
        <v>НӨАТ өглөг</v>
      </c>
      <c r="G1032" s="597"/>
      <c r="H1032" s="377">
        <v>7999.9999920000009</v>
      </c>
      <c r="I1032" s="596">
        <f t="shared" si="94"/>
        <v>0</v>
      </c>
      <c r="J1032" s="81"/>
      <c r="K1032" s="81"/>
      <c r="L1032" s="597">
        <v>3045</v>
      </c>
      <c r="M1032" s="81" t="str">
        <f>+IFERROR(VLOOKUP(L1032,DATA!$G$4:$H$2000,2,FALSE),"")</f>
        <v xml:space="preserve">МОНГОЛ ИДЕАЛ ХХК </v>
      </c>
      <c r="N1032" s="166"/>
      <c r="O1032" s="81" t="str">
        <f>IFERROR(VLOOKUP(N1032,DATA!$K$4:$L$51,2,FALSE),"")</f>
        <v/>
      </c>
      <c r="P1032" s="81"/>
      <c r="Q1032" s="152">
        <f t="shared" si="96"/>
        <v>0</v>
      </c>
    </row>
    <row r="1033" spans="2:17">
      <c r="B1033" s="670">
        <f t="shared" si="88"/>
        <v>1028</v>
      </c>
      <c r="C1033" s="601">
        <v>42877</v>
      </c>
      <c r="D1033" s="377" t="s">
        <v>587</v>
      </c>
      <c r="E1033" s="572">
        <v>510000</v>
      </c>
      <c r="F1033" s="672" t="str">
        <f>IFERROR(VLOOKUP(E1033,STAT1!$C$4:$D$1000,2,FALSE),"")</f>
        <v>Үндсэн үйл ажиллагааны борлуулалт</v>
      </c>
      <c r="G1033" s="597"/>
      <c r="H1033" s="377">
        <v>79999.999920000002</v>
      </c>
      <c r="I1033" s="596">
        <f t="shared" si="94"/>
        <v>0</v>
      </c>
      <c r="J1033" s="81"/>
      <c r="K1033" s="81"/>
      <c r="L1033" s="597">
        <v>3045</v>
      </c>
      <c r="M1033" s="81" t="str">
        <f>+IFERROR(VLOOKUP(L1033,DATA!$G$4:$H$2000,2,FALSE),"")</f>
        <v xml:space="preserve">МОНГОЛ ИДЕАЛ ХХК </v>
      </c>
      <c r="N1033" s="166"/>
      <c r="O1033" s="81" t="str">
        <f>IFERROR(VLOOKUP(N1033,DATA!$K$4:$L$51,2,FALSE),"")</f>
        <v/>
      </c>
      <c r="P1033" s="81"/>
      <c r="Q1033" s="152">
        <f t="shared" si="96"/>
        <v>0</v>
      </c>
    </row>
    <row r="1034" spans="2:17">
      <c r="B1034" s="670">
        <f t="shared" si="88"/>
        <v>1029</v>
      </c>
      <c r="C1034" s="601">
        <v>42877</v>
      </c>
      <c r="D1034" s="377" t="s">
        <v>587</v>
      </c>
      <c r="E1034" s="572">
        <v>320100</v>
      </c>
      <c r="F1034" s="672" t="str">
        <f>IFERROR(VLOOKUP(E1034,STAT1!$C$4:$D$1000,2,FALSE),"")</f>
        <v>Урьдчилж орсон орлого MNT</v>
      </c>
      <c r="G1034" s="377">
        <v>87999.999911999999</v>
      </c>
      <c r="H1034" s="597"/>
      <c r="I1034" s="596">
        <f t="shared" si="94"/>
        <v>0</v>
      </c>
      <c r="J1034" s="81"/>
      <c r="K1034" s="81"/>
      <c r="L1034" s="597">
        <v>3045</v>
      </c>
      <c r="M1034" s="81" t="str">
        <f>+IFERROR(VLOOKUP(L1034,DATA!$G$4:$H$2000,2,FALSE),"")</f>
        <v xml:space="preserve">МОНГОЛ ИДЕАЛ ХХК </v>
      </c>
      <c r="N1034" s="166"/>
      <c r="O1034" s="81" t="str">
        <f>IFERROR(VLOOKUP(N1034,DATA!$K$4:$L$51,2,FALSE),"")</f>
        <v/>
      </c>
      <c r="P1034" s="81"/>
      <c r="Q1034" s="152">
        <f t="shared" si="96"/>
        <v>0</v>
      </c>
    </row>
    <row r="1035" spans="2:17">
      <c r="B1035" s="670">
        <f t="shared" si="88"/>
        <v>1030</v>
      </c>
      <c r="C1035" s="433">
        <v>42878</v>
      </c>
      <c r="D1035" s="598" t="s">
        <v>1741</v>
      </c>
      <c r="E1035" s="572">
        <v>110100</v>
      </c>
      <c r="F1035" s="672" t="str">
        <f>IFERROR(VLOOKUP(E1035,STAT1!$C$4:$D$1000,2,FALSE),"")</f>
        <v>Хаан Банк 5024654020</v>
      </c>
      <c r="G1035" s="377">
        <v>396000</v>
      </c>
      <c r="H1035" s="377"/>
      <c r="I1035" s="596">
        <f t="shared" si="94"/>
        <v>396000</v>
      </c>
      <c r="J1035" s="81">
        <f t="shared" ref="J1035:J1040" si="98">+IF(E1035=110102,I1035/K1035,0)</f>
        <v>0</v>
      </c>
      <c r="K1035" s="81"/>
      <c r="L1035" s="597">
        <v>3042</v>
      </c>
      <c r="M1035" s="81" t="str">
        <f>+IFERROR(VLOOKUP(L1035,DATA!$G$4:$H$2000,2,FALSE),"")</f>
        <v xml:space="preserve">ЖУРМАК ХХК </v>
      </c>
      <c r="N1035" s="435">
        <v>41</v>
      </c>
      <c r="O1035" s="81" t="str">
        <f>IFERROR(VLOOKUP(N1035,DATA!$K$4:$L$51,2,FALSE),"")</f>
        <v>Бараа борлуулсан, үйлчилгээ үзүүлсэний орлого</v>
      </c>
      <c r="P1035" s="81"/>
      <c r="Q1035" s="152">
        <f t="shared" si="96"/>
        <v>1</v>
      </c>
    </row>
    <row r="1036" spans="2:17">
      <c r="B1036" s="670">
        <f t="shared" si="88"/>
        <v>1031</v>
      </c>
      <c r="C1036" s="433">
        <v>42878</v>
      </c>
      <c r="D1036" s="598" t="s">
        <v>1741</v>
      </c>
      <c r="E1036" s="572">
        <v>320100</v>
      </c>
      <c r="F1036" s="672" t="str">
        <f>IFERROR(VLOOKUP(E1036,STAT1!$C$4:$D$1000,2,FALSE),"")</f>
        <v>Урьдчилж орсон орлого MNT</v>
      </c>
      <c r="G1036" s="377">
        <v>0</v>
      </c>
      <c r="H1036" s="377">
        <v>396000</v>
      </c>
      <c r="I1036" s="596">
        <f t="shared" si="94"/>
        <v>0</v>
      </c>
      <c r="J1036" s="81">
        <f t="shared" si="98"/>
        <v>0</v>
      </c>
      <c r="K1036" s="81"/>
      <c r="L1036" s="597">
        <v>3042</v>
      </c>
      <c r="M1036" s="81" t="str">
        <f>+IFERROR(VLOOKUP(L1036,DATA!$G$4:$H$2000,2,FALSE),"")</f>
        <v xml:space="preserve">ЖУРМАК ХХК </v>
      </c>
      <c r="N1036" s="435"/>
      <c r="O1036" s="81" t="str">
        <f>IFERROR(VLOOKUP(N1036,DATA!$K$4:$L$51,2,FALSE),"")</f>
        <v/>
      </c>
      <c r="P1036" s="81"/>
      <c r="Q1036" s="152">
        <f t="shared" si="96"/>
        <v>0</v>
      </c>
    </row>
    <row r="1037" spans="2:17">
      <c r="B1037" s="670">
        <f t="shared" si="88"/>
        <v>1032</v>
      </c>
      <c r="C1037" s="433">
        <v>42878</v>
      </c>
      <c r="D1037" s="598" t="s">
        <v>1741</v>
      </c>
      <c r="E1037" s="572">
        <v>110100</v>
      </c>
      <c r="F1037" s="672" t="str">
        <f>IFERROR(VLOOKUP(E1037,STAT1!$C$4:$D$1000,2,FALSE),"")</f>
        <v>Хаан Банк 5024654020</v>
      </c>
      <c r="G1037" s="377">
        <v>800000</v>
      </c>
      <c r="H1037" s="377"/>
      <c r="I1037" s="596">
        <f t="shared" si="94"/>
        <v>800000</v>
      </c>
      <c r="J1037" s="81">
        <f t="shared" si="98"/>
        <v>0</v>
      </c>
      <c r="K1037" s="81"/>
      <c r="L1037" s="597">
        <v>3042</v>
      </c>
      <c r="M1037" s="81" t="str">
        <f>+IFERROR(VLOOKUP(L1037,DATA!$G$4:$H$2000,2,FALSE),"")</f>
        <v xml:space="preserve">ЖУРМАК ХХК </v>
      </c>
      <c r="N1037" s="435">
        <v>41</v>
      </c>
      <c r="O1037" s="81" t="str">
        <f>IFERROR(VLOOKUP(N1037,DATA!$K$4:$L$51,2,FALSE),"")</f>
        <v>Бараа борлуулсан, үйлчилгээ үзүүлсэний орлого</v>
      </c>
      <c r="P1037" s="81"/>
      <c r="Q1037" s="152">
        <f t="shared" si="96"/>
        <v>1</v>
      </c>
    </row>
    <row r="1038" spans="2:17">
      <c r="B1038" s="670">
        <f t="shared" si="88"/>
        <v>1033</v>
      </c>
      <c r="C1038" s="433">
        <v>42878</v>
      </c>
      <c r="D1038" s="598" t="s">
        <v>1741</v>
      </c>
      <c r="E1038" s="572">
        <v>320100</v>
      </c>
      <c r="F1038" s="672" t="str">
        <f>IFERROR(VLOOKUP(E1038,STAT1!$C$4:$D$1000,2,FALSE),"")</f>
        <v>Урьдчилж орсон орлого MNT</v>
      </c>
      <c r="G1038" s="377">
        <v>0</v>
      </c>
      <c r="H1038" s="377">
        <v>800000</v>
      </c>
      <c r="I1038" s="596">
        <f t="shared" si="94"/>
        <v>0</v>
      </c>
      <c r="J1038" s="81">
        <f t="shared" si="98"/>
        <v>0</v>
      </c>
      <c r="K1038" s="81"/>
      <c r="L1038" s="597">
        <v>3042</v>
      </c>
      <c r="M1038" s="81" t="str">
        <f>+IFERROR(VLOOKUP(L1038,DATA!$G$4:$H$2000,2,FALSE),"")</f>
        <v xml:space="preserve">ЖУРМАК ХХК </v>
      </c>
      <c r="N1038" s="435"/>
      <c r="O1038" s="81" t="str">
        <f>IFERROR(VLOOKUP(N1038,DATA!$K$4:$L$51,2,FALSE),"")</f>
        <v/>
      </c>
      <c r="P1038" s="81"/>
      <c r="Q1038" s="152">
        <f t="shared" si="96"/>
        <v>0</v>
      </c>
    </row>
    <row r="1039" spans="2:17">
      <c r="B1039" s="670">
        <f t="shared" si="88"/>
        <v>1034</v>
      </c>
      <c r="C1039" s="433">
        <v>42878</v>
      </c>
      <c r="D1039" s="598" t="s">
        <v>1741</v>
      </c>
      <c r="E1039" s="572">
        <v>110100</v>
      </c>
      <c r="F1039" s="672" t="str">
        <f>IFERROR(VLOOKUP(E1039,STAT1!$C$4:$D$1000,2,FALSE),"")</f>
        <v>Хаан Банк 5024654020</v>
      </c>
      <c r="G1039" s="377">
        <v>1988700</v>
      </c>
      <c r="H1039" s="377"/>
      <c r="I1039" s="596">
        <f t="shared" si="94"/>
        <v>1988700</v>
      </c>
      <c r="J1039" s="81">
        <f t="shared" si="98"/>
        <v>0</v>
      </c>
      <c r="K1039" s="81"/>
      <c r="L1039" s="597">
        <v>3044</v>
      </c>
      <c r="M1039" s="81" t="str">
        <f>+IFERROR(VLOOKUP(L1039,DATA!$G$4:$H$2000,2,FALSE),"")</f>
        <v>ЛАНС КОНСТРАКШН ХХК</v>
      </c>
      <c r="N1039" s="435">
        <v>41</v>
      </c>
      <c r="O1039" s="81" t="str">
        <f>IFERROR(VLOOKUP(N1039,DATA!$K$4:$L$51,2,FALSE),"")</f>
        <v>Бараа борлуулсан, үйлчилгээ үзүүлсэний орлого</v>
      </c>
      <c r="P1039" s="81"/>
      <c r="Q1039" s="152">
        <f t="shared" si="96"/>
        <v>1</v>
      </c>
    </row>
    <row r="1040" spans="2:17">
      <c r="B1040" s="670">
        <f t="shared" si="88"/>
        <v>1035</v>
      </c>
      <c r="C1040" s="433">
        <v>42878</v>
      </c>
      <c r="D1040" s="598" t="s">
        <v>1741</v>
      </c>
      <c r="E1040" s="572">
        <v>320100</v>
      </c>
      <c r="F1040" s="672" t="str">
        <f>IFERROR(VLOOKUP(E1040,STAT1!$C$4:$D$1000,2,FALSE),"")</f>
        <v>Урьдчилж орсон орлого MNT</v>
      </c>
      <c r="G1040" s="377">
        <v>0</v>
      </c>
      <c r="H1040" s="377">
        <v>1988700</v>
      </c>
      <c r="I1040" s="596">
        <f t="shared" si="94"/>
        <v>0</v>
      </c>
      <c r="J1040" s="81">
        <f t="shared" si="98"/>
        <v>0</v>
      </c>
      <c r="K1040" s="81"/>
      <c r="L1040" s="597">
        <v>3044</v>
      </c>
      <c r="M1040" s="81" t="str">
        <f>+IFERROR(VLOOKUP(L1040,DATA!$G$4:$H$2000,2,FALSE),"")</f>
        <v>ЛАНС КОНСТРАКШН ХХК</v>
      </c>
      <c r="N1040" s="435"/>
      <c r="O1040" s="81" t="str">
        <f>IFERROR(VLOOKUP(N1040,DATA!$K$4:$L$51,2,FALSE),"")</f>
        <v/>
      </c>
      <c r="P1040" s="81"/>
      <c r="Q1040" s="152">
        <f t="shared" si="96"/>
        <v>0</v>
      </c>
    </row>
    <row r="1041" spans="2:17">
      <c r="B1041" s="670">
        <f t="shared" si="88"/>
        <v>1036</v>
      </c>
      <c r="C1041" s="601">
        <v>42878</v>
      </c>
      <c r="D1041" s="377" t="s">
        <v>2700</v>
      </c>
      <c r="E1041" s="573">
        <v>150101</v>
      </c>
      <c r="F1041" s="672" t="str">
        <f>IFERROR(VLOOKUP(E1041,STAT1!$C$4:$D$1000,2,FALSE),"")</f>
        <v>Бараа бэлэн бүтээгдэхүүн БОЛОВСРУУЛАХ ЦЕХ /нарс/</v>
      </c>
      <c r="G1041" s="597"/>
      <c r="H1041" s="377">
        <v>789066.93394196616</v>
      </c>
      <c r="I1041" s="596">
        <f t="shared" si="94"/>
        <v>0</v>
      </c>
      <c r="J1041" s="81"/>
      <c r="K1041" s="81"/>
      <c r="L1041" s="597">
        <v>3060</v>
      </c>
      <c r="M1041" s="81" t="str">
        <f>+IFERROR(VLOOKUP(L1041,DATA!$G$4:$H$2000,2,FALSE),"")</f>
        <v>САУНД ОФ МОНГОЛИЯ ХХК</v>
      </c>
      <c r="N1041" s="166"/>
      <c r="O1041" s="81" t="str">
        <f>IFERROR(VLOOKUP(N1041,DATA!$K$4:$L$51,2,FALSE),"")</f>
        <v/>
      </c>
      <c r="P1041" s="81"/>
      <c r="Q1041" s="152">
        <f t="shared" si="96"/>
        <v>0</v>
      </c>
    </row>
    <row r="1042" spans="2:17">
      <c r="B1042" s="670">
        <f t="shared" si="88"/>
        <v>1037</v>
      </c>
      <c r="C1042" s="601">
        <v>42878</v>
      </c>
      <c r="D1042" s="377" t="s">
        <v>587</v>
      </c>
      <c r="E1042" s="572">
        <v>610100</v>
      </c>
      <c r="F1042" s="672" t="str">
        <f>IFERROR(VLOOKUP(E1042,STAT1!$C$4:$D$1000,2,FALSE),"")</f>
        <v>Борлуулсан барааны өртөг</v>
      </c>
      <c r="G1042" s="377">
        <v>789066.93394196616</v>
      </c>
      <c r="H1042" s="597"/>
      <c r="I1042" s="596">
        <f t="shared" si="94"/>
        <v>0</v>
      </c>
      <c r="J1042" s="81"/>
      <c r="K1042" s="81"/>
      <c r="L1042" s="597">
        <v>3060</v>
      </c>
      <c r="M1042" s="81" t="str">
        <f>+IFERROR(VLOOKUP(L1042,DATA!$G$4:$H$2000,2,FALSE),"")</f>
        <v>САУНД ОФ МОНГОЛИЯ ХХК</v>
      </c>
      <c r="N1042" s="166"/>
      <c r="O1042" s="81" t="str">
        <f>IFERROR(VLOOKUP(N1042,DATA!$K$4:$L$51,2,FALSE),"")</f>
        <v/>
      </c>
      <c r="P1042" s="81"/>
      <c r="Q1042" s="152">
        <f t="shared" si="96"/>
        <v>0</v>
      </c>
    </row>
    <row r="1043" spans="2:17">
      <c r="B1043" s="670">
        <f t="shared" si="88"/>
        <v>1038</v>
      </c>
      <c r="C1043" s="601">
        <v>42878</v>
      </c>
      <c r="D1043" s="377" t="s">
        <v>587</v>
      </c>
      <c r="E1043" s="572">
        <v>310500</v>
      </c>
      <c r="F1043" s="672" t="str">
        <f>IFERROR(VLOOKUP(E1043,STAT1!$C$4:$D$1000,2,FALSE),"")</f>
        <v>НӨАТ өглөг</v>
      </c>
      <c r="G1043" s="597"/>
      <c r="H1043" s="377">
        <v>96000</v>
      </c>
      <c r="I1043" s="596">
        <f t="shared" si="94"/>
        <v>0</v>
      </c>
      <c r="J1043" s="81"/>
      <c r="K1043" s="81"/>
      <c r="L1043" s="597">
        <v>3060</v>
      </c>
      <c r="M1043" s="81" t="str">
        <f>+IFERROR(VLOOKUP(L1043,DATA!$G$4:$H$2000,2,FALSE),"")</f>
        <v>САУНД ОФ МОНГОЛИЯ ХХК</v>
      </c>
      <c r="N1043" s="166"/>
      <c r="O1043" s="81" t="str">
        <f>IFERROR(VLOOKUP(N1043,DATA!$K$4:$L$51,2,FALSE),"")</f>
        <v/>
      </c>
      <c r="P1043" s="81"/>
      <c r="Q1043" s="152">
        <f t="shared" si="96"/>
        <v>0</v>
      </c>
    </row>
    <row r="1044" spans="2:17">
      <c r="B1044" s="670">
        <f t="shared" ref="B1044:B1116" si="99">+IF(C1044="","",ROW()-5)</f>
        <v>1039</v>
      </c>
      <c r="C1044" s="601">
        <v>42878</v>
      </c>
      <c r="D1044" s="377" t="s">
        <v>587</v>
      </c>
      <c r="E1044" s="572">
        <v>510000</v>
      </c>
      <c r="F1044" s="672" t="str">
        <f>IFERROR(VLOOKUP(E1044,STAT1!$C$4:$D$1000,2,FALSE),"")</f>
        <v>Үндсэн үйл ажиллагааны борлуулалт</v>
      </c>
      <c r="G1044" s="597"/>
      <c r="H1044" s="377">
        <v>960000</v>
      </c>
      <c r="I1044" s="596">
        <f t="shared" si="94"/>
        <v>0</v>
      </c>
      <c r="J1044" s="81"/>
      <c r="K1044" s="81"/>
      <c r="L1044" s="597">
        <v>3060</v>
      </c>
      <c r="M1044" s="81" t="str">
        <f>+IFERROR(VLOOKUP(L1044,DATA!$G$4:$H$2000,2,FALSE),"")</f>
        <v>САУНД ОФ МОНГОЛИЯ ХХК</v>
      </c>
      <c r="N1044" s="166"/>
      <c r="O1044" s="81" t="str">
        <f>IFERROR(VLOOKUP(N1044,DATA!$K$4:$L$51,2,FALSE),"")</f>
        <v/>
      </c>
      <c r="P1044" s="81"/>
      <c r="Q1044" s="152">
        <f t="shared" si="96"/>
        <v>0</v>
      </c>
    </row>
    <row r="1045" spans="2:17">
      <c r="B1045" s="670">
        <f t="shared" si="99"/>
        <v>1040</v>
      </c>
      <c r="C1045" s="601">
        <v>42878</v>
      </c>
      <c r="D1045" s="377" t="s">
        <v>587</v>
      </c>
      <c r="E1045" s="572">
        <v>320100</v>
      </c>
      <c r="F1045" s="672" t="str">
        <f>IFERROR(VLOOKUP(E1045,STAT1!$C$4:$D$1000,2,FALSE),"")</f>
        <v>Урьдчилж орсон орлого MNT</v>
      </c>
      <c r="G1045" s="377">
        <v>1056000</v>
      </c>
      <c r="H1045" s="597"/>
      <c r="I1045" s="596">
        <f t="shared" si="94"/>
        <v>0</v>
      </c>
      <c r="J1045" s="81"/>
      <c r="K1045" s="81"/>
      <c r="L1045" s="597">
        <v>3060</v>
      </c>
      <c r="M1045" s="81" t="str">
        <f>+IFERROR(VLOOKUP(L1045,DATA!$G$4:$H$2000,2,FALSE),"")</f>
        <v>САУНД ОФ МОНГОЛИЯ ХХК</v>
      </c>
      <c r="N1045" s="166"/>
      <c r="O1045" s="81" t="str">
        <f>IFERROR(VLOOKUP(N1045,DATA!$K$4:$L$51,2,FALSE),"")</f>
        <v/>
      </c>
      <c r="P1045" s="81"/>
      <c r="Q1045" s="152">
        <f t="shared" si="96"/>
        <v>0</v>
      </c>
    </row>
    <row r="1046" spans="2:17">
      <c r="B1046" s="670">
        <f t="shared" si="99"/>
        <v>1041</v>
      </c>
      <c r="C1046" s="433">
        <v>42879</v>
      </c>
      <c r="D1046" s="598" t="s">
        <v>1741</v>
      </c>
      <c r="E1046" s="572">
        <v>110100</v>
      </c>
      <c r="F1046" s="672" t="str">
        <f>IFERROR(VLOOKUP(E1046,STAT1!$C$4:$D$1000,2,FALSE),"")</f>
        <v>Хаан Банк 5024654020</v>
      </c>
      <c r="G1046" s="377">
        <v>215000</v>
      </c>
      <c r="H1046" s="377"/>
      <c r="I1046" s="596">
        <f t="shared" si="94"/>
        <v>215000</v>
      </c>
      <c r="J1046" s="81">
        <f t="shared" ref="J1046:J1051" si="100">+IF(E1046=110102,I1046/K1046,0)</f>
        <v>0</v>
      </c>
      <c r="K1046" s="81"/>
      <c r="L1046" s="597">
        <v>3039</v>
      </c>
      <c r="M1046" s="81" t="str">
        <f>+IFERROR(VLOOKUP(L1046,DATA!$G$4:$H$2000,2,FALSE),"")</f>
        <v xml:space="preserve">САССИР ХХК </v>
      </c>
      <c r="N1046" s="435">
        <v>41</v>
      </c>
      <c r="O1046" s="81" t="str">
        <f>IFERROR(VLOOKUP(N1046,DATA!$K$4:$L$51,2,FALSE),"")</f>
        <v>Бараа борлуулсан, үйлчилгээ үзүүлсэний орлого</v>
      </c>
      <c r="P1046" s="81"/>
      <c r="Q1046" s="152">
        <f t="shared" si="96"/>
        <v>1</v>
      </c>
    </row>
    <row r="1047" spans="2:17">
      <c r="B1047" s="670">
        <f t="shared" si="99"/>
        <v>1042</v>
      </c>
      <c r="C1047" s="433">
        <v>42879</v>
      </c>
      <c r="D1047" s="598" t="s">
        <v>1741</v>
      </c>
      <c r="E1047" s="572">
        <v>320100</v>
      </c>
      <c r="F1047" s="672" t="str">
        <f>IFERROR(VLOOKUP(E1047,STAT1!$C$4:$D$1000,2,FALSE),"")</f>
        <v>Урьдчилж орсон орлого MNT</v>
      </c>
      <c r="G1047" s="377">
        <v>0</v>
      </c>
      <c r="H1047" s="377">
        <v>215000</v>
      </c>
      <c r="I1047" s="596">
        <f t="shared" si="94"/>
        <v>0</v>
      </c>
      <c r="J1047" s="81">
        <f t="shared" si="100"/>
        <v>0</v>
      </c>
      <c r="K1047" s="81"/>
      <c r="L1047" s="597">
        <v>3039</v>
      </c>
      <c r="M1047" s="81" t="str">
        <f>+IFERROR(VLOOKUP(L1047,DATA!$G$4:$H$2000,2,FALSE),"")</f>
        <v xml:space="preserve">САССИР ХХК </v>
      </c>
      <c r="N1047" s="435"/>
      <c r="O1047" s="81" t="str">
        <f>IFERROR(VLOOKUP(N1047,DATA!$K$4:$L$51,2,FALSE),"")</f>
        <v/>
      </c>
      <c r="P1047" s="81"/>
      <c r="Q1047" s="152">
        <f t="shared" si="96"/>
        <v>0</v>
      </c>
    </row>
    <row r="1048" spans="2:17">
      <c r="B1048" s="670">
        <f t="shared" si="99"/>
        <v>1043</v>
      </c>
      <c r="C1048" s="433">
        <v>42879</v>
      </c>
      <c r="D1048" s="598" t="s">
        <v>1741</v>
      </c>
      <c r="E1048" s="572">
        <v>110100</v>
      </c>
      <c r="F1048" s="672" t="str">
        <f>IFERROR(VLOOKUP(E1048,STAT1!$C$4:$D$1000,2,FALSE),"")</f>
        <v>Хаан Банк 5024654020</v>
      </c>
      <c r="G1048" s="377">
        <v>242000</v>
      </c>
      <c r="H1048" s="377"/>
      <c r="I1048" s="596">
        <f t="shared" si="94"/>
        <v>242000</v>
      </c>
      <c r="J1048" s="81">
        <f t="shared" si="100"/>
        <v>0</v>
      </c>
      <c r="K1048" s="81"/>
      <c r="L1048" s="597">
        <v>3043</v>
      </c>
      <c r="M1048" s="81" t="str">
        <f>+IFERROR(VLOOKUP(L1048,DATA!$G$4:$H$2000,2,FALSE),"")</f>
        <v xml:space="preserve">ДЕКОР ВҮҮД ХХК </v>
      </c>
      <c r="N1048" s="435">
        <v>41</v>
      </c>
      <c r="O1048" s="81" t="str">
        <f>IFERROR(VLOOKUP(N1048,DATA!$K$4:$L$51,2,FALSE),"")</f>
        <v>Бараа борлуулсан, үйлчилгээ үзүүлсэний орлого</v>
      </c>
      <c r="P1048" s="81"/>
      <c r="Q1048" s="152">
        <f t="shared" si="96"/>
        <v>1</v>
      </c>
    </row>
    <row r="1049" spans="2:17">
      <c r="B1049" s="670">
        <f t="shared" si="99"/>
        <v>1044</v>
      </c>
      <c r="C1049" s="433">
        <v>42879</v>
      </c>
      <c r="D1049" s="598" t="s">
        <v>1741</v>
      </c>
      <c r="E1049" s="572">
        <v>320100</v>
      </c>
      <c r="F1049" s="672" t="str">
        <f>IFERROR(VLOOKUP(E1049,STAT1!$C$4:$D$1000,2,FALSE),"")</f>
        <v>Урьдчилж орсон орлого MNT</v>
      </c>
      <c r="G1049" s="377">
        <v>0</v>
      </c>
      <c r="H1049" s="377">
        <v>242000</v>
      </c>
      <c r="I1049" s="596">
        <f t="shared" si="94"/>
        <v>0</v>
      </c>
      <c r="J1049" s="81">
        <f t="shared" si="100"/>
        <v>0</v>
      </c>
      <c r="K1049" s="81"/>
      <c r="L1049" s="597">
        <v>3043</v>
      </c>
      <c r="M1049" s="81" t="str">
        <f>+IFERROR(VLOOKUP(L1049,DATA!$G$4:$H$2000,2,FALSE),"")</f>
        <v xml:space="preserve">ДЕКОР ВҮҮД ХХК </v>
      </c>
      <c r="N1049" s="435"/>
      <c r="O1049" s="81" t="str">
        <f>IFERROR(VLOOKUP(N1049,DATA!$K$4:$L$51,2,FALSE),"")</f>
        <v/>
      </c>
      <c r="P1049" s="81"/>
      <c r="Q1049" s="152">
        <f t="shared" si="96"/>
        <v>0</v>
      </c>
    </row>
    <row r="1050" spans="2:17">
      <c r="B1050" s="670">
        <f t="shared" si="99"/>
        <v>1045</v>
      </c>
      <c r="C1050" s="433">
        <v>42879</v>
      </c>
      <c r="D1050" s="598" t="s">
        <v>1741</v>
      </c>
      <c r="E1050" s="572">
        <v>110100</v>
      </c>
      <c r="F1050" s="672" t="str">
        <f>IFERROR(VLOOKUP(E1050,STAT1!$C$4:$D$1000,2,FALSE),"")</f>
        <v>Хаан Банк 5024654020</v>
      </c>
      <c r="G1050" s="377">
        <v>824500</v>
      </c>
      <c r="H1050" s="377"/>
      <c r="I1050" s="596">
        <f t="shared" si="94"/>
        <v>824500</v>
      </c>
      <c r="J1050" s="81">
        <f t="shared" si="100"/>
        <v>0</v>
      </c>
      <c r="K1050" s="81"/>
      <c r="L1050" s="597">
        <v>3042</v>
      </c>
      <c r="M1050" s="81" t="str">
        <f>+IFERROR(VLOOKUP(L1050,DATA!$G$4:$H$2000,2,FALSE),"")</f>
        <v xml:space="preserve">ЖУРМАК ХХК </v>
      </c>
      <c r="N1050" s="435">
        <v>41</v>
      </c>
      <c r="O1050" s="81" t="str">
        <f>IFERROR(VLOOKUP(N1050,DATA!$K$4:$L$51,2,FALSE),"")</f>
        <v>Бараа борлуулсан, үйлчилгээ үзүүлсэний орлого</v>
      </c>
      <c r="P1050" s="81"/>
      <c r="Q1050" s="152">
        <f t="shared" si="96"/>
        <v>1</v>
      </c>
    </row>
    <row r="1051" spans="2:17">
      <c r="B1051" s="670">
        <f t="shared" si="99"/>
        <v>1046</v>
      </c>
      <c r="C1051" s="433">
        <v>42879</v>
      </c>
      <c r="D1051" s="598" t="s">
        <v>1741</v>
      </c>
      <c r="E1051" s="572">
        <v>320100</v>
      </c>
      <c r="F1051" s="672" t="str">
        <f>IFERROR(VLOOKUP(E1051,STAT1!$C$4:$D$1000,2,FALSE),"")</f>
        <v>Урьдчилж орсон орлого MNT</v>
      </c>
      <c r="G1051" s="377">
        <v>0</v>
      </c>
      <c r="H1051" s="377">
        <v>824500</v>
      </c>
      <c r="I1051" s="596">
        <f t="shared" si="94"/>
        <v>0</v>
      </c>
      <c r="J1051" s="81">
        <f t="shared" si="100"/>
        <v>0</v>
      </c>
      <c r="K1051" s="81"/>
      <c r="L1051" s="597">
        <v>3042</v>
      </c>
      <c r="M1051" s="81" t="str">
        <f>+IFERROR(VLOOKUP(L1051,DATA!$G$4:$H$2000,2,FALSE),"")</f>
        <v xml:space="preserve">ЖУРМАК ХХК </v>
      </c>
      <c r="N1051" s="435"/>
      <c r="O1051" s="81" t="str">
        <f>IFERROR(VLOOKUP(N1051,DATA!$K$4:$L$51,2,FALSE),"")</f>
        <v/>
      </c>
      <c r="P1051" s="81"/>
      <c r="Q1051" s="152">
        <f t="shared" si="96"/>
        <v>0</v>
      </c>
    </row>
    <row r="1052" spans="2:17">
      <c r="B1052" s="670">
        <f t="shared" si="99"/>
        <v>1047</v>
      </c>
      <c r="C1052" s="601">
        <v>42879</v>
      </c>
      <c r="D1052" s="377" t="s">
        <v>2700</v>
      </c>
      <c r="E1052" s="573">
        <v>150101</v>
      </c>
      <c r="F1052" s="672" t="str">
        <f>IFERROR(VLOOKUP(E1052,STAT1!$C$4:$D$1000,2,FALSE),"")</f>
        <v>Бараа бэлэн бүтээгдэхүүн БОЛОВСРУУЛАХ ЦЕХ /нарс/</v>
      </c>
      <c r="G1052" s="597"/>
      <c r="H1052" s="377">
        <v>180827.83902836722</v>
      </c>
      <c r="I1052" s="596">
        <f t="shared" si="94"/>
        <v>0</v>
      </c>
      <c r="J1052" s="81"/>
      <c r="K1052" s="81"/>
      <c r="L1052" s="597">
        <v>3043</v>
      </c>
      <c r="M1052" s="81" t="str">
        <f>+IFERROR(VLOOKUP(L1052,DATA!$G$4:$H$2000,2,FALSE),"")</f>
        <v xml:space="preserve">ДЕКОР ВҮҮД ХХК </v>
      </c>
      <c r="N1052" s="166"/>
      <c r="O1052" s="81" t="str">
        <f>IFERROR(VLOOKUP(N1052,DATA!$K$4:$L$51,2,FALSE),"")</f>
        <v/>
      </c>
      <c r="P1052" s="81"/>
      <c r="Q1052" s="152">
        <f t="shared" si="96"/>
        <v>0</v>
      </c>
    </row>
    <row r="1053" spans="2:17">
      <c r="B1053" s="670">
        <f t="shared" si="99"/>
        <v>1048</v>
      </c>
      <c r="C1053" s="601">
        <v>42879</v>
      </c>
      <c r="D1053" s="377" t="s">
        <v>587</v>
      </c>
      <c r="E1053" s="572">
        <v>610100</v>
      </c>
      <c r="F1053" s="672" t="str">
        <f>IFERROR(VLOOKUP(E1053,STAT1!$C$4:$D$1000,2,FALSE),"")</f>
        <v>Борлуулсан барааны өртөг</v>
      </c>
      <c r="G1053" s="377">
        <v>180827.83902836722</v>
      </c>
      <c r="H1053" s="597"/>
      <c r="I1053" s="596">
        <f t="shared" si="94"/>
        <v>0</v>
      </c>
      <c r="J1053" s="81"/>
      <c r="K1053" s="81"/>
      <c r="L1053" s="597">
        <v>3043</v>
      </c>
      <c r="M1053" s="81" t="str">
        <f>+IFERROR(VLOOKUP(L1053,DATA!$G$4:$H$2000,2,FALSE),"")</f>
        <v xml:space="preserve">ДЕКОР ВҮҮД ХХК </v>
      </c>
      <c r="N1053" s="166"/>
      <c r="O1053" s="81" t="str">
        <f>IFERROR(VLOOKUP(N1053,DATA!$K$4:$L$51,2,FALSE),"")</f>
        <v/>
      </c>
      <c r="P1053" s="81"/>
      <c r="Q1053" s="152">
        <f t="shared" si="96"/>
        <v>0</v>
      </c>
    </row>
    <row r="1054" spans="2:17">
      <c r="B1054" s="670">
        <f t="shared" si="99"/>
        <v>1049</v>
      </c>
      <c r="C1054" s="601">
        <v>42879</v>
      </c>
      <c r="D1054" s="377" t="s">
        <v>587</v>
      </c>
      <c r="E1054" s="572">
        <v>310500</v>
      </c>
      <c r="F1054" s="672" t="str">
        <f>IFERROR(VLOOKUP(E1054,STAT1!$C$4:$D$1000,2,FALSE),"")</f>
        <v>НӨАТ өглөг</v>
      </c>
      <c r="G1054" s="597"/>
      <c r="H1054" s="377">
        <v>22000</v>
      </c>
      <c r="I1054" s="596">
        <f t="shared" si="94"/>
        <v>0</v>
      </c>
      <c r="J1054" s="81"/>
      <c r="K1054" s="81"/>
      <c r="L1054" s="597">
        <v>3043</v>
      </c>
      <c r="M1054" s="81" t="str">
        <f>+IFERROR(VLOOKUP(L1054,DATA!$G$4:$H$2000,2,FALSE),"")</f>
        <v xml:space="preserve">ДЕКОР ВҮҮД ХХК </v>
      </c>
      <c r="N1054" s="166"/>
      <c r="O1054" s="81" t="str">
        <f>IFERROR(VLOOKUP(N1054,DATA!$K$4:$L$51,2,FALSE),"")</f>
        <v/>
      </c>
      <c r="P1054" s="81"/>
      <c r="Q1054" s="152">
        <f t="shared" si="96"/>
        <v>0</v>
      </c>
    </row>
    <row r="1055" spans="2:17">
      <c r="B1055" s="670">
        <f t="shared" si="99"/>
        <v>1050</v>
      </c>
      <c r="C1055" s="601">
        <v>42879</v>
      </c>
      <c r="D1055" s="377" t="s">
        <v>587</v>
      </c>
      <c r="E1055" s="572">
        <v>510000</v>
      </c>
      <c r="F1055" s="672" t="str">
        <f>IFERROR(VLOOKUP(E1055,STAT1!$C$4:$D$1000,2,FALSE),"")</f>
        <v>Үндсэн үйл ажиллагааны борлуулалт</v>
      </c>
      <c r="G1055" s="597"/>
      <c r="H1055" s="377">
        <v>220000</v>
      </c>
      <c r="I1055" s="596">
        <f t="shared" si="94"/>
        <v>0</v>
      </c>
      <c r="J1055" s="81"/>
      <c r="K1055" s="81"/>
      <c r="L1055" s="597">
        <v>3043</v>
      </c>
      <c r="M1055" s="81" t="str">
        <f>+IFERROR(VLOOKUP(L1055,DATA!$G$4:$H$2000,2,FALSE),"")</f>
        <v xml:space="preserve">ДЕКОР ВҮҮД ХХК </v>
      </c>
      <c r="N1055" s="166"/>
      <c r="O1055" s="81" t="str">
        <f>IFERROR(VLOOKUP(N1055,DATA!$K$4:$L$51,2,FALSE),"")</f>
        <v/>
      </c>
      <c r="P1055" s="81"/>
      <c r="Q1055" s="152">
        <f t="shared" si="96"/>
        <v>0</v>
      </c>
    </row>
    <row r="1056" spans="2:17">
      <c r="B1056" s="670">
        <f t="shared" si="99"/>
        <v>1051</v>
      </c>
      <c r="C1056" s="601">
        <v>42879</v>
      </c>
      <c r="D1056" s="377" t="s">
        <v>587</v>
      </c>
      <c r="E1056" s="572">
        <v>320100</v>
      </c>
      <c r="F1056" s="672" t="str">
        <f>IFERROR(VLOOKUP(E1056,STAT1!$C$4:$D$1000,2,FALSE),"")</f>
        <v>Урьдчилж орсон орлого MNT</v>
      </c>
      <c r="G1056" s="377">
        <v>242000</v>
      </c>
      <c r="H1056" s="597"/>
      <c r="I1056" s="596">
        <f t="shared" si="94"/>
        <v>0</v>
      </c>
      <c r="J1056" s="81"/>
      <c r="K1056" s="81"/>
      <c r="L1056" s="597">
        <v>3043</v>
      </c>
      <c r="M1056" s="81" t="str">
        <f>+IFERROR(VLOOKUP(L1056,DATA!$G$4:$H$2000,2,FALSE),"")</f>
        <v xml:space="preserve">ДЕКОР ВҮҮД ХХК </v>
      </c>
      <c r="N1056" s="166"/>
      <c r="O1056" s="81" t="str">
        <f>IFERROR(VLOOKUP(N1056,DATA!$K$4:$L$51,2,FALSE),"")</f>
        <v/>
      </c>
      <c r="P1056" s="81"/>
      <c r="Q1056" s="152">
        <f t="shared" si="96"/>
        <v>0</v>
      </c>
    </row>
    <row r="1057" spans="2:17">
      <c r="B1057" s="670">
        <f t="shared" si="99"/>
        <v>1052</v>
      </c>
      <c r="C1057" s="433">
        <v>42880</v>
      </c>
      <c r="D1057" s="377" t="s">
        <v>1730</v>
      </c>
      <c r="E1057" s="572">
        <v>100100</v>
      </c>
      <c r="F1057" s="672" t="str">
        <f>IFERROR(VLOOKUP(E1057,STAT1!$C$4:$D$1000,2,FALSE),"")</f>
        <v>Касс мөнгө MNT</v>
      </c>
      <c r="G1057" s="377"/>
      <c r="H1057" s="377">
        <v>10000</v>
      </c>
      <c r="I1057" s="596">
        <f t="shared" si="94"/>
        <v>-10000</v>
      </c>
      <c r="J1057" s="81">
        <f>+IF(E1057=110102,I1057/K1057,0)</f>
        <v>0</v>
      </c>
      <c r="K1057" s="81"/>
      <c r="L1057" s="597">
        <v>2005</v>
      </c>
      <c r="M1057" s="81" t="str">
        <f>+IFERROR(VLOOKUP(L1057,DATA!$G$4:$H$2000,2,FALSE),"")</f>
        <v xml:space="preserve">УСУГ ТӨХК </v>
      </c>
      <c r="N1057" s="435">
        <v>55</v>
      </c>
      <c r="O1057" s="81" t="str">
        <f>IFERROR(VLOOKUP(N1057,DATA!$K$4:$L$51,2,FALSE),"")</f>
        <v>Түлш, шатахуун, тээврийн хөлс, сэлбэг хэрэгсэлд төлсөн</v>
      </c>
      <c r="P1057" s="81"/>
      <c r="Q1057" s="152">
        <f t="shared" si="96"/>
        <v>1</v>
      </c>
    </row>
    <row r="1058" spans="2:17">
      <c r="B1058" s="670">
        <f t="shared" si="99"/>
        <v>1053</v>
      </c>
      <c r="C1058" s="433">
        <v>42880</v>
      </c>
      <c r="D1058" s="377" t="s">
        <v>1730</v>
      </c>
      <c r="E1058" s="572">
        <v>702000</v>
      </c>
      <c r="F1058" s="672" t="str">
        <f>IFERROR(VLOOKUP(E1058,STAT1!$C$4:$D$1000,2,FALSE),"")</f>
        <v>Түлш, шатахуун</v>
      </c>
      <c r="G1058" s="377">
        <v>10000</v>
      </c>
      <c r="H1058" s="377"/>
      <c r="I1058" s="596">
        <f t="shared" si="94"/>
        <v>0</v>
      </c>
      <c r="J1058" s="81"/>
      <c r="K1058" s="81"/>
      <c r="L1058" s="597">
        <v>2005</v>
      </c>
      <c r="M1058" s="81" t="str">
        <f>+IFERROR(VLOOKUP(L1058,DATA!$G$4:$H$2000,2,FALSE),"")</f>
        <v xml:space="preserve">УСУГ ТӨХК </v>
      </c>
      <c r="N1058" s="435"/>
      <c r="O1058" s="81"/>
      <c r="P1058" s="81"/>
      <c r="Q1058" s="152">
        <f t="shared" si="96"/>
        <v>0</v>
      </c>
    </row>
    <row r="1059" spans="2:17">
      <c r="B1059" s="670">
        <f t="shared" si="99"/>
        <v>1054</v>
      </c>
      <c r="C1059" s="433">
        <v>42880</v>
      </c>
      <c r="D1059" s="377" t="s">
        <v>1730</v>
      </c>
      <c r="E1059" s="572">
        <v>100100</v>
      </c>
      <c r="F1059" s="672" t="str">
        <f>IFERROR(VLOOKUP(E1059,STAT1!$C$4:$D$1000,2,FALSE),"")</f>
        <v>Касс мөнгө MNT</v>
      </c>
      <c r="G1059" s="377"/>
      <c r="H1059" s="377">
        <v>52300</v>
      </c>
      <c r="I1059" s="596">
        <f t="shared" si="94"/>
        <v>-52300</v>
      </c>
      <c r="J1059" s="81">
        <f t="shared" ref="J1059:J1066" si="101">+IF(E1059=110102,I1059/K1059,0)</f>
        <v>0</v>
      </c>
      <c r="K1059" s="81"/>
      <c r="L1059" s="597">
        <v>2005</v>
      </c>
      <c r="M1059" s="81" t="str">
        <f>+IFERROR(VLOOKUP(L1059,DATA!$G$4:$H$2000,2,FALSE),"")</f>
        <v xml:space="preserve">УСУГ ТӨХК </v>
      </c>
      <c r="N1059" s="435">
        <v>59</v>
      </c>
      <c r="O1059" s="81" t="str">
        <f>IFERROR(VLOOKUP(N1059,DATA!$K$4:$L$51,2,FALSE),"")</f>
        <v>Бусад мөнгөн зарлага</v>
      </c>
      <c r="P1059" s="81"/>
      <c r="Q1059" s="152">
        <f t="shared" si="96"/>
        <v>1</v>
      </c>
    </row>
    <row r="1060" spans="2:17">
      <c r="B1060" s="670">
        <f t="shared" si="99"/>
        <v>1055</v>
      </c>
      <c r="C1060" s="433">
        <v>42880</v>
      </c>
      <c r="D1060" s="377" t="s">
        <v>1730</v>
      </c>
      <c r="E1060" s="572">
        <v>120600</v>
      </c>
      <c r="F1060" s="672" t="str">
        <f>IFERROR(VLOOKUP(E1060,STAT1!$C$4:$D$1000,2,FALSE),"")</f>
        <v>НӨАТ авлага</v>
      </c>
      <c r="G1060" s="377">
        <v>2100</v>
      </c>
      <c r="H1060" s="377"/>
      <c r="I1060" s="596">
        <f t="shared" si="94"/>
        <v>0</v>
      </c>
      <c r="J1060" s="81">
        <f t="shared" si="101"/>
        <v>0</v>
      </c>
      <c r="K1060" s="81"/>
      <c r="L1060" s="597">
        <v>2005</v>
      </c>
      <c r="M1060" s="81" t="str">
        <f>+IFERROR(VLOOKUP(L1060,DATA!$G$4:$H$2000,2,FALSE),"")</f>
        <v xml:space="preserve">УСУГ ТӨХК </v>
      </c>
      <c r="N1060" s="435"/>
      <c r="O1060" s="81" t="str">
        <f>IFERROR(VLOOKUP(N1060,DATA!$K$4:$L$51,2,FALSE),"")</f>
        <v/>
      </c>
      <c r="P1060" s="81"/>
      <c r="Q1060" s="152">
        <f t="shared" si="96"/>
        <v>0</v>
      </c>
    </row>
    <row r="1061" spans="2:17">
      <c r="B1061" s="670">
        <f t="shared" si="99"/>
        <v>1056</v>
      </c>
      <c r="C1061" s="433">
        <v>42880</v>
      </c>
      <c r="D1061" s="377" t="s">
        <v>1730</v>
      </c>
      <c r="E1061" s="572">
        <v>701500</v>
      </c>
      <c r="F1061" s="672" t="str">
        <f>IFERROR(VLOOKUP(E1061,STAT1!$C$4:$D$1000,2,FALSE),"")</f>
        <v>Урсгал засварын зардал</v>
      </c>
      <c r="G1061" s="377">
        <v>50200</v>
      </c>
      <c r="H1061" s="377">
        <v>0</v>
      </c>
      <c r="I1061" s="596">
        <f t="shared" si="94"/>
        <v>0</v>
      </c>
      <c r="J1061" s="81">
        <f t="shared" si="101"/>
        <v>0</v>
      </c>
      <c r="K1061" s="81"/>
      <c r="L1061" s="597">
        <v>2005</v>
      </c>
      <c r="M1061" s="81" t="str">
        <f>+IFERROR(VLOOKUP(L1061,DATA!$G$4:$H$2000,2,FALSE),"")</f>
        <v xml:space="preserve">УСУГ ТӨХК </v>
      </c>
      <c r="N1061" s="435"/>
      <c r="O1061" s="81" t="str">
        <f>IFERROR(VLOOKUP(N1061,DATA!$K$4:$L$51,2,FALSE),"")</f>
        <v/>
      </c>
      <c r="P1061" s="81"/>
      <c r="Q1061" s="152">
        <f t="shared" si="96"/>
        <v>0</v>
      </c>
    </row>
    <row r="1062" spans="2:17">
      <c r="B1062" s="670">
        <f t="shared" ref="B1062" si="102">+IF(C1062="","",ROW()-5)</f>
        <v>1057</v>
      </c>
      <c r="C1062" s="433">
        <v>42880</v>
      </c>
      <c r="D1062" s="377" t="s">
        <v>1741</v>
      </c>
      <c r="E1062" s="572">
        <v>320100</v>
      </c>
      <c r="F1062" s="672" t="str">
        <f>IFERROR(VLOOKUP(E1062,STAT1!$C$4:$D$1000,2,FALSE),"")</f>
        <v>Урьдчилж орсон орлого MNT</v>
      </c>
      <c r="G1062" s="377"/>
      <c r="H1062" s="377">
        <v>102500</v>
      </c>
      <c r="I1062" s="596">
        <f t="shared" si="94"/>
        <v>0</v>
      </c>
      <c r="J1062" s="81">
        <f t="shared" si="101"/>
        <v>0</v>
      </c>
      <c r="K1062" s="81"/>
      <c r="L1062" s="597">
        <v>3063</v>
      </c>
      <c r="M1062" s="81" t="str">
        <f>+IFERROR(VLOOKUP(L1062,DATA!$G$4:$H$2000,2,FALSE),"")</f>
        <v>МЭЖИК ДООР ХХК</v>
      </c>
      <c r="N1062" s="435"/>
      <c r="O1062" s="81" t="str">
        <f>IFERROR(VLOOKUP(N1062,DATA!$K$4:$L$51,2,FALSE),"")</f>
        <v/>
      </c>
      <c r="P1062" s="81"/>
      <c r="Q1062" s="152">
        <f t="shared" si="96"/>
        <v>0</v>
      </c>
    </row>
    <row r="1063" spans="2:17">
      <c r="B1063" s="670">
        <f t="shared" ref="B1063" si="103">+IF(C1063="","",ROW()-5)</f>
        <v>1058</v>
      </c>
      <c r="C1063" s="433">
        <v>42880</v>
      </c>
      <c r="D1063" s="377" t="s">
        <v>1741</v>
      </c>
      <c r="E1063" s="572">
        <v>100100</v>
      </c>
      <c r="F1063" s="672" t="str">
        <f>IFERROR(VLOOKUP(E1063,STAT1!$C$4:$D$1000,2,FALSE),"")</f>
        <v>Касс мөнгө MNT</v>
      </c>
      <c r="G1063" s="377">
        <v>102500</v>
      </c>
      <c r="H1063" s="377">
        <v>0</v>
      </c>
      <c r="I1063" s="596">
        <f t="shared" si="94"/>
        <v>102500</v>
      </c>
      <c r="J1063" s="81">
        <f t="shared" si="101"/>
        <v>0</v>
      </c>
      <c r="K1063" s="81"/>
      <c r="L1063" s="597">
        <v>3063</v>
      </c>
      <c r="M1063" s="81" t="str">
        <f>+IFERROR(VLOOKUP(L1063,DATA!$G$4:$H$2000,2,FALSE),"")</f>
        <v>МЭЖИК ДООР ХХК</v>
      </c>
      <c r="N1063" s="435">
        <v>41</v>
      </c>
      <c r="O1063" s="81" t="str">
        <f>IFERROR(VLOOKUP(N1063,DATA!$K$4:$L$51,2,FALSE),"")</f>
        <v>Бараа борлуулсан, үйлчилгээ үзүүлсэний орлого</v>
      </c>
      <c r="P1063" s="81"/>
      <c r="Q1063" s="152">
        <f t="shared" si="96"/>
        <v>1</v>
      </c>
    </row>
    <row r="1064" spans="2:17">
      <c r="B1064" s="670">
        <f t="shared" si="99"/>
        <v>1059</v>
      </c>
      <c r="C1064" s="433">
        <v>42880</v>
      </c>
      <c r="D1064" s="598" t="s">
        <v>1714</v>
      </c>
      <c r="E1064" s="572">
        <v>700700</v>
      </c>
      <c r="F1064" s="672" t="str">
        <f>IFERROR(VLOOKUP(E1064,STAT1!$C$4:$D$1000,2,FALSE),"")</f>
        <v>Цахилгаан эрчим хүч</v>
      </c>
      <c r="G1064" s="377">
        <v>1752393.6400000001</v>
      </c>
      <c r="H1064" s="377">
        <v>0</v>
      </c>
      <c r="I1064" s="596">
        <f t="shared" si="94"/>
        <v>0</v>
      </c>
      <c r="J1064" s="81">
        <f t="shared" si="101"/>
        <v>0</v>
      </c>
      <c r="K1064" s="81"/>
      <c r="L1064" s="597">
        <v>2003</v>
      </c>
      <c r="M1064" s="81" t="str">
        <f>+IFERROR(VLOOKUP(L1064,DATA!$G$4:$H$2000,2,FALSE),"")</f>
        <v xml:space="preserve">УБЦТС ТӨХК </v>
      </c>
      <c r="N1064" s="435"/>
      <c r="O1064" s="81" t="str">
        <f>IFERROR(VLOOKUP(N1064,DATA!$K$4:$L$51,2,FALSE),"")</f>
        <v/>
      </c>
      <c r="P1064" s="81"/>
      <c r="Q1064" s="152">
        <f t="shared" si="96"/>
        <v>0</v>
      </c>
    </row>
    <row r="1065" spans="2:17">
      <c r="B1065" s="670">
        <f t="shared" si="99"/>
        <v>1060</v>
      </c>
      <c r="C1065" s="433">
        <v>42880</v>
      </c>
      <c r="D1065" s="598" t="s">
        <v>1714</v>
      </c>
      <c r="E1065" s="572">
        <v>120600</v>
      </c>
      <c r="F1065" s="672" t="str">
        <f>IFERROR(VLOOKUP(E1065,STAT1!$C$4:$D$1000,2,FALSE),"")</f>
        <v>НӨАТ авлага</v>
      </c>
      <c r="G1065" s="377">
        <v>175239.36</v>
      </c>
      <c r="H1065" s="377"/>
      <c r="I1065" s="596">
        <f t="shared" si="94"/>
        <v>0</v>
      </c>
      <c r="J1065" s="81">
        <f t="shared" si="101"/>
        <v>0</v>
      </c>
      <c r="K1065" s="81"/>
      <c r="L1065" s="597">
        <v>2003</v>
      </c>
      <c r="M1065" s="81" t="str">
        <f>+IFERROR(VLOOKUP(L1065,DATA!$G$4:$H$2000,2,FALSE),"")</f>
        <v xml:space="preserve">УБЦТС ТӨХК </v>
      </c>
      <c r="N1065" s="435"/>
      <c r="O1065" s="81" t="str">
        <f>IFERROR(VLOOKUP(N1065,DATA!$K$4:$L$51,2,FALSE),"")</f>
        <v/>
      </c>
      <c r="P1065" s="81"/>
      <c r="Q1065" s="152">
        <f t="shared" si="96"/>
        <v>0</v>
      </c>
    </row>
    <row r="1066" spans="2:17">
      <c r="B1066" s="670">
        <f t="shared" si="99"/>
        <v>1061</v>
      </c>
      <c r="C1066" s="433">
        <v>42880</v>
      </c>
      <c r="D1066" s="598" t="s">
        <v>1714</v>
      </c>
      <c r="E1066" s="572">
        <v>110100</v>
      </c>
      <c r="F1066" s="672" t="str">
        <f>IFERROR(VLOOKUP(E1066,STAT1!$C$4:$D$1000,2,FALSE),"")</f>
        <v>Хаан Банк 5024654020</v>
      </c>
      <c r="G1066" s="377"/>
      <c r="H1066" s="377">
        <v>1927633</v>
      </c>
      <c r="I1066" s="596">
        <f t="shared" si="94"/>
        <v>-1927633</v>
      </c>
      <c r="J1066" s="81">
        <f t="shared" si="101"/>
        <v>0</v>
      </c>
      <c r="K1066" s="81"/>
      <c r="L1066" s="597">
        <v>2003</v>
      </c>
      <c r="M1066" s="81" t="str">
        <f>+IFERROR(VLOOKUP(L1066,DATA!$G$4:$H$2000,2,FALSE),"")</f>
        <v xml:space="preserve">УБЦТС ТӨХК </v>
      </c>
      <c r="N1066" s="435">
        <v>54</v>
      </c>
      <c r="O1066" s="81" t="str">
        <f>IFERROR(VLOOKUP(N1066,DATA!$K$4:$L$51,2,FALSE),"")</f>
        <v>Ашиглалтын зардалд төлсөн</v>
      </c>
      <c r="P1066" s="81"/>
      <c r="Q1066" s="152">
        <f t="shared" si="96"/>
        <v>1</v>
      </c>
    </row>
    <row r="1067" spans="2:17">
      <c r="B1067" s="670">
        <f t="shared" si="99"/>
        <v>1062</v>
      </c>
      <c r="C1067" s="601">
        <v>42880</v>
      </c>
      <c r="D1067" s="377" t="s">
        <v>2700</v>
      </c>
      <c r="E1067" s="573">
        <v>150101</v>
      </c>
      <c r="F1067" s="672" t="str">
        <f>IFERROR(VLOOKUP(E1067,STAT1!$C$4:$D$1000,2,FALSE),"")</f>
        <v>Бараа бэлэн бүтээгдэхүүн БОЛОВСРУУЛАХ ЦЕХ /нарс/</v>
      </c>
      <c r="G1067" s="597"/>
      <c r="H1067" s="377">
        <v>1556888.3134955324</v>
      </c>
      <c r="I1067" s="596">
        <f t="shared" si="94"/>
        <v>0</v>
      </c>
      <c r="J1067" s="81"/>
      <c r="K1067" s="81"/>
      <c r="L1067" s="597">
        <v>3042</v>
      </c>
      <c r="M1067" s="81" t="str">
        <f>+IFERROR(VLOOKUP(L1067,DATA!$G$4:$H$2000,2,FALSE),"")</f>
        <v xml:space="preserve">ЖУРМАК ХХК </v>
      </c>
      <c r="N1067" s="166"/>
      <c r="O1067" s="81" t="str">
        <f>IFERROR(VLOOKUP(N1067,DATA!$K$4:$L$51,2,FALSE),"")</f>
        <v/>
      </c>
      <c r="P1067" s="81"/>
      <c r="Q1067" s="152">
        <f t="shared" si="96"/>
        <v>0</v>
      </c>
    </row>
    <row r="1068" spans="2:17">
      <c r="B1068" s="670">
        <f t="shared" si="99"/>
        <v>1063</v>
      </c>
      <c r="C1068" s="601">
        <v>42880</v>
      </c>
      <c r="D1068" s="377" t="s">
        <v>587</v>
      </c>
      <c r="E1068" s="572">
        <v>610100</v>
      </c>
      <c r="F1068" s="672" t="str">
        <f>IFERROR(VLOOKUP(E1068,STAT1!$C$4:$D$1000,2,FALSE),"")</f>
        <v>Борлуулсан барааны өртөг</v>
      </c>
      <c r="G1068" s="377">
        <v>1556888.3134955324</v>
      </c>
      <c r="H1068" s="597"/>
      <c r="I1068" s="596">
        <f t="shared" si="94"/>
        <v>0</v>
      </c>
      <c r="J1068" s="81"/>
      <c r="K1068" s="81"/>
      <c r="L1068" s="597">
        <v>3042</v>
      </c>
      <c r="M1068" s="81" t="str">
        <f>+IFERROR(VLOOKUP(L1068,DATA!$G$4:$H$2000,2,FALSE),"")</f>
        <v xml:space="preserve">ЖУРМАК ХХК </v>
      </c>
      <c r="N1068" s="166"/>
      <c r="O1068" s="81" t="str">
        <f>IFERROR(VLOOKUP(N1068,DATA!$K$4:$L$51,2,FALSE),"")</f>
        <v/>
      </c>
      <c r="P1068" s="81"/>
      <c r="Q1068" s="152">
        <f t="shared" si="96"/>
        <v>0</v>
      </c>
    </row>
    <row r="1069" spans="2:17">
      <c r="B1069" s="670">
        <f t="shared" si="99"/>
        <v>1064</v>
      </c>
      <c r="C1069" s="601">
        <v>42880</v>
      </c>
      <c r="D1069" s="377" t="s">
        <v>587</v>
      </c>
      <c r="E1069" s="572">
        <v>310500</v>
      </c>
      <c r="F1069" s="672" t="str">
        <f>IFERROR(VLOOKUP(E1069,STAT1!$C$4:$D$1000,2,FALSE),"")</f>
        <v>НӨАТ өглөг</v>
      </c>
      <c r="G1069" s="597"/>
      <c r="H1069" s="377">
        <v>224181.81816527998</v>
      </c>
      <c r="I1069" s="596">
        <f t="shared" si="94"/>
        <v>0</v>
      </c>
      <c r="J1069" s="81"/>
      <c r="K1069" s="81"/>
      <c r="L1069" s="597">
        <v>3042</v>
      </c>
      <c r="M1069" s="81" t="str">
        <f>+IFERROR(VLOOKUP(L1069,DATA!$G$4:$H$2000,2,FALSE),"")</f>
        <v xml:space="preserve">ЖУРМАК ХХК </v>
      </c>
      <c r="N1069" s="166"/>
      <c r="O1069" s="81" t="str">
        <f>IFERROR(VLOOKUP(N1069,DATA!$K$4:$L$51,2,FALSE),"")</f>
        <v/>
      </c>
      <c r="P1069" s="81"/>
      <c r="Q1069" s="152">
        <f t="shared" si="96"/>
        <v>0</v>
      </c>
    </row>
    <row r="1070" spans="2:17">
      <c r="B1070" s="670">
        <f t="shared" ref="B1070" si="104">+IF(C1070="","",ROW()-5)</f>
        <v>1065</v>
      </c>
      <c r="C1070" s="601">
        <v>42880</v>
      </c>
      <c r="D1070" s="377" t="s">
        <v>587</v>
      </c>
      <c r="E1070" s="572">
        <v>510000</v>
      </c>
      <c r="F1070" s="672" t="str">
        <f>IFERROR(VLOOKUP(E1070,STAT1!$C$4:$D$1000,2,FALSE),"")</f>
        <v>Үндсэн үйл ажиллагааны борлуулалт</v>
      </c>
      <c r="G1070" s="597"/>
      <c r="H1070" s="377">
        <v>2241818.1816527997</v>
      </c>
      <c r="I1070" s="596">
        <f t="shared" si="94"/>
        <v>0</v>
      </c>
      <c r="J1070" s="81"/>
      <c r="K1070" s="81"/>
      <c r="L1070" s="597">
        <v>3042</v>
      </c>
      <c r="M1070" s="81" t="str">
        <f>+IFERROR(VLOOKUP(L1070,DATA!$G$4:$H$2000,2,FALSE),"")</f>
        <v xml:space="preserve">ЖУРМАК ХХК </v>
      </c>
      <c r="N1070" s="166"/>
      <c r="O1070" s="81" t="str">
        <f>IFERROR(VLOOKUP(N1070,DATA!$K$4:$L$51,2,FALSE),"")</f>
        <v/>
      </c>
      <c r="P1070" s="81"/>
      <c r="Q1070" s="152">
        <f t="shared" si="96"/>
        <v>0</v>
      </c>
    </row>
    <row r="1071" spans="2:17">
      <c r="B1071" s="670">
        <f t="shared" si="99"/>
        <v>1066</v>
      </c>
      <c r="C1071" s="601">
        <v>42880</v>
      </c>
      <c r="D1071" s="377" t="s">
        <v>587</v>
      </c>
      <c r="E1071" s="572">
        <v>320100</v>
      </c>
      <c r="F1071" s="672" t="str">
        <f>IFERROR(VLOOKUP(E1071,STAT1!$C$4:$D$1000,2,FALSE),"")</f>
        <v>Урьдчилж орсон орлого MNT</v>
      </c>
      <c r="G1071" s="377">
        <v>2465999.9998180796</v>
      </c>
      <c r="H1071" s="597"/>
      <c r="I1071" s="596">
        <f t="shared" si="94"/>
        <v>0</v>
      </c>
      <c r="J1071" s="81"/>
      <c r="K1071" s="81"/>
      <c r="L1071" s="597">
        <v>3042</v>
      </c>
      <c r="M1071" s="81" t="str">
        <f>+IFERROR(VLOOKUP(L1071,DATA!$G$4:$H$2000,2,FALSE),"")</f>
        <v xml:space="preserve">ЖУРМАК ХХК </v>
      </c>
      <c r="N1071" s="166"/>
      <c r="O1071" s="81" t="str">
        <f>IFERROR(VLOOKUP(N1071,DATA!$K$4:$L$51,2,FALSE),"")</f>
        <v/>
      </c>
      <c r="P1071" s="81"/>
      <c r="Q1071" s="152">
        <f t="shared" si="96"/>
        <v>0</v>
      </c>
    </row>
    <row r="1072" spans="2:17">
      <c r="B1072" s="670">
        <f t="shared" si="99"/>
        <v>1067</v>
      </c>
      <c r="C1072" s="601">
        <v>42880</v>
      </c>
      <c r="D1072" s="377" t="s">
        <v>2698</v>
      </c>
      <c r="E1072" s="573">
        <v>150101</v>
      </c>
      <c r="F1072" s="672" t="str">
        <f>IFERROR(VLOOKUP(E1072,STAT1!$C$4:$D$1000,2,FALSE),"")</f>
        <v>Бараа бэлэн бүтээгдэхүүн БОЛОВСРУУЛАХ ЦЕХ /нарс/</v>
      </c>
      <c r="G1072" s="597"/>
      <c r="H1072" s="377">
        <v>1263338.5408600348</v>
      </c>
      <c r="I1072" s="596">
        <f t="shared" si="94"/>
        <v>0</v>
      </c>
      <c r="J1072" s="81"/>
      <c r="K1072" s="81"/>
      <c r="L1072" s="597">
        <v>3044</v>
      </c>
      <c r="M1072" s="81" t="str">
        <f>+IFERROR(VLOOKUP(L1072,DATA!$G$4:$H$2000,2,FALSE),"")</f>
        <v>ЛАНС КОНСТРАКШН ХХК</v>
      </c>
      <c r="N1072" s="166"/>
      <c r="O1072" s="81" t="str">
        <f>IFERROR(VLOOKUP(N1072,DATA!$K$4:$L$51,2,FALSE),"")</f>
        <v/>
      </c>
      <c r="P1072" s="81"/>
      <c r="Q1072" s="152">
        <f t="shared" si="96"/>
        <v>0</v>
      </c>
    </row>
    <row r="1073" spans="2:17">
      <c r="B1073" s="670">
        <f t="shared" si="99"/>
        <v>1068</v>
      </c>
      <c r="C1073" s="601">
        <v>42880</v>
      </c>
      <c r="D1073" s="377" t="s">
        <v>587</v>
      </c>
      <c r="E1073" s="572">
        <v>610100</v>
      </c>
      <c r="F1073" s="672" t="str">
        <f>IFERROR(VLOOKUP(E1073,STAT1!$C$4:$D$1000,2,FALSE),"")</f>
        <v>Борлуулсан барааны өртөг</v>
      </c>
      <c r="G1073" s="377">
        <v>1263338.5408600348</v>
      </c>
      <c r="H1073" s="597"/>
      <c r="I1073" s="596">
        <f t="shared" si="94"/>
        <v>0</v>
      </c>
      <c r="J1073" s="81"/>
      <c r="K1073" s="81"/>
      <c r="L1073" s="597">
        <v>3044</v>
      </c>
      <c r="M1073" s="81" t="str">
        <f>+IFERROR(VLOOKUP(L1073,DATA!$G$4:$H$2000,2,FALSE),"")</f>
        <v>ЛАНС КОНСТРАКШН ХХК</v>
      </c>
      <c r="N1073" s="166"/>
      <c r="O1073" s="81" t="str">
        <f>IFERROR(VLOOKUP(N1073,DATA!$K$4:$L$51,2,FALSE),"")</f>
        <v/>
      </c>
      <c r="P1073" s="81"/>
      <c r="Q1073" s="152">
        <f t="shared" si="96"/>
        <v>0</v>
      </c>
    </row>
    <row r="1074" spans="2:17">
      <c r="B1074" s="670">
        <f t="shared" si="99"/>
        <v>1069</v>
      </c>
      <c r="C1074" s="601">
        <v>42880</v>
      </c>
      <c r="D1074" s="377" t="s">
        <v>587</v>
      </c>
      <c r="E1074" s="572">
        <v>310500</v>
      </c>
      <c r="F1074" s="672" t="str">
        <f>IFERROR(VLOOKUP(E1074,STAT1!$C$4:$D$1000,2,FALSE),"")</f>
        <v>НӨАТ өглөг</v>
      </c>
      <c r="G1074" s="597"/>
      <c r="H1074" s="377">
        <v>215755.90872238</v>
      </c>
      <c r="I1074" s="596">
        <f t="shared" si="94"/>
        <v>0</v>
      </c>
      <c r="J1074" s="81"/>
      <c r="K1074" s="81"/>
      <c r="L1074" s="597">
        <v>3044</v>
      </c>
      <c r="M1074" s="81" t="str">
        <f>+IFERROR(VLOOKUP(L1074,DATA!$G$4:$H$2000,2,FALSE),"")</f>
        <v>ЛАНС КОНСТРАКШН ХХК</v>
      </c>
      <c r="N1074" s="166"/>
      <c r="O1074" s="81" t="str">
        <f>IFERROR(VLOOKUP(N1074,DATA!$K$4:$L$51,2,FALSE),"")</f>
        <v/>
      </c>
      <c r="P1074" s="81"/>
      <c r="Q1074" s="152">
        <f t="shared" si="96"/>
        <v>0</v>
      </c>
    </row>
    <row r="1075" spans="2:17">
      <c r="B1075" s="670">
        <f t="shared" si="99"/>
        <v>1070</v>
      </c>
      <c r="C1075" s="601">
        <v>42880</v>
      </c>
      <c r="D1075" s="377" t="s">
        <v>587</v>
      </c>
      <c r="E1075" s="572">
        <v>510000</v>
      </c>
      <c r="F1075" s="672" t="str">
        <f>IFERROR(VLOOKUP(E1075,STAT1!$C$4:$D$1000,2,FALSE),"")</f>
        <v>Үндсэн үйл ажиллагааны борлуулалт</v>
      </c>
      <c r="G1075" s="597"/>
      <c r="H1075" s="377">
        <v>2157559.0872237999</v>
      </c>
      <c r="I1075" s="596">
        <f t="shared" si="94"/>
        <v>0</v>
      </c>
      <c r="J1075" s="81"/>
      <c r="K1075" s="81"/>
      <c r="L1075" s="597">
        <v>3044</v>
      </c>
      <c r="M1075" s="81" t="str">
        <f>+IFERROR(VLOOKUP(L1075,DATA!$G$4:$H$2000,2,FALSE),"")</f>
        <v>ЛАНС КОНСТРАКШН ХХК</v>
      </c>
      <c r="N1075" s="166"/>
      <c r="O1075" s="81" t="str">
        <f>IFERROR(VLOOKUP(N1075,DATA!$K$4:$L$51,2,FALSE),"")</f>
        <v/>
      </c>
      <c r="P1075" s="81"/>
      <c r="Q1075" s="152">
        <f t="shared" si="96"/>
        <v>0</v>
      </c>
    </row>
    <row r="1076" spans="2:17">
      <c r="B1076" s="670">
        <f t="shared" si="99"/>
        <v>1071</v>
      </c>
      <c r="C1076" s="601">
        <v>42880</v>
      </c>
      <c r="D1076" s="377" t="s">
        <v>587</v>
      </c>
      <c r="E1076" s="572">
        <v>320100</v>
      </c>
      <c r="F1076" s="672" t="str">
        <f>IFERROR(VLOOKUP(E1076,STAT1!$C$4:$D$1000,2,FALSE),"")</f>
        <v>Урьдчилж орсон орлого MNT</v>
      </c>
      <c r="G1076" s="377">
        <v>2373314.9959461801</v>
      </c>
      <c r="H1076" s="597"/>
      <c r="I1076" s="596">
        <f t="shared" si="94"/>
        <v>0</v>
      </c>
      <c r="J1076" s="81"/>
      <c r="K1076" s="81"/>
      <c r="L1076" s="597">
        <v>3044</v>
      </c>
      <c r="M1076" s="81" t="str">
        <f>+IFERROR(VLOOKUP(L1076,DATA!$G$4:$H$2000,2,FALSE),"")</f>
        <v>ЛАНС КОНСТРАКШН ХХК</v>
      </c>
      <c r="N1076" s="166"/>
      <c r="O1076" s="81" t="str">
        <f>IFERROR(VLOOKUP(N1076,DATA!$K$4:$L$51,2,FALSE),"")</f>
        <v/>
      </c>
      <c r="P1076" s="81"/>
      <c r="Q1076" s="152">
        <f t="shared" si="96"/>
        <v>0</v>
      </c>
    </row>
    <row r="1077" spans="2:17">
      <c r="B1077" s="670">
        <f t="shared" si="99"/>
        <v>1072</v>
      </c>
      <c r="C1077" s="601">
        <v>42880</v>
      </c>
      <c r="D1077" s="377" t="s">
        <v>2698</v>
      </c>
      <c r="E1077" s="573">
        <v>150101</v>
      </c>
      <c r="F1077" s="672" t="str">
        <f>IFERROR(VLOOKUP(E1077,STAT1!$C$4:$D$1000,2,FALSE),"")</f>
        <v>Бараа бэлэн бүтээгдэхүүн БОЛОВСРУУЛАХ ЦЕХ /нарс/</v>
      </c>
      <c r="G1077" s="597"/>
      <c r="H1077" s="377">
        <v>327959.25</v>
      </c>
      <c r="I1077" s="596">
        <f t="shared" si="94"/>
        <v>0</v>
      </c>
      <c r="J1077" s="81"/>
      <c r="K1077" s="81"/>
      <c r="L1077" s="597">
        <v>3061</v>
      </c>
      <c r="M1077" s="81" t="str">
        <f>+IFERROR(VLOOKUP(L1077,DATA!$G$4:$H$2000,2,FALSE),"")</f>
        <v>СТИМО ХХК</v>
      </c>
      <c r="N1077" s="166"/>
      <c r="O1077" s="81" t="str">
        <f>IFERROR(VLOOKUP(N1077,DATA!$K$4:$L$51,2,FALSE),"")</f>
        <v/>
      </c>
      <c r="P1077" s="81"/>
      <c r="Q1077" s="152">
        <f t="shared" si="96"/>
        <v>0</v>
      </c>
    </row>
    <row r="1078" spans="2:17">
      <c r="B1078" s="670">
        <f t="shared" si="99"/>
        <v>1073</v>
      </c>
      <c r="C1078" s="601">
        <v>42880</v>
      </c>
      <c r="D1078" s="377" t="s">
        <v>587</v>
      </c>
      <c r="E1078" s="572">
        <v>610100</v>
      </c>
      <c r="F1078" s="672" t="str">
        <f>IFERROR(VLOOKUP(E1078,STAT1!$C$4:$D$1000,2,FALSE),"")</f>
        <v>Борлуулсан барааны өртөг</v>
      </c>
      <c r="G1078" s="377">
        <v>327959.25</v>
      </c>
      <c r="H1078" s="597"/>
      <c r="I1078" s="596">
        <f t="shared" si="94"/>
        <v>0</v>
      </c>
      <c r="J1078" s="81"/>
      <c r="K1078" s="81"/>
      <c r="L1078" s="597">
        <v>3061</v>
      </c>
      <c r="M1078" s="81" t="str">
        <f>+IFERROR(VLOOKUP(L1078,DATA!$G$4:$H$2000,2,FALSE),"")</f>
        <v>СТИМО ХХК</v>
      </c>
      <c r="N1078" s="166"/>
      <c r="O1078" s="81" t="str">
        <f>IFERROR(VLOOKUP(N1078,DATA!$K$4:$L$51,2,FALSE),"")</f>
        <v/>
      </c>
      <c r="P1078" s="81"/>
      <c r="Q1078" s="152">
        <f t="shared" si="96"/>
        <v>0</v>
      </c>
    </row>
    <row r="1079" spans="2:17">
      <c r="B1079" s="670">
        <f t="shared" si="99"/>
        <v>1074</v>
      </c>
      <c r="C1079" s="601">
        <v>42880</v>
      </c>
      <c r="D1079" s="377" t="s">
        <v>587</v>
      </c>
      <c r="E1079" s="572">
        <v>310500</v>
      </c>
      <c r="F1079" s="672" t="str">
        <f>IFERROR(VLOOKUP(E1079,STAT1!$C$4:$D$1000,2,FALSE),"")</f>
        <v>НӨАТ өглөг</v>
      </c>
      <c r="G1079" s="597"/>
      <c r="H1079" s="377">
        <v>75000</v>
      </c>
      <c r="I1079" s="596">
        <f t="shared" si="94"/>
        <v>0</v>
      </c>
      <c r="J1079" s="81"/>
      <c r="K1079" s="81"/>
      <c r="L1079" s="597">
        <v>3061</v>
      </c>
      <c r="M1079" s="81" t="str">
        <f>+IFERROR(VLOOKUP(L1079,DATA!$G$4:$H$2000,2,FALSE),"")</f>
        <v>СТИМО ХХК</v>
      </c>
      <c r="N1079" s="166"/>
      <c r="O1079" s="81" t="str">
        <f>IFERROR(VLOOKUP(N1079,DATA!$K$4:$L$51,2,FALSE),"")</f>
        <v/>
      </c>
      <c r="P1079" s="81"/>
      <c r="Q1079" s="152">
        <f t="shared" si="96"/>
        <v>0</v>
      </c>
    </row>
    <row r="1080" spans="2:17">
      <c r="B1080" s="670">
        <f t="shared" si="99"/>
        <v>1075</v>
      </c>
      <c r="C1080" s="601">
        <v>42880</v>
      </c>
      <c r="D1080" s="377" t="s">
        <v>587</v>
      </c>
      <c r="E1080" s="572">
        <v>510000</v>
      </c>
      <c r="F1080" s="672" t="str">
        <f>IFERROR(VLOOKUP(E1080,STAT1!$C$4:$D$1000,2,FALSE),"")</f>
        <v>Үндсэн үйл ажиллагааны борлуулалт</v>
      </c>
      <c r="G1080" s="597"/>
      <c r="H1080" s="377">
        <v>750000</v>
      </c>
      <c r="I1080" s="596">
        <f t="shared" si="94"/>
        <v>0</v>
      </c>
      <c r="J1080" s="81"/>
      <c r="K1080" s="81"/>
      <c r="L1080" s="597">
        <v>3061</v>
      </c>
      <c r="M1080" s="81" t="str">
        <f>+IFERROR(VLOOKUP(L1080,DATA!$G$4:$H$2000,2,FALSE),"")</f>
        <v>СТИМО ХХК</v>
      </c>
      <c r="N1080" s="166"/>
      <c r="O1080" s="81" t="str">
        <f>IFERROR(VLOOKUP(N1080,DATA!$K$4:$L$51,2,FALSE),"")</f>
        <v/>
      </c>
      <c r="P1080" s="81"/>
      <c r="Q1080" s="152">
        <f t="shared" si="96"/>
        <v>0</v>
      </c>
    </row>
    <row r="1081" spans="2:17">
      <c r="B1081" s="670">
        <f t="shared" si="99"/>
        <v>1076</v>
      </c>
      <c r="C1081" s="601">
        <v>42880</v>
      </c>
      <c r="D1081" s="377" t="s">
        <v>587</v>
      </c>
      <c r="E1081" s="572">
        <v>320100</v>
      </c>
      <c r="F1081" s="672" t="str">
        <f>IFERROR(VLOOKUP(E1081,STAT1!$C$4:$D$1000,2,FALSE),"")</f>
        <v>Урьдчилж орсон орлого MNT</v>
      </c>
      <c r="G1081" s="377">
        <v>825000</v>
      </c>
      <c r="H1081" s="597"/>
      <c r="I1081" s="596">
        <f t="shared" si="94"/>
        <v>0</v>
      </c>
      <c r="J1081" s="81"/>
      <c r="K1081" s="81"/>
      <c r="L1081" s="597">
        <v>3061</v>
      </c>
      <c r="M1081" s="81" t="str">
        <f>+IFERROR(VLOOKUP(L1081,DATA!$G$4:$H$2000,2,FALSE),"")</f>
        <v>СТИМО ХХК</v>
      </c>
      <c r="N1081" s="166"/>
      <c r="O1081" s="81" t="str">
        <f>IFERROR(VLOOKUP(N1081,DATA!$K$4:$L$51,2,FALSE),"")</f>
        <v/>
      </c>
      <c r="P1081" s="81"/>
      <c r="Q1081" s="152">
        <f t="shared" si="96"/>
        <v>0</v>
      </c>
    </row>
    <row r="1082" spans="2:17">
      <c r="B1082" s="670">
        <f t="shared" ref="B1082" si="105">+IF(C1082="","",ROW()-5)</f>
        <v>1077</v>
      </c>
      <c r="C1082" s="601">
        <v>42880</v>
      </c>
      <c r="D1082" s="377" t="s">
        <v>2698</v>
      </c>
      <c r="E1082" s="573">
        <v>150101</v>
      </c>
      <c r="F1082" s="672" t="str">
        <f>IFERROR(VLOOKUP(E1082,STAT1!$C$4:$D$8000,2,FALSE),"")</f>
        <v>Бараа бэлэн бүтээгдэхүүн БОЛОВСРУУЛАХ ЦЕХ /нарс/</v>
      </c>
      <c r="G1082" s="597"/>
      <c r="H1082" s="377">
        <v>54492.409946991313</v>
      </c>
      <c r="I1082" s="596">
        <f t="shared" si="94"/>
        <v>0</v>
      </c>
      <c r="J1082" s="81"/>
      <c r="K1082" s="81"/>
      <c r="L1082" s="597">
        <v>3063</v>
      </c>
      <c r="M1082" s="81" t="str">
        <f>+IFERROR(VLOOKUP(L1082,DATA!$G$4:$H$2000,2,FALSE),"")</f>
        <v>МЭЖИК ДООР ХХК</v>
      </c>
      <c r="N1082" s="166"/>
      <c r="O1082" s="81" t="str">
        <f>IFERROR(VLOOKUP(N1082,DATA!$K$4:$L$51,2,FALSE),"")</f>
        <v/>
      </c>
      <c r="P1082" s="81"/>
      <c r="Q1082" s="152">
        <f t="shared" si="96"/>
        <v>0</v>
      </c>
    </row>
    <row r="1083" spans="2:17">
      <c r="B1083" s="670">
        <f t="shared" si="99"/>
        <v>1078</v>
      </c>
      <c r="C1083" s="601">
        <v>42880</v>
      </c>
      <c r="D1083" s="377" t="s">
        <v>587</v>
      </c>
      <c r="E1083" s="572">
        <v>610100</v>
      </c>
      <c r="F1083" s="672" t="str">
        <f>IFERROR(VLOOKUP(E1083,STAT1!$C$4:$D$8000,2,FALSE),"")</f>
        <v>Борлуулсан барааны өртөг</v>
      </c>
      <c r="G1083" s="377">
        <v>54492.409946991313</v>
      </c>
      <c r="H1083" s="597"/>
      <c r="I1083" s="596">
        <f t="shared" si="94"/>
        <v>0</v>
      </c>
      <c r="J1083" s="81"/>
      <c r="K1083" s="81"/>
      <c r="L1083" s="597">
        <v>3063</v>
      </c>
      <c r="M1083" s="81" t="str">
        <f>+IFERROR(VLOOKUP(L1083,DATA!$G$4:$H$2000,2,FALSE),"")</f>
        <v>МЭЖИК ДООР ХХК</v>
      </c>
      <c r="N1083" s="166"/>
      <c r="O1083" s="81" t="str">
        <f>IFERROR(VLOOKUP(N1083,DATA!$K$4:$L$51,2,FALSE),"")</f>
        <v/>
      </c>
      <c r="P1083" s="81"/>
      <c r="Q1083" s="152">
        <f t="shared" si="96"/>
        <v>0</v>
      </c>
    </row>
    <row r="1084" spans="2:17">
      <c r="B1084" s="670">
        <f t="shared" si="99"/>
        <v>1079</v>
      </c>
      <c r="C1084" s="601">
        <v>42880</v>
      </c>
      <c r="D1084" s="377" t="s">
        <v>587</v>
      </c>
      <c r="E1084" s="572">
        <v>310500</v>
      </c>
      <c r="F1084" s="672" t="str">
        <f>IFERROR(VLOOKUP(E1084,STAT1!$C$4:$D$8000,2,FALSE),"")</f>
        <v>НӨАТ өглөг</v>
      </c>
      <c r="G1084" s="597"/>
      <c r="H1084" s="377">
        <v>9318.1815540000007</v>
      </c>
      <c r="I1084" s="596">
        <f t="shared" si="94"/>
        <v>0</v>
      </c>
      <c r="J1084" s="81"/>
      <c r="K1084" s="81"/>
      <c r="L1084" s="597">
        <v>3063</v>
      </c>
      <c r="M1084" s="81" t="str">
        <f>+IFERROR(VLOOKUP(L1084,DATA!$G$4:$H$2000,2,FALSE),"")</f>
        <v>МЭЖИК ДООР ХХК</v>
      </c>
      <c r="N1084" s="166"/>
      <c r="O1084" s="81" t="str">
        <f>IFERROR(VLOOKUP(N1084,DATA!$K$4:$L$51,2,FALSE),"")</f>
        <v/>
      </c>
      <c r="P1084" s="81"/>
      <c r="Q1084" s="152">
        <f t="shared" si="96"/>
        <v>0</v>
      </c>
    </row>
    <row r="1085" spans="2:17">
      <c r="B1085" s="670">
        <f t="shared" si="99"/>
        <v>1080</v>
      </c>
      <c r="C1085" s="601">
        <v>42880</v>
      </c>
      <c r="D1085" s="377" t="s">
        <v>587</v>
      </c>
      <c r="E1085" s="572">
        <v>510000</v>
      </c>
      <c r="F1085" s="672" t="str">
        <f>IFERROR(VLOOKUP(E1085,STAT1!$C$4:$D$8000,2,FALSE),"")</f>
        <v>Үндсэн үйл ажиллагааны борлуулалт</v>
      </c>
      <c r="G1085" s="597"/>
      <c r="H1085" s="377">
        <v>93181.815540000011</v>
      </c>
      <c r="I1085" s="596">
        <f t="shared" si="94"/>
        <v>0</v>
      </c>
      <c r="J1085" s="81"/>
      <c r="K1085" s="81"/>
      <c r="L1085" s="597">
        <v>3063</v>
      </c>
      <c r="M1085" s="81" t="str">
        <f>+IFERROR(VLOOKUP(L1085,DATA!$G$4:$H$2000,2,FALSE),"")</f>
        <v>МЭЖИК ДООР ХХК</v>
      </c>
      <c r="N1085" s="166"/>
      <c r="O1085" s="81" t="str">
        <f>IFERROR(VLOOKUP(N1085,DATA!$K$4:$L$51,2,FALSE),"")</f>
        <v/>
      </c>
      <c r="P1085" s="81"/>
      <c r="Q1085" s="152">
        <f t="shared" si="96"/>
        <v>0</v>
      </c>
    </row>
    <row r="1086" spans="2:17">
      <c r="B1086" s="670">
        <f t="shared" si="99"/>
        <v>1081</v>
      </c>
      <c r="C1086" s="601">
        <v>42880</v>
      </c>
      <c r="D1086" s="377" t="s">
        <v>587</v>
      </c>
      <c r="E1086" s="572">
        <v>320100</v>
      </c>
      <c r="F1086" s="672" t="str">
        <f>IFERROR(VLOOKUP(E1086,STAT1!$C$4:$D$8000,2,FALSE),"")</f>
        <v>Урьдчилж орсон орлого MNT</v>
      </c>
      <c r="G1086" s="377">
        <v>102499.99709400001</v>
      </c>
      <c r="H1086" s="597"/>
      <c r="I1086" s="596">
        <f t="shared" si="94"/>
        <v>0</v>
      </c>
      <c r="J1086" s="81"/>
      <c r="K1086" s="81"/>
      <c r="L1086" s="597">
        <v>3063</v>
      </c>
      <c r="M1086" s="81" t="str">
        <f>+IFERROR(VLOOKUP(L1086,DATA!$G$4:$H$2000,2,FALSE),"")</f>
        <v>МЭЖИК ДООР ХХК</v>
      </c>
      <c r="N1086" s="166"/>
      <c r="O1086" s="81" t="str">
        <f>IFERROR(VLOOKUP(N1086,DATA!$K$4:$L$51,2,FALSE),"")</f>
        <v/>
      </c>
      <c r="P1086" s="81"/>
      <c r="Q1086" s="152">
        <f t="shared" si="96"/>
        <v>0</v>
      </c>
    </row>
    <row r="1087" spans="2:17">
      <c r="B1087" s="670">
        <f t="shared" si="99"/>
        <v>1082</v>
      </c>
      <c r="C1087" s="433">
        <v>42881</v>
      </c>
      <c r="D1087" s="377" t="s">
        <v>1701</v>
      </c>
      <c r="E1087" s="572">
        <v>100100</v>
      </c>
      <c r="F1087" s="672" t="str">
        <f>IFERROR(VLOOKUP(E1087,STAT1!$C$4:$D$1000,2,FALSE),"")</f>
        <v>Касс мөнгө MNT</v>
      </c>
      <c r="G1087" s="377"/>
      <c r="H1087" s="377">
        <v>1500000</v>
      </c>
      <c r="I1087" s="596">
        <f t="shared" si="94"/>
        <v>-1500000</v>
      </c>
      <c r="J1087" s="81">
        <f t="shared" ref="J1087:J1099" si="106">+IF(E1087=110102,I1087/K1087,0)</f>
        <v>0</v>
      </c>
      <c r="K1087" s="81"/>
      <c r="L1087" s="597">
        <v>2012</v>
      </c>
      <c r="M1087" s="81" t="str">
        <f>+IFERROR(VLOOKUP(L1087,DATA!$G$4:$H$2000,2,FALSE),"")</f>
        <v>ИХ ТУГЧ ХХК</v>
      </c>
      <c r="N1087" s="435">
        <v>59</v>
      </c>
      <c r="O1087" s="81" t="str">
        <f>IFERROR(VLOOKUP(N1087,DATA!$K$4:$L$51,2,FALSE),"")</f>
        <v>Бусад мөнгөн зарлага</v>
      </c>
      <c r="P1087" s="81"/>
      <c r="Q1087" s="152">
        <f t="shared" si="96"/>
        <v>1</v>
      </c>
    </row>
    <row r="1088" spans="2:17">
      <c r="B1088" s="670">
        <f t="shared" si="99"/>
        <v>1083</v>
      </c>
      <c r="C1088" s="433">
        <v>42881</v>
      </c>
      <c r="D1088" s="377" t="s">
        <v>1701</v>
      </c>
      <c r="E1088" s="572">
        <v>705800</v>
      </c>
      <c r="F1088" s="672" t="str">
        <f>IFERROR(VLOOKUP(E1088,STAT1!$C$4:$D$1000,2,FALSE),"")</f>
        <v>Харуул хамгаалалт</v>
      </c>
      <c r="G1088" s="377">
        <v>1500000</v>
      </c>
      <c r="H1088" s="377">
        <v>0</v>
      </c>
      <c r="I1088" s="596">
        <f t="shared" si="94"/>
        <v>0</v>
      </c>
      <c r="J1088" s="81">
        <f t="shared" si="106"/>
        <v>0</v>
      </c>
      <c r="K1088" s="81"/>
      <c r="L1088" s="597">
        <v>2012</v>
      </c>
      <c r="M1088" s="81" t="str">
        <f>+IFERROR(VLOOKUP(L1088,DATA!$G$4:$H$2000,2,FALSE),"")</f>
        <v>ИХ ТУГЧ ХХК</v>
      </c>
      <c r="N1088" s="435"/>
      <c r="O1088" s="81" t="str">
        <f>IFERROR(VLOOKUP(N1088,DATA!$K$4:$L$51,2,FALSE),"")</f>
        <v/>
      </c>
      <c r="P1088" s="81"/>
      <c r="Q1088" s="152">
        <f t="shared" si="96"/>
        <v>0</v>
      </c>
    </row>
    <row r="1089" spans="2:17">
      <c r="B1089" s="670">
        <f t="shared" si="99"/>
        <v>1084</v>
      </c>
      <c r="C1089" s="433">
        <v>42881</v>
      </c>
      <c r="D1089" s="377" t="s">
        <v>1741</v>
      </c>
      <c r="E1089" s="572">
        <v>320100</v>
      </c>
      <c r="F1089" s="672" t="str">
        <f>IFERROR(VLOOKUP(E1089,STAT1!$C$4:$D$1000,2,FALSE),"")</f>
        <v>Урьдчилж орсон орлого MNT</v>
      </c>
      <c r="G1089" s="377"/>
      <c r="H1089" s="377">
        <v>825000</v>
      </c>
      <c r="I1089" s="596">
        <f t="shared" si="94"/>
        <v>0</v>
      </c>
      <c r="J1089" s="81">
        <f t="shared" si="106"/>
        <v>0</v>
      </c>
      <c r="K1089" s="81"/>
      <c r="L1089" s="597">
        <v>3061</v>
      </c>
      <c r="M1089" s="81" t="str">
        <f>+IFERROR(VLOOKUP(L1089,DATA!$G$4:$H$2000,2,FALSE),"")</f>
        <v>СТИМО ХХК</v>
      </c>
      <c r="N1089" s="435"/>
      <c r="O1089" s="81" t="str">
        <f>IFERROR(VLOOKUP(N1089,DATA!$K$4:$L$51,2,FALSE),"")</f>
        <v/>
      </c>
      <c r="P1089" s="81"/>
      <c r="Q1089" s="152">
        <f t="shared" si="96"/>
        <v>0</v>
      </c>
    </row>
    <row r="1090" spans="2:17">
      <c r="B1090" s="670">
        <f t="shared" si="99"/>
        <v>1085</v>
      </c>
      <c r="C1090" s="433">
        <v>42881</v>
      </c>
      <c r="D1090" s="377" t="s">
        <v>1741</v>
      </c>
      <c r="E1090" s="572">
        <v>100100</v>
      </c>
      <c r="F1090" s="672" t="str">
        <f>IFERROR(VLOOKUP(E1090,STAT1!$C$4:$D$1000,2,FALSE),"")</f>
        <v>Касс мөнгө MNT</v>
      </c>
      <c r="G1090" s="377">
        <v>825000</v>
      </c>
      <c r="H1090" s="377">
        <v>0</v>
      </c>
      <c r="I1090" s="596">
        <f t="shared" si="94"/>
        <v>825000</v>
      </c>
      <c r="J1090" s="81">
        <f t="shared" si="106"/>
        <v>0</v>
      </c>
      <c r="K1090" s="81"/>
      <c r="L1090" s="597">
        <v>3061</v>
      </c>
      <c r="M1090" s="81" t="str">
        <f>+IFERROR(VLOOKUP(L1090,DATA!$G$4:$H$2000,2,FALSE),"")</f>
        <v>СТИМО ХХК</v>
      </c>
      <c r="N1090" s="435">
        <v>41</v>
      </c>
      <c r="O1090" s="81" t="str">
        <f>IFERROR(VLOOKUP(N1090,DATA!$K$4:$L$51,2,FALSE),"")</f>
        <v>Бараа борлуулсан, үйлчилгээ үзүүлсэний орлого</v>
      </c>
      <c r="P1090" s="81"/>
      <c r="Q1090" s="152">
        <f t="shared" si="96"/>
        <v>1</v>
      </c>
    </row>
    <row r="1091" spans="2:17">
      <c r="B1091" s="670">
        <f t="shared" si="99"/>
        <v>1086</v>
      </c>
      <c r="C1091" s="433">
        <v>42882</v>
      </c>
      <c r="D1091" s="377" t="s">
        <v>1731</v>
      </c>
      <c r="E1091" s="572">
        <v>100100</v>
      </c>
      <c r="F1091" s="672" t="str">
        <f>IFERROR(VLOOKUP(E1091,STAT1!$C$4:$D$1000,2,FALSE),"")</f>
        <v>Касс мөнгө MNT</v>
      </c>
      <c r="G1091" s="377"/>
      <c r="H1091" s="377">
        <v>935478</v>
      </c>
      <c r="I1091" s="596">
        <f t="shared" si="94"/>
        <v>-935478</v>
      </c>
      <c r="J1091" s="81">
        <f t="shared" si="106"/>
        <v>0</v>
      </c>
      <c r="K1091" s="81"/>
      <c r="L1091" s="597">
        <v>1003</v>
      </c>
      <c r="M1091" s="81" t="str">
        <f>+IFERROR(VLOOKUP(L1091,DATA!$G$4:$H$2000,2,FALSE),"")</f>
        <v>Бахдамдэмбэрэл</v>
      </c>
      <c r="N1091" s="435">
        <v>59</v>
      </c>
      <c r="O1091" s="81" t="str">
        <f>IFERROR(VLOOKUP(N1091,DATA!$K$4:$L$51,2,FALSE),"")</f>
        <v>Бусад мөнгөн зарлага</v>
      </c>
      <c r="P1091" s="81"/>
      <c r="Q1091" s="152">
        <f t="shared" si="96"/>
        <v>1</v>
      </c>
    </row>
    <row r="1092" spans="2:17">
      <c r="B1092" s="670">
        <f t="shared" si="99"/>
        <v>1087</v>
      </c>
      <c r="C1092" s="433">
        <v>42882</v>
      </c>
      <c r="D1092" s="377" t="s">
        <v>1731</v>
      </c>
      <c r="E1092" s="572">
        <v>120600</v>
      </c>
      <c r="F1092" s="672" t="str">
        <f>IFERROR(VLOOKUP(E1092,STAT1!$C$4:$D$1000,2,FALSE),"")</f>
        <v>НӨАТ авлага</v>
      </c>
      <c r="G1092" s="377">
        <v>85022.18</v>
      </c>
      <c r="H1092" s="377"/>
      <c r="I1092" s="596">
        <f t="shared" si="94"/>
        <v>0</v>
      </c>
      <c r="J1092" s="81">
        <f t="shared" si="106"/>
        <v>0</v>
      </c>
      <c r="K1092" s="81"/>
      <c r="L1092" s="597">
        <v>1003</v>
      </c>
      <c r="M1092" s="81" t="str">
        <f>+IFERROR(VLOOKUP(L1092,DATA!$G$4:$H$2000,2,FALSE),"")</f>
        <v>Бахдамдэмбэрэл</v>
      </c>
      <c r="N1092" s="435"/>
      <c r="O1092" s="81" t="str">
        <f>IFERROR(VLOOKUP(N1092,DATA!$K$4:$L$51,2,FALSE),"")</f>
        <v/>
      </c>
      <c r="P1092" s="81"/>
      <c r="Q1092" s="152">
        <f t="shared" si="96"/>
        <v>0</v>
      </c>
    </row>
    <row r="1093" spans="2:17">
      <c r="B1093" s="670">
        <f t="shared" si="99"/>
        <v>1088</v>
      </c>
      <c r="C1093" s="433">
        <v>42882</v>
      </c>
      <c r="D1093" s="377" t="s">
        <v>1731</v>
      </c>
      <c r="E1093" s="572">
        <v>706000</v>
      </c>
      <c r="F1093" s="672" t="str">
        <f>IFERROR(VLOOKUP(E1093,STAT1!$C$4:$D$1000,2,FALSE),"")</f>
        <v>Бусад зардал</v>
      </c>
      <c r="G1093" s="377">
        <v>850455.82000000007</v>
      </c>
      <c r="H1093" s="377"/>
      <c r="I1093" s="596">
        <f t="shared" si="94"/>
        <v>0</v>
      </c>
      <c r="J1093" s="81">
        <f t="shared" si="106"/>
        <v>0</v>
      </c>
      <c r="K1093" s="81"/>
      <c r="L1093" s="597">
        <v>1003</v>
      </c>
      <c r="M1093" s="81" t="str">
        <f>+IFERROR(VLOOKUP(L1093,DATA!$G$4:$H$2000,2,FALSE),"")</f>
        <v>Бахдамдэмбэрэл</v>
      </c>
      <c r="N1093" s="435"/>
      <c r="O1093" s="81" t="str">
        <f>IFERROR(VLOOKUP(N1093,DATA!$K$4:$L$51,2,FALSE),"")</f>
        <v/>
      </c>
      <c r="P1093" s="81"/>
      <c r="Q1093" s="152">
        <f t="shared" si="96"/>
        <v>0</v>
      </c>
    </row>
    <row r="1094" spans="2:17">
      <c r="B1094" s="670">
        <f t="shared" si="99"/>
        <v>1089</v>
      </c>
      <c r="C1094" s="433">
        <v>42882</v>
      </c>
      <c r="D1094" s="377" t="s">
        <v>1741</v>
      </c>
      <c r="E1094" s="572">
        <v>320100</v>
      </c>
      <c r="F1094" s="672" t="str">
        <f>IFERROR(VLOOKUP(E1094,STAT1!$C$4:$D$1000,2,FALSE),"")</f>
        <v>Урьдчилж орсон орлого MNT</v>
      </c>
      <c r="G1094" s="377"/>
      <c r="H1094" s="377">
        <v>2322250</v>
      </c>
      <c r="I1094" s="596">
        <f t="shared" ref="I1094:I1157" si="107">+IF(OR(E1094=100100,E1094=100200,E1094=110100,E1094=110102,E1094=110103,E1094=110104,E1094=110105,E1094=110200,E1094=110201,E1094=110202,E1094=110203,E1094=110204,E1094=110300),G1094,0)+IF(OR(E1094=100100,E1094=100200,E1094=110100,E1094=110102,E1094=110103,E1094=110104,E1094=110105,E1094=110200,E1094=110201,E1094=110202,E1094=110203,E1094=110204,E1094=110300),H1094*-1,0)</f>
        <v>0</v>
      </c>
      <c r="J1094" s="81">
        <f t="shared" si="106"/>
        <v>0</v>
      </c>
      <c r="K1094" s="81"/>
      <c r="L1094" s="597">
        <v>3002</v>
      </c>
      <c r="M1094" s="81" t="str">
        <f>+IFERROR(VLOOKUP(L1094,DATA!$G$4:$H$2000,2,FALSE),"")</f>
        <v>ЭКО КОНСТРАКШН ХХК</v>
      </c>
      <c r="N1094" s="435"/>
      <c r="O1094" s="81" t="str">
        <f>IFERROR(VLOOKUP(N1094,DATA!$K$4:$L$51,2,FALSE),"")</f>
        <v/>
      </c>
      <c r="P1094" s="81"/>
      <c r="Q1094" s="152">
        <f t="shared" si="96"/>
        <v>0</v>
      </c>
    </row>
    <row r="1095" spans="2:17">
      <c r="B1095" s="670">
        <f t="shared" si="99"/>
        <v>1090</v>
      </c>
      <c r="C1095" s="433">
        <v>42882</v>
      </c>
      <c r="D1095" s="377" t="s">
        <v>1741</v>
      </c>
      <c r="E1095" s="572">
        <v>100100</v>
      </c>
      <c r="F1095" s="672" t="str">
        <f>IFERROR(VLOOKUP(E1095,STAT1!$C$4:$D$1000,2,FALSE),"")</f>
        <v>Касс мөнгө MNT</v>
      </c>
      <c r="G1095" s="377">
        <v>2322250</v>
      </c>
      <c r="H1095" s="377">
        <v>0</v>
      </c>
      <c r="I1095" s="596">
        <f t="shared" si="107"/>
        <v>2322250</v>
      </c>
      <c r="J1095" s="81">
        <f t="shared" si="106"/>
        <v>0</v>
      </c>
      <c r="K1095" s="81"/>
      <c r="L1095" s="597">
        <v>3002</v>
      </c>
      <c r="M1095" s="81" t="str">
        <f>+IFERROR(VLOOKUP(L1095,DATA!$G$4:$H$2000,2,FALSE),"")</f>
        <v>ЭКО КОНСТРАКШН ХХК</v>
      </c>
      <c r="N1095" s="435">
        <v>41</v>
      </c>
      <c r="O1095" s="81" t="str">
        <f>IFERROR(VLOOKUP(N1095,DATA!$K$4:$L$51,2,FALSE),"")</f>
        <v>Бараа борлуулсан, үйлчилгээ үзүүлсэний орлого</v>
      </c>
      <c r="P1095" s="81"/>
      <c r="Q1095" s="152">
        <f t="shared" ref="Q1095:Q1158" si="108">+IF(I1095,1,0)</f>
        <v>1</v>
      </c>
    </row>
    <row r="1096" spans="2:17">
      <c r="B1096" s="670">
        <f t="shared" ref="B1096" si="109">+IF(C1096="","",ROW()-5)</f>
        <v>1091</v>
      </c>
      <c r="C1096" s="433">
        <v>42884</v>
      </c>
      <c r="D1096" s="377" t="s">
        <v>1741</v>
      </c>
      <c r="E1096" s="572">
        <v>320100</v>
      </c>
      <c r="F1096" s="672" t="str">
        <f>IFERROR(VLOOKUP(E1096,STAT1!$C$4:$D$1000,2,FALSE),"")</f>
        <v>Урьдчилж орсон орлого MNT</v>
      </c>
      <c r="G1096" s="377"/>
      <c r="H1096" s="377">
        <v>990000</v>
      </c>
      <c r="I1096" s="596">
        <f t="shared" si="107"/>
        <v>0</v>
      </c>
      <c r="J1096" s="81">
        <f t="shared" si="106"/>
        <v>0</v>
      </c>
      <c r="K1096" s="81"/>
      <c r="L1096" s="597">
        <v>3062</v>
      </c>
      <c r="M1096" s="81" t="str">
        <f>+IFERROR(VLOOKUP(L1096,DATA!$G$4:$H$2000,2,FALSE),"")</f>
        <v>УНДРУУЛАН ФҮҮД ХХК</v>
      </c>
      <c r="N1096" s="435"/>
      <c r="O1096" s="81" t="str">
        <f>IFERROR(VLOOKUP(N1096,DATA!$K$4:$L$51,2,FALSE),"")</f>
        <v/>
      </c>
      <c r="P1096" s="81"/>
      <c r="Q1096" s="152">
        <f t="shared" si="108"/>
        <v>0</v>
      </c>
    </row>
    <row r="1097" spans="2:17">
      <c r="B1097" s="670">
        <f t="shared" ref="B1097" si="110">+IF(C1097="","",ROW()-5)</f>
        <v>1092</v>
      </c>
      <c r="C1097" s="433">
        <v>42884</v>
      </c>
      <c r="D1097" s="377" t="s">
        <v>1741</v>
      </c>
      <c r="E1097" s="572">
        <v>100100</v>
      </c>
      <c r="F1097" s="672" t="str">
        <f>IFERROR(VLOOKUP(E1097,STAT1!$C$4:$D$1000,2,FALSE),"")</f>
        <v>Касс мөнгө MNT</v>
      </c>
      <c r="G1097" s="377">
        <v>990000</v>
      </c>
      <c r="H1097" s="377">
        <v>0</v>
      </c>
      <c r="I1097" s="596">
        <f t="shared" si="107"/>
        <v>990000</v>
      </c>
      <c r="J1097" s="81">
        <f t="shared" si="106"/>
        <v>0</v>
      </c>
      <c r="K1097" s="81"/>
      <c r="L1097" s="597">
        <v>3062</v>
      </c>
      <c r="M1097" s="81" t="str">
        <f>+IFERROR(VLOOKUP(L1097,DATA!$G$4:$H$2000,2,FALSE),"")</f>
        <v>УНДРУУЛАН ФҮҮД ХХК</v>
      </c>
      <c r="N1097" s="435">
        <v>41</v>
      </c>
      <c r="O1097" s="81" t="str">
        <f>IFERROR(VLOOKUP(N1097,DATA!$K$4:$L$51,2,FALSE),"")</f>
        <v>Бараа борлуулсан, үйлчилгээ үзүүлсэний орлого</v>
      </c>
      <c r="P1097" s="81"/>
      <c r="Q1097" s="152">
        <f t="shared" si="108"/>
        <v>1</v>
      </c>
    </row>
    <row r="1098" spans="2:17">
      <c r="B1098" s="670">
        <f t="shared" si="99"/>
        <v>1093</v>
      </c>
      <c r="C1098" s="433">
        <v>42884</v>
      </c>
      <c r="D1098" s="598" t="s">
        <v>1741</v>
      </c>
      <c r="E1098" s="572">
        <v>110100</v>
      </c>
      <c r="F1098" s="672" t="str">
        <f>IFERROR(VLOOKUP(E1098,STAT1!$C$4:$D$1000,2,FALSE),"")</f>
        <v>Хаан Банк 5024654020</v>
      </c>
      <c r="G1098" s="377">
        <v>792000</v>
      </c>
      <c r="H1098" s="377"/>
      <c r="I1098" s="596">
        <f t="shared" si="107"/>
        <v>792000</v>
      </c>
      <c r="J1098" s="81">
        <f t="shared" si="106"/>
        <v>0</v>
      </c>
      <c r="K1098" s="81"/>
      <c r="L1098" s="597">
        <v>3041</v>
      </c>
      <c r="M1098" s="81" t="str">
        <f>+IFERROR(VLOOKUP(L1098,DATA!$G$4:$H$2000,2,FALSE),"")</f>
        <v>БҮТЭЭГЧ ХХК</v>
      </c>
      <c r="N1098" s="435">
        <v>41</v>
      </c>
      <c r="O1098" s="81" t="str">
        <f>IFERROR(VLOOKUP(N1098,DATA!$K$4:$L$51,2,FALSE),"")</f>
        <v>Бараа борлуулсан, үйлчилгээ үзүүлсэний орлого</v>
      </c>
      <c r="P1098" s="81"/>
      <c r="Q1098" s="152">
        <f t="shared" si="108"/>
        <v>1</v>
      </c>
    </row>
    <row r="1099" spans="2:17">
      <c r="B1099" s="670">
        <f t="shared" si="99"/>
        <v>1094</v>
      </c>
      <c r="C1099" s="433">
        <v>42884</v>
      </c>
      <c r="D1099" s="598" t="s">
        <v>1741</v>
      </c>
      <c r="E1099" s="572">
        <v>320100</v>
      </c>
      <c r="F1099" s="672" t="str">
        <f>IFERROR(VLOOKUP(E1099,STAT1!$C$4:$D$1000,2,FALSE),"")</f>
        <v>Урьдчилж орсон орлого MNT</v>
      </c>
      <c r="G1099" s="377">
        <v>0</v>
      </c>
      <c r="H1099" s="377">
        <v>792000</v>
      </c>
      <c r="I1099" s="596">
        <f t="shared" si="107"/>
        <v>0</v>
      </c>
      <c r="J1099" s="81">
        <f t="shared" si="106"/>
        <v>0</v>
      </c>
      <c r="K1099" s="81"/>
      <c r="L1099" s="597">
        <v>3041</v>
      </c>
      <c r="M1099" s="81" t="str">
        <f>+IFERROR(VLOOKUP(L1099,DATA!$G$4:$H$2000,2,FALSE),"")</f>
        <v>БҮТЭЭГЧ ХХК</v>
      </c>
      <c r="N1099" s="435"/>
      <c r="O1099" s="81" t="str">
        <f>IFERROR(VLOOKUP(N1099,DATA!$K$4:$L$51,2,FALSE),"")</f>
        <v/>
      </c>
      <c r="P1099" s="81"/>
      <c r="Q1099" s="152">
        <f t="shared" si="108"/>
        <v>0</v>
      </c>
    </row>
    <row r="1100" spans="2:17">
      <c r="B1100" s="670">
        <f t="shared" si="99"/>
        <v>1095</v>
      </c>
      <c r="C1100" s="601">
        <v>42884</v>
      </c>
      <c r="D1100" s="377" t="s">
        <v>2700</v>
      </c>
      <c r="E1100" s="573">
        <v>150101</v>
      </c>
      <c r="F1100" s="672" t="str">
        <f>IFERROR(VLOOKUP(E1100,STAT1!$C$4:$D$1000,2,FALSE),"")</f>
        <v>Бараа бэлэн бүтээгдэхүүн БОЛОВСРУУЛАХ ЦЕХ /нарс/</v>
      </c>
      <c r="G1100" s="597"/>
      <c r="H1100" s="377">
        <v>5394711.0099999998</v>
      </c>
      <c r="I1100" s="596">
        <f t="shared" si="107"/>
        <v>0</v>
      </c>
      <c r="J1100" s="81"/>
      <c r="K1100" s="81"/>
      <c r="L1100" s="597">
        <v>3002</v>
      </c>
      <c r="M1100" s="81" t="str">
        <f>+IFERROR(VLOOKUP(L1100,DATA!$G$4:$H$2000,2,FALSE),"")</f>
        <v>ЭКО КОНСТРАКШН ХХК</v>
      </c>
      <c r="N1100" s="166"/>
      <c r="O1100" s="81" t="str">
        <f>IFERROR(VLOOKUP(N1100,DATA!$K$4:$L$51,2,FALSE),"")</f>
        <v/>
      </c>
      <c r="P1100" s="81"/>
      <c r="Q1100" s="152">
        <f t="shared" si="108"/>
        <v>0</v>
      </c>
    </row>
    <row r="1101" spans="2:17">
      <c r="B1101" s="670">
        <f t="shared" si="99"/>
        <v>1096</v>
      </c>
      <c r="C1101" s="601">
        <v>42884</v>
      </c>
      <c r="D1101" s="377" t="s">
        <v>2700</v>
      </c>
      <c r="E1101" s="572">
        <v>610100</v>
      </c>
      <c r="F1101" s="672" t="str">
        <f>IFERROR(VLOOKUP(E1101,STAT1!$C$4:$D$1000,2,FALSE),"")</f>
        <v>Борлуулсан барааны өртөг</v>
      </c>
      <c r="G1101" s="377">
        <v>5394711.0099999998</v>
      </c>
      <c r="H1101" s="597"/>
      <c r="I1101" s="596">
        <f t="shared" si="107"/>
        <v>0</v>
      </c>
      <c r="J1101" s="81"/>
      <c r="K1101" s="81"/>
      <c r="L1101" s="597">
        <v>3002</v>
      </c>
      <c r="M1101" s="81" t="str">
        <f>+IFERROR(VLOOKUP(L1101,DATA!$G$4:$H$2000,2,FALSE),"")</f>
        <v>ЭКО КОНСТРАКШН ХХК</v>
      </c>
      <c r="N1101" s="166"/>
      <c r="O1101" s="81" t="str">
        <f>IFERROR(VLOOKUP(N1101,DATA!$K$4:$L$51,2,FALSE),"")</f>
        <v/>
      </c>
      <c r="P1101" s="81"/>
      <c r="Q1101" s="152">
        <f t="shared" si="108"/>
        <v>0</v>
      </c>
    </row>
    <row r="1102" spans="2:17">
      <c r="B1102" s="670">
        <f t="shared" ref="B1102" si="111">+IF(C1102="","",ROW()-5)</f>
        <v>1097</v>
      </c>
      <c r="C1102" s="601">
        <v>42884</v>
      </c>
      <c r="D1102" s="377" t="s">
        <v>587</v>
      </c>
      <c r="E1102" s="572">
        <v>310500</v>
      </c>
      <c r="F1102" s="672" t="str">
        <f>IFERROR(VLOOKUP(E1102,STAT1!$C$4:$D$1000,2,FALSE),"")</f>
        <v>НӨАТ өглөг</v>
      </c>
      <c r="G1102" s="597"/>
      <c r="H1102" s="377">
        <v>712617.54555000004</v>
      </c>
      <c r="I1102" s="596">
        <f t="shared" si="107"/>
        <v>0</v>
      </c>
      <c r="J1102" s="81"/>
      <c r="K1102" s="81"/>
      <c r="L1102" s="597">
        <v>3002</v>
      </c>
      <c r="M1102" s="81" t="str">
        <f>+IFERROR(VLOOKUP(L1102,DATA!$G$4:$H$2000,2,FALSE),"")</f>
        <v>ЭКО КОНСТРАКШН ХХК</v>
      </c>
      <c r="N1102" s="166"/>
      <c r="O1102" s="81" t="str">
        <f>IFERROR(VLOOKUP(N1102,DATA!$K$4:$L$51,2,FALSE),"")</f>
        <v/>
      </c>
      <c r="P1102" s="81"/>
      <c r="Q1102" s="152">
        <f t="shared" si="108"/>
        <v>0</v>
      </c>
    </row>
    <row r="1103" spans="2:17">
      <c r="B1103" s="670">
        <f t="shared" ref="B1103" si="112">+IF(C1103="","",ROW()-5)</f>
        <v>1098</v>
      </c>
      <c r="C1103" s="601">
        <v>42884</v>
      </c>
      <c r="D1103" s="377" t="s">
        <v>587</v>
      </c>
      <c r="E1103" s="572">
        <v>510000</v>
      </c>
      <c r="F1103" s="672" t="str">
        <f>IFERROR(VLOOKUP(E1103,STAT1!$C$4:$D$1000,2,FALSE),"")</f>
        <v>Үндсэн үйл ажиллагааны борлуулалт</v>
      </c>
      <c r="G1103" s="597"/>
      <c r="H1103" s="377">
        <v>7126175.4555000002</v>
      </c>
      <c r="I1103" s="596">
        <f t="shared" si="107"/>
        <v>0</v>
      </c>
      <c r="J1103" s="81"/>
      <c r="K1103" s="81"/>
      <c r="L1103" s="597">
        <v>3002</v>
      </c>
      <c r="M1103" s="81" t="str">
        <f>+IFERROR(VLOOKUP(L1103,DATA!$G$4:$H$2000,2,FALSE),"")</f>
        <v>ЭКО КОНСТРАКШН ХХК</v>
      </c>
      <c r="N1103" s="166"/>
      <c r="O1103" s="81" t="str">
        <f>IFERROR(VLOOKUP(N1103,DATA!$K$4:$L$51,2,FALSE),"")</f>
        <v/>
      </c>
      <c r="P1103" s="81"/>
      <c r="Q1103" s="152">
        <f t="shared" si="108"/>
        <v>0</v>
      </c>
    </row>
    <row r="1104" spans="2:17">
      <c r="B1104" s="670">
        <f t="shared" si="99"/>
        <v>1099</v>
      </c>
      <c r="C1104" s="601">
        <v>42884</v>
      </c>
      <c r="D1104" s="377" t="s">
        <v>587</v>
      </c>
      <c r="E1104" s="572">
        <v>320100</v>
      </c>
      <c r="F1104" s="672" t="str">
        <f>IFERROR(VLOOKUP(E1104,STAT1!$C$4:$D$1000,2,FALSE),"")</f>
        <v>Урьдчилж орсон орлого MNT</v>
      </c>
      <c r="G1104" s="377">
        <v>7838793.0010500001</v>
      </c>
      <c r="H1104" s="597"/>
      <c r="I1104" s="596">
        <f t="shared" si="107"/>
        <v>0</v>
      </c>
      <c r="J1104" s="81"/>
      <c r="K1104" s="81"/>
      <c r="L1104" s="597">
        <v>3002</v>
      </c>
      <c r="M1104" s="81" t="str">
        <f>+IFERROR(VLOOKUP(L1104,DATA!$G$4:$H$2000,2,FALSE),"")</f>
        <v>ЭКО КОНСТРАКШН ХХК</v>
      </c>
      <c r="N1104" s="166"/>
      <c r="O1104" s="81" t="str">
        <f>IFERROR(VLOOKUP(N1104,DATA!$K$4:$L$51,2,FALSE),"")</f>
        <v/>
      </c>
      <c r="P1104" s="81"/>
      <c r="Q1104" s="152">
        <f t="shared" si="108"/>
        <v>0</v>
      </c>
    </row>
    <row r="1105" spans="2:17">
      <c r="B1105" s="670">
        <f t="shared" si="99"/>
        <v>1100</v>
      </c>
      <c r="C1105" s="601">
        <v>42884</v>
      </c>
      <c r="D1105" s="377" t="s">
        <v>2682</v>
      </c>
      <c r="E1105" s="573">
        <v>150101</v>
      </c>
      <c r="F1105" s="672" t="str">
        <f>IFERROR(VLOOKUP(E1105,STAT1!$C$4:$D$1000,2,FALSE),"")</f>
        <v>Бараа бэлэн бүтээгдэхүүн БОЛОВСРУУЛАХ ЦЕХ /нарс/</v>
      </c>
      <c r="G1105" s="597"/>
      <c r="H1105" s="377">
        <v>4009772.4300394929</v>
      </c>
      <c r="I1105" s="596">
        <f t="shared" si="107"/>
        <v>0</v>
      </c>
      <c r="J1105" s="81"/>
      <c r="K1105" s="81"/>
      <c r="L1105" s="597">
        <v>3040</v>
      </c>
      <c r="M1105" s="81" t="str">
        <f>+IFERROR(VLOOKUP(L1105,DATA!$G$4:$H$2000,2,FALSE),"")</f>
        <v xml:space="preserve">АР ПИ ДИ ХХК </v>
      </c>
      <c r="N1105" s="166"/>
      <c r="O1105" s="81" t="str">
        <f>IFERROR(VLOOKUP(N1105,DATA!$K$4:$L$51,2,FALSE),"")</f>
        <v/>
      </c>
      <c r="P1105" s="81"/>
      <c r="Q1105" s="152">
        <f t="shared" si="108"/>
        <v>0</v>
      </c>
    </row>
    <row r="1106" spans="2:17">
      <c r="B1106" s="670">
        <f t="shared" si="99"/>
        <v>1101</v>
      </c>
      <c r="C1106" s="601">
        <v>42884</v>
      </c>
      <c r="D1106" s="377" t="s">
        <v>587</v>
      </c>
      <c r="E1106" s="572">
        <v>610100</v>
      </c>
      <c r="F1106" s="672" t="str">
        <f>IFERROR(VLOOKUP(E1106,STAT1!$C$4:$D$1000,2,FALSE),"")</f>
        <v>Борлуулсан барааны өртөг</v>
      </c>
      <c r="G1106" s="377">
        <v>4009772.4300394929</v>
      </c>
      <c r="H1106" s="597"/>
      <c r="I1106" s="596">
        <f t="shared" si="107"/>
        <v>0</v>
      </c>
      <c r="J1106" s="81"/>
      <c r="K1106" s="81"/>
      <c r="L1106" s="597">
        <v>3040</v>
      </c>
      <c r="M1106" s="81" t="str">
        <f>+IFERROR(VLOOKUP(L1106,DATA!$G$4:$H$2000,2,FALSE),"")</f>
        <v xml:space="preserve">АР ПИ ДИ ХХК </v>
      </c>
      <c r="N1106" s="166"/>
      <c r="O1106" s="81" t="str">
        <f>IFERROR(VLOOKUP(N1106,DATA!$K$4:$L$51,2,FALSE),"")</f>
        <v/>
      </c>
      <c r="P1106" s="81"/>
      <c r="Q1106" s="152">
        <f t="shared" si="108"/>
        <v>0</v>
      </c>
    </row>
    <row r="1107" spans="2:17">
      <c r="B1107" s="670">
        <f t="shared" si="99"/>
        <v>1102</v>
      </c>
      <c r="C1107" s="601">
        <v>42884</v>
      </c>
      <c r="D1107" s="377" t="s">
        <v>587</v>
      </c>
      <c r="E1107" s="572">
        <v>310500</v>
      </c>
      <c r="F1107" s="672" t="str">
        <f>IFERROR(VLOOKUP(E1107,STAT1!$C$4:$D$1000,2,FALSE),"")</f>
        <v>НӨАТ өглөг</v>
      </c>
      <c r="G1107" s="597"/>
      <c r="H1107" s="377">
        <v>534045.45480439998</v>
      </c>
      <c r="I1107" s="596">
        <f t="shared" si="107"/>
        <v>0</v>
      </c>
      <c r="J1107" s="81"/>
      <c r="K1107" s="81"/>
      <c r="L1107" s="597">
        <v>3040</v>
      </c>
      <c r="M1107" s="81" t="str">
        <f>+IFERROR(VLOOKUP(L1107,DATA!$G$4:$H$2000,2,FALSE),"")</f>
        <v xml:space="preserve">АР ПИ ДИ ХХК </v>
      </c>
      <c r="N1107" s="166"/>
      <c r="O1107" s="81" t="str">
        <f>IFERROR(VLOOKUP(N1107,DATA!$K$4:$L$51,2,FALSE),"")</f>
        <v/>
      </c>
      <c r="P1107" s="81"/>
      <c r="Q1107" s="152">
        <f t="shared" si="108"/>
        <v>0</v>
      </c>
    </row>
    <row r="1108" spans="2:17">
      <c r="B1108" s="670">
        <f t="shared" si="99"/>
        <v>1103</v>
      </c>
      <c r="C1108" s="601">
        <v>42884</v>
      </c>
      <c r="D1108" s="377" t="s">
        <v>587</v>
      </c>
      <c r="E1108" s="572">
        <v>510000</v>
      </c>
      <c r="F1108" s="672" t="str">
        <f>IFERROR(VLOOKUP(E1108,STAT1!$C$4:$D$1000,2,FALSE),"")</f>
        <v>Үндсэн үйл ажиллагааны борлуулалт</v>
      </c>
      <c r="G1108" s="597"/>
      <c r="H1108" s="377">
        <v>5340454.5480439998</v>
      </c>
      <c r="I1108" s="596">
        <f t="shared" si="107"/>
        <v>0</v>
      </c>
      <c r="J1108" s="81"/>
      <c r="K1108" s="81"/>
      <c r="L1108" s="597">
        <v>3040</v>
      </c>
      <c r="M1108" s="81" t="str">
        <f>+IFERROR(VLOOKUP(L1108,DATA!$G$4:$H$2000,2,FALSE),"")</f>
        <v xml:space="preserve">АР ПИ ДИ ХХК </v>
      </c>
      <c r="N1108" s="166"/>
      <c r="O1108" s="81" t="str">
        <f>IFERROR(VLOOKUP(N1108,DATA!$K$4:$L$51,2,FALSE),"")</f>
        <v/>
      </c>
      <c r="P1108" s="81"/>
      <c r="Q1108" s="152">
        <f t="shared" si="108"/>
        <v>0</v>
      </c>
    </row>
    <row r="1109" spans="2:17">
      <c r="B1109" s="670">
        <f t="shared" si="99"/>
        <v>1104</v>
      </c>
      <c r="C1109" s="601">
        <v>42884</v>
      </c>
      <c r="D1109" s="377" t="s">
        <v>587</v>
      </c>
      <c r="E1109" s="572">
        <v>320100</v>
      </c>
      <c r="F1109" s="672" t="str">
        <f>IFERROR(VLOOKUP(E1109,STAT1!$C$4:$D$8000,2,FALSE),"")</f>
        <v>Урьдчилж орсон орлого MNT</v>
      </c>
      <c r="G1109" s="377">
        <v>5874500.0028483998</v>
      </c>
      <c r="H1109" s="597"/>
      <c r="I1109" s="596">
        <f t="shared" si="107"/>
        <v>0</v>
      </c>
      <c r="J1109" s="81"/>
      <c r="K1109" s="81"/>
      <c r="L1109" s="597">
        <v>3040</v>
      </c>
      <c r="M1109" s="81" t="str">
        <f>+IFERROR(VLOOKUP(L1109,DATA!$G$4:$H$2000,2,FALSE),"")</f>
        <v xml:space="preserve">АР ПИ ДИ ХХК </v>
      </c>
      <c r="N1109" s="166"/>
      <c r="O1109" s="81" t="str">
        <f>IFERROR(VLOOKUP(N1109,DATA!$K$4:$L$51,2,FALSE),"")</f>
        <v/>
      </c>
      <c r="P1109" s="81"/>
      <c r="Q1109" s="152">
        <f t="shared" si="108"/>
        <v>0</v>
      </c>
    </row>
    <row r="1110" spans="2:17">
      <c r="B1110" s="670">
        <f t="shared" si="99"/>
        <v>1105</v>
      </c>
      <c r="C1110" s="601">
        <v>42884</v>
      </c>
      <c r="D1110" s="377" t="s">
        <v>2698</v>
      </c>
      <c r="E1110" s="573">
        <v>150101</v>
      </c>
      <c r="F1110" s="672" t="str">
        <f>IFERROR(VLOOKUP(E1110,STAT1!$C$4:$D$8000,2,FALSE),"")</f>
        <v>Бараа бэлэн бүтээгдэхүүн БОЛОВСРУУЛАХ ЦЕХ /нарс/</v>
      </c>
      <c r="G1110" s="597"/>
      <c r="H1110" s="377">
        <v>393551.10000000003</v>
      </c>
      <c r="I1110" s="596">
        <f t="shared" si="107"/>
        <v>0</v>
      </c>
      <c r="J1110" s="81"/>
      <c r="K1110" s="81"/>
      <c r="L1110" s="597">
        <v>3062</v>
      </c>
      <c r="M1110" s="81" t="str">
        <f>+IFERROR(VLOOKUP(L1110,DATA!$G$4:$H$2000,2,FALSE),"")</f>
        <v>УНДРУУЛАН ФҮҮД ХХК</v>
      </c>
      <c r="N1110" s="166"/>
      <c r="O1110" s="81" t="str">
        <f>IFERROR(VLOOKUP(N1110,DATA!$K$4:$L$51,2,FALSE),"")</f>
        <v/>
      </c>
      <c r="P1110" s="81"/>
      <c r="Q1110" s="152">
        <f t="shared" si="108"/>
        <v>0</v>
      </c>
    </row>
    <row r="1111" spans="2:17">
      <c r="B1111" s="670">
        <f t="shared" si="99"/>
        <v>1106</v>
      </c>
      <c r="C1111" s="601">
        <v>42884</v>
      </c>
      <c r="D1111" s="377" t="s">
        <v>587</v>
      </c>
      <c r="E1111" s="572">
        <v>610100</v>
      </c>
      <c r="F1111" s="672" t="str">
        <f>IFERROR(VLOOKUP(E1111,STAT1!$C$4:$D$8000,2,FALSE),"")</f>
        <v>Борлуулсан барааны өртөг</v>
      </c>
      <c r="G1111" s="377">
        <v>393551.10000000003</v>
      </c>
      <c r="H1111" s="597"/>
      <c r="I1111" s="596">
        <f t="shared" si="107"/>
        <v>0</v>
      </c>
      <c r="J1111" s="81"/>
      <c r="K1111" s="81"/>
      <c r="L1111" s="597">
        <v>3062</v>
      </c>
      <c r="M1111" s="81" t="str">
        <f>+IFERROR(VLOOKUP(L1111,DATA!$G$4:$H$2000,2,FALSE),"")</f>
        <v>УНДРУУЛАН ФҮҮД ХХК</v>
      </c>
      <c r="N1111" s="166"/>
      <c r="O1111" s="81" t="str">
        <f>IFERROR(VLOOKUP(N1111,DATA!$K$4:$L$51,2,FALSE),"")</f>
        <v/>
      </c>
      <c r="P1111" s="81"/>
      <c r="Q1111" s="152">
        <f t="shared" si="108"/>
        <v>0</v>
      </c>
    </row>
    <row r="1112" spans="2:17">
      <c r="B1112" s="670">
        <f t="shared" ref="B1112" si="113">+IF(C1112="","",ROW()-5)</f>
        <v>1107</v>
      </c>
      <c r="C1112" s="601">
        <v>42884</v>
      </c>
      <c r="D1112" s="377" t="s">
        <v>587</v>
      </c>
      <c r="E1112" s="572">
        <v>310500</v>
      </c>
      <c r="F1112" s="672" t="str">
        <f>IFERROR(VLOOKUP(E1112,STAT1!$C$4:$D$8000,2,FALSE),"")</f>
        <v>НӨАТ өглөг</v>
      </c>
      <c r="G1112" s="597"/>
      <c r="H1112" s="377">
        <v>90000</v>
      </c>
      <c r="I1112" s="596">
        <f t="shared" si="107"/>
        <v>0</v>
      </c>
      <c r="J1112" s="81"/>
      <c r="K1112" s="81"/>
      <c r="L1112" s="597">
        <v>3062</v>
      </c>
      <c r="M1112" s="81" t="str">
        <f>+IFERROR(VLOOKUP(L1112,DATA!$G$4:$H$2000,2,FALSE),"")</f>
        <v>УНДРУУЛАН ФҮҮД ХХК</v>
      </c>
      <c r="N1112" s="166"/>
      <c r="O1112" s="81" t="str">
        <f>IFERROR(VLOOKUP(N1112,DATA!$K$4:$L$51,2,FALSE),"")</f>
        <v/>
      </c>
      <c r="P1112" s="81"/>
      <c r="Q1112" s="152">
        <f t="shared" si="108"/>
        <v>0</v>
      </c>
    </row>
    <row r="1113" spans="2:17">
      <c r="B1113" s="670">
        <f t="shared" si="99"/>
        <v>1108</v>
      </c>
      <c r="C1113" s="601">
        <v>42884</v>
      </c>
      <c r="D1113" s="377" t="s">
        <v>587</v>
      </c>
      <c r="E1113" s="572">
        <v>510000</v>
      </c>
      <c r="F1113" s="672" t="str">
        <f>IFERROR(VLOOKUP(E1113,STAT1!$C$4:$D$8000,2,FALSE),"")</f>
        <v>Үндсэн үйл ажиллагааны борлуулалт</v>
      </c>
      <c r="G1113" s="597"/>
      <c r="H1113" s="377">
        <v>900000</v>
      </c>
      <c r="I1113" s="596">
        <f t="shared" si="107"/>
        <v>0</v>
      </c>
      <c r="J1113" s="81"/>
      <c r="K1113" s="81"/>
      <c r="L1113" s="597">
        <v>3062</v>
      </c>
      <c r="M1113" s="81" t="str">
        <f>+IFERROR(VLOOKUP(L1113,DATA!$G$4:$H$2000,2,FALSE),"")</f>
        <v>УНДРУУЛАН ФҮҮД ХХК</v>
      </c>
      <c r="N1113" s="166"/>
      <c r="O1113" s="81" t="str">
        <f>IFERROR(VLOOKUP(N1113,DATA!$K$4:$L$51,2,FALSE),"")</f>
        <v/>
      </c>
      <c r="P1113" s="81"/>
      <c r="Q1113" s="152">
        <f t="shared" si="108"/>
        <v>0</v>
      </c>
    </row>
    <row r="1114" spans="2:17">
      <c r="B1114" s="670">
        <f t="shared" si="99"/>
        <v>1109</v>
      </c>
      <c r="C1114" s="601">
        <v>42884</v>
      </c>
      <c r="D1114" s="377" t="s">
        <v>587</v>
      </c>
      <c r="E1114" s="572">
        <v>320100</v>
      </c>
      <c r="F1114" s="672" t="str">
        <f>IFERROR(VLOOKUP(E1114,STAT1!$C$4:$D$8000,2,FALSE),"")</f>
        <v>Урьдчилж орсон орлого MNT</v>
      </c>
      <c r="G1114" s="377">
        <v>990000</v>
      </c>
      <c r="H1114" s="597"/>
      <c r="I1114" s="596">
        <f t="shared" si="107"/>
        <v>0</v>
      </c>
      <c r="J1114" s="81"/>
      <c r="K1114" s="81"/>
      <c r="L1114" s="597">
        <v>3062</v>
      </c>
      <c r="M1114" s="81" t="str">
        <f>+IFERROR(VLOOKUP(L1114,DATA!$G$4:$H$2000,2,FALSE),"")</f>
        <v>УНДРУУЛАН ФҮҮД ХХК</v>
      </c>
      <c r="N1114" s="166"/>
      <c r="O1114" s="81" t="str">
        <f>IFERROR(VLOOKUP(N1114,DATA!$K$4:$L$51,2,FALSE),"")</f>
        <v/>
      </c>
      <c r="P1114" s="81"/>
      <c r="Q1114" s="152">
        <f t="shared" si="108"/>
        <v>0</v>
      </c>
    </row>
    <row r="1115" spans="2:17">
      <c r="B1115" s="670">
        <f t="shared" si="99"/>
        <v>1110</v>
      </c>
      <c r="C1115" s="601">
        <v>42884</v>
      </c>
      <c r="D1115" s="377" t="s">
        <v>2682</v>
      </c>
      <c r="E1115" s="573">
        <v>150101</v>
      </c>
      <c r="F1115" s="672" t="str">
        <f>IFERROR(VLOOKUP(E1115,STAT1!$C$4:$D$8000,2,FALSE),"")</f>
        <v>Бараа бэлэн бүтээгдэхүүн БОЛОВСРУУЛАХ ЦЕХ /нарс/</v>
      </c>
      <c r="G1115" s="597"/>
      <c r="H1115" s="377">
        <v>692822.9294038685</v>
      </c>
      <c r="I1115" s="596">
        <f t="shared" si="107"/>
        <v>0</v>
      </c>
      <c r="J1115" s="81"/>
      <c r="K1115" s="81"/>
      <c r="L1115" s="597">
        <v>3039</v>
      </c>
      <c r="M1115" s="81" t="str">
        <f>+IFERROR(VLOOKUP(L1115,DATA!$G$4:$H$2000,2,FALSE),"")</f>
        <v xml:space="preserve">САССИР ХХК </v>
      </c>
      <c r="N1115" s="166"/>
      <c r="O1115" s="81" t="str">
        <f>IFERROR(VLOOKUP(N1115,DATA!$K$4:$L$51,2,FALSE),"")</f>
        <v/>
      </c>
      <c r="P1115" s="81"/>
      <c r="Q1115" s="152">
        <f t="shared" si="108"/>
        <v>0</v>
      </c>
    </row>
    <row r="1116" spans="2:17">
      <c r="B1116" s="670">
        <f t="shared" si="99"/>
        <v>1111</v>
      </c>
      <c r="C1116" s="601">
        <v>42884</v>
      </c>
      <c r="D1116" s="377" t="s">
        <v>587</v>
      </c>
      <c r="E1116" s="572">
        <v>610100</v>
      </c>
      <c r="F1116" s="672" t="str">
        <f>IFERROR(VLOOKUP(E1116,STAT1!$C$4:$D$8000,2,FALSE),"")</f>
        <v>Борлуулсан барааны өртөг</v>
      </c>
      <c r="G1116" s="377">
        <v>692822.9294038685</v>
      </c>
      <c r="H1116" s="597"/>
      <c r="I1116" s="596">
        <f t="shared" si="107"/>
        <v>0</v>
      </c>
      <c r="J1116" s="81"/>
      <c r="K1116" s="81"/>
      <c r="L1116" s="597">
        <v>3039</v>
      </c>
      <c r="M1116" s="81" t="str">
        <f>+IFERROR(VLOOKUP(L1116,DATA!$G$4:$H$2000,2,FALSE),"")</f>
        <v xml:space="preserve">САССИР ХХК </v>
      </c>
      <c r="N1116" s="166"/>
      <c r="O1116" s="81" t="str">
        <f>IFERROR(VLOOKUP(N1116,DATA!$K$4:$L$51,2,FALSE),"")</f>
        <v/>
      </c>
      <c r="P1116" s="81"/>
      <c r="Q1116" s="152">
        <f t="shared" si="108"/>
        <v>0</v>
      </c>
    </row>
    <row r="1117" spans="2:17">
      <c r="B1117" s="670">
        <f t="shared" ref="B1117:B1211" si="114">+IF(C1117="","",ROW()-5)</f>
        <v>1112</v>
      </c>
      <c r="C1117" s="601">
        <v>42884</v>
      </c>
      <c r="D1117" s="377" t="s">
        <v>587</v>
      </c>
      <c r="E1117" s="572">
        <v>310500</v>
      </c>
      <c r="F1117" s="672" t="str">
        <f>IFERROR(VLOOKUP(E1117,STAT1!$C$4:$D$8000,2,FALSE),"")</f>
        <v>НӨАТ өглөг</v>
      </c>
      <c r="G1117" s="597"/>
      <c r="H1117" s="377">
        <v>92272.727075000003</v>
      </c>
      <c r="I1117" s="596">
        <f t="shared" si="107"/>
        <v>0</v>
      </c>
      <c r="J1117" s="81"/>
      <c r="K1117" s="81"/>
      <c r="L1117" s="597">
        <v>3039</v>
      </c>
      <c r="M1117" s="81" t="str">
        <f>+IFERROR(VLOOKUP(L1117,DATA!$G$4:$H$2000,2,FALSE),"")</f>
        <v xml:space="preserve">САССИР ХХК </v>
      </c>
      <c r="N1117" s="166"/>
      <c r="O1117" s="81" t="str">
        <f>IFERROR(VLOOKUP(N1117,DATA!$K$4:$L$51,2,FALSE),"")</f>
        <v/>
      </c>
      <c r="P1117" s="81"/>
      <c r="Q1117" s="152">
        <f t="shared" si="108"/>
        <v>0</v>
      </c>
    </row>
    <row r="1118" spans="2:17">
      <c r="B1118" s="670">
        <f t="shared" si="114"/>
        <v>1113</v>
      </c>
      <c r="C1118" s="601">
        <v>42884</v>
      </c>
      <c r="D1118" s="377" t="s">
        <v>587</v>
      </c>
      <c r="E1118" s="572">
        <v>510000</v>
      </c>
      <c r="F1118" s="672" t="str">
        <f>IFERROR(VLOOKUP(E1118,STAT1!$C$4:$D$8000,2,FALSE),"")</f>
        <v>Үндсэн үйл ажиллагааны борлуулалт</v>
      </c>
      <c r="G1118" s="597"/>
      <c r="H1118" s="377">
        <v>922727.27075000003</v>
      </c>
      <c r="I1118" s="596">
        <f t="shared" si="107"/>
        <v>0</v>
      </c>
      <c r="J1118" s="81"/>
      <c r="K1118" s="81"/>
      <c r="L1118" s="597">
        <v>3039</v>
      </c>
      <c r="M1118" s="81" t="str">
        <f>+IFERROR(VLOOKUP(L1118,DATA!$G$4:$H$2000,2,FALSE),"")</f>
        <v xml:space="preserve">САССИР ХХК </v>
      </c>
      <c r="N1118" s="166"/>
      <c r="O1118" s="81" t="str">
        <f>IFERROR(VLOOKUP(N1118,DATA!$K$4:$L$51,2,FALSE),"")</f>
        <v/>
      </c>
      <c r="P1118" s="81">
        <f>2242*2440</f>
        <v>5470480</v>
      </c>
      <c r="Q1118" s="152">
        <f t="shared" si="108"/>
        <v>0</v>
      </c>
    </row>
    <row r="1119" spans="2:17">
      <c r="B1119" s="670">
        <f t="shared" ref="B1119" si="115">+IF(C1119="","",ROW()-5)</f>
        <v>1114</v>
      </c>
      <c r="C1119" s="601">
        <v>42884</v>
      </c>
      <c r="D1119" s="377" t="s">
        <v>587</v>
      </c>
      <c r="E1119" s="572">
        <v>320100</v>
      </c>
      <c r="F1119" s="672" t="str">
        <f>IFERROR(VLOOKUP(E1119,STAT1!$C$4:$D$8000,2,FALSE),"")</f>
        <v>Урьдчилж орсон орлого MNT</v>
      </c>
      <c r="G1119" s="377">
        <v>1014999.997825</v>
      </c>
      <c r="H1119" s="597"/>
      <c r="I1119" s="596">
        <f t="shared" si="107"/>
        <v>0</v>
      </c>
      <c r="J1119" s="81"/>
      <c r="K1119" s="81"/>
      <c r="L1119" s="597">
        <v>3039</v>
      </c>
      <c r="M1119" s="81" t="str">
        <f>+IFERROR(VLOOKUP(L1119,DATA!$G$4:$H$2000,2,FALSE),"")</f>
        <v xml:space="preserve">САССИР ХХК </v>
      </c>
      <c r="N1119" s="166"/>
      <c r="O1119" s="81" t="str">
        <f>IFERROR(VLOOKUP(N1119,DATA!$K$4:$L$51,2,FALSE),"")</f>
        <v/>
      </c>
      <c r="P1119" s="81"/>
      <c r="Q1119" s="152">
        <f t="shared" si="108"/>
        <v>0</v>
      </c>
    </row>
    <row r="1120" spans="2:17">
      <c r="B1120" s="670">
        <f t="shared" ref="B1120" si="116">+IF(C1120="","",ROW()-5)</f>
        <v>1115</v>
      </c>
      <c r="C1120" s="433">
        <v>42885</v>
      </c>
      <c r="D1120" s="377" t="s">
        <v>1741</v>
      </c>
      <c r="E1120" s="572">
        <v>320100</v>
      </c>
      <c r="F1120" s="672" t="str">
        <f>IFERROR(VLOOKUP(E1120,STAT1!$C$4:$D$1000,2,FALSE),"")</f>
        <v>Урьдчилж орсон орлого MNT</v>
      </c>
      <c r="G1120" s="377"/>
      <c r="H1120" s="377">
        <v>96500</v>
      </c>
      <c r="I1120" s="596">
        <f t="shared" si="107"/>
        <v>0</v>
      </c>
      <c r="J1120" s="81">
        <f t="shared" ref="J1120:J1129" si="117">+IF(E1120=110102,I1120/K1120,0)</f>
        <v>0</v>
      </c>
      <c r="K1120" s="81"/>
      <c r="L1120" s="597">
        <v>3064</v>
      </c>
      <c r="M1120" s="81" t="str">
        <f>+IFERROR(VLOOKUP(L1120,DATA!$G$4:$H$2000,2,FALSE),"")</f>
        <v xml:space="preserve">МИОТ ХХ </v>
      </c>
      <c r="N1120" s="435"/>
      <c r="O1120" s="81" t="str">
        <f>IFERROR(VLOOKUP(N1120,DATA!$K$4:$L$51,2,FALSE),"")</f>
        <v/>
      </c>
      <c r="P1120" s="81"/>
      <c r="Q1120" s="152">
        <f t="shared" si="108"/>
        <v>0</v>
      </c>
    </row>
    <row r="1121" spans="2:17">
      <c r="B1121" s="670">
        <f t="shared" si="114"/>
        <v>1116</v>
      </c>
      <c r="C1121" s="433">
        <v>42885</v>
      </c>
      <c r="D1121" s="377" t="s">
        <v>1741</v>
      </c>
      <c r="E1121" s="572">
        <v>100100</v>
      </c>
      <c r="F1121" s="672" t="str">
        <f>IFERROR(VLOOKUP(E1121,STAT1!$C$4:$D$1000,2,FALSE),"")</f>
        <v>Касс мөнгө MNT</v>
      </c>
      <c r="G1121" s="377">
        <v>96500</v>
      </c>
      <c r="H1121" s="377">
        <v>0</v>
      </c>
      <c r="I1121" s="596">
        <f t="shared" si="107"/>
        <v>96500</v>
      </c>
      <c r="J1121" s="81">
        <f t="shared" si="117"/>
        <v>0</v>
      </c>
      <c r="K1121" s="81"/>
      <c r="L1121" s="597">
        <v>3064</v>
      </c>
      <c r="M1121" s="81" t="str">
        <f>+IFERROR(VLOOKUP(L1121,DATA!$G$4:$H$2000,2,FALSE),"")</f>
        <v xml:space="preserve">МИОТ ХХ </v>
      </c>
      <c r="N1121" s="435">
        <v>41</v>
      </c>
      <c r="O1121" s="81" t="str">
        <f>IFERROR(VLOOKUP(N1121,DATA!$K$4:$L$51,2,FALSE),"")</f>
        <v>Бараа борлуулсан, үйлчилгээ үзүүлсэний орлого</v>
      </c>
      <c r="P1121" s="81"/>
      <c r="Q1121" s="152">
        <f t="shared" si="108"/>
        <v>1</v>
      </c>
    </row>
    <row r="1122" spans="2:17">
      <c r="B1122" s="670">
        <f t="shared" si="114"/>
        <v>1117</v>
      </c>
      <c r="C1122" s="433">
        <v>42885</v>
      </c>
      <c r="D1122" s="377" t="s">
        <v>1741</v>
      </c>
      <c r="E1122" s="572">
        <v>320100</v>
      </c>
      <c r="F1122" s="672" t="str">
        <f>IFERROR(VLOOKUP(E1122,STAT1!$C$4:$D$1000,2,FALSE),"")</f>
        <v>Урьдчилж орсон орлого MNT</v>
      </c>
      <c r="G1122" s="377"/>
      <c r="H1122" s="377">
        <v>384615</v>
      </c>
      <c r="I1122" s="596">
        <f t="shared" si="107"/>
        <v>0</v>
      </c>
      <c r="J1122" s="81">
        <f t="shared" si="117"/>
        <v>0</v>
      </c>
      <c r="K1122" s="81"/>
      <c r="L1122" s="597">
        <v>3044</v>
      </c>
      <c r="M1122" s="81" t="str">
        <f>+IFERROR(VLOOKUP(L1122,DATA!$G$4:$H$2000,2,FALSE),"")</f>
        <v>ЛАНС КОНСТРАКШН ХХК</v>
      </c>
      <c r="N1122" s="435"/>
      <c r="O1122" s="81" t="str">
        <f>IFERROR(VLOOKUP(N1122,DATA!$K$4:$L$51,2,FALSE),"")</f>
        <v/>
      </c>
      <c r="P1122" s="81"/>
      <c r="Q1122" s="152">
        <f t="shared" si="108"/>
        <v>0</v>
      </c>
    </row>
    <row r="1123" spans="2:17">
      <c r="B1123" s="670">
        <f t="shared" ref="B1123" si="118">+IF(C1123="","",ROW()-5)</f>
        <v>1118</v>
      </c>
      <c r="C1123" s="433">
        <v>42885</v>
      </c>
      <c r="D1123" s="377" t="s">
        <v>1741</v>
      </c>
      <c r="E1123" s="572">
        <v>100100</v>
      </c>
      <c r="F1123" s="672" t="str">
        <f>IFERROR(VLOOKUP(E1123,STAT1!$C$4:$D$1000,2,FALSE),"")</f>
        <v>Касс мөнгө MNT</v>
      </c>
      <c r="G1123" s="377">
        <v>384615</v>
      </c>
      <c r="H1123" s="377">
        <v>0</v>
      </c>
      <c r="I1123" s="596">
        <f t="shared" si="107"/>
        <v>384615</v>
      </c>
      <c r="J1123" s="81">
        <f t="shared" si="117"/>
        <v>0</v>
      </c>
      <c r="K1123" s="81"/>
      <c r="L1123" s="597">
        <v>3044</v>
      </c>
      <c r="M1123" s="81" t="str">
        <f>+IFERROR(VLOOKUP(L1123,DATA!$G$4:$H$2000,2,FALSE),"")</f>
        <v>ЛАНС КОНСТРАКШН ХХК</v>
      </c>
      <c r="N1123" s="435">
        <v>41</v>
      </c>
      <c r="O1123" s="81" t="str">
        <f>IFERROR(VLOOKUP(N1123,DATA!$K$4:$L$51,2,FALSE),"")</f>
        <v>Бараа борлуулсан, үйлчилгээ үзүүлсэний орлого</v>
      </c>
      <c r="P1123" s="81"/>
      <c r="Q1123" s="152">
        <f t="shared" si="108"/>
        <v>1</v>
      </c>
    </row>
    <row r="1124" spans="2:17">
      <c r="B1124" s="670">
        <f t="shared" ref="B1124" si="119">+IF(C1124="","",ROW()-5)</f>
        <v>1119</v>
      </c>
      <c r="C1124" s="433">
        <v>42885</v>
      </c>
      <c r="D1124" s="377" t="s">
        <v>1741</v>
      </c>
      <c r="E1124" s="572">
        <v>320100</v>
      </c>
      <c r="F1124" s="672" t="str">
        <f>IFERROR(VLOOKUP(E1124,STAT1!$C$4:$D$1000,2,FALSE),"")</f>
        <v>Урьдчилж орсон орлого MNT</v>
      </c>
      <c r="G1124" s="377"/>
      <c r="H1124" s="377">
        <v>67320</v>
      </c>
      <c r="I1124" s="596">
        <f t="shared" si="107"/>
        <v>0</v>
      </c>
      <c r="J1124" s="81">
        <f t="shared" si="117"/>
        <v>0</v>
      </c>
      <c r="K1124" s="81"/>
      <c r="L1124" s="597">
        <v>3051</v>
      </c>
      <c r="M1124" s="81" t="str">
        <f>+IFERROR(VLOOKUP(L1124,DATA!$G$4:$H$2000,2,FALSE),"")</f>
        <v xml:space="preserve">НОМАДС ТУР ХХК </v>
      </c>
      <c r="N1124" s="435"/>
      <c r="O1124" s="81" t="str">
        <f>IFERROR(VLOOKUP(N1124,DATA!$K$4:$L$51,2,FALSE),"")</f>
        <v/>
      </c>
      <c r="P1124" s="81"/>
      <c r="Q1124" s="152">
        <f t="shared" si="108"/>
        <v>0</v>
      </c>
    </row>
    <row r="1125" spans="2:17">
      <c r="B1125" s="670">
        <f t="shared" si="114"/>
        <v>1120</v>
      </c>
      <c r="C1125" s="433">
        <v>42885</v>
      </c>
      <c r="D1125" s="377" t="s">
        <v>1741</v>
      </c>
      <c r="E1125" s="572">
        <v>100100</v>
      </c>
      <c r="F1125" s="672" t="str">
        <f>IFERROR(VLOOKUP(E1125,STAT1!$C$4:$D$1000,2,FALSE),"")</f>
        <v>Касс мөнгө MNT</v>
      </c>
      <c r="G1125" s="377">
        <v>67320</v>
      </c>
      <c r="H1125" s="377">
        <v>0</v>
      </c>
      <c r="I1125" s="596">
        <f t="shared" si="107"/>
        <v>67320</v>
      </c>
      <c r="J1125" s="81">
        <f t="shared" si="117"/>
        <v>0</v>
      </c>
      <c r="K1125" s="81"/>
      <c r="L1125" s="597">
        <v>3051</v>
      </c>
      <c r="M1125" s="81" t="str">
        <f>+IFERROR(VLOOKUP(L1125,DATA!$G$4:$H$2000,2,FALSE),"")</f>
        <v xml:space="preserve">НОМАДС ТУР ХХК </v>
      </c>
      <c r="N1125" s="435">
        <v>41</v>
      </c>
      <c r="O1125" s="81" t="str">
        <f>IFERROR(VLOOKUP(N1125,DATA!$K$4:$L$51,2,FALSE),"")</f>
        <v>Бараа борлуулсан, үйлчилгээ үзүүлсэний орлого</v>
      </c>
      <c r="P1125" s="81"/>
      <c r="Q1125" s="152">
        <f t="shared" si="108"/>
        <v>1</v>
      </c>
    </row>
    <row r="1126" spans="2:17">
      <c r="B1126" s="670">
        <f t="shared" si="114"/>
        <v>1121</v>
      </c>
      <c r="C1126" s="433">
        <v>42885</v>
      </c>
      <c r="D1126" s="377" t="s">
        <v>1741</v>
      </c>
      <c r="E1126" s="572">
        <v>320100</v>
      </c>
      <c r="F1126" s="672" t="str">
        <f>IFERROR(VLOOKUP(E1126,STAT1!$C$4:$D$1000,2,FALSE),"")</f>
        <v>Урьдчилж орсон орлого MNT</v>
      </c>
      <c r="G1126" s="377"/>
      <c r="H1126" s="377">
        <v>800000</v>
      </c>
      <c r="I1126" s="596">
        <f t="shared" si="107"/>
        <v>0</v>
      </c>
      <c r="J1126" s="81">
        <f t="shared" si="117"/>
        <v>0</v>
      </c>
      <c r="K1126" s="81"/>
      <c r="L1126" s="597">
        <v>3039</v>
      </c>
      <c r="M1126" s="81" t="str">
        <f>+IFERROR(VLOOKUP(L1126,DATA!$G$4:$H$2000,2,FALSE),"")</f>
        <v xml:space="preserve">САССИР ХХК </v>
      </c>
      <c r="N1126" s="435"/>
      <c r="O1126" s="81" t="str">
        <f>IFERROR(VLOOKUP(N1126,DATA!$K$4:$L$51,2,FALSE),"")</f>
        <v/>
      </c>
      <c r="P1126" s="81"/>
      <c r="Q1126" s="152">
        <f t="shared" si="108"/>
        <v>0</v>
      </c>
    </row>
    <row r="1127" spans="2:17">
      <c r="B1127" s="670">
        <f t="shared" ref="B1127" si="120">+IF(C1127="","",ROW()-5)</f>
        <v>1122</v>
      </c>
      <c r="C1127" s="433">
        <v>42885</v>
      </c>
      <c r="D1127" s="377" t="s">
        <v>1741</v>
      </c>
      <c r="E1127" s="572">
        <v>100100</v>
      </c>
      <c r="F1127" s="672" t="str">
        <f>IFERROR(VLOOKUP(E1127,STAT1!$C$4:$D$1000,2,FALSE),"")</f>
        <v>Касс мөнгө MNT</v>
      </c>
      <c r="G1127" s="377">
        <v>800000</v>
      </c>
      <c r="H1127" s="377">
        <v>0</v>
      </c>
      <c r="I1127" s="596">
        <f t="shared" si="107"/>
        <v>800000</v>
      </c>
      <c r="J1127" s="81">
        <f t="shared" si="117"/>
        <v>0</v>
      </c>
      <c r="K1127" s="81"/>
      <c r="L1127" s="597">
        <v>3039</v>
      </c>
      <c r="M1127" s="81" t="str">
        <f>+IFERROR(VLOOKUP(L1127,DATA!$G$4:$H$2000,2,FALSE),"")</f>
        <v xml:space="preserve">САССИР ХХК </v>
      </c>
      <c r="N1127" s="435">
        <v>41</v>
      </c>
      <c r="O1127" s="81" t="str">
        <f>IFERROR(VLOOKUP(N1127,DATA!$K$4:$L$51,2,FALSE),"")</f>
        <v>Бараа борлуулсан, үйлчилгээ үзүүлсэний орлого</v>
      </c>
      <c r="P1127" s="81"/>
      <c r="Q1127" s="152">
        <f t="shared" si="108"/>
        <v>1</v>
      </c>
    </row>
    <row r="1128" spans="2:17">
      <c r="B1128" s="670">
        <f t="shared" si="114"/>
        <v>1123</v>
      </c>
      <c r="C1128" s="433">
        <v>42885</v>
      </c>
      <c r="D1128" s="377" t="s">
        <v>1741</v>
      </c>
      <c r="E1128" s="572">
        <v>320100</v>
      </c>
      <c r="F1128" s="672" t="str">
        <f>IFERROR(VLOOKUP(E1128,STAT1!$C$4:$D$1000,2,FALSE),"")</f>
        <v>Урьдчилж орсон орлого MNT</v>
      </c>
      <c r="G1128" s="377"/>
      <c r="H1128" s="377">
        <v>140250</v>
      </c>
      <c r="I1128" s="596">
        <f t="shared" si="107"/>
        <v>0</v>
      </c>
      <c r="J1128" s="81">
        <f t="shared" si="117"/>
        <v>0</v>
      </c>
      <c r="K1128" s="81"/>
      <c r="L1128" s="597">
        <v>4002</v>
      </c>
      <c r="M1128" s="81" t="str">
        <f>+IFERROR(VLOOKUP(L1128,DATA!$G$4:$H$2000,2,FALSE),"")</f>
        <v xml:space="preserve">Хувь хүн </v>
      </c>
      <c r="N1128" s="435"/>
      <c r="O1128" s="81" t="str">
        <f>IFERROR(VLOOKUP(N1128,DATA!$K$4:$L$51,2,FALSE),"")</f>
        <v/>
      </c>
      <c r="P1128" s="81"/>
      <c r="Q1128" s="152">
        <f t="shared" si="108"/>
        <v>0</v>
      </c>
    </row>
    <row r="1129" spans="2:17">
      <c r="B1129" s="670">
        <f t="shared" si="114"/>
        <v>1124</v>
      </c>
      <c r="C1129" s="433">
        <v>42885</v>
      </c>
      <c r="D1129" s="377" t="s">
        <v>1741</v>
      </c>
      <c r="E1129" s="572">
        <v>100100</v>
      </c>
      <c r="F1129" s="672" t="str">
        <f>IFERROR(VLOOKUP(E1129,STAT1!$C$4:$D$1000,2,FALSE),"")</f>
        <v>Касс мөнгө MNT</v>
      </c>
      <c r="G1129" s="377">
        <v>140250</v>
      </c>
      <c r="H1129" s="377">
        <v>0</v>
      </c>
      <c r="I1129" s="596">
        <f t="shared" si="107"/>
        <v>140250</v>
      </c>
      <c r="J1129" s="81">
        <f t="shared" si="117"/>
        <v>0</v>
      </c>
      <c r="K1129" s="81"/>
      <c r="L1129" s="597">
        <v>4002</v>
      </c>
      <c r="M1129" s="81" t="str">
        <f>+IFERROR(VLOOKUP(L1129,DATA!$G$4:$H$2000,2,FALSE),"")</f>
        <v xml:space="preserve">Хувь хүн </v>
      </c>
      <c r="N1129" s="435">
        <v>41</v>
      </c>
      <c r="O1129" s="81" t="str">
        <f>IFERROR(VLOOKUP(N1129,DATA!$K$4:$L$51,2,FALSE),"")</f>
        <v>Бараа борлуулсан, үйлчилгээ үзүүлсэний орлого</v>
      </c>
      <c r="P1129" s="81"/>
      <c r="Q1129" s="152">
        <f t="shared" si="108"/>
        <v>1</v>
      </c>
    </row>
    <row r="1130" spans="2:17">
      <c r="B1130" s="670">
        <f t="shared" ref="B1130" si="121">+IF(C1130="","",ROW()-5)</f>
        <v>1125</v>
      </c>
      <c r="C1130" s="601">
        <v>42885</v>
      </c>
      <c r="D1130" s="377" t="s">
        <v>2698</v>
      </c>
      <c r="E1130" s="573">
        <v>150101</v>
      </c>
      <c r="F1130" s="672" t="str">
        <f>IFERROR(VLOOKUP(E1130,STAT1!$C$4:$D$8000,2,FALSE),"")</f>
        <v>Бараа бэлэн бүтээгдэхүүн БОЛОВСРУУЛАХ ЦЕХ /нарс/</v>
      </c>
      <c r="G1130" s="597"/>
      <c r="H1130" s="377">
        <v>51246.284995064059</v>
      </c>
      <c r="I1130" s="596">
        <f t="shared" si="107"/>
        <v>0</v>
      </c>
      <c r="J1130" s="81"/>
      <c r="K1130" s="81"/>
      <c r="L1130" s="597">
        <v>3064</v>
      </c>
      <c r="M1130" s="81" t="str">
        <f>+IFERROR(VLOOKUP(L1130,DATA!$G$4:$H$2000,2,FALSE),"")</f>
        <v xml:space="preserve">МИОТ ХХ </v>
      </c>
      <c r="N1130" s="166"/>
      <c r="O1130" s="81" t="str">
        <f>IFERROR(VLOOKUP(N1130,DATA!$K$4:$L$51,2,FALSE),"")</f>
        <v/>
      </c>
      <c r="P1130" s="81"/>
      <c r="Q1130" s="152">
        <f t="shared" si="108"/>
        <v>0</v>
      </c>
    </row>
    <row r="1131" spans="2:17">
      <c r="B1131" s="670">
        <f t="shared" si="114"/>
        <v>1126</v>
      </c>
      <c r="C1131" s="601">
        <v>42885</v>
      </c>
      <c r="D1131" s="377" t="s">
        <v>587</v>
      </c>
      <c r="E1131" s="572">
        <v>610100</v>
      </c>
      <c r="F1131" s="672" t="str">
        <f>IFERROR(VLOOKUP(E1131,STAT1!$C$4:$D$8000,2,FALSE),"")</f>
        <v>Борлуулсан барааны өртөг</v>
      </c>
      <c r="G1131" s="377">
        <v>51246.284995064059</v>
      </c>
      <c r="H1131" s="597"/>
      <c r="I1131" s="596">
        <f t="shared" si="107"/>
        <v>0</v>
      </c>
      <c r="J1131" s="81"/>
      <c r="K1131" s="81"/>
      <c r="L1131" s="597">
        <v>3064</v>
      </c>
      <c r="M1131" s="81" t="str">
        <f>+IFERROR(VLOOKUP(L1131,DATA!$G$4:$H$2000,2,FALSE),"")</f>
        <v xml:space="preserve">МИОТ ХХ </v>
      </c>
      <c r="N1131" s="166"/>
      <c r="O1131" s="81" t="str">
        <f>IFERROR(VLOOKUP(N1131,DATA!$K$4:$L$51,2,FALSE),"")</f>
        <v/>
      </c>
      <c r="P1131" s="81"/>
      <c r="Q1131" s="152">
        <f t="shared" si="108"/>
        <v>0</v>
      </c>
    </row>
    <row r="1132" spans="2:17">
      <c r="B1132" s="670">
        <f t="shared" si="114"/>
        <v>1127</v>
      </c>
      <c r="C1132" s="601">
        <v>42885</v>
      </c>
      <c r="D1132" s="377" t="s">
        <v>587</v>
      </c>
      <c r="E1132" s="572">
        <v>310500</v>
      </c>
      <c r="F1132" s="672" t="str">
        <f>IFERROR(VLOOKUP(E1132,STAT1!$C$4:$D$8000,2,FALSE),"")</f>
        <v>НӨАТ өглөг</v>
      </c>
      <c r="G1132" s="597"/>
      <c r="H1132" s="377">
        <v>8772.7270120000012</v>
      </c>
      <c r="I1132" s="596">
        <f t="shared" si="107"/>
        <v>0</v>
      </c>
      <c r="J1132" s="81"/>
      <c r="K1132" s="81"/>
      <c r="L1132" s="597">
        <v>3064</v>
      </c>
      <c r="M1132" s="81" t="str">
        <f>+IFERROR(VLOOKUP(L1132,DATA!$G$4:$H$2000,2,FALSE),"")</f>
        <v xml:space="preserve">МИОТ ХХ </v>
      </c>
      <c r="N1132" s="166"/>
      <c r="O1132" s="81" t="str">
        <f>IFERROR(VLOOKUP(N1132,DATA!$K$4:$L$51,2,FALSE),"")</f>
        <v/>
      </c>
      <c r="P1132" s="81"/>
      <c r="Q1132" s="152">
        <f t="shared" si="108"/>
        <v>0</v>
      </c>
    </row>
    <row r="1133" spans="2:17">
      <c r="B1133" s="670">
        <f t="shared" si="114"/>
        <v>1128</v>
      </c>
      <c r="C1133" s="601">
        <v>42885</v>
      </c>
      <c r="D1133" s="377" t="s">
        <v>587</v>
      </c>
      <c r="E1133" s="572">
        <v>510000</v>
      </c>
      <c r="F1133" s="672" t="str">
        <f>IFERROR(VLOOKUP(E1133,STAT1!$C$4:$D$8000,2,FALSE),"")</f>
        <v>Үндсэн үйл ажиллагааны борлуулалт</v>
      </c>
      <c r="G1133" s="597"/>
      <c r="H1133" s="377">
        <v>87727.270120000001</v>
      </c>
      <c r="I1133" s="596">
        <f t="shared" si="107"/>
        <v>0</v>
      </c>
      <c r="J1133" s="81"/>
      <c r="K1133" s="81"/>
      <c r="L1133" s="597">
        <v>3064</v>
      </c>
      <c r="M1133" s="81" t="str">
        <f>+IFERROR(VLOOKUP(L1133,DATA!$G$4:$H$2000,2,FALSE),"")</f>
        <v xml:space="preserve">МИОТ ХХ </v>
      </c>
      <c r="N1133" s="166"/>
      <c r="O1133" s="81" t="str">
        <f>IFERROR(VLOOKUP(N1133,DATA!$K$4:$L$51,2,FALSE),"")</f>
        <v/>
      </c>
      <c r="P1133" s="81"/>
      <c r="Q1133" s="152">
        <f t="shared" si="108"/>
        <v>0</v>
      </c>
    </row>
    <row r="1134" spans="2:17">
      <c r="B1134" s="670">
        <f t="shared" si="114"/>
        <v>1129</v>
      </c>
      <c r="C1134" s="601">
        <v>42885</v>
      </c>
      <c r="D1134" s="377" t="s">
        <v>587</v>
      </c>
      <c r="E1134" s="572">
        <v>320100</v>
      </c>
      <c r="F1134" s="672" t="str">
        <f>IFERROR(VLOOKUP(E1134,STAT1!$C$4:$D$8000,2,FALSE),"")</f>
        <v>Урьдчилж орсон орлого MNT</v>
      </c>
      <c r="G1134" s="377">
        <v>96499.997132000004</v>
      </c>
      <c r="H1134" s="597"/>
      <c r="I1134" s="596">
        <f t="shared" si="107"/>
        <v>0</v>
      </c>
      <c r="J1134" s="81"/>
      <c r="K1134" s="81"/>
      <c r="L1134" s="597">
        <v>3064</v>
      </c>
      <c r="M1134" s="81" t="str">
        <f>+IFERROR(VLOOKUP(L1134,DATA!$G$4:$H$2000,2,FALSE),"")</f>
        <v xml:space="preserve">МИОТ ХХ </v>
      </c>
      <c r="N1134" s="166"/>
      <c r="O1134" s="81" t="str">
        <f>IFERROR(VLOOKUP(N1134,DATA!$K$4:$L$51,2,FALSE),"")</f>
        <v/>
      </c>
      <c r="P1134" s="81"/>
      <c r="Q1134" s="152">
        <f t="shared" si="108"/>
        <v>0</v>
      </c>
    </row>
    <row r="1135" spans="2:17">
      <c r="B1135" s="670">
        <f t="shared" si="114"/>
        <v>1130</v>
      </c>
      <c r="C1135" s="433">
        <v>42886</v>
      </c>
      <c r="D1135" s="377" t="s">
        <v>1732</v>
      </c>
      <c r="E1135" s="572">
        <v>100100</v>
      </c>
      <c r="F1135" s="672" t="str">
        <f>IFERROR(VLOOKUP(E1135,STAT1!$C$4:$D$1000,2,FALSE),"")</f>
        <v>Касс мөнгө MNT</v>
      </c>
      <c r="G1135" s="377"/>
      <c r="H1135" s="377">
        <v>117210</v>
      </c>
      <c r="I1135" s="596">
        <f t="shared" si="107"/>
        <v>-117210</v>
      </c>
      <c r="J1135" s="81">
        <f t="shared" ref="J1135:J1146" si="122">+IF(E1135=110102,I1135/K1135,0)</f>
        <v>0</v>
      </c>
      <c r="K1135" s="81"/>
      <c r="L1135" s="597">
        <v>1005</v>
      </c>
      <c r="M1135" s="81" t="str">
        <f>+IFERROR(VLOOKUP(L1135,DATA!$G$4:$H$2000,2,FALSE),"")</f>
        <v>Золжаргал</v>
      </c>
      <c r="N1135" s="435">
        <v>53</v>
      </c>
      <c r="O1135" s="81" t="str">
        <f>IFERROR(VLOOKUP(N1135,DATA!$K$4:$L$51,2,FALSE),"")</f>
        <v>Бараа материал худалдан авахад төлсөн</v>
      </c>
      <c r="P1135" s="81"/>
      <c r="Q1135" s="152">
        <f t="shared" si="108"/>
        <v>1</v>
      </c>
    </row>
    <row r="1136" spans="2:17">
      <c r="B1136" s="670">
        <f t="shared" si="114"/>
        <v>1131</v>
      </c>
      <c r="C1136" s="433">
        <v>42886</v>
      </c>
      <c r="D1136" s="377" t="s">
        <v>1732</v>
      </c>
      <c r="E1136" s="572">
        <v>120600</v>
      </c>
      <c r="F1136" s="672" t="str">
        <f>IFERROR(VLOOKUP(E1136,STAT1!$C$4:$D$1000,2,FALSE),"")</f>
        <v>НӨАТ авлага</v>
      </c>
      <c r="G1136" s="377">
        <v>4000</v>
      </c>
      <c r="H1136" s="377"/>
      <c r="I1136" s="596">
        <f t="shared" si="107"/>
        <v>0</v>
      </c>
      <c r="J1136" s="81">
        <f t="shared" si="122"/>
        <v>0</v>
      </c>
      <c r="K1136" s="81"/>
      <c r="L1136" s="597">
        <v>1005</v>
      </c>
      <c r="M1136" s="81" t="str">
        <f>+IFERROR(VLOOKUP(L1136,DATA!$G$4:$H$2000,2,FALSE),"")</f>
        <v>Золжаргал</v>
      </c>
      <c r="N1136" s="435"/>
      <c r="O1136" s="81" t="str">
        <f>IFERROR(VLOOKUP(N1136,DATA!$K$4:$L$51,2,FALSE),"")</f>
        <v/>
      </c>
      <c r="P1136" s="81"/>
      <c r="Q1136" s="152">
        <f t="shared" si="108"/>
        <v>0</v>
      </c>
    </row>
    <row r="1137" spans="2:17">
      <c r="B1137" s="670">
        <f t="shared" si="114"/>
        <v>1132</v>
      </c>
      <c r="C1137" s="433">
        <v>42886</v>
      </c>
      <c r="D1137" s="377" t="s">
        <v>1732</v>
      </c>
      <c r="E1137" s="572">
        <v>701500</v>
      </c>
      <c r="F1137" s="672" t="str">
        <f>IFERROR(VLOOKUP(E1137,STAT1!$C$4:$D$1000,2,FALSE),"")</f>
        <v>Урсгал засварын зардал</v>
      </c>
      <c r="G1137" s="377">
        <v>40000</v>
      </c>
      <c r="H1137" s="377"/>
      <c r="I1137" s="596">
        <f t="shared" si="107"/>
        <v>0</v>
      </c>
      <c r="J1137" s="81">
        <f t="shared" si="122"/>
        <v>0</v>
      </c>
      <c r="K1137" s="81"/>
      <c r="L1137" s="597">
        <v>1005</v>
      </c>
      <c r="M1137" s="81" t="str">
        <f>+IFERROR(VLOOKUP(L1137,DATA!$G$4:$H$2000,2,FALSE),"")</f>
        <v>Золжаргал</v>
      </c>
      <c r="N1137" s="435"/>
      <c r="O1137" s="81" t="str">
        <f>IFERROR(VLOOKUP(N1137,DATA!$K$4:$L$51,2,FALSE),"")</f>
        <v/>
      </c>
      <c r="P1137" s="81"/>
      <c r="Q1137" s="152">
        <f t="shared" si="108"/>
        <v>0</v>
      </c>
    </row>
    <row r="1138" spans="2:17">
      <c r="B1138" s="670">
        <f t="shared" si="114"/>
        <v>1133</v>
      </c>
      <c r="C1138" s="433">
        <v>42886</v>
      </c>
      <c r="D1138" s="377" t="s">
        <v>1732</v>
      </c>
      <c r="E1138" s="572">
        <v>121200</v>
      </c>
      <c r="F1138" s="672" t="str">
        <f>IFERROR(VLOOKUP(E1138,STAT1!$C$4:$D$1000,2,FALSE),"")</f>
        <v xml:space="preserve">Ажилчидын дараа тайлангийн тооцоо </v>
      </c>
      <c r="G1138" s="377">
        <v>73210</v>
      </c>
      <c r="H1138" s="377">
        <v>0</v>
      </c>
      <c r="I1138" s="596">
        <f t="shared" si="107"/>
        <v>0</v>
      </c>
      <c r="J1138" s="81">
        <f t="shared" si="122"/>
        <v>0</v>
      </c>
      <c r="K1138" s="81"/>
      <c r="L1138" s="597">
        <v>1005</v>
      </c>
      <c r="M1138" s="81" t="str">
        <f>+IFERROR(VLOOKUP(L1138,DATA!$G$4:$H$2000,2,FALSE),"")</f>
        <v>Золжаргал</v>
      </c>
      <c r="N1138" s="435"/>
      <c r="O1138" s="81" t="str">
        <f>IFERROR(VLOOKUP(N1138,DATA!$K$4:$L$51,2,FALSE),"")</f>
        <v/>
      </c>
      <c r="P1138" s="81"/>
      <c r="Q1138" s="152">
        <f t="shared" si="108"/>
        <v>0</v>
      </c>
    </row>
    <row r="1139" spans="2:17">
      <c r="B1139" s="670">
        <f t="shared" si="114"/>
        <v>1134</v>
      </c>
      <c r="C1139" s="433">
        <v>42886</v>
      </c>
      <c r="D1139" s="377" t="s">
        <v>1733</v>
      </c>
      <c r="E1139" s="572">
        <v>100100</v>
      </c>
      <c r="F1139" s="672" t="str">
        <f>IFERROR(VLOOKUP(E1139,STAT1!$C$4:$D$1000,2,FALSE),"")</f>
        <v>Касс мөнгө MNT</v>
      </c>
      <c r="G1139" s="377"/>
      <c r="H1139" s="377">
        <v>8500055.6666666679</v>
      </c>
      <c r="I1139" s="596">
        <f t="shared" si="107"/>
        <v>-8500055.6666666679</v>
      </c>
      <c r="J1139" s="81">
        <f t="shared" si="122"/>
        <v>0</v>
      </c>
      <c r="K1139" s="81"/>
      <c r="L1139" s="597">
        <v>1004</v>
      </c>
      <c r="M1139" s="81" t="str">
        <f>+IFERROR(VLOOKUP(L1139,DATA!$G$4:$H$2000,2,FALSE),"")</f>
        <v xml:space="preserve">Түмэндэлгэр </v>
      </c>
      <c r="N1139" s="435">
        <v>51</v>
      </c>
      <c r="O1139" s="81" t="str">
        <f>IFERROR(VLOOKUP(N1139,DATA!$K$4:$L$51,2,FALSE),"")</f>
        <v>Ажиллагчдад төлсөн</v>
      </c>
      <c r="P1139" s="81"/>
      <c r="Q1139" s="152">
        <f t="shared" si="108"/>
        <v>1</v>
      </c>
    </row>
    <row r="1140" spans="2:17">
      <c r="B1140" s="670">
        <f t="shared" si="114"/>
        <v>1135</v>
      </c>
      <c r="C1140" s="433">
        <v>42886</v>
      </c>
      <c r="D1140" s="377" t="s">
        <v>1733</v>
      </c>
      <c r="E1140" s="572">
        <v>311000</v>
      </c>
      <c r="F1140" s="672" t="str">
        <f>IFERROR(VLOOKUP(E1140,STAT1!$C$4:$D$1000,2,FALSE),"")</f>
        <v>Цалингийн өглөг</v>
      </c>
      <c r="G1140" s="377">
        <v>8500055.6666666679</v>
      </c>
      <c r="H1140" s="377">
        <v>0</v>
      </c>
      <c r="I1140" s="596">
        <f t="shared" si="107"/>
        <v>0</v>
      </c>
      <c r="J1140" s="81">
        <f t="shared" si="122"/>
        <v>0</v>
      </c>
      <c r="K1140" s="81"/>
      <c r="L1140" s="597">
        <v>1004</v>
      </c>
      <c r="M1140" s="81" t="str">
        <f>+IFERROR(VLOOKUP(L1140,DATA!$G$4:$H$2000,2,FALSE),"")</f>
        <v xml:space="preserve">Түмэндэлгэр </v>
      </c>
      <c r="N1140" s="435"/>
      <c r="O1140" s="81" t="str">
        <f>IFERROR(VLOOKUP(N1140,DATA!$K$4:$L$51,2,FALSE),"")</f>
        <v/>
      </c>
      <c r="P1140" s="81"/>
      <c r="Q1140" s="152">
        <f t="shared" si="108"/>
        <v>0</v>
      </c>
    </row>
    <row r="1141" spans="2:17">
      <c r="B1141" s="670">
        <f t="shared" si="114"/>
        <v>1136</v>
      </c>
      <c r="C1141" s="433">
        <v>42886</v>
      </c>
      <c r="D1141" s="377" t="s">
        <v>1742</v>
      </c>
      <c r="E1141" s="572">
        <v>110100</v>
      </c>
      <c r="F1141" s="672" t="str">
        <f>IFERROR(VLOOKUP(E1141,STAT1!$C$4:$D$1000,2,FALSE),"")</f>
        <v>Хаан Банк 5024654020</v>
      </c>
      <c r="G1141" s="377"/>
      <c r="H1141" s="377">
        <v>3500000</v>
      </c>
      <c r="I1141" s="596">
        <f t="shared" si="107"/>
        <v>-3500000</v>
      </c>
      <c r="J1141" s="81">
        <f t="shared" si="122"/>
        <v>0</v>
      </c>
      <c r="K1141" s="81"/>
      <c r="L1141" s="597">
        <v>1004</v>
      </c>
      <c r="M1141" s="81" t="str">
        <f>+IFERROR(VLOOKUP(L1141,DATA!$G$4:$H$2000,2,FALSE),"")</f>
        <v xml:space="preserve">Түмэндэлгэр </v>
      </c>
      <c r="N1141" s="435"/>
      <c r="O1141" s="81" t="str">
        <f>IFERROR(VLOOKUP(N1141,DATA!$K$4:$L$51,2,FALSE),"")</f>
        <v/>
      </c>
      <c r="P1141" s="81"/>
      <c r="Q1141" s="152">
        <f t="shared" si="108"/>
        <v>1</v>
      </c>
    </row>
    <row r="1142" spans="2:17">
      <c r="B1142" s="670">
        <f t="shared" si="114"/>
        <v>1137</v>
      </c>
      <c r="C1142" s="433">
        <v>42886</v>
      </c>
      <c r="D1142" s="377" t="s">
        <v>1742</v>
      </c>
      <c r="E1142" s="572">
        <v>100100</v>
      </c>
      <c r="F1142" s="672" t="str">
        <f>IFERROR(VLOOKUP(E1142,STAT1!$C$4:$D$1000,2,FALSE),"")</f>
        <v>Касс мөнгө MNT</v>
      </c>
      <c r="G1142" s="377">
        <v>3500000</v>
      </c>
      <c r="H1142" s="377">
        <v>0</v>
      </c>
      <c r="I1142" s="596">
        <f t="shared" si="107"/>
        <v>3500000</v>
      </c>
      <c r="J1142" s="81">
        <f t="shared" si="122"/>
        <v>0</v>
      </c>
      <c r="K1142" s="81"/>
      <c r="L1142" s="597">
        <v>1004</v>
      </c>
      <c r="M1142" s="81" t="str">
        <f>+IFERROR(VLOOKUP(L1142,DATA!$G$4:$H$2000,2,FALSE),"")</f>
        <v xml:space="preserve">Түмэндэлгэр </v>
      </c>
      <c r="N1142" s="435"/>
      <c r="O1142" s="81" t="str">
        <f>IFERROR(VLOOKUP(N1142,DATA!$K$4:$L$51,2,FALSE),"")</f>
        <v/>
      </c>
      <c r="P1142" s="81"/>
      <c r="Q1142" s="152">
        <f t="shared" si="108"/>
        <v>1</v>
      </c>
    </row>
    <row r="1143" spans="2:17">
      <c r="B1143" s="670">
        <f t="shared" si="114"/>
        <v>1138</v>
      </c>
      <c r="C1143" s="433">
        <v>42886</v>
      </c>
      <c r="D1143" s="598" t="s">
        <v>1750</v>
      </c>
      <c r="E1143" s="572">
        <v>704900</v>
      </c>
      <c r="F1143" s="672" t="str">
        <f>IFERROR(VLOOKUP(E1143,STAT1!$C$4:$D$1000,2,FALSE),"")</f>
        <v>Банкны үйлчилгээ</v>
      </c>
      <c r="G1143" s="377">
        <v>2200</v>
      </c>
      <c r="H1143" s="377">
        <v>0</v>
      </c>
      <c r="I1143" s="596">
        <f t="shared" si="107"/>
        <v>0</v>
      </c>
      <c r="J1143" s="81">
        <f t="shared" si="122"/>
        <v>0</v>
      </c>
      <c r="K1143" s="81"/>
      <c r="L1143" s="597">
        <v>2009</v>
      </c>
      <c r="M1143" s="81" t="str">
        <f>+IFERROR(VLOOKUP(L1143,DATA!$G$4:$H$2000,2,FALSE),"")</f>
        <v>ХААН БАНК</v>
      </c>
      <c r="N1143" s="435"/>
      <c r="O1143" s="81" t="str">
        <f>IFERROR(VLOOKUP(N1143,DATA!$K$4:$L$51,2,FALSE),"")</f>
        <v/>
      </c>
      <c r="P1143" s="81"/>
      <c r="Q1143" s="152">
        <f t="shared" si="108"/>
        <v>0</v>
      </c>
    </row>
    <row r="1144" spans="2:17">
      <c r="B1144" s="670">
        <f t="shared" si="114"/>
        <v>1139</v>
      </c>
      <c r="C1144" s="433">
        <v>42886</v>
      </c>
      <c r="D1144" s="598" t="s">
        <v>1750</v>
      </c>
      <c r="E1144" s="572">
        <v>110100</v>
      </c>
      <c r="F1144" s="672" t="str">
        <f>IFERROR(VLOOKUP(E1144,STAT1!$C$4:$D$1000,2,FALSE),"")</f>
        <v>Хаан Банк 5024654020</v>
      </c>
      <c r="G1144" s="377"/>
      <c r="H1144" s="377">
        <v>2200</v>
      </c>
      <c r="I1144" s="596">
        <f t="shared" si="107"/>
        <v>-2200</v>
      </c>
      <c r="J1144" s="81">
        <f t="shared" si="122"/>
        <v>0</v>
      </c>
      <c r="K1144" s="81"/>
      <c r="L1144" s="597">
        <v>2009</v>
      </c>
      <c r="M1144" s="81" t="str">
        <f>+IFERROR(VLOOKUP(L1144,DATA!$G$4:$H$2000,2,FALSE),"")</f>
        <v>ХААН БАНК</v>
      </c>
      <c r="N1144" s="435">
        <v>59</v>
      </c>
      <c r="O1144" s="81" t="str">
        <f>IFERROR(VLOOKUP(N1144,DATA!$K$4:$L$51,2,FALSE),"")</f>
        <v>Бусад мөнгөн зарлага</v>
      </c>
      <c r="P1144" s="81"/>
      <c r="Q1144" s="152">
        <f t="shared" si="108"/>
        <v>1</v>
      </c>
    </row>
    <row r="1145" spans="2:17">
      <c r="B1145" s="670">
        <f t="shared" si="114"/>
        <v>1140</v>
      </c>
      <c r="C1145" s="433">
        <v>42886</v>
      </c>
      <c r="D1145" s="598" t="s">
        <v>1751</v>
      </c>
      <c r="E1145" s="572">
        <v>704900</v>
      </c>
      <c r="F1145" s="672" t="str">
        <f>IFERROR(VLOOKUP(E1145,STAT1!$C$4:$D$1000,2,FALSE),"")</f>
        <v>Банкны үйлчилгээ</v>
      </c>
      <c r="G1145" s="377">
        <v>2000</v>
      </c>
      <c r="H1145" s="377">
        <v>0</v>
      </c>
      <c r="I1145" s="596">
        <f t="shared" si="107"/>
        <v>0</v>
      </c>
      <c r="J1145" s="81">
        <f t="shared" si="122"/>
        <v>0</v>
      </c>
      <c r="K1145" s="81"/>
      <c r="L1145" s="597">
        <v>2009</v>
      </c>
      <c r="M1145" s="81" t="str">
        <f>+IFERROR(VLOOKUP(L1145,DATA!$G$4:$H$2000,2,FALSE),"")</f>
        <v>ХААН БАНК</v>
      </c>
      <c r="N1145" s="435"/>
      <c r="O1145" s="81" t="str">
        <f>IFERROR(VLOOKUP(N1145,DATA!$K$4:$L$51,2,FALSE),"")</f>
        <v/>
      </c>
      <c r="P1145" s="81"/>
      <c r="Q1145" s="152">
        <f t="shared" si="108"/>
        <v>0</v>
      </c>
    </row>
    <row r="1146" spans="2:17">
      <c r="B1146" s="670">
        <f t="shared" si="114"/>
        <v>1141</v>
      </c>
      <c r="C1146" s="433">
        <v>42886</v>
      </c>
      <c r="D1146" s="598" t="s">
        <v>1751</v>
      </c>
      <c r="E1146" s="572">
        <v>110100</v>
      </c>
      <c r="F1146" s="672" t="str">
        <f>IFERROR(VLOOKUP(E1146,STAT1!$C$4:$D$1000,2,FALSE),"")</f>
        <v>Хаан Банк 5024654020</v>
      </c>
      <c r="G1146" s="377"/>
      <c r="H1146" s="377">
        <v>2000</v>
      </c>
      <c r="I1146" s="596">
        <f t="shared" si="107"/>
        <v>-2000</v>
      </c>
      <c r="J1146" s="81">
        <f t="shared" si="122"/>
        <v>0</v>
      </c>
      <c r="K1146" s="81"/>
      <c r="L1146" s="597">
        <v>2009</v>
      </c>
      <c r="M1146" s="81" t="str">
        <f>+IFERROR(VLOOKUP(L1146,DATA!$G$4:$H$2000,2,FALSE),"")</f>
        <v>ХААН БАНК</v>
      </c>
      <c r="N1146" s="435">
        <v>59</v>
      </c>
      <c r="O1146" s="81" t="str">
        <f>IFERROR(VLOOKUP(N1146,DATA!$K$4:$L$51,2,FALSE),"")</f>
        <v>Бусад мөнгөн зарлага</v>
      </c>
      <c r="P1146" s="81"/>
      <c r="Q1146" s="152">
        <f t="shared" si="108"/>
        <v>1</v>
      </c>
    </row>
    <row r="1147" spans="2:17">
      <c r="B1147" s="670">
        <f t="shared" si="114"/>
        <v>1142</v>
      </c>
      <c r="C1147" s="601">
        <v>42886</v>
      </c>
      <c r="D1147" s="377" t="s">
        <v>2700</v>
      </c>
      <c r="E1147" s="573">
        <v>150101</v>
      </c>
      <c r="F1147" s="672" t="str">
        <f>IFERROR(VLOOKUP(E1147,STAT1!$C$4:$D$8000,2,FALSE),"")</f>
        <v>Бараа бэлэн бүтээгдэхүүн БОЛОВСРУУЛАХ ЦЕХ /нарс/</v>
      </c>
      <c r="G1147" s="597"/>
      <c r="H1147" s="377">
        <v>1183600.4009129491</v>
      </c>
      <c r="I1147" s="596">
        <f t="shared" si="107"/>
        <v>0</v>
      </c>
      <c r="J1147" s="81"/>
      <c r="K1147" s="81"/>
      <c r="L1147" s="597">
        <v>3041</v>
      </c>
      <c r="M1147" s="81" t="str">
        <f>+IFERROR(VLOOKUP(L1147,DATA!$G$4:$H$2000,2,FALSE),"")</f>
        <v>БҮТЭЭГЧ ХХК</v>
      </c>
      <c r="N1147" s="166"/>
      <c r="O1147" s="81" t="str">
        <f>IFERROR(VLOOKUP(N1147,DATA!$K$4:$L$51,2,FALSE),"")</f>
        <v/>
      </c>
      <c r="P1147" s="81"/>
      <c r="Q1147" s="152">
        <f t="shared" si="108"/>
        <v>0</v>
      </c>
    </row>
    <row r="1148" spans="2:17">
      <c r="B1148" s="670">
        <f t="shared" si="114"/>
        <v>1143</v>
      </c>
      <c r="C1148" s="601">
        <v>42886</v>
      </c>
      <c r="D1148" s="377" t="s">
        <v>587</v>
      </c>
      <c r="E1148" s="572">
        <v>610100</v>
      </c>
      <c r="F1148" s="672" t="str">
        <f>IFERROR(VLOOKUP(E1148,STAT1!$C$4:$D$8000,2,FALSE),"")</f>
        <v>Борлуулсан барааны өртөг</v>
      </c>
      <c r="G1148" s="377">
        <v>1183600.4009129491</v>
      </c>
      <c r="H1148" s="597"/>
      <c r="I1148" s="596">
        <f t="shared" si="107"/>
        <v>0</v>
      </c>
      <c r="J1148" s="81"/>
      <c r="K1148" s="81"/>
      <c r="L1148" s="597">
        <v>3041</v>
      </c>
      <c r="M1148" s="81" t="str">
        <f>+IFERROR(VLOOKUP(L1148,DATA!$G$4:$H$2000,2,FALSE),"")</f>
        <v>БҮТЭЭГЧ ХХК</v>
      </c>
      <c r="N1148" s="166"/>
      <c r="O1148" s="81" t="str">
        <f>IFERROR(VLOOKUP(N1148,DATA!$K$4:$L$51,2,FALSE),"")</f>
        <v/>
      </c>
      <c r="P1148" s="81"/>
      <c r="Q1148" s="152">
        <f t="shared" si="108"/>
        <v>0</v>
      </c>
    </row>
    <row r="1149" spans="2:17">
      <c r="B1149" s="670">
        <f t="shared" si="114"/>
        <v>1144</v>
      </c>
      <c r="C1149" s="601">
        <v>42886</v>
      </c>
      <c r="D1149" s="377" t="s">
        <v>587</v>
      </c>
      <c r="E1149" s="572">
        <v>310500</v>
      </c>
      <c r="F1149" s="672" t="str">
        <f>IFERROR(VLOOKUP(E1149,STAT1!$C$4:$D$8000,2,FALSE),"")</f>
        <v>НӨАТ өглөг</v>
      </c>
      <c r="G1149" s="597"/>
      <c r="H1149" s="377">
        <v>144000</v>
      </c>
      <c r="I1149" s="596">
        <f t="shared" si="107"/>
        <v>0</v>
      </c>
      <c r="J1149" s="81"/>
      <c r="K1149" s="81"/>
      <c r="L1149" s="597">
        <v>3041</v>
      </c>
      <c r="M1149" s="81" t="str">
        <f>+IFERROR(VLOOKUP(L1149,DATA!$G$4:$H$2000,2,FALSE),"")</f>
        <v>БҮТЭЭГЧ ХХК</v>
      </c>
      <c r="N1149" s="166"/>
      <c r="O1149" s="81" t="str">
        <f>IFERROR(VLOOKUP(N1149,DATA!$K$4:$L$51,2,FALSE),"")</f>
        <v/>
      </c>
      <c r="P1149" s="81"/>
      <c r="Q1149" s="152">
        <f t="shared" si="108"/>
        <v>0</v>
      </c>
    </row>
    <row r="1150" spans="2:17">
      <c r="B1150" s="670">
        <f t="shared" si="114"/>
        <v>1145</v>
      </c>
      <c r="C1150" s="601">
        <v>42886</v>
      </c>
      <c r="D1150" s="377" t="s">
        <v>587</v>
      </c>
      <c r="E1150" s="572">
        <v>510000</v>
      </c>
      <c r="F1150" s="672" t="str">
        <f>IFERROR(VLOOKUP(E1150,STAT1!$C$4:$D$8000,2,FALSE),"")</f>
        <v>Үндсэн үйл ажиллагааны борлуулалт</v>
      </c>
      <c r="G1150" s="597"/>
      <c r="H1150" s="377">
        <v>1440000</v>
      </c>
      <c r="I1150" s="596">
        <f t="shared" si="107"/>
        <v>0</v>
      </c>
      <c r="J1150" s="81"/>
      <c r="K1150" s="81"/>
      <c r="L1150" s="597">
        <v>3041</v>
      </c>
      <c r="M1150" s="81" t="str">
        <f>+IFERROR(VLOOKUP(L1150,DATA!$G$4:$H$2000,2,FALSE),"")</f>
        <v>БҮТЭЭГЧ ХХК</v>
      </c>
      <c r="N1150" s="166"/>
      <c r="O1150" s="81" t="str">
        <f>IFERROR(VLOOKUP(N1150,DATA!$K$4:$L$51,2,FALSE),"")</f>
        <v/>
      </c>
      <c r="P1150" s="81"/>
      <c r="Q1150" s="152">
        <f t="shared" si="108"/>
        <v>0</v>
      </c>
    </row>
    <row r="1151" spans="2:17">
      <c r="B1151" s="670">
        <f t="shared" si="114"/>
        <v>1146</v>
      </c>
      <c r="C1151" s="601">
        <v>42886</v>
      </c>
      <c r="D1151" s="377" t="s">
        <v>587</v>
      </c>
      <c r="E1151" s="572">
        <v>320100</v>
      </c>
      <c r="F1151" s="672" t="str">
        <f>IFERROR(VLOOKUP(E1151,STAT1!$C$4:$D$8000,2,FALSE),"")</f>
        <v>Урьдчилж орсон орлого MNT</v>
      </c>
      <c r="G1151" s="377">
        <v>1584000</v>
      </c>
      <c r="H1151" s="597"/>
      <c r="I1151" s="596">
        <f t="shared" si="107"/>
        <v>0</v>
      </c>
      <c r="J1151" s="81"/>
      <c r="K1151" s="81"/>
      <c r="L1151" s="597">
        <v>3041</v>
      </c>
      <c r="M1151" s="81" t="str">
        <f>+IFERROR(VLOOKUP(L1151,DATA!$G$4:$H$2000,2,FALSE),"")</f>
        <v>БҮТЭЭГЧ ХХК</v>
      </c>
      <c r="N1151" s="166"/>
      <c r="O1151" s="81" t="str">
        <f>IFERROR(VLOOKUP(N1151,DATA!$K$4:$L$51,2,FALSE),"")</f>
        <v/>
      </c>
      <c r="P1151" s="81"/>
      <c r="Q1151" s="152">
        <f t="shared" si="108"/>
        <v>0</v>
      </c>
    </row>
    <row r="1152" spans="2:17">
      <c r="B1152" s="670">
        <f t="shared" si="114"/>
        <v>1147</v>
      </c>
      <c r="C1152" s="601">
        <v>42886</v>
      </c>
      <c r="D1152" s="377" t="s">
        <v>2700</v>
      </c>
      <c r="E1152" s="573">
        <v>150101</v>
      </c>
      <c r="F1152" s="672" t="str">
        <f>IFERROR(VLOOKUP(E1152,STAT1!$C$4:$D$8000,2,FALSE),"")</f>
        <v>Бараа бэлэн бүтээгдэхүүн БОЛОВСРУУЛАХ ЦЕХ /нарс/</v>
      </c>
      <c r="G1152" s="597"/>
      <c r="H1152" s="377">
        <v>42506.051385584666</v>
      </c>
      <c r="I1152" s="596">
        <f t="shared" si="107"/>
        <v>0</v>
      </c>
      <c r="J1152" s="81"/>
      <c r="K1152" s="81"/>
      <c r="L1152" s="597">
        <v>3051</v>
      </c>
      <c r="M1152" s="81" t="str">
        <f>+IFERROR(VLOOKUP(L1152,DATA!$G$4:$H$2000,2,FALSE),"")</f>
        <v xml:space="preserve">НОМАДС ТУР ХХК </v>
      </c>
      <c r="N1152" s="166"/>
      <c r="O1152" s="81" t="str">
        <f>IFERROR(VLOOKUP(N1152,DATA!$K$4:$L$51,2,FALSE),"")</f>
        <v/>
      </c>
      <c r="P1152" s="81"/>
      <c r="Q1152" s="152">
        <f t="shared" si="108"/>
        <v>0</v>
      </c>
    </row>
    <row r="1153" spans="2:17">
      <c r="B1153" s="670">
        <f t="shared" si="114"/>
        <v>1148</v>
      </c>
      <c r="C1153" s="601">
        <v>42886</v>
      </c>
      <c r="D1153" s="377" t="s">
        <v>587</v>
      </c>
      <c r="E1153" s="572">
        <v>610100</v>
      </c>
      <c r="F1153" s="672" t="str">
        <f>IFERROR(VLOOKUP(E1153,STAT1!$C$4:$D$8000,2,FALSE),"")</f>
        <v>Борлуулсан барааны өртөг</v>
      </c>
      <c r="G1153" s="377">
        <v>42506.051385584666</v>
      </c>
      <c r="H1153" s="597"/>
      <c r="I1153" s="596">
        <f t="shared" si="107"/>
        <v>0</v>
      </c>
      <c r="J1153" s="81"/>
      <c r="K1153" s="81"/>
      <c r="L1153" s="597">
        <v>3051</v>
      </c>
      <c r="M1153" s="81" t="str">
        <f>+IFERROR(VLOOKUP(L1153,DATA!$G$4:$H$2000,2,FALSE),"")</f>
        <v xml:space="preserve">НОМАДС ТУР ХХК </v>
      </c>
      <c r="N1153" s="166"/>
      <c r="O1153" s="81" t="str">
        <f>IFERROR(VLOOKUP(N1153,DATA!$K$4:$L$51,2,FALSE),"")</f>
        <v/>
      </c>
      <c r="P1153" s="81"/>
      <c r="Q1153" s="152">
        <f t="shared" si="108"/>
        <v>0</v>
      </c>
    </row>
    <row r="1154" spans="2:17">
      <c r="B1154" s="670">
        <f t="shared" si="114"/>
        <v>1149</v>
      </c>
      <c r="C1154" s="601">
        <v>42886</v>
      </c>
      <c r="D1154" s="377" t="s">
        <v>587</v>
      </c>
      <c r="E1154" s="572">
        <v>310500</v>
      </c>
      <c r="F1154" s="672" t="str">
        <f>IFERROR(VLOOKUP(E1154,STAT1!$C$4:$D$8000,2,FALSE),"")</f>
        <v>НӨАТ өглөг</v>
      </c>
      <c r="G1154" s="597"/>
      <c r="H1154" s="377">
        <v>6120</v>
      </c>
      <c r="I1154" s="596">
        <f t="shared" si="107"/>
        <v>0</v>
      </c>
      <c r="J1154" s="81"/>
      <c r="K1154" s="81"/>
      <c r="L1154" s="597">
        <v>3051</v>
      </c>
      <c r="M1154" s="81" t="str">
        <f>+IFERROR(VLOOKUP(L1154,DATA!$G$4:$H$2000,2,FALSE),"")</f>
        <v xml:space="preserve">НОМАДС ТУР ХХК </v>
      </c>
      <c r="N1154" s="166"/>
      <c r="O1154" s="81" t="str">
        <f>IFERROR(VLOOKUP(N1154,DATA!$K$4:$L$51,2,FALSE),"")</f>
        <v/>
      </c>
      <c r="P1154" s="81"/>
      <c r="Q1154" s="152">
        <f t="shared" si="108"/>
        <v>0</v>
      </c>
    </row>
    <row r="1155" spans="2:17">
      <c r="B1155" s="670">
        <f t="shared" si="114"/>
        <v>1150</v>
      </c>
      <c r="C1155" s="601">
        <v>42886</v>
      </c>
      <c r="D1155" s="377" t="s">
        <v>587</v>
      </c>
      <c r="E1155" s="572">
        <v>510000</v>
      </c>
      <c r="F1155" s="672" t="str">
        <f>IFERROR(VLOOKUP(E1155,STAT1!$C$4:$D$8000,2,FALSE),"")</f>
        <v>Үндсэн үйл ажиллагааны борлуулалт</v>
      </c>
      <c r="G1155" s="597"/>
      <c r="H1155" s="377">
        <v>61200</v>
      </c>
      <c r="I1155" s="596">
        <f t="shared" si="107"/>
        <v>0</v>
      </c>
      <c r="J1155" s="81"/>
      <c r="K1155" s="81"/>
      <c r="L1155" s="597">
        <v>3051</v>
      </c>
      <c r="M1155" s="81" t="str">
        <f>+IFERROR(VLOOKUP(L1155,DATA!$G$4:$H$2000,2,FALSE),"")</f>
        <v xml:space="preserve">НОМАДС ТУР ХХК </v>
      </c>
      <c r="N1155" s="166"/>
      <c r="O1155" s="81" t="str">
        <f>IFERROR(VLOOKUP(N1155,DATA!$K$4:$L$51,2,FALSE),"")</f>
        <v/>
      </c>
      <c r="P1155" s="81"/>
      <c r="Q1155" s="152">
        <f t="shared" si="108"/>
        <v>0</v>
      </c>
    </row>
    <row r="1156" spans="2:17">
      <c r="B1156" s="670">
        <f t="shared" si="114"/>
        <v>1151</v>
      </c>
      <c r="C1156" s="601">
        <v>42886</v>
      </c>
      <c r="D1156" s="377" t="s">
        <v>587</v>
      </c>
      <c r="E1156" s="572">
        <v>320100</v>
      </c>
      <c r="F1156" s="672" t="str">
        <f>IFERROR(VLOOKUP(E1156,STAT1!$C$4:$D$8000,2,FALSE),"")</f>
        <v>Урьдчилж орсон орлого MNT</v>
      </c>
      <c r="G1156" s="377">
        <v>67320</v>
      </c>
      <c r="H1156" s="597"/>
      <c r="I1156" s="596">
        <f t="shared" si="107"/>
        <v>0</v>
      </c>
      <c r="J1156" s="81"/>
      <c r="K1156" s="81"/>
      <c r="L1156" s="597">
        <v>3051</v>
      </c>
      <c r="M1156" s="81" t="str">
        <f>+IFERROR(VLOOKUP(L1156,DATA!$G$4:$H$2000,2,FALSE),"")</f>
        <v xml:space="preserve">НОМАДС ТУР ХХК </v>
      </c>
      <c r="N1156" s="166"/>
      <c r="O1156" s="81" t="str">
        <f>IFERROR(VLOOKUP(N1156,DATA!$K$4:$L$51,2,FALSE),"")</f>
        <v/>
      </c>
      <c r="P1156" s="81"/>
      <c r="Q1156" s="152">
        <f t="shared" si="108"/>
        <v>0</v>
      </c>
    </row>
    <row r="1157" spans="2:17">
      <c r="B1157" s="670">
        <f t="shared" si="114"/>
        <v>1152</v>
      </c>
      <c r="C1157" s="601">
        <v>42886</v>
      </c>
      <c r="D1157" s="377" t="s">
        <v>1732</v>
      </c>
      <c r="E1157" s="572">
        <v>160100</v>
      </c>
      <c r="F1157" s="672" t="str">
        <f>IFERROR(VLOOKUP(E1157,STAT1!$C$4:$D$8000,2,FALSE),"")</f>
        <v xml:space="preserve">Барилгын материал </v>
      </c>
      <c r="G1157" s="377">
        <v>66554.545400000003</v>
      </c>
      <c r="H1157" s="597"/>
      <c r="I1157" s="596">
        <f t="shared" si="107"/>
        <v>0</v>
      </c>
      <c r="J1157" s="81"/>
      <c r="K1157" s="81"/>
      <c r="L1157" s="597">
        <v>1005</v>
      </c>
      <c r="M1157" s="81" t="str">
        <f>+IFERROR(VLOOKUP(L1157,DATA!$G$4:$H$2000,2,FALSE),"")</f>
        <v>Золжаргал</v>
      </c>
      <c r="N1157" s="166"/>
      <c r="O1157" s="81" t="str">
        <f>IFERROR(VLOOKUP(N1157,DATA!$K$4:$L$51,2,FALSE),"")</f>
        <v/>
      </c>
      <c r="P1157" s="81"/>
      <c r="Q1157" s="152">
        <f t="shared" si="108"/>
        <v>0</v>
      </c>
    </row>
    <row r="1158" spans="2:17">
      <c r="B1158" s="670">
        <f t="shared" si="114"/>
        <v>1153</v>
      </c>
      <c r="C1158" s="601">
        <v>42886</v>
      </c>
      <c r="D1158" s="377" t="s">
        <v>587</v>
      </c>
      <c r="E1158" s="572">
        <v>120600</v>
      </c>
      <c r="F1158" s="672" t="str">
        <f>IFERROR(VLOOKUP(E1158,STAT1!$C$4:$D$8000,2,FALSE),"")</f>
        <v>НӨАТ авлага</v>
      </c>
      <c r="G1158" s="377">
        <v>6655.4545400000006</v>
      </c>
      <c r="H1158" s="597"/>
      <c r="I1158" s="596">
        <f t="shared" ref="I1158:I1221" si="123">+IF(OR(E1158=100100,E1158=100200,E1158=110100,E1158=110102,E1158=110103,E1158=110104,E1158=110105,E1158=110200,E1158=110201,E1158=110202,E1158=110203,E1158=110204,E1158=110300),G1158,0)+IF(OR(E1158=100100,E1158=100200,E1158=110100,E1158=110102,E1158=110103,E1158=110104,E1158=110105,E1158=110200,E1158=110201,E1158=110202,E1158=110203,E1158=110204,E1158=110300),H1158*-1,0)</f>
        <v>0</v>
      </c>
      <c r="J1158" s="81"/>
      <c r="K1158" s="81"/>
      <c r="L1158" s="597">
        <v>1005</v>
      </c>
      <c r="M1158" s="81" t="str">
        <f>+IFERROR(VLOOKUP(L1158,DATA!$G$4:$H$2000,2,FALSE),"")</f>
        <v>Золжаргал</v>
      </c>
      <c r="N1158" s="166"/>
      <c r="O1158" s="81" t="str">
        <f>IFERROR(VLOOKUP(N1158,DATA!$K$4:$L$51,2,FALSE),"")</f>
        <v/>
      </c>
      <c r="P1158" s="81"/>
      <c r="Q1158" s="152">
        <f t="shared" si="108"/>
        <v>0</v>
      </c>
    </row>
    <row r="1159" spans="2:17">
      <c r="B1159" s="670">
        <f t="shared" si="114"/>
        <v>1154</v>
      </c>
      <c r="C1159" s="601">
        <v>42886</v>
      </c>
      <c r="D1159" s="377" t="s">
        <v>587</v>
      </c>
      <c r="E1159" s="572">
        <v>121200</v>
      </c>
      <c r="F1159" s="672" t="str">
        <f>IFERROR(VLOOKUP(E1159,STAT1!$C$4:$D$8000,2,FALSE),"")</f>
        <v xml:space="preserve">Ажилчидын дараа тайлангийн тооцоо </v>
      </c>
      <c r="G1159" s="597"/>
      <c r="H1159" s="377">
        <v>73209.999940000009</v>
      </c>
      <c r="I1159" s="596">
        <f t="shared" si="123"/>
        <v>0</v>
      </c>
      <c r="J1159" s="81"/>
      <c r="K1159" s="81"/>
      <c r="L1159" s="597">
        <v>1005</v>
      </c>
      <c r="M1159" s="81" t="str">
        <f>+IFERROR(VLOOKUP(L1159,DATA!$G$4:$H$2000,2,FALSE),"")</f>
        <v>Золжаргал</v>
      </c>
      <c r="N1159" s="166"/>
      <c r="O1159" s="81" t="str">
        <f>IFERROR(VLOOKUP(N1159,DATA!$K$4:$L$51,2,FALSE),"")</f>
        <v/>
      </c>
      <c r="P1159" s="81"/>
      <c r="Q1159" s="152">
        <f t="shared" ref="Q1159:Q1222" si="124">+IF(I1159,1,0)</f>
        <v>0</v>
      </c>
    </row>
    <row r="1160" spans="2:17">
      <c r="B1160" s="670">
        <f t="shared" si="114"/>
        <v>1155</v>
      </c>
      <c r="C1160" s="433">
        <v>42886</v>
      </c>
      <c r="D1160" s="680" t="s">
        <v>1584</v>
      </c>
      <c r="E1160" s="572">
        <v>310800</v>
      </c>
      <c r="F1160" s="672" t="str">
        <f>IFERROR(VLOOKUP(E1160,STAT1!$C$4:$D$8000,2,FALSE),"")</f>
        <v>НД-ын байгууллагад өгөх өглөг</v>
      </c>
      <c r="G1160" s="377"/>
      <c r="H1160" s="377">
        <v>1233072.8148148151</v>
      </c>
      <c r="I1160" s="596">
        <f t="shared" si="123"/>
        <v>0</v>
      </c>
      <c r="J1160" s="81"/>
      <c r="K1160" s="81"/>
      <c r="L1160" s="597">
        <v>1004</v>
      </c>
      <c r="M1160" s="81" t="str">
        <f>+IFERROR(VLOOKUP(L1160,DATA!$G$4:$H$2000,2,FALSE),"")</f>
        <v xml:space="preserve">Түмэндэлгэр </v>
      </c>
      <c r="N1160" s="166"/>
      <c r="O1160" s="81" t="str">
        <f>IFERROR(VLOOKUP(N1160,DATA!$K$4:$L$51,2,FALSE),"")</f>
        <v/>
      </c>
      <c r="P1160" s="81"/>
      <c r="Q1160" s="152">
        <f t="shared" si="124"/>
        <v>0</v>
      </c>
    </row>
    <row r="1161" spans="2:17">
      <c r="B1161" s="670">
        <f t="shared" si="114"/>
        <v>1156</v>
      </c>
      <c r="C1161" s="433">
        <v>42886</v>
      </c>
      <c r="D1161" s="680" t="s">
        <v>1584</v>
      </c>
      <c r="E1161" s="572">
        <v>700200</v>
      </c>
      <c r="F1161" s="672" t="str">
        <f>IFERROR(VLOOKUP(E1161,STAT1!$C$4:$D$8000,2,FALSE),"")</f>
        <v>НДШимтгэл</v>
      </c>
      <c r="G1161" s="377">
        <v>1233072.8148148151</v>
      </c>
      <c r="H1161" s="377"/>
      <c r="I1161" s="596">
        <f t="shared" si="123"/>
        <v>0</v>
      </c>
      <c r="J1161" s="81"/>
      <c r="K1161" s="81"/>
      <c r="L1161" s="597">
        <v>1004</v>
      </c>
      <c r="M1161" s="81" t="str">
        <f>+IFERROR(VLOOKUP(L1161,DATA!$G$4:$H$2000,2,FALSE),"")</f>
        <v xml:space="preserve">Түмэндэлгэр </v>
      </c>
      <c r="N1161" s="166"/>
      <c r="O1161" s="81" t="str">
        <f>IFERROR(VLOOKUP(N1161,DATA!$K$4:$L$51,2,FALSE),"")</f>
        <v/>
      </c>
      <c r="P1161" s="81"/>
      <c r="Q1161" s="152">
        <f t="shared" si="124"/>
        <v>0</v>
      </c>
    </row>
    <row r="1162" spans="2:17">
      <c r="B1162" s="670">
        <f t="shared" ref="B1162" si="125">+IF(C1162="","",ROW()-5)</f>
        <v>1157</v>
      </c>
      <c r="C1162" s="433">
        <v>42886</v>
      </c>
      <c r="D1162" s="680" t="s">
        <v>1585</v>
      </c>
      <c r="E1162" s="572">
        <v>310800</v>
      </c>
      <c r="F1162" s="672" t="str">
        <f>IFERROR(VLOOKUP(E1162,STAT1!$C$4:$D$8000,2,FALSE),"")</f>
        <v>НД-ын байгууллагад өгөх өглөг</v>
      </c>
      <c r="G1162" s="377"/>
      <c r="H1162" s="377">
        <v>1026301.111111111</v>
      </c>
      <c r="I1162" s="596">
        <f t="shared" si="123"/>
        <v>0</v>
      </c>
      <c r="J1162" s="81"/>
      <c r="K1162" s="81"/>
      <c r="L1162" s="597">
        <v>1004</v>
      </c>
      <c r="M1162" s="81" t="str">
        <f>+IFERROR(VLOOKUP(L1162,DATA!$G$4:$H$2000,2,FALSE),"")</f>
        <v xml:space="preserve">Түмэндэлгэр </v>
      </c>
      <c r="N1162" s="166"/>
      <c r="O1162" s="81" t="str">
        <f>IFERROR(VLOOKUP(N1162,DATA!$K$4:$L$51,2,FALSE),"")</f>
        <v/>
      </c>
      <c r="P1162" s="81"/>
      <c r="Q1162" s="152">
        <f t="shared" si="124"/>
        <v>0</v>
      </c>
    </row>
    <row r="1163" spans="2:17">
      <c r="B1163" s="670">
        <f t="shared" si="114"/>
        <v>1158</v>
      </c>
      <c r="C1163" s="433">
        <v>42886</v>
      </c>
      <c r="D1163" s="680" t="s">
        <v>1585</v>
      </c>
      <c r="E1163" s="572">
        <v>700100</v>
      </c>
      <c r="F1163" s="672" t="str">
        <f>IFERROR(VLOOKUP(E1163,STAT1!$C$4:$D$8000,2,FALSE),"")</f>
        <v>Цалин хөлс, шагнал</v>
      </c>
      <c r="G1163" s="377">
        <v>1026301.111111111</v>
      </c>
      <c r="H1163" s="377"/>
      <c r="I1163" s="596">
        <f t="shared" si="123"/>
        <v>0</v>
      </c>
      <c r="J1163" s="81"/>
      <c r="K1163" s="81"/>
      <c r="L1163" s="597">
        <v>1004</v>
      </c>
      <c r="M1163" s="81" t="str">
        <f>+IFERROR(VLOOKUP(L1163,DATA!$G$4:$H$2000,2,FALSE),"")</f>
        <v xml:space="preserve">Түмэндэлгэр </v>
      </c>
      <c r="N1163" s="166"/>
      <c r="O1163" s="81" t="str">
        <f>IFERROR(VLOOKUP(N1163,DATA!$K$4:$L$51,2,FALSE),"")</f>
        <v/>
      </c>
      <c r="P1163" s="81"/>
      <c r="Q1163" s="152">
        <f t="shared" si="124"/>
        <v>0</v>
      </c>
    </row>
    <row r="1164" spans="2:17">
      <c r="B1164" s="670">
        <f t="shared" si="114"/>
        <v>1159</v>
      </c>
      <c r="C1164" s="433">
        <v>42886</v>
      </c>
      <c r="D1164" s="680" t="s">
        <v>1586</v>
      </c>
      <c r="E1164" s="572">
        <v>310700</v>
      </c>
      <c r="F1164" s="672" t="str">
        <f>IFERROR(VLOOKUP(E1164,STAT1!$C$4:$D$8000,2,FALSE),"")</f>
        <v>ХАОАТ өглөг</v>
      </c>
      <c r="G1164" s="377"/>
      <c r="H1164" s="377">
        <v>812228.40740740742</v>
      </c>
      <c r="I1164" s="596">
        <f t="shared" si="123"/>
        <v>0</v>
      </c>
      <c r="J1164" s="81"/>
      <c r="K1164" s="81"/>
      <c r="L1164" s="597">
        <v>1004</v>
      </c>
      <c r="M1164" s="81" t="str">
        <f>+IFERROR(VLOOKUP(L1164,DATA!$G$4:$H$2000,2,FALSE),"")</f>
        <v xml:space="preserve">Түмэндэлгэр </v>
      </c>
      <c r="N1164" s="166"/>
      <c r="O1164" s="81" t="str">
        <f>IFERROR(VLOOKUP(N1164,DATA!$K$4:$L$51,2,FALSE),"")</f>
        <v/>
      </c>
      <c r="P1164" s="81"/>
      <c r="Q1164" s="152">
        <f t="shared" si="124"/>
        <v>0</v>
      </c>
    </row>
    <row r="1165" spans="2:17">
      <c r="B1165" s="670">
        <f t="shared" si="114"/>
        <v>1160</v>
      </c>
      <c r="C1165" s="433">
        <v>42886</v>
      </c>
      <c r="D1165" s="680" t="s">
        <v>1586</v>
      </c>
      <c r="E1165" s="572">
        <v>700100</v>
      </c>
      <c r="F1165" s="672" t="str">
        <f>IFERROR(VLOOKUP(E1165,STAT1!$C$4:$D$8000,2,FALSE),"")</f>
        <v>Цалин хөлс, шагнал</v>
      </c>
      <c r="G1165" s="377">
        <v>812228.40740740742</v>
      </c>
      <c r="H1165" s="377"/>
      <c r="I1165" s="596">
        <f t="shared" si="123"/>
        <v>0</v>
      </c>
      <c r="J1165" s="81"/>
      <c r="K1165" s="81"/>
      <c r="L1165" s="597">
        <v>1004</v>
      </c>
      <c r="M1165" s="81" t="str">
        <f>+IFERROR(VLOOKUP(L1165,DATA!$G$4:$H$2000,2,FALSE),"")</f>
        <v xml:space="preserve">Түмэндэлгэр </v>
      </c>
      <c r="N1165" s="166"/>
      <c r="O1165" s="81" t="str">
        <f>IFERROR(VLOOKUP(N1165,DATA!$K$4:$L$51,2,FALSE),"")</f>
        <v/>
      </c>
      <c r="P1165" s="81"/>
      <c r="Q1165" s="152">
        <f t="shared" si="124"/>
        <v>0</v>
      </c>
    </row>
    <row r="1166" spans="2:17">
      <c r="B1166" s="670">
        <f t="shared" si="114"/>
        <v>1161</v>
      </c>
      <c r="C1166" s="433">
        <v>42886</v>
      </c>
      <c r="D1166" s="680" t="s">
        <v>1587</v>
      </c>
      <c r="E1166" s="572">
        <v>311000</v>
      </c>
      <c r="F1166" s="672" t="str">
        <f>IFERROR(VLOOKUP(E1166,STAT1!$C$4:$D$8000,2,FALSE),"")</f>
        <v>Цалингийн өглөг</v>
      </c>
      <c r="G1166" s="377"/>
      <c r="H1166" s="377">
        <v>8500055.6666666679</v>
      </c>
      <c r="I1166" s="596">
        <f t="shared" si="123"/>
        <v>0</v>
      </c>
      <c r="J1166" s="81"/>
      <c r="K1166" s="81"/>
      <c r="L1166" s="597">
        <v>1004</v>
      </c>
      <c r="M1166" s="81" t="str">
        <f>+IFERROR(VLOOKUP(L1166,DATA!$G$4:$H$2000,2,FALSE),"")</f>
        <v xml:space="preserve">Түмэндэлгэр </v>
      </c>
      <c r="N1166" s="166"/>
      <c r="O1166" s="81" t="str">
        <f>IFERROR(VLOOKUP(N1166,DATA!$K$4:$L$51,2,FALSE),"")</f>
        <v/>
      </c>
      <c r="P1166" s="81"/>
      <c r="Q1166" s="152">
        <f t="shared" si="124"/>
        <v>0</v>
      </c>
    </row>
    <row r="1167" spans="2:17">
      <c r="B1167" s="670">
        <f t="shared" si="114"/>
        <v>1162</v>
      </c>
      <c r="C1167" s="433">
        <v>42886</v>
      </c>
      <c r="D1167" s="680" t="s">
        <v>1587</v>
      </c>
      <c r="E1167" s="572">
        <v>700100</v>
      </c>
      <c r="F1167" s="672" t="str">
        <f>IFERROR(VLOOKUP(E1167,STAT1!$C$4:$D$8000,2,FALSE),"")</f>
        <v>Цалин хөлс, шагнал</v>
      </c>
      <c r="G1167" s="377">
        <v>8500055.6666666679</v>
      </c>
      <c r="H1167" s="377"/>
      <c r="I1167" s="596">
        <f t="shared" si="123"/>
        <v>0</v>
      </c>
      <c r="J1167" s="81"/>
      <c r="K1167" s="81"/>
      <c r="L1167" s="597">
        <v>1004</v>
      </c>
      <c r="M1167" s="81" t="str">
        <f>+IFERROR(VLOOKUP(L1167,DATA!$G$4:$H$2000,2,FALSE),"")</f>
        <v xml:space="preserve">Түмэндэлгэр </v>
      </c>
      <c r="N1167" s="166"/>
      <c r="O1167" s="81" t="str">
        <f>IFERROR(VLOOKUP(N1167,DATA!$K$4:$L$51,2,FALSE),"")</f>
        <v/>
      </c>
      <c r="P1167" s="81"/>
      <c r="Q1167" s="152">
        <f t="shared" si="124"/>
        <v>0</v>
      </c>
    </row>
    <row r="1168" spans="2:17">
      <c r="B1168" s="670">
        <f t="shared" si="114"/>
        <v>1163</v>
      </c>
      <c r="C1168" s="433">
        <v>42888</v>
      </c>
      <c r="D1168" s="377" t="s">
        <v>1741</v>
      </c>
      <c r="E1168" s="572">
        <v>320100</v>
      </c>
      <c r="F1168" s="672" t="str">
        <f>IFERROR(VLOOKUP(E1168,STAT1!$C$4:$D$1000,2,FALSE),"")</f>
        <v>Урьдчилж орсон орлого MNT</v>
      </c>
      <c r="G1168" s="377"/>
      <c r="H1168" s="377">
        <v>477399</v>
      </c>
      <c r="I1168" s="596">
        <f t="shared" si="123"/>
        <v>0</v>
      </c>
      <c r="J1168" s="81">
        <f>+IF(E1168=110102,I1168/K1168,0)</f>
        <v>0</v>
      </c>
      <c r="K1168" s="81"/>
      <c r="L1168" s="597">
        <v>4001</v>
      </c>
      <c r="M1168" s="81" t="str">
        <f>+IFERROR(VLOOKUP(L1168,DATA!$G$4:$H$2000,2,FALSE),"")</f>
        <v>Сайннямбуу</v>
      </c>
      <c r="N1168" s="435"/>
      <c r="O1168" s="81" t="str">
        <f>IFERROR(VLOOKUP(N1168,DATA!$K$4:$L$51,2,FALSE),"")</f>
        <v/>
      </c>
      <c r="P1168" s="81"/>
      <c r="Q1168" s="152">
        <f t="shared" si="124"/>
        <v>0</v>
      </c>
    </row>
    <row r="1169" spans="2:17">
      <c r="B1169" s="670">
        <f t="shared" si="114"/>
        <v>1164</v>
      </c>
      <c r="C1169" s="433">
        <v>42888</v>
      </c>
      <c r="D1169" s="377" t="s">
        <v>1741</v>
      </c>
      <c r="E1169" s="572">
        <v>100100</v>
      </c>
      <c r="F1169" s="672" t="str">
        <f>IFERROR(VLOOKUP(E1169,STAT1!$C$4:$D$1000,2,FALSE),"")</f>
        <v>Касс мөнгө MNT</v>
      </c>
      <c r="G1169" s="377">
        <v>477399</v>
      </c>
      <c r="H1169" s="377">
        <v>0</v>
      </c>
      <c r="I1169" s="596">
        <f t="shared" si="123"/>
        <v>477399</v>
      </c>
      <c r="J1169" s="81">
        <f>+IF(E1169=110102,I1169/K1169,0)</f>
        <v>0</v>
      </c>
      <c r="K1169" s="81"/>
      <c r="L1169" s="597">
        <v>4002</v>
      </c>
      <c r="M1169" s="81" t="str">
        <f>+IFERROR(VLOOKUP(L1169,DATA!$G$4:$H$2000,2,FALSE),"")</f>
        <v xml:space="preserve">Хувь хүн </v>
      </c>
      <c r="N1169" s="435">
        <v>41</v>
      </c>
      <c r="O1169" s="81" t="str">
        <f>IFERROR(VLOOKUP(N1169,DATA!$K$4:$L$51,2,FALSE),"")</f>
        <v>Бараа борлуулсан, үйлчилгээ үзүүлсэний орлого</v>
      </c>
      <c r="P1169" s="81"/>
      <c r="Q1169" s="152">
        <f t="shared" si="124"/>
        <v>1</v>
      </c>
    </row>
    <row r="1170" spans="2:17">
      <c r="B1170" s="670">
        <f t="shared" si="114"/>
        <v>1165</v>
      </c>
      <c r="C1170" s="601">
        <v>42888</v>
      </c>
      <c r="D1170" s="377" t="s">
        <v>2698</v>
      </c>
      <c r="E1170" s="572">
        <v>610100</v>
      </c>
      <c r="F1170" s="672" t="str">
        <f>IFERROR(VLOOKUP(E1170,STAT1!$C$4:$D$8000,2,FALSE),"")</f>
        <v>Борлуулсан барааны өртөг</v>
      </c>
      <c r="G1170" s="372">
        <v>801397.33</v>
      </c>
      <c r="H1170" s="681"/>
      <c r="I1170" s="596">
        <f t="shared" si="123"/>
        <v>0</v>
      </c>
      <c r="J1170" s="81"/>
      <c r="K1170" s="81"/>
      <c r="L1170" s="597">
        <v>4001</v>
      </c>
      <c r="M1170" s="81" t="str">
        <f>+IFERROR(VLOOKUP(L1170,DATA!$G$4:$H$2000,2,FALSE),"")</f>
        <v>Сайннямбуу</v>
      </c>
      <c r="N1170" s="166"/>
      <c r="O1170" s="81" t="str">
        <f>IFERROR(VLOOKUP(N1170,DATA!$K$4:$L$51,2,FALSE),"")</f>
        <v/>
      </c>
      <c r="P1170" s="81"/>
      <c r="Q1170" s="152">
        <f t="shared" si="124"/>
        <v>0</v>
      </c>
    </row>
    <row r="1171" spans="2:17">
      <c r="B1171" s="670">
        <f t="shared" si="114"/>
        <v>1166</v>
      </c>
      <c r="C1171" s="433">
        <v>42889</v>
      </c>
      <c r="D1171" s="377" t="s">
        <v>1734</v>
      </c>
      <c r="E1171" s="572">
        <v>100100</v>
      </c>
      <c r="F1171" s="672" t="str">
        <f>IFERROR(VLOOKUP(E1171,STAT1!$C$4:$D$1000,2,FALSE),"")</f>
        <v>Касс мөнгө MNT</v>
      </c>
      <c r="G1171" s="377"/>
      <c r="H1171" s="377">
        <v>100000</v>
      </c>
      <c r="I1171" s="596">
        <f t="shared" si="123"/>
        <v>-100000</v>
      </c>
      <c r="J1171" s="81">
        <f t="shared" ref="J1171:J1177" si="126">+IF(E1171=110102,I1171/K1171,0)</f>
        <v>0</v>
      </c>
      <c r="K1171" s="81"/>
      <c r="L1171" s="597">
        <v>1003</v>
      </c>
      <c r="M1171" s="81" t="str">
        <f>+IFERROR(VLOOKUP(L1171,DATA!$G$4:$H$2000,2,FALSE),"")</f>
        <v>Бахдамдэмбэрэл</v>
      </c>
      <c r="N1171" s="435">
        <v>55</v>
      </c>
      <c r="O1171" s="81" t="str">
        <f>IFERROR(VLOOKUP(N1171,DATA!$K$4:$L$51,2,FALSE),"")</f>
        <v>Түлш, шатахуун, тээврийн хөлс, сэлбэг хэрэгсэлд төлсөн</v>
      </c>
      <c r="P1171" s="81"/>
      <c r="Q1171" s="152">
        <f t="shared" si="124"/>
        <v>1</v>
      </c>
    </row>
    <row r="1172" spans="2:17">
      <c r="B1172" s="670">
        <f t="shared" si="114"/>
        <v>1167</v>
      </c>
      <c r="C1172" s="433">
        <v>42889</v>
      </c>
      <c r="D1172" s="377" t="s">
        <v>1734</v>
      </c>
      <c r="E1172" s="572">
        <v>120600</v>
      </c>
      <c r="F1172" s="672" t="str">
        <f>IFERROR(VLOOKUP(E1172,STAT1!$C$4:$D$1000,2,FALSE),"")</f>
        <v>НӨАТ авлага</v>
      </c>
      <c r="G1172" s="377">
        <v>18181.82</v>
      </c>
      <c r="H1172" s="377"/>
      <c r="I1172" s="596">
        <f t="shared" si="123"/>
        <v>0</v>
      </c>
      <c r="J1172" s="81">
        <f t="shared" si="126"/>
        <v>0</v>
      </c>
      <c r="K1172" s="81"/>
      <c r="L1172" s="597">
        <v>1003</v>
      </c>
      <c r="M1172" s="81" t="str">
        <f>+IFERROR(VLOOKUP(L1172,DATA!$G$4:$H$2000,2,FALSE),"")</f>
        <v>Бахдамдэмбэрэл</v>
      </c>
      <c r="N1172" s="435"/>
      <c r="O1172" s="81" t="str">
        <f>IFERROR(VLOOKUP(N1172,DATA!$K$4:$L$51,2,FALSE),"")</f>
        <v/>
      </c>
      <c r="P1172" s="81"/>
      <c r="Q1172" s="152">
        <f t="shared" si="124"/>
        <v>0</v>
      </c>
    </row>
    <row r="1173" spans="2:17">
      <c r="B1173" s="670">
        <f t="shared" si="114"/>
        <v>1168</v>
      </c>
      <c r="C1173" s="433">
        <v>42889</v>
      </c>
      <c r="D1173" s="377" t="s">
        <v>1734</v>
      </c>
      <c r="E1173" s="572">
        <v>702000</v>
      </c>
      <c r="F1173" s="672" t="str">
        <f>IFERROR(VLOOKUP(E1173,STAT1!$C$4:$D$1000,2,FALSE),"")</f>
        <v>Түлш, шатахуун</v>
      </c>
      <c r="G1173" s="377">
        <v>81818.179999999993</v>
      </c>
      <c r="H1173" s="377">
        <v>0</v>
      </c>
      <c r="I1173" s="596">
        <f t="shared" si="123"/>
        <v>0</v>
      </c>
      <c r="J1173" s="81">
        <f t="shared" si="126"/>
        <v>0</v>
      </c>
      <c r="K1173" s="81"/>
      <c r="L1173" s="597">
        <v>1003</v>
      </c>
      <c r="M1173" s="81" t="str">
        <f>+IFERROR(VLOOKUP(L1173,DATA!$G$4:$H$2000,2,FALSE),"")</f>
        <v>Бахдамдэмбэрэл</v>
      </c>
      <c r="N1173" s="435"/>
      <c r="O1173" s="81" t="str">
        <f>IFERROR(VLOOKUP(N1173,DATA!$K$4:$L$51,2,FALSE),"")</f>
        <v/>
      </c>
      <c r="P1173" s="81"/>
      <c r="Q1173" s="152">
        <f t="shared" si="124"/>
        <v>0</v>
      </c>
    </row>
    <row r="1174" spans="2:17">
      <c r="B1174" s="670">
        <f t="shared" si="114"/>
        <v>1169</v>
      </c>
      <c r="C1174" s="433">
        <v>42889</v>
      </c>
      <c r="D1174" s="377" t="s">
        <v>1741</v>
      </c>
      <c r="E1174" s="572">
        <v>320100</v>
      </c>
      <c r="F1174" s="672" t="str">
        <f>IFERROR(VLOOKUP(E1174,STAT1!$C$4:$D$1000,2,FALSE),"")</f>
        <v>Урьдчилж орсон орлого MNT</v>
      </c>
      <c r="G1174" s="377"/>
      <c r="H1174" s="377">
        <v>891000</v>
      </c>
      <c r="I1174" s="596">
        <f t="shared" si="123"/>
        <v>0</v>
      </c>
      <c r="J1174" s="81">
        <f t="shared" si="126"/>
        <v>0</v>
      </c>
      <c r="K1174" s="81"/>
      <c r="L1174" s="597">
        <v>3042</v>
      </c>
      <c r="M1174" s="81" t="str">
        <f>+IFERROR(VLOOKUP(L1174,DATA!$G$4:$H$2000,2,FALSE),"")</f>
        <v xml:space="preserve">ЖУРМАК ХХК </v>
      </c>
      <c r="N1174" s="435"/>
      <c r="O1174" s="81" t="str">
        <f>IFERROR(VLOOKUP(N1174,DATA!$K$4:$L$51,2,FALSE),"")</f>
        <v/>
      </c>
      <c r="P1174" s="81"/>
      <c r="Q1174" s="152">
        <f t="shared" si="124"/>
        <v>0</v>
      </c>
    </row>
    <row r="1175" spans="2:17">
      <c r="B1175" s="670">
        <f t="shared" ref="B1175" si="127">+IF(C1175="","",ROW()-5)</f>
        <v>1170</v>
      </c>
      <c r="C1175" s="433">
        <v>42889</v>
      </c>
      <c r="D1175" s="377" t="s">
        <v>1741</v>
      </c>
      <c r="E1175" s="572">
        <v>100100</v>
      </c>
      <c r="F1175" s="672" t="str">
        <f>IFERROR(VLOOKUP(E1175,STAT1!$C$4:$D$1000,2,FALSE),"")</f>
        <v>Касс мөнгө MNT</v>
      </c>
      <c r="G1175" s="377">
        <v>891000</v>
      </c>
      <c r="H1175" s="377">
        <v>0</v>
      </c>
      <c r="I1175" s="596">
        <f t="shared" si="123"/>
        <v>891000</v>
      </c>
      <c r="J1175" s="81">
        <f t="shared" si="126"/>
        <v>0</v>
      </c>
      <c r="K1175" s="81"/>
      <c r="L1175" s="597">
        <v>3042</v>
      </c>
      <c r="M1175" s="81" t="str">
        <f>+IFERROR(VLOOKUP(L1175,DATA!$G$4:$H$2000,2,FALSE),"")</f>
        <v xml:space="preserve">ЖУРМАК ХХК </v>
      </c>
      <c r="N1175" s="435">
        <v>41</v>
      </c>
      <c r="O1175" s="81" t="str">
        <f>IFERROR(VLOOKUP(N1175,DATA!$K$4:$L$51,2,FALSE),"")</f>
        <v>Бараа борлуулсан, үйлчилгээ үзүүлсэний орлого</v>
      </c>
      <c r="P1175" s="81"/>
      <c r="Q1175" s="152">
        <f t="shared" si="124"/>
        <v>1</v>
      </c>
    </row>
    <row r="1176" spans="2:17">
      <c r="B1176" s="670">
        <f t="shared" si="114"/>
        <v>1171</v>
      </c>
      <c r="C1176" s="433">
        <v>42889</v>
      </c>
      <c r="D1176" s="598" t="s">
        <v>1741</v>
      </c>
      <c r="E1176" s="572">
        <v>110100</v>
      </c>
      <c r="F1176" s="672" t="str">
        <f>IFERROR(VLOOKUP(E1176,STAT1!$C$4:$D$1000,2,FALSE),"")</f>
        <v>Хаан Банк 5024654020</v>
      </c>
      <c r="G1176" s="377">
        <v>445500</v>
      </c>
      <c r="H1176" s="377"/>
      <c r="I1176" s="596">
        <f t="shared" si="123"/>
        <v>445500</v>
      </c>
      <c r="J1176" s="81">
        <f t="shared" si="126"/>
        <v>0</v>
      </c>
      <c r="K1176" s="81"/>
      <c r="L1176" s="597">
        <v>3042</v>
      </c>
      <c r="M1176" s="81" t="str">
        <f>+IFERROR(VLOOKUP(L1176,DATA!$G$4:$H$2000,2,FALSE),"")</f>
        <v xml:space="preserve">ЖУРМАК ХХК </v>
      </c>
      <c r="N1176" s="435">
        <v>41</v>
      </c>
      <c r="O1176" s="81" t="str">
        <f>IFERROR(VLOOKUP(N1176,DATA!$K$4:$L$51,2,FALSE),"")</f>
        <v>Бараа борлуулсан, үйлчилгээ үзүүлсэний орлого</v>
      </c>
      <c r="P1176" s="81"/>
      <c r="Q1176" s="152">
        <f t="shared" si="124"/>
        <v>1</v>
      </c>
    </row>
    <row r="1177" spans="2:17">
      <c r="B1177" s="670">
        <f t="shared" si="114"/>
        <v>1172</v>
      </c>
      <c r="C1177" s="433">
        <v>42889</v>
      </c>
      <c r="D1177" s="598" t="s">
        <v>1741</v>
      </c>
      <c r="E1177" s="572">
        <v>320100</v>
      </c>
      <c r="F1177" s="672" t="str">
        <f>IFERROR(VLOOKUP(E1177,STAT1!$C$4:$D$1000,2,FALSE),"")</f>
        <v>Урьдчилж орсон орлого MNT</v>
      </c>
      <c r="G1177" s="377">
        <v>0</v>
      </c>
      <c r="H1177" s="377">
        <v>445500</v>
      </c>
      <c r="I1177" s="596">
        <f t="shared" si="123"/>
        <v>0</v>
      </c>
      <c r="J1177" s="81">
        <f t="shared" si="126"/>
        <v>0</v>
      </c>
      <c r="K1177" s="81"/>
      <c r="L1177" s="597">
        <v>3042</v>
      </c>
      <c r="M1177" s="81" t="str">
        <f>+IFERROR(VLOOKUP(L1177,DATA!$G$4:$H$2000,2,FALSE),"")</f>
        <v xml:space="preserve">ЖУРМАК ХХК </v>
      </c>
      <c r="N1177" s="435"/>
      <c r="O1177" s="81" t="str">
        <f>IFERROR(VLOOKUP(N1177,DATA!$K$4:$L$51,2,FALSE),"")</f>
        <v/>
      </c>
      <c r="P1177" s="81"/>
      <c r="Q1177" s="152">
        <f t="shared" si="124"/>
        <v>0</v>
      </c>
    </row>
    <row r="1178" spans="2:17">
      <c r="B1178" s="670">
        <f t="shared" si="114"/>
        <v>1173</v>
      </c>
      <c r="C1178" s="601">
        <v>42889</v>
      </c>
      <c r="D1178" s="377" t="s">
        <v>2698</v>
      </c>
      <c r="E1178" s="573">
        <v>150101</v>
      </c>
      <c r="F1178" s="672" t="str">
        <f>IFERROR(VLOOKUP(E1178,STAT1!$C$4:$D$8000,2,FALSE),"")</f>
        <v>Бараа бэлэн бүтээгдэхүүн БОЛОВСРУУЛАХ ЦЕХ /нарс/</v>
      </c>
      <c r="G1178" s="673"/>
      <c r="H1178" s="372">
        <v>708391.98</v>
      </c>
      <c r="I1178" s="596">
        <f t="shared" si="123"/>
        <v>0</v>
      </c>
      <c r="J1178" s="81"/>
      <c r="K1178" s="81"/>
      <c r="L1178" s="597">
        <v>3042</v>
      </c>
      <c r="M1178" s="81" t="str">
        <f>+IFERROR(VLOOKUP(L1178,DATA!$G$4:$H$2000,2,FALSE),"")</f>
        <v xml:space="preserve">ЖУРМАК ХХК </v>
      </c>
      <c r="N1178" s="166"/>
      <c r="O1178" s="81" t="str">
        <f>IFERROR(VLOOKUP(N1178,DATA!$K$4:$L$51,2,FALSE),"")</f>
        <v/>
      </c>
      <c r="P1178" s="81"/>
      <c r="Q1178" s="152">
        <f t="shared" si="124"/>
        <v>0</v>
      </c>
    </row>
    <row r="1179" spans="2:17">
      <c r="B1179" s="670">
        <f t="shared" si="114"/>
        <v>1174</v>
      </c>
      <c r="C1179" s="601">
        <v>42889</v>
      </c>
      <c r="D1179" s="377" t="s">
        <v>587</v>
      </c>
      <c r="E1179" s="572">
        <v>610100</v>
      </c>
      <c r="F1179" s="672" t="str">
        <f>IFERROR(VLOOKUP(E1179,STAT1!$C$4:$D$8000,2,FALSE),"")</f>
        <v>Борлуулсан барааны өртөг</v>
      </c>
      <c r="G1179" s="682">
        <v>708391.98</v>
      </c>
      <c r="H1179" s="681"/>
      <c r="I1179" s="596">
        <f t="shared" si="123"/>
        <v>0</v>
      </c>
      <c r="J1179" s="81"/>
      <c r="K1179" s="81"/>
      <c r="L1179" s="597">
        <v>3042</v>
      </c>
      <c r="M1179" s="81" t="str">
        <f>+IFERROR(VLOOKUP(L1179,DATA!$G$4:$H$2000,2,FALSE),"")</f>
        <v xml:space="preserve">ЖУРМАК ХХК </v>
      </c>
      <c r="N1179" s="166"/>
      <c r="O1179" s="81" t="str">
        <f>IFERROR(VLOOKUP(N1179,DATA!$K$4:$L$51,2,FALSE),"")</f>
        <v/>
      </c>
      <c r="P1179" s="81"/>
      <c r="Q1179" s="152">
        <f t="shared" si="124"/>
        <v>0</v>
      </c>
    </row>
    <row r="1180" spans="2:17">
      <c r="B1180" s="670">
        <f t="shared" si="114"/>
        <v>1175</v>
      </c>
      <c r="C1180" s="601">
        <v>42889</v>
      </c>
      <c r="D1180" s="377" t="s">
        <v>587</v>
      </c>
      <c r="E1180" s="572">
        <v>310500</v>
      </c>
      <c r="F1180" s="672" t="str">
        <f>IFERROR(VLOOKUP(E1180,STAT1!$C$4:$D$8000,2,FALSE),"")</f>
        <v>НӨАТ өглөг</v>
      </c>
      <c r="G1180" s="597"/>
      <c r="H1180" s="377">
        <v>162000</v>
      </c>
      <c r="I1180" s="596">
        <f t="shared" si="123"/>
        <v>0</v>
      </c>
      <c r="J1180" s="81"/>
      <c r="K1180" s="81"/>
      <c r="L1180" s="597">
        <v>3042</v>
      </c>
      <c r="M1180" s="81" t="str">
        <f>+IFERROR(VLOOKUP(L1180,DATA!$G$4:$H$2000,2,FALSE),"")</f>
        <v xml:space="preserve">ЖУРМАК ХХК </v>
      </c>
      <c r="N1180" s="166"/>
      <c r="O1180" s="81" t="str">
        <f>IFERROR(VLOOKUP(N1180,DATA!$K$4:$L$51,2,FALSE),"")</f>
        <v/>
      </c>
      <c r="P1180" s="81"/>
      <c r="Q1180" s="152">
        <f t="shared" si="124"/>
        <v>0</v>
      </c>
    </row>
    <row r="1181" spans="2:17">
      <c r="B1181" s="670">
        <f t="shared" si="114"/>
        <v>1176</v>
      </c>
      <c r="C1181" s="601">
        <v>42889</v>
      </c>
      <c r="D1181" s="377" t="s">
        <v>587</v>
      </c>
      <c r="E1181" s="572">
        <v>510000</v>
      </c>
      <c r="F1181" s="672" t="str">
        <f>IFERROR(VLOOKUP(E1181,STAT1!$C$4:$D$8000,2,FALSE),"")</f>
        <v>Үндсэн үйл ажиллагааны борлуулалт</v>
      </c>
      <c r="G1181" s="597"/>
      <c r="H1181" s="377">
        <v>1620000</v>
      </c>
      <c r="I1181" s="596">
        <f t="shared" si="123"/>
        <v>0</v>
      </c>
      <c r="J1181" s="81"/>
      <c r="K1181" s="81"/>
      <c r="L1181" s="597">
        <v>3042</v>
      </c>
      <c r="M1181" s="81" t="str">
        <f>+IFERROR(VLOOKUP(L1181,DATA!$G$4:$H$2000,2,FALSE),"")</f>
        <v xml:space="preserve">ЖУРМАК ХХК </v>
      </c>
      <c r="N1181" s="166"/>
      <c r="O1181" s="81" t="str">
        <f>IFERROR(VLOOKUP(N1181,DATA!$K$4:$L$51,2,FALSE),"")</f>
        <v/>
      </c>
      <c r="P1181" s="81"/>
      <c r="Q1181" s="152">
        <f t="shared" si="124"/>
        <v>0</v>
      </c>
    </row>
    <row r="1182" spans="2:17">
      <c r="B1182" s="670">
        <f t="shared" si="114"/>
        <v>1177</v>
      </c>
      <c r="C1182" s="601">
        <v>42889</v>
      </c>
      <c r="D1182" s="377" t="s">
        <v>587</v>
      </c>
      <c r="E1182" s="572">
        <v>320100</v>
      </c>
      <c r="F1182" s="672" t="str">
        <f>IFERROR(VLOOKUP(E1182,STAT1!$C$4:$D$8000,2,FALSE),"")</f>
        <v>Урьдчилж орсон орлого MNT</v>
      </c>
      <c r="G1182" s="377">
        <v>1782000</v>
      </c>
      <c r="H1182" s="597"/>
      <c r="I1182" s="596">
        <f t="shared" si="123"/>
        <v>0</v>
      </c>
      <c r="J1182" s="81"/>
      <c r="K1182" s="81"/>
      <c r="L1182" s="597">
        <v>3042</v>
      </c>
      <c r="M1182" s="81" t="str">
        <f>+IFERROR(VLOOKUP(L1182,DATA!$G$4:$H$2000,2,FALSE),"")</f>
        <v xml:space="preserve">ЖУРМАК ХХК </v>
      </c>
      <c r="N1182" s="166"/>
      <c r="O1182" s="81" t="str">
        <f>IFERROR(VLOOKUP(N1182,DATA!$K$4:$L$51,2,FALSE),"")</f>
        <v/>
      </c>
      <c r="P1182" s="81"/>
      <c r="Q1182" s="152">
        <f t="shared" si="124"/>
        <v>0</v>
      </c>
    </row>
    <row r="1183" spans="2:17">
      <c r="B1183" s="670">
        <f t="shared" si="114"/>
        <v>1178</v>
      </c>
      <c r="C1183" s="433">
        <v>42892</v>
      </c>
      <c r="D1183" s="598" t="s">
        <v>1741</v>
      </c>
      <c r="E1183" s="572">
        <v>110100</v>
      </c>
      <c r="F1183" s="672" t="str">
        <f>IFERROR(VLOOKUP(E1183,STAT1!$C$4:$D$1000,2,FALSE),"")</f>
        <v>Хаан Банк 5024654020</v>
      </c>
      <c r="G1183" s="377">
        <v>1700000</v>
      </c>
      <c r="H1183" s="377"/>
      <c r="I1183" s="596">
        <f t="shared" si="123"/>
        <v>1700000</v>
      </c>
      <c r="J1183" s="81">
        <f t="shared" ref="J1183:J1188" si="128">+IF(E1183=110102,I1183/K1183,0)</f>
        <v>0</v>
      </c>
      <c r="K1183" s="81"/>
      <c r="L1183" s="597">
        <v>3065</v>
      </c>
      <c r="M1183" s="81" t="str">
        <f>+IFERROR(VLOOKUP(L1183,DATA!$G$4:$H$2000,2,FALSE),"")</f>
        <v>СИТИ ПАЛАС ХХК</v>
      </c>
      <c r="N1183" s="435">
        <v>41</v>
      </c>
      <c r="O1183" s="81" t="str">
        <f>IFERROR(VLOOKUP(N1183,DATA!$K$4:$L$51,2,FALSE),"")</f>
        <v>Бараа борлуулсан, үйлчилгээ үзүүлсэний орлого</v>
      </c>
      <c r="P1183" s="81"/>
      <c r="Q1183" s="152">
        <f t="shared" si="124"/>
        <v>1</v>
      </c>
    </row>
    <row r="1184" spans="2:17">
      <c r="B1184" s="670">
        <f t="shared" si="114"/>
        <v>1179</v>
      </c>
      <c r="C1184" s="433">
        <v>42892</v>
      </c>
      <c r="D1184" s="598" t="s">
        <v>1741</v>
      </c>
      <c r="E1184" s="572">
        <v>320100</v>
      </c>
      <c r="F1184" s="672" t="str">
        <f>IFERROR(VLOOKUP(E1184,STAT1!$C$4:$D$1000,2,FALSE),"")</f>
        <v>Урьдчилж орсон орлого MNT</v>
      </c>
      <c r="G1184" s="377">
        <v>0</v>
      </c>
      <c r="H1184" s="377">
        <v>1700000</v>
      </c>
      <c r="I1184" s="596">
        <f t="shared" si="123"/>
        <v>0</v>
      </c>
      <c r="J1184" s="81">
        <f t="shared" si="128"/>
        <v>0</v>
      </c>
      <c r="K1184" s="81"/>
      <c r="L1184" s="597">
        <v>3065</v>
      </c>
      <c r="M1184" s="81" t="str">
        <f>+IFERROR(VLOOKUP(L1184,DATA!$G$4:$H$2000,2,FALSE),"")</f>
        <v>СИТИ ПАЛАС ХХК</v>
      </c>
      <c r="N1184" s="435"/>
      <c r="O1184" s="81" t="str">
        <f>IFERROR(VLOOKUP(N1184,DATA!$K$4:$L$51,2,FALSE),"")</f>
        <v/>
      </c>
      <c r="P1184" s="81"/>
      <c r="Q1184" s="152">
        <f t="shared" si="124"/>
        <v>0</v>
      </c>
    </row>
    <row r="1185" spans="2:17">
      <c r="B1185" s="670">
        <f t="shared" si="114"/>
        <v>1180</v>
      </c>
      <c r="C1185" s="433">
        <v>42893</v>
      </c>
      <c r="D1185" s="377" t="s">
        <v>1728</v>
      </c>
      <c r="E1185" s="572">
        <v>100100</v>
      </c>
      <c r="F1185" s="672" t="str">
        <f>IFERROR(VLOOKUP(E1185,STAT1!$C$4:$D$1000,2,FALSE),"")</f>
        <v>Касс мөнгө MNT</v>
      </c>
      <c r="G1185" s="377"/>
      <c r="H1185" s="377">
        <v>1320000</v>
      </c>
      <c r="I1185" s="596">
        <f t="shared" si="123"/>
        <v>-1320000</v>
      </c>
      <c r="J1185" s="81">
        <f t="shared" si="128"/>
        <v>0</v>
      </c>
      <c r="K1185" s="81"/>
      <c r="L1185" s="597">
        <v>3017</v>
      </c>
      <c r="M1185" s="81" t="str">
        <f>+IFERROR(VLOOKUP(L1185,DATA!$G$4:$H$2000,2,FALSE),"")</f>
        <v xml:space="preserve">ВОС ХХК </v>
      </c>
      <c r="N1185" s="435">
        <v>53</v>
      </c>
      <c r="O1185" s="81" t="str">
        <f>IFERROR(VLOOKUP(N1185,DATA!$K$4:$L$51,2,FALSE),"")</f>
        <v>Бараа материал худалдан авахад төлсөн</v>
      </c>
      <c r="P1185" s="81"/>
      <c r="Q1185" s="152">
        <f t="shared" si="124"/>
        <v>1</v>
      </c>
    </row>
    <row r="1186" spans="2:17">
      <c r="B1186" s="670">
        <f t="shared" si="114"/>
        <v>1181</v>
      </c>
      <c r="C1186" s="433">
        <v>42893</v>
      </c>
      <c r="D1186" s="377" t="s">
        <v>1728</v>
      </c>
      <c r="E1186" s="572">
        <v>120100</v>
      </c>
      <c r="F1186" s="672" t="str">
        <f>IFERROR(VLOOKUP(E1186,STAT1!$C$4:$D$1000,2,FALSE),"")</f>
        <v xml:space="preserve">Дансны авлага MNT </v>
      </c>
      <c r="G1186" s="377">
        <v>1320000</v>
      </c>
      <c r="H1186" s="377">
        <v>0</v>
      </c>
      <c r="I1186" s="596">
        <f t="shared" si="123"/>
        <v>0</v>
      </c>
      <c r="J1186" s="81">
        <f t="shared" si="128"/>
        <v>0</v>
      </c>
      <c r="K1186" s="81"/>
      <c r="L1186" s="597">
        <v>3017</v>
      </c>
      <c r="M1186" s="81" t="str">
        <f>+IFERROR(VLOOKUP(L1186,DATA!$G$4:$H$2000,2,FALSE),"")</f>
        <v xml:space="preserve">ВОС ХХК </v>
      </c>
      <c r="N1186" s="435"/>
      <c r="O1186" s="81" t="str">
        <f>IFERROR(VLOOKUP(N1186,DATA!$K$4:$L$51,2,FALSE),"")</f>
        <v/>
      </c>
      <c r="P1186" s="81"/>
      <c r="Q1186" s="152">
        <f t="shared" si="124"/>
        <v>0</v>
      </c>
    </row>
    <row r="1187" spans="2:17">
      <c r="B1187" s="670">
        <f t="shared" si="114"/>
        <v>1182</v>
      </c>
      <c r="C1187" s="433">
        <v>42893</v>
      </c>
      <c r="D1187" s="598" t="s">
        <v>1741</v>
      </c>
      <c r="E1187" s="572">
        <v>110100</v>
      </c>
      <c r="F1187" s="672" t="str">
        <f>IFERROR(VLOOKUP(E1187,STAT1!$C$4:$D$1000,2,FALSE),"")</f>
        <v>Хаан Банк 5024654020</v>
      </c>
      <c r="G1187" s="377">
        <v>100000</v>
      </c>
      <c r="H1187" s="377"/>
      <c r="I1187" s="596">
        <f t="shared" si="123"/>
        <v>100000</v>
      </c>
      <c r="J1187" s="81">
        <f t="shared" si="128"/>
        <v>0</v>
      </c>
      <c r="K1187" s="81"/>
      <c r="L1187" s="597">
        <v>3065</v>
      </c>
      <c r="M1187" s="81" t="str">
        <f>+IFERROR(VLOOKUP(L1187,DATA!$G$4:$H$2000,2,FALSE),"")</f>
        <v>СИТИ ПАЛАС ХХК</v>
      </c>
      <c r="N1187" s="435">
        <v>41</v>
      </c>
      <c r="O1187" s="81" t="str">
        <f>IFERROR(VLOOKUP(N1187,DATA!$K$4:$L$51,2,FALSE),"")</f>
        <v>Бараа борлуулсан, үйлчилгээ үзүүлсэний орлого</v>
      </c>
      <c r="P1187" s="81"/>
      <c r="Q1187" s="152">
        <f t="shared" si="124"/>
        <v>1</v>
      </c>
    </row>
    <row r="1188" spans="2:17">
      <c r="B1188" s="670">
        <f t="shared" si="114"/>
        <v>1183</v>
      </c>
      <c r="C1188" s="433">
        <v>42893</v>
      </c>
      <c r="D1188" s="598" t="s">
        <v>1741</v>
      </c>
      <c r="E1188" s="572">
        <v>320100</v>
      </c>
      <c r="F1188" s="672" t="str">
        <f>IFERROR(VLOOKUP(E1188,STAT1!$C$4:$D$1000,2,FALSE),"")</f>
        <v>Урьдчилж орсон орлого MNT</v>
      </c>
      <c r="G1188" s="377">
        <v>0</v>
      </c>
      <c r="H1188" s="377">
        <v>100000</v>
      </c>
      <c r="I1188" s="596">
        <f t="shared" si="123"/>
        <v>0</v>
      </c>
      <c r="J1188" s="81">
        <f t="shared" si="128"/>
        <v>0</v>
      </c>
      <c r="K1188" s="81"/>
      <c r="L1188" s="597">
        <v>3065</v>
      </c>
      <c r="M1188" s="81" t="str">
        <f>+IFERROR(VLOOKUP(L1188,DATA!$G$4:$H$2000,2,FALSE),"")</f>
        <v>СИТИ ПАЛАС ХХК</v>
      </c>
      <c r="N1188" s="435"/>
      <c r="O1188" s="81" t="str">
        <f>IFERROR(VLOOKUP(N1188,DATA!$K$4:$L$51,2,FALSE),"")</f>
        <v/>
      </c>
      <c r="P1188" s="81"/>
      <c r="Q1188" s="152">
        <f t="shared" si="124"/>
        <v>0</v>
      </c>
    </row>
    <row r="1189" spans="2:17">
      <c r="B1189" s="670">
        <f t="shared" si="114"/>
        <v>1184</v>
      </c>
      <c r="C1189" s="601">
        <v>42893</v>
      </c>
      <c r="D1189" s="377" t="s">
        <v>2700</v>
      </c>
      <c r="E1189" s="572">
        <v>310500</v>
      </c>
      <c r="F1189" s="672" t="str">
        <f>IFERROR(VLOOKUP(E1189,STAT1!$C$4:$D$8000,2,FALSE),"")</f>
        <v>НӨАТ өглөг</v>
      </c>
      <c r="G1189" s="597"/>
      <c r="H1189" s="377">
        <v>137921.72735</v>
      </c>
      <c r="I1189" s="596">
        <f t="shared" si="123"/>
        <v>0</v>
      </c>
      <c r="J1189" s="81"/>
      <c r="K1189" s="81"/>
      <c r="L1189" s="597">
        <v>4001</v>
      </c>
      <c r="M1189" s="81" t="str">
        <f>+IFERROR(VLOOKUP(L1189,DATA!$G$4:$H$2000,2,FALSE),"")</f>
        <v>Сайннямбуу</v>
      </c>
      <c r="N1189" s="166"/>
      <c r="O1189" s="81" t="str">
        <f>IFERROR(VLOOKUP(N1189,DATA!$K$4:$L$51,2,FALSE),"")</f>
        <v/>
      </c>
      <c r="P1189" s="81"/>
      <c r="Q1189" s="152">
        <f t="shared" si="124"/>
        <v>0</v>
      </c>
    </row>
    <row r="1190" spans="2:17">
      <c r="B1190" s="670">
        <f t="shared" si="114"/>
        <v>1185</v>
      </c>
      <c r="C1190" s="601">
        <v>42893</v>
      </c>
      <c r="D1190" s="377" t="s">
        <v>587</v>
      </c>
      <c r="E1190" s="572">
        <v>510000</v>
      </c>
      <c r="F1190" s="672" t="str">
        <f>IFERROR(VLOOKUP(E1190,STAT1!$C$4:$D$8000,2,FALSE),"")</f>
        <v>Үндсэн үйл ажиллагааны борлуулалт</v>
      </c>
      <c r="G1190" s="597"/>
      <c r="H1190" s="377">
        <v>1379217.2735000001</v>
      </c>
      <c r="I1190" s="596">
        <f t="shared" si="123"/>
        <v>0</v>
      </c>
      <c r="J1190" s="81"/>
      <c r="K1190" s="81"/>
      <c r="L1190" s="597">
        <v>4001</v>
      </c>
      <c r="M1190" s="81" t="str">
        <f>+IFERROR(VLOOKUP(L1190,DATA!$G$4:$H$2000,2,FALSE),"")</f>
        <v>Сайннямбуу</v>
      </c>
      <c r="N1190" s="166"/>
      <c r="O1190" s="81" t="str">
        <f>IFERROR(VLOOKUP(N1190,DATA!$K$4:$L$51,2,FALSE),"")</f>
        <v/>
      </c>
      <c r="P1190" s="81"/>
      <c r="Q1190" s="152">
        <f t="shared" si="124"/>
        <v>0</v>
      </c>
    </row>
    <row r="1191" spans="2:17">
      <c r="B1191" s="670">
        <f t="shared" si="114"/>
        <v>1186</v>
      </c>
      <c r="C1191" s="601">
        <v>42893</v>
      </c>
      <c r="D1191" s="377" t="s">
        <v>587</v>
      </c>
      <c r="E1191" s="572">
        <v>320100</v>
      </c>
      <c r="F1191" s="672" t="str">
        <f>IFERROR(VLOOKUP(E1191,STAT1!$C$4:$D$8000,2,FALSE),"")</f>
        <v>Урьдчилж орсон орлого MNT</v>
      </c>
      <c r="G1191" s="377">
        <v>1517139.0008500002</v>
      </c>
      <c r="H1191" s="597"/>
      <c r="I1191" s="596">
        <f t="shared" si="123"/>
        <v>0</v>
      </c>
      <c r="J1191" s="81"/>
      <c r="K1191" s="81"/>
      <c r="L1191" s="597">
        <v>4001</v>
      </c>
      <c r="M1191" s="81" t="str">
        <f>+IFERROR(VLOOKUP(L1191,DATA!$G$4:$H$2000,2,FALSE),"")</f>
        <v>Сайннямбуу</v>
      </c>
      <c r="N1191" s="166"/>
      <c r="O1191" s="81" t="str">
        <f>IFERROR(VLOOKUP(N1191,DATA!$K$4:$L$51,2,FALSE),"")</f>
        <v/>
      </c>
      <c r="P1191" s="81"/>
      <c r="Q1191" s="152">
        <f t="shared" si="124"/>
        <v>0</v>
      </c>
    </row>
    <row r="1192" spans="2:17">
      <c r="B1192" s="670">
        <f t="shared" si="114"/>
        <v>1187</v>
      </c>
      <c r="C1192" s="601">
        <v>42893</v>
      </c>
      <c r="D1192" s="377" t="s">
        <v>1640</v>
      </c>
      <c r="E1192" s="572">
        <v>160100</v>
      </c>
      <c r="F1192" s="672" t="str">
        <f>IFERROR(VLOOKUP(E1192,STAT1!$C$4:$D$8000,2,FALSE),"")</f>
        <v xml:space="preserve">Барилгын материал </v>
      </c>
      <c r="G1192" s="377">
        <v>1199999.9992499999</v>
      </c>
      <c r="H1192" s="597"/>
      <c r="I1192" s="596">
        <f t="shared" si="123"/>
        <v>0</v>
      </c>
      <c r="J1192" s="81"/>
      <c r="K1192" s="81"/>
      <c r="L1192" s="597">
        <v>3017</v>
      </c>
      <c r="M1192" s="81" t="str">
        <f>+IFERROR(VLOOKUP(L1192,DATA!$G$4:$H$2000,2,FALSE),"")</f>
        <v xml:space="preserve">ВОС ХХК </v>
      </c>
      <c r="N1192" s="166"/>
      <c r="O1192" s="81" t="str">
        <f>IFERROR(VLOOKUP(N1192,DATA!$K$4:$L$51,2,FALSE),"")</f>
        <v/>
      </c>
      <c r="P1192" s="81"/>
      <c r="Q1192" s="152">
        <f t="shared" si="124"/>
        <v>0</v>
      </c>
    </row>
    <row r="1193" spans="2:17">
      <c r="B1193" s="670">
        <f t="shared" si="114"/>
        <v>1188</v>
      </c>
      <c r="C1193" s="601">
        <v>42893</v>
      </c>
      <c r="D1193" s="377" t="s">
        <v>1637</v>
      </c>
      <c r="E1193" s="572">
        <v>120600</v>
      </c>
      <c r="F1193" s="672" t="str">
        <f>IFERROR(VLOOKUP(E1193,STAT1!$C$4:$D$8000,2,FALSE),"")</f>
        <v>НӨАТ авлага</v>
      </c>
      <c r="G1193" s="377">
        <v>119999.99992500001</v>
      </c>
      <c r="H1193" s="597"/>
      <c r="I1193" s="596">
        <f t="shared" si="123"/>
        <v>0</v>
      </c>
      <c r="J1193" s="81"/>
      <c r="K1193" s="81"/>
      <c r="L1193" s="597">
        <v>3017</v>
      </c>
      <c r="M1193" s="81" t="str">
        <f>+IFERROR(VLOOKUP(L1193,DATA!$G$4:$H$2000,2,FALSE),"")</f>
        <v xml:space="preserve">ВОС ХХК </v>
      </c>
      <c r="N1193" s="166"/>
      <c r="O1193" s="81" t="str">
        <f>IFERROR(VLOOKUP(N1193,DATA!$K$4:$L$51,2,FALSE),"")</f>
        <v/>
      </c>
      <c r="P1193" s="81"/>
      <c r="Q1193" s="152">
        <f t="shared" si="124"/>
        <v>0</v>
      </c>
    </row>
    <row r="1194" spans="2:17">
      <c r="B1194" s="670">
        <f t="shared" si="114"/>
        <v>1189</v>
      </c>
      <c r="C1194" s="601">
        <v>42893</v>
      </c>
      <c r="D1194" s="377"/>
      <c r="E1194" s="572">
        <v>120100</v>
      </c>
      <c r="F1194" s="672" t="str">
        <f>IFERROR(VLOOKUP(E1194,STAT1!$C$4:$D$8000,2,FALSE),"")</f>
        <v xml:space="preserve">Дансны авлага MNT </v>
      </c>
      <c r="G1194" s="597"/>
      <c r="H1194" s="377">
        <v>1319999.999175</v>
      </c>
      <c r="I1194" s="596">
        <f t="shared" si="123"/>
        <v>0</v>
      </c>
      <c r="J1194" s="81"/>
      <c r="K1194" s="81"/>
      <c r="L1194" s="597">
        <v>3017</v>
      </c>
      <c r="M1194" s="81" t="str">
        <f>+IFERROR(VLOOKUP(L1194,DATA!$G$4:$H$2000,2,FALSE),"")</f>
        <v xml:space="preserve">ВОС ХХК </v>
      </c>
      <c r="N1194" s="166"/>
      <c r="O1194" s="81" t="str">
        <f>IFERROR(VLOOKUP(N1194,DATA!$K$4:$L$51,2,FALSE),"")</f>
        <v/>
      </c>
      <c r="P1194" s="81"/>
      <c r="Q1194" s="152">
        <f t="shared" si="124"/>
        <v>0</v>
      </c>
    </row>
    <row r="1195" spans="2:17">
      <c r="B1195" s="670">
        <f t="shared" si="114"/>
        <v>1190</v>
      </c>
      <c r="C1195" s="433">
        <v>42895</v>
      </c>
      <c r="D1195" s="377" t="s">
        <v>1355</v>
      </c>
      <c r="E1195" s="572">
        <v>100100</v>
      </c>
      <c r="F1195" s="672" t="str">
        <f>IFERROR(VLOOKUP(E1195,STAT1!$C$4:$D$1000,2,FALSE),"")</f>
        <v>Касс мөнгө MNT</v>
      </c>
      <c r="G1195" s="377"/>
      <c r="H1195" s="377">
        <v>20000</v>
      </c>
      <c r="I1195" s="596">
        <f t="shared" si="123"/>
        <v>-20000</v>
      </c>
      <c r="J1195" s="81">
        <f t="shared" ref="J1195:J1202" si="129">+IF(E1195=110102,I1195/K1195,0)</f>
        <v>0</v>
      </c>
      <c r="K1195" s="81"/>
      <c r="L1195" s="597">
        <v>1005</v>
      </c>
      <c r="M1195" s="81" t="str">
        <f>+IFERROR(VLOOKUP(L1195,DATA!$G$4:$H$2000,2,FALSE),"")</f>
        <v>Золжаргал</v>
      </c>
      <c r="N1195" s="435">
        <v>55</v>
      </c>
      <c r="O1195" s="81" t="str">
        <f>IFERROR(VLOOKUP(N1195,DATA!$K$4:$L$51,2,FALSE),"")</f>
        <v>Түлш, шатахуун, тээврийн хөлс, сэлбэг хэрэгсэлд төлсөн</v>
      </c>
      <c r="P1195" s="81"/>
      <c r="Q1195" s="152">
        <f t="shared" si="124"/>
        <v>1</v>
      </c>
    </row>
    <row r="1196" spans="2:17">
      <c r="B1196" s="670">
        <f t="shared" si="114"/>
        <v>1191</v>
      </c>
      <c r="C1196" s="433">
        <v>42895</v>
      </c>
      <c r="D1196" s="377" t="s">
        <v>1355</v>
      </c>
      <c r="E1196" s="572">
        <v>702000</v>
      </c>
      <c r="F1196" s="672" t="str">
        <f>IFERROR(VLOOKUP(E1196,STAT1!$C$4:$D$1000,2,FALSE),"")</f>
        <v>Түлш, шатахуун</v>
      </c>
      <c r="G1196" s="377">
        <v>20000</v>
      </c>
      <c r="H1196" s="377">
        <v>0</v>
      </c>
      <c r="I1196" s="596">
        <f t="shared" si="123"/>
        <v>0</v>
      </c>
      <c r="J1196" s="81">
        <f t="shared" si="129"/>
        <v>0</v>
      </c>
      <c r="K1196" s="81"/>
      <c r="L1196" s="597">
        <v>1005</v>
      </c>
      <c r="M1196" s="81" t="str">
        <f>+IFERROR(VLOOKUP(L1196,DATA!$G$4:$H$2000,2,FALSE),"")</f>
        <v>Золжаргал</v>
      </c>
      <c r="N1196" s="435"/>
      <c r="O1196" s="81" t="str">
        <f>IFERROR(VLOOKUP(N1196,DATA!$K$4:$L$51,2,FALSE),"")</f>
        <v/>
      </c>
      <c r="P1196" s="81"/>
      <c r="Q1196" s="152">
        <f t="shared" si="124"/>
        <v>0</v>
      </c>
    </row>
    <row r="1197" spans="2:17">
      <c r="B1197" s="670">
        <f t="shared" si="114"/>
        <v>1192</v>
      </c>
      <c r="C1197" s="433">
        <v>42896</v>
      </c>
      <c r="D1197" s="377" t="s">
        <v>1741</v>
      </c>
      <c r="E1197" s="572">
        <v>320100</v>
      </c>
      <c r="F1197" s="672" t="str">
        <f>IFERROR(VLOOKUP(E1197,STAT1!$C$4:$D$1000,2,FALSE),"")</f>
        <v>Урьдчилж орсон орлого MNT</v>
      </c>
      <c r="G1197" s="377"/>
      <c r="H1197" s="377">
        <v>897120</v>
      </c>
      <c r="I1197" s="596">
        <f t="shared" si="123"/>
        <v>0</v>
      </c>
      <c r="J1197" s="81">
        <f t="shared" si="129"/>
        <v>0</v>
      </c>
      <c r="K1197" s="81"/>
      <c r="L1197" s="597">
        <v>3039</v>
      </c>
      <c r="M1197" s="81" t="str">
        <f>+IFERROR(VLOOKUP(L1197,DATA!$G$4:$H$2000,2,FALSE),"")</f>
        <v xml:space="preserve">САССИР ХХК </v>
      </c>
      <c r="N1197" s="435"/>
      <c r="O1197" s="81" t="str">
        <f>IFERROR(VLOOKUP(N1197,DATA!$K$4:$L$51,2,FALSE),"")</f>
        <v/>
      </c>
      <c r="P1197" s="81"/>
      <c r="Q1197" s="152">
        <f t="shared" si="124"/>
        <v>0</v>
      </c>
    </row>
    <row r="1198" spans="2:17">
      <c r="B1198" s="670">
        <f t="shared" si="114"/>
        <v>1193</v>
      </c>
      <c r="C1198" s="433">
        <v>42896</v>
      </c>
      <c r="D1198" s="377" t="s">
        <v>1741</v>
      </c>
      <c r="E1198" s="572">
        <v>100100</v>
      </c>
      <c r="F1198" s="672" t="str">
        <f>IFERROR(VLOOKUP(E1198,STAT1!$C$4:$D$1000,2,FALSE),"")</f>
        <v>Касс мөнгө MNT</v>
      </c>
      <c r="G1198" s="377">
        <v>897120</v>
      </c>
      <c r="H1198" s="377">
        <v>0</v>
      </c>
      <c r="I1198" s="596">
        <f t="shared" si="123"/>
        <v>897120</v>
      </c>
      <c r="J1198" s="81">
        <f t="shared" si="129"/>
        <v>0</v>
      </c>
      <c r="K1198" s="81"/>
      <c r="L1198" s="597">
        <v>3039</v>
      </c>
      <c r="M1198" s="81" t="str">
        <f>+IFERROR(VLOOKUP(L1198,DATA!$G$4:$H$2000,2,FALSE),"")</f>
        <v xml:space="preserve">САССИР ХХК </v>
      </c>
      <c r="N1198" s="435">
        <v>41</v>
      </c>
      <c r="O1198" s="81" t="str">
        <f>IFERROR(VLOOKUP(N1198,DATA!$K$4:$L$51,2,FALSE),"")</f>
        <v>Бараа борлуулсан, үйлчилгээ үзүүлсэний орлого</v>
      </c>
      <c r="P1198" s="81"/>
      <c r="Q1198" s="152">
        <f t="shared" si="124"/>
        <v>1</v>
      </c>
    </row>
    <row r="1199" spans="2:17">
      <c r="B1199" s="670">
        <f t="shared" si="114"/>
        <v>1194</v>
      </c>
      <c r="C1199" s="433">
        <v>42896</v>
      </c>
      <c r="D1199" s="377" t="s">
        <v>1741</v>
      </c>
      <c r="E1199" s="572">
        <v>320100</v>
      </c>
      <c r="F1199" s="672" t="str">
        <f>IFERROR(VLOOKUP(E1199,STAT1!$C$4:$D$1000,2,FALSE),"")</f>
        <v>Урьдчилж орсон орлого MNT</v>
      </c>
      <c r="G1199" s="377"/>
      <c r="H1199" s="377">
        <v>881100</v>
      </c>
      <c r="I1199" s="596">
        <f t="shared" si="123"/>
        <v>0</v>
      </c>
      <c r="J1199" s="81">
        <f t="shared" si="129"/>
        <v>0</v>
      </c>
      <c r="K1199" s="81"/>
      <c r="L1199" s="597">
        <v>3073</v>
      </c>
      <c r="M1199" s="81" t="str">
        <f>+IFERROR(VLOOKUP(L1199,DATA!$G$4:$H$2000,2,FALSE),"")</f>
        <v>ХАНГАЛ КОНСТРАКШН ХХК</v>
      </c>
      <c r="N1199" s="435"/>
      <c r="O1199" s="81" t="str">
        <f>IFERROR(VLOOKUP(N1199,DATA!$K$4:$L$51,2,FALSE),"")</f>
        <v/>
      </c>
      <c r="P1199" s="81"/>
      <c r="Q1199" s="152">
        <f t="shared" si="124"/>
        <v>0</v>
      </c>
    </row>
    <row r="1200" spans="2:17">
      <c r="B1200" s="670">
        <f t="shared" si="114"/>
        <v>1195</v>
      </c>
      <c r="C1200" s="433">
        <v>42896</v>
      </c>
      <c r="D1200" s="377" t="s">
        <v>1741</v>
      </c>
      <c r="E1200" s="572">
        <v>100100</v>
      </c>
      <c r="F1200" s="672" t="str">
        <f>IFERROR(VLOOKUP(E1200,STAT1!$C$4:$D$1000,2,FALSE),"")</f>
        <v>Касс мөнгө MNT</v>
      </c>
      <c r="G1200" s="377">
        <v>881100</v>
      </c>
      <c r="H1200" s="377">
        <v>0</v>
      </c>
      <c r="I1200" s="596">
        <f t="shared" si="123"/>
        <v>881100</v>
      </c>
      <c r="J1200" s="81">
        <f t="shared" si="129"/>
        <v>0</v>
      </c>
      <c r="K1200" s="81"/>
      <c r="L1200" s="597">
        <v>3073</v>
      </c>
      <c r="M1200" s="81" t="str">
        <f>+IFERROR(VLOOKUP(L1200,DATA!$G$4:$H$2000,2,FALSE),"")</f>
        <v>ХАНГАЛ КОНСТРАКШН ХХК</v>
      </c>
      <c r="N1200" s="435">
        <v>41</v>
      </c>
      <c r="O1200" s="81" t="str">
        <f>IFERROR(VLOOKUP(N1200,DATA!$K$4:$L$51,2,FALSE),"")</f>
        <v>Бараа борлуулсан, үйлчилгээ үзүүлсэний орлого</v>
      </c>
      <c r="P1200" s="81"/>
      <c r="Q1200" s="152">
        <f t="shared" si="124"/>
        <v>1</v>
      </c>
    </row>
    <row r="1201" spans="2:17">
      <c r="B1201" s="670">
        <f t="shared" si="114"/>
        <v>1196</v>
      </c>
      <c r="C1201" s="433">
        <v>42896</v>
      </c>
      <c r="D1201" s="377" t="s">
        <v>1741</v>
      </c>
      <c r="E1201" s="572">
        <v>320100</v>
      </c>
      <c r="F1201" s="672" t="str">
        <f>IFERROR(VLOOKUP(E1201,STAT1!$C$4:$D$1000,2,FALSE),"")</f>
        <v>Урьдчилж орсон орлого MNT</v>
      </c>
      <c r="G1201" s="377"/>
      <c r="H1201" s="377">
        <v>752640</v>
      </c>
      <c r="I1201" s="596">
        <f t="shared" si="123"/>
        <v>0</v>
      </c>
      <c r="J1201" s="81">
        <f t="shared" si="129"/>
        <v>0</v>
      </c>
      <c r="K1201" s="81"/>
      <c r="L1201" s="597">
        <v>4001</v>
      </c>
      <c r="M1201" s="81" t="str">
        <f>+IFERROR(VLOOKUP(L1201,DATA!$G$4:$H$2000,2,FALSE),"")</f>
        <v>Сайннямбуу</v>
      </c>
      <c r="N1201" s="435"/>
      <c r="O1201" s="81" t="str">
        <f>IFERROR(VLOOKUP(N1201,DATA!$K$4:$L$51,2,FALSE),"")</f>
        <v/>
      </c>
      <c r="P1201" s="81"/>
      <c r="Q1201" s="152">
        <f t="shared" si="124"/>
        <v>0</v>
      </c>
    </row>
    <row r="1202" spans="2:17">
      <c r="B1202" s="670">
        <f t="shared" si="114"/>
        <v>1197</v>
      </c>
      <c r="C1202" s="433">
        <v>42896</v>
      </c>
      <c r="D1202" s="377" t="s">
        <v>1741</v>
      </c>
      <c r="E1202" s="572">
        <v>100100</v>
      </c>
      <c r="F1202" s="672" t="str">
        <f>IFERROR(VLOOKUP(E1202,STAT1!$C$4:$D$1000,2,FALSE),"")</f>
        <v>Касс мөнгө MNT</v>
      </c>
      <c r="G1202" s="377">
        <v>752640</v>
      </c>
      <c r="H1202" s="377">
        <v>0</v>
      </c>
      <c r="I1202" s="596">
        <f t="shared" si="123"/>
        <v>752640</v>
      </c>
      <c r="J1202" s="81">
        <f t="shared" si="129"/>
        <v>0</v>
      </c>
      <c r="K1202" s="81"/>
      <c r="L1202" s="597">
        <v>4002</v>
      </c>
      <c r="M1202" s="81" t="str">
        <f>+IFERROR(VLOOKUP(L1202,DATA!$G$4:$H$2000,2,FALSE),"")</f>
        <v xml:space="preserve">Хувь хүн </v>
      </c>
      <c r="N1202" s="435">
        <v>41</v>
      </c>
      <c r="O1202" s="81" t="str">
        <f>IFERROR(VLOOKUP(N1202,DATA!$K$4:$L$51,2,FALSE),"")</f>
        <v>Бараа борлуулсан, үйлчилгээ үзүүлсэний орлого</v>
      </c>
      <c r="P1202" s="81"/>
      <c r="Q1202" s="152">
        <f t="shared" si="124"/>
        <v>1</v>
      </c>
    </row>
    <row r="1203" spans="2:17">
      <c r="B1203" s="670">
        <f t="shared" si="114"/>
        <v>1198</v>
      </c>
      <c r="C1203" s="601">
        <v>42896</v>
      </c>
      <c r="D1203" s="377" t="s">
        <v>2698</v>
      </c>
      <c r="E1203" s="573">
        <v>150101</v>
      </c>
      <c r="F1203" s="672" t="str">
        <f>IFERROR(VLOOKUP(E1203,STAT1!$C$4:$D$8000,2,FALSE),"")</f>
        <v>Бараа бэлэн бүтээгдэхүүн БОЛОВСРУУЛАХ ЦЕХ /нарс/</v>
      </c>
      <c r="G1203" s="597"/>
      <c r="H1203" s="377">
        <v>350260.47899999999</v>
      </c>
      <c r="I1203" s="596">
        <f t="shared" si="123"/>
        <v>0</v>
      </c>
      <c r="J1203" s="81"/>
      <c r="K1203" s="81"/>
      <c r="L1203" s="597">
        <v>3073</v>
      </c>
      <c r="M1203" s="81" t="str">
        <f>+IFERROR(VLOOKUP(L1203,DATA!$G$4:$H$2000,2,FALSE),"")</f>
        <v>ХАНГАЛ КОНСТРАКШН ХХК</v>
      </c>
      <c r="N1203" s="166"/>
      <c r="O1203" s="81" t="str">
        <f>IFERROR(VLOOKUP(N1203,DATA!$K$4:$L$51,2,FALSE),"")</f>
        <v/>
      </c>
      <c r="P1203" s="81"/>
      <c r="Q1203" s="152">
        <f t="shared" si="124"/>
        <v>0</v>
      </c>
    </row>
    <row r="1204" spans="2:17">
      <c r="B1204" s="670">
        <f t="shared" si="114"/>
        <v>1199</v>
      </c>
      <c r="C1204" s="601">
        <v>42896</v>
      </c>
      <c r="D1204" s="377" t="s">
        <v>587</v>
      </c>
      <c r="E1204" s="572">
        <v>610100</v>
      </c>
      <c r="F1204" s="672" t="str">
        <f>IFERROR(VLOOKUP(E1204,STAT1!$C$4:$D$8000,2,FALSE),"")</f>
        <v>Борлуулсан барааны өртөг</v>
      </c>
      <c r="G1204" s="377">
        <v>350260.47899999999</v>
      </c>
      <c r="H1204" s="597"/>
      <c r="I1204" s="596">
        <f t="shared" si="123"/>
        <v>0</v>
      </c>
      <c r="J1204" s="81"/>
      <c r="K1204" s="81"/>
      <c r="L1204" s="597">
        <v>3073</v>
      </c>
      <c r="M1204" s="81" t="str">
        <f>+IFERROR(VLOOKUP(L1204,DATA!$G$4:$H$2000,2,FALSE),"")</f>
        <v>ХАНГАЛ КОНСТРАКШН ХХК</v>
      </c>
      <c r="N1204" s="166"/>
      <c r="O1204" s="81" t="str">
        <f>IFERROR(VLOOKUP(N1204,DATA!$K$4:$L$51,2,FALSE),"")</f>
        <v/>
      </c>
      <c r="P1204" s="81"/>
      <c r="Q1204" s="152">
        <f t="shared" si="124"/>
        <v>0</v>
      </c>
    </row>
    <row r="1205" spans="2:17">
      <c r="B1205" s="670">
        <f t="shared" si="114"/>
        <v>1200</v>
      </c>
      <c r="C1205" s="601">
        <v>42896</v>
      </c>
      <c r="D1205" s="377" t="s">
        <v>587</v>
      </c>
      <c r="E1205" s="572">
        <v>310500</v>
      </c>
      <c r="F1205" s="672" t="str">
        <f>IFERROR(VLOOKUP(E1205,STAT1!$C$4:$D$8000,2,FALSE),"")</f>
        <v>НӨАТ өглөг</v>
      </c>
      <c r="G1205" s="597"/>
      <c r="H1205" s="377">
        <v>80100</v>
      </c>
      <c r="I1205" s="596">
        <f t="shared" si="123"/>
        <v>0</v>
      </c>
      <c r="J1205" s="81"/>
      <c r="K1205" s="81"/>
      <c r="L1205" s="597">
        <v>3073</v>
      </c>
      <c r="M1205" s="81" t="str">
        <f>+IFERROR(VLOOKUP(L1205,DATA!$G$4:$H$2000,2,FALSE),"")</f>
        <v>ХАНГАЛ КОНСТРАКШН ХХК</v>
      </c>
      <c r="N1205" s="166"/>
      <c r="O1205" s="81" t="str">
        <f>IFERROR(VLOOKUP(N1205,DATA!$K$4:$L$51,2,FALSE),"")</f>
        <v/>
      </c>
      <c r="P1205" s="81"/>
      <c r="Q1205" s="152">
        <f t="shared" si="124"/>
        <v>0</v>
      </c>
    </row>
    <row r="1206" spans="2:17">
      <c r="B1206" s="670">
        <f t="shared" si="114"/>
        <v>1201</v>
      </c>
      <c r="C1206" s="601">
        <v>42896</v>
      </c>
      <c r="D1206" s="377" t="s">
        <v>587</v>
      </c>
      <c r="E1206" s="572">
        <v>510000</v>
      </c>
      <c r="F1206" s="672" t="str">
        <f>IFERROR(VLOOKUP(E1206,STAT1!$C$4:$D$8000,2,FALSE),"")</f>
        <v>Үндсэн үйл ажиллагааны борлуулалт</v>
      </c>
      <c r="G1206" s="597"/>
      <c r="H1206" s="377">
        <v>801000</v>
      </c>
      <c r="I1206" s="596">
        <f t="shared" si="123"/>
        <v>0</v>
      </c>
      <c r="J1206" s="81"/>
      <c r="K1206" s="81"/>
      <c r="L1206" s="597">
        <v>3073</v>
      </c>
      <c r="M1206" s="81" t="str">
        <f>+IFERROR(VLOOKUP(L1206,DATA!$G$4:$H$2000,2,FALSE),"")</f>
        <v>ХАНГАЛ КОНСТРАКШН ХХК</v>
      </c>
      <c r="N1206" s="166"/>
      <c r="O1206" s="81" t="str">
        <f>IFERROR(VLOOKUP(N1206,DATA!$K$4:$L$51,2,FALSE),"")</f>
        <v/>
      </c>
      <c r="P1206" s="81"/>
      <c r="Q1206" s="152">
        <f t="shared" si="124"/>
        <v>0</v>
      </c>
    </row>
    <row r="1207" spans="2:17">
      <c r="B1207" s="670">
        <f t="shared" si="114"/>
        <v>1202</v>
      </c>
      <c r="C1207" s="601">
        <v>42896</v>
      </c>
      <c r="D1207" s="377" t="s">
        <v>587</v>
      </c>
      <c r="E1207" s="572">
        <v>320100</v>
      </c>
      <c r="F1207" s="672" t="str">
        <f>IFERROR(VLOOKUP(E1207,STAT1!$C$4:$D$8000,2,FALSE),"")</f>
        <v>Урьдчилж орсон орлого MNT</v>
      </c>
      <c r="G1207" s="377">
        <v>881100</v>
      </c>
      <c r="H1207" s="597"/>
      <c r="I1207" s="596">
        <f t="shared" si="123"/>
        <v>0</v>
      </c>
      <c r="J1207" s="81"/>
      <c r="K1207" s="81"/>
      <c r="L1207" s="597">
        <v>3073</v>
      </c>
      <c r="M1207" s="81" t="str">
        <f>+IFERROR(VLOOKUP(L1207,DATA!$G$4:$H$2000,2,FALSE),"")</f>
        <v>ХАНГАЛ КОНСТРАКШН ХХК</v>
      </c>
      <c r="N1207" s="166"/>
      <c r="O1207" s="81" t="str">
        <f>IFERROR(VLOOKUP(N1207,DATA!$K$4:$L$51,2,FALSE),"")</f>
        <v/>
      </c>
      <c r="P1207" s="81"/>
      <c r="Q1207" s="152">
        <f t="shared" si="124"/>
        <v>0</v>
      </c>
    </row>
    <row r="1208" spans="2:17">
      <c r="B1208" s="670">
        <f t="shared" si="114"/>
        <v>1203</v>
      </c>
      <c r="C1208" s="601">
        <v>42896</v>
      </c>
      <c r="D1208" s="377" t="s">
        <v>2698</v>
      </c>
      <c r="E1208" s="573">
        <v>150101</v>
      </c>
      <c r="F1208" s="672" t="str">
        <f>IFERROR(VLOOKUP(E1208,STAT1!$C$4:$D$8000,2,FALSE),"")</f>
        <v>Бараа бэлэн бүтээгдэхүүн БОЛОВСРУУЛАХ ЦЕХ /нарс/</v>
      </c>
      <c r="G1208" s="673"/>
      <c r="H1208" s="372">
        <v>247376.56894697994</v>
      </c>
      <c r="I1208" s="596">
        <f t="shared" si="123"/>
        <v>0</v>
      </c>
      <c r="J1208" s="81"/>
      <c r="K1208" s="81"/>
      <c r="L1208" s="597">
        <v>3071</v>
      </c>
      <c r="M1208" s="81" t="str">
        <f>+IFERROR(VLOOKUP(L1208,DATA!$G$4:$H$2000,2,FALSE),"")</f>
        <v>ЭЛ ВИ ЭЙС ХХК</v>
      </c>
      <c r="N1208" s="166"/>
      <c r="O1208" s="81" t="str">
        <f>IFERROR(VLOOKUP(N1208,DATA!$K$4:$L$51,2,FALSE),"")</f>
        <v/>
      </c>
      <c r="P1208" s="81"/>
      <c r="Q1208" s="152">
        <f t="shared" si="124"/>
        <v>0</v>
      </c>
    </row>
    <row r="1209" spans="2:17">
      <c r="B1209" s="670">
        <f t="shared" si="114"/>
        <v>1204</v>
      </c>
      <c r="C1209" s="601">
        <v>42896</v>
      </c>
      <c r="D1209" s="377" t="s">
        <v>587</v>
      </c>
      <c r="E1209" s="572">
        <v>610100</v>
      </c>
      <c r="F1209" s="672" t="str">
        <f>IFERROR(VLOOKUP(E1209,STAT1!$C$4:$D$8000,2,FALSE),"")</f>
        <v>Борлуулсан барааны өртөг</v>
      </c>
      <c r="G1209" s="372">
        <v>247376.56894697994</v>
      </c>
      <c r="H1209" s="681"/>
      <c r="I1209" s="596">
        <f t="shared" si="123"/>
        <v>0</v>
      </c>
      <c r="J1209" s="81"/>
      <c r="K1209" s="81"/>
      <c r="L1209" s="597">
        <v>3071</v>
      </c>
      <c r="M1209" s="81" t="str">
        <f>+IFERROR(VLOOKUP(L1209,DATA!$G$4:$H$2000,2,FALSE),"")</f>
        <v>ЭЛ ВИ ЭЙС ХХК</v>
      </c>
      <c r="N1209" s="166"/>
      <c r="O1209" s="81" t="str">
        <f>IFERROR(VLOOKUP(N1209,DATA!$K$4:$L$51,2,FALSE),"")</f>
        <v/>
      </c>
      <c r="P1209" s="81"/>
      <c r="Q1209" s="152">
        <f t="shared" si="124"/>
        <v>0</v>
      </c>
    </row>
    <row r="1210" spans="2:17">
      <c r="B1210" s="670">
        <f t="shared" si="114"/>
        <v>1205</v>
      </c>
      <c r="C1210" s="601">
        <v>42896</v>
      </c>
      <c r="D1210" s="377" t="s">
        <v>587</v>
      </c>
      <c r="E1210" s="572">
        <v>310500</v>
      </c>
      <c r="F1210" s="672" t="str">
        <f>IFERROR(VLOOKUP(E1210,STAT1!$C$4:$D$8000,2,FALSE),"")</f>
        <v>НӨАТ өглөг</v>
      </c>
      <c r="G1210" s="597"/>
      <c r="H1210" s="377">
        <v>42260.3638747</v>
      </c>
      <c r="I1210" s="596">
        <f t="shared" si="123"/>
        <v>0</v>
      </c>
      <c r="J1210" s="81"/>
      <c r="K1210" s="81"/>
      <c r="L1210" s="597">
        <v>3071</v>
      </c>
      <c r="M1210" s="81" t="str">
        <f>+IFERROR(VLOOKUP(L1210,DATA!$G$4:$H$2000,2,FALSE),"")</f>
        <v>ЭЛ ВИ ЭЙС ХХК</v>
      </c>
      <c r="N1210" s="166"/>
      <c r="O1210" s="81" t="str">
        <f>IFERROR(VLOOKUP(N1210,DATA!$K$4:$L$51,2,FALSE),"")</f>
        <v/>
      </c>
      <c r="P1210" s="81"/>
      <c r="Q1210" s="152">
        <f t="shared" si="124"/>
        <v>0</v>
      </c>
    </row>
    <row r="1211" spans="2:17">
      <c r="B1211" s="670">
        <f t="shared" si="114"/>
        <v>1206</v>
      </c>
      <c r="C1211" s="601">
        <v>42896</v>
      </c>
      <c r="D1211" s="377" t="s">
        <v>587</v>
      </c>
      <c r="E1211" s="572">
        <v>510000</v>
      </c>
      <c r="F1211" s="672" t="str">
        <f>IFERROR(VLOOKUP(E1211,STAT1!$C$4:$D$8000,2,FALSE),"")</f>
        <v>Үндсэн үйл ажиллагааны борлуулалт</v>
      </c>
      <c r="G1211" s="597"/>
      <c r="H1211" s="377">
        <v>422603.63874699996</v>
      </c>
      <c r="I1211" s="596">
        <f t="shared" si="123"/>
        <v>0</v>
      </c>
      <c r="J1211" s="81"/>
      <c r="K1211" s="81"/>
      <c r="L1211" s="597">
        <v>3071</v>
      </c>
      <c r="M1211" s="81" t="str">
        <f>+IFERROR(VLOOKUP(L1211,DATA!$G$4:$H$2000,2,FALSE),"")</f>
        <v>ЭЛ ВИ ЭЙС ХХК</v>
      </c>
      <c r="N1211" s="166"/>
      <c r="O1211" s="81" t="str">
        <f>IFERROR(VLOOKUP(N1211,DATA!$K$4:$L$51,2,FALSE),"")</f>
        <v/>
      </c>
      <c r="P1211" s="81"/>
      <c r="Q1211" s="152">
        <f t="shared" si="124"/>
        <v>0</v>
      </c>
    </row>
    <row r="1212" spans="2:17">
      <c r="B1212" s="670">
        <f t="shared" ref="B1212:B1273" si="130">+IF(C1212="","",ROW()-5)</f>
        <v>1207</v>
      </c>
      <c r="C1212" s="601">
        <v>42896</v>
      </c>
      <c r="D1212" s="377" t="s">
        <v>587</v>
      </c>
      <c r="E1212" s="572">
        <v>320100</v>
      </c>
      <c r="F1212" s="672" t="str">
        <f>IFERROR(VLOOKUP(E1212,STAT1!$C$4:$D$8000,2,FALSE),"")</f>
        <v>Урьдчилж орсон орлого MNT</v>
      </c>
      <c r="G1212" s="377">
        <v>464864.00262169994</v>
      </c>
      <c r="H1212" s="597"/>
      <c r="I1212" s="596">
        <f t="shared" si="123"/>
        <v>0</v>
      </c>
      <c r="J1212" s="81"/>
      <c r="K1212" s="81"/>
      <c r="L1212" s="597">
        <v>3071</v>
      </c>
      <c r="M1212" s="81" t="str">
        <f>+IFERROR(VLOOKUP(L1212,DATA!$G$4:$H$2000,2,FALSE),"")</f>
        <v>ЭЛ ВИ ЭЙС ХХК</v>
      </c>
      <c r="N1212" s="166"/>
      <c r="O1212" s="81" t="str">
        <f>IFERROR(VLOOKUP(N1212,DATA!$K$4:$L$51,2,FALSE),"")</f>
        <v/>
      </c>
      <c r="P1212" s="81"/>
      <c r="Q1212" s="152">
        <f t="shared" si="124"/>
        <v>0</v>
      </c>
    </row>
    <row r="1213" spans="2:17">
      <c r="B1213" s="670">
        <f t="shared" si="130"/>
        <v>1208</v>
      </c>
      <c r="C1213" s="433">
        <v>42898</v>
      </c>
      <c r="D1213" s="598" t="s">
        <v>1741</v>
      </c>
      <c r="E1213" s="572">
        <v>110100</v>
      </c>
      <c r="F1213" s="672" t="str">
        <f>IFERROR(VLOOKUP(E1213,STAT1!$C$4:$D$1000,2,FALSE),"")</f>
        <v>Хаан Банк 5024654020</v>
      </c>
      <c r="G1213" s="377">
        <v>945000</v>
      </c>
      <c r="H1213" s="377"/>
      <c r="I1213" s="596">
        <f t="shared" si="123"/>
        <v>945000</v>
      </c>
      <c r="J1213" s="81">
        <f>+IF(E1213=110102,I1213/K1213,0)</f>
        <v>0</v>
      </c>
      <c r="K1213" s="81"/>
      <c r="L1213" s="597">
        <v>3066</v>
      </c>
      <c r="M1213" s="81" t="str">
        <f>+IFERROR(VLOOKUP(L1213,DATA!$G$4:$H$2000,2,FALSE),"")</f>
        <v>МСҮТөв</v>
      </c>
      <c r="N1213" s="435">
        <v>41</v>
      </c>
      <c r="O1213" s="81" t="str">
        <f>IFERROR(VLOOKUP(N1213,DATA!$K$4:$L$51,2,FALSE),"")</f>
        <v>Бараа борлуулсан, үйлчилгээ үзүүлсэний орлого</v>
      </c>
      <c r="P1213" s="81"/>
      <c r="Q1213" s="152">
        <f t="shared" si="124"/>
        <v>1</v>
      </c>
    </row>
    <row r="1214" spans="2:17">
      <c r="B1214" s="670">
        <f t="shared" si="130"/>
        <v>1209</v>
      </c>
      <c r="C1214" s="433">
        <v>42898</v>
      </c>
      <c r="D1214" s="598" t="s">
        <v>1741</v>
      </c>
      <c r="E1214" s="572">
        <v>320100</v>
      </c>
      <c r="F1214" s="672" t="str">
        <f>IFERROR(VLOOKUP(E1214,STAT1!$C$4:$D$1000,2,FALSE),"")</f>
        <v>Урьдчилж орсон орлого MNT</v>
      </c>
      <c r="G1214" s="377">
        <v>0</v>
      </c>
      <c r="H1214" s="377">
        <v>945000</v>
      </c>
      <c r="I1214" s="596">
        <f t="shared" si="123"/>
        <v>0</v>
      </c>
      <c r="J1214" s="81">
        <f>+IF(E1214=110102,I1214/K1214,0)</f>
        <v>0</v>
      </c>
      <c r="K1214" s="81"/>
      <c r="L1214" s="597">
        <v>3066</v>
      </c>
      <c r="M1214" s="81" t="str">
        <f>+IFERROR(VLOOKUP(L1214,DATA!$G$4:$H$2000,2,FALSE),"")</f>
        <v>МСҮТөв</v>
      </c>
      <c r="N1214" s="435"/>
      <c r="O1214" s="81" t="str">
        <f>IFERROR(VLOOKUP(N1214,DATA!$K$4:$L$51,2,FALSE),"")</f>
        <v/>
      </c>
      <c r="P1214" s="81"/>
      <c r="Q1214" s="152">
        <f t="shared" si="124"/>
        <v>0</v>
      </c>
    </row>
    <row r="1215" spans="2:17">
      <c r="B1215" s="670">
        <f t="shared" si="130"/>
        <v>1210</v>
      </c>
      <c r="C1215" s="601">
        <v>42898</v>
      </c>
      <c r="D1215" s="377" t="s">
        <v>2700</v>
      </c>
      <c r="E1215" s="573">
        <v>150101</v>
      </c>
      <c r="F1215" s="672" t="str">
        <f>IFERROR(VLOOKUP(E1215,STAT1!$C$4:$D$8000,2,FALSE),"")</f>
        <v>Бараа бэлэн бүтээгдэхүүн БОЛОВСРУУЛАХ ЦЕХ /нарс/</v>
      </c>
      <c r="G1215" s="673"/>
      <c r="H1215" s="372">
        <v>472976.2554718068</v>
      </c>
      <c r="I1215" s="596">
        <f t="shared" si="123"/>
        <v>0</v>
      </c>
      <c r="J1215" s="81"/>
      <c r="K1215" s="81"/>
      <c r="L1215" s="597">
        <v>3042</v>
      </c>
      <c r="M1215" s="81" t="str">
        <f>+IFERROR(VLOOKUP(L1215,DATA!$G$4:$H$2000,2,FALSE),"")</f>
        <v xml:space="preserve">ЖУРМАК ХХК </v>
      </c>
      <c r="N1215" s="166"/>
      <c r="O1215" s="81" t="str">
        <f>IFERROR(VLOOKUP(N1215,DATA!$K$4:$L$51,2,FALSE),"")</f>
        <v/>
      </c>
      <c r="P1215" s="81"/>
      <c r="Q1215" s="152">
        <f t="shared" si="124"/>
        <v>0</v>
      </c>
    </row>
    <row r="1216" spans="2:17">
      <c r="B1216" s="670">
        <f t="shared" si="130"/>
        <v>1211</v>
      </c>
      <c r="C1216" s="601">
        <v>42898</v>
      </c>
      <c r="D1216" s="377" t="s">
        <v>587</v>
      </c>
      <c r="E1216" s="572">
        <v>610100</v>
      </c>
      <c r="F1216" s="672" t="str">
        <f>IFERROR(VLOOKUP(E1216,STAT1!$C$4:$D$8000,2,FALSE),"")</f>
        <v>Борлуулсан барааны өртөг</v>
      </c>
      <c r="G1216" s="372">
        <v>472976.2554718068</v>
      </c>
      <c r="H1216" s="681"/>
      <c r="I1216" s="596">
        <f t="shared" si="123"/>
        <v>0</v>
      </c>
      <c r="J1216" s="81"/>
      <c r="K1216" s="81"/>
      <c r="L1216" s="597">
        <v>3042</v>
      </c>
      <c r="M1216" s="81" t="str">
        <f>+IFERROR(VLOOKUP(L1216,DATA!$G$4:$H$2000,2,FALSE),"")</f>
        <v xml:space="preserve">ЖУРМАК ХХК </v>
      </c>
      <c r="N1216" s="166"/>
      <c r="O1216" s="81" t="str">
        <f>IFERROR(VLOOKUP(N1216,DATA!$K$4:$L$51,2,FALSE),"")</f>
        <v/>
      </c>
      <c r="P1216" s="81"/>
      <c r="Q1216" s="152">
        <f t="shared" si="124"/>
        <v>0</v>
      </c>
    </row>
    <row r="1217" spans="2:17">
      <c r="B1217" s="670">
        <f t="shared" si="130"/>
        <v>1212</v>
      </c>
      <c r="C1217" s="601">
        <v>42898</v>
      </c>
      <c r="D1217" s="377" t="s">
        <v>587</v>
      </c>
      <c r="E1217" s="572">
        <v>310500</v>
      </c>
      <c r="F1217" s="672" t="str">
        <f>IFERROR(VLOOKUP(E1217,STAT1!$C$4:$D$8000,2,FALSE),"")</f>
        <v>НӨАТ өглөг</v>
      </c>
      <c r="G1217" s="597"/>
      <c r="H1217" s="377">
        <v>71596.363958000002</v>
      </c>
      <c r="I1217" s="596">
        <f t="shared" si="123"/>
        <v>0</v>
      </c>
      <c r="J1217" s="81"/>
      <c r="K1217" s="81"/>
      <c r="L1217" s="597">
        <v>3042</v>
      </c>
      <c r="M1217" s="81" t="str">
        <f>+IFERROR(VLOOKUP(L1217,DATA!$G$4:$H$2000,2,FALSE),"")</f>
        <v xml:space="preserve">ЖУРМАК ХХК </v>
      </c>
      <c r="N1217" s="166"/>
      <c r="O1217" s="81" t="str">
        <f>IFERROR(VLOOKUP(N1217,DATA!$K$4:$L$51,2,FALSE),"")</f>
        <v/>
      </c>
      <c r="P1217" s="81"/>
      <c r="Q1217" s="152">
        <f t="shared" si="124"/>
        <v>0</v>
      </c>
    </row>
    <row r="1218" spans="2:17">
      <c r="B1218" s="670">
        <f t="shared" si="130"/>
        <v>1213</v>
      </c>
      <c r="C1218" s="601">
        <v>42898</v>
      </c>
      <c r="D1218" s="377" t="s">
        <v>587</v>
      </c>
      <c r="E1218" s="572">
        <v>510000</v>
      </c>
      <c r="F1218" s="672" t="str">
        <f>IFERROR(VLOOKUP(E1218,STAT1!$C$4:$D$8000,2,FALSE),"")</f>
        <v>Үндсэн үйл ажиллагааны борлуулалт</v>
      </c>
      <c r="G1218" s="597"/>
      <c r="H1218" s="377">
        <v>715963.63957999996</v>
      </c>
      <c r="I1218" s="596">
        <f t="shared" si="123"/>
        <v>0</v>
      </c>
      <c r="J1218" s="81"/>
      <c r="K1218" s="81"/>
      <c r="L1218" s="597">
        <v>3042</v>
      </c>
      <c r="M1218" s="81" t="str">
        <f>+IFERROR(VLOOKUP(L1218,DATA!$G$4:$H$2000,2,FALSE),"")</f>
        <v xml:space="preserve">ЖУРМАК ХХК </v>
      </c>
      <c r="N1218" s="166"/>
      <c r="O1218" s="81" t="str">
        <f>IFERROR(VLOOKUP(N1218,DATA!$K$4:$L$51,2,FALSE),"")</f>
        <v/>
      </c>
      <c r="P1218" s="81"/>
      <c r="Q1218" s="152">
        <f t="shared" si="124"/>
        <v>0</v>
      </c>
    </row>
    <row r="1219" spans="2:17">
      <c r="B1219" s="670">
        <f t="shared" si="130"/>
        <v>1214</v>
      </c>
      <c r="C1219" s="601">
        <v>42898</v>
      </c>
      <c r="D1219" s="377" t="s">
        <v>587</v>
      </c>
      <c r="E1219" s="572">
        <v>320100</v>
      </c>
      <c r="F1219" s="672" t="str">
        <f>IFERROR(VLOOKUP(E1219,STAT1!$C$4:$D$8000,2,FALSE),"")</f>
        <v>Урьдчилж орсон орлого MNT</v>
      </c>
      <c r="G1219" s="377">
        <v>787560.00353799993</v>
      </c>
      <c r="H1219" s="597"/>
      <c r="I1219" s="596">
        <f t="shared" si="123"/>
        <v>0</v>
      </c>
      <c r="J1219" s="81"/>
      <c r="K1219" s="81"/>
      <c r="L1219" s="597">
        <v>3042</v>
      </c>
      <c r="M1219" s="81" t="str">
        <f>+IFERROR(VLOOKUP(L1219,DATA!$G$4:$H$2000,2,FALSE),"")</f>
        <v xml:space="preserve">ЖУРМАК ХХК </v>
      </c>
      <c r="N1219" s="166"/>
      <c r="O1219" s="81" t="str">
        <f>IFERROR(VLOOKUP(N1219,DATA!$K$4:$L$51,2,FALSE),"")</f>
        <v/>
      </c>
      <c r="P1219" s="81"/>
      <c r="Q1219" s="152">
        <f t="shared" si="124"/>
        <v>0</v>
      </c>
    </row>
    <row r="1220" spans="2:17">
      <c r="B1220" s="670">
        <f t="shared" si="130"/>
        <v>1215</v>
      </c>
      <c r="C1220" s="601">
        <v>42898</v>
      </c>
      <c r="D1220" s="377" t="s">
        <v>2700</v>
      </c>
      <c r="E1220" s="573">
        <v>150101</v>
      </c>
      <c r="F1220" s="672" t="str">
        <f>IFERROR(VLOOKUP(E1220,STAT1!$C$4:$D$8000,2,FALSE),"")</f>
        <v>Бараа бэлэн бүтээгдэхүүн БОЛОВСРУУЛАХ ЦЕХ /нарс/</v>
      </c>
      <c r="G1220" s="673"/>
      <c r="H1220" s="372">
        <v>1080901.4148593924</v>
      </c>
      <c r="I1220" s="596">
        <f t="shared" si="123"/>
        <v>0</v>
      </c>
      <c r="J1220" s="81"/>
      <c r="K1220" s="81"/>
      <c r="L1220" s="597">
        <v>3065</v>
      </c>
      <c r="M1220" s="81" t="str">
        <f>+IFERROR(VLOOKUP(L1220,DATA!$G$4:$H$2000,2,FALSE),"")</f>
        <v>СИТИ ПАЛАС ХХК</v>
      </c>
      <c r="N1220" s="166"/>
      <c r="O1220" s="81" t="str">
        <f>IFERROR(VLOOKUP(N1220,DATA!$K$4:$L$51,2,FALSE),"")</f>
        <v/>
      </c>
      <c r="P1220" s="81"/>
      <c r="Q1220" s="152">
        <f t="shared" si="124"/>
        <v>0</v>
      </c>
    </row>
    <row r="1221" spans="2:17">
      <c r="B1221" s="670">
        <f t="shared" si="130"/>
        <v>1216</v>
      </c>
      <c r="C1221" s="601">
        <v>42898</v>
      </c>
      <c r="D1221" s="377" t="s">
        <v>587</v>
      </c>
      <c r="E1221" s="572">
        <v>610100</v>
      </c>
      <c r="F1221" s="672" t="str">
        <f>IFERROR(VLOOKUP(E1221,STAT1!$C$4:$D$8000,2,FALSE),"")</f>
        <v>Борлуулсан барааны өртөг</v>
      </c>
      <c r="G1221" s="372">
        <v>1080901.4148593924</v>
      </c>
      <c r="H1221" s="681"/>
      <c r="I1221" s="596">
        <f t="shared" si="123"/>
        <v>0</v>
      </c>
      <c r="J1221" s="81"/>
      <c r="K1221" s="81"/>
      <c r="L1221" s="597">
        <v>3065</v>
      </c>
      <c r="M1221" s="81" t="str">
        <f>+IFERROR(VLOOKUP(L1221,DATA!$G$4:$H$2000,2,FALSE),"")</f>
        <v>СИТИ ПАЛАС ХХК</v>
      </c>
      <c r="N1221" s="166"/>
      <c r="O1221" s="81" t="str">
        <f>IFERROR(VLOOKUP(N1221,DATA!$K$4:$L$51,2,FALSE),"")</f>
        <v/>
      </c>
      <c r="P1221" s="81"/>
      <c r="Q1221" s="152">
        <f t="shared" si="124"/>
        <v>0</v>
      </c>
    </row>
    <row r="1222" spans="2:17">
      <c r="B1222" s="670">
        <f t="shared" si="130"/>
        <v>1217</v>
      </c>
      <c r="C1222" s="601">
        <v>42898</v>
      </c>
      <c r="D1222" s="377" t="s">
        <v>587</v>
      </c>
      <c r="E1222" s="572">
        <v>310500</v>
      </c>
      <c r="F1222" s="672" t="str">
        <f>IFERROR(VLOOKUP(E1222,STAT1!$C$4:$D$8000,2,FALSE),"")</f>
        <v>НӨАТ өглөг</v>
      </c>
      <c r="G1222" s="673"/>
      <c r="H1222" s="372">
        <v>163636.36385250001</v>
      </c>
      <c r="I1222" s="596">
        <f t="shared" ref="I1222:I1285" si="131">+IF(OR(E1222=100100,E1222=100200,E1222=110100,E1222=110102,E1222=110103,E1222=110104,E1222=110105,E1222=110200,E1222=110201,E1222=110202,E1222=110203,E1222=110204,E1222=110300),G1222,0)+IF(OR(E1222=100100,E1222=100200,E1222=110100,E1222=110102,E1222=110103,E1222=110104,E1222=110105,E1222=110200,E1222=110201,E1222=110202,E1222=110203,E1222=110204,E1222=110300),H1222*-1,0)</f>
        <v>0</v>
      </c>
      <c r="J1222" s="81"/>
      <c r="K1222" s="81"/>
      <c r="L1222" s="597">
        <v>3065</v>
      </c>
      <c r="M1222" s="81" t="str">
        <f>+IFERROR(VLOOKUP(L1222,DATA!$G$4:$H$2000,2,FALSE),"")</f>
        <v>СИТИ ПАЛАС ХХК</v>
      </c>
      <c r="N1222" s="166"/>
      <c r="O1222" s="81" t="str">
        <f>IFERROR(VLOOKUP(N1222,DATA!$K$4:$L$51,2,FALSE),"")</f>
        <v/>
      </c>
      <c r="P1222" s="81"/>
      <c r="Q1222" s="152">
        <f t="shared" si="124"/>
        <v>0</v>
      </c>
    </row>
    <row r="1223" spans="2:17">
      <c r="B1223" s="670">
        <f t="shared" si="130"/>
        <v>1218</v>
      </c>
      <c r="C1223" s="601">
        <v>42898</v>
      </c>
      <c r="D1223" s="377" t="s">
        <v>587</v>
      </c>
      <c r="E1223" s="572">
        <v>510000</v>
      </c>
      <c r="F1223" s="672" t="str">
        <f>IFERROR(VLOOKUP(E1223,STAT1!$C$4:$D$8000,2,FALSE),"")</f>
        <v>Үндсэн үйл ажиллагааны борлуулалт</v>
      </c>
      <c r="G1223" s="673"/>
      <c r="H1223" s="372">
        <v>1636363.6385250001</v>
      </c>
      <c r="I1223" s="596">
        <f t="shared" si="131"/>
        <v>0</v>
      </c>
      <c r="J1223" s="81"/>
      <c r="K1223" s="81"/>
      <c r="L1223" s="597">
        <v>3065</v>
      </c>
      <c r="M1223" s="81" t="str">
        <f>+IFERROR(VLOOKUP(L1223,DATA!$G$4:$H$2000,2,FALSE),"")</f>
        <v>СИТИ ПАЛАС ХХК</v>
      </c>
      <c r="N1223" s="166"/>
      <c r="O1223" s="81" t="str">
        <f>IFERROR(VLOOKUP(N1223,DATA!$K$4:$L$51,2,FALSE),"")</f>
        <v/>
      </c>
      <c r="P1223" s="81"/>
      <c r="Q1223" s="152">
        <f t="shared" ref="Q1223:Q1286" si="132">+IF(I1223,1,0)</f>
        <v>0</v>
      </c>
    </row>
    <row r="1224" spans="2:17">
      <c r="B1224" s="670">
        <f t="shared" si="130"/>
        <v>1219</v>
      </c>
      <c r="C1224" s="601">
        <v>42898</v>
      </c>
      <c r="D1224" s="377" t="s">
        <v>587</v>
      </c>
      <c r="E1224" s="572">
        <v>320100</v>
      </c>
      <c r="F1224" s="672" t="str">
        <f>IFERROR(VLOOKUP(E1224,STAT1!$C$4:$D$8000,2,FALSE),"")</f>
        <v>Урьдчилж орсон орлого MNT</v>
      </c>
      <c r="G1224" s="682">
        <v>1800000.0023775001</v>
      </c>
      <c r="H1224" s="681"/>
      <c r="I1224" s="596">
        <f t="shared" si="131"/>
        <v>0</v>
      </c>
      <c r="J1224" s="81"/>
      <c r="K1224" s="81"/>
      <c r="L1224" s="597">
        <v>3065</v>
      </c>
      <c r="M1224" s="81" t="str">
        <f>+IFERROR(VLOOKUP(L1224,DATA!$G$4:$H$2000,2,FALSE),"")</f>
        <v>СИТИ ПАЛАС ХХК</v>
      </c>
      <c r="N1224" s="166"/>
      <c r="O1224" s="81" t="str">
        <f>IFERROR(VLOOKUP(N1224,DATA!$K$4:$L$51,2,FALSE),"")</f>
        <v/>
      </c>
      <c r="P1224" s="81"/>
      <c r="Q1224" s="152">
        <f t="shared" si="132"/>
        <v>0</v>
      </c>
    </row>
    <row r="1225" spans="2:17">
      <c r="B1225" s="670">
        <f t="shared" si="130"/>
        <v>1220</v>
      </c>
      <c r="C1225" s="433">
        <v>42901</v>
      </c>
      <c r="D1225" s="377" t="s">
        <v>1741</v>
      </c>
      <c r="E1225" s="572">
        <v>320100</v>
      </c>
      <c r="F1225" s="672" t="str">
        <f>IFERROR(VLOOKUP(E1225,STAT1!$C$4:$D$1000,2,FALSE),"")</f>
        <v>Урьдчилж орсон орлого MNT</v>
      </c>
      <c r="G1225" s="377"/>
      <c r="H1225" s="377">
        <v>464864</v>
      </c>
      <c r="I1225" s="596">
        <f t="shared" si="131"/>
        <v>0</v>
      </c>
      <c r="J1225" s="81">
        <f t="shared" ref="J1225:J1233" si="133">+IF(E1225=110102,I1225/K1225,0)</f>
        <v>0</v>
      </c>
      <c r="K1225" s="81"/>
      <c r="L1225" s="597">
        <v>3071</v>
      </c>
      <c r="M1225" s="81" t="str">
        <f>+IFERROR(VLOOKUP(L1225,DATA!$G$4:$H$2000,2,FALSE),"")</f>
        <v>ЭЛ ВИ ЭЙС ХХК</v>
      </c>
      <c r="N1225" s="435"/>
      <c r="O1225" s="81" t="str">
        <f>IFERROR(VLOOKUP(N1225,DATA!$K$4:$L$51,2,FALSE),"")</f>
        <v/>
      </c>
      <c r="P1225" s="81"/>
      <c r="Q1225" s="152">
        <f t="shared" si="132"/>
        <v>0</v>
      </c>
    </row>
    <row r="1226" spans="2:17">
      <c r="B1226" s="670">
        <f t="shared" si="130"/>
        <v>1221</v>
      </c>
      <c r="C1226" s="433">
        <v>42901</v>
      </c>
      <c r="D1226" s="377" t="s">
        <v>1741</v>
      </c>
      <c r="E1226" s="572">
        <v>100100</v>
      </c>
      <c r="F1226" s="672" t="str">
        <f>IFERROR(VLOOKUP(E1226,STAT1!$C$4:$D$1000,2,FALSE),"")</f>
        <v>Касс мөнгө MNT</v>
      </c>
      <c r="G1226" s="377">
        <v>464864</v>
      </c>
      <c r="H1226" s="377">
        <v>0</v>
      </c>
      <c r="I1226" s="596">
        <f t="shared" si="131"/>
        <v>464864</v>
      </c>
      <c r="J1226" s="81">
        <f t="shared" si="133"/>
        <v>0</v>
      </c>
      <c r="K1226" s="81"/>
      <c r="L1226" s="597">
        <v>3071</v>
      </c>
      <c r="M1226" s="81" t="str">
        <f>+IFERROR(VLOOKUP(L1226,DATA!$G$4:$H$2000,2,FALSE),"")</f>
        <v>ЭЛ ВИ ЭЙС ХХК</v>
      </c>
      <c r="N1226" s="435">
        <v>41</v>
      </c>
      <c r="O1226" s="81" t="str">
        <f>IFERROR(VLOOKUP(N1226,DATA!$K$4:$L$51,2,FALSE),"")</f>
        <v>Бараа борлуулсан, үйлчилгээ үзүүлсэний орлого</v>
      </c>
      <c r="P1226" s="81"/>
      <c r="Q1226" s="152">
        <f t="shared" si="132"/>
        <v>1</v>
      </c>
    </row>
    <row r="1227" spans="2:17">
      <c r="B1227" s="670">
        <f t="shared" si="130"/>
        <v>1222</v>
      </c>
      <c r="C1227" s="433">
        <v>42901</v>
      </c>
      <c r="D1227" s="377" t="s">
        <v>1741</v>
      </c>
      <c r="E1227" s="572">
        <v>320100</v>
      </c>
      <c r="F1227" s="672" t="str">
        <f>IFERROR(VLOOKUP(E1227,STAT1!$C$4:$D$1000,2,FALSE),"")</f>
        <v>Урьдчилж орсон орлого MNT</v>
      </c>
      <c r="G1227" s="377"/>
      <c r="H1227" s="377">
        <v>49500</v>
      </c>
      <c r="I1227" s="596">
        <f t="shared" si="131"/>
        <v>0</v>
      </c>
      <c r="J1227" s="81">
        <f t="shared" si="133"/>
        <v>0</v>
      </c>
      <c r="K1227" s="81"/>
      <c r="L1227" s="597">
        <v>3061</v>
      </c>
      <c r="M1227" s="81" t="str">
        <f>+IFERROR(VLOOKUP(L1227,DATA!$G$4:$H$2000,2,FALSE),"")</f>
        <v>СТИМО ХХК</v>
      </c>
      <c r="N1227" s="435"/>
      <c r="O1227" s="81" t="str">
        <f>IFERROR(VLOOKUP(N1227,DATA!$K$4:$L$51,2,FALSE),"")</f>
        <v/>
      </c>
      <c r="P1227" s="81"/>
      <c r="Q1227" s="152">
        <f t="shared" si="132"/>
        <v>0</v>
      </c>
    </row>
    <row r="1228" spans="2:17">
      <c r="B1228" s="670">
        <f t="shared" si="130"/>
        <v>1223</v>
      </c>
      <c r="C1228" s="433">
        <v>42901</v>
      </c>
      <c r="D1228" s="377" t="s">
        <v>1741</v>
      </c>
      <c r="E1228" s="572">
        <v>100100</v>
      </c>
      <c r="F1228" s="672" t="str">
        <f>IFERROR(VLOOKUP(E1228,STAT1!$C$4:$D$1000,2,FALSE),"")</f>
        <v>Касс мөнгө MNT</v>
      </c>
      <c r="G1228" s="377">
        <v>49500</v>
      </c>
      <c r="H1228" s="377">
        <v>0</v>
      </c>
      <c r="I1228" s="596">
        <f t="shared" si="131"/>
        <v>49500</v>
      </c>
      <c r="J1228" s="81">
        <f t="shared" si="133"/>
        <v>0</v>
      </c>
      <c r="K1228" s="81"/>
      <c r="L1228" s="597">
        <v>3061</v>
      </c>
      <c r="M1228" s="81" t="str">
        <f>+IFERROR(VLOOKUP(L1228,DATA!$G$4:$H$2000,2,FALSE),"")</f>
        <v>СТИМО ХХК</v>
      </c>
      <c r="N1228" s="435">
        <v>41</v>
      </c>
      <c r="O1228" s="81" t="str">
        <f>IFERROR(VLOOKUP(N1228,DATA!$K$4:$L$51,2,FALSE),"")</f>
        <v>Бараа борлуулсан, үйлчилгээ үзүүлсэний орлого</v>
      </c>
      <c r="P1228" s="81"/>
      <c r="Q1228" s="152">
        <f t="shared" si="132"/>
        <v>1</v>
      </c>
    </row>
    <row r="1229" spans="2:17">
      <c r="B1229" s="670">
        <f t="shared" si="130"/>
        <v>1224</v>
      </c>
      <c r="C1229" s="433">
        <v>42901</v>
      </c>
      <c r="D1229" s="377" t="s">
        <v>1741</v>
      </c>
      <c r="E1229" s="572">
        <v>320100</v>
      </c>
      <c r="F1229" s="672" t="str">
        <f>IFERROR(VLOOKUP(E1229,STAT1!$C$4:$D$1000,2,FALSE),"")</f>
        <v>Урьдчилж орсон орлого MNT</v>
      </c>
      <c r="G1229" s="377"/>
      <c r="H1229" s="377">
        <v>445500</v>
      </c>
      <c r="I1229" s="596">
        <f t="shared" si="131"/>
        <v>0</v>
      </c>
      <c r="J1229" s="81">
        <f t="shared" si="133"/>
        <v>0</v>
      </c>
      <c r="K1229" s="81"/>
      <c r="L1229" s="597">
        <v>3042</v>
      </c>
      <c r="M1229" s="81" t="str">
        <f>+IFERROR(VLOOKUP(L1229,DATA!$G$4:$H$2000,2,FALSE),"")</f>
        <v xml:space="preserve">ЖУРМАК ХХК </v>
      </c>
      <c r="N1229" s="435"/>
      <c r="O1229" s="81" t="str">
        <f>IFERROR(VLOOKUP(N1229,DATA!$K$4:$L$51,2,FALSE),"")</f>
        <v/>
      </c>
      <c r="P1229" s="81"/>
      <c r="Q1229" s="152">
        <f t="shared" si="132"/>
        <v>0</v>
      </c>
    </row>
    <row r="1230" spans="2:17">
      <c r="B1230" s="670">
        <f t="shared" si="130"/>
        <v>1225</v>
      </c>
      <c r="C1230" s="433">
        <v>42901</v>
      </c>
      <c r="D1230" s="377" t="s">
        <v>1741</v>
      </c>
      <c r="E1230" s="572">
        <v>100100</v>
      </c>
      <c r="F1230" s="672" t="str">
        <f>IFERROR(VLOOKUP(E1230,STAT1!$C$4:$D$1000,2,FALSE),"")</f>
        <v>Касс мөнгө MNT</v>
      </c>
      <c r="G1230" s="377">
        <v>445500</v>
      </c>
      <c r="H1230" s="377">
        <v>0</v>
      </c>
      <c r="I1230" s="596">
        <f t="shared" si="131"/>
        <v>445500</v>
      </c>
      <c r="J1230" s="81">
        <f t="shared" si="133"/>
        <v>0</v>
      </c>
      <c r="K1230" s="81"/>
      <c r="L1230" s="597">
        <v>3042</v>
      </c>
      <c r="M1230" s="81" t="str">
        <f>+IFERROR(VLOOKUP(L1230,DATA!$G$4:$H$2000,2,FALSE),"")</f>
        <v xml:space="preserve">ЖУРМАК ХХК </v>
      </c>
      <c r="N1230" s="435">
        <v>41</v>
      </c>
      <c r="O1230" s="81" t="str">
        <f>IFERROR(VLOOKUP(N1230,DATA!$K$4:$L$51,2,FALSE),"")</f>
        <v>Бараа борлуулсан, үйлчилгээ үзүүлсэний орлого</v>
      </c>
      <c r="P1230" s="81"/>
      <c r="Q1230" s="152">
        <f t="shared" si="132"/>
        <v>1</v>
      </c>
    </row>
    <row r="1231" spans="2:17">
      <c r="B1231" s="670">
        <f t="shared" si="130"/>
        <v>1226</v>
      </c>
      <c r="C1231" s="433">
        <v>42901</v>
      </c>
      <c r="D1231" s="598" t="s">
        <v>1745</v>
      </c>
      <c r="E1231" s="572">
        <v>701900</v>
      </c>
      <c r="F1231" s="672" t="str">
        <f>IFERROR(VLOOKUP(E1231,STAT1!$C$4:$D$1000,2,FALSE),"")</f>
        <v>Харилцаа холбоо</v>
      </c>
      <c r="G1231" s="377">
        <v>27272.73</v>
      </c>
      <c r="H1231" s="377">
        <v>0</v>
      </c>
      <c r="I1231" s="596">
        <f t="shared" si="131"/>
        <v>0</v>
      </c>
      <c r="J1231" s="81">
        <f t="shared" si="133"/>
        <v>0</v>
      </c>
      <c r="K1231" s="81"/>
      <c r="L1231" s="597">
        <v>2006</v>
      </c>
      <c r="M1231" s="81" t="str">
        <f>+IFERROR(VLOOKUP(L1231,DATA!$G$4:$H$2000,2,FALSE),"")</f>
        <v xml:space="preserve">МЦХОЛБОО </v>
      </c>
      <c r="N1231" s="435"/>
      <c r="O1231" s="81" t="str">
        <f>IFERROR(VLOOKUP(N1231,DATA!$K$4:$L$51,2,FALSE),"")</f>
        <v/>
      </c>
      <c r="P1231" s="81"/>
      <c r="Q1231" s="152">
        <f t="shared" si="132"/>
        <v>0</v>
      </c>
    </row>
    <row r="1232" spans="2:17">
      <c r="B1232" s="670">
        <f t="shared" si="130"/>
        <v>1227</v>
      </c>
      <c r="C1232" s="433">
        <v>42901</v>
      </c>
      <c r="D1232" s="598" t="s">
        <v>1745</v>
      </c>
      <c r="E1232" s="572">
        <v>120600</v>
      </c>
      <c r="F1232" s="672" t="str">
        <f>IFERROR(VLOOKUP(E1232,STAT1!$C$4:$D$1000,2,FALSE),"")</f>
        <v>НӨАТ авлага</v>
      </c>
      <c r="G1232" s="377">
        <v>2727.27</v>
      </c>
      <c r="H1232" s="377"/>
      <c r="I1232" s="596">
        <f t="shared" si="131"/>
        <v>0</v>
      </c>
      <c r="J1232" s="81">
        <f t="shared" si="133"/>
        <v>0</v>
      </c>
      <c r="K1232" s="81"/>
      <c r="L1232" s="597">
        <v>2006</v>
      </c>
      <c r="M1232" s="81" t="str">
        <f>+IFERROR(VLOOKUP(L1232,DATA!$G$4:$H$2000,2,FALSE),"")</f>
        <v xml:space="preserve">МЦХОЛБОО </v>
      </c>
      <c r="N1232" s="435"/>
      <c r="O1232" s="81" t="str">
        <f>IFERROR(VLOOKUP(N1232,DATA!$K$4:$L$51,2,FALSE),"")</f>
        <v/>
      </c>
      <c r="P1232" s="81"/>
      <c r="Q1232" s="152">
        <f t="shared" si="132"/>
        <v>0</v>
      </c>
    </row>
    <row r="1233" spans="2:17">
      <c r="B1233" s="670">
        <f t="shared" si="130"/>
        <v>1228</v>
      </c>
      <c r="C1233" s="433">
        <v>42901</v>
      </c>
      <c r="D1233" s="598" t="s">
        <v>1745</v>
      </c>
      <c r="E1233" s="572">
        <v>110100</v>
      </c>
      <c r="F1233" s="672" t="str">
        <f>IFERROR(VLOOKUP(E1233,STAT1!$C$4:$D$1000,2,FALSE),"")</f>
        <v>Хаан Банк 5024654020</v>
      </c>
      <c r="G1233" s="377"/>
      <c r="H1233" s="377">
        <v>30000</v>
      </c>
      <c r="I1233" s="596">
        <f t="shared" si="131"/>
        <v>-30000</v>
      </c>
      <c r="J1233" s="81">
        <f t="shared" si="133"/>
        <v>0</v>
      </c>
      <c r="K1233" s="81"/>
      <c r="L1233" s="597">
        <v>2006</v>
      </c>
      <c r="M1233" s="81" t="str">
        <f>+IFERROR(VLOOKUP(L1233,DATA!$G$4:$H$2000,2,FALSE),"")</f>
        <v xml:space="preserve">МЦХОЛБОО </v>
      </c>
      <c r="N1233" s="435">
        <v>59</v>
      </c>
      <c r="O1233" s="81" t="str">
        <f>IFERROR(VLOOKUP(N1233,DATA!$K$4:$L$51,2,FALSE),"")</f>
        <v>Бусад мөнгөн зарлага</v>
      </c>
      <c r="P1233" s="81"/>
      <c r="Q1233" s="152">
        <f t="shared" si="132"/>
        <v>1</v>
      </c>
    </row>
    <row r="1234" spans="2:17">
      <c r="B1234" s="670">
        <f t="shared" si="130"/>
        <v>1229</v>
      </c>
      <c r="C1234" s="601">
        <v>42901</v>
      </c>
      <c r="D1234" s="377" t="s">
        <v>2698</v>
      </c>
      <c r="E1234" s="573">
        <v>150101</v>
      </c>
      <c r="F1234" s="672" t="str">
        <f>IFERROR(VLOOKUP(E1234,STAT1!$C$4:$D$8000,2,FALSE),"")</f>
        <v>Бараа бэлэн бүтээгдэхүүн БОЛОВСРУУЛАХ ЦЕХ /нарс/</v>
      </c>
      <c r="G1234" s="673"/>
      <c r="H1234" s="372">
        <v>477572.74558958941</v>
      </c>
      <c r="I1234" s="596">
        <f t="shared" si="131"/>
        <v>0</v>
      </c>
      <c r="J1234" s="81"/>
      <c r="K1234" s="81"/>
      <c r="L1234" s="597">
        <v>3039</v>
      </c>
      <c r="M1234" s="81" t="str">
        <f>+IFERROR(VLOOKUP(L1234,DATA!$G$4:$H$2000,2,FALSE),"")</f>
        <v xml:space="preserve">САССИР ХХК </v>
      </c>
      <c r="N1234" s="166"/>
      <c r="O1234" s="81" t="str">
        <f>IFERROR(VLOOKUP(N1234,DATA!$K$4:$L$51,2,FALSE),"")</f>
        <v/>
      </c>
      <c r="P1234" s="81"/>
      <c r="Q1234" s="152">
        <f t="shared" si="132"/>
        <v>0</v>
      </c>
    </row>
    <row r="1235" spans="2:17">
      <c r="B1235" s="670">
        <f t="shared" si="130"/>
        <v>1230</v>
      </c>
      <c r="C1235" s="601">
        <v>42901</v>
      </c>
      <c r="D1235" s="377" t="s">
        <v>587</v>
      </c>
      <c r="E1235" s="572">
        <v>610100</v>
      </c>
      <c r="F1235" s="672" t="str">
        <f>IFERROR(VLOOKUP(E1235,STAT1!$C$4:$D$8000,2,FALSE),"")</f>
        <v>Борлуулсан барааны өртөг</v>
      </c>
      <c r="G1235" s="372">
        <v>477572.74558958941</v>
      </c>
      <c r="H1235" s="681"/>
      <c r="I1235" s="596">
        <f t="shared" si="131"/>
        <v>0</v>
      </c>
      <c r="J1235" s="81"/>
      <c r="K1235" s="81"/>
      <c r="L1235" s="597">
        <v>3039</v>
      </c>
      <c r="M1235" s="81" t="str">
        <f>+IFERROR(VLOOKUP(L1235,DATA!$G$4:$H$2000,2,FALSE),"")</f>
        <v xml:space="preserve">САССИР ХХК </v>
      </c>
      <c r="N1235" s="166"/>
      <c r="O1235" s="81" t="str">
        <f>IFERROR(VLOOKUP(N1235,DATA!$K$4:$L$51,2,FALSE),"")</f>
        <v/>
      </c>
      <c r="P1235" s="81"/>
      <c r="Q1235" s="152">
        <f t="shared" si="132"/>
        <v>0</v>
      </c>
    </row>
    <row r="1236" spans="2:17">
      <c r="B1236" s="670">
        <f t="shared" si="130"/>
        <v>1231</v>
      </c>
      <c r="C1236" s="601">
        <v>42901</v>
      </c>
      <c r="D1236" s="377" t="s">
        <v>587</v>
      </c>
      <c r="E1236" s="572">
        <v>310500</v>
      </c>
      <c r="F1236" s="672" t="str">
        <f>IFERROR(VLOOKUP(E1236,STAT1!$C$4:$D$8000,2,FALSE),"")</f>
        <v>НӨАТ өглөг</v>
      </c>
      <c r="G1236" s="673"/>
      <c r="H1236" s="372">
        <v>81556.36385590001</v>
      </c>
      <c r="I1236" s="596">
        <f t="shared" si="131"/>
        <v>0</v>
      </c>
      <c r="J1236" s="81"/>
      <c r="K1236" s="81"/>
      <c r="L1236" s="597">
        <v>3039</v>
      </c>
      <c r="M1236" s="81" t="str">
        <f>+IFERROR(VLOOKUP(L1236,DATA!$G$4:$H$2000,2,FALSE),"")</f>
        <v xml:space="preserve">САССИР ХХК </v>
      </c>
      <c r="N1236" s="166"/>
      <c r="O1236" s="81" t="str">
        <f>IFERROR(VLOOKUP(N1236,DATA!$K$4:$L$51,2,FALSE),"")</f>
        <v/>
      </c>
      <c r="P1236" s="81"/>
      <c r="Q1236" s="152">
        <f t="shared" si="132"/>
        <v>0</v>
      </c>
    </row>
    <row r="1237" spans="2:17">
      <c r="B1237" s="670">
        <f t="shared" si="130"/>
        <v>1232</v>
      </c>
      <c r="C1237" s="601">
        <v>42901</v>
      </c>
      <c r="D1237" s="377" t="s">
        <v>587</v>
      </c>
      <c r="E1237" s="572">
        <v>510000</v>
      </c>
      <c r="F1237" s="672" t="str">
        <f>IFERROR(VLOOKUP(E1237,STAT1!$C$4:$D$8000,2,FALSE),"")</f>
        <v>Үндсэн үйл ажиллагааны борлуулалт</v>
      </c>
      <c r="G1237" s="673"/>
      <c r="H1237" s="372">
        <v>815563.6385590001</v>
      </c>
      <c r="I1237" s="596">
        <f t="shared" si="131"/>
        <v>0</v>
      </c>
      <c r="J1237" s="81"/>
      <c r="K1237" s="81"/>
      <c r="L1237" s="597">
        <v>3039</v>
      </c>
      <c r="M1237" s="81" t="str">
        <f>+IFERROR(VLOOKUP(L1237,DATA!$G$4:$H$2000,2,FALSE),"")</f>
        <v xml:space="preserve">САССИР ХХК </v>
      </c>
      <c r="N1237" s="166"/>
      <c r="O1237" s="81" t="str">
        <f>IFERROR(VLOOKUP(N1237,DATA!$K$4:$L$51,2,FALSE),"")</f>
        <v/>
      </c>
      <c r="P1237" s="81"/>
      <c r="Q1237" s="152">
        <f t="shared" si="132"/>
        <v>0</v>
      </c>
    </row>
    <row r="1238" spans="2:17">
      <c r="B1238" s="670">
        <f t="shared" si="130"/>
        <v>1233</v>
      </c>
      <c r="C1238" s="601">
        <v>42901</v>
      </c>
      <c r="D1238" s="377" t="s">
        <v>587</v>
      </c>
      <c r="E1238" s="572">
        <v>320100</v>
      </c>
      <c r="F1238" s="672" t="str">
        <f>IFERROR(VLOOKUP(E1238,STAT1!$C$4:$D$8000,2,FALSE),"")</f>
        <v>Урьдчилж орсон орлого MNT</v>
      </c>
      <c r="G1238" s="682">
        <v>897120.00241490011</v>
      </c>
      <c r="H1238" s="681"/>
      <c r="I1238" s="596">
        <f t="shared" si="131"/>
        <v>0</v>
      </c>
      <c r="J1238" s="81"/>
      <c r="K1238" s="81"/>
      <c r="L1238" s="597">
        <v>3039</v>
      </c>
      <c r="M1238" s="81" t="str">
        <f>+IFERROR(VLOOKUP(L1238,DATA!$G$4:$H$2000,2,FALSE),"")</f>
        <v xml:space="preserve">САССИР ХХК </v>
      </c>
      <c r="N1238" s="166"/>
      <c r="O1238" s="81" t="str">
        <f>IFERROR(VLOOKUP(N1238,DATA!$K$4:$L$51,2,FALSE),"")</f>
        <v/>
      </c>
      <c r="P1238" s="81"/>
      <c r="Q1238" s="152">
        <f t="shared" si="132"/>
        <v>0</v>
      </c>
    </row>
    <row r="1239" spans="2:17">
      <c r="B1239" s="670">
        <f t="shared" si="130"/>
        <v>1234</v>
      </c>
      <c r="C1239" s="601">
        <v>42901</v>
      </c>
      <c r="D1239" s="377" t="s">
        <v>2698</v>
      </c>
      <c r="E1239" s="573">
        <v>150101</v>
      </c>
      <c r="F1239" s="672" t="str">
        <f>IFERROR(VLOOKUP(E1239,STAT1!$C$4:$D$8000,2,FALSE),"")</f>
        <v>Бараа бэлэн бүтээгдэхүүн БОЛОВСРУУЛАХ ЦЕХ /нарс/</v>
      </c>
      <c r="G1239" s="673"/>
      <c r="H1239" s="372">
        <v>18933.35652526997</v>
      </c>
      <c r="I1239" s="596">
        <f t="shared" si="131"/>
        <v>0</v>
      </c>
      <c r="J1239" s="81"/>
      <c r="K1239" s="81"/>
      <c r="L1239" s="597">
        <v>3061</v>
      </c>
      <c r="M1239" s="81" t="str">
        <f>+IFERROR(VLOOKUP(L1239,DATA!$G$4:$H$2000,2,FALSE),"")</f>
        <v>СТИМО ХХК</v>
      </c>
      <c r="N1239" s="166"/>
      <c r="O1239" s="81" t="str">
        <f>IFERROR(VLOOKUP(N1239,DATA!$K$4:$L$51,2,FALSE),"")</f>
        <v/>
      </c>
      <c r="P1239" s="81"/>
      <c r="Q1239" s="152">
        <f t="shared" si="132"/>
        <v>0</v>
      </c>
    </row>
    <row r="1240" spans="2:17">
      <c r="B1240" s="670">
        <f t="shared" si="130"/>
        <v>1235</v>
      </c>
      <c r="C1240" s="601">
        <v>42901</v>
      </c>
      <c r="D1240" s="377" t="s">
        <v>587</v>
      </c>
      <c r="E1240" s="572">
        <v>610100</v>
      </c>
      <c r="F1240" s="672" t="str">
        <f>IFERROR(VLOOKUP(E1240,STAT1!$C$4:$D$8000,2,FALSE),"")</f>
        <v>Борлуулсан барааны өртөг</v>
      </c>
      <c r="G1240" s="372">
        <v>18933.35652526997</v>
      </c>
      <c r="H1240" s="681"/>
      <c r="I1240" s="596">
        <f t="shared" si="131"/>
        <v>0</v>
      </c>
      <c r="J1240" s="81"/>
      <c r="K1240" s="81"/>
      <c r="L1240" s="597">
        <v>3061</v>
      </c>
      <c r="M1240" s="81" t="str">
        <f>+IFERROR(VLOOKUP(L1240,DATA!$G$4:$H$2000,2,FALSE),"")</f>
        <v>СТИМО ХХК</v>
      </c>
      <c r="N1240" s="166"/>
      <c r="O1240" s="81" t="str">
        <f>IFERROR(VLOOKUP(N1240,DATA!$K$4:$L$51,2,FALSE),"")</f>
        <v/>
      </c>
      <c r="P1240" s="81"/>
      <c r="Q1240" s="152">
        <f t="shared" si="132"/>
        <v>0</v>
      </c>
    </row>
    <row r="1241" spans="2:17">
      <c r="B1241" s="670">
        <f t="shared" si="130"/>
        <v>1236</v>
      </c>
      <c r="C1241" s="601">
        <v>42901</v>
      </c>
      <c r="D1241" s="377" t="s">
        <v>587</v>
      </c>
      <c r="E1241" s="572">
        <v>310500</v>
      </c>
      <c r="F1241" s="672" t="str">
        <f>IFERROR(VLOOKUP(E1241,STAT1!$C$4:$D$8000,2,FALSE),"")</f>
        <v>НӨАТ өглөг</v>
      </c>
      <c r="G1241" s="597"/>
      <c r="H1241" s="377">
        <v>4500</v>
      </c>
      <c r="I1241" s="596">
        <f t="shared" si="131"/>
        <v>0</v>
      </c>
      <c r="J1241" s="81"/>
      <c r="K1241" s="81"/>
      <c r="L1241" s="597">
        <v>3061</v>
      </c>
      <c r="M1241" s="81" t="str">
        <f>+IFERROR(VLOOKUP(L1241,DATA!$G$4:$H$2000,2,FALSE),"")</f>
        <v>СТИМО ХХК</v>
      </c>
      <c r="N1241" s="166"/>
      <c r="O1241" s="81" t="str">
        <f>IFERROR(VLOOKUP(N1241,DATA!$K$4:$L$51,2,FALSE),"")</f>
        <v/>
      </c>
      <c r="P1241" s="81"/>
      <c r="Q1241" s="152">
        <f t="shared" si="132"/>
        <v>0</v>
      </c>
    </row>
    <row r="1242" spans="2:17">
      <c r="B1242" s="670">
        <f t="shared" si="130"/>
        <v>1237</v>
      </c>
      <c r="C1242" s="601">
        <v>42901</v>
      </c>
      <c r="D1242" s="377" t="s">
        <v>587</v>
      </c>
      <c r="E1242" s="572">
        <v>510000</v>
      </c>
      <c r="F1242" s="672" t="str">
        <f>IFERROR(VLOOKUP(E1242,STAT1!$C$4:$D$8000,2,FALSE),"")</f>
        <v>Үндсэн үйл ажиллагааны борлуулалт</v>
      </c>
      <c r="G1242" s="597"/>
      <c r="H1242" s="377">
        <v>45000</v>
      </c>
      <c r="I1242" s="596">
        <f t="shared" si="131"/>
        <v>0</v>
      </c>
      <c r="J1242" s="81"/>
      <c r="K1242" s="81"/>
      <c r="L1242" s="597">
        <v>3061</v>
      </c>
      <c r="M1242" s="81" t="str">
        <f>+IFERROR(VLOOKUP(L1242,DATA!$G$4:$H$2000,2,FALSE),"")</f>
        <v>СТИМО ХХК</v>
      </c>
      <c r="N1242" s="166"/>
      <c r="O1242" s="81" t="str">
        <f>IFERROR(VLOOKUP(N1242,DATA!$K$4:$L$51,2,FALSE),"")</f>
        <v/>
      </c>
      <c r="P1242" s="81"/>
      <c r="Q1242" s="152">
        <f t="shared" si="132"/>
        <v>0</v>
      </c>
    </row>
    <row r="1243" spans="2:17">
      <c r="B1243" s="670">
        <f t="shared" si="130"/>
        <v>1238</v>
      </c>
      <c r="C1243" s="601">
        <v>42901</v>
      </c>
      <c r="D1243" s="377" t="s">
        <v>587</v>
      </c>
      <c r="E1243" s="572">
        <v>320100</v>
      </c>
      <c r="F1243" s="672" t="str">
        <f>IFERROR(VLOOKUP(E1243,STAT1!$C$4:$D$8000,2,FALSE),"")</f>
        <v>Урьдчилж орсон орлого MNT</v>
      </c>
      <c r="G1243" s="377">
        <v>49500</v>
      </c>
      <c r="H1243" s="597"/>
      <c r="I1243" s="596">
        <f t="shared" si="131"/>
        <v>0</v>
      </c>
      <c r="J1243" s="81"/>
      <c r="K1243" s="81"/>
      <c r="L1243" s="597">
        <v>3061</v>
      </c>
      <c r="M1243" s="81" t="str">
        <f>+IFERROR(VLOOKUP(L1243,DATA!$G$4:$H$2000,2,FALSE),"")</f>
        <v>СТИМО ХХК</v>
      </c>
      <c r="N1243" s="166"/>
      <c r="O1243" s="81" t="str">
        <f>IFERROR(VLOOKUP(N1243,DATA!$K$4:$L$51,2,FALSE),"")</f>
        <v/>
      </c>
      <c r="P1243" s="81"/>
      <c r="Q1243" s="152">
        <f t="shared" si="132"/>
        <v>0</v>
      </c>
    </row>
    <row r="1244" spans="2:17">
      <c r="B1244" s="670">
        <f t="shared" si="130"/>
        <v>1239</v>
      </c>
      <c r="C1244" s="433">
        <v>42902</v>
      </c>
      <c r="D1244" s="377" t="s">
        <v>1741</v>
      </c>
      <c r="E1244" s="572">
        <v>320100</v>
      </c>
      <c r="F1244" s="672" t="str">
        <f>IFERROR(VLOOKUP(E1244,STAT1!$C$4:$D$1000,2,FALSE),"")</f>
        <v>Урьдчилж орсон орлого MNT</v>
      </c>
      <c r="G1244" s="377"/>
      <c r="H1244" s="377">
        <v>1529000</v>
      </c>
      <c r="I1244" s="596">
        <f t="shared" si="131"/>
        <v>0</v>
      </c>
      <c r="J1244" s="81">
        <f>+IF(E1244=110102,I1244/K1244,0)</f>
        <v>0</v>
      </c>
      <c r="K1244" s="81"/>
      <c r="L1244" s="597">
        <v>3010</v>
      </c>
      <c r="M1244" s="81" t="str">
        <f>+IFERROR(VLOOKUP(L1244,DATA!$G$4:$H$2000,2,FALSE),"")</f>
        <v xml:space="preserve">РЕНДЕР ХХК </v>
      </c>
      <c r="N1244" s="435"/>
      <c r="O1244" s="81" t="str">
        <f>IFERROR(VLOOKUP(N1244,DATA!$K$4:$L$51,2,FALSE),"")</f>
        <v/>
      </c>
      <c r="P1244" s="81"/>
      <c r="Q1244" s="152">
        <f t="shared" si="132"/>
        <v>0</v>
      </c>
    </row>
    <row r="1245" spans="2:17">
      <c r="B1245" s="670">
        <f t="shared" si="130"/>
        <v>1240</v>
      </c>
      <c r="C1245" s="433">
        <v>42902</v>
      </c>
      <c r="D1245" s="377" t="s">
        <v>1741</v>
      </c>
      <c r="E1245" s="572">
        <v>100100</v>
      </c>
      <c r="F1245" s="672" t="str">
        <f>IFERROR(VLOOKUP(E1245,STAT1!$C$4:$D$1000,2,FALSE),"")</f>
        <v>Касс мөнгө MNT</v>
      </c>
      <c r="G1245" s="377">
        <v>1529000</v>
      </c>
      <c r="H1245" s="377">
        <v>0</v>
      </c>
      <c r="I1245" s="596">
        <f t="shared" si="131"/>
        <v>1529000</v>
      </c>
      <c r="J1245" s="81">
        <f>+IF(E1245=110102,I1245/K1245,0)</f>
        <v>0</v>
      </c>
      <c r="K1245" s="81"/>
      <c r="L1245" s="597">
        <v>3010</v>
      </c>
      <c r="M1245" s="81" t="str">
        <f>+IFERROR(VLOOKUP(L1245,DATA!$G$4:$H$2000,2,FALSE),"")</f>
        <v xml:space="preserve">РЕНДЕР ХХК </v>
      </c>
      <c r="N1245" s="435">
        <v>41</v>
      </c>
      <c r="O1245" s="81" t="str">
        <f>IFERROR(VLOOKUP(N1245,DATA!$K$4:$L$51,2,FALSE),"")</f>
        <v>Бараа борлуулсан, үйлчилгээ үзүүлсэний орлого</v>
      </c>
      <c r="P1245" s="81"/>
      <c r="Q1245" s="152">
        <f t="shared" si="132"/>
        <v>1</v>
      </c>
    </row>
    <row r="1246" spans="2:17">
      <c r="B1246" s="670">
        <f t="shared" si="130"/>
        <v>1241</v>
      </c>
      <c r="C1246" s="433">
        <v>42902</v>
      </c>
      <c r="D1246" s="377" t="s">
        <v>1741</v>
      </c>
      <c r="E1246" s="572">
        <v>320100</v>
      </c>
      <c r="F1246" s="672" t="str">
        <f>IFERROR(VLOOKUP(E1246,STAT1!$C$4:$D$1000,2,FALSE),"")</f>
        <v>Урьдчилж орсон орлого MNT</v>
      </c>
      <c r="G1246" s="377"/>
      <c r="H1246" s="377">
        <v>287100</v>
      </c>
      <c r="I1246" s="596">
        <f t="shared" si="131"/>
        <v>0</v>
      </c>
      <c r="J1246" s="81">
        <f>+IF(E1246=110102,I1246/K1246,0)</f>
        <v>0</v>
      </c>
      <c r="K1246" s="81"/>
      <c r="L1246" s="597">
        <v>4001</v>
      </c>
      <c r="M1246" s="81" t="str">
        <f>+IFERROR(VLOOKUP(L1246,DATA!$G$4:$H$2000,2,FALSE),"")</f>
        <v>Сайннямбуу</v>
      </c>
      <c r="N1246" s="435"/>
      <c r="O1246" s="81" t="str">
        <f>IFERROR(VLOOKUP(N1246,DATA!$K$4:$L$51,2,FALSE),"")</f>
        <v/>
      </c>
      <c r="P1246" s="81"/>
      <c r="Q1246" s="152">
        <f t="shared" si="132"/>
        <v>0</v>
      </c>
    </row>
    <row r="1247" spans="2:17">
      <c r="B1247" s="670">
        <f t="shared" si="130"/>
        <v>1242</v>
      </c>
      <c r="C1247" s="433">
        <v>42902</v>
      </c>
      <c r="D1247" s="377" t="s">
        <v>1741</v>
      </c>
      <c r="E1247" s="572">
        <v>100100</v>
      </c>
      <c r="F1247" s="672" t="str">
        <f>IFERROR(VLOOKUP(E1247,STAT1!$C$4:$D$1000,2,FALSE),"")</f>
        <v>Касс мөнгө MNT</v>
      </c>
      <c r="G1247" s="377">
        <v>287100</v>
      </c>
      <c r="H1247" s="377">
        <v>0</v>
      </c>
      <c r="I1247" s="596">
        <f t="shared" si="131"/>
        <v>287100</v>
      </c>
      <c r="J1247" s="81">
        <f>+IF(E1247=110102,I1247/K1247,0)</f>
        <v>0</v>
      </c>
      <c r="K1247" s="81"/>
      <c r="L1247" s="597">
        <v>4002</v>
      </c>
      <c r="M1247" s="81" t="str">
        <f>+IFERROR(VLOOKUP(L1247,DATA!$G$4:$H$2000,2,FALSE),"")</f>
        <v xml:space="preserve">Хувь хүн </v>
      </c>
      <c r="N1247" s="435">
        <v>41</v>
      </c>
      <c r="O1247" s="81" t="str">
        <f>IFERROR(VLOOKUP(N1247,DATA!$K$4:$L$51,2,FALSE),"")</f>
        <v>Бараа борлуулсан, үйлчилгээ үзүүлсэний орлого</v>
      </c>
      <c r="P1247" s="81"/>
      <c r="Q1247" s="152">
        <f t="shared" si="132"/>
        <v>1</v>
      </c>
    </row>
    <row r="1248" spans="2:17">
      <c r="B1248" s="670">
        <f t="shared" si="130"/>
        <v>1243</v>
      </c>
      <c r="C1248" s="601">
        <v>42902</v>
      </c>
      <c r="D1248" s="377" t="s">
        <v>2698</v>
      </c>
      <c r="E1248" s="573">
        <v>150101</v>
      </c>
      <c r="F1248" s="672" t="str">
        <f>IFERROR(VLOOKUP(E1248,STAT1!$C$4:$D$8000,2,FALSE),"")</f>
        <v>Бараа бэлэн бүтээгдэхүүн БОЛОВСРУУЛАХ ЦЕХ /нарс/</v>
      </c>
      <c r="G1248" s="673"/>
      <c r="H1248" s="372">
        <v>801397.33</v>
      </c>
      <c r="I1248" s="596">
        <f t="shared" si="131"/>
        <v>0</v>
      </c>
      <c r="J1248" s="81"/>
      <c r="K1248" s="81"/>
      <c r="L1248" s="597">
        <v>4001</v>
      </c>
      <c r="M1248" s="81" t="str">
        <f>+IFERROR(VLOOKUP(L1248,DATA!$G$4:$H$2000,2,FALSE),"")</f>
        <v>Сайннямбуу</v>
      </c>
      <c r="N1248" s="166"/>
      <c r="O1248" s="81" t="str">
        <f>IFERROR(VLOOKUP(N1248,DATA!$K$4:$L$51,2,FALSE),"")</f>
        <v/>
      </c>
      <c r="P1248" s="81"/>
      <c r="Q1248" s="152">
        <f t="shared" si="132"/>
        <v>0</v>
      </c>
    </row>
    <row r="1249" spans="2:17">
      <c r="B1249" s="670">
        <f t="shared" si="130"/>
        <v>1244</v>
      </c>
      <c r="C1249" s="601">
        <v>42902</v>
      </c>
      <c r="D1249" s="377" t="s">
        <v>2700</v>
      </c>
      <c r="E1249" s="573">
        <v>150101</v>
      </c>
      <c r="F1249" s="672" t="str">
        <f>IFERROR(VLOOKUP(E1249,STAT1!$C$4:$D$8000,2,FALSE),"")</f>
        <v>Бараа бэлэн бүтээгдэхүүн БОЛОВСРУУЛАХ ЦЕХ /нарс/</v>
      </c>
      <c r="G1249" s="673"/>
      <c r="H1249" s="372">
        <v>965345.765046146</v>
      </c>
      <c r="I1249" s="596">
        <f t="shared" si="131"/>
        <v>0</v>
      </c>
      <c r="J1249" s="81"/>
      <c r="K1249" s="81"/>
      <c r="L1249" s="597">
        <v>3010</v>
      </c>
      <c r="M1249" s="81" t="str">
        <f>+IFERROR(VLOOKUP(L1249,DATA!$G$4:$H$2000,2,FALSE),"")</f>
        <v xml:space="preserve">РЕНДЕР ХХК </v>
      </c>
      <c r="N1249" s="166"/>
      <c r="O1249" s="81" t="str">
        <f>IFERROR(VLOOKUP(N1249,DATA!$K$4:$L$51,2,FALSE),"")</f>
        <v/>
      </c>
      <c r="P1249" s="81"/>
      <c r="Q1249" s="152">
        <f t="shared" si="132"/>
        <v>0</v>
      </c>
    </row>
    <row r="1250" spans="2:17">
      <c r="B1250" s="670">
        <f t="shared" si="130"/>
        <v>1245</v>
      </c>
      <c r="C1250" s="601">
        <v>42902</v>
      </c>
      <c r="D1250" s="377" t="s">
        <v>587</v>
      </c>
      <c r="E1250" s="572">
        <v>610100</v>
      </c>
      <c r="F1250" s="672" t="str">
        <f>IFERROR(VLOOKUP(E1250,STAT1!$C$4:$D$8000,2,FALSE),"")</f>
        <v>Борлуулсан барааны өртөг</v>
      </c>
      <c r="G1250" s="372">
        <v>965345.765046146</v>
      </c>
      <c r="H1250" s="681"/>
      <c r="I1250" s="596">
        <f t="shared" si="131"/>
        <v>0</v>
      </c>
      <c r="J1250" s="81"/>
      <c r="K1250" s="81"/>
      <c r="L1250" s="597">
        <v>3010</v>
      </c>
      <c r="M1250" s="81" t="str">
        <f>+IFERROR(VLOOKUP(L1250,DATA!$G$4:$H$2000,2,FALSE),"")</f>
        <v xml:space="preserve">РЕНДЕР ХХК </v>
      </c>
      <c r="N1250" s="166"/>
      <c r="O1250" s="81" t="str">
        <f>IFERROR(VLOOKUP(N1250,DATA!$K$4:$L$51,2,FALSE),"")</f>
        <v/>
      </c>
      <c r="P1250" s="81"/>
      <c r="Q1250" s="152">
        <f t="shared" si="132"/>
        <v>0</v>
      </c>
    </row>
    <row r="1251" spans="2:17">
      <c r="B1251" s="670">
        <f t="shared" si="130"/>
        <v>1246</v>
      </c>
      <c r="C1251" s="601">
        <v>42902</v>
      </c>
      <c r="D1251" s="377" t="s">
        <v>587</v>
      </c>
      <c r="E1251" s="572">
        <v>310500</v>
      </c>
      <c r="F1251" s="672" t="str">
        <f>IFERROR(VLOOKUP(E1251,STAT1!$C$4:$D$8000,2,FALSE),"")</f>
        <v>НӨАТ өглөг</v>
      </c>
      <c r="G1251" s="673"/>
      <c r="H1251" s="372">
        <v>139000</v>
      </c>
      <c r="I1251" s="596">
        <f t="shared" si="131"/>
        <v>0</v>
      </c>
      <c r="J1251" s="81"/>
      <c r="K1251" s="81"/>
      <c r="L1251" s="597">
        <v>3010</v>
      </c>
      <c r="M1251" s="81" t="str">
        <f>+IFERROR(VLOOKUP(L1251,DATA!$G$4:$H$2000,2,FALSE),"")</f>
        <v xml:space="preserve">РЕНДЕР ХХК </v>
      </c>
      <c r="N1251" s="166"/>
      <c r="O1251" s="81" t="str">
        <f>IFERROR(VLOOKUP(N1251,DATA!$K$4:$L$51,2,FALSE),"")</f>
        <v/>
      </c>
      <c r="P1251" s="81"/>
      <c r="Q1251" s="152">
        <f t="shared" si="132"/>
        <v>0</v>
      </c>
    </row>
    <row r="1252" spans="2:17">
      <c r="B1252" s="670">
        <f t="shared" si="130"/>
        <v>1247</v>
      </c>
      <c r="C1252" s="601">
        <v>42902</v>
      </c>
      <c r="D1252" s="377" t="s">
        <v>587</v>
      </c>
      <c r="E1252" s="572">
        <v>510000</v>
      </c>
      <c r="F1252" s="672" t="str">
        <f>IFERROR(VLOOKUP(E1252,STAT1!$C$4:$D$8000,2,FALSE),"")</f>
        <v>Үндсэн үйл ажиллагааны борлуулалт</v>
      </c>
      <c r="G1252" s="673"/>
      <c r="H1252" s="372">
        <v>1390000</v>
      </c>
      <c r="I1252" s="596">
        <f t="shared" si="131"/>
        <v>0</v>
      </c>
      <c r="J1252" s="81"/>
      <c r="K1252" s="81"/>
      <c r="L1252" s="597">
        <v>3010</v>
      </c>
      <c r="M1252" s="81" t="str">
        <f>+IFERROR(VLOOKUP(L1252,DATA!$G$4:$H$2000,2,FALSE),"")</f>
        <v xml:space="preserve">РЕНДЕР ХХК </v>
      </c>
      <c r="N1252" s="166"/>
      <c r="O1252" s="81" t="str">
        <f>IFERROR(VLOOKUP(N1252,DATA!$K$4:$L$51,2,FALSE),"")</f>
        <v/>
      </c>
      <c r="P1252" s="81"/>
      <c r="Q1252" s="152">
        <f t="shared" si="132"/>
        <v>0</v>
      </c>
    </row>
    <row r="1253" spans="2:17">
      <c r="B1253" s="670">
        <f t="shared" si="130"/>
        <v>1248</v>
      </c>
      <c r="C1253" s="601">
        <v>42902</v>
      </c>
      <c r="D1253" s="377" t="s">
        <v>587</v>
      </c>
      <c r="E1253" s="572">
        <v>320100</v>
      </c>
      <c r="F1253" s="672" t="str">
        <f>IFERROR(VLOOKUP(E1253,STAT1!$C$4:$D$8000,2,FALSE),"")</f>
        <v>Урьдчилж орсон орлого MNT</v>
      </c>
      <c r="G1253" s="682">
        <v>1529000</v>
      </c>
      <c r="H1253" s="681"/>
      <c r="I1253" s="596">
        <f t="shared" si="131"/>
        <v>0</v>
      </c>
      <c r="J1253" s="81"/>
      <c r="K1253" s="81"/>
      <c r="L1253" s="597">
        <v>3010</v>
      </c>
      <c r="M1253" s="81" t="str">
        <f>+IFERROR(VLOOKUP(L1253,DATA!$G$4:$H$2000,2,FALSE),"")</f>
        <v xml:space="preserve">РЕНДЕР ХХК </v>
      </c>
      <c r="N1253" s="166"/>
      <c r="O1253" s="81" t="str">
        <f>IFERROR(VLOOKUP(N1253,DATA!$K$4:$L$51,2,FALSE),"")</f>
        <v/>
      </c>
      <c r="P1253" s="81"/>
      <c r="Q1253" s="152">
        <f t="shared" si="132"/>
        <v>0</v>
      </c>
    </row>
    <row r="1254" spans="2:17">
      <c r="B1254" s="670">
        <f t="shared" si="130"/>
        <v>1249</v>
      </c>
      <c r="C1254" s="433">
        <v>42903</v>
      </c>
      <c r="D1254" s="598" t="s">
        <v>1746</v>
      </c>
      <c r="E1254" s="572">
        <v>310400</v>
      </c>
      <c r="F1254" s="672" t="str">
        <f>IFERROR(VLOOKUP(E1254,STAT1!$C$4:$D$1000,2,FALSE),"")</f>
        <v>Банкны богино хугацаат зээл MNT</v>
      </c>
      <c r="G1254" s="377">
        <v>3177551.64</v>
      </c>
      <c r="H1254" s="377">
        <v>0</v>
      </c>
      <c r="I1254" s="596">
        <f t="shared" si="131"/>
        <v>0</v>
      </c>
      <c r="J1254" s="81">
        <f>+IF(E1254=110102,I1254/K1254,0)</f>
        <v>0</v>
      </c>
      <c r="K1254" s="81"/>
      <c r="L1254" s="597">
        <v>2009</v>
      </c>
      <c r="M1254" s="81" t="str">
        <f>+IFERROR(VLOOKUP(L1254,DATA!$G$4:$H$2000,2,FALSE),"")</f>
        <v>ХААН БАНК</v>
      </c>
      <c r="N1254" s="435"/>
      <c r="O1254" s="81" t="str">
        <f>IFERROR(VLOOKUP(N1254,DATA!$K$4:$L$51,2,FALSE),"")</f>
        <v/>
      </c>
      <c r="P1254" s="81"/>
      <c r="Q1254" s="152">
        <f t="shared" si="132"/>
        <v>0</v>
      </c>
    </row>
    <row r="1255" spans="2:17">
      <c r="B1255" s="670">
        <f t="shared" si="130"/>
        <v>1250</v>
      </c>
      <c r="C1255" s="433">
        <v>42903</v>
      </c>
      <c r="D1255" s="598" t="s">
        <v>1746</v>
      </c>
      <c r="E1255" s="572">
        <v>110100</v>
      </c>
      <c r="F1255" s="672" t="str">
        <f>IFERROR(VLOOKUP(E1255,STAT1!$C$4:$D$1000,2,FALSE),"")</f>
        <v>Хаан Банк 5024654020</v>
      </c>
      <c r="G1255" s="377"/>
      <c r="H1255" s="377">
        <v>3177551.64</v>
      </c>
      <c r="I1255" s="596">
        <f t="shared" si="131"/>
        <v>-3177551.64</v>
      </c>
      <c r="J1255" s="81">
        <f>+IF(E1255=110102,I1255/K1255,0)</f>
        <v>0</v>
      </c>
      <c r="K1255" s="81"/>
      <c r="L1255" s="597">
        <v>2009</v>
      </c>
      <c r="M1255" s="81" t="str">
        <f>+IFERROR(VLOOKUP(L1255,DATA!$G$4:$H$2000,2,FALSE),"")</f>
        <v>ХААН БАНК</v>
      </c>
      <c r="N1255" s="435">
        <v>91</v>
      </c>
      <c r="O1255" s="81" t="str">
        <f>IFERROR(VLOOKUP(N1255,DATA!$K$4:$L$51,2,FALSE),"")</f>
        <v>Зээл, өрийн үнэт цаасны төлбөрт төлсөн</v>
      </c>
      <c r="P1255" s="81"/>
      <c r="Q1255" s="152">
        <f t="shared" si="132"/>
        <v>1</v>
      </c>
    </row>
    <row r="1256" spans="2:17">
      <c r="B1256" s="670">
        <f t="shared" si="130"/>
        <v>1251</v>
      </c>
      <c r="C1256" s="433">
        <v>42905</v>
      </c>
      <c r="D1256" s="377" t="s">
        <v>1741</v>
      </c>
      <c r="E1256" s="572">
        <v>320100</v>
      </c>
      <c r="F1256" s="672" t="str">
        <f>IFERROR(VLOOKUP(E1256,STAT1!$C$4:$D$1000,2,FALSE),"")</f>
        <v>Урьдчилж орсон орлого MNT</v>
      </c>
      <c r="G1256" s="377"/>
      <c r="H1256" s="377">
        <v>346500</v>
      </c>
      <c r="I1256" s="596">
        <f t="shared" si="131"/>
        <v>0</v>
      </c>
      <c r="J1256" s="81">
        <f>+IF(E1256=110102,I1256/K1256,0)</f>
        <v>0</v>
      </c>
      <c r="K1256" s="81"/>
      <c r="L1256" s="597">
        <v>3070</v>
      </c>
      <c r="M1256" s="81" t="str">
        <f>+IFERROR(VLOOKUP(L1256,DATA!$G$4:$H$2000,2,FALSE),"")</f>
        <v>ВОТЕР ФОРД КАСТОМ ХӨҮМ ХХК</v>
      </c>
      <c r="N1256" s="435"/>
      <c r="O1256" s="81" t="str">
        <f>IFERROR(VLOOKUP(N1256,DATA!$K$4:$L$51,2,FALSE),"")</f>
        <v/>
      </c>
      <c r="P1256" s="81"/>
      <c r="Q1256" s="152">
        <f t="shared" si="132"/>
        <v>0</v>
      </c>
    </row>
    <row r="1257" spans="2:17">
      <c r="B1257" s="670">
        <f t="shared" si="130"/>
        <v>1252</v>
      </c>
      <c r="C1257" s="433">
        <v>42905</v>
      </c>
      <c r="D1257" s="377" t="s">
        <v>1741</v>
      </c>
      <c r="E1257" s="572">
        <v>100100</v>
      </c>
      <c r="F1257" s="672" t="str">
        <f>IFERROR(VLOOKUP(E1257,STAT1!$C$4:$D$1000,2,FALSE),"")</f>
        <v>Касс мөнгө MNT</v>
      </c>
      <c r="G1257" s="377">
        <v>346500</v>
      </c>
      <c r="H1257" s="377">
        <v>0</v>
      </c>
      <c r="I1257" s="596">
        <f t="shared" si="131"/>
        <v>346500</v>
      </c>
      <c r="J1257" s="81">
        <f>+IF(E1257=110102,I1257/K1257,0)</f>
        <v>0</v>
      </c>
      <c r="K1257" s="81"/>
      <c r="L1257" s="597">
        <v>3070</v>
      </c>
      <c r="M1257" s="81" t="str">
        <f>+IFERROR(VLOOKUP(L1257,DATA!$G$4:$H$2000,2,FALSE),"")</f>
        <v>ВОТЕР ФОРД КАСТОМ ХӨҮМ ХХК</v>
      </c>
      <c r="N1257" s="435">
        <v>41</v>
      </c>
      <c r="O1257" s="81" t="str">
        <f>IFERROR(VLOOKUP(N1257,DATA!$K$4:$L$51,2,FALSE),"")</f>
        <v>Бараа борлуулсан, үйлчилгээ үзүүлсэний орлого</v>
      </c>
      <c r="P1257" s="81"/>
      <c r="Q1257" s="152">
        <f t="shared" si="132"/>
        <v>1</v>
      </c>
    </row>
    <row r="1258" spans="2:17">
      <c r="B1258" s="670">
        <f t="shared" si="130"/>
        <v>1253</v>
      </c>
      <c r="C1258" s="601">
        <v>42905</v>
      </c>
      <c r="D1258" s="377" t="s">
        <v>2700</v>
      </c>
      <c r="E1258" s="573">
        <v>150101</v>
      </c>
      <c r="F1258" s="672" t="str">
        <f>IFERROR(VLOOKUP(E1258,STAT1!$C$4:$D$8000,2,FALSE),"")</f>
        <v>Бараа бэлэн бүтээгдэхүүн БОЛОВСРУУЛАХ ЦЕХ /нарс/</v>
      </c>
      <c r="G1258" s="673"/>
      <c r="H1258" s="372">
        <v>218781.14683756811</v>
      </c>
      <c r="I1258" s="596">
        <f t="shared" si="131"/>
        <v>0</v>
      </c>
      <c r="J1258" s="81"/>
      <c r="K1258" s="81"/>
      <c r="L1258" s="597">
        <v>3070</v>
      </c>
      <c r="M1258" s="81" t="str">
        <f>+IFERROR(VLOOKUP(L1258,DATA!$G$4:$H$2000,2,FALSE),"")</f>
        <v>ВОТЕР ФОРД КАСТОМ ХӨҮМ ХХК</v>
      </c>
      <c r="N1258" s="166"/>
      <c r="O1258" s="81" t="str">
        <f>IFERROR(VLOOKUP(N1258,DATA!$K$4:$L$51,2,FALSE),"")</f>
        <v/>
      </c>
      <c r="P1258" s="81"/>
      <c r="Q1258" s="152">
        <f t="shared" si="132"/>
        <v>0</v>
      </c>
    </row>
    <row r="1259" spans="2:17">
      <c r="B1259" s="670">
        <f t="shared" si="130"/>
        <v>1254</v>
      </c>
      <c r="C1259" s="601">
        <v>42905</v>
      </c>
      <c r="D1259" s="377" t="s">
        <v>587</v>
      </c>
      <c r="E1259" s="572">
        <v>610100</v>
      </c>
      <c r="F1259" s="672" t="str">
        <f>IFERROR(VLOOKUP(E1259,STAT1!$C$4:$D$8000,2,FALSE),"")</f>
        <v>Борлуулсан барааны өртөг</v>
      </c>
      <c r="G1259" s="372">
        <v>218781.14683756811</v>
      </c>
      <c r="H1259" s="681"/>
      <c r="I1259" s="596">
        <f t="shared" si="131"/>
        <v>0</v>
      </c>
      <c r="J1259" s="81"/>
      <c r="K1259" s="81"/>
      <c r="L1259" s="597">
        <v>3070</v>
      </c>
      <c r="M1259" s="81" t="str">
        <f>+IFERROR(VLOOKUP(L1259,DATA!$G$4:$H$2000,2,FALSE),"")</f>
        <v>ВОТЕР ФОРД КАСТОМ ХӨҮМ ХХК</v>
      </c>
      <c r="N1259" s="166"/>
      <c r="O1259" s="81" t="str">
        <f>IFERROR(VLOOKUP(N1259,DATA!$K$4:$L$51,2,FALSE),"")</f>
        <v/>
      </c>
      <c r="P1259" s="81"/>
      <c r="Q1259" s="152">
        <f t="shared" si="132"/>
        <v>0</v>
      </c>
    </row>
    <row r="1260" spans="2:17">
      <c r="B1260" s="670">
        <f t="shared" si="130"/>
        <v>1255</v>
      </c>
      <c r="C1260" s="601">
        <v>42905</v>
      </c>
      <c r="D1260" s="377" t="s">
        <v>587</v>
      </c>
      <c r="E1260" s="572">
        <v>310500</v>
      </c>
      <c r="F1260" s="672" t="str">
        <f>IFERROR(VLOOKUP(E1260,STAT1!$C$4:$D$8000,2,FALSE),"")</f>
        <v>НӨАТ өглөг</v>
      </c>
      <c r="G1260" s="673"/>
      <c r="H1260" s="372">
        <v>31500</v>
      </c>
      <c r="I1260" s="596">
        <f t="shared" si="131"/>
        <v>0</v>
      </c>
      <c r="J1260" s="81"/>
      <c r="K1260" s="81"/>
      <c r="L1260" s="597">
        <v>3070</v>
      </c>
      <c r="M1260" s="81" t="str">
        <f>+IFERROR(VLOOKUP(L1260,DATA!$G$4:$H$2000,2,FALSE),"")</f>
        <v>ВОТЕР ФОРД КАСТОМ ХӨҮМ ХХК</v>
      </c>
      <c r="N1260" s="166"/>
      <c r="O1260" s="81" t="str">
        <f>IFERROR(VLOOKUP(N1260,DATA!$K$4:$L$51,2,FALSE),"")</f>
        <v/>
      </c>
      <c r="P1260" s="81"/>
      <c r="Q1260" s="152">
        <f t="shared" si="132"/>
        <v>0</v>
      </c>
    </row>
    <row r="1261" spans="2:17">
      <c r="B1261" s="670">
        <f t="shared" si="130"/>
        <v>1256</v>
      </c>
      <c r="C1261" s="601">
        <v>42905</v>
      </c>
      <c r="D1261" s="377" t="s">
        <v>587</v>
      </c>
      <c r="E1261" s="572">
        <v>510000</v>
      </c>
      <c r="F1261" s="672" t="str">
        <f>IFERROR(VLOOKUP(E1261,STAT1!$C$4:$D$8000,2,FALSE),"")</f>
        <v>Үндсэн үйл ажиллагааны борлуулалт</v>
      </c>
      <c r="G1261" s="673"/>
      <c r="H1261" s="372">
        <v>315000</v>
      </c>
      <c r="I1261" s="596">
        <f t="shared" si="131"/>
        <v>0</v>
      </c>
      <c r="J1261" s="81"/>
      <c r="K1261" s="81"/>
      <c r="L1261" s="597">
        <v>3070</v>
      </c>
      <c r="M1261" s="81" t="str">
        <f>+IFERROR(VLOOKUP(L1261,DATA!$G$4:$H$2000,2,FALSE),"")</f>
        <v>ВОТЕР ФОРД КАСТОМ ХӨҮМ ХХК</v>
      </c>
      <c r="N1261" s="166"/>
      <c r="O1261" s="81" t="str">
        <f>IFERROR(VLOOKUP(N1261,DATA!$K$4:$L$51,2,FALSE),"")</f>
        <v/>
      </c>
      <c r="P1261" s="81"/>
      <c r="Q1261" s="152">
        <f t="shared" si="132"/>
        <v>0</v>
      </c>
    </row>
    <row r="1262" spans="2:17">
      <c r="B1262" s="670">
        <f t="shared" si="130"/>
        <v>1257</v>
      </c>
      <c r="C1262" s="601">
        <v>42905</v>
      </c>
      <c r="D1262" s="377" t="s">
        <v>587</v>
      </c>
      <c r="E1262" s="572">
        <v>320100</v>
      </c>
      <c r="F1262" s="672" t="str">
        <f>IFERROR(VLOOKUP(E1262,STAT1!$C$4:$D$8000,2,FALSE),"")</f>
        <v>Урьдчилж орсон орлого MNT</v>
      </c>
      <c r="G1262" s="682">
        <v>346500</v>
      </c>
      <c r="H1262" s="681"/>
      <c r="I1262" s="596">
        <f t="shared" si="131"/>
        <v>0</v>
      </c>
      <c r="J1262" s="81"/>
      <c r="K1262" s="81"/>
      <c r="L1262" s="597">
        <v>3070</v>
      </c>
      <c r="M1262" s="81" t="str">
        <f>+IFERROR(VLOOKUP(L1262,DATA!$G$4:$H$2000,2,FALSE),"")</f>
        <v>ВОТЕР ФОРД КАСТОМ ХӨҮМ ХХК</v>
      </c>
      <c r="N1262" s="166"/>
      <c r="O1262" s="81" t="str">
        <f>IFERROR(VLOOKUP(N1262,DATA!$K$4:$L$51,2,FALSE),"")</f>
        <v/>
      </c>
      <c r="P1262" s="81"/>
      <c r="Q1262" s="152">
        <f t="shared" si="132"/>
        <v>0</v>
      </c>
    </row>
    <row r="1263" spans="2:17">
      <c r="B1263" s="670">
        <f t="shared" si="130"/>
        <v>1258</v>
      </c>
      <c r="C1263" s="433">
        <v>42906</v>
      </c>
      <c r="D1263" s="377" t="s">
        <v>1699</v>
      </c>
      <c r="E1263" s="572">
        <v>100100</v>
      </c>
      <c r="F1263" s="672" t="str">
        <f>IFERROR(VLOOKUP(E1263,STAT1!$C$4:$D$1000,2,FALSE),"")</f>
        <v>Касс мөнгө MNT</v>
      </c>
      <c r="G1263" s="377"/>
      <c r="H1263" s="377">
        <v>2000000</v>
      </c>
      <c r="I1263" s="596">
        <f t="shared" si="131"/>
        <v>-2000000</v>
      </c>
      <c r="J1263" s="81">
        <f t="shared" ref="J1263:J1269" si="134">+IF(E1263=110102,I1263/K1263,0)</f>
        <v>0</v>
      </c>
      <c r="K1263" s="81"/>
      <c r="L1263" s="597">
        <v>1005</v>
      </c>
      <c r="M1263" s="81" t="str">
        <f>+IFERROR(VLOOKUP(L1263,DATA!$G$4:$H$2000,2,FALSE),"")</f>
        <v>Золжаргал</v>
      </c>
      <c r="N1263" s="435"/>
      <c r="O1263" s="81" t="str">
        <f>IFERROR(VLOOKUP(N1263,DATA!$K$4:$L$51,2,FALSE),"")</f>
        <v/>
      </c>
      <c r="P1263" s="81"/>
      <c r="Q1263" s="152">
        <f t="shared" si="132"/>
        <v>1</v>
      </c>
    </row>
    <row r="1264" spans="2:17">
      <c r="B1264" s="670">
        <f t="shared" si="130"/>
        <v>1259</v>
      </c>
      <c r="C1264" s="433">
        <v>42906</v>
      </c>
      <c r="D1264" s="377" t="s">
        <v>1699</v>
      </c>
      <c r="E1264" s="572">
        <v>110100</v>
      </c>
      <c r="F1264" s="672" t="str">
        <f>IFERROR(VLOOKUP(E1264,STAT1!$C$4:$D$1000,2,FALSE),"")</f>
        <v>Хаан Банк 5024654020</v>
      </c>
      <c r="G1264" s="377">
        <v>2000000</v>
      </c>
      <c r="H1264" s="377">
        <v>0</v>
      </c>
      <c r="I1264" s="596">
        <f t="shared" si="131"/>
        <v>2000000</v>
      </c>
      <c r="J1264" s="81">
        <f t="shared" si="134"/>
        <v>0</v>
      </c>
      <c r="K1264" s="81"/>
      <c r="L1264" s="597">
        <v>1005</v>
      </c>
      <c r="M1264" s="81" t="str">
        <f>+IFERROR(VLOOKUP(L1264,DATA!$G$4:$H$2000,2,FALSE),"")</f>
        <v>Золжаргал</v>
      </c>
      <c r="N1264" s="435"/>
      <c r="O1264" s="81" t="str">
        <f>IFERROR(VLOOKUP(N1264,DATA!$K$4:$L$51,2,FALSE),"")</f>
        <v/>
      </c>
      <c r="P1264" s="81"/>
      <c r="Q1264" s="152">
        <f t="shared" si="132"/>
        <v>1</v>
      </c>
    </row>
    <row r="1265" spans="2:17">
      <c r="B1265" s="670">
        <f t="shared" si="130"/>
        <v>1260</v>
      </c>
      <c r="C1265" s="433">
        <v>42906</v>
      </c>
      <c r="D1265" s="377" t="s">
        <v>1699</v>
      </c>
      <c r="E1265" s="572">
        <v>100100</v>
      </c>
      <c r="F1265" s="672" t="str">
        <f>IFERROR(VLOOKUP(E1265,STAT1!$C$4:$D$1000,2,FALSE),"")</f>
        <v>Касс мөнгө MNT</v>
      </c>
      <c r="G1265" s="377"/>
      <c r="H1265" s="377">
        <v>750000</v>
      </c>
      <c r="I1265" s="596">
        <f t="shared" si="131"/>
        <v>-750000</v>
      </c>
      <c r="J1265" s="81">
        <f t="shared" si="134"/>
        <v>0</v>
      </c>
      <c r="K1265" s="81"/>
      <c r="L1265" s="597">
        <v>1005</v>
      </c>
      <c r="M1265" s="81" t="str">
        <f>+IFERROR(VLOOKUP(L1265,DATA!$G$4:$H$2000,2,FALSE),"")</f>
        <v>Золжаргал</v>
      </c>
      <c r="N1265" s="435"/>
      <c r="O1265" s="81" t="str">
        <f>IFERROR(VLOOKUP(N1265,DATA!$K$4:$L$51,2,FALSE),"")</f>
        <v/>
      </c>
      <c r="P1265" s="81"/>
      <c r="Q1265" s="152">
        <f t="shared" si="132"/>
        <v>1</v>
      </c>
    </row>
    <row r="1266" spans="2:17">
      <c r="B1266" s="670">
        <f t="shared" si="130"/>
        <v>1261</v>
      </c>
      <c r="C1266" s="433">
        <v>42906</v>
      </c>
      <c r="D1266" s="377" t="s">
        <v>1699</v>
      </c>
      <c r="E1266" s="572">
        <v>110100</v>
      </c>
      <c r="F1266" s="672" t="str">
        <f>IFERROR(VLOOKUP(E1266,STAT1!$C$4:$D$1000,2,FALSE),"")</f>
        <v>Хаан Банк 5024654020</v>
      </c>
      <c r="G1266" s="377">
        <v>750000</v>
      </c>
      <c r="H1266" s="377">
        <v>0</v>
      </c>
      <c r="I1266" s="596">
        <f t="shared" si="131"/>
        <v>750000</v>
      </c>
      <c r="J1266" s="81">
        <f t="shared" si="134"/>
        <v>0</v>
      </c>
      <c r="K1266" s="81"/>
      <c r="L1266" s="597">
        <v>1005</v>
      </c>
      <c r="M1266" s="81" t="str">
        <f>+IFERROR(VLOOKUP(L1266,DATA!$G$4:$H$2000,2,FALSE),"")</f>
        <v>Золжаргал</v>
      </c>
      <c r="N1266" s="435"/>
      <c r="O1266" s="81" t="str">
        <f>IFERROR(VLOOKUP(N1266,DATA!$K$4:$L$51,2,FALSE),"")</f>
        <v/>
      </c>
      <c r="P1266" s="81"/>
      <c r="Q1266" s="152">
        <f t="shared" si="132"/>
        <v>1</v>
      </c>
    </row>
    <row r="1267" spans="2:17">
      <c r="B1267" s="670">
        <f t="shared" si="130"/>
        <v>1262</v>
      </c>
      <c r="C1267" s="433">
        <v>42906</v>
      </c>
      <c r="D1267" s="377" t="s">
        <v>1735</v>
      </c>
      <c r="E1267" s="572">
        <v>100100</v>
      </c>
      <c r="F1267" s="672" t="str">
        <f>IFERROR(VLOOKUP(E1267,STAT1!$C$4:$D$1000,2,FALSE),"")</f>
        <v>Касс мөнгө MNT</v>
      </c>
      <c r="G1267" s="377"/>
      <c r="H1267" s="377">
        <v>1000000</v>
      </c>
      <c r="I1267" s="596">
        <f t="shared" si="131"/>
        <v>-1000000</v>
      </c>
      <c r="J1267" s="81">
        <f t="shared" si="134"/>
        <v>0</v>
      </c>
      <c r="K1267" s="81"/>
      <c r="L1267" s="597">
        <v>1001</v>
      </c>
      <c r="M1267" s="81" t="str">
        <f>+IFERROR(VLOOKUP(L1267,DATA!$G$4:$H$2000,2,FALSE),"")</f>
        <v xml:space="preserve">Энхбат </v>
      </c>
      <c r="N1267" s="435">
        <v>57</v>
      </c>
      <c r="O1267" s="81" t="str">
        <f>IFERROR(VLOOKUP(N1267,DATA!$K$4:$L$51,2,FALSE),"")</f>
        <v>Татварын байгууллагад төлсөн</v>
      </c>
      <c r="P1267" s="81"/>
      <c r="Q1267" s="152">
        <f t="shared" si="132"/>
        <v>1</v>
      </c>
    </row>
    <row r="1268" spans="2:17">
      <c r="B1268" s="670">
        <f t="shared" si="130"/>
        <v>1263</v>
      </c>
      <c r="C1268" s="433">
        <v>42906</v>
      </c>
      <c r="D1268" s="377" t="s">
        <v>1735</v>
      </c>
      <c r="E1268" s="572">
        <v>120600</v>
      </c>
      <c r="F1268" s="672" t="str">
        <f>IFERROR(VLOOKUP(E1268,STAT1!$C$4:$D$1000,2,FALSE),"")</f>
        <v>НӨАТ авлага</v>
      </c>
      <c r="G1268" s="377">
        <v>1000000</v>
      </c>
      <c r="H1268" s="377">
        <v>0</v>
      </c>
      <c r="I1268" s="596">
        <f t="shared" si="131"/>
        <v>0</v>
      </c>
      <c r="J1268" s="81">
        <f t="shared" si="134"/>
        <v>0</v>
      </c>
      <c r="K1268" s="81"/>
      <c r="L1268" s="597">
        <v>1001</v>
      </c>
      <c r="M1268" s="81" t="str">
        <f>+IFERROR(VLOOKUP(L1268,DATA!$G$4:$H$2000,2,FALSE),"")</f>
        <v xml:space="preserve">Энхбат </v>
      </c>
      <c r="N1268" s="435"/>
      <c r="O1268" s="81" t="str">
        <f>IFERROR(VLOOKUP(N1268,DATA!$K$4:$L$51,2,FALSE),"")</f>
        <v/>
      </c>
      <c r="P1268" s="81"/>
      <c r="Q1268" s="152">
        <f t="shared" si="132"/>
        <v>0</v>
      </c>
    </row>
    <row r="1269" spans="2:17">
      <c r="B1269" s="670">
        <f t="shared" si="130"/>
        <v>1264</v>
      </c>
      <c r="C1269" s="433">
        <v>42906</v>
      </c>
      <c r="D1269" s="377" t="s">
        <v>1355</v>
      </c>
      <c r="E1269" s="572">
        <v>100100</v>
      </c>
      <c r="F1269" s="672" t="str">
        <f>IFERROR(VLOOKUP(E1269,STAT1!$C$4:$D$1000,2,FALSE),"")</f>
        <v>Касс мөнгө MNT</v>
      </c>
      <c r="G1269" s="377"/>
      <c r="H1269" s="377">
        <v>20000</v>
      </c>
      <c r="I1269" s="596">
        <f t="shared" si="131"/>
        <v>-20000</v>
      </c>
      <c r="J1269" s="81">
        <f t="shared" si="134"/>
        <v>0</v>
      </c>
      <c r="K1269" s="81"/>
      <c r="L1269" s="597">
        <v>1004</v>
      </c>
      <c r="M1269" s="81" t="str">
        <f>+IFERROR(VLOOKUP(L1269,DATA!$G$4:$H$2000,2,FALSE),"")</f>
        <v xml:space="preserve">Түмэндэлгэр </v>
      </c>
      <c r="N1269" s="435">
        <v>55</v>
      </c>
      <c r="O1269" s="81" t="str">
        <f>IFERROR(VLOOKUP(N1269,DATA!$K$4:$L$51,2,FALSE),"")</f>
        <v>Түлш, шатахуун, тээврийн хөлс, сэлбэг хэрэгсэлд төлсөн</v>
      </c>
      <c r="P1269" s="81"/>
      <c r="Q1269" s="152">
        <f t="shared" si="132"/>
        <v>1</v>
      </c>
    </row>
    <row r="1270" spans="2:17">
      <c r="B1270" s="670">
        <f t="shared" si="130"/>
        <v>1265</v>
      </c>
      <c r="C1270" s="433">
        <v>42906</v>
      </c>
      <c r="D1270" s="377" t="s">
        <v>1355</v>
      </c>
      <c r="E1270" s="572">
        <v>702000</v>
      </c>
      <c r="F1270" s="672" t="str">
        <f>IFERROR(VLOOKUP(E1270,STAT1!$C$4:$D$1000,2,FALSE),"")</f>
        <v>Түлш, шатахуун</v>
      </c>
      <c r="G1270" s="377">
        <v>20000</v>
      </c>
      <c r="H1270" s="377"/>
      <c r="I1270" s="596">
        <f t="shared" si="131"/>
        <v>0</v>
      </c>
      <c r="J1270" s="81"/>
      <c r="K1270" s="81"/>
      <c r="L1270" s="597">
        <v>1004</v>
      </c>
      <c r="M1270" s="81" t="str">
        <f>+IFERROR(VLOOKUP(L1270,DATA!$G$4:$H$2000,2,FALSE),"")</f>
        <v xml:space="preserve">Түмэндэлгэр </v>
      </c>
      <c r="N1270" s="435"/>
      <c r="O1270" s="81"/>
      <c r="P1270" s="81"/>
      <c r="Q1270" s="152">
        <f t="shared" si="132"/>
        <v>0</v>
      </c>
    </row>
    <row r="1271" spans="2:17">
      <c r="B1271" s="670">
        <f t="shared" si="130"/>
        <v>1266</v>
      </c>
      <c r="C1271" s="433">
        <v>42906</v>
      </c>
      <c r="D1271" s="377" t="s">
        <v>1700</v>
      </c>
      <c r="E1271" s="572">
        <v>100100</v>
      </c>
      <c r="F1271" s="672" t="str">
        <f>IFERROR(VLOOKUP(E1271,STAT1!$C$4:$D$1000,2,FALSE),"")</f>
        <v>Касс мөнгө MNT</v>
      </c>
      <c r="G1271" s="377"/>
      <c r="H1271" s="377">
        <v>192000</v>
      </c>
      <c r="I1271" s="596">
        <f t="shared" si="131"/>
        <v>-192000</v>
      </c>
      <c r="J1271" s="81">
        <f>+IF(E1271=110102,I1271/K1271,0)</f>
        <v>0</v>
      </c>
      <c r="K1271" s="81"/>
      <c r="L1271" s="597">
        <v>1004</v>
      </c>
      <c r="M1271" s="81" t="str">
        <f>+IFERROR(VLOOKUP(L1271,DATA!$G$4:$H$2000,2,FALSE),"")</f>
        <v xml:space="preserve">Түмэндэлгэр </v>
      </c>
      <c r="N1271" s="435">
        <v>53</v>
      </c>
      <c r="O1271" s="81" t="str">
        <f>IFERROR(VLOOKUP(N1271,DATA!$K$4:$L$51,2,FALSE),"")</f>
        <v>Бараа материал худалдан авахад төлсөн</v>
      </c>
      <c r="P1271" s="81"/>
      <c r="Q1271" s="152">
        <f t="shared" si="132"/>
        <v>1</v>
      </c>
    </row>
    <row r="1272" spans="2:17">
      <c r="B1272" s="670">
        <f t="shared" si="130"/>
        <v>1267</v>
      </c>
      <c r="C1272" s="433">
        <v>42906</v>
      </c>
      <c r="D1272" s="377" t="s">
        <v>1700</v>
      </c>
      <c r="E1272" s="572">
        <v>121200</v>
      </c>
      <c r="F1272" s="672" t="str">
        <f>IFERROR(VLOOKUP(E1272,STAT1!$C$4:$D$1000,2,FALSE),"")</f>
        <v xml:space="preserve">Ажилчидын дараа тайлангийн тооцоо </v>
      </c>
      <c r="G1272" s="377">
        <v>192000</v>
      </c>
      <c r="H1272" s="377">
        <v>0</v>
      </c>
      <c r="I1272" s="596">
        <f t="shared" si="131"/>
        <v>0</v>
      </c>
      <c r="J1272" s="81">
        <f>+IF(E1272=110102,I1272/K1272,0)</f>
        <v>0</v>
      </c>
      <c r="K1272" s="81"/>
      <c r="L1272" s="597">
        <v>1004</v>
      </c>
      <c r="M1272" s="81" t="str">
        <f>+IFERROR(VLOOKUP(L1272,DATA!$G$4:$H$2000,2,FALSE),"")</f>
        <v xml:space="preserve">Түмэндэлгэр </v>
      </c>
      <c r="N1272" s="435"/>
      <c r="O1272" s="81" t="str">
        <f>IFERROR(VLOOKUP(N1272,DATA!$K$4:$L$51,2,FALSE),"")</f>
        <v/>
      </c>
      <c r="P1272" s="81"/>
      <c r="Q1272" s="152">
        <f t="shared" si="132"/>
        <v>0</v>
      </c>
    </row>
    <row r="1273" spans="2:17">
      <c r="B1273" s="670">
        <f t="shared" si="130"/>
        <v>1268</v>
      </c>
      <c r="C1273" s="433">
        <v>42906</v>
      </c>
      <c r="D1273" s="598" t="s">
        <v>1746</v>
      </c>
      <c r="E1273" s="572">
        <v>310400</v>
      </c>
      <c r="F1273" s="672" t="str">
        <f>IFERROR(VLOOKUP(E1273,STAT1!$C$4:$D$1000,2,FALSE),"")</f>
        <v>Банкны богино хугацаат зээл MNT</v>
      </c>
      <c r="G1273" s="377">
        <v>1459453.2900000003</v>
      </c>
      <c r="H1273" s="377">
        <v>0</v>
      </c>
      <c r="I1273" s="596">
        <f t="shared" si="131"/>
        <v>0</v>
      </c>
      <c r="J1273" s="81">
        <f>+IF(E1273=110102,I1273/K1273,0)</f>
        <v>0</v>
      </c>
      <c r="K1273" s="81"/>
      <c r="L1273" s="597">
        <v>2009</v>
      </c>
      <c r="M1273" s="81" t="str">
        <f>+IFERROR(VLOOKUP(L1273,DATA!$G$4:$H$2000,2,FALSE),"")</f>
        <v>ХААН БАНК</v>
      </c>
      <c r="N1273" s="435"/>
      <c r="O1273" s="81" t="str">
        <f>IFERROR(VLOOKUP(N1273,DATA!$K$4:$L$51,2,FALSE),"")</f>
        <v/>
      </c>
      <c r="P1273" s="81"/>
      <c r="Q1273" s="152">
        <f t="shared" si="132"/>
        <v>0</v>
      </c>
    </row>
    <row r="1274" spans="2:17">
      <c r="B1274" s="670">
        <f t="shared" ref="B1274:B1337" si="135">+IF(C1274="","",ROW()-5)</f>
        <v>1269</v>
      </c>
      <c r="C1274" s="433">
        <v>42906</v>
      </c>
      <c r="D1274" s="598" t="s">
        <v>1746</v>
      </c>
      <c r="E1274" s="572">
        <v>110100</v>
      </c>
      <c r="F1274" s="672" t="str">
        <f>IFERROR(VLOOKUP(E1274,STAT1!$C$4:$D$1000,2,FALSE),"")</f>
        <v>Хаан Банк 5024654020</v>
      </c>
      <c r="G1274" s="377"/>
      <c r="H1274" s="377">
        <v>1459453.2900000003</v>
      </c>
      <c r="I1274" s="596">
        <f t="shared" si="131"/>
        <v>-1459453.2900000003</v>
      </c>
      <c r="J1274" s="81">
        <f>+IF(E1274=110102,I1274/K1274,0)</f>
        <v>0</v>
      </c>
      <c r="K1274" s="81"/>
      <c r="L1274" s="597">
        <v>2009</v>
      </c>
      <c r="M1274" s="81" t="str">
        <f>+IFERROR(VLOOKUP(L1274,DATA!$G$4:$H$2000,2,FALSE),"")</f>
        <v>ХААН БАНК</v>
      </c>
      <c r="N1274" s="435">
        <v>91</v>
      </c>
      <c r="O1274" s="81" t="str">
        <f>IFERROR(VLOOKUP(N1274,DATA!$K$4:$L$51,2,FALSE),"")</f>
        <v>Зээл, өрийн үнэт цаасны төлбөрт төлсөн</v>
      </c>
      <c r="P1274" s="81"/>
      <c r="Q1274" s="152">
        <f t="shared" si="132"/>
        <v>1</v>
      </c>
    </row>
    <row r="1275" spans="2:17">
      <c r="B1275" s="670">
        <f t="shared" si="135"/>
        <v>1270</v>
      </c>
      <c r="C1275" s="433">
        <v>42906</v>
      </c>
      <c r="D1275" s="598" t="s">
        <v>1746</v>
      </c>
      <c r="E1275" s="572">
        <v>702500</v>
      </c>
      <c r="F1275" s="672" t="str">
        <f>IFERROR(VLOOKUP(E1275,STAT1!$C$4:$D$1000,2,FALSE),"")</f>
        <v>Зээлийн хүүгийн зардал</v>
      </c>
      <c r="G1275" s="377">
        <v>1242540.6399999999</v>
      </c>
      <c r="H1275" s="377"/>
      <c r="I1275" s="596">
        <f t="shared" si="131"/>
        <v>0</v>
      </c>
      <c r="J1275" s="81"/>
      <c r="K1275" s="81"/>
      <c r="L1275" s="597">
        <v>2009</v>
      </c>
      <c r="M1275" s="81" t="str">
        <f>+IFERROR(VLOOKUP(L1275,DATA!$G$4:$H$2000,2,FALSE),"")</f>
        <v>ХААН БАНК</v>
      </c>
      <c r="N1275" s="435"/>
      <c r="O1275" s="81" t="str">
        <f>IFERROR(VLOOKUP(N1275,DATA!$K$4:$L$51,2,FALSE),"")</f>
        <v/>
      </c>
      <c r="P1275" s="81"/>
      <c r="Q1275" s="152">
        <f t="shared" si="132"/>
        <v>0</v>
      </c>
    </row>
    <row r="1276" spans="2:17">
      <c r="B1276" s="670">
        <f t="shared" si="135"/>
        <v>1271</v>
      </c>
      <c r="C1276" s="433">
        <v>42906</v>
      </c>
      <c r="D1276" s="598" t="s">
        <v>1746</v>
      </c>
      <c r="E1276" s="572">
        <v>110100</v>
      </c>
      <c r="F1276" s="672" t="str">
        <f>IFERROR(VLOOKUP(E1276,STAT1!$C$4:$D$1000,2,FALSE),"")</f>
        <v>Хаан Банк 5024654020</v>
      </c>
      <c r="G1276" s="377"/>
      <c r="H1276" s="377">
        <v>1242540.6399999999</v>
      </c>
      <c r="I1276" s="596">
        <f t="shared" si="131"/>
        <v>-1242540.6399999999</v>
      </c>
      <c r="J1276" s="81">
        <f>+IF(E1276=110102,I1276/K1276,0)</f>
        <v>0</v>
      </c>
      <c r="K1276" s="81"/>
      <c r="L1276" s="597">
        <v>2009</v>
      </c>
      <c r="M1276" s="81" t="str">
        <f>+IFERROR(VLOOKUP(L1276,DATA!$G$4:$H$2000,2,FALSE),"")</f>
        <v>ХААН БАНК</v>
      </c>
      <c r="N1276" s="435">
        <v>56</v>
      </c>
      <c r="O1276" s="81" t="str">
        <f>IFERROR(VLOOKUP(N1276,DATA!$K$4:$L$51,2,FALSE),"")</f>
        <v>Хүүний төлбөрт төлсөн</v>
      </c>
      <c r="P1276" s="81"/>
      <c r="Q1276" s="152">
        <f t="shared" si="132"/>
        <v>1</v>
      </c>
    </row>
    <row r="1277" spans="2:17">
      <c r="B1277" s="670">
        <f t="shared" si="135"/>
        <v>1272</v>
      </c>
      <c r="C1277" s="433">
        <v>42906</v>
      </c>
      <c r="D1277" s="598" t="s">
        <v>1747</v>
      </c>
      <c r="E1277" s="572">
        <v>702500</v>
      </c>
      <c r="F1277" s="672" t="str">
        <f>IFERROR(VLOOKUP(E1277,STAT1!$C$4:$D$1000,2,FALSE),"")</f>
        <v>Зээлийн хүүгийн зардал</v>
      </c>
      <c r="G1277" s="377">
        <v>48006.07</v>
      </c>
      <c r="H1277" s="377">
        <v>0</v>
      </c>
      <c r="I1277" s="596">
        <f t="shared" si="131"/>
        <v>0</v>
      </c>
      <c r="J1277" s="81">
        <f>+IF(E1277=110102,I1277/K1277,0)</f>
        <v>0</v>
      </c>
      <c r="K1277" s="81"/>
      <c r="L1277" s="597">
        <v>2009</v>
      </c>
      <c r="M1277" s="81" t="str">
        <f>+IFERROR(VLOOKUP(L1277,DATA!$G$4:$H$2000,2,FALSE),"")</f>
        <v>ХААН БАНК</v>
      </c>
      <c r="N1277" s="435"/>
      <c r="O1277" s="81" t="str">
        <f>IFERROR(VLOOKUP(N1277,DATA!$K$4:$L$51,2,FALSE),"")</f>
        <v/>
      </c>
      <c r="P1277" s="81"/>
      <c r="Q1277" s="152">
        <f t="shared" si="132"/>
        <v>0</v>
      </c>
    </row>
    <row r="1278" spans="2:17">
      <c r="B1278" s="670">
        <f t="shared" si="135"/>
        <v>1273</v>
      </c>
      <c r="C1278" s="433">
        <v>42906</v>
      </c>
      <c r="D1278" s="598" t="s">
        <v>1747</v>
      </c>
      <c r="E1278" s="572">
        <v>110100</v>
      </c>
      <c r="F1278" s="672" t="str">
        <f>IFERROR(VLOOKUP(E1278,STAT1!$C$4:$D$1000,2,FALSE),"")</f>
        <v>Хаан Банк 5024654020</v>
      </c>
      <c r="G1278" s="377"/>
      <c r="H1278" s="377">
        <v>48006.07</v>
      </c>
      <c r="I1278" s="596">
        <f t="shared" si="131"/>
        <v>-48006.07</v>
      </c>
      <c r="J1278" s="81">
        <f>+IF(E1278=110102,I1278/K1278,0)</f>
        <v>0</v>
      </c>
      <c r="K1278" s="81"/>
      <c r="L1278" s="597">
        <v>2009</v>
      </c>
      <c r="M1278" s="81" t="str">
        <f>+IFERROR(VLOOKUP(L1278,DATA!$G$4:$H$2000,2,FALSE),"")</f>
        <v>ХААН БАНК</v>
      </c>
      <c r="N1278" s="435">
        <v>56</v>
      </c>
      <c r="O1278" s="81" t="str">
        <f>IFERROR(VLOOKUP(N1278,DATA!$K$4:$L$51,2,FALSE),"")</f>
        <v>Хүүний төлбөрт төлсөн</v>
      </c>
      <c r="P1278" s="81"/>
      <c r="Q1278" s="152">
        <f t="shared" si="132"/>
        <v>1</v>
      </c>
    </row>
    <row r="1279" spans="2:17">
      <c r="B1279" s="670">
        <f t="shared" si="135"/>
        <v>1274</v>
      </c>
      <c r="C1279" s="433">
        <v>42906</v>
      </c>
      <c r="D1279" s="598" t="s">
        <v>1750</v>
      </c>
      <c r="E1279" s="572">
        <v>704900</v>
      </c>
      <c r="F1279" s="672" t="str">
        <f>IFERROR(VLOOKUP(E1279,STAT1!$C$4:$D$1000,2,FALSE),"")</f>
        <v>Банкны үйлчилгээ</v>
      </c>
      <c r="G1279" s="377">
        <v>100</v>
      </c>
      <c r="H1279" s="377">
        <v>0</v>
      </c>
      <c r="I1279" s="596">
        <f t="shared" si="131"/>
        <v>0</v>
      </c>
      <c r="J1279" s="81">
        <f>+IF(E1279=110102,I1279/K1279,0)</f>
        <v>0</v>
      </c>
      <c r="K1279" s="81"/>
      <c r="L1279" s="597">
        <v>2009</v>
      </c>
      <c r="M1279" s="81" t="str">
        <f>+IFERROR(VLOOKUP(L1279,DATA!$G$4:$H$2000,2,FALSE),"")</f>
        <v>ХААН БАНК</v>
      </c>
      <c r="N1279" s="435"/>
      <c r="O1279" s="81" t="str">
        <f>IFERROR(VLOOKUP(N1279,DATA!$K$4:$L$51,2,FALSE),"")</f>
        <v/>
      </c>
      <c r="P1279" s="81"/>
      <c r="Q1279" s="152">
        <f t="shared" si="132"/>
        <v>0</v>
      </c>
    </row>
    <row r="1280" spans="2:17">
      <c r="B1280" s="670">
        <f t="shared" si="135"/>
        <v>1275</v>
      </c>
      <c r="C1280" s="433">
        <v>42906</v>
      </c>
      <c r="D1280" s="598" t="s">
        <v>1750</v>
      </c>
      <c r="E1280" s="572">
        <v>110100</v>
      </c>
      <c r="F1280" s="672" t="str">
        <f>IFERROR(VLOOKUP(E1280,STAT1!$C$4:$D$1000,2,FALSE),"")</f>
        <v>Хаан Банк 5024654020</v>
      </c>
      <c r="G1280" s="377"/>
      <c r="H1280" s="377">
        <v>100</v>
      </c>
      <c r="I1280" s="596">
        <f t="shared" si="131"/>
        <v>-100</v>
      </c>
      <c r="J1280" s="81">
        <f>+IF(E1280=110102,I1280/K1280,0)</f>
        <v>0</v>
      </c>
      <c r="K1280" s="81"/>
      <c r="L1280" s="597">
        <v>2009</v>
      </c>
      <c r="M1280" s="81" t="str">
        <f>+IFERROR(VLOOKUP(L1280,DATA!$G$4:$H$2000,2,FALSE),"")</f>
        <v>ХААН БАНК</v>
      </c>
      <c r="N1280" s="435">
        <v>59</v>
      </c>
      <c r="O1280" s="81" t="str">
        <f>IFERROR(VLOOKUP(N1280,DATA!$K$4:$L$51,2,FALSE),"")</f>
        <v>Бусад мөнгөн зарлага</v>
      </c>
      <c r="P1280" s="81"/>
      <c r="Q1280" s="152">
        <f t="shared" si="132"/>
        <v>1</v>
      </c>
    </row>
    <row r="1281" spans="2:17">
      <c r="B1281" s="670">
        <f t="shared" si="135"/>
        <v>1276</v>
      </c>
      <c r="C1281" s="433">
        <v>42906</v>
      </c>
      <c r="D1281" s="598" t="s">
        <v>1746</v>
      </c>
      <c r="E1281" s="572">
        <v>702500</v>
      </c>
      <c r="F1281" s="672" t="str">
        <f>IFERROR(VLOOKUP(E1281,STAT1!$C$4:$D$1000,2,FALSE),"")</f>
        <v>Зээлийн хүүгийн зардал</v>
      </c>
      <c r="G1281" s="377">
        <v>1507739</v>
      </c>
      <c r="H1281" s="377"/>
      <c r="I1281" s="596">
        <f t="shared" si="131"/>
        <v>0</v>
      </c>
      <c r="J1281" s="81"/>
      <c r="K1281" s="81"/>
      <c r="L1281" s="597">
        <v>2009</v>
      </c>
      <c r="M1281" s="81" t="str">
        <f>+IFERROR(VLOOKUP(L1281,DATA!$G$4:$H$2000,2,FALSE),"")</f>
        <v>ХААН БАНК</v>
      </c>
      <c r="N1281" s="435"/>
      <c r="O1281" s="81" t="str">
        <f>IFERROR(VLOOKUP(N1281,DATA!$K$4:$L$51,2,FALSE),"")</f>
        <v/>
      </c>
      <c r="P1281" s="81"/>
      <c r="Q1281" s="152">
        <f t="shared" si="132"/>
        <v>0</v>
      </c>
    </row>
    <row r="1282" spans="2:17">
      <c r="B1282" s="670">
        <f t="shared" si="135"/>
        <v>1277</v>
      </c>
      <c r="C1282" s="601">
        <v>42906</v>
      </c>
      <c r="D1282" s="377" t="s">
        <v>1640</v>
      </c>
      <c r="E1282" s="572">
        <v>160100</v>
      </c>
      <c r="F1282" s="672" t="str">
        <f>IFERROR(VLOOKUP(E1282,STAT1!$C$4:$D$8000,2,FALSE),"")</f>
        <v xml:space="preserve">Барилгын материал </v>
      </c>
      <c r="G1282" s="377">
        <v>174545.45820000002</v>
      </c>
      <c r="H1282" s="597"/>
      <c r="I1282" s="596">
        <f t="shared" si="131"/>
        <v>0</v>
      </c>
      <c r="J1282" s="81"/>
      <c r="K1282" s="81"/>
      <c r="L1282" s="597">
        <v>1004</v>
      </c>
      <c r="M1282" s="81" t="str">
        <f>+IFERROR(VLOOKUP(L1282,DATA!$G$4:$H$2000,2,FALSE),"")</f>
        <v xml:space="preserve">Түмэндэлгэр </v>
      </c>
      <c r="N1282" s="166"/>
      <c r="O1282" s="81" t="str">
        <f>IFERROR(VLOOKUP(N1282,DATA!$K$4:$L$51,2,FALSE),"")</f>
        <v/>
      </c>
      <c r="P1282" s="81"/>
      <c r="Q1282" s="152">
        <f t="shared" si="132"/>
        <v>0</v>
      </c>
    </row>
    <row r="1283" spans="2:17">
      <c r="B1283" s="670">
        <f t="shared" si="135"/>
        <v>1278</v>
      </c>
      <c r="C1283" s="601">
        <v>42906</v>
      </c>
      <c r="D1283" s="377" t="s">
        <v>587</v>
      </c>
      <c r="E1283" s="572">
        <v>120600</v>
      </c>
      <c r="F1283" s="672" t="str">
        <f>IFERROR(VLOOKUP(E1283,STAT1!$C$4:$D$8000,2,FALSE),"")</f>
        <v>НӨАТ авлага</v>
      </c>
      <c r="G1283" s="377">
        <v>17454.545820000003</v>
      </c>
      <c r="H1283" s="597"/>
      <c r="I1283" s="596">
        <f t="shared" si="131"/>
        <v>0</v>
      </c>
      <c r="J1283" s="81"/>
      <c r="K1283" s="81"/>
      <c r="L1283" s="597">
        <v>1004</v>
      </c>
      <c r="M1283" s="81" t="str">
        <f>+IFERROR(VLOOKUP(L1283,DATA!$G$4:$H$2000,2,FALSE),"")</f>
        <v xml:space="preserve">Түмэндэлгэр </v>
      </c>
      <c r="N1283" s="166"/>
      <c r="O1283" s="81" t="str">
        <f>IFERROR(VLOOKUP(N1283,DATA!$K$4:$L$51,2,FALSE),"")</f>
        <v/>
      </c>
      <c r="P1283" s="81"/>
      <c r="Q1283" s="152">
        <f t="shared" si="132"/>
        <v>0</v>
      </c>
    </row>
    <row r="1284" spans="2:17">
      <c r="B1284" s="670">
        <f t="shared" si="135"/>
        <v>1279</v>
      </c>
      <c r="C1284" s="601">
        <v>42906</v>
      </c>
      <c r="D1284" s="377" t="s">
        <v>587</v>
      </c>
      <c r="E1284" s="572">
        <v>121200</v>
      </c>
      <c r="F1284" s="672" t="str">
        <f>IFERROR(VLOOKUP(E1284,STAT1!$C$4:$D$8000,2,FALSE),"")</f>
        <v xml:space="preserve">Ажилчидын дараа тайлангийн тооцоо </v>
      </c>
      <c r="G1284" s="597"/>
      <c r="H1284" s="377">
        <v>192000.00402000002</v>
      </c>
      <c r="I1284" s="596">
        <f t="shared" si="131"/>
        <v>0</v>
      </c>
      <c r="J1284" s="81"/>
      <c r="K1284" s="81"/>
      <c r="L1284" s="597">
        <v>1004</v>
      </c>
      <c r="M1284" s="81" t="str">
        <f>+IFERROR(VLOOKUP(L1284,DATA!$G$4:$H$2000,2,FALSE),"")</f>
        <v xml:space="preserve">Түмэндэлгэр </v>
      </c>
      <c r="N1284" s="166"/>
      <c r="O1284" s="81" t="str">
        <f>IFERROR(VLOOKUP(N1284,DATA!$K$4:$L$51,2,FALSE),"")</f>
        <v/>
      </c>
      <c r="P1284" s="81"/>
      <c r="Q1284" s="152">
        <f t="shared" si="132"/>
        <v>0</v>
      </c>
    </row>
    <row r="1285" spans="2:17">
      <c r="B1285" s="670">
        <f t="shared" si="135"/>
        <v>1280</v>
      </c>
      <c r="C1285" s="433">
        <v>42907</v>
      </c>
      <c r="D1285" s="377" t="s">
        <v>1741</v>
      </c>
      <c r="E1285" s="572">
        <v>320100</v>
      </c>
      <c r="F1285" s="672" t="str">
        <f>IFERROR(VLOOKUP(E1285,STAT1!$C$4:$D$1000,2,FALSE),"")</f>
        <v>Урьдчилж орсон орлого MNT</v>
      </c>
      <c r="G1285" s="377"/>
      <c r="H1285" s="377">
        <v>80000</v>
      </c>
      <c r="I1285" s="596">
        <f t="shared" si="131"/>
        <v>0</v>
      </c>
      <c r="J1285" s="81">
        <f t="shared" ref="J1285:J1290" si="136">+IF(E1285=110102,I1285/K1285,0)</f>
        <v>0</v>
      </c>
      <c r="K1285" s="81"/>
      <c r="L1285" s="597">
        <v>3072</v>
      </c>
      <c r="M1285" s="81" t="str">
        <f>+IFERROR(VLOOKUP(L1285,DATA!$G$4:$H$2000,2,FALSE),"")</f>
        <v>МЕТАЛ ХАУС ХХК</v>
      </c>
      <c r="N1285" s="435"/>
      <c r="O1285" s="81" t="str">
        <f>IFERROR(VLOOKUP(N1285,DATA!$K$4:$L$51,2,FALSE),"")</f>
        <v/>
      </c>
      <c r="P1285" s="81"/>
      <c r="Q1285" s="152">
        <f t="shared" si="132"/>
        <v>0</v>
      </c>
    </row>
    <row r="1286" spans="2:17">
      <c r="B1286" s="670">
        <f t="shared" si="135"/>
        <v>1281</v>
      </c>
      <c r="C1286" s="433">
        <v>42907</v>
      </c>
      <c r="D1286" s="377" t="s">
        <v>1741</v>
      </c>
      <c r="E1286" s="572">
        <v>100100</v>
      </c>
      <c r="F1286" s="672" t="str">
        <f>IFERROR(VLOOKUP(E1286,STAT1!$C$4:$D$1000,2,FALSE),"")</f>
        <v>Касс мөнгө MNT</v>
      </c>
      <c r="G1286" s="377">
        <v>80000</v>
      </c>
      <c r="H1286" s="377">
        <v>0</v>
      </c>
      <c r="I1286" s="596">
        <f t="shared" ref="I1286:I1349" si="137">+IF(OR(E1286=100100,E1286=100200,E1286=110100,E1286=110102,E1286=110103,E1286=110104,E1286=110105,E1286=110200,E1286=110201,E1286=110202,E1286=110203,E1286=110204,E1286=110300),G1286,0)+IF(OR(E1286=100100,E1286=100200,E1286=110100,E1286=110102,E1286=110103,E1286=110104,E1286=110105,E1286=110200,E1286=110201,E1286=110202,E1286=110203,E1286=110204,E1286=110300),H1286*-1,0)</f>
        <v>80000</v>
      </c>
      <c r="J1286" s="81">
        <f t="shared" si="136"/>
        <v>0</v>
      </c>
      <c r="K1286" s="81"/>
      <c r="L1286" s="597">
        <v>3072</v>
      </c>
      <c r="M1286" s="81" t="str">
        <f>+IFERROR(VLOOKUP(L1286,DATA!$G$4:$H$2000,2,FALSE),"")</f>
        <v>МЕТАЛ ХАУС ХХК</v>
      </c>
      <c r="N1286" s="435">
        <v>41</v>
      </c>
      <c r="O1286" s="81" t="str">
        <f>IFERROR(VLOOKUP(N1286,DATA!$K$4:$L$51,2,FALSE),"")</f>
        <v>Бараа борлуулсан, үйлчилгээ үзүүлсэний орлого</v>
      </c>
      <c r="P1286" s="81"/>
      <c r="Q1286" s="152">
        <f t="shared" si="132"/>
        <v>1</v>
      </c>
    </row>
    <row r="1287" spans="2:17">
      <c r="B1287" s="670">
        <f t="shared" si="135"/>
        <v>1282</v>
      </c>
      <c r="C1287" s="433">
        <v>42907</v>
      </c>
      <c r="D1287" s="377" t="s">
        <v>1741</v>
      </c>
      <c r="E1287" s="572">
        <v>320100</v>
      </c>
      <c r="F1287" s="672" t="str">
        <f>IFERROR(VLOOKUP(E1287,STAT1!$C$4:$D$1000,2,FALSE),"")</f>
        <v>Урьдчилж орсон орлого MNT</v>
      </c>
      <c r="G1287" s="377"/>
      <c r="H1287" s="377">
        <v>787560</v>
      </c>
      <c r="I1287" s="596">
        <f t="shared" si="137"/>
        <v>0</v>
      </c>
      <c r="J1287" s="81">
        <f t="shared" si="136"/>
        <v>0</v>
      </c>
      <c r="K1287" s="81"/>
      <c r="L1287" s="597">
        <v>3042</v>
      </c>
      <c r="M1287" s="81" t="str">
        <f>+IFERROR(VLOOKUP(L1287,DATA!$G$4:$H$2000,2,FALSE),"")</f>
        <v xml:space="preserve">ЖУРМАК ХХК </v>
      </c>
      <c r="N1287" s="435"/>
      <c r="O1287" s="81" t="str">
        <f>IFERROR(VLOOKUP(N1287,DATA!$K$4:$L$51,2,FALSE),"")</f>
        <v/>
      </c>
      <c r="P1287" s="81"/>
      <c r="Q1287" s="152">
        <f t="shared" ref="Q1287:Q1350" si="138">+IF(I1287,1,0)</f>
        <v>0</v>
      </c>
    </row>
    <row r="1288" spans="2:17">
      <c r="B1288" s="670">
        <f t="shared" si="135"/>
        <v>1283</v>
      </c>
      <c r="C1288" s="433">
        <v>42907</v>
      </c>
      <c r="D1288" s="377" t="s">
        <v>1741</v>
      </c>
      <c r="E1288" s="572">
        <v>100100</v>
      </c>
      <c r="F1288" s="672" t="str">
        <f>IFERROR(VLOOKUP(E1288,STAT1!$C$4:$D$1000,2,FALSE),"")</f>
        <v>Касс мөнгө MNT</v>
      </c>
      <c r="G1288" s="377">
        <v>787560</v>
      </c>
      <c r="H1288" s="377">
        <v>0</v>
      </c>
      <c r="I1288" s="596">
        <f t="shared" si="137"/>
        <v>787560</v>
      </c>
      <c r="J1288" s="81">
        <f t="shared" si="136"/>
        <v>0</v>
      </c>
      <c r="K1288" s="81"/>
      <c r="L1288" s="597">
        <v>3042</v>
      </c>
      <c r="M1288" s="81" t="str">
        <f>+IFERROR(VLOOKUP(L1288,DATA!$G$4:$H$2000,2,FALSE),"")</f>
        <v xml:space="preserve">ЖУРМАК ХХК </v>
      </c>
      <c r="N1288" s="435">
        <v>41</v>
      </c>
      <c r="O1288" s="81" t="str">
        <f>IFERROR(VLOOKUP(N1288,DATA!$K$4:$L$51,2,FALSE),"")</f>
        <v>Бараа борлуулсан, үйлчилгээ үзүүлсэний орлого</v>
      </c>
      <c r="P1288" s="81"/>
      <c r="Q1288" s="152">
        <f t="shared" si="138"/>
        <v>1</v>
      </c>
    </row>
    <row r="1289" spans="2:17">
      <c r="B1289" s="670">
        <f t="shared" si="135"/>
        <v>1284</v>
      </c>
      <c r="C1289" s="433">
        <v>42909</v>
      </c>
      <c r="D1289" s="377" t="s">
        <v>1741</v>
      </c>
      <c r="E1289" s="572">
        <v>320100</v>
      </c>
      <c r="F1289" s="672" t="str">
        <f>IFERROR(VLOOKUP(E1289,STAT1!$C$4:$D$1000,2,FALSE),"")</f>
        <v>Урьдчилж орсон орлого MNT</v>
      </c>
      <c r="G1289" s="377"/>
      <c r="H1289" s="377">
        <v>2430000</v>
      </c>
      <c r="I1289" s="596">
        <f t="shared" si="137"/>
        <v>0</v>
      </c>
      <c r="J1289" s="81">
        <f t="shared" si="136"/>
        <v>0</v>
      </c>
      <c r="K1289" s="81"/>
      <c r="L1289" s="597">
        <v>3069</v>
      </c>
      <c r="M1289" s="81" t="str">
        <f>+IFERROR(VLOOKUP(L1289,DATA!$G$4:$H$2000,2,FALSE),"")</f>
        <v>УУЛЫН ЗАМ ХХК</v>
      </c>
      <c r="N1289" s="435"/>
      <c r="O1289" s="81" t="str">
        <f>IFERROR(VLOOKUP(N1289,DATA!$K$4:$L$51,2,FALSE),"")</f>
        <v/>
      </c>
      <c r="P1289" s="81"/>
      <c r="Q1289" s="152">
        <f t="shared" si="138"/>
        <v>0</v>
      </c>
    </row>
    <row r="1290" spans="2:17">
      <c r="B1290" s="670">
        <f t="shared" si="135"/>
        <v>1285</v>
      </c>
      <c r="C1290" s="433">
        <v>42909</v>
      </c>
      <c r="D1290" s="377" t="s">
        <v>1741</v>
      </c>
      <c r="E1290" s="572">
        <v>100100</v>
      </c>
      <c r="F1290" s="672" t="str">
        <f>IFERROR(VLOOKUP(E1290,STAT1!$C$4:$D$1000,2,FALSE),"")</f>
        <v>Касс мөнгө MNT</v>
      </c>
      <c r="G1290" s="377">
        <v>2430000</v>
      </c>
      <c r="H1290" s="377">
        <v>0</v>
      </c>
      <c r="I1290" s="596">
        <f t="shared" si="137"/>
        <v>2430000</v>
      </c>
      <c r="J1290" s="81">
        <f t="shared" si="136"/>
        <v>0</v>
      </c>
      <c r="K1290" s="81"/>
      <c r="L1290" s="597">
        <v>3069</v>
      </c>
      <c r="M1290" s="81" t="str">
        <f>+IFERROR(VLOOKUP(L1290,DATA!$G$4:$H$2000,2,FALSE),"")</f>
        <v>УУЛЫН ЗАМ ХХК</v>
      </c>
      <c r="N1290" s="435">
        <v>41</v>
      </c>
      <c r="O1290" s="81" t="str">
        <f>IFERROR(VLOOKUP(N1290,DATA!$K$4:$L$51,2,FALSE),"")</f>
        <v>Бараа борлуулсан, үйлчилгээ үзүүлсэний орлого</v>
      </c>
      <c r="P1290" s="81"/>
      <c r="Q1290" s="152">
        <f t="shared" si="138"/>
        <v>1</v>
      </c>
    </row>
    <row r="1291" spans="2:17">
      <c r="B1291" s="670">
        <f t="shared" si="135"/>
        <v>1286</v>
      </c>
      <c r="C1291" s="601">
        <v>42909</v>
      </c>
      <c r="D1291" s="377" t="s">
        <v>2698</v>
      </c>
      <c r="E1291" s="573">
        <v>150101</v>
      </c>
      <c r="F1291" s="672" t="str">
        <f>IFERROR(VLOOKUP(E1291,STAT1!$C$4:$D$8000,2,FALSE),"")</f>
        <v>Бараа бэлэн бүтээгдэхүүн БОЛОВСРУУЛАХ ЦЕХ /нарс/</v>
      </c>
      <c r="G1291" s="673"/>
      <c r="H1291" s="372">
        <v>1290876.2478929067</v>
      </c>
      <c r="I1291" s="596">
        <f t="shared" si="137"/>
        <v>0</v>
      </c>
      <c r="J1291" s="81"/>
      <c r="K1291" s="81"/>
      <c r="L1291" s="597">
        <v>3069</v>
      </c>
      <c r="M1291" s="81" t="str">
        <f>+IFERROR(VLOOKUP(L1291,DATA!$G$4:$H$2000,2,FALSE),"")</f>
        <v>УУЛЫН ЗАМ ХХК</v>
      </c>
      <c r="N1291" s="166"/>
      <c r="O1291" s="81" t="str">
        <f>IFERROR(VLOOKUP(N1291,DATA!$K$4:$L$51,2,FALSE),"")</f>
        <v/>
      </c>
      <c r="P1291" s="81"/>
      <c r="Q1291" s="152">
        <f t="shared" si="138"/>
        <v>0</v>
      </c>
    </row>
    <row r="1292" spans="2:17">
      <c r="B1292" s="670">
        <f t="shared" si="135"/>
        <v>1287</v>
      </c>
      <c r="C1292" s="601">
        <v>42909</v>
      </c>
      <c r="D1292" s="377"/>
      <c r="E1292" s="572">
        <v>610100</v>
      </c>
      <c r="F1292" s="672" t="str">
        <f>IFERROR(VLOOKUP(E1292,STAT1!$C$4:$D$8000,2,FALSE),"")</f>
        <v>Борлуулсан барааны өртөг</v>
      </c>
      <c r="G1292" s="372">
        <v>1290876.2478929067</v>
      </c>
      <c r="H1292" s="681"/>
      <c r="I1292" s="596">
        <f t="shared" si="137"/>
        <v>0</v>
      </c>
      <c r="J1292" s="81"/>
      <c r="K1292" s="81"/>
      <c r="L1292" s="597">
        <v>3069</v>
      </c>
      <c r="M1292" s="81" t="str">
        <f>+IFERROR(VLOOKUP(L1292,DATA!$G$4:$H$2000,2,FALSE),"")</f>
        <v>УУЛЫН ЗАМ ХХК</v>
      </c>
      <c r="N1292" s="166"/>
      <c r="O1292" s="81" t="str">
        <f>IFERROR(VLOOKUP(N1292,DATA!$K$4:$L$51,2,FALSE),"")</f>
        <v/>
      </c>
      <c r="P1292" s="81"/>
      <c r="Q1292" s="152">
        <f t="shared" si="138"/>
        <v>0</v>
      </c>
    </row>
    <row r="1293" spans="2:17">
      <c r="B1293" s="670">
        <f t="shared" si="135"/>
        <v>1288</v>
      </c>
      <c r="C1293" s="601">
        <v>42909</v>
      </c>
      <c r="D1293" s="377"/>
      <c r="E1293" s="572">
        <v>310500</v>
      </c>
      <c r="F1293" s="672" t="str">
        <f>IFERROR(VLOOKUP(E1293,STAT1!$C$4:$D$8000,2,FALSE),"")</f>
        <v>НӨАТ өглөг</v>
      </c>
      <c r="G1293" s="597"/>
      <c r="H1293" s="377">
        <v>220909.09075199999</v>
      </c>
      <c r="I1293" s="596">
        <f t="shared" si="137"/>
        <v>0</v>
      </c>
      <c r="J1293" s="81"/>
      <c r="K1293" s="81"/>
      <c r="L1293" s="597">
        <v>3069</v>
      </c>
      <c r="M1293" s="81" t="str">
        <f>+IFERROR(VLOOKUP(L1293,DATA!$G$4:$H$2000,2,FALSE),"")</f>
        <v>УУЛЫН ЗАМ ХХК</v>
      </c>
      <c r="N1293" s="166"/>
      <c r="O1293" s="81" t="str">
        <f>IFERROR(VLOOKUP(N1293,DATA!$K$4:$L$51,2,FALSE),"")</f>
        <v/>
      </c>
      <c r="P1293" s="81"/>
      <c r="Q1293" s="152">
        <f t="shared" si="138"/>
        <v>0</v>
      </c>
    </row>
    <row r="1294" spans="2:17">
      <c r="B1294" s="670">
        <f t="shared" si="135"/>
        <v>1289</v>
      </c>
      <c r="C1294" s="601">
        <v>42909</v>
      </c>
      <c r="D1294" s="377"/>
      <c r="E1294" s="572">
        <v>510000</v>
      </c>
      <c r="F1294" s="672" t="str">
        <f>IFERROR(VLOOKUP(E1294,STAT1!$C$4:$D$8000,2,FALSE),"")</f>
        <v>Үндсэн үйл ажиллагааны борлуулалт</v>
      </c>
      <c r="G1294" s="597"/>
      <c r="H1294" s="377">
        <v>2209090.9075199999</v>
      </c>
      <c r="I1294" s="596">
        <f t="shared" si="137"/>
        <v>0</v>
      </c>
      <c r="J1294" s="81"/>
      <c r="K1294" s="81"/>
      <c r="L1294" s="597">
        <v>3069</v>
      </c>
      <c r="M1294" s="81" t="str">
        <f>+IFERROR(VLOOKUP(L1294,DATA!$G$4:$H$2000,2,FALSE),"")</f>
        <v>УУЛЫН ЗАМ ХХК</v>
      </c>
      <c r="N1294" s="166"/>
      <c r="O1294" s="81" t="str">
        <f>IFERROR(VLOOKUP(N1294,DATA!$K$4:$L$51,2,FALSE),"")</f>
        <v/>
      </c>
      <c r="P1294" s="81"/>
      <c r="Q1294" s="152">
        <f t="shared" si="138"/>
        <v>0</v>
      </c>
    </row>
    <row r="1295" spans="2:17">
      <c r="B1295" s="670">
        <f t="shared" si="135"/>
        <v>1290</v>
      </c>
      <c r="C1295" s="601">
        <v>42909</v>
      </c>
      <c r="D1295" s="377"/>
      <c r="E1295" s="572">
        <v>320100</v>
      </c>
      <c r="F1295" s="672" t="str">
        <f>IFERROR(VLOOKUP(E1295,STAT1!$C$4:$D$8000,2,FALSE),"")</f>
        <v>Урьдчилж орсон орлого MNT</v>
      </c>
      <c r="G1295" s="377">
        <v>2429999.9982719999</v>
      </c>
      <c r="H1295" s="597"/>
      <c r="I1295" s="596">
        <f t="shared" si="137"/>
        <v>0</v>
      </c>
      <c r="J1295" s="81"/>
      <c r="K1295" s="81"/>
      <c r="L1295" s="597">
        <v>3069</v>
      </c>
      <c r="M1295" s="81" t="str">
        <f>+IFERROR(VLOOKUP(L1295,DATA!$G$4:$H$2000,2,FALSE),"")</f>
        <v>УУЛЫН ЗАМ ХХК</v>
      </c>
      <c r="N1295" s="166"/>
      <c r="O1295" s="81" t="str">
        <f>IFERROR(VLOOKUP(N1295,DATA!$K$4:$L$51,2,FALSE),"")</f>
        <v/>
      </c>
      <c r="P1295" s="81"/>
      <c r="Q1295" s="152">
        <f t="shared" si="138"/>
        <v>0</v>
      </c>
    </row>
    <row r="1296" spans="2:17">
      <c r="B1296" s="670">
        <f t="shared" si="135"/>
        <v>1291</v>
      </c>
      <c r="C1296" s="601">
        <v>42909</v>
      </c>
      <c r="D1296" s="377" t="s">
        <v>2698</v>
      </c>
      <c r="E1296" s="573">
        <v>150101</v>
      </c>
      <c r="F1296" s="672" t="str">
        <f>IFERROR(VLOOKUP(E1296,STAT1!$C$4:$D$8000,2,FALSE),"")</f>
        <v>Бараа бэлэн бүтээгдэхүүн БОЛОВСРУУЛАХ ЦЕХ /нарс/</v>
      </c>
      <c r="G1296" s="673"/>
      <c r="H1296" s="372">
        <v>42410.718616604732</v>
      </c>
      <c r="I1296" s="596">
        <f t="shared" si="137"/>
        <v>0</v>
      </c>
      <c r="J1296" s="81"/>
      <c r="K1296" s="81"/>
      <c r="L1296" s="597">
        <v>3072</v>
      </c>
      <c r="M1296" s="81" t="str">
        <f>+IFERROR(VLOOKUP(L1296,DATA!$G$4:$H$2000,2,FALSE),"")</f>
        <v>МЕТАЛ ХАУС ХХК</v>
      </c>
      <c r="N1296" s="166"/>
      <c r="O1296" s="81" t="str">
        <f>IFERROR(VLOOKUP(N1296,DATA!$K$4:$L$51,2,FALSE),"")</f>
        <v/>
      </c>
      <c r="P1296" s="81"/>
      <c r="Q1296" s="152">
        <f t="shared" si="138"/>
        <v>0</v>
      </c>
    </row>
    <row r="1297" spans="2:17">
      <c r="B1297" s="670">
        <f t="shared" si="135"/>
        <v>1292</v>
      </c>
      <c r="C1297" s="601">
        <v>42909</v>
      </c>
      <c r="D1297" s="377" t="s">
        <v>587</v>
      </c>
      <c r="E1297" s="572">
        <v>610100</v>
      </c>
      <c r="F1297" s="672" t="str">
        <f>IFERROR(VLOOKUP(E1297,STAT1!$C$4:$D$8000,2,FALSE),"")</f>
        <v>Борлуулсан барааны өртөг</v>
      </c>
      <c r="G1297" s="372">
        <v>42410.718616604732</v>
      </c>
      <c r="H1297" s="681"/>
      <c r="I1297" s="596">
        <f t="shared" si="137"/>
        <v>0</v>
      </c>
      <c r="J1297" s="81"/>
      <c r="K1297" s="81"/>
      <c r="L1297" s="597">
        <v>3072</v>
      </c>
      <c r="M1297" s="81" t="str">
        <f>+IFERROR(VLOOKUP(L1297,DATA!$G$4:$H$2000,2,FALSE),"")</f>
        <v>МЕТАЛ ХАУС ХХК</v>
      </c>
      <c r="N1297" s="166"/>
      <c r="O1297" s="81" t="str">
        <f>IFERROR(VLOOKUP(N1297,DATA!$K$4:$L$51,2,FALSE),"")</f>
        <v/>
      </c>
      <c r="P1297" s="81"/>
      <c r="Q1297" s="152">
        <f t="shared" si="138"/>
        <v>0</v>
      </c>
    </row>
    <row r="1298" spans="2:17">
      <c r="B1298" s="670">
        <f t="shared" si="135"/>
        <v>1293</v>
      </c>
      <c r="C1298" s="601">
        <v>42909</v>
      </c>
      <c r="D1298" s="377" t="s">
        <v>587</v>
      </c>
      <c r="E1298" s="572">
        <v>310500</v>
      </c>
      <c r="F1298" s="672" t="str">
        <f>IFERROR(VLOOKUP(E1298,STAT1!$C$4:$D$8000,2,FALSE),"")</f>
        <v>НӨАТ өглөг</v>
      </c>
      <c r="G1298" s="597"/>
      <c r="H1298" s="377">
        <v>7272.7269888000001</v>
      </c>
      <c r="I1298" s="596">
        <f t="shared" si="137"/>
        <v>0</v>
      </c>
      <c r="J1298" s="81"/>
      <c r="K1298" s="81"/>
      <c r="L1298" s="597">
        <v>3072</v>
      </c>
      <c r="M1298" s="81" t="str">
        <f>+IFERROR(VLOOKUP(L1298,DATA!$G$4:$H$2000,2,FALSE),"")</f>
        <v>МЕТАЛ ХАУС ХХК</v>
      </c>
      <c r="N1298" s="166"/>
      <c r="O1298" s="81" t="str">
        <f>IFERROR(VLOOKUP(N1298,DATA!$K$4:$L$51,2,FALSE),"")</f>
        <v/>
      </c>
      <c r="P1298" s="81"/>
      <c r="Q1298" s="152">
        <f t="shared" si="138"/>
        <v>0</v>
      </c>
    </row>
    <row r="1299" spans="2:17">
      <c r="B1299" s="670">
        <f t="shared" si="135"/>
        <v>1294</v>
      </c>
      <c r="C1299" s="601">
        <v>42909</v>
      </c>
      <c r="D1299" s="377" t="s">
        <v>587</v>
      </c>
      <c r="E1299" s="572">
        <v>510000</v>
      </c>
      <c r="F1299" s="672" t="str">
        <f>IFERROR(VLOOKUP(E1299,STAT1!$C$4:$D$8000,2,FALSE),"")</f>
        <v>Үндсэн үйл ажиллагааны борлуулалт</v>
      </c>
      <c r="G1299" s="597"/>
      <c r="H1299" s="377">
        <v>72727.269887999995</v>
      </c>
      <c r="I1299" s="596">
        <f t="shared" si="137"/>
        <v>0</v>
      </c>
      <c r="J1299" s="81"/>
      <c r="K1299" s="81"/>
      <c r="L1299" s="597">
        <v>3072</v>
      </c>
      <c r="M1299" s="81" t="str">
        <f>+IFERROR(VLOOKUP(L1299,DATA!$G$4:$H$2000,2,FALSE),"")</f>
        <v>МЕТАЛ ХАУС ХХК</v>
      </c>
      <c r="N1299" s="166"/>
      <c r="O1299" s="81" t="str">
        <f>IFERROR(VLOOKUP(N1299,DATA!$K$4:$L$51,2,FALSE),"")</f>
        <v/>
      </c>
      <c r="P1299" s="81"/>
      <c r="Q1299" s="152">
        <f t="shared" si="138"/>
        <v>0</v>
      </c>
    </row>
    <row r="1300" spans="2:17">
      <c r="B1300" s="670">
        <f t="shared" si="135"/>
        <v>1295</v>
      </c>
      <c r="C1300" s="601">
        <v>42909</v>
      </c>
      <c r="D1300" s="377" t="s">
        <v>587</v>
      </c>
      <c r="E1300" s="572">
        <v>320100</v>
      </c>
      <c r="F1300" s="672" t="str">
        <f>IFERROR(VLOOKUP(E1300,STAT1!$C$4:$D$8000,2,FALSE),"")</f>
        <v>Урьдчилж орсон орлого MNT</v>
      </c>
      <c r="G1300" s="377">
        <v>79999.996876799996</v>
      </c>
      <c r="H1300" s="597"/>
      <c r="I1300" s="596">
        <f t="shared" si="137"/>
        <v>0</v>
      </c>
      <c r="J1300" s="81"/>
      <c r="K1300" s="81"/>
      <c r="L1300" s="597">
        <v>3072</v>
      </c>
      <c r="M1300" s="81" t="str">
        <f>+IFERROR(VLOOKUP(L1300,DATA!$G$4:$H$2000,2,FALSE),"")</f>
        <v>МЕТАЛ ХАУС ХХК</v>
      </c>
      <c r="N1300" s="166"/>
      <c r="O1300" s="81" t="str">
        <f>IFERROR(VLOOKUP(N1300,DATA!$K$4:$L$51,2,FALSE),"")</f>
        <v/>
      </c>
      <c r="P1300" s="81"/>
      <c r="Q1300" s="152">
        <f t="shared" si="138"/>
        <v>0</v>
      </c>
    </row>
    <row r="1301" spans="2:17">
      <c r="B1301" s="670">
        <f t="shared" si="135"/>
        <v>1296</v>
      </c>
      <c r="C1301" s="433">
        <v>42910</v>
      </c>
      <c r="D1301" s="377" t="s">
        <v>1741</v>
      </c>
      <c r="E1301" s="572">
        <v>320100</v>
      </c>
      <c r="F1301" s="672" t="str">
        <f>IFERROR(VLOOKUP(E1301,STAT1!$C$4:$D$1000,2,FALSE),"")</f>
        <v>Урьдчилж орсон орлого MNT</v>
      </c>
      <c r="G1301" s="377"/>
      <c r="H1301" s="377">
        <v>13700000</v>
      </c>
      <c r="I1301" s="596">
        <f t="shared" si="137"/>
        <v>0</v>
      </c>
      <c r="J1301" s="81">
        <f>+IF(E1301=110102,I1301/K1301,0)</f>
        <v>0</v>
      </c>
      <c r="K1301" s="81"/>
      <c r="L1301" s="597">
        <v>3001</v>
      </c>
      <c r="M1301" s="81" t="str">
        <f>+IFERROR(VLOOKUP(L1301,DATA!$G$4:$H$2000,2,FALSE),"")</f>
        <v>ХУРД ГРУПП ХХК</v>
      </c>
      <c r="N1301" s="435"/>
      <c r="O1301" s="81"/>
      <c r="P1301" s="81"/>
      <c r="Q1301" s="152">
        <f t="shared" si="138"/>
        <v>0</v>
      </c>
    </row>
    <row r="1302" spans="2:17">
      <c r="B1302" s="670">
        <f t="shared" si="135"/>
        <v>1297</v>
      </c>
      <c r="C1302" s="433">
        <v>42910</v>
      </c>
      <c r="D1302" s="377" t="s">
        <v>1741</v>
      </c>
      <c r="E1302" s="572">
        <v>100100</v>
      </c>
      <c r="F1302" s="672" t="str">
        <f>IFERROR(VLOOKUP(E1302,STAT1!$C$4:$D$1000,2,FALSE),"")</f>
        <v>Касс мөнгө MNT</v>
      </c>
      <c r="G1302" s="377">
        <v>13700000</v>
      </c>
      <c r="H1302" s="377">
        <v>0</v>
      </c>
      <c r="I1302" s="596">
        <f t="shared" si="137"/>
        <v>13700000</v>
      </c>
      <c r="J1302" s="81">
        <f>+IF(E1302=110102,I1302/K1302,0)</f>
        <v>0</v>
      </c>
      <c r="K1302" s="81"/>
      <c r="L1302" s="597">
        <v>3001</v>
      </c>
      <c r="M1302" s="81" t="str">
        <f>+IFERROR(VLOOKUP(L1302,DATA!$G$4:$H$2000,2,FALSE),"")</f>
        <v>ХУРД ГРУПП ХХК</v>
      </c>
      <c r="N1302" s="435">
        <v>41</v>
      </c>
      <c r="O1302" s="81" t="str">
        <f>IFERROR(VLOOKUP(N1302,DATA!$K$4:$L$51,2,FALSE),"")</f>
        <v>Бараа борлуулсан, үйлчилгээ үзүүлсэний орлого</v>
      </c>
      <c r="P1302" s="81"/>
      <c r="Q1302" s="152">
        <f t="shared" si="138"/>
        <v>1</v>
      </c>
    </row>
    <row r="1303" spans="2:17">
      <c r="B1303" s="670">
        <f t="shared" si="135"/>
        <v>1298</v>
      </c>
      <c r="C1303" s="601">
        <v>42910</v>
      </c>
      <c r="D1303" s="377" t="s">
        <v>2698</v>
      </c>
      <c r="E1303" s="573">
        <v>150101</v>
      </c>
      <c r="F1303" s="672" t="str">
        <f>IFERROR(VLOOKUP(E1303,STAT1!$C$4:$D$8000,2,FALSE),"")</f>
        <v>Бараа бэлэн бүтээгдэхүүн БОЛОВСРУУЛАХ ЦЕХ /нарс/</v>
      </c>
      <c r="G1303" s="597"/>
      <c r="H1303" s="377">
        <v>7277982.2483137781</v>
      </c>
      <c r="I1303" s="596">
        <f t="shared" si="137"/>
        <v>0</v>
      </c>
      <c r="J1303" s="81"/>
      <c r="K1303" s="81"/>
      <c r="L1303" s="597">
        <v>3001</v>
      </c>
      <c r="M1303" s="81" t="str">
        <f>+IFERROR(VLOOKUP(L1303,DATA!$G$4:$H$2000,2,FALSE),"")</f>
        <v>ХУРД ГРУПП ХХК</v>
      </c>
      <c r="N1303" s="166"/>
      <c r="O1303" s="81" t="str">
        <f>IFERROR(VLOOKUP(N1303,DATA!$K$4:$L$51,2,FALSE),"")</f>
        <v/>
      </c>
      <c r="P1303" s="81"/>
      <c r="Q1303" s="152">
        <f t="shared" si="138"/>
        <v>0</v>
      </c>
    </row>
    <row r="1304" spans="2:17">
      <c r="B1304" s="670">
        <f t="shared" si="135"/>
        <v>1299</v>
      </c>
      <c r="C1304" s="601">
        <v>42910</v>
      </c>
      <c r="D1304" s="377" t="s">
        <v>587</v>
      </c>
      <c r="E1304" s="572">
        <v>610100</v>
      </c>
      <c r="F1304" s="672" t="str">
        <f>IFERROR(VLOOKUP(E1304,STAT1!$C$4:$D$8000,2,FALSE),"")</f>
        <v>Борлуулсан барааны өртөг</v>
      </c>
      <c r="G1304" s="377">
        <v>7277982.2483137781</v>
      </c>
      <c r="H1304" s="597"/>
      <c r="I1304" s="596">
        <f t="shared" si="137"/>
        <v>0</v>
      </c>
      <c r="J1304" s="81"/>
      <c r="K1304" s="81"/>
      <c r="L1304" s="597">
        <v>3001</v>
      </c>
      <c r="M1304" s="81" t="str">
        <f>+IFERROR(VLOOKUP(L1304,DATA!$G$4:$H$2000,2,FALSE),"")</f>
        <v>ХУРД ГРУПП ХХК</v>
      </c>
      <c r="N1304" s="166"/>
      <c r="O1304" s="81" t="str">
        <f>IFERROR(VLOOKUP(N1304,DATA!$K$4:$L$51,2,FALSE),"")</f>
        <v/>
      </c>
      <c r="P1304" s="81"/>
      <c r="Q1304" s="152">
        <f t="shared" si="138"/>
        <v>0</v>
      </c>
    </row>
    <row r="1305" spans="2:17">
      <c r="B1305" s="670">
        <f t="shared" si="135"/>
        <v>1300</v>
      </c>
      <c r="C1305" s="601">
        <v>42910</v>
      </c>
      <c r="D1305" s="377" t="s">
        <v>587</v>
      </c>
      <c r="E1305" s="572">
        <v>310500</v>
      </c>
      <c r="F1305" s="672" t="str">
        <f>IFERROR(VLOOKUP(E1305,STAT1!$C$4:$D$8000,2,FALSE),"")</f>
        <v>НӨАТ өглөг</v>
      </c>
      <c r="G1305" s="597"/>
      <c r="H1305" s="377">
        <v>1245454.5449999999</v>
      </c>
      <c r="I1305" s="596">
        <f t="shared" si="137"/>
        <v>0</v>
      </c>
      <c r="J1305" s="81"/>
      <c r="K1305" s="81"/>
      <c r="L1305" s="597">
        <v>3001</v>
      </c>
      <c r="M1305" s="81" t="str">
        <f>+IFERROR(VLOOKUP(L1305,DATA!$G$4:$H$2000,2,FALSE),"")</f>
        <v>ХУРД ГРУПП ХХК</v>
      </c>
      <c r="N1305" s="166"/>
      <c r="O1305" s="81" t="str">
        <f>IFERROR(VLOOKUP(N1305,DATA!$K$4:$L$51,2,FALSE),"")</f>
        <v/>
      </c>
      <c r="P1305" s="81"/>
      <c r="Q1305" s="152">
        <f t="shared" si="138"/>
        <v>0</v>
      </c>
    </row>
    <row r="1306" spans="2:17">
      <c r="B1306" s="670">
        <f t="shared" si="135"/>
        <v>1301</v>
      </c>
      <c r="C1306" s="601">
        <v>42910</v>
      </c>
      <c r="D1306" s="377" t="s">
        <v>587</v>
      </c>
      <c r="E1306" s="572">
        <v>510000</v>
      </c>
      <c r="F1306" s="672" t="str">
        <f>IFERROR(VLOOKUP(E1306,STAT1!$C$4:$D$8000,2,FALSE),"")</f>
        <v>Үндсэн үйл ажиллагааны борлуулалт</v>
      </c>
      <c r="G1306" s="597"/>
      <c r="H1306" s="377">
        <v>12454545.449999999</v>
      </c>
      <c r="I1306" s="596">
        <f t="shared" si="137"/>
        <v>0</v>
      </c>
      <c r="J1306" s="81"/>
      <c r="K1306" s="81"/>
      <c r="L1306" s="597">
        <v>3001</v>
      </c>
      <c r="M1306" s="81" t="str">
        <f>+IFERROR(VLOOKUP(L1306,DATA!$G$4:$H$2000,2,FALSE),"")</f>
        <v>ХУРД ГРУПП ХХК</v>
      </c>
      <c r="N1306" s="166"/>
      <c r="O1306" s="81" t="str">
        <f>IFERROR(VLOOKUP(N1306,DATA!$K$4:$L$51,2,FALSE),"")</f>
        <v/>
      </c>
      <c r="P1306" s="81"/>
      <c r="Q1306" s="152">
        <f t="shared" si="138"/>
        <v>0</v>
      </c>
    </row>
    <row r="1307" spans="2:17">
      <c r="B1307" s="670">
        <f t="shared" si="135"/>
        <v>1302</v>
      </c>
      <c r="C1307" s="601">
        <v>42910</v>
      </c>
      <c r="D1307" s="377" t="s">
        <v>587</v>
      </c>
      <c r="E1307" s="572">
        <v>320100</v>
      </c>
      <c r="F1307" s="672" t="str">
        <f>IFERROR(VLOOKUP(E1307,STAT1!$C$4:$D$8000,2,FALSE),"")</f>
        <v>Урьдчилж орсон орлого MNT</v>
      </c>
      <c r="G1307" s="377">
        <v>13699999.994999999</v>
      </c>
      <c r="H1307" s="597"/>
      <c r="I1307" s="596">
        <f t="shared" si="137"/>
        <v>0</v>
      </c>
      <c r="J1307" s="81"/>
      <c r="K1307" s="81"/>
      <c r="L1307" s="597">
        <v>3001</v>
      </c>
      <c r="M1307" s="81" t="str">
        <f>+IFERROR(VLOOKUP(L1307,DATA!$G$4:$H$2000,2,FALSE),"")</f>
        <v>ХУРД ГРУПП ХХК</v>
      </c>
      <c r="N1307" s="166"/>
      <c r="O1307" s="81" t="str">
        <f>IFERROR(VLOOKUP(N1307,DATA!$K$4:$L$51,2,FALSE),"")</f>
        <v/>
      </c>
      <c r="P1307" s="81"/>
      <c r="Q1307" s="152">
        <f t="shared" si="138"/>
        <v>0</v>
      </c>
    </row>
    <row r="1308" spans="2:17">
      <c r="B1308" s="670">
        <f t="shared" si="135"/>
        <v>1303</v>
      </c>
      <c r="C1308" s="433">
        <v>42913</v>
      </c>
      <c r="D1308" s="377" t="s">
        <v>1734</v>
      </c>
      <c r="E1308" s="572">
        <v>100100</v>
      </c>
      <c r="F1308" s="672" t="str">
        <f>IFERROR(VLOOKUP(E1308,STAT1!$C$4:$D$1000,2,FALSE),"")</f>
        <v>Касс мөнгө MNT</v>
      </c>
      <c r="G1308" s="377"/>
      <c r="H1308" s="377">
        <v>20000</v>
      </c>
      <c r="I1308" s="596">
        <f t="shared" si="137"/>
        <v>-20000</v>
      </c>
      <c r="J1308" s="81">
        <f t="shared" ref="J1308:J1352" si="139">+IF(E1308=110102,I1308/K1308,0)</f>
        <v>0</v>
      </c>
      <c r="K1308" s="81"/>
      <c r="L1308" s="597">
        <v>1005</v>
      </c>
      <c r="M1308" s="81" t="str">
        <f>+IFERROR(VLOOKUP(L1308,DATA!$G$4:$H$2000,2,FALSE),"")</f>
        <v>Золжаргал</v>
      </c>
      <c r="N1308" s="435">
        <v>55</v>
      </c>
      <c r="O1308" s="81" t="str">
        <f>IFERROR(VLOOKUP(N1308,DATA!$K$4:$L$51,2,FALSE),"")</f>
        <v>Түлш, шатахуун, тээврийн хөлс, сэлбэг хэрэгсэлд төлсөн</v>
      </c>
      <c r="P1308" s="81"/>
      <c r="Q1308" s="152">
        <f t="shared" si="138"/>
        <v>1</v>
      </c>
    </row>
    <row r="1309" spans="2:17">
      <c r="B1309" s="670">
        <f t="shared" si="135"/>
        <v>1304</v>
      </c>
      <c r="C1309" s="433">
        <v>42913</v>
      </c>
      <c r="D1309" s="377" t="s">
        <v>1734</v>
      </c>
      <c r="E1309" s="572">
        <v>702000</v>
      </c>
      <c r="F1309" s="672" t="str">
        <f>IFERROR(VLOOKUP(E1309,STAT1!$C$4:$D$1000,2,FALSE),"")</f>
        <v>Түлш, шатахуун</v>
      </c>
      <c r="G1309" s="377">
        <v>20000</v>
      </c>
      <c r="H1309" s="377">
        <v>0</v>
      </c>
      <c r="I1309" s="596">
        <f t="shared" si="137"/>
        <v>0</v>
      </c>
      <c r="J1309" s="81">
        <f t="shared" si="139"/>
        <v>0</v>
      </c>
      <c r="K1309" s="81"/>
      <c r="L1309" s="597">
        <v>1005</v>
      </c>
      <c r="M1309" s="81" t="str">
        <f>+IFERROR(VLOOKUP(L1309,DATA!$G$4:$H$2000,2,FALSE),"")</f>
        <v>Золжаргал</v>
      </c>
      <c r="N1309" s="435"/>
      <c r="O1309" s="81" t="str">
        <f>IFERROR(VLOOKUP(N1309,DATA!$K$4:$L$51,2,FALSE),"")</f>
        <v/>
      </c>
      <c r="P1309" s="81"/>
      <c r="Q1309" s="152">
        <f t="shared" si="138"/>
        <v>0</v>
      </c>
    </row>
    <row r="1310" spans="2:17">
      <c r="B1310" s="670">
        <f t="shared" si="135"/>
        <v>1305</v>
      </c>
      <c r="C1310" s="433">
        <v>42913</v>
      </c>
      <c r="D1310" s="377" t="s">
        <v>1701</v>
      </c>
      <c r="E1310" s="572">
        <v>100100</v>
      </c>
      <c r="F1310" s="672" t="str">
        <f>IFERROR(VLOOKUP(E1310,STAT1!$C$4:$D$1000,2,FALSE),"")</f>
        <v>Касс мөнгө MNT</v>
      </c>
      <c r="G1310" s="377"/>
      <c r="H1310" s="377">
        <v>1500000</v>
      </c>
      <c r="I1310" s="596">
        <f t="shared" si="137"/>
        <v>-1500000</v>
      </c>
      <c r="J1310" s="81">
        <f t="shared" si="139"/>
        <v>0</v>
      </c>
      <c r="K1310" s="81"/>
      <c r="L1310" s="597">
        <v>2012</v>
      </c>
      <c r="M1310" s="81" t="str">
        <f>+IFERROR(VLOOKUP(L1310,DATA!$G$4:$H$2000,2,FALSE),"")</f>
        <v>ИХ ТУГЧ ХХК</v>
      </c>
      <c r="N1310" s="435">
        <v>59</v>
      </c>
      <c r="O1310" s="81" t="str">
        <f>IFERROR(VLOOKUP(N1310,DATA!$K$4:$L$51,2,FALSE),"")</f>
        <v>Бусад мөнгөн зарлага</v>
      </c>
      <c r="P1310" s="81"/>
      <c r="Q1310" s="152">
        <f t="shared" si="138"/>
        <v>1</v>
      </c>
    </row>
    <row r="1311" spans="2:17">
      <c r="B1311" s="670">
        <f t="shared" si="135"/>
        <v>1306</v>
      </c>
      <c r="C1311" s="433">
        <v>42913</v>
      </c>
      <c r="D1311" s="377" t="s">
        <v>1701</v>
      </c>
      <c r="E1311" s="572">
        <v>705800</v>
      </c>
      <c r="F1311" s="672" t="str">
        <f>IFERROR(VLOOKUP(E1311,STAT1!$C$4:$D$1000,2,FALSE),"")</f>
        <v>Харуул хамгаалалт</v>
      </c>
      <c r="G1311" s="377">
        <v>1500000</v>
      </c>
      <c r="H1311" s="377">
        <v>0</v>
      </c>
      <c r="I1311" s="596">
        <f t="shared" si="137"/>
        <v>0</v>
      </c>
      <c r="J1311" s="81">
        <f t="shared" si="139"/>
        <v>0</v>
      </c>
      <c r="K1311" s="81"/>
      <c r="L1311" s="597">
        <v>2012</v>
      </c>
      <c r="M1311" s="81" t="str">
        <f>+IFERROR(VLOOKUP(L1311,DATA!$G$4:$H$2000,2,FALSE),"")</f>
        <v>ИХ ТУГЧ ХХК</v>
      </c>
      <c r="N1311" s="435"/>
      <c r="O1311" s="81" t="str">
        <f>IFERROR(VLOOKUP(N1311,DATA!$K$4:$L$51,2,FALSE),"")</f>
        <v/>
      </c>
      <c r="P1311" s="81"/>
      <c r="Q1311" s="152">
        <f t="shared" si="138"/>
        <v>0</v>
      </c>
    </row>
    <row r="1312" spans="2:17">
      <c r="B1312" s="670">
        <f t="shared" si="135"/>
        <v>1307</v>
      </c>
      <c r="C1312" s="433">
        <v>42913</v>
      </c>
      <c r="D1312" s="598" t="s">
        <v>1747</v>
      </c>
      <c r="E1312" s="572">
        <v>311100</v>
      </c>
      <c r="F1312" s="672" t="str">
        <f>IFERROR(VLOOKUP(E1312,STAT1!$C$4:$D$1000,2,FALSE),"")</f>
        <v xml:space="preserve">Бусад богино хугацаат өглөг </v>
      </c>
      <c r="G1312" s="377">
        <v>3032261</v>
      </c>
      <c r="H1312" s="377">
        <v>0</v>
      </c>
      <c r="I1312" s="596">
        <f t="shared" si="137"/>
        <v>0</v>
      </c>
      <c r="J1312" s="81">
        <f t="shared" si="139"/>
        <v>0</v>
      </c>
      <c r="K1312" s="81"/>
      <c r="L1312" s="597">
        <v>2009</v>
      </c>
      <c r="M1312" s="81" t="str">
        <f>+IFERROR(VLOOKUP(L1312,DATA!$G$4:$H$2000,2,FALSE),"")</f>
        <v>ХААН БАНК</v>
      </c>
      <c r="N1312" s="435"/>
      <c r="O1312" s="81" t="str">
        <f>IFERROR(VLOOKUP(N1312,DATA!$K$4:$L$51,2,FALSE),"")</f>
        <v/>
      </c>
      <c r="P1312" s="81"/>
      <c r="Q1312" s="152">
        <f t="shared" si="138"/>
        <v>0</v>
      </c>
    </row>
    <row r="1313" spans="2:17">
      <c r="B1313" s="670">
        <f t="shared" si="135"/>
        <v>1308</v>
      </c>
      <c r="C1313" s="433">
        <v>42913</v>
      </c>
      <c r="D1313" s="598" t="s">
        <v>1747</v>
      </c>
      <c r="E1313" s="572">
        <v>110100</v>
      </c>
      <c r="F1313" s="672" t="str">
        <f>IFERROR(VLOOKUP(E1313,STAT1!$C$4:$D$1000,2,FALSE),"")</f>
        <v>Хаан Банк 5024654020</v>
      </c>
      <c r="G1313" s="377"/>
      <c r="H1313" s="377">
        <v>3032261</v>
      </c>
      <c r="I1313" s="596">
        <f t="shared" si="137"/>
        <v>-3032261</v>
      </c>
      <c r="J1313" s="81">
        <f t="shared" si="139"/>
        <v>0</v>
      </c>
      <c r="K1313" s="81"/>
      <c r="L1313" s="597">
        <v>2009</v>
      </c>
      <c r="M1313" s="81" t="str">
        <f>+IFERROR(VLOOKUP(L1313,DATA!$G$4:$H$2000,2,FALSE),"")</f>
        <v>ХААН БАНК</v>
      </c>
      <c r="N1313" s="435">
        <v>91</v>
      </c>
      <c r="O1313" s="81" t="str">
        <f>IFERROR(VLOOKUP(N1313,DATA!$K$4:$L$51,2,FALSE),"")</f>
        <v>Зээл, өрийн үнэт цаасны төлбөрт төлсөн</v>
      </c>
      <c r="P1313" s="81"/>
      <c r="Q1313" s="152">
        <f t="shared" si="138"/>
        <v>1</v>
      </c>
    </row>
    <row r="1314" spans="2:17">
      <c r="B1314" s="670">
        <f t="shared" si="135"/>
        <v>1309</v>
      </c>
      <c r="C1314" s="433">
        <v>42913</v>
      </c>
      <c r="D1314" s="598" t="s">
        <v>1747</v>
      </c>
      <c r="E1314" s="572">
        <v>110100</v>
      </c>
      <c r="F1314" s="672" t="str">
        <f>IFERROR(VLOOKUP(E1314,STAT1!$C$4:$D$1000,2,FALSE),"")</f>
        <v>Хаан Банк 5024654020</v>
      </c>
      <c r="G1314" s="377"/>
      <c r="H1314" s="377">
        <v>1507739</v>
      </c>
      <c r="I1314" s="596">
        <f t="shared" si="137"/>
        <v>-1507739</v>
      </c>
      <c r="J1314" s="81">
        <f t="shared" si="139"/>
        <v>0</v>
      </c>
      <c r="K1314" s="81"/>
      <c r="L1314" s="597">
        <v>2009</v>
      </c>
      <c r="M1314" s="81" t="str">
        <f>+IFERROR(VLOOKUP(L1314,DATA!$G$4:$H$2000,2,FALSE),"")</f>
        <v>ХААН БАНК</v>
      </c>
      <c r="N1314" s="435">
        <v>56</v>
      </c>
      <c r="O1314" s="81" t="str">
        <f>IFERROR(VLOOKUP(N1314,DATA!$K$4:$L$51,2,FALSE),"")</f>
        <v>Хүүний төлбөрт төлсөн</v>
      </c>
      <c r="P1314" s="81"/>
      <c r="Q1314" s="152">
        <f t="shared" si="138"/>
        <v>1</v>
      </c>
    </row>
    <row r="1315" spans="2:17">
      <c r="B1315" s="670">
        <f t="shared" si="135"/>
        <v>1310</v>
      </c>
      <c r="C1315" s="433">
        <v>42913</v>
      </c>
      <c r="D1315" s="598" t="s">
        <v>1759</v>
      </c>
      <c r="E1315" s="572">
        <v>700900</v>
      </c>
      <c r="F1315" s="672" t="str">
        <f>IFERROR(VLOOKUP(E1315,STAT1!$C$4:$D$1000,2,FALSE),"")</f>
        <v>Уур, ус</v>
      </c>
      <c r="G1315" s="377">
        <v>12000</v>
      </c>
      <c r="H1315" s="377">
        <v>0</v>
      </c>
      <c r="I1315" s="596">
        <f t="shared" si="137"/>
        <v>0</v>
      </c>
      <c r="J1315" s="81">
        <f t="shared" si="139"/>
        <v>0</v>
      </c>
      <c r="K1315" s="81"/>
      <c r="L1315" s="597">
        <v>2005</v>
      </c>
      <c r="M1315" s="81" t="str">
        <f>+IFERROR(VLOOKUP(L1315,DATA!$G$4:$H$2000,2,FALSE),"")</f>
        <v xml:space="preserve">УСУГ ТӨХК </v>
      </c>
      <c r="N1315" s="435"/>
      <c r="O1315" s="81" t="str">
        <f>IFERROR(VLOOKUP(N1315,DATA!$K$4:$L$51,2,FALSE),"")</f>
        <v/>
      </c>
      <c r="P1315" s="81"/>
      <c r="Q1315" s="152">
        <f t="shared" si="138"/>
        <v>0</v>
      </c>
    </row>
    <row r="1316" spans="2:17">
      <c r="B1316" s="670">
        <f t="shared" si="135"/>
        <v>1311</v>
      </c>
      <c r="C1316" s="433">
        <v>42913</v>
      </c>
      <c r="D1316" s="598" t="s">
        <v>1759</v>
      </c>
      <c r="E1316" s="572">
        <v>120600</v>
      </c>
      <c r="F1316" s="672" t="str">
        <f>IFERROR(VLOOKUP(E1316,STAT1!$C$4:$D$1000,2,FALSE),"")</f>
        <v>НӨАТ авлага</v>
      </c>
      <c r="G1316" s="377">
        <v>1200</v>
      </c>
      <c r="H1316" s="377"/>
      <c r="I1316" s="596">
        <f t="shared" si="137"/>
        <v>0</v>
      </c>
      <c r="J1316" s="81">
        <f t="shared" si="139"/>
        <v>0</v>
      </c>
      <c r="K1316" s="81"/>
      <c r="L1316" s="597">
        <v>2005</v>
      </c>
      <c r="M1316" s="81" t="str">
        <f>+IFERROR(VLOOKUP(L1316,DATA!$G$4:$H$2000,2,FALSE),"")</f>
        <v xml:space="preserve">УСУГ ТӨХК </v>
      </c>
      <c r="N1316" s="435"/>
      <c r="O1316" s="81" t="str">
        <f>IFERROR(VLOOKUP(N1316,DATA!$K$4:$L$51,2,FALSE),"")</f>
        <v/>
      </c>
      <c r="P1316" s="81"/>
      <c r="Q1316" s="152">
        <f t="shared" si="138"/>
        <v>0</v>
      </c>
    </row>
    <row r="1317" spans="2:17">
      <c r="B1317" s="670">
        <f t="shared" si="135"/>
        <v>1312</v>
      </c>
      <c r="C1317" s="433">
        <v>42913</v>
      </c>
      <c r="D1317" s="598" t="s">
        <v>1759</v>
      </c>
      <c r="E1317" s="572">
        <v>110100</v>
      </c>
      <c r="F1317" s="672" t="str">
        <f>IFERROR(VLOOKUP(E1317,STAT1!$C$4:$D$1000,2,FALSE),"")</f>
        <v>Хаан Банк 5024654020</v>
      </c>
      <c r="G1317" s="377"/>
      <c r="H1317" s="377">
        <v>13200</v>
      </c>
      <c r="I1317" s="596">
        <f t="shared" si="137"/>
        <v>-13200</v>
      </c>
      <c r="J1317" s="81">
        <f t="shared" si="139"/>
        <v>0</v>
      </c>
      <c r="K1317" s="81"/>
      <c r="L1317" s="597">
        <v>2005</v>
      </c>
      <c r="M1317" s="81" t="str">
        <f>+IFERROR(VLOOKUP(L1317,DATA!$G$4:$H$2000,2,FALSE),"")</f>
        <v xml:space="preserve">УСУГ ТӨХК </v>
      </c>
      <c r="N1317" s="435">
        <v>59</v>
      </c>
      <c r="O1317" s="81" t="str">
        <f>IFERROR(VLOOKUP(N1317,DATA!$K$4:$L$51,2,FALSE),"")</f>
        <v>Бусад мөнгөн зарлага</v>
      </c>
      <c r="P1317" s="81"/>
      <c r="Q1317" s="152">
        <f t="shared" si="138"/>
        <v>1</v>
      </c>
    </row>
    <row r="1318" spans="2:17">
      <c r="B1318" s="670">
        <f t="shared" si="135"/>
        <v>1313</v>
      </c>
      <c r="C1318" s="433">
        <v>42913</v>
      </c>
      <c r="D1318" s="598" t="s">
        <v>1714</v>
      </c>
      <c r="E1318" s="572">
        <v>700700</v>
      </c>
      <c r="F1318" s="672" t="str">
        <f>IFERROR(VLOOKUP(E1318,STAT1!$C$4:$D$1000,2,FALSE),"")</f>
        <v>Цахилгаан эрчим хүч</v>
      </c>
      <c r="G1318" s="377">
        <v>1453090.91</v>
      </c>
      <c r="H1318" s="377">
        <v>0</v>
      </c>
      <c r="I1318" s="596">
        <f t="shared" si="137"/>
        <v>0</v>
      </c>
      <c r="J1318" s="81">
        <f t="shared" si="139"/>
        <v>0</v>
      </c>
      <c r="K1318" s="81"/>
      <c r="L1318" s="597">
        <v>2003</v>
      </c>
      <c r="M1318" s="81" t="str">
        <f>+IFERROR(VLOOKUP(L1318,DATA!$G$4:$H$2000,2,FALSE),"")</f>
        <v xml:space="preserve">УБЦТС ТӨХК </v>
      </c>
      <c r="N1318" s="435"/>
      <c r="O1318" s="81" t="str">
        <f>IFERROR(VLOOKUP(N1318,DATA!$K$4:$L$51,2,FALSE),"")</f>
        <v/>
      </c>
      <c r="P1318" s="81"/>
      <c r="Q1318" s="152">
        <f t="shared" si="138"/>
        <v>0</v>
      </c>
    </row>
    <row r="1319" spans="2:17">
      <c r="B1319" s="670">
        <f t="shared" si="135"/>
        <v>1314</v>
      </c>
      <c r="C1319" s="433">
        <v>42913</v>
      </c>
      <c r="D1319" s="598" t="s">
        <v>1714</v>
      </c>
      <c r="E1319" s="572">
        <v>120600</v>
      </c>
      <c r="F1319" s="672" t="str">
        <f>IFERROR(VLOOKUP(E1319,STAT1!$C$4:$D$1000,2,FALSE),"")</f>
        <v>НӨАТ авлага</v>
      </c>
      <c r="G1319" s="377">
        <v>145309.09</v>
      </c>
      <c r="H1319" s="377"/>
      <c r="I1319" s="596">
        <f t="shared" si="137"/>
        <v>0</v>
      </c>
      <c r="J1319" s="81">
        <f t="shared" si="139"/>
        <v>0</v>
      </c>
      <c r="K1319" s="81"/>
      <c r="L1319" s="597">
        <v>2003</v>
      </c>
      <c r="M1319" s="81" t="str">
        <f>+IFERROR(VLOOKUP(L1319,DATA!$G$4:$H$2000,2,FALSE),"")</f>
        <v xml:space="preserve">УБЦТС ТӨХК </v>
      </c>
      <c r="N1319" s="435"/>
      <c r="O1319" s="81" t="str">
        <f>IFERROR(VLOOKUP(N1319,DATA!$K$4:$L$51,2,FALSE),"")</f>
        <v/>
      </c>
      <c r="P1319" s="81"/>
      <c r="Q1319" s="152">
        <f t="shared" si="138"/>
        <v>0</v>
      </c>
    </row>
    <row r="1320" spans="2:17">
      <c r="B1320" s="670">
        <f t="shared" si="135"/>
        <v>1315</v>
      </c>
      <c r="C1320" s="433">
        <v>42913</v>
      </c>
      <c r="D1320" s="598" t="s">
        <v>1714</v>
      </c>
      <c r="E1320" s="572">
        <v>110100</v>
      </c>
      <c r="F1320" s="672" t="str">
        <f>IFERROR(VLOOKUP(E1320,STAT1!$C$4:$D$1000,2,FALSE),"")</f>
        <v>Хаан Банк 5024654020</v>
      </c>
      <c r="G1320" s="377"/>
      <c r="H1320" s="377">
        <v>1598400</v>
      </c>
      <c r="I1320" s="596">
        <f t="shared" si="137"/>
        <v>-1598400</v>
      </c>
      <c r="J1320" s="81">
        <f t="shared" si="139"/>
        <v>0</v>
      </c>
      <c r="K1320" s="81"/>
      <c r="L1320" s="597">
        <v>2003</v>
      </c>
      <c r="M1320" s="81" t="str">
        <f>+IFERROR(VLOOKUP(L1320,DATA!$G$4:$H$2000,2,FALSE),"")</f>
        <v xml:space="preserve">УБЦТС ТӨХК </v>
      </c>
      <c r="N1320" s="435">
        <v>54</v>
      </c>
      <c r="O1320" s="81" t="str">
        <f>IFERROR(VLOOKUP(N1320,DATA!$K$4:$L$51,2,FALSE),"")</f>
        <v>Ашиглалтын зардалд төлсөн</v>
      </c>
      <c r="P1320" s="81"/>
      <c r="Q1320" s="152">
        <f t="shared" si="138"/>
        <v>1</v>
      </c>
    </row>
    <row r="1321" spans="2:17">
      <c r="B1321" s="670">
        <f t="shared" si="135"/>
        <v>1316</v>
      </c>
      <c r="C1321" s="433">
        <v>42913</v>
      </c>
      <c r="D1321" s="598" t="s">
        <v>1715</v>
      </c>
      <c r="E1321" s="572">
        <v>700900</v>
      </c>
      <c r="F1321" s="672" t="str">
        <f>IFERROR(VLOOKUP(E1321,STAT1!$C$4:$D$1000,2,FALSE),"")</f>
        <v>Уур, ус</v>
      </c>
      <c r="G1321" s="377">
        <v>91880</v>
      </c>
      <c r="H1321" s="377">
        <v>0</v>
      </c>
      <c r="I1321" s="596">
        <f t="shared" si="137"/>
        <v>0</v>
      </c>
      <c r="J1321" s="81">
        <f t="shared" si="139"/>
        <v>0</v>
      </c>
      <c r="K1321" s="81"/>
      <c r="L1321" s="597">
        <v>2005</v>
      </c>
      <c r="M1321" s="81" t="str">
        <f>+IFERROR(VLOOKUP(L1321,DATA!$G$4:$H$2000,2,FALSE),"")</f>
        <v xml:space="preserve">УСУГ ТӨХК </v>
      </c>
      <c r="N1321" s="435"/>
      <c r="O1321" s="81" t="str">
        <f>IFERROR(VLOOKUP(N1321,DATA!$K$4:$L$51,2,FALSE),"")</f>
        <v/>
      </c>
      <c r="P1321" s="81"/>
      <c r="Q1321" s="152">
        <f t="shared" si="138"/>
        <v>0</v>
      </c>
    </row>
    <row r="1322" spans="2:17">
      <c r="B1322" s="670">
        <f t="shared" si="135"/>
        <v>1317</v>
      </c>
      <c r="C1322" s="433">
        <v>42913</v>
      </c>
      <c r="D1322" s="598" t="s">
        <v>1715</v>
      </c>
      <c r="E1322" s="572">
        <v>120600</v>
      </c>
      <c r="F1322" s="672" t="str">
        <f>IFERROR(VLOOKUP(E1322,STAT1!$C$4:$D$1000,2,FALSE),"")</f>
        <v>НӨАТ авлага</v>
      </c>
      <c r="G1322" s="377">
        <v>9138</v>
      </c>
      <c r="H1322" s="377"/>
      <c r="I1322" s="596">
        <f t="shared" si="137"/>
        <v>0</v>
      </c>
      <c r="J1322" s="81">
        <f t="shared" si="139"/>
        <v>0</v>
      </c>
      <c r="K1322" s="81"/>
      <c r="L1322" s="597">
        <v>2005</v>
      </c>
      <c r="M1322" s="81" t="str">
        <f>+IFERROR(VLOOKUP(L1322,DATA!$G$4:$H$2000,2,FALSE),"")</f>
        <v xml:space="preserve">УСУГ ТӨХК </v>
      </c>
      <c r="N1322" s="435"/>
      <c r="O1322" s="81" t="str">
        <f>IFERROR(VLOOKUP(N1322,DATA!$K$4:$L$51,2,FALSE),"")</f>
        <v/>
      </c>
      <c r="P1322" s="81"/>
      <c r="Q1322" s="152">
        <f t="shared" si="138"/>
        <v>0</v>
      </c>
    </row>
    <row r="1323" spans="2:17">
      <c r="B1323" s="670">
        <f t="shared" si="135"/>
        <v>1318</v>
      </c>
      <c r="C1323" s="433">
        <v>42913</v>
      </c>
      <c r="D1323" s="598" t="s">
        <v>1715</v>
      </c>
      <c r="E1323" s="572">
        <v>110100</v>
      </c>
      <c r="F1323" s="672" t="str">
        <f>IFERROR(VLOOKUP(E1323,STAT1!$C$4:$D$1000,2,FALSE),"")</f>
        <v>Хаан Банк 5024654020</v>
      </c>
      <c r="G1323" s="377"/>
      <c r="H1323" s="377">
        <v>101018</v>
      </c>
      <c r="I1323" s="596">
        <f t="shared" si="137"/>
        <v>-101018</v>
      </c>
      <c r="J1323" s="81">
        <f t="shared" si="139"/>
        <v>0</v>
      </c>
      <c r="K1323" s="81"/>
      <c r="L1323" s="597">
        <v>2005</v>
      </c>
      <c r="M1323" s="81" t="str">
        <f>+IFERROR(VLOOKUP(L1323,DATA!$G$4:$H$2000,2,FALSE),"")</f>
        <v xml:space="preserve">УСУГ ТӨХК </v>
      </c>
      <c r="N1323" s="435">
        <v>54</v>
      </c>
      <c r="O1323" s="81" t="str">
        <f>IFERROR(VLOOKUP(N1323,DATA!$K$4:$L$51,2,FALSE),"")</f>
        <v>Ашиглалтын зардалд төлсөн</v>
      </c>
      <c r="P1323" s="81"/>
      <c r="Q1323" s="152">
        <f t="shared" si="138"/>
        <v>1</v>
      </c>
    </row>
    <row r="1324" spans="2:17">
      <c r="B1324" s="670">
        <f t="shared" si="135"/>
        <v>1319</v>
      </c>
      <c r="C1324" s="433">
        <v>42913</v>
      </c>
      <c r="D1324" s="598" t="s">
        <v>1760</v>
      </c>
      <c r="E1324" s="572">
        <v>706000</v>
      </c>
      <c r="F1324" s="672" t="str">
        <f>IFERROR(VLOOKUP(E1324,STAT1!$C$4:$D$1000,2,FALSE),"")</f>
        <v>Бусад зардал</v>
      </c>
      <c r="G1324" s="377">
        <v>245454.55</v>
      </c>
      <c r="H1324" s="377">
        <v>0</v>
      </c>
      <c r="I1324" s="596">
        <f t="shared" si="137"/>
        <v>0</v>
      </c>
      <c r="J1324" s="81">
        <f t="shared" si="139"/>
        <v>0</v>
      </c>
      <c r="K1324" s="81"/>
      <c r="L1324" s="597">
        <v>2005</v>
      </c>
      <c r="M1324" s="81" t="str">
        <f>+IFERROR(VLOOKUP(L1324,DATA!$G$4:$H$2000,2,FALSE),"")</f>
        <v xml:space="preserve">УСУГ ТӨХК </v>
      </c>
      <c r="N1324" s="435"/>
      <c r="O1324" s="81" t="str">
        <f>IFERROR(VLOOKUP(N1324,DATA!$K$4:$L$51,2,FALSE),"")</f>
        <v/>
      </c>
      <c r="P1324" s="81"/>
      <c r="Q1324" s="152">
        <f t="shared" si="138"/>
        <v>0</v>
      </c>
    </row>
    <row r="1325" spans="2:17">
      <c r="B1325" s="670">
        <f t="shared" si="135"/>
        <v>1320</v>
      </c>
      <c r="C1325" s="433">
        <v>42913</v>
      </c>
      <c r="D1325" s="598" t="s">
        <v>1760</v>
      </c>
      <c r="E1325" s="572">
        <v>120600</v>
      </c>
      <c r="F1325" s="672" t="str">
        <f>IFERROR(VLOOKUP(E1325,STAT1!$C$4:$D$1000,2,FALSE),"")</f>
        <v>НӨАТ авлага</v>
      </c>
      <c r="G1325" s="377">
        <v>24545.45</v>
      </c>
      <c r="H1325" s="377"/>
      <c r="I1325" s="596">
        <f t="shared" si="137"/>
        <v>0</v>
      </c>
      <c r="J1325" s="81">
        <f t="shared" si="139"/>
        <v>0</v>
      </c>
      <c r="K1325" s="81"/>
      <c r="L1325" s="597">
        <v>2005</v>
      </c>
      <c r="M1325" s="81" t="str">
        <f>+IFERROR(VLOOKUP(L1325,DATA!$G$4:$H$2000,2,FALSE),"")</f>
        <v xml:space="preserve">УСУГ ТӨХК </v>
      </c>
      <c r="N1325" s="435"/>
      <c r="O1325" s="81" t="str">
        <f>IFERROR(VLOOKUP(N1325,DATA!$K$4:$L$51,2,FALSE),"")</f>
        <v/>
      </c>
      <c r="P1325" s="81"/>
      <c r="Q1325" s="152">
        <f t="shared" si="138"/>
        <v>0</v>
      </c>
    </row>
    <row r="1326" spans="2:17">
      <c r="B1326" s="670">
        <f t="shared" si="135"/>
        <v>1321</v>
      </c>
      <c r="C1326" s="433">
        <v>42913</v>
      </c>
      <c r="D1326" s="598" t="s">
        <v>1760</v>
      </c>
      <c r="E1326" s="572">
        <v>110100</v>
      </c>
      <c r="F1326" s="672" t="str">
        <f>IFERROR(VLOOKUP(E1326,STAT1!$C$4:$D$1000,2,FALSE),"")</f>
        <v>Хаан Банк 5024654020</v>
      </c>
      <c r="G1326" s="377"/>
      <c r="H1326" s="377">
        <v>270000</v>
      </c>
      <c r="I1326" s="596">
        <f t="shared" si="137"/>
        <v>-270000</v>
      </c>
      <c r="J1326" s="81">
        <f t="shared" si="139"/>
        <v>0</v>
      </c>
      <c r="K1326" s="81"/>
      <c r="L1326" s="597">
        <v>2005</v>
      </c>
      <c r="M1326" s="81" t="str">
        <f>+IFERROR(VLOOKUP(L1326,DATA!$G$4:$H$2000,2,FALSE),"")</f>
        <v xml:space="preserve">УСУГ ТӨХК </v>
      </c>
      <c r="N1326" s="435">
        <v>53</v>
      </c>
      <c r="O1326" s="81" t="str">
        <f>IFERROR(VLOOKUP(N1326,DATA!$K$4:$L$51,2,FALSE),"")</f>
        <v>Бараа материал худалдан авахад төлсөн</v>
      </c>
      <c r="P1326" s="81"/>
      <c r="Q1326" s="152">
        <f t="shared" si="138"/>
        <v>1</v>
      </c>
    </row>
    <row r="1327" spans="2:17">
      <c r="B1327" s="670">
        <f t="shared" si="135"/>
        <v>1322</v>
      </c>
      <c r="C1327" s="433">
        <v>42914</v>
      </c>
      <c r="D1327" s="377" t="s">
        <v>1699</v>
      </c>
      <c r="E1327" s="572">
        <v>100100</v>
      </c>
      <c r="F1327" s="672" t="str">
        <f>IFERROR(VLOOKUP(E1327,STAT1!$C$4:$D$1000,2,FALSE),"")</f>
        <v>Касс мөнгө MNT</v>
      </c>
      <c r="G1327" s="377"/>
      <c r="H1327" s="377">
        <v>6800000</v>
      </c>
      <c r="I1327" s="596">
        <f t="shared" si="137"/>
        <v>-6800000</v>
      </c>
      <c r="J1327" s="81">
        <f t="shared" si="139"/>
        <v>0</v>
      </c>
      <c r="K1327" s="81"/>
      <c r="L1327" s="597">
        <v>1004</v>
      </c>
      <c r="M1327" s="81" t="str">
        <f>+IFERROR(VLOOKUP(L1327,DATA!$G$4:$H$2000,2,FALSE),"")</f>
        <v xml:space="preserve">Түмэндэлгэр </v>
      </c>
      <c r="N1327" s="435"/>
      <c r="O1327" s="81" t="str">
        <f>IFERROR(VLOOKUP(N1327,DATA!$K$4:$L$51,2,FALSE),"")</f>
        <v/>
      </c>
      <c r="P1327" s="81"/>
      <c r="Q1327" s="152">
        <f t="shared" si="138"/>
        <v>1</v>
      </c>
    </row>
    <row r="1328" spans="2:17">
      <c r="B1328" s="670">
        <f t="shared" si="135"/>
        <v>1323</v>
      </c>
      <c r="C1328" s="433">
        <v>42914</v>
      </c>
      <c r="D1328" s="377" t="s">
        <v>1699</v>
      </c>
      <c r="E1328" s="572">
        <v>110100</v>
      </c>
      <c r="F1328" s="672" t="str">
        <f>IFERROR(VLOOKUP(E1328,STAT1!$C$4:$D$1000,2,FALSE),"")</f>
        <v>Хаан Банк 5024654020</v>
      </c>
      <c r="G1328" s="377">
        <v>6800000</v>
      </c>
      <c r="H1328" s="377">
        <v>0</v>
      </c>
      <c r="I1328" s="596">
        <f t="shared" si="137"/>
        <v>6800000</v>
      </c>
      <c r="J1328" s="81">
        <f t="shared" si="139"/>
        <v>0</v>
      </c>
      <c r="K1328" s="81"/>
      <c r="L1328" s="597">
        <v>1004</v>
      </c>
      <c r="M1328" s="81" t="str">
        <f>+IFERROR(VLOOKUP(L1328,DATA!$G$4:$H$2000,2,FALSE),"")</f>
        <v xml:space="preserve">Түмэндэлгэр </v>
      </c>
      <c r="N1328" s="435"/>
      <c r="O1328" s="81" t="str">
        <f>IFERROR(VLOOKUP(N1328,DATA!$K$4:$L$51,2,FALSE),"")</f>
        <v/>
      </c>
      <c r="P1328" s="81"/>
      <c r="Q1328" s="152">
        <f t="shared" si="138"/>
        <v>1</v>
      </c>
    </row>
    <row r="1329" spans="2:17">
      <c r="B1329" s="670">
        <f t="shared" si="135"/>
        <v>1324</v>
      </c>
      <c r="C1329" s="433">
        <v>42916</v>
      </c>
      <c r="D1329" s="377" t="s">
        <v>1355</v>
      </c>
      <c r="E1329" s="572">
        <v>100100</v>
      </c>
      <c r="F1329" s="672" t="str">
        <f>IFERROR(VLOOKUP(E1329,STAT1!$C$4:$D$1000,2,FALSE),"")</f>
        <v>Касс мөнгө MNT</v>
      </c>
      <c r="G1329" s="377"/>
      <c r="H1329" s="377">
        <v>40000</v>
      </c>
      <c r="I1329" s="596">
        <f t="shared" si="137"/>
        <v>-40000</v>
      </c>
      <c r="J1329" s="81">
        <f t="shared" si="139"/>
        <v>0</v>
      </c>
      <c r="K1329" s="81"/>
      <c r="L1329" s="597">
        <v>1002</v>
      </c>
      <c r="M1329" s="81" t="str">
        <f>+IFERROR(VLOOKUP(L1329,DATA!$G$4:$H$2000,2,FALSE),"")</f>
        <v>Бурмаа</v>
      </c>
      <c r="N1329" s="435">
        <v>55</v>
      </c>
      <c r="O1329" s="81" t="str">
        <f>IFERROR(VLOOKUP(N1329,DATA!$K$4:$L$51,2,FALSE),"")</f>
        <v>Түлш, шатахуун, тээврийн хөлс, сэлбэг хэрэгсэлд төлсөн</v>
      </c>
      <c r="P1329" s="81"/>
      <c r="Q1329" s="152">
        <f t="shared" si="138"/>
        <v>1</v>
      </c>
    </row>
    <row r="1330" spans="2:17">
      <c r="B1330" s="670">
        <f t="shared" si="135"/>
        <v>1325</v>
      </c>
      <c r="C1330" s="433">
        <v>42916</v>
      </c>
      <c r="D1330" s="377" t="s">
        <v>1355</v>
      </c>
      <c r="E1330" s="572">
        <v>702000</v>
      </c>
      <c r="F1330" s="672" t="str">
        <f>IFERROR(VLOOKUP(E1330,STAT1!$C$4:$D$1000,2,FALSE),"")</f>
        <v>Түлш, шатахуун</v>
      </c>
      <c r="G1330" s="377">
        <v>40000</v>
      </c>
      <c r="H1330" s="377">
        <v>0</v>
      </c>
      <c r="I1330" s="596">
        <f t="shared" si="137"/>
        <v>0</v>
      </c>
      <c r="J1330" s="81">
        <f t="shared" si="139"/>
        <v>0</v>
      </c>
      <c r="K1330" s="81"/>
      <c r="L1330" s="597">
        <v>1002</v>
      </c>
      <c r="M1330" s="81" t="str">
        <f>+IFERROR(VLOOKUP(L1330,DATA!$G$4:$H$2000,2,FALSE),"")</f>
        <v>Бурмаа</v>
      </c>
      <c r="N1330" s="435"/>
      <c r="O1330" s="81" t="str">
        <f>IFERROR(VLOOKUP(N1330,DATA!$K$4:$L$51,2,FALSE),"")</f>
        <v/>
      </c>
      <c r="P1330" s="81"/>
      <c r="Q1330" s="152">
        <f t="shared" si="138"/>
        <v>0</v>
      </c>
    </row>
    <row r="1331" spans="2:17">
      <c r="B1331" s="670">
        <f t="shared" si="135"/>
        <v>1326</v>
      </c>
      <c r="C1331" s="433">
        <v>42916</v>
      </c>
      <c r="D1331" s="377" t="s">
        <v>1736</v>
      </c>
      <c r="E1331" s="572">
        <v>100100</v>
      </c>
      <c r="F1331" s="672" t="str">
        <f>IFERROR(VLOOKUP(E1331,STAT1!$C$4:$D$1000,2,FALSE),"")</f>
        <v>Касс мөнгө MNT</v>
      </c>
      <c r="G1331" s="377"/>
      <c r="H1331" s="377">
        <v>8934327.2526999991</v>
      </c>
      <c r="I1331" s="596">
        <f t="shared" si="137"/>
        <v>-8934327.2526999991</v>
      </c>
      <c r="J1331" s="81">
        <f t="shared" si="139"/>
        <v>0</v>
      </c>
      <c r="K1331" s="81"/>
      <c r="L1331" s="597">
        <v>1004</v>
      </c>
      <c r="M1331" s="81" t="str">
        <f>+IFERROR(VLOOKUP(L1331,DATA!$G$4:$H$2000,2,FALSE),"")</f>
        <v xml:space="preserve">Түмэндэлгэр </v>
      </c>
      <c r="N1331" s="435">
        <v>51</v>
      </c>
      <c r="O1331" s="81" t="str">
        <f>IFERROR(VLOOKUP(N1331,DATA!$K$4:$L$51,2,FALSE),"")</f>
        <v>Ажиллагчдад төлсөн</v>
      </c>
      <c r="P1331" s="81"/>
      <c r="Q1331" s="152">
        <f t="shared" si="138"/>
        <v>1</v>
      </c>
    </row>
    <row r="1332" spans="2:17">
      <c r="B1332" s="670">
        <f t="shared" si="135"/>
        <v>1327</v>
      </c>
      <c r="C1332" s="433">
        <v>42916</v>
      </c>
      <c r="D1332" s="377" t="s">
        <v>1736</v>
      </c>
      <c r="E1332" s="572">
        <v>311000</v>
      </c>
      <c r="F1332" s="672" t="str">
        <f>IFERROR(VLOOKUP(E1332,STAT1!$C$4:$D$1000,2,FALSE),"")</f>
        <v>Цалингийн өглөг</v>
      </c>
      <c r="G1332" s="377">
        <v>8934327.2526999991</v>
      </c>
      <c r="H1332" s="377">
        <v>0</v>
      </c>
      <c r="I1332" s="596">
        <f t="shared" si="137"/>
        <v>0</v>
      </c>
      <c r="J1332" s="81">
        <f t="shared" si="139"/>
        <v>0</v>
      </c>
      <c r="K1332" s="81"/>
      <c r="L1332" s="597">
        <v>1004</v>
      </c>
      <c r="M1332" s="81" t="str">
        <f>+IFERROR(VLOOKUP(L1332,DATA!$G$4:$H$2000,2,FALSE),"")</f>
        <v xml:space="preserve">Түмэндэлгэр </v>
      </c>
      <c r="N1332" s="435"/>
      <c r="O1332" s="81" t="str">
        <f>IFERROR(VLOOKUP(N1332,DATA!$K$4:$L$51,2,FALSE),"")</f>
        <v/>
      </c>
      <c r="P1332" s="81"/>
      <c r="Q1332" s="152">
        <f t="shared" si="138"/>
        <v>0</v>
      </c>
    </row>
    <row r="1333" spans="2:17">
      <c r="B1333" s="670">
        <f t="shared" si="135"/>
        <v>1328</v>
      </c>
      <c r="C1333" s="433">
        <v>42916</v>
      </c>
      <c r="D1333" s="598" t="s">
        <v>1741</v>
      </c>
      <c r="E1333" s="572">
        <v>110100</v>
      </c>
      <c r="F1333" s="672" t="str">
        <f>IFERROR(VLOOKUP(E1333,STAT1!$C$4:$D$1000,2,FALSE),"")</f>
        <v>Хаан Банк 5024654020</v>
      </c>
      <c r="G1333" s="377">
        <v>5000000</v>
      </c>
      <c r="H1333" s="377"/>
      <c r="I1333" s="596">
        <f t="shared" si="137"/>
        <v>5000000</v>
      </c>
      <c r="J1333" s="81">
        <f t="shared" si="139"/>
        <v>0</v>
      </c>
      <c r="K1333" s="81"/>
      <c r="L1333" s="597">
        <v>3067</v>
      </c>
      <c r="M1333" s="81" t="str">
        <f>+IFERROR(VLOOKUP(L1333,DATA!$G$4:$H$2000,2,FALSE),"")</f>
        <v>ЦЭЦЭН УРЧУУД ХХК</v>
      </c>
      <c r="N1333" s="435">
        <v>41</v>
      </c>
      <c r="O1333" s="81" t="str">
        <f>IFERROR(VLOOKUP(N1333,DATA!$K$4:$L$51,2,FALSE),"")</f>
        <v>Бараа борлуулсан, үйлчилгээ үзүүлсэний орлого</v>
      </c>
      <c r="P1333" s="81"/>
      <c r="Q1333" s="152">
        <f t="shared" si="138"/>
        <v>1</v>
      </c>
    </row>
    <row r="1334" spans="2:17">
      <c r="B1334" s="670">
        <f t="shared" si="135"/>
        <v>1329</v>
      </c>
      <c r="C1334" s="433">
        <v>42916</v>
      </c>
      <c r="D1334" s="598" t="s">
        <v>1741</v>
      </c>
      <c r="E1334" s="572">
        <v>320100</v>
      </c>
      <c r="F1334" s="672" t="str">
        <f>IFERROR(VLOOKUP(E1334,STAT1!$C$4:$D$1000,2,FALSE),"")</f>
        <v>Урьдчилж орсон орлого MNT</v>
      </c>
      <c r="G1334" s="377">
        <v>0</v>
      </c>
      <c r="H1334" s="377">
        <v>5000000</v>
      </c>
      <c r="I1334" s="596">
        <f t="shared" si="137"/>
        <v>0</v>
      </c>
      <c r="J1334" s="81">
        <f t="shared" si="139"/>
        <v>0</v>
      </c>
      <c r="K1334" s="81"/>
      <c r="L1334" s="597">
        <v>3067</v>
      </c>
      <c r="M1334" s="81" t="str">
        <f>+IFERROR(VLOOKUP(L1334,DATA!$G$4:$H$2000,2,FALSE),"")</f>
        <v>ЦЭЦЭН УРЧУУД ХХК</v>
      </c>
      <c r="N1334" s="435"/>
      <c r="O1334" s="81" t="str">
        <f>IFERROR(VLOOKUP(N1334,DATA!$K$4:$L$51,2,FALSE),"")</f>
        <v/>
      </c>
      <c r="P1334" s="81"/>
      <c r="Q1334" s="152">
        <f t="shared" si="138"/>
        <v>0</v>
      </c>
    </row>
    <row r="1335" spans="2:17">
      <c r="B1335" s="670">
        <f t="shared" si="135"/>
        <v>1330</v>
      </c>
      <c r="C1335" s="433">
        <v>42916</v>
      </c>
      <c r="D1335" s="598" t="s">
        <v>1741</v>
      </c>
      <c r="E1335" s="572">
        <v>110100</v>
      </c>
      <c r="F1335" s="672" t="str">
        <f>IFERROR(VLOOKUP(E1335,STAT1!$C$4:$D$1000,2,FALSE),"")</f>
        <v>Хаан Банк 5024654020</v>
      </c>
      <c r="G1335" s="377">
        <v>684420</v>
      </c>
      <c r="H1335" s="377"/>
      <c r="I1335" s="596">
        <f t="shared" si="137"/>
        <v>684420</v>
      </c>
      <c r="J1335" s="81">
        <f t="shared" si="139"/>
        <v>0</v>
      </c>
      <c r="K1335" s="81"/>
      <c r="L1335" s="597">
        <v>3068</v>
      </c>
      <c r="M1335" s="81" t="str">
        <f>+IFERROR(VLOOKUP(L1335,DATA!$G$4:$H$2000,2,FALSE),"")</f>
        <v>ҮЛЭМЖИТ ХХК</v>
      </c>
      <c r="N1335" s="435">
        <v>41</v>
      </c>
      <c r="O1335" s="81" t="str">
        <f>IFERROR(VLOOKUP(N1335,DATA!$K$4:$L$51,2,FALSE),"")</f>
        <v>Бараа борлуулсан, үйлчилгээ үзүүлсэний орлого</v>
      </c>
      <c r="P1335" s="81"/>
      <c r="Q1335" s="152">
        <f t="shared" si="138"/>
        <v>1</v>
      </c>
    </row>
    <row r="1336" spans="2:17">
      <c r="B1336" s="670">
        <f t="shared" si="135"/>
        <v>1331</v>
      </c>
      <c r="C1336" s="433">
        <v>42916</v>
      </c>
      <c r="D1336" s="598" t="s">
        <v>1741</v>
      </c>
      <c r="E1336" s="572">
        <v>320100</v>
      </c>
      <c r="F1336" s="672" t="str">
        <f>IFERROR(VLOOKUP(E1336,STAT1!$C$4:$D$1000,2,FALSE),"")</f>
        <v>Урьдчилж орсон орлого MNT</v>
      </c>
      <c r="G1336" s="377">
        <v>0</v>
      </c>
      <c r="H1336" s="377">
        <v>684420</v>
      </c>
      <c r="I1336" s="596">
        <f t="shared" si="137"/>
        <v>0</v>
      </c>
      <c r="J1336" s="81">
        <f t="shared" si="139"/>
        <v>0</v>
      </c>
      <c r="K1336" s="81"/>
      <c r="L1336" s="597">
        <v>3068</v>
      </c>
      <c r="M1336" s="81" t="str">
        <f>+IFERROR(VLOOKUP(L1336,DATA!$G$4:$H$2000,2,FALSE),"")</f>
        <v>ҮЛЭМЖИТ ХХК</v>
      </c>
      <c r="N1336" s="435"/>
      <c r="O1336" s="81" t="str">
        <f>IFERROR(VLOOKUP(N1336,DATA!$K$4:$L$51,2,FALSE),"")</f>
        <v/>
      </c>
      <c r="P1336" s="81"/>
      <c r="Q1336" s="152">
        <f t="shared" si="138"/>
        <v>0</v>
      </c>
    </row>
    <row r="1337" spans="2:17">
      <c r="B1337" s="670">
        <f t="shared" si="135"/>
        <v>1332</v>
      </c>
      <c r="C1337" s="433">
        <v>42916</v>
      </c>
      <c r="D1337" s="598" t="s">
        <v>1761</v>
      </c>
      <c r="E1337" s="572">
        <v>120900</v>
      </c>
      <c r="F1337" s="672" t="str">
        <f>IFERROR(VLOOKUP(E1337,STAT1!$C$4:$D$1000,2,FALSE),"")</f>
        <v>НД-ын байгууллагаас авах авлага</v>
      </c>
      <c r="G1337" s="377">
        <v>5500000</v>
      </c>
      <c r="H1337" s="377">
        <v>0</v>
      </c>
      <c r="I1337" s="596">
        <f t="shared" si="137"/>
        <v>0</v>
      </c>
      <c r="J1337" s="81">
        <f t="shared" si="139"/>
        <v>0</v>
      </c>
      <c r="K1337" s="81"/>
      <c r="L1337" s="597">
        <v>2002</v>
      </c>
      <c r="M1337" s="81" t="str">
        <f>+IFERROR(VLOOKUP(L1337,DATA!$G$4:$H$2000,2,FALSE),"")</f>
        <v xml:space="preserve">ХУД-н ЭМНД ХЭЛТЭС </v>
      </c>
      <c r="N1337" s="435"/>
      <c r="O1337" s="81" t="str">
        <f>IFERROR(VLOOKUP(N1337,DATA!$K$4:$L$51,2,FALSE),"")</f>
        <v/>
      </c>
      <c r="P1337" s="81"/>
      <c r="Q1337" s="152">
        <f t="shared" si="138"/>
        <v>0</v>
      </c>
    </row>
    <row r="1338" spans="2:17">
      <c r="B1338" s="670">
        <f t="shared" ref="B1338:B1401" si="140">+IF(C1338="","",ROW()-5)</f>
        <v>1333</v>
      </c>
      <c r="C1338" s="433">
        <v>42916</v>
      </c>
      <c r="D1338" s="598" t="s">
        <v>1761</v>
      </c>
      <c r="E1338" s="572">
        <v>110100</v>
      </c>
      <c r="F1338" s="672" t="str">
        <f>IFERROR(VLOOKUP(E1338,STAT1!$C$4:$D$1000,2,FALSE),"")</f>
        <v>Хаан Банк 5024654020</v>
      </c>
      <c r="G1338" s="377"/>
      <c r="H1338" s="377">
        <v>5500000</v>
      </c>
      <c r="I1338" s="596">
        <f t="shared" si="137"/>
        <v>-5500000</v>
      </c>
      <c r="J1338" s="81">
        <f t="shared" si="139"/>
        <v>0</v>
      </c>
      <c r="K1338" s="81"/>
      <c r="L1338" s="597">
        <v>2002</v>
      </c>
      <c r="M1338" s="81" t="str">
        <f>+IFERROR(VLOOKUP(L1338,DATA!$G$4:$H$2000,2,FALSE),"")</f>
        <v xml:space="preserve">ХУД-н ЭМНД ХЭЛТЭС </v>
      </c>
      <c r="N1338" s="435">
        <v>52</v>
      </c>
      <c r="O1338" s="81" t="str">
        <f>IFERROR(VLOOKUP(N1338,DATA!$K$4:$L$51,2,FALSE),"")</f>
        <v>Нийгмийн даатгалын байгууллагад төлсөн</v>
      </c>
      <c r="P1338" s="81"/>
      <c r="Q1338" s="152">
        <f t="shared" si="138"/>
        <v>1</v>
      </c>
    </row>
    <row r="1339" spans="2:17">
      <c r="B1339" s="670">
        <f t="shared" si="140"/>
        <v>1334</v>
      </c>
      <c r="C1339" s="433">
        <v>42916</v>
      </c>
      <c r="D1339" s="598" t="s">
        <v>1751</v>
      </c>
      <c r="E1339" s="572">
        <v>704900</v>
      </c>
      <c r="F1339" s="672" t="str">
        <f>IFERROR(VLOOKUP(E1339,STAT1!$C$4:$D$1000,2,FALSE),"")</f>
        <v>Банкны үйлчилгээ</v>
      </c>
      <c r="G1339" s="377">
        <v>2000</v>
      </c>
      <c r="H1339" s="377">
        <v>0</v>
      </c>
      <c r="I1339" s="596">
        <f t="shared" si="137"/>
        <v>0</v>
      </c>
      <c r="J1339" s="81">
        <f t="shared" si="139"/>
        <v>0</v>
      </c>
      <c r="K1339" s="81"/>
      <c r="L1339" s="597">
        <v>2009</v>
      </c>
      <c r="M1339" s="81" t="str">
        <f>+IFERROR(VLOOKUP(L1339,DATA!$G$4:$H$2000,2,FALSE),"")</f>
        <v>ХААН БАНК</v>
      </c>
      <c r="N1339" s="435"/>
      <c r="O1339" s="81" t="str">
        <f>IFERROR(VLOOKUP(N1339,DATA!$K$4:$L$51,2,FALSE),"")</f>
        <v/>
      </c>
      <c r="P1339" s="81"/>
      <c r="Q1339" s="152">
        <f t="shared" si="138"/>
        <v>0</v>
      </c>
    </row>
    <row r="1340" spans="2:17">
      <c r="B1340" s="670">
        <f t="shared" si="140"/>
        <v>1335</v>
      </c>
      <c r="C1340" s="433">
        <v>42916</v>
      </c>
      <c r="D1340" s="598" t="s">
        <v>1751</v>
      </c>
      <c r="E1340" s="572">
        <v>110100</v>
      </c>
      <c r="F1340" s="672" t="str">
        <f>IFERROR(VLOOKUP(E1340,STAT1!$C$4:$D$1000,2,FALSE),"")</f>
        <v>Хаан Банк 5024654020</v>
      </c>
      <c r="G1340" s="377"/>
      <c r="H1340" s="377">
        <v>2000</v>
      </c>
      <c r="I1340" s="596">
        <f t="shared" si="137"/>
        <v>-2000</v>
      </c>
      <c r="J1340" s="81">
        <f t="shared" si="139"/>
        <v>0</v>
      </c>
      <c r="K1340" s="81"/>
      <c r="L1340" s="597">
        <v>2009</v>
      </c>
      <c r="M1340" s="81" t="str">
        <f>+IFERROR(VLOOKUP(L1340,DATA!$G$4:$H$2000,2,FALSE),"")</f>
        <v>ХААН БАНК</v>
      </c>
      <c r="N1340" s="435">
        <v>59</v>
      </c>
      <c r="O1340" s="81" t="str">
        <f>IFERROR(VLOOKUP(N1340,DATA!$K$4:$L$51,2,FALSE),"")</f>
        <v>Бусад мөнгөн зарлага</v>
      </c>
      <c r="P1340" s="81"/>
      <c r="Q1340" s="152">
        <f t="shared" si="138"/>
        <v>1</v>
      </c>
    </row>
    <row r="1341" spans="2:17">
      <c r="B1341" s="670">
        <f t="shared" si="140"/>
        <v>1336</v>
      </c>
      <c r="C1341" s="433">
        <v>42916</v>
      </c>
      <c r="D1341" s="598" t="s">
        <v>1750</v>
      </c>
      <c r="E1341" s="572">
        <v>704900</v>
      </c>
      <c r="F1341" s="672" t="str">
        <f>IFERROR(VLOOKUP(E1341,STAT1!$C$4:$D$1000,2,FALSE),"")</f>
        <v>Банкны үйлчилгээ</v>
      </c>
      <c r="G1341" s="377">
        <v>700</v>
      </c>
      <c r="H1341" s="377">
        <v>0</v>
      </c>
      <c r="I1341" s="596">
        <f t="shared" si="137"/>
        <v>0</v>
      </c>
      <c r="J1341" s="81">
        <f t="shared" si="139"/>
        <v>0</v>
      </c>
      <c r="K1341" s="81"/>
      <c r="L1341" s="597">
        <v>2009</v>
      </c>
      <c r="M1341" s="81" t="str">
        <f>+IFERROR(VLOOKUP(L1341,DATA!$G$4:$H$2000,2,FALSE),"")</f>
        <v>ХААН БАНК</v>
      </c>
      <c r="N1341" s="435"/>
      <c r="O1341" s="81" t="str">
        <f>IFERROR(VLOOKUP(N1341,DATA!$K$4:$L$51,2,FALSE),"")</f>
        <v/>
      </c>
      <c r="P1341" s="81"/>
      <c r="Q1341" s="152">
        <f t="shared" si="138"/>
        <v>0</v>
      </c>
    </row>
    <row r="1342" spans="2:17">
      <c r="B1342" s="670">
        <f t="shared" si="140"/>
        <v>1337</v>
      </c>
      <c r="C1342" s="433">
        <v>42916</v>
      </c>
      <c r="D1342" s="598" t="s">
        <v>1750</v>
      </c>
      <c r="E1342" s="572">
        <v>110100</v>
      </c>
      <c r="F1342" s="672" t="str">
        <f>IFERROR(VLOOKUP(E1342,STAT1!$C$4:$D$1000,2,FALSE),"")</f>
        <v>Хаан Банк 5024654020</v>
      </c>
      <c r="G1342" s="377"/>
      <c r="H1342" s="377">
        <v>700</v>
      </c>
      <c r="I1342" s="596">
        <f t="shared" si="137"/>
        <v>-700</v>
      </c>
      <c r="J1342" s="81">
        <f t="shared" si="139"/>
        <v>0</v>
      </c>
      <c r="K1342" s="81"/>
      <c r="L1342" s="597">
        <v>2009</v>
      </c>
      <c r="M1342" s="81" t="str">
        <f>+IFERROR(VLOOKUP(L1342,DATA!$G$4:$H$2000,2,FALSE),"")</f>
        <v>ХААН БАНК</v>
      </c>
      <c r="N1342" s="435">
        <v>59</v>
      </c>
      <c r="O1342" s="81" t="str">
        <f>IFERROR(VLOOKUP(N1342,DATA!$K$4:$L$51,2,FALSE),"")</f>
        <v>Бусад мөнгөн зарлага</v>
      </c>
      <c r="P1342" s="81"/>
      <c r="Q1342" s="152">
        <f t="shared" si="138"/>
        <v>1</v>
      </c>
    </row>
    <row r="1343" spans="2:17">
      <c r="B1343" s="670">
        <f t="shared" si="140"/>
        <v>1338</v>
      </c>
      <c r="C1343" s="433">
        <v>42916</v>
      </c>
      <c r="D1343" s="377" t="s">
        <v>1766</v>
      </c>
      <c r="E1343" s="572">
        <v>701600</v>
      </c>
      <c r="F1343" s="672" t="str">
        <f>IFERROR(VLOOKUP(E1343,STAT1!$C$4:$D$1000,2,FALSE),"")</f>
        <v>Элэгдэл, хорогдлын зардал</v>
      </c>
      <c r="G1343" s="377">
        <v>6661875</v>
      </c>
      <c r="H1343" s="377"/>
      <c r="I1343" s="596">
        <f t="shared" si="137"/>
        <v>0</v>
      </c>
      <c r="J1343" s="81">
        <f t="shared" si="139"/>
        <v>0</v>
      </c>
      <c r="K1343" s="81"/>
      <c r="L1343" s="597">
        <v>1006</v>
      </c>
      <c r="M1343" s="81" t="str">
        <f>+IFERROR(VLOOKUP(L1343,DATA!$G$4:$H$2000,2,FALSE),"")</f>
        <v>Оюундэлгэр /нярав/</v>
      </c>
      <c r="N1343" s="166"/>
      <c r="O1343" s="81" t="str">
        <f>IFERROR(VLOOKUP(N1343,DATA!$K$4:$L$51,2,FALSE),"")</f>
        <v/>
      </c>
      <c r="P1343" s="81"/>
      <c r="Q1343" s="152">
        <f t="shared" si="138"/>
        <v>0</v>
      </c>
    </row>
    <row r="1344" spans="2:17">
      <c r="B1344" s="670">
        <f t="shared" si="140"/>
        <v>1339</v>
      </c>
      <c r="C1344" s="433">
        <v>42916</v>
      </c>
      <c r="D1344" s="377" t="s">
        <v>1766</v>
      </c>
      <c r="E1344" s="572">
        <v>201200</v>
      </c>
      <c r="F1344" s="672" t="str">
        <f>IFERROR(VLOOKUP(E1344,STAT1!$C$4:$D$1000,2,FALSE),"")</f>
        <v>Хур. элэгдэл - Барилга байгууламж</v>
      </c>
      <c r="G1344" s="377"/>
      <c r="H1344" s="377">
        <v>6661875</v>
      </c>
      <c r="I1344" s="596">
        <f t="shared" si="137"/>
        <v>0</v>
      </c>
      <c r="J1344" s="81">
        <f t="shared" si="139"/>
        <v>0</v>
      </c>
      <c r="K1344" s="81"/>
      <c r="L1344" s="597">
        <v>1006</v>
      </c>
      <c r="M1344" s="81" t="str">
        <f>+IFERROR(VLOOKUP(L1344,DATA!$G$4:$H$2000,2,FALSE),"")</f>
        <v>Оюундэлгэр /нярав/</v>
      </c>
      <c r="N1344" s="166"/>
      <c r="O1344" s="81" t="str">
        <f>IFERROR(VLOOKUP(N1344,DATA!$K$4:$L$51,2,FALSE),"")</f>
        <v/>
      </c>
      <c r="P1344" s="81"/>
      <c r="Q1344" s="152">
        <f t="shared" si="138"/>
        <v>0</v>
      </c>
    </row>
    <row r="1345" spans="2:17">
      <c r="B1345" s="670">
        <f t="shared" si="140"/>
        <v>1340</v>
      </c>
      <c r="C1345" s="433">
        <v>42916</v>
      </c>
      <c r="D1345" s="377" t="s">
        <v>1767</v>
      </c>
      <c r="E1345" s="572">
        <v>701600</v>
      </c>
      <c r="F1345" s="672" t="str">
        <f>IFERROR(VLOOKUP(E1345,STAT1!$C$4:$D$1000,2,FALSE),"")</f>
        <v>Элэгдэл, хорогдлын зардал</v>
      </c>
      <c r="G1345" s="377">
        <v>73072.72</v>
      </c>
      <c r="H1345" s="377"/>
      <c r="I1345" s="596">
        <f t="shared" si="137"/>
        <v>0</v>
      </c>
      <c r="J1345" s="81">
        <f t="shared" si="139"/>
        <v>0</v>
      </c>
      <c r="K1345" s="81"/>
      <c r="L1345" s="597">
        <v>1006</v>
      </c>
      <c r="M1345" s="81" t="str">
        <f>+IFERROR(VLOOKUP(L1345,DATA!$G$4:$H$2000,2,FALSE),"")</f>
        <v>Оюундэлгэр /нярав/</v>
      </c>
      <c r="N1345" s="166"/>
      <c r="O1345" s="81" t="str">
        <f>IFERROR(VLOOKUP(N1345,DATA!$K$4:$L$51,2,FALSE),"")</f>
        <v/>
      </c>
      <c r="P1345" s="81"/>
      <c r="Q1345" s="152">
        <f t="shared" si="138"/>
        <v>0</v>
      </c>
    </row>
    <row r="1346" spans="2:17">
      <c r="B1346" s="670">
        <f t="shared" si="140"/>
        <v>1341</v>
      </c>
      <c r="C1346" s="433">
        <v>42916</v>
      </c>
      <c r="D1346" s="377" t="s">
        <v>1767</v>
      </c>
      <c r="E1346" s="572">
        <v>201300</v>
      </c>
      <c r="F1346" s="672" t="str">
        <f>IFERROR(VLOOKUP(E1346,STAT1!$C$4:$D$1000,2,FALSE),"")</f>
        <v>Хур. элэгдэл - Тавилга эд хогшил</v>
      </c>
      <c r="G1346" s="377"/>
      <c r="H1346" s="377">
        <v>73072.72</v>
      </c>
      <c r="I1346" s="596">
        <f t="shared" si="137"/>
        <v>0</v>
      </c>
      <c r="J1346" s="81">
        <f t="shared" si="139"/>
        <v>0</v>
      </c>
      <c r="K1346" s="81"/>
      <c r="L1346" s="597">
        <v>1006</v>
      </c>
      <c r="M1346" s="81" t="str">
        <f>+IFERROR(VLOOKUP(L1346,DATA!$G$4:$H$2000,2,FALSE),"")</f>
        <v>Оюундэлгэр /нярав/</v>
      </c>
      <c r="N1346" s="166"/>
      <c r="O1346" s="81" t="str">
        <f>IFERROR(VLOOKUP(N1346,DATA!$K$4:$L$51,2,FALSE),"")</f>
        <v/>
      </c>
      <c r="P1346" s="81"/>
      <c r="Q1346" s="152">
        <f t="shared" si="138"/>
        <v>0</v>
      </c>
    </row>
    <row r="1347" spans="2:17">
      <c r="B1347" s="670">
        <f t="shared" si="140"/>
        <v>1342</v>
      </c>
      <c r="C1347" s="433">
        <v>42916</v>
      </c>
      <c r="D1347" s="377" t="s">
        <v>1768</v>
      </c>
      <c r="E1347" s="572">
        <v>701600</v>
      </c>
      <c r="F1347" s="672" t="str">
        <f>IFERROR(VLOOKUP(E1347,STAT1!$C$4:$D$1000,2,FALSE),"")</f>
        <v>Элэгдэл, хорогдлын зардал</v>
      </c>
      <c r="G1347" s="377">
        <v>16634720.9</v>
      </c>
      <c r="H1347" s="377"/>
      <c r="I1347" s="596">
        <f t="shared" si="137"/>
        <v>0</v>
      </c>
      <c r="J1347" s="81">
        <f t="shared" si="139"/>
        <v>0</v>
      </c>
      <c r="K1347" s="81"/>
      <c r="L1347" s="597">
        <v>1006</v>
      </c>
      <c r="M1347" s="81" t="str">
        <f>+IFERROR(VLOOKUP(L1347,DATA!$G$4:$H$2000,2,FALSE),"")</f>
        <v>Оюундэлгэр /нярав/</v>
      </c>
      <c r="N1347" s="166"/>
      <c r="O1347" s="81" t="str">
        <f>IFERROR(VLOOKUP(N1347,DATA!$K$4:$L$51,2,FALSE),"")</f>
        <v/>
      </c>
      <c r="P1347" s="81"/>
      <c r="Q1347" s="152">
        <f t="shared" si="138"/>
        <v>0</v>
      </c>
    </row>
    <row r="1348" spans="2:17">
      <c r="B1348" s="670">
        <f t="shared" si="140"/>
        <v>1343</v>
      </c>
      <c r="C1348" s="433">
        <v>42916</v>
      </c>
      <c r="D1348" s="377" t="s">
        <v>1768</v>
      </c>
      <c r="E1348" s="572">
        <v>201400</v>
      </c>
      <c r="F1348" s="672" t="str">
        <f>IFERROR(VLOOKUP(E1348,STAT1!$C$4:$D$1000,2,FALSE),"")</f>
        <v>Хур. элэгдэл - Машин тоног төхөөрөмж</v>
      </c>
      <c r="G1348" s="377"/>
      <c r="H1348" s="377">
        <v>16634720.9</v>
      </c>
      <c r="I1348" s="596">
        <f t="shared" si="137"/>
        <v>0</v>
      </c>
      <c r="J1348" s="81">
        <f t="shared" si="139"/>
        <v>0</v>
      </c>
      <c r="K1348" s="380"/>
      <c r="L1348" s="597">
        <v>1006</v>
      </c>
      <c r="M1348" s="81" t="str">
        <f>+IFERROR(VLOOKUP(L1348,DATA!$G$4:$H$2000,2,FALSE),"")</f>
        <v>Оюундэлгэр /нярав/</v>
      </c>
      <c r="N1348" s="166"/>
      <c r="O1348" s="81" t="str">
        <f>IFERROR(VLOOKUP(N1348,DATA!$K$4:$L$51,2,FALSE),"")</f>
        <v/>
      </c>
      <c r="P1348" s="81"/>
      <c r="Q1348" s="152">
        <f t="shared" si="138"/>
        <v>0</v>
      </c>
    </row>
    <row r="1349" spans="2:17">
      <c r="B1349" s="670">
        <f t="shared" si="140"/>
        <v>1344</v>
      </c>
      <c r="C1349" s="433">
        <v>42916</v>
      </c>
      <c r="D1349" s="377" t="s">
        <v>2585</v>
      </c>
      <c r="E1349" s="572">
        <v>701600</v>
      </c>
      <c r="F1349" s="672" t="str">
        <f>IFERROR(VLOOKUP(E1349,STAT1!$C$4:$D$1000,2,FALSE),"")</f>
        <v>Элэгдэл, хорогдлын зардал</v>
      </c>
      <c r="G1349" s="377">
        <v>4245000</v>
      </c>
      <c r="H1349" s="377"/>
      <c r="I1349" s="596">
        <f t="shared" si="137"/>
        <v>0</v>
      </c>
      <c r="J1349" s="81">
        <f t="shared" si="139"/>
        <v>0</v>
      </c>
      <c r="K1349" s="380"/>
      <c r="L1349" s="597">
        <v>1006</v>
      </c>
      <c r="M1349" s="81" t="str">
        <f>+IFERROR(VLOOKUP(L1349,DATA!$G$4:$H$2000,2,FALSE),"")</f>
        <v>Оюундэлгэр /нярав/</v>
      </c>
      <c r="N1349" s="166"/>
      <c r="O1349" s="81" t="str">
        <f>IFERROR(VLOOKUP(N1349,DATA!$K$4:$L$51,2,FALSE),"")</f>
        <v/>
      </c>
      <c r="P1349" s="81"/>
      <c r="Q1349" s="152">
        <f t="shared" si="138"/>
        <v>0</v>
      </c>
    </row>
    <row r="1350" spans="2:17">
      <c r="B1350" s="670">
        <f t="shared" si="140"/>
        <v>1345</v>
      </c>
      <c r="C1350" s="433">
        <v>42916</v>
      </c>
      <c r="D1350" s="377" t="s">
        <v>2585</v>
      </c>
      <c r="E1350" s="572">
        <v>201500</v>
      </c>
      <c r="F1350" s="672" t="str">
        <f>IFERROR(VLOOKUP(E1350,STAT1!$C$4:$D$1000,2,FALSE),"")</f>
        <v>Хур. элэгдэл - Тээврийн хэрэгсэл</v>
      </c>
      <c r="G1350" s="377"/>
      <c r="H1350" s="377">
        <v>4245000</v>
      </c>
      <c r="I1350" s="596">
        <f t="shared" ref="I1350:I1413" si="141">+IF(OR(E1350=100100,E1350=100200,E1350=110100,E1350=110102,E1350=110103,E1350=110104,E1350=110105,E1350=110200,E1350=110201,E1350=110202,E1350=110203,E1350=110204,E1350=110300),G1350,0)+IF(OR(E1350=100100,E1350=100200,E1350=110100,E1350=110102,E1350=110103,E1350=110104,E1350=110105,E1350=110200,E1350=110201,E1350=110202,E1350=110203,E1350=110204,E1350=110300),H1350*-1,0)</f>
        <v>0</v>
      </c>
      <c r="J1350" s="81">
        <f t="shared" si="139"/>
        <v>0</v>
      </c>
      <c r="K1350" s="380"/>
      <c r="L1350" s="597">
        <v>1006</v>
      </c>
      <c r="M1350" s="81" t="str">
        <f>+IFERROR(VLOOKUP(L1350,DATA!$G$4:$H$2000,2,FALSE),"")</f>
        <v>Оюундэлгэр /нярав/</v>
      </c>
      <c r="N1350" s="166"/>
      <c r="O1350" s="81" t="str">
        <f>IFERROR(VLOOKUP(N1350,DATA!$K$4:$L$51,2,FALSE),"")</f>
        <v/>
      </c>
      <c r="P1350" s="81"/>
      <c r="Q1350" s="152">
        <f t="shared" si="138"/>
        <v>0</v>
      </c>
    </row>
    <row r="1351" spans="2:17">
      <c r="B1351" s="670">
        <f t="shared" si="140"/>
        <v>1346</v>
      </c>
      <c r="C1351" s="433">
        <v>42916</v>
      </c>
      <c r="D1351" s="377" t="s">
        <v>2586</v>
      </c>
      <c r="E1351" s="572">
        <v>701600</v>
      </c>
      <c r="F1351" s="672" t="str">
        <f>IFERROR(VLOOKUP(E1351,STAT1!$C$4:$D$1000,2,FALSE),"")</f>
        <v>Элэгдэл, хорогдлын зардал</v>
      </c>
      <c r="G1351" s="377">
        <v>155939.45000000001</v>
      </c>
      <c r="H1351" s="377"/>
      <c r="I1351" s="596">
        <f t="shared" si="141"/>
        <v>0</v>
      </c>
      <c r="J1351" s="81">
        <f t="shared" si="139"/>
        <v>0</v>
      </c>
      <c r="K1351" s="380"/>
      <c r="L1351" s="597">
        <v>1006</v>
      </c>
      <c r="M1351" s="81" t="str">
        <f>+IFERROR(VLOOKUP(L1351,DATA!$G$4:$H$2000,2,FALSE),"")</f>
        <v>Оюундэлгэр /нярав/</v>
      </c>
      <c r="N1351" s="166"/>
      <c r="O1351" s="81" t="str">
        <f>IFERROR(VLOOKUP(N1351,DATA!$K$4:$L$51,2,FALSE),"")</f>
        <v/>
      </c>
      <c r="P1351" s="81"/>
      <c r="Q1351" s="152">
        <f t="shared" ref="Q1351:Q1414" si="142">+IF(I1351,1,0)</f>
        <v>0</v>
      </c>
    </row>
    <row r="1352" spans="2:17">
      <c r="B1352" s="670">
        <f t="shared" si="140"/>
        <v>1347</v>
      </c>
      <c r="C1352" s="433">
        <v>42916</v>
      </c>
      <c r="D1352" s="377" t="s">
        <v>2586</v>
      </c>
      <c r="E1352" s="572">
        <v>202000</v>
      </c>
      <c r="F1352" s="672" t="str">
        <f>IFERROR(VLOOKUP(E1352,STAT1!$C$4:$D$1000,2,FALSE),"")</f>
        <v>Хур. элэгдэл - Комъпютер, дагалдах хэрэгсэл</v>
      </c>
      <c r="G1352" s="377"/>
      <c r="H1352" s="377">
        <v>155939.45000000001</v>
      </c>
      <c r="I1352" s="596">
        <f t="shared" si="141"/>
        <v>0</v>
      </c>
      <c r="J1352" s="81">
        <f t="shared" si="139"/>
        <v>0</v>
      </c>
      <c r="K1352" s="380"/>
      <c r="L1352" s="597">
        <v>1006</v>
      </c>
      <c r="M1352" s="81" t="str">
        <f>+IFERROR(VLOOKUP(L1352,DATA!$G$4:$H$2000,2,FALSE),"")</f>
        <v>Оюундэлгэр /нярав/</v>
      </c>
      <c r="N1352" s="166"/>
      <c r="O1352" s="81" t="str">
        <f>IFERROR(VLOOKUP(N1352,DATA!$K$4:$L$51,2,FALSE),"")</f>
        <v/>
      </c>
      <c r="P1352" s="81"/>
      <c r="Q1352" s="152">
        <f t="shared" si="142"/>
        <v>0</v>
      </c>
    </row>
    <row r="1353" spans="2:17">
      <c r="B1353" s="670">
        <f t="shared" si="140"/>
        <v>1348</v>
      </c>
      <c r="C1353" s="433">
        <v>42916</v>
      </c>
      <c r="D1353" s="377" t="s">
        <v>1751</v>
      </c>
      <c r="E1353" s="572">
        <v>110102</v>
      </c>
      <c r="F1353" s="672" t="str">
        <f>IFERROR(VLOOKUP(E1353,STAT1!$C$4:$D$1000,2,FALSE),"")</f>
        <v>ХХБ 406094330</v>
      </c>
      <c r="G1353" s="377"/>
      <c r="H1353" s="377">
        <v>16000</v>
      </c>
      <c r="I1353" s="596">
        <f t="shared" si="141"/>
        <v>-16000</v>
      </c>
      <c r="J1353" s="81"/>
      <c r="K1353" s="81"/>
      <c r="L1353" s="597">
        <v>1004</v>
      </c>
      <c r="M1353" s="81" t="str">
        <f>+IFERROR(VLOOKUP(L1353,DATA!$G$4:$H$2000,2,FALSE),"")</f>
        <v xml:space="preserve">Түмэндэлгэр </v>
      </c>
      <c r="N1353" s="166">
        <v>59</v>
      </c>
      <c r="O1353" s="81" t="str">
        <f>IFERROR(VLOOKUP(N1353,DATA!$K$4:$L$51,2,FALSE),"")</f>
        <v>Бусад мөнгөн зарлага</v>
      </c>
      <c r="P1353" s="81"/>
      <c r="Q1353" s="152">
        <f t="shared" si="142"/>
        <v>1</v>
      </c>
    </row>
    <row r="1354" spans="2:17">
      <c r="B1354" s="670">
        <f t="shared" si="140"/>
        <v>1349</v>
      </c>
      <c r="C1354" s="433">
        <v>42916</v>
      </c>
      <c r="D1354" s="377" t="s">
        <v>1751</v>
      </c>
      <c r="E1354" s="572">
        <v>704900</v>
      </c>
      <c r="F1354" s="672" t="str">
        <f>IFERROR(VLOOKUP(E1354,STAT1!$C$4:$D$1000,2,FALSE),"")</f>
        <v>Банкны үйлчилгээ</v>
      </c>
      <c r="G1354" s="377">
        <v>16000</v>
      </c>
      <c r="H1354" s="377"/>
      <c r="I1354" s="596">
        <f t="shared" si="141"/>
        <v>0</v>
      </c>
      <c r="J1354" s="81"/>
      <c r="K1354" s="81"/>
      <c r="L1354" s="597">
        <v>1004</v>
      </c>
      <c r="M1354" s="81" t="str">
        <f>+IFERROR(VLOOKUP(L1354,DATA!$G$4:$H$2000,2,FALSE),"")</f>
        <v xml:space="preserve">Түмэндэлгэр </v>
      </c>
      <c r="N1354" s="166"/>
      <c r="O1354" s="81" t="str">
        <f>IFERROR(VLOOKUP(N1354,DATA!$K$4:$L$51,2,FALSE),"")</f>
        <v/>
      </c>
      <c r="P1354" s="81"/>
      <c r="Q1354" s="152">
        <f t="shared" si="142"/>
        <v>0</v>
      </c>
    </row>
    <row r="1355" spans="2:17">
      <c r="B1355" s="670">
        <f t="shared" si="140"/>
        <v>1350</v>
      </c>
      <c r="C1355" s="433">
        <v>42916</v>
      </c>
      <c r="D1355" s="377" t="s">
        <v>1751</v>
      </c>
      <c r="E1355" s="572">
        <v>110204</v>
      </c>
      <c r="F1355" s="672" t="str">
        <f>IFERROR(VLOOKUP(E1355,STAT1!$C$4:$D$1000,2,FALSE),"")</f>
        <v>ХХБ БАНК 406094331</v>
      </c>
      <c r="G1355" s="377"/>
      <c r="H1355" s="377">
        <v>5827.6776</v>
      </c>
      <c r="I1355" s="596">
        <f t="shared" si="141"/>
        <v>-5827.6776</v>
      </c>
      <c r="J1355" s="81"/>
      <c r="K1355" s="81"/>
      <c r="L1355" s="597">
        <v>1004</v>
      </c>
      <c r="M1355" s="81" t="str">
        <f>+IFERROR(VLOOKUP(L1355,DATA!$G$4:$H$2000,2,FALSE),"")</f>
        <v xml:space="preserve">Түмэндэлгэр </v>
      </c>
      <c r="N1355" s="166">
        <v>59</v>
      </c>
      <c r="O1355" s="81" t="str">
        <f>IFERROR(VLOOKUP(N1355,DATA!$K$4:$L$51,2,FALSE),"")</f>
        <v>Бусад мөнгөн зарлага</v>
      </c>
      <c r="P1355" s="81"/>
      <c r="Q1355" s="152">
        <f t="shared" si="142"/>
        <v>1</v>
      </c>
    </row>
    <row r="1356" spans="2:17">
      <c r="B1356" s="670">
        <f t="shared" si="140"/>
        <v>1351</v>
      </c>
      <c r="C1356" s="433">
        <v>42916</v>
      </c>
      <c r="D1356" s="377" t="s">
        <v>1751</v>
      </c>
      <c r="E1356" s="572">
        <v>704900</v>
      </c>
      <c r="F1356" s="672" t="str">
        <f>IFERROR(VLOOKUP(E1356,STAT1!$C$4:$D$1000,2,FALSE),"")</f>
        <v>Банкны үйлчилгээ</v>
      </c>
      <c r="G1356" s="377">
        <v>5827.6776</v>
      </c>
      <c r="H1356" s="377"/>
      <c r="I1356" s="596">
        <f t="shared" si="141"/>
        <v>0</v>
      </c>
      <c r="J1356" s="81"/>
      <c r="K1356" s="81"/>
      <c r="L1356" s="597">
        <v>1004</v>
      </c>
      <c r="M1356" s="81" t="str">
        <f>+IFERROR(VLOOKUP(L1356,DATA!$G$4:$H$2000,2,FALSE),"")</f>
        <v xml:space="preserve">Түмэндэлгэр </v>
      </c>
      <c r="N1356" s="166"/>
      <c r="O1356" s="81" t="str">
        <f>IFERROR(VLOOKUP(N1356,DATA!$K$4:$L$51,2,FALSE),"")</f>
        <v/>
      </c>
      <c r="P1356" s="81"/>
      <c r="Q1356" s="152">
        <f t="shared" si="142"/>
        <v>0</v>
      </c>
    </row>
    <row r="1357" spans="2:17">
      <c r="B1357" s="670">
        <f t="shared" si="140"/>
        <v>1352</v>
      </c>
      <c r="C1357" s="601">
        <v>42916</v>
      </c>
      <c r="D1357" s="377" t="s">
        <v>2684</v>
      </c>
      <c r="E1357" s="572">
        <v>140201</v>
      </c>
      <c r="F1357" s="672" t="str">
        <f>IFERROR(VLOOKUP(E1357,STAT1!$C$4:$D$8000,2,FALSE),"")</f>
        <v>ШМЗардал БОЛОВСРУУЛАХ ЦЕХ /нарс/</v>
      </c>
      <c r="G1357" s="377">
        <v>3595734</v>
      </c>
      <c r="H1357" s="597"/>
      <c r="I1357" s="596">
        <f t="shared" si="141"/>
        <v>0</v>
      </c>
      <c r="J1357" s="81"/>
      <c r="K1357" s="81"/>
      <c r="L1357" s="597">
        <v>1006</v>
      </c>
      <c r="M1357" s="81" t="str">
        <f>+IFERROR(VLOOKUP(L1357,DATA!$G$4:$H$2000,2,FALSE),"")</f>
        <v>Оюундэлгэр /нярав/</v>
      </c>
      <c r="N1357" s="166"/>
      <c r="O1357" s="81" t="str">
        <f>IFERROR(VLOOKUP(N1357,DATA!$K$4:$L$51,2,FALSE),"")</f>
        <v/>
      </c>
      <c r="P1357" s="81"/>
      <c r="Q1357" s="152">
        <f t="shared" si="142"/>
        <v>0</v>
      </c>
    </row>
    <row r="1358" spans="2:17">
      <c r="B1358" s="670">
        <f t="shared" si="140"/>
        <v>1353</v>
      </c>
      <c r="C1358" s="601">
        <v>42916</v>
      </c>
      <c r="D1358" s="377"/>
      <c r="E1358" s="572">
        <v>140100</v>
      </c>
      <c r="F1358" s="672" t="str">
        <f>IFERROR(VLOOKUP(E1358,STAT1!$C$4:$D$8000,2,FALSE),"")</f>
        <v>Түүхий эд материал</v>
      </c>
      <c r="G1358" s="597"/>
      <c r="H1358" s="377">
        <v>3595734</v>
      </c>
      <c r="I1358" s="596">
        <f t="shared" si="141"/>
        <v>0</v>
      </c>
      <c r="J1358" s="81"/>
      <c r="K1358" s="81"/>
      <c r="L1358" s="597">
        <v>1006</v>
      </c>
      <c r="M1358" s="81" t="str">
        <f>+IFERROR(VLOOKUP(L1358,DATA!$G$4:$H$2000,2,FALSE),"")</f>
        <v>Оюундэлгэр /нярав/</v>
      </c>
      <c r="N1358" s="166"/>
      <c r="O1358" s="81" t="str">
        <f>IFERROR(VLOOKUP(N1358,DATA!$K$4:$L$51,2,FALSE),"")</f>
        <v/>
      </c>
      <c r="P1358" s="81"/>
      <c r="Q1358" s="152">
        <f t="shared" si="142"/>
        <v>0</v>
      </c>
    </row>
    <row r="1359" spans="2:17">
      <c r="B1359" s="670">
        <f t="shared" si="140"/>
        <v>1354</v>
      </c>
      <c r="C1359" s="601">
        <v>42916</v>
      </c>
      <c r="D1359" s="377" t="s">
        <v>1776</v>
      </c>
      <c r="E1359" s="572">
        <v>122000</v>
      </c>
      <c r="F1359" s="672" t="str">
        <f>IFERROR(VLOOKUP(E1359,STAT1!$C$4:$D$8000,2,FALSE),"")</f>
        <v>Борлуулалтын авлагын түр тооцоо MNT</v>
      </c>
      <c r="G1359" s="377"/>
      <c r="H1359" s="377">
        <v>7780000</v>
      </c>
      <c r="I1359" s="596">
        <f t="shared" si="141"/>
        <v>0</v>
      </c>
      <c r="J1359" s="81"/>
      <c r="K1359" s="81"/>
      <c r="L1359" s="597">
        <v>3001</v>
      </c>
      <c r="M1359" s="81" t="str">
        <f>+IFERROR(VLOOKUP(L1359,DATA!$G$4:$H$2000,2,FALSE),"")</f>
        <v>ХУРД ГРУПП ХХК</v>
      </c>
      <c r="N1359" s="166"/>
      <c r="O1359" s="81" t="str">
        <f>IFERROR(VLOOKUP(N1359,DATA!$K$4:$L$51,2,FALSE),"")</f>
        <v/>
      </c>
      <c r="P1359" s="81"/>
      <c r="Q1359" s="152">
        <f t="shared" si="142"/>
        <v>0</v>
      </c>
    </row>
    <row r="1360" spans="2:17">
      <c r="B1360" s="670">
        <f t="shared" si="140"/>
        <v>1355</v>
      </c>
      <c r="C1360" s="601">
        <v>42916</v>
      </c>
      <c r="D1360" s="377" t="s">
        <v>1776</v>
      </c>
      <c r="E1360" s="572">
        <v>320100</v>
      </c>
      <c r="F1360" s="672" t="str">
        <f>IFERROR(VLOOKUP(E1360,STAT1!$C$4:$D$8000,2,FALSE),"")</f>
        <v>Урьдчилж орсон орлого MNT</v>
      </c>
      <c r="G1360" s="377">
        <v>7780000</v>
      </c>
      <c r="H1360" s="377"/>
      <c r="I1360" s="596">
        <f t="shared" si="141"/>
        <v>0</v>
      </c>
      <c r="J1360" s="81"/>
      <c r="K1360" s="81"/>
      <c r="L1360" s="597">
        <v>3001</v>
      </c>
      <c r="M1360" s="81" t="str">
        <f>+IFERROR(VLOOKUP(L1360,DATA!$G$4:$H$2000,2,FALSE),"")</f>
        <v>ХУРД ГРУПП ХХК</v>
      </c>
      <c r="N1360" s="166"/>
      <c r="O1360" s="81" t="str">
        <f>IFERROR(VLOOKUP(N1360,DATA!$K$4:$L$51,2,FALSE),"")</f>
        <v/>
      </c>
      <c r="P1360" s="81"/>
      <c r="Q1360" s="152">
        <f t="shared" si="142"/>
        <v>0</v>
      </c>
    </row>
    <row r="1361" spans="2:17">
      <c r="B1361" s="670">
        <f t="shared" si="140"/>
        <v>1356</v>
      </c>
      <c r="C1361" s="601">
        <v>42916</v>
      </c>
      <c r="D1361" s="377" t="s">
        <v>1776</v>
      </c>
      <c r="E1361" s="572">
        <v>122000</v>
      </c>
      <c r="F1361" s="672" t="str">
        <f>IFERROR(VLOOKUP(E1361,STAT1!$C$4:$D$8000,2,FALSE),"")</f>
        <v>Борлуулалтын авлагын түр тооцоо MNT</v>
      </c>
      <c r="G1361" s="597">
        <v>8</v>
      </c>
      <c r="H1361" s="597"/>
      <c r="I1361" s="596">
        <f t="shared" si="141"/>
        <v>0</v>
      </c>
      <c r="J1361" s="81"/>
      <c r="K1361" s="81"/>
      <c r="L1361" s="597">
        <v>3002</v>
      </c>
      <c r="M1361" s="81" t="str">
        <f>+IFERROR(VLOOKUP(L1361,DATA!$G$4:$H$2000,2,FALSE),"")</f>
        <v>ЭКО КОНСТРАКШН ХХК</v>
      </c>
      <c r="N1361" s="166"/>
      <c r="O1361" s="81" t="str">
        <f>IFERROR(VLOOKUP(N1361,DATA!$K$4:$L$51,2,FALSE),"")</f>
        <v/>
      </c>
      <c r="P1361" s="81"/>
      <c r="Q1361" s="152">
        <f t="shared" si="142"/>
        <v>0</v>
      </c>
    </row>
    <row r="1362" spans="2:17">
      <c r="B1362" s="670">
        <f t="shared" si="140"/>
        <v>1357</v>
      </c>
      <c r="C1362" s="601">
        <v>42916</v>
      </c>
      <c r="D1362" s="377" t="s">
        <v>1776</v>
      </c>
      <c r="E1362" s="572">
        <v>320100</v>
      </c>
      <c r="F1362" s="672" t="str">
        <f>IFERROR(VLOOKUP(E1362,STAT1!$C$4:$D$8000,2,FALSE),"")</f>
        <v>Урьдчилж орсон орлого MNT</v>
      </c>
      <c r="G1362" s="597"/>
      <c r="H1362" s="597">
        <v>8</v>
      </c>
      <c r="I1362" s="596">
        <f t="shared" si="141"/>
        <v>0</v>
      </c>
      <c r="J1362" s="81"/>
      <c r="K1362" s="81"/>
      <c r="L1362" s="597">
        <v>3002</v>
      </c>
      <c r="M1362" s="81" t="str">
        <f>+IFERROR(VLOOKUP(L1362,DATA!$G$4:$H$2000,2,FALSE),"")</f>
        <v>ЭКО КОНСТРАКШН ХХК</v>
      </c>
      <c r="N1362" s="166"/>
      <c r="O1362" s="81" t="str">
        <f>IFERROR(VLOOKUP(N1362,DATA!$K$4:$L$51,2,FALSE),"")</f>
        <v/>
      </c>
      <c r="P1362" s="81"/>
      <c r="Q1362" s="152">
        <f t="shared" si="142"/>
        <v>0</v>
      </c>
    </row>
    <row r="1363" spans="2:17">
      <c r="B1363" s="670">
        <f t="shared" si="140"/>
        <v>1358</v>
      </c>
      <c r="C1363" s="601">
        <v>42916</v>
      </c>
      <c r="D1363" s="377" t="s">
        <v>1776</v>
      </c>
      <c r="E1363" s="572">
        <v>122000</v>
      </c>
      <c r="F1363" s="672" t="str">
        <f>IFERROR(VLOOKUP(E1363,STAT1!$C$4:$D$8000,2,FALSE),"")</f>
        <v>Борлуулалтын авлагын түр тооцоо MNT</v>
      </c>
      <c r="G1363" s="597">
        <v>484000</v>
      </c>
      <c r="H1363" s="597"/>
      <c r="I1363" s="596">
        <f t="shared" si="141"/>
        <v>0</v>
      </c>
      <c r="J1363" s="81"/>
      <c r="K1363" s="81"/>
      <c r="L1363" s="597">
        <v>3042</v>
      </c>
      <c r="M1363" s="81" t="str">
        <f>+IFERROR(VLOOKUP(L1363,DATA!$G$4:$H$2000,2,FALSE),"")</f>
        <v xml:space="preserve">ЖУРМАК ХХК </v>
      </c>
      <c r="N1363" s="166"/>
      <c r="O1363" s="81" t="str">
        <f>IFERROR(VLOOKUP(N1363,DATA!$K$4:$L$51,2,FALSE),"")</f>
        <v/>
      </c>
      <c r="P1363" s="81"/>
      <c r="Q1363" s="152">
        <f t="shared" si="142"/>
        <v>0</v>
      </c>
    </row>
    <row r="1364" spans="2:17">
      <c r="B1364" s="670">
        <f t="shared" si="140"/>
        <v>1359</v>
      </c>
      <c r="C1364" s="601">
        <v>42916</v>
      </c>
      <c r="D1364" s="377" t="s">
        <v>1776</v>
      </c>
      <c r="E1364" s="572">
        <v>320100</v>
      </c>
      <c r="F1364" s="672" t="str">
        <f>IFERROR(VLOOKUP(E1364,STAT1!$C$4:$D$8000,2,FALSE),"")</f>
        <v>Урьдчилж орсон орлого MNT</v>
      </c>
      <c r="G1364" s="597"/>
      <c r="H1364" s="597">
        <v>484000</v>
      </c>
      <c r="I1364" s="596">
        <f t="shared" si="141"/>
        <v>0</v>
      </c>
      <c r="J1364" s="81"/>
      <c r="K1364" s="81"/>
      <c r="L1364" s="597">
        <v>3042</v>
      </c>
      <c r="M1364" s="81" t="str">
        <f>+IFERROR(VLOOKUP(L1364,DATA!$G$4:$H$2000,2,FALSE),"")</f>
        <v xml:space="preserve">ЖУРМАК ХХК </v>
      </c>
      <c r="N1364" s="166"/>
      <c r="O1364" s="81" t="str">
        <f>IFERROR(VLOOKUP(N1364,DATA!$K$4:$L$51,2,FALSE),"")</f>
        <v/>
      </c>
      <c r="P1364" s="81"/>
      <c r="Q1364" s="152">
        <f t="shared" si="142"/>
        <v>0</v>
      </c>
    </row>
    <row r="1365" spans="2:17">
      <c r="B1365" s="670">
        <f t="shared" si="140"/>
        <v>1360</v>
      </c>
      <c r="C1365" s="433">
        <v>42916</v>
      </c>
      <c r="D1365" s="377" t="s">
        <v>1782</v>
      </c>
      <c r="E1365" s="572">
        <v>140400</v>
      </c>
      <c r="F1365" s="672" t="str">
        <f>IFERROR(VLOOKUP(E1365,STAT1!$C$4:$D$8000,2,FALSE),"")</f>
        <v>ҮНЗардал ХАТААХ ЦЕХ /нарс/</v>
      </c>
      <c r="G1365" s="377">
        <v>4379527</v>
      </c>
      <c r="H1365" s="377"/>
      <c r="I1365" s="596">
        <f t="shared" si="141"/>
        <v>0</v>
      </c>
      <c r="J1365" s="81"/>
      <c r="K1365" s="81"/>
      <c r="L1365" s="597">
        <v>1006</v>
      </c>
      <c r="M1365" s="81" t="str">
        <f>+IFERROR(VLOOKUP(L1365,DATA!$G$4:$H$2000,2,FALSE),"")</f>
        <v>Оюундэлгэр /нярав/</v>
      </c>
      <c r="N1365" s="166"/>
      <c r="O1365" s="81" t="str">
        <f>IFERROR(VLOOKUP(N1365,DATA!$K$4:$L$51,2,FALSE),"")</f>
        <v/>
      </c>
      <c r="P1365" s="81"/>
      <c r="Q1365" s="152">
        <f t="shared" si="142"/>
        <v>0</v>
      </c>
    </row>
    <row r="1366" spans="2:17">
      <c r="B1366" s="670">
        <f t="shared" si="140"/>
        <v>1361</v>
      </c>
      <c r="C1366" s="433">
        <v>42916</v>
      </c>
      <c r="D1366" s="377" t="s">
        <v>1782</v>
      </c>
      <c r="E1366" s="572">
        <v>700100</v>
      </c>
      <c r="F1366" s="672" t="str">
        <f>IFERROR(VLOOKUP(E1366,STAT1!$C$4:$D$8000,2,FALSE),"")</f>
        <v>Цалин хөлс, шагнал</v>
      </c>
      <c r="G1366" s="377"/>
      <c r="H1366" s="377">
        <v>3910292</v>
      </c>
      <c r="I1366" s="596">
        <f t="shared" si="141"/>
        <v>0</v>
      </c>
      <c r="J1366" s="81"/>
      <c r="K1366" s="81"/>
      <c r="L1366" s="597">
        <v>1006</v>
      </c>
      <c r="M1366" s="81" t="str">
        <f>+IFERROR(VLOOKUP(L1366,DATA!$G$4:$H$2000,2,FALSE),"")</f>
        <v>Оюундэлгэр /нярав/</v>
      </c>
      <c r="N1366" s="166"/>
      <c r="O1366" s="81" t="str">
        <f>IFERROR(VLOOKUP(N1366,DATA!$K$4:$L$51,2,FALSE),"")</f>
        <v/>
      </c>
      <c r="P1366" s="81"/>
      <c r="Q1366" s="152">
        <f t="shared" si="142"/>
        <v>0</v>
      </c>
    </row>
    <row r="1367" spans="2:17">
      <c r="B1367" s="670">
        <f t="shared" si="140"/>
        <v>1362</v>
      </c>
      <c r="C1367" s="433">
        <v>42916</v>
      </c>
      <c r="D1367" s="377" t="s">
        <v>1782</v>
      </c>
      <c r="E1367" s="572">
        <v>700200</v>
      </c>
      <c r="F1367" s="672" t="str">
        <f>IFERROR(VLOOKUP(E1367,STAT1!$C$4:$D$8000,2,FALSE),"")</f>
        <v>НДШимтгэл</v>
      </c>
      <c r="G1367" s="377"/>
      <c r="H1367" s="377">
        <v>469235</v>
      </c>
      <c r="I1367" s="596">
        <f t="shared" si="141"/>
        <v>0</v>
      </c>
      <c r="J1367" s="81"/>
      <c r="K1367" s="81"/>
      <c r="L1367" s="597">
        <v>1006</v>
      </c>
      <c r="M1367" s="81" t="str">
        <f>+IFERROR(VLOOKUP(L1367,DATA!$G$4:$H$2000,2,FALSE),"")</f>
        <v>Оюундэлгэр /нярав/</v>
      </c>
      <c r="N1367" s="166"/>
      <c r="O1367" s="81" t="str">
        <f>IFERROR(VLOOKUP(N1367,DATA!$K$4:$L$51,2,FALSE),"")</f>
        <v/>
      </c>
      <c r="P1367" s="81"/>
      <c r="Q1367" s="152">
        <f t="shared" si="142"/>
        <v>0</v>
      </c>
    </row>
    <row r="1368" spans="2:17">
      <c r="B1368" s="670">
        <f t="shared" si="140"/>
        <v>1363</v>
      </c>
      <c r="C1368" s="433">
        <v>42916</v>
      </c>
      <c r="D1368" s="377" t="s">
        <v>1783</v>
      </c>
      <c r="E1368" s="572">
        <v>140401</v>
      </c>
      <c r="F1368" s="672" t="str">
        <f>IFERROR(VLOOKUP(E1368,STAT1!$C$4:$D$8000,2,FALSE),"")</f>
        <v>ҮНЗардал БОЛОВСРУУЛАХ ЦЕХ /нарс/</v>
      </c>
      <c r="G1368" s="377">
        <v>46117116.32</v>
      </c>
      <c r="H1368" s="377"/>
      <c r="I1368" s="596">
        <f t="shared" si="141"/>
        <v>0</v>
      </c>
      <c r="J1368" s="81"/>
      <c r="K1368" s="81"/>
      <c r="L1368" s="597">
        <v>1006</v>
      </c>
      <c r="M1368" s="81" t="str">
        <f>+IFERROR(VLOOKUP(L1368,DATA!$G$4:$H$2000,2,FALSE),"")</f>
        <v>Оюундэлгэр /нярав/</v>
      </c>
      <c r="N1368" s="166"/>
      <c r="O1368" s="81" t="str">
        <f>IFERROR(VLOOKUP(N1368,DATA!$K$4:$L$51,2,FALSE),"")</f>
        <v/>
      </c>
      <c r="P1368" s="81"/>
      <c r="Q1368" s="152">
        <f t="shared" si="142"/>
        <v>0</v>
      </c>
    </row>
    <row r="1369" spans="2:17">
      <c r="B1369" s="670">
        <f t="shared" si="140"/>
        <v>1364</v>
      </c>
      <c r="C1369" s="433">
        <v>42916</v>
      </c>
      <c r="D1369" s="377" t="s">
        <v>1783</v>
      </c>
      <c r="E1369" s="572">
        <v>700700</v>
      </c>
      <c r="F1369" s="672" t="str">
        <f>IFERROR(VLOOKUP(E1369,STAT1!$C$4:$D$8000,2,FALSE),"")</f>
        <v>Цахилгаан эрчим хүч</v>
      </c>
      <c r="G1369" s="377"/>
      <c r="H1369" s="377">
        <v>5644748</v>
      </c>
      <c r="I1369" s="596">
        <f t="shared" si="141"/>
        <v>0</v>
      </c>
      <c r="J1369" s="81"/>
      <c r="K1369" s="81"/>
      <c r="L1369" s="597">
        <v>1006</v>
      </c>
      <c r="M1369" s="81" t="str">
        <f>+IFERROR(VLOOKUP(L1369,DATA!$G$4:$H$2000,2,FALSE),"")</f>
        <v>Оюундэлгэр /нярав/</v>
      </c>
      <c r="N1369" s="166"/>
      <c r="O1369" s="81" t="str">
        <f>IFERROR(VLOOKUP(N1369,DATA!$K$4:$L$51,2,FALSE),"")</f>
        <v/>
      </c>
      <c r="P1369" s="81"/>
      <c r="Q1369" s="152">
        <f t="shared" si="142"/>
        <v>0</v>
      </c>
    </row>
    <row r="1370" spans="2:17">
      <c r="B1370" s="670">
        <f t="shared" si="140"/>
        <v>1365</v>
      </c>
      <c r="C1370" s="433">
        <v>42916</v>
      </c>
      <c r="D1370" s="377" t="s">
        <v>1783</v>
      </c>
      <c r="E1370" s="572">
        <v>700800</v>
      </c>
      <c r="F1370" s="672" t="str">
        <f>IFERROR(VLOOKUP(E1370,STAT1!$C$4:$D$8000,2,FALSE),"")</f>
        <v>Дулаан</v>
      </c>
      <c r="G1370" s="377"/>
      <c r="H1370" s="377">
        <v>2697817.6</v>
      </c>
      <c r="I1370" s="596">
        <f t="shared" si="141"/>
        <v>0</v>
      </c>
      <c r="J1370" s="81"/>
      <c r="K1370" s="81"/>
      <c r="L1370" s="597">
        <v>1006</v>
      </c>
      <c r="M1370" s="81" t="str">
        <f>+IFERROR(VLOOKUP(L1370,DATA!$G$4:$H$2000,2,FALSE),"")</f>
        <v>Оюундэлгэр /нярав/</v>
      </c>
      <c r="N1370" s="166"/>
      <c r="O1370" s="81" t="str">
        <f>IFERROR(VLOOKUP(N1370,DATA!$K$4:$L$51,2,FALSE),"")</f>
        <v/>
      </c>
      <c r="P1370" s="81"/>
      <c r="Q1370" s="152">
        <f t="shared" si="142"/>
        <v>0</v>
      </c>
    </row>
    <row r="1371" spans="2:17">
      <c r="B1371" s="670">
        <f t="shared" si="140"/>
        <v>1366</v>
      </c>
      <c r="C1371" s="433">
        <v>42916</v>
      </c>
      <c r="D1371" s="377" t="s">
        <v>1783</v>
      </c>
      <c r="E1371" s="572">
        <v>700100</v>
      </c>
      <c r="F1371" s="672" t="str">
        <f>IFERROR(VLOOKUP(E1371,STAT1!$C$4:$D$8000,2,FALSE),"")</f>
        <v>Цалин хөлс, шагнал</v>
      </c>
      <c r="G1371" s="377"/>
      <c r="H1371" s="377">
        <v>16285310</v>
      </c>
      <c r="I1371" s="596">
        <f t="shared" si="141"/>
        <v>0</v>
      </c>
      <c r="J1371" s="81"/>
      <c r="K1371" s="81"/>
      <c r="L1371" s="597">
        <v>1006</v>
      </c>
      <c r="M1371" s="81" t="str">
        <f>+IFERROR(VLOOKUP(L1371,DATA!$G$4:$H$2000,2,FALSE),"")</f>
        <v>Оюундэлгэр /нярав/</v>
      </c>
      <c r="N1371" s="166"/>
      <c r="O1371" s="81" t="str">
        <f>IFERROR(VLOOKUP(N1371,DATA!$K$4:$L$51,2,FALSE),"")</f>
        <v/>
      </c>
      <c r="P1371" s="81"/>
      <c r="Q1371" s="152">
        <f t="shared" si="142"/>
        <v>0</v>
      </c>
    </row>
    <row r="1372" spans="2:17">
      <c r="B1372" s="670">
        <f t="shared" si="140"/>
        <v>1367</v>
      </c>
      <c r="C1372" s="433">
        <v>42916</v>
      </c>
      <c r="D1372" s="377" t="s">
        <v>1783</v>
      </c>
      <c r="E1372" s="572">
        <v>700200</v>
      </c>
      <c r="F1372" s="672" t="str">
        <f>IFERROR(VLOOKUP(E1372,STAT1!$C$4:$D$8000,2,FALSE),"")</f>
        <v>НДШимтгэл</v>
      </c>
      <c r="G1372" s="377"/>
      <c r="H1372" s="377">
        <v>1524519.8152148151</v>
      </c>
      <c r="I1372" s="596">
        <f t="shared" si="141"/>
        <v>0</v>
      </c>
      <c r="J1372" s="81"/>
      <c r="K1372" s="81"/>
      <c r="L1372" s="597">
        <v>1006</v>
      </c>
      <c r="M1372" s="81" t="str">
        <f>+IFERROR(VLOOKUP(L1372,DATA!$G$4:$H$2000,2,FALSE),"")</f>
        <v>Оюундэлгэр /нярав/</v>
      </c>
      <c r="N1372" s="166"/>
      <c r="O1372" s="81" t="str">
        <f>IFERROR(VLOOKUP(N1372,DATA!$K$4:$L$51,2,FALSE),"")</f>
        <v/>
      </c>
      <c r="P1372" s="81"/>
      <c r="Q1372" s="152">
        <f t="shared" si="142"/>
        <v>0</v>
      </c>
    </row>
    <row r="1373" spans="2:17">
      <c r="B1373" s="670">
        <f t="shared" si="140"/>
        <v>1368</v>
      </c>
      <c r="C1373" s="433">
        <v>42916</v>
      </c>
      <c r="D1373" s="377" t="s">
        <v>1783</v>
      </c>
      <c r="E1373" s="572">
        <v>701600</v>
      </c>
      <c r="F1373" s="672" t="str">
        <f>IFERROR(VLOOKUP(E1373,STAT1!$C$4:$D$8000,2,FALSE),"")</f>
        <v>Элэгдэл, хорогдлын зардал</v>
      </c>
      <c r="G1373" s="377"/>
      <c r="H1373" s="377">
        <v>19964720.91</v>
      </c>
      <c r="I1373" s="596">
        <f t="shared" si="141"/>
        <v>0</v>
      </c>
      <c r="J1373" s="81"/>
      <c r="K1373" s="81"/>
      <c r="L1373" s="597">
        <v>1006</v>
      </c>
      <c r="M1373" s="81" t="str">
        <f>+IFERROR(VLOOKUP(L1373,DATA!$G$4:$H$2000,2,FALSE),"")</f>
        <v>Оюундэлгэр /нярав/</v>
      </c>
      <c r="N1373" s="166"/>
      <c r="O1373" s="81" t="str">
        <f>IFERROR(VLOOKUP(N1373,DATA!$K$4:$L$51,2,FALSE),"")</f>
        <v/>
      </c>
      <c r="P1373" s="81"/>
      <c r="Q1373" s="152">
        <f t="shared" si="142"/>
        <v>0</v>
      </c>
    </row>
    <row r="1374" spans="2:17">
      <c r="B1374" s="670">
        <f t="shared" si="140"/>
        <v>1369</v>
      </c>
      <c r="C1374" s="433">
        <v>42916</v>
      </c>
      <c r="D1374" s="680" t="s">
        <v>1593</v>
      </c>
      <c r="E1374" s="572">
        <v>310800</v>
      </c>
      <c r="F1374" s="672" t="str">
        <f>IFERROR(VLOOKUP(E1374,STAT1!$C$4:$D$8000,2,FALSE),"")</f>
        <v>НД-ын байгууллагад өгөх өглөг</v>
      </c>
      <c r="G1374" s="377"/>
      <c r="H1374" s="377">
        <v>1297573.5004</v>
      </c>
      <c r="I1374" s="596">
        <f t="shared" si="141"/>
        <v>0</v>
      </c>
      <c r="J1374" s="81"/>
      <c r="K1374" s="81"/>
      <c r="L1374" s="597">
        <v>1004</v>
      </c>
      <c r="M1374" s="81" t="str">
        <f>+IFERROR(VLOOKUP(L1374,DATA!$G$4:$H$2000,2,FALSE),"")</f>
        <v xml:space="preserve">Түмэндэлгэр </v>
      </c>
      <c r="N1374" s="166"/>
      <c r="O1374" s="81" t="str">
        <f>IFERROR(VLOOKUP(N1374,DATA!$K$4:$L$51,2,FALSE),"")</f>
        <v/>
      </c>
      <c r="P1374" s="81"/>
      <c r="Q1374" s="152">
        <f t="shared" si="142"/>
        <v>0</v>
      </c>
    </row>
    <row r="1375" spans="2:17">
      <c r="B1375" s="670">
        <f t="shared" si="140"/>
        <v>1370</v>
      </c>
      <c r="C1375" s="433">
        <v>42916</v>
      </c>
      <c r="D1375" s="680" t="s">
        <v>1593</v>
      </c>
      <c r="E1375" s="572">
        <v>700200</v>
      </c>
      <c r="F1375" s="672" t="str">
        <f>IFERROR(VLOOKUP(E1375,STAT1!$C$4:$D$8000,2,FALSE),"")</f>
        <v>НДШимтгэл</v>
      </c>
      <c r="G1375" s="377">
        <v>1297573.5004</v>
      </c>
      <c r="H1375" s="377"/>
      <c r="I1375" s="596">
        <f t="shared" si="141"/>
        <v>0</v>
      </c>
      <c r="J1375" s="81"/>
      <c r="K1375" s="81"/>
      <c r="L1375" s="597">
        <v>1004</v>
      </c>
      <c r="M1375" s="81" t="str">
        <f>+IFERROR(VLOOKUP(L1375,DATA!$G$4:$H$2000,2,FALSE),"")</f>
        <v xml:space="preserve">Түмэндэлгэр </v>
      </c>
      <c r="N1375" s="166"/>
      <c r="O1375" s="81" t="str">
        <f>IFERROR(VLOOKUP(N1375,DATA!$K$4:$L$51,2,FALSE),"")</f>
        <v/>
      </c>
      <c r="P1375" s="81"/>
      <c r="Q1375" s="152">
        <f t="shared" si="142"/>
        <v>0</v>
      </c>
    </row>
    <row r="1376" spans="2:17">
      <c r="B1376" s="670">
        <f t="shared" si="140"/>
        <v>1371</v>
      </c>
      <c r="C1376" s="433">
        <v>42916</v>
      </c>
      <c r="D1376" s="680" t="s">
        <v>1594</v>
      </c>
      <c r="E1376" s="572">
        <v>310800</v>
      </c>
      <c r="F1376" s="672" t="str">
        <f>IFERROR(VLOOKUP(E1376,STAT1!$C$4:$D$8000,2,FALSE),"")</f>
        <v>НД-ын байгууллагад өгөх өглөг</v>
      </c>
      <c r="G1376" s="377"/>
      <c r="H1376" s="377">
        <v>1080380.8336666664</v>
      </c>
      <c r="I1376" s="596">
        <f t="shared" si="141"/>
        <v>0</v>
      </c>
      <c r="J1376" s="81"/>
      <c r="K1376" s="81"/>
      <c r="L1376" s="597">
        <v>1004</v>
      </c>
      <c r="M1376" s="81" t="str">
        <f>+IFERROR(VLOOKUP(L1376,DATA!$G$4:$H$2000,2,FALSE),"")</f>
        <v xml:space="preserve">Түмэндэлгэр </v>
      </c>
      <c r="N1376" s="166"/>
      <c r="O1376" s="81" t="str">
        <f>IFERROR(VLOOKUP(N1376,DATA!$K$4:$L$51,2,FALSE),"")</f>
        <v/>
      </c>
      <c r="P1376" s="81"/>
      <c r="Q1376" s="152">
        <f t="shared" si="142"/>
        <v>0</v>
      </c>
    </row>
    <row r="1377" spans="2:17">
      <c r="B1377" s="670">
        <f t="shared" si="140"/>
        <v>1372</v>
      </c>
      <c r="C1377" s="433">
        <v>42916</v>
      </c>
      <c r="D1377" s="680" t="s">
        <v>1594</v>
      </c>
      <c r="E1377" s="572">
        <v>700100</v>
      </c>
      <c r="F1377" s="672" t="str">
        <f>IFERROR(VLOOKUP(E1377,STAT1!$C$4:$D$8000,2,FALSE),"")</f>
        <v>Цалин хөлс, шагнал</v>
      </c>
      <c r="G1377" s="377">
        <v>1080380.8336666664</v>
      </c>
      <c r="H1377" s="377"/>
      <c r="I1377" s="596">
        <f t="shared" si="141"/>
        <v>0</v>
      </c>
      <c r="J1377" s="81"/>
      <c r="K1377" s="81"/>
      <c r="L1377" s="597">
        <v>1004</v>
      </c>
      <c r="M1377" s="81" t="str">
        <f>+IFERROR(VLOOKUP(L1377,DATA!$G$4:$H$2000,2,FALSE),"")</f>
        <v xml:space="preserve">Түмэндэлгэр </v>
      </c>
      <c r="N1377" s="166"/>
      <c r="O1377" s="81" t="str">
        <f>IFERROR(VLOOKUP(N1377,DATA!$K$4:$L$51,2,FALSE),"")</f>
        <v/>
      </c>
      <c r="P1377" s="81"/>
      <c r="Q1377" s="152">
        <f t="shared" si="142"/>
        <v>0</v>
      </c>
    </row>
    <row r="1378" spans="2:17">
      <c r="B1378" s="670">
        <f t="shared" si="140"/>
        <v>1373</v>
      </c>
      <c r="C1378" s="433">
        <v>42916</v>
      </c>
      <c r="D1378" s="680" t="s">
        <v>1595</v>
      </c>
      <c r="E1378" s="572">
        <v>310700</v>
      </c>
      <c r="F1378" s="672" t="str">
        <f>IFERROR(VLOOKUP(E1378,STAT1!$C$4:$D$8000,2,FALSE),"")</f>
        <v>ХАОАТ өглөг</v>
      </c>
      <c r="G1378" s="377"/>
      <c r="H1378" s="377">
        <v>844925.25029999996</v>
      </c>
      <c r="I1378" s="596">
        <f t="shared" si="141"/>
        <v>0</v>
      </c>
      <c r="J1378" s="81"/>
      <c r="K1378" s="81"/>
      <c r="L1378" s="597">
        <v>1004</v>
      </c>
      <c r="M1378" s="81" t="str">
        <f>+IFERROR(VLOOKUP(L1378,DATA!$G$4:$H$2000,2,FALSE),"")</f>
        <v xml:space="preserve">Түмэндэлгэр </v>
      </c>
      <c r="N1378" s="166"/>
      <c r="O1378" s="81" t="str">
        <f>IFERROR(VLOOKUP(N1378,DATA!$K$4:$L$51,2,FALSE),"")</f>
        <v/>
      </c>
      <c r="P1378" s="81"/>
      <c r="Q1378" s="152">
        <f t="shared" si="142"/>
        <v>0</v>
      </c>
    </row>
    <row r="1379" spans="2:17">
      <c r="B1379" s="670">
        <f t="shared" si="140"/>
        <v>1374</v>
      </c>
      <c r="C1379" s="433">
        <v>42916</v>
      </c>
      <c r="D1379" s="680" t="s">
        <v>1595</v>
      </c>
      <c r="E1379" s="572">
        <v>700100</v>
      </c>
      <c r="F1379" s="672" t="str">
        <f>IFERROR(VLOOKUP(E1379,STAT1!$C$4:$D$8000,2,FALSE),"")</f>
        <v>Цалин хөлс, шагнал</v>
      </c>
      <c r="G1379" s="377">
        <v>844925.25029999996</v>
      </c>
      <c r="H1379" s="377"/>
      <c r="I1379" s="596">
        <f t="shared" si="141"/>
        <v>0</v>
      </c>
      <c r="J1379" s="81"/>
      <c r="K1379" s="81"/>
      <c r="L1379" s="597">
        <v>1004</v>
      </c>
      <c r="M1379" s="81" t="str">
        <f>+IFERROR(VLOOKUP(L1379,DATA!$G$4:$H$2000,2,FALSE),"")</f>
        <v xml:space="preserve">Түмэндэлгэр </v>
      </c>
      <c r="N1379" s="166"/>
      <c r="O1379" s="81" t="str">
        <f>IFERROR(VLOOKUP(N1379,DATA!$K$4:$L$51,2,FALSE),"")</f>
        <v/>
      </c>
      <c r="P1379" s="81"/>
      <c r="Q1379" s="152">
        <f t="shared" si="142"/>
        <v>0</v>
      </c>
    </row>
    <row r="1380" spans="2:17">
      <c r="B1380" s="670">
        <f t="shared" si="140"/>
        <v>1375</v>
      </c>
      <c r="C1380" s="433">
        <v>42916</v>
      </c>
      <c r="D1380" s="680" t="s">
        <v>1596</v>
      </c>
      <c r="E1380" s="572">
        <v>311000</v>
      </c>
      <c r="F1380" s="672" t="str">
        <f>IFERROR(VLOOKUP(E1380,STAT1!$C$4:$D$8000,2,FALSE),"")</f>
        <v>Цалингийн өглөг</v>
      </c>
      <c r="G1380" s="377"/>
      <c r="H1380" s="377">
        <v>8934327.2526999991</v>
      </c>
      <c r="I1380" s="596">
        <f t="shared" si="141"/>
        <v>0</v>
      </c>
      <c r="J1380" s="81"/>
      <c r="K1380" s="81"/>
      <c r="L1380" s="597">
        <v>1004</v>
      </c>
      <c r="M1380" s="81" t="str">
        <f>+IFERROR(VLOOKUP(L1380,DATA!$G$4:$H$2000,2,FALSE),"")</f>
        <v xml:space="preserve">Түмэндэлгэр </v>
      </c>
      <c r="N1380" s="166"/>
      <c r="O1380" s="81" t="str">
        <f>IFERROR(VLOOKUP(N1380,DATA!$K$4:$L$51,2,FALSE),"")</f>
        <v/>
      </c>
      <c r="P1380" s="81"/>
      <c r="Q1380" s="152">
        <f t="shared" si="142"/>
        <v>0</v>
      </c>
    </row>
    <row r="1381" spans="2:17">
      <c r="B1381" s="670">
        <f t="shared" si="140"/>
        <v>1376</v>
      </c>
      <c r="C1381" s="433">
        <v>42916</v>
      </c>
      <c r="D1381" s="680" t="s">
        <v>1596</v>
      </c>
      <c r="E1381" s="572">
        <v>700100</v>
      </c>
      <c r="F1381" s="672" t="str">
        <f>IFERROR(VLOOKUP(E1381,STAT1!$C$4:$D$8000,2,FALSE),"")</f>
        <v>Цалин хөлс, шагнал</v>
      </c>
      <c r="G1381" s="377">
        <v>8934327.2526999991</v>
      </c>
      <c r="H1381" s="377"/>
      <c r="I1381" s="596">
        <f t="shared" si="141"/>
        <v>0</v>
      </c>
      <c r="J1381" s="81"/>
      <c r="K1381" s="81"/>
      <c r="L1381" s="597">
        <v>1004</v>
      </c>
      <c r="M1381" s="81" t="str">
        <f>+IFERROR(VLOOKUP(L1381,DATA!$G$4:$H$2000,2,FALSE),"")</f>
        <v xml:space="preserve">Түмэндэлгэр </v>
      </c>
      <c r="N1381" s="166"/>
      <c r="O1381" s="81" t="str">
        <f>IFERROR(VLOOKUP(N1381,DATA!$K$4:$L$51,2,FALSE),"")</f>
        <v/>
      </c>
      <c r="P1381" s="81"/>
      <c r="Q1381" s="152">
        <f t="shared" si="142"/>
        <v>0</v>
      </c>
    </row>
    <row r="1382" spans="2:17">
      <c r="B1382" s="670">
        <f t="shared" si="140"/>
        <v>1377</v>
      </c>
      <c r="C1382" s="433">
        <v>42917</v>
      </c>
      <c r="D1382" s="377" t="s">
        <v>1741</v>
      </c>
      <c r="E1382" s="572">
        <v>320100</v>
      </c>
      <c r="F1382" s="672" t="str">
        <f>IFERROR(VLOOKUP(E1382,STAT1!$C$4:$D$1000,2,FALSE),"")</f>
        <v>Урьдчилж орсон орлого MNT</v>
      </c>
      <c r="G1382" s="377"/>
      <c r="H1382" s="377">
        <v>1465000</v>
      </c>
      <c r="I1382" s="596">
        <f t="shared" si="141"/>
        <v>0</v>
      </c>
      <c r="J1382" s="81">
        <f t="shared" ref="J1382:J1413" si="143">+IF(E1382=110102,I1382/K1382,0)</f>
        <v>0</v>
      </c>
      <c r="K1382" s="81"/>
      <c r="L1382" s="597">
        <v>4002</v>
      </c>
      <c r="M1382" s="81" t="str">
        <f>+IFERROR(VLOOKUP(L1382,DATA!$G$4:$H$2000,2,FALSE),"")</f>
        <v xml:space="preserve">Хувь хүн </v>
      </c>
      <c r="N1382" s="435"/>
      <c r="O1382" s="81" t="str">
        <f>IFERROR(VLOOKUP(N1382,DATA!$K$4:$L$51,2,FALSE),"")</f>
        <v/>
      </c>
      <c r="P1382" s="81"/>
      <c r="Q1382" s="152">
        <f t="shared" si="142"/>
        <v>0</v>
      </c>
    </row>
    <row r="1383" spans="2:17">
      <c r="B1383" s="670">
        <f t="shared" si="140"/>
        <v>1378</v>
      </c>
      <c r="C1383" s="433">
        <v>42917</v>
      </c>
      <c r="D1383" s="377" t="s">
        <v>1741</v>
      </c>
      <c r="E1383" s="572">
        <v>100100</v>
      </c>
      <c r="F1383" s="672" t="str">
        <f>IFERROR(VLOOKUP(E1383,STAT1!$C$4:$D$1000,2,FALSE),"")</f>
        <v>Касс мөнгө MNT</v>
      </c>
      <c r="G1383" s="377">
        <v>1465000</v>
      </c>
      <c r="H1383" s="377">
        <v>0</v>
      </c>
      <c r="I1383" s="596">
        <f t="shared" si="141"/>
        <v>1465000</v>
      </c>
      <c r="J1383" s="81">
        <f t="shared" si="143"/>
        <v>0</v>
      </c>
      <c r="K1383" s="81"/>
      <c r="L1383" s="597">
        <v>4002</v>
      </c>
      <c r="M1383" s="81" t="str">
        <f>+IFERROR(VLOOKUP(L1383,DATA!$G$4:$H$2000,2,FALSE),"")</f>
        <v xml:space="preserve">Хувь хүн </v>
      </c>
      <c r="N1383" s="435">
        <v>41</v>
      </c>
      <c r="O1383" s="81" t="str">
        <f>IFERROR(VLOOKUP(N1383,DATA!$K$4:$L$51,2,FALSE),"")</f>
        <v>Бараа борлуулсан, үйлчилгээ үзүүлсэний орлого</v>
      </c>
      <c r="P1383" s="81"/>
      <c r="Q1383" s="152">
        <f t="shared" si="142"/>
        <v>1</v>
      </c>
    </row>
    <row r="1384" spans="2:17">
      <c r="B1384" s="670">
        <f t="shared" si="140"/>
        <v>1379</v>
      </c>
      <c r="C1384" s="433">
        <v>42917</v>
      </c>
      <c r="D1384" s="377" t="s">
        <v>1741</v>
      </c>
      <c r="E1384" s="572">
        <v>320100</v>
      </c>
      <c r="F1384" s="672" t="str">
        <f>IFERROR(VLOOKUP(E1384,STAT1!$C$4:$D$1000,2,FALSE),"")</f>
        <v>Урьдчилж орсон орлого MNT</v>
      </c>
      <c r="G1384" s="377"/>
      <c r="H1384" s="377">
        <v>2350000</v>
      </c>
      <c r="I1384" s="596">
        <f t="shared" si="141"/>
        <v>0</v>
      </c>
      <c r="J1384" s="81">
        <f t="shared" si="143"/>
        <v>0</v>
      </c>
      <c r="K1384" s="81"/>
      <c r="L1384" s="597">
        <v>4002</v>
      </c>
      <c r="M1384" s="81" t="str">
        <f>+IFERROR(VLOOKUP(L1384,DATA!$G$4:$H$2000,2,FALSE),"")</f>
        <v xml:space="preserve">Хувь хүн </v>
      </c>
      <c r="N1384" s="435"/>
      <c r="O1384" s="81" t="str">
        <f>IFERROR(VLOOKUP(N1384,DATA!$K$4:$L$51,2,FALSE),"")</f>
        <v/>
      </c>
      <c r="P1384" s="81"/>
      <c r="Q1384" s="152">
        <f t="shared" si="142"/>
        <v>0</v>
      </c>
    </row>
    <row r="1385" spans="2:17">
      <c r="B1385" s="670">
        <f t="shared" si="140"/>
        <v>1380</v>
      </c>
      <c r="C1385" s="433">
        <v>42917</v>
      </c>
      <c r="D1385" s="377" t="s">
        <v>1741</v>
      </c>
      <c r="E1385" s="572">
        <v>100100</v>
      </c>
      <c r="F1385" s="672" t="str">
        <f>IFERROR(VLOOKUP(E1385,STAT1!$C$4:$D$1000,2,FALSE),"")</f>
        <v>Касс мөнгө MNT</v>
      </c>
      <c r="G1385" s="377">
        <v>2350000</v>
      </c>
      <c r="H1385" s="377">
        <v>0</v>
      </c>
      <c r="I1385" s="596">
        <f t="shared" si="141"/>
        <v>2350000</v>
      </c>
      <c r="J1385" s="81">
        <f t="shared" si="143"/>
        <v>0</v>
      </c>
      <c r="K1385" s="81"/>
      <c r="L1385" s="597">
        <v>4002</v>
      </c>
      <c r="M1385" s="81" t="str">
        <f>+IFERROR(VLOOKUP(L1385,DATA!$G$4:$H$2000,2,FALSE),"")</f>
        <v xml:space="preserve">Хувь хүн </v>
      </c>
      <c r="N1385" s="435">
        <v>41</v>
      </c>
      <c r="O1385" s="81" t="str">
        <f>IFERROR(VLOOKUP(N1385,DATA!$K$4:$L$51,2,FALSE),"")</f>
        <v>Бараа борлуулсан, үйлчилгээ үзүүлсэний орлого</v>
      </c>
      <c r="P1385" s="81"/>
      <c r="Q1385" s="152">
        <f t="shared" si="142"/>
        <v>1</v>
      </c>
    </row>
    <row r="1386" spans="2:17">
      <c r="B1386" s="670">
        <f t="shared" si="140"/>
        <v>1381</v>
      </c>
      <c r="C1386" s="433">
        <v>42917</v>
      </c>
      <c r="D1386" s="377" t="s">
        <v>1652</v>
      </c>
      <c r="E1386" s="572">
        <v>120100</v>
      </c>
      <c r="F1386" s="672" t="str">
        <f>IFERROR(VLOOKUP(E1386,STAT1!$C$4:$D$8000,2,FALSE),"")</f>
        <v xml:space="preserve">Дансны авлага MNT </v>
      </c>
      <c r="G1386" s="377"/>
      <c r="H1386" s="377">
        <v>4850339.999175</v>
      </c>
      <c r="I1386" s="596">
        <f t="shared" si="141"/>
        <v>0</v>
      </c>
      <c r="J1386" s="81">
        <f t="shared" si="143"/>
        <v>0</v>
      </c>
      <c r="K1386" s="81"/>
      <c r="L1386" s="597">
        <v>3017</v>
      </c>
      <c r="M1386" s="81" t="str">
        <f>+IFERROR(VLOOKUP(L1386,DATA!$G$4:$H$2000,2,FALSE),"")</f>
        <v xml:space="preserve">ВОС ХХК </v>
      </c>
      <c r="N1386" s="166"/>
      <c r="O1386" s="81" t="str">
        <f>IFERROR(VLOOKUP(N1386,DATA!$K$4:$L$51,2,FALSE),"")</f>
        <v/>
      </c>
      <c r="P1386" s="81"/>
      <c r="Q1386" s="152">
        <f t="shared" si="142"/>
        <v>0</v>
      </c>
    </row>
    <row r="1387" spans="2:17">
      <c r="B1387" s="670">
        <f t="shared" si="140"/>
        <v>1382</v>
      </c>
      <c r="C1387" s="433">
        <v>42917</v>
      </c>
      <c r="D1387" s="377" t="s">
        <v>1728</v>
      </c>
      <c r="E1387" s="572">
        <v>100100</v>
      </c>
      <c r="F1387" s="672" t="str">
        <f>IFERROR(VLOOKUP(E1387,STAT1!$C$4:$D$8000,2,FALSE),"")</f>
        <v>Касс мөнгө MNT</v>
      </c>
      <c r="G1387" s="377"/>
      <c r="H1387" s="377">
        <v>2758140</v>
      </c>
      <c r="I1387" s="596">
        <f t="shared" si="141"/>
        <v>-2758140</v>
      </c>
      <c r="J1387" s="81">
        <f t="shared" si="143"/>
        <v>0</v>
      </c>
      <c r="K1387" s="81"/>
      <c r="L1387" s="597">
        <v>3017</v>
      </c>
      <c r="M1387" s="81" t="str">
        <f>+IFERROR(VLOOKUP(L1387,DATA!$G$4:$H$2000,2,FALSE),"")</f>
        <v xml:space="preserve">ВОС ХХК </v>
      </c>
      <c r="N1387" s="166">
        <v>53</v>
      </c>
      <c r="O1387" s="81" t="str">
        <f>IFERROR(VLOOKUP(N1387,DATA!$K$4:$L$51,2,FALSE),"")</f>
        <v>Бараа материал худалдан авахад төлсөн</v>
      </c>
      <c r="P1387" s="81"/>
      <c r="Q1387" s="152">
        <f t="shared" si="142"/>
        <v>1</v>
      </c>
    </row>
    <row r="1388" spans="2:17">
      <c r="B1388" s="670">
        <f t="shared" si="140"/>
        <v>1383</v>
      </c>
      <c r="C1388" s="433">
        <v>42917</v>
      </c>
      <c r="D1388" s="377" t="s">
        <v>1728</v>
      </c>
      <c r="E1388" s="572">
        <v>120100</v>
      </c>
      <c r="F1388" s="672" t="str">
        <f>IFERROR(VLOOKUP(E1388,STAT1!$C$4:$D$8000,2,FALSE),"")</f>
        <v xml:space="preserve">Дансны авлага MNT </v>
      </c>
      <c r="G1388" s="377">
        <v>2758140</v>
      </c>
      <c r="H1388" s="377"/>
      <c r="I1388" s="596">
        <f t="shared" si="141"/>
        <v>0</v>
      </c>
      <c r="J1388" s="81">
        <f t="shared" si="143"/>
        <v>0</v>
      </c>
      <c r="K1388" s="81"/>
      <c r="L1388" s="597">
        <v>3017</v>
      </c>
      <c r="M1388" s="81" t="str">
        <f>+IFERROR(VLOOKUP(L1388,DATA!$G$4:$H$2000,2,FALSE),"")</f>
        <v xml:space="preserve">ВОС ХХК </v>
      </c>
      <c r="N1388" s="166"/>
      <c r="O1388" s="81" t="str">
        <f>IFERROR(VLOOKUP(N1388,DATA!$K$4:$L$51,2,FALSE),"")</f>
        <v/>
      </c>
      <c r="P1388" s="81"/>
      <c r="Q1388" s="152">
        <f t="shared" si="142"/>
        <v>0</v>
      </c>
    </row>
    <row r="1389" spans="2:17">
      <c r="B1389" s="670">
        <f t="shared" si="140"/>
        <v>1384</v>
      </c>
      <c r="C1389" s="601">
        <v>42917</v>
      </c>
      <c r="D1389" s="683" t="s">
        <v>2702</v>
      </c>
      <c r="E1389" s="573">
        <v>150101</v>
      </c>
      <c r="F1389" s="672" t="str">
        <f>IFERROR(VLOOKUP(E1389,STAT1!$C$4:$D$8000,2,FALSE),"")</f>
        <v>Бараа бэлэн бүтээгдэхүүн БОЛОВСРУУЛАХ ЦЕХ /нарс/</v>
      </c>
      <c r="G1389" s="377"/>
      <c r="H1389" s="377">
        <v>9778640.4758540541</v>
      </c>
      <c r="I1389" s="596">
        <f t="shared" si="141"/>
        <v>0</v>
      </c>
      <c r="J1389" s="81">
        <f t="shared" si="143"/>
        <v>0</v>
      </c>
      <c r="K1389" s="81"/>
      <c r="L1389" s="673">
        <v>4002</v>
      </c>
      <c r="M1389" s="81" t="str">
        <f>+IFERROR(VLOOKUP(L1389,DATA!$G$4:$H$2000,2,FALSE),"")</f>
        <v xml:space="preserve">Хувь хүн </v>
      </c>
      <c r="N1389" s="166"/>
      <c r="O1389" s="81" t="str">
        <f>IFERROR(VLOOKUP(N1389,DATA!$K$4:$L$51,2,FALSE),"")</f>
        <v/>
      </c>
      <c r="P1389" s="81"/>
      <c r="Q1389" s="152">
        <f t="shared" si="142"/>
        <v>0</v>
      </c>
    </row>
    <row r="1390" spans="2:17">
      <c r="B1390" s="670">
        <f t="shared" si="140"/>
        <v>1385</v>
      </c>
      <c r="C1390" s="601">
        <v>42917</v>
      </c>
      <c r="D1390" s="683" t="s">
        <v>2702</v>
      </c>
      <c r="E1390" s="572">
        <v>610100</v>
      </c>
      <c r="F1390" s="672" t="str">
        <f>IFERROR(VLOOKUP(E1390,STAT1!$C$4:$D$8000,2,FALSE),"")</f>
        <v>Борлуулсан барааны өртөг</v>
      </c>
      <c r="G1390" s="377">
        <v>9778640.4758540541</v>
      </c>
      <c r="H1390" s="377"/>
      <c r="I1390" s="596">
        <f t="shared" si="141"/>
        <v>0</v>
      </c>
      <c r="J1390" s="81">
        <f t="shared" si="143"/>
        <v>0</v>
      </c>
      <c r="K1390" s="81"/>
      <c r="L1390" s="673">
        <v>4002</v>
      </c>
      <c r="M1390" s="81" t="str">
        <f>+IFERROR(VLOOKUP(L1390,DATA!$G$4:$H$2000,2,FALSE),"")</f>
        <v xml:space="preserve">Хувь хүн </v>
      </c>
      <c r="N1390" s="166"/>
      <c r="O1390" s="81" t="str">
        <f>IFERROR(VLOOKUP(N1390,DATA!$K$4:$L$51,2,FALSE),"")</f>
        <v/>
      </c>
      <c r="P1390" s="81"/>
      <c r="Q1390" s="152">
        <f t="shared" si="142"/>
        <v>0</v>
      </c>
    </row>
    <row r="1391" spans="2:17">
      <c r="B1391" s="670">
        <f t="shared" si="140"/>
        <v>1386</v>
      </c>
      <c r="C1391" s="601">
        <v>42917</v>
      </c>
      <c r="D1391" s="683" t="s">
        <v>1654</v>
      </c>
      <c r="E1391" s="572">
        <v>704600</v>
      </c>
      <c r="F1391" s="672" t="str">
        <f>IFERROR(VLOOKUP(E1391,STAT1!$C$4:$D$8000,2,FALSE),"")</f>
        <v>Хөдөлмөр хамгаалалын зардал</v>
      </c>
      <c r="G1391" s="377">
        <v>468181.81817999994</v>
      </c>
      <c r="H1391" s="377"/>
      <c r="I1391" s="596">
        <f t="shared" si="141"/>
        <v>0</v>
      </c>
      <c r="J1391" s="81">
        <f t="shared" si="143"/>
        <v>0</v>
      </c>
      <c r="K1391" s="81"/>
      <c r="L1391" s="673">
        <v>1007</v>
      </c>
      <c r="M1391" s="81" t="str">
        <f>+IFERROR(VLOOKUP(L1391,DATA!$G$4:$H$2000,2,FALSE),"")</f>
        <v xml:space="preserve">Нэргүй </v>
      </c>
      <c r="N1391" s="166"/>
      <c r="O1391" s="81" t="str">
        <f>IFERROR(VLOOKUP(N1391,DATA!$K$4:$L$51,2,FALSE),"")</f>
        <v/>
      </c>
      <c r="P1391" s="81"/>
      <c r="Q1391" s="152">
        <f t="shared" si="142"/>
        <v>0</v>
      </c>
    </row>
    <row r="1392" spans="2:17">
      <c r="B1392" s="670">
        <f t="shared" si="140"/>
        <v>1387</v>
      </c>
      <c r="C1392" s="601">
        <v>42917</v>
      </c>
      <c r="D1392" s="683" t="s">
        <v>587</v>
      </c>
      <c r="E1392" s="572">
        <v>160100</v>
      </c>
      <c r="F1392" s="672" t="str">
        <f>IFERROR(VLOOKUP(E1392,STAT1!$C$4:$D$8000,2,FALSE),"")</f>
        <v xml:space="preserve">Барилгын материал </v>
      </c>
      <c r="G1392" s="377"/>
      <c r="H1392" s="377">
        <v>468181.81817999994</v>
      </c>
      <c r="I1392" s="596">
        <f t="shared" si="141"/>
        <v>0</v>
      </c>
      <c r="J1392" s="81">
        <f t="shared" si="143"/>
        <v>0</v>
      </c>
      <c r="K1392" s="81"/>
      <c r="L1392" s="673">
        <v>1007</v>
      </c>
      <c r="M1392" s="81" t="str">
        <f>+IFERROR(VLOOKUP(L1392,DATA!$G$4:$H$2000,2,FALSE),"")</f>
        <v xml:space="preserve">Нэргүй </v>
      </c>
      <c r="N1392" s="166"/>
      <c r="O1392" s="81" t="str">
        <f>IFERROR(VLOOKUP(N1392,DATA!$K$4:$L$51,2,FALSE),"")</f>
        <v/>
      </c>
      <c r="P1392" s="81"/>
      <c r="Q1392" s="152">
        <f t="shared" si="142"/>
        <v>0</v>
      </c>
    </row>
    <row r="1393" spans="2:17">
      <c r="B1393" s="670">
        <f t="shared" si="140"/>
        <v>1388</v>
      </c>
      <c r="C1393" s="433">
        <v>42917</v>
      </c>
      <c r="D1393" s="377" t="s">
        <v>1741</v>
      </c>
      <c r="E1393" s="572">
        <v>100100</v>
      </c>
      <c r="F1393" s="672" t="str">
        <f>IFERROR(VLOOKUP(E1393,STAT1!$C$4:$D$8000,2,FALSE),"")</f>
        <v>Касс мөнгө MNT</v>
      </c>
      <c r="G1393" s="377">
        <v>110000</v>
      </c>
      <c r="H1393" s="377"/>
      <c r="I1393" s="596">
        <f t="shared" si="141"/>
        <v>110000</v>
      </c>
      <c r="J1393" s="81">
        <f t="shared" si="143"/>
        <v>0</v>
      </c>
      <c r="K1393" s="81"/>
      <c r="L1393" s="597">
        <v>3007</v>
      </c>
      <c r="M1393" s="81" t="str">
        <f>+IFERROR(VLOOKUP(L1393,DATA!$G$4:$H$2000,2,FALSE),"")</f>
        <v xml:space="preserve">АЯНЧИН АУТФИТТЕРС ХХК </v>
      </c>
      <c r="N1393" s="166">
        <v>41</v>
      </c>
      <c r="O1393" s="81" t="str">
        <f>IFERROR(VLOOKUP(N1393,DATA!$K$4:$L$51,2,FALSE),"")</f>
        <v>Бараа борлуулсан, үйлчилгээ үзүүлсэний орлого</v>
      </c>
      <c r="P1393" s="81"/>
      <c r="Q1393" s="152">
        <f t="shared" si="142"/>
        <v>1</v>
      </c>
    </row>
    <row r="1394" spans="2:17">
      <c r="B1394" s="670">
        <f t="shared" si="140"/>
        <v>1389</v>
      </c>
      <c r="C1394" s="433">
        <v>42917</v>
      </c>
      <c r="D1394" s="377" t="s">
        <v>1741</v>
      </c>
      <c r="E1394" s="572">
        <v>320100</v>
      </c>
      <c r="F1394" s="672" t="str">
        <f>IFERROR(VLOOKUP(E1394,STAT1!$C$4:$D$8000,2,FALSE),"")</f>
        <v>Урьдчилж орсон орлого MNT</v>
      </c>
      <c r="G1394" s="377"/>
      <c r="H1394" s="377">
        <v>110000</v>
      </c>
      <c r="I1394" s="596">
        <f t="shared" si="141"/>
        <v>0</v>
      </c>
      <c r="J1394" s="81">
        <f t="shared" si="143"/>
        <v>0</v>
      </c>
      <c r="K1394" s="81"/>
      <c r="L1394" s="597">
        <v>3007</v>
      </c>
      <c r="M1394" s="81" t="str">
        <f>+IFERROR(VLOOKUP(L1394,DATA!$G$4:$H$2000,2,FALSE),"")</f>
        <v xml:space="preserve">АЯНЧИН АУТФИТТЕРС ХХК </v>
      </c>
      <c r="N1394" s="166"/>
      <c r="O1394" s="81" t="str">
        <f>IFERROR(VLOOKUP(N1394,DATA!$K$4:$L$51,2,FALSE),"")</f>
        <v/>
      </c>
      <c r="P1394" s="81"/>
      <c r="Q1394" s="152">
        <f t="shared" si="142"/>
        <v>0</v>
      </c>
    </row>
    <row r="1395" spans="2:17">
      <c r="B1395" s="670">
        <f t="shared" si="140"/>
        <v>1390</v>
      </c>
      <c r="C1395" s="433">
        <v>42919</v>
      </c>
      <c r="D1395" s="377" t="s">
        <v>1728</v>
      </c>
      <c r="E1395" s="572">
        <v>100100</v>
      </c>
      <c r="F1395" s="672" t="str">
        <f>IFERROR(VLOOKUP(E1395,STAT1!$C$4:$D$1000,2,FALSE),"")</f>
        <v>Касс мөнгө MNT</v>
      </c>
      <c r="G1395" s="377"/>
      <c r="H1395" s="377">
        <v>2092200</v>
      </c>
      <c r="I1395" s="596">
        <f t="shared" si="141"/>
        <v>-2092200</v>
      </c>
      <c r="J1395" s="81">
        <f t="shared" si="143"/>
        <v>0</v>
      </c>
      <c r="K1395" s="81"/>
      <c r="L1395" s="597">
        <v>3017</v>
      </c>
      <c r="M1395" s="81" t="str">
        <f>+IFERROR(VLOOKUP(L1395,DATA!$G$4:$H$2000,2,FALSE),"")</f>
        <v xml:space="preserve">ВОС ХХК </v>
      </c>
      <c r="N1395" s="435">
        <v>53</v>
      </c>
      <c r="O1395" s="81" t="str">
        <f>IFERROR(VLOOKUP(N1395,DATA!$K$4:$L$51,2,FALSE),"")</f>
        <v>Бараа материал худалдан авахад төлсөн</v>
      </c>
      <c r="P1395" s="81"/>
      <c r="Q1395" s="152">
        <f t="shared" si="142"/>
        <v>1</v>
      </c>
    </row>
    <row r="1396" spans="2:17">
      <c r="B1396" s="670">
        <f t="shared" si="140"/>
        <v>1391</v>
      </c>
      <c r="C1396" s="433">
        <v>42919</v>
      </c>
      <c r="D1396" s="377" t="s">
        <v>1728</v>
      </c>
      <c r="E1396" s="572">
        <v>120100</v>
      </c>
      <c r="F1396" s="672" t="str">
        <f>IFERROR(VLOOKUP(E1396,STAT1!$C$4:$D$1000,2,FALSE),"")</f>
        <v xml:space="preserve">Дансны авлага MNT </v>
      </c>
      <c r="G1396" s="377">
        <v>2092200</v>
      </c>
      <c r="H1396" s="377">
        <v>0</v>
      </c>
      <c r="I1396" s="596">
        <f t="shared" si="141"/>
        <v>0</v>
      </c>
      <c r="J1396" s="81">
        <f t="shared" si="143"/>
        <v>0</v>
      </c>
      <c r="K1396" s="81"/>
      <c r="L1396" s="597">
        <v>3017</v>
      </c>
      <c r="M1396" s="81" t="str">
        <f>+IFERROR(VLOOKUP(L1396,DATA!$G$4:$H$2000,2,FALSE),"")</f>
        <v xml:space="preserve">ВОС ХХК </v>
      </c>
      <c r="N1396" s="435"/>
      <c r="O1396" s="81" t="str">
        <f>IFERROR(VLOOKUP(N1396,DATA!$K$4:$L$51,2,FALSE),"")</f>
        <v/>
      </c>
      <c r="P1396" s="81"/>
      <c r="Q1396" s="152">
        <f t="shared" si="142"/>
        <v>0</v>
      </c>
    </row>
    <row r="1397" spans="2:17">
      <c r="B1397" s="670">
        <f t="shared" si="140"/>
        <v>1392</v>
      </c>
      <c r="C1397" s="433">
        <v>42920</v>
      </c>
      <c r="D1397" s="377" t="s">
        <v>1741</v>
      </c>
      <c r="E1397" s="572">
        <v>320100</v>
      </c>
      <c r="F1397" s="672" t="str">
        <f>IFERROR(VLOOKUP(E1397,STAT1!$C$4:$D$1000,2,FALSE),"")</f>
        <v>Урьдчилж орсон орлого MNT</v>
      </c>
      <c r="G1397" s="377"/>
      <c r="H1397" s="377">
        <v>1563700</v>
      </c>
      <c r="I1397" s="596">
        <f t="shared" si="141"/>
        <v>0</v>
      </c>
      <c r="J1397" s="81">
        <f t="shared" si="143"/>
        <v>0</v>
      </c>
      <c r="K1397" s="81"/>
      <c r="L1397" s="597">
        <v>4002</v>
      </c>
      <c r="M1397" s="81" t="str">
        <f>+IFERROR(VLOOKUP(L1397,DATA!$G$4:$H$2000,2,FALSE),"")</f>
        <v xml:space="preserve">Хувь хүн </v>
      </c>
      <c r="N1397" s="435"/>
      <c r="O1397" s="81" t="str">
        <f>IFERROR(VLOOKUP(N1397,DATA!$K$4:$L$51,2,FALSE),"")</f>
        <v/>
      </c>
      <c r="P1397" s="81"/>
      <c r="Q1397" s="152">
        <f t="shared" si="142"/>
        <v>0</v>
      </c>
    </row>
    <row r="1398" spans="2:17">
      <c r="B1398" s="670">
        <f t="shared" si="140"/>
        <v>1393</v>
      </c>
      <c r="C1398" s="433">
        <v>42920</v>
      </c>
      <c r="D1398" s="377" t="s">
        <v>1741</v>
      </c>
      <c r="E1398" s="572">
        <v>100100</v>
      </c>
      <c r="F1398" s="672" t="str">
        <f>IFERROR(VLOOKUP(E1398,STAT1!$C$4:$D$1000,2,FALSE),"")</f>
        <v>Касс мөнгө MNT</v>
      </c>
      <c r="G1398" s="377">
        <v>1563700</v>
      </c>
      <c r="H1398" s="377">
        <v>0</v>
      </c>
      <c r="I1398" s="596">
        <f t="shared" si="141"/>
        <v>1563700</v>
      </c>
      <c r="J1398" s="81">
        <f t="shared" si="143"/>
        <v>0</v>
      </c>
      <c r="K1398" s="81"/>
      <c r="L1398" s="597">
        <v>4002</v>
      </c>
      <c r="M1398" s="81" t="str">
        <f>+IFERROR(VLOOKUP(L1398,DATA!$G$4:$H$2000,2,FALSE),"")</f>
        <v xml:space="preserve">Хувь хүн </v>
      </c>
      <c r="N1398" s="435">
        <v>41</v>
      </c>
      <c r="O1398" s="81" t="str">
        <f>IFERROR(VLOOKUP(N1398,DATA!$K$4:$L$51,2,FALSE),"")</f>
        <v>Бараа борлуулсан, үйлчилгээ үзүүлсэний орлого</v>
      </c>
      <c r="P1398" s="81"/>
      <c r="Q1398" s="152">
        <f t="shared" si="142"/>
        <v>1</v>
      </c>
    </row>
    <row r="1399" spans="2:17">
      <c r="B1399" s="670">
        <f t="shared" si="140"/>
        <v>1394</v>
      </c>
      <c r="C1399" s="433">
        <v>42920</v>
      </c>
      <c r="D1399" s="377" t="s">
        <v>1741</v>
      </c>
      <c r="E1399" s="572">
        <v>320100</v>
      </c>
      <c r="F1399" s="672" t="str">
        <f>IFERROR(VLOOKUP(E1399,STAT1!$C$4:$D$1000,2,FALSE),"")</f>
        <v>Урьдчилж орсон орлого MNT</v>
      </c>
      <c r="G1399" s="377"/>
      <c r="H1399" s="377">
        <v>2754840</v>
      </c>
      <c r="I1399" s="596">
        <f t="shared" si="141"/>
        <v>0</v>
      </c>
      <c r="J1399" s="81">
        <f t="shared" si="143"/>
        <v>0</v>
      </c>
      <c r="K1399" s="81"/>
      <c r="L1399" s="597">
        <v>4002</v>
      </c>
      <c r="M1399" s="81" t="str">
        <f>+IFERROR(VLOOKUP(L1399,DATA!$G$4:$H$2000,2,FALSE),"")</f>
        <v xml:space="preserve">Хувь хүн </v>
      </c>
      <c r="N1399" s="435"/>
      <c r="O1399" s="81" t="str">
        <f>IFERROR(VLOOKUP(N1399,DATA!$K$4:$L$51,2,FALSE),"")</f>
        <v/>
      </c>
      <c r="P1399" s="81"/>
      <c r="Q1399" s="152">
        <f t="shared" si="142"/>
        <v>0</v>
      </c>
    </row>
    <row r="1400" spans="2:17">
      <c r="B1400" s="670">
        <f t="shared" si="140"/>
        <v>1395</v>
      </c>
      <c r="C1400" s="433">
        <v>42920</v>
      </c>
      <c r="D1400" s="377" t="s">
        <v>1741</v>
      </c>
      <c r="E1400" s="572">
        <v>100100</v>
      </c>
      <c r="F1400" s="672" t="str">
        <f>IFERROR(VLOOKUP(E1400,STAT1!$C$4:$D$1000,2,FALSE),"")</f>
        <v>Касс мөнгө MNT</v>
      </c>
      <c r="G1400" s="377">
        <v>2754840</v>
      </c>
      <c r="H1400" s="377">
        <v>0</v>
      </c>
      <c r="I1400" s="596">
        <f t="shared" si="141"/>
        <v>2754840</v>
      </c>
      <c r="J1400" s="81">
        <f t="shared" si="143"/>
        <v>0</v>
      </c>
      <c r="K1400" s="81"/>
      <c r="L1400" s="597">
        <v>4002</v>
      </c>
      <c r="M1400" s="81" t="str">
        <f>+IFERROR(VLOOKUP(L1400,DATA!$G$4:$H$2000,2,FALSE),"")</f>
        <v xml:space="preserve">Хувь хүн </v>
      </c>
      <c r="N1400" s="435">
        <v>41</v>
      </c>
      <c r="O1400" s="81" t="str">
        <f>IFERROR(VLOOKUP(N1400,DATA!$K$4:$L$51,2,FALSE),"")</f>
        <v>Бараа борлуулсан, үйлчилгээ үзүүлсэний орлого</v>
      </c>
      <c r="P1400" s="81"/>
      <c r="Q1400" s="152">
        <f t="shared" si="142"/>
        <v>1</v>
      </c>
    </row>
    <row r="1401" spans="2:17">
      <c r="B1401" s="670">
        <f t="shared" si="140"/>
        <v>1396</v>
      </c>
      <c r="C1401" s="433">
        <v>42920</v>
      </c>
      <c r="D1401" s="598" t="s">
        <v>1741</v>
      </c>
      <c r="E1401" s="572">
        <v>110100</v>
      </c>
      <c r="F1401" s="672" t="str">
        <f>IFERROR(VLOOKUP(E1401,STAT1!$C$4:$D$1000,2,FALSE),"")</f>
        <v>Хаан Банк 5024654020</v>
      </c>
      <c r="G1401" s="377">
        <v>1148840</v>
      </c>
      <c r="H1401" s="377"/>
      <c r="I1401" s="596">
        <f t="shared" si="141"/>
        <v>1148840</v>
      </c>
      <c r="J1401" s="81">
        <f t="shared" si="143"/>
        <v>0</v>
      </c>
      <c r="K1401" s="81"/>
      <c r="L1401" s="597">
        <v>3080</v>
      </c>
      <c r="M1401" s="81" t="str">
        <f>+IFERROR(VLOOKUP(L1401,DATA!$G$4:$H$2000,2,FALSE),"")</f>
        <v>ДИ ЭЙЧ ЭЛ ГЭЙТВЭЙ ХХК</v>
      </c>
      <c r="N1401" s="435">
        <v>41</v>
      </c>
      <c r="O1401" s="81" t="str">
        <f>IFERROR(VLOOKUP(N1401,DATA!$K$4:$L$51,2,FALSE),"")</f>
        <v>Бараа борлуулсан, үйлчилгээ үзүүлсэний орлого</v>
      </c>
      <c r="P1401" s="81"/>
      <c r="Q1401" s="152">
        <f t="shared" si="142"/>
        <v>1</v>
      </c>
    </row>
    <row r="1402" spans="2:17">
      <c r="B1402" s="670">
        <f t="shared" ref="B1402:B1465" si="144">+IF(C1402="","",ROW()-5)</f>
        <v>1397</v>
      </c>
      <c r="C1402" s="433">
        <v>42920</v>
      </c>
      <c r="D1402" s="598" t="s">
        <v>1741</v>
      </c>
      <c r="E1402" s="572">
        <v>320100</v>
      </c>
      <c r="F1402" s="672" t="str">
        <f>IFERROR(VLOOKUP(E1402,STAT1!$C$4:$D$1000,2,FALSE),"")</f>
        <v>Урьдчилж орсон орлого MNT</v>
      </c>
      <c r="G1402" s="377">
        <v>0</v>
      </c>
      <c r="H1402" s="377">
        <v>1148840</v>
      </c>
      <c r="I1402" s="596">
        <f t="shared" si="141"/>
        <v>0</v>
      </c>
      <c r="J1402" s="81">
        <f t="shared" si="143"/>
        <v>0</v>
      </c>
      <c r="K1402" s="81"/>
      <c r="L1402" s="597">
        <v>3080</v>
      </c>
      <c r="M1402" s="81" t="str">
        <f>+IFERROR(VLOOKUP(L1402,DATA!$G$4:$H$2000,2,FALSE),"")</f>
        <v>ДИ ЭЙЧ ЭЛ ГЭЙТВЭЙ ХХК</v>
      </c>
      <c r="N1402" s="435"/>
      <c r="O1402" s="81" t="str">
        <f>IFERROR(VLOOKUP(N1402,DATA!$K$4:$L$51,2,FALSE),"")</f>
        <v/>
      </c>
      <c r="P1402" s="81"/>
      <c r="Q1402" s="152">
        <f t="shared" si="142"/>
        <v>0</v>
      </c>
    </row>
    <row r="1403" spans="2:17">
      <c r="B1403" s="670">
        <f t="shared" si="144"/>
        <v>1398</v>
      </c>
      <c r="C1403" s="601">
        <v>42920</v>
      </c>
      <c r="D1403" s="683" t="s">
        <v>2682</v>
      </c>
      <c r="E1403" s="572">
        <v>310500</v>
      </c>
      <c r="F1403" s="672" t="str">
        <f>IFERROR(VLOOKUP(E1403,STAT1!$C$4:$D$8000,2,FALSE),"")</f>
        <v>НӨАТ өглөг</v>
      </c>
      <c r="G1403" s="377"/>
      <c r="H1403" s="377">
        <v>1345751.7269987301</v>
      </c>
      <c r="I1403" s="596">
        <f t="shared" si="141"/>
        <v>0</v>
      </c>
      <c r="J1403" s="81">
        <f t="shared" si="143"/>
        <v>0</v>
      </c>
      <c r="K1403" s="81"/>
      <c r="L1403" s="673">
        <v>4002</v>
      </c>
      <c r="M1403" s="81" t="str">
        <f>+IFERROR(VLOOKUP(L1403,DATA!$G$4:$H$2000,2,FALSE),"")</f>
        <v xml:space="preserve">Хувь хүн </v>
      </c>
      <c r="N1403" s="166"/>
      <c r="O1403" s="81" t="str">
        <f>IFERROR(VLOOKUP(N1403,DATA!$K$4:$L$51,2,FALSE),"")</f>
        <v/>
      </c>
      <c r="P1403" s="81"/>
      <c r="Q1403" s="152">
        <f t="shared" si="142"/>
        <v>0</v>
      </c>
    </row>
    <row r="1404" spans="2:17">
      <c r="B1404" s="670">
        <f t="shared" si="144"/>
        <v>1399</v>
      </c>
      <c r="C1404" s="433">
        <v>42921</v>
      </c>
      <c r="D1404" s="377" t="s">
        <v>1700</v>
      </c>
      <c r="E1404" s="572">
        <v>100100</v>
      </c>
      <c r="F1404" s="672" t="str">
        <f>IFERROR(VLOOKUP(E1404,STAT1!$C$4:$D$1000,2,FALSE),"")</f>
        <v>Касс мөнгө MNT</v>
      </c>
      <c r="G1404" s="377"/>
      <c r="H1404" s="377">
        <v>535000</v>
      </c>
      <c r="I1404" s="596">
        <f t="shared" si="141"/>
        <v>-535000</v>
      </c>
      <c r="J1404" s="81">
        <f t="shared" si="143"/>
        <v>0</v>
      </c>
      <c r="K1404" s="81"/>
      <c r="L1404" s="597">
        <v>1005</v>
      </c>
      <c r="M1404" s="81" t="str">
        <f>+IFERROR(VLOOKUP(L1404,DATA!$G$4:$H$2000,2,FALSE),"")</f>
        <v>Золжаргал</v>
      </c>
      <c r="N1404" s="435">
        <v>53</v>
      </c>
      <c r="O1404" s="81" t="str">
        <f>IFERROR(VLOOKUP(N1404,DATA!$K$4:$L$51,2,FALSE),"")</f>
        <v>Бараа материал худалдан авахад төлсөн</v>
      </c>
      <c r="P1404" s="81"/>
      <c r="Q1404" s="152">
        <f t="shared" si="142"/>
        <v>1</v>
      </c>
    </row>
    <row r="1405" spans="2:17">
      <c r="B1405" s="670">
        <f t="shared" si="144"/>
        <v>1400</v>
      </c>
      <c r="C1405" s="433">
        <v>42921</v>
      </c>
      <c r="D1405" s="377" t="s">
        <v>1700</v>
      </c>
      <c r="E1405" s="572">
        <v>120600</v>
      </c>
      <c r="F1405" s="672" t="str">
        <f>IFERROR(VLOOKUP(E1405,STAT1!$C$4:$D$1000,2,FALSE),"")</f>
        <v>НӨАТ авлага</v>
      </c>
      <c r="G1405" s="377">
        <v>5000</v>
      </c>
      <c r="H1405" s="377"/>
      <c r="I1405" s="596">
        <f t="shared" si="141"/>
        <v>0</v>
      </c>
      <c r="J1405" s="81">
        <f t="shared" si="143"/>
        <v>0</v>
      </c>
      <c r="K1405" s="81"/>
      <c r="L1405" s="597">
        <v>1005</v>
      </c>
      <c r="M1405" s="81" t="str">
        <f>+IFERROR(VLOOKUP(L1405,DATA!$G$4:$H$2000,2,FALSE),"")</f>
        <v>Золжаргал</v>
      </c>
      <c r="N1405" s="435"/>
      <c r="O1405" s="81" t="str">
        <f>IFERROR(VLOOKUP(N1405,DATA!$K$4:$L$51,2,FALSE),"")</f>
        <v/>
      </c>
      <c r="P1405" s="81"/>
      <c r="Q1405" s="152">
        <f t="shared" si="142"/>
        <v>0</v>
      </c>
    </row>
    <row r="1406" spans="2:17">
      <c r="B1406" s="670">
        <f t="shared" si="144"/>
        <v>1401</v>
      </c>
      <c r="C1406" s="433">
        <v>42921</v>
      </c>
      <c r="D1406" s="377" t="s">
        <v>1700</v>
      </c>
      <c r="E1406" s="572">
        <v>701400</v>
      </c>
      <c r="F1406" s="672" t="str">
        <f>IFERROR(VLOOKUP(E1406,STAT1!$C$4:$D$1000,2,FALSE),"")</f>
        <v>Засвар үйлчилгээний зардал</v>
      </c>
      <c r="G1406" s="377">
        <v>50000</v>
      </c>
      <c r="H1406" s="377"/>
      <c r="I1406" s="596">
        <f t="shared" si="141"/>
        <v>0</v>
      </c>
      <c r="J1406" s="81">
        <f t="shared" si="143"/>
        <v>0</v>
      </c>
      <c r="K1406" s="81"/>
      <c r="L1406" s="597">
        <v>1005</v>
      </c>
      <c r="M1406" s="81" t="str">
        <f>+IFERROR(VLOOKUP(L1406,DATA!$G$4:$H$2000,2,FALSE),"")</f>
        <v>Золжаргал</v>
      </c>
      <c r="N1406" s="435"/>
      <c r="O1406" s="81" t="str">
        <f>IFERROR(VLOOKUP(N1406,DATA!$K$4:$L$51,2,FALSE),"")</f>
        <v/>
      </c>
      <c r="P1406" s="81"/>
      <c r="Q1406" s="152">
        <f t="shared" si="142"/>
        <v>0</v>
      </c>
    </row>
    <row r="1407" spans="2:17">
      <c r="B1407" s="670">
        <f t="shared" si="144"/>
        <v>1402</v>
      </c>
      <c r="C1407" s="433">
        <v>42921</v>
      </c>
      <c r="D1407" s="377" t="s">
        <v>1700</v>
      </c>
      <c r="E1407" s="572">
        <v>121200</v>
      </c>
      <c r="F1407" s="672" t="str">
        <f>IFERROR(VLOOKUP(E1407,STAT1!$C$4:$D$1000,2,FALSE),"")</f>
        <v xml:space="preserve">Ажилчидын дараа тайлангийн тооцоо </v>
      </c>
      <c r="G1407" s="377">
        <v>480000</v>
      </c>
      <c r="H1407" s="377">
        <v>0</v>
      </c>
      <c r="I1407" s="596">
        <f t="shared" si="141"/>
        <v>0</v>
      </c>
      <c r="J1407" s="81">
        <f t="shared" si="143"/>
        <v>0</v>
      </c>
      <c r="K1407" s="81"/>
      <c r="L1407" s="597">
        <v>1005</v>
      </c>
      <c r="M1407" s="81" t="str">
        <f>+IFERROR(VLOOKUP(L1407,DATA!$G$4:$H$2000,2,FALSE),"")</f>
        <v>Золжаргал</v>
      </c>
      <c r="N1407" s="435"/>
      <c r="O1407" s="81" t="str">
        <f>IFERROR(VLOOKUP(N1407,DATA!$K$4:$L$51,2,FALSE),"")</f>
        <v/>
      </c>
      <c r="P1407" s="81"/>
      <c r="Q1407" s="152">
        <f t="shared" si="142"/>
        <v>0</v>
      </c>
    </row>
    <row r="1408" spans="2:17">
      <c r="B1408" s="670">
        <f t="shared" si="144"/>
        <v>1403</v>
      </c>
      <c r="C1408" s="433">
        <v>42921</v>
      </c>
      <c r="D1408" s="377" t="s">
        <v>1741</v>
      </c>
      <c r="E1408" s="572">
        <v>100100</v>
      </c>
      <c r="F1408" s="672" t="str">
        <f>IFERROR(VLOOKUP(E1408,STAT1!$C$4:$D$8000,2,FALSE),"")</f>
        <v>Касс мөнгө MNT</v>
      </c>
      <c r="G1408" s="377">
        <v>585200</v>
      </c>
      <c r="H1408" s="377"/>
      <c r="I1408" s="596">
        <f t="shared" si="141"/>
        <v>585200</v>
      </c>
      <c r="J1408" s="81">
        <f t="shared" si="143"/>
        <v>0</v>
      </c>
      <c r="K1408" s="81"/>
      <c r="L1408" s="597">
        <v>3010</v>
      </c>
      <c r="M1408" s="81" t="str">
        <f>+IFERROR(VLOOKUP(L1408,DATA!$G$4:$H$2000,2,FALSE),"")</f>
        <v xml:space="preserve">РЕНДЕР ХХК </v>
      </c>
      <c r="N1408" s="166">
        <v>41</v>
      </c>
      <c r="O1408" s="81" t="str">
        <f>IFERROR(VLOOKUP(N1408,DATA!$K$4:$L$51,2,FALSE),"")</f>
        <v>Бараа борлуулсан, үйлчилгээ үзүүлсэний орлого</v>
      </c>
      <c r="P1408" s="81"/>
      <c r="Q1408" s="152">
        <f t="shared" si="142"/>
        <v>1</v>
      </c>
    </row>
    <row r="1409" spans="2:17">
      <c r="B1409" s="670">
        <f t="shared" si="144"/>
        <v>1404</v>
      </c>
      <c r="C1409" s="433">
        <v>42921</v>
      </c>
      <c r="D1409" s="377" t="s">
        <v>1741</v>
      </c>
      <c r="E1409" s="572">
        <v>320100</v>
      </c>
      <c r="F1409" s="672" t="str">
        <f>IFERROR(VLOOKUP(E1409,STAT1!$C$4:$D$8000,2,FALSE),"")</f>
        <v>Урьдчилж орсон орлого MNT</v>
      </c>
      <c r="G1409" s="377"/>
      <c r="H1409" s="377">
        <v>585200</v>
      </c>
      <c r="I1409" s="596">
        <f t="shared" si="141"/>
        <v>0</v>
      </c>
      <c r="J1409" s="81">
        <f t="shared" si="143"/>
        <v>0</v>
      </c>
      <c r="K1409" s="81"/>
      <c r="L1409" s="597">
        <v>3010</v>
      </c>
      <c r="M1409" s="81" t="str">
        <f>+IFERROR(VLOOKUP(L1409,DATA!$G$4:$H$2000,2,FALSE),"")</f>
        <v xml:space="preserve">РЕНДЕР ХХК </v>
      </c>
      <c r="N1409" s="166"/>
      <c r="O1409" s="81" t="str">
        <f>IFERROR(VLOOKUP(N1409,DATA!$K$4:$L$51,2,FALSE),"")</f>
        <v/>
      </c>
      <c r="P1409" s="81"/>
      <c r="Q1409" s="152">
        <f t="shared" si="142"/>
        <v>0</v>
      </c>
    </row>
    <row r="1410" spans="2:17">
      <c r="B1410" s="670">
        <f t="shared" si="144"/>
        <v>1405</v>
      </c>
      <c r="C1410" s="433">
        <v>42922</v>
      </c>
      <c r="D1410" s="377" t="s">
        <v>1741</v>
      </c>
      <c r="E1410" s="572">
        <v>320100</v>
      </c>
      <c r="F1410" s="672" t="str">
        <f>IFERROR(VLOOKUP(E1410,STAT1!$C$4:$D$1000,2,FALSE),"")</f>
        <v>Урьдчилж орсон орлого MNT</v>
      </c>
      <c r="G1410" s="377"/>
      <c r="H1410" s="377">
        <v>198000</v>
      </c>
      <c r="I1410" s="596">
        <f t="shared" si="141"/>
        <v>0</v>
      </c>
      <c r="J1410" s="81">
        <f t="shared" si="143"/>
        <v>0</v>
      </c>
      <c r="K1410" s="81"/>
      <c r="L1410" s="597">
        <v>4002</v>
      </c>
      <c r="M1410" s="81" t="str">
        <f>+IFERROR(VLOOKUP(L1410,DATA!$G$4:$H$2000,2,FALSE),"")</f>
        <v xml:space="preserve">Хувь хүн </v>
      </c>
      <c r="N1410" s="435"/>
      <c r="O1410" s="81" t="str">
        <f>IFERROR(VLOOKUP(N1410,DATA!$K$4:$L$51,2,FALSE),"")</f>
        <v/>
      </c>
      <c r="P1410" s="81"/>
      <c r="Q1410" s="152">
        <f t="shared" si="142"/>
        <v>0</v>
      </c>
    </row>
    <row r="1411" spans="2:17">
      <c r="B1411" s="670">
        <f t="shared" si="144"/>
        <v>1406</v>
      </c>
      <c r="C1411" s="433">
        <v>42922</v>
      </c>
      <c r="D1411" s="377" t="s">
        <v>1741</v>
      </c>
      <c r="E1411" s="572">
        <v>100100</v>
      </c>
      <c r="F1411" s="672" t="str">
        <f>IFERROR(VLOOKUP(E1411,STAT1!$C$4:$D$1000,2,FALSE),"")</f>
        <v>Касс мөнгө MNT</v>
      </c>
      <c r="G1411" s="377">
        <v>198000</v>
      </c>
      <c r="H1411" s="377">
        <v>0</v>
      </c>
      <c r="I1411" s="596">
        <f t="shared" si="141"/>
        <v>198000</v>
      </c>
      <c r="J1411" s="81">
        <f t="shared" si="143"/>
        <v>0</v>
      </c>
      <c r="K1411" s="81"/>
      <c r="L1411" s="597">
        <v>4002</v>
      </c>
      <c r="M1411" s="81" t="str">
        <f>+IFERROR(VLOOKUP(L1411,DATA!$G$4:$H$2000,2,FALSE),"")</f>
        <v xml:space="preserve">Хувь хүн </v>
      </c>
      <c r="N1411" s="435">
        <v>41</v>
      </c>
      <c r="O1411" s="81" t="str">
        <f>IFERROR(VLOOKUP(N1411,DATA!$K$4:$L$51,2,FALSE),"")</f>
        <v>Бараа борлуулсан, үйлчилгээ үзүүлсэний орлого</v>
      </c>
      <c r="P1411" s="81"/>
      <c r="Q1411" s="152">
        <f t="shared" si="142"/>
        <v>1</v>
      </c>
    </row>
    <row r="1412" spans="2:17">
      <c r="B1412" s="670">
        <f t="shared" si="144"/>
        <v>1407</v>
      </c>
      <c r="C1412" s="433">
        <v>42922</v>
      </c>
      <c r="D1412" s="598" t="s">
        <v>1741</v>
      </c>
      <c r="E1412" s="572">
        <v>110100</v>
      </c>
      <c r="F1412" s="672" t="str">
        <f>IFERROR(VLOOKUP(E1412,STAT1!$C$4:$D$1000,2,FALSE),"")</f>
        <v>Хаан Банк 5024654020</v>
      </c>
      <c r="G1412" s="377">
        <v>1243440</v>
      </c>
      <c r="H1412" s="377"/>
      <c r="I1412" s="596">
        <f t="shared" si="141"/>
        <v>1243440</v>
      </c>
      <c r="J1412" s="81">
        <f t="shared" si="143"/>
        <v>0</v>
      </c>
      <c r="K1412" s="81"/>
      <c r="L1412" s="597">
        <v>3048</v>
      </c>
      <c r="M1412" s="81" t="str">
        <f>+IFERROR(VLOOKUP(L1412,DATA!$G$4:$H$2000,2,FALSE),"")</f>
        <v xml:space="preserve">МАК ХХК </v>
      </c>
      <c r="N1412" s="435">
        <v>41</v>
      </c>
      <c r="O1412" s="81" t="str">
        <f>IFERROR(VLOOKUP(N1412,DATA!$K$4:$L$51,2,FALSE),"")</f>
        <v>Бараа борлуулсан, үйлчилгээ үзүүлсэний орлого</v>
      </c>
      <c r="P1412" s="81"/>
      <c r="Q1412" s="152">
        <f t="shared" si="142"/>
        <v>1</v>
      </c>
    </row>
    <row r="1413" spans="2:17">
      <c r="B1413" s="670">
        <f t="shared" si="144"/>
        <v>1408</v>
      </c>
      <c r="C1413" s="433">
        <v>42922</v>
      </c>
      <c r="D1413" s="598" t="s">
        <v>1741</v>
      </c>
      <c r="E1413" s="572">
        <v>320100</v>
      </c>
      <c r="F1413" s="672" t="str">
        <f>IFERROR(VLOOKUP(E1413,STAT1!$C$4:$D$1000,2,FALSE),"")</f>
        <v>Урьдчилж орсон орлого MNT</v>
      </c>
      <c r="G1413" s="377">
        <v>0</v>
      </c>
      <c r="H1413" s="377">
        <v>1243440</v>
      </c>
      <c r="I1413" s="596">
        <f t="shared" si="141"/>
        <v>0</v>
      </c>
      <c r="J1413" s="81">
        <f t="shared" si="143"/>
        <v>0</v>
      </c>
      <c r="K1413" s="81"/>
      <c r="L1413" s="597">
        <v>3048</v>
      </c>
      <c r="M1413" s="81" t="str">
        <f>+IFERROR(VLOOKUP(L1413,DATA!$G$4:$H$2000,2,FALSE),"")</f>
        <v xml:space="preserve">МАК ХХК </v>
      </c>
      <c r="N1413" s="435"/>
      <c r="O1413" s="81" t="str">
        <f>IFERROR(VLOOKUP(N1413,DATA!$K$4:$L$51,2,FALSE),"")</f>
        <v/>
      </c>
      <c r="P1413" s="81"/>
      <c r="Q1413" s="152">
        <f t="shared" si="142"/>
        <v>0</v>
      </c>
    </row>
    <row r="1414" spans="2:17">
      <c r="B1414" s="670">
        <f t="shared" si="144"/>
        <v>1409</v>
      </c>
      <c r="C1414" s="433">
        <v>42922</v>
      </c>
      <c r="D1414" s="598" t="s">
        <v>1741</v>
      </c>
      <c r="E1414" s="572">
        <v>110100</v>
      </c>
      <c r="F1414" s="672" t="str">
        <f>IFERROR(VLOOKUP(E1414,STAT1!$C$4:$D$1000,2,FALSE),"")</f>
        <v>Хаан Банк 5024654020</v>
      </c>
      <c r="G1414" s="377">
        <v>21600000</v>
      </c>
      <c r="H1414" s="377"/>
      <c r="I1414" s="596">
        <f t="shared" ref="I1414:I1477" si="145">+IF(OR(E1414=100100,E1414=100200,E1414=110100,E1414=110102,E1414=110103,E1414=110104,E1414=110105,E1414=110200,E1414=110201,E1414=110202,E1414=110203,E1414=110204,E1414=110300),G1414,0)+IF(OR(E1414=100100,E1414=100200,E1414=110100,E1414=110102,E1414=110103,E1414=110104,E1414=110105,E1414=110200,E1414=110201,E1414=110202,E1414=110203,E1414=110204,E1414=110300),H1414*-1,0)</f>
        <v>21600000</v>
      </c>
      <c r="J1414" s="81">
        <f t="shared" ref="J1414:J1445" si="146">+IF(E1414=110102,I1414/K1414,0)</f>
        <v>0</v>
      </c>
      <c r="K1414" s="81"/>
      <c r="L1414" s="597">
        <v>3074</v>
      </c>
      <c r="M1414" s="81" t="str">
        <f>+IFERROR(VLOOKUP(L1414,DATA!$G$4:$H$2000,2,FALSE),"")</f>
        <v>КАМДЕР ХХК</v>
      </c>
      <c r="N1414" s="435">
        <v>41</v>
      </c>
      <c r="O1414" s="81" t="str">
        <f>IFERROR(VLOOKUP(N1414,DATA!$K$4:$L$51,2,FALSE),"")</f>
        <v>Бараа борлуулсан, үйлчилгээ үзүүлсэний орлого</v>
      </c>
      <c r="P1414" s="81"/>
      <c r="Q1414" s="152">
        <f t="shared" si="142"/>
        <v>1</v>
      </c>
    </row>
    <row r="1415" spans="2:17">
      <c r="B1415" s="670">
        <f t="shared" si="144"/>
        <v>1410</v>
      </c>
      <c r="C1415" s="433">
        <v>42922</v>
      </c>
      <c r="D1415" s="598" t="s">
        <v>1741</v>
      </c>
      <c r="E1415" s="572">
        <v>320100</v>
      </c>
      <c r="F1415" s="672" t="str">
        <f>IFERROR(VLOOKUP(E1415,STAT1!$C$4:$D$1000,2,FALSE),"")</f>
        <v>Урьдчилж орсон орлого MNT</v>
      </c>
      <c r="G1415" s="377">
        <v>0</v>
      </c>
      <c r="H1415" s="377">
        <v>21600000</v>
      </c>
      <c r="I1415" s="596">
        <f t="shared" si="145"/>
        <v>0</v>
      </c>
      <c r="J1415" s="81">
        <f t="shared" si="146"/>
        <v>0</v>
      </c>
      <c r="K1415" s="81"/>
      <c r="L1415" s="597">
        <v>3074</v>
      </c>
      <c r="M1415" s="81" t="str">
        <f>+IFERROR(VLOOKUP(L1415,DATA!$G$4:$H$2000,2,FALSE),"")</f>
        <v>КАМДЕР ХХК</v>
      </c>
      <c r="N1415" s="435"/>
      <c r="O1415" s="81" t="str">
        <f>IFERROR(VLOOKUP(N1415,DATA!$K$4:$L$51,2,FALSE),"")</f>
        <v/>
      </c>
      <c r="P1415" s="81"/>
      <c r="Q1415" s="152">
        <f t="shared" ref="Q1415:Q1478" si="147">+IF(I1415,1,0)</f>
        <v>0</v>
      </c>
    </row>
    <row r="1416" spans="2:17">
      <c r="B1416" s="670">
        <f t="shared" si="144"/>
        <v>1411</v>
      </c>
      <c r="C1416" s="433">
        <v>42922</v>
      </c>
      <c r="D1416" s="598" t="s">
        <v>1749</v>
      </c>
      <c r="E1416" s="572">
        <v>100100</v>
      </c>
      <c r="F1416" s="672" t="str">
        <f>IFERROR(VLOOKUP(E1416,STAT1!$C$4:$D$1000,2,FALSE),"")</f>
        <v>Касс мөнгө MNT</v>
      </c>
      <c r="G1416" s="377">
        <v>24000000</v>
      </c>
      <c r="H1416" s="377">
        <v>0</v>
      </c>
      <c r="I1416" s="596">
        <f t="shared" si="145"/>
        <v>24000000</v>
      </c>
      <c r="J1416" s="81">
        <f t="shared" si="146"/>
        <v>0</v>
      </c>
      <c r="K1416" s="81"/>
      <c r="L1416" s="597">
        <v>1004</v>
      </c>
      <c r="M1416" s="81" t="str">
        <f>+IFERROR(VLOOKUP(L1416,DATA!$G$4:$H$2000,2,FALSE),"")</f>
        <v xml:space="preserve">Түмэндэлгэр </v>
      </c>
      <c r="N1416" s="435"/>
      <c r="O1416" s="81" t="str">
        <f>IFERROR(VLOOKUP(N1416,DATA!$K$4:$L$51,2,FALSE),"")</f>
        <v/>
      </c>
      <c r="P1416" s="81"/>
      <c r="Q1416" s="152">
        <f t="shared" si="147"/>
        <v>1</v>
      </c>
    </row>
    <row r="1417" spans="2:17">
      <c r="B1417" s="670">
        <f t="shared" si="144"/>
        <v>1412</v>
      </c>
      <c r="C1417" s="433">
        <v>42922</v>
      </c>
      <c r="D1417" s="598" t="s">
        <v>1749</v>
      </c>
      <c r="E1417" s="572">
        <v>110100</v>
      </c>
      <c r="F1417" s="672" t="str">
        <f>IFERROR(VLOOKUP(E1417,STAT1!$C$4:$D$1000,2,FALSE),"")</f>
        <v>Хаан Банк 5024654020</v>
      </c>
      <c r="G1417" s="377"/>
      <c r="H1417" s="377">
        <v>24000000</v>
      </c>
      <c r="I1417" s="596">
        <f t="shared" si="145"/>
        <v>-24000000</v>
      </c>
      <c r="J1417" s="81">
        <f t="shared" si="146"/>
        <v>0</v>
      </c>
      <c r="K1417" s="81"/>
      <c r="L1417" s="597">
        <v>1004</v>
      </c>
      <c r="M1417" s="81" t="str">
        <f>+IFERROR(VLOOKUP(L1417,DATA!$G$4:$H$2000,2,FALSE),"")</f>
        <v xml:space="preserve">Түмэндэлгэр </v>
      </c>
      <c r="N1417" s="435"/>
      <c r="O1417" s="81" t="str">
        <f>IFERROR(VLOOKUP(N1417,DATA!$K$4:$L$51,2,FALSE),"")</f>
        <v/>
      </c>
      <c r="P1417" s="81"/>
      <c r="Q1417" s="152">
        <f t="shared" si="147"/>
        <v>1</v>
      </c>
    </row>
    <row r="1418" spans="2:17">
      <c r="B1418" s="670">
        <f t="shared" si="144"/>
        <v>1413</v>
      </c>
      <c r="C1418" s="433">
        <v>42922</v>
      </c>
      <c r="D1418" s="377" t="s">
        <v>1732</v>
      </c>
      <c r="E1418" s="572">
        <v>160100</v>
      </c>
      <c r="F1418" s="672" t="str">
        <f>IFERROR(VLOOKUP(E1418,STAT1!$C$4:$D$8000,2,FALSE),"")</f>
        <v xml:space="preserve">Барилгын материал </v>
      </c>
      <c r="G1418" s="377">
        <v>436363.64</v>
      </c>
      <c r="H1418" s="377"/>
      <c r="I1418" s="596">
        <f t="shared" si="145"/>
        <v>0</v>
      </c>
      <c r="J1418" s="81">
        <f t="shared" si="146"/>
        <v>0</v>
      </c>
      <c r="K1418" s="81"/>
      <c r="L1418" s="597">
        <v>1005</v>
      </c>
      <c r="M1418" s="81" t="str">
        <f>+IFERROR(VLOOKUP(L1418,DATA!$G$4:$H$2000,2,FALSE),"")</f>
        <v>Золжаргал</v>
      </c>
      <c r="N1418" s="166"/>
      <c r="O1418" s="81" t="str">
        <f>IFERROR(VLOOKUP(N1418,DATA!$K$4:$L$51,2,FALSE),"")</f>
        <v/>
      </c>
      <c r="P1418" s="81"/>
      <c r="Q1418" s="152">
        <f t="shared" si="147"/>
        <v>0</v>
      </c>
    </row>
    <row r="1419" spans="2:17">
      <c r="B1419" s="670">
        <f t="shared" si="144"/>
        <v>1414</v>
      </c>
      <c r="C1419" s="433">
        <v>42922</v>
      </c>
      <c r="D1419" s="377" t="s">
        <v>1732</v>
      </c>
      <c r="E1419" s="572">
        <v>120600</v>
      </c>
      <c r="F1419" s="672" t="str">
        <f>IFERROR(VLOOKUP(E1419,STAT1!$C$4:$D$8000,2,FALSE),"")</f>
        <v>НӨАТ авлага</v>
      </c>
      <c r="G1419" s="377">
        <v>43636.36</v>
      </c>
      <c r="H1419" s="377"/>
      <c r="I1419" s="596">
        <f t="shared" si="145"/>
        <v>0</v>
      </c>
      <c r="J1419" s="81">
        <f t="shared" si="146"/>
        <v>0</v>
      </c>
      <c r="K1419" s="81"/>
      <c r="L1419" s="597">
        <v>1005</v>
      </c>
      <c r="M1419" s="81" t="str">
        <f>+IFERROR(VLOOKUP(L1419,DATA!$G$4:$H$2000,2,FALSE),"")</f>
        <v>Золжаргал</v>
      </c>
      <c r="N1419" s="166"/>
      <c r="O1419" s="81" t="str">
        <f>IFERROR(VLOOKUP(N1419,DATA!$K$4:$L$51,2,FALSE),"")</f>
        <v/>
      </c>
      <c r="P1419" s="81"/>
      <c r="Q1419" s="152">
        <f t="shared" si="147"/>
        <v>0</v>
      </c>
    </row>
    <row r="1420" spans="2:17">
      <c r="B1420" s="670">
        <f t="shared" si="144"/>
        <v>1415</v>
      </c>
      <c r="C1420" s="433">
        <v>42922</v>
      </c>
      <c r="D1420" s="377" t="s">
        <v>1638</v>
      </c>
      <c r="E1420" s="572">
        <v>121200</v>
      </c>
      <c r="F1420" s="672" t="str">
        <f>IFERROR(VLOOKUP(E1420,STAT1!$C$4:$D$8000,2,FALSE),"")</f>
        <v xml:space="preserve">Ажилчидын дараа тайлангийн тооцоо </v>
      </c>
      <c r="G1420" s="377"/>
      <c r="H1420" s="377">
        <v>479999.99849999999</v>
      </c>
      <c r="I1420" s="596">
        <f t="shared" si="145"/>
        <v>0</v>
      </c>
      <c r="J1420" s="81">
        <f t="shared" si="146"/>
        <v>0</v>
      </c>
      <c r="K1420" s="81"/>
      <c r="L1420" s="597">
        <v>1005</v>
      </c>
      <c r="M1420" s="81" t="str">
        <f>+IFERROR(VLOOKUP(L1420,DATA!$G$4:$H$2000,2,FALSE),"")</f>
        <v>Золжаргал</v>
      </c>
      <c r="N1420" s="166"/>
      <c r="O1420" s="81" t="str">
        <f>IFERROR(VLOOKUP(N1420,DATA!$K$4:$L$51,2,FALSE),"")</f>
        <v/>
      </c>
      <c r="P1420" s="81"/>
      <c r="Q1420" s="152">
        <f t="shared" si="147"/>
        <v>0</v>
      </c>
    </row>
    <row r="1421" spans="2:17">
      <c r="B1421" s="670">
        <f t="shared" si="144"/>
        <v>1416</v>
      </c>
      <c r="C1421" s="601">
        <v>42922</v>
      </c>
      <c r="D1421" s="683" t="s">
        <v>2700</v>
      </c>
      <c r="E1421" s="573">
        <v>150101</v>
      </c>
      <c r="F1421" s="672" t="str">
        <f>IFERROR(VLOOKUP(E1421,STAT1!$C$4:$D$8000,2,FALSE),"")</f>
        <v>Бараа бэлэн бүтээгдэхүүн БОЛОВСРУУЛАХ ЦЕХ /нарс/</v>
      </c>
      <c r="G1421" s="377"/>
      <c r="H1421" s="377">
        <v>354160.23</v>
      </c>
      <c r="I1421" s="596">
        <f t="shared" si="145"/>
        <v>0</v>
      </c>
      <c r="J1421" s="81">
        <f t="shared" si="146"/>
        <v>0</v>
      </c>
      <c r="K1421" s="81"/>
      <c r="L1421" s="673">
        <v>3010</v>
      </c>
      <c r="M1421" s="81" t="str">
        <f>+IFERROR(VLOOKUP(L1421,DATA!$G$4:$H$2000,2,FALSE),"")</f>
        <v xml:space="preserve">РЕНДЕР ХХК </v>
      </c>
      <c r="N1421" s="166"/>
      <c r="O1421" s="81" t="str">
        <f>IFERROR(VLOOKUP(N1421,DATA!$K$4:$L$51,2,FALSE),"")</f>
        <v/>
      </c>
      <c r="P1421" s="81"/>
      <c r="Q1421" s="152">
        <f t="shared" si="147"/>
        <v>0</v>
      </c>
    </row>
    <row r="1422" spans="2:17">
      <c r="B1422" s="670">
        <f t="shared" si="144"/>
        <v>1417</v>
      </c>
      <c r="C1422" s="601">
        <v>42922</v>
      </c>
      <c r="D1422" s="683" t="s">
        <v>2698</v>
      </c>
      <c r="E1422" s="573">
        <v>150101</v>
      </c>
      <c r="F1422" s="672" t="str">
        <f>IFERROR(VLOOKUP(E1422,STAT1!$C$4:$D$8000,2,FALSE),"")</f>
        <v>Бараа бэлэн бүтээгдэхүүн БОЛОВСРУУЛАХ ЦЕХ /нарс/</v>
      </c>
      <c r="G1422" s="377"/>
      <c r="H1422" s="377">
        <v>1131087.9514497637</v>
      </c>
      <c r="I1422" s="596">
        <f t="shared" si="145"/>
        <v>0</v>
      </c>
      <c r="J1422" s="81">
        <f t="shared" si="146"/>
        <v>0</v>
      </c>
      <c r="K1422" s="81"/>
      <c r="L1422" s="673">
        <v>3079</v>
      </c>
      <c r="M1422" s="81" t="str">
        <f>+IFERROR(VLOOKUP(L1422,DATA!$G$4:$H$2000,2,FALSE),"")</f>
        <v>ДА ХОТ ХХК</v>
      </c>
      <c r="N1422" s="166"/>
      <c r="O1422" s="81" t="str">
        <f>IFERROR(VLOOKUP(N1422,DATA!$K$4:$L$51,2,FALSE),"")</f>
        <v/>
      </c>
      <c r="P1422" s="81"/>
      <c r="Q1422" s="152">
        <f t="shared" si="147"/>
        <v>0</v>
      </c>
    </row>
    <row r="1423" spans="2:17">
      <c r="B1423" s="670">
        <f t="shared" si="144"/>
        <v>1418</v>
      </c>
      <c r="C1423" s="601">
        <v>42922</v>
      </c>
      <c r="D1423" s="683" t="s">
        <v>587</v>
      </c>
      <c r="E1423" s="572">
        <v>610100</v>
      </c>
      <c r="F1423" s="672" t="str">
        <f>IFERROR(VLOOKUP(E1423,STAT1!$C$4:$D$8000,2,FALSE),"")</f>
        <v>Борлуулсан барааны өртөг</v>
      </c>
      <c r="G1423" s="377">
        <v>1131087.9514497637</v>
      </c>
      <c r="H1423" s="377"/>
      <c r="I1423" s="596">
        <f t="shared" si="145"/>
        <v>0</v>
      </c>
      <c r="J1423" s="81">
        <f t="shared" si="146"/>
        <v>0</v>
      </c>
      <c r="K1423" s="81"/>
      <c r="L1423" s="673">
        <v>3079</v>
      </c>
      <c r="M1423" s="81" t="str">
        <f>+IFERROR(VLOOKUP(L1423,DATA!$G$4:$H$2000,2,FALSE),"")</f>
        <v>ДА ХОТ ХХК</v>
      </c>
      <c r="N1423" s="166"/>
      <c r="O1423" s="81" t="str">
        <f>IFERROR(VLOOKUP(N1423,DATA!$K$4:$L$51,2,FALSE),"")</f>
        <v/>
      </c>
      <c r="P1423" s="81"/>
      <c r="Q1423" s="152">
        <f t="shared" si="147"/>
        <v>0</v>
      </c>
    </row>
    <row r="1424" spans="2:17">
      <c r="B1424" s="670">
        <f t="shared" si="144"/>
        <v>1419</v>
      </c>
      <c r="C1424" s="601">
        <v>42922</v>
      </c>
      <c r="D1424" s="683" t="s">
        <v>587</v>
      </c>
      <c r="E1424" s="572">
        <v>310500</v>
      </c>
      <c r="F1424" s="672" t="str">
        <f>IFERROR(VLOOKUP(E1424,STAT1!$C$4:$D$8000,2,FALSE),"")</f>
        <v>НӨАТ өглөг</v>
      </c>
      <c r="G1424" s="377"/>
      <c r="H1424" s="377">
        <v>180000</v>
      </c>
      <c r="I1424" s="596">
        <f t="shared" si="145"/>
        <v>0</v>
      </c>
      <c r="J1424" s="81">
        <f t="shared" si="146"/>
        <v>0</v>
      </c>
      <c r="K1424" s="81"/>
      <c r="L1424" s="673">
        <v>3079</v>
      </c>
      <c r="M1424" s="81" t="str">
        <f>+IFERROR(VLOOKUP(L1424,DATA!$G$4:$H$2000,2,FALSE),"")</f>
        <v>ДА ХОТ ХХК</v>
      </c>
      <c r="N1424" s="166"/>
      <c r="O1424" s="81" t="str">
        <f>IFERROR(VLOOKUP(N1424,DATA!$K$4:$L$51,2,FALSE),"")</f>
        <v/>
      </c>
      <c r="P1424" s="81"/>
      <c r="Q1424" s="152">
        <f t="shared" si="147"/>
        <v>0</v>
      </c>
    </row>
    <row r="1425" spans="2:17">
      <c r="B1425" s="670">
        <f t="shared" si="144"/>
        <v>1420</v>
      </c>
      <c r="C1425" s="601">
        <v>42922</v>
      </c>
      <c r="D1425" s="683" t="s">
        <v>587</v>
      </c>
      <c r="E1425" s="572">
        <v>510000</v>
      </c>
      <c r="F1425" s="672" t="str">
        <f>IFERROR(VLOOKUP(E1425,STAT1!$C$4:$D$8000,2,FALSE),"")</f>
        <v>Үндсэн үйл ажиллагааны борлуулалт</v>
      </c>
      <c r="G1425" s="377"/>
      <c r="H1425" s="377">
        <v>1800000</v>
      </c>
      <c r="I1425" s="596">
        <f t="shared" si="145"/>
        <v>0</v>
      </c>
      <c r="J1425" s="81">
        <f t="shared" si="146"/>
        <v>0</v>
      </c>
      <c r="K1425" s="81"/>
      <c r="L1425" s="673">
        <v>3079</v>
      </c>
      <c r="M1425" s="81" t="str">
        <f>+IFERROR(VLOOKUP(L1425,DATA!$G$4:$H$2000,2,FALSE),"")</f>
        <v>ДА ХОТ ХХК</v>
      </c>
      <c r="N1425" s="166"/>
      <c r="O1425" s="81" t="str">
        <f>IFERROR(VLOOKUP(N1425,DATA!$K$4:$L$51,2,FALSE),"")</f>
        <v/>
      </c>
      <c r="P1425" s="81"/>
      <c r="Q1425" s="152">
        <f t="shared" si="147"/>
        <v>0</v>
      </c>
    </row>
    <row r="1426" spans="2:17">
      <c r="B1426" s="670">
        <f t="shared" si="144"/>
        <v>1421</v>
      </c>
      <c r="C1426" s="601">
        <v>42922</v>
      </c>
      <c r="D1426" s="683" t="s">
        <v>587</v>
      </c>
      <c r="E1426" s="572">
        <v>320100</v>
      </c>
      <c r="F1426" s="672" t="str">
        <f>IFERROR(VLOOKUP(E1426,STAT1!$C$4:$D$8000,2,FALSE),"")</f>
        <v>Урьдчилж орсон орлого MNT</v>
      </c>
      <c r="G1426" s="377">
        <v>1980000</v>
      </c>
      <c r="H1426" s="377"/>
      <c r="I1426" s="596">
        <f t="shared" si="145"/>
        <v>0</v>
      </c>
      <c r="J1426" s="81">
        <f t="shared" si="146"/>
        <v>0</v>
      </c>
      <c r="K1426" s="81"/>
      <c r="L1426" s="673">
        <v>3079</v>
      </c>
      <c r="M1426" s="81" t="str">
        <f>+IFERROR(VLOOKUP(L1426,DATA!$G$4:$H$2000,2,FALSE),"")</f>
        <v>ДА ХОТ ХХК</v>
      </c>
      <c r="N1426" s="166"/>
      <c r="O1426" s="81" t="str">
        <f>IFERROR(VLOOKUP(N1426,DATA!$K$4:$L$51,2,FALSE),"")</f>
        <v/>
      </c>
      <c r="P1426" s="81"/>
      <c r="Q1426" s="152">
        <f t="shared" si="147"/>
        <v>0</v>
      </c>
    </row>
    <row r="1427" spans="2:17">
      <c r="B1427" s="670">
        <f t="shared" si="144"/>
        <v>1422</v>
      </c>
      <c r="C1427" s="601">
        <v>42922</v>
      </c>
      <c r="D1427" s="683" t="s">
        <v>1659</v>
      </c>
      <c r="E1427" s="573">
        <v>150101</v>
      </c>
      <c r="F1427" s="672" t="str">
        <f>IFERROR(VLOOKUP(E1427,STAT1!$C$4:$D$8000,2,FALSE),"")</f>
        <v>Бараа бэлэн бүтээгдэхүүн БОЛОВСРУУЛАХ ЦЕХ /нарс/</v>
      </c>
      <c r="G1427" s="377"/>
      <c r="H1427" s="377">
        <v>501236.12954625359</v>
      </c>
      <c r="I1427" s="596">
        <f t="shared" si="145"/>
        <v>0</v>
      </c>
      <c r="J1427" s="81">
        <f t="shared" si="146"/>
        <v>0</v>
      </c>
      <c r="K1427" s="81"/>
      <c r="L1427" s="673">
        <v>3048</v>
      </c>
      <c r="M1427" s="81" t="str">
        <f>+IFERROR(VLOOKUP(L1427,DATA!$G$4:$H$2000,2,FALSE),"")</f>
        <v xml:space="preserve">МАК ХХК </v>
      </c>
      <c r="N1427" s="166"/>
      <c r="O1427" s="81" t="str">
        <f>IFERROR(VLOOKUP(N1427,DATA!$K$4:$L$51,2,FALSE),"")</f>
        <v/>
      </c>
      <c r="P1427" s="81"/>
      <c r="Q1427" s="152">
        <f t="shared" si="147"/>
        <v>0</v>
      </c>
    </row>
    <row r="1428" spans="2:17">
      <c r="B1428" s="670">
        <f t="shared" si="144"/>
        <v>1423</v>
      </c>
      <c r="C1428" s="601">
        <v>42922</v>
      </c>
      <c r="D1428" s="683" t="s">
        <v>1660</v>
      </c>
      <c r="E1428" s="572">
        <v>610100</v>
      </c>
      <c r="F1428" s="672" t="str">
        <f>IFERROR(VLOOKUP(E1428,STAT1!$C$4:$D$8000,2,FALSE),"")</f>
        <v>Борлуулсан барааны өртөг</v>
      </c>
      <c r="G1428" s="377">
        <v>501236.12954625359</v>
      </c>
      <c r="H1428" s="377"/>
      <c r="I1428" s="596">
        <f t="shared" si="145"/>
        <v>0</v>
      </c>
      <c r="J1428" s="81">
        <f t="shared" si="146"/>
        <v>0</v>
      </c>
      <c r="K1428" s="81"/>
      <c r="L1428" s="673">
        <v>3048</v>
      </c>
      <c r="M1428" s="81" t="str">
        <f>+IFERROR(VLOOKUP(L1428,DATA!$G$4:$H$2000,2,FALSE),"")</f>
        <v xml:space="preserve">МАК ХХК </v>
      </c>
      <c r="N1428" s="166"/>
      <c r="O1428" s="81" t="str">
        <f>IFERROR(VLOOKUP(N1428,DATA!$K$4:$L$51,2,FALSE),"")</f>
        <v/>
      </c>
      <c r="P1428" s="81"/>
      <c r="Q1428" s="152">
        <f t="shared" si="147"/>
        <v>0</v>
      </c>
    </row>
    <row r="1429" spans="2:17">
      <c r="B1429" s="670">
        <f t="shared" si="144"/>
        <v>1424</v>
      </c>
      <c r="C1429" s="601">
        <v>42922</v>
      </c>
      <c r="D1429" s="683" t="s">
        <v>587</v>
      </c>
      <c r="E1429" s="572">
        <v>310500</v>
      </c>
      <c r="F1429" s="672" t="str">
        <f>IFERROR(VLOOKUP(E1429,STAT1!$C$4:$D$8000,2,FALSE),"")</f>
        <v>НӨАТ өглөг</v>
      </c>
      <c r="G1429" s="377"/>
      <c r="H1429" s="377">
        <v>113040</v>
      </c>
      <c r="I1429" s="596">
        <f t="shared" si="145"/>
        <v>0</v>
      </c>
      <c r="J1429" s="81">
        <f t="shared" si="146"/>
        <v>0</v>
      </c>
      <c r="K1429" s="81"/>
      <c r="L1429" s="673">
        <v>3048</v>
      </c>
      <c r="M1429" s="81" t="str">
        <f>+IFERROR(VLOOKUP(L1429,DATA!$G$4:$H$2000,2,FALSE),"")</f>
        <v xml:space="preserve">МАК ХХК </v>
      </c>
      <c r="N1429" s="166"/>
      <c r="O1429" s="81" t="str">
        <f>IFERROR(VLOOKUP(N1429,DATA!$K$4:$L$51,2,FALSE),"")</f>
        <v/>
      </c>
      <c r="P1429" s="81"/>
      <c r="Q1429" s="152">
        <f t="shared" si="147"/>
        <v>0</v>
      </c>
    </row>
    <row r="1430" spans="2:17">
      <c r="B1430" s="670">
        <f t="shared" si="144"/>
        <v>1425</v>
      </c>
      <c r="C1430" s="601">
        <v>42922</v>
      </c>
      <c r="D1430" s="683" t="s">
        <v>587</v>
      </c>
      <c r="E1430" s="572">
        <v>510000</v>
      </c>
      <c r="F1430" s="672" t="str">
        <f>IFERROR(VLOOKUP(E1430,STAT1!$C$4:$D$8000,2,FALSE),"")</f>
        <v>Үндсэн үйл ажиллагааны борлуулалт</v>
      </c>
      <c r="G1430" s="377"/>
      <c r="H1430" s="377">
        <v>1130400</v>
      </c>
      <c r="I1430" s="596">
        <f t="shared" si="145"/>
        <v>0</v>
      </c>
      <c r="J1430" s="81">
        <f t="shared" si="146"/>
        <v>0</v>
      </c>
      <c r="K1430" s="81"/>
      <c r="L1430" s="673">
        <v>3048</v>
      </c>
      <c r="M1430" s="81" t="str">
        <f>+IFERROR(VLOOKUP(L1430,DATA!$G$4:$H$2000,2,FALSE),"")</f>
        <v xml:space="preserve">МАК ХХК </v>
      </c>
      <c r="N1430" s="166"/>
      <c r="O1430" s="81" t="str">
        <f>IFERROR(VLOOKUP(N1430,DATA!$K$4:$L$51,2,FALSE),"")</f>
        <v/>
      </c>
      <c r="P1430" s="81"/>
      <c r="Q1430" s="152">
        <f t="shared" si="147"/>
        <v>0</v>
      </c>
    </row>
    <row r="1431" spans="2:17">
      <c r="B1431" s="670">
        <f t="shared" si="144"/>
        <v>1426</v>
      </c>
      <c r="C1431" s="601">
        <v>42922</v>
      </c>
      <c r="D1431" s="683" t="s">
        <v>587</v>
      </c>
      <c r="E1431" s="572">
        <v>320100</v>
      </c>
      <c r="F1431" s="672" t="str">
        <f>IFERROR(VLOOKUP(E1431,STAT1!$C$4:$D$8000,2,FALSE),"")</f>
        <v>Урьдчилж орсон орлого MNT</v>
      </c>
      <c r="G1431" s="377">
        <v>1243440</v>
      </c>
      <c r="H1431" s="377"/>
      <c r="I1431" s="596">
        <f t="shared" si="145"/>
        <v>0</v>
      </c>
      <c r="J1431" s="81">
        <f t="shared" si="146"/>
        <v>0</v>
      </c>
      <c r="K1431" s="81"/>
      <c r="L1431" s="673">
        <v>3048</v>
      </c>
      <c r="M1431" s="81" t="str">
        <f>+IFERROR(VLOOKUP(L1431,DATA!$G$4:$H$2000,2,FALSE),"")</f>
        <v xml:space="preserve">МАК ХХК </v>
      </c>
      <c r="N1431" s="166"/>
      <c r="O1431" s="81" t="str">
        <f>IFERROR(VLOOKUP(N1431,DATA!$K$4:$L$51,2,FALSE),"")</f>
        <v/>
      </c>
      <c r="P1431" s="81"/>
      <c r="Q1431" s="152">
        <f t="shared" si="147"/>
        <v>0</v>
      </c>
    </row>
    <row r="1432" spans="2:17">
      <c r="B1432" s="670">
        <f t="shared" si="144"/>
        <v>1427</v>
      </c>
      <c r="C1432" s="601">
        <v>42922</v>
      </c>
      <c r="D1432" s="683" t="s">
        <v>2698</v>
      </c>
      <c r="E1432" s="573">
        <v>150101</v>
      </c>
      <c r="F1432" s="672" t="str">
        <f>IFERROR(VLOOKUP(E1432,STAT1!$C$4:$D$8000,2,FALSE),"")</f>
        <v>Бараа бэлэн бүтээгдэхүүн БОЛОВСРУУЛАХ ЦЕХ /нарс/</v>
      </c>
      <c r="G1432" s="377"/>
      <c r="H1432" s="377">
        <v>507161.33713299636</v>
      </c>
      <c r="I1432" s="596">
        <f t="shared" si="145"/>
        <v>0</v>
      </c>
      <c r="J1432" s="81">
        <f t="shared" si="146"/>
        <v>0</v>
      </c>
      <c r="K1432" s="81"/>
      <c r="L1432" s="673">
        <v>3078</v>
      </c>
      <c r="M1432" s="81" t="str">
        <f>+IFERROR(VLOOKUP(L1432,DATA!$G$4:$H$2000,2,FALSE),"")</f>
        <v>МӨНХ ЭНХРИЙ ХХК</v>
      </c>
      <c r="N1432" s="166"/>
      <c r="O1432" s="81" t="str">
        <f>IFERROR(VLOOKUP(N1432,DATA!$K$4:$L$51,2,FALSE),"")</f>
        <v/>
      </c>
      <c r="P1432" s="81"/>
      <c r="Q1432" s="152">
        <f t="shared" si="147"/>
        <v>0</v>
      </c>
    </row>
    <row r="1433" spans="2:17">
      <c r="B1433" s="670">
        <f t="shared" si="144"/>
        <v>1428</v>
      </c>
      <c r="C1433" s="601">
        <v>42922</v>
      </c>
      <c r="D1433" s="683" t="s">
        <v>2698</v>
      </c>
      <c r="E1433" s="572">
        <v>610100</v>
      </c>
      <c r="F1433" s="672" t="str">
        <f>IFERROR(VLOOKUP(E1433,STAT1!$C$4:$D$8000,2,FALSE),"")</f>
        <v>Борлуулсан барааны өртөг</v>
      </c>
      <c r="G1433" s="377">
        <v>507161.33713299636</v>
      </c>
      <c r="H1433" s="377"/>
      <c r="I1433" s="596">
        <f t="shared" si="145"/>
        <v>0</v>
      </c>
      <c r="J1433" s="81">
        <f t="shared" si="146"/>
        <v>0</v>
      </c>
      <c r="K1433" s="81"/>
      <c r="L1433" s="673">
        <v>3078</v>
      </c>
      <c r="M1433" s="81" t="str">
        <f>+IFERROR(VLOOKUP(L1433,DATA!$G$4:$H$2000,2,FALSE),"")</f>
        <v>МӨНХ ЭНХРИЙ ХХК</v>
      </c>
      <c r="N1433" s="166"/>
      <c r="O1433" s="81" t="str">
        <f>IFERROR(VLOOKUP(N1433,DATA!$K$4:$L$51,2,FALSE),"")</f>
        <v/>
      </c>
      <c r="P1433" s="81"/>
      <c r="Q1433" s="152">
        <f t="shared" si="147"/>
        <v>0</v>
      </c>
    </row>
    <row r="1434" spans="2:17">
      <c r="B1434" s="670">
        <f t="shared" si="144"/>
        <v>1429</v>
      </c>
      <c r="C1434" s="601">
        <v>42922</v>
      </c>
      <c r="D1434" s="683" t="s">
        <v>2698</v>
      </c>
      <c r="E1434" s="572">
        <v>310500</v>
      </c>
      <c r="F1434" s="672" t="str">
        <f>IFERROR(VLOOKUP(E1434,STAT1!$C$4:$D$8000,2,FALSE),"")</f>
        <v>НӨАТ өглөг</v>
      </c>
      <c r="G1434" s="377"/>
      <c r="H1434" s="377">
        <v>82555.454927400002</v>
      </c>
      <c r="I1434" s="596">
        <f t="shared" si="145"/>
        <v>0</v>
      </c>
      <c r="J1434" s="81">
        <f t="shared" si="146"/>
        <v>0</v>
      </c>
      <c r="K1434" s="81"/>
      <c r="L1434" s="673">
        <v>3078</v>
      </c>
      <c r="M1434" s="81" t="str">
        <f>+IFERROR(VLOOKUP(L1434,DATA!$G$4:$H$2000,2,FALSE),"")</f>
        <v>МӨНХ ЭНХРИЙ ХХК</v>
      </c>
      <c r="N1434" s="166"/>
      <c r="O1434" s="81" t="str">
        <f>IFERROR(VLOOKUP(N1434,DATA!$K$4:$L$51,2,FALSE),"")</f>
        <v/>
      </c>
      <c r="P1434" s="81"/>
      <c r="Q1434" s="152">
        <f t="shared" si="147"/>
        <v>0</v>
      </c>
    </row>
    <row r="1435" spans="2:17">
      <c r="B1435" s="670">
        <f t="shared" si="144"/>
        <v>1430</v>
      </c>
      <c r="C1435" s="601">
        <v>42922</v>
      </c>
      <c r="D1435" s="683" t="s">
        <v>2698</v>
      </c>
      <c r="E1435" s="572">
        <v>510000</v>
      </c>
      <c r="F1435" s="672" t="str">
        <f>IFERROR(VLOOKUP(E1435,STAT1!$C$4:$D$8000,2,FALSE),"")</f>
        <v>Үндсэн үйл ажиллагааны борлуулалт</v>
      </c>
      <c r="G1435" s="377"/>
      <c r="H1435" s="377">
        <v>825554.54927399999</v>
      </c>
      <c r="I1435" s="596">
        <f t="shared" si="145"/>
        <v>0</v>
      </c>
      <c r="J1435" s="81">
        <f t="shared" si="146"/>
        <v>0</v>
      </c>
      <c r="K1435" s="81"/>
      <c r="L1435" s="673">
        <v>3078</v>
      </c>
      <c r="M1435" s="81" t="str">
        <f>+IFERROR(VLOOKUP(L1435,DATA!$G$4:$H$2000,2,FALSE),"")</f>
        <v>МӨНХ ЭНХРИЙ ХХК</v>
      </c>
      <c r="N1435" s="166"/>
      <c r="O1435" s="81" t="str">
        <f>IFERROR(VLOOKUP(N1435,DATA!$K$4:$L$51,2,FALSE),"")</f>
        <v/>
      </c>
      <c r="P1435" s="81"/>
      <c r="Q1435" s="152">
        <f t="shared" si="147"/>
        <v>0</v>
      </c>
    </row>
    <row r="1436" spans="2:17">
      <c r="B1436" s="670">
        <f t="shared" si="144"/>
        <v>1431</v>
      </c>
      <c r="C1436" s="601">
        <v>42922</v>
      </c>
      <c r="D1436" s="683" t="s">
        <v>2698</v>
      </c>
      <c r="E1436" s="572">
        <v>320100</v>
      </c>
      <c r="F1436" s="672" t="str">
        <f>IFERROR(VLOOKUP(E1436,STAT1!$C$4:$D$8000,2,FALSE),"")</f>
        <v>Урьдчилж орсон орлого MNT</v>
      </c>
      <c r="G1436" s="377">
        <v>908110</v>
      </c>
      <c r="H1436" s="377"/>
      <c r="I1436" s="596">
        <f t="shared" si="145"/>
        <v>0</v>
      </c>
      <c r="J1436" s="81">
        <f t="shared" si="146"/>
        <v>0</v>
      </c>
      <c r="K1436" s="81"/>
      <c r="L1436" s="673">
        <v>3078</v>
      </c>
      <c r="M1436" s="81" t="str">
        <f>+IFERROR(VLOOKUP(L1436,DATA!$G$4:$H$2000,2,FALSE),"")</f>
        <v>МӨНХ ЭНХРИЙ ХХК</v>
      </c>
      <c r="N1436" s="166"/>
      <c r="O1436" s="81" t="str">
        <f>IFERROR(VLOOKUP(N1436,DATA!$K$4:$L$51,2,FALSE),"")</f>
        <v/>
      </c>
      <c r="P1436" s="81"/>
      <c r="Q1436" s="152">
        <f t="shared" si="147"/>
        <v>0</v>
      </c>
    </row>
    <row r="1437" spans="2:17">
      <c r="B1437" s="670">
        <f t="shared" si="144"/>
        <v>1432</v>
      </c>
      <c r="C1437" s="601">
        <v>42922</v>
      </c>
      <c r="D1437" s="683" t="s">
        <v>2700</v>
      </c>
      <c r="E1437" s="573">
        <v>150101</v>
      </c>
      <c r="F1437" s="672" t="str">
        <f>IFERROR(VLOOKUP(E1437,STAT1!$C$4:$D$8000,2,FALSE),"")</f>
        <v>Бараа бэлэн бүтээгдэхүүн БОЛОВСРУУЛАХ ЦЕХ /нарс/</v>
      </c>
      <c r="G1437" s="377"/>
      <c r="H1437" s="377">
        <v>533869.53638956859</v>
      </c>
      <c r="I1437" s="596">
        <f t="shared" si="145"/>
        <v>0</v>
      </c>
      <c r="J1437" s="81">
        <f t="shared" si="146"/>
        <v>0</v>
      </c>
      <c r="K1437" s="81"/>
      <c r="L1437" s="673">
        <v>3077</v>
      </c>
      <c r="M1437" s="81" t="str">
        <f>+IFERROR(VLOOKUP(L1437,DATA!$G$4:$H$2000,2,FALSE),"")</f>
        <v>КАРАНДАШ ХХК</v>
      </c>
      <c r="N1437" s="166"/>
      <c r="O1437" s="81" t="str">
        <f>IFERROR(VLOOKUP(N1437,DATA!$K$4:$L$51,2,FALSE),"")</f>
        <v/>
      </c>
      <c r="P1437" s="81"/>
      <c r="Q1437" s="152">
        <f t="shared" si="147"/>
        <v>0</v>
      </c>
    </row>
    <row r="1438" spans="2:17">
      <c r="B1438" s="670">
        <f t="shared" si="144"/>
        <v>1433</v>
      </c>
      <c r="C1438" s="601">
        <v>42922</v>
      </c>
      <c r="D1438" s="683" t="s">
        <v>2700</v>
      </c>
      <c r="E1438" s="572">
        <v>610100</v>
      </c>
      <c r="F1438" s="672" t="str">
        <f>IFERROR(VLOOKUP(E1438,STAT1!$C$4:$D$8000,2,FALSE),"")</f>
        <v>Борлуулсан барааны өртөг</v>
      </c>
      <c r="G1438" s="377">
        <v>533869.53638956859</v>
      </c>
      <c r="H1438" s="377"/>
      <c r="I1438" s="596">
        <f t="shared" si="145"/>
        <v>0</v>
      </c>
      <c r="J1438" s="81">
        <f t="shared" si="146"/>
        <v>0</v>
      </c>
      <c r="K1438" s="81"/>
      <c r="L1438" s="673">
        <v>3077</v>
      </c>
      <c r="M1438" s="81" t="str">
        <f>+IFERROR(VLOOKUP(L1438,DATA!$G$4:$H$2000,2,FALSE),"")</f>
        <v>КАРАНДАШ ХХК</v>
      </c>
      <c r="N1438" s="166"/>
      <c r="O1438" s="81" t="str">
        <f>IFERROR(VLOOKUP(N1438,DATA!$K$4:$L$51,2,FALSE),"")</f>
        <v/>
      </c>
      <c r="P1438" s="81"/>
      <c r="Q1438" s="152">
        <f t="shared" si="147"/>
        <v>0</v>
      </c>
    </row>
    <row r="1439" spans="2:17">
      <c r="B1439" s="670">
        <f t="shared" si="144"/>
        <v>1434</v>
      </c>
      <c r="C1439" s="601">
        <v>42922</v>
      </c>
      <c r="D1439" s="683" t="s">
        <v>2700</v>
      </c>
      <c r="E1439" s="572">
        <v>310500</v>
      </c>
      <c r="F1439" s="672" t="str">
        <f>IFERROR(VLOOKUP(E1439,STAT1!$C$4:$D$8000,2,FALSE),"")</f>
        <v>НӨАТ өглөг</v>
      </c>
      <c r="G1439" s="377"/>
      <c r="H1439" s="377">
        <v>64954.545144119998</v>
      </c>
      <c r="I1439" s="596">
        <f t="shared" si="145"/>
        <v>0</v>
      </c>
      <c r="J1439" s="81">
        <f t="shared" si="146"/>
        <v>0</v>
      </c>
      <c r="K1439" s="81"/>
      <c r="L1439" s="673">
        <v>3077</v>
      </c>
      <c r="M1439" s="81" t="str">
        <f>+IFERROR(VLOOKUP(L1439,DATA!$G$4:$H$2000,2,FALSE),"")</f>
        <v>КАРАНДАШ ХХК</v>
      </c>
      <c r="N1439" s="166"/>
      <c r="O1439" s="81" t="str">
        <f>IFERROR(VLOOKUP(N1439,DATA!$K$4:$L$51,2,FALSE),"")</f>
        <v/>
      </c>
      <c r="P1439" s="81"/>
      <c r="Q1439" s="152">
        <f t="shared" si="147"/>
        <v>0</v>
      </c>
    </row>
    <row r="1440" spans="2:17">
      <c r="B1440" s="670">
        <f t="shared" si="144"/>
        <v>1435</v>
      </c>
      <c r="C1440" s="601">
        <v>42922</v>
      </c>
      <c r="D1440" s="683" t="s">
        <v>2700</v>
      </c>
      <c r="E1440" s="572">
        <v>510000</v>
      </c>
      <c r="F1440" s="672" t="str">
        <f>IFERROR(VLOOKUP(E1440,STAT1!$C$4:$D$8000,2,FALSE),"")</f>
        <v>Үндсэн үйл ажиллагааны борлуулалт</v>
      </c>
      <c r="G1440" s="377"/>
      <c r="H1440" s="377">
        <v>649545.45144119998</v>
      </c>
      <c r="I1440" s="596">
        <f t="shared" si="145"/>
        <v>0</v>
      </c>
      <c r="J1440" s="81">
        <f t="shared" si="146"/>
        <v>0</v>
      </c>
      <c r="K1440" s="81"/>
      <c r="L1440" s="673">
        <v>3077</v>
      </c>
      <c r="M1440" s="81" t="str">
        <f>+IFERROR(VLOOKUP(L1440,DATA!$G$4:$H$2000,2,FALSE),"")</f>
        <v>КАРАНДАШ ХХК</v>
      </c>
      <c r="N1440" s="166"/>
      <c r="O1440" s="81" t="str">
        <f>IFERROR(VLOOKUP(N1440,DATA!$K$4:$L$51,2,FALSE),"")</f>
        <v/>
      </c>
      <c r="P1440" s="81"/>
      <c r="Q1440" s="152">
        <f t="shared" si="147"/>
        <v>0</v>
      </c>
    </row>
    <row r="1441" spans="2:17">
      <c r="B1441" s="670">
        <f t="shared" si="144"/>
        <v>1436</v>
      </c>
      <c r="C1441" s="601">
        <v>42922</v>
      </c>
      <c r="D1441" s="683" t="s">
        <v>2700</v>
      </c>
      <c r="E1441" s="572">
        <v>320100</v>
      </c>
      <c r="F1441" s="672" t="str">
        <f>IFERROR(VLOOKUP(E1441,STAT1!$C$4:$D$8000,2,FALSE),"")</f>
        <v>Урьдчилж орсон орлого MNT</v>
      </c>
      <c r="G1441" s="377">
        <v>714500</v>
      </c>
      <c r="H1441" s="377"/>
      <c r="I1441" s="596">
        <f t="shared" si="145"/>
        <v>0</v>
      </c>
      <c r="J1441" s="81">
        <f t="shared" si="146"/>
        <v>0</v>
      </c>
      <c r="K1441" s="81"/>
      <c r="L1441" s="673">
        <v>3077</v>
      </c>
      <c r="M1441" s="81" t="str">
        <f>+IFERROR(VLOOKUP(L1441,DATA!$G$4:$H$2000,2,FALSE),"")</f>
        <v>КАРАНДАШ ХХК</v>
      </c>
      <c r="N1441" s="166"/>
      <c r="O1441" s="81" t="str">
        <f>IFERROR(VLOOKUP(N1441,DATA!$K$4:$L$51,2,FALSE),"")</f>
        <v/>
      </c>
      <c r="P1441" s="81"/>
      <c r="Q1441" s="152">
        <f t="shared" si="147"/>
        <v>0</v>
      </c>
    </row>
    <row r="1442" spans="2:17">
      <c r="B1442" s="670">
        <f t="shared" si="144"/>
        <v>1437</v>
      </c>
      <c r="C1442" s="601">
        <v>42922</v>
      </c>
      <c r="D1442" s="683" t="s">
        <v>2698</v>
      </c>
      <c r="E1442" s="572">
        <v>510000</v>
      </c>
      <c r="F1442" s="672" t="str">
        <f>IFERROR(VLOOKUP(E1442,STAT1!$C$4:$D$8000,2,FALSE),"")</f>
        <v>Үндсэн үйл ажиллагааны борлуулалт</v>
      </c>
      <c r="G1442" s="377"/>
      <c r="H1442" s="377">
        <v>13457517.2699873</v>
      </c>
      <c r="I1442" s="596">
        <f t="shared" si="145"/>
        <v>0</v>
      </c>
      <c r="J1442" s="81">
        <f t="shared" si="146"/>
        <v>0</v>
      </c>
      <c r="K1442" s="81"/>
      <c r="L1442" s="673">
        <v>4002</v>
      </c>
      <c r="M1442" s="81" t="str">
        <f>+IFERROR(VLOOKUP(L1442,DATA!$G$4:$H$2000,2,FALSE),"")</f>
        <v xml:space="preserve">Хувь хүн </v>
      </c>
      <c r="N1442" s="166"/>
      <c r="O1442" s="81" t="str">
        <f>IFERROR(VLOOKUP(N1442,DATA!$K$4:$L$51,2,FALSE),"")</f>
        <v/>
      </c>
      <c r="P1442" s="81"/>
      <c r="Q1442" s="152">
        <f t="shared" si="147"/>
        <v>0</v>
      </c>
    </row>
    <row r="1443" spans="2:17">
      <c r="B1443" s="670">
        <f t="shared" si="144"/>
        <v>1438</v>
      </c>
      <c r="C1443" s="433">
        <v>42923</v>
      </c>
      <c r="D1443" s="377" t="s">
        <v>1741</v>
      </c>
      <c r="E1443" s="572">
        <v>320100</v>
      </c>
      <c r="F1443" s="672" t="str">
        <f>IFERROR(VLOOKUP(E1443,STAT1!$C$4:$D$1000,2,FALSE),"")</f>
        <v>Урьдчилж орсон орлого MNT</v>
      </c>
      <c r="G1443" s="377"/>
      <c r="H1443" s="377">
        <v>2418900</v>
      </c>
      <c r="I1443" s="596">
        <f t="shared" si="145"/>
        <v>0</v>
      </c>
      <c r="J1443" s="81">
        <f t="shared" si="146"/>
        <v>0</v>
      </c>
      <c r="K1443" s="81"/>
      <c r="L1443" s="597">
        <v>4002</v>
      </c>
      <c r="M1443" s="81" t="str">
        <f>+IFERROR(VLOOKUP(L1443,DATA!$G$4:$H$2000,2,FALSE),"")</f>
        <v xml:space="preserve">Хувь хүн </v>
      </c>
      <c r="N1443" s="435"/>
      <c r="O1443" s="81" t="str">
        <f>IFERROR(VLOOKUP(N1443,DATA!$K$4:$L$51,2,FALSE),"")</f>
        <v/>
      </c>
      <c r="P1443" s="81"/>
      <c r="Q1443" s="152">
        <f t="shared" si="147"/>
        <v>0</v>
      </c>
    </row>
    <row r="1444" spans="2:17">
      <c r="B1444" s="670">
        <f t="shared" si="144"/>
        <v>1439</v>
      </c>
      <c r="C1444" s="433">
        <v>42923</v>
      </c>
      <c r="D1444" s="377" t="s">
        <v>1741</v>
      </c>
      <c r="E1444" s="572">
        <v>100100</v>
      </c>
      <c r="F1444" s="672" t="str">
        <f>IFERROR(VLOOKUP(E1444,STAT1!$C$4:$D$1000,2,FALSE),"")</f>
        <v>Касс мөнгө MNT</v>
      </c>
      <c r="G1444" s="377">
        <v>2418900</v>
      </c>
      <c r="H1444" s="377">
        <v>0</v>
      </c>
      <c r="I1444" s="596">
        <f t="shared" si="145"/>
        <v>2418900</v>
      </c>
      <c r="J1444" s="81">
        <f t="shared" si="146"/>
        <v>0</v>
      </c>
      <c r="K1444" s="81"/>
      <c r="L1444" s="597">
        <v>4002</v>
      </c>
      <c r="M1444" s="81" t="str">
        <f>+IFERROR(VLOOKUP(L1444,DATA!$G$4:$H$2000,2,FALSE),"")</f>
        <v xml:space="preserve">Хувь хүн </v>
      </c>
      <c r="N1444" s="435">
        <v>41</v>
      </c>
      <c r="O1444" s="81" t="str">
        <f>IFERROR(VLOOKUP(N1444,DATA!$K$4:$L$51,2,FALSE),"")</f>
        <v>Бараа борлуулсан, үйлчилгээ үзүүлсэний орлого</v>
      </c>
      <c r="P1444" s="81"/>
      <c r="Q1444" s="152">
        <f t="shared" si="147"/>
        <v>1</v>
      </c>
    </row>
    <row r="1445" spans="2:17">
      <c r="B1445" s="670">
        <f t="shared" si="144"/>
        <v>1440</v>
      </c>
      <c r="C1445" s="433">
        <v>42923</v>
      </c>
      <c r="D1445" s="377" t="s">
        <v>1741</v>
      </c>
      <c r="E1445" s="572">
        <v>320100</v>
      </c>
      <c r="F1445" s="672" t="str">
        <f>IFERROR(VLOOKUP(E1445,STAT1!$C$4:$D$1000,2,FALSE),"")</f>
        <v>Урьдчилж орсон орлого MNT</v>
      </c>
      <c r="G1445" s="377"/>
      <c r="H1445" s="377">
        <v>82500</v>
      </c>
      <c r="I1445" s="596">
        <f t="shared" si="145"/>
        <v>0</v>
      </c>
      <c r="J1445" s="81">
        <f t="shared" si="146"/>
        <v>0</v>
      </c>
      <c r="K1445" s="81"/>
      <c r="L1445" s="597">
        <v>4002</v>
      </c>
      <c r="M1445" s="81" t="str">
        <f>+IFERROR(VLOOKUP(L1445,DATA!$G$4:$H$2000,2,FALSE),"")</f>
        <v xml:space="preserve">Хувь хүн </v>
      </c>
      <c r="N1445" s="435"/>
      <c r="O1445" s="81" t="str">
        <f>IFERROR(VLOOKUP(N1445,DATA!$K$4:$L$51,2,FALSE),"")</f>
        <v/>
      </c>
      <c r="P1445" s="81"/>
      <c r="Q1445" s="152">
        <f t="shared" si="147"/>
        <v>0</v>
      </c>
    </row>
    <row r="1446" spans="2:17">
      <c r="B1446" s="670">
        <f t="shared" si="144"/>
        <v>1441</v>
      </c>
      <c r="C1446" s="433">
        <v>42923</v>
      </c>
      <c r="D1446" s="377" t="s">
        <v>1741</v>
      </c>
      <c r="E1446" s="572">
        <v>100100</v>
      </c>
      <c r="F1446" s="672" t="str">
        <f>IFERROR(VLOOKUP(E1446,STAT1!$C$4:$D$1000,2,FALSE),"")</f>
        <v>Касс мөнгө MNT</v>
      </c>
      <c r="G1446" s="377">
        <v>82500</v>
      </c>
      <c r="H1446" s="377">
        <v>0</v>
      </c>
      <c r="I1446" s="596">
        <f t="shared" si="145"/>
        <v>82500</v>
      </c>
      <c r="J1446" s="81">
        <f t="shared" ref="J1446:J1477" si="148">+IF(E1446=110102,I1446/K1446,0)</f>
        <v>0</v>
      </c>
      <c r="K1446" s="81"/>
      <c r="L1446" s="597">
        <v>4002</v>
      </c>
      <c r="M1446" s="81" t="str">
        <f>+IFERROR(VLOOKUP(L1446,DATA!$G$4:$H$2000,2,FALSE),"")</f>
        <v xml:space="preserve">Хувь хүн </v>
      </c>
      <c r="N1446" s="435">
        <v>41</v>
      </c>
      <c r="O1446" s="81" t="str">
        <f>IFERROR(VLOOKUP(N1446,DATA!$K$4:$L$51,2,FALSE),"")</f>
        <v>Бараа борлуулсан, үйлчилгээ үзүүлсэний орлого</v>
      </c>
      <c r="P1446" s="81"/>
      <c r="Q1446" s="152">
        <f t="shared" si="147"/>
        <v>1</v>
      </c>
    </row>
    <row r="1447" spans="2:17">
      <c r="B1447" s="670">
        <f t="shared" si="144"/>
        <v>1442</v>
      </c>
      <c r="C1447" s="433">
        <v>42925</v>
      </c>
      <c r="D1447" s="377" t="s">
        <v>1741</v>
      </c>
      <c r="E1447" s="572">
        <v>320100</v>
      </c>
      <c r="F1447" s="672" t="str">
        <f>IFERROR(VLOOKUP(E1447,STAT1!$C$4:$D$1000,2,FALSE),"")</f>
        <v>Урьдчилж орсон орлого MNT</v>
      </c>
      <c r="G1447" s="377"/>
      <c r="H1447" s="377">
        <v>1582586</v>
      </c>
      <c r="I1447" s="596">
        <f t="shared" si="145"/>
        <v>0</v>
      </c>
      <c r="J1447" s="81">
        <f t="shared" si="148"/>
        <v>0</v>
      </c>
      <c r="K1447" s="81"/>
      <c r="L1447" s="597">
        <v>4002</v>
      </c>
      <c r="M1447" s="81" t="str">
        <f>+IFERROR(VLOOKUP(L1447,DATA!$G$4:$H$2000,2,FALSE),"")</f>
        <v xml:space="preserve">Хувь хүн </v>
      </c>
      <c r="N1447" s="435"/>
      <c r="O1447" s="81" t="str">
        <f>IFERROR(VLOOKUP(N1447,DATA!$K$4:$L$51,2,FALSE),"")</f>
        <v/>
      </c>
      <c r="P1447" s="81"/>
      <c r="Q1447" s="152">
        <f t="shared" si="147"/>
        <v>0</v>
      </c>
    </row>
    <row r="1448" spans="2:17">
      <c r="B1448" s="670">
        <f t="shared" si="144"/>
        <v>1443</v>
      </c>
      <c r="C1448" s="433">
        <v>42925</v>
      </c>
      <c r="D1448" s="377" t="s">
        <v>1741</v>
      </c>
      <c r="E1448" s="572">
        <v>100100</v>
      </c>
      <c r="F1448" s="672" t="str">
        <f>IFERROR(VLOOKUP(E1448,STAT1!$C$4:$D$1000,2,FALSE),"")</f>
        <v>Касс мөнгө MNT</v>
      </c>
      <c r="G1448" s="377">
        <v>1582586</v>
      </c>
      <c r="H1448" s="377">
        <v>0</v>
      </c>
      <c r="I1448" s="596">
        <f t="shared" si="145"/>
        <v>1582586</v>
      </c>
      <c r="J1448" s="81">
        <f t="shared" si="148"/>
        <v>0</v>
      </c>
      <c r="K1448" s="81"/>
      <c r="L1448" s="597">
        <v>4002</v>
      </c>
      <c r="M1448" s="81" t="str">
        <f>+IFERROR(VLOOKUP(L1448,DATA!$G$4:$H$2000,2,FALSE),"")</f>
        <v xml:space="preserve">Хувь хүн </v>
      </c>
      <c r="N1448" s="435">
        <v>41</v>
      </c>
      <c r="O1448" s="81" t="str">
        <f>IFERROR(VLOOKUP(N1448,DATA!$K$4:$L$51,2,FALSE),"")</f>
        <v>Бараа борлуулсан, үйлчилгээ үзүүлсэний орлого</v>
      </c>
      <c r="P1448" s="81"/>
      <c r="Q1448" s="152">
        <f t="shared" si="147"/>
        <v>1</v>
      </c>
    </row>
    <row r="1449" spans="2:17">
      <c r="B1449" s="670">
        <f t="shared" si="144"/>
        <v>1444</v>
      </c>
      <c r="C1449" s="433">
        <v>42925</v>
      </c>
      <c r="D1449" s="377" t="s">
        <v>1741</v>
      </c>
      <c r="E1449" s="572">
        <v>320100</v>
      </c>
      <c r="F1449" s="672" t="str">
        <f>IFERROR(VLOOKUP(E1449,STAT1!$C$4:$D$1000,2,FALSE),"")</f>
        <v>Урьдчилж орсон орлого MNT</v>
      </c>
      <c r="G1449" s="377"/>
      <c r="H1449" s="377">
        <v>805090</v>
      </c>
      <c r="I1449" s="596">
        <f t="shared" si="145"/>
        <v>0</v>
      </c>
      <c r="J1449" s="81">
        <f t="shared" si="148"/>
        <v>0</v>
      </c>
      <c r="K1449" s="81"/>
      <c r="L1449" s="597">
        <v>4002</v>
      </c>
      <c r="M1449" s="81" t="str">
        <f>+IFERROR(VLOOKUP(L1449,DATA!$G$4:$H$2000,2,FALSE),"")</f>
        <v xml:space="preserve">Хувь хүн </v>
      </c>
      <c r="N1449" s="435"/>
      <c r="O1449" s="81" t="str">
        <f>IFERROR(VLOOKUP(N1449,DATA!$K$4:$L$51,2,FALSE),"")</f>
        <v/>
      </c>
      <c r="P1449" s="81"/>
      <c r="Q1449" s="152">
        <f t="shared" si="147"/>
        <v>0</v>
      </c>
    </row>
    <row r="1450" spans="2:17">
      <c r="B1450" s="670">
        <f t="shared" si="144"/>
        <v>1445</v>
      </c>
      <c r="C1450" s="433">
        <v>42925</v>
      </c>
      <c r="D1450" s="377" t="s">
        <v>1741</v>
      </c>
      <c r="E1450" s="572">
        <v>100100</v>
      </c>
      <c r="F1450" s="672" t="str">
        <f>IFERROR(VLOOKUP(E1450,STAT1!$C$4:$D$1000,2,FALSE),"")</f>
        <v>Касс мөнгө MNT</v>
      </c>
      <c r="G1450" s="377">
        <v>805090</v>
      </c>
      <c r="H1450" s="377">
        <v>0</v>
      </c>
      <c r="I1450" s="596">
        <f t="shared" si="145"/>
        <v>805090</v>
      </c>
      <c r="J1450" s="81">
        <f t="shared" si="148"/>
        <v>0</v>
      </c>
      <c r="K1450" s="81"/>
      <c r="L1450" s="597">
        <v>4002</v>
      </c>
      <c r="M1450" s="81" t="str">
        <f>+IFERROR(VLOOKUP(L1450,DATA!$G$4:$H$2000,2,FALSE),"")</f>
        <v xml:space="preserve">Хувь хүн </v>
      </c>
      <c r="N1450" s="435">
        <v>41</v>
      </c>
      <c r="O1450" s="81" t="str">
        <f>IFERROR(VLOOKUP(N1450,DATA!$K$4:$L$51,2,FALSE),"")</f>
        <v>Бараа борлуулсан, үйлчилгээ үзүүлсэний орлого</v>
      </c>
      <c r="P1450" s="81"/>
      <c r="Q1450" s="152">
        <f t="shared" si="147"/>
        <v>1</v>
      </c>
    </row>
    <row r="1451" spans="2:17">
      <c r="B1451" s="670">
        <f t="shared" si="144"/>
        <v>1446</v>
      </c>
      <c r="C1451" s="433">
        <v>42925</v>
      </c>
      <c r="D1451" s="598" t="s">
        <v>1741</v>
      </c>
      <c r="E1451" s="572">
        <v>110100</v>
      </c>
      <c r="F1451" s="672" t="str">
        <f>IFERROR(VLOOKUP(E1451,STAT1!$C$4:$D$1000,2,FALSE),"")</f>
        <v>Хаан Банк 5024654020</v>
      </c>
      <c r="G1451" s="377">
        <v>2990960</v>
      </c>
      <c r="H1451" s="377"/>
      <c r="I1451" s="596">
        <f t="shared" si="145"/>
        <v>2990960</v>
      </c>
      <c r="J1451" s="81">
        <f t="shared" si="148"/>
        <v>0</v>
      </c>
      <c r="K1451" s="81"/>
      <c r="L1451" s="597">
        <v>3067</v>
      </c>
      <c r="M1451" s="81" t="str">
        <f>+IFERROR(VLOOKUP(L1451,DATA!$G$4:$H$2000,2,FALSE),"")</f>
        <v>ЦЭЦЭН УРЧУУД ХХК</v>
      </c>
      <c r="N1451" s="435">
        <v>41</v>
      </c>
      <c r="O1451" s="81" t="str">
        <f>IFERROR(VLOOKUP(N1451,DATA!$K$4:$L$51,2,FALSE),"")</f>
        <v>Бараа борлуулсан, үйлчилгээ үзүүлсэний орлого</v>
      </c>
      <c r="P1451" s="81"/>
      <c r="Q1451" s="152">
        <f t="shared" si="147"/>
        <v>1</v>
      </c>
    </row>
    <row r="1452" spans="2:17">
      <c r="B1452" s="670">
        <f t="shared" si="144"/>
        <v>1447</v>
      </c>
      <c r="C1452" s="433">
        <v>42925</v>
      </c>
      <c r="D1452" s="598" t="s">
        <v>1741</v>
      </c>
      <c r="E1452" s="572">
        <v>320100</v>
      </c>
      <c r="F1452" s="672" t="str">
        <f>IFERROR(VLOOKUP(E1452,STAT1!$C$4:$D$1000,2,FALSE),"")</f>
        <v>Урьдчилж орсон орлого MNT</v>
      </c>
      <c r="G1452" s="377">
        <v>0</v>
      </c>
      <c r="H1452" s="377">
        <v>2990960</v>
      </c>
      <c r="I1452" s="596">
        <f t="shared" si="145"/>
        <v>0</v>
      </c>
      <c r="J1452" s="81">
        <f t="shared" si="148"/>
        <v>0</v>
      </c>
      <c r="K1452" s="81"/>
      <c r="L1452" s="597">
        <v>3067</v>
      </c>
      <c r="M1452" s="81" t="str">
        <f>+IFERROR(VLOOKUP(L1452,DATA!$G$4:$H$2000,2,FALSE),"")</f>
        <v>ЦЭЦЭН УРЧУУД ХХК</v>
      </c>
      <c r="N1452" s="435"/>
      <c r="O1452" s="81" t="str">
        <f>IFERROR(VLOOKUP(N1452,DATA!$K$4:$L$51,2,FALSE),"")</f>
        <v/>
      </c>
      <c r="P1452" s="81"/>
      <c r="Q1452" s="152">
        <f t="shared" si="147"/>
        <v>0</v>
      </c>
    </row>
    <row r="1453" spans="2:17">
      <c r="B1453" s="670">
        <f t="shared" si="144"/>
        <v>1448</v>
      </c>
      <c r="C1453" s="433">
        <v>42925</v>
      </c>
      <c r="D1453" s="377" t="s">
        <v>1640</v>
      </c>
      <c r="E1453" s="572">
        <v>160100</v>
      </c>
      <c r="F1453" s="672" t="str">
        <f>IFERROR(VLOOKUP(E1453,STAT1!$C$4:$D$8000,2,FALSE),"")</f>
        <v xml:space="preserve">Барилгын материал </v>
      </c>
      <c r="G1453" s="377">
        <v>4409400</v>
      </c>
      <c r="H1453" s="377"/>
      <c r="I1453" s="596">
        <f t="shared" si="145"/>
        <v>0</v>
      </c>
      <c r="J1453" s="81">
        <f t="shared" si="148"/>
        <v>0</v>
      </c>
      <c r="K1453" s="81"/>
      <c r="L1453" s="597">
        <v>3017</v>
      </c>
      <c r="M1453" s="81" t="str">
        <f>+IFERROR(VLOOKUP(L1453,DATA!$G$4:$H$2000,2,FALSE),"")</f>
        <v xml:space="preserve">ВОС ХХК </v>
      </c>
      <c r="N1453" s="166"/>
      <c r="O1453" s="81" t="str">
        <f>IFERROR(VLOOKUP(N1453,DATA!$K$4:$L$51,2,FALSE),"")</f>
        <v/>
      </c>
      <c r="P1453" s="81"/>
      <c r="Q1453" s="152">
        <f t="shared" si="147"/>
        <v>0</v>
      </c>
    </row>
    <row r="1454" spans="2:17">
      <c r="B1454" s="670">
        <f t="shared" si="144"/>
        <v>1449</v>
      </c>
      <c r="C1454" s="433">
        <v>42925</v>
      </c>
      <c r="D1454" s="377" t="s">
        <v>1637</v>
      </c>
      <c r="E1454" s="572">
        <v>120600</v>
      </c>
      <c r="F1454" s="672" t="str">
        <f>IFERROR(VLOOKUP(E1454,STAT1!$C$4:$D$8000,2,FALSE),"")</f>
        <v>НӨАТ авлага</v>
      </c>
      <c r="G1454" s="377">
        <v>440940</v>
      </c>
      <c r="H1454" s="377"/>
      <c r="I1454" s="596">
        <f t="shared" si="145"/>
        <v>0</v>
      </c>
      <c r="J1454" s="81">
        <f t="shared" si="148"/>
        <v>0</v>
      </c>
      <c r="K1454" s="81"/>
      <c r="L1454" s="597">
        <v>3017</v>
      </c>
      <c r="M1454" s="81" t="str">
        <f>+IFERROR(VLOOKUP(L1454,DATA!$G$4:$H$2000,2,FALSE),"")</f>
        <v xml:space="preserve">ВОС ХХК </v>
      </c>
      <c r="N1454" s="166"/>
      <c r="O1454" s="81" t="str">
        <f>IFERROR(VLOOKUP(N1454,DATA!$K$4:$L$51,2,FALSE),"")</f>
        <v/>
      </c>
      <c r="P1454" s="81"/>
      <c r="Q1454" s="152">
        <f t="shared" si="147"/>
        <v>0</v>
      </c>
    </row>
    <row r="1455" spans="2:17">
      <c r="B1455" s="670">
        <f t="shared" si="144"/>
        <v>1450</v>
      </c>
      <c r="C1455" s="601">
        <v>42925</v>
      </c>
      <c r="D1455" s="683" t="s">
        <v>2682</v>
      </c>
      <c r="E1455" s="573">
        <v>150101</v>
      </c>
      <c r="F1455" s="672" t="str">
        <f>IFERROR(VLOOKUP(E1455,STAT1!$C$4:$D$8000,2,FALSE),"")</f>
        <v>Бараа бэлэн бүтээгдэхүүн БОЛОВСРУУЛАХ ЦЕХ /нарс/</v>
      </c>
      <c r="G1455" s="377"/>
      <c r="H1455" s="377">
        <v>4430244.2768501164</v>
      </c>
      <c r="I1455" s="596">
        <f t="shared" si="145"/>
        <v>0</v>
      </c>
      <c r="J1455" s="81">
        <f t="shared" si="148"/>
        <v>0</v>
      </c>
      <c r="K1455" s="81"/>
      <c r="L1455" s="673">
        <v>3067</v>
      </c>
      <c r="M1455" s="81" t="str">
        <f>+IFERROR(VLOOKUP(L1455,DATA!$G$4:$H$2000,2,FALSE),"")</f>
        <v>ЦЭЦЭН УРЧУУД ХХК</v>
      </c>
      <c r="N1455" s="166"/>
      <c r="O1455" s="81" t="str">
        <f>IFERROR(VLOOKUP(N1455,DATA!$K$4:$L$51,2,FALSE),"")</f>
        <v/>
      </c>
      <c r="P1455" s="81"/>
      <c r="Q1455" s="152">
        <f t="shared" si="147"/>
        <v>0</v>
      </c>
    </row>
    <row r="1456" spans="2:17">
      <c r="B1456" s="670">
        <f t="shared" si="144"/>
        <v>1451</v>
      </c>
      <c r="C1456" s="601">
        <v>42925</v>
      </c>
      <c r="D1456" s="683" t="s">
        <v>587</v>
      </c>
      <c r="E1456" s="572">
        <v>610100</v>
      </c>
      <c r="F1456" s="672" t="str">
        <f>IFERROR(VLOOKUP(E1456,STAT1!$C$4:$D$8000,2,FALSE),"")</f>
        <v>Борлуулсан барааны өртөг</v>
      </c>
      <c r="G1456" s="377">
        <v>4430244.2768501164</v>
      </c>
      <c r="H1456" s="377"/>
      <c r="I1456" s="596">
        <f t="shared" si="145"/>
        <v>0</v>
      </c>
      <c r="J1456" s="81">
        <f t="shared" si="148"/>
        <v>0</v>
      </c>
      <c r="K1456" s="81"/>
      <c r="L1456" s="673">
        <v>3067</v>
      </c>
      <c r="M1456" s="81" t="str">
        <f>+IFERROR(VLOOKUP(L1456,DATA!$G$4:$H$2000,2,FALSE),"")</f>
        <v>ЦЭЦЭН УРЧУУД ХХК</v>
      </c>
      <c r="N1456" s="166"/>
      <c r="O1456" s="81" t="str">
        <f>IFERROR(VLOOKUP(N1456,DATA!$K$4:$L$51,2,FALSE),"")</f>
        <v/>
      </c>
      <c r="P1456" s="81"/>
      <c r="Q1456" s="152">
        <f t="shared" si="147"/>
        <v>0</v>
      </c>
    </row>
    <row r="1457" spans="2:17">
      <c r="B1457" s="670">
        <f t="shared" si="144"/>
        <v>1452</v>
      </c>
      <c r="C1457" s="601">
        <v>42925</v>
      </c>
      <c r="D1457" s="683" t="s">
        <v>587</v>
      </c>
      <c r="E1457" s="572">
        <v>310500</v>
      </c>
      <c r="F1457" s="672" t="str">
        <f>IFERROR(VLOOKUP(E1457,STAT1!$C$4:$D$8000,2,FALSE),"")</f>
        <v>НӨАТ өглөг</v>
      </c>
      <c r="G1457" s="377"/>
      <c r="H1457" s="377">
        <v>590036.36353099998</v>
      </c>
      <c r="I1457" s="596">
        <f t="shared" si="145"/>
        <v>0</v>
      </c>
      <c r="J1457" s="81">
        <f t="shared" si="148"/>
        <v>0</v>
      </c>
      <c r="K1457" s="81"/>
      <c r="L1457" s="673">
        <v>3067</v>
      </c>
      <c r="M1457" s="81" t="str">
        <f>+IFERROR(VLOOKUP(L1457,DATA!$G$4:$H$2000,2,FALSE),"")</f>
        <v>ЦЭЦЭН УРЧУУД ХХК</v>
      </c>
      <c r="N1457" s="166"/>
      <c r="O1457" s="81" t="str">
        <f>IFERROR(VLOOKUP(N1457,DATA!$K$4:$L$51,2,FALSE),"")</f>
        <v/>
      </c>
      <c r="P1457" s="81"/>
      <c r="Q1457" s="152">
        <f t="shared" si="147"/>
        <v>0</v>
      </c>
    </row>
    <row r="1458" spans="2:17">
      <c r="B1458" s="670">
        <f t="shared" si="144"/>
        <v>1453</v>
      </c>
      <c r="C1458" s="601">
        <v>42925</v>
      </c>
      <c r="D1458" s="683" t="s">
        <v>587</v>
      </c>
      <c r="E1458" s="572">
        <v>510000</v>
      </c>
      <c r="F1458" s="672" t="str">
        <f>IFERROR(VLOOKUP(E1458,STAT1!$C$4:$D$8000,2,FALSE),"")</f>
        <v>Үндсэн үйл ажиллагааны борлуулалт</v>
      </c>
      <c r="G1458" s="377"/>
      <c r="H1458" s="377">
        <v>5900363.6353099998</v>
      </c>
      <c r="I1458" s="596">
        <f t="shared" si="145"/>
        <v>0</v>
      </c>
      <c r="J1458" s="81">
        <f t="shared" si="148"/>
        <v>0</v>
      </c>
      <c r="K1458" s="81"/>
      <c r="L1458" s="673">
        <v>3067</v>
      </c>
      <c r="M1458" s="81" t="str">
        <f>+IFERROR(VLOOKUP(L1458,DATA!$G$4:$H$2000,2,FALSE),"")</f>
        <v>ЦЭЦЭН УРЧУУД ХХК</v>
      </c>
      <c r="N1458" s="166"/>
      <c r="O1458" s="81" t="str">
        <f>IFERROR(VLOOKUP(N1458,DATA!$K$4:$L$51,2,FALSE),"")</f>
        <v/>
      </c>
      <c r="P1458" s="81"/>
      <c r="Q1458" s="152">
        <f t="shared" si="147"/>
        <v>0</v>
      </c>
    </row>
    <row r="1459" spans="2:17">
      <c r="B1459" s="670">
        <f t="shared" si="144"/>
        <v>1454</v>
      </c>
      <c r="C1459" s="601">
        <v>42925</v>
      </c>
      <c r="D1459" s="683" t="s">
        <v>587</v>
      </c>
      <c r="E1459" s="572">
        <v>320100</v>
      </c>
      <c r="F1459" s="672" t="str">
        <f>IFERROR(VLOOKUP(E1459,STAT1!$C$4:$D$8000,2,FALSE),"")</f>
        <v>Урьдчилж орсон орлого MNT</v>
      </c>
      <c r="G1459" s="377">
        <v>6490399.9988409998</v>
      </c>
      <c r="H1459" s="377"/>
      <c r="I1459" s="596">
        <f t="shared" si="145"/>
        <v>0</v>
      </c>
      <c r="J1459" s="81">
        <f t="shared" si="148"/>
        <v>0</v>
      </c>
      <c r="K1459" s="81"/>
      <c r="L1459" s="673">
        <v>3067</v>
      </c>
      <c r="M1459" s="81" t="str">
        <f>+IFERROR(VLOOKUP(L1459,DATA!$G$4:$H$2000,2,FALSE),"")</f>
        <v>ЦЭЦЭН УРЧУУД ХХК</v>
      </c>
      <c r="N1459" s="166"/>
      <c r="O1459" s="81" t="str">
        <f>IFERROR(VLOOKUP(N1459,DATA!$K$4:$L$51,2,FALSE),"")</f>
        <v/>
      </c>
      <c r="P1459" s="81"/>
      <c r="Q1459" s="152">
        <f t="shared" si="147"/>
        <v>0</v>
      </c>
    </row>
    <row r="1460" spans="2:17">
      <c r="B1460" s="670">
        <f t="shared" si="144"/>
        <v>1455</v>
      </c>
      <c r="C1460" s="601">
        <v>42925</v>
      </c>
      <c r="D1460" s="683" t="s">
        <v>2682</v>
      </c>
      <c r="E1460" s="572">
        <v>320100</v>
      </c>
      <c r="F1460" s="672" t="str">
        <f>IFERROR(VLOOKUP(E1460,STAT1!$C$4:$D$8000,2,FALSE),"")</f>
        <v>Урьдчилж орсон орлого MNT</v>
      </c>
      <c r="G1460" s="377">
        <v>14803269</v>
      </c>
      <c r="H1460" s="377"/>
      <c r="I1460" s="596">
        <f t="shared" si="145"/>
        <v>0</v>
      </c>
      <c r="J1460" s="81">
        <f t="shared" si="148"/>
        <v>0</v>
      </c>
      <c r="K1460" s="81"/>
      <c r="L1460" s="673">
        <v>4002</v>
      </c>
      <c r="M1460" s="81" t="str">
        <f>+IFERROR(VLOOKUP(L1460,DATA!$G$4:$H$2000,2,FALSE),"")</f>
        <v xml:space="preserve">Хувь хүн </v>
      </c>
      <c r="N1460" s="166"/>
      <c r="O1460" s="81" t="str">
        <f>IFERROR(VLOOKUP(N1460,DATA!$K$4:$L$51,2,FALSE),"")</f>
        <v/>
      </c>
      <c r="P1460" s="81"/>
      <c r="Q1460" s="152">
        <f t="shared" si="147"/>
        <v>0</v>
      </c>
    </row>
    <row r="1461" spans="2:17">
      <c r="B1461" s="670">
        <f t="shared" si="144"/>
        <v>1456</v>
      </c>
      <c r="C1461" s="433">
        <v>42933</v>
      </c>
      <c r="D1461" s="377" t="s">
        <v>1699</v>
      </c>
      <c r="E1461" s="572">
        <v>100100</v>
      </c>
      <c r="F1461" s="672" t="str">
        <f>IFERROR(VLOOKUP(E1461,STAT1!$C$4:$D$1000,2,FALSE),"")</f>
        <v>Касс мөнгө MNT</v>
      </c>
      <c r="G1461" s="377"/>
      <c r="H1461" s="377">
        <v>2450000</v>
      </c>
      <c r="I1461" s="596">
        <f t="shared" si="145"/>
        <v>-2450000</v>
      </c>
      <c r="J1461" s="81">
        <f t="shared" si="148"/>
        <v>0</v>
      </c>
      <c r="K1461" s="81"/>
      <c r="L1461" s="597">
        <v>1004</v>
      </c>
      <c r="M1461" s="81" t="str">
        <f>+IFERROR(VLOOKUP(L1461,DATA!$G$4:$H$2000,2,FALSE),"")</f>
        <v xml:space="preserve">Түмэндэлгэр </v>
      </c>
      <c r="N1461" s="435"/>
      <c r="O1461" s="81" t="str">
        <f>IFERROR(VLOOKUP(N1461,DATA!$K$4:$L$51,2,FALSE),"")</f>
        <v/>
      </c>
      <c r="P1461" s="81"/>
      <c r="Q1461" s="152">
        <f t="shared" si="147"/>
        <v>1</v>
      </c>
    </row>
    <row r="1462" spans="2:17">
      <c r="B1462" s="670">
        <f t="shared" si="144"/>
        <v>1457</v>
      </c>
      <c r="C1462" s="433">
        <v>42933</v>
      </c>
      <c r="D1462" s="377" t="s">
        <v>1699</v>
      </c>
      <c r="E1462" s="572">
        <v>110100</v>
      </c>
      <c r="F1462" s="672" t="str">
        <f>IFERROR(VLOOKUP(E1462,STAT1!$C$4:$D$1000,2,FALSE),"")</f>
        <v>Хаан Банк 5024654020</v>
      </c>
      <c r="G1462" s="377">
        <v>2450000</v>
      </c>
      <c r="H1462" s="377">
        <v>0</v>
      </c>
      <c r="I1462" s="596">
        <f t="shared" si="145"/>
        <v>2450000</v>
      </c>
      <c r="J1462" s="81">
        <f t="shared" si="148"/>
        <v>0</v>
      </c>
      <c r="K1462" s="81"/>
      <c r="L1462" s="597">
        <v>1004</v>
      </c>
      <c r="M1462" s="81" t="str">
        <f>+IFERROR(VLOOKUP(L1462,DATA!$G$4:$H$2000,2,FALSE),"")</f>
        <v xml:space="preserve">Түмэндэлгэр </v>
      </c>
      <c r="N1462" s="435"/>
      <c r="O1462" s="81" t="str">
        <f>IFERROR(VLOOKUP(N1462,DATA!$K$4:$L$51,2,FALSE),"")</f>
        <v/>
      </c>
      <c r="P1462" s="81"/>
      <c r="Q1462" s="152">
        <f t="shared" si="147"/>
        <v>1</v>
      </c>
    </row>
    <row r="1463" spans="2:17">
      <c r="B1463" s="670">
        <f t="shared" si="144"/>
        <v>1458</v>
      </c>
      <c r="C1463" s="433">
        <v>42933</v>
      </c>
      <c r="D1463" s="598" t="s">
        <v>1746</v>
      </c>
      <c r="E1463" s="572">
        <v>310400</v>
      </c>
      <c r="F1463" s="672" t="str">
        <f>IFERROR(VLOOKUP(E1463,STAT1!$C$4:$D$1000,2,FALSE),"")</f>
        <v>Банкны богино хугацаат зээл MNT</v>
      </c>
      <c r="G1463" s="377">
        <v>3442042</v>
      </c>
      <c r="H1463" s="377">
        <v>0</v>
      </c>
      <c r="I1463" s="596">
        <f t="shared" si="145"/>
        <v>0</v>
      </c>
      <c r="J1463" s="81">
        <f t="shared" si="148"/>
        <v>0</v>
      </c>
      <c r="K1463" s="81"/>
      <c r="L1463" s="597">
        <v>2009</v>
      </c>
      <c r="M1463" s="81" t="str">
        <f>+IFERROR(VLOOKUP(L1463,DATA!$G$4:$H$2000,2,FALSE),"")</f>
        <v>ХААН БАНК</v>
      </c>
      <c r="N1463" s="435"/>
      <c r="O1463" s="81" t="str">
        <f>IFERROR(VLOOKUP(N1463,DATA!$K$4:$L$51,2,FALSE),"")</f>
        <v/>
      </c>
      <c r="P1463" s="81"/>
      <c r="Q1463" s="152">
        <f t="shared" si="147"/>
        <v>0</v>
      </c>
    </row>
    <row r="1464" spans="2:17">
      <c r="B1464" s="670">
        <f t="shared" si="144"/>
        <v>1459</v>
      </c>
      <c r="C1464" s="433">
        <v>42933</v>
      </c>
      <c r="D1464" s="598" t="s">
        <v>1746</v>
      </c>
      <c r="E1464" s="572">
        <v>110100</v>
      </c>
      <c r="F1464" s="672" t="str">
        <f>IFERROR(VLOOKUP(E1464,STAT1!$C$4:$D$1000,2,FALSE),"")</f>
        <v>Хаан Банк 5024654020</v>
      </c>
      <c r="G1464" s="377"/>
      <c r="H1464" s="377">
        <v>3442042</v>
      </c>
      <c r="I1464" s="596">
        <f t="shared" si="145"/>
        <v>-3442042</v>
      </c>
      <c r="J1464" s="81">
        <f t="shared" si="148"/>
        <v>0</v>
      </c>
      <c r="K1464" s="81"/>
      <c r="L1464" s="597">
        <v>2009</v>
      </c>
      <c r="M1464" s="81" t="str">
        <f>+IFERROR(VLOOKUP(L1464,DATA!$G$4:$H$2000,2,FALSE),"")</f>
        <v>ХААН БАНК</v>
      </c>
      <c r="N1464" s="435">
        <v>91</v>
      </c>
      <c r="O1464" s="81" t="str">
        <f>IFERROR(VLOOKUP(N1464,DATA!$K$4:$L$51,2,FALSE),"")</f>
        <v>Зээл, өрийн үнэт цаасны төлбөрт төлсөн</v>
      </c>
      <c r="P1464" s="81"/>
      <c r="Q1464" s="152">
        <f t="shared" si="147"/>
        <v>1</v>
      </c>
    </row>
    <row r="1465" spans="2:17">
      <c r="B1465" s="670">
        <f t="shared" si="144"/>
        <v>1460</v>
      </c>
      <c r="C1465" s="433">
        <v>42933</v>
      </c>
      <c r="D1465" s="598" t="s">
        <v>1746</v>
      </c>
      <c r="E1465" s="572">
        <v>310400</v>
      </c>
      <c r="F1465" s="672" t="str">
        <f>IFERROR(VLOOKUP(E1465,STAT1!$C$4:$D$1000,2,FALSE),"")</f>
        <v>Банкны богино хугацаат зээл MNT</v>
      </c>
      <c r="G1465" s="377">
        <v>1393832</v>
      </c>
      <c r="H1465" s="377">
        <v>0</v>
      </c>
      <c r="I1465" s="596">
        <f t="shared" si="145"/>
        <v>0</v>
      </c>
      <c r="J1465" s="81">
        <f t="shared" si="148"/>
        <v>0</v>
      </c>
      <c r="K1465" s="81"/>
      <c r="L1465" s="597">
        <v>2009</v>
      </c>
      <c r="M1465" s="81" t="str">
        <f>+IFERROR(VLOOKUP(L1465,DATA!$G$4:$H$2000,2,FALSE),"")</f>
        <v>ХААН БАНК</v>
      </c>
      <c r="N1465" s="435"/>
      <c r="O1465" s="81" t="str">
        <f>IFERROR(VLOOKUP(N1465,DATA!$K$4:$L$51,2,FALSE),"")</f>
        <v/>
      </c>
      <c r="P1465" s="81"/>
      <c r="Q1465" s="152">
        <f t="shared" si="147"/>
        <v>0</v>
      </c>
    </row>
    <row r="1466" spans="2:17">
      <c r="B1466" s="670">
        <f t="shared" ref="B1466:B1529" si="149">+IF(C1466="","",ROW()-5)</f>
        <v>1461</v>
      </c>
      <c r="C1466" s="433">
        <v>42933</v>
      </c>
      <c r="D1466" s="598" t="s">
        <v>1746</v>
      </c>
      <c r="E1466" s="572">
        <v>110100</v>
      </c>
      <c r="F1466" s="672" t="str">
        <f>IFERROR(VLOOKUP(E1466,STAT1!$C$4:$D$1000,2,FALSE),"")</f>
        <v>Хаан Банк 5024654020</v>
      </c>
      <c r="G1466" s="377"/>
      <c r="H1466" s="377">
        <v>1393832</v>
      </c>
      <c r="I1466" s="596">
        <f t="shared" si="145"/>
        <v>-1393832</v>
      </c>
      <c r="J1466" s="81">
        <f t="shared" si="148"/>
        <v>0</v>
      </c>
      <c r="K1466" s="81"/>
      <c r="L1466" s="597">
        <v>2009</v>
      </c>
      <c r="M1466" s="81" t="str">
        <f>+IFERROR(VLOOKUP(L1466,DATA!$G$4:$H$2000,2,FALSE),"")</f>
        <v>ХААН БАНК</v>
      </c>
      <c r="N1466" s="435">
        <v>91</v>
      </c>
      <c r="O1466" s="81" t="str">
        <f>IFERROR(VLOOKUP(N1466,DATA!$K$4:$L$51,2,FALSE),"")</f>
        <v>Зээл, өрийн үнэт цаасны төлбөрт төлсөн</v>
      </c>
      <c r="P1466" s="81"/>
      <c r="Q1466" s="152">
        <f t="shared" si="147"/>
        <v>1</v>
      </c>
    </row>
    <row r="1467" spans="2:17">
      <c r="B1467" s="670">
        <f t="shared" si="149"/>
        <v>1462</v>
      </c>
      <c r="C1467" s="433">
        <v>42933</v>
      </c>
      <c r="D1467" s="598" t="s">
        <v>1746</v>
      </c>
      <c r="E1467" s="572">
        <v>702500</v>
      </c>
      <c r="F1467" s="672" t="str">
        <f>IFERROR(VLOOKUP(E1467,STAT1!$C$4:$D$1000,2,FALSE),"")</f>
        <v>Зээлийн хүүгийн зардал</v>
      </c>
      <c r="G1467" s="377">
        <v>1042606</v>
      </c>
      <c r="H1467" s="377"/>
      <c r="I1467" s="596">
        <f t="shared" si="145"/>
        <v>0</v>
      </c>
      <c r="J1467" s="81">
        <f t="shared" si="148"/>
        <v>0</v>
      </c>
      <c r="K1467" s="81"/>
      <c r="L1467" s="597">
        <v>2009</v>
      </c>
      <c r="M1467" s="81" t="str">
        <f>+IFERROR(VLOOKUP(L1467,DATA!$G$4:$H$2000,2,FALSE),"")</f>
        <v>ХААН БАНК</v>
      </c>
      <c r="N1467" s="435"/>
      <c r="O1467" s="81" t="str">
        <f>IFERROR(VLOOKUP(N1467,DATA!$K$4:$L$51,2,FALSE),"")</f>
        <v/>
      </c>
      <c r="P1467" s="81"/>
      <c r="Q1467" s="152">
        <f t="shared" si="147"/>
        <v>0</v>
      </c>
    </row>
    <row r="1468" spans="2:17">
      <c r="B1468" s="670">
        <f t="shared" si="149"/>
        <v>1463</v>
      </c>
      <c r="C1468" s="433">
        <v>42933</v>
      </c>
      <c r="D1468" s="598" t="s">
        <v>1746</v>
      </c>
      <c r="E1468" s="572">
        <v>110100</v>
      </c>
      <c r="F1468" s="672" t="str">
        <f>IFERROR(VLOOKUP(E1468,STAT1!$C$4:$D$1000,2,FALSE),"")</f>
        <v>Хаан Банк 5024654020</v>
      </c>
      <c r="G1468" s="377"/>
      <c r="H1468" s="377">
        <v>1042606</v>
      </c>
      <c r="I1468" s="596">
        <f t="shared" si="145"/>
        <v>-1042606</v>
      </c>
      <c r="J1468" s="81">
        <f t="shared" si="148"/>
        <v>0</v>
      </c>
      <c r="K1468" s="81"/>
      <c r="L1468" s="597">
        <v>2009</v>
      </c>
      <c r="M1468" s="81" t="str">
        <f>+IFERROR(VLOOKUP(L1468,DATA!$G$4:$H$2000,2,FALSE),"")</f>
        <v>ХААН БАНК</v>
      </c>
      <c r="N1468" s="435">
        <v>56</v>
      </c>
      <c r="O1468" s="81" t="str">
        <f>IFERROR(VLOOKUP(N1468,DATA!$K$4:$L$51,2,FALSE),"")</f>
        <v>Хүүний төлбөрт төлсөн</v>
      </c>
      <c r="P1468" s="81"/>
      <c r="Q1468" s="152">
        <f t="shared" si="147"/>
        <v>1</v>
      </c>
    </row>
    <row r="1469" spans="2:17">
      <c r="B1469" s="670">
        <f t="shared" si="149"/>
        <v>1464</v>
      </c>
      <c r="C1469" s="433">
        <v>42936</v>
      </c>
      <c r="D1469" s="377" t="s">
        <v>1699</v>
      </c>
      <c r="E1469" s="572">
        <v>100100</v>
      </c>
      <c r="F1469" s="672" t="str">
        <f>IFERROR(VLOOKUP(E1469,STAT1!$C$4:$D$1000,2,FALSE),"")</f>
        <v>Касс мөнгө MNT</v>
      </c>
      <c r="G1469" s="377"/>
      <c r="H1469" s="377">
        <v>4600000</v>
      </c>
      <c r="I1469" s="596">
        <f t="shared" si="145"/>
        <v>-4600000</v>
      </c>
      <c r="J1469" s="81">
        <f t="shared" si="148"/>
        <v>0</v>
      </c>
      <c r="K1469" s="81"/>
      <c r="L1469" s="597">
        <v>1004</v>
      </c>
      <c r="M1469" s="81" t="str">
        <f>+IFERROR(VLOOKUP(L1469,DATA!$G$4:$H$2000,2,FALSE),"")</f>
        <v xml:space="preserve">Түмэндэлгэр </v>
      </c>
      <c r="N1469" s="435"/>
      <c r="O1469" s="81" t="str">
        <f>IFERROR(VLOOKUP(N1469,DATA!$K$4:$L$51,2,FALSE),"")</f>
        <v/>
      </c>
      <c r="P1469" s="81"/>
      <c r="Q1469" s="152">
        <f t="shared" si="147"/>
        <v>1</v>
      </c>
    </row>
    <row r="1470" spans="2:17">
      <c r="B1470" s="670">
        <f t="shared" si="149"/>
        <v>1465</v>
      </c>
      <c r="C1470" s="433">
        <v>42936</v>
      </c>
      <c r="D1470" s="377" t="s">
        <v>1699</v>
      </c>
      <c r="E1470" s="572">
        <v>110100</v>
      </c>
      <c r="F1470" s="672" t="str">
        <f>IFERROR(VLOOKUP(E1470,STAT1!$C$4:$D$1000,2,FALSE),"")</f>
        <v>Хаан Банк 5024654020</v>
      </c>
      <c r="G1470" s="377">
        <v>4600000</v>
      </c>
      <c r="H1470" s="377">
        <v>0</v>
      </c>
      <c r="I1470" s="596">
        <f t="shared" si="145"/>
        <v>4600000</v>
      </c>
      <c r="J1470" s="81">
        <f t="shared" si="148"/>
        <v>0</v>
      </c>
      <c r="K1470" s="81"/>
      <c r="L1470" s="597">
        <v>1004</v>
      </c>
      <c r="M1470" s="81" t="str">
        <f>+IFERROR(VLOOKUP(L1470,DATA!$G$4:$H$2000,2,FALSE),"")</f>
        <v xml:space="preserve">Түмэндэлгэр </v>
      </c>
      <c r="N1470" s="435"/>
      <c r="O1470" s="81" t="str">
        <f>IFERROR(VLOOKUP(N1470,DATA!$K$4:$L$51,2,FALSE),"")</f>
        <v/>
      </c>
      <c r="P1470" s="81"/>
      <c r="Q1470" s="152">
        <f t="shared" si="147"/>
        <v>1</v>
      </c>
    </row>
    <row r="1471" spans="2:17">
      <c r="B1471" s="670">
        <f t="shared" si="149"/>
        <v>1466</v>
      </c>
      <c r="C1471" s="433">
        <v>42936</v>
      </c>
      <c r="D1471" s="598" t="s">
        <v>1747</v>
      </c>
      <c r="E1471" s="572">
        <v>702500</v>
      </c>
      <c r="F1471" s="672" t="str">
        <f>IFERROR(VLOOKUP(E1471,STAT1!$C$4:$D$1000,2,FALSE),"")</f>
        <v>Зээлийн хүүгийн зардал</v>
      </c>
      <c r="G1471" s="377">
        <v>13562</v>
      </c>
      <c r="H1471" s="377">
        <v>0</v>
      </c>
      <c r="I1471" s="596">
        <f t="shared" si="145"/>
        <v>0</v>
      </c>
      <c r="J1471" s="81">
        <f t="shared" si="148"/>
        <v>0</v>
      </c>
      <c r="K1471" s="81"/>
      <c r="L1471" s="597">
        <v>2009</v>
      </c>
      <c r="M1471" s="81" t="str">
        <f>+IFERROR(VLOOKUP(L1471,DATA!$G$4:$H$2000,2,FALSE),"")</f>
        <v>ХААН БАНК</v>
      </c>
      <c r="N1471" s="435"/>
      <c r="O1471" s="81" t="str">
        <f>IFERROR(VLOOKUP(N1471,DATA!$K$4:$L$51,2,FALSE),"")</f>
        <v/>
      </c>
      <c r="P1471" s="81"/>
      <c r="Q1471" s="152">
        <f t="shared" si="147"/>
        <v>0</v>
      </c>
    </row>
    <row r="1472" spans="2:17">
      <c r="B1472" s="670">
        <f t="shared" si="149"/>
        <v>1467</v>
      </c>
      <c r="C1472" s="433">
        <v>42936</v>
      </c>
      <c r="D1472" s="598" t="s">
        <v>1747</v>
      </c>
      <c r="E1472" s="572">
        <v>110100</v>
      </c>
      <c r="F1472" s="672" t="str">
        <f>IFERROR(VLOOKUP(E1472,STAT1!$C$4:$D$1000,2,FALSE),"")</f>
        <v>Хаан Банк 5024654020</v>
      </c>
      <c r="G1472" s="377"/>
      <c r="H1472" s="377">
        <v>13562</v>
      </c>
      <c r="I1472" s="596">
        <f t="shared" si="145"/>
        <v>-13562</v>
      </c>
      <c r="J1472" s="81">
        <f t="shared" si="148"/>
        <v>0</v>
      </c>
      <c r="K1472" s="81"/>
      <c r="L1472" s="597">
        <v>2009</v>
      </c>
      <c r="M1472" s="81" t="str">
        <f>+IFERROR(VLOOKUP(L1472,DATA!$G$4:$H$2000,2,FALSE),"")</f>
        <v>ХААН БАНК</v>
      </c>
      <c r="N1472" s="435">
        <v>56</v>
      </c>
      <c r="O1472" s="81" t="str">
        <f>IFERROR(VLOOKUP(N1472,DATA!$K$4:$L$51,2,FALSE),"")</f>
        <v>Хүүний төлбөрт төлсөн</v>
      </c>
      <c r="P1472" s="81"/>
      <c r="Q1472" s="152">
        <f t="shared" si="147"/>
        <v>1</v>
      </c>
    </row>
    <row r="1473" spans="2:17">
      <c r="B1473" s="670">
        <f t="shared" si="149"/>
        <v>1468</v>
      </c>
      <c r="C1473" s="433">
        <v>42936</v>
      </c>
      <c r="D1473" s="598" t="s">
        <v>1747</v>
      </c>
      <c r="E1473" s="572">
        <v>702500</v>
      </c>
      <c r="F1473" s="672" t="str">
        <f>IFERROR(VLOOKUP(E1473,STAT1!$C$4:$D$1000,2,FALSE),"")</f>
        <v>Зээлийн хүүгийн зардал</v>
      </c>
      <c r="G1473" s="377">
        <v>1528614.75</v>
      </c>
      <c r="H1473" s="377">
        <v>0</v>
      </c>
      <c r="I1473" s="596">
        <f t="shared" si="145"/>
        <v>0</v>
      </c>
      <c r="J1473" s="81">
        <f t="shared" si="148"/>
        <v>0</v>
      </c>
      <c r="K1473" s="81"/>
      <c r="L1473" s="597">
        <v>2009</v>
      </c>
      <c r="M1473" s="81" t="str">
        <f>+IFERROR(VLOOKUP(L1473,DATA!$G$4:$H$2000,2,FALSE),"")</f>
        <v>ХААН БАНК</v>
      </c>
      <c r="N1473" s="435"/>
      <c r="O1473" s="81" t="str">
        <f>IFERROR(VLOOKUP(N1473,DATA!$K$4:$L$51,2,FALSE),"")</f>
        <v/>
      </c>
      <c r="P1473" s="81"/>
      <c r="Q1473" s="152">
        <f t="shared" si="147"/>
        <v>0</v>
      </c>
    </row>
    <row r="1474" spans="2:17">
      <c r="B1474" s="670">
        <f t="shared" si="149"/>
        <v>1469</v>
      </c>
      <c r="C1474" s="433">
        <v>42936</v>
      </c>
      <c r="D1474" s="598" t="s">
        <v>1747</v>
      </c>
      <c r="E1474" s="572">
        <v>110100</v>
      </c>
      <c r="F1474" s="672" t="str">
        <f>IFERROR(VLOOKUP(E1474,STAT1!$C$4:$D$1000,2,FALSE),"")</f>
        <v>Хаан Банк 5024654020</v>
      </c>
      <c r="G1474" s="377"/>
      <c r="H1474" s="377">
        <v>1528614.75</v>
      </c>
      <c r="I1474" s="596">
        <f t="shared" si="145"/>
        <v>-1528614.75</v>
      </c>
      <c r="J1474" s="81">
        <f t="shared" si="148"/>
        <v>0</v>
      </c>
      <c r="K1474" s="81"/>
      <c r="L1474" s="597">
        <v>2009</v>
      </c>
      <c r="M1474" s="81" t="str">
        <f>+IFERROR(VLOOKUP(L1474,DATA!$G$4:$H$2000,2,FALSE),"")</f>
        <v>ХААН БАНК</v>
      </c>
      <c r="N1474" s="435">
        <v>56</v>
      </c>
      <c r="O1474" s="81" t="str">
        <f>IFERROR(VLOOKUP(N1474,DATA!$K$4:$L$51,2,FALSE),"")</f>
        <v>Хүүний төлбөрт төлсөн</v>
      </c>
      <c r="P1474" s="81"/>
      <c r="Q1474" s="152">
        <f t="shared" si="147"/>
        <v>1</v>
      </c>
    </row>
    <row r="1475" spans="2:17">
      <c r="B1475" s="670">
        <f t="shared" si="149"/>
        <v>1470</v>
      </c>
      <c r="C1475" s="433">
        <v>42936</v>
      </c>
      <c r="D1475" s="598" t="s">
        <v>1747</v>
      </c>
      <c r="E1475" s="572">
        <v>311100</v>
      </c>
      <c r="F1475" s="672" t="str">
        <f>IFERROR(VLOOKUP(E1475,STAT1!$C$4:$D$1000,2,FALSE),"")</f>
        <v xml:space="preserve">Бусад богино хугацаат өглөг </v>
      </c>
      <c r="G1475" s="377">
        <v>3032261</v>
      </c>
      <c r="H1475" s="377"/>
      <c r="I1475" s="596">
        <f t="shared" si="145"/>
        <v>0</v>
      </c>
      <c r="J1475" s="81">
        <f t="shared" si="148"/>
        <v>0</v>
      </c>
      <c r="K1475" s="81"/>
      <c r="L1475" s="597">
        <v>2009</v>
      </c>
      <c r="M1475" s="81" t="str">
        <f>+IFERROR(VLOOKUP(L1475,DATA!$G$4:$H$2000,2,FALSE),"")</f>
        <v>ХААН БАНК</v>
      </c>
      <c r="N1475" s="435"/>
      <c r="O1475" s="81" t="str">
        <f>IFERROR(VLOOKUP(N1475,DATA!$K$4:$L$51,2,FALSE),"")</f>
        <v/>
      </c>
      <c r="P1475" s="81"/>
      <c r="Q1475" s="152">
        <f t="shared" si="147"/>
        <v>0</v>
      </c>
    </row>
    <row r="1476" spans="2:17">
      <c r="B1476" s="670">
        <f t="shared" si="149"/>
        <v>1471</v>
      </c>
      <c r="C1476" s="433">
        <v>42936</v>
      </c>
      <c r="D1476" s="598" t="s">
        <v>1747</v>
      </c>
      <c r="E1476" s="572">
        <v>110100</v>
      </c>
      <c r="F1476" s="672" t="str">
        <f>IFERROR(VLOOKUP(E1476,STAT1!$C$4:$D$8000,2,FALSE),"")</f>
        <v>Хаан Банк 5024654020</v>
      </c>
      <c r="G1476" s="377"/>
      <c r="H1476" s="377">
        <v>3032261</v>
      </c>
      <c r="I1476" s="596">
        <f t="shared" si="145"/>
        <v>-3032261</v>
      </c>
      <c r="J1476" s="81">
        <f t="shared" si="148"/>
        <v>0</v>
      </c>
      <c r="K1476" s="81"/>
      <c r="L1476" s="597">
        <v>2009</v>
      </c>
      <c r="M1476" s="81" t="str">
        <f>+IFERROR(VLOOKUP(L1476,DATA!$G$4:$H$2000,2,FALSE),"")</f>
        <v>ХААН БАНК</v>
      </c>
      <c r="N1476" s="435">
        <v>91</v>
      </c>
      <c r="O1476" s="81" t="str">
        <f>IFERROR(VLOOKUP(N1476,DATA!$K$4:$L$51,2,FALSE),"")</f>
        <v>Зээл, өрийн үнэт цаасны төлбөрт төлсөн</v>
      </c>
      <c r="P1476" s="81"/>
      <c r="Q1476" s="152">
        <f t="shared" si="147"/>
        <v>1</v>
      </c>
    </row>
    <row r="1477" spans="2:17">
      <c r="B1477" s="670">
        <f t="shared" si="149"/>
        <v>1472</v>
      </c>
      <c r="C1477" s="433">
        <v>42937</v>
      </c>
      <c r="D1477" s="377" t="s">
        <v>1737</v>
      </c>
      <c r="E1477" s="572">
        <v>100100</v>
      </c>
      <c r="F1477" s="672" t="str">
        <f>IFERROR(VLOOKUP(E1477,STAT1!$C$4:$D$1000,2,FALSE),"")</f>
        <v>Касс мөнгө MNT</v>
      </c>
      <c r="G1477" s="377"/>
      <c r="H1477" s="377">
        <v>50000</v>
      </c>
      <c r="I1477" s="596">
        <f t="shared" si="145"/>
        <v>-50000</v>
      </c>
      <c r="J1477" s="81">
        <f t="shared" si="148"/>
        <v>0</v>
      </c>
      <c r="K1477" s="81"/>
      <c r="L1477" s="597">
        <v>2006</v>
      </c>
      <c r="M1477" s="81" t="str">
        <f>+IFERROR(VLOOKUP(L1477,DATA!$G$4:$H$2000,2,FALSE),"")</f>
        <v xml:space="preserve">МЦХОЛБОО </v>
      </c>
      <c r="N1477" s="435">
        <v>59</v>
      </c>
      <c r="O1477" s="81" t="str">
        <f>IFERROR(VLOOKUP(N1477,DATA!$K$4:$L$51,2,FALSE),"")</f>
        <v>Бусад мөнгөн зарлага</v>
      </c>
      <c r="P1477" s="81"/>
      <c r="Q1477" s="152">
        <f t="shared" si="147"/>
        <v>1</v>
      </c>
    </row>
    <row r="1478" spans="2:17">
      <c r="B1478" s="670">
        <f t="shared" si="149"/>
        <v>1473</v>
      </c>
      <c r="C1478" s="433">
        <v>42937</v>
      </c>
      <c r="D1478" s="377" t="s">
        <v>1737</v>
      </c>
      <c r="E1478" s="572">
        <v>120600</v>
      </c>
      <c r="F1478" s="672" t="str">
        <f>IFERROR(VLOOKUP(E1478,STAT1!$C$4:$D$1000,2,FALSE),"")</f>
        <v>НӨАТ авлага</v>
      </c>
      <c r="G1478" s="377">
        <v>4545.46</v>
      </c>
      <c r="H1478" s="377"/>
      <c r="I1478" s="596">
        <f t="shared" ref="I1478:I1541" si="150">+IF(OR(E1478=100100,E1478=100200,E1478=110100,E1478=110102,E1478=110103,E1478=110104,E1478=110105,E1478=110200,E1478=110201,E1478=110202,E1478=110203,E1478=110204,E1478=110300),G1478,0)+IF(OR(E1478=100100,E1478=100200,E1478=110100,E1478=110102,E1478=110103,E1478=110104,E1478=110105,E1478=110200,E1478=110201,E1478=110202,E1478=110203,E1478=110204,E1478=110300),H1478*-1,0)</f>
        <v>0</v>
      </c>
      <c r="J1478" s="81">
        <f t="shared" ref="J1478:J1509" si="151">+IF(E1478=110102,I1478/K1478,0)</f>
        <v>0</v>
      </c>
      <c r="K1478" s="81"/>
      <c r="L1478" s="597">
        <v>2006</v>
      </c>
      <c r="M1478" s="81" t="str">
        <f>+IFERROR(VLOOKUP(L1478,DATA!$G$4:$H$2000,2,FALSE),"")</f>
        <v xml:space="preserve">МЦХОЛБОО </v>
      </c>
      <c r="N1478" s="435"/>
      <c r="O1478" s="81" t="str">
        <f>IFERROR(VLOOKUP(N1478,DATA!$K$4:$L$51,2,FALSE),"")</f>
        <v/>
      </c>
      <c r="P1478" s="81"/>
      <c r="Q1478" s="152">
        <f t="shared" si="147"/>
        <v>0</v>
      </c>
    </row>
    <row r="1479" spans="2:17">
      <c r="B1479" s="670">
        <f t="shared" si="149"/>
        <v>1474</v>
      </c>
      <c r="C1479" s="433">
        <v>42937</v>
      </c>
      <c r="D1479" s="377" t="s">
        <v>1737</v>
      </c>
      <c r="E1479" s="572">
        <v>701900</v>
      </c>
      <c r="F1479" s="672" t="str">
        <f>IFERROR(VLOOKUP(E1479,STAT1!$C$4:$D$1000,2,FALSE),"")</f>
        <v>Харилцаа холбоо</v>
      </c>
      <c r="G1479" s="377">
        <v>45454.54</v>
      </c>
      <c r="H1479" s="377">
        <v>0</v>
      </c>
      <c r="I1479" s="596">
        <f t="shared" si="150"/>
        <v>0</v>
      </c>
      <c r="J1479" s="81">
        <f t="shared" si="151"/>
        <v>0</v>
      </c>
      <c r="K1479" s="81"/>
      <c r="L1479" s="597">
        <v>2006</v>
      </c>
      <c r="M1479" s="81" t="str">
        <f>+IFERROR(VLOOKUP(L1479,DATA!$G$4:$H$2000,2,FALSE),"")</f>
        <v xml:space="preserve">МЦХОЛБОО </v>
      </c>
      <c r="N1479" s="435"/>
      <c r="O1479" s="81" t="str">
        <f>IFERROR(VLOOKUP(N1479,DATA!$K$4:$L$51,2,FALSE),"")</f>
        <v/>
      </c>
      <c r="P1479" s="81"/>
      <c r="Q1479" s="152">
        <f t="shared" ref="Q1479:Q1542" si="152">+IF(I1479,1,0)</f>
        <v>0</v>
      </c>
    </row>
    <row r="1480" spans="2:17">
      <c r="B1480" s="670">
        <f t="shared" si="149"/>
        <v>1475</v>
      </c>
      <c r="C1480" s="601">
        <v>42937</v>
      </c>
      <c r="D1480" s="377" t="s">
        <v>1701</v>
      </c>
      <c r="E1480" s="572">
        <v>100100</v>
      </c>
      <c r="F1480" s="672" t="str">
        <f>IFERROR(VLOOKUP(E1480,STAT1!$C$4:$D$8000,2,FALSE),"")</f>
        <v>Касс мөнгө MNT</v>
      </c>
      <c r="G1480" s="377"/>
      <c r="H1480" s="377">
        <v>1500000</v>
      </c>
      <c r="I1480" s="603">
        <f t="shared" si="150"/>
        <v>-1500000</v>
      </c>
      <c r="J1480" s="81">
        <f t="shared" si="151"/>
        <v>0</v>
      </c>
      <c r="K1480" s="81"/>
      <c r="L1480" s="597">
        <v>2012</v>
      </c>
      <c r="M1480" s="81" t="str">
        <f>+IFERROR(VLOOKUP(L1480,DATA!$G$4:$H$2000,2,FALSE),"")</f>
        <v>ИХ ТУГЧ ХХК</v>
      </c>
      <c r="N1480" s="166">
        <v>59</v>
      </c>
      <c r="O1480" s="81" t="str">
        <f>IFERROR(VLOOKUP(N1480,DATA!$K$4:$L$51,2,FALSE),"")</f>
        <v>Бусад мөнгөн зарлага</v>
      </c>
      <c r="P1480" s="81"/>
      <c r="Q1480" s="152">
        <f t="shared" si="152"/>
        <v>1</v>
      </c>
    </row>
    <row r="1481" spans="2:17">
      <c r="B1481" s="670">
        <f t="shared" si="149"/>
        <v>1476</v>
      </c>
      <c r="C1481" s="601">
        <v>42937</v>
      </c>
      <c r="D1481" s="377" t="s">
        <v>1701</v>
      </c>
      <c r="E1481" s="572">
        <v>705800</v>
      </c>
      <c r="F1481" s="672" t="str">
        <f>IFERROR(VLOOKUP(E1481,STAT1!$C$4:$D$8000,2,FALSE),"")</f>
        <v>Харуул хамгаалалт</v>
      </c>
      <c r="G1481" s="377">
        <v>1500000</v>
      </c>
      <c r="H1481" s="377"/>
      <c r="I1481" s="603">
        <f t="shared" si="150"/>
        <v>0</v>
      </c>
      <c r="J1481" s="81">
        <f t="shared" si="151"/>
        <v>0</v>
      </c>
      <c r="K1481" s="81"/>
      <c r="L1481" s="597">
        <v>2012</v>
      </c>
      <c r="M1481" s="81" t="str">
        <f>+IFERROR(VLOOKUP(L1481,DATA!$G$4:$H$2000,2,FALSE),"")</f>
        <v>ИХ ТУГЧ ХХК</v>
      </c>
      <c r="N1481" s="166"/>
      <c r="O1481" s="81" t="str">
        <f>IFERROR(VLOOKUP(N1481,DATA!$K$4:$L$51,2,FALSE),"")</f>
        <v/>
      </c>
      <c r="P1481" s="81"/>
      <c r="Q1481" s="152">
        <f t="shared" si="152"/>
        <v>0</v>
      </c>
    </row>
    <row r="1482" spans="2:17">
      <c r="B1482" s="670">
        <f t="shared" si="149"/>
        <v>1477</v>
      </c>
      <c r="C1482" s="433">
        <v>42938</v>
      </c>
      <c r="D1482" s="377" t="s">
        <v>1741</v>
      </c>
      <c r="E1482" s="572">
        <v>320100</v>
      </c>
      <c r="F1482" s="672" t="str">
        <f>IFERROR(VLOOKUP(E1482,STAT1!$C$4:$D$1000,2,FALSE),"")</f>
        <v>Урьдчилж орсон орлого MNT</v>
      </c>
      <c r="G1482" s="377"/>
      <c r="H1482" s="377">
        <v>1122303</v>
      </c>
      <c r="I1482" s="596">
        <f t="shared" si="150"/>
        <v>0</v>
      </c>
      <c r="J1482" s="81">
        <f t="shared" si="151"/>
        <v>0</v>
      </c>
      <c r="K1482" s="81"/>
      <c r="L1482" s="597">
        <v>4002</v>
      </c>
      <c r="M1482" s="81" t="str">
        <f>+IFERROR(VLOOKUP(L1482,DATA!$G$4:$H$2000,2,FALSE),"")</f>
        <v xml:space="preserve">Хувь хүн </v>
      </c>
      <c r="N1482" s="435"/>
      <c r="O1482" s="81" t="str">
        <f>IFERROR(VLOOKUP(N1482,DATA!$K$4:$L$51,2,FALSE),"")</f>
        <v/>
      </c>
      <c r="P1482" s="81"/>
      <c r="Q1482" s="152">
        <f t="shared" si="152"/>
        <v>0</v>
      </c>
    </row>
    <row r="1483" spans="2:17">
      <c r="B1483" s="670">
        <f t="shared" si="149"/>
        <v>1478</v>
      </c>
      <c r="C1483" s="433">
        <v>42938</v>
      </c>
      <c r="D1483" s="377" t="s">
        <v>1741</v>
      </c>
      <c r="E1483" s="572">
        <v>100100</v>
      </c>
      <c r="F1483" s="672" t="str">
        <f>IFERROR(VLOOKUP(E1483,STAT1!$C$4:$D$1000,2,FALSE),"")</f>
        <v>Касс мөнгө MNT</v>
      </c>
      <c r="G1483" s="377">
        <v>1122303</v>
      </c>
      <c r="H1483" s="377"/>
      <c r="I1483" s="596">
        <f t="shared" si="150"/>
        <v>1122303</v>
      </c>
      <c r="J1483" s="81">
        <f t="shared" si="151"/>
        <v>0</v>
      </c>
      <c r="K1483" s="81"/>
      <c r="L1483" s="597">
        <v>4002</v>
      </c>
      <c r="M1483" s="81" t="str">
        <f>+IFERROR(VLOOKUP(L1483,DATA!$G$4:$H$2000,2,FALSE),"")</f>
        <v xml:space="preserve">Хувь хүн </v>
      </c>
      <c r="N1483" s="435">
        <v>41</v>
      </c>
      <c r="O1483" s="81" t="str">
        <f>IFERROR(VLOOKUP(N1483,DATA!$K$4:$L$51,2,FALSE),"")</f>
        <v>Бараа борлуулсан, үйлчилгээ үзүүлсэний орлого</v>
      </c>
      <c r="P1483" s="81"/>
      <c r="Q1483" s="152">
        <f t="shared" si="152"/>
        <v>1</v>
      </c>
    </row>
    <row r="1484" spans="2:17">
      <c r="B1484" s="670">
        <f t="shared" si="149"/>
        <v>1479</v>
      </c>
      <c r="C1484" s="433">
        <v>42940</v>
      </c>
      <c r="D1484" s="377" t="s">
        <v>1714</v>
      </c>
      <c r="E1484" s="572">
        <v>100100</v>
      </c>
      <c r="F1484" s="672" t="str">
        <f>IFERROR(VLOOKUP(E1484,STAT1!$C$4:$D$1000,2,FALSE),"")</f>
        <v>Касс мөнгө MNT</v>
      </c>
      <c r="G1484" s="377"/>
      <c r="H1484" s="377">
        <v>1285000</v>
      </c>
      <c r="I1484" s="596">
        <f t="shared" si="150"/>
        <v>-1285000</v>
      </c>
      <c r="J1484" s="81">
        <f t="shared" si="151"/>
        <v>0</v>
      </c>
      <c r="K1484" s="81"/>
      <c r="L1484" s="597">
        <v>2003</v>
      </c>
      <c r="M1484" s="81" t="str">
        <f>+IFERROR(VLOOKUP(L1484,DATA!$G$4:$H$2000,2,FALSE),"")</f>
        <v xml:space="preserve">УБЦТС ТӨХК </v>
      </c>
      <c r="N1484" s="435">
        <v>54</v>
      </c>
      <c r="O1484" s="81" t="str">
        <f>IFERROR(VLOOKUP(N1484,DATA!$K$4:$L$51,2,FALSE),"")</f>
        <v>Ашиглалтын зардалд төлсөн</v>
      </c>
      <c r="P1484" s="81"/>
      <c r="Q1484" s="152">
        <f t="shared" si="152"/>
        <v>1</v>
      </c>
    </row>
    <row r="1485" spans="2:17">
      <c r="B1485" s="670">
        <f t="shared" si="149"/>
        <v>1480</v>
      </c>
      <c r="C1485" s="433">
        <v>42940</v>
      </c>
      <c r="D1485" s="377" t="s">
        <v>1714</v>
      </c>
      <c r="E1485" s="572">
        <v>120600</v>
      </c>
      <c r="F1485" s="672" t="str">
        <f>IFERROR(VLOOKUP(E1485,STAT1!$C$4:$D$1000,2,FALSE),"")</f>
        <v>НӨАТ авлага</v>
      </c>
      <c r="G1485" s="377">
        <v>116823.11</v>
      </c>
      <c r="H1485" s="377"/>
      <c r="I1485" s="596">
        <f t="shared" si="150"/>
        <v>0</v>
      </c>
      <c r="J1485" s="81">
        <f t="shared" si="151"/>
        <v>0</v>
      </c>
      <c r="K1485" s="81"/>
      <c r="L1485" s="597">
        <v>2003</v>
      </c>
      <c r="M1485" s="81" t="str">
        <f>+IFERROR(VLOOKUP(L1485,DATA!$G$4:$H$2000,2,FALSE),"")</f>
        <v xml:space="preserve">УБЦТС ТӨХК </v>
      </c>
      <c r="N1485" s="435"/>
      <c r="O1485" s="81" t="str">
        <f>IFERROR(VLOOKUP(N1485,DATA!$K$4:$L$51,2,FALSE),"")</f>
        <v/>
      </c>
      <c r="P1485" s="81"/>
      <c r="Q1485" s="152">
        <f t="shared" si="152"/>
        <v>0</v>
      </c>
    </row>
    <row r="1486" spans="2:17">
      <c r="B1486" s="670">
        <f t="shared" si="149"/>
        <v>1481</v>
      </c>
      <c r="C1486" s="433">
        <v>42940</v>
      </c>
      <c r="D1486" s="377" t="s">
        <v>1714</v>
      </c>
      <c r="E1486" s="572">
        <v>700700</v>
      </c>
      <c r="F1486" s="672" t="str">
        <f>IFERROR(VLOOKUP(E1486,STAT1!$C$4:$D$1000,2,FALSE),"")</f>
        <v>Цахилгаан эрчим хүч</v>
      </c>
      <c r="G1486" s="377">
        <v>1168176.8899999999</v>
      </c>
      <c r="H1486" s="377">
        <v>0</v>
      </c>
      <c r="I1486" s="596">
        <f t="shared" si="150"/>
        <v>0</v>
      </c>
      <c r="J1486" s="81">
        <f t="shared" si="151"/>
        <v>0</v>
      </c>
      <c r="K1486" s="81"/>
      <c r="L1486" s="597">
        <v>2003</v>
      </c>
      <c r="M1486" s="81" t="str">
        <f>+IFERROR(VLOOKUP(L1486,DATA!$G$4:$H$2000,2,FALSE),"")</f>
        <v xml:space="preserve">УБЦТС ТӨХК </v>
      </c>
      <c r="N1486" s="435"/>
      <c r="O1486" s="81" t="str">
        <f>IFERROR(VLOOKUP(N1486,DATA!$K$4:$L$51,2,FALSE),"")</f>
        <v/>
      </c>
      <c r="P1486" s="81"/>
      <c r="Q1486" s="152">
        <f t="shared" si="152"/>
        <v>0</v>
      </c>
    </row>
    <row r="1487" spans="2:17">
      <c r="B1487" s="670">
        <f t="shared" si="149"/>
        <v>1482</v>
      </c>
      <c r="C1487" s="601">
        <v>42940</v>
      </c>
      <c r="D1487" s="683" t="s">
        <v>2700</v>
      </c>
      <c r="E1487" s="573">
        <v>150101</v>
      </c>
      <c r="F1487" s="672" t="str">
        <f>IFERROR(VLOOKUP(E1487,STAT1!$C$4:$D$8000,2,FALSE),"")</f>
        <v>Бараа бэлэн бүтээгдэхүүн БОЛОВСРУУЛАХ ЦЕХ /нарс/</v>
      </c>
      <c r="G1487" s="377"/>
      <c r="H1487" s="377">
        <v>82194.47228562145</v>
      </c>
      <c r="I1487" s="596">
        <f t="shared" si="150"/>
        <v>0</v>
      </c>
      <c r="J1487" s="81">
        <f t="shared" si="151"/>
        <v>0</v>
      </c>
      <c r="K1487" s="81"/>
      <c r="L1487" s="673">
        <v>3007</v>
      </c>
      <c r="M1487" s="81" t="str">
        <f>+IFERROR(VLOOKUP(L1487,DATA!$G$4:$H$2000,2,FALSE),"")</f>
        <v xml:space="preserve">АЯНЧИН АУТФИТТЕРС ХХК </v>
      </c>
      <c r="N1487" s="166"/>
      <c r="O1487" s="81" t="str">
        <f>IFERROR(VLOOKUP(N1487,DATA!$K$4:$L$51,2,FALSE),"")</f>
        <v/>
      </c>
      <c r="P1487" s="81"/>
      <c r="Q1487" s="152">
        <f t="shared" si="152"/>
        <v>0</v>
      </c>
    </row>
    <row r="1488" spans="2:17">
      <c r="B1488" s="670">
        <f t="shared" si="149"/>
        <v>1483</v>
      </c>
      <c r="C1488" s="601">
        <v>42940</v>
      </c>
      <c r="D1488" s="683" t="s">
        <v>587</v>
      </c>
      <c r="E1488" s="572">
        <v>610100</v>
      </c>
      <c r="F1488" s="672" t="str">
        <f>IFERROR(VLOOKUP(E1488,STAT1!$C$4:$D$8000,2,FALSE),"")</f>
        <v>Борлуулсан барааны өртөг</v>
      </c>
      <c r="G1488" s="377">
        <v>82194.47228562145</v>
      </c>
      <c r="H1488" s="377"/>
      <c r="I1488" s="596">
        <f t="shared" si="150"/>
        <v>0</v>
      </c>
      <c r="J1488" s="81">
        <f t="shared" si="151"/>
        <v>0</v>
      </c>
      <c r="K1488" s="81"/>
      <c r="L1488" s="673">
        <v>3007</v>
      </c>
      <c r="M1488" s="81" t="str">
        <f>+IFERROR(VLOOKUP(L1488,DATA!$G$4:$H$2000,2,FALSE),"")</f>
        <v xml:space="preserve">АЯНЧИН АУТФИТТЕРС ХХК </v>
      </c>
      <c r="N1488" s="166"/>
      <c r="O1488" s="81" t="str">
        <f>IFERROR(VLOOKUP(N1488,DATA!$K$4:$L$51,2,FALSE),"")</f>
        <v/>
      </c>
      <c r="P1488" s="81"/>
      <c r="Q1488" s="152">
        <f t="shared" si="152"/>
        <v>0</v>
      </c>
    </row>
    <row r="1489" spans="2:17">
      <c r="B1489" s="670">
        <f t="shared" si="149"/>
        <v>1484</v>
      </c>
      <c r="C1489" s="601">
        <v>42940</v>
      </c>
      <c r="D1489" s="683" t="s">
        <v>587</v>
      </c>
      <c r="E1489" s="572">
        <v>310500</v>
      </c>
      <c r="F1489" s="672" t="str">
        <f>IFERROR(VLOOKUP(E1489,STAT1!$C$4:$D$8000,2,FALSE),"")</f>
        <v>НӨАТ өглөг</v>
      </c>
      <c r="G1489" s="377"/>
      <c r="H1489" s="377">
        <v>10000</v>
      </c>
      <c r="I1489" s="596">
        <f t="shared" si="150"/>
        <v>0</v>
      </c>
      <c r="J1489" s="81">
        <f t="shared" si="151"/>
        <v>0</v>
      </c>
      <c r="K1489" s="81"/>
      <c r="L1489" s="673">
        <v>3007</v>
      </c>
      <c r="M1489" s="81" t="str">
        <f>+IFERROR(VLOOKUP(L1489,DATA!$G$4:$H$2000,2,FALSE),"")</f>
        <v xml:space="preserve">АЯНЧИН АУТФИТТЕРС ХХК </v>
      </c>
      <c r="N1489" s="166"/>
      <c r="O1489" s="81" t="str">
        <f>IFERROR(VLOOKUP(N1489,DATA!$K$4:$L$51,2,FALSE),"")</f>
        <v/>
      </c>
      <c r="P1489" s="81"/>
      <c r="Q1489" s="152">
        <f t="shared" si="152"/>
        <v>0</v>
      </c>
    </row>
    <row r="1490" spans="2:17">
      <c r="B1490" s="670">
        <f t="shared" si="149"/>
        <v>1485</v>
      </c>
      <c r="C1490" s="601">
        <v>42940</v>
      </c>
      <c r="D1490" s="683" t="s">
        <v>587</v>
      </c>
      <c r="E1490" s="572">
        <v>510000</v>
      </c>
      <c r="F1490" s="672" t="str">
        <f>IFERROR(VLOOKUP(E1490,STAT1!$C$4:$D$8000,2,FALSE),"")</f>
        <v>Үндсэн үйл ажиллагааны борлуулалт</v>
      </c>
      <c r="G1490" s="377"/>
      <c r="H1490" s="377">
        <v>100000</v>
      </c>
      <c r="I1490" s="596">
        <f t="shared" si="150"/>
        <v>0</v>
      </c>
      <c r="J1490" s="81">
        <f t="shared" si="151"/>
        <v>0</v>
      </c>
      <c r="K1490" s="81"/>
      <c r="L1490" s="673">
        <v>3007</v>
      </c>
      <c r="M1490" s="81" t="str">
        <f>+IFERROR(VLOOKUP(L1490,DATA!$G$4:$H$2000,2,FALSE),"")</f>
        <v xml:space="preserve">АЯНЧИН АУТФИТТЕРС ХХК </v>
      </c>
      <c r="N1490" s="166"/>
      <c r="O1490" s="81" t="str">
        <f>IFERROR(VLOOKUP(N1490,DATA!$K$4:$L$51,2,FALSE),"")</f>
        <v/>
      </c>
      <c r="P1490" s="81"/>
      <c r="Q1490" s="152">
        <f t="shared" si="152"/>
        <v>0</v>
      </c>
    </row>
    <row r="1491" spans="2:17">
      <c r="B1491" s="670">
        <f t="shared" si="149"/>
        <v>1486</v>
      </c>
      <c r="C1491" s="601">
        <v>42940</v>
      </c>
      <c r="D1491" s="683" t="s">
        <v>587</v>
      </c>
      <c r="E1491" s="572">
        <v>320100</v>
      </c>
      <c r="F1491" s="672" t="str">
        <f>IFERROR(VLOOKUP(E1491,STAT1!$C$4:$D$8000,2,FALSE),"")</f>
        <v>Урьдчилж орсон орлого MNT</v>
      </c>
      <c r="G1491" s="377">
        <v>110000</v>
      </c>
      <c r="H1491" s="377"/>
      <c r="I1491" s="596">
        <f t="shared" si="150"/>
        <v>0</v>
      </c>
      <c r="J1491" s="81">
        <f t="shared" si="151"/>
        <v>0</v>
      </c>
      <c r="K1491" s="81"/>
      <c r="L1491" s="673">
        <v>3007</v>
      </c>
      <c r="M1491" s="81" t="str">
        <f>+IFERROR(VLOOKUP(L1491,DATA!$G$4:$H$2000,2,FALSE),"")</f>
        <v xml:space="preserve">АЯНЧИН АУТФИТТЕРС ХХК </v>
      </c>
      <c r="N1491" s="166"/>
      <c r="O1491" s="81" t="str">
        <f>IFERROR(VLOOKUP(N1491,DATA!$K$4:$L$51,2,FALSE),"")</f>
        <v/>
      </c>
      <c r="P1491" s="81"/>
      <c r="Q1491" s="152">
        <f t="shared" si="152"/>
        <v>0</v>
      </c>
    </row>
    <row r="1492" spans="2:17">
      <c r="B1492" s="670">
        <f t="shared" si="149"/>
        <v>1487</v>
      </c>
      <c r="C1492" s="433">
        <v>42943</v>
      </c>
      <c r="D1492" s="377" t="s">
        <v>1715</v>
      </c>
      <c r="E1492" s="572">
        <v>100100</v>
      </c>
      <c r="F1492" s="672" t="str">
        <f>IFERROR(VLOOKUP(E1492,STAT1!$C$4:$D$1000,2,FALSE),"")</f>
        <v>Касс мөнгө MNT</v>
      </c>
      <c r="G1492" s="377"/>
      <c r="H1492" s="377">
        <v>88000</v>
      </c>
      <c r="I1492" s="596">
        <f t="shared" si="150"/>
        <v>-88000</v>
      </c>
      <c r="J1492" s="81">
        <f t="shared" si="151"/>
        <v>0</v>
      </c>
      <c r="K1492" s="81"/>
      <c r="L1492" s="597">
        <v>2005</v>
      </c>
      <c r="M1492" s="81" t="str">
        <f>+IFERROR(VLOOKUP(L1492,DATA!$G$4:$H$2000,2,FALSE),"")</f>
        <v xml:space="preserve">УСУГ ТӨХК </v>
      </c>
      <c r="N1492" s="435">
        <v>54</v>
      </c>
      <c r="O1492" s="81" t="str">
        <f>IFERROR(VLOOKUP(N1492,DATA!$K$4:$L$51,2,FALSE),"")</f>
        <v>Ашиглалтын зардалд төлсөн</v>
      </c>
      <c r="P1492" s="81"/>
      <c r="Q1492" s="152">
        <f t="shared" si="152"/>
        <v>1</v>
      </c>
    </row>
    <row r="1493" spans="2:17">
      <c r="B1493" s="670">
        <f t="shared" si="149"/>
        <v>1488</v>
      </c>
      <c r="C1493" s="433">
        <v>42943</v>
      </c>
      <c r="D1493" s="377" t="s">
        <v>1715</v>
      </c>
      <c r="E1493" s="572">
        <v>120600</v>
      </c>
      <c r="F1493" s="672" t="str">
        <f>IFERROR(VLOOKUP(E1493,STAT1!$C$4:$D$1000,2,FALSE),"")</f>
        <v>НӨАТ авлага</v>
      </c>
      <c r="G1493" s="377">
        <v>7948</v>
      </c>
      <c r="H1493" s="377"/>
      <c r="I1493" s="596">
        <f t="shared" si="150"/>
        <v>0</v>
      </c>
      <c r="J1493" s="81">
        <f t="shared" si="151"/>
        <v>0</v>
      </c>
      <c r="K1493" s="81"/>
      <c r="L1493" s="597">
        <v>2005</v>
      </c>
      <c r="M1493" s="81" t="str">
        <f>+IFERROR(VLOOKUP(L1493,DATA!$G$4:$H$2000,2,FALSE),"")</f>
        <v xml:space="preserve">УСУГ ТӨХК </v>
      </c>
      <c r="N1493" s="435"/>
      <c r="O1493" s="81" t="str">
        <f>IFERROR(VLOOKUP(N1493,DATA!$K$4:$L$51,2,FALSE),"")</f>
        <v/>
      </c>
      <c r="P1493" s="81"/>
      <c r="Q1493" s="152">
        <f t="shared" si="152"/>
        <v>0</v>
      </c>
    </row>
    <row r="1494" spans="2:17">
      <c r="B1494" s="670">
        <f t="shared" si="149"/>
        <v>1489</v>
      </c>
      <c r="C1494" s="433">
        <v>42943</v>
      </c>
      <c r="D1494" s="377" t="s">
        <v>1715</v>
      </c>
      <c r="E1494" s="572">
        <v>700900</v>
      </c>
      <c r="F1494" s="672" t="str">
        <f>IFERROR(VLOOKUP(E1494,STAT1!$C$4:$D$1000,2,FALSE),"")</f>
        <v>Уур, ус</v>
      </c>
      <c r="G1494" s="377">
        <v>80052</v>
      </c>
      <c r="H1494" s="377">
        <v>0</v>
      </c>
      <c r="I1494" s="596">
        <f t="shared" si="150"/>
        <v>0</v>
      </c>
      <c r="J1494" s="81">
        <f t="shared" si="151"/>
        <v>0</v>
      </c>
      <c r="K1494" s="81"/>
      <c r="L1494" s="597">
        <v>2005</v>
      </c>
      <c r="M1494" s="81" t="str">
        <f>+IFERROR(VLOOKUP(L1494,DATA!$G$4:$H$2000,2,FALSE),"")</f>
        <v xml:space="preserve">УСУГ ТӨХК </v>
      </c>
      <c r="N1494" s="435"/>
      <c r="O1494" s="81" t="str">
        <f>IFERROR(VLOOKUP(N1494,DATA!$K$4:$L$51,2,FALSE),"")</f>
        <v/>
      </c>
      <c r="P1494" s="81"/>
      <c r="Q1494" s="152">
        <f t="shared" si="152"/>
        <v>0</v>
      </c>
    </row>
    <row r="1495" spans="2:17">
      <c r="B1495" s="670">
        <f t="shared" si="149"/>
        <v>1490</v>
      </c>
      <c r="C1495" s="433">
        <v>42943</v>
      </c>
      <c r="D1495" s="598" t="s">
        <v>1741</v>
      </c>
      <c r="E1495" s="572">
        <v>110100</v>
      </c>
      <c r="F1495" s="672" t="str">
        <f>IFERROR(VLOOKUP(E1495,STAT1!$C$4:$D$1000,2,FALSE),"")</f>
        <v>Хаан Банк 5024654020</v>
      </c>
      <c r="G1495" s="377">
        <v>1124350</v>
      </c>
      <c r="H1495" s="377"/>
      <c r="I1495" s="596">
        <f t="shared" si="150"/>
        <v>1124350</v>
      </c>
      <c r="J1495" s="81">
        <f t="shared" si="151"/>
        <v>0</v>
      </c>
      <c r="K1495" s="81"/>
      <c r="L1495" s="597">
        <v>3081</v>
      </c>
      <c r="M1495" s="81" t="str">
        <f>+IFERROR(VLOOKUP(L1495,DATA!$G$4:$H$2000,2,FALSE),"")</f>
        <v>ПИ АЙ ЭМ ЭМ ХХК</v>
      </c>
      <c r="N1495" s="435">
        <v>41</v>
      </c>
      <c r="O1495" s="81" t="str">
        <f>IFERROR(VLOOKUP(N1495,DATA!$K$4:$L$51,2,FALSE),"")</f>
        <v>Бараа борлуулсан, үйлчилгээ үзүүлсэний орлого</v>
      </c>
      <c r="P1495" s="81"/>
      <c r="Q1495" s="152">
        <f t="shared" si="152"/>
        <v>1</v>
      </c>
    </row>
    <row r="1496" spans="2:17">
      <c r="B1496" s="670">
        <f t="shared" si="149"/>
        <v>1491</v>
      </c>
      <c r="C1496" s="433">
        <v>42943</v>
      </c>
      <c r="D1496" s="598" t="s">
        <v>1741</v>
      </c>
      <c r="E1496" s="572">
        <v>320100</v>
      </c>
      <c r="F1496" s="672" t="str">
        <f>IFERROR(VLOOKUP(E1496,STAT1!$C$4:$D$1000,2,FALSE),"")</f>
        <v>Урьдчилж орсон орлого MNT</v>
      </c>
      <c r="G1496" s="377">
        <v>0</v>
      </c>
      <c r="H1496" s="377">
        <v>1124350</v>
      </c>
      <c r="I1496" s="596">
        <f t="shared" si="150"/>
        <v>0</v>
      </c>
      <c r="J1496" s="81">
        <f t="shared" si="151"/>
        <v>0</v>
      </c>
      <c r="K1496" s="81"/>
      <c r="L1496" s="597">
        <v>3081</v>
      </c>
      <c r="M1496" s="81" t="str">
        <f>+IFERROR(VLOOKUP(L1496,DATA!$G$4:$H$2000,2,FALSE),"")</f>
        <v>ПИ АЙ ЭМ ЭМ ХХК</v>
      </c>
      <c r="N1496" s="435"/>
      <c r="O1496" s="81" t="str">
        <f>IFERROR(VLOOKUP(N1496,DATA!$K$4:$L$51,2,FALSE),"")</f>
        <v/>
      </c>
      <c r="P1496" s="81"/>
      <c r="Q1496" s="152">
        <f t="shared" si="152"/>
        <v>0</v>
      </c>
    </row>
    <row r="1497" spans="2:17">
      <c r="B1497" s="670">
        <f t="shared" si="149"/>
        <v>1492</v>
      </c>
      <c r="C1497" s="601">
        <v>42943</v>
      </c>
      <c r="D1497" s="683" t="s">
        <v>2698</v>
      </c>
      <c r="E1497" s="572">
        <v>610100</v>
      </c>
      <c r="F1497" s="672" t="str">
        <f>IFERROR(VLOOKUP(E1497,STAT1!$C$4:$D$8000,2,FALSE),"")</f>
        <v>Борлуулсан барааны өртөг</v>
      </c>
      <c r="G1497" s="377">
        <v>354160.23</v>
      </c>
      <c r="H1497" s="377"/>
      <c r="I1497" s="596">
        <f t="shared" si="150"/>
        <v>0</v>
      </c>
      <c r="J1497" s="81">
        <f t="shared" si="151"/>
        <v>0</v>
      </c>
      <c r="K1497" s="81"/>
      <c r="L1497" s="673">
        <v>3010</v>
      </c>
      <c r="M1497" s="81" t="str">
        <f>+IFERROR(VLOOKUP(L1497,DATA!$G$4:$H$2000,2,FALSE),"")</f>
        <v xml:space="preserve">РЕНДЕР ХХК </v>
      </c>
      <c r="N1497" s="166"/>
      <c r="O1497" s="81" t="str">
        <f>IFERROR(VLOOKUP(N1497,DATA!$K$4:$L$51,2,FALSE),"")</f>
        <v/>
      </c>
      <c r="P1497" s="81"/>
      <c r="Q1497" s="152">
        <f t="shared" si="152"/>
        <v>0</v>
      </c>
    </row>
    <row r="1498" spans="2:17">
      <c r="B1498" s="670">
        <f t="shared" si="149"/>
        <v>1493</v>
      </c>
      <c r="C1498" s="601">
        <v>42943</v>
      </c>
      <c r="D1498" s="683" t="s">
        <v>587</v>
      </c>
      <c r="E1498" s="572">
        <v>310500</v>
      </c>
      <c r="F1498" s="672" t="str">
        <f>IFERROR(VLOOKUP(E1498,STAT1!$C$4:$D$8000,2,FALSE),"")</f>
        <v>НӨАТ өглөг</v>
      </c>
      <c r="G1498" s="377"/>
      <c r="H1498" s="377">
        <v>53200</v>
      </c>
      <c r="I1498" s="596">
        <f t="shared" si="150"/>
        <v>0</v>
      </c>
      <c r="J1498" s="81">
        <f t="shared" si="151"/>
        <v>0</v>
      </c>
      <c r="K1498" s="81"/>
      <c r="L1498" s="673">
        <v>3010</v>
      </c>
      <c r="M1498" s="81" t="str">
        <f>+IFERROR(VLOOKUP(L1498,DATA!$G$4:$H$2000,2,FALSE),"")</f>
        <v xml:space="preserve">РЕНДЕР ХХК </v>
      </c>
      <c r="N1498" s="166"/>
      <c r="O1498" s="81" t="str">
        <f>IFERROR(VLOOKUP(N1498,DATA!$K$4:$L$51,2,FALSE),"")</f>
        <v/>
      </c>
      <c r="P1498" s="81"/>
      <c r="Q1498" s="152">
        <f t="shared" si="152"/>
        <v>0</v>
      </c>
    </row>
    <row r="1499" spans="2:17">
      <c r="B1499" s="670">
        <f t="shared" si="149"/>
        <v>1494</v>
      </c>
      <c r="C1499" s="601">
        <v>42943</v>
      </c>
      <c r="D1499" s="683" t="s">
        <v>587</v>
      </c>
      <c r="E1499" s="572">
        <v>510000</v>
      </c>
      <c r="F1499" s="672" t="str">
        <f>IFERROR(VLOOKUP(E1499,STAT1!$C$4:$D$8000,2,FALSE),"")</f>
        <v>Үндсэн үйл ажиллагааны борлуулалт</v>
      </c>
      <c r="G1499" s="377"/>
      <c r="H1499" s="377">
        <v>532000</v>
      </c>
      <c r="I1499" s="596">
        <f t="shared" si="150"/>
        <v>0</v>
      </c>
      <c r="J1499" s="81">
        <f t="shared" si="151"/>
        <v>0</v>
      </c>
      <c r="K1499" s="81"/>
      <c r="L1499" s="673">
        <v>3010</v>
      </c>
      <c r="M1499" s="81" t="str">
        <f>+IFERROR(VLOOKUP(L1499,DATA!$G$4:$H$2000,2,FALSE),"")</f>
        <v xml:space="preserve">РЕНДЕР ХХК </v>
      </c>
      <c r="N1499" s="166"/>
      <c r="O1499" s="81" t="str">
        <f>IFERROR(VLOOKUP(N1499,DATA!$K$4:$L$51,2,FALSE),"")</f>
        <v/>
      </c>
      <c r="P1499" s="81"/>
      <c r="Q1499" s="152">
        <f t="shared" si="152"/>
        <v>0</v>
      </c>
    </row>
    <row r="1500" spans="2:17">
      <c r="B1500" s="670">
        <f t="shared" si="149"/>
        <v>1495</v>
      </c>
      <c r="C1500" s="601">
        <v>42943</v>
      </c>
      <c r="D1500" s="683" t="s">
        <v>587</v>
      </c>
      <c r="E1500" s="572">
        <v>320100</v>
      </c>
      <c r="F1500" s="672" t="str">
        <f>IFERROR(VLOOKUP(E1500,STAT1!$C$4:$D$8000,2,FALSE),"")</f>
        <v>Урьдчилж орсон орлого MNT</v>
      </c>
      <c r="G1500" s="377">
        <v>585200</v>
      </c>
      <c r="H1500" s="377"/>
      <c r="I1500" s="596">
        <f t="shared" si="150"/>
        <v>0</v>
      </c>
      <c r="J1500" s="81">
        <f t="shared" si="151"/>
        <v>0</v>
      </c>
      <c r="K1500" s="81"/>
      <c r="L1500" s="673">
        <v>3010</v>
      </c>
      <c r="M1500" s="81" t="str">
        <f>+IFERROR(VLOOKUP(L1500,DATA!$G$4:$H$2000,2,FALSE),"")</f>
        <v xml:space="preserve">РЕНДЕР ХХК </v>
      </c>
      <c r="N1500" s="166"/>
      <c r="O1500" s="81" t="str">
        <f>IFERROR(VLOOKUP(N1500,DATA!$K$4:$L$51,2,FALSE),"")</f>
        <v/>
      </c>
      <c r="P1500" s="81"/>
      <c r="Q1500" s="152">
        <f t="shared" si="152"/>
        <v>0</v>
      </c>
    </row>
    <row r="1501" spans="2:17">
      <c r="B1501" s="670">
        <f t="shared" si="149"/>
        <v>1496</v>
      </c>
      <c r="C1501" s="601">
        <v>42943</v>
      </c>
      <c r="D1501" s="683" t="s">
        <v>2698</v>
      </c>
      <c r="E1501" s="573">
        <v>150101</v>
      </c>
      <c r="F1501" s="672" t="str">
        <f>IFERROR(VLOOKUP(E1501,STAT1!$C$4:$D$8000,2,FALSE),"")</f>
        <v>Бараа бэлэн бүтээгдэхүүн БОЛОВСРУУЛАХ ЦЕХ /нарс/</v>
      </c>
      <c r="G1501" s="377"/>
      <c r="H1501" s="377">
        <v>104431.1806184375</v>
      </c>
      <c r="I1501" s="596">
        <f t="shared" si="150"/>
        <v>0</v>
      </c>
      <c r="J1501" s="81">
        <f t="shared" si="151"/>
        <v>0</v>
      </c>
      <c r="K1501" s="81"/>
      <c r="L1501" s="673">
        <v>3076</v>
      </c>
      <c r="M1501" s="81" t="str">
        <f>+IFERROR(VLOOKUP(L1501,DATA!$G$4:$H$2000,2,FALSE),"")</f>
        <v>ЖИ ЭЙ БИ ӨҮ ТИ ХХК</v>
      </c>
      <c r="N1501" s="166"/>
      <c r="O1501" s="81" t="str">
        <f>IFERROR(VLOOKUP(N1501,DATA!$K$4:$L$51,2,FALSE),"")</f>
        <v/>
      </c>
      <c r="P1501" s="81"/>
      <c r="Q1501" s="152">
        <f t="shared" si="152"/>
        <v>0</v>
      </c>
    </row>
    <row r="1502" spans="2:17">
      <c r="B1502" s="670">
        <f t="shared" si="149"/>
        <v>1497</v>
      </c>
      <c r="C1502" s="601">
        <v>42943</v>
      </c>
      <c r="D1502" s="683" t="s">
        <v>587</v>
      </c>
      <c r="E1502" s="572">
        <v>610100</v>
      </c>
      <c r="F1502" s="672" t="str">
        <f>IFERROR(VLOOKUP(E1502,STAT1!$C$4:$D$8000,2,FALSE),"")</f>
        <v>Борлуулсан барааны өртөг</v>
      </c>
      <c r="G1502" s="377">
        <v>104431.1806184375</v>
      </c>
      <c r="H1502" s="377"/>
      <c r="I1502" s="596">
        <f t="shared" si="150"/>
        <v>0</v>
      </c>
      <c r="J1502" s="81">
        <f t="shared" si="151"/>
        <v>0</v>
      </c>
      <c r="K1502" s="81"/>
      <c r="L1502" s="673">
        <v>3076</v>
      </c>
      <c r="M1502" s="81" t="str">
        <f>+IFERROR(VLOOKUP(L1502,DATA!$G$4:$H$2000,2,FALSE),"")</f>
        <v>ЖИ ЭЙ БИ ӨҮ ТИ ХХК</v>
      </c>
      <c r="N1502" s="166"/>
      <c r="O1502" s="81" t="str">
        <f>IFERROR(VLOOKUP(N1502,DATA!$K$4:$L$51,2,FALSE),"")</f>
        <v/>
      </c>
      <c r="P1502" s="81"/>
      <c r="Q1502" s="152">
        <f t="shared" si="152"/>
        <v>0</v>
      </c>
    </row>
    <row r="1503" spans="2:17">
      <c r="B1503" s="670">
        <f t="shared" si="149"/>
        <v>1498</v>
      </c>
      <c r="C1503" s="601">
        <v>42943</v>
      </c>
      <c r="D1503" s="683" t="s">
        <v>587</v>
      </c>
      <c r="E1503" s="572">
        <v>310500</v>
      </c>
      <c r="F1503" s="672" t="str">
        <f>IFERROR(VLOOKUP(E1503,STAT1!$C$4:$D$8000,2,FALSE),"")</f>
        <v>НӨАТ өглөг</v>
      </c>
      <c r="G1503" s="377"/>
      <c r="H1503" s="377">
        <v>16999.999985500002</v>
      </c>
      <c r="I1503" s="596">
        <f t="shared" si="150"/>
        <v>0</v>
      </c>
      <c r="J1503" s="81">
        <f t="shared" si="151"/>
        <v>0</v>
      </c>
      <c r="K1503" s="81"/>
      <c r="L1503" s="673">
        <v>3076</v>
      </c>
      <c r="M1503" s="81" t="str">
        <f>+IFERROR(VLOOKUP(L1503,DATA!$G$4:$H$2000,2,FALSE),"")</f>
        <v>ЖИ ЭЙ БИ ӨҮ ТИ ХХК</v>
      </c>
      <c r="N1503" s="166"/>
      <c r="O1503" s="81" t="str">
        <f>IFERROR(VLOOKUP(N1503,DATA!$K$4:$L$51,2,FALSE),"")</f>
        <v/>
      </c>
      <c r="P1503" s="81"/>
      <c r="Q1503" s="152">
        <f t="shared" si="152"/>
        <v>0</v>
      </c>
    </row>
    <row r="1504" spans="2:17">
      <c r="B1504" s="670">
        <f t="shared" si="149"/>
        <v>1499</v>
      </c>
      <c r="C1504" s="601">
        <v>42943</v>
      </c>
      <c r="D1504" s="683" t="s">
        <v>587</v>
      </c>
      <c r="E1504" s="572">
        <v>510000</v>
      </c>
      <c r="F1504" s="672" t="str">
        <f>IFERROR(VLOOKUP(E1504,STAT1!$C$4:$D$8000,2,FALSE),"")</f>
        <v>Үндсэн үйл ажиллагааны борлуулалт</v>
      </c>
      <c r="G1504" s="377"/>
      <c r="H1504" s="377">
        <v>170000</v>
      </c>
      <c r="I1504" s="596">
        <f t="shared" si="150"/>
        <v>0</v>
      </c>
      <c r="J1504" s="81">
        <f t="shared" si="151"/>
        <v>0</v>
      </c>
      <c r="K1504" s="81"/>
      <c r="L1504" s="673">
        <v>3076</v>
      </c>
      <c r="M1504" s="81" t="str">
        <f>+IFERROR(VLOOKUP(L1504,DATA!$G$4:$H$2000,2,FALSE),"")</f>
        <v>ЖИ ЭЙ БИ ӨҮ ТИ ХХК</v>
      </c>
      <c r="N1504" s="166"/>
      <c r="O1504" s="81" t="str">
        <f>IFERROR(VLOOKUP(N1504,DATA!$K$4:$L$51,2,FALSE),"")</f>
        <v/>
      </c>
      <c r="P1504" s="81"/>
      <c r="Q1504" s="152">
        <f t="shared" si="152"/>
        <v>0</v>
      </c>
    </row>
    <row r="1505" spans="2:17">
      <c r="B1505" s="670">
        <f t="shared" si="149"/>
        <v>1500</v>
      </c>
      <c r="C1505" s="601">
        <v>42943</v>
      </c>
      <c r="D1505" s="683" t="s">
        <v>587</v>
      </c>
      <c r="E1505" s="572">
        <v>320100</v>
      </c>
      <c r="F1505" s="672" t="str">
        <f>IFERROR(VLOOKUP(E1505,STAT1!$C$4:$D$8000,2,FALSE),"")</f>
        <v>Урьдчилж орсон орлого MNT</v>
      </c>
      <c r="G1505" s="377">
        <v>187000</v>
      </c>
      <c r="H1505" s="377"/>
      <c r="I1505" s="596">
        <f t="shared" si="150"/>
        <v>0</v>
      </c>
      <c r="J1505" s="81">
        <f t="shared" si="151"/>
        <v>0</v>
      </c>
      <c r="K1505" s="81"/>
      <c r="L1505" s="673">
        <v>3076</v>
      </c>
      <c r="M1505" s="81" t="str">
        <f>+IFERROR(VLOOKUP(L1505,DATA!$G$4:$H$2000,2,FALSE),"")</f>
        <v>ЖИ ЭЙ БИ ӨҮ ТИ ХХК</v>
      </c>
      <c r="N1505" s="166"/>
      <c r="O1505" s="81" t="str">
        <f>IFERROR(VLOOKUP(N1505,DATA!$K$4:$L$51,2,FALSE),"")</f>
        <v/>
      </c>
      <c r="P1505" s="81"/>
      <c r="Q1505" s="152">
        <f t="shared" si="152"/>
        <v>0</v>
      </c>
    </row>
    <row r="1506" spans="2:17">
      <c r="B1506" s="670">
        <f t="shared" si="149"/>
        <v>1501</v>
      </c>
      <c r="C1506" s="433">
        <v>42947</v>
      </c>
      <c r="D1506" s="377" t="s">
        <v>1355</v>
      </c>
      <c r="E1506" s="572">
        <v>100100</v>
      </c>
      <c r="F1506" s="672" t="str">
        <f>IFERROR(VLOOKUP(E1506,STAT1!$C$4:$D$1000,2,FALSE),"")</f>
        <v>Касс мөнгө MNT</v>
      </c>
      <c r="G1506" s="377"/>
      <c r="H1506" s="377">
        <v>45000</v>
      </c>
      <c r="I1506" s="596">
        <f t="shared" si="150"/>
        <v>-45000</v>
      </c>
      <c r="J1506" s="81">
        <f t="shared" si="151"/>
        <v>0</v>
      </c>
      <c r="K1506" s="81"/>
      <c r="L1506" s="597">
        <v>1003</v>
      </c>
      <c r="M1506" s="81" t="str">
        <f>+IFERROR(VLOOKUP(L1506,DATA!$G$4:$H$2000,2,FALSE),"")</f>
        <v>Бахдамдэмбэрэл</v>
      </c>
      <c r="N1506" s="435">
        <v>55</v>
      </c>
      <c r="O1506" s="81" t="str">
        <f>IFERROR(VLOOKUP(N1506,DATA!$K$4:$L$51,2,FALSE),"")</f>
        <v>Түлш, шатахуун, тээврийн хөлс, сэлбэг хэрэгсэлд төлсөн</v>
      </c>
      <c r="P1506" s="81"/>
      <c r="Q1506" s="152">
        <f t="shared" si="152"/>
        <v>1</v>
      </c>
    </row>
    <row r="1507" spans="2:17">
      <c r="B1507" s="670">
        <f t="shared" si="149"/>
        <v>1502</v>
      </c>
      <c r="C1507" s="433">
        <v>42947</v>
      </c>
      <c r="D1507" s="377" t="s">
        <v>1355</v>
      </c>
      <c r="E1507" s="572">
        <v>120600</v>
      </c>
      <c r="F1507" s="672" t="str">
        <f>IFERROR(VLOOKUP(E1507,STAT1!$C$4:$D$1000,2,FALSE),"")</f>
        <v>НӨАТ авлага</v>
      </c>
      <c r="G1507" s="377">
        <v>4090.91</v>
      </c>
      <c r="H1507" s="377"/>
      <c r="I1507" s="596">
        <f t="shared" si="150"/>
        <v>0</v>
      </c>
      <c r="J1507" s="81">
        <f t="shared" si="151"/>
        <v>0</v>
      </c>
      <c r="K1507" s="81"/>
      <c r="L1507" s="597">
        <v>1003</v>
      </c>
      <c r="M1507" s="81" t="str">
        <f>+IFERROR(VLOOKUP(L1507,DATA!$G$4:$H$2000,2,FALSE),"")</f>
        <v>Бахдамдэмбэрэл</v>
      </c>
      <c r="N1507" s="435"/>
      <c r="O1507" s="81" t="str">
        <f>IFERROR(VLOOKUP(N1507,DATA!$K$4:$L$51,2,FALSE),"")</f>
        <v/>
      </c>
      <c r="P1507" s="81"/>
      <c r="Q1507" s="152">
        <f t="shared" si="152"/>
        <v>0</v>
      </c>
    </row>
    <row r="1508" spans="2:17">
      <c r="B1508" s="670">
        <f t="shared" si="149"/>
        <v>1503</v>
      </c>
      <c r="C1508" s="433">
        <v>42947</v>
      </c>
      <c r="D1508" s="377" t="s">
        <v>1355</v>
      </c>
      <c r="E1508" s="572">
        <v>702000</v>
      </c>
      <c r="F1508" s="672" t="str">
        <f>IFERROR(VLOOKUP(E1508,STAT1!$C$4:$D$1000,2,FALSE),"")</f>
        <v>Түлш, шатахуун</v>
      </c>
      <c r="G1508" s="377">
        <v>40909.089999999997</v>
      </c>
      <c r="H1508" s="377">
        <v>0</v>
      </c>
      <c r="I1508" s="596">
        <f t="shared" si="150"/>
        <v>0</v>
      </c>
      <c r="J1508" s="81">
        <f t="shared" si="151"/>
        <v>0</v>
      </c>
      <c r="K1508" s="81"/>
      <c r="L1508" s="597">
        <v>1003</v>
      </c>
      <c r="M1508" s="81" t="str">
        <f>+IFERROR(VLOOKUP(L1508,DATA!$G$4:$H$2000,2,FALSE),"")</f>
        <v>Бахдамдэмбэрэл</v>
      </c>
      <c r="N1508" s="435"/>
      <c r="O1508" s="81" t="str">
        <f>IFERROR(VLOOKUP(N1508,DATA!$K$4:$L$51,2,FALSE),"")</f>
        <v/>
      </c>
      <c r="P1508" s="81"/>
      <c r="Q1508" s="152">
        <f t="shared" si="152"/>
        <v>0</v>
      </c>
    </row>
    <row r="1509" spans="2:17">
      <c r="B1509" s="670">
        <f t="shared" si="149"/>
        <v>1504</v>
      </c>
      <c r="C1509" s="433">
        <v>42947</v>
      </c>
      <c r="D1509" s="377" t="s">
        <v>1738</v>
      </c>
      <c r="E1509" s="572">
        <v>100100</v>
      </c>
      <c r="F1509" s="672" t="str">
        <f>IFERROR(VLOOKUP(E1509,STAT1!$C$4:$D$1000,2,FALSE),"")</f>
        <v>Касс мөнгө MNT</v>
      </c>
      <c r="G1509" s="377"/>
      <c r="H1509" s="377">
        <v>8646763.9399999995</v>
      </c>
      <c r="I1509" s="596">
        <f t="shared" si="150"/>
        <v>-8646763.9399999995</v>
      </c>
      <c r="J1509" s="81">
        <f t="shared" si="151"/>
        <v>0</v>
      </c>
      <c r="K1509" s="81"/>
      <c r="L1509" s="597">
        <v>1004</v>
      </c>
      <c r="M1509" s="81" t="str">
        <f>+IFERROR(VLOOKUP(L1509,DATA!$G$4:$H$2000,2,FALSE),"")</f>
        <v xml:space="preserve">Түмэндэлгэр </v>
      </c>
      <c r="N1509" s="435">
        <v>51</v>
      </c>
      <c r="O1509" s="81" t="str">
        <f>IFERROR(VLOOKUP(N1509,DATA!$K$4:$L$51,2,FALSE),"")</f>
        <v>Ажиллагчдад төлсөн</v>
      </c>
      <c r="P1509" s="81"/>
      <c r="Q1509" s="152">
        <f t="shared" si="152"/>
        <v>1</v>
      </c>
    </row>
    <row r="1510" spans="2:17">
      <c r="B1510" s="670">
        <f t="shared" si="149"/>
        <v>1505</v>
      </c>
      <c r="C1510" s="433">
        <v>42947</v>
      </c>
      <c r="D1510" s="377" t="s">
        <v>1738</v>
      </c>
      <c r="E1510" s="572">
        <v>311000</v>
      </c>
      <c r="F1510" s="672" t="str">
        <f>IFERROR(VLOOKUP(E1510,STAT1!$C$4:$D$1000,2,FALSE),"")</f>
        <v>Цалингийн өглөг</v>
      </c>
      <c r="G1510" s="377">
        <v>8646763.9399999995</v>
      </c>
      <c r="H1510" s="377">
        <v>0</v>
      </c>
      <c r="I1510" s="596">
        <f t="shared" si="150"/>
        <v>0</v>
      </c>
      <c r="J1510" s="81">
        <f t="shared" ref="J1510:J1528" si="153">+IF(E1510=110102,I1510/K1510,0)</f>
        <v>0</v>
      </c>
      <c r="K1510" s="81"/>
      <c r="L1510" s="597">
        <v>1004</v>
      </c>
      <c r="M1510" s="81" t="str">
        <f>+IFERROR(VLOOKUP(L1510,DATA!$G$4:$H$2000,2,FALSE),"")</f>
        <v xml:space="preserve">Түмэндэлгэр </v>
      </c>
      <c r="N1510" s="435"/>
      <c r="O1510" s="81" t="str">
        <f>IFERROR(VLOOKUP(N1510,DATA!$K$4:$L$51,2,FALSE),"")</f>
        <v/>
      </c>
      <c r="P1510" s="81"/>
      <c r="Q1510" s="152">
        <f t="shared" si="152"/>
        <v>0</v>
      </c>
    </row>
    <row r="1511" spans="2:17">
      <c r="B1511" s="670">
        <f t="shared" si="149"/>
        <v>1506</v>
      </c>
      <c r="C1511" s="433">
        <v>42947</v>
      </c>
      <c r="D1511" s="598" t="s">
        <v>1741</v>
      </c>
      <c r="E1511" s="572">
        <v>110100</v>
      </c>
      <c r="F1511" s="672" t="str">
        <f>IFERROR(VLOOKUP(E1511,STAT1!$C$4:$D$1000,2,FALSE),"")</f>
        <v>Хаан Банк 5024654020</v>
      </c>
      <c r="G1511" s="377">
        <v>1053000</v>
      </c>
      <c r="H1511" s="377"/>
      <c r="I1511" s="596">
        <f t="shared" si="150"/>
        <v>1053000</v>
      </c>
      <c r="J1511" s="81">
        <f t="shared" si="153"/>
        <v>0</v>
      </c>
      <c r="K1511" s="81"/>
      <c r="L1511" s="597">
        <v>3082</v>
      </c>
      <c r="M1511" s="81" t="str">
        <f>+IFERROR(VLOOKUP(L1511,DATA!$G$4:$H$2000,2,FALSE),"")</f>
        <v xml:space="preserve">ӨСӨХ БЭЙС ХХК </v>
      </c>
      <c r="N1511" s="435">
        <v>41</v>
      </c>
      <c r="O1511" s="81" t="str">
        <f>IFERROR(VLOOKUP(N1511,DATA!$K$4:$L$51,2,FALSE),"")</f>
        <v>Бараа борлуулсан, үйлчилгээ үзүүлсэний орлого</v>
      </c>
      <c r="P1511" s="81"/>
      <c r="Q1511" s="152">
        <f t="shared" si="152"/>
        <v>1</v>
      </c>
    </row>
    <row r="1512" spans="2:17">
      <c r="B1512" s="670">
        <f t="shared" si="149"/>
        <v>1507</v>
      </c>
      <c r="C1512" s="433">
        <v>42947</v>
      </c>
      <c r="D1512" s="598" t="s">
        <v>1741</v>
      </c>
      <c r="E1512" s="572">
        <v>320100</v>
      </c>
      <c r="F1512" s="672" t="str">
        <f>IFERROR(VLOOKUP(E1512,STAT1!$C$4:$D$1000,2,FALSE),"")</f>
        <v>Урьдчилж орсон орлого MNT</v>
      </c>
      <c r="G1512" s="377">
        <v>0</v>
      </c>
      <c r="H1512" s="377">
        <v>1053000</v>
      </c>
      <c r="I1512" s="596">
        <f t="shared" si="150"/>
        <v>0</v>
      </c>
      <c r="J1512" s="81">
        <f t="shared" si="153"/>
        <v>0</v>
      </c>
      <c r="K1512" s="81"/>
      <c r="L1512" s="597">
        <v>3082</v>
      </c>
      <c r="M1512" s="81" t="str">
        <f>+IFERROR(VLOOKUP(L1512,DATA!$G$4:$H$2000,2,FALSE),"")</f>
        <v xml:space="preserve">ӨСӨХ БЭЙС ХХК </v>
      </c>
      <c r="N1512" s="435"/>
      <c r="O1512" s="81" t="str">
        <f>IFERROR(VLOOKUP(N1512,DATA!$K$4:$L$51,2,FALSE),"")</f>
        <v/>
      </c>
      <c r="P1512" s="81"/>
      <c r="Q1512" s="152">
        <f t="shared" si="152"/>
        <v>0</v>
      </c>
    </row>
    <row r="1513" spans="2:17">
      <c r="B1513" s="670">
        <f t="shared" si="149"/>
        <v>1508</v>
      </c>
      <c r="C1513" s="433">
        <v>42947</v>
      </c>
      <c r="D1513" s="598" t="s">
        <v>1751</v>
      </c>
      <c r="E1513" s="572">
        <v>704900</v>
      </c>
      <c r="F1513" s="672" t="str">
        <f>IFERROR(VLOOKUP(E1513,STAT1!$C$4:$D$8000,2,FALSE),"")</f>
        <v>Банкны үйлчилгээ</v>
      </c>
      <c r="G1513" s="377">
        <v>2300</v>
      </c>
      <c r="H1513" s="377">
        <v>0</v>
      </c>
      <c r="I1513" s="596">
        <f t="shared" si="150"/>
        <v>0</v>
      </c>
      <c r="J1513" s="81">
        <f t="shared" si="153"/>
        <v>0</v>
      </c>
      <c r="K1513" s="81"/>
      <c r="L1513" s="597">
        <v>2009</v>
      </c>
      <c r="M1513" s="81" t="str">
        <f>+IFERROR(VLOOKUP(L1513,DATA!$G$4:$H$2000,2,FALSE),"")</f>
        <v>ХААН БАНК</v>
      </c>
      <c r="N1513" s="435"/>
      <c r="O1513" s="81" t="str">
        <f>IFERROR(VLOOKUP(N1513,DATA!$K$4:$L$51,2,FALSE),"")</f>
        <v/>
      </c>
      <c r="P1513" s="81"/>
      <c r="Q1513" s="152">
        <f t="shared" si="152"/>
        <v>0</v>
      </c>
    </row>
    <row r="1514" spans="2:17">
      <c r="B1514" s="670">
        <f t="shared" si="149"/>
        <v>1509</v>
      </c>
      <c r="C1514" s="433">
        <v>42947</v>
      </c>
      <c r="D1514" s="598" t="s">
        <v>1751</v>
      </c>
      <c r="E1514" s="572">
        <v>110100</v>
      </c>
      <c r="F1514" s="672" t="str">
        <f>IFERROR(VLOOKUP(E1514,STAT1!$C$4:$D$8000,2,FALSE),"")</f>
        <v>Хаан Банк 5024654020</v>
      </c>
      <c r="G1514" s="377"/>
      <c r="H1514" s="377">
        <v>2300</v>
      </c>
      <c r="I1514" s="596">
        <f t="shared" si="150"/>
        <v>-2300</v>
      </c>
      <c r="J1514" s="81">
        <f t="shared" si="153"/>
        <v>0</v>
      </c>
      <c r="K1514" s="81"/>
      <c r="L1514" s="597">
        <v>2009</v>
      </c>
      <c r="M1514" s="81" t="str">
        <f>+IFERROR(VLOOKUP(L1514,DATA!$G$4:$H$2000,2,FALSE),"")</f>
        <v>ХААН БАНК</v>
      </c>
      <c r="N1514" s="435">
        <v>59</v>
      </c>
      <c r="O1514" s="81" t="str">
        <f>IFERROR(VLOOKUP(N1514,DATA!$K$4:$L$51,2,FALSE),"")</f>
        <v>Бусад мөнгөн зарлага</v>
      </c>
      <c r="P1514" s="81"/>
      <c r="Q1514" s="152">
        <f t="shared" si="152"/>
        <v>1</v>
      </c>
    </row>
    <row r="1515" spans="2:17">
      <c r="B1515" s="670">
        <f t="shared" si="149"/>
        <v>1510</v>
      </c>
      <c r="C1515" s="433">
        <v>42947</v>
      </c>
      <c r="D1515" s="680" t="s">
        <v>1601</v>
      </c>
      <c r="E1515" s="572">
        <v>310800</v>
      </c>
      <c r="F1515" s="672" t="str">
        <f>IFERROR(VLOOKUP(E1515,STAT1!$C$4:$D$8000,2,FALSE),"")</f>
        <v>НД-ын байгууллагад өгөх өглөг</v>
      </c>
      <c r="G1515" s="377"/>
      <c r="H1515" s="679">
        <v>1257159.4285714284</v>
      </c>
      <c r="I1515" s="596">
        <f t="shared" si="150"/>
        <v>0</v>
      </c>
      <c r="J1515" s="81">
        <f t="shared" si="153"/>
        <v>0</v>
      </c>
      <c r="K1515" s="81"/>
      <c r="L1515" s="597">
        <v>1004</v>
      </c>
      <c r="M1515" s="81" t="str">
        <f>+IFERROR(VLOOKUP(L1515,DATA!$G$4:$H$2000,2,FALSE),"")</f>
        <v xml:space="preserve">Түмэндэлгэр </v>
      </c>
      <c r="N1515" s="166"/>
      <c r="O1515" s="81" t="str">
        <f>IFERROR(VLOOKUP(N1515,DATA!$K$4:$L$51,2,FALSE),"")</f>
        <v/>
      </c>
      <c r="P1515" s="81"/>
      <c r="Q1515" s="152">
        <f t="shared" si="152"/>
        <v>0</v>
      </c>
    </row>
    <row r="1516" spans="2:17">
      <c r="B1516" s="670">
        <f t="shared" si="149"/>
        <v>1511</v>
      </c>
      <c r="C1516" s="433">
        <v>42947</v>
      </c>
      <c r="D1516" s="680" t="s">
        <v>1601</v>
      </c>
      <c r="E1516" s="572">
        <v>700200</v>
      </c>
      <c r="F1516" s="672" t="str">
        <f>IFERROR(VLOOKUP(E1516,STAT1!$C$4:$D$8000,2,FALSE),"")</f>
        <v>НДШимтгэл</v>
      </c>
      <c r="G1516" s="679">
        <v>1257159.4285714284</v>
      </c>
      <c r="H1516" s="679"/>
      <c r="I1516" s="596">
        <f t="shared" si="150"/>
        <v>0</v>
      </c>
      <c r="J1516" s="81">
        <f t="shared" si="153"/>
        <v>0</v>
      </c>
      <c r="K1516" s="81"/>
      <c r="L1516" s="597">
        <v>1004</v>
      </c>
      <c r="M1516" s="81" t="str">
        <f>+IFERROR(VLOOKUP(L1516,DATA!$G$4:$H$2000,2,FALSE),"")</f>
        <v xml:space="preserve">Түмэндэлгэр </v>
      </c>
      <c r="N1516" s="166"/>
      <c r="O1516" s="81" t="str">
        <f>IFERROR(VLOOKUP(N1516,DATA!$K$4:$L$51,2,FALSE),"")</f>
        <v/>
      </c>
      <c r="P1516" s="81"/>
      <c r="Q1516" s="152">
        <f t="shared" si="152"/>
        <v>0</v>
      </c>
    </row>
    <row r="1517" spans="2:17">
      <c r="B1517" s="670">
        <f t="shared" si="149"/>
        <v>1512</v>
      </c>
      <c r="C1517" s="433">
        <v>42947</v>
      </c>
      <c r="D1517" s="680" t="s">
        <v>1602</v>
      </c>
      <c r="E1517" s="572">
        <v>310800</v>
      </c>
      <c r="F1517" s="672" t="str">
        <f>IFERROR(VLOOKUP(E1517,STAT1!$C$4:$D$8000,2,FALSE),"")</f>
        <v>НД-ын байгууллагад өгөх өглөг</v>
      </c>
      <c r="G1517" s="377"/>
      <c r="H1517" s="679">
        <v>1047024.1904761905</v>
      </c>
      <c r="I1517" s="596">
        <f t="shared" si="150"/>
        <v>0</v>
      </c>
      <c r="J1517" s="81">
        <f t="shared" si="153"/>
        <v>0</v>
      </c>
      <c r="K1517" s="81"/>
      <c r="L1517" s="597">
        <v>1004</v>
      </c>
      <c r="M1517" s="81" t="str">
        <f>+IFERROR(VLOOKUP(L1517,DATA!$G$4:$H$2000,2,FALSE),"")</f>
        <v xml:space="preserve">Түмэндэлгэр </v>
      </c>
      <c r="N1517" s="166"/>
      <c r="O1517" s="81" t="str">
        <f>IFERROR(VLOOKUP(N1517,DATA!$K$4:$L$51,2,FALSE),"")</f>
        <v/>
      </c>
      <c r="P1517" s="81"/>
      <c r="Q1517" s="152">
        <f t="shared" si="152"/>
        <v>0</v>
      </c>
    </row>
    <row r="1518" spans="2:17">
      <c r="B1518" s="670">
        <f t="shared" si="149"/>
        <v>1513</v>
      </c>
      <c r="C1518" s="433">
        <v>42947</v>
      </c>
      <c r="D1518" s="680" t="s">
        <v>1602</v>
      </c>
      <c r="E1518" s="572">
        <v>700100</v>
      </c>
      <c r="F1518" s="672" t="str">
        <f>IFERROR(VLOOKUP(E1518,STAT1!$C$4:$D$8000,2,FALSE),"")</f>
        <v>Цалин хөлс, шагнал</v>
      </c>
      <c r="G1518" s="679">
        <v>1047024.1904761905</v>
      </c>
      <c r="H1518" s="679"/>
      <c r="I1518" s="596">
        <f t="shared" si="150"/>
        <v>0</v>
      </c>
      <c r="J1518" s="81">
        <f t="shared" si="153"/>
        <v>0</v>
      </c>
      <c r="K1518" s="81"/>
      <c r="L1518" s="597">
        <v>1004</v>
      </c>
      <c r="M1518" s="81" t="str">
        <f>+IFERROR(VLOOKUP(L1518,DATA!$G$4:$H$2000,2,FALSE),"")</f>
        <v xml:space="preserve">Түмэндэлгэр </v>
      </c>
      <c r="N1518" s="166"/>
      <c r="O1518" s="81" t="str">
        <f>IFERROR(VLOOKUP(N1518,DATA!$K$4:$L$51,2,FALSE),"")</f>
        <v/>
      </c>
      <c r="P1518" s="81"/>
      <c r="Q1518" s="152">
        <f t="shared" si="152"/>
        <v>0</v>
      </c>
    </row>
    <row r="1519" spans="2:17">
      <c r="B1519" s="670">
        <f t="shared" si="149"/>
        <v>1514</v>
      </c>
      <c r="C1519" s="433">
        <v>42947</v>
      </c>
      <c r="D1519" s="680" t="s">
        <v>1603</v>
      </c>
      <c r="E1519" s="572">
        <v>310700</v>
      </c>
      <c r="F1519" s="672" t="str">
        <f>IFERROR(VLOOKUP(E1519,STAT1!$C$4:$D$8000,2,FALSE),"")</f>
        <v>ХАОАТ өглөг</v>
      </c>
      <c r="G1519" s="377"/>
      <c r="H1519" s="679">
        <v>812973.7714285712</v>
      </c>
      <c r="I1519" s="596">
        <f t="shared" si="150"/>
        <v>0</v>
      </c>
      <c r="J1519" s="81">
        <f t="shared" si="153"/>
        <v>0</v>
      </c>
      <c r="K1519" s="81"/>
      <c r="L1519" s="597">
        <v>1004</v>
      </c>
      <c r="M1519" s="81" t="str">
        <f>+IFERROR(VLOOKUP(L1519,DATA!$G$4:$H$2000,2,FALSE),"")</f>
        <v xml:space="preserve">Түмэндэлгэр </v>
      </c>
      <c r="N1519" s="166"/>
      <c r="O1519" s="81" t="str">
        <f>IFERROR(VLOOKUP(N1519,DATA!$K$4:$L$51,2,FALSE),"")</f>
        <v/>
      </c>
      <c r="P1519" s="81"/>
      <c r="Q1519" s="152">
        <f t="shared" si="152"/>
        <v>0</v>
      </c>
    </row>
    <row r="1520" spans="2:17">
      <c r="B1520" s="670">
        <f t="shared" si="149"/>
        <v>1515</v>
      </c>
      <c r="C1520" s="433">
        <v>42947</v>
      </c>
      <c r="D1520" s="680" t="s">
        <v>1603</v>
      </c>
      <c r="E1520" s="572">
        <v>700100</v>
      </c>
      <c r="F1520" s="672" t="str">
        <f>IFERROR(VLOOKUP(E1520,STAT1!$C$4:$D$8000,2,FALSE),"")</f>
        <v>Цалин хөлс, шагнал</v>
      </c>
      <c r="G1520" s="679">
        <v>812973.7714285712</v>
      </c>
      <c r="H1520" s="377"/>
      <c r="I1520" s="596">
        <f t="shared" si="150"/>
        <v>0</v>
      </c>
      <c r="J1520" s="81">
        <f t="shared" si="153"/>
        <v>0</v>
      </c>
      <c r="K1520" s="81"/>
      <c r="L1520" s="597">
        <v>1004</v>
      </c>
      <c r="M1520" s="81" t="str">
        <f>+IFERROR(VLOOKUP(L1520,DATA!$G$4:$H$2000,2,FALSE),"")</f>
        <v xml:space="preserve">Түмэндэлгэр </v>
      </c>
      <c r="N1520" s="166"/>
      <c r="O1520" s="81" t="str">
        <f>IFERROR(VLOOKUP(N1520,DATA!$K$4:$L$51,2,FALSE),"")</f>
        <v/>
      </c>
      <c r="P1520" s="81"/>
      <c r="Q1520" s="152">
        <f t="shared" si="152"/>
        <v>0</v>
      </c>
    </row>
    <row r="1521" spans="2:17">
      <c r="B1521" s="670">
        <f t="shared" si="149"/>
        <v>1516</v>
      </c>
      <c r="C1521" s="433">
        <v>42947</v>
      </c>
      <c r="D1521" s="680" t="s">
        <v>1604</v>
      </c>
      <c r="E1521" s="572">
        <v>311000</v>
      </c>
      <c r="F1521" s="672" t="str">
        <f>IFERROR(VLOOKUP(E1521,STAT1!$C$4:$D$8000,2,FALSE),"")</f>
        <v>Цалингийн өглөг</v>
      </c>
      <c r="G1521" s="377"/>
      <c r="H1521" s="679">
        <v>8646763.9428571425</v>
      </c>
      <c r="I1521" s="596">
        <f t="shared" si="150"/>
        <v>0</v>
      </c>
      <c r="J1521" s="81">
        <f t="shared" si="153"/>
        <v>0</v>
      </c>
      <c r="K1521" s="81"/>
      <c r="L1521" s="597">
        <v>1004</v>
      </c>
      <c r="M1521" s="81" t="str">
        <f>+IFERROR(VLOOKUP(L1521,DATA!$G$4:$H$2000,2,FALSE),"")</f>
        <v xml:space="preserve">Түмэндэлгэр </v>
      </c>
      <c r="N1521" s="166"/>
      <c r="O1521" s="81" t="str">
        <f>IFERROR(VLOOKUP(N1521,DATA!$K$4:$L$51,2,FALSE),"")</f>
        <v/>
      </c>
      <c r="P1521" s="81"/>
      <c r="Q1521" s="152">
        <f t="shared" si="152"/>
        <v>0</v>
      </c>
    </row>
    <row r="1522" spans="2:17">
      <c r="B1522" s="670">
        <f t="shared" si="149"/>
        <v>1517</v>
      </c>
      <c r="C1522" s="433">
        <v>42947</v>
      </c>
      <c r="D1522" s="680" t="s">
        <v>1604</v>
      </c>
      <c r="E1522" s="572">
        <v>700100</v>
      </c>
      <c r="F1522" s="672" t="str">
        <f>IFERROR(VLOOKUP(E1522,STAT1!$C$4:$D$8000,2,FALSE),"")</f>
        <v>Цалин хөлс, шагнал</v>
      </c>
      <c r="G1522" s="679">
        <v>8646763.9428571425</v>
      </c>
      <c r="H1522" s="377"/>
      <c r="I1522" s="596">
        <f t="shared" si="150"/>
        <v>0</v>
      </c>
      <c r="J1522" s="81">
        <f t="shared" si="153"/>
        <v>0</v>
      </c>
      <c r="K1522" s="81"/>
      <c r="L1522" s="597">
        <v>1004</v>
      </c>
      <c r="M1522" s="81" t="str">
        <f>+IFERROR(VLOOKUP(L1522,DATA!$G$4:$H$2000,2,FALSE),"")</f>
        <v xml:space="preserve">Түмэндэлгэр </v>
      </c>
      <c r="N1522" s="166"/>
      <c r="O1522" s="81" t="str">
        <f>IFERROR(VLOOKUP(N1522,DATA!$K$4:$L$51,2,FALSE),"")</f>
        <v/>
      </c>
      <c r="P1522" s="81"/>
      <c r="Q1522" s="152">
        <f t="shared" si="152"/>
        <v>0</v>
      </c>
    </row>
    <row r="1523" spans="2:17">
      <c r="B1523" s="670">
        <f t="shared" si="149"/>
        <v>1518</v>
      </c>
      <c r="C1523" s="601">
        <v>42947</v>
      </c>
      <c r="D1523" s="683" t="s">
        <v>1660</v>
      </c>
      <c r="E1523" s="573">
        <v>150101</v>
      </c>
      <c r="F1523" s="672" t="str">
        <f>IFERROR(VLOOKUP(E1523,STAT1!$C$4:$D$8000,2,FALSE),"")</f>
        <v>Бараа бэлэн бүтээгдэхүүн БОЛОВСРУУЛАХ ЦЕХ /нарс/</v>
      </c>
      <c r="G1523" s="377"/>
      <c r="H1523" s="377">
        <v>53929.093861609494</v>
      </c>
      <c r="I1523" s="596">
        <f t="shared" si="150"/>
        <v>0</v>
      </c>
      <c r="J1523" s="81">
        <f t="shared" si="153"/>
        <v>0</v>
      </c>
      <c r="K1523" s="81"/>
      <c r="L1523" s="673">
        <v>3075</v>
      </c>
      <c r="M1523" s="81" t="str">
        <f>+IFERROR(VLOOKUP(L1523,DATA!$G$4:$H$2000,2,FALSE),"")</f>
        <v>СИ АЙ ТИ ХХК</v>
      </c>
      <c r="N1523" s="166"/>
      <c r="O1523" s="81" t="str">
        <f>IFERROR(VLOOKUP(N1523,DATA!$K$4:$L$51,2,FALSE),"")</f>
        <v/>
      </c>
      <c r="P1523" s="81"/>
      <c r="Q1523" s="152">
        <f t="shared" si="152"/>
        <v>0</v>
      </c>
    </row>
    <row r="1524" spans="2:17">
      <c r="B1524" s="670">
        <f t="shared" si="149"/>
        <v>1519</v>
      </c>
      <c r="C1524" s="601">
        <v>42947</v>
      </c>
      <c r="D1524" s="683" t="s">
        <v>2698</v>
      </c>
      <c r="E1524" s="572">
        <v>610100</v>
      </c>
      <c r="F1524" s="672" t="str">
        <f>IFERROR(VLOOKUP(E1524,STAT1!$C$4:$D$8000,2,FALSE),"")</f>
        <v>Борлуулсан барааны өртөг</v>
      </c>
      <c r="G1524" s="377">
        <v>53929.093861609494</v>
      </c>
      <c r="H1524" s="377"/>
      <c r="I1524" s="596">
        <f t="shared" si="150"/>
        <v>0</v>
      </c>
      <c r="J1524" s="81">
        <f t="shared" si="153"/>
        <v>0</v>
      </c>
      <c r="K1524" s="81"/>
      <c r="L1524" s="673">
        <v>3075</v>
      </c>
      <c r="M1524" s="81" t="str">
        <f>+IFERROR(VLOOKUP(L1524,DATA!$G$4:$H$2000,2,FALSE),"")</f>
        <v>СИ АЙ ТИ ХХК</v>
      </c>
      <c r="N1524" s="166"/>
      <c r="O1524" s="81" t="str">
        <f>IFERROR(VLOOKUP(N1524,DATA!$K$4:$L$51,2,FALSE),"")</f>
        <v/>
      </c>
      <c r="P1524" s="81"/>
      <c r="Q1524" s="152">
        <f t="shared" si="152"/>
        <v>0</v>
      </c>
    </row>
    <row r="1525" spans="2:17">
      <c r="B1525" s="670">
        <f t="shared" si="149"/>
        <v>1520</v>
      </c>
      <c r="C1525" s="601">
        <v>42947</v>
      </c>
      <c r="D1525" s="683" t="s">
        <v>587</v>
      </c>
      <c r="E1525" s="572">
        <v>310500</v>
      </c>
      <c r="F1525" s="672" t="str">
        <f>IFERROR(VLOOKUP(E1525,STAT1!$C$4:$D$8000,2,FALSE),"")</f>
        <v>НӨАТ өглөг</v>
      </c>
      <c r="G1525" s="377"/>
      <c r="H1525" s="377">
        <v>10163.63599576</v>
      </c>
      <c r="I1525" s="596">
        <f t="shared" si="150"/>
        <v>0</v>
      </c>
      <c r="J1525" s="81">
        <f t="shared" si="153"/>
        <v>0</v>
      </c>
      <c r="K1525" s="81"/>
      <c r="L1525" s="673">
        <v>3075</v>
      </c>
      <c r="M1525" s="81" t="str">
        <f>+IFERROR(VLOOKUP(L1525,DATA!$G$4:$H$2000,2,FALSE),"")</f>
        <v>СИ АЙ ТИ ХХК</v>
      </c>
      <c r="N1525" s="166"/>
      <c r="O1525" s="81" t="str">
        <f>IFERROR(VLOOKUP(N1525,DATA!$K$4:$L$51,2,FALSE),"")</f>
        <v/>
      </c>
      <c r="P1525" s="81"/>
      <c r="Q1525" s="152">
        <f t="shared" si="152"/>
        <v>0</v>
      </c>
    </row>
    <row r="1526" spans="2:17">
      <c r="B1526" s="670">
        <f t="shared" si="149"/>
        <v>1521</v>
      </c>
      <c r="C1526" s="601">
        <v>42947</v>
      </c>
      <c r="D1526" s="683" t="s">
        <v>587</v>
      </c>
      <c r="E1526" s="572">
        <v>510000</v>
      </c>
      <c r="F1526" s="672" t="str">
        <f>IFERROR(VLOOKUP(E1526,STAT1!$C$4:$D$8000,2,FALSE),"")</f>
        <v>Үндсэн үйл ажиллагааны борлуулалт</v>
      </c>
      <c r="G1526" s="377"/>
      <c r="H1526" s="377">
        <v>101636.3599576</v>
      </c>
      <c r="I1526" s="596">
        <f t="shared" si="150"/>
        <v>0</v>
      </c>
      <c r="J1526" s="81">
        <f t="shared" si="153"/>
        <v>0</v>
      </c>
      <c r="K1526" s="81"/>
      <c r="L1526" s="673">
        <v>3075</v>
      </c>
      <c r="M1526" s="81" t="str">
        <f>+IFERROR(VLOOKUP(L1526,DATA!$G$4:$H$2000,2,FALSE),"")</f>
        <v>СИ АЙ ТИ ХХК</v>
      </c>
      <c r="N1526" s="166"/>
      <c r="O1526" s="81" t="str">
        <f>IFERROR(VLOOKUP(N1526,DATA!$K$4:$L$51,2,FALSE),"")</f>
        <v/>
      </c>
      <c r="P1526" s="81"/>
      <c r="Q1526" s="152">
        <f t="shared" si="152"/>
        <v>0</v>
      </c>
    </row>
    <row r="1527" spans="2:17">
      <c r="B1527" s="670">
        <f t="shared" si="149"/>
        <v>1522</v>
      </c>
      <c r="C1527" s="601">
        <v>42947</v>
      </c>
      <c r="D1527" s="683" t="s">
        <v>587</v>
      </c>
      <c r="E1527" s="572">
        <v>320100</v>
      </c>
      <c r="F1527" s="672" t="str">
        <f>IFERROR(VLOOKUP(E1527,STAT1!$C$4:$D$8000,2,FALSE),"")</f>
        <v>Урьдчилж орсон орлого MNT</v>
      </c>
      <c r="G1527" s="377">
        <v>111799.99595335999</v>
      </c>
      <c r="H1527" s="377"/>
      <c r="I1527" s="596">
        <f t="shared" si="150"/>
        <v>0</v>
      </c>
      <c r="J1527" s="81">
        <f t="shared" si="153"/>
        <v>0</v>
      </c>
      <c r="K1527" s="81"/>
      <c r="L1527" s="673">
        <v>3075</v>
      </c>
      <c r="M1527" s="81" t="str">
        <f>+IFERROR(VLOOKUP(L1527,DATA!$G$4:$H$2000,2,FALSE),"")</f>
        <v>СИ АЙ ТИ ХХК</v>
      </c>
      <c r="N1527" s="166"/>
      <c r="O1527" s="81" t="str">
        <f>IFERROR(VLOOKUP(N1527,DATA!$K$4:$L$51,2,FALSE),"")</f>
        <v/>
      </c>
      <c r="P1527" s="81"/>
      <c r="Q1527" s="152">
        <f t="shared" si="152"/>
        <v>0</v>
      </c>
    </row>
    <row r="1528" spans="2:17">
      <c r="B1528" s="670">
        <f t="shared" si="149"/>
        <v>1523</v>
      </c>
      <c r="C1528" s="601">
        <v>42948</v>
      </c>
      <c r="D1528" s="683" t="s">
        <v>1921</v>
      </c>
      <c r="E1528" s="573">
        <v>150101</v>
      </c>
      <c r="F1528" s="672" t="str">
        <f>IFERROR(VLOOKUP(E1528,STAT1!$C$4:$D$8000,2,FALSE),"")</f>
        <v>Бараа бэлэн бүтээгдэхүүн БОЛОВСРУУЛАХ ЦЕХ /нарс/</v>
      </c>
      <c r="G1528" s="377"/>
      <c r="H1528" s="377">
        <v>18156738.839549661</v>
      </c>
      <c r="I1528" s="596">
        <f t="shared" si="150"/>
        <v>0</v>
      </c>
      <c r="J1528" s="81">
        <f t="shared" si="153"/>
        <v>0</v>
      </c>
      <c r="K1528" s="81"/>
      <c r="L1528" s="673">
        <v>3001</v>
      </c>
      <c r="M1528" s="81" t="str">
        <f>+IFERROR(VLOOKUP(L1528,DATA!$G$4:$H$2000,2,FALSE),"")</f>
        <v>ХУРД ГРУПП ХХК</v>
      </c>
      <c r="N1528" s="166"/>
      <c r="O1528" s="81" t="str">
        <f>IFERROR(VLOOKUP(N1528,DATA!$K$4:$L$51,2,FALSE),"")</f>
        <v/>
      </c>
      <c r="P1528" s="81"/>
      <c r="Q1528" s="152">
        <f t="shared" si="152"/>
        <v>0</v>
      </c>
    </row>
    <row r="1529" spans="2:17">
      <c r="B1529" s="670">
        <f t="shared" si="149"/>
        <v>1524</v>
      </c>
      <c r="C1529" s="601">
        <v>42948</v>
      </c>
      <c r="D1529" s="683" t="s">
        <v>1921</v>
      </c>
      <c r="E1529" s="573">
        <v>141201</v>
      </c>
      <c r="F1529" s="672" t="str">
        <f>IFERROR(VLOOKUP(E1529,STAT1!$C$4:$D$8000,2,FALSE),"")</f>
        <v>ШМЗардал БУСАД</v>
      </c>
      <c r="G1529" s="377">
        <v>18156738.839549661</v>
      </c>
      <c r="H1529" s="377"/>
      <c r="I1529" s="596">
        <f t="shared" si="150"/>
        <v>0</v>
      </c>
      <c r="J1529" s="81"/>
      <c r="K1529" s="81"/>
      <c r="L1529" s="673">
        <v>3001</v>
      </c>
      <c r="M1529" s="81" t="str">
        <f>+IFERROR(VLOOKUP(L1529,DATA!$G$4:$H$2000,2,FALSE),"")</f>
        <v>ХУРД ГРУПП ХХК</v>
      </c>
      <c r="N1529" s="166"/>
      <c r="O1529" s="81"/>
      <c r="P1529" s="81"/>
      <c r="Q1529" s="152">
        <f t="shared" si="152"/>
        <v>0</v>
      </c>
    </row>
    <row r="1530" spans="2:17">
      <c r="B1530" s="670">
        <f t="shared" ref="B1530:B1593" si="154">+IF(C1530="","",ROW()-5)</f>
        <v>1525</v>
      </c>
      <c r="C1530" s="601">
        <v>42948</v>
      </c>
      <c r="D1530" s="683" t="s">
        <v>1921</v>
      </c>
      <c r="E1530" s="572">
        <v>160100</v>
      </c>
      <c r="F1530" s="672" t="str">
        <f>IFERROR(VLOOKUP(E1530,STAT1!$C$4:$D$8000,2,FALSE),"")</f>
        <v xml:space="preserve">Барилгын материал </v>
      </c>
      <c r="G1530" s="377"/>
      <c r="H1530" s="377">
        <v>13095662.375575041</v>
      </c>
      <c r="I1530" s="596">
        <f t="shared" si="150"/>
        <v>0</v>
      </c>
      <c r="J1530" s="81">
        <f>+IF(E1530=110102,I1530/K1530,0)</f>
        <v>0</v>
      </c>
      <c r="K1530" s="81"/>
      <c r="L1530" s="673">
        <v>3001</v>
      </c>
      <c r="M1530" s="81" t="str">
        <f>+IFERROR(VLOOKUP(L1530,DATA!$G$4:$H$2000,2,FALSE),"")</f>
        <v>ХУРД ГРУПП ХХК</v>
      </c>
      <c r="N1530" s="166"/>
      <c r="O1530" s="81" t="str">
        <f>IFERROR(VLOOKUP(N1530,DATA!$K$4:$L$51,2,FALSE),"")</f>
        <v/>
      </c>
      <c r="P1530" s="81"/>
      <c r="Q1530" s="152">
        <f t="shared" si="152"/>
        <v>0</v>
      </c>
    </row>
    <row r="1531" spans="2:17">
      <c r="B1531" s="670">
        <f t="shared" si="154"/>
        <v>1526</v>
      </c>
      <c r="C1531" s="601">
        <v>42948</v>
      </c>
      <c r="D1531" s="683" t="s">
        <v>1921</v>
      </c>
      <c r="E1531" s="572">
        <v>160200</v>
      </c>
      <c r="F1531" s="672" t="str">
        <f>IFERROR(VLOOKUP(E1531,STAT1!$C$4:$D$8000,2,FALSE),"")</f>
        <v>Агуулахад байгаа материал, хангамж</v>
      </c>
      <c r="G1531" s="377"/>
      <c r="H1531" s="377">
        <v>413666.67</v>
      </c>
      <c r="I1531" s="596">
        <f t="shared" si="150"/>
        <v>0</v>
      </c>
      <c r="J1531" s="81">
        <f>+IF(E1531=110102,I1531/K1531,0)</f>
        <v>0</v>
      </c>
      <c r="K1531" s="81"/>
      <c r="L1531" s="673">
        <v>3001</v>
      </c>
      <c r="M1531" s="81" t="str">
        <f>+IFERROR(VLOOKUP(L1531,DATA!$G$4:$H$2000,2,FALSE),"")</f>
        <v>ХУРД ГРУПП ХХК</v>
      </c>
      <c r="N1531" s="166"/>
      <c r="O1531" s="81" t="str">
        <f>IFERROR(VLOOKUP(N1531,DATA!$K$4:$L$51,2,FALSE),"")</f>
        <v/>
      </c>
      <c r="P1531" s="81"/>
      <c r="Q1531" s="152">
        <f t="shared" si="152"/>
        <v>0</v>
      </c>
    </row>
    <row r="1532" spans="2:17">
      <c r="B1532" s="670">
        <f t="shared" si="154"/>
        <v>1527</v>
      </c>
      <c r="C1532" s="601">
        <v>42948</v>
      </c>
      <c r="D1532" s="683" t="s">
        <v>1921</v>
      </c>
      <c r="E1532" s="572">
        <v>141401</v>
      </c>
      <c r="F1532" s="672" t="str">
        <f>IFERROR(VLOOKUP(E1532,STAT1!$C$4:$D$8000,2,FALSE),"")</f>
        <v xml:space="preserve">ҮНЗардал БУСАД </v>
      </c>
      <c r="G1532" s="377">
        <v>13509329.045575041</v>
      </c>
      <c r="H1532" s="377"/>
      <c r="I1532" s="596">
        <f t="shared" si="150"/>
        <v>0</v>
      </c>
      <c r="J1532" s="81"/>
      <c r="K1532" s="81"/>
      <c r="L1532" s="673">
        <v>3001</v>
      </c>
      <c r="M1532" s="81" t="str">
        <f>+IFERROR(VLOOKUP(L1532,DATA!$G$4:$H$2000,2,FALSE),"")</f>
        <v>ХУРД ГРУПП ХХК</v>
      </c>
      <c r="N1532" s="166"/>
      <c r="O1532" s="81"/>
      <c r="P1532" s="81"/>
      <c r="Q1532" s="152">
        <f t="shared" si="152"/>
        <v>0</v>
      </c>
    </row>
    <row r="1533" spans="2:17">
      <c r="B1533" s="670">
        <f t="shared" si="154"/>
        <v>1528</v>
      </c>
      <c r="C1533" s="601">
        <v>42948</v>
      </c>
      <c r="D1533" s="683" t="s">
        <v>1921</v>
      </c>
      <c r="E1533" s="572">
        <v>141501</v>
      </c>
      <c r="F1533" s="672" t="str">
        <f>IFERROR(VLOOKUP(E1533,STAT1!$C$4:$D$8000,2,FALSE),"")</f>
        <v xml:space="preserve">Нэгтгэл зардал БУСАД </v>
      </c>
      <c r="G1533" s="377">
        <v>31666067.885124702</v>
      </c>
      <c r="H1533" s="377"/>
      <c r="I1533" s="596">
        <f t="shared" si="150"/>
        <v>0</v>
      </c>
      <c r="J1533" s="81"/>
      <c r="K1533" s="81"/>
      <c r="L1533" s="673">
        <v>3001</v>
      </c>
      <c r="M1533" s="81" t="str">
        <f>+IFERROR(VLOOKUP(L1533,DATA!$G$4:$H$2000,2,FALSE),"")</f>
        <v>ХУРД ГРУПП ХХК</v>
      </c>
      <c r="N1533" s="166"/>
      <c r="O1533" s="81"/>
      <c r="P1533" s="81"/>
      <c r="Q1533" s="152">
        <f t="shared" si="152"/>
        <v>0</v>
      </c>
    </row>
    <row r="1534" spans="2:17">
      <c r="B1534" s="670">
        <f t="shared" si="154"/>
        <v>1529</v>
      </c>
      <c r="C1534" s="601">
        <v>42948</v>
      </c>
      <c r="D1534" s="683" t="s">
        <v>1921</v>
      </c>
      <c r="E1534" s="572">
        <v>141401</v>
      </c>
      <c r="F1534" s="672" t="str">
        <f>IFERROR(VLOOKUP(E1534,STAT1!$C$4:$D$8000,2,FALSE),"")</f>
        <v xml:space="preserve">ҮНЗардал БУСАД </v>
      </c>
      <c r="G1534" s="377"/>
      <c r="H1534" s="377">
        <v>13509329.045575041</v>
      </c>
      <c r="I1534" s="596">
        <f t="shared" si="150"/>
        <v>0</v>
      </c>
      <c r="J1534" s="81"/>
      <c r="K1534" s="81"/>
      <c r="L1534" s="673">
        <v>3001</v>
      </c>
      <c r="M1534" s="81" t="str">
        <f>+IFERROR(VLOOKUP(L1534,DATA!$G$4:$H$2000,2,FALSE),"")</f>
        <v>ХУРД ГРУПП ХХК</v>
      </c>
      <c r="N1534" s="166"/>
      <c r="O1534" s="81"/>
      <c r="P1534" s="81"/>
      <c r="Q1534" s="152">
        <f t="shared" si="152"/>
        <v>0</v>
      </c>
    </row>
    <row r="1535" spans="2:17">
      <c r="B1535" s="670">
        <f t="shared" si="154"/>
        <v>1530</v>
      </c>
      <c r="C1535" s="601">
        <v>42948</v>
      </c>
      <c r="D1535" s="683" t="s">
        <v>1921</v>
      </c>
      <c r="E1535" s="572">
        <v>141201</v>
      </c>
      <c r="F1535" s="672" t="str">
        <f>IFERROR(VLOOKUP(E1535,STAT1!$C$4:$D$8000,2,FALSE),"")</f>
        <v>ШМЗардал БУСАД</v>
      </c>
      <c r="G1535" s="377"/>
      <c r="H1535" s="377">
        <v>18156738.839549661</v>
      </c>
      <c r="I1535" s="596">
        <f t="shared" si="150"/>
        <v>0</v>
      </c>
      <c r="J1535" s="81"/>
      <c r="K1535" s="81"/>
      <c r="L1535" s="673">
        <v>3001</v>
      </c>
      <c r="M1535" s="81" t="str">
        <f>+IFERROR(VLOOKUP(L1535,DATA!$G$4:$H$2000,2,FALSE),"")</f>
        <v>ХУРД ГРУПП ХХК</v>
      </c>
      <c r="N1535" s="166"/>
      <c r="O1535" s="81"/>
      <c r="P1535" s="81"/>
      <c r="Q1535" s="152">
        <f t="shared" si="152"/>
        <v>0</v>
      </c>
    </row>
    <row r="1536" spans="2:17">
      <c r="B1536" s="670">
        <f t="shared" si="154"/>
        <v>1531</v>
      </c>
      <c r="C1536" s="601">
        <v>42948</v>
      </c>
      <c r="D1536" s="683" t="s">
        <v>1921</v>
      </c>
      <c r="E1536" s="573">
        <v>150101</v>
      </c>
      <c r="F1536" s="672" t="str">
        <f>IFERROR(VLOOKUP(E1536,STAT1!$C$4:$D$8000,2,FALSE),"")</f>
        <v>Бараа бэлэн бүтээгдэхүүн БОЛОВСРУУЛАХ ЦЕХ /нарс/</v>
      </c>
      <c r="G1536" s="377"/>
      <c r="H1536" s="377">
        <v>35110019.147080824</v>
      </c>
      <c r="I1536" s="596">
        <f t="shared" si="150"/>
        <v>0</v>
      </c>
      <c r="J1536" s="81"/>
      <c r="K1536" s="81"/>
      <c r="L1536" s="673">
        <v>3001</v>
      </c>
      <c r="M1536" s="81" t="str">
        <f>+IFERROR(VLOOKUP(L1536,DATA!$G$4:$H$2000,2,FALSE),"")</f>
        <v>ХУРД ГРУПП ХХК</v>
      </c>
      <c r="N1536" s="166"/>
      <c r="O1536" s="81"/>
      <c r="P1536" s="81"/>
      <c r="Q1536" s="152">
        <f t="shared" si="152"/>
        <v>0</v>
      </c>
    </row>
    <row r="1537" spans="2:17">
      <c r="B1537" s="670">
        <f t="shared" si="154"/>
        <v>1532</v>
      </c>
      <c r="C1537" s="601">
        <v>42948</v>
      </c>
      <c r="D1537" s="683" t="s">
        <v>1921</v>
      </c>
      <c r="E1537" s="572">
        <v>141201</v>
      </c>
      <c r="F1537" s="672" t="str">
        <f>IFERROR(VLOOKUP(E1537,STAT1!$C$4:$D$8000,2,FALSE),"")</f>
        <v>ШМЗардал БУСАД</v>
      </c>
      <c r="G1537" s="377">
        <v>35110019.147080824</v>
      </c>
      <c r="H1537" s="377"/>
      <c r="I1537" s="596">
        <f t="shared" si="150"/>
        <v>0</v>
      </c>
      <c r="J1537" s="81"/>
      <c r="K1537" s="81"/>
      <c r="L1537" s="673">
        <v>3001</v>
      </c>
      <c r="M1537" s="81" t="str">
        <f>+IFERROR(VLOOKUP(L1537,DATA!$G$4:$H$2000,2,FALSE),"")</f>
        <v>ХУРД ГРУПП ХХК</v>
      </c>
      <c r="N1537" s="166"/>
      <c r="O1537" s="81"/>
      <c r="P1537" s="81"/>
      <c r="Q1537" s="152">
        <f t="shared" si="152"/>
        <v>0</v>
      </c>
    </row>
    <row r="1538" spans="2:17">
      <c r="B1538" s="670">
        <f t="shared" si="154"/>
        <v>1533</v>
      </c>
      <c r="C1538" s="601">
        <v>42948</v>
      </c>
      <c r="D1538" s="683" t="s">
        <v>1921</v>
      </c>
      <c r="E1538" s="572">
        <v>141201</v>
      </c>
      <c r="F1538" s="672" t="str">
        <f>IFERROR(VLOOKUP(E1538,STAT1!$C$4:$D$8000,2,FALSE),"")</f>
        <v>ШМЗардал БУСАД</v>
      </c>
      <c r="G1538" s="377"/>
      <c r="H1538" s="377">
        <v>35110019.147080824</v>
      </c>
      <c r="I1538" s="596">
        <f t="shared" si="150"/>
        <v>0</v>
      </c>
      <c r="J1538" s="81"/>
      <c r="K1538" s="81"/>
      <c r="L1538" s="673">
        <v>3001</v>
      </c>
      <c r="M1538" s="81" t="str">
        <f>+IFERROR(VLOOKUP(L1538,DATA!$G$4:$H$2000,2,FALSE),"")</f>
        <v>ХУРД ГРУПП ХХК</v>
      </c>
      <c r="N1538" s="166"/>
      <c r="O1538" s="81"/>
      <c r="P1538" s="81"/>
      <c r="Q1538" s="152">
        <f t="shared" si="152"/>
        <v>0</v>
      </c>
    </row>
    <row r="1539" spans="2:17">
      <c r="B1539" s="670">
        <f t="shared" si="154"/>
        <v>1534</v>
      </c>
      <c r="C1539" s="601">
        <v>42948</v>
      </c>
      <c r="D1539" s="683" t="s">
        <v>1921</v>
      </c>
      <c r="E1539" s="572">
        <v>141401</v>
      </c>
      <c r="F1539" s="672" t="str">
        <f>IFERROR(VLOOKUP(E1539,STAT1!$C$4:$D$8000,2,FALSE),"")</f>
        <v xml:space="preserve">ҮНЗардал БУСАД </v>
      </c>
      <c r="G1539" s="377"/>
      <c r="H1539" s="377">
        <v>11114371.58029451</v>
      </c>
      <c r="I1539" s="596">
        <f t="shared" si="150"/>
        <v>0</v>
      </c>
      <c r="J1539" s="81"/>
      <c r="K1539" s="81"/>
      <c r="L1539" s="673">
        <v>3001</v>
      </c>
      <c r="M1539" s="81" t="str">
        <f>+IFERROR(VLOOKUP(L1539,DATA!$G$4:$H$2000,2,FALSE),"")</f>
        <v>ХУРД ГРУПП ХХК</v>
      </c>
      <c r="N1539" s="166"/>
      <c r="O1539" s="81"/>
      <c r="P1539" s="81"/>
      <c r="Q1539" s="152">
        <f t="shared" si="152"/>
        <v>0</v>
      </c>
    </row>
    <row r="1540" spans="2:17">
      <c r="B1540" s="670">
        <f t="shared" si="154"/>
        <v>1535</v>
      </c>
      <c r="C1540" s="601">
        <v>42948</v>
      </c>
      <c r="D1540" s="683" t="s">
        <v>2700</v>
      </c>
      <c r="E1540" s="573">
        <v>150101</v>
      </c>
      <c r="F1540" s="672" t="str">
        <f>IFERROR(VLOOKUP(E1540,STAT1!$C$4:$D$8000,2,FALSE),"")</f>
        <v>Бараа бэлэн бүтээгдэхүүн БОЛОВСРУУЛАХ ЦЕХ /нарс/</v>
      </c>
      <c r="G1540" s="377"/>
      <c r="H1540" s="377">
        <v>432144.85575344414</v>
      </c>
      <c r="I1540" s="596">
        <f t="shared" si="150"/>
        <v>0</v>
      </c>
      <c r="J1540" s="81">
        <f t="shared" ref="J1540:J1571" si="155">+IF(E1540=110102,I1540/K1540,0)</f>
        <v>0</v>
      </c>
      <c r="K1540" s="81"/>
      <c r="L1540" s="673">
        <v>3068</v>
      </c>
      <c r="M1540" s="81" t="str">
        <f>+IFERROR(VLOOKUP(L1540,DATA!$G$4:$H$2000,2,FALSE),"")</f>
        <v>ҮЛЭМЖИТ ХХК</v>
      </c>
      <c r="N1540" s="166"/>
      <c r="O1540" s="81" t="str">
        <f>IFERROR(VLOOKUP(N1540,DATA!$K$4:$L$51,2,FALSE),"")</f>
        <v/>
      </c>
      <c r="P1540" s="81"/>
      <c r="Q1540" s="152">
        <f t="shared" si="152"/>
        <v>0</v>
      </c>
    </row>
    <row r="1541" spans="2:17">
      <c r="B1541" s="670">
        <f t="shared" si="154"/>
        <v>1536</v>
      </c>
      <c r="C1541" s="601">
        <v>42948</v>
      </c>
      <c r="D1541" s="683" t="s">
        <v>587</v>
      </c>
      <c r="E1541" s="572">
        <v>610100</v>
      </c>
      <c r="F1541" s="672" t="str">
        <f>IFERROR(VLOOKUP(E1541,STAT1!$C$4:$D$8000,2,FALSE),"")</f>
        <v>Борлуулсан барааны өртөг</v>
      </c>
      <c r="G1541" s="377">
        <v>432144.85575344414</v>
      </c>
      <c r="H1541" s="377"/>
      <c r="I1541" s="596">
        <f t="shared" si="150"/>
        <v>0</v>
      </c>
      <c r="J1541" s="81">
        <f t="shared" si="155"/>
        <v>0</v>
      </c>
      <c r="K1541" s="81"/>
      <c r="L1541" s="673">
        <v>3068</v>
      </c>
      <c r="M1541" s="81" t="str">
        <f>+IFERROR(VLOOKUP(L1541,DATA!$G$4:$H$2000,2,FALSE),"")</f>
        <v>ҮЛЭМЖИТ ХХК</v>
      </c>
      <c r="N1541" s="166"/>
      <c r="O1541" s="81" t="str">
        <f>IFERROR(VLOOKUP(N1541,DATA!$K$4:$L$51,2,FALSE),"")</f>
        <v/>
      </c>
      <c r="P1541" s="81"/>
      <c r="Q1541" s="152">
        <f t="shared" si="152"/>
        <v>0</v>
      </c>
    </row>
    <row r="1542" spans="2:17">
      <c r="B1542" s="670">
        <f t="shared" si="154"/>
        <v>1537</v>
      </c>
      <c r="C1542" s="601">
        <v>42948</v>
      </c>
      <c r="D1542" s="683" t="s">
        <v>587</v>
      </c>
      <c r="E1542" s="572">
        <v>310500</v>
      </c>
      <c r="F1542" s="672" t="str">
        <f>IFERROR(VLOOKUP(E1542,STAT1!$C$4:$D$8000,2,FALSE),"")</f>
        <v>НӨАТ өглөг</v>
      </c>
      <c r="G1542" s="377"/>
      <c r="H1542" s="377">
        <v>62220</v>
      </c>
      <c r="I1542" s="596">
        <f t="shared" ref="I1542:I1605" si="156">+IF(OR(E1542=100100,E1542=100200,E1542=110100,E1542=110102,E1542=110103,E1542=110104,E1542=110105,E1542=110200,E1542=110201,E1542=110202,E1542=110203,E1542=110204,E1542=110300),G1542,0)+IF(OR(E1542=100100,E1542=100200,E1542=110100,E1542=110102,E1542=110103,E1542=110104,E1542=110105,E1542=110200,E1542=110201,E1542=110202,E1542=110203,E1542=110204,E1542=110300),H1542*-1,0)</f>
        <v>0</v>
      </c>
      <c r="J1542" s="81">
        <f t="shared" si="155"/>
        <v>0</v>
      </c>
      <c r="K1542" s="81"/>
      <c r="L1542" s="673">
        <v>3068</v>
      </c>
      <c r="M1542" s="81" t="str">
        <f>+IFERROR(VLOOKUP(L1542,DATA!$G$4:$H$2000,2,FALSE),"")</f>
        <v>ҮЛЭМЖИТ ХХК</v>
      </c>
      <c r="N1542" s="166"/>
      <c r="O1542" s="81" t="str">
        <f>IFERROR(VLOOKUP(N1542,DATA!$K$4:$L$51,2,FALSE),"")</f>
        <v/>
      </c>
      <c r="P1542" s="81"/>
      <c r="Q1542" s="152">
        <f t="shared" si="152"/>
        <v>0</v>
      </c>
    </row>
    <row r="1543" spans="2:17">
      <c r="B1543" s="670">
        <f t="shared" si="154"/>
        <v>1538</v>
      </c>
      <c r="C1543" s="601">
        <v>42948</v>
      </c>
      <c r="D1543" s="683" t="s">
        <v>587</v>
      </c>
      <c r="E1543" s="572">
        <v>510000</v>
      </c>
      <c r="F1543" s="672" t="str">
        <f>IFERROR(VLOOKUP(E1543,STAT1!$C$4:$D$8000,2,FALSE),"")</f>
        <v>Үндсэн үйл ажиллагааны борлуулалт</v>
      </c>
      <c r="G1543" s="377"/>
      <c r="H1543" s="377">
        <v>622200</v>
      </c>
      <c r="I1543" s="596">
        <f t="shared" si="156"/>
        <v>0</v>
      </c>
      <c r="J1543" s="81">
        <f t="shared" si="155"/>
        <v>0</v>
      </c>
      <c r="K1543" s="81"/>
      <c r="L1543" s="673">
        <v>3068</v>
      </c>
      <c r="M1543" s="81" t="str">
        <f>+IFERROR(VLOOKUP(L1543,DATA!$G$4:$H$2000,2,FALSE),"")</f>
        <v>ҮЛЭМЖИТ ХХК</v>
      </c>
      <c r="N1543" s="166"/>
      <c r="O1543" s="81" t="str">
        <f>IFERROR(VLOOKUP(N1543,DATA!$K$4:$L$51,2,FALSE),"")</f>
        <v/>
      </c>
      <c r="P1543" s="81"/>
      <c r="Q1543" s="152">
        <f t="shared" ref="Q1543:Q1606" si="157">+IF(I1543,1,0)</f>
        <v>0</v>
      </c>
    </row>
    <row r="1544" spans="2:17">
      <c r="B1544" s="670">
        <f t="shared" si="154"/>
        <v>1539</v>
      </c>
      <c r="C1544" s="601">
        <v>42948</v>
      </c>
      <c r="D1544" s="683" t="s">
        <v>587</v>
      </c>
      <c r="E1544" s="572">
        <v>320100</v>
      </c>
      <c r="F1544" s="672" t="str">
        <f>IFERROR(VLOOKUP(E1544,STAT1!$C$4:$D$8000,2,FALSE),"")</f>
        <v>Урьдчилж орсон орлого MNT</v>
      </c>
      <c r="G1544" s="377">
        <v>684420</v>
      </c>
      <c r="H1544" s="377"/>
      <c r="I1544" s="596">
        <f t="shared" si="156"/>
        <v>0</v>
      </c>
      <c r="J1544" s="81">
        <f t="shared" si="155"/>
        <v>0</v>
      </c>
      <c r="K1544" s="81"/>
      <c r="L1544" s="673">
        <v>3068</v>
      </c>
      <c r="M1544" s="81" t="str">
        <f>+IFERROR(VLOOKUP(L1544,DATA!$G$4:$H$2000,2,FALSE),"")</f>
        <v>ҮЛЭМЖИТ ХХК</v>
      </c>
      <c r="N1544" s="166"/>
      <c r="O1544" s="81" t="str">
        <f>IFERROR(VLOOKUP(N1544,DATA!$K$4:$L$51,2,FALSE),"")</f>
        <v/>
      </c>
      <c r="P1544" s="81"/>
      <c r="Q1544" s="152">
        <f t="shared" si="157"/>
        <v>0</v>
      </c>
    </row>
    <row r="1545" spans="2:17">
      <c r="B1545" s="670">
        <f t="shared" si="154"/>
        <v>1540</v>
      </c>
      <c r="C1545" s="601">
        <v>42948</v>
      </c>
      <c r="D1545" s="683" t="s">
        <v>2700</v>
      </c>
      <c r="E1545" s="573">
        <v>150101</v>
      </c>
      <c r="F1545" s="672" t="str">
        <f>IFERROR(VLOOKUP(E1545,STAT1!$C$4:$D$8000,2,FALSE),"")</f>
        <v>Бараа бэлэн бүтээгдэхүүн БОЛОВСРУУЛАХ ЦЕХ /нарс/</v>
      </c>
      <c r="G1545" s="377"/>
      <c r="H1545" s="377">
        <v>858439.06855103059</v>
      </c>
      <c r="I1545" s="596">
        <f t="shared" si="156"/>
        <v>0</v>
      </c>
      <c r="J1545" s="81">
        <f t="shared" si="155"/>
        <v>0</v>
      </c>
      <c r="K1545" s="81"/>
      <c r="L1545" s="673">
        <v>3080</v>
      </c>
      <c r="M1545" s="81" t="str">
        <f>+IFERROR(VLOOKUP(L1545,DATA!$G$4:$H$2000,2,FALSE),"")</f>
        <v>ДИ ЭЙЧ ЭЛ ГЭЙТВЭЙ ХХК</v>
      </c>
      <c r="N1545" s="166"/>
      <c r="O1545" s="81" t="str">
        <f>IFERROR(VLOOKUP(N1545,DATA!$K$4:$L$51,2,FALSE),"")</f>
        <v/>
      </c>
      <c r="P1545" s="81"/>
      <c r="Q1545" s="152">
        <f t="shared" si="157"/>
        <v>0</v>
      </c>
    </row>
    <row r="1546" spans="2:17">
      <c r="B1546" s="670">
        <f t="shared" si="154"/>
        <v>1541</v>
      </c>
      <c r="C1546" s="601">
        <v>42948</v>
      </c>
      <c r="D1546" s="683" t="s">
        <v>587</v>
      </c>
      <c r="E1546" s="572">
        <v>610100</v>
      </c>
      <c r="F1546" s="672" t="str">
        <f>IFERROR(VLOOKUP(E1546,STAT1!$C$4:$D$8000,2,FALSE),"")</f>
        <v>Борлуулсан барааны өртөг</v>
      </c>
      <c r="G1546" s="377">
        <v>858439.06855103059</v>
      </c>
      <c r="H1546" s="377"/>
      <c r="I1546" s="596">
        <f t="shared" si="156"/>
        <v>0</v>
      </c>
      <c r="J1546" s="81">
        <f t="shared" si="155"/>
        <v>0</v>
      </c>
      <c r="K1546" s="81"/>
      <c r="L1546" s="673">
        <v>3080</v>
      </c>
      <c r="M1546" s="81" t="str">
        <f>+IFERROR(VLOOKUP(L1546,DATA!$G$4:$H$2000,2,FALSE),"")</f>
        <v>ДИ ЭЙЧ ЭЛ ГЭЙТВЭЙ ХХК</v>
      </c>
      <c r="N1546" s="166"/>
      <c r="O1546" s="81" t="str">
        <f>IFERROR(VLOOKUP(N1546,DATA!$K$4:$L$51,2,FALSE),"")</f>
        <v/>
      </c>
      <c r="P1546" s="81"/>
      <c r="Q1546" s="152">
        <f t="shared" si="157"/>
        <v>0</v>
      </c>
    </row>
    <row r="1547" spans="2:17">
      <c r="B1547" s="670">
        <f t="shared" si="154"/>
        <v>1542</v>
      </c>
      <c r="C1547" s="601">
        <v>42948</v>
      </c>
      <c r="D1547" s="683" t="s">
        <v>587</v>
      </c>
      <c r="E1547" s="572">
        <v>310500</v>
      </c>
      <c r="F1547" s="672" t="str">
        <f>IFERROR(VLOOKUP(E1547,STAT1!$C$4:$D$8000,2,FALSE),"")</f>
        <v>НӨАТ өглөг</v>
      </c>
      <c r="G1547" s="377"/>
      <c r="H1547" s="377">
        <v>104440</v>
      </c>
      <c r="I1547" s="596">
        <f t="shared" si="156"/>
        <v>0</v>
      </c>
      <c r="J1547" s="81">
        <f t="shared" si="155"/>
        <v>0</v>
      </c>
      <c r="K1547" s="81"/>
      <c r="L1547" s="673">
        <v>3080</v>
      </c>
      <c r="M1547" s="81" t="str">
        <f>+IFERROR(VLOOKUP(L1547,DATA!$G$4:$H$2000,2,FALSE),"")</f>
        <v>ДИ ЭЙЧ ЭЛ ГЭЙТВЭЙ ХХК</v>
      </c>
      <c r="N1547" s="166"/>
      <c r="O1547" s="81" t="str">
        <f>IFERROR(VLOOKUP(N1547,DATA!$K$4:$L$51,2,FALSE),"")</f>
        <v/>
      </c>
      <c r="P1547" s="81"/>
      <c r="Q1547" s="152">
        <f t="shared" si="157"/>
        <v>0</v>
      </c>
    </row>
    <row r="1548" spans="2:17">
      <c r="B1548" s="670">
        <f t="shared" si="154"/>
        <v>1543</v>
      </c>
      <c r="C1548" s="601">
        <v>42948</v>
      </c>
      <c r="D1548" s="683"/>
      <c r="E1548" s="572">
        <v>510000</v>
      </c>
      <c r="F1548" s="672" t="str">
        <f>IFERROR(VLOOKUP(E1548,STAT1!$C$4:$D$8000,2,FALSE),"")</f>
        <v>Үндсэн үйл ажиллагааны борлуулалт</v>
      </c>
      <c r="G1548" s="377"/>
      <c r="H1548" s="377">
        <v>1044400</v>
      </c>
      <c r="I1548" s="596">
        <f t="shared" si="156"/>
        <v>0</v>
      </c>
      <c r="J1548" s="81">
        <f t="shared" si="155"/>
        <v>0</v>
      </c>
      <c r="K1548" s="81"/>
      <c r="L1548" s="673">
        <v>3080</v>
      </c>
      <c r="M1548" s="81" t="str">
        <f>+IFERROR(VLOOKUP(L1548,DATA!$G$4:$H$2000,2,FALSE),"")</f>
        <v>ДИ ЭЙЧ ЭЛ ГЭЙТВЭЙ ХХК</v>
      </c>
      <c r="N1548" s="166"/>
      <c r="O1548" s="81" t="str">
        <f>IFERROR(VLOOKUP(N1548,DATA!$K$4:$L$51,2,FALSE),"")</f>
        <v/>
      </c>
      <c r="P1548" s="81"/>
      <c r="Q1548" s="152">
        <f t="shared" si="157"/>
        <v>0</v>
      </c>
    </row>
    <row r="1549" spans="2:17">
      <c r="B1549" s="670">
        <f t="shared" si="154"/>
        <v>1544</v>
      </c>
      <c r="C1549" s="601">
        <v>42948</v>
      </c>
      <c r="D1549" s="683" t="s">
        <v>587</v>
      </c>
      <c r="E1549" s="572">
        <v>320100</v>
      </c>
      <c r="F1549" s="672" t="str">
        <f>IFERROR(VLOOKUP(E1549,STAT1!$C$4:$D$8000,2,FALSE),"")</f>
        <v>Урьдчилж орсон орлого MNT</v>
      </c>
      <c r="G1549" s="377">
        <v>1148840</v>
      </c>
      <c r="H1549" s="377"/>
      <c r="I1549" s="596">
        <f t="shared" si="156"/>
        <v>0</v>
      </c>
      <c r="J1549" s="81">
        <f t="shared" si="155"/>
        <v>0</v>
      </c>
      <c r="K1549" s="81"/>
      <c r="L1549" s="673">
        <v>3080</v>
      </c>
      <c r="M1549" s="81" t="str">
        <f>+IFERROR(VLOOKUP(L1549,DATA!$G$4:$H$2000,2,FALSE),"")</f>
        <v>ДИ ЭЙЧ ЭЛ ГЭЙТВЭЙ ХХК</v>
      </c>
      <c r="N1549" s="166"/>
      <c r="O1549" s="81" t="str">
        <f>IFERROR(VLOOKUP(N1549,DATA!$K$4:$L$51,2,FALSE),"")</f>
        <v/>
      </c>
      <c r="P1549" s="81"/>
      <c r="Q1549" s="152">
        <f t="shared" si="157"/>
        <v>0</v>
      </c>
    </row>
    <row r="1550" spans="2:17">
      <c r="B1550" s="670">
        <f t="shared" si="154"/>
        <v>1545</v>
      </c>
      <c r="C1550" s="601">
        <v>42948</v>
      </c>
      <c r="D1550" s="683" t="s">
        <v>2698</v>
      </c>
      <c r="E1550" s="573">
        <v>150101</v>
      </c>
      <c r="F1550" s="672" t="str">
        <f>IFERROR(VLOOKUP(E1550,STAT1!$C$4:$D$8000,2,FALSE),"")</f>
        <v>Бараа бэлэн бүтээгдэхүүн БОЛОВСРУУЛАХ ЦЕХ /нарс/</v>
      </c>
      <c r="G1550" s="377"/>
      <c r="H1550" s="377">
        <v>717846.6829604574</v>
      </c>
      <c r="I1550" s="596">
        <f t="shared" si="156"/>
        <v>0</v>
      </c>
      <c r="J1550" s="81">
        <f t="shared" si="155"/>
        <v>0</v>
      </c>
      <c r="K1550" s="81"/>
      <c r="L1550" s="673">
        <v>3001</v>
      </c>
      <c r="M1550" s="81" t="str">
        <f>+IFERROR(VLOOKUP(L1550,DATA!$G$4:$H$2000,2,FALSE),"")</f>
        <v>ХУРД ГРУПП ХХК</v>
      </c>
      <c r="N1550" s="166"/>
      <c r="O1550" s="81" t="str">
        <f>IFERROR(VLOOKUP(N1550,DATA!$K$4:$L$51,2,FALSE),"")</f>
        <v/>
      </c>
      <c r="P1550" s="81"/>
      <c r="Q1550" s="152">
        <f t="shared" si="157"/>
        <v>0</v>
      </c>
    </row>
    <row r="1551" spans="2:17">
      <c r="B1551" s="670">
        <f t="shared" si="154"/>
        <v>1546</v>
      </c>
      <c r="C1551" s="601">
        <v>42950</v>
      </c>
      <c r="D1551" s="683" t="s">
        <v>1660</v>
      </c>
      <c r="E1551" s="573">
        <v>150101</v>
      </c>
      <c r="F1551" s="672" t="str">
        <f>IFERROR(VLOOKUP(E1551,STAT1!$C$4:$D$8000,2,FALSE),"")</f>
        <v>Бараа бэлэн бүтээгдэхүүн БОЛОВСРУУЛАХ ЦЕХ /нарс/</v>
      </c>
      <c r="G1551" s="377"/>
      <c r="H1551" s="377">
        <v>24007.194723783738</v>
      </c>
      <c r="I1551" s="596">
        <f t="shared" si="156"/>
        <v>0</v>
      </c>
      <c r="J1551" s="81">
        <f t="shared" si="155"/>
        <v>0</v>
      </c>
      <c r="K1551" s="81"/>
      <c r="L1551" s="673">
        <v>3093</v>
      </c>
      <c r="M1551" s="81" t="str">
        <f>+IFERROR(VLOOKUP(L1551,DATA!$G$4:$H$2000,2,FALSE),"")</f>
        <v xml:space="preserve">НЬЮ ЭРА ТУР МОНГОЛИА ХХК </v>
      </c>
      <c r="N1551" s="166"/>
      <c r="O1551" s="81" t="str">
        <f>IFERROR(VLOOKUP(N1551,DATA!$K$4:$L$51,2,FALSE),"")</f>
        <v/>
      </c>
      <c r="P1551" s="81"/>
      <c r="Q1551" s="152">
        <f t="shared" si="157"/>
        <v>0</v>
      </c>
    </row>
    <row r="1552" spans="2:17">
      <c r="B1552" s="670">
        <f t="shared" si="154"/>
        <v>1547</v>
      </c>
      <c r="C1552" s="601">
        <v>42950</v>
      </c>
      <c r="D1552" s="683" t="s">
        <v>587</v>
      </c>
      <c r="E1552" s="572">
        <v>610100</v>
      </c>
      <c r="F1552" s="672" t="str">
        <f>IFERROR(VLOOKUP(E1552,STAT1!$C$4:$D$8000,2,FALSE),"")</f>
        <v>Борлуулсан барааны өртөг</v>
      </c>
      <c r="G1552" s="377">
        <v>24007.194723783738</v>
      </c>
      <c r="H1552" s="377"/>
      <c r="I1552" s="596">
        <f t="shared" si="156"/>
        <v>0</v>
      </c>
      <c r="J1552" s="81">
        <f t="shared" si="155"/>
        <v>0</v>
      </c>
      <c r="K1552" s="81"/>
      <c r="L1552" s="673">
        <v>3093</v>
      </c>
      <c r="M1552" s="81" t="str">
        <f>+IFERROR(VLOOKUP(L1552,DATA!$G$4:$H$2000,2,FALSE),"")</f>
        <v xml:space="preserve">НЬЮ ЭРА ТУР МОНГОЛИА ХХК </v>
      </c>
      <c r="N1552" s="166"/>
      <c r="O1552" s="81" t="str">
        <f>IFERROR(VLOOKUP(N1552,DATA!$K$4:$L$51,2,FALSE),"")</f>
        <v/>
      </c>
      <c r="P1552" s="81"/>
      <c r="Q1552" s="152">
        <f t="shared" si="157"/>
        <v>0</v>
      </c>
    </row>
    <row r="1553" spans="2:17">
      <c r="B1553" s="670">
        <f t="shared" si="154"/>
        <v>1548</v>
      </c>
      <c r="C1553" s="601">
        <v>42950</v>
      </c>
      <c r="D1553" s="683" t="s">
        <v>587</v>
      </c>
      <c r="E1553" s="572">
        <v>310500</v>
      </c>
      <c r="F1553" s="672" t="str">
        <f>IFERROR(VLOOKUP(E1553,STAT1!$C$4:$D$8000,2,FALSE),"")</f>
        <v>НӨАТ өглөг</v>
      </c>
      <c r="G1553" s="377"/>
      <c r="H1553" s="377">
        <v>5101.8181500000001</v>
      </c>
      <c r="I1553" s="596">
        <f t="shared" si="156"/>
        <v>0</v>
      </c>
      <c r="J1553" s="81">
        <f t="shared" si="155"/>
        <v>0</v>
      </c>
      <c r="K1553" s="81"/>
      <c r="L1553" s="673">
        <v>3093</v>
      </c>
      <c r="M1553" s="81" t="str">
        <f>+IFERROR(VLOOKUP(L1553,DATA!$G$4:$H$2000,2,FALSE),"")</f>
        <v xml:space="preserve">НЬЮ ЭРА ТУР МОНГОЛИА ХХК </v>
      </c>
      <c r="N1553" s="166"/>
      <c r="O1553" s="81" t="str">
        <f>IFERROR(VLOOKUP(N1553,DATA!$K$4:$L$51,2,FALSE),"")</f>
        <v/>
      </c>
      <c r="P1553" s="81"/>
      <c r="Q1553" s="152">
        <f t="shared" si="157"/>
        <v>0</v>
      </c>
    </row>
    <row r="1554" spans="2:17">
      <c r="B1554" s="670">
        <f t="shared" si="154"/>
        <v>1549</v>
      </c>
      <c r="C1554" s="601">
        <v>42950</v>
      </c>
      <c r="D1554" s="683" t="s">
        <v>587</v>
      </c>
      <c r="E1554" s="572">
        <v>510000</v>
      </c>
      <c r="F1554" s="672" t="str">
        <f>IFERROR(VLOOKUP(E1554,STAT1!$C$4:$D$8000,2,FALSE),"")</f>
        <v>Үндсэн үйл ажиллагааны борлуулалт</v>
      </c>
      <c r="G1554" s="377"/>
      <c r="H1554" s="377">
        <v>51018.181499999999</v>
      </c>
      <c r="I1554" s="596">
        <f t="shared" si="156"/>
        <v>0</v>
      </c>
      <c r="J1554" s="81">
        <f t="shared" si="155"/>
        <v>0</v>
      </c>
      <c r="K1554" s="81"/>
      <c r="L1554" s="673">
        <v>3093</v>
      </c>
      <c r="M1554" s="81" t="str">
        <f>+IFERROR(VLOOKUP(L1554,DATA!$G$4:$H$2000,2,FALSE),"")</f>
        <v xml:space="preserve">НЬЮ ЭРА ТУР МОНГОЛИА ХХК </v>
      </c>
      <c r="N1554" s="166"/>
      <c r="O1554" s="81" t="str">
        <f>IFERROR(VLOOKUP(N1554,DATA!$K$4:$L$51,2,FALSE),"")</f>
        <v/>
      </c>
      <c r="P1554" s="81"/>
      <c r="Q1554" s="152">
        <f t="shared" si="157"/>
        <v>0</v>
      </c>
    </row>
    <row r="1555" spans="2:17">
      <c r="B1555" s="670">
        <f t="shared" si="154"/>
        <v>1550</v>
      </c>
      <c r="C1555" s="601">
        <v>42950</v>
      </c>
      <c r="D1555" s="683" t="s">
        <v>587</v>
      </c>
      <c r="E1555" s="572">
        <v>320100</v>
      </c>
      <c r="F1555" s="672" t="str">
        <f>IFERROR(VLOOKUP(E1555,STAT1!$C$4:$D$8000,2,FALSE),"")</f>
        <v>Урьдчилж орсон орлого MNT</v>
      </c>
      <c r="G1555" s="377">
        <v>56119.999649999998</v>
      </c>
      <c r="H1555" s="377"/>
      <c r="I1555" s="596">
        <f t="shared" si="156"/>
        <v>0</v>
      </c>
      <c r="J1555" s="81">
        <f t="shared" si="155"/>
        <v>0</v>
      </c>
      <c r="K1555" s="81"/>
      <c r="L1555" s="673">
        <v>3093</v>
      </c>
      <c r="M1555" s="81" t="str">
        <f>+IFERROR(VLOOKUP(L1555,DATA!$G$4:$H$2000,2,FALSE),"")</f>
        <v xml:space="preserve">НЬЮ ЭРА ТУР МОНГОЛИА ХХК </v>
      </c>
      <c r="N1555" s="166"/>
      <c r="O1555" s="81" t="str">
        <f>IFERROR(VLOOKUP(N1555,DATA!$K$4:$L$51,2,FALSE),"")</f>
        <v/>
      </c>
      <c r="P1555" s="81"/>
      <c r="Q1555" s="152">
        <f t="shared" si="157"/>
        <v>0</v>
      </c>
    </row>
    <row r="1556" spans="2:17">
      <c r="B1556" s="670">
        <f t="shared" si="154"/>
        <v>1551</v>
      </c>
      <c r="C1556" s="433">
        <v>42951</v>
      </c>
      <c r="D1556" s="377" t="s">
        <v>1734</v>
      </c>
      <c r="E1556" s="572">
        <v>100100</v>
      </c>
      <c r="F1556" s="672" t="str">
        <f>IFERROR(VLOOKUP(E1556,STAT1!$C$4:$D$1000,2,FALSE),"")</f>
        <v>Касс мөнгө MNT</v>
      </c>
      <c r="G1556" s="377"/>
      <c r="H1556" s="377">
        <v>78011</v>
      </c>
      <c r="I1556" s="596">
        <f t="shared" si="156"/>
        <v>-78011</v>
      </c>
      <c r="J1556" s="81">
        <f t="shared" si="155"/>
        <v>0</v>
      </c>
      <c r="K1556" s="81"/>
      <c r="L1556" s="597">
        <v>1005</v>
      </c>
      <c r="M1556" s="81" t="str">
        <f>+IFERROR(VLOOKUP(L1556,DATA!$G$4:$H$2000,2,FALSE),"")</f>
        <v>Золжаргал</v>
      </c>
      <c r="N1556" s="435">
        <v>55</v>
      </c>
      <c r="O1556" s="81" t="str">
        <f>IFERROR(VLOOKUP(N1556,DATA!$K$4:$L$51,2,FALSE),"")</f>
        <v>Түлш, шатахуун, тээврийн хөлс, сэлбэг хэрэгсэлд төлсөн</v>
      </c>
      <c r="P1556" s="81"/>
      <c r="Q1556" s="152">
        <f t="shared" si="157"/>
        <v>1</v>
      </c>
    </row>
    <row r="1557" spans="2:17">
      <c r="B1557" s="670">
        <f t="shared" si="154"/>
        <v>1552</v>
      </c>
      <c r="C1557" s="433">
        <v>42951</v>
      </c>
      <c r="D1557" s="377" t="s">
        <v>1734</v>
      </c>
      <c r="E1557" s="572">
        <v>702000</v>
      </c>
      <c r="F1557" s="672" t="str">
        <f>IFERROR(VLOOKUP(E1557,STAT1!$C$4:$D$1000,2,FALSE),"")</f>
        <v>Түлш, шатахуун</v>
      </c>
      <c r="G1557" s="377">
        <v>78011</v>
      </c>
      <c r="H1557" s="377">
        <v>0</v>
      </c>
      <c r="I1557" s="596">
        <f t="shared" si="156"/>
        <v>0</v>
      </c>
      <c r="J1557" s="81">
        <f t="shared" si="155"/>
        <v>0</v>
      </c>
      <c r="K1557" s="81"/>
      <c r="L1557" s="597">
        <v>1005</v>
      </c>
      <c r="M1557" s="81" t="str">
        <f>+IFERROR(VLOOKUP(L1557,DATA!$G$4:$H$2000,2,FALSE),"")</f>
        <v>Золжаргал</v>
      </c>
      <c r="N1557" s="435"/>
      <c r="O1557" s="81" t="str">
        <f>IFERROR(VLOOKUP(N1557,DATA!$K$4:$L$51,2,FALSE),"")</f>
        <v/>
      </c>
      <c r="P1557" s="81"/>
      <c r="Q1557" s="152">
        <f t="shared" si="157"/>
        <v>0</v>
      </c>
    </row>
    <row r="1558" spans="2:17">
      <c r="B1558" s="670">
        <f t="shared" si="154"/>
        <v>1553</v>
      </c>
      <c r="C1558" s="601">
        <v>42952</v>
      </c>
      <c r="D1558" s="683" t="s">
        <v>1921</v>
      </c>
      <c r="E1558" s="572">
        <v>141501</v>
      </c>
      <c r="F1558" s="672" t="str">
        <f>IFERROR(VLOOKUP(E1558,STAT1!$C$4:$D$8000,2,FALSE),"")</f>
        <v xml:space="preserve">Нэгтгэл зардал БУСАД </v>
      </c>
      <c r="G1558" s="377">
        <v>46224390.727375336</v>
      </c>
      <c r="H1558" s="377"/>
      <c r="I1558" s="596">
        <f t="shared" si="156"/>
        <v>0</v>
      </c>
      <c r="J1558" s="81">
        <f t="shared" si="155"/>
        <v>0</v>
      </c>
      <c r="K1558" s="81"/>
      <c r="L1558" s="673">
        <v>3074</v>
      </c>
      <c r="M1558" s="81" t="str">
        <f>+IFERROR(VLOOKUP(L1558,DATA!$G$4:$H$2000,2,FALSE),"")</f>
        <v>КАМДЕР ХХК</v>
      </c>
      <c r="N1558" s="166"/>
      <c r="O1558" s="81" t="str">
        <f>IFERROR(VLOOKUP(N1558,DATA!$K$4:$L$51,2,FALSE),"")</f>
        <v/>
      </c>
      <c r="P1558" s="81"/>
      <c r="Q1558" s="152">
        <f t="shared" si="157"/>
        <v>0</v>
      </c>
    </row>
    <row r="1559" spans="2:17">
      <c r="B1559" s="670">
        <f t="shared" si="154"/>
        <v>1554</v>
      </c>
      <c r="C1559" s="601">
        <v>42952</v>
      </c>
      <c r="D1559" s="683" t="s">
        <v>1921</v>
      </c>
      <c r="E1559" s="573">
        <v>141401</v>
      </c>
      <c r="F1559" s="672" t="str">
        <f>IFERROR(VLOOKUP(E1559,STAT1!$C$4:$D$8000,2,FALSE),"")</f>
        <v xml:space="preserve">ҮНЗардал БУСАД </v>
      </c>
      <c r="G1559" s="377">
        <v>11114371.58029451</v>
      </c>
      <c r="H1559" s="377"/>
      <c r="I1559" s="596">
        <f t="shared" si="156"/>
        <v>0</v>
      </c>
      <c r="J1559" s="81">
        <f t="shared" si="155"/>
        <v>0</v>
      </c>
      <c r="K1559" s="81"/>
      <c r="L1559" s="673">
        <v>3074</v>
      </c>
      <c r="M1559" s="81" t="str">
        <f>+IFERROR(VLOOKUP(L1559,DATA!$G$4:$H$2000,2,FALSE),"")</f>
        <v>КАМДЕР ХХК</v>
      </c>
      <c r="N1559" s="166"/>
      <c r="O1559" s="81" t="str">
        <f>IFERROR(VLOOKUP(N1559,DATA!$K$4:$L$51,2,FALSE),"")</f>
        <v/>
      </c>
      <c r="P1559" s="81"/>
      <c r="Q1559" s="152">
        <f t="shared" si="157"/>
        <v>0</v>
      </c>
    </row>
    <row r="1560" spans="2:17">
      <c r="B1560" s="670">
        <f t="shared" si="154"/>
        <v>1555</v>
      </c>
      <c r="C1560" s="601">
        <v>42952</v>
      </c>
      <c r="D1560" s="683" t="s">
        <v>1921</v>
      </c>
      <c r="E1560" s="572">
        <v>160100</v>
      </c>
      <c r="F1560" s="672" t="str">
        <f>IFERROR(VLOOKUP(E1560,STAT1!$C$4:$D$8000,2,FALSE),"")</f>
        <v xml:space="preserve">Барилгын материал </v>
      </c>
      <c r="G1560" s="377"/>
      <c r="H1560" s="377">
        <v>11114371.58029451</v>
      </c>
      <c r="I1560" s="596">
        <f t="shared" si="156"/>
        <v>0</v>
      </c>
      <c r="J1560" s="81">
        <f t="shared" si="155"/>
        <v>0</v>
      </c>
      <c r="K1560" s="81"/>
      <c r="L1560" s="673">
        <v>3074</v>
      </c>
      <c r="M1560" s="81" t="str">
        <f>+IFERROR(VLOOKUP(L1560,DATA!$G$4:$H$2000,2,FALSE),"")</f>
        <v>КАМДЕР ХХК</v>
      </c>
      <c r="N1560" s="166"/>
      <c r="O1560" s="81" t="str">
        <f>IFERROR(VLOOKUP(N1560,DATA!$K$4:$L$51,2,FALSE),"")</f>
        <v/>
      </c>
      <c r="P1560" s="81"/>
      <c r="Q1560" s="152">
        <f t="shared" si="157"/>
        <v>0</v>
      </c>
    </row>
    <row r="1561" spans="2:17">
      <c r="B1561" s="670">
        <f t="shared" si="154"/>
        <v>1556</v>
      </c>
      <c r="C1561" s="601">
        <v>42952</v>
      </c>
      <c r="D1561" s="683" t="s">
        <v>2700</v>
      </c>
      <c r="E1561" s="572">
        <v>610100</v>
      </c>
      <c r="F1561" s="672" t="str">
        <f>IFERROR(VLOOKUP(E1561,STAT1!$C$4:$D$8000,2,FALSE),"")</f>
        <v>Борлуулсан барааны өртөг</v>
      </c>
      <c r="G1561" s="377">
        <v>784170.19470865256</v>
      </c>
      <c r="H1561" s="377"/>
      <c r="I1561" s="596">
        <f t="shared" si="156"/>
        <v>0</v>
      </c>
      <c r="J1561" s="81">
        <f t="shared" si="155"/>
        <v>0</v>
      </c>
      <c r="K1561" s="81"/>
      <c r="L1561" s="673">
        <v>3081</v>
      </c>
      <c r="M1561" s="81" t="str">
        <f>+IFERROR(VLOOKUP(L1561,DATA!$G$4:$H$2000,2,FALSE),"")</f>
        <v>ПИ АЙ ЭМ ЭМ ХХК</v>
      </c>
      <c r="N1561" s="166"/>
      <c r="O1561" s="81" t="str">
        <f>IFERROR(VLOOKUP(N1561,DATA!$K$4:$L$51,2,FALSE),"")</f>
        <v/>
      </c>
      <c r="P1561" s="81"/>
      <c r="Q1561" s="152">
        <f t="shared" si="157"/>
        <v>0</v>
      </c>
    </row>
    <row r="1562" spans="2:17">
      <c r="B1562" s="670">
        <f t="shared" si="154"/>
        <v>1557</v>
      </c>
      <c r="C1562" s="601">
        <v>42952</v>
      </c>
      <c r="D1562" s="683" t="s">
        <v>1660</v>
      </c>
      <c r="E1562" s="572">
        <v>310500</v>
      </c>
      <c r="F1562" s="672" t="str">
        <f>IFERROR(VLOOKUP(E1562,STAT1!$C$4:$D$8000,2,FALSE),"")</f>
        <v>НӨАТ өглөг</v>
      </c>
      <c r="G1562" s="377"/>
      <c r="H1562" s="377">
        <v>113013.63623790001</v>
      </c>
      <c r="I1562" s="596">
        <f t="shared" si="156"/>
        <v>0</v>
      </c>
      <c r="J1562" s="81">
        <f t="shared" si="155"/>
        <v>0</v>
      </c>
      <c r="K1562" s="81"/>
      <c r="L1562" s="673">
        <v>3081</v>
      </c>
      <c r="M1562" s="81" t="str">
        <f>+IFERROR(VLOOKUP(L1562,DATA!$G$4:$H$2000,2,FALSE),"")</f>
        <v>ПИ АЙ ЭМ ЭМ ХХК</v>
      </c>
      <c r="N1562" s="166"/>
      <c r="O1562" s="81" t="str">
        <f>IFERROR(VLOOKUP(N1562,DATA!$K$4:$L$51,2,FALSE),"")</f>
        <v/>
      </c>
      <c r="P1562" s="81"/>
      <c r="Q1562" s="152">
        <f t="shared" si="157"/>
        <v>0</v>
      </c>
    </row>
    <row r="1563" spans="2:17">
      <c r="B1563" s="670">
        <f t="shared" si="154"/>
        <v>1558</v>
      </c>
      <c r="C1563" s="601">
        <v>42952</v>
      </c>
      <c r="D1563" s="683" t="s">
        <v>2700</v>
      </c>
      <c r="E1563" s="572">
        <v>510000</v>
      </c>
      <c r="F1563" s="672" t="str">
        <f>IFERROR(VLOOKUP(E1563,STAT1!$C$4:$D$8000,2,FALSE),"")</f>
        <v>Үндсэн үйл ажиллагааны борлуулалт</v>
      </c>
      <c r="G1563" s="377"/>
      <c r="H1563" s="377">
        <v>1130136.3623790001</v>
      </c>
      <c r="I1563" s="596">
        <f t="shared" si="156"/>
        <v>0</v>
      </c>
      <c r="J1563" s="81">
        <f t="shared" si="155"/>
        <v>0</v>
      </c>
      <c r="K1563" s="81"/>
      <c r="L1563" s="673">
        <v>3081</v>
      </c>
      <c r="M1563" s="81" t="str">
        <f>+IFERROR(VLOOKUP(L1563,DATA!$G$4:$H$2000,2,FALSE),"")</f>
        <v>ПИ АЙ ЭМ ЭМ ХХК</v>
      </c>
      <c r="N1563" s="166"/>
      <c r="O1563" s="81" t="str">
        <f>IFERROR(VLOOKUP(N1563,DATA!$K$4:$L$51,2,FALSE),"")</f>
        <v/>
      </c>
      <c r="P1563" s="81"/>
      <c r="Q1563" s="152">
        <f t="shared" si="157"/>
        <v>0</v>
      </c>
    </row>
    <row r="1564" spans="2:17">
      <c r="B1564" s="670">
        <f t="shared" si="154"/>
        <v>1559</v>
      </c>
      <c r="C1564" s="601">
        <v>42952</v>
      </c>
      <c r="D1564" s="683" t="s">
        <v>587</v>
      </c>
      <c r="E1564" s="572">
        <v>320100</v>
      </c>
      <c r="F1564" s="672" t="str">
        <f>IFERROR(VLOOKUP(E1564,STAT1!$C$4:$D$8000,2,FALSE),"")</f>
        <v>Урьдчилж орсон орлого MNT</v>
      </c>
      <c r="G1564" s="377">
        <v>1243149.9986169001</v>
      </c>
      <c r="H1564" s="377"/>
      <c r="I1564" s="596">
        <f t="shared" si="156"/>
        <v>0</v>
      </c>
      <c r="J1564" s="81">
        <f t="shared" si="155"/>
        <v>0</v>
      </c>
      <c r="K1564" s="81"/>
      <c r="L1564" s="673">
        <v>3081</v>
      </c>
      <c r="M1564" s="81" t="str">
        <f>+IFERROR(VLOOKUP(L1564,DATA!$G$4:$H$2000,2,FALSE),"")</f>
        <v>ПИ АЙ ЭМ ЭМ ХХК</v>
      </c>
      <c r="N1564" s="166"/>
      <c r="O1564" s="81" t="str">
        <f>IFERROR(VLOOKUP(N1564,DATA!$K$4:$L$51,2,FALSE),"")</f>
        <v/>
      </c>
      <c r="P1564" s="81"/>
      <c r="Q1564" s="152">
        <f t="shared" si="157"/>
        <v>0</v>
      </c>
    </row>
    <row r="1565" spans="2:17">
      <c r="B1565" s="670">
        <f t="shared" si="154"/>
        <v>1560</v>
      </c>
      <c r="C1565" s="601">
        <v>42952</v>
      </c>
      <c r="D1565" s="683" t="s">
        <v>2700</v>
      </c>
      <c r="E1565" s="573">
        <v>150101</v>
      </c>
      <c r="F1565" s="672" t="str">
        <f>IFERROR(VLOOKUP(E1565,STAT1!$C$4:$D$8000,2,FALSE),"")</f>
        <v>Бараа бэлэн бүтээгдэхүүн БОЛОВСРУУЛАХ ЦЕХ /нарс/</v>
      </c>
      <c r="G1565" s="377"/>
      <c r="H1565" s="377">
        <v>18731754.640000001</v>
      </c>
      <c r="I1565" s="596">
        <f t="shared" si="156"/>
        <v>0</v>
      </c>
      <c r="J1565" s="81">
        <f t="shared" si="155"/>
        <v>0</v>
      </c>
      <c r="K1565" s="81"/>
      <c r="L1565" s="673">
        <v>3002</v>
      </c>
      <c r="M1565" s="81" t="str">
        <f>+IFERROR(VLOOKUP(L1565,DATA!$G$4:$H$2000,2,FALSE),"")</f>
        <v>ЭКО КОНСТРАКШН ХХК</v>
      </c>
      <c r="N1565" s="166"/>
      <c r="O1565" s="81" t="str">
        <f>IFERROR(VLOOKUP(N1565,DATA!$K$4:$L$51,2,FALSE),"")</f>
        <v/>
      </c>
      <c r="P1565" s="81"/>
      <c r="Q1565" s="152">
        <f t="shared" si="157"/>
        <v>0</v>
      </c>
    </row>
    <row r="1566" spans="2:17">
      <c r="B1566" s="670">
        <f t="shared" si="154"/>
        <v>1561</v>
      </c>
      <c r="C1566" s="601">
        <v>42952</v>
      </c>
      <c r="D1566" s="683" t="s">
        <v>2700</v>
      </c>
      <c r="E1566" s="572">
        <v>610100</v>
      </c>
      <c r="F1566" s="672" t="str">
        <f>IFERROR(VLOOKUP(E1566,STAT1!$C$4:$D$8000,2,FALSE),"")</f>
        <v>Борлуулсан барааны өртөг</v>
      </c>
      <c r="G1566" s="377">
        <v>18731754.640000001</v>
      </c>
      <c r="H1566" s="377"/>
      <c r="I1566" s="596">
        <f t="shared" si="156"/>
        <v>0</v>
      </c>
      <c r="J1566" s="81">
        <f t="shared" si="155"/>
        <v>0</v>
      </c>
      <c r="K1566" s="81"/>
      <c r="L1566" s="673">
        <v>3002</v>
      </c>
      <c r="M1566" s="81" t="str">
        <f>+IFERROR(VLOOKUP(L1566,DATA!$G$4:$H$2000,2,FALSE),"")</f>
        <v>ЭКО КОНСТРАКШН ХХК</v>
      </c>
      <c r="N1566" s="166"/>
      <c r="O1566" s="81" t="str">
        <f>IFERROR(VLOOKUP(N1566,DATA!$K$4:$L$51,2,FALSE),"")</f>
        <v/>
      </c>
      <c r="P1566" s="81"/>
      <c r="Q1566" s="152">
        <f t="shared" si="157"/>
        <v>0</v>
      </c>
    </row>
    <row r="1567" spans="2:17">
      <c r="B1567" s="670">
        <f t="shared" si="154"/>
        <v>1562</v>
      </c>
      <c r="C1567" s="601">
        <v>42952</v>
      </c>
      <c r="D1567" s="683" t="s">
        <v>587</v>
      </c>
      <c r="E1567" s="572">
        <v>310500</v>
      </c>
      <c r="F1567" s="672" t="str">
        <f>IFERROR(VLOOKUP(E1567,STAT1!$C$4:$D$8000,2,FALSE),"")</f>
        <v>НӨАТ өглөг</v>
      </c>
      <c r="G1567" s="377"/>
      <c r="H1567" s="377">
        <v>2437704.34</v>
      </c>
      <c r="I1567" s="596">
        <f t="shared" si="156"/>
        <v>0</v>
      </c>
      <c r="J1567" s="81">
        <f t="shared" si="155"/>
        <v>0</v>
      </c>
      <c r="K1567" s="81"/>
      <c r="L1567" s="673">
        <v>3002</v>
      </c>
      <c r="M1567" s="81" t="str">
        <f>+IFERROR(VLOOKUP(L1567,DATA!$G$4:$H$2000,2,FALSE),"")</f>
        <v>ЭКО КОНСТРАКШН ХХК</v>
      </c>
      <c r="N1567" s="166"/>
      <c r="O1567" s="81" t="str">
        <f>IFERROR(VLOOKUP(N1567,DATA!$K$4:$L$51,2,FALSE),"")</f>
        <v/>
      </c>
      <c r="P1567" s="81"/>
      <c r="Q1567" s="152">
        <f t="shared" si="157"/>
        <v>0</v>
      </c>
    </row>
    <row r="1568" spans="2:17">
      <c r="B1568" s="670">
        <f t="shared" si="154"/>
        <v>1563</v>
      </c>
      <c r="C1568" s="601">
        <v>42952</v>
      </c>
      <c r="D1568" s="683" t="s">
        <v>587</v>
      </c>
      <c r="E1568" s="572">
        <v>510000</v>
      </c>
      <c r="F1568" s="672" t="str">
        <f>IFERROR(VLOOKUP(E1568,STAT1!$C$4:$D$8000,2,FALSE),"")</f>
        <v>Үндсэн үйл ажиллагааны борлуулалт</v>
      </c>
      <c r="G1568" s="377"/>
      <c r="H1568" s="377">
        <v>24377043.43</v>
      </c>
      <c r="I1568" s="596">
        <f t="shared" si="156"/>
        <v>0</v>
      </c>
      <c r="J1568" s="81">
        <f t="shared" si="155"/>
        <v>0</v>
      </c>
      <c r="K1568" s="81"/>
      <c r="L1568" s="673">
        <v>3002</v>
      </c>
      <c r="M1568" s="81" t="str">
        <f>+IFERROR(VLOOKUP(L1568,DATA!$G$4:$H$2000,2,FALSE),"")</f>
        <v>ЭКО КОНСТРАКШН ХХК</v>
      </c>
      <c r="N1568" s="166"/>
      <c r="O1568" s="81" t="str">
        <f>IFERROR(VLOOKUP(N1568,DATA!$K$4:$L$51,2,FALSE),"")</f>
        <v/>
      </c>
      <c r="P1568" s="81"/>
      <c r="Q1568" s="152">
        <f t="shared" si="157"/>
        <v>0</v>
      </c>
    </row>
    <row r="1569" spans="2:17">
      <c r="B1569" s="670">
        <f t="shared" si="154"/>
        <v>1564</v>
      </c>
      <c r="C1569" s="601">
        <v>42952</v>
      </c>
      <c r="D1569" s="683" t="s">
        <v>587</v>
      </c>
      <c r="E1569" s="572">
        <v>320100</v>
      </c>
      <c r="F1569" s="672" t="str">
        <f>IFERROR(VLOOKUP(E1569,STAT1!$C$4:$D$8000,2,FALSE),"")</f>
        <v>Урьдчилж орсон орлого MNT</v>
      </c>
      <c r="G1569" s="377">
        <v>26814747.77</v>
      </c>
      <c r="H1569" s="377"/>
      <c r="I1569" s="596">
        <f t="shared" si="156"/>
        <v>0</v>
      </c>
      <c r="J1569" s="81">
        <f t="shared" si="155"/>
        <v>0</v>
      </c>
      <c r="K1569" s="81"/>
      <c r="L1569" s="673">
        <v>3002</v>
      </c>
      <c r="M1569" s="81" t="str">
        <f>+IFERROR(VLOOKUP(L1569,DATA!$G$4:$H$2000,2,FALSE),"")</f>
        <v>ЭКО КОНСТРАКШН ХХК</v>
      </c>
      <c r="N1569" s="166"/>
      <c r="O1569" s="81" t="str">
        <f>IFERROR(VLOOKUP(N1569,DATA!$K$4:$L$51,2,FALSE),"")</f>
        <v/>
      </c>
      <c r="P1569" s="81"/>
      <c r="Q1569" s="152">
        <f t="shared" si="157"/>
        <v>0</v>
      </c>
    </row>
    <row r="1570" spans="2:17">
      <c r="B1570" s="670">
        <f t="shared" si="154"/>
        <v>1565</v>
      </c>
      <c r="C1570" s="433">
        <v>42953</v>
      </c>
      <c r="D1570" s="377" t="s">
        <v>1741</v>
      </c>
      <c r="E1570" s="572">
        <v>320100</v>
      </c>
      <c r="F1570" s="672" t="str">
        <f>IFERROR(VLOOKUP(E1570,STAT1!$C$4:$D$1000,2,FALSE),"")</f>
        <v>Урьдчилж орсон орлого MNT</v>
      </c>
      <c r="G1570" s="377"/>
      <c r="H1570" s="377">
        <v>748000</v>
      </c>
      <c r="I1570" s="596">
        <f t="shared" si="156"/>
        <v>0</v>
      </c>
      <c r="J1570" s="81">
        <f t="shared" si="155"/>
        <v>0</v>
      </c>
      <c r="K1570" s="81"/>
      <c r="L1570" s="597">
        <v>3090</v>
      </c>
      <c r="M1570" s="81" t="str">
        <f>+IFERROR(VLOOKUP(L1570,DATA!$G$4:$H$2000,2,FALSE),"")</f>
        <v>ЭНХ ЭРХЭС ХХК</v>
      </c>
      <c r="N1570" s="435"/>
      <c r="O1570" s="81" t="str">
        <f>IFERROR(VLOOKUP(N1570,DATA!$K$4:$L$51,2,FALSE),"")</f>
        <v/>
      </c>
      <c r="P1570" s="81"/>
      <c r="Q1570" s="152">
        <f t="shared" si="157"/>
        <v>0</v>
      </c>
    </row>
    <row r="1571" spans="2:17">
      <c r="B1571" s="670">
        <f t="shared" si="154"/>
        <v>1566</v>
      </c>
      <c r="C1571" s="433">
        <v>42953</v>
      </c>
      <c r="D1571" s="377" t="s">
        <v>1741</v>
      </c>
      <c r="E1571" s="572">
        <v>100100</v>
      </c>
      <c r="F1571" s="672" t="str">
        <f>IFERROR(VLOOKUP(E1571,STAT1!$C$4:$D$1000,2,FALSE),"")</f>
        <v>Касс мөнгө MNT</v>
      </c>
      <c r="G1571" s="377">
        <v>748000</v>
      </c>
      <c r="H1571" s="377">
        <v>0</v>
      </c>
      <c r="I1571" s="596">
        <f t="shared" si="156"/>
        <v>748000</v>
      </c>
      <c r="J1571" s="81">
        <f t="shared" si="155"/>
        <v>0</v>
      </c>
      <c r="K1571" s="81"/>
      <c r="L1571" s="597">
        <v>3090</v>
      </c>
      <c r="M1571" s="81" t="str">
        <f>+IFERROR(VLOOKUP(L1571,DATA!$G$4:$H$2000,2,FALSE),"")</f>
        <v>ЭНХ ЭРХЭС ХХК</v>
      </c>
      <c r="N1571" s="435">
        <v>41</v>
      </c>
      <c r="O1571" s="81" t="str">
        <f>IFERROR(VLOOKUP(N1571,DATA!$K$4:$L$51,2,FALSE),"")</f>
        <v>Бараа борлуулсан, үйлчилгээ үзүүлсэний орлого</v>
      </c>
      <c r="P1571" s="81"/>
      <c r="Q1571" s="152">
        <f t="shared" si="157"/>
        <v>1</v>
      </c>
    </row>
    <row r="1572" spans="2:17">
      <c r="B1572" s="670">
        <f t="shared" si="154"/>
        <v>1567</v>
      </c>
      <c r="C1572" s="433">
        <v>42955</v>
      </c>
      <c r="D1572" s="598" t="s">
        <v>1741</v>
      </c>
      <c r="E1572" s="572">
        <v>110100</v>
      </c>
      <c r="F1572" s="672" t="str">
        <f>IFERROR(VLOOKUP(E1572,STAT1!$C$4:$D$1000,2,FALSE),"")</f>
        <v>Хаан Банк 5024654020</v>
      </c>
      <c r="G1572" s="377">
        <v>175561</v>
      </c>
      <c r="H1572" s="377"/>
      <c r="I1572" s="596">
        <f t="shared" si="156"/>
        <v>175561</v>
      </c>
      <c r="J1572" s="81">
        <f t="shared" ref="J1572:J1603" si="158">+IF(E1572=110102,I1572/K1572,0)</f>
        <v>0</v>
      </c>
      <c r="K1572" s="81"/>
      <c r="L1572" s="597">
        <v>3083</v>
      </c>
      <c r="M1572" s="81" t="str">
        <f>+IFERROR(VLOOKUP(L1572,DATA!$G$4:$H$2000,2,FALSE),"")</f>
        <v xml:space="preserve">БЧГ ХХК </v>
      </c>
      <c r="N1572" s="435">
        <v>41</v>
      </c>
      <c r="O1572" s="81" t="str">
        <f>IFERROR(VLOOKUP(N1572,DATA!$K$4:$L$51,2,FALSE),"")</f>
        <v>Бараа борлуулсан, үйлчилгээ үзүүлсэний орлого</v>
      </c>
      <c r="P1572" s="81"/>
      <c r="Q1572" s="152">
        <f t="shared" si="157"/>
        <v>1</v>
      </c>
    </row>
    <row r="1573" spans="2:17">
      <c r="B1573" s="670">
        <f t="shared" si="154"/>
        <v>1568</v>
      </c>
      <c r="C1573" s="433">
        <v>42955</v>
      </c>
      <c r="D1573" s="598" t="s">
        <v>1741</v>
      </c>
      <c r="E1573" s="572">
        <v>320100</v>
      </c>
      <c r="F1573" s="672" t="str">
        <f>IFERROR(VLOOKUP(E1573,STAT1!$C$4:$D$1000,2,FALSE),"")</f>
        <v>Урьдчилж орсон орлого MNT</v>
      </c>
      <c r="G1573" s="377">
        <v>0</v>
      </c>
      <c r="H1573" s="377">
        <v>175561</v>
      </c>
      <c r="I1573" s="596">
        <f t="shared" si="156"/>
        <v>0</v>
      </c>
      <c r="J1573" s="81">
        <f t="shared" si="158"/>
        <v>0</v>
      </c>
      <c r="K1573" s="81"/>
      <c r="L1573" s="597">
        <v>3083</v>
      </c>
      <c r="M1573" s="81" t="str">
        <f>+IFERROR(VLOOKUP(L1573,DATA!$G$4:$H$2000,2,FALSE),"")</f>
        <v xml:space="preserve">БЧГ ХХК </v>
      </c>
      <c r="N1573" s="435"/>
      <c r="O1573" s="81" t="str">
        <f>IFERROR(VLOOKUP(N1573,DATA!$K$4:$L$51,2,FALSE),"")</f>
        <v/>
      </c>
      <c r="P1573" s="81"/>
      <c r="Q1573" s="152">
        <f t="shared" si="157"/>
        <v>0</v>
      </c>
    </row>
    <row r="1574" spans="2:17">
      <c r="B1574" s="670">
        <f t="shared" si="154"/>
        <v>1569</v>
      </c>
      <c r="C1574" s="433">
        <v>42956</v>
      </c>
      <c r="D1574" s="377" t="s">
        <v>1741</v>
      </c>
      <c r="E1574" s="572">
        <v>320100</v>
      </c>
      <c r="F1574" s="672" t="str">
        <f>IFERROR(VLOOKUP(E1574,STAT1!$C$4:$D$1000,2,FALSE),"")</f>
        <v>Урьдчилж орсон орлого MNT</v>
      </c>
      <c r="G1574" s="377"/>
      <c r="H1574" s="377">
        <v>118800</v>
      </c>
      <c r="I1574" s="596">
        <f t="shared" si="156"/>
        <v>0</v>
      </c>
      <c r="J1574" s="81">
        <f t="shared" si="158"/>
        <v>0</v>
      </c>
      <c r="K1574" s="81"/>
      <c r="L1574" s="597">
        <v>3081</v>
      </c>
      <c r="M1574" s="81" t="str">
        <f>+IFERROR(VLOOKUP(L1574,DATA!$G$4:$H$2000,2,FALSE),"")</f>
        <v>ПИ АЙ ЭМ ЭМ ХХК</v>
      </c>
      <c r="N1574" s="435"/>
      <c r="O1574" s="81" t="str">
        <f>IFERROR(VLOOKUP(N1574,DATA!$K$4:$L$51,2,FALSE),"")</f>
        <v/>
      </c>
      <c r="P1574" s="81"/>
      <c r="Q1574" s="152">
        <f t="shared" si="157"/>
        <v>0</v>
      </c>
    </row>
    <row r="1575" spans="2:17">
      <c r="B1575" s="670">
        <f t="shared" si="154"/>
        <v>1570</v>
      </c>
      <c r="C1575" s="433">
        <v>42956</v>
      </c>
      <c r="D1575" s="377" t="s">
        <v>1741</v>
      </c>
      <c r="E1575" s="572">
        <v>100100</v>
      </c>
      <c r="F1575" s="672" t="str">
        <f>IFERROR(VLOOKUP(E1575,STAT1!$C$4:$D$1000,2,FALSE),"")</f>
        <v>Касс мөнгө MNT</v>
      </c>
      <c r="G1575" s="377">
        <v>118800</v>
      </c>
      <c r="H1575" s="377">
        <v>0</v>
      </c>
      <c r="I1575" s="596">
        <f t="shared" si="156"/>
        <v>118800</v>
      </c>
      <c r="J1575" s="81">
        <f t="shared" si="158"/>
        <v>0</v>
      </c>
      <c r="K1575" s="81"/>
      <c r="L1575" s="597">
        <v>3081</v>
      </c>
      <c r="M1575" s="81" t="str">
        <f>+IFERROR(VLOOKUP(L1575,DATA!$G$4:$H$2000,2,FALSE),"")</f>
        <v>ПИ АЙ ЭМ ЭМ ХХК</v>
      </c>
      <c r="N1575" s="435">
        <v>41</v>
      </c>
      <c r="O1575" s="81" t="str">
        <f>IFERROR(VLOOKUP(N1575,DATA!$K$4:$L$51,2,FALSE),"")</f>
        <v>Бараа борлуулсан, үйлчилгээ үзүүлсэний орлого</v>
      </c>
      <c r="P1575" s="81"/>
      <c r="Q1575" s="152">
        <f t="shared" si="157"/>
        <v>1</v>
      </c>
    </row>
    <row r="1576" spans="2:17">
      <c r="B1576" s="670">
        <f t="shared" si="154"/>
        <v>1571</v>
      </c>
      <c r="C1576" s="433">
        <v>42957</v>
      </c>
      <c r="D1576" s="377" t="s">
        <v>1741</v>
      </c>
      <c r="E1576" s="572">
        <v>320100</v>
      </c>
      <c r="F1576" s="672" t="str">
        <f>IFERROR(VLOOKUP(E1576,STAT1!$C$4:$D$1000,2,FALSE),"")</f>
        <v>Урьдчилж орсон орлого MNT</v>
      </c>
      <c r="G1576" s="377"/>
      <c r="H1576" s="377">
        <v>201300</v>
      </c>
      <c r="I1576" s="596">
        <f t="shared" si="156"/>
        <v>0</v>
      </c>
      <c r="J1576" s="81">
        <f t="shared" si="158"/>
        <v>0</v>
      </c>
      <c r="K1576" s="81"/>
      <c r="L1576" s="597">
        <v>3091</v>
      </c>
      <c r="M1576" s="81" t="str">
        <f>+IFERROR(VLOOKUP(L1576,DATA!$G$4:$H$2000,2,FALSE),"")</f>
        <v xml:space="preserve">ДЭРСТЭЙ ТАВАН САЛАА ХХК </v>
      </c>
      <c r="N1576" s="435"/>
      <c r="O1576" s="81" t="str">
        <f>IFERROR(VLOOKUP(N1576,DATA!$K$4:$L$51,2,FALSE),"")</f>
        <v/>
      </c>
      <c r="P1576" s="81"/>
      <c r="Q1576" s="152">
        <f t="shared" si="157"/>
        <v>0</v>
      </c>
    </row>
    <row r="1577" spans="2:17">
      <c r="B1577" s="670">
        <f t="shared" si="154"/>
        <v>1572</v>
      </c>
      <c r="C1577" s="433">
        <v>42957</v>
      </c>
      <c r="D1577" s="377" t="s">
        <v>1741</v>
      </c>
      <c r="E1577" s="572">
        <v>100100</v>
      </c>
      <c r="F1577" s="672" t="str">
        <f>IFERROR(VLOOKUP(E1577,STAT1!$C$4:$D$1000,2,FALSE),"")</f>
        <v>Касс мөнгө MNT</v>
      </c>
      <c r="G1577" s="377">
        <v>201300</v>
      </c>
      <c r="H1577" s="377">
        <v>0</v>
      </c>
      <c r="I1577" s="596">
        <f t="shared" si="156"/>
        <v>201300</v>
      </c>
      <c r="J1577" s="81">
        <f t="shared" si="158"/>
        <v>0</v>
      </c>
      <c r="K1577" s="81"/>
      <c r="L1577" s="597">
        <v>3091</v>
      </c>
      <c r="M1577" s="81" t="str">
        <f>+IFERROR(VLOOKUP(L1577,DATA!$G$4:$H$2000,2,FALSE),"")</f>
        <v xml:space="preserve">ДЭРСТЭЙ ТАВАН САЛАА ХХК </v>
      </c>
      <c r="N1577" s="435">
        <v>41</v>
      </c>
      <c r="O1577" s="81" t="str">
        <f>IFERROR(VLOOKUP(N1577,DATA!$K$4:$L$51,2,FALSE),"")</f>
        <v>Бараа борлуулсан, үйлчилгээ үзүүлсэний орлого</v>
      </c>
      <c r="P1577" s="81"/>
      <c r="Q1577" s="152">
        <f t="shared" si="157"/>
        <v>1</v>
      </c>
    </row>
    <row r="1578" spans="2:17">
      <c r="B1578" s="670">
        <f t="shared" si="154"/>
        <v>1573</v>
      </c>
      <c r="C1578" s="433">
        <v>42957</v>
      </c>
      <c r="D1578" s="598" t="s">
        <v>1741</v>
      </c>
      <c r="E1578" s="572">
        <v>110100</v>
      </c>
      <c r="F1578" s="672" t="str">
        <f>IFERROR(VLOOKUP(E1578,STAT1!$C$4:$D$1000,2,FALSE),"")</f>
        <v>Хаан Банк 5024654020</v>
      </c>
      <c r="G1578" s="377">
        <v>15171000</v>
      </c>
      <c r="H1578" s="377"/>
      <c r="I1578" s="596">
        <f t="shared" si="156"/>
        <v>15171000</v>
      </c>
      <c r="J1578" s="81">
        <f t="shared" si="158"/>
        <v>0</v>
      </c>
      <c r="K1578" s="81"/>
      <c r="L1578" s="597">
        <v>3001</v>
      </c>
      <c r="M1578" s="81" t="str">
        <f>+IFERROR(VLOOKUP(L1578,DATA!$G$4:$H$2000,2,FALSE),"")</f>
        <v>ХУРД ГРУПП ХХК</v>
      </c>
      <c r="N1578" s="435">
        <v>41</v>
      </c>
      <c r="O1578" s="81" t="str">
        <f>IFERROR(VLOOKUP(N1578,DATA!$K$4:$L$51,2,FALSE),"")</f>
        <v>Бараа борлуулсан, үйлчилгээ үзүүлсэний орлого</v>
      </c>
      <c r="P1578" s="81"/>
      <c r="Q1578" s="152">
        <f t="shared" si="157"/>
        <v>1</v>
      </c>
    </row>
    <row r="1579" spans="2:17">
      <c r="B1579" s="670">
        <f t="shared" si="154"/>
        <v>1574</v>
      </c>
      <c r="C1579" s="433">
        <v>42957</v>
      </c>
      <c r="D1579" s="598" t="s">
        <v>1741</v>
      </c>
      <c r="E1579" s="572">
        <v>320100</v>
      </c>
      <c r="F1579" s="672" t="str">
        <f>IFERROR(VLOOKUP(E1579,STAT1!$C$4:$D$1000,2,FALSE),"")</f>
        <v>Урьдчилж орсон орлого MNT</v>
      </c>
      <c r="G1579" s="377">
        <v>0</v>
      </c>
      <c r="H1579" s="377">
        <v>15171000</v>
      </c>
      <c r="I1579" s="596">
        <f t="shared" si="156"/>
        <v>0</v>
      </c>
      <c r="J1579" s="81">
        <f t="shared" si="158"/>
        <v>0</v>
      </c>
      <c r="K1579" s="81"/>
      <c r="L1579" s="597">
        <v>3001</v>
      </c>
      <c r="M1579" s="81" t="str">
        <f>+IFERROR(VLOOKUP(L1579,DATA!$G$4:$H$2000,2,FALSE),"")</f>
        <v>ХУРД ГРУПП ХХК</v>
      </c>
      <c r="N1579" s="435"/>
      <c r="O1579" s="81" t="str">
        <f>IFERROR(VLOOKUP(N1579,DATA!$K$4:$L$51,2,FALSE),"")</f>
        <v/>
      </c>
      <c r="P1579" s="81"/>
      <c r="Q1579" s="152">
        <f t="shared" si="157"/>
        <v>0</v>
      </c>
    </row>
    <row r="1580" spans="2:17">
      <c r="B1580" s="670">
        <f t="shared" si="154"/>
        <v>1575</v>
      </c>
      <c r="C1580" s="601">
        <v>42957</v>
      </c>
      <c r="D1580" s="683" t="s">
        <v>2703</v>
      </c>
      <c r="E1580" s="573">
        <v>150101</v>
      </c>
      <c r="F1580" s="672" t="str">
        <f>IFERROR(VLOOKUP(E1580,STAT1!$C$4:$D$8000,2,FALSE),"")</f>
        <v>Бараа бэлэн бүтээгдэхүүн БОЛОВСРУУЛАХ ЦЕХ /нарс/</v>
      </c>
      <c r="G1580" s="377"/>
      <c r="H1580" s="377">
        <v>193572.22640608458</v>
      </c>
      <c r="I1580" s="596">
        <f t="shared" si="156"/>
        <v>0</v>
      </c>
      <c r="J1580" s="81">
        <f t="shared" si="158"/>
        <v>0</v>
      </c>
      <c r="K1580" s="81"/>
      <c r="L1580" s="673">
        <v>3083</v>
      </c>
      <c r="M1580" s="81" t="str">
        <f>+IFERROR(VLOOKUP(L1580,DATA!$G$4:$H$2000,2,FALSE),"")</f>
        <v xml:space="preserve">БЧГ ХХК </v>
      </c>
      <c r="N1580" s="166"/>
      <c r="O1580" s="81" t="str">
        <f>IFERROR(VLOOKUP(N1580,DATA!$K$4:$L$51,2,FALSE),"")</f>
        <v/>
      </c>
      <c r="P1580" s="81"/>
      <c r="Q1580" s="152">
        <f t="shared" si="157"/>
        <v>0</v>
      </c>
    </row>
    <row r="1581" spans="2:17">
      <c r="B1581" s="670">
        <f t="shared" si="154"/>
        <v>1576</v>
      </c>
      <c r="C1581" s="601">
        <v>42957</v>
      </c>
      <c r="D1581" s="683" t="s">
        <v>587</v>
      </c>
      <c r="E1581" s="572">
        <v>610100</v>
      </c>
      <c r="F1581" s="672" t="str">
        <f>IFERROR(VLOOKUP(E1581,STAT1!$C$4:$D$8000,2,FALSE),"")</f>
        <v>Борлуулсан барааны өртөг</v>
      </c>
      <c r="G1581" s="377">
        <v>193572.22640608458</v>
      </c>
      <c r="H1581" s="377"/>
      <c r="I1581" s="596">
        <f t="shared" si="156"/>
        <v>0</v>
      </c>
      <c r="J1581" s="81">
        <f t="shared" si="158"/>
        <v>0</v>
      </c>
      <c r="K1581" s="81"/>
      <c r="L1581" s="673">
        <v>3083</v>
      </c>
      <c r="M1581" s="81" t="str">
        <f>+IFERROR(VLOOKUP(L1581,DATA!$G$4:$H$2000,2,FALSE),"")</f>
        <v xml:space="preserve">БЧГ ХХК </v>
      </c>
      <c r="N1581" s="166"/>
      <c r="O1581" s="81" t="str">
        <f>IFERROR(VLOOKUP(N1581,DATA!$K$4:$L$51,2,FALSE),"")</f>
        <v/>
      </c>
      <c r="P1581" s="81"/>
      <c r="Q1581" s="152">
        <f t="shared" si="157"/>
        <v>0</v>
      </c>
    </row>
    <row r="1582" spans="2:17">
      <c r="B1582" s="670">
        <f t="shared" si="154"/>
        <v>1577</v>
      </c>
      <c r="C1582" s="601">
        <v>42957</v>
      </c>
      <c r="D1582" s="683" t="s">
        <v>587</v>
      </c>
      <c r="E1582" s="572">
        <v>310500</v>
      </c>
      <c r="F1582" s="672" t="str">
        <f>IFERROR(VLOOKUP(E1582,STAT1!$C$4:$D$8000,2,FALSE),"")</f>
        <v>НӨАТ өглөг</v>
      </c>
      <c r="G1582" s="377"/>
      <c r="H1582" s="377">
        <v>25415.636004</v>
      </c>
      <c r="I1582" s="596">
        <f t="shared" si="156"/>
        <v>0</v>
      </c>
      <c r="J1582" s="81">
        <f t="shared" si="158"/>
        <v>0</v>
      </c>
      <c r="K1582" s="81"/>
      <c r="L1582" s="673">
        <v>3083</v>
      </c>
      <c r="M1582" s="81" t="str">
        <f>+IFERROR(VLOOKUP(L1582,DATA!$G$4:$H$2000,2,FALSE),"")</f>
        <v xml:space="preserve">БЧГ ХХК </v>
      </c>
      <c r="N1582" s="166"/>
      <c r="O1582" s="81" t="str">
        <f>IFERROR(VLOOKUP(N1582,DATA!$K$4:$L$51,2,FALSE),"")</f>
        <v/>
      </c>
      <c r="P1582" s="81"/>
      <c r="Q1582" s="152">
        <f t="shared" si="157"/>
        <v>0</v>
      </c>
    </row>
    <row r="1583" spans="2:17">
      <c r="B1583" s="670">
        <f t="shared" si="154"/>
        <v>1578</v>
      </c>
      <c r="C1583" s="601">
        <v>42957</v>
      </c>
      <c r="D1583" s="683" t="s">
        <v>587</v>
      </c>
      <c r="E1583" s="572">
        <v>510000</v>
      </c>
      <c r="F1583" s="672" t="str">
        <f>IFERROR(VLOOKUP(E1583,STAT1!$C$4:$D$8000,2,FALSE),"")</f>
        <v>Үндсэн үйл ажиллагааны борлуулалт</v>
      </c>
      <c r="G1583" s="377"/>
      <c r="H1583" s="377">
        <v>254156.36004</v>
      </c>
      <c r="I1583" s="596">
        <f t="shared" si="156"/>
        <v>0</v>
      </c>
      <c r="J1583" s="81">
        <f t="shared" si="158"/>
        <v>0</v>
      </c>
      <c r="K1583" s="81"/>
      <c r="L1583" s="673">
        <v>3083</v>
      </c>
      <c r="M1583" s="81" t="str">
        <f>+IFERROR(VLOOKUP(L1583,DATA!$G$4:$H$2000,2,FALSE),"")</f>
        <v xml:space="preserve">БЧГ ХХК </v>
      </c>
      <c r="N1583" s="166"/>
      <c r="O1583" s="81" t="str">
        <f>IFERROR(VLOOKUP(N1583,DATA!$K$4:$L$51,2,FALSE),"")</f>
        <v/>
      </c>
      <c r="P1583" s="81"/>
      <c r="Q1583" s="152">
        <f t="shared" si="157"/>
        <v>0</v>
      </c>
    </row>
    <row r="1584" spans="2:17">
      <c r="B1584" s="670">
        <f t="shared" si="154"/>
        <v>1579</v>
      </c>
      <c r="C1584" s="601">
        <v>42957</v>
      </c>
      <c r="D1584" s="683" t="s">
        <v>587</v>
      </c>
      <c r="E1584" s="572">
        <v>320100</v>
      </c>
      <c r="F1584" s="672" t="str">
        <f>IFERROR(VLOOKUP(E1584,STAT1!$C$4:$D$8000,2,FALSE),"")</f>
        <v>Урьдчилж орсон орлого MNT</v>
      </c>
      <c r="G1584" s="377">
        <v>279571.99604400003</v>
      </c>
      <c r="H1584" s="377"/>
      <c r="I1584" s="596">
        <f t="shared" si="156"/>
        <v>0</v>
      </c>
      <c r="J1584" s="81">
        <f t="shared" si="158"/>
        <v>0</v>
      </c>
      <c r="K1584" s="81"/>
      <c r="L1584" s="673">
        <v>3083</v>
      </c>
      <c r="M1584" s="81" t="str">
        <f>+IFERROR(VLOOKUP(L1584,DATA!$G$4:$H$2000,2,FALSE),"")</f>
        <v xml:space="preserve">БЧГ ХХК </v>
      </c>
      <c r="N1584" s="166"/>
      <c r="O1584" s="81" t="str">
        <f>IFERROR(VLOOKUP(N1584,DATA!$K$4:$L$51,2,FALSE),"")</f>
        <v/>
      </c>
      <c r="P1584" s="81"/>
      <c r="Q1584" s="152">
        <f t="shared" si="157"/>
        <v>0</v>
      </c>
    </row>
    <row r="1585" spans="2:17">
      <c r="B1585" s="670">
        <f t="shared" si="154"/>
        <v>1580</v>
      </c>
      <c r="C1585" s="433">
        <v>42958</v>
      </c>
      <c r="D1585" s="377" t="s">
        <v>1741</v>
      </c>
      <c r="E1585" s="572">
        <v>320100</v>
      </c>
      <c r="F1585" s="672" t="str">
        <f>IFERROR(VLOOKUP(E1585,STAT1!$C$4:$D$1000,2,FALSE),"")</f>
        <v>Урьдчилж орсон орлого MNT</v>
      </c>
      <c r="G1585" s="377"/>
      <c r="H1585" s="377">
        <v>935000</v>
      </c>
      <c r="I1585" s="596">
        <f t="shared" si="156"/>
        <v>0</v>
      </c>
      <c r="J1585" s="81">
        <f t="shared" si="158"/>
        <v>0</v>
      </c>
      <c r="K1585" s="81"/>
      <c r="L1585" s="597">
        <v>3092</v>
      </c>
      <c r="M1585" s="81" t="str">
        <f>+IFERROR(VLOOKUP(L1585,DATA!$G$4:$H$2000,2,FALSE),"")</f>
        <v>МӨНХ ВҮҮД ХХК</v>
      </c>
      <c r="N1585" s="435"/>
      <c r="O1585" s="81" t="str">
        <f>IFERROR(VLOOKUP(N1585,DATA!$K$4:$L$51,2,FALSE),"")</f>
        <v/>
      </c>
      <c r="P1585" s="81"/>
      <c r="Q1585" s="152">
        <f t="shared" si="157"/>
        <v>0</v>
      </c>
    </row>
    <row r="1586" spans="2:17">
      <c r="B1586" s="670">
        <f t="shared" si="154"/>
        <v>1581</v>
      </c>
      <c r="C1586" s="433">
        <v>42958</v>
      </c>
      <c r="D1586" s="377" t="s">
        <v>1741</v>
      </c>
      <c r="E1586" s="572">
        <v>100100</v>
      </c>
      <c r="F1586" s="672" t="str">
        <f>IFERROR(VLOOKUP(E1586,STAT1!$C$4:$D$1000,2,FALSE),"")</f>
        <v>Касс мөнгө MNT</v>
      </c>
      <c r="G1586" s="377">
        <v>935000</v>
      </c>
      <c r="H1586" s="377">
        <v>0</v>
      </c>
      <c r="I1586" s="596">
        <f t="shared" si="156"/>
        <v>935000</v>
      </c>
      <c r="J1586" s="81">
        <f t="shared" si="158"/>
        <v>0</v>
      </c>
      <c r="K1586" s="81"/>
      <c r="L1586" s="597">
        <v>3092</v>
      </c>
      <c r="M1586" s="81" t="str">
        <f>+IFERROR(VLOOKUP(L1586,DATA!$G$4:$H$2000,2,FALSE),"")</f>
        <v>МӨНХ ВҮҮД ХХК</v>
      </c>
      <c r="N1586" s="435">
        <v>41</v>
      </c>
      <c r="O1586" s="81" t="str">
        <f>IFERROR(VLOOKUP(N1586,DATA!$K$4:$L$51,2,FALSE),"")</f>
        <v>Бараа борлуулсан, үйлчилгээ үзүүлсэний орлого</v>
      </c>
      <c r="P1586" s="81"/>
      <c r="Q1586" s="152">
        <f t="shared" si="157"/>
        <v>1</v>
      </c>
    </row>
    <row r="1587" spans="2:17">
      <c r="B1587" s="670">
        <f t="shared" si="154"/>
        <v>1582</v>
      </c>
      <c r="C1587" s="433">
        <v>42958</v>
      </c>
      <c r="D1587" s="598" t="s">
        <v>1741</v>
      </c>
      <c r="E1587" s="572">
        <v>110100</v>
      </c>
      <c r="F1587" s="672" t="str">
        <f>IFERROR(VLOOKUP(E1587,STAT1!$C$4:$D$1000,2,FALSE),"")</f>
        <v>Хаан Банк 5024654020</v>
      </c>
      <c r="G1587" s="377">
        <v>104011</v>
      </c>
      <c r="H1587" s="377"/>
      <c r="I1587" s="596">
        <f t="shared" si="156"/>
        <v>104011</v>
      </c>
      <c r="J1587" s="81">
        <f t="shared" si="158"/>
        <v>0</v>
      </c>
      <c r="K1587" s="81"/>
      <c r="L1587" s="597">
        <v>3083</v>
      </c>
      <c r="M1587" s="81" t="str">
        <f>+IFERROR(VLOOKUP(L1587,DATA!$G$4:$H$2000,2,FALSE),"")</f>
        <v xml:space="preserve">БЧГ ХХК </v>
      </c>
      <c r="N1587" s="435">
        <v>41</v>
      </c>
      <c r="O1587" s="81" t="str">
        <f>IFERROR(VLOOKUP(N1587,DATA!$K$4:$L$51,2,FALSE),"")</f>
        <v>Бараа борлуулсан, үйлчилгээ үзүүлсэний орлого</v>
      </c>
      <c r="P1587" s="81"/>
      <c r="Q1587" s="152">
        <f t="shared" si="157"/>
        <v>1</v>
      </c>
    </row>
    <row r="1588" spans="2:17">
      <c r="B1588" s="670">
        <f t="shared" si="154"/>
        <v>1583</v>
      </c>
      <c r="C1588" s="433">
        <v>42958</v>
      </c>
      <c r="D1588" s="598" t="s">
        <v>1741</v>
      </c>
      <c r="E1588" s="572">
        <v>320100</v>
      </c>
      <c r="F1588" s="672" t="str">
        <f>IFERROR(VLOOKUP(E1588,STAT1!$C$4:$D$1000,2,FALSE),"")</f>
        <v>Урьдчилж орсон орлого MNT</v>
      </c>
      <c r="G1588" s="377">
        <v>0</v>
      </c>
      <c r="H1588" s="377">
        <v>104011</v>
      </c>
      <c r="I1588" s="596">
        <f t="shared" si="156"/>
        <v>0</v>
      </c>
      <c r="J1588" s="81">
        <f t="shared" si="158"/>
        <v>0</v>
      </c>
      <c r="K1588" s="81"/>
      <c r="L1588" s="597">
        <v>3083</v>
      </c>
      <c r="M1588" s="81" t="str">
        <f>+IFERROR(VLOOKUP(L1588,DATA!$G$4:$H$2000,2,FALSE),"")</f>
        <v xml:space="preserve">БЧГ ХХК </v>
      </c>
      <c r="N1588" s="435"/>
      <c r="O1588" s="81" t="str">
        <f>IFERROR(VLOOKUP(N1588,DATA!$K$4:$L$51,2,FALSE),"")</f>
        <v/>
      </c>
      <c r="P1588" s="81"/>
      <c r="Q1588" s="152">
        <f t="shared" si="157"/>
        <v>0</v>
      </c>
    </row>
    <row r="1589" spans="2:17">
      <c r="B1589" s="670">
        <f t="shared" si="154"/>
        <v>1584</v>
      </c>
      <c r="C1589" s="433">
        <v>42958</v>
      </c>
      <c r="D1589" s="598" t="s">
        <v>1749</v>
      </c>
      <c r="E1589" s="572">
        <v>100100</v>
      </c>
      <c r="F1589" s="672" t="str">
        <f>IFERROR(VLOOKUP(E1589,STAT1!$C$4:$D$8000,2,FALSE),"")</f>
        <v>Касс мөнгө MNT</v>
      </c>
      <c r="G1589" s="377">
        <v>17550000</v>
      </c>
      <c r="H1589" s="377">
        <v>0</v>
      </c>
      <c r="I1589" s="596">
        <f t="shared" si="156"/>
        <v>17550000</v>
      </c>
      <c r="J1589" s="81">
        <f t="shared" si="158"/>
        <v>0</v>
      </c>
      <c r="K1589" s="81"/>
      <c r="L1589" s="597">
        <v>1004</v>
      </c>
      <c r="M1589" s="81" t="str">
        <f>+IFERROR(VLOOKUP(L1589,DATA!$G$4:$H$2000,2,FALSE),"")</f>
        <v xml:space="preserve">Түмэндэлгэр </v>
      </c>
      <c r="N1589" s="435"/>
      <c r="O1589" s="81" t="str">
        <f>IFERROR(VLOOKUP(N1589,DATA!$K$4:$L$51,2,FALSE),"")</f>
        <v/>
      </c>
      <c r="P1589" s="81"/>
      <c r="Q1589" s="152">
        <f t="shared" si="157"/>
        <v>1</v>
      </c>
    </row>
    <row r="1590" spans="2:17">
      <c r="B1590" s="670">
        <f t="shared" si="154"/>
        <v>1585</v>
      </c>
      <c r="C1590" s="433">
        <v>42958</v>
      </c>
      <c r="D1590" s="598" t="s">
        <v>1749</v>
      </c>
      <c r="E1590" s="572">
        <v>110100</v>
      </c>
      <c r="F1590" s="672" t="str">
        <f>IFERROR(VLOOKUP(E1590,STAT1!$C$4:$D$8000,2,FALSE),"")</f>
        <v>Хаан Банк 5024654020</v>
      </c>
      <c r="G1590" s="377"/>
      <c r="H1590" s="377">
        <v>17550000</v>
      </c>
      <c r="I1590" s="596">
        <f t="shared" si="156"/>
        <v>-17550000</v>
      </c>
      <c r="J1590" s="81">
        <f t="shared" si="158"/>
        <v>0</v>
      </c>
      <c r="K1590" s="81"/>
      <c r="L1590" s="597">
        <v>1004</v>
      </c>
      <c r="M1590" s="81" t="str">
        <f>+IFERROR(VLOOKUP(L1590,DATA!$G$4:$H$2000,2,FALSE),"")</f>
        <v xml:space="preserve">Түмэндэлгэр </v>
      </c>
      <c r="N1590" s="435"/>
      <c r="O1590" s="81" t="str">
        <f>IFERROR(VLOOKUP(N1590,DATA!$K$4:$L$51,2,FALSE),"")</f>
        <v/>
      </c>
      <c r="P1590" s="81"/>
      <c r="Q1590" s="152">
        <f t="shared" si="157"/>
        <v>1</v>
      </c>
    </row>
    <row r="1591" spans="2:17">
      <c r="B1591" s="670">
        <f t="shared" si="154"/>
        <v>1586</v>
      </c>
      <c r="C1591" s="601">
        <v>42960</v>
      </c>
      <c r="D1591" s="683" t="s">
        <v>2700</v>
      </c>
      <c r="E1591" s="573">
        <v>150101</v>
      </c>
      <c r="F1591" s="672" t="str">
        <f>IFERROR(VLOOKUP(E1591,STAT1!$C$4:$D$8000,2,FALSE),"")</f>
        <v>Бараа бэлэн бүтээгдэхүүн БОЛОВСРУУЛАХ ЦЕХ /нарс/</v>
      </c>
      <c r="G1591" s="377"/>
      <c r="H1591" s="377">
        <v>558922.41154222586</v>
      </c>
      <c r="I1591" s="596">
        <f t="shared" si="156"/>
        <v>0</v>
      </c>
      <c r="J1591" s="81">
        <f t="shared" si="158"/>
        <v>0</v>
      </c>
      <c r="K1591" s="81"/>
      <c r="L1591" s="673">
        <v>3090</v>
      </c>
      <c r="M1591" s="81" t="str">
        <f>+IFERROR(VLOOKUP(L1591,DATA!$G$4:$H$2000,2,FALSE),"")</f>
        <v>ЭНХ ЭРХЭС ХХК</v>
      </c>
      <c r="N1591" s="166"/>
      <c r="O1591" s="81" t="str">
        <f>IFERROR(VLOOKUP(N1591,DATA!$K$4:$L$51,2,FALSE),"")</f>
        <v/>
      </c>
      <c r="P1591" s="81"/>
      <c r="Q1591" s="152">
        <f t="shared" si="157"/>
        <v>0</v>
      </c>
    </row>
    <row r="1592" spans="2:17">
      <c r="B1592" s="670">
        <f t="shared" si="154"/>
        <v>1587</v>
      </c>
      <c r="C1592" s="601">
        <v>42960</v>
      </c>
      <c r="D1592" s="683" t="s">
        <v>587</v>
      </c>
      <c r="E1592" s="572">
        <v>610100</v>
      </c>
      <c r="F1592" s="672" t="str">
        <f>IFERROR(VLOOKUP(E1592,STAT1!$C$4:$D$8000,2,FALSE),"")</f>
        <v>Борлуулсан барааны өртөг</v>
      </c>
      <c r="G1592" s="377">
        <v>558922.41154222586</v>
      </c>
      <c r="H1592" s="377"/>
      <c r="I1592" s="596">
        <f t="shared" si="156"/>
        <v>0</v>
      </c>
      <c r="J1592" s="81">
        <f t="shared" si="158"/>
        <v>0</v>
      </c>
      <c r="K1592" s="81"/>
      <c r="L1592" s="673">
        <v>3090</v>
      </c>
      <c r="M1592" s="81" t="str">
        <f>+IFERROR(VLOOKUP(L1592,DATA!$G$4:$H$2000,2,FALSE),"")</f>
        <v>ЭНХ ЭРХЭС ХХК</v>
      </c>
      <c r="N1592" s="166"/>
      <c r="O1592" s="81" t="str">
        <f>IFERROR(VLOOKUP(N1592,DATA!$K$4:$L$51,2,FALSE),"")</f>
        <v/>
      </c>
      <c r="P1592" s="81"/>
      <c r="Q1592" s="152">
        <f t="shared" si="157"/>
        <v>0</v>
      </c>
    </row>
    <row r="1593" spans="2:17">
      <c r="B1593" s="670">
        <f t="shared" si="154"/>
        <v>1588</v>
      </c>
      <c r="C1593" s="601">
        <v>42960</v>
      </c>
      <c r="D1593" s="683" t="s">
        <v>587</v>
      </c>
      <c r="E1593" s="572">
        <v>310500</v>
      </c>
      <c r="F1593" s="672" t="str">
        <f>IFERROR(VLOOKUP(E1593,STAT1!$C$4:$D$8000,2,FALSE),"")</f>
        <v>НӨАТ өглөг</v>
      </c>
      <c r="G1593" s="377"/>
      <c r="H1593" s="377">
        <v>68000</v>
      </c>
      <c r="I1593" s="596">
        <f t="shared" si="156"/>
        <v>0</v>
      </c>
      <c r="J1593" s="81">
        <f t="shared" si="158"/>
        <v>0</v>
      </c>
      <c r="K1593" s="81"/>
      <c r="L1593" s="673">
        <v>3090</v>
      </c>
      <c r="M1593" s="81" t="str">
        <f>+IFERROR(VLOOKUP(L1593,DATA!$G$4:$H$2000,2,FALSE),"")</f>
        <v>ЭНХ ЭРХЭС ХХК</v>
      </c>
      <c r="N1593" s="166"/>
      <c r="O1593" s="81" t="str">
        <f>IFERROR(VLOOKUP(N1593,DATA!$K$4:$L$51,2,FALSE),"")</f>
        <v/>
      </c>
      <c r="P1593" s="81"/>
      <c r="Q1593" s="152">
        <f t="shared" si="157"/>
        <v>0</v>
      </c>
    </row>
    <row r="1594" spans="2:17">
      <c r="B1594" s="670">
        <f t="shared" ref="B1594:B1653" si="159">+IF(C1594="","",ROW()-5)</f>
        <v>1589</v>
      </c>
      <c r="C1594" s="601">
        <v>42960</v>
      </c>
      <c r="D1594" s="683" t="s">
        <v>587</v>
      </c>
      <c r="E1594" s="572">
        <v>510000</v>
      </c>
      <c r="F1594" s="672" t="str">
        <f>IFERROR(VLOOKUP(E1594,STAT1!$C$4:$D$8000,2,FALSE),"")</f>
        <v>Үндсэн үйл ажиллагааны борлуулалт</v>
      </c>
      <c r="G1594" s="377"/>
      <c r="H1594" s="377">
        <v>680000</v>
      </c>
      <c r="I1594" s="596">
        <f t="shared" si="156"/>
        <v>0</v>
      </c>
      <c r="J1594" s="81">
        <f t="shared" si="158"/>
        <v>0</v>
      </c>
      <c r="K1594" s="81"/>
      <c r="L1594" s="673">
        <v>3090</v>
      </c>
      <c r="M1594" s="81" t="str">
        <f>+IFERROR(VLOOKUP(L1594,DATA!$G$4:$H$2000,2,FALSE),"")</f>
        <v>ЭНХ ЭРХЭС ХХК</v>
      </c>
      <c r="N1594" s="166"/>
      <c r="O1594" s="81" t="str">
        <f>IFERROR(VLOOKUP(N1594,DATA!$K$4:$L$51,2,FALSE),"")</f>
        <v/>
      </c>
      <c r="P1594" s="81"/>
      <c r="Q1594" s="152">
        <f t="shared" si="157"/>
        <v>0</v>
      </c>
    </row>
    <row r="1595" spans="2:17">
      <c r="B1595" s="670">
        <f t="shared" si="159"/>
        <v>1590</v>
      </c>
      <c r="C1595" s="601">
        <v>42960</v>
      </c>
      <c r="D1595" s="683" t="s">
        <v>587</v>
      </c>
      <c r="E1595" s="572">
        <v>320100</v>
      </c>
      <c r="F1595" s="672" t="str">
        <f>IFERROR(VLOOKUP(E1595,STAT1!$C$4:$D$8000,2,FALSE),"")</f>
        <v>Урьдчилж орсон орлого MNT</v>
      </c>
      <c r="G1595" s="377">
        <v>748000</v>
      </c>
      <c r="H1595" s="377"/>
      <c r="I1595" s="596">
        <f t="shared" si="156"/>
        <v>0</v>
      </c>
      <c r="J1595" s="81">
        <f t="shared" si="158"/>
        <v>0</v>
      </c>
      <c r="K1595" s="81"/>
      <c r="L1595" s="673">
        <v>3090</v>
      </c>
      <c r="M1595" s="81" t="str">
        <f>+IFERROR(VLOOKUP(L1595,DATA!$G$4:$H$2000,2,FALSE),"")</f>
        <v>ЭНХ ЭРХЭС ХХК</v>
      </c>
      <c r="N1595" s="166"/>
      <c r="O1595" s="81" t="str">
        <f>IFERROR(VLOOKUP(N1595,DATA!$K$4:$L$51,2,FALSE),"")</f>
        <v/>
      </c>
      <c r="P1595" s="81"/>
      <c r="Q1595" s="152">
        <f t="shared" si="157"/>
        <v>0</v>
      </c>
    </row>
    <row r="1596" spans="2:17">
      <c r="B1596" s="670">
        <f t="shared" si="159"/>
        <v>1591</v>
      </c>
      <c r="C1596" s="433">
        <v>42961</v>
      </c>
      <c r="D1596" s="377" t="s">
        <v>1741</v>
      </c>
      <c r="E1596" s="572">
        <v>320100</v>
      </c>
      <c r="F1596" s="672" t="str">
        <f>IFERROR(VLOOKUP(E1596,STAT1!$C$4:$D$1000,2,FALSE),"")</f>
        <v>Урьдчилж орсон орлого MNT</v>
      </c>
      <c r="G1596" s="377"/>
      <c r="H1596" s="377">
        <v>56120</v>
      </c>
      <c r="I1596" s="596">
        <f t="shared" si="156"/>
        <v>0</v>
      </c>
      <c r="J1596" s="81">
        <f t="shared" si="158"/>
        <v>0</v>
      </c>
      <c r="K1596" s="81"/>
      <c r="L1596" s="597">
        <v>3093</v>
      </c>
      <c r="M1596" s="81" t="str">
        <f>+IFERROR(VLOOKUP(L1596,DATA!$G$4:$H$2000,2,FALSE),"")</f>
        <v xml:space="preserve">НЬЮ ЭРА ТУР МОНГОЛИА ХХК </v>
      </c>
      <c r="N1596" s="435"/>
      <c r="O1596" s="81" t="str">
        <f>IFERROR(VLOOKUP(N1596,DATA!$K$4:$L$51,2,FALSE),"")</f>
        <v/>
      </c>
      <c r="P1596" s="81"/>
      <c r="Q1596" s="152">
        <f t="shared" si="157"/>
        <v>0</v>
      </c>
    </row>
    <row r="1597" spans="2:17">
      <c r="B1597" s="670">
        <f t="shared" si="159"/>
        <v>1592</v>
      </c>
      <c r="C1597" s="433">
        <v>42961</v>
      </c>
      <c r="D1597" s="377" t="s">
        <v>1741</v>
      </c>
      <c r="E1597" s="572">
        <v>100100</v>
      </c>
      <c r="F1597" s="672" t="str">
        <f>IFERROR(VLOOKUP(E1597,STAT1!$C$4:$D$1000,2,FALSE),"")</f>
        <v>Касс мөнгө MNT</v>
      </c>
      <c r="G1597" s="377">
        <v>56120</v>
      </c>
      <c r="H1597" s="377">
        <v>0</v>
      </c>
      <c r="I1597" s="596">
        <f t="shared" si="156"/>
        <v>56120</v>
      </c>
      <c r="J1597" s="81">
        <f t="shared" si="158"/>
        <v>0</v>
      </c>
      <c r="K1597" s="81"/>
      <c r="L1597" s="597">
        <v>3093</v>
      </c>
      <c r="M1597" s="81" t="str">
        <f>+IFERROR(VLOOKUP(L1597,DATA!$G$4:$H$2000,2,FALSE),"")</f>
        <v xml:space="preserve">НЬЮ ЭРА ТУР МОНГОЛИА ХХК </v>
      </c>
      <c r="N1597" s="435">
        <v>41</v>
      </c>
      <c r="O1597" s="81" t="str">
        <f>IFERROR(VLOOKUP(N1597,DATA!$K$4:$L$51,2,FALSE),"")</f>
        <v>Бараа борлуулсан, үйлчилгээ үзүүлсэний орлого</v>
      </c>
      <c r="P1597" s="81"/>
      <c r="Q1597" s="152">
        <f t="shared" si="157"/>
        <v>1</v>
      </c>
    </row>
    <row r="1598" spans="2:17">
      <c r="B1598" s="670">
        <f t="shared" si="159"/>
        <v>1593</v>
      </c>
      <c r="C1598" s="601">
        <v>42961</v>
      </c>
      <c r="D1598" s="683" t="s">
        <v>2700</v>
      </c>
      <c r="E1598" s="573">
        <v>150101</v>
      </c>
      <c r="F1598" s="672" t="str">
        <f>IFERROR(VLOOKUP(E1598,STAT1!$C$4:$D$8000,2,FALSE),"")</f>
        <v>Бараа бэлэн бүтээгдэхүүн БОЛОВСРУУЛАХ ЦЕХ /нарс/</v>
      </c>
      <c r="G1598" s="377"/>
      <c r="H1598" s="377">
        <v>698653.01442778227</v>
      </c>
      <c r="I1598" s="596">
        <f t="shared" si="156"/>
        <v>0</v>
      </c>
      <c r="J1598" s="81">
        <f t="shared" si="158"/>
        <v>0</v>
      </c>
      <c r="K1598" s="81"/>
      <c r="L1598" s="673">
        <v>3092</v>
      </c>
      <c r="M1598" s="81" t="str">
        <f>+IFERROR(VLOOKUP(L1598,DATA!$G$4:$H$2000,2,FALSE),"")</f>
        <v>МӨНХ ВҮҮД ХХК</v>
      </c>
      <c r="N1598" s="166"/>
      <c r="O1598" s="81" t="str">
        <f>IFERROR(VLOOKUP(N1598,DATA!$K$4:$L$51,2,FALSE),"")</f>
        <v/>
      </c>
      <c r="P1598" s="81"/>
      <c r="Q1598" s="152">
        <f t="shared" si="157"/>
        <v>0</v>
      </c>
    </row>
    <row r="1599" spans="2:17">
      <c r="B1599" s="670">
        <f t="shared" si="159"/>
        <v>1594</v>
      </c>
      <c r="C1599" s="601">
        <v>42961</v>
      </c>
      <c r="D1599" s="683" t="s">
        <v>587</v>
      </c>
      <c r="E1599" s="572">
        <v>610100</v>
      </c>
      <c r="F1599" s="672" t="str">
        <f>IFERROR(VLOOKUP(E1599,STAT1!$C$4:$D$8000,2,FALSE),"")</f>
        <v>Борлуулсан барааны өртөг</v>
      </c>
      <c r="G1599" s="377">
        <v>698653.01442778227</v>
      </c>
      <c r="H1599" s="377"/>
      <c r="I1599" s="596">
        <f t="shared" si="156"/>
        <v>0</v>
      </c>
      <c r="J1599" s="81">
        <f t="shared" si="158"/>
        <v>0</v>
      </c>
      <c r="K1599" s="81"/>
      <c r="L1599" s="673">
        <v>3092</v>
      </c>
      <c r="M1599" s="81" t="str">
        <f>+IFERROR(VLOOKUP(L1599,DATA!$G$4:$H$2000,2,FALSE),"")</f>
        <v>МӨНХ ВҮҮД ХХК</v>
      </c>
      <c r="N1599" s="166"/>
      <c r="O1599" s="81" t="str">
        <f>IFERROR(VLOOKUP(N1599,DATA!$K$4:$L$51,2,FALSE),"")</f>
        <v/>
      </c>
      <c r="P1599" s="81"/>
      <c r="Q1599" s="152">
        <f t="shared" si="157"/>
        <v>0</v>
      </c>
    </row>
    <row r="1600" spans="2:17">
      <c r="B1600" s="670">
        <f t="shared" si="159"/>
        <v>1595</v>
      </c>
      <c r="C1600" s="601">
        <v>42961</v>
      </c>
      <c r="D1600" s="683" t="s">
        <v>587</v>
      </c>
      <c r="E1600" s="572">
        <v>310500</v>
      </c>
      <c r="F1600" s="672" t="str">
        <f>IFERROR(VLOOKUP(E1600,STAT1!$C$4:$D$8000,2,FALSE),"")</f>
        <v>НӨАТ өглөг</v>
      </c>
      <c r="G1600" s="377"/>
      <c r="H1600" s="377">
        <v>85000</v>
      </c>
      <c r="I1600" s="596">
        <f t="shared" si="156"/>
        <v>0</v>
      </c>
      <c r="J1600" s="81">
        <f t="shared" si="158"/>
        <v>0</v>
      </c>
      <c r="K1600" s="81"/>
      <c r="L1600" s="673">
        <v>3092</v>
      </c>
      <c r="M1600" s="81" t="str">
        <f>+IFERROR(VLOOKUP(L1600,DATA!$G$4:$H$2000,2,FALSE),"")</f>
        <v>МӨНХ ВҮҮД ХХК</v>
      </c>
      <c r="N1600" s="166"/>
      <c r="O1600" s="81" t="str">
        <f>IFERROR(VLOOKUP(N1600,DATA!$K$4:$L$51,2,FALSE),"")</f>
        <v/>
      </c>
      <c r="P1600" s="81"/>
      <c r="Q1600" s="152">
        <f t="shared" si="157"/>
        <v>0</v>
      </c>
    </row>
    <row r="1601" spans="2:17">
      <c r="B1601" s="670">
        <f t="shared" si="159"/>
        <v>1596</v>
      </c>
      <c r="C1601" s="601">
        <v>42961</v>
      </c>
      <c r="D1601" s="683" t="s">
        <v>587</v>
      </c>
      <c r="E1601" s="572">
        <v>510000</v>
      </c>
      <c r="F1601" s="672" t="str">
        <f>IFERROR(VLOOKUP(E1601,STAT1!$C$4:$D$8000,2,FALSE),"")</f>
        <v>Үндсэн үйл ажиллагааны борлуулалт</v>
      </c>
      <c r="G1601" s="377"/>
      <c r="H1601" s="377">
        <v>850000</v>
      </c>
      <c r="I1601" s="596">
        <f t="shared" si="156"/>
        <v>0</v>
      </c>
      <c r="J1601" s="81">
        <f t="shared" si="158"/>
        <v>0</v>
      </c>
      <c r="K1601" s="81"/>
      <c r="L1601" s="673">
        <v>3092</v>
      </c>
      <c r="M1601" s="81" t="str">
        <f>+IFERROR(VLOOKUP(L1601,DATA!$G$4:$H$2000,2,FALSE),"")</f>
        <v>МӨНХ ВҮҮД ХХК</v>
      </c>
      <c r="N1601" s="166"/>
      <c r="O1601" s="81" t="str">
        <f>IFERROR(VLOOKUP(N1601,DATA!$K$4:$L$51,2,FALSE),"")</f>
        <v/>
      </c>
      <c r="P1601" s="81"/>
      <c r="Q1601" s="152">
        <f t="shared" si="157"/>
        <v>0</v>
      </c>
    </row>
    <row r="1602" spans="2:17">
      <c r="B1602" s="670">
        <f t="shared" si="159"/>
        <v>1597</v>
      </c>
      <c r="C1602" s="601">
        <v>42961</v>
      </c>
      <c r="D1602" s="683" t="s">
        <v>587</v>
      </c>
      <c r="E1602" s="572">
        <v>320100</v>
      </c>
      <c r="F1602" s="672" t="str">
        <f>IFERROR(VLOOKUP(E1602,STAT1!$C$4:$D$8000,2,FALSE),"")</f>
        <v>Урьдчилж орсон орлого MNT</v>
      </c>
      <c r="G1602" s="377">
        <v>935000</v>
      </c>
      <c r="H1602" s="377"/>
      <c r="I1602" s="596">
        <f t="shared" si="156"/>
        <v>0</v>
      </c>
      <c r="J1602" s="81">
        <f t="shared" si="158"/>
        <v>0</v>
      </c>
      <c r="K1602" s="81"/>
      <c r="L1602" s="673">
        <v>3092</v>
      </c>
      <c r="M1602" s="81" t="str">
        <f>+IFERROR(VLOOKUP(L1602,DATA!$G$4:$H$2000,2,FALSE),"")</f>
        <v>МӨНХ ВҮҮД ХХК</v>
      </c>
      <c r="N1602" s="166"/>
      <c r="O1602" s="81" t="str">
        <f>IFERROR(VLOOKUP(N1602,DATA!$K$4:$L$51,2,FALSE),"")</f>
        <v/>
      </c>
      <c r="P1602" s="81"/>
      <c r="Q1602" s="152">
        <f t="shared" si="157"/>
        <v>0</v>
      </c>
    </row>
    <row r="1603" spans="2:17">
      <c r="B1603" s="670">
        <f t="shared" si="159"/>
        <v>1598</v>
      </c>
      <c r="C1603" s="601">
        <v>42961</v>
      </c>
      <c r="D1603" s="683" t="s">
        <v>2700</v>
      </c>
      <c r="E1603" s="573">
        <v>150101</v>
      </c>
      <c r="F1603" s="672" t="str">
        <f>IFERROR(VLOOKUP(E1603,STAT1!$C$4:$D$8000,2,FALSE),"")</f>
        <v>Бараа бэлэн бүтээгдэхүүн БОЛОВСРУУЛАХ ЦЕХ /нарс/</v>
      </c>
      <c r="G1603" s="377"/>
      <c r="H1603" s="377">
        <v>127101.42816277767</v>
      </c>
      <c r="I1603" s="596">
        <f t="shared" si="156"/>
        <v>0</v>
      </c>
      <c r="J1603" s="81">
        <f t="shared" si="158"/>
        <v>0</v>
      </c>
      <c r="K1603" s="81"/>
      <c r="L1603" s="673">
        <v>3091</v>
      </c>
      <c r="M1603" s="81" t="str">
        <f>+IFERROR(VLOOKUP(L1603,DATA!$G$4:$H$2000,2,FALSE),"")</f>
        <v xml:space="preserve">ДЭРСТЭЙ ТАВАН САЛАА ХХК </v>
      </c>
      <c r="N1603" s="166"/>
      <c r="O1603" s="81" t="str">
        <f>IFERROR(VLOOKUP(N1603,DATA!$K$4:$L$51,2,FALSE),"")</f>
        <v/>
      </c>
      <c r="P1603" s="81"/>
      <c r="Q1603" s="152">
        <f t="shared" si="157"/>
        <v>0</v>
      </c>
    </row>
    <row r="1604" spans="2:17">
      <c r="B1604" s="670">
        <f t="shared" si="159"/>
        <v>1599</v>
      </c>
      <c r="C1604" s="601">
        <v>42961</v>
      </c>
      <c r="D1604" s="683" t="s">
        <v>587</v>
      </c>
      <c r="E1604" s="572">
        <v>610100</v>
      </c>
      <c r="F1604" s="672" t="str">
        <f>IFERROR(VLOOKUP(E1604,STAT1!$C$4:$D$8000,2,FALSE),"")</f>
        <v>Борлуулсан барааны өртөг</v>
      </c>
      <c r="G1604" s="377">
        <v>127101.42816277767</v>
      </c>
      <c r="H1604" s="377"/>
      <c r="I1604" s="596">
        <f t="shared" si="156"/>
        <v>0</v>
      </c>
      <c r="J1604" s="81">
        <f t="shared" ref="J1604:J1635" si="160">+IF(E1604=110102,I1604/K1604,0)</f>
        <v>0</v>
      </c>
      <c r="K1604" s="81"/>
      <c r="L1604" s="673">
        <v>3091</v>
      </c>
      <c r="M1604" s="81" t="str">
        <f>+IFERROR(VLOOKUP(L1604,DATA!$G$4:$H$2000,2,FALSE),"")</f>
        <v xml:space="preserve">ДЭРСТЭЙ ТАВАН САЛАА ХХК </v>
      </c>
      <c r="N1604" s="166"/>
      <c r="O1604" s="81" t="str">
        <f>IFERROR(VLOOKUP(N1604,DATA!$K$4:$L$51,2,FALSE),"")</f>
        <v/>
      </c>
      <c r="P1604" s="81"/>
      <c r="Q1604" s="152">
        <f t="shared" si="157"/>
        <v>0</v>
      </c>
    </row>
    <row r="1605" spans="2:17">
      <c r="B1605" s="670">
        <f t="shared" si="159"/>
        <v>1600</v>
      </c>
      <c r="C1605" s="601">
        <v>42961</v>
      </c>
      <c r="D1605" s="683" t="s">
        <v>587</v>
      </c>
      <c r="E1605" s="572">
        <v>310500</v>
      </c>
      <c r="F1605" s="672" t="str">
        <f>IFERROR(VLOOKUP(E1605,STAT1!$C$4:$D$8000,2,FALSE),"")</f>
        <v>НӨАТ өглөг</v>
      </c>
      <c r="G1605" s="377"/>
      <c r="H1605" s="377">
        <v>18300</v>
      </c>
      <c r="I1605" s="596">
        <f t="shared" si="156"/>
        <v>0</v>
      </c>
      <c r="J1605" s="81">
        <f t="shared" si="160"/>
        <v>0</v>
      </c>
      <c r="K1605" s="81"/>
      <c r="L1605" s="673">
        <v>3091</v>
      </c>
      <c r="M1605" s="81" t="str">
        <f>+IFERROR(VLOOKUP(L1605,DATA!$G$4:$H$2000,2,FALSE),"")</f>
        <v xml:space="preserve">ДЭРСТЭЙ ТАВАН САЛАА ХХК </v>
      </c>
      <c r="N1605" s="166"/>
      <c r="O1605" s="81" t="str">
        <f>IFERROR(VLOOKUP(N1605,DATA!$K$4:$L$51,2,FALSE),"")</f>
        <v/>
      </c>
      <c r="P1605" s="81"/>
      <c r="Q1605" s="152">
        <f t="shared" si="157"/>
        <v>0</v>
      </c>
    </row>
    <row r="1606" spans="2:17">
      <c r="B1606" s="670">
        <f t="shared" si="159"/>
        <v>1601</v>
      </c>
      <c r="C1606" s="601">
        <v>42961</v>
      </c>
      <c r="D1606" s="683" t="s">
        <v>587</v>
      </c>
      <c r="E1606" s="572">
        <v>510000</v>
      </c>
      <c r="F1606" s="672" t="str">
        <f>IFERROR(VLOOKUP(E1606,STAT1!$C$4:$D$8000,2,FALSE),"")</f>
        <v>Үндсэн үйл ажиллагааны борлуулалт</v>
      </c>
      <c r="G1606" s="377"/>
      <c r="H1606" s="377">
        <v>183000</v>
      </c>
      <c r="I1606" s="596">
        <f t="shared" ref="I1606:I1669" si="161">+IF(OR(E1606=100100,E1606=100200,E1606=110100,E1606=110102,E1606=110103,E1606=110104,E1606=110105,E1606=110200,E1606=110201,E1606=110202,E1606=110203,E1606=110204,E1606=110300),G1606,0)+IF(OR(E1606=100100,E1606=100200,E1606=110100,E1606=110102,E1606=110103,E1606=110104,E1606=110105,E1606=110200,E1606=110201,E1606=110202,E1606=110203,E1606=110204,E1606=110300),H1606*-1,0)</f>
        <v>0</v>
      </c>
      <c r="J1606" s="81">
        <f t="shared" si="160"/>
        <v>0</v>
      </c>
      <c r="K1606" s="81"/>
      <c r="L1606" s="673">
        <v>3091</v>
      </c>
      <c r="M1606" s="81" t="str">
        <f>+IFERROR(VLOOKUP(L1606,DATA!$G$4:$H$2000,2,FALSE),"")</f>
        <v xml:space="preserve">ДЭРСТЭЙ ТАВАН САЛАА ХХК </v>
      </c>
      <c r="N1606" s="166"/>
      <c r="O1606" s="81" t="str">
        <f>IFERROR(VLOOKUP(N1606,DATA!$K$4:$L$51,2,FALSE),"")</f>
        <v/>
      </c>
      <c r="P1606" s="81"/>
      <c r="Q1606" s="152">
        <f t="shared" si="157"/>
        <v>0</v>
      </c>
    </row>
    <row r="1607" spans="2:17">
      <c r="B1607" s="670">
        <f t="shared" si="159"/>
        <v>1602</v>
      </c>
      <c r="C1607" s="601">
        <v>42961</v>
      </c>
      <c r="D1607" s="683" t="s">
        <v>587</v>
      </c>
      <c r="E1607" s="572">
        <v>320100</v>
      </c>
      <c r="F1607" s="672" t="str">
        <f>IFERROR(VLOOKUP(E1607,STAT1!$C$4:$D$8000,2,FALSE),"")</f>
        <v>Урьдчилж орсон орлого MNT</v>
      </c>
      <c r="G1607" s="377">
        <v>201300</v>
      </c>
      <c r="H1607" s="377"/>
      <c r="I1607" s="596">
        <f t="shared" si="161"/>
        <v>0</v>
      </c>
      <c r="J1607" s="81">
        <f t="shared" si="160"/>
        <v>0</v>
      </c>
      <c r="K1607" s="81"/>
      <c r="L1607" s="673">
        <v>3091</v>
      </c>
      <c r="M1607" s="81" t="str">
        <f>+IFERROR(VLOOKUP(L1607,DATA!$G$4:$H$2000,2,FALSE),"")</f>
        <v xml:space="preserve">ДЭРСТЭЙ ТАВАН САЛАА ХХК </v>
      </c>
      <c r="N1607" s="166"/>
      <c r="O1607" s="81" t="str">
        <f>IFERROR(VLOOKUP(N1607,DATA!$K$4:$L$51,2,FALSE),"")</f>
        <v/>
      </c>
      <c r="P1607" s="81"/>
      <c r="Q1607" s="152">
        <f t="shared" ref="Q1607:Q1670" si="162">+IF(I1607,1,0)</f>
        <v>0</v>
      </c>
    </row>
    <row r="1608" spans="2:17">
      <c r="B1608" s="670">
        <f t="shared" si="159"/>
        <v>1603</v>
      </c>
      <c r="C1608" s="601">
        <v>42961</v>
      </c>
      <c r="D1608" s="683" t="s">
        <v>2698</v>
      </c>
      <c r="E1608" s="573">
        <v>150101</v>
      </c>
      <c r="F1608" s="672" t="str">
        <f>IFERROR(VLOOKUP(E1608,STAT1!$C$4:$D$8000,2,FALSE),"")</f>
        <v>Бараа бэлэн бүтээгдэхүүн БОЛОВСРУУЛАХ ЦЕХ /нарс/</v>
      </c>
      <c r="G1608" s="377"/>
      <c r="H1608" s="377">
        <v>784170.19470865256</v>
      </c>
      <c r="I1608" s="596">
        <f t="shared" si="161"/>
        <v>0</v>
      </c>
      <c r="J1608" s="81">
        <f t="shared" si="160"/>
        <v>0</v>
      </c>
      <c r="K1608" s="81"/>
      <c r="L1608" s="673">
        <v>3081</v>
      </c>
      <c r="M1608" s="81" t="str">
        <f>+IFERROR(VLOOKUP(L1608,DATA!$G$4:$H$2000,2,FALSE),"")</f>
        <v>ПИ АЙ ЭМ ЭМ ХХК</v>
      </c>
      <c r="N1608" s="166"/>
      <c r="O1608" s="81" t="str">
        <f>IFERROR(VLOOKUP(N1608,DATA!$K$4:$L$51,2,FALSE),"")</f>
        <v/>
      </c>
      <c r="P1608" s="81"/>
      <c r="Q1608" s="152">
        <f t="shared" si="162"/>
        <v>0</v>
      </c>
    </row>
    <row r="1609" spans="2:17">
      <c r="B1609" s="670">
        <f t="shared" si="159"/>
        <v>1604</v>
      </c>
      <c r="C1609" s="433">
        <v>42962</v>
      </c>
      <c r="D1609" s="598" t="s">
        <v>1749</v>
      </c>
      <c r="E1609" s="572">
        <v>100100</v>
      </c>
      <c r="F1609" s="672" t="str">
        <f>IFERROR(VLOOKUP(E1609,STAT1!$C$4:$D$8000,2,FALSE),"")</f>
        <v>Касс мөнгө MNT</v>
      </c>
      <c r="G1609" s="377">
        <v>28900000</v>
      </c>
      <c r="H1609" s="377">
        <v>0</v>
      </c>
      <c r="I1609" s="596">
        <f t="shared" si="161"/>
        <v>28900000</v>
      </c>
      <c r="J1609" s="81">
        <f t="shared" si="160"/>
        <v>0</v>
      </c>
      <c r="K1609" s="81"/>
      <c r="L1609" s="597">
        <v>1004</v>
      </c>
      <c r="M1609" s="81" t="str">
        <f>+IFERROR(VLOOKUP(L1609,DATA!$G$4:$H$2000,2,FALSE),"")</f>
        <v xml:space="preserve">Түмэндэлгэр </v>
      </c>
      <c r="N1609" s="435"/>
      <c r="O1609" s="81" t="str">
        <f>IFERROR(VLOOKUP(N1609,DATA!$K$4:$L$51,2,FALSE),"")</f>
        <v/>
      </c>
      <c r="P1609" s="81"/>
      <c r="Q1609" s="152">
        <f t="shared" si="162"/>
        <v>1</v>
      </c>
    </row>
    <row r="1610" spans="2:17">
      <c r="B1610" s="670">
        <f t="shared" si="159"/>
        <v>1605</v>
      </c>
      <c r="C1610" s="433">
        <v>42962</v>
      </c>
      <c r="D1610" s="598" t="s">
        <v>1749</v>
      </c>
      <c r="E1610" s="572">
        <v>110100</v>
      </c>
      <c r="F1610" s="672" t="str">
        <f>IFERROR(VLOOKUP(E1610,STAT1!$C$4:$D$8000,2,FALSE),"")</f>
        <v>Хаан Банк 5024654020</v>
      </c>
      <c r="G1610" s="377"/>
      <c r="H1610" s="377">
        <v>28900000</v>
      </c>
      <c r="I1610" s="596">
        <f t="shared" si="161"/>
        <v>-28900000</v>
      </c>
      <c r="J1610" s="81">
        <f t="shared" si="160"/>
        <v>0</v>
      </c>
      <c r="K1610" s="81"/>
      <c r="L1610" s="597">
        <v>1004</v>
      </c>
      <c r="M1610" s="81" t="str">
        <f>+IFERROR(VLOOKUP(L1610,DATA!$G$4:$H$2000,2,FALSE),"")</f>
        <v xml:space="preserve">Түмэндэлгэр </v>
      </c>
      <c r="N1610" s="435"/>
      <c r="O1610" s="81" t="str">
        <f>IFERROR(VLOOKUP(N1610,DATA!$K$4:$L$51,2,FALSE),"")</f>
        <v/>
      </c>
      <c r="P1610" s="81"/>
      <c r="Q1610" s="152">
        <f t="shared" si="162"/>
        <v>1</v>
      </c>
    </row>
    <row r="1611" spans="2:17">
      <c r="B1611" s="670">
        <f t="shared" si="159"/>
        <v>1606</v>
      </c>
      <c r="C1611" s="433">
        <v>42962</v>
      </c>
      <c r="D1611" s="598" t="s">
        <v>1741</v>
      </c>
      <c r="E1611" s="572">
        <v>110100</v>
      </c>
      <c r="F1611" s="672" t="str">
        <f>IFERROR(VLOOKUP(E1611,STAT1!$C$4:$D$1000,2,FALSE),"")</f>
        <v>Хаан Банк 5024654020</v>
      </c>
      <c r="G1611" s="377">
        <v>28800000</v>
      </c>
      <c r="H1611" s="377"/>
      <c r="I1611" s="596">
        <f t="shared" si="161"/>
        <v>28800000</v>
      </c>
      <c r="J1611" s="81">
        <f t="shared" si="160"/>
        <v>0</v>
      </c>
      <c r="K1611" s="81"/>
      <c r="L1611" s="597">
        <v>3074</v>
      </c>
      <c r="M1611" s="81" t="str">
        <f>+IFERROR(VLOOKUP(L1611,DATA!$G$4:$H$2000,2,FALSE),"")</f>
        <v>КАМДЕР ХХК</v>
      </c>
      <c r="N1611" s="435">
        <v>41</v>
      </c>
      <c r="O1611" s="81" t="str">
        <f>IFERROR(VLOOKUP(N1611,DATA!$K$4:$L$51,2,FALSE),"")</f>
        <v>Бараа борлуулсан, үйлчилгээ үзүүлсэний орлого</v>
      </c>
      <c r="P1611" s="81"/>
      <c r="Q1611" s="152">
        <f t="shared" si="162"/>
        <v>1</v>
      </c>
    </row>
    <row r="1612" spans="2:17">
      <c r="B1612" s="670">
        <f t="shared" si="159"/>
        <v>1607</v>
      </c>
      <c r="C1612" s="433">
        <v>42962</v>
      </c>
      <c r="D1612" s="598" t="s">
        <v>1741</v>
      </c>
      <c r="E1612" s="572">
        <v>320100</v>
      </c>
      <c r="F1612" s="672" t="str">
        <f>IFERROR(VLOOKUP(E1612,STAT1!$C$4:$D$1000,2,FALSE),"")</f>
        <v>Урьдчилж орсон орлого MNT</v>
      </c>
      <c r="G1612" s="377">
        <v>0</v>
      </c>
      <c r="H1612" s="377">
        <v>28800000</v>
      </c>
      <c r="I1612" s="596">
        <f t="shared" si="161"/>
        <v>0</v>
      </c>
      <c r="J1612" s="81">
        <f t="shared" si="160"/>
        <v>0</v>
      </c>
      <c r="K1612" s="81"/>
      <c r="L1612" s="597">
        <v>3074</v>
      </c>
      <c r="M1612" s="81" t="str">
        <f>+IFERROR(VLOOKUP(L1612,DATA!$G$4:$H$2000,2,FALSE),"")</f>
        <v>КАМДЕР ХХК</v>
      </c>
      <c r="N1612" s="435"/>
      <c r="O1612" s="81" t="str">
        <f>IFERROR(VLOOKUP(N1612,DATA!$K$4:$L$51,2,FALSE),"")</f>
        <v/>
      </c>
      <c r="P1612" s="81"/>
      <c r="Q1612" s="152">
        <f t="shared" si="162"/>
        <v>0</v>
      </c>
    </row>
    <row r="1613" spans="2:17">
      <c r="B1613" s="670">
        <f t="shared" si="159"/>
        <v>1608</v>
      </c>
      <c r="C1613" s="601">
        <v>42962</v>
      </c>
      <c r="D1613" s="683" t="s">
        <v>2700</v>
      </c>
      <c r="E1613" s="573">
        <v>150101</v>
      </c>
      <c r="F1613" s="672" t="str">
        <f>IFERROR(VLOOKUP(E1613,STAT1!$C$4:$D$8000,2,FALSE),"")</f>
        <v>Бараа бэлэн бүтээгдэхүүн БОЛОВСРУУЛАХ ЦЕХ /нарс/</v>
      </c>
      <c r="G1613" s="377"/>
      <c r="H1613" s="377">
        <v>39588.969427750431</v>
      </c>
      <c r="I1613" s="596">
        <f t="shared" si="161"/>
        <v>0</v>
      </c>
      <c r="J1613" s="81">
        <f t="shared" si="160"/>
        <v>0</v>
      </c>
      <c r="K1613" s="81"/>
      <c r="L1613" s="673">
        <v>3089</v>
      </c>
      <c r="M1613" s="81" t="str">
        <f>+IFERROR(VLOOKUP(L1613,DATA!$G$4:$H$2000,2,FALSE),"")</f>
        <v>ГУУЛИЙН ДӨШ ХХК</v>
      </c>
      <c r="N1613" s="166"/>
      <c r="O1613" s="81" t="str">
        <f>IFERROR(VLOOKUP(N1613,DATA!$K$4:$L$51,2,FALSE),"")</f>
        <v/>
      </c>
      <c r="P1613" s="81"/>
      <c r="Q1613" s="152">
        <f t="shared" si="162"/>
        <v>0</v>
      </c>
    </row>
    <row r="1614" spans="2:17">
      <c r="B1614" s="670">
        <f t="shared" si="159"/>
        <v>1609</v>
      </c>
      <c r="C1614" s="601">
        <v>42962</v>
      </c>
      <c r="D1614" s="683" t="s">
        <v>587</v>
      </c>
      <c r="E1614" s="572">
        <v>610100</v>
      </c>
      <c r="F1614" s="672" t="str">
        <f>IFERROR(VLOOKUP(E1614,STAT1!$C$4:$D$8000,2,FALSE),"")</f>
        <v>Борлуулсан барааны өртөг</v>
      </c>
      <c r="G1614" s="377">
        <v>39588.969427750431</v>
      </c>
      <c r="H1614" s="377"/>
      <c r="I1614" s="596">
        <f t="shared" si="161"/>
        <v>0</v>
      </c>
      <c r="J1614" s="81">
        <f t="shared" si="160"/>
        <v>0</v>
      </c>
      <c r="K1614" s="81"/>
      <c r="L1614" s="673">
        <v>3089</v>
      </c>
      <c r="M1614" s="81" t="str">
        <f>+IFERROR(VLOOKUP(L1614,DATA!$G$4:$H$2000,2,FALSE),"")</f>
        <v>ГУУЛИЙН ДӨШ ХХК</v>
      </c>
      <c r="N1614" s="166"/>
      <c r="O1614" s="81" t="str">
        <f>IFERROR(VLOOKUP(N1614,DATA!$K$4:$L$51,2,FALSE),"")</f>
        <v/>
      </c>
      <c r="P1614" s="81"/>
      <c r="Q1614" s="152">
        <f t="shared" si="162"/>
        <v>0</v>
      </c>
    </row>
    <row r="1615" spans="2:17">
      <c r="B1615" s="670">
        <f t="shared" si="159"/>
        <v>1610</v>
      </c>
      <c r="C1615" s="601">
        <v>42962</v>
      </c>
      <c r="D1615" s="683" t="s">
        <v>587</v>
      </c>
      <c r="E1615" s="572">
        <v>310500</v>
      </c>
      <c r="F1615" s="672" t="str">
        <f>IFERROR(VLOOKUP(E1615,STAT1!$C$4:$D$8000,2,FALSE),"")</f>
        <v>НӨАТ өглөг</v>
      </c>
      <c r="G1615" s="377"/>
      <c r="H1615" s="377">
        <v>5700</v>
      </c>
      <c r="I1615" s="596">
        <f t="shared" si="161"/>
        <v>0</v>
      </c>
      <c r="J1615" s="81">
        <f t="shared" si="160"/>
        <v>0</v>
      </c>
      <c r="K1615" s="81"/>
      <c r="L1615" s="673">
        <v>3089</v>
      </c>
      <c r="M1615" s="81" t="str">
        <f>+IFERROR(VLOOKUP(L1615,DATA!$G$4:$H$2000,2,FALSE),"")</f>
        <v>ГУУЛИЙН ДӨШ ХХК</v>
      </c>
      <c r="N1615" s="166"/>
      <c r="O1615" s="81" t="str">
        <f>IFERROR(VLOOKUP(N1615,DATA!$K$4:$L$51,2,FALSE),"")</f>
        <v/>
      </c>
      <c r="P1615" s="81"/>
      <c r="Q1615" s="152">
        <f t="shared" si="162"/>
        <v>0</v>
      </c>
    </row>
    <row r="1616" spans="2:17">
      <c r="B1616" s="670">
        <f t="shared" si="159"/>
        <v>1611</v>
      </c>
      <c r="C1616" s="601">
        <v>42962</v>
      </c>
      <c r="D1616" s="683" t="s">
        <v>587</v>
      </c>
      <c r="E1616" s="572">
        <v>510000</v>
      </c>
      <c r="F1616" s="672" t="str">
        <f>IFERROR(VLOOKUP(E1616,STAT1!$C$4:$D$8000,2,FALSE),"")</f>
        <v>Үндсэн үйл ажиллагааны борлуулалт</v>
      </c>
      <c r="G1616" s="377"/>
      <c r="H1616" s="377">
        <v>57000</v>
      </c>
      <c r="I1616" s="596">
        <f t="shared" si="161"/>
        <v>0</v>
      </c>
      <c r="J1616" s="81">
        <f t="shared" si="160"/>
        <v>0</v>
      </c>
      <c r="K1616" s="81"/>
      <c r="L1616" s="673">
        <v>3089</v>
      </c>
      <c r="M1616" s="81" t="str">
        <f>+IFERROR(VLOOKUP(L1616,DATA!$G$4:$H$2000,2,FALSE),"")</f>
        <v>ГУУЛИЙН ДӨШ ХХК</v>
      </c>
      <c r="N1616" s="166"/>
      <c r="O1616" s="81" t="str">
        <f>IFERROR(VLOOKUP(N1616,DATA!$K$4:$L$51,2,FALSE),"")</f>
        <v/>
      </c>
      <c r="P1616" s="81"/>
      <c r="Q1616" s="152">
        <f t="shared" si="162"/>
        <v>0</v>
      </c>
    </row>
    <row r="1617" spans="2:17">
      <c r="B1617" s="670">
        <f t="shared" si="159"/>
        <v>1612</v>
      </c>
      <c r="C1617" s="601">
        <v>42962</v>
      </c>
      <c r="D1617" s="683" t="s">
        <v>587</v>
      </c>
      <c r="E1617" s="572">
        <v>320100</v>
      </c>
      <c r="F1617" s="672" t="str">
        <f>IFERROR(VLOOKUP(E1617,STAT1!$C$4:$D$8000,2,FALSE),"")</f>
        <v>Урьдчилж орсон орлого MNT</v>
      </c>
      <c r="G1617" s="377">
        <v>62700</v>
      </c>
      <c r="H1617" s="377"/>
      <c r="I1617" s="596">
        <f t="shared" si="161"/>
        <v>0</v>
      </c>
      <c r="J1617" s="81">
        <f t="shared" si="160"/>
        <v>0</v>
      </c>
      <c r="K1617" s="81"/>
      <c r="L1617" s="673">
        <v>3089</v>
      </c>
      <c r="M1617" s="81" t="str">
        <f>+IFERROR(VLOOKUP(L1617,DATA!$G$4:$H$2000,2,FALSE),"")</f>
        <v>ГУУЛИЙН ДӨШ ХХК</v>
      </c>
      <c r="N1617" s="166"/>
      <c r="O1617" s="81" t="str">
        <f>IFERROR(VLOOKUP(N1617,DATA!$K$4:$L$51,2,FALSE),"")</f>
        <v/>
      </c>
      <c r="P1617" s="81"/>
      <c r="Q1617" s="152">
        <f t="shared" si="162"/>
        <v>0</v>
      </c>
    </row>
    <row r="1618" spans="2:17">
      <c r="B1618" s="670">
        <f t="shared" si="159"/>
        <v>1613</v>
      </c>
      <c r="C1618" s="433">
        <v>42963</v>
      </c>
      <c r="D1618" s="377" t="s">
        <v>1741</v>
      </c>
      <c r="E1618" s="572">
        <v>320100</v>
      </c>
      <c r="F1618" s="672" t="str">
        <f>IFERROR(VLOOKUP(E1618,STAT1!$C$4:$D$1000,2,FALSE),"")</f>
        <v>Урьдчилж орсон орлого MNT</v>
      </c>
      <c r="G1618" s="377"/>
      <c r="H1618" s="377">
        <v>62700</v>
      </c>
      <c r="I1618" s="596">
        <f t="shared" si="161"/>
        <v>0</v>
      </c>
      <c r="J1618" s="81">
        <f t="shared" si="160"/>
        <v>0</v>
      </c>
      <c r="K1618" s="81"/>
      <c r="L1618" s="597">
        <v>3089</v>
      </c>
      <c r="M1618" s="81" t="str">
        <f>+IFERROR(VLOOKUP(L1618,DATA!$G$4:$H$2000,2,FALSE),"")</f>
        <v>ГУУЛИЙН ДӨШ ХХК</v>
      </c>
      <c r="N1618" s="435"/>
      <c r="O1618" s="81" t="str">
        <f>IFERROR(VLOOKUP(N1618,DATA!$K$4:$L$51,2,FALSE),"")</f>
        <v/>
      </c>
      <c r="P1618" s="81"/>
      <c r="Q1618" s="152">
        <f t="shared" si="162"/>
        <v>0</v>
      </c>
    </row>
    <row r="1619" spans="2:17">
      <c r="B1619" s="670">
        <f t="shared" si="159"/>
        <v>1614</v>
      </c>
      <c r="C1619" s="433">
        <v>42963</v>
      </c>
      <c r="D1619" s="377" t="s">
        <v>1741</v>
      </c>
      <c r="E1619" s="572">
        <v>100100</v>
      </c>
      <c r="F1619" s="672" t="str">
        <f>IFERROR(VLOOKUP(E1619,STAT1!$C$4:$D$1000,2,FALSE),"")</f>
        <v>Касс мөнгө MNT</v>
      </c>
      <c r="G1619" s="377">
        <v>62700</v>
      </c>
      <c r="H1619" s="377">
        <v>0</v>
      </c>
      <c r="I1619" s="596">
        <f t="shared" si="161"/>
        <v>62700</v>
      </c>
      <c r="J1619" s="81">
        <f t="shared" si="160"/>
        <v>0</v>
      </c>
      <c r="K1619" s="81"/>
      <c r="L1619" s="597">
        <v>3089</v>
      </c>
      <c r="M1619" s="81" t="str">
        <f>+IFERROR(VLOOKUP(L1619,DATA!$G$4:$H$2000,2,FALSE),"")</f>
        <v>ГУУЛИЙН ДӨШ ХХК</v>
      </c>
      <c r="N1619" s="435">
        <v>41</v>
      </c>
      <c r="O1619" s="81" t="str">
        <f>IFERROR(VLOOKUP(N1619,DATA!$K$4:$L$51,2,FALSE),"")</f>
        <v>Бараа борлуулсан, үйлчилгээ үзүүлсэний орлого</v>
      </c>
      <c r="P1619" s="81"/>
      <c r="Q1619" s="152">
        <f t="shared" si="162"/>
        <v>1</v>
      </c>
    </row>
    <row r="1620" spans="2:17">
      <c r="B1620" s="670">
        <f t="shared" si="159"/>
        <v>1615</v>
      </c>
      <c r="C1620" s="433">
        <v>42963</v>
      </c>
      <c r="D1620" s="598" t="s">
        <v>1741</v>
      </c>
      <c r="E1620" s="572">
        <v>110100</v>
      </c>
      <c r="F1620" s="672" t="str">
        <f>IFERROR(VLOOKUP(E1620,STAT1!$C$4:$D$1000,2,FALSE),"")</f>
        <v>Хаан Банк 5024654020</v>
      </c>
      <c r="G1620" s="377">
        <v>313500</v>
      </c>
      <c r="H1620" s="377"/>
      <c r="I1620" s="596">
        <f t="shared" si="161"/>
        <v>313500</v>
      </c>
      <c r="J1620" s="81">
        <f t="shared" si="160"/>
        <v>0</v>
      </c>
      <c r="K1620" s="81"/>
      <c r="L1620" s="597">
        <v>3061</v>
      </c>
      <c r="M1620" s="81" t="str">
        <f>+IFERROR(VLOOKUP(L1620,DATA!$G$4:$H$2000,2,FALSE),"")</f>
        <v>СТИМО ХХК</v>
      </c>
      <c r="N1620" s="435">
        <v>41</v>
      </c>
      <c r="O1620" s="81" t="str">
        <f>IFERROR(VLOOKUP(N1620,DATA!$K$4:$L$51,2,FALSE),"")</f>
        <v>Бараа борлуулсан, үйлчилгээ үзүүлсэний орлого</v>
      </c>
      <c r="P1620" s="81"/>
      <c r="Q1620" s="152">
        <f t="shared" si="162"/>
        <v>1</v>
      </c>
    </row>
    <row r="1621" spans="2:17">
      <c r="B1621" s="670">
        <f t="shared" si="159"/>
        <v>1616</v>
      </c>
      <c r="C1621" s="433">
        <v>42963</v>
      </c>
      <c r="D1621" s="598" t="s">
        <v>1741</v>
      </c>
      <c r="E1621" s="572">
        <v>320100</v>
      </c>
      <c r="F1621" s="672" t="str">
        <f>IFERROR(VLOOKUP(E1621,STAT1!$C$4:$D$1000,2,FALSE),"")</f>
        <v>Урьдчилж орсон орлого MNT</v>
      </c>
      <c r="G1621" s="377">
        <v>0</v>
      </c>
      <c r="H1621" s="377">
        <v>313500</v>
      </c>
      <c r="I1621" s="596">
        <f t="shared" si="161"/>
        <v>0</v>
      </c>
      <c r="J1621" s="81">
        <f t="shared" si="160"/>
        <v>0</v>
      </c>
      <c r="K1621" s="81"/>
      <c r="L1621" s="597">
        <v>3061</v>
      </c>
      <c r="M1621" s="81" t="str">
        <f>+IFERROR(VLOOKUP(L1621,DATA!$G$4:$H$2000,2,FALSE),"")</f>
        <v>СТИМО ХХК</v>
      </c>
      <c r="N1621" s="435"/>
      <c r="O1621" s="81" t="str">
        <f>IFERROR(VLOOKUP(N1621,DATA!$K$4:$L$51,2,FALSE),"")</f>
        <v/>
      </c>
      <c r="P1621" s="81"/>
      <c r="Q1621" s="152">
        <f t="shared" si="162"/>
        <v>0</v>
      </c>
    </row>
    <row r="1622" spans="2:17">
      <c r="B1622" s="670">
        <f t="shared" si="159"/>
        <v>1617</v>
      </c>
      <c r="C1622" s="433">
        <v>42963</v>
      </c>
      <c r="D1622" s="598" t="s">
        <v>1745</v>
      </c>
      <c r="E1622" s="572">
        <v>701900</v>
      </c>
      <c r="F1622" s="672" t="str">
        <f>IFERROR(VLOOKUP(E1622,STAT1!$C$4:$D$8000,2,FALSE),"")</f>
        <v>Харилцаа холбоо</v>
      </c>
      <c r="G1622" s="377">
        <v>54545.45</v>
      </c>
      <c r="H1622" s="377">
        <v>0</v>
      </c>
      <c r="I1622" s="596">
        <f t="shared" si="161"/>
        <v>0</v>
      </c>
      <c r="J1622" s="81">
        <f t="shared" si="160"/>
        <v>0</v>
      </c>
      <c r="K1622" s="81"/>
      <c r="L1622" s="597">
        <v>2006</v>
      </c>
      <c r="M1622" s="81" t="str">
        <f>+IFERROR(VLOOKUP(L1622,DATA!$G$4:$H$2000,2,FALSE),"")</f>
        <v xml:space="preserve">МЦХОЛБОО </v>
      </c>
      <c r="N1622" s="435"/>
      <c r="O1622" s="81" t="str">
        <f>IFERROR(VLOOKUP(N1622,DATA!$K$4:$L$51,2,FALSE),"")</f>
        <v/>
      </c>
      <c r="P1622" s="81"/>
      <c r="Q1622" s="152">
        <f t="shared" si="162"/>
        <v>0</v>
      </c>
    </row>
    <row r="1623" spans="2:17">
      <c r="B1623" s="670">
        <f t="shared" si="159"/>
        <v>1618</v>
      </c>
      <c r="C1623" s="433">
        <v>42963</v>
      </c>
      <c r="D1623" s="598" t="s">
        <v>1745</v>
      </c>
      <c r="E1623" s="572">
        <v>120600</v>
      </c>
      <c r="F1623" s="672" t="str">
        <f>IFERROR(VLOOKUP(E1623,STAT1!$C$4:$D$8000,2,FALSE),"")</f>
        <v>НӨАТ авлага</v>
      </c>
      <c r="G1623" s="377">
        <v>5454.55</v>
      </c>
      <c r="H1623" s="377"/>
      <c r="I1623" s="596">
        <f t="shared" si="161"/>
        <v>0</v>
      </c>
      <c r="J1623" s="81">
        <f t="shared" si="160"/>
        <v>0</v>
      </c>
      <c r="K1623" s="81"/>
      <c r="L1623" s="597">
        <v>2006</v>
      </c>
      <c r="M1623" s="81" t="str">
        <f>+IFERROR(VLOOKUP(L1623,DATA!$G$4:$H$2000,2,FALSE),"")</f>
        <v xml:space="preserve">МЦХОЛБОО </v>
      </c>
      <c r="N1623" s="435"/>
      <c r="O1623" s="81" t="str">
        <f>IFERROR(VLOOKUP(N1623,DATA!$K$4:$L$51,2,FALSE),"")</f>
        <v/>
      </c>
      <c r="P1623" s="81"/>
      <c r="Q1623" s="152">
        <f t="shared" si="162"/>
        <v>0</v>
      </c>
    </row>
    <row r="1624" spans="2:17">
      <c r="B1624" s="670">
        <f t="shared" si="159"/>
        <v>1619</v>
      </c>
      <c r="C1624" s="433">
        <v>42963</v>
      </c>
      <c r="D1624" s="598" t="s">
        <v>1745</v>
      </c>
      <c r="E1624" s="572">
        <v>110100</v>
      </c>
      <c r="F1624" s="672" t="str">
        <f>IFERROR(VLOOKUP(E1624,STAT1!$C$4:$D$8000,2,FALSE),"")</f>
        <v>Хаан Банк 5024654020</v>
      </c>
      <c r="G1624" s="377"/>
      <c r="H1624" s="377">
        <v>60000</v>
      </c>
      <c r="I1624" s="596">
        <f t="shared" si="161"/>
        <v>-60000</v>
      </c>
      <c r="J1624" s="81">
        <f t="shared" si="160"/>
        <v>0</v>
      </c>
      <c r="K1624" s="81"/>
      <c r="L1624" s="597">
        <v>2006</v>
      </c>
      <c r="M1624" s="81" t="str">
        <f>+IFERROR(VLOOKUP(L1624,DATA!$G$4:$H$2000,2,FALSE),"")</f>
        <v xml:space="preserve">МЦХОЛБОО </v>
      </c>
      <c r="N1624" s="435">
        <v>59</v>
      </c>
      <c r="O1624" s="81" t="str">
        <f>IFERROR(VLOOKUP(N1624,DATA!$K$4:$L$51,2,FALSE),"")</f>
        <v>Бусад мөнгөн зарлага</v>
      </c>
      <c r="P1624" s="81"/>
      <c r="Q1624" s="152">
        <f t="shared" si="162"/>
        <v>1</v>
      </c>
    </row>
    <row r="1625" spans="2:17">
      <c r="B1625" s="670">
        <f t="shared" si="159"/>
        <v>1620</v>
      </c>
      <c r="C1625" s="601">
        <v>42963</v>
      </c>
      <c r="D1625" s="683" t="s">
        <v>2700</v>
      </c>
      <c r="E1625" s="573">
        <v>150101</v>
      </c>
      <c r="F1625" s="672" t="str">
        <f>IFERROR(VLOOKUP(E1625,STAT1!$C$4:$D$8000,2,FALSE),"")</f>
        <v>Бараа бэлэн бүтээгдэхүүн БОЛОВСРУУЛАХ ЦЕХ /нарс/</v>
      </c>
      <c r="G1625" s="377"/>
      <c r="H1625" s="377">
        <v>636198.36228928389</v>
      </c>
      <c r="I1625" s="596">
        <f t="shared" si="161"/>
        <v>0</v>
      </c>
      <c r="J1625" s="81">
        <f t="shared" si="160"/>
        <v>0</v>
      </c>
      <c r="K1625" s="81"/>
      <c r="L1625" s="673">
        <v>3082</v>
      </c>
      <c r="M1625" s="81" t="str">
        <f>+IFERROR(VLOOKUP(L1625,DATA!$G$4:$H$2000,2,FALSE),"")</f>
        <v xml:space="preserve">ӨСӨХ БЭЙС ХХК </v>
      </c>
      <c r="N1625" s="166"/>
      <c r="O1625" s="81" t="str">
        <f>IFERROR(VLOOKUP(N1625,DATA!$K$4:$L$51,2,FALSE),"")</f>
        <v/>
      </c>
      <c r="P1625" s="81"/>
      <c r="Q1625" s="152">
        <f t="shared" si="162"/>
        <v>0</v>
      </c>
    </row>
    <row r="1626" spans="2:17">
      <c r="B1626" s="670">
        <f t="shared" si="159"/>
        <v>1621</v>
      </c>
      <c r="C1626" s="601">
        <v>42963</v>
      </c>
      <c r="D1626" s="683" t="s">
        <v>587</v>
      </c>
      <c r="E1626" s="572">
        <v>610100</v>
      </c>
      <c r="F1626" s="672" t="str">
        <f>IFERROR(VLOOKUP(E1626,STAT1!$C$4:$D$8000,2,FALSE),"")</f>
        <v>Борлуулсан барааны өртөг</v>
      </c>
      <c r="G1626" s="377">
        <v>636198.36228928389</v>
      </c>
      <c r="H1626" s="377"/>
      <c r="I1626" s="596">
        <f t="shared" si="161"/>
        <v>0</v>
      </c>
      <c r="J1626" s="81">
        <f t="shared" si="160"/>
        <v>0</v>
      </c>
      <c r="K1626" s="81"/>
      <c r="L1626" s="673">
        <v>3082</v>
      </c>
      <c r="M1626" s="81" t="str">
        <f>+IFERROR(VLOOKUP(L1626,DATA!$G$4:$H$2000,2,FALSE),"")</f>
        <v xml:space="preserve">ӨСӨХ БЭЙС ХХК </v>
      </c>
      <c r="N1626" s="166"/>
      <c r="O1626" s="81" t="str">
        <f>IFERROR(VLOOKUP(N1626,DATA!$K$4:$L$51,2,FALSE),"")</f>
        <v/>
      </c>
      <c r="P1626" s="81"/>
      <c r="Q1626" s="152">
        <f t="shared" si="162"/>
        <v>0</v>
      </c>
    </row>
    <row r="1627" spans="2:17">
      <c r="B1627" s="670">
        <f t="shared" si="159"/>
        <v>1622</v>
      </c>
      <c r="C1627" s="601">
        <v>42963</v>
      </c>
      <c r="D1627" s="683" t="s">
        <v>587</v>
      </c>
      <c r="E1627" s="572">
        <v>310500</v>
      </c>
      <c r="F1627" s="672" t="str">
        <f>IFERROR(VLOOKUP(E1627,STAT1!$C$4:$D$8000,2,FALSE),"")</f>
        <v>НӨАТ өглөг</v>
      </c>
      <c r="G1627" s="377"/>
      <c r="H1627" s="377">
        <v>95727.272472000011</v>
      </c>
      <c r="I1627" s="596">
        <f t="shared" si="161"/>
        <v>0</v>
      </c>
      <c r="J1627" s="81">
        <f t="shared" si="160"/>
        <v>0</v>
      </c>
      <c r="K1627" s="81"/>
      <c r="L1627" s="673">
        <v>3082</v>
      </c>
      <c r="M1627" s="81" t="str">
        <f>+IFERROR(VLOOKUP(L1627,DATA!$G$4:$H$2000,2,FALSE),"")</f>
        <v xml:space="preserve">ӨСӨХ БЭЙС ХХК </v>
      </c>
      <c r="N1627" s="166"/>
      <c r="O1627" s="81" t="str">
        <f>IFERROR(VLOOKUP(N1627,DATA!$K$4:$L$51,2,FALSE),"")</f>
        <v/>
      </c>
      <c r="P1627" s="81"/>
      <c r="Q1627" s="152">
        <f t="shared" si="162"/>
        <v>0</v>
      </c>
    </row>
    <row r="1628" spans="2:17">
      <c r="B1628" s="670">
        <f t="shared" si="159"/>
        <v>1623</v>
      </c>
      <c r="C1628" s="601">
        <v>42963</v>
      </c>
      <c r="D1628" s="683" t="s">
        <v>587</v>
      </c>
      <c r="E1628" s="572">
        <v>510000</v>
      </c>
      <c r="F1628" s="672" t="str">
        <f>IFERROR(VLOOKUP(E1628,STAT1!$C$4:$D$8000,2,FALSE),"")</f>
        <v>Үндсэн үйл ажиллагааны борлуулалт</v>
      </c>
      <c r="G1628" s="377"/>
      <c r="H1628" s="377">
        <v>957272.72472000006</v>
      </c>
      <c r="I1628" s="596">
        <f t="shared" si="161"/>
        <v>0</v>
      </c>
      <c r="J1628" s="81">
        <f t="shared" si="160"/>
        <v>0</v>
      </c>
      <c r="K1628" s="81"/>
      <c r="L1628" s="673">
        <v>3082</v>
      </c>
      <c r="M1628" s="81" t="str">
        <f>+IFERROR(VLOOKUP(L1628,DATA!$G$4:$H$2000,2,FALSE),"")</f>
        <v xml:space="preserve">ӨСӨХ БЭЙС ХХК </v>
      </c>
      <c r="N1628" s="166"/>
      <c r="O1628" s="81" t="str">
        <f>IFERROR(VLOOKUP(N1628,DATA!$K$4:$L$51,2,FALSE),"")</f>
        <v/>
      </c>
      <c r="P1628" s="81"/>
      <c r="Q1628" s="152">
        <f t="shared" si="162"/>
        <v>0</v>
      </c>
    </row>
    <row r="1629" spans="2:17">
      <c r="B1629" s="670">
        <f t="shared" si="159"/>
        <v>1624</v>
      </c>
      <c r="C1629" s="601">
        <v>42963</v>
      </c>
      <c r="D1629" s="683" t="s">
        <v>587</v>
      </c>
      <c r="E1629" s="572">
        <v>320100</v>
      </c>
      <c r="F1629" s="672" t="str">
        <f>IFERROR(VLOOKUP(E1629,STAT1!$C$4:$D$8000,2,FALSE),"")</f>
        <v>Урьдчилж орсон орлого MNT</v>
      </c>
      <c r="G1629" s="377">
        <v>1052999.997192</v>
      </c>
      <c r="H1629" s="377"/>
      <c r="I1629" s="596">
        <f t="shared" si="161"/>
        <v>0</v>
      </c>
      <c r="J1629" s="81">
        <f t="shared" si="160"/>
        <v>0</v>
      </c>
      <c r="K1629" s="81"/>
      <c r="L1629" s="673">
        <v>3082</v>
      </c>
      <c r="M1629" s="81" t="str">
        <f>+IFERROR(VLOOKUP(L1629,DATA!$G$4:$H$2000,2,FALSE),"")</f>
        <v xml:space="preserve">ӨСӨХ БЭЙС ХХК </v>
      </c>
      <c r="N1629" s="166"/>
      <c r="O1629" s="81" t="str">
        <f>IFERROR(VLOOKUP(N1629,DATA!$K$4:$L$51,2,FALSE),"")</f>
        <v/>
      </c>
      <c r="P1629" s="81"/>
      <c r="Q1629" s="152">
        <f t="shared" si="162"/>
        <v>0</v>
      </c>
    </row>
    <row r="1630" spans="2:17">
      <c r="B1630" s="670">
        <f t="shared" si="159"/>
        <v>1625</v>
      </c>
      <c r="C1630" s="433">
        <v>42964</v>
      </c>
      <c r="D1630" s="598" t="s">
        <v>1746</v>
      </c>
      <c r="E1630" s="572">
        <v>702500</v>
      </c>
      <c r="F1630" s="672" t="str">
        <f>IFERROR(VLOOKUP(E1630,STAT1!$C$4:$D$8000,2,FALSE),"")</f>
        <v>Зээлийн хүүгийн зардал</v>
      </c>
      <c r="G1630" s="377">
        <v>267846.25</v>
      </c>
      <c r="H1630" s="377">
        <v>0</v>
      </c>
      <c r="I1630" s="596">
        <f t="shared" si="161"/>
        <v>0</v>
      </c>
      <c r="J1630" s="81">
        <f t="shared" si="160"/>
        <v>0</v>
      </c>
      <c r="K1630" s="81"/>
      <c r="L1630" s="597">
        <v>2009</v>
      </c>
      <c r="M1630" s="81" t="str">
        <f>+IFERROR(VLOOKUP(L1630,DATA!$G$4:$H$2000,2,FALSE),"")</f>
        <v>ХААН БАНК</v>
      </c>
      <c r="N1630" s="435"/>
      <c r="O1630" s="81" t="str">
        <f>IFERROR(VLOOKUP(N1630,DATA!$K$4:$L$51,2,FALSE),"")</f>
        <v/>
      </c>
      <c r="P1630" s="81"/>
      <c r="Q1630" s="152">
        <f t="shared" si="162"/>
        <v>0</v>
      </c>
    </row>
    <row r="1631" spans="2:17">
      <c r="B1631" s="670">
        <f t="shared" si="159"/>
        <v>1626</v>
      </c>
      <c r="C1631" s="433">
        <v>42964</v>
      </c>
      <c r="D1631" s="598" t="s">
        <v>1746</v>
      </c>
      <c r="E1631" s="572">
        <v>110100</v>
      </c>
      <c r="F1631" s="672" t="str">
        <f>IFERROR(VLOOKUP(E1631,STAT1!$C$4:$D$8000,2,FALSE),"")</f>
        <v>Хаан Банк 5024654020</v>
      </c>
      <c r="G1631" s="377"/>
      <c r="H1631" s="377">
        <v>267846.25</v>
      </c>
      <c r="I1631" s="596">
        <f t="shared" si="161"/>
        <v>-267846.25</v>
      </c>
      <c r="J1631" s="81">
        <f t="shared" si="160"/>
        <v>0</v>
      </c>
      <c r="K1631" s="81"/>
      <c r="L1631" s="597">
        <v>2009</v>
      </c>
      <c r="M1631" s="81" t="str">
        <f>+IFERROR(VLOOKUP(L1631,DATA!$G$4:$H$2000,2,FALSE),"")</f>
        <v>ХААН БАНК</v>
      </c>
      <c r="N1631" s="435">
        <v>56</v>
      </c>
      <c r="O1631" s="81" t="str">
        <f>IFERROR(VLOOKUP(N1631,DATA!$K$4:$L$51,2,FALSE),"")</f>
        <v>Хүүний төлбөрт төлсөн</v>
      </c>
      <c r="P1631" s="81"/>
      <c r="Q1631" s="152">
        <f t="shared" si="162"/>
        <v>1</v>
      </c>
    </row>
    <row r="1632" spans="2:17">
      <c r="B1632" s="670">
        <f t="shared" si="159"/>
        <v>1627</v>
      </c>
      <c r="C1632" s="433">
        <v>42965</v>
      </c>
      <c r="D1632" s="598" t="s">
        <v>1741</v>
      </c>
      <c r="E1632" s="572">
        <v>110100</v>
      </c>
      <c r="F1632" s="672" t="str">
        <f>IFERROR(VLOOKUP(E1632,STAT1!$C$4:$D$1000,2,FALSE),"")</f>
        <v>Хаан Банк 5024654020</v>
      </c>
      <c r="G1632" s="377">
        <v>26814747.77</v>
      </c>
      <c r="H1632" s="377"/>
      <c r="I1632" s="596">
        <f t="shared" si="161"/>
        <v>26814747.77</v>
      </c>
      <c r="J1632" s="81">
        <f t="shared" si="160"/>
        <v>0</v>
      </c>
      <c r="K1632" s="81"/>
      <c r="L1632" s="597">
        <v>3002</v>
      </c>
      <c r="M1632" s="81" t="str">
        <f>+IFERROR(VLOOKUP(L1632,DATA!$G$4:$H$2000,2,FALSE),"")</f>
        <v>ЭКО КОНСТРАКШН ХХК</v>
      </c>
      <c r="N1632" s="435">
        <v>41</v>
      </c>
      <c r="O1632" s="81" t="str">
        <f>IFERROR(VLOOKUP(N1632,DATA!$K$4:$L$51,2,FALSE),"")</f>
        <v>Бараа борлуулсан, үйлчилгээ үзүүлсэний орлого</v>
      </c>
      <c r="P1632" s="81"/>
      <c r="Q1632" s="152">
        <f t="shared" si="162"/>
        <v>1</v>
      </c>
    </row>
    <row r="1633" spans="2:17">
      <c r="B1633" s="670">
        <f t="shared" si="159"/>
        <v>1628</v>
      </c>
      <c r="C1633" s="433">
        <v>42965</v>
      </c>
      <c r="D1633" s="598" t="s">
        <v>1741</v>
      </c>
      <c r="E1633" s="572">
        <v>320100</v>
      </c>
      <c r="F1633" s="672" t="str">
        <f>IFERROR(VLOOKUP(E1633,STAT1!$C$4:$D$1000,2,FALSE),"")</f>
        <v>Урьдчилж орсон орлого MNT</v>
      </c>
      <c r="G1633" s="377">
        <v>0</v>
      </c>
      <c r="H1633" s="377">
        <v>26814747.77</v>
      </c>
      <c r="I1633" s="596">
        <f t="shared" si="161"/>
        <v>0</v>
      </c>
      <c r="J1633" s="81">
        <f t="shared" si="160"/>
        <v>0</v>
      </c>
      <c r="K1633" s="81"/>
      <c r="L1633" s="597">
        <v>3002</v>
      </c>
      <c r="M1633" s="81" t="str">
        <f>+IFERROR(VLOOKUP(L1633,DATA!$G$4:$H$2000,2,FALSE),"")</f>
        <v>ЭКО КОНСТРАКШН ХХК</v>
      </c>
      <c r="N1633" s="435"/>
      <c r="O1633" s="81" t="str">
        <f>IFERROR(VLOOKUP(N1633,DATA!$K$4:$L$51,2,FALSE),"")</f>
        <v/>
      </c>
      <c r="P1633" s="81"/>
      <c r="Q1633" s="152">
        <f t="shared" si="162"/>
        <v>0</v>
      </c>
    </row>
    <row r="1634" spans="2:17">
      <c r="B1634" s="670">
        <f t="shared" si="159"/>
        <v>1629</v>
      </c>
      <c r="C1634" s="433">
        <v>42965</v>
      </c>
      <c r="D1634" s="598" t="s">
        <v>1741</v>
      </c>
      <c r="E1634" s="572">
        <v>110100</v>
      </c>
      <c r="F1634" s="672" t="str">
        <f>IFERROR(VLOOKUP(E1634,STAT1!$C$4:$D$1000,2,FALSE),"")</f>
        <v>Хаан Банк 5024654020</v>
      </c>
      <c r="G1634" s="377">
        <v>9850000</v>
      </c>
      <c r="H1634" s="377"/>
      <c r="I1634" s="596">
        <f t="shared" si="161"/>
        <v>9850000</v>
      </c>
      <c r="J1634" s="81">
        <f t="shared" si="160"/>
        <v>0</v>
      </c>
      <c r="K1634" s="81"/>
      <c r="L1634" s="597">
        <v>3001</v>
      </c>
      <c r="M1634" s="81" t="str">
        <f>+IFERROR(VLOOKUP(L1634,DATA!$G$4:$H$2000,2,FALSE),"")</f>
        <v>ХУРД ГРУПП ХХК</v>
      </c>
      <c r="N1634" s="435">
        <v>41</v>
      </c>
      <c r="O1634" s="81" t="str">
        <f>IFERROR(VLOOKUP(N1634,DATA!$K$4:$L$51,2,FALSE),"")</f>
        <v>Бараа борлуулсан, үйлчилгээ үзүүлсэний орлого</v>
      </c>
      <c r="P1634" s="81"/>
      <c r="Q1634" s="152">
        <f t="shared" si="162"/>
        <v>1</v>
      </c>
    </row>
    <row r="1635" spans="2:17">
      <c r="B1635" s="670">
        <f t="shared" si="159"/>
        <v>1630</v>
      </c>
      <c r="C1635" s="433">
        <v>42965</v>
      </c>
      <c r="D1635" s="598" t="s">
        <v>1741</v>
      </c>
      <c r="E1635" s="572">
        <v>320100</v>
      </c>
      <c r="F1635" s="672" t="str">
        <f>IFERROR(VLOOKUP(E1635,STAT1!$C$4:$D$1000,2,FALSE),"")</f>
        <v>Урьдчилж орсон орлого MNT</v>
      </c>
      <c r="G1635" s="377">
        <v>0</v>
      </c>
      <c r="H1635" s="377">
        <v>9850000</v>
      </c>
      <c r="I1635" s="596">
        <f t="shared" si="161"/>
        <v>0</v>
      </c>
      <c r="J1635" s="81">
        <f t="shared" si="160"/>
        <v>0</v>
      </c>
      <c r="K1635" s="81"/>
      <c r="L1635" s="597">
        <v>3001</v>
      </c>
      <c r="M1635" s="81" t="str">
        <f>+IFERROR(VLOOKUP(L1635,DATA!$G$4:$H$2000,2,FALSE),"")</f>
        <v>ХУРД ГРУПП ХХК</v>
      </c>
      <c r="N1635" s="435"/>
      <c r="O1635" s="81" t="str">
        <f>IFERROR(VLOOKUP(N1635,DATA!$K$4:$L$51,2,FALSE),"")</f>
        <v/>
      </c>
      <c r="P1635" s="81"/>
      <c r="Q1635" s="152">
        <f t="shared" si="162"/>
        <v>0</v>
      </c>
    </row>
    <row r="1636" spans="2:17">
      <c r="B1636" s="670">
        <f t="shared" si="159"/>
        <v>1631</v>
      </c>
      <c r="C1636" s="433">
        <v>42965</v>
      </c>
      <c r="D1636" s="598" t="s">
        <v>1749</v>
      </c>
      <c r="E1636" s="572">
        <v>100100</v>
      </c>
      <c r="F1636" s="672" t="str">
        <f>IFERROR(VLOOKUP(E1636,STAT1!$C$4:$D$8000,2,FALSE),"")</f>
        <v>Касс мөнгө MNT</v>
      </c>
      <c r="G1636" s="377">
        <v>21100000</v>
      </c>
      <c r="H1636" s="377">
        <v>0</v>
      </c>
      <c r="I1636" s="596">
        <f t="shared" si="161"/>
        <v>21100000</v>
      </c>
      <c r="J1636" s="81">
        <f t="shared" ref="J1636:J1667" si="163">+IF(E1636=110102,I1636/K1636,0)</f>
        <v>0</v>
      </c>
      <c r="K1636" s="81"/>
      <c r="L1636" s="597">
        <v>1004</v>
      </c>
      <c r="M1636" s="81" t="str">
        <f>+IFERROR(VLOOKUP(L1636,DATA!$G$4:$H$2000,2,FALSE),"")</f>
        <v xml:space="preserve">Түмэндэлгэр </v>
      </c>
      <c r="N1636" s="435"/>
      <c r="O1636" s="81" t="str">
        <f>IFERROR(VLOOKUP(N1636,DATA!$K$4:$L$51,2,FALSE),"")</f>
        <v/>
      </c>
      <c r="P1636" s="81"/>
      <c r="Q1636" s="152">
        <f t="shared" si="162"/>
        <v>1</v>
      </c>
    </row>
    <row r="1637" spans="2:17">
      <c r="B1637" s="670">
        <f t="shared" si="159"/>
        <v>1632</v>
      </c>
      <c r="C1637" s="433">
        <v>42965</v>
      </c>
      <c r="D1637" s="598" t="s">
        <v>1749</v>
      </c>
      <c r="E1637" s="572">
        <v>110100</v>
      </c>
      <c r="F1637" s="672" t="str">
        <f>IFERROR(VLOOKUP(E1637,STAT1!$C$4:$D$8000,2,FALSE),"")</f>
        <v>Хаан Банк 5024654020</v>
      </c>
      <c r="G1637" s="377"/>
      <c r="H1637" s="377">
        <v>21100000</v>
      </c>
      <c r="I1637" s="596">
        <f t="shared" si="161"/>
        <v>-21100000</v>
      </c>
      <c r="J1637" s="81">
        <f t="shared" si="163"/>
        <v>0</v>
      </c>
      <c r="K1637" s="81"/>
      <c r="L1637" s="597">
        <v>1004</v>
      </c>
      <c r="M1637" s="81" t="str">
        <f>+IFERROR(VLOOKUP(L1637,DATA!$G$4:$H$2000,2,FALSE),"")</f>
        <v xml:space="preserve">Түмэндэлгэр </v>
      </c>
      <c r="N1637" s="435"/>
      <c r="O1637" s="81" t="str">
        <f>IFERROR(VLOOKUP(N1637,DATA!$K$4:$L$51,2,FALSE),"")</f>
        <v/>
      </c>
      <c r="P1637" s="81"/>
      <c r="Q1637" s="152">
        <f t="shared" si="162"/>
        <v>1</v>
      </c>
    </row>
    <row r="1638" spans="2:17">
      <c r="B1638" s="670">
        <f t="shared" si="159"/>
        <v>1633</v>
      </c>
      <c r="C1638" s="433">
        <v>42965</v>
      </c>
      <c r="D1638" s="598" t="s">
        <v>1746</v>
      </c>
      <c r="E1638" s="572">
        <v>702500</v>
      </c>
      <c r="F1638" s="672" t="str">
        <f>IFERROR(VLOOKUP(E1638,STAT1!$C$4:$D$8000,2,FALSE),"")</f>
        <v>Зээлийн хүүгийн зардал</v>
      </c>
      <c r="G1638" s="377">
        <v>711584.76999999955</v>
      </c>
      <c r="H1638" s="377">
        <v>0</v>
      </c>
      <c r="I1638" s="596">
        <f t="shared" si="161"/>
        <v>0</v>
      </c>
      <c r="J1638" s="81">
        <f t="shared" si="163"/>
        <v>0</v>
      </c>
      <c r="K1638" s="81"/>
      <c r="L1638" s="597">
        <v>2009</v>
      </c>
      <c r="M1638" s="81" t="str">
        <f>+IFERROR(VLOOKUP(L1638,DATA!$G$4:$H$2000,2,FALSE),"")</f>
        <v>ХААН БАНК</v>
      </c>
      <c r="N1638" s="435"/>
      <c r="O1638" s="81" t="str">
        <f>IFERROR(VLOOKUP(N1638,DATA!$K$4:$L$51,2,FALSE),"")</f>
        <v/>
      </c>
      <c r="P1638" s="81"/>
      <c r="Q1638" s="152">
        <f t="shared" si="162"/>
        <v>0</v>
      </c>
    </row>
    <row r="1639" spans="2:17">
      <c r="B1639" s="670">
        <f t="shared" si="159"/>
        <v>1634</v>
      </c>
      <c r="C1639" s="433">
        <v>42965</v>
      </c>
      <c r="D1639" s="598" t="s">
        <v>1746</v>
      </c>
      <c r="E1639" s="572">
        <v>110100</v>
      </c>
      <c r="F1639" s="672" t="str">
        <f>IFERROR(VLOOKUP(E1639,STAT1!$C$4:$D$8000,2,FALSE),"")</f>
        <v>Хаан Банк 5024654020</v>
      </c>
      <c r="G1639" s="377"/>
      <c r="H1639" s="377">
        <v>711584.76999999955</v>
      </c>
      <c r="I1639" s="596">
        <f t="shared" si="161"/>
        <v>-711584.76999999955</v>
      </c>
      <c r="J1639" s="81">
        <f t="shared" si="163"/>
        <v>0</v>
      </c>
      <c r="K1639" s="81"/>
      <c r="L1639" s="597">
        <v>2009</v>
      </c>
      <c r="M1639" s="81" t="str">
        <f>+IFERROR(VLOOKUP(L1639,DATA!$G$4:$H$2000,2,FALSE),"")</f>
        <v>ХААН БАНК</v>
      </c>
      <c r="N1639" s="435">
        <v>56</v>
      </c>
      <c r="O1639" s="81" t="str">
        <f>IFERROR(VLOOKUP(N1639,DATA!$K$4:$L$51,2,FALSE),"")</f>
        <v>Хүүний төлбөрт төлсөн</v>
      </c>
      <c r="P1639" s="81"/>
      <c r="Q1639" s="152">
        <f t="shared" si="162"/>
        <v>1</v>
      </c>
    </row>
    <row r="1640" spans="2:17">
      <c r="B1640" s="670">
        <f t="shared" si="159"/>
        <v>1635</v>
      </c>
      <c r="C1640" s="433">
        <v>42965</v>
      </c>
      <c r="D1640" s="598" t="s">
        <v>1746</v>
      </c>
      <c r="E1640" s="572">
        <v>310400</v>
      </c>
      <c r="F1640" s="672" t="str">
        <f>IFERROR(VLOOKUP(E1640,STAT1!$C$4:$D$8000,2,FALSE),"")</f>
        <v>Банкны богино хугацаат зээл MNT</v>
      </c>
      <c r="G1640" s="377">
        <v>4899693</v>
      </c>
      <c r="H1640" s="377"/>
      <c r="I1640" s="596">
        <f t="shared" si="161"/>
        <v>0</v>
      </c>
      <c r="J1640" s="81">
        <f t="shared" si="163"/>
        <v>0</v>
      </c>
      <c r="K1640" s="81"/>
      <c r="L1640" s="597">
        <v>2009</v>
      </c>
      <c r="M1640" s="81" t="str">
        <f>+IFERROR(VLOOKUP(L1640,DATA!$G$4:$H$2000,2,FALSE),"")</f>
        <v>ХААН БАНК</v>
      </c>
      <c r="N1640" s="435"/>
      <c r="O1640" s="81" t="str">
        <f>IFERROR(VLOOKUP(N1640,DATA!$K$4:$L$51,2,FALSE),"")</f>
        <v/>
      </c>
      <c r="P1640" s="81"/>
      <c r="Q1640" s="152">
        <f t="shared" si="162"/>
        <v>0</v>
      </c>
    </row>
    <row r="1641" spans="2:17">
      <c r="B1641" s="670">
        <f t="shared" si="159"/>
        <v>1636</v>
      </c>
      <c r="C1641" s="433">
        <v>42965</v>
      </c>
      <c r="D1641" s="598" t="s">
        <v>1746</v>
      </c>
      <c r="E1641" s="572">
        <v>110100</v>
      </c>
      <c r="F1641" s="672" t="str">
        <f>IFERROR(VLOOKUP(E1641,STAT1!$C$4:$D$8000,2,FALSE),"")</f>
        <v>Хаан Банк 5024654020</v>
      </c>
      <c r="G1641" s="377"/>
      <c r="H1641" s="377">
        <v>4899693</v>
      </c>
      <c r="I1641" s="596">
        <f t="shared" si="161"/>
        <v>-4899693</v>
      </c>
      <c r="J1641" s="81">
        <f t="shared" si="163"/>
        <v>0</v>
      </c>
      <c r="K1641" s="81"/>
      <c r="L1641" s="597">
        <v>2009</v>
      </c>
      <c r="M1641" s="81" t="str">
        <f>+IFERROR(VLOOKUP(L1641,DATA!$G$4:$H$2000,2,FALSE),"")</f>
        <v>ХААН БАНК</v>
      </c>
      <c r="N1641" s="435">
        <v>91</v>
      </c>
      <c r="O1641" s="81" t="str">
        <f>IFERROR(VLOOKUP(N1641,DATA!$K$4:$L$51,2,FALSE),"")</f>
        <v>Зээл, өрийн үнэт цаасны төлбөрт төлсөн</v>
      </c>
      <c r="P1641" s="81"/>
      <c r="Q1641" s="152">
        <f t="shared" si="162"/>
        <v>1</v>
      </c>
    </row>
    <row r="1642" spans="2:17">
      <c r="B1642" s="670">
        <f t="shared" si="159"/>
        <v>1637</v>
      </c>
      <c r="C1642" s="433">
        <v>42967</v>
      </c>
      <c r="D1642" s="598" t="s">
        <v>1747</v>
      </c>
      <c r="E1642" s="572">
        <v>702500</v>
      </c>
      <c r="F1642" s="672" t="str">
        <f>IFERROR(VLOOKUP(E1642,STAT1!$C$4:$D$8000,2,FALSE),"")</f>
        <v>Зээлийн хүүгийн зардал</v>
      </c>
      <c r="G1642" s="377">
        <v>1545248</v>
      </c>
      <c r="H1642" s="377">
        <v>0</v>
      </c>
      <c r="I1642" s="596">
        <f t="shared" si="161"/>
        <v>0</v>
      </c>
      <c r="J1642" s="81">
        <f t="shared" si="163"/>
        <v>0</v>
      </c>
      <c r="K1642" s="81"/>
      <c r="L1642" s="597">
        <v>2009</v>
      </c>
      <c r="M1642" s="81" t="str">
        <f>+IFERROR(VLOOKUP(L1642,DATA!$G$4:$H$2000,2,FALSE),"")</f>
        <v>ХААН БАНК</v>
      </c>
      <c r="N1642" s="435"/>
      <c r="O1642" s="81" t="str">
        <f>IFERROR(VLOOKUP(N1642,DATA!$K$4:$L$51,2,FALSE),"")</f>
        <v/>
      </c>
      <c r="P1642" s="81"/>
      <c r="Q1642" s="152">
        <f t="shared" si="162"/>
        <v>0</v>
      </c>
    </row>
    <row r="1643" spans="2:17">
      <c r="B1643" s="670">
        <f t="shared" si="159"/>
        <v>1638</v>
      </c>
      <c r="C1643" s="433">
        <v>42967</v>
      </c>
      <c r="D1643" s="598" t="s">
        <v>1747</v>
      </c>
      <c r="E1643" s="572">
        <v>110100</v>
      </c>
      <c r="F1643" s="672" t="str">
        <f>IFERROR(VLOOKUP(E1643,STAT1!$C$4:$D$8000,2,FALSE),"")</f>
        <v>Хаан Банк 5024654020</v>
      </c>
      <c r="G1643" s="377"/>
      <c r="H1643" s="377">
        <v>1545248</v>
      </c>
      <c r="I1643" s="596">
        <f t="shared" si="161"/>
        <v>-1545248</v>
      </c>
      <c r="J1643" s="81">
        <f t="shared" si="163"/>
        <v>0</v>
      </c>
      <c r="K1643" s="81"/>
      <c r="L1643" s="597">
        <v>2009</v>
      </c>
      <c r="M1643" s="81" t="str">
        <f>+IFERROR(VLOOKUP(L1643,DATA!$G$4:$H$2000,2,FALSE),"")</f>
        <v>ХААН БАНК</v>
      </c>
      <c r="N1643" s="435">
        <v>56</v>
      </c>
      <c r="O1643" s="81" t="str">
        <f>IFERROR(VLOOKUP(N1643,DATA!$K$4:$L$51,2,FALSE),"")</f>
        <v>Хүүний төлбөрт төлсөн</v>
      </c>
      <c r="P1643" s="81"/>
      <c r="Q1643" s="152">
        <f t="shared" si="162"/>
        <v>1</v>
      </c>
    </row>
    <row r="1644" spans="2:17">
      <c r="B1644" s="670">
        <f t="shared" si="159"/>
        <v>1639</v>
      </c>
      <c r="C1644" s="433">
        <v>42967</v>
      </c>
      <c r="D1644" s="598" t="s">
        <v>1747</v>
      </c>
      <c r="E1644" s="572">
        <v>311100</v>
      </c>
      <c r="F1644" s="672" t="str">
        <f>IFERROR(VLOOKUP(E1644,STAT1!$C$4:$D$8000,2,FALSE),"")</f>
        <v xml:space="preserve">Бусад богино хугацаат өглөг </v>
      </c>
      <c r="G1644" s="377">
        <v>3034752</v>
      </c>
      <c r="H1644" s="377"/>
      <c r="I1644" s="596">
        <f t="shared" si="161"/>
        <v>0</v>
      </c>
      <c r="J1644" s="81">
        <f t="shared" si="163"/>
        <v>0</v>
      </c>
      <c r="K1644" s="81"/>
      <c r="L1644" s="597">
        <v>2009</v>
      </c>
      <c r="M1644" s="81" t="str">
        <f>+IFERROR(VLOOKUP(L1644,DATA!$G$4:$H$2000,2,FALSE),"")</f>
        <v>ХААН БАНК</v>
      </c>
      <c r="N1644" s="435"/>
      <c r="O1644" s="81" t="str">
        <f>IFERROR(VLOOKUP(N1644,DATA!$K$4:$L$51,2,FALSE),"")</f>
        <v/>
      </c>
      <c r="P1644" s="81"/>
      <c r="Q1644" s="152">
        <f t="shared" si="162"/>
        <v>0</v>
      </c>
    </row>
    <row r="1645" spans="2:17">
      <c r="B1645" s="670">
        <f t="shared" si="159"/>
        <v>1640</v>
      </c>
      <c r="C1645" s="433">
        <v>42967</v>
      </c>
      <c r="D1645" s="598" t="s">
        <v>1747</v>
      </c>
      <c r="E1645" s="572">
        <v>110100</v>
      </c>
      <c r="F1645" s="672" t="str">
        <f>IFERROR(VLOOKUP(E1645,STAT1!$C$4:$D$8000,2,FALSE),"")</f>
        <v>Хаан Банк 5024654020</v>
      </c>
      <c r="G1645" s="377"/>
      <c r="H1645" s="377">
        <v>3034752</v>
      </c>
      <c r="I1645" s="596">
        <f t="shared" si="161"/>
        <v>-3034752</v>
      </c>
      <c r="J1645" s="81">
        <f t="shared" si="163"/>
        <v>0</v>
      </c>
      <c r="K1645" s="81"/>
      <c r="L1645" s="597">
        <v>2009</v>
      </c>
      <c r="M1645" s="81" t="str">
        <f>+IFERROR(VLOOKUP(L1645,DATA!$G$4:$H$2000,2,FALSE),"")</f>
        <v>ХААН БАНК</v>
      </c>
      <c r="N1645" s="435">
        <v>91</v>
      </c>
      <c r="O1645" s="81" t="str">
        <f>IFERROR(VLOOKUP(N1645,DATA!$K$4:$L$51,2,FALSE),"")</f>
        <v>Зээл, өрийн үнэт цаасны төлбөрт төлсөн</v>
      </c>
      <c r="P1645" s="81"/>
      <c r="Q1645" s="152">
        <f t="shared" si="162"/>
        <v>1</v>
      </c>
    </row>
    <row r="1646" spans="2:17">
      <c r="B1646" s="670">
        <f t="shared" si="159"/>
        <v>1641</v>
      </c>
      <c r="C1646" s="433">
        <v>42968</v>
      </c>
      <c r="D1646" s="377" t="s">
        <v>1734</v>
      </c>
      <c r="E1646" s="572">
        <v>100100</v>
      </c>
      <c r="F1646" s="672" t="str">
        <f>IFERROR(VLOOKUP(E1646,STAT1!$C$4:$D$1000,2,FALSE),"")</f>
        <v>Касс мөнгө MNT</v>
      </c>
      <c r="G1646" s="377"/>
      <c r="H1646" s="377">
        <v>100000</v>
      </c>
      <c r="I1646" s="596">
        <f t="shared" si="161"/>
        <v>-100000</v>
      </c>
      <c r="J1646" s="81">
        <f t="shared" si="163"/>
        <v>0</v>
      </c>
      <c r="K1646" s="81"/>
      <c r="L1646" s="597">
        <v>1003</v>
      </c>
      <c r="M1646" s="81" t="str">
        <f>+IFERROR(VLOOKUP(L1646,DATA!$G$4:$H$2000,2,FALSE),"")</f>
        <v>Бахдамдэмбэрэл</v>
      </c>
      <c r="N1646" s="435">
        <v>55</v>
      </c>
      <c r="O1646" s="81" t="str">
        <f>IFERROR(VLOOKUP(N1646,DATA!$K$4:$L$51,2,FALSE),"")</f>
        <v>Түлш, шатахуун, тээврийн хөлс, сэлбэг хэрэгсэлд төлсөн</v>
      </c>
      <c r="P1646" s="81"/>
      <c r="Q1646" s="152">
        <f t="shared" si="162"/>
        <v>1</v>
      </c>
    </row>
    <row r="1647" spans="2:17">
      <c r="B1647" s="670">
        <f t="shared" si="159"/>
        <v>1642</v>
      </c>
      <c r="C1647" s="433">
        <v>42968</v>
      </c>
      <c r="D1647" s="377" t="s">
        <v>1734</v>
      </c>
      <c r="E1647" s="572">
        <v>120600</v>
      </c>
      <c r="F1647" s="672" t="str">
        <f>IFERROR(VLOOKUP(E1647,STAT1!$C$4:$D$1000,2,FALSE),"")</f>
        <v>НӨАТ авлага</v>
      </c>
      <c r="G1647" s="377">
        <v>18585.55</v>
      </c>
      <c r="H1647" s="377"/>
      <c r="I1647" s="596">
        <f t="shared" si="161"/>
        <v>0</v>
      </c>
      <c r="J1647" s="81">
        <f t="shared" si="163"/>
        <v>0</v>
      </c>
      <c r="K1647" s="81"/>
      <c r="L1647" s="597">
        <v>1003</v>
      </c>
      <c r="M1647" s="81" t="str">
        <f>+IFERROR(VLOOKUP(L1647,DATA!$G$4:$H$2000,2,FALSE),"")</f>
        <v>Бахдамдэмбэрэл</v>
      </c>
      <c r="N1647" s="435"/>
      <c r="O1647" s="81" t="str">
        <f>IFERROR(VLOOKUP(N1647,DATA!$K$4:$L$51,2,FALSE),"")</f>
        <v/>
      </c>
      <c r="P1647" s="81"/>
      <c r="Q1647" s="152">
        <f t="shared" si="162"/>
        <v>0</v>
      </c>
    </row>
    <row r="1648" spans="2:17">
      <c r="B1648" s="670">
        <f t="shared" si="159"/>
        <v>1643</v>
      </c>
      <c r="C1648" s="433">
        <v>42968</v>
      </c>
      <c r="D1648" s="377" t="s">
        <v>1734</v>
      </c>
      <c r="E1648" s="572">
        <v>702000</v>
      </c>
      <c r="F1648" s="672" t="str">
        <f>IFERROR(VLOOKUP(E1648,STAT1!$C$4:$D$1000,2,FALSE),"")</f>
        <v>Түлш, шатахуун</v>
      </c>
      <c r="G1648" s="377">
        <v>81414.45</v>
      </c>
      <c r="H1648" s="377">
        <v>0</v>
      </c>
      <c r="I1648" s="596">
        <f t="shared" si="161"/>
        <v>0</v>
      </c>
      <c r="J1648" s="81">
        <f t="shared" si="163"/>
        <v>0</v>
      </c>
      <c r="K1648" s="81"/>
      <c r="L1648" s="597">
        <v>1003</v>
      </c>
      <c r="M1648" s="81" t="str">
        <f>+IFERROR(VLOOKUP(L1648,DATA!$G$4:$H$2000,2,FALSE),"")</f>
        <v>Бахдамдэмбэрэл</v>
      </c>
      <c r="N1648" s="435"/>
      <c r="O1648" s="81" t="str">
        <f>IFERROR(VLOOKUP(N1648,DATA!$K$4:$L$51,2,FALSE),"")</f>
        <v/>
      </c>
      <c r="P1648" s="81"/>
      <c r="Q1648" s="152">
        <f t="shared" si="162"/>
        <v>0</v>
      </c>
    </row>
    <row r="1649" spans="2:17">
      <c r="B1649" s="670">
        <f t="shared" si="159"/>
        <v>1644</v>
      </c>
      <c r="C1649" s="433">
        <v>42968</v>
      </c>
      <c r="D1649" s="377" t="s">
        <v>1741</v>
      </c>
      <c r="E1649" s="572">
        <v>320100</v>
      </c>
      <c r="F1649" s="672" t="str">
        <f>IFERROR(VLOOKUP(E1649,STAT1!$C$4:$D$1000,2,FALSE),"")</f>
        <v>Урьдчилж орсон орлого MNT</v>
      </c>
      <c r="G1649" s="377"/>
      <c r="H1649" s="377">
        <v>475680</v>
      </c>
      <c r="I1649" s="596">
        <f t="shared" si="161"/>
        <v>0</v>
      </c>
      <c r="J1649" s="81">
        <f t="shared" si="163"/>
        <v>0</v>
      </c>
      <c r="K1649" s="81"/>
      <c r="L1649" s="597">
        <v>3006</v>
      </c>
      <c r="M1649" s="81" t="str">
        <f>+IFERROR(VLOOKUP(L1649,DATA!$G$4:$H$2000,2,FALSE),"")</f>
        <v xml:space="preserve">ПАЙОНЕРИНГ ИНТЕРНЭШНЛ ХХК </v>
      </c>
      <c r="N1649" s="435"/>
      <c r="O1649" s="81" t="str">
        <f>IFERROR(VLOOKUP(N1649,DATA!$K$4:$L$51,2,FALSE),"")</f>
        <v/>
      </c>
      <c r="P1649" s="81"/>
      <c r="Q1649" s="152">
        <f t="shared" si="162"/>
        <v>0</v>
      </c>
    </row>
    <row r="1650" spans="2:17">
      <c r="B1650" s="670">
        <f t="shared" si="159"/>
        <v>1645</v>
      </c>
      <c r="C1650" s="433">
        <v>42968</v>
      </c>
      <c r="D1650" s="377" t="s">
        <v>1741</v>
      </c>
      <c r="E1650" s="572">
        <v>100100</v>
      </c>
      <c r="F1650" s="672" t="str">
        <f>IFERROR(VLOOKUP(E1650,STAT1!$C$4:$D$1000,2,FALSE),"")</f>
        <v>Касс мөнгө MNT</v>
      </c>
      <c r="G1650" s="377">
        <v>475680</v>
      </c>
      <c r="H1650" s="377">
        <v>0</v>
      </c>
      <c r="I1650" s="596">
        <f t="shared" si="161"/>
        <v>475680</v>
      </c>
      <c r="J1650" s="81">
        <f t="shared" si="163"/>
        <v>0</v>
      </c>
      <c r="K1650" s="81"/>
      <c r="L1650" s="597">
        <v>3006</v>
      </c>
      <c r="M1650" s="81" t="str">
        <f>+IFERROR(VLOOKUP(L1650,DATA!$G$4:$H$2000,2,FALSE),"")</f>
        <v xml:space="preserve">ПАЙОНЕРИНГ ИНТЕРНЭШНЛ ХХК </v>
      </c>
      <c r="N1650" s="435">
        <v>41</v>
      </c>
      <c r="O1650" s="81" t="str">
        <f>IFERROR(VLOOKUP(N1650,DATA!$K$4:$L$51,2,FALSE),"")</f>
        <v>Бараа борлуулсан, үйлчилгээ үзүүлсэний орлого</v>
      </c>
      <c r="P1650" s="81"/>
      <c r="Q1650" s="152">
        <f t="shared" si="162"/>
        <v>1</v>
      </c>
    </row>
    <row r="1651" spans="2:17">
      <c r="B1651" s="670">
        <f t="shared" si="159"/>
        <v>1646</v>
      </c>
      <c r="C1651" s="601">
        <v>42968</v>
      </c>
      <c r="D1651" s="683" t="s">
        <v>1659</v>
      </c>
      <c r="E1651" s="573">
        <v>150101</v>
      </c>
      <c r="F1651" s="672" t="str">
        <f>IFERROR(VLOOKUP(E1651,STAT1!$C$4:$D$8000,2,FALSE),"")</f>
        <v>Бараа бэлэн бүтээгдэхүүн БОЛОВСРУУЛАХ ЦЕХ /нарс/</v>
      </c>
      <c r="G1651" s="377"/>
      <c r="H1651" s="377">
        <v>123025.98700920935</v>
      </c>
      <c r="I1651" s="596">
        <f t="shared" si="161"/>
        <v>0</v>
      </c>
      <c r="J1651" s="81">
        <f t="shared" si="163"/>
        <v>0</v>
      </c>
      <c r="K1651" s="81"/>
      <c r="L1651" s="673">
        <v>3061</v>
      </c>
      <c r="M1651" s="81" t="str">
        <f>+IFERROR(VLOOKUP(L1651,DATA!$G$4:$H$2000,2,FALSE),"")</f>
        <v>СТИМО ХХК</v>
      </c>
      <c r="N1651" s="166"/>
      <c r="O1651" s="81" t="str">
        <f>IFERROR(VLOOKUP(N1651,DATA!$K$4:$L$51,2,FALSE),"")</f>
        <v/>
      </c>
      <c r="P1651" s="81"/>
      <c r="Q1651" s="152">
        <f t="shared" si="162"/>
        <v>0</v>
      </c>
    </row>
    <row r="1652" spans="2:17">
      <c r="B1652" s="670">
        <f t="shared" si="159"/>
        <v>1647</v>
      </c>
      <c r="C1652" s="601">
        <v>42968</v>
      </c>
      <c r="D1652" s="683" t="s">
        <v>587</v>
      </c>
      <c r="E1652" s="572">
        <v>610100</v>
      </c>
      <c r="F1652" s="672" t="str">
        <f>IFERROR(VLOOKUP(E1652,STAT1!$C$4:$D$8000,2,FALSE),"")</f>
        <v>Борлуулсан барааны өртөг</v>
      </c>
      <c r="G1652" s="377">
        <v>123025.98700920935</v>
      </c>
      <c r="H1652" s="377"/>
      <c r="I1652" s="596">
        <f t="shared" si="161"/>
        <v>0</v>
      </c>
      <c r="J1652" s="81">
        <f t="shared" si="163"/>
        <v>0</v>
      </c>
      <c r="K1652" s="81"/>
      <c r="L1652" s="673">
        <v>3061</v>
      </c>
      <c r="M1652" s="81" t="str">
        <f>+IFERROR(VLOOKUP(L1652,DATA!$G$4:$H$2000,2,FALSE),"")</f>
        <v>СТИМО ХХК</v>
      </c>
      <c r="N1652" s="166"/>
      <c r="O1652" s="81" t="str">
        <f>IFERROR(VLOOKUP(N1652,DATA!$K$4:$L$51,2,FALSE),"")</f>
        <v/>
      </c>
      <c r="P1652" s="81"/>
      <c r="Q1652" s="152">
        <f t="shared" si="162"/>
        <v>0</v>
      </c>
    </row>
    <row r="1653" spans="2:17">
      <c r="B1653" s="670">
        <f t="shared" si="159"/>
        <v>1648</v>
      </c>
      <c r="C1653" s="601">
        <v>42968</v>
      </c>
      <c r="D1653" s="683" t="s">
        <v>587</v>
      </c>
      <c r="E1653" s="572">
        <v>310500</v>
      </c>
      <c r="F1653" s="672" t="str">
        <f>IFERROR(VLOOKUP(E1653,STAT1!$C$4:$D$8000,2,FALSE),"")</f>
        <v>НӨАТ өглөг</v>
      </c>
      <c r="G1653" s="377"/>
      <c r="H1653" s="377">
        <v>28500</v>
      </c>
      <c r="I1653" s="596">
        <f t="shared" si="161"/>
        <v>0</v>
      </c>
      <c r="J1653" s="81">
        <f t="shared" si="163"/>
        <v>0</v>
      </c>
      <c r="K1653" s="81"/>
      <c r="L1653" s="673">
        <v>3061</v>
      </c>
      <c r="M1653" s="81" t="str">
        <f>+IFERROR(VLOOKUP(L1653,DATA!$G$4:$H$2000,2,FALSE),"")</f>
        <v>СТИМО ХХК</v>
      </c>
      <c r="N1653" s="166"/>
      <c r="O1653" s="81" t="str">
        <f>IFERROR(VLOOKUP(N1653,DATA!$K$4:$L$51,2,FALSE),"")</f>
        <v/>
      </c>
      <c r="P1653" s="81"/>
      <c r="Q1653" s="152">
        <f t="shared" si="162"/>
        <v>0</v>
      </c>
    </row>
    <row r="1654" spans="2:17">
      <c r="B1654" s="670">
        <f t="shared" ref="B1654:B1725" si="164">+IF(C1654="","",ROW()-5)</f>
        <v>1649</v>
      </c>
      <c r="C1654" s="601">
        <v>42968</v>
      </c>
      <c r="D1654" s="683" t="s">
        <v>587</v>
      </c>
      <c r="E1654" s="572">
        <v>510000</v>
      </c>
      <c r="F1654" s="672" t="str">
        <f>IFERROR(VLOOKUP(E1654,STAT1!$C$4:$D$8000,2,FALSE),"")</f>
        <v>Үндсэн үйл ажиллагааны борлуулалт</v>
      </c>
      <c r="G1654" s="377"/>
      <c r="H1654" s="377">
        <v>285000</v>
      </c>
      <c r="I1654" s="596">
        <f t="shared" si="161"/>
        <v>0</v>
      </c>
      <c r="J1654" s="81">
        <f t="shared" si="163"/>
        <v>0</v>
      </c>
      <c r="K1654" s="81"/>
      <c r="L1654" s="673">
        <v>3061</v>
      </c>
      <c r="M1654" s="81" t="str">
        <f>+IFERROR(VLOOKUP(L1654,DATA!$G$4:$H$2000,2,FALSE),"")</f>
        <v>СТИМО ХХК</v>
      </c>
      <c r="N1654" s="166"/>
      <c r="O1654" s="81" t="str">
        <f>IFERROR(VLOOKUP(N1654,DATA!$K$4:$L$51,2,FALSE),"")</f>
        <v/>
      </c>
      <c r="P1654" s="81"/>
      <c r="Q1654" s="152">
        <f t="shared" si="162"/>
        <v>0</v>
      </c>
    </row>
    <row r="1655" spans="2:17">
      <c r="B1655" s="670">
        <f t="shared" si="164"/>
        <v>1650</v>
      </c>
      <c r="C1655" s="601">
        <v>42968</v>
      </c>
      <c r="D1655" s="683" t="s">
        <v>587</v>
      </c>
      <c r="E1655" s="572">
        <v>320100</v>
      </c>
      <c r="F1655" s="672" t="str">
        <f>IFERROR(VLOOKUP(E1655,STAT1!$C$4:$D$8000,2,FALSE),"")</f>
        <v>Урьдчилж орсон орлого MNT</v>
      </c>
      <c r="G1655" s="377">
        <v>313500</v>
      </c>
      <c r="H1655" s="377"/>
      <c r="I1655" s="596">
        <f t="shared" si="161"/>
        <v>0</v>
      </c>
      <c r="J1655" s="81">
        <f t="shared" si="163"/>
        <v>0</v>
      </c>
      <c r="K1655" s="81"/>
      <c r="L1655" s="673">
        <v>3061</v>
      </c>
      <c r="M1655" s="81" t="str">
        <f>+IFERROR(VLOOKUP(L1655,DATA!$G$4:$H$2000,2,FALSE),"")</f>
        <v>СТИМО ХХК</v>
      </c>
      <c r="N1655" s="166"/>
      <c r="O1655" s="81" t="str">
        <f>IFERROR(VLOOKUP(N1655,DATA!$K$4:$L$51,2,FALSE),"")</f>
        <v/>
      </c>
      <c r="P1655" s="81"/>
      <c r="Q1655" s="152">
        <f t="shared" si="162"/>
        <v>0</v>
      </c>
    </row>
    <row r="1656" spans="2:17">
      <c r="B1656" s="670">
        <f t="shared" si="164"/>
        <v>1651</v>
      </c>
      <c r="C1656" s="601">
        <v>42968</v>
      </c>
      <c r="D1656" s="683" t="s">
        <v>2700</v>
      </c>
      <c r="E1656" s="573">
        <v>150101</v>
      </c>
      <c r="F1656" s="672" t="str">
        <f>IFERROR(VLOOKUP(E1656,STAT1!$C$4:$D$8000,2,FALSE),"")</f>
        <v>Бараа бэлэн бүтээгдэхүүн БОЛОВСРУУЛАХ ЦЕХ /нарс/</v>
      </c>
      <c r="G1656" s="377"/>
      <c r="H1656" s="377">
        <v>570947.24820833164</v>
      </c>
      <c r="I1656" s="596">
        <f t="shared" si="161"/>
        <v>0</v>
      </c>
      <c r="J1656" s="81">
        <f t="shared" si="163"/>
        <v>0</v>
      </c>
      <c r="K1656" s="81"/>
      <c r="L1656" s="673">
        <v>3066</v>
      </c>
      <c r="M1656" s="81" t="str">
        <f>+IFERROR(VLOOKUP(L1656,DATA!$G$4:$H$2000,2,FALSE),"")</f>
        <v>МСҮТөв</v>
      </c>
      <c r="N1656" s="166"/>
      <c r="O1656" s="81" t="str">
        <f>IFERROR(VLOOKUP(N1656,DATA!$K$4:$L$51,2,FALSE),"")</f>
        <v/>
      </c>
      <c r="P1656" s="81"/>
      <c r="Q1656" s="152">
        <f t="shared" si="162"/>
        <v>0</v>
      </c>
    </row>
    <row r="1657" spans="2:17">
      <c r="B1657" s="670">
        <f t="shared" si="164"/>
        <v>1652</v>
      </c>
      <c r="C1657" s="601">
        <v>42968</v>
      </c>
      <c r="D1657" s="683" t="s">
        <v>587</v>
      </c>
      <c r="E1657" s="572">
        <v>610100</v>
      </c>
      <c r="F1657" s="672" t="str">
        <f>IFERROR(VLOOKUP(E1657,STAT1!$C$4:$D$8000,2,FALSE),"")</f>
        <v>Борлуулсан барааны өртөг</v>
      </c>
      <c r="G1657" s="377">
        <v>570947.24820833164</v>
      </c>
      <c r="H1657" s="377"/>
      <c r="I1657" s="596">
        <f t="shared" si="161"/>
        <v>0</v>
      </c>
      <c r="J1657" s="81">
        <f t="shared" si="163"/>
        <v>0</v>
      </c>
      <c r="K1657" s="81"/>
      <c r="L1657" s="673">
        <v>3066</v>
      </c>
      <c r="M1657" s="81" t="str">
        <f>+IFERROR(VLOOKUP(L1657,DATA!$G$4:$H$2000,2,FALSE),"")</f>
        <v>МСҮТөв</v>
      </c>
      <c r="N1657" s="166"/>
      <c r="O1657" s="81" t="str">
        <f>IFERROR(VLOOKUP(N1657,DATA!$K$4:$L$51,2,FALSE),"")</f>
        <v/>
      </c>
      <c r="P1657" s="81"/>
      <c r="Q1657" s="152">
        <f t="shared" si="162"/>
        <v>0</v>
      </c>
    </row>
    <row r="1658" spans="2:17">
      <c r="B1658" s="670">
        <f t="shared" si="164"/>
        <v>1653</v>
      </c>
      <c r="C1658" s="601">
        <v>42968</v>
      </c>
      <c r="D1658" s="683" t="s">
        <v>587</v>
      </c>
      <c r="E1658" s="572">
        <v>310500</v>
      </c>
      <c r="F1658" s="672" t="str">
        <f>IFERROR(VLOOKUP(E1658,STAT1!$C$4:$D$8000,2,FALSE),"")</f>
        <v>НӨАТ өглөг</v>
      </c>
      <c r="G1658" s="377"/>
      <c r="H1658" s="377">
        <v>85909.090680000008</v>
      </c>
      <c r="I1658" s="596">
        <f t="shared" si="161"/>
        <v>0</v>
      </c>
      <c r="J1658" s="81">
        <f t="shared" si="163"/>
        <v>0</v>
      </c>
      <c r="K1658" s="81"/>
      <c r="L1658" s="673">
        <v>3066</v>
      </c>
      <c r="M1658" s="81" t="str">
        <f>+IFERROR(VLOOKUP(L1658,DATA!$G$4:$H$2000,2,FALSE),"")</f>
        <v>МСҮТөв</v>
      </c>
      <c r="N1658" s="166"/>
      <c r="O1658" s="81" t="str">
        <f>IFERROR(VLOOKUP(N1658,DATA!$K$4:$L$51,2,FALSE),"")</f>
        <v/>
      </c>
      <c r="P1658" s="81"/>
      <c r="Q1658" s="152">
        <f t="shared" si="162"/>
        <v>0</v>
      </c>
    </row>
    <row r="1659" spans="2:17">
      <c r="B1659" s="670">
        <f t="shared" si="164"/>
        <v>1654</v>
      </c>
      <c r="C1659" s="601">
        <v>42968</v>
      </c>
      <c r="D1659" s="683" t="s">
        <v>587</v>
      </c>
      <c r="E1659" s="572">
        <v>510000</v>
      </c>
      <c r="F1659" s="672" t="str">
        <f>IFERROR(VLOOKUP(E1659,STAT1!$C$4:$D$8000,2,FALSE),"")</f>
        <v>Үндсэн үйл ажиллагааны борлуулалт</v>
      </c>
      <c r="G1659" s="377"/>
      <c r="H1659" s="377">
        <v>859090.9068</v>
      </c>
      <c r="I1659" s="596">
        <f t="shared" si="161"/>
        <v>0</v>
      </c>
      <c r="J1659" s="81">
        <f t="shared" si="163"/>
        <v>0</v>
      </c>
      <c r="K1659" s="81"/>
      <c r="L1659" s="673">
        <v>3066</v>
      </c>
      <c r="M1659" s="81" t="str">
        <f>+IFERROR(VLOOKUP(L1659,DATA!$G$4:$H$2000,2,FALSE),"")</f>
        <v>МСҮТөв</v>
      </c>
      <c r="N1659" s="166"/>
      <c r="O1659" s="81" t="str">
        <f>IFERROR(VLOOKUP(N1659,DATA!$K$4:$L$51,2,FALSE),"")</f>
        <v/>
      </c>
      <c r="P1659" s="81"/>
      <c r="Q1659" s="152">
        <f t="shared" si="162"/>
        <v>0</v>
      </c>
    </row>
    <row r="1660" spans="2:17">
      <c r="B1660" s="670">
        <f t="shared" si="164"/>
        <v>1655</v>
      </c>
      <c r="C1660" s="601">
        <v>42968</v>
      </c>
      <c r="D1660" s="683" t="s">
        <v>587</v>
      </c>
      <c r="E1660" s="572">
        <v>320100</v>
      </c>
      <c r="F1660" s="672" t="str">
        <f>IFERROR(VLOOKUP(E1660,STAT1!$C$4:$D$8000,2,FALSE),"")</f>
        <v>Урьдчилж орсон орлого MNT</v>
      </c>
      <c r="G1660" s="377">
        <v>944999.99748000002</v>
      </c>
      <c r="H1660" s="377"/>
      <c r="I1660" s="596">
        <f t="shared" si="161"/>
        <v>0</v>
      </c>
      <c r="J1660" s="81">
        <f t="shared" si="163"/>
        <v>0</v>
      </c>
      <c r="K1660" s="81"/>
      <c r="L1660" s="673">
        <v>3066</v>
      </c>
      <c r="M1660" s="81" t="str">
        <f>+IFERROR(VLOOKUP(L1660,DATA!$G$4:$H$2000,2,FALSE),"")</f>
        <v>МСҮТөв</v>
      </c>
      <c r="N1660" s="166"/>
      <c r="O1660" s="81" t="str">
        <f>IFERROR(VLOOKUP(N1660,DATA!$K$4:$L$51,2,FALSE),"")</f>
        <v/>
      </c>
      <c r="P1660" s="81"/>
      <c r="Q1660" s="152">
        <f t="shared" si="162"/>
        <v>0</v>
      </c>
    </row>
    <row r="1661" spans="2:17">
      <c r="B1661" s="670">
        <f t="shared" si="164"/>
        <v>1656</v>
      </c>
      <c r="C1661" s="601">
        <v>42968</v>
      </c>
      <c r="D1661" s="683" t="s">
        <v>2698</v>
      </c>
      <c r="E1661" s="573">
        <v>150101</v>
      </c>
      <c r="F1661" s="672" t="str">
        <f>IFERROR(VLOOKUP(E1661,STAT1!$C$4:$D$8000,2,FALSE),"")</f>
        <v>Бараа бэлэн бүтээгдэхүүн БОЛОВСРУУЛАХ ЦЕХ /нарс/</v>
      </c>
      <c r="G1661" s="377"/>
      <c r="H1661" s="377">
        <v>265655.93849823618</v>
      </c>
      <c r="I1661" s="596">
        <f t="shared" si="161"/>
        <v>0</v>
      </c>
      <c r="J1661" s="81">
        <f t="shared" si="163"/>
        <v>0</v>
      </c>
      <c r="K1661" s="81"/>
      <c r="L1661" s="673">
        <v>3006</v>
      </c>
      <c r="M1661" s="81" t="str">
        <f>+IFERROR(VLOOKUP(L1661,DATA!$G$4:$H$2000,2,FALSE),"")</f>
        <v xml:space="preserve">ПАЙОНЕРИНГ ИНТЕРНЭШНЛ ХХК </v>
      </c>
      <c r="N1661" s="166"/>
      <c r="O1661" s="81" t="str">
        <f>IFERROR(VLOOKUP(N1661,DATA!$K$4:$L$51,2,FALSE),"")</f>
        <v/>
      </c>
      <c r="P1661" s="81"/>
      <c r="Q1661" s="152">
        <f t="shared" si="162"/>
        <v>0</v>
      </c>
    </row>
    <row r="1662" spans="2:17">
      <c r="B1662" s="670">
        <f t="shared" si="164"/>
        <v>1657</v>
      </c>
      <c r="C1662" s="601">
        <v>42968</v>
      </c>
      <c r="D1662" s="683" t="s">
        <v>587</v>
      </c>
      <c r="E1662" s="572">
        <v>610100</v>
      </c>
      <c r="F1662" s="672" t="str">
        <f>IFERROR(VLOOKUP(E1662,STAT1!$C$4:$D$8000,2,FALSE),"")</f>
        <v>Борлуулсан барааны өртөг</v>
      </c>
      <c r="G1662" s="377">
        <v>265655.93849823618</v>
      </c>
      <c r="H1662" s="377"/>
      <c r="I1662" s="596">
        <f t="shared" si="161"/>
        <v>0</v>
      </c>
      <c r="J1662" s="81">
        <f t="shared" si="163"/>
        <v>0</v>
      </c>
      <c r="K1662" s="81"/>
      <c r="L1662" s="673">
        <v>3006</v>
      </c>
      <c r="M1662" s="81" t="str">
        <f>+IFERROR(VLOOKUP(L1662,DATA!$G$4:$H$2000,2,FALSE),"")</f>
        <v xml:space="preserve">ПАЙОНЕРИНГ ИНТЕРНЭШНЛ ХХК </v>
      </c>
      <c r="N1662" s="166"/>
      <c r="O1662" s="81" t="str">
        <f>IFERROR(VLOOKUP(N1662,DATA!$K$4:$L$51,2,FALSE),"")</f>
        <v/>
      </c>
      <c r="P1662" s="81"/>
      <c r="Q1662" s="152">
        <f t="shared" si="162"/>
        <v>0</v>
      </c>
    </row>
    <row r="1663" spans="2:17">
      <c r="B1663" s="670">
        <f t="shared" ref="B1663" si="165">+IF(C1663="","",ROW()-5)</f>
        <v>1658</v>
      </c>
      <c r="C1663" s="601">
        <v>42968</v>
      </c>
      <c r="D1663" s="683" t="s">
        <v>587</v>
      </c>
      <c r="E1663" s="572">
        <v>310500</v>
      </c>
      <c r="F1663" s="672" t="str">
        <f>IFERROR(VLOOKUP(E1663,STAT1!$C$4:$D$8000,2,FALSE),"")</f>
        <v>НӨАТ өглөг</v>
      </c>
      <c r="G1663" s="377"/>
      <c r="H1663" s="377">
        <v>43243.636235799997</v>
      </c>
      <c r="I1663" s="596">
        <f t="shared" si="161"/>
        <v>0</v>
      </c>
      <c r="J1663" s="81">
        <f t="shared" si="163"/>
        <v>0</v>
      </c>
      <c r="K1663" s="81"/>
      <c r="L1663" s="673">
        <v>3006</v>
      </c>
      <c r="M1663" s="81" t="str">
        <f>+IFERROR(VLOOKUP(L1663,DATA!$G$4:$H$2000,2,FALSE),"")</f>
        <v xml:space="preserve">ПАЙОНЕРИНГ ИНТЕРНЭШНЛ ХХК </v>
      </c>
      <c r="N1663" s="166"/>
      <c r="O1663" s="81" t="str">
        <f>IFERROR(VLOOKUP(N1663,DATA!$K$4:$L$51,2,FALSE),"")</f>
        <v/>
      </c>
      <c r="P1663" s="81"/>
      <c r="Q1663" s="152">
        <f t="shared" si="162"/>
        <v>0</v>
      </c>
    </row>
    <row r="1664" spans="2:17">
      <c r="B1664" s="670">
        <f t="shared" si="164"/>
        <v>1659</v>
      </c>
      <c r="C1664" s="601">
        <v>42968</v>
      </c>
      <c r="D1664" s="683" t="s">
        <v>587</v>
      </c>
      <c r="E1664" s="572">
        <v>510000</v>
      </c>
      <c r="F1664" s="672" t="str">
        <f>IFERROR(VLOOKUP(E1664,STAT1!$C$4:$D$8000,2,FALSE),"")</f>
        <v>Үндсэн үйл ажиллагааны борлуулалт</v>
      </c>
      <c r="G1664" s="377"/>
      <c r="H1664" s="377">
        <v>432436.36235799995</v>
      </c>
      <c r="I1664" s="596">
        <f t="shared" si="161"/>
        <v>0</v>
      </c>
      <c r="J1664" s="81">
        <f t="shared" si="163"/>
        <v>0</v>
      </c>
      <c r="K1664" s="81"/>
      <c r="L1664" s="673">
        <v>3006</v>
      </c>
      <c r="M1664" s="81" t="str">
        <f>+IFERROR(VLOOKUP(L1664,DATA!$G$4:$H$2000,2,FALSE),"")</f>
        <v xml:space="preserve">ПАЙОНЕРИНГ ИНТЕРНЭШНЛ ХХК </v>
      </c>
      <c r="N1664" s="166"/>
      <c r="O1664" s="81" t="str">
        <f>IFERROR(VLOOKUP(N1664,DATA!$K$4:$L$51,2,FALSE),"")</f>
        <v/>
      </c>
      <c r="P1664" s="81"/>
      <c r="Q1664" s="152">
        <f t="shared" si="162"/>
        <v>0</v>
      </c>
    </row>
    <row r="1665" spans="2:17">
      <c r="B1665" s="670">
        <f t="shared" ref="B1665" si="166">+IF(C1665="","",ROW()-5)</f>
        <v>1660</v>
      </c>
      <c r="C1665" s="601">
        <v>42968</v>
      </c>
      <c r="D1665" s="683" t="s">
        <v>587</v>
      </c>
      <c r="E1665" s="572">
        <v>320100</v>
      </c>
      <c r="F1665" s="672" t="str">
        <f>IFERROR(VLOOKUP(E1665,STAT1!$C$4:$D$8000,2,FALSE),"")</f>
        <v>Урьдчилж орсон орлого MNT</v>
      </c>
      <c r="G1665" s="377">
        <v>475679.99859379994</v>
      </c>
      <c r="H1665" s="377"/>
      <c r="I1665" s="596">
        <f t="shared" si="161"/>
        <v>0</v>
      </c>
      <c r="J1665" s="81">
        <f t="shared" si="163"/>
        <v>0</v>
      </c>
      <c r="K1665" s="81"/>
      <c r="L1665" s="673">
        <v>3006</v>
      </c>
      <c r="M1665" s="81" t="str">
        <f>+IFERROR(VLOOKUP(L1665,DATA!$G$4:$H$2000,2,FALSE),"")</f>
        <v xml:space="preserve">ПАЙОНЕРИНГ ИНТЕРНЭШНЛ ХХК </v>
      </c>
      <c r="N1665" s="166"/>
      <c r="O1665" s="81" t="str">
        <f>IFERROR(VLOOKUP(N1665,DATA!$K$4:$L$51,2,FALSE),"")</f>
        <v/>
      </c>
      <c r="P1665" s="81"/>
      <c r="Q1665" s="152">
        <f t="shared" si="162"/>
        <v>0</v>
      </c>
    </row>
    <row r="1666" spans="2:17">
      <c r="B1666" s="670">
        <f t="shared" ref="B1666" si="167">+IF(C1666="","",ROW()-5)</f>
        <v>1661</v>
      </c>
      <c r="C1666" s="433">
        <v>42969</v>
      </c>
      <c r="D1666" s="598" t="s">
        <v>1741</v>
      </c>
      <c r="E1666" s="572">
        <v>110100</v>
      </c>
      <c r="F1666" s="672" t="str">
        <f>IFERROR(VLOOKUP(E1666,STAT1!$C$4:$D$1000,2,FALSE),"")</f>
        <v>Хаан Банк 5024654020</v>
      </c>
      <c r="G1666" s="377">
        <v>608800</v>
      </c>
      <c r="H1666" s="377"/>
      <c r="I1666" s="596">
        <f t="shared" si="161"/>
        <v>608800</v>
      </c>
      <c r="J1666" s="81">
        <f t="shared" si="163"/>
        <v>0</v>
      </c>
      <c r="K1666" s="81"/>
      <c r="L1666" s="597">
        <v>3084</v>
      </c>
      <c r="M1666" s="81" t="str">
        <f>+IFERROR(VLOOKUP(L1666,DATA!$G$4:$H$2000,2,FALSE),"")</f>
        <v xml:space="preserve">ТОРГО ЗАГВАР </v>
      </c>
      <c r="N1666" s="435">
        <v>41</v>
      </c>
      <c r="O1666" s="81" t="str">
        <f>IFERROR(VLOOKUP(N1666,DATA!$K$4:$L$51,2,FALSE),"")</f>
        <v>Бараа борлуулсан, үйлчилгээ үзүүлсэний орлого</v>
      </c>
      <c r="P1666" s="81"/>
      <c r="Q1666" s="152">
        <f t="shared" si="162"/>
        <v>1</v>
      </c>
    </row>
    <row r="1667" spans="2:17">
      <c r="B1667" s="670">
        <f t="shared" ref="B1667:B1669" si="168">+IF(C1667="","",ROW()-5)</f>
        <v>1662</v>
      </c>
      <c r="C1667" s="433">
        <v>42969</v>
      </c>
      <c r="D1667" s="598" t="s">
        <v>1741</v>
      </c>
      <c r="E1667" s="572">
        <v>320100</v>
      </c>
      <c r="F1667" s="672" t="str">
        <f>IFERROR(VLOOKUP(E1667,STAT1!$C$4:$D$1000,2,FALSE),"")</f>
        <v>Урьдчилж орсон орлого MNT</v>
      </c>
      <c r="G1667" s="377">
        <v>0</v>
      </c>
      <c r="H1667" s="377">
        <v>608800</v>
      </c>
      <c r="I1667" s="596">
        <f t="shared" si="161"/>
        <v>0</v>
      </c>
      <c r="J1667" s="81">
        <f t="shared" si="163"/>
        <v>0</v>
      </c>
      <c r="K1667" s="81"/>
      <c r="L1667" s="597">
        <v>3084</v>
      </c>
      <c r="M1667" s="81" t="str">
        <f>+IFERROR(VLOOKUP(L1667,DATA!$G$4:$H$2000,2,FALSE),"")</f>
        <v xml:space="preserve">ТОРГО ЗАГВАР </v>
      </c>
      <c r="N1667" s="435"/>
      <c r="O1667" s="81" t="str">
        <f>IFERROR(VLOOKUP(N1667,DATA!$K$4:$L$51,2,FALSE),"")</f>
        <v/>
      </c>
      <c r="P1667" s="81"/>
      <c r="Q1667" s="152">
        <f t="shared" si="162"/>
        <v>0</v>
      </c>
    </row>
    <row r="1668" spans="2:17">
      <c r="B1668" s="670">
        <f t="shared" si="168"/>
        <v>1663</v>
      </c>
      <c r="C1668" s="433">
        <v>42969</v>
      </c>
      <c r="D1668" s="377" t="s">
        <v>1640</v>
      </c>
      <c r="E1668" s="572">
        <v>160100</v>
      </c>
      <c r="F1668" s="672" t="str">
        <f>IFERROR(VLOOKUP(E1668,STAT1!$C$4:$D$8000,2,FALSE),"")</f>
        <v xml:space="preserve">Барилгын материал </v>
      </c>
      <c r="G1668" s="377">
        <v>1176000</v>
      </c>
      <c r="H1668" s="377"/>
      <c r="I1668" s="596">
        <f t="shared" si="161"/>
        <v>0</v>
      </c>
      <c r="J1668" s="81">
        <f t="shared" ref="J1668:J1699" si="169">+IF(E1668=110102,I1668/K1668,0)</f>
        <v>0</v>
      </c>
      <c r="K1668" s="81"/>
      <c r="L1668" s="597">
        <v>3017</v>
      </c>
      <c r="M1668" s="81" t="str">
        <f>+IFERROR(VLOOKUP(L1668,DATA!$G$4:$H$2000,2,FALSE),"")</f>
        <v xml:space="preserve">ВОС ХХК </v>
      </c>
      <c r="N1668" s="166"/>
      <c r="O1668" s="81" t="str">
        <f>IFERROR(VLOOKUP(N1668,DATA!$K$4:$L$51,2,FALSE),"")</f>
        <v/>
      </c>
      <c r="P1668" s="81"/>
      <c r="Q1668" s="152">
        <f t="shared" si="162"/>
        <v>0</v>
      </c>
    </row>
    <row r="1669" spans="2:17">
      <c r="B1669" s="670">
        <f t="shared" si="168"/>
        <v>1664</v>
      </c>
      <c r="C1669" s="433">
        <v>42969</v>
      </c>
      <c r="D1669" s="377" t="s">
        <v>1637</v>
      </c>
      <c r="E1669" s="572">
        <v>120600</v>
      </c>
      <c r="F1669" s="672" t="str">
        <f>IFERROR(VLOOKUP(E1669,STAT1!$C$4:$D$8000,2,FALSE),"")</f>
        <v>НӨАТ авлага</v>
      </c>
      <c r="G1669" s="377">
        <v>117600</v>
      </c>
      <c r="H1669" s="377"/>
      <c r="I1669" s="596">
        <f t="shared" si="161"/>
        <v>0</v>
      </c>
      <c r="J1669" s="81">
        <f t="shared" si="169"/>
        <v>0</v>
      </c>
      <c r="K1669" s="81"/>
      <c r="L1669" s="597">
        <v>3017</v>
      </c>
      <c r="M1669" s="81" t="str">
        <f>+IFERROR(VLOOKUP(L1669,DATA!$G$4:$H$2000,2,FALSE),"")</f>
        <v xml:space="preserve">ВОС ХХК </v>
      </c>
      <c r="N1669" s="166"/>
      <c r="O1669" s="81" t="str">
        <f>IFERROR(VLOOKUP(N1669,DATA!$K$4:$L$51,2,FALSE),"")</f>
        <v/>
      </c>
      <c r="P1669" s="81"/>
      <c r="Q1669" s="152">
        <f t="shared" si="162"/>
        <v>0</v>
      </c>
    </row>
    <row r="1670" spans="2:17">
      <c r="B1670" s="670">
        <f t="shared" ref="B1670:B1671" si="170">+IF(C1670="","",ROW()-5)</f>
        <v>1665</v>
      </c>
      <c r="C1670" s="433">
        <v>42969</v>
      </c>
      <c r="D1670" s="377" t="s">
        <v>1652</v>
      </c>
      <c r="E1670" s="572">
        <v>120100</v>
      </c>
      <c r="F1670" s="672" t="str">
        <f>IFERROR(VLOOKUP(E1670,STAT1!$C$4:$D$8000,2,FALSE),"")</f>
        <v xml:space="preserve">Дансны авлага MNT </v>
      </c>
      <c r="G1670" s="377"/>
      <c r="H1670" s="377">
        <v>1293600</v>
      </c>
      <c r="I1670" s="596">
        <f t="shared" ref="I1670:I1733" si="171">+IF(OR(E1670=100100,E1670=100200,E1670=110100,E1670=110102,E1670=110103,E1670=110104,E1670=110105,E1670=110200,E1670=110201,E1670=110202,E1670=110203,E1670=110204,E1670=110300),G1670,0)+IF(OR(E1670=100100,E1670=100200,E1670=110100,E1670=110102,E1670=110103,E1670=110104,E1670=110105,E1670=110200,E1670=110201,E1670=110202,E1670=110203,E1670=110204,E1670=110300),H1670*-1,0)</f>
        <v>0</v>
      </c>
      <c r="J1670" s="81">
        <f t="shared" si="169"/>
        <v>0</v>
      </c>
      <c r="K1670" s="81"/>
      <c r="L1670" s="597">
        <v>3017</v>
      </c>
      <c r="M1670" s="81" t="str">
        <f>+IFERROR(VLOOKUP(L1670,DATA!$G$4:$H$2000,2,FALSE),"")</f>
        <v xml:space="preserve">ВОС ХХК </v>
      </c>
      <c r="N1670" s="166"/>
      <c r="O1670" s="81" t="str">
        <f>IFERROR(VLOOKUP(N1670,DATA!$K$4:$L$51,2,FALSE),"")</f>
        <v/>
      </c>
      <c r="P1670" s="81"/>
      <c r="Q1670" s="152">
        <f t="shared" si="162"/>
        <v>0</v>
      </c>
    </row>
    <row r="1671" spans="2:17">
      <c r="B1671" s="670">
        <f t="shared" si="170"/>
        <v>1666</v>
      </c>
      <c r="C1671" s="433">
        <v>42970</v>
      </c>
      <c r="D1671" s="598" t="s">
        <v>1714</v>
      </c>
      <c r="E1671" s="572">
        <v>700700</v>
      </c>
      <c r="F1671" s="672" t="str">
        <f>IFERROR(VLOOKUP(E1671,STAT1!$C$4:$D$8000,2,FALSE),"")</f>
        <v>Цахилгаан эрчим хүч</v>
      </c>
      <c r="G1671" s="377">
        <v>1466664.54</v>
      </c>
      <c r="H1671" s="377">
        <v>0</v>
      </c>
      <c r="I1671" s="596">
        <f t="shared" si="171"/>
        <v>0</v>
      </c>
      <c r="J1671" s="81">
        <f t="shared" si="169"/>
        <v>0</v>
      </c>
      <c r="K1671" s="81"/>
      <c r="L1671" s="597">
        <v>2003</v>
      </c>
      <c r="M1671" s="81" t="str">
        <f>+IFERROR(VLOOKUP(L1671,DATA!$G$4:$H$2000,2,FALSE),"")</f>
        <v xml:space="preserve">УБЦТС ТӨХК </v>
      </c>
      <c r="N1671" s="435"/>
      <c r="O1671" s="81" t="str">
        <f>IFERROR(VLOOKUP(N1671,DATA!$K$4:$L$51,2,FALSE),"")</f>
        <v/>
      </c>
      <c r="P1671" s="81"/>
      <c r="Q1671" s="152">
        <f t="shared" ref="Q1671:Q1735" si="172">+IF(I1671,1,0)</f>
        <v>0</v>
      </c>
    </row>
    <row r="1672" spans="2:17">
      <c r="B1672" s="670">
        <f t="shared" si="164"/>
        <v>1667</v>
      </c>
      <c r="C1672" s="433">
        <v>42970</v>
      </c>
      <c r="D1672" s="598" t="s">
        <v>1714</v>
      </c>
      <c r="E1672" s="572">
        <v>120600</v>
      </c>
      <c r="F1672" s="672" t="str">
        <f>IFERROR(VLOOKUP(E1672,STAT1!$C$4:$D$8000,2,FALSE),"")</f>
        <v>НӨАТ авлага</v>
      </c>
      <c r="G1672" s="377">
        <v>146666.46</v>
      </c>
      <c r="H1672" s="377">
        <v>0</v>
      </c>
      <c r="I1672" s="596">
        <f t="shared" si="171"/>
        <v>0</v>
      </c>
      <c r="J1672" s="81">
        <f t="shared" si="169"/>
        <v>0</v>
      </c>
      <c r="K1672" s="81"/>
      <c r="L1672" s="597">
        <v>2003</v>
      </c>
      <c r="M1672" s="81" t="str">
        <f>+IFERROR(VLOOKUP(L1672,DATA!$G$4:$H$2000,2,FALSE),"")</f>
        <v xml:space="preserve">УБЦТС ТӨХК </v>
      </c>
      <c r="N1672" s="435"/>
      <c r="O1672" s="81" t="str">
        <f>IFERROR(VLOOKUP(N1672,DATA!$K$4:$L$51,2,FALSE),"")</f>
        <v/>
      </c>
      <c r="P1672" s="81"/>
      <c r="Q1672" s="152">
        <f t="shared" si="172"/>
        <v>0</v>
      </c>
    </row>
    <row r="1673" spans="2:17">
      <c r="B1673" s="670">
        <f t="shared" si="164"/>
        <v>1668</v>
      </c>
      <c r="C1673" s="433">
        <v>42970</v>
      </c>
      <c r="D1673" s="598" t="s">
        <v>1714</v>
      </c>
      <c r="E1673" s="572">
        <v>110100</v>
      </c>
      <c r="F1673" s="672" t="str">
        <f>IFERROR(VLOOKUP(E1673,STAT1!$C$4:$D$8000,2,FALSE),"")</f>
        <v>Хаан Банк 5024654020</v>
      </c>
      <c r="G1673" s="377"/>
      <c r="H1673" s="377">
        <v>1613331</v>
      </c>
      <c r="I1673" s="596">
        <f t="shared" si="171"/>
        <v>-1613331</v>
      </c>
      <c r="J1673" s="81">
        <f t="shared" si="169"/>
        <v>0</v>
      </c>
      <c r="K1673" s="81"/>
      <c r="L1673" s="597">
        <v>2003</v>
      </c>
      <c r="M1673" s="81" t="str">
        <f>+IFERROR(VLOOKUP(L1673,DATA!$G$4:$H$2000,2,FALSE),"")</f>
        <v xml:space="preserve">УБЦТС ТӨХК </v>
      </c>
      <c r="N1673" s="435">
        <v>54</v>
      </c>
      <c r="O1673" s="81" t="str">
        <f>IFERROR(VLOOKUP(N1673,DATA!$K$4:$L$51,2,FALSE),"")</f>
        <v>Ашиглалтын зардалд төлсөн</v>
      </c>
      <c r="P1673" s="81"/>
      <c r="Q1673" s="152">
        <f t="shared" si="172"/>
        <v>1</v>
      </c>
    </row>
    <row r="1674" spans="2:17">
      <c r="B1674" s="670">
        <f t="shared" si="164"/>
        <v>1669</v>
      </c>
      <c r="C1674" s="433">
        <v>42970</v>
      </c>
      <c r="D1674" s="598" t="s">
        <v>1715</v>
      </c>
      <c r="E1674" s="572">
        <v>700900</v>
      </c>
      <c r="F1674" s="672" t="str">
        <f>IFERROR(VLOOKUP(E1674,STAT1!$C$4:$D$8000,2,FALSE),"")</f>
        <v>Уур, ус</v>
      </c>
      <c r="G1674" s="377">
        <v>109158</v>
      </c>
      <c r="H1674" s="377">
        <v>0</v>
      </c>
      <c r="I1674" s="596">
        <f t="shared" si="171"/>
        <v>0</v>
      </c>
      <c r="J1674" s="81">
        <f t="shared" si="169"/>
        <v>0</v>
      </c>
      <c r="K1674" s="81"/>
      <c r="L1674" s="597">
        <v>2005</v>
      </c>
      <c r="M1674" s="81" t="str">
        <f>+IFERROR(VLOOKUP(L1674,DATA!$G$4:$H$2000,2,FALSE),"")</f>
        <v xml:space="preserve">УСУГ ТӨХК </v>
      </c>
      <c r="N1674" s="435"/>
      <c r="O1674" s="81" t="str">
        <f>IFERROR(VLOOKUP(N1674,DATA!$K$4:$L$51,2,FALSE),"")</f>
        <v/>
      </c>
      <c r="P1674" s="81"/>
      <c r="Q1674" s="152">
        <f t="shared" si="172"/>
        <v>0</v>
      </c>
    </row>
    <row r="1675" spans="2:17">
      <c r="B1675" s="670">
        <f t="shared" si="164"/>
        <v>1670</v>
      </c>
      <c r="C1675" s="433">
        <v>42970</v>
      </c>
      <c r="D1675" s="598" t="s">
        <v>1715</v>
      </c>
      <c r="E1675" s="572">
        <v>120600</v>
      </c>
      <c r="F1675" s="672" t="str">
        <f>IFERROR(VLOOKUP(E1675,STAT1!$C$4:$D$8000,2,FALSE),"")</f>
        <v>НӨАТ авлага</v>
      </c>
      <c r="G1675" s="377">
        <v>10873</v>
      </c>
      <c r="H1675" s="377">
        <v>0</v>
      </c>
      <c r="I1675" s="596">
        <f t="shared" si="171"/>
        <v>0</v>
      </c>
      <c r="J1675" s="81">
        <f t="shared" si="169"/>
        <v>0</v>
      </c>
      <c r="K1675" s="81"/>
      <c r="L1675" s="597">
        <v>2005</v>
      </c>
      <c r="M1675" s="81" t="str">
        <f>+IFERROR(VLOOKUP(L1675,DATA!$G$4:$H$2000,2,FALSE),"")</f>
        <v xml:space="preserve">УСУГ ТӨХК </v>
      </c>
      <c r="N1675" s="435"/>
      <c r="O1675" s="81" t="str">
        <f>IFERROR(VLOOKUP(N1675,DATA!$K$4:$L$51,2,FALSE),"")</f>
        <v/>
      </c>
      <c r="P1675" s="81"/>
      <c r="Q1675" s="152">
        <f t="shared" si="172"/>
        <v>0</v>
      </c>
    </row>
    <row r="1676" spans="2:17">
      <c r="B1676" s="670">
        <f t="shared" si="164"/>
        <v>1671</v>
      </c>
      <c r="C1676" s="433">
        <v>42970</v>
      </c>
      <c r="D1676" s="598" t="s">
        <v>1715</v>
      </c>
      <c r="E1676" s="572">
        <v>110100</v>
      </c>
      <c r="F1676" s="672" t="str">
        <f>IFERROR(VLOOKUP(E1676,STAT1!$C$4:$D$8000,2,FALSE),"")</f>
        <v>Хаан Банк 5024654020</v>
      </c>
      <c r="G1676" s="377"/>
      <c r="H1676" s="377">
        <v>120031</v>
      </c>
      <c r="I1676" s="596">
        <f t="shared" si="171"/>
        <v>-120031</v>
      </c>
      <c r="J1676" s="81">
        <f t="shared" si="169"/>
        <v>0</v>
      </c>
      <c r="K1676" s="81"/>
      <c r="L1676" s="597">
        <v>2005</v>
      </c>
      <c r="M1676" s="81" t="str">
        <f>+IFERROR(VLOOKUP(L1676,DATA!$G$4:$H$2000,2,FALSE),"")</f>
        <v xml:space="preserve">УСУГ ТӨХК </v>
      </c>
      <c r="N1676" s="435">
        <v>54</v>
      </c>
      <c r="O1676" s="81" t="str">
        <f>IFERROR(VLOOKUP(N1676,DATA!$K$4:$L$51,2,FALSE),"")</f>
        <v>Ашиглалтын зардалд төлсөн</v>
      </c>
      <c r="P1676" s="81"/>
      <c r="Q1676" s="152">
        <f t="shared" si="172"/>
        <v>1</v>
      </c>
    </row>
    <row r="1677" spans="2:17">
      <c r="B1677" s="670">
        <f t="shared" si="164"/>
        <v>1672</v>
      </c>
      <c r="C1677" s="601">
        <v>42970</v>
      </c>
      <c r="D1677" s="683" t="s">
        <v>2698</v>
      </c>
      <c r="E1677" s="573">
        <v>150101</v>
      </c>
      <c r="F1677" s="672" t="str">
        <f>IFERROR(VLOOKUP(E1677,STAT1!$C$4:$D$8000,2,FALSE),"")</f>
        <v>Бараа бэлэн бүтээгдэхүүн БОЛОВСРУУЛАХ ЦЕХ /нарс/</v>
      </c>
      <c r="G1677" s="377"/>
      <c r="H1677" s="377">
        <v>306849.39035421895</v>
      </c>
      <c r="I1677" s="596">
        <f t="shared" si="171"/>
        <v>0</v>
      </c>
      <c r="J1677" s="81">
        <f t="shared" si="169"/>
        <v>0</v>
      </c>
      <c r="K1677" s="81"/>
      <c r="L1677" s="673">
        <v>3084</v>
      </c>
      <c r="M1677" s="81" t="str">
        <f>+IFERROR(VLOOKUP(L1677,DATA!$G$4:$H$2000,2,FALSE),"")</f>
        <v xml:space="preserve">ТОРГО ЗАГВАР </v>
      </c>
      <c r="N1677" s="166"/>
      <c r="O1677" s="81" t="str">
        <f>IFERROR(VLOOKUP(N1677,DATA!$K$4:$L$51,2,FALSE),"")</f>
        <v/>
      </c>
      <c r="P1677" s="81"/>
      <c r="Q1677" s="152">
        <f t="shared" si="172"/>
        <v>0</v>
      </c>
    </row>
    <row r="1678" spans="2:17">
      <c r="B1678" s="670">
        <f t="shared" si="164"/>
        <v>1673</v>
      </c>
      <c r="C1678" s="601">
        <v>42970</v>
      </c>
      <c r="D1678" s="683" t="s">
        <v>1659</v>
      </c>
      <c r="E1678" s="572">
        <v>610100</v>
      </c>
      <c r="F1678" s="672" t="str">
        <f>IFERROR(VLOOKUP(E1678,STAT1!$C$4:$D$8000,2,FALSE),"")</f>
        <v>Борлуулсан барааны өртөг</v>
      </c>
      <c r="G1678" s="377">
        <v>306849.39035421895</v>
      </c>
      <c r="H1678" s="377"/>
      <c r="I1678" s="596">
        <f t="shared" si="171"/>
        <v>0</v>
      </c>
      <c r="J1678" s="81">
        <f t="shared" si="169"/>
        <v>0</v>
      </c>
      <c r="K1678" s="81"/>
      <c r="L1678" s="673">
        <v>3084</v>
      </c>
      <c r="M1678" s="81" t="str">
        <f>+IFERROR(VLOOKUP(L1678,DATA!$G$4:$H$2000,2,FALSE),"")</f>
        <v xml:space="preserve">ТОРГО ЗАГВАР </v>
      </c>
      <c r="N1678" s="166"/>
      <c r="O1678" s="81" t="str">
        <f>IFERROR(VLOOKUP(N1678,DATA!$K$4:$L$51,2,FALSE),"")</f>
        <v/>
      </c>
      <c r="P1678" s="81"/>
      <c r="Q1678" s="152">
        <f t="shared" si="172"/>
        <v>0</v>
      </c>
    </row>
    <row r="1679" spans="2:17">
      <c r="B1679" s="670">
        <f t="shared" si="164"/>
        <v>1674</v>
      </c>
      <c r="C1679" s="601">
        <v>42970</v>
      </c>
      <c r="D1679" s="683" t="s">
        <v>587</v>
      </c>
      <c r="E1679" s="572">
        <v>310500</v>
      </c>
      <c r="F1679" s="672" t="str">
        <f>IFERROR(VLOOKUP(E1679,STAT1!$C$4:$D$8000,2,FALSE),"")</f>
        <v>НӨАТ өглөг</v>
      </c>
      <c r="G1679" s="377"/>
      <c r="H1679" s="377">
        <v>55345.454511599994</v>
      </c>
      <c r="I1679" s="596">
        <f t="shared" si="171"/>
        <v>0</v>
      </c>
      <c r="J1679" s="81">
        <f t="shared" si="169"/>
        <v>0</v>
      </c>
      <c r="K1679" s="81"/>
      <c r="L1679" s="673">
        <v>3084</v>
      </c>
      <c r="M1679" s="81" t="str">
        <f>+IFERROR(VLOOKUP(L1679,DATA!$G$4:$H$2000,2,FALSE),"")</f>
        <v xml:space="preserve">ТОРГО ЗАГВАР </v>
      </c>
      <c r="N1679" s="166"/>
      <c r="O1679" s="81" t="str">
        <f>IFERROR(VLOOKUP(N1679,DATA!$K$4:$L$51,2,FALSE),"")</f>
        <v/>
      </c>
      <c r="P1679" s="81"/>
      <c r="Q1679" s="152">
        <f t="shared" si="172"/>
        <v>0</v>
      </c>
    </row>
    <row r="1680" spans="2:17">
      <c r="B1680" s="670">
        <f t="shared" si="164"/>
        <v>1675</v>
      </c>
      <c r="C1680" s="601">
        <v>42970</v>
      </c>
      <c r="D1680" s="683" t="s">
        <v>587</v>
      </c>
      <c r="E1680" s="572">
        <v>510000</v>
      </c>
      <c r="F1680" s="672" t="str">
        <f>IFERROR(VLOOKUP(E1680,STAT1!$C$4:$D$8000,2,FALSE),"")</f>
        <v>Үндсэн үйл ажиллагааны борлуулалт</v>
      </c>
      <c r="G1680" s="377"/>
      <c r="H1680" s="377">
        <v>553454.55000000005</v>
      </c>
      <c r="I1680" s="596">
        <f t="shared" si="171"/>
        <v>0</v>
      </c>
      <c r="J1680" s="81">
        <f t="shared" si="169"/>
        <v>0</v>
      </c>
      <c r="K1680" s="81"/>
      <c r="L1680" s="673">
        <v>3084</v>
      </c>
      <c r="M1680" s="81" t="str">
        <f>+IFERROR(VLOOKUP(L1680,DATA!$G$4:$H$2000,2,FALSE),"")</f>
        <v xml:space="preserve">ТОРГО ЗАГВАР </v>
      </c>
      <c r="N1680" s="166"/>
      <c r="O1680" s="81" t="str">
        <f>IFERROR(VLOOKUP(N1680,DATA!$K$4:$L$51,2,FALSE),"")</f>
        <v/>
      </c>
      <c r="P1680" s="81"/>
      <c r="Q1680" s="152">
        <f t="shared" si="172"/>
        <v>0</v>
      </c>
    </row>
    <row r="1681" spans="2:17">
      <c r="B1681" s="670">
        <f t="shared" si="164"/>
        <v>1676</v>
      </c>
      <c r="C1681" s="601">
        <v>42970</v>
      </c>
      <c r="D1681" s="683" t="s">
        <v>587</v>
      </c>
      <c r="E1681" s="572">
        <v>320100</v>
      </c>
      <c r="F1681" s="672" t="str">
        <f>IFERROR(VLOOKUP(E1681,STAT1!$C$4:$D$8000,2,FALSE),"")</f>
        <v>Урьдчилж орсон орлого MNT</v>
      </c>
      <c r="G1681" s="377">
        <v>608800</v>
      </c>
      <c r="H1681" s="377"/>
      <c r="I1681" s="596">
        <f t="shared" si="171"/>
        <v>0</v>
      </c>
      <c r="J1681" s="81">
        <f t="shared" si="169"/>
        <v>0</v>
      </c>
      <c r="K1681" s="81"/>
      <c r="L1681" s="673">
        <v>3084</v>
      </c>
      <c r="M1681" s="81" t="str">
        <f>+IFERROR(VLOOKUP(L1681,DATA!$G$4:$H$2000,2,FALSE),"")</f>
        <v xml:space="preserve">ТОРГО ЗАГВАР </v>
      </c>
      <c r="N1681" s="166"/>
      <c r="O1681" s="81" t="str">
        <f>IFERROR(VLOOKUP(N1681,DATA!$K$4:$L$51,2,FALSE),"")</f>
        <v/>
      </c>
      <c r="P1681" s="81"/>
      <c r="Q1681" s="152">
        <f t="shared" si="172"/>
        <v>0</v>
      </c>
    </row>
    <row r="1682" spans="2:17">
      <c r="B1682" s="670">
        <f t="shared" si="164"/>
        <v>1677</v>
      </c>
      <c r="C1682" s="433">
        <v>42971</v>
      </c>
      <c r="D1682" s="377" t="s">
        <v>1728</v>
      </c>
      <c r="E1682" s="572">
        <v>100100</v>
      </c>
      <c r="F1682" s="672" t="str">
        <f>IFERROR(VLOOKUP(E1682,STAT1!$C$4:$D$1000,2,FALSE),"")</f>
        <v>Касс мөнгө MNT</v>
      </c>
      <c r="G1682" s="377"/>
      <c r="H1682" s="377">
        <v>1293600</v>
      </c>
      <c r="I1682" s="596">
        <f t="shared" si="171"/>
        <v>-1293600</v>
      </c>
      <c r="J1682" s="81">
        <f t="shared" si="169"/>
        <v>0</v>
      </c>
      <c r="K1682" s="81"/>
      <c r="L1682" s="597">
        <v>3017</v>
      </c>
      <c r="M1682" s="81" t="str">
        <f>+IFERROR(VLOOKUP(L1682,DATA!$G$4:$H$2000,2,FALSE),"")</f>
        <v xml:space="preserve">ВОС ХХК </v>
      </c>
      <c r="N1682" s="435">
        <v>53</v>
      </c>
      <c r="O1682" s="81" t="str">
        <f>IFERROR(VLOOKUP(N1682,DATA!$K$4:$L$51,2,FALSE),"")</f>
        <v>Бараа материал худалдан авахад төлсөн</v>
      </c>
      <c r="P1682" s="81"/>
      <c r="Q1682" s="152">
        <f t="shared" si="172"/>
        <v>1</v>
      </c>
    </row>
    <row r="1683" spans="2:17">
      <c r="B1683" s="670">
        <f t="shared" si="164"/>
        <v>1678</v>
      </c>
      <c r="C1683" s="433">
        <v>42971</v>
      </c>
      <c r="D1683" s="377" t="s">
        <v>1728</v>
      </c>
      <c r="E1683" s="572">
        <v>120100</v>
      </c>
      <c r="F1683" s="672" t="str">
        <f>IFERROR(VLOOKUP(E1683,STAT1!$C$4:$D$1000,2,FALSE),"")</f>
        <v xml:space="preserve">Дансны авлага MNT </v>
      </c>
      <c r="G1683" s="377">
        <v>1293600</v>
      </c>
      <c r="H1683" s="377">
        <v>0</v>
      </c>
      <c r="I1683" s="596">
        <f t="shared" si="171"/>
        <v>0</v>
      </c>
      <c r="J1683" s="81">
        <f t="shared" si="169"/>
        <v>0</v>
      </c>
      <c r="K1683" s="81"/>
      <c r="L1683" s="597">
        <v>3017</v>
      </c>
      <c r="M1683" s="81" t="str">
        <f>+IFERROR(VLOOKUP(L1683,DATA!$G$4:$H$2000,2,FALSE),"")</f>
        <v xml:space="preserve">ВОС ХХК </v>
      </c>
      <c r="N1683" s="435"/>
      <c r="O1683" s="81" t="str">
        <f>IFERROR(VLOOKUP(N1683,DATA!$K$4:$L$51,2,FALSE),"")</f>
        <v/>
      </c>
      <c r="P1683" s="81"/>
      <c r="Q1683" s="152">
        <f t="shared" si="172"/>
        <v>0</v>
      </c>
    </row>
    <row r="1684" spans="2:17">
      <c r="B1684" s="670">
        <f t="shared" si="164"/>
        <v>1679</v>
      </c>
      <c r="C1684" s="433">
        <v>42971</v>
      </c>
      <c r="D1684" s="377" t="s">
        <v>1741</v>
      </c>
      <c r="E1684" s="572">
        <v>320100</v>
      </c>
      <c r="F1684" s="672" t="str">
        <f>IFERROR(VLOOKUP(E1684,STAT1!$C$4:$D$1000,2,FALSE),"")</f>
        <v>Урьдчилж орсон орлого MNT</v>
      </c>
      <c r="G1684" s="377"/>
      <c r="H1684" s="377">
        <v>178200</v>
      </c>
      <c r="I1684" s="596">
        <f t="shared" si="171"/>
        <v>0</v>
      </c>
      <c r="J1684" s="81">
        <f t="shared" si="169"/>
        <v>0</v>
      </c>
      <c r="K1684" s="81"/>
      <c r="L1684" s="597">
        <v>3088</v>
      </c>
      <c r="M1684" s="81" t="str">
        <f>+IFERROR(VLOOKUP(L1684,DATA!$G$4:$H$2000,2,FALSE),"")</f>
        <v xml:space="preserve">ОГТОРГУЙН ХУДАГ ХХК </v>
      </c>
      <c r="N1684" s="435"/>
      <c r="O1684" s="81" t="str">
        <f>IFERROR(VLOOKUP(N1684,DATA!$K$4:$L$51,2,FALSE),"")</f>
        <v/>
      </c>
      <c r="P1684" s="81"/>
      <c r="Q1684" s="152">
        <f t="shared" si="172"/>
        <v>0</v>
      </c>
    </row>
    <row r="1685" spans="2:17">
      <c r="B1685" s="670">
        <f t="shared" si="164"/>
        <v>1680</v>
      </c>
      <c r="C1685" s="433">
        <v>42971</v>
      </c>
      <c r="D1685" s="377" t="s">
        <v>1741</v>
      </c>
      <c r="E1685" s="572">
        <v>100100</v>
      </c>
      <c r="F1685" s="672" t="str">
        <f>IFERROR(VLOOKUP(E1685,STAT1!$C$4:$D$1000,2,FALSE),"")</f>
        <v>Касс мөнгө MNT</v>
      </c>
      <c r="G1685" s="377">
        <v>178200</v>
      </c>
      <c r="H1685" s="377">
        <v>0</v>
      </c>
      <c r="I1685" s="596">
        <f t="shared" si="171"/>
        <v>178200</v>
      </c>
      <c r="J1685" s="81">
        <f t="shared" si="169"/>
        <v>0</v>
      </c>
      <c r="K1685" s="81"/>
      <c r="L1685" s="597">
        <v>3088</v>
      </c>
      <c r="M1685" s="81" t="str">
        <f>+IFERROR(VLOOKUP(L1685,DATA!$G$4:$H$2000,2,FALSE),"")</f>
        <v xml:space="preserve">ОГТОРГУЙН ХУДАГ ХХК </v>
      </c>
      <c r="N1685" s="435">
        <v>41</v>
      </c>
      <c r="O1685" s="81" t="str">
        <f>IFERROR(VLOOKUP(N1685,DATA!$K$4:$L$51,2,FALSE),"")</f>
        <v>Бараа борлуулсан, үйлчилгээ үзүүлсэний орлого</v>
      </c>
      <c r="P1685" s="81"/>
      <c r="Q1685" s="152">
        <f t="shared" si="172"/>
        <v>1</v>
      </c>
    </row>
    <row r="1686" spans="2:17">
      <c r="B1686" s="670">
        <f t="shared" si="164"/>
        <v>1681</v>
      </c>
      <c r="C1686" s="433">
        <v>42971</v>
      </c>
      <c r="D1686" s="598" t="s">
        <v>1749</v>
      </c>
      <c r="E1686" s="572">
        <v>100100</v>
      </c>
      <c r="F1686" s="672" t="str">
        <f>IFERROR(VLOOKUP(E1686,STAT1!$C$4:$D$8000,2,FALSE),"")</f>
        <v>Касс мөнгө MNT</v>
      </c>
      <c r="G1686" s="377">
        <v>4000000</v>
      </c>
      <c r="H1686" s="377">
        <v>0</v>
      </c>
      <c r="I1686" s="596">
        <f t="shared" si="171"/>
        <v>4000000</v>
      </c>
      <c r="J1686" s="81">
        <f t="shared" si="169"/>
        <v>0</v>
      </c>
      <c r="K1686" s="81"/>
      <c r="L1686" s="597">
        <v>1004</v>
      </c>
      <c r="M1686" s="81" t="str">
        <f>+IFERROR(VLOOKUP(L1686,DATA!$G$4:$H$2000,2,FALSE),"")</f>
        <v xml:space="preserve">Түмэндэлгэр </v>
      </c>
      <c r="N1686" s="435"/>
      <c r="O1686" s="81" t="str">
        <f>IFERROR(VLOOKUP(N1686,DATA!$K$4:$L$51,2,FALSE),"")</f>
        <v/>
      </c>
      <c r="P1686" s="81"/>
      <c r="Q1686" s="152">
        <f t="shared" si="172"/>
        <v>1</v>
      </c>
    </row>
    <row r="1687" spans="2:17">
      <c r="B1687" s="670">
        <f t="shared" si="164"/>
        <v>1682</v>
      </c>
      <c r="C1687" s="433">
        <v>42971</v>
      </c>
      <c r="D1687" s="598" t="s">
        <v>1749</v>
      </c>
      <c r="E1687" s="572">
        <v>110100</v>
      </c>
      <c r="F1687" s="672" t="str">
        <f>IFERROR(VLOOKUP(E1687,STAT1!$C$4:$D$8000,2,FALSE),"")</f>
        <v>Хаан Банк 5024654020</v>
      </c>
      <c r="G1687" s="377"/>
      <c r="H1687" s="377">
        <v>4000000</v>
      </c>
      <c r="I1687" s="596">
        <f t="shared" si="171"/>
        <v>-4000000</v>
      </c>
      <c r="J1687" s="81">
        <f t="shared" si="169"/>
        <v>0</v>
      </c>
      <c r="K1687" s="81"/>
      <c r="L1687" s="597">
        <v>1004</v>
      </c>
      <c r="M1687" s="81" t="str">
        <f>+IFERROR(VLOOKUP(L1687,DATA!$G$4:$H$2000,2,FALSE),"")</f>
        <v xml:space="preserve">Түмэндэлгэр </v>
      </c>
      <c r="N1687" s="435"/>
      <c r="O1687" s="81" t="str">
        <f>IFERROR(VLOOKUP(N1687,DATA!$K$4:$L$51,2,FALSE),"")</f>
        <v/>
      </c>
      <c r="P1687" s="81"/>
      <c r="Q1687" s="152">
        <f t="shared" si="172"/>
        <v>1</v>
      </c>
    </row>
    <row r="1688" spans="2:17">
      <c r="B1688" s="670">
        <f t="shared" si="164"/>
        <v>1683</v>
      </c>
      <c r="C1688" s="433">
        <v>42971</v>
      </c>
      <c r="D1688" s="598" t="s">
        <v>1750</v>
      </c>
      <c r="E1688" s="572">
        <v>704900</v>
      </c>
      <c r="F1688" s="672" t="str">
        <f>IFERROR(VLOOKUP(E1688,STAT1!$C$4:$D$8000,2,FALSE),"")</f>
        <v>Банкны үйлчилгээ</v>
      </c>
      <c r="G1688" s="377">
        <v>1500</v>
      </c>
      <c r="H1688" s="377">
        <v>0</v>
      </c>
      <c r="I1688" s="596">
        <f t="shared" si="171"/>
        <v>0</v>
      </c>
      <c r="J1688" s="81">
        <f t="shared" si="169"/>
        <v>0</v>
      </c>
      <c r="K1688" s="81"/>
      <c r="L1688" s="597">
        <v>2009</v>
      </c>
      <c r="M1688" s="81" t="str">
        <f>+IFERROR(VLOOKUP(L1688,DATA!$G$4:$H$2000,2,FALSE),"")</f>
        <v>ХААН БАНК</v>
      </c>
      <c r="N1688" s="435"/>
      <c r="O1688" s="81" t="str">
        <f>IFERROR(VLOOKUP(N1688,DATA!$K$4:$L$51,2,FALSE),"")</f>
        <v/>
      </c>
      <c r="P1688" s="81"/>
      <c r="Q1688" s="152">
        <f t="shared" si="172"/>
        <v>0</v>
      </c>
    </row>
    <row r="1689" spans="2:17">
      <c r="B1689" s="670">
        <f t="shared" si="164"/>
        <v>1684</v>
      </c>
      <c r="C1689" s="433">
        <v>42971</v>
      </c>
      <c r="D1689" s="598" t="s">
        <v>1750</v>
      </c>
      <c r="E1689" s="572">
        <v>110100</v>
      </c>
      <c r="F1689" s="672" t="str">
        <f>IFERROR(VLOOKUP(E1689,STAT1!$C$4:$D$8000,2,FALSE),"")</f>
        <v>Хаан Банк 5024654020</v>
      </c>
      <c r="G1689" s="377"/>
      <c r="H1689" s="377">
        <v>1500</v>
      </c>
      <c r="I1689" s="596">
        <f t="shared" si="171"/>
        <v>-1500</v>
      </c>
      <c r="J1689" s="81">
        <f t="shared" si="169"/>
        <v>0</v>
      </c>
      <c r="K1689" s="81"/>
      <c r="L1689" s="597">
        <v>2009</v>
      </c>
      <c r="M1689" s="81" t="str">
        <f>+IFERROR(VLOOKUP(L1689,DATA!$G$4:$H$2000,2,FALSE),"")</f>
        <v>ХААН БАНК</v>
      </c>
      <c r="N1689" s="435">
        <v>59</v>
      </c>
      <c r="O1689" s="81" t="str">
        <f>IFERROR(VLOOKUP(N1689,DATA!$K$4:$L$51,2,FALSE),"")</f>
        <v>Бусад мөнгөн зарлага</v>
      </c>
      <c r="P1689" s="81"/>
      <c r="Q1689" s="152">
        <f t="shared" si="172"/>
        <v>1</v>
      </c>
    </row>
    <row r="1690" spans="2:17">
      <c r="B1690" s="670">
        <f t="shared" si="164"/>
        <v>1685</v>
      </c>
      <c r="C1690" s="601">
        <v>42971</v>
      </c>
      <c r="D1690" s="683" t="s">
        <v>2698</v>
      </c>
      <c r="E1690" s="572">
        <v>610100</v>
      </c>
      <c r="F1690" s="672" t="str">
        <f>IFERROR(VLOOKUP(E1690,STAT1!$C$4:$D$8000,2,FALSE),"")</f>
        <v>Борлуулсан барааны өртөг</v>
      </c>
      <c r="G1690" s="377">
        <v>717846.6829604574</v>
      </c>
      <c r="H1690" s="377"/>
      <c r="I1690" s="596">
        <f t="shared" si="171"/>
        <v>0</v>
      </c>
      <c r="J1690" s="81">
        <f t="shared" si="169"/>
        <v>0</v>
      </c>
      <c r="K1690" s="81"/>
      <c r="L1690" s="673">
        <v>3001</v>
      </c>
      <c r="M1690" s="81" t="str">
        <f>+IFERROR(VLOOKUP(L1690,DATA!$G$4:$H$2000,2,FALSE),"")</f>
        <v>ХУРД ГРУПП ХХК</v>
      </c>
      <c r="N1690" s="166"/>
      <c r="O1690" s="81" t="str">
        <f>IFERROR(VLOOKUP(N1690,DATA!$K$4:$L$51,2,FALSE),"")</f>
        <v/>
      </c>
      <c r="P1690" s="81"/>
      <c r="Q1690" s="152">
        <f t="shared" si="172"/>
        <v>0</v>
      </c>
    </row>
    <row r="1691" spans="2:17">
      <c r="B1691" s="670">
        <f t="shared" si="164"/>
        <v>1686</v>
      </c>
      <c r="C1691" s="601">
        <v>42971</v>
      </c>
      <c r="D1691" s="683" t="s">
        <v>587</v>
      </c>
      <c r="E1691" s="572">
        <v>310500</v>
      </c>
      <c r="F1691" s="672" t="str">
        <f>IFERROR(VLOOKUP(E1691,STAT1!$C$4:$D$8000,2,FALSE),"")</f>
        <v>НӨАТ өглөг</v>
      </c>
      <c r="G1691" s="377"/>
      <c r="H1691" s="377">
        <v>136176</v>
      </c>
      <c r="I1691" s="596">
        <f t="shared" si="171"/>
        <v>0</v>
      </c>
      <c r="J1691" s="81">
        <f t="shared" si="169"/>
        <v>0</v>
      </c>
      <c r="K1691" s="81"/>
      <c r="L1691" s="673">
        <v>3001</v>
      </c>
      <c r="M1691" s="81" t="str">
        <f>+IFERROR(VLOOKUP(L1691,DATA!$G$4:$H$2000,2,FALSE),"")</f>
        <v>ХУРД ГРУПП ХХК</v>
      </c>
      <c r="N1691" s="166"/>
      <c r="O1691" s="81" t="str">
        <f>IFERROR(VLOOKUP(N1691,DATA!$K$4:$L$51,2,FALSE),"")</f>
        <v/>
      </c>
      <c r="P1691" s="81"/>
      <c r="Q1691" s="152">
        <f t="shared" si="172"/>
        <v>0</v>
      </c>
    </row>
    <row r="1692" spans="2:17">
      <c r="B1692" s="670">
        <f t="shared" si="164"/>
        <v>1687</v>
      </c>
      <c r="C1692" s="601">
        <v>42971</v>
      </c>
      <c r="D1692" s="683" t="s">
        <v>587</v>
      </c>
      <c r="E1692" s="572">
        <v>510000</v>
      </c>
      <c r="F1692" s="672" t="str">
        <f>IFERROR(VLOOKUP(E1692,STAT1!$C$4:$D$8000,2,FALSE),"")</f>
        <v>Үндсэн үйл ажиллагааны борлуулалт</v>
      </c>
      <c r="G1692" s="377"/>
      <c r="H1692" s="377">
        <v>1361760</v>
      </c>
      <c r="I1692" s="596">
        <f t="shared" si="171"/>
        <v>0</v>
      </c>
      <c r="J1692" s="81">
        <f t="shared" si="169"/>
        <v>0</v>
      </c>
      <c r="K1692" s="81"/>
      <c r="L1692" s="673">
        <v>3001</v>
      </c>
      <c r="M1692" s="81" t="str">
        <f>+IFERROR(VLOOKUP(L1692,DATA!$G$4:$H$2000,2,FALSE),"")</f>
        <v>ХУРД ГРУПП ХХК</v>
      </c>
      <c r="N1692" s="166"/>
      <c r="O1692" s="81" t="str">
        <f>IFERROR(VLOOKUP(N1692,DATA!$K$4:$L$51,2,FALSE),"")</f>
        <v/>
      </c>
      <c r="P1692" s="81"/>
      <c r="Q1692" s="152">
        <f t="shared" si="172"/>
        <v>0</v>
      </c>
    </row>
    <row r="1693" spans="2:17">
      <c r="B1693" s="670">
        <f t="shared" si="164"/>
        <v>1688</v>
      </c>
      <c r="C1693" s="601">
        <v>42971</v>
      </c>
      <c r="D1693" s="683" t="s">
        <v>587</v>
      </c>
      <c r="E1693" s="572">
        <v>320100</v>
      </c>
      <c r="F1693" s="672" t="str">
        <f>IFERROR(VLOOKUP(E1693,STAT1!$C$4:$D$8000,2,FALSE),"")</f>
        <v>Урьдчилж орсон орлого MNT</v>
      </c>
      <c r="G1693" s="377">
        <v>1497936</v>
      </c>
      <c r="H1693" s="377"/>
      <c r="I1693" s="596">
        <f t="shared" si="171"/>
        <v>0</v>
      </c>
      <c r="J1693" s="81">
        <f t="shared" si="169"/>
        <v>0</v>
      </c>
      <c r="K1693" s="81"/>
      <c r="L1693" s="673">
        <v>3001</v>
      </c>
      <c r="M1693" s="81" t="str">
        <f>+IFERROR(VLOOKUP(L1693,DATA!$G$4:$H$2000,2,FALSE),"")</f>
        <v>ХУРД ГРУПП ХХК</v>
      </c>
      <c r="N1693" s="166"/>
      <c r="O1693" s="81" t="str">
        <f>IFERROR(VLOOKUP(N1693,DATA!$K$4:$L$51,2,FALSE),"")</f>
        <v/>
      </c>
      <c r="P1693" s="81"/>
      <c r="Q1693" s="152">
        <f t="shared" si="172"/>
        <v>0</v>
      </c>
    </row>
    <row r="1694" spans="2:17">
      <c r="B1694" s="670">
        <f t="shared" si="164"/>
        <v>1689</v>
      </c>
      <c r="C1694" s="601">
        <v>42971</v>
      </c>
      <c r="D1694" s="683" t="s">
        <v>2698</v>
      </c>
      <c r="E1694" s="573">
        <v>150101</v>
      </c>
      <c r="F1694" s="672" t="str">
        <f>IFERROR(VLOOKUP(E1694,STAT1!$C$4:$D$8000,2,FALSE),"")</f>
        <v>Бараа бэлэн бүтээгдэхүүн БОЛОВСРУУЛАХ ЦЕХ /нарс/</v>
      </c>
      <c r="G1694" s="377"/>
      <c r="H1694" s="377">
        <v>101797.91563047876</v>
      </c>
      <c r="I1694" s="596">
        <f t="shared" si="171"/>
        <v>0</v>
      </c>
      <c r="J1694" s="81">
        <f t="shared" si="169"/>
        <v>0</v>
      </c>
      <c r="K1694" s="81"/>
      <c r="L1694" s="673">
        <v>3088</v>
      </c>
      <c r="M1694" s="81" t="str">
        <f>+IFERROR(VLOOKUP(L1694,DATA!$G$4:$H$2000,2,FALSE),"")</f>
        <v xml:space="preserve">ОГТОРГУЙН ХУДАГ ХХК </v>
      </c>
      <c r="N1694" s="166"/>
      <c r="O1694" s="81" t="str">
        <f>IFERROR(VLOOKUP(N1694,DATA!$K$4:$L$51,2,FALSE),"")</f>
        <v/>
      </c>
      <c r="P1694" s="81"/>
      <c r="Q1694" s="152">
        <f t="shared" si="172"/>
        <v>0</v>
      </c>
    </row>
    <row r="1695" spans="2:17">
      <c r="B1695" s="670">
        <f t="shared" si="164"/>
        <v>1690</v>
      </c>
      <c r="C1695" s="601">
        <v>42971</v>
      </c>
      <c r="D1695" s="683" t="s">
        <v>587</v>
      </c>
      <c r="E1695" s="572">
        <v>610100</v>
      </c>
      <c r="F1695" s="672" t="str">
        <f>IFERROR(VLOOKUP(E1695,STAT1!$C$4:$D$8000,2,FALSE),"")</f>
        <v>Борлуулсан барааны өртөг</v>
      </c>
      <c r="G1695" s="377">
        <v>101797.91563047876</v>
      </c>
      <c r="H1695" s="377"/>
      <c r="I1695" s="596">
        <f t="shared" si="171"/>
        <v>0</v>
      </c>
      <c r="J1695" s="81">
        <f t="shared" si="169"/>
        <v>0</v>
      </c>
      <c r="K1695" s="81"/>
      <c r="L1695" s="673">
        <v>3088</v>
      </c>
      <c r="M1695" s="81" t="str">
        <f>+IFERROR(VLOOKUP(L1695,DATA!$G$4:$H$2000,2,FALSE),"")</f>
        <v xml:space="preserve">ОГТОРГУЙН ХУДАГ ХХК </v>
      </c>
      <c r="N1695" s="166"/>
      <c r="O1695" s="81" t="str">
        <f>IFERROR(VLOOKUP(N1695,DATA!$K$4:$L$51,2,FALSE),"")</f>
        <v/>
      </c>
      <c r="P1695" s="81"/>
      <c r="Q1695" s="152">
        <f t="shared" si="172"/>
        <v>0</v>
      </c>
    </row>
    <row r="1696" spans="2:17">
      <c r="B1696" s="670">
        <f t="shared" si="164"/>
        <v>1691</v>
      </c>
      <c r="C1696" s="601">
        <v>42971</v>
      </c>
      <c r="D1696" s="683" t="s">
        <v>587</v>
      </c>
      <c r="E1696" s="572">
        <v>310500</v>
      </c>
      <c r="F1696" s="672" t="str">
        <f>IFERROR(VLOOKUP(E1696,STAT1!$C$4:$D$8000,2,FALSE),"")</f>
        <v>НӨАТ өглөг</v>
      </c>
      <c r="G1696" s="377"/>
      <c r="H1696" s="377">
        <v>16200</v>
      </c>
      <c r="I1696" s="596">
        <f t="shared" si="171"/>
        <v>0</v>
      </c>
      <c r="J1696" s="81">
        <f t="shared" si="169"/>
        <v>0</v>
      </c>
      <c r="K1696" s="81"/>
      <c r="L1696" s="673">
        <v>3088</v>
      </c>
      <c r="M1696" s="81" t="str">
        <f>+IFERROR(VLOOKUP(L1696,DATA!$G$4:$H$2000,2,FALSE),"")</f>
        <v xml:space="preserve">ОГТОРГУЙН ХУДАГ ХХК </v>
      </c>
      <c r="N1696" s="166"/>
      <c r="O1696" s="81" t="str">
        <f>IFERROR(VLOOKUP(N1696,DATA!$K$4:$L$51,2,FALSE),"")</f>
        <v/>
      </c>
      <c r="P1696" s="81"/>
      <c r="Q1696" s="152">
        <f t="shared" si="172"/>
        <v>0</v>
      </c>
    </row>
    <row r="1697" spans="2:17">
      <c r="B1697" s="670">
        <f t="shared" si="164"/>
        <v>1692</v>
      </c>
      <c r="C1697" s="601">
        <v>42971</v>
      </c>
      <c r="D1697" s="683" t="s">
        <v>587</v>
      </c>
      <c r="E1697" s="572">
        <v>510000</v>
      </c>
      <c r="F1697" s="672" t="str">
        <f>IFERROR(VLOOKUP(E1697,STAT1!$C$4:$D$8000,2,FALSE),"")</f>
        <v>Үндсэн үйл ажиллагааны борлуулалт</v>
      </c>
      <c r="G1697" s="377"/>
      <c r="H1697" s="377">
        <v>162000</v>
      </c>
      <c r="I1697" s="596">
        <f t="shared" si="171"/>
        <v>0</v>
      </c>
      <c r="J1697" s="81">
        <f t="shared" si="169"/>
        <v>0</v>
      </c>
      <c r="K1697" s="81"/>
      <c r="L1697" s="673">
        <v>3088</v>
      </c>
      <c r="M1697" s="81" t="str">
        <f>+IFERROR(VLOOKUP(L1697,DATA!$G$4:$H$2000,2,FALSE),"")</f>
        <v xml:space="preserve">ОГТОРГУЙН ХУДАГ ХХК </v>
      </c>
      <c r="N1697" s="166"/>
      <c r="O1697" s="81" t="str">
        <f>IFERROR(VLOOKUP(N1697,DATA!$K$4:$L$51,2,FALSE),"")</f>
        <v/>
      </c>
      <c r="P1697" s="81"/>
      <c r="Q1697" s="152">
        <f t="shared" si="172"/>
        <v>0</v>
      </c>
    </row>
    <row r="1698" spans="2:17">
      <c r="B1698" s="670">
        <f t="shared" si="164"/>
        <v>1693</v>
      </c>
      <c r="C1698" s="601">
        <v>42971</v>
      </c>
      <c r="D1698" s="683" t="s">
        <v>587</v>
      </c>
      <c r="E1698" s="572">
        <v>320100</v>
      </c>
      <c r="F1698" s="672" t="str">
        <f>IFERROR(VLOOKUP(E1698,STAT1!$C$4:$D$8000,2,FALSE),"")</f>
        <v>Урьдчилж орсон орлого MNT</v>
      </c>
      <c r="G1698" s="377">
        <v>178200</v>
      </c>
      <c r="H1698" s="377"/>
      <c r="I1698" s="596">
        <f t="shared" si="171"/>
        <v>0</v>
      </c>
      <c r="J1698" s="81">
        <f t="shared" si="169"/>
        <v>0</v>
      </c>
      <c r="K1698" s="81"/>
      <c r="L1698" s="673">
        <v>3088</v>
      </c>
      <c r="M1698" s="81" t="str">
        <f>+IFERROR(VLOOKUP(L1698,DATA!$G$4:$H$2000,2,FALSE),"")</f>
        <v xml:space="preserve">ОГТОРГУЙН ХУДАГ ХХК </v>
      </c>
      <c r="N1698" s="166"/>
      <c r="O1698" s="81" t="str">
        <f>IFERROR(VLOOKUP(N1698,DATA!$K$4:$L$51,2,FALSE),"")</f>
        <v/>
      </c>
      <c r="P1698" s="81"/>
      <c r="Q1698" s="152">
        <f t="shared" si="172"/>
        <v>0</v>
      </c>
    </row>
    <row r="1699" spans="2:17">
      <c r="B1699" s="670">
        <f t="shared" si="164"/>
        <v>1694</v>
      </c>
      <c r="C1699" s="433">
        <v>42972</v>
      </c>
      <c r="D1699" s="377" t="s">
        <v>1355</v>
      </c>
      <c r="E1699" s="572">
        <v>100100</v>
      </c>
      <c r="F1699" s="672" t="str">
        <f>IFERROR(VLOOKUP(E1699,STAT1!$C$4:$D$1000,2,FALSE),"")</f>
        <v>Касс мөнгө MNT</v>
      </c>
      <c r="G1699" s="377"/>
      <c r="H1699" s="377">
        <v>15000</v>
      </c>
      <c r="I1699" s="596">
        <f t="shared" si="171"/>
        <v>-15000</v>
      </c>
      <c r="J1699" s="81">
        <f t="shared" si="169"/>
        <v>0</v>
      </c>
      <c r="K1699" s="81"/>
      <c r="L1699" s="597">
        <v>1005</v>
      </c>
      <c r="M1699" s="81" t="str">
        <f>+IFERROR(VLOOKUP(L1699,DATA!$G$4:$H$2000,2,FALSE),"")</f>
        <v>Золжаргал</v>
      </c>
      <c r="N1699" s="435">
        <v>55</v>
      </c>
      <c r="O1699" s="81" t="str">
        <f>IFERROR(VLOOKUP(N1699,DATA!$K$4:$L$51,2,FALSE),"")</f>
        <v>Түлш, шатахуун, тээврийн хөлс, сэлбэг хэрэгсэлд төлсөн</v>
      </c>
      <c r="P1699" s="81"/>
      <c r="Q1699" s="152">
        <f t="shared" si="172"/>
        <v>1</v>
      </c>
    </row>
    <row r="1700" spans="2:17">
      <c r="B1700" s="670">
        <f t="shared" si="164"/>
        <v>1695</v>
      </c>
      <c r="C1700" s="433">
        <v>42972</v>
      </c>
      <c r="D1700" s="377" t="s">
        <v>1355</v>
      </c>
      <c r="E1700" s="572">
        <v>702000</v>
      </c>
      <c r="F1700" s="672" t="str">
        <f>IFERROR(VLOOKUP(E1700,STAT1!$C$4:$D$1000,2,FALSE),"")</f>
        <v>Түлш, шатахуун</v>
      </c>
      <c r="G1700" s="377">
        <v>15000</v>
      </c>
      <c r="H1700" s="377">
        <v>0</v>
      </c>
      <c r="I1700" s="596">
        <f t="shared" si="171"/>
        <v>0</v>
      </c>
      <c r="J1700" s="81">
        <f t="shared" ref="J1700:J1731" si="173">+IF(E1700=110102,I1700/K1700,0)</f>
        <v>0</v>
      </c>
      <c r="K1700" s="81"/>
      <c r="L1700" s="597">
        <v>1005</v>
      </c>
      <c r="M1700" s="81" t="str">
        <f>+IFERROR(VLOOKUP(L1700,DATA!$G$4:$H$2000,2,FALSE),"")</f>
        <v>Золжаргал</v>
      </c>
      <c r="N1700" s="435"/>
      <c r="O1700" s="81" t="str">
        <f>IFERROR(VLOOKUP(N1700,DATA!$K$4:$L$51,2,FALSE),"")</f>
        <v/>
      </c>
      <c r="P1700" s="81"/>
      <c r="Q1700" s="152">
        <f t="shared" si="172"/>
        <v>0</v>
      </c>
    </row>
    <row r="1701" spans="2:17">
      <c r="B1701" s="670">
        <f t="shared" si="164"/>
        <v>1696</v>
      </c>
      <c r="C1701" s="433">
        <v>42972</v>
      </c>
      <c r="D1701" s="377" t="s">
        <v>1741</v>
      </c>
      <c r="E1701" s="572">
        <v>320100</v>
      </c>
      <c r="F1701" s="672" t="str">
        <f>IFERROR(VLOOKUP(E1701,STAT1!$C$4:$D$1000,2,FALSE),"")</f>
        <v>Урьдчилж орсон орлого MNT</v>
      </c>
      <c r="G1701" s="377"/>
      <c r="H1701" s="377">
        <v>453750</v>
      </c>
      <c r="I1701" s="596">
        <f t="shared" si="171"/>
        <v>0</v>
      </c>
      <c r="J1701" s="81">
        <f t="shared" si="173"/>
        <v>0</v>
      </c>
      <c r="K1701" s="81"/>
      <c r="L1701" s="597">
        <v>3087</v>
      </c>
      <c r="M1701" s="81" t="str">
        <f>+IFERROR(VLOOKUP(L1701,DATA!$G$4:$H$2000,2,FALSE),"")</f>
        <v xml:space="preserve">ОРГИЛ ХАУС ХХК </v>
      </c>
      <c r="N1701" s="435"/>
      <c r="O1701" s="81" t="str">
        <f>IFERROR(VLOOKUP(N1701,DATA!$K$4:$L$51,2,FALSE),"")</f>
        <v/>
      </c>
      <c r="P1701" s="81"/>
      <c r="Q1701" s="152">
        <f t="shared" si="172"/>
        <v>0</v>
      </c>
    </row>
    <row r="1702" spans="2:17">
      <c r="B1702" s="670">
        <f t="shared" si="164"/>
        <v>1697</v>
      </c>
      <c r="C1702" s="433">
        <v>42972</v>
      </c>
      <c r="D1702" s="377" t="s">
        <v>1741</v>
      </c>
      <c r="E1702" s="572">
        <v>100100</v>
      </c>
      <c r="F1702" s="672" t="str">
        <f>IFERROR(VLOOKUP(E1702,STAT1!$C$4:$D$1000,2,FALSE),"")</f>
        <v>Касс мөнгө MNT</v>
      </c>
      <c r="G1702" s="377">
        <v>453750</v>
      </c>
      <c r="H1702" s="377">
        <v>0</v>
      </c>
      <c r="I1702" s="596">
        <f t="shared" si="171"/>
        <v>453750</v>
      </c>
      <c r="J1702" s="81">
        <f t="shared" si="173"/>
        <v>0</v>
      </c>
      <c r="K1702" s="81"/>
      <c r="L1702" s="597">
        <v>3087</v>
      </c>
      <c r="M1702" s="81" t="str">
        <f>+IFERROR(VLOOKUP(L1702,DATA!$G$4:$H$2000,2,FALSE),"")</f>
        <v xml:space="preserve">ОРГИЛ ХАУС ХХК </v>
      </c>
      <c r="N1702" s="435">
        <v>41</v>
      </c>
      <c r="O1702" s="81" t="str">
        <f>IFERROR(VLOOKUP(N1702,DATA!$K$4:$L$51,2,FALSE),"")</f>
        <v>Бараа борлуулсан, үйлчилгээ үзүүлсэний орлого</v>
      </c>
      <c r="P1702" s="81"/>
      <c r="Q1702" s="152">
        <f t="shared" si="172"/>
        <v>1</v>
      </c>
    </row>
    <row r="1703" spans="2:17">
      <c r="B1703" s="670">
        <f t="shared" si="164"/>
        <v>1698</v>
      </c>
      <c r="C1703" s="601">
        <v>42972</v>
      </c>
      <c r="D1703" s="683" t="s">
        <v>1659</v>
      </c>
      <c r="E1703" s="573">
        <v>150101</v>
      </c>
      <c r="F1703" s="672" t="str">
        <f>IFERROR(VLOOKUP(E1703,STAT1!$C$4:$D$8000,2,FALSE),"")</f>
        <v>Бараа бэлэн бүтээгдэхүүн БОЛОВСРУУЛАХ ЦЕХ /нарс/</v>
      </c>
      <c r="G1703" s="377"/>
      <c r="H1703" s="377">
        <v>178063.9285659609</v>
      </c>
      <c r="I1703" s="596">
        <f t="shared" si="171"/>
        <v>0</v>
      </c>
      <c r="J1703" s="81">
        <f t="shared" si="173"/>
        <v>0</v>
      </c>
      <c r="K1703" s="81"/>
      <c r="L1703" s="673">
        <v>3087</v>
      </c>
      <c r="M1703" s="81" t="str">
        <f>+IFERROR(VLOOKUP(L1703,DATA!$G$4:$H$2000,2,FALSE),"")</f>
        <v xml:space="preserve">ОРГИЛ ХАУС ХХК </v>
      </c>
      <c r="N1703" s="166"/>
      <c r="O1703" s="81" t="str">
        <f>IFERROR(VLOOKUP(N1703,DATA!$K$4:$L$51,2,FALSE),"")</f>
        <v/>
      </c>
      <c r="P1703" s="81"/>
      <c r="Q1703" s="152">
        <f t="shared" si="172"/>
        <v>0</v>
      </c>
    </row>
    <row r="1704" spans="2:17">
      <c r="B1704" s="670">
        <f t="shared" si="164"/>
        <v>1699</v>
      </c>
      <c r="C1704" s="601">
        <v>42972</v>
      </c>
      <c r="D1704" s="683" t="s">
        <v>587</v>
      </c>
      <c r="E1704" s="572">
        <v>610100</v>
      </c>
      <c r="F1704" s="672" t="str">
        <f>IFERROR(VLOOKUP(E1704,STAT1!$C$4:$D$8000,2,FALSE),"")</f>
        <v>Борлуулсан барааны өртөг</v>
      </c>
      <c r="G1704" s="377">
        <v>178063.9285659609</v>
      </c>
      <c r="H1704" s="377"/>
      <c r="I1704" s="596">
        <f t="shared" si="171"/>
        <v>0</v>
      </c>
      <c r="J1704" s="81">
        <f t="shared" si="173"/>
        <v>0</v>
      </c>
      <c r="K1704" s="81"/>
      <c r="L1704" s="673">
        <v>3087</v>
      </c>
      <c r="M1704" s="81" t="str">
        <f>+IFERROR(VLOOKUP(L1704,DATA!$G$4:$H$2000,2,FALSE),"")</f>
        <v xml:space="preserve">ОРГИЛ ХАУС ХХК </v>
      </c>
      <c r="N1704" s="166"/>
      <c r="O1704" s="81" t="str">
        <f>IFERROR(VLOOKUP(N1704,DATA!$K$4:$L$51,2,FALSE),"")</f>
        <v/>
      </c>
      <c r="P1704" s="81"/>
      <c r="Q1704" s="152">
        <f t="shared" si="172"/>
        <v>0</v>
      </c>
    </row>
    <row r="1705" spans="2:17">
      <c r="B1705" s="670">
        <f t="shared" si="164"/>
        <v>1700</v>
      </c>
      <c r="C1705" s="601">
        <v>42972</v>
      </c>
      <c r="D1705" s="683"/>
      <c r="E1705" s="572">
        <v>310500</v>
      </c>
      <c r="F1705" s="672" t="str">
        <f>IFERROR(VLOOKUP(E1705,STAT1!$C$4:$D$8000,2,FALSE),"")</f>
        <v>НӨАТ өглөг</v>
      </c>
      <c r="G1705" s="377"/>
      <c r="H1705" s="377">
        <v>41250</v>
      </c>
      <c r="I1705" s="596">
        <f t="shared" si="171"/>
        <v>0</v>
      </c>
      <c r="J1705" s="81">
        <f t="shared" si="173"/>
        <v>0</v>
      </c>
      <c r="K1705" s="81"/>
      <c r="L1705" s="673">
        <v>3087</v>
      </c>
      <c r="M1705" s="81" t="str">
        <f>+IFERROR(VLOOKUP(L1705,DATA!$G$4:$H$2000,2,FALSE),"")</f>
        <v xml:space="preserve">ОРГИЛ ХАУС ХХК </v>
      </c>
      <c r="N1705" s="166"/>
      <c r="O1705" s="81" t="str">
        <f>IFERROR(VLOOKUP(N1705,DATA!$K$4:$L$51,2,FALSE),"")</f>
        <v/>
      </c>
      <c r="P1705" s="81"/>
      <c r="Q1705" s="152">
        <f t="shared" si="172"/>
        <v>0</v>
      </c>
    </row>
    <row r="1706" spans="2:17">
      <c r="B1706" s="670">
        <f t="shared" si="164"/>
        <v>1701</v>
      </c>
      <c r="C1706" s="601">
        <v>42972</v>
      </c>
      <c r="D1706" s="683"/>
      <c r="E1706" s="572">
        <v>510000</v>
      </c>
      <c r="F1706" s="672" t="str">
        <f>IFERROR(VLOOKUP(E1706,STAT1!$C$4:$D$8000,2,FALSE),"")</f>
        <v>Үндсэн үйл ажиллагааны борлуулалт</v>
      </c>
      <c r="G1706" s="377"/>
      <c r="H1706" s="377">
        <v>412500</v>
      </c>
      <c r="I1706" s="596">
        <f t="shared" si="171"/>
        <v>0</v>
      </c>
      <c r="J1706" s="81">
        <f t="shared" si="173"/>
        <v>0</v>
      </c>
      <c r="K1706" s="81"/>
      <c r="L1706" s="673">
        <v>3087</v>
      </c>
      <c r="M1706" s="81" t="str">
        <f>+IFERROR(VLOOKUP(L1706,DATA!$G$4:$H$2000,2,FALSE),"")</f>
        <v xml:space="preserve">ОРГИЛ ХАУС ХХК </v>
      </c>
      <c r="N1706" s="166"/>
      <c r="O1706" s="81" t="str">
        <f>IFERROR(VLOOKUP(N1706,DATA!$K$4:$L$51,2,FALSE),"")</f>
        <v/>
      </c>
      <c r="P1706" s="81"/>
      <c r="Q1706" s="152">
        <f t="shared" si="172"/>
        <v>0</v>
      </c>
    </row>
    <row r="1707" spans="2:17">
      <c r="B1707" s="670">
        <f t="shared" ref="B1707" si="174">+IF(C1707="","",ROW()-5)</f>
        <v>1702</v>
      </c>
      <c r="C1707" s="601">
        <v>42972</v>
      </c>
      <c r="D1707" s="683"/>
      <c r="E1707" s="572">
        <v>320100</v>
      </c>
      <c r="F1707" s="672" t="str">
        <f>IFERROR(VLOOKUP(E1707,STAT1!$C$4:$D$8000,2,FALSE),"")</f>
        <v>Урьдчилж орсон орлого MNT</v>
      </c>
      <c r="G1707" s="377">
        <v>453750</v>
      </c>
      <c r="H1707" s="377"/>
      <c r="I1707" s="596">
        <f t="shared" si="171"/>
        <v>0</v>
      </c>
      <c r="J1707" s="81">
        <f t="shared" si="173"/>
        <v>0</v>
      </c>
      <c r="K1707" s="81"/>
      <c r="L1707" s="673">
        <v>3087</v>
      </c>
      <c r="M1707" s="81" t="str">
        <f>+IFERROR(VLOOKUP(L1707,DATA!$G$4:$H$2000,2,FALSE),"")</f>
        <v xml:space="preserve">ОРГИЛ ХАУС ХХК </v>
      </c>
      <c r="N1707" s="166"/>
      <c r="O1707" s="81" t="str">
        <f>IFERROR(VLOOKUP(N1707,DATA!$K$4:$L$51,2,FALSE),"")</f>
        <v/>
      </c>
      <c r="P1707" s="81"/>
    </row>
    <row r="1708" spans="2:17">
      <c r="B1708" s="670">
        <f t="shared" si="164"/>
        <v>1703</v>
      </c>
      <c r="C1708" s="433">
        <v>42975</v>
      </c>
      <c r="D1708" s="598" t="s">
        <v>1741</v>
      </c>
      <c r="E1708" s="572">
        <v>110100</v>
      </c>
      <c r="F1708" s="672" t="str">
        <f>IFERROR(VLOOKUP(E1708,STAT1!$C$4:$D$1000,2,FALSE),"")</f>
        <v>Хаан Банк 5024654020</v>
      </c>
      <c r="G1708" s="377">
        <v>62700</v>
      </c>
      <c r="H1708" s="377"/>
      <c r="I1708" s="596">
        <f t="shared" si="171"/>
        <v>62700</v>
      </c>
      <c r="J1708" s="81">
        <f t="shared" si="173"/>
        <v>0</v>
      </c>
      <c r="K1708" s="81"/>
      <c r="L1708" s="597">
        <v>3086</v>
      </c>
      <c r="M1708" s="81" t="str">
        <f>+IFERROR(VLOOKUP(L1708,DATA!$G$4:$H$2000,2,FALSE),"")</f>
        <v xml:space="preserve">УНИВЕРСАЛ АВТО КОМПЛЕКС ХХК </v>
      </c>
      <c r="N1708" s="435">
        <v>41</v>
      </c>
      <c r="O1708" s="81" t="str">
        <f>IFERROR(VLOOKUP(N1708,DATA!$K$4:$L$51,2,FALSE),"")</f>
        <v>Бараа борлуулсан, үйлчилгээ үзүүлсэний орлого</v>
      </c>
      <c r="P1708" s="81"/>
      <c r="Q1708" s="152">
        <f t="shared" si="172"/>
        <v>1</v>
      </c>
    </row>
    <row r="1709" spans="2:17">
      <c r="B1709" s="670">
        <f t="shared" si="164"/>
        <v>1704</v>
      </c>
      <c r="C1709" s="433">
        <v>42975</v>
      </c>
      <c r="D1709" s="598" t="s">
        <v>1741</v>
      </c>
      <c r="E1709" s="572">
        <v>320100</v>
      </c>
      <c r="F1709" s="672" t="str">
        <f>IFERROR(VLOOKUP(E1709,STAT1!$C$4:$D$1000,2,FALSE),"")</f>
        <v>Урьдчилж орсон орлого MNT</v>
      </c>
      <c r="G1709" s="377">
        <v>0</v>
      </c>
      <c r="H1709" s="377">
        <v>62700</v>
      </c>
      <c r="I1709" s="596">
        <f t="shared" si="171"/>
        <v>0</v>
      </c>
      <c r="J1709" s="81">
        <f t="shared" si="173"/>
        <v>0</v>
      </c>
      <c r="K1709" s="81"/>
      <c r="L1709" s="597">
        <v>3086</v>
      </c>
      <c r="M1709" s="81" t="str">
        <f>+IFERROR(VLOOKUP(L1709,DATA!$G$4:$H$2000,2,FALSE),"")</f>
        <v xml:space="preserve">УНИВЕРСАЛ АВТО КОМПЛЕКС ХХК </v>
      </c>
      <c r="N1709" s="435"/>
      <c r="O1709" s="81" t="str">
        <f>IFERROR(VLOOKUP(N1709,DATA!$K$4:$L$51,2,FALSE),"")</f>
        <v/>
      </c>
      <c r="P1709" s="81"/>
      <c r="Q1709" s="152">
        <f t="shared" si="172"/>
        <v>0</v>
      </c>
    </row>
    <row r="1710" spans="2:17">
      <c r="B1710" s="670">
        <f t="shared" si="164"/>
        <v>1705</v>
      </c>
      <c r="C1710" s="601">
        <v>42975</v>
      </c>
      <c r="D1710" s="683" t="s">
        <v>1660</v>
      </c>
      <c r="E1710" s="573">
        <v>150101</v>
      </c>
      <c r="F1710" s="672" t="str">
        <f>IFERROR(VLOOKUP(E1710,STAT1!$C$4:$D$8000,2,FALSE),"")</f>
        <v>Бараа бэлэн бүтээгдэхүүн БОЛОВСРУУЛАХ ЦЕХ /нарс/</v>
      </c>
      <c r="G1710" s="377"/>
      <c r="H1710" s="377">
        <v>26831.570573640649</v>
      </c>
      <c r="I1710" s="596">
        <f t="shared" si="171"/>
        <v>0</v>
      </c>
      <c r="J1710" s="81">
        <f t="shared" si="173"/>
        <v>0</v>
      </c>
      <c r="K1710" s="81"/>
      <c r="L1710" s="673">
        <v>3086</v>
      </c>
      <c r="M1710" s="81" t="str">
        <f>+IFERROR(VLOOKUP(L1710,DATA!$G$4:$H$2000,2,FALSE),"")</f>
        <v xml:space="preserve">УНИВЕРСАЛ АВТО КОМПЛЕКС ХХК </v>
      </c>
      <c r="N1710" s="166"/>
      <c r="O1710" s="81" t="str">
        <f>IFERROR(VLOOKUP(N1710,DATA!$K$4:$L$51,2,FALSE),"")</f>
        <v/>
      </c>
      <c r="P1710" s="81"/>
      <c r="Q1710" s="152">
        <f t="shared" si="172"/>
        <v>0</v>
      </c>
    </row>
    <row r="1711" spans="2:17">
      <c r="B1711" s="670">
        <f t="shared" si="164"/>
        <v>1706</v>
      </c>
      <c r="C1711" s="601">
        <v>42975</v>
      </c>
      <c r="D1711" s="683" t="s">
        <v>587</v>
      </c>
      <c r="E1711" s="572">
        <v>610100</v>
      </c>
      <c r="F1711" s="672" t="str">
        <f>IFERROR(VLOOKUP(E1711,STAT1!$C$4:$D$8000,2,FALSE),"")</f>
        <v>Борлуулсан барааны өртөг</v>
      </c>
      <c r="G1711" s="377">
        <v>26831.570573640649</v>
      </c>
      <c r="H1711" s="377"/>
      <c r="I1711" s="596">
        <f t="shared" si="171"/>
        <v>0</v>
      </c>
      <c r="J1711" s="81">
        <f t="shared" si="173"/>
        <v>0</v>
      </c>
      <c r="K1711" s="81"/>
      <c r="L1711" s="673">
        <v>3086</v>
      </c>
      <c r="M1711" s="81" t="str">
        <f>+IFERROR(VLOOKUP(L1711,DATA!$G$4:$H$2000,2,FALSE),"")</f>
        <v xml:space="preserve">УНИВЕРСАЛ АВТО КОМПЛЕКС ХХК </v>
      </c>
      <c r="N1711" s="166"/>
      <c r="O1711" s="81" t="str">
        <f>IFERROR(VLOOKUP(N1711,DATA!$K$4:$L$51,2,FALSE),"")</f>
        <v/>
      </c>
      <c r="P1711" s="81"/>
      <c r="Q1711" s="152">
        <f t="shared" si="172"/>
        <v>0</v>
      </c>
    </row>
    <row r="1712" spans="2:17">
      <c r="B1712" s="670">
        <f t="shared" si="164"/>
        <v>1707</v>
      </c>
      <c r="C1712" s="601">
        <v>42975</v>
      </c>
      <c r="D1712" s="683" t="s">
        <v>587</v>
      </c>
      <c r="E1712" s="572">
        <v>310500</v>
      </c>
      <c r="F1712" s="672" t="str">
        <f>IFERROR(VLOOKUP(E1712,STAT1!$C$4:$D$8000,2,FALSE),"")</f>
        <v>НӨАТ өглөг</v>
      </c>
      <c r="G1712" s="377"/>
      <c r="H1712" s="377">
        <v>5700</v>
      </c>
      <c r="I1712" s="596">
        <f t="shared" si="171"/>
        <v>0</v>
      </c>
      <c r="J1712" s="81">
        <f t="shared" si="173"/>
        <v>0</v>
      </c>
      <c r="K1712" s="81"/>
      <c r="L1712" s="673">
        <v>3086</v>
      </c>
      <c r="M1712" s="81" t="str">
        <f>+IFERROR(VLOOKUP(L1712,DATA!$G$4:$H$2000,2,FALSE),"")</f>
        <v xml:space="preserve">УНИВЕРСАЛ АВТО КОМПЛЕКС ХХК </v>
      </c>
      <c r="N1712" s="166"/>
      <c r="O1712" s="81" t="str">
        <f>IFERROR(VLOOKUP(N1712,DATA!$K$4:$L$51,2,FALSE),"")</f>
        <v/>
      </c>
      <c r="P1712" s="81"/>
      <c r="Q1712" s="152">
        <f t="shared" si="172"/>
        <v>0</v>
      </c>
    </row>
    <row r="1713" spans="2:17">
      <c r="B1713" s="670">
        <f t="shared" si="164"/>
        <v>1708</v>
      </c>
      <c r="C1713" s="601">
        <v>42975</v>
      </c>
      <c r="D1713" s="683" t="s">
        <v>587</v>
      </c>
      <c r="E1713" s="572">
        <v>510000</v>
      </c>
      <c r="F1713" s="672" t="str">
        <f>IFERROR(VLOOKUP(E1713,STAT1!$C$4:$D$8000,2,FALSE),"")</f>
        <v>Үндсэн үйл ажиллагааны борлуулалт</v>
      </c>
      <c r="G1713" s="377"/>
      <c r="H1713" s="377">
        <v>57000</v>
      </c>
      <c r="I1713" s="596">
        <f t="shared" si="171"/>
        <v>0</v>
      </c>
      <c r="J1713" s="81">
        <f t="shared" si="173"/>
        <v>0</v>
      </c>
      <c r="K1713" s="81"/>
      <c r="L1713" s="673">
        <v>3086</v>
      </c>
      <c r="M1713" s="81" t="str">
        <f>+IFERROR(VLOOKUP(L1713,DATA!$G$4:$H$2000,2,FALSE),"")</f>
        <v xml:space="preserve">УНИВЕРСАЛ АВТО КОМПЛЕКС ХХК </v>
      </c>
      <c r="N1713" s="166"/>
      <c r="O1713" s="81" t="str">
        <f>IFERROR(VLOOKUP(N1713,DATA!$K$4:$L$51,2,FALSE),"")</f>
        <v/>
      </c>
      <c r="P1713" s="81"/>
      <c r="Q1713" s="152">
        <f t="shared" si="172"/>
        <v>0</v>
      </c>
    </row>
    <row r="1714" spans="2:17">
      <c r="B1714" s="670">
        <f t="shared" si="164"/>
        <v>1709</v>
      </c>
      <c r="C1714" s="601">
        <v>42975</v>
      </c>
      <c r="D1714" s="683" t="s">
        <v>587</v>
      </c>
      <c r="E1714" s="572">
        <v>320100</v>
      </c>
      <c r="F1714" s="672" t="str">
        <f>IFERROR(VLOOKUP(E1714,STAT1!$C$4:$D$8000,2,FALSE),"")</f>
        <v>Урьдчилж орсон орлого MNT</v>
      </c>
      <c r="G1714" s="377">
        <v>62700</v>
      </c>
      <c r="H1714" s="377"/>
      <c r="I1714" s="596">
        <f t="shared" si="171"/>
        <v>0</v>
      </c>
      <c r="J1714" s="81">
        <f t="shared" si="173"/>
        <v>0</v>
      </c>
      <c r="K1714" s="81"/>
      <c r="L1714" s="673">
        <v>3086</v>
      </c>
      <c r="M1714" s="81" t="str">
        <f>+IFERROR(VLOOKUP(L1714,DATA!$G$4:$H$2000,2,FALSE),"")</f>
        <v xml:space="preserve">УНИВЕРСАЛ АВТО КОМПЛЕКС ХХК </v>
      </c>
      <c r="N1714" s="166"/>
      <c r="O1714" s="81" t="str">
        <f>IFERROR(VLOOKUP(N1714,DATA!$K$4:$L$51,2,FALSE),"")</f>
        <v/>
      </c>
      <c r="P1714" s="81"/>
      <c r="Q1714" s="152">
        <f t="shared" si="172"/>
        <v>0</v>
      </c>
    </row>
    <row r="1715" spans="2:17">
      <c r="B1715" s="670">
        <f t="shared" si="164"/>
        <v>1710</v>
      </c>
      <c r="C1715" s="433">
        <v>42976</v>
      </c>
      <c r="D1715" s="598" t="s">
        <v>1741</v>
      </c>
      <c r="E1715" s="572">
        <v>110100</v>
      </c>
      <c r="F1715" s="672" t="str">
        <f>IFERROR(VLOOKUP(E1715,STAT1!$C$4:$D$1000,2,FALSE),"")</f>
        <v>Хаан Банк 5024654020</v>
      </c>
      <c r="G1715" s="377">
        <v>24800000</v>
      </c>
      <c r="H1715" s="377"/>
      <c r="I1715" s="596">
        <f t="shared" si="171"/>
        <v>24800000</v>
      </c>
      <c r="J1715" s="81">
        <f t="shared" si="173"/>
        <v>0</v>
      </c>
      <c r="K1715" s="81"/>
      <c r="L1715" s="597">
        <v>3074</v>
      </c>
      <c r="M1715" s="81" t="str">
        <f>+IFERROR(VLOOKUP(L1715,DATA!$G$4:$H$2000,2,FALSE),"")</f>
        <v>КАМДЕР ХХК</v>
      </c>
      <c r="N1715" s="435">
        <v>41</v>
      </c>
      <c r="O1715" s="81" t="str">
        <f>IFERROR(VLOOKUP(N1715,DATA!$K$4:$L$51,2,FALSE),"")</f>
        <v>Бараа борлуулсан, үйлчилгээ үзүүлсэний орлого</v>
      </c>
      <c r="P1715" s="81"/>
      <c r="Q1715" s="152">
        <f t="shared" si="172"/>
        <v>1</v>
      </c>
    </row>
    <row r="1716" spans="2:17">
      <c r="B1716" s="670">
        <f t="shared" si="164"/>
        <v>1711</v>
      </c>
      <c r="C1716" s="433">
        <v>42976</v>
      </c>
      <c r="D1716" s="598" t="s">
        <v>1741</v>
      </c>
      <c r="E1716" s="572">
        <v>320100</v>
      </c>
      <c r="F1716" s="672" t="str">
        <f>IFERROR(VLOOKUP(E1716,STAT1!$C$4:$D$1000,2,FALSE),"")</f>
        <v>Урьдчилж орсон орлого MNT</v>
      </c>
      <c r="G1716" s="377">
        <v>0</v>
      </c>
      <c r="H1716" s="377">
        <v>24800000</v>
      </c>
      <c r="I1716" s="596">
        <f t="shared" si="171"/>
        <v>0</v>
      </c>
      <c r="J1716" s="81">
        <f t="shared" si="173"/>
        <v>0</v>
      </c>
      <c r="K1716" s="81"/>
      <c r="L1716" s="597">
        <v>3074</v>
      </c>
      <c r="M1716" s="81" t="str">
        <f>+IFERROR(VLOOKUP(L1716,DATA!$G$4:$H$2000,2,FALSE),"")</f>
        <v>КАМДЕР ХХК</v>
      </c>
      <c r="N1716" s="435"/>
      <c r="O1716" s="81" t="str">
        <f>IFERROR(VLOOKUP(N1716,DATA!$K$4:$L$51,2,FALSE),"")</f>
        <v/>
      </c>
      <c r="P1716" s="81"/>
      <c r="Q1716" s="152">
        <f t="shared" si="172"/>
        <v>0</v>
      </c>
    </row>
    <row r="1717" spans="2:17">
      <c r="B1717" s="670">
        <f t="shared" si="164"/>
        <v>1712</v>
      </c>
      <c r="C1717" s="433">
        <v>42976</v>
      </c>
      <c r="D1717" s="598" t="s">
        <v>1749</v>
      </c>
      <c r="E1717" s="572">
        <v>100100</v>
      </c>
      <c r="F1717" s="672" t="str">
        <f>IFERROR(VLOOKUP(E1717,STAT1!$C$4:$D$8000,2,FALSE),"")</f>
        <v>Касс мөнгө MNT</v>
      </c>
      <c r="G1717" s="377">
        <v>25000000</v>
      </c>
      <c r="H1717" s="377">
        <v>0</v>
      </c>
      <c r="I1717" s="596">
        <f t="shared" si="171"/>
        <v>25000000</v>
      </c>
      <c r="J1717" s="81">
        <f t="shared" si="173"/>
        <v>0</v>
      </c>
      <c r="K1717" s="81"/>
      <c r="L1717" s="597">
        <v>1004</v>
      </c>
      <c r="M1717" s="81" t="str">
        <f>+IFERROR(VLOOKUP(L1717,DATA!$G$4:$H$2000,2,FALSE),"")</f>
        <v xml:space="preserve">Түмэндэлгэр </v>
      </c>
      <c r="N1717" s="435"/>
      <c r="O1717" s="81" t="str">
        <f>IFERROR(VLOOKUP(N1717,DATA!$K$4:$L$51,2,FALSE),"")</f>
        <v/>
      </c>
      <c r="P1717" s="81"/>
      <c r="Q1717" s="152">
        <f t="shared" si="172"/>
        <v>1</v>
      </c>
    </row>
    <row r="1718" spans="2:17">
      <c r="B1718" s="670">
        <f t="shared" si="164"/>
        <v>1713</v>
      </c>
      <c r="C1718" s="433">
        <v>42976</v>
      </c>
      <c r="D1718" s="598" t="s">
        <v>1749</v>
      </c>
      <c r="E1718" s="572">
        <v>110100</v>
      </c>
      <c r="F1718" s="672" t="str">
        <f>IFERROR(VLOOKUP(E1718,STAT1!$C$4:$D$8000,2,FALSE),"")</f>
        <v>Хаан Банк 5024654020</v>
      </c>
      <c r="G1718" s="377"/>
      <c r="H1718" s="377">
        <v>25000000</v>
      </c>
      <c r="I1718" s="596">
        <f t="shared" si="171"/>
        <v>-25000000</v>
      </c>
      <c r="J1718" s="81">
        <f t="shared" si="173"/>
        <v>0</v>
      </c>
      <c r="K1718" s="81"/>
      <c r="L1718" s="597">
        <v>1004</v>
      </c>
      <c r="M1718" s="81" t="str">
        <f>+IFERROR(VLOOKUP(L1718,DATA!$G$4:$H$2000,2,FALSE),"")</f>
        <v xml:space="preserve">Түмэндэлгэр </v>
      </c>
      <c r="N1718" s="435"/>
      <c r="O1718" s="81" t="str">
        <f>IFERROR(VLOOKUP(N1718,DATA!$K$4:$L$51,2,FALSE),"")</f>
        <v/>
      </c>
      <c r="P1718" s="81"/>
      <c r="Q1718" s="152">
        <f t="shared" si="172"/>
        <v>1</v>
      </c>
    </row>
    <row r="1719" spans="2:17">
      <c r="B1719" s="670">
        <f t="shared" si="164"/>
        <v>1714</v>
      </c>
      <c r="C1719" s="433">
        <v>42977</v>
      </c>
      <c r="D1719" s="598" t="s">
        <v>1741</v>
      </c>
      <c r="E1719" s="572">
        <v>110100</v>
      </c>
      <c r="F1719" s="672" t="str">
        <f>IFERROR(VLOOKUP(E1719,STAT1!$C$4:$D$1000,2,FALSE),"")</f>
        <v>Хаан Банк 5024654020</v>
      </c>
      <c r="G1719" s="377">
        <v>125400</v>
      </c>
      <c r="H1719" s="377"/>
      <c r="I1719" s="596">
        <f t="shared" si="171"/>
        <v>125400</v>
      </c>
      <c r="J1719" s="81">
        <f t="shared" si="173"/>
        <v>0</v>
      </c>
      <c r="K1719" s="81"/>
      <c r="L1719" s="597">
        <v>3085</v>
      </c>
      <c r="M1719" s="81" t="str">
        <f>+IFERROR(VLOOKUP(L1719,DATA!$G$4:$H$2000,2,FALSE),"")</f>
        <v>УС ЭЛЕКТРО МОНТАЖ ХХК</v>
      </c>
      <c r="N1719" s="435">
        <v>41</v>
      </c>
      <c r="O1719" s="81" t="str">
        <f>IFERROR(VLOOKUP(N1719,DATA!$K$4:$L$51,2,FALSE),"")</f>
        <v>Бараа борлуулсан, үйлчилгээ үзүүлсэний орлого</v>
      </c>
      <c r="P1719" s="81"/>
      <c r="Q1719" s="152">
        <f t="shared" si="172"/>
        <v>1</v>
      </c>
    </row>
    <row r="1720" spans="2:17">
      <c r="B1720" s="670">
        <f t="shared" si="164"/>
        <v>1715</v>
      </c>
      <c r="C1720" s="433">
        <v>42977</v>
      </c>
      <c r="D1720" s="598" t="s">
        <v>1741</v>
      </c>
      <c r="E1720" s="572">
        <v>320100</v>
      </c>
      <c r="F1720" s="672" t="str">
        <f>IFERROR(VLOOKUP(E1720,STAT1!$C$4:$D$1000,2,FALSE),"")</f>
        <v>Урьдчилж орсон орлого MNT</v>
      </c>
      <c r="G1720" s="377">
        <v>0</v>
      </c>
      <c r="H1720" s="377">
        <v>125400</v>
      </c>
      <c r="I1720" s="596">
        <f t="shared" si="171"/>
        <v>0</v>
      </c>
      <c r="J1720" s="81">
        <f t="shared" si="173"/>
        <v>0</v>
      </c>
      <c r="K1720" s="81"/>
      <c r="L1720" s="597">
        <v>3085</v>
      </c>
      <c r="M1720" s="81" t="str">
        <f>+IFERROR(VLOOKUP(L1720,DATA!$G$4:$H$2000,2,FALSE),"")</f>
        <v>УС ЭЛЕКТРО МОНТАЖ ХХК</v>
      </c>
      <c r="N1720" s="435"/>
      <c r="O1720" s="81" t="str">
        <f>IFERROR(VLOOKUP(N1720,DATA!$K$4:$L$51,2,FALSE),"")</f>
        <v/>
      </c>
      <c r="P1720" s="81"/>
      <c r="Q1720" s="152">
        <f t="shared" si="172"/>
        <v>0</v>
      </c>
    </row>
    <row r="1721" spans="2:17">
      <c r="B1721" s="670">
        <f t="shared" si="164"/>
        <v>1716</v>
      </c>
      <c r="C1721" s="433">
        <v>42978</v>
      </c>
      <c r="D1721" s="377" t="s">
        <v>1739</v>
      </c>
      <c r="E1721" s="572">
        <v>100100</v>
      </c>
      <c r="F1721" s="672" t="str">
        <f>IFERROR(VLOOKUP(E1721,STAT1!$C$4:$D$1000,2,FALSE),"")</f>
        <v>Касс мөнгө MNT</v>
      </c>
      <c r="G1721" s="377"/>
      <c r="H1721" s="377">
        <v>8964272.3100000005</v>
      </c>
      <c r="I1721" s="596">
        <f t="shared" si="171"/>
        <v>-8964272.3100000005</v>
      </c>
      <c r="J1721" s="81">
        <f t="shared" si="173"/>
        <v>0</v>
      </c>
      <c r="K1721" s="81"/>
      <c r="L1721" s="597">
        <v>1004</v>
      </c>
      <c r="M1721" s="81" t="str">
        <f>+IFERROR(VLOOKUP(L1721,DATA!$G$4:$H$2000,2,FALSE),"")</f>
        <v xml:space="preserve">Түмэндэлгэр </v>
      </c>
      <c r="N1721" s="435">
        <v>51</v>
      </c>
      <c r="O1721" s="81" t="str">
        <f>IFERROR(VLOOKUP(N1721,DATA!$K$4:$L$51,2,FALSE),"")</f>
        <v>Ажиллагчдад төлсөн</v>
      </c>
      <c r="P1721" s="81"/>
      <c r="Q1721" s="152">
        <f t="shared" si="172"/>
        <v>1</v>
      </c>
    </row>
    <row r="1722" spans="2:17">
      <c r="B1722" s="670">
        <f t="shared" si="164"/>
        <v>1717</v>
      </c>
      <c r="C1722" s="433">
        <v>42978</v>
      </c>
      <c r="D1722" s="377" t="s">
        <v>1739</v>
      </c>
      <c r="E1722" s="572">
        <v>311000</v>
      </c>
      <c r="F1722" s="672" t="str">
        <f>IFERROR(VLOOKUP(E1722,STAT1!$C$4:$D$1000,2,FALSE),"")</f>
        <v>Цалингийн өглөг</v>
      </c>
      <c r="G1722" s="377">
        <v>8964272.3100000005</v>
      </c>
      <c r="H1722" s="377">
        <v>0</v>
      </c>
      <c r="I1722" s="596">
        <f t="shared" si="171"/>
        <v>0</v>
      </c>
      <c r="J1722" s="81">
        <f t="shared" si="173"/>
        <v>0</v>
      </c>
      <c r="K1722" s="81"/>
      <c r="L1722" s="597">
        <v>1004</v>
      </c>
      <c r="M1722" s="81" t="str">
        <f>+IFERROR(VLOOKUP(L1722,DATA!$G$4:$H$2000,2,FALSE),"")</f>
        <v xml:space="preserve">Түмэндэлгэр </v>
      </c>
      <c r="N1722" s="435"/>
      <c r="O1722" s="81" t="str">
        <f>IFERROR(VLOOKUP(N1722,DATA!$K$4:$L$51,2,FALSE),"")</f>
        <v/>
      </c>
      <c r="P1722" s="81"/>
      <c r="Q1722" s="152">
        <f t="shared" si="172"/>
        <v>0</v>
      </c>
    </row>
    <row r="1723" spans="2:17">
      <c r="B1723" s="670">
        <f t="shared" si="164"/>
        <v>1718</v>
      </c>
      <c r="C1723" s="433">
        <v>42978</v>
      </c>
      <c r="D1723" s="598" t="s">
        <v>1351</v>
      </c>
      <c r="E1723" s="572">
        <v>704900</v>
      </c>
      <c r="F1723" s="672" t="str">
        <f>IFERROR(VLOOKUP(E1723,STAT1!$C$4:$D$8000,2,FALSE),"")</f>
        <v>Банкны үйлчилгээ</v>
      </c>
      <c r="G1723" s="377">
        <v>2300</v>
      </c>
      <c r="H1723" s="377">
        <v>0</v>
      </c>
      <c r="I1723" s="596">
        <f t="shared" si="171"/>
        <v>0</v>
      </c>
      <c r="J1723" s="81">
        <f t="shared" si="173"/>
        <v>0</v>
      </c>
      <c r="K1723" s="81"/>
      <c r="L1723" s="597">
        <v>2009</v>
      </c>
      <c r="M1723" s="81" t="str">
        <f>+IFERROR(VLOOKUP(L1723,DATA!$G$4:$H$2000,2,FALSE),"")</f>
        <v>ХААН БАНК</v>
      </c>
      <c r="N1723" s="435"/>
      <c r="O1723" s="81" t="str">
        <f>IFERROR(VLOOKUP(N1723,DATA!$K$4:$L$51,2,FALSE),"")</f>
        <v/>
      </c>
      <c r="P1723" s="81"/>
      <c r="Q1723" s="152">
        <f t="shared" si="172"/>
        <v>0</v>
      </c>
    </row>
    <row r="1724" spans="2:17">
      <c r="B1724" s="670">
        <f t="shared" si="164"/>
        <v>1719</v>
      </c>
      <c r="C1724" s="433">
        <v>42978</v>
      </c>
      <c r="D1724" s="598" t="s">
        <v>1351</v>
      </c>
      <c r="E1724" s="572">
        <v>110100</v>
      </c>
      <c r="F1724" s="672" t="str">
        <f>IFERROR(VLOOKUP(E1724,STAT1!$C$4:$D$8000,2,FALSE),"")</f>
        <v>Хаан Банк 5024654020</v>
      </c>
      <c r="G1724" s="377"/>
      <c r="H1724" s="377">
        <v>2300</v>
      </c>
      <c r="I1724" s="596">
        <f t="shared" si="171"/>
        <v>-2300</v>
      </c>
      <c r="J1724" s="81">
        <f t="shared" si="173"/>
        <v>0</v>
      </c>
      <c r="K1724" s="81"/>
      <c r="L1724" s="597">
        <v>2009</v>
      </c>
      <c r="M1724" s="81" t="str">
        <f>+IFERROR(VLOOKUP(L1724,DATA!$G$4:$H$2000,2,FALSE),"")</f>
        <v>ХААН БАНК</v>
      </c>
      <c r="N1724" s="435">
        <v>59</v>
      </c>
      <c r="O1724" s="81" t="str">
        <f>IFERROR(VLOOKUP(N1724,DATA!$K$4:$L$51,2,FALSE),"")</f>
        <v>Бусад мөнгөн зарлага</v>
      </c>
      <c r="P1724" s="81"/>
      <c r="Q1724" s="152">
        <f t="shared" si="172"/>
        <v>1</v>
      </c>
    </row>
    <row r="1725" spans="2:17">
      <c r="B1725" s="670">
        <f t="shared" si="164"/>
        <v>1720</v>
      </c>
      <c r="C1725" s="433">
        <v>42978</v>
      </c>
      <c r="D1725" s="680" t="s">
        <v>1606</v>
      </c>
      <c r="E1725" s="572">
        <v>310800</v>
      </c>
      <c r="F1725" s="672" t="str">
        <f>IFERROR(VLOOKUP(E1725,STAT1!$C$4:$D$8000,2,FALSE),"")</f>
        <v>НД-ын байгууллагад өгөх өглөг</v>
      </c>
      <c r="G1725" s="377"/>
      <c r="H1725" s="377">
        <v>1299809.9583333335</v>
      </c>
      <c r="I1725" s="596">
        <f t="shared" si="171"/>
        <v>0</v>
      </c>
      <c r="J1725" s="81">
        <f t="shared" si="173"/>
        <v>0</v>
      </c>
      <c r="K1725" s="81"/>
      <c r="L1725" s="597">
        <v>1004</v>
      </c>
      <c r="M1725" s="81" t="str">
        <f>+IFERROR(VLOOKUP(L1725,DATA!$G$4:$H$2000,2,FALSE),"")</f>
        <v xml:space="preserve">Түмэндэлгэр </v>
      </c>
      <c r="N1725" s="166"/>
      <c r="O1725" s="81" t="str">
        <f>IFERROR(VLOOKUP(N1725,DATA!$K$4:$L$51,2,FALSE),"")</f>
        <v/>
      </c>
      <c r="P1725" s="81"/>
      <c r="Q1725" s="152">
        <f t="shared" si="172"/>
        <v>0</v>
      </c>
    </row>
    <row r="1726" spans="2:17">
      <c r="B1726" s="670">
        <f t="shared" ref="B1726:B1782" si="175">+IF(C1726="","",ROW()-5)</f>
        <v>1721</v>
      </c>
      <c r="C1726" s="433">
        <v>42978</v>
      </c>
      <c r="D1726" s="680" t="s">
        <v>1606</v>
      </c>
      <c r="E1726" s="572">
        <v>700200</v>
      </c>
      <c r="F1726" s="672" t="str">
        <f>IFERROR(VLOOKUP(E1726,STAT1!$C$4:$D$8000,2,FALSE),"")</f>
        <v>НДШимтгэл</v>
      </c>
      <c r="G1726" s="377">
        <v>1299809.9583333335</v>
      </c>
      <c r="H1726" s="377"/>
      <c r="I1726" s="596">
        <f t="shared" si="171"/>
        <v>0</v>
      </c>
      <c r="J1726" s="81">
        <f t="shared" si="173"/>
        <v>0</v>
      </c>
      <c r="K1726" s="81"/>
      <c r="L1726" s="597">
        <v>1004</v>
      </c>
      <c r="M1726" s="81" t="str">
        <f>+IFERROR(VLOOKUP(L1726,DATA!$G$4:$H$2000,2,FALSE),"")</f>
        <v xml:space="preserve">Түмэндэлгэр </v>
      </c>
      <c r="N1726" s="166"/>
      <c r="O1726" s="81" t="str">
        <f>IFERROR(VLOOKUP(N1726,DATA!$K$4:$L$51,2,FALSE),"")</f>
        <v/>
      </c>
      <c r="P1726" s="81"/>
      <c r="Q1726" s="152">
        <f t="shared" si="172"/>
        <v>0</v>
      </c>
    </row>
    <row r="1727" spans="2:17">
      <c r="B1727" s="670">
        <f t="shared" si="175"/>
        <v>1722</v>
      </c>
      <c r="C1727" s="433">
        <v>42978</v>
      </c>
      <c r="D1727" s="680" t="s">
        <v>1607</v>
      </c>
      <c r="E1727" s="572">
        <v>310800</v>
      </c>
      <c r="F1727" s="672" t="str">
        <f>IFERROR(VLOOKUP(E1727,STAT1!$C$4:$D$8000,2,FALSE),"")</f>
        <v>НД-ын байгууллагад өгөх өглөг</v>
      </c>
      <c r="G1727" s="377"/>
      <c r="H1727" s="377">
        <v>1081921.0416666665</v>
      </c>
      <c r="I1727" s="596">
        <f t="shared" si="171"/>
        <v>0</v>
      </c>
      <c r="J1727" s="81">
        <f t="shared" si="173"/>
        <v>0</v>
      </c>
      <c r="K1727" s="81"/>
      <c r="L1727" s="597">
        <v>1004</v>
      </c>
      <c r="M1727" s="81" t="str">
        <f>+IFERROR(VLOOKUP(L1727,DATA!$G$4:$H$2000,2,FALSE),"")</f>
        <v xml:space="preserve">Түмэндэлгэр </v>
      </c>
      <c r="N1727" s="166"/>
      <c r="O1727" s="81" t="str">
        <f>IFERROR(VLOOKUP(N1727,DATA!$K$4:$L$51,2,FALSE),"")</f>
        <v/>
      </c>
      <c r="P1727" s="81"/>
      <c r="Q1727" s="152">
        <f t="shared" si="172"/>
        <v>0</v>
      </c>
    </row>
    <row r="1728" spans="2:17">
      <c r="B1728" s="670">
        <f t="shared" si="175"/>
        <v>1723</v>
      </c>
      <c r="C1728" s="433">
        <v>42978</v>
      </c>
      <c r="D1728" s="680" t="s">
        <v>1608</v>
      </c>
      <c r="E1728" s="572">
        <v>310700</v>
      </c>
      <c r="F1728" s="672" t="str">
        <f>IFERROR(VLOOKUP(E1728,STAT1!$C$4:$D$8000,2,FALSE),"")</f>
        <v>ХАОАТ өглөг</v>
      </c>
      <c r="G1728" s="377"/>
      <c r="H1728" s="377">
        <v>848252.47916666674</v>
      </c>
      <c r="I1728" s="596">
        <f t="shared" si="171"/>
        <v>0</v>
      </c>
      <c r="J1728" s="81">
        <f t="shared" si="173"/>
        <v>0</v>
      </c>
      <c r="K1728" s="81"/>
      <c r="L1728" s="597">
        <v>1004</v>
      </c>
      <c r="M1728" s="81" t="str">
        <f>+IFERROR(VLOOKUP(L1728,DATA!$G$4:$H$2000,2,FALSE),"")</f>
        <v xml:space="preserve">Түмэндэлгэр </v>
      </c>
      <c r="N1728" s="166"/>
      <c r="O1728" s="81" t="str">
        <f>IFERROR(VLOOKUP(N1728,DATA!$K$4:$L$51,2,FALSE),"")</f>
        <v/>
      </c>
      <c r="P1728" s="81"/>
      <c r="Q1728" s="152">
        <f t="shared" si="172"/>
        <v>0</v>
      </c>
    </row>
    <row r="1729" spans="2:17">
      <c r="B1729" s="670">
        <f t="shared" si="175"/>
        <v>1724</v>
      </c>
      <c r="C1729" s="433">
        <v>42978</v>
      </c>
      <c r="D1729" s="680" t="s">
        <v>1609</v>
      </c>
      <c r="E1729" s="572">
        <v>311000</v>
      </c>
      <c r="F1729" s="672" t="str">
        <f>IFERROR(VLOOKUP(E1729,STAT1!$C$4:$D$8000,2,FALSE),"")</f>
        <v>Цалингийн өглөг</v>
      </c>
      <c r="G1729" s="377"/>
      <c r="H1729" s="377">
        <v>8964272.3125</v>
      </c>
      <c r="I1729" s="596">
        <f t="shared" si="171"/>
        <v>0</v>
      </c>
      <c r="J1729" s="81">
        <f t="shared" si="173"/>
        <v>0</v>
      </c>
      <c r="K1729" s="81"/>
      <c r="L1729" s="597">
        <v>1004</v>
      </c>
      <c r="M1729" s="81" t="str">
        <f>+IFERROR(VLOOKUP(L1729,DATA!$G$4:$H$2000,2,FALSE),"")</f>
        <v xml:space="preserve">Түмэндэлгэр </v>
      </c>
      <c r="N1729" s="166"/>
      <c r="O1729" s="81" t="str">
        <f>IFERROR(VLOOKUP(N1729,DATA!$K$4:$L$51,2,FALSE),"")</f>
        <v/>
      </c>
      <c r="P1729" s="81"/>
      <c r="Q1729" s="152">
        <f t="shared" si="172"/>
        <v>0</v>
      </c>
    </row>
    <row r="1730" spans="2:17">
      <c r="B1730" s="670">
        <f t="shared" si="175"/>
        <v>1725</v>
      </c>
      <c r="C1730" s="433">
        <v>42978</v>
      </c>
      <c r="D1730" s="680" t="s">
        <v>1609</v>
      </c>
      <c r="E1730" s="572">
        <v>700100</v>
      </c>
      <c r="F1730" s="672" t="str">
        <f>IFERROR(VLOOKUP(E1730,STAT1!$C$4:$D$8000,2,FALSE),"")</f>
        <v>Цалин хөлс, шагнал</v>
      </c>
      <c r="G1730" s="377">
        <v>10894445.84</v>
      </c>
      <c r="H1730" s="377"/>
      <c r="I1730" s="596">
        <f t="shared" si="171"/>
        <v>0</v>
      </c>
      <c r="J1730" s="81">
        <f t="shared" si="173"/>
        <v>0</v>
      </c>
      <c r="K1730" s="81"/>
      <c r="L1730" s="597">
        <v>1004</v>
      </c>
      <c r="M1730" s="81" t="str">
        <f>+IFERROR(VLOOKUP(L1730,DATA!$G$4:$H$2000,2,FALSE),"")</f>
        <v xml:space="preserve">Түмэндэлгэр </v>
      </c>
      <c r="N1730" s="166"/>
      <c r="O1730" s="81" t="str">
        <f>IFERROR(VLOOKUP(N1730,DATA!$K$4:$L$51,2,FALSE),"")</f>
        <v/>
      </c>
      <c r="P1730" s="81"/>
      <c r="Q1730" s="152">
        <f t="shared" si="172"/>
        <v>0</v>
      </c>
    </row>
    <row r="1731" spans="2:17">
      <c r="B1731" s="670">
        <f t="shared" si="175"/>
        <v>1726</v>
      </c>
      <c r="C1731" s="433">
        <v>42978</v>
      </c>
      <c r="D1731" s="377" t="s">
        <v>1788</v>
      </c>
      <c r="E1731" s="572">
        <v>310500</v>
      </c>
      <c r="F1731" s="672" t="str">
        <f>IFERROR(VLOOKUP(E1731,STAT1!$C$4:$D$8000,2,FALSE),"")</f>
        <v>НӨАТ өглөг</v>
      </c>
      <c r="G1731" s="377"/>
      <c r="H1731" s="377">
        <v>4294090.91</v>
      </c>
      <c r="I1731" s="596">
        <f t="shared" si="171"/>
        <v>0</v>
      </c>
      <c r="J1731" s="81">
        <f t="shared" si="173"/>
        <v>0</v>
      </c>
      <c r="K1731" s="81"/>
      <c r="L1731" s="597">
        <v>3001</v>
      </c>
      <c r="M1731" s="81" t="str">
        <f>+IFERROR(VLOOKUP(L1731,DATA!$G$4:$H$2000,2,FALSE),"")</f>
        <v>ХУРД ГРУПП ХХК</v>
      </c>
      <c r="N1731" s="166"/>
      <c r="O1731" s="81" t="str">
        <f>IFERROR(VLOOKUP(N1731,DATA!$K$4:$L$51,2,FALSE),"")</f>
        <v/>
      </c>
      <c r="P1731" s="81"/>
      <c r="Q1731" s="152">
        <f t="shared" si="172"/>
        <v>0</v>
      </c>
    </row>
    <row r="1732" spans="2:17">
      <c r="B1732" s="670">
        <f t="shared" si="175"/>
        <v>1727</v>
      </c>
      <c r="C1732" s="433">
        <v>42978</v>
      </c>
      <c r="D1732" s="377" t="s">
        <v>1788</v>
      </c>
      <c r="E1732" s="572">
        <v>510100</v>
      </c>
      <c r="F1732" s="672" t="str">
        <f>IFERROR(VLOOKUP(E1732,STAT1!$C$4:$D$8000,2,FALSE),"")</f>
        <v>Үзүүлсэн ажил үйлчилгээний орлого</v>
      </c>
      <c r="G1732" s="377"/>
      <c r="H1732" s="377">
        <v>42940909.090000004</v>
      </c>
      <c r="I1732" s="596">
        <f t="shared" si="171"/>
        <v>0</v>
      </c>
      <c r="J1732" s="81">
        <f t="shared" ref="J1732:J1737" si="176">+IF(E1732=110102,I1732/K1732,0)</f>
        <v>0</v>
      </c>
      <c r="K1732" s="81"/>
      <c r="L1732" s="597">
        <v>3001</v>
      </c>
      <c r="M1732" s="81" t="str">
        <f>+IFERROR(VLOOKUP(L1732,DATA!$G$4:$H$2000,2,FALSE),"")</f>
        <v>ХУРД ГРУПП ХХК</v>
      </c>
      <c r="N1732" s="166"/>
      <c r="O1732" s="81" t="str">
        <f>IFERROR(VLOOKUP(N1732,DATA!$K$4:$L$51,2,FALSE),"")</f>
        <v/>
      </c>
      <c r="P1732" s="81"/>
      <c r="Q1732" s="152">
        <f t="shared" si="172"/>
        <v>0</v>
      </c>
    </row>
    <row r="1733" spans="2:17">
      <c r="B1733" s="670">
        <f t="shared" si="175"/>
        <v>1728</v>
      </c>
      <c r="C1733" s="433">
        <v>42978</v>
      </c>
      <c r="D1733" s="377" t="s">
        <v>1788</v>
      </c>
      <c r="E1733" s="572">
        <v>320100</v>
      </c>
      <c r="F1733" s="672" t="str">
        <f>IFERROR(VLOOKUP(E1733,STAT1!$C$4:$D$8000,2,FALSE),"")</f>
        <v>Урьдчилж орсон орлого MNT</v>
      </c>
      <c r="G1733" s="377">
        <v>47235000</v>
      </c>
      <c r="H1733" s="377"/>
      <c r="I1733" s="596">
        <f t="shared" si="171"/>
        <v>0</v>
      </c>
      <c r="J1733" s="81">
        <f t="shared" si="176"/>
        <v>0</v>
      </c>
      <c r="K1733" s="81"/>
      <c r="L1733" s="597">
        <v>3001</v>
      </c>
      <c r="M1733" s="81" t="str">
        <f>+IFERROR(VLOOKUP(L1733,DATA!$G$4:$H$2000,2,FALSE),"")</f>
        <v>ХУРД ГРУПП ХХК</v>
      </c>
      <c r="N1733" s="166"/>
      <c r="O1733" s="81" t="str">
        <f>IFERROR(VLOOKUP(N1733,DATA!$K$4:$L$51,2,FALSE),"")</f>
        <v/>
      </c>
      <c r="P1733" s="81"/>
      <c r="Q1733" s="152">
        <f t="shared" si="172"/>
        <v>0</v>
      </c>
    </row>
    <row r="1734" spans="2:17">
      <c r="B1734" s="670">
        <f t="shared" si="175"/>
        <v>1729</v>
      </c>
      <c r="C1734" s="433">
        <v>42978</v>
      </c>
      <c r="D1734" s="377" t="s">
        <v>1789</v>
      </c>
      <c r="E1734" s="572">
        <v>310500</v>
      </c>
      <c r="F1734" s="672" t="str">
        <f>IFERROR(VLOOKUP(E1734,STAT1!$C$4:$D$8000,2,FALSE),"")</f>
        <v>НӨАТ өглөг</v>
      </c>
      <c r="G1734" s="377"/>
      <c r="H1734" s="377">
        <v>6836363.6299999999</v>
      </c>
      <c r="I1734" s="596">
        <f t="shared" ref="I1734:I1746" si="177">+IF(OR(E1734=100100,E1734=100200,E1734=110100,E1734=110102,E1734=110103,E1734=110104,E1734=110105,E1734=110200,E1734=110201,E1734=110202,E1734=110203,E1734=110204,E1734=110300),G1734,0)+IF(OR(E1734=100100,E1734=100200,E1734=110100,E1734=110102,E1734=110103,E1734=110104,E1734=110105,E1734=110200,E1734=110201,E1734=110202,E1734=110203,E1734=110204,E1734=110300),H1734*-1,0)</f>
        <v>0</v>
      </c>
      <c r="J1734" s="81">
        <f t="shared" si="176"/>
        <v>0</v>
      </c>
      <c r="K1734" s="81"/>
      <c r="L1734" s="597">
        <v>3074</v>
      </c>
      <c r="M1734" s="81" t="str">
        <f>+IFERROR(VLOOKUP(L1734,DATA!$G$4:$H$2000,2,FALSE),"")</f>
        <v>КАМДЕР ХХК</v>
      </c>
      <c r="N1734" s="166"/>
      <c r="O1734" s="81" t="str">
        <f>IFERROR(VLOOKUP(N1734,DATA!$K$4:$L$51,2,FALSE),"")</f>
        <v/>
      </c>
      <c r="P1734" s="81"/>
      <c r="Q1734" s="152">
        <f t="shared" si="172"/>
        <v>0</v>
      </c>
    </row>
    <row r="1735" spans="2:17">
      <c r="B1735" s="670">
        <f t="shared" si="175"/>
        <v>1730</v>
      </c>
      <c r="C1735" s="433">
        <v>42978</v>
      </c>
      <c r="D1735" s="377" t="s">
        <v>1789</v>
      </c>
      <c r="E1735" s="572">
        <v>510100</v>
      </c>
      <c r="F1735" s="672" t="str">
        <f>IFERROR(VLOOKUP(E1735,STAT1!$C$4:$D$8000,2,FALSE),"")</f>
        <v>Үзүүлсэн ажил үйлчилгээний орлого</v>
      </c>
      <c r="G1735" s="377"/>
      <c r="H1735" s="377">
        <v>68363636.370000005</v>
      </c>
      <c r="I1735" s="596">
        <f t="shared" si="177"/>
        <v>0</v>
      </c>
      <c r="J1735" s="81">
        <f t="shared" si="176"/>
        <v>0</v>
      </c>
      <c r="K1735" s="81"/>
      <c r="L1735" s="597">
        <v>3074</v>
      </c>
      <c r="M1735" s="81" t="str">
        <f>+IFERROR(VLOOKUP(L1735,DATA!$G$4:$H$2000,2,FALSE),"")</f>
        <v>КАМДЕР ХХК</v>
      </c>
      <c r="N1735" s="166"/>
      <c r="O1735" s="81" t="str">
        <f>IFERROR(VLOOKUP(N1735,DATA!$K$4:$L$51,2,FALSE),"")</f>
        <v/>
      </c>
      <c r="P1735" s="81"/>
      <c r="Q1735" s="152">
        <f t="shared" si="172"/>
        <v>0</v>
      </c>
    </row>
    <row r="1736" spans="2:17">
      <c r="B1736" s="670">
        <f t="shared" si="175"/>
        <v>1731</v>
      </c>
      <c r="C1736" s="433">
        <v>42978</v>
      </c>
      <c r="D1736" s="377" t="s">
        <v>1789</v>
      </c>
      <c r="E1736" s="572">
        <v>320100</v>
      </c>
      <c r="F1736" s="672" t="str">
        <f>IFERROR(VLOOKUP(E1736,STAT1!$C$4:$D$8000,2,FALSE),"")</f>
        <v>Урьдчилж орсон орлого MNT</v>
      </c>
      <c r="G1736" s="377">
        <v>75200000</v>
      </c>
      <c r="H1736" s="377"/>
      <c r="I1736" s="596">
        <f t="shared" si="177"/>
        <v>0</v>
      </c>
      <c r="J1736" s="81">
        <f t="shared" si="176"/>
        <v>0</v>
      </c>
      <c r="K1736" s="81"/>
      <c r="L1736" s="597">
        <v>3074</v>
      </c>
      <c r="M1736" s="81" t="str">
        <f>+IFERROR(VLOOKUP(L1736,DATA!$G$4:$H$2000,2,FALSE),"")</f>
        <v>КАМДЕР ХХК</v>
      </c>
      <c r="N1736" s="166"/>
      <c r="O1736" s="81" t="str">
        <f>IFERROR(VLOOKUP(N1736,DATA!$K$4:$L$51,2,FALSE),"")</f>
        <v/>
      </c>
      <c r="P1736" s="81"/>
      <c r="Q1736" s="152">
        <f t="shared" ref="Q1736:Q1799" si="178">+IF(I1736,1,0)</f>
        <v>0</v>
      </c>
    </row>
    <row r="1737" spans="2:17">
      <c r="B1737" s="670">
        <f t="shared" si="175"/>
        <v>1732</v>
      </c>
      <c r="C1737" s="433">
        <v>42978</v>
      </c>
      <c r="D1737" s="377" t="s">
        <v>1790</v>
      </c>
      <c r="E1737" s="572">
        <v>700100</v>
      </c>
      <c r="F1737" s="672" t="str">
        <f>IFERROR(VLOOKUP(E1737,STAT1!$C$4:$D$8000,2,FALSE),"")</f>
        <v>Цалин хөлс, шагнал</v>
      </c>
      <c r="G1737" s="377"/>
      <c r="H1737" s="377">
        <v>6129942.7999999998</v>
      </c>
      <c r="I1737" s="596">
        <f t="shared" si="177"/>
        <v>0</v>
      </c>
      <c r="J1737" s="81">
        <f t="shared" si="176"/>
        <v>0</v>
      </c>
      <c r="K1737" s="81"/>
      <c r="L1737" s="597">
        <v>3074</v>
      </c>
      <c r="M1737" s="81" t="str">
        <f>+IFERROR(VLOOKUP(L1737,DATA!$G$4:$H$2000,2,FALSE),"")</f>
        <v>КАМДЕР ХХК</v>
      </c>
      <c r="N1737" s="166"/>
      <c r="O1737" s="81" t="str">
        <f>IFERROR(VLOOKUP(N1737,DATA!$K$4:$L$51,2,FALSE),"")</f>
        <v/>
      </c>
      <c r="P1737" s="81"/>
      <c r="Q1737" s="152">
        <f t="shared" si="178"/>
        <v>0</v>
      </c>
    </row>
    <row r="1738" spans="2:17">
      <c r="B1738" s="670">
        <f t="shared" si="175"/>
        <v>1733</v>
      </c>
      <c r="C1738" s="433">
        <v>42978</v>
      </c>
      <c r="D1738" s="377" t="s">
        <v>1790</v>
      </c>
      <c r="E1738" s="572">
        <v>141301</v>
      </c>
      <c r="F1738" s="672" t="str">
        <f>IFERROR(VLOOKUP(E1738,STAT1!$C$4:$D$8000,2,FALSE),"")</f>
        <v xml:space="preserve">ШХЗардал БУСАД </v>
      </c>
      <c r="G1738" s="377">
        <v>6129942.7999999998</v>
      </c>
      <c r="H1738" s="377"/>
      <c r="I1738" s="596">
        <f t="shared" si="177"/>
        <v>0</v>
      </c>
      <c r="J1738" s="81"/>
      <c r="K1738" s="81"/>
      <c r="L1738" s="597">
        <v>3074</v>
      </c>
      <c r="M1738" s="81" t="str">
        <f>+IFERROR(VLOOKUP(L1738,DATA!$G$4:$H$2000,2,FALSE),"")</f>
        <v>КАМДЕР ХХК</v>
      </c>
      <c r="N1738" s="166"/>
      <c r="O1738" s="81"/>
      <c r="P1738" s="81"/>
      <c r="Q1738" s="152">
        <f t="shared" si="178"/>
        <v>0</v>
      </c>
    </row>
    <row r="1739" spans="2:17">
      <c r="B1739" s="670">
        <f t="shared" si="175"/>
        <v>1734</v>
      </c>
      <c r="C1739" s="433">
        <v>42978</v>
      </c>
      <c r="D1739" s="377" t="s">
        <v>1791</v>
      </c>
      <c r="E1739" s="572">
        <v>700700</v>
      </c>
      <c r="F1739" s="672" t="str">
        <f>IFERROR(VLOOKUP(E1739,STAT1!$C$4:$D$8000,2,FALSE),"")</f>
        <v>Цахилгаан эрчим хүч</v>
      </c>
      <c r="G1739" s="377"/>
      <c r="H1739" s="377">
        <v>1143998.3500000001</v>
      </c>
      <c r="I1739" s="596">
        <f t="shared" si="177"/>
        <v>0</v>
      </c>
      <c r="J1739" s="81">
        <f>+IF(E1739=110102,I1739/K1739,0)</f>
        <v>0</v>
      </c>
      <c r="K1739" s="81"/>
      <c r="L1739" s="597">
        <v>3074</v>
      </c>
      <c r="M1739" s="81" t="str">
        <f>+IFERROR(VLOOKUP(L1739,DATA!$G$4:$H$2000,2,FALSE),"")</f>
        <v>КАМДЕР ХХК</v>
      </c>
      <c r="N1739" s="166"/>
      <c r="O1739" s="81" t="str">
        <f>IFERROR(VLOOKUP(N1739,DATA!$K$4:$L$51,2,FALSE),"")</f>
        <v/>
      </c>
      <c r="P1739" s="81"/>
      <c r="Q1739" s="152">
        <f t="shared" si="178"/>
        <v>0</v>
      </c>
    </row>
    <row r="1740" spans="2:17">
      <c r="B1740" s="670">
        <f t="shared" si="175"/>
        <v>1735</v>
      </c>
      <c r="C1740" s="433">
        <v>42978</v>
      </c>
      <c r="D1740" s="377" t="s">
        <v>1791</v>
      </c>
      <c r="E1740" s="572">
        <v>141401</v>
      </c>
      <c r="F1740" s="672" t="str">
        <f>IFERROR(VLOOKUP(E1740,STAT1!$C$4:$D$8000,2,FALSE),"")</f>
        <v xml:space="preserve">ҮНЗардал БУСАД </v>
      </c>
      <c r="G1740" s="377">
        <v>1143998.3500000001</v>
      </c>
      <c r="H1740" s="377"/>
      <c r="I1740" s="596">
        <f t="shared" si="177"/>
        <v>0</v>
      </c>
      <c r="J1740" s="81"/>
      <c r="K1740" s="81"/>
      <c r="L1740" s="597">
        <v>3074</v>
      </c>
      <c r="M1740" s="81" t="str">
        <f>+IFERROR(VLOOKUP(L1740,DATA!$G$4:$H$2000,2,FALSE),"")</f>
        <v>КАМДЕР ХХК</v>
      </c>
      <c r="N1740" s="166"/>
      <c r="O1740" s="81"/>
      <c r="P1740" s="81"/>
      <c r="Q1740" s="152">
        <f t="shared" si="178"/>
        <v>0</v>
      </c>
    </row>
    <row r="1741" spans="2:17">
      <c r="B1741" s="670">
        <f t="shared" si="175"/>
        <v>1736</v>
      </c>
      <c r="C1741" s="433">
        <v>42978</v>
      </c>
      <c r="D1741" s="377" t="s">
        <v>1791</v>
      </c>
      <c r="E1741" s="572">
        <v>141501</v>
      </c>
      <c r="F1741" s="672" t="str">
        <f>IFERROR(VLOOKUP(E1741,STAT1!$C$4:$D$8000,2,FALSE),"")</f>
        <v xml:space="preserve">Нэгтгэл зардал БУСАД </v>
      </c>
      <c r="G1741" s="377">
        <v>7273941.1500000004</v>
      </c>
      <c r="H1741" s="377"/>
      <c r="I1741" s="596">
        <f t="shared" si="177"/>
        <v>0</v>
      </c>
      <c r="J1741" s="81">
        <f>+IF(E1741=110102,I1741/K1741,0)</f>
        <v>0</v>
      </c>
      <c r="K1741" s="81"/>
      <c r="L1741" s="597">
        <v>3074</v>
      </c>
      <c r="M1741" s="81" t="str">
        <f>+IFERROR(VLOOKUP(L1741,DATA!$G$4:$H$2000,2,FALSE),"")</f>
        <v>КАМДЕР ХХК</v>
      </c>
      <c r="N1741" s="166"/>
      <c r="O1741" s="81" t="str">
        <f>IFERROR(VLOOKUP(N1741,DATA!$K$4:$L$51,2,FALSE),"")</f>
        <v/>
      </c>
      <c r="P1741" s="81"/>
      <c r="Q1741" s="152">
        <f t="shared" si="178"/>
        <v>0</v>
      </c>
    </row>
    <row r="1742" spans="2:17">
      <c r="B1742" s="670">
        <f t="shared" si="175"/>
        <v>1737</v>
      </c>
      <c r="C1742" s="433">
        <v>42978</v>
      </c>
      <c r="D1742" s="377" t="s">
        <v>1791</v>
      </c>
      <c r="E1742" s="572">
        <v>141301</v>
      </c>
      <c r="F1742" s="672" t="str">
        <f>IFERROR(VLOOKUP(E1742,STAT1!$C$4:$D$8000,2,FALSE),"")</f>
        <v xml:space="preserve">ШХЗардал БУСАД </v>
      </c>
      <c r="G1742" s="377"/>
      <c r="H1742" s="377">
        <v>6129942.7999999998</v>
      </c>
      <c r="I1742" s="596">
        <f t="shared" si="177"/>
        <v>0</v>
      </c>
      <c r="J1742" s="81"/>
      <c r="K1742" s="81"/>
      <c r="L1742" s="597">
        <v>3074</v>
      </c>
      <c r="M1742" s="81" t="str">
        <f>+IFERROR(VLOOKUP(L1742,DATA!$G$4:$H$2000,2,FALSE),"")</f>
        <v>КАМДЕР ХХК</v>
      </c>
      <c r="N1742" s="166"/>
      <c r="O1742" s="81"/>
      <c r="P1742" s="81"/>
      <c r="Q1742" s="152">
        <f t="shared" si="178"/>
        <v>0</v>
      </c>
    </row>
    <row r="1743" spans="2:17">
      <c r="B1743" s="670">
        <f t="shared" si="175"/>
        <v>1738</v>
      </c>
      <c r="C1743" s="433">
        <v>42978</v>
      </c>
      <c r="D1743" s="377" t="s">
        <v>1791</v>
      </c>
      <c r="E1743" s="572">
        <v>141401</v>
      </c>
      <c r="F1743" s="672" t="str">
        <f>IFERROR(VLOOKUP(E1743,STAT1!$C$4:$D$8000,2,FALSE),"")</f>
        <v xml:space="preserve">ҮНЗардал БУСАД </v>
      </c>
      <c r="G1743" s="377"/>
      <c r="H1743" s="377">
        <v>1143998.3500000001</v>
      </c>
      <c r="I1743" s="596">
        <f t="shared" si="177"/>
        <v>0</v>
      </c>
      <c r="J1743" s="81"/>
      <c r="K1743" s="81"/>
      <c r="L1743" s="597">
        <v>3074</v>
      </c>
      <c r="M1743" s="81" t="str">
        <f>+IFERROR(VLOOKUP(L1743,DATA!$G$4:$H$2000,2,FALSE),"")</f>
        <v>КАМДЕР ХХК</v>
      </c>
      <c r="N1743" s="166"/>
      <c r="O1743" s="81"/>
      <c r="P1743" s="81"/>
      <c r="Q1743" s="152">
        <f t="shared" si="178"/>
        <v>0</v>
      </c>
    </row>
    <row r="1744" spans="2:17">
      <c r="B1744" s="670">
        <f t="shared" si="175"/>
        <v>1739</v>
      </c>
      <c r="C1744" s="433">
        <v>42978</v>
      </c>
      <c r="D1744" s="377" t="s">
        <v>2603</v>
      </c>
      <c r="E1744" s="572">
        <v>141501</v>
      </c>
      <c r="F1744" s="672" t="str">
        <f>IFERROR(VLOOKUP(E1744,STAT1!$C$4:$D$8000,2,FALSE),"")</f>
        <v xml:space="preserve">Нэгтгэл зардал БУСАД </v>
      </c>
      <c r="G1744" s="377"/>
      <c r="H1744" s="377">
        <v>87408692.762500048</v>
      </c>
      <c r="I1744" s="596">
        <f t="shared" si="177"/>
        <v>0</v>
      </c>
      <c r="J1744" s="81"/>
      <c r="K1744" s="81"/>
      <c r="L1744" s="597">
        <v>1004</v>
      </c>
      <c r="M1744" s="81" t="str">
        <f>+IFERROR(VLOOKUP(L1744,DATA!$G$4:$H$2000,2,FALSE),"")</f>
        <v xml:space="preserve">Түмэндэлгэр </v>
      </c>
      <c r="N1744" s="166"/>
      <c r="O1744" s="81"/>
      <c r="P1744" s="81"/>
      <c r="Q1744" s="152">
        <f t="shared" si="178"/>
        <v>0</v>
      </c>
    </row>
    <row r="1745" spans="2:17">
      <c r="B1745" s="670">
        <f t="shared" si="175"/>
        <v>1740</v>
      </c>
      <c r="C1745" s="433">
        <v>42978</v>
      </c>
      <c r="D1745" s="377" t="s">
        <v>2603</v>
      </c>
      <c r="E1745" s="572">
        <v>610101</v>
      </c>
      <c r="F1745" s="672" t="str">
        <f>IFERROR(VLOOKUP(E1745,STAT1!$C$4:$D$8000,2,FALSE),"")</f>
        <v>Борлуулсан барааны өртөг - Бусад</v>
      </c>
      <c r="G1745" s="377">
        <v>87408692.762500048</v>
      </c>
      <c r="H1745" s="377"/>
      <c r="I1745" s="596">
        <f t="shared" si="177"/>
        <v>0</v>
      </c>
      <c r="J1745" s="81"/>
      <c r="K1745" s="81"/>
      <c r="L1745" s="597">
        <v>1004</v>
      </c>
      <c r="M1745" s="81" t="str">
        <f>+IFERROR(VLOOKUP(L1745,DATA!$G$4:$H$2000,2,FALSE),"")</f>
        <v xml:space="preserve">Түмэндэлгэр </v>
      </c>
      <c r="N1745" s="166"/>
      <c r="O1745" s="81"/>
      <c r="P1745" s="81"/>
      <c r="Q1745" s="152">
        <f t="shared" si="178"/>
        <v>0</v>
      </c>
    </row>
    <row r="1746" spans="2:17">
      <c r="B1746" s="670">
        <f t="shared" si="175"/>
        <v>1741</v>
      </c>
      <c r="C1746" s="433">
        <v>42978</v>
      </c>
      <c r="D1746" s="377" t="s">
        <v>1792</v>
      </c>
      <c r="E1746" s="572">
        <v>141501</v>
      </c>
      <c r="F1746" s="672" t="str">
        <f>IFERROR(VLOOKUP(E1746,STAT1!$C$4:$D$8000,2,FALSE),"")</f>
        <v xml:space="preserve">Нэгтгэл зардал БУСАД </v>
      </c>
      <c r="G1746" s="377">
        <v>2244293</v>
      </c>
      <c r="H1746" s="377"/>
      <c r="I1746" s="596">
        <f t="shared" si="177"/>
        <v>0</v>
      </c>
      <c r="J1746" s="164">
        <v>3074</v>
      </c>
      <c r="K1746" s="81"/>
      <c r="L1746" s="597">
        <v>3074</v>
      </c>
      <c r="M1746" s="81" t="str">
        <f>+IFERROR(VLOOKUP(L1746,DATA!$G$4:$H$2000,2,FALSE),"")</f>
        <v>КАМДЕР ХХК</v>
      </c>
      <c r="N1746" s="166"/>
      <c r="O1746" s="81"/>
      <c r="P1746" s="81"/>
      <c r="Q1746" s="152">
        <f t="shared" si="178"/>
        <v>0</v>
      </c>
    </row>
    <row r="1747" spans="2:17">
      <c r="B1747" s="670">
        <f t="shared" si="175"/>
        <v>1742</v>
      </c>
      <c r="C1747" s="433">
        <v>42978</v>
      </c>
      <c r="D1747" s="377" t="s">
        <v>1792</v>
      </c>
      <c r="E1747" s="572">
        <v>141301</v>
      </c>
      <c r="F1747" s="672" t="str">
        <f>IFERROR(VLOOKUP(E1747,STAT1!$C$4:$D$8000,2,FALSE),"")</f>
        <v xml:space="preserve">ШХЗардал БУСАД </v>
      </c>
      <c r="G1747" s="377"/>
      <c r="H1747" s="377">
        <v>2244293</v>
      </c>
      <c r="I1747" s="596">
        <v>0</v>
      </c>
      <c r="J1747" s="81"/>
      <c r="K1747" s="81"/>
      <c r="L1747" s="597">
        <v>3074</v>
      </c>
      <c r="M1747" s="81" t="str">
        <f>+IFERROR(VLOOKUP(L1747,DATA!$G$4:$H$2000,2,FALSE),"")</f>
        <v>КАМДЕР ХХК</v>
      </c>
      <c r="N1747" s="166"/>
      <c r="O1747" s="81"/>
      <c r="P1747" s="81"/>
      <c r="Q1747" s="152">
        <f t="shared" si="178"/>
        <v>0</v>
      </c>
    </row>
    <row r="1748" spans="2:17">
      <c r="B1748" s="670">
        <f t="shared" si="175"/>
        <v>1743</v>
      </c>
      <c r="C1748" s="433">
        <v>42978</v>
      </c>
      <c r="D1748" s="377" t="s">
        <v>1792</v>
      </c>
      <c r="E1748" s="572">
        <v>700100</v>
      </c>
      <c r="F1748" s="672" t="str">
        <f>IFERROR(VLOOKUP(E1748,STAT1!$C$4:$D$8000,2,FALSE),"")</f>
        <v>Цалин хөлс, шагнал</v>
      </c>
      <c r="G1748" s="377"/>
      <c r="H1748" s="377">
        <v>2244293</v>
      </c>
      <c r="I1748" s="596">
        <f t="shared" ref="I1748:I1811" si="179">+IF(OR(E1748=100100,E1748=100200,E1748=110100,E1748=110102,E1748=110103,E1748=110104,E1748=110105,E1748=110200,E1748=110201,E1748=110202,E1748=110203,E1748=110204,E1748=110300),G1748,0)+IF(OR(E1748=100100,E1748=100200,E1748=110100,E1748=110102,E1748=110103,E1748=110104,E1748=110105,E1748=110200,E1748=110201,E1748=110202,E1748=110203,E1748=110204,E1748=110300),H1748*-1,0)</f>
        <v>0</v>
      </c>
      <c r="J1748" s="81">
        <f t="shared" ref="J1748:J1779" si="180">+IF(E1748=110102,I1748/K1748,0)</f>
        <v>0</v>
      </c>
      <c r="K1748" s="81"/>
      <c r="L1748" s="597">
        <v>3001</v>
      </c>
      <c r="M1748" s="81" t="str">
        <f>+IFERROR(VLOOKUP(L1748,DATA!$G$4:$H$2000,2,FALSE),"")</f>
        <v>ХУРД ГРУПП ХХК</v>
      </c>
      <c r="N1748" s="166"/>
      <c r="O1748" s="81" t="str">
        <f>IFERROR(VLOOKUP(N1748,DATA!$K$4:$L$51,2,FALSE),"")</f>
        <v/>
      </c>
      <c r="P1748" s="81"/>
      <c r="Q1748" s="152">
        <f t="shared" si="178"/>
        <v>0</v>
      </c>
    </row>
    <row r="1749" spans="2:17">
      <c r="B1749" s="670">
        <f t="shared" si="175"/>
        <v>1744</v>
      </c>
      <c r="C1749" s="433">
        <v>42978</v>
      </c>
      <c r="D1749" s="377" t="s">
        <v>1792</v>
      </c>
      <c r="E1749" s="572">
        <v>141301</v>
      </c>
      <c r="F1749" s="672" t="str">
        <f>IFERROR(VLOOKUP(E1749,STAT1!$C$4:$D$8000,2,FALSE),"")</f>
        <v xml:space="preserve">ШХЗардал БУСАД </v>
      </c>
      <c r="G1749" s="377">
        <v>2244293</v>
      </c>
      <c r="H1749" s="377"/>
      <c r="I1749" s="596">
        <f t="shared" si="179"/>
        <v>0</v>
      </c>
      <c r="J1749" s="81">
        <f t="shared" si="180"/>
        <v>0</v>
      </c>
      <c r="K1749" s="81"/>
      <c r="L1749" s="597">
        <v>3001</v>
      </c>
      <c r="M1749" s="81" t="str">
        <f>+IFERROR(VLOOKUP(L1749,DATA!$G$4:$H$2000,2,FALSE),"")</f>
        <v>ХУРД ГРУПП ХХК</v>
      </c>
      <c r="N1749" s="166"/>
      <c r="O1749" s="81" t="str">
        <f>IFERROR(VLOOKUP(N1749,DATA!$K$4:$L$51,2,FALSE),"")</f>
        <v/>
      </c>
      <c r="P1749" s="81"/>
      <c r="Q1749" s="152">
        <f t="shared" si="178"/>
        <v>0</v>
      </c>
    </row>
    <row r="1750" spans="2:17">
      <c r="B1750" s="670">
        <f t="shared" si="175"/>
        <v>1745</v>
      </c>
      <c r="C1750" s="601">
        <v>42978</v>
      </c>
      <c r="D1750" s="683" t="s">
        <v>1659</v>
      </c>
      <c r="E1750" s="573">
        <v>150101</v>
      </c>
      <c r="F1750" s="672" t="str">
        <f>IFERROR(VLOOKUP(E1750,STAT1!$C$4:$D$8000,2,FALSE),"")</f>
        <v>Бараа бэлэн бүтээгдэхүүн БОЛОВСРУУЛАХ ЦЕХ /нарс/</v>
      </c>
      <c r="G1750" s="377"/>
      <c r="H1750" s="377">
        <v>49210.394803683746</v>
      </c>
      <c r="I1750" s="596">
        <f t="shared" si="179"/>
        <v>0</v>
      </c>
      <c r="J1750" s="81">
        <f t="shared" si="180"/>
        <v>0</v>
      </c>
      <c r="K1750" s="81"/>
      <c r="L1750" s="673">
        <v>3085</v>
      </c>
      <c r="M1750" s="81" t="str">
        <f>+IFERROR(VLOOKUP(L1750,DATA!$G$4:$H$2000,2,FALSE),"")</f>
        <v>УС ЭЛЕКТРО МОНТАЖ ХХК</v>
      </c>
      <c r="N1750" s="166"/>
      <c r="O1750" s="81" t="str">
        <f>IFERROR(VLOOKUP(N1750,DATA!$K$4:$L$51,2,FALSE),"")</f>
        <v/>
      </c>
      <c r="P1750" s="81"/>
      <c r="Q1750" s="152">
        <f t="shared" si="178"/>
        <v>0</v>
      </c>
    </row>
    <row r="1751" spans="2:17">
      <c r="B1751" s="670">
        <f t="shared" si="175"/>
        <v>1746</v>
      </c>
      <c r="C1751" s="601">
        <v>42978</v>
      </c>
      <c r="D1751" s="683"/>
      <c r="E1751" s="572">
        <v>610100</v>
      </c>
      <c r="F1751" s="672" t="str">
        <f>IFERROR(VLOOKUP(E1751,STAT1!$C$4:$D$8000,2,FALSE),"")</f>
        <v>Борлуулсан барааны өртөг</v>
      </c>
      <c r="G1751" s="377">
        <v>49210.394803683746</v>
      </c>
      <c r="H1751" s="377"/>
      <c r="I1751" s="596">
        <f t="shared" si="179"/>
        <v>0</v>
      </c>
      <c r="J1751" s="81">
        <f t="shared" si="180"/>
        <v>0</v>
      </c>
      <c r="K1751" s="81"/>
      <c r="L1751" s="673">
        <v>3085</v>
      </c>
      <c r="M1751" s="81" t="str">
        <f>+IFERROR(VLOOKUP(L1751,DATA!$G$4:$H$2000,2,FALSE),"")</f>
        <v>УС ЭЛЕКТРО МОНТАЖ ХХК</v>
      </c>
      <c r="N1751" s="166"/>
      <c r="O1751" s="81" t="str">
        <f>IFERROR(VLOOKUP(N1751,DATA!$K$4:$L$51,2,FALSE),"")</f>
        <v/>
      </c>
      <c r="P1751" s="81"/>
      <c r="Q1751" s="152">
        <f t="shared" si="178"/>
        <v>0</v>
      </c>
    </row>
    <row r="1752" spans="2:17">
      <c r="B1752" s="670">
        <f t="shared" si="175"/>
        <v>1747</v>
      </c>
      <c r="C1752" s="601">
        <v>42978</v>
      </c>
      <c r="D1752" s="683"/>
      <c r="E1752" s="572">
        <v>310500</v>
      </c>
      <c r="F1752" s="672" t="str">
        <f>IFERROR(VLOOKUP(E1752,STAT1!$C$4:$D$8000,2,FALSE),"")</f>
        <v>НӨАТ өглөг</v>
      </c>
      <c r="G1752" s="377"/>
      <c r="H1752" s="377">
        <v>11400</v>
      </c>
      <c r="I1752" s="596">
        <f t="shared" si="179"/>
        <v>0</v>
      </c>
      <c r="J1752" s="81">
        <f t="shared" si="180"/>
        <v>0</v>
      </c>
      <c r="K1752" s="81"/>
      <c r="L1752" s="673">
        <v>3085</v>
      </c>
      <c r="M1752" s="81" t="str">
        <f>+IFERROR(VLOOKUP(L1752,DATA!$G$4:$H$2000,2,FALSE),"")</f>
        <v>УС ЭЛЕКТРО МОНТАЖ ХХК</v>
      </c>
      <c r="N1752" s="166"/>
      <c r="O1752" s="81" t="str">
        <f>IFERROR(VLOOKUP(N1752,DATA!$K$4:$L$51,2,FALSE),"")</f>
        <v/>
      </c>
      <c r="P1752" s="81"/>
      <c r="Q1752" s="152">
        <f t="shared" si="178"/>
        <v>0</v>
      </c>
    </row>
    <row r="1753" spans="2:17">
      <c r="B1753" s="670">
        <f t="shared" si="175"/>
        <v>1748</v>
      </c>
      <c r="C1753" s="601">
        <v>42978</v>
      </c>
      <c r="D1753" s="683"/>
      <c r="E1753" s="572">
        <v>510000</v>
      </c>
      <c r="F1753" s="672" t="str">
        <f>IFERROR(VLOOKUP(E1753,STAT1!$C$4:$D$8000,2,FALSE),"")</f>
        <v>Үндсэн үйл ажиллагааны борлуулалт</v>
      </c>
      <c r="G1753" s="377"/>
      <c r="H1753" s="377">
        <v>114000</v>
      </c>
      <c r="I1753" s="596">
        <f t="shared" si="179"/>
        <v>0</v>
      </c>
      <c r="J1753" s="81">
        <f t="shared" si="180"/>
        <v>0</v>
      </c>
      <c r="K1753" s="81"/>
      <c r="L1753" s="673">
        <v>3085</v>
      </c>
      <c r="M1753" s="81" t="str">
        <f>+IFERROR(VLOOKUP(L1753,DATA!$G$4:$H$2000,2,FALSE),"")</f>
        <v>УС ЭЛЕКТРО МОНТАЖ ХХК</v>
      </c>
      <c r="N1753" s="166"/>
      <c r="O1753" s="81" t="str">
        <f>IFERROR(VLOOKUP(N1753,DATA!$K$4:$L$51,2,FALSE),"")</f>
        <v/>
      </c>
      <c r="P1753" s="81"/>
      <c r="Q1753" s="152">
        <f t="shared" si="178"/>
        <v>0</v>
      </c>
    </row>
    <row r="1754" spans="2:17">
      <c r="B1754" s="670">
        <f t="shared" si="175"/>
        <v>1749</v>
      </c>
      <c r="C1754" s="601">
        <v>42978</v>
      </c>
      <c r="D1754" s="683"/>
      <c r="E1754" s="572">
        <v>320100</v>
      </c>
      <c r="F1754" s="672" t="str">
        <f>IFERROR(VLOOKUP(E1754,STAT1!$C$4:$D$8000,2,FALSE),"")</f>
        <v>Урьдчилж орсон орлого MNT</v>
      </c>
      <c r="G1754" s="377">
        <v>125400</v>
      </c>
      <c r="H1754" s="377"/>
      <c r="I1754" s="596">
        <f t="shared" si="179"/>
        <v>0</v>
      </c>
      <c r="J1754" s="81">
        <f t="shared" si="180"/>
        <v>0</v>
      </c>
      <c r="K1754" s="81"/>
      <c r="L1754" s="673">
        <v>3085</v>
      </c>
      <c r="M1754" s="81" t="str">
        <f>+IFERROR(VLOOKUP(L1754,DATA!$G$4:$H$2000,2,FALSE),"")</f>
        <v>УС ЭЛЕКТРО МОНТАЖ ХХК</v>
      </c>
      <c r="N1754" s="166"/>
      <c r="O1754" s="81" t="str">
        <f>IFERROR(VLOOKUP(N1754,DATA!$K$4:$L$51,2,FALSE),"")</f>
        <v/>
      </c>
      <c r="P1754" s="81"/>
      <c r="Q1754" s="152">
        <f t="shared" si="178"/>
        <v>0</v>
      </c>
    </row>
    <row r="1755" spans="2:17">
      <c r="B1755" s="670">
        <f t="shared" si="175"/>
        <v>1750</v>
      </c>
      <c r="C1755" s="433">
        <v>42979</v>
      </c>
      <c r="D1755" s="598" t="s">
        <v>1741</v>
      </c>
      <c r="E1755" s="572">
        <v>110100</v>
      </c>
      <c r="F1755" s="672" t="str">
        <f>IFERROR(VLOOKUP(E1755,STAT1!$C$4:$D$1000,2,FALSE),"")</f>
        <v>Хаан Банк 5024654020</v>
      </c>
      <c r="G1755" s="377">
        <v>762450</v>
      </c>
      <c r="H1755" s="377"/>
      <c r="I1755" s="596">
        <f t="shared" si="179"/>
        <v>762450</v>
      </c>
      <c r="J1755" s="81">
        <f t="shared" si="180"/>
        <v>0</v>
      </c>
      <c r="K1755" s="81"/>
      <c r="L1755" s="597">
        <v>3006</v>
      </c>
      <c r="M1755" s="81" t="str">
        <f>+IFERROR(VLOOKUP(L1755,DATA!$G$4:$H$2000,2,FALSE),"")</f>
        <v xml:space="preserve">ПАЙОНЕРИНГ ИНТЕРНЭШНЛ ХХК </v>
      </c>
      <c r="N1755" s="435">
        <v>41</v>
      </c>
      <c r="O1755" s="81" t="str">
        <f>IFERROR(VLOOKUP(N1755,DATA!$K$4:$L$51,2,FALSE),"")</f>
        <v>Бараа борлуулсан, үйлчилгээ үзүүлсэний орлого</v>
      </c>
      <c r="P1755" s="81"/>
      <c r="Q1755" s="152">
        <f t="shared" si="178"/>
        <v>1</v>
      </c>
    </row>
    <row r="1756" spans="2:17">
      <c r="B1756" s="670">
        <f t="shared" si="175"/>
        <v>1751</v>
      </c>
      <c r="C1756" s="433">
        <v>42979</v>
      </c>
      <c r="D1756" s="598" t="s">
        <v>1741</v>
      </c>
      <c r="E1756" s="572">
        <v>320100</v>
      </c>
      <c r="F1756" s="672" t="str">
        <f>IFERROR(VLOOKUP(E1756,STAT1!$C$4:$D$1000,2,FALSE),"")</f>
        <v>Урьдчилж орсон орлого MNT</v>
      </c>
      <c r="G1756" s="377">
        <v>0</v>
      </c>
      <c r="H1756" s="377">
        <v>762450</v>
      </c>
      <c r="I1756" s="596">
        <f t="shared" si="179"/>
        <v>0</v>
      </c>
      <c r="J1756" s="81">
        <f t="shared" si="180"/>
        <v>0</v>
      </c>
      <c r="K1756" s="81"/>
      <c r="L1756" s="597">
        <v>3006</v>
      </c>
      <c r="M1756" s="81" t="str">
        <f>+IFERROR(VLOOKUP(L1756,DATA!$G$4:$H$2000,2,FALSE),"")</f>
        <v xml:space="preserve">ПАЙОНЕРИНГ ИНТЕРНЭШНЛ ХХК </v>
      </c>
      <c r="N1756" s="435"/>
      <c r="O1756" s="81" t="str">
        <f>IFERROR(VLOOKUP(N1756,DATA!$K$4:$L$51,2,FALSE),"")</f>
        <v/>
      </c>
      <c r="P1756" s="81"/>
      <c r="Q1756" s="152">
        <f t="shared" si="178"/>
        <v>0</v>
      </c>
    </row>
    <row r="1757" spans="2:17">
      <c r="B1757" s="670">
        <f t="shared" si="175"/>
        <v>1752</v>
      </c>
      <c r="C1757" s="433">
        <v>42979</v>
      </c>
      <c r="D1757" s="598" t="s">
        <v>1741</v>
      </c>
      <c r="E1757" s="572">
        <v>110100</v>
      </c>
      <c r="F1757" s="672" t="str">
        <f>IFERROR(VLOOKUP(E1757,STAT1!$C$4:$D$1000,2,FALSE),"")</f>
        <v>Хаан Банк 5024654020</v>
      </c>
      <c r="G1757" s="377">
        <v>737616</v>
      </c>
      <c r="H1757" s="377"/>
      <c r="I1757" s="596">
        <f t="shared" si="179"/>
        <v>737616</v>
      </c>
      <c r="J1757" s="81">
        <f t="shared" si="180"/>
        <v>0</v>
      </c>
      <c r="K1757" s="81"/>
      <c r="L1757" s="597">
        <v>3001</v>
      </c>
      <c r="M1757" s="81" t="str">
        <f>+IFERROR(VLOOKUP(L1757,DATA!$G$4:$H$2000,2,FALSE),"")</f>
        <v>ХУРД ГРУПП ХХК</v>
      </c>
      <c r="N1757" s="435">
        <v>41</v>
      </c>
      <c r="O1757" s="81" t="str">
        <f>IFERROR(VLOOKUP(N1757,DATA!$K$4:$L$51,2,FALSE),"")</f>
        <v>Бараа борлуулсан, үйлчилгээ үзүүлсэний орлого</v>
      </c>
      <c r="P1757" s="81"/>
      <c r="Q1757" s="152">
        <f t="shared" si="178"/>
        <v>1</v>
      </c>
    </row>
    <row r="1758" spans="2:17">
      <c r="B1758" s="670">
        <f t="shared" si="175"/>
        <v>1753</v>
      </c>
      <c r="C1758" s="433">
        <v>42979</v>
      </c>
      <c r="D1758" s="598" t="s">
        <v>1741</v>
      </c>
      <c r="E1758" s="572">
        <v>320100</v>
      </c>
      <c r="F1758" s="672" t="str">
        <f>IFERROR(VLOOKUP(E1758,STAT1!$C$4:$D$1000,2,FALSE),"")</f>
        <v>Урьдчилж орсон орлого MNT</v>
      </c>
      <c r="G1758" s="377">
        <v>0</v>
      </c>
      <c r="H1758" s="377">
        <v>737616</v>
      </c>
      <c r="I1758" s="596">
        <f t="shared" si="179"/>
        <v>0</v>
      </c>
      <c r="J1758" s="81">
        <f t="shared" si="180"/>
        <v>0</v>
      </c>
      <c r="K1758" s="81"/>
      <c r="L1758" s="597">
        <v>3001</v>
      </c>
      <c r="M1758" s="81" t="str">
        <f>+IFERROR(VLOOKUP(L1758,DATA!$G$4:$H$2000,2,FALSE),"")</f>
        <v>ХУРД ГРУПП ХХК</v>
      </c>
      <c r="N1758" s="435"/>
      <c r="O1758" s="81" t="str">
        <f>IFERROR(VLOOKUP(N1758,DATA!$K$4:$L$51,2,FALSE),"")</f>
        <v/>
      </c>
      <c r="P1758" s="81"/>
      <c r="Q1758" s="152">
        <f t="shared" si="178"/>
        <v>0</v>
      </c>
    </row>
    <row r="1759" spans="2:17">
      <c r="B1759" s="670">
        <f t="shared" si="175"/>
        <v>1754</v>
      </c>
      <c r="C1759" s="433">
        <v>42979</v>
      </c>
      <c r="D1759" s="377" t="s">
        <v>1741</v>
      </c>
      <c r="E1759" s="572">
        <v>100100</v>
      </c>
      <c r="F1759" s="672" t="str">
        <f>IFERROR(VLOOKUP(E1759,STAT1!$C$4:$D$8000,2,FALSE),"")</f>
        <v>Касс мөнгө MNT</v>
      </c>
      <c r="G1759" s="377">
        <v>26917111</v>
      </c>
      <c r="H1759" s="377"/>
      <c r="I1759" s="596">
        <f t="shared" si="179"/>
        <v>26917111</v>
      </c>
      <c r="J1759" s="81">
        <f t="shared" si="180"/>
        <v>0</v>
      </c>
      <c r="K1759" s="81"/>
      <c r="L1759" s="597">
        <v>3001</v>
      </c>
      <c r="M1759" s="81" t="str">
        <f>+IFERROR(VLOOKUP(L1759,DATA!$G$4:$H$2000,2,FALSE),"")</f>
        <v>ХУРД ГРУПП ХХК</v>
      </c>
      <c r="N1759" s="166">
        <v>41</v>
      </c>
      <c r="O1759" s="81" t="str">
        <f>IFERROR(VLOOKUP(N1759,DATA!$K$4:$L$51,2,FALSE),"")</f>
        <v>Бараа борлуулсан, үйлчилгээ үзүүлсэний орлого</v>
      </c>
      <c r="P1759" s="81"/>
      <c r="Q1759" s="152">
        <f t="shared" si="178"/>
        <v>1</v>
      </c>
    </row>
    <row r="1760" spans="2:17">
      <c r="B1760" s="670">
        <f t="shared" si="175"/>
        <v>1755</v>
      </c>
      <c r="C1760" s="433">
        <v>42979</v>
      </c>
      <c r="D1760" s="377" t="s">
        <v>1741</v>
      </c>
      <c r="E1760" s="572">
        <v>320100</v>
      </c>
      <c r="F1760" s="672" t="str">
        <f>IFERROR(VLOOKUP(E1760,STAT1!$C$4:$D$8000,2,FALSE),"")</f>
        <v>Урьдчилж орсон орлого MNT</v>
      </c>
      <c r="G1760" s="377"/>
      <c r="H1760" s="377">
        <v>26917111</v>
      </c>
      <c r="I1760" s="596">
        <f t="shared" si="179"/>
        <v>0</v>
      </c>
      <c r="J1760" s="81">
        <f t="shared" si="180"/>
        <v>0</v>
      </c>
      <c r="K1760" s="81"/>
      <c r="L1760" s="597">
        <v>3001</v>
      </c>
      <c r="M1760" s="81" t="str">
        <f>+IFERROR(VLOOKUP(L1760,DATA!$G$4:$H$2000,2,FALSE),"")</f>
        <v>ХУРД ГРУПП ХХК</v>
      </c>
      <c r="N1760" s="166"/>
      <c r="O1760" s="81" t="str">
        <f>IFERROR(VLOOKUP(N1760,DATA!$K$4:$L$51,2,FALSE),"")</f>
        <v/>
      </c>
      <c r="P1760" s="81"/>
      <c r="Q1760" s="152">
        <f t="shared" si="178"/>
        <v>0</v>
      </c>
    </row>
    <row r="1761" spans="2:17">
      <c r="B1761" s="670">
        <f t="shared" si="175"/>
        <v>1756</v>
      </c>
      <c r="C1761" s="433">
        <v>42982</v>
      </c>
      <c r="D1761" s="377" t="s">
        <v>1355</v>
      </c>
      <c r="E1761" s="572">
        <v>100100</v>
      </c>
      <c r="F1761" s="672" t="str">
        <f>IFERROR(VLOOKUP(E1761,STAT1!$C$4:$D$1000,2,FALSE),"")</f>
        <v>Касс мөнгө MNT</v>
      </c>
      <c r="G1761" s="377"/>
      <c r="H1761" s="377">
        <v>50000</v>
      </c>
      <c r="I1761" s="596">
        <f t="shared" si="179"/>
        <v>-50000</v>
      </c>
      <c r="J1761" s="81">
        <f t="shared" si="180"/>
        <v>0</v>
      </c>
      <c r="K1761" s="81"/>
      <c r="L1761" s="597">
        <v>1003</v>
      </c>
      <c r="M1761" s="81" t="str">
        <f>+IFERROR(VLOOKUP(L1761,DATA!$G$4:$H$2000,2,FALSE),"")</f>
        <v>Бахдамдэмбэрэл</v>
      </c>
      <c r="N1761" s="435">
        <v>55</v>
      </c>
      <c r="O1761" s="81" t="str">
        <f>IFERROR(VLOOKUP(N1761,DATA!$K$4:$L$51,2,FALSE),"")</f>
        <v>Түлш, шатахуун, тээврийн хөлс, сэлбэг хэрэгсэлд төлсөн</v>
      </c>
      <c r="P1761" s="81"/>
      <c r="Q1761" s="152">
        <f t="shared" si="178"/>
        <v>1</v>
      </c>
    </row>
    <row r="1762" spans="2:17">
      <c r="B1762" s="670">
        <f t="shared" si="175"/>
        <v>1757</v>
      </c>
      <c r="C1762" s="433">
        <v>42982</v>
      </c>
      <c r="D1762" s="377" t="s">
        <v>1355</v>
      </c>
      <c r="E1762" s="572">
        <v>702000</v>
      </c>
      <c r="F1762" s="672" t="str">
        <f>IFERROR(VLOOKUP(E1762,STAT1!$C$4:$D$1000,2,FALSE),"")</f>
        <v>Түлш, шатахуун</v>
      </c>
      <c r="G1762" s="377">
        <v>50000</v>
      </c>
      <c r="H1762" s="377">
        <v>0</v>
      </c>
      <c r="I1762" s="596">
        <f t="shared" si="179"/>
        <v>0</v>
      </c>
      <c r="J1762" s="81">
        <f t="shared" si="180"/>
        <v>0</v>
      </c>
      <c r="K1762" s="81"/>
      <c r="L1762" s="597">
        <v>1003</v>
      </c>
      <c r="M1762" s="81" t="str">
        <f>+IFERROR(VLOOKUP(L1762,DATA!$G$4:$H$2000,2,FALSE),"")</f>
        <v>Бахдамдэмбэрэл</v>
      </c>
      <c r="N1762" s="435"/>
      <c r="O1762" s="81" t="str">
        <f>IFERROR(VLOOKUP(N1762,DATA!$K$4:$L$51,2,FALSE),"")</f>
        <v/>
      </c>
      <c r="P1762" s="81"/>
      <c r="Q1762" s="152">
        <f t="shared" si="178"/>
        <v>0</v>
      </c>
    </row>
    <row r="1763" spans="2:17">
      <c r="B1763" s="670">
        <f t="shared" si="175"/>
        <v>1758</v>
      </c>
      <c r="C1763" s="433">
        <v>42982</v>
      </c>
      <c r="D1763" s="598" t="s">
        <v>1741</v>
      </c>
      <c r="E1763" s="572">
        <v>110100</v>
      </c>
      <c r="F1763" s="672" t="str">
        <f>IFERROR(VLOOKUP(E1763,STAT1!$C$4:$D$1000,2,FALSE),"")</f>
        <v>Хаан Банк 5024654020</v>
      </c>
      <c r="G1763" s="377">
        <v>762450</v>
      </c>
      <c r="H1763" s="377"/>
      <c r="I1763" s="596">
        <f t="shared" si="179"/>
        <v>762450</v>
      </c>
      <c r="J1763" s="81">
        <f t="shared" si="180"/>
        <v>0</v>
      </c>
      <c r="K1763" s="81"/>
      <c r="L1763" s="597">
        <v>3006</v>
      </c>
      <c r="M1763" s="81" t="str">
        <f>+IFERROR(VLOOKUP(L1763,DATA!$G$4:$H$2000,2,FALSE),"")</f>
        <v xml:space="preserve">ПАЙОНЕРИНГ ИНТЕРНЭШНЛ ХХК </v>
      </c>
      <c r="N1763" s="435">
        <v>41</v>
      </c>
      <c r="O1763" s="81" t="str">
        <f>IFERROR(VLOOKUP(N1763,DATA!$K$4:$L$51,2,FALSE),"")</f>
        <v>Бараа борлуулсан, үйлчилгээ үзүүлсэний орлого</v>
      </c>
      <c r="P1763" s="81"/>
      <c r="Q1763" s="152">
        <f t="shared" si="178"/>
        <v>1</v>
      </c>
    </row>
    <row r="1764" spans="2:17">
      <c r="B1764" s="670">
        <f t="shared" si="175"/>
        <v>1759</v>
      </c>
      <c r="C1764" s="433">
        <v>42982</v>
      </c>
      <c r="D1764" s="598" t="s">
        <v>1741</v>
      </c>
      <c r="E1764" s="572">
        <v>320100</v>
      </c>
      <c r="F1764" s="672" t="str">
        <f>IFERROR(VLOOKUP(E1764,STAT1!$C$4:$D$1000,2,FALSE),"")</f>
        <v>Урьдчилж орсон орлого MNT</v>
      </c>
      <c r="G1764" s="377">
        <v>0</v>
      </c>
      <c r="H1764" s="377">
        <v>762450</v>
      </c>
      <c r="I1764" s="596">
        <f t="shared" si="179"/>
        <v>0</v>
      </c>
      <c r="J1764" s="81">
        <f t="shared" si="180"/>
        <v>0</v>
      </c>
      <c r="K1764" s="81"/>
      <c r="L1764" s="597">
        <v>3006</v>
      </c>
      <c r="M1764" s="81" t="str">
        <f>+IFERROR(VLOOKUP(L1764,DATA!$G$4:$H$2000,2,FALSE),"")</f>
        <v xml:space="preserve">ПАЙОНЕРИНГ ИНТЕРНЭШНЛ ХХК </v>
      </c>
      <c r="N1764" s="435"/>
      <c r="O1764" s="81" t="str">
        <f>IFERROR(VLOOKUP(N1764,DATA!$K$4:$L$51,2,FALSE),"")</f>
        <v/>
      </c>
      <c r="P1764" s="81"/>
      <c r="Q1764" s="152">
        <f t="shared" si="178"/>
        <v>0</v>
      </c>
    </row>
    <row r="1765" spans="2:17">
      <c r="B1765" s="670">
        <f t="shared" si="175"/>
        <v>1760</v>
      </c>
      <c r="C1765" s="433">
        <v>42982</v>
      </c>
      <c r="D1765" s="377" t="s">
        <v>1701</v>
      </c>
      <c r="E1765" s="572">
        <v>100100</v>
      </c>
      <c r="F1765" s="672" t="str">
        <f>IFERROR(VLOOKUP(E1765,STAT1!$C$4:$D$8000,2,FALSE),"")</f>
        <v>Касс мөнгө MNT</v>
      </c>
      <c r="G1765" s="377"/>
      <c r="H1765" s="377">
        <v>1500000</v>
      </c>
      <c r="I1765" s="603">
        <f t="shared" si="179"/>
        <v>-1500000</v>
      </c>
      <c r="J1765" s="81">
        <f t="shared" si="180"/>
        <v>0</v>
      </c>
      <c r="K1765" s="81"/>
      <c r="L1765" s="597">
        <v>2012</v>
      </c>
      <c r="M1765" s="81" t="str">
        <f>+IFERROR(VLOOKUP(L1765,DATA!$G$4:$H$2000,2,FALSE),"")</f>
        <v>ИХ ТУГЧ ХХК</v>
      </c>
      <c r="N1765" s="166">
        <v>59</v>
      </c>
      <c r="O1765" s="81" t="str">
        <f>IFERROR(VLOOKUP(N1765,DATA!$K$4:$L$51,2,FALSE),"")</f>
        <v>Бусад мөнгөн зарлага</v>
      </c>
      <c r="P1765" s="81"/>
      <c r="Q1765" s="152">
        <f t="shared" si="178"/>
        <v>1</v>
      </c>
    </row>
    <row r="1766" spans="2:17">
      <c r="B1766" s="670">
        <f t="shared" si="175"/>
        <v>1761</v>
      </c>
      <c r="C1766" s="433">
        <v>42982</v>
      </c>
      <c r="D1766" s="377" t="s">
        <v>1701</v>
      </c>
      <c r="E1766" s="572">
        <v>705800</v>
      </c>
      <c r="F1766" s="672" t="str">
        <f>IFERROR(VLOOKUP(E1766,STAT1!$C$4:$D$8000,2,FALSE),"")</f>
        <v>Харуул хамгаалалт</v>
      </c>
      <c r="G1766" s="377">
        <v>1500000</v>
      </c>
      <c r="H1766" s="377"/>
      <c r="I1766" s="603">
        <f t="shared" si="179"/>
        <v>0</v>
      </c>
      <c r="J1766" s="81">
        <f t="shared" si="180"/>
        <v>0</v>
      </c>
      <c r="K1766" s="81"/>
      <c r="L1766" s="597">
        <v>2012</v>
      </c>
      <c r="M1766" s="81" t="str">
        <f>+IFERROR(VLOOKUP(L1766,DATA!$G$4:$H$2000,2,FALSE),"")</f>
        <v>ИХ ТУГЧ ХХК</v>
      </c>
      <c r="N1766" s="166"/>
      <c r="O1766" s="81" t="str">
        <f>IFERROR(VLOOKUP(N1766,DATA!$K$4:$L$51,2,FALSE),"")</f>
        <v/>
      </c>
      <c r="P1766" s="81"/>
      <c r="Q1766" s="152">
        <f t="shared" si="178"/>
        <v>0</v>
      </c>
    </row>
    <row r="1767" spans="2:17">
      <c r="B1767" s="670">
        <f t="shared" si="175"/>
        <v>1762</v>
      </c>
      <c r="C1767" s="433">
        <v>42983</v>
      </c>
      <c r="D1767" s="377" t="s">
        <v>1699</v>
      </c>
      <c r="E1767" s="572">
        <v>100100</v>
      </c>
      <c r="F1767" s="672" t="str">
        <f>IFERROR(VLOOKUP(E1767,STAT1!$C$4:$D$1000,2,FALSE),"")</f>
        <v>Касс мөнгө MNT</v>
      </c>
      <c r="G1767" s="377"/>
      <c r="H1767" s="377">
        <v>3500000</v>
      </c>
      <c r="I1767" s="596">
        <f t="shared" si="179"/>
        <v>-3500000</v>
      </c>
      <c r="J1767" s="81">
        <f t="shared" si="180"/>
        <v>0</v>
      </c>
      <c r="K1767" s="81"/>
      <c r="L1767" s="597">
        <v>1004</v>
      </c>
      <c r="M1767" s="81" t="str">
        <f>+IFERROR(VLOOKUP(L1767,DATA!$G$4:$H$2000,2,FALSE),"")</f>
        <v xml:space="preserve">Түмэндэлгэр </v>
      </c>
      <c r="N1767" s="435"/>
      <c r="O1767" s="81" t="str">
        <f>IFERROR(VLOOKUP(N1767,DATA!$K$4:$L$51,2,FALSE),"")</f>
        <v/>
      </c>
      <c r="P1767" s="81"/>
      <c r="Q1767" s="152">
        <f t="shared" si="178"/>
        <v>1</v>
      </c>
    </row>
    <row r="1768" spans="2:17">
      <c r="B1768" s="670">
        <f t="shared" si="175"/>
        <v>1763</v>
      </c>
      <c r="C1768" s="433">
        <v>42983</v>
      </c>
      <c r="D1768" s="377" t="s">
        <v>1699</v>
      </c>
      <c r="E1768" s="572">
        <v>110100</v>
      </c>
      <c r="F1768" s="672" t="str">
        <f>IFERROR(VLOOKUP(E1768,STAT1!$C$4:$D$1000,2,FALSE),"")</f>
        <v>Хаан Банк 5024654020</v>
      </c>
      <c r="G1768" s="377">
        <v>3500000</v>
      </c>
      <c r="H1768" s="377">
        <v>0</v>
      </c>
      <c r="I1768" s="596">
        <f t="shared" si="179"/>
        <v>3500000</v>
      </c>
      <c r="J1768" s="81">
        <f t="shared" si="180"/>
        <v>0</v>
      </c>
      <c r="K1768" s="81"/>
      <c r="L1768" s="597">
        <v>1004</v>
      </c>
      <c r="M1768" s="81" t="str">
        <f>+IFERROR(VLOOKUP(L1768,DATA!$G$4:$H$2000,2,FALSE),"")</f>
        <v xml:space="preserve">Түмэндэлгэр </v>
      </c>
      <c r="N1768" s="435"/>
      <c r="O1768" s="81" t="str">
        <f>IFERROR(VLOOKUP(N1768,DATA!$K$4:$L$51,2,FALSE),"")</f>
        <v/>
      </c>
      <c r="P1768" s="81"/>
      <c r="Q1768" s="152">
        <f t="shared" si="178"/>
        <v>1</v>
      </c>
    </row>
    <row r="1769" spans="2:17">
      <c r="B1769" s="670">
        <f t="shared" ref="B1769:B1771" si="181">+IF(C1769="","",ROW()-5)</f>
        <v>1764</v>
      </c>
      <c r="C1769" s="433">
        <v>42983</v>
      </c>
      <c r="D1769" s="598" t="s">
        <v>1761</v>
      </c>
      <c r="E1769" s="572">
        <v>120900</v>
      </c>
      <c r="F1769" s="672" t="str">
        <f>IFERROR(VLOOKUP(E1769,STAT1!$C$4:$D$8000,2,FALSE),"")</f>
        <v>НД-ын байгууллагаас авах авлага</v>
      </c>
      <c r="G1769" s="377">
        <v>5990000</v>
      </c>
      <c r="H1769" s="377">
        <v>0</v>
      </c>
      <c r="I1769" s="596">
        <f t="shared" si="179"/>
        <v>0</v>
      </c>
      <c r="J1769" s="81">
        <f t="shared" si="180"/>
        <v>0</v>
      </c>
      <c r="K1769" s="81"/>
      <c r="L1769" s="597">
        <v>2002</v>
      </c>
      <c r="M1769" s="81" t="str">
        <f>+IFERROR(VLOOKUP(L1769,DATA!$G$4:$H$2000,2,FALSE),"")</f>
        <v xml:space="preserve">ХУД-н ЭМНД ХЭЛТЭС </v>
      </c>
      <c r="N1769" s="435"/>
      <c r="O1769" s="81" t="str">
        <f>IFERROR(VLOOKUP(N1769,DATA!$K$4:$L$51,2,FALSE),"")</f>
        <v/>
      </c>
      <c r="P1769" s="81"/>
      <c r="Q1769" s="152">
        <f t="shared" si="178"/>
        <v>0</v>
      </c>
    </row>
    <row r="1770" spans="2:17">
      <c r="B1770" s="670">
        <f t="shared" si="181"/>
        <v>1765</v>
      </c>
      <c r="C1770" s="433">
        <v>42983</v>
      </c>
      <c r="D1770" s="598" t="s">
        <v>1761</v>
      </c>
      <c r="E1770" s="572">
        <v>110100</v>
      </c>
      <c r="F1770" s="672" t="str">
        <f>IFERROR(VLOOKUP(E1770,STAT1!$C$4:$D$8000,2,FALSE),"")</f>
        <v>Хаан Банк 5024654020</v>
      </c>
      <c r="G1770" s="377"/>
      <c r="H1770" s="377">
        <v>5990000</v>
      </c>
      <c r="I1770" s="596">
        <f t="shared" si="179"/>
        <v>-5990000</v>
      </c>
      <c r="J1770" s="81">
        <f t="shared" si="180"/>
        <v>0</v>
      </c>
      <c r="K1770" s="81"/>
      <c r="L1770" s="597">
        <v>2002</v>
      </c>
      <c r="M1770" s="81" t="str">
        <f>+IFERROR(VLOOKUP(L1770,DATA!$G$4:$H$2000,2,FALSE),"")</f>
        <v xml:space="preserve">ХУД-н ЭМНД ХЭЛТЭС </v>
      </c>
      <c r="N1770" s="435">
        <v>52</v>
      </c>
      <c r="O1770" s="81" t="str">
        <f>IFERROR(VLOOKUP(N1770,DATA!$K$4:$L$51,2,FALSE),"")</f>
        <v>Нийгмийн даатгалын байгууллагад төлсөн</v>
      </c>
      <c r="P1770" s="81"/>
      <c r="Q1770" s="152">
        <f t="shared" si="178"/>
        <v>1</v>
      </c>
    </row>
    <row r="1771" spans="2:17">
      <c r="B1771" s="670">
        <f t="shared" si="181"/>
        <v>1766</v>
      </c>
      <c r="C1771" s="601">
        <v>42983</v>
      </c>
      <c r="D1771" s="377" t="s">
        <v>2703</v>
      </c>
      <c r="E1771" s="673">
        <v>150101</v>
      </c>
      <c r="F1771" s="672" t="str">
        <f>IFERROR(VLOOKUP(E1771,STAT1!$C$4:$D$8000,2,FALSE),"")</f>
        <v>Бараа бэлэн бүтээгдэхүүн БОЛОВСРУУЛАХ ЦЕХ /нарс/</v>
      </c>
      <c r="G1771" s="377"/>
      <c r="H1771" s="377">
        <v>1055848.5076695522</v>
      </c>
      <c r="I1771" s="596">
        <f t="shared" si="179"/>
        <v>0</v>
      </c>
      <c r="J1771" s="81">
        <f t="shared" si="180"/>
        <v>0</v>
      </c>
      <c r="K1771" s="81"/>
      <c r="L1771" s="597">
        <v>3006</v>
      </c>
      <c r="M1771" s="81" t="str">
        <f>+IFERROR(VLOOKUP(L1771,DATA!$G$4:$H$2000,2,FALSE),"")</f>
        <v xml:space="preserve">ПАЙОНЕРИНГ ИНТЕРНЭШНЛ ХХК </v>
      </c>
      <c r="N1771" s="166"/>
      <c r="O1771" s="81" t="str">
        <f>IFERROR(VLOOKUP(N1771,DATA!$K$4:$L$51,2,FALSE),"")</f>
        <v/>
      </c>
      <c r="P1771" s="81"/>
      <c r="Q1771" s="152">
        <f t="shared" si="178"/>
        <v>0</v>
      </c>
    </row>
    <row r="1772" spans="2:17">
      <c r="B1772" s="670">
        <f t="shared" ref="B1772:B1775" si="182">+IF(C1772="","",ROW()-5)</f>
        <v>1767</v>
      </c>
      <c r="C1772" s="601">
        <v>42983</v>
      </c>
      <c r="D1772" s="377" t="s">
        <v>587</v>
      </c>
      <c r="E1772" s="674">
        <v>610100</v>
      </c>
      <c r="F1772" s="672" t="str">
        <f>IFERROR(VLOOKUP(E1772,STAT1!$C$4:$D$8000,2,FALSE),"")</f>
        <v>Борлуулсан барааны өртөг</v>
      </c>
      <c r="G1772" s="377">
        <v>1055848.5076695522</v>
      </c>
      <c r="H1772" s="377"/>
      <c r="I1772" s="596">
        <f t="shared" si="179"/>
        <v>0</v>
      </c>
      <c r="J1772" s="81">
        <f t="shared" si="180"/>
        <v>0</v>
      </c>
      <c r="K1772" s="81"/>
      <c r="L1772" s="597">
        <v>3006</v>
      </c>
      <c r="M1772" s="81" t="str">
        <f>+IFERROR(VLOOKUP(L1772,DATA!$G$4:$H$2000,2,FALSE),"")</f>
        <v xml:space="preserve">ПАЙОНЕРИНГ ИНТЕРНЭШНЛ ХХК </v>
      </c>
      <c r="N1772" s="166"/>
      <c r="O1772" s="81" t="str">
        <f>IFERROR(VLOOKUP(N1772,DATA!$K$4:$L$51,2,FALSE),"")</f>
        <v/>
      </c>
      <c r="P1772" s="81"/>
      <c r="Q1772" s="152">
        <f t="shared" si="178"/>
        <v>0</v>
      </c>
    </row>
    <row r="1773" spans="2:17">
      <c r="B1773" s="670">
        <f t="shared" ref="B1773" si="183">+IF(C1773="","",ROW()-5)</f>
        <v>1768</v>
      </c>
      <c r="C1773" s="601">
        <v>42983</v>
      </c>
      <c r="D1773" s="377" t="s">
        <v>587</v>
      </c>
      <c r="E1773" s="674">
        <v>310500</v>
      </c>
      <c r="F1773" s="672" t="str">
        <f>IFERROR(VLOOKUP(E1773,STAT1!$C$4:$D$8000,2,FALSE),"")</f>
        <v>НӨАТ өглөг</v>
      </c>
      <c r="G1773" s="377"/>
      <c r="H1773" s="377">
        <v>138627.27281999998</v>
      </c>
      <c r="I1773" s="596">
        <f t="shared" si="179"/>
        <v>0</v>
      </c>
      <c r="J1773" s="81">
        <f t="shared" si="180"/>
        <v>0</v>
      </c>
      <c r="K1773" s="81"/>
      <c r="L1773" s="597">
        <v>3006</v>
      </c>
      <c r="M1773" s="81" t="str">
        <f>+IFERROR(VLOOKUP(L1773,DATA!$G$4:$H$2000,2,FALSE),"")</f>
        <v xml:space="preserve">ПАЙОНЕРИНГ ИНТЕРНЭШНЛ ХХК </v>
      </c>
      <c r="N1773" s="166"/>
      <c r="O1773" s="81" t="str">
        <f>IFERROR(VLOOKUP(N1773,DATA!$K$4:$L$51,2,FALSE),"")</f>
        <v/>
      </c>
      <c r="P1773" s="81"/>
      <c r="Q1773" s="152">
        <f t="shared" si="178"/>
        <v>0</v>
      </c>
    </row>
    <row r="1774" spans="2:17">
      <c r="B1774" s="670">
        <f t="shared" si="182"/>
        <v>1769</v>
      </c>
      <c r="C1774" s="601">
        <v>42983</v>
      </c>
      <c r="D1774" s="377" t="s">
        <v>587</v>
      </c>
      <c r="E1774" s="674">
        <v>510000</v>
      </c>
      <c r="F1774" s="672" t="str">
        <f>IFERROR(VLOOKUP(E1774,STAT1!$C$4:$D$8000,2,FALSE),"")</f>
        <v>Үндсэн үйл ажиллагааны борлуулалт</v>
      </c>
      <c r="G1774" s="377"/>
      <c r="H1774" s="377">
        <v>1386272.7281999998</v>
      </c>
      <c r="I1774" s="596">
        <f t="shared" si="179"/>
        <v>0</v>
      </c>
      <c r="J1774" s="81">
        <f t="shared" si="180"/>
        <v>0</v>
      </c>
      <c r="K1774" s="81"/>
      <c r="L1774" s="597">
        <v>3006</v>
      </c>
      <c r="M1774" s="81" t="str">
        <f>+IFERROR(VLOOKUP(L1774,DATA!$G$4:$H$2000,2,FALSE),"")</f>
        <v xml:space="preserve">ПАЙОНЕРИНГ ИНТЕРНЭШНЛ ХХК </v>
      </c>
      <c r="N1774" s="166"/>
      <c r="O1774" s="81" t="str">
        <f>IFERROR(VLOOKUP(N1774,DATA!$K$4:$L$51,2,FALSE),"")</f>
        <v/>
      </c>
      <c r="P1774" s="81"/>
      <c r="Q1774" s="152">
        <f t="shared" si="178"/>
        <v>0</v>
      </c>
    </row>
    <row r="1775" spans="2:17">
      <c r="B1775" s="670">
        <f t="shared" si="182"/>
        <v>1770</v>
      </c>
      <c r="C1775" s="601">
        <v>42983</v>
      </c>
      <c r="D1775" s="377" t="s">
        <v>587</v>
      </c>
      <c r="E1775" s="674">
        <v>320100</v>
      </c>
      <c r="F1775" s="672" t="str">
        <f>IFERROR(VLOOKUP(E1775,STAT1!$C$4:$D$8000,2,FALSE),"")</f>
        <v>Урьдчилж орсон орлого MNT</v>
      </c>
      <c r="G1775" s="377">
        <v>1524900.0010199999</v>
      </c>
      <c r="H1775" s="377"/>
      <c r="I1775" s="596">
        <f t="shared" si="179"/>
        <v>0</v>
      </c>
      <c r="J1775" s="81">
        <f t="shared" si="180"/>
        <v>0</v>
      </c>
      <c r="K1775" s="81"/>
      <c r="L1775" s="597">
        <v>3006</v>
      </c>
      <c r="M1775" s="81" t="str">
        <f>+IFERROR(VLOOKUP(L1775,DATA!$G$4:$H$2000,2,FALSE),"")</f>
        <v xml:space="preserve">ПАЙОНЕРИНГ ИНТЕРНЭШНЛ ХХК </v>
      </c>
      <c r="N1775" s="166"/>
      <c r="O1775" s="81" t="str">
        <f>IFERROR(VLOOKUP(N1775,DATA!$K$4:$L$51,2,FALSE),"")</f>
        <v/>
      </c>
      <c r="P1775" s="81"/>
      <c r="Q1775" s="152">
        <f t="shared" si="178"/>
        <v>0</v>
      </c>
    </row>
    <row r="1776" spans="2:17">
      <c r="B1776" s="670">
        <f t="shared" ref="B1776:B1779" si="184">+IF(C1776="","",ROW()-5)</f>
        <v>1771</v>
      </c>
      <c r="C1776" s="601">
        <v>42985</v>
      </c>
      <c r="D1776" s="377" t="s">
        <v>2682</v>
      </c>
      <c r="E1776" s="673">
        <v>150101</v>
      </c>
      <c r="F1776" s="672" t="str">
        <f>IFERROR(VLOOKUP(E1776,STAT1!$C$4:$D$8000,2,FALSE),"")</f>
        <v>Бараа бэлэн бүтээгдэхүүн БОЛОВСРУУЛАХ ЦЕХ /нарс/</v>
      </c>
      <c r="G1776" s="377"/>
      <c r="H1776" s="377">
        <v>739648.20325323357</v>
      </c>
      <c r="I1776" s="596">
        <f t="shared" si="179"/>
        <v>0</v>
      </c>
      <c r="J1776" s="81">
        <f t="shared" si="180"/>
        <v>0</v>
      </c>
      <c r="K1776" s="81"/>
      <c r="L1776" s="597">
        <v>3039</v>
      </c>
      <c r="M1776" s="81" t="str">
        <f>+IFERROR(VLOOKUP(L1776,DATA!$G$4:$H$2000,2,FALSE),"")</f>
        <v xml:space="preserve">САССИР ХХК </v>
      </c>
      <c r="N1776" s="166"/>
      <c r="O1776" s="81" t="str">
        <f>IFERROR(VLOOKUP(N1776,DATA!$K$4:$L$51,2,FALSE),"")</f>
        <v/>
      </c>
      <c r="P1776" s="81"/>
      <c r="Q1776" s="152">
        <f t="shared" si="178"/>
        <v>0</v>
      </c>
    </row>
    <row r="1777" spans="2:17">
      <c r="B1777" s="670">
        <f t="shared" si="184"/>
        <v>1772</v>
      </c>
      <c r="C1777" s="601">
        <v>42985</v>
      </c>
      <c r="D1777" s="377" t="s">
        <v>587</v>
      </c>
      <c r="E1777" s="674">
        <v>610100</v>
      </c>
      <c r="F1777" s="672" t="str">
        <f>IFERROR(VLOOKUP(E1777,STAT1!$C$4:$D$8000,2,FALSE),"")</f>
        <v>Борлуулсан барааны өртөг</v>
      </c>
      <c r="G1777" s="377">
        <v>739648.20325323357</v>
      </c>
      <c r="H1777" s="377"/>
      <c r="I1777" s="596">
        <f t="shared" si="179"/>
        <v>0</v>
      </c>
      <c r="J1777" s="81">
        <f t="shared" si="180"/>
        <v>0</v>
      </c>
      <c r="K1777" s="81"/>
      <c r="L1777" s="597">
        <v>3039</v>
      </c>
      <c r="M1777" s="81" t="str">
        <f>+IFERROR(VLOOKUP(L1777,DATA!$G$4:$H$2000,2,FALSE),"")</f>
        <v xml:space="preserve">САССИР ХХК </v>
      </c>
      <c r="N1777" s="166"/>
      <c r="O1777" s="81" t="str">
        <f>IFERROR(VLOOKUP(N1777,DATA!$K$4:$L$51,2,FALSE),"")</f>
        <v/>
      </c>
      <c r="P1777" s="81"/>
      <c r="Q1777" s="152">
        <f t="shared" si="178"/>
        <v>0</v>
      </c>
    </row>
    <row r="1778" spans="2:17">
      <c r="B1778" s="670">
        <f t="shared" si="184"/>
        <v>1773</v>
      </c>
      <c r="C1778" s="601">
        <v>42985</v>
      </c>
      <c r="D1778" s="377" t="s">
        <v>587</v>
      </c>
      <c r="E1778" s="674">
        <v>310500</v>
      </c>
      <c r="F1778" s="672" t="str">
        <f>IFERROR(VLOOKUP(E1778,STAT1!$C$4:$D$8000,2,FALSE),"")</f>
        <v>НӨАТ өглөг</v>
      </c>
      <c r="G1778" s="377"/>
      <c r="H1778" s="377">
        <v>98599.99970700001</v>
      </c>
      <c r="I1778" s="596">
        <f t="shared" si="179"/>
        <v>0</v>
      </c>
      <c r="J1778" s="81">
        <f t="shared" si="180"/>
        <v>0</v>
      </c>
      <c r="K1778" s="81"/>
      <c r="L1778" s="597">
        <v>3039</v>
      </c>
      <c r="M1778" s="81" t="str">
        <f>+IFERROR(VLOOKUP(L1778,DATA!$G$4:$H$2000,2,FALSE),"")</f>
        <v xml:space="preserve">САССИР ХХК </v>
      </c>
      <c r="N1778" s="166"/>
      <c r="O1778" s="81" t="str">
        <f>IFERROR(VLOOKUP(N1778,DATA!$K$4:$L$51,2,FALSE),"")</f>
        <v/>
      </c>
      <c r="P1778" s="81"/>
      <c r="Q1778" s="152">
        <f t="shared" si="178"/>
        <v>0</v>
      </c>
    </row>
    <row r="1779" spans="2:17">
      <c r="B1779" s="670">
        <f t="shared" si="184"/>
        <v>1774</v>
      </c>
      <c r="C1779" s="601">
        <v>42985</v>
      </c>
      <c r="D1779" s="377" t="s">
        <v>587</v>
      </c>
      <c r="E1779" s="674">
        <v>510000</v>
      </c>
      <c r="F1779" s="672" t="str">
        <f>IFERROR(VLOOKUP(E1779,STAT1!$C$4:$D$8000,2,FALSE),"")</f>
        <v>Үндсэн үйл ажиллагааны борлуулалт</v>
      </c>
      <c r="G1779" s="377"/>
      <c r="H1779" s="377">
        <v>985999.99707000004</v>
      </c>
      <c r="I1779" s="596">
        <f t="shared" si="179"/>
        <v>0</v>
      </c>
      <c r="J1779" s="81">
        <f t="shared" si="180"/>
        <v>0</v>
      </c>
      <c r="K1779" s="81"/>
      <c r="L1779" s="597">
        <v>3039</v>
      </c>
      <c r="M1779" s="81" t="str">
        <f>+IFERROR(VLOOKUP(L1779,DATA!$G$4:$H$2000,2,FALSE),"")</f>
        <v xml:space="preserve">САССИР ХХК </v>
      </c>
      <c r="N1779" s="166"/>
      <c r="O1779" s="81" t="str">
        <f>IFERROR(VLOOKUP(N1779,DATA!$K$4:$L$51,2,FALSE),"")</f>
        <v/>
      </c>
      <c r="P1779" s="81"/>
      <c r="Q1779" s="152">
        <f t="shared" si="178"/>
        <v>0</v>
      </c>
    </row>
    <row r="1780" spans="2:17">
      <c r="B1780" s="670">
        <f t="shared" si="175"/>
        <v>1775</v>
      </c>
      <c r="C1780" s="601">
        <v>42985</v>
      </c>
      <c r="D1780" s="377" t="s">
        <v>587</v>
      </c>
      <c r="E1780" s="674">
        <v>320100</v>
      </c>
      <c r="F1780" s="672" t="str">
        <f>IFERROR(VLOOKUP(E1780,STAT1!$C$4:$D$8000,2,FALSE),"")</f>
        <v>Урьдчилж орсон орлого MNT</v>
      </c>
      <c r="G1780" s="377">
        <v>1084599.9967770001</v>
      </c>
      <c r="H1780" s="377"/>
      <c r="I1780" s="596">
        <f t="shared" si="179"/>
        <v>0</v>
      </c>
      <c r="J1780" s="81">
        <f t="shared" ref="J1780:J1811" si="185">+IF(E1780=110102,I1780/K1780,0)</f>
        <v>0</v>
      </c>
      <c r="K1780" s="81"/>
      <c r="L1780" s="597">
        <v>3039</v>
      </c>
      <c r="M1780" s="81" t="str">
        <f>+IFERROR(VLOOKUP(L1780,DATA!$G$4:$H$2000,2,FALSE),"")</f>
        <v xml:space="preserve">САССИР ХХК </v>
      </c>
      <c r="N1780" s="166"/>
      <c r="O1780" s="81" t="str">
        <f>IFERROR(VLOOKUP(N1780,DATA!$K$4:$L$51,2,FALSE),"")</f>
        <v/>
      </c>
      <c r="P1780" s="81"/>
      <c r="Q1780" s="152">
        <f t="shared" si="178"/>
        <v>0</v>
      </c>
    </row>
    <row r="1781" spans="2:17">
      <c r="B1781" s="670">
        <f t="shared" si="175"/>
        <v>1776</v>
      </c>
      <c r="C1781" s="601">
        <v>42985</v>
      </c>
      <c r="D1781" s="377" t="s">
        <v>1659</v>
      </c>
      <c r="E1781" s="673">
        <v>150101</v>
      </c>
      <c r="F1781" s="672" t="str">
        <f>IFERROR(VLOOKUP(E1781,STAT1!$C$4:$D$8000,2,FALSE),"")</f>
        <v>Бараа бэлэн бүтээгдэхүүн БОЛОВСРУУЛАХ ЦЕХ /нарс/</v>
      </c>
      <c r="G1781" s="377"/>
      <c r="H1781" s="377">
        <v>29582.709099666186</v>
      </c>
      <c r="I1781" s="596">
        <f t="shared" si="179"/>
        <v>0</v>
      </c>
      <c r="J1781" s="81">
        <f t="shared" si="185"/>
        <v>0</v>
      </c>
      <c r="K1781" s="81"/>
      <c r="L1781" s="597">
        <v>4002</v>
      </c>
      <c r="M1781" s="81" t="str">
        <f>+IFERROR(VLOOKUP(L1781,DATA!$G$4:$H$2000,2,FALSE),"")</f>
        <v xml:space="preserve">Хувь хүн </v>
      </c>
      <c r="N1781" s="166"/>
      <c r="O1781" s="81" t="str">
        <f>IFERROR(VLOOKUP(N1781,DATA!$K$4:$L$51,2,FALSE),"")</f>
        <v/>
      </c>
      <c r="P1781" s="81"/>
      <c r="Q1781" s="152">
        <f t="shared" si="178"/>
        <v>0</v>
      </c>
    </row>
    <row r="1782" spans="2:17">
      <c r="B1782" s="670">
        <f t="shared" si="175"/>
        <v>1777</v>
      </c>
      <c r="C1782" s="601">
        <v>42985</v>
      </c>
      <c r="D1782" s="377" t="s">
        <v>1660</v>
      </c>
      <c r="E1782" s="674">
        <v>610100</v>
      </c>
      <c r="F1782" s="672" t="str">
        <f>IFERROR(VLOOKUP(E1782,STAT1!$C$4:$D$8000,2,FALSE),"")</f>
        <v>Борлуулсан барааны өртөг</v>
      </c>
      <c r="G1782" s="377">
        <v>29582.709099666186</v>
      </c>
      <c r="H1782" s="377"/>
      <c r="I1782" s="596">
        <f t="shared" si="179"/>
        <v>0</v>
      </c>
      <c r="J1782" s="81">
        <f t="shared" si="185"/>
        <v>0</v>
      </c>
      <c r="K1782" s="81"/>
      <c r="L1782" s="597">
        <v>4002</v>
      </c>
      <c r="M1782" s="81" t="str">
        <f>+IFERROR(VLOOKUP(L1782,DATA!$G$4:$H$2000,2,FALSE),"")</f>
        <v xml:space="preserve">Хувь хүн </v>
      </c>
      <c r="N1782" s="166"/>
      <c r="O1782" s="81" t="str">
        <f>IFERROR(VLOOKUP(N1782,DATA!$K$4:$L$51,2,FALSE),"")</f>
        <v/>
      </c>
      <c r="P1782" s="81"/>
      <c r="Q1782" s="152">
        <f t="shared" si="178"/>
        <v>0</v>
      </c>
    </row>
    <row r="1783" spans="2:17">
      <c r="B1783" s="670">
        <f t="shared" ref="B1783:B1846" si="186">+IF(C1783="","",ROW()-5)</f>
        <v>1778</v>
      </c>
      <c r="C1783" s="601">
        <v>42985</v>
      </c>
      <c r="D1783" s="377" t="s">
        <v>2698</v>
      </c>
      <c r="E1783" s="674">
        <v>310500</v>
      </c>
      <c r="F1783" s="672" t="str">
        <f>IFERROR(VLOOKUP(E1783,STAT1!$C$4:$D$8000,2,FALSE),"")</f>
        <v>НӨАТ өглөг</v>
      </c>
      <c r="G1783" s="377"/>
      <c r="H1783" s="377">
        <v>6927.2727257999995</v>
      </c>
      <c r="I1783" s="596">
        <f t="shared" si="179"/>
        <v>0</v>
      </c>
      <c r="J1783" s="81">
        <f t="shared" si="185"/>
        <v>0</v>
      </c>
      <c r="K1783" s="81"/>
      <c r="L1783" s="597">
        <v>4002</v>
      </c>
      <c r="M1783" s="81" t="str">
        <f>+IFERROR(VLOOKUP(L1783,DATA!$G$4:$H$2000,2,FALSE),"")</f>
        <v xml:space="preserve">Хувь хүн </v>
      </c>
      <c r="N1783" s="166"/>
      <c r="O1783" s="81" t="str">
        <f>IFERROR(VLOOKUP(N1783,DATA!$K$4:$L$51,2,FALSE),"")</f>
        <v/>
      </c>
      <c r="P1783" s="81"/>
      <c r="Q1783" s="152">
        <f t="shared" si="178"/>
        <v>0</v>
      </c>
    </row>
    <row r="1784" spans="2:17">
      <c r="B1784" s="670">
        <f t="shared" si="186"/>
        <v>1779</v>
      </c>
      <c r="C1784" s="601">
        <v>42985</v>
      </c>
      <c r="D1784" s="377" t="s">
        <v>587</v>
      </c>
      <c r="E1784" s="674">
        <v>510000</v>
      </c>
      <c r="F1784" s="672" t="str">
        <f>IFERROR(VLOOKUP(E1784,STAT1!$C$4:$D$8000,2,FALSE),"")</f>
        <v>Үндсэн үйл ажиллагааны борлуулалт</v>
      </c>
      <c r="G1784" s="377"/>
      <c r="H1784" s="377">
        <v>69272.727257999999</v>
      </c>
      <c r="I1784" s="596">
        <f t="shared" si="179"/>
        <v>0</v>
      </c>
      <c r="J1784" s="81">
        <f t="shared" si="185"/>
        <v>0</v>
      </c>
      <c r="K1784" s="81"/>
      <c r="L1784" s="597">
        <v>4002</v>
      </c>
      <c r="M1784" s="81" t="str">
        <f>+IFERROR(VLOOKUP(L1784,DATA!$G$4:$H$2000,2,FALSE),"")</f>
        <v xml:space="preserve">Хувь хүн </v>
      </c>
      <c r="N1784" s="166"/>
      <c r="O1784" s="81" t="str">
        <f>IFERROR(VLOOKUP(N1784,DATA!$K$4:$L$51,2,FALSE),"")</f>
        <v/>
      </c>
      <c r="P1784" s="81"/>
      <c r="Q1784" s="152">
        <f t="shared" si="178"/>
        <v>0</v>
      </c>
    </row>
    <row r="1785" spans="2:17">
      <c r="B1785" s="670">
        <f t="shared" si="186"/>
        <v>1780</v>
      </c>
      <c r="C1785" s="601">
        <v>42985</v>
      </c>
      <c r="D1785" s="377" t="s">
        <v>587</v>
      </c>
      <c r="E1785" s="674">
        <v>320100</v>
      </c>
      <c r="F1785" s="672" t="str">
        <f>IFERROR(VLOOKUP(E1785,STAT1!$C$4:$D$8000,2,FALSE),"")</f>
        <v>Урьдчилж орсон орлого MNT</v>
      </c>
      <c r="G1785" s="377">
        <v>76199.999983799993</v>
      </c>
      <c r="H1785" s="377"/>
      <c r="I1785" s="596">
        <f t="shared" si="179"/>
        <v>0</v>
      </c>
      <c r="J1785" s="81">
        <f t="shared" si="185"/>
        <v>0</v>
      </c>
      <c r="K1785" s="81"/>
      <c r="L1785" s="597">
        <v>4002</v>
      </c>
      <c r="M1785" s="81" t="str">
        <f>+IFERROR(VLOOKUP(L1785,DATA!$G$4:$H$2000,2,FALSE),"")</f>
        <v xml:space="preserve">Хувь хүн </v>
      </c>
      <c r="N1785" s="166"/>
      <c r="O1785" s="81" t="str">
        <f>IFERROR(VLOOKUP(N1785,DATA!$K$4:$L$51,2,FALSE),"")</f>
        <v/>
      </c>
      <c r="P1785" s="81"/>
      <c r="Q1785" s="152">
        <f t="shared" si="178"/>
        <v>0</v>
      </c>
    </row>
    <row r="1786" spans="2:17">
      <c r="B1786" s="670">
        <f t="shared" si="186"/>
        <v>1781</v>
      </c>
      <c r="C1786" s="433">
        <v>42986</v>
      </c>
      <c r="D1786" s="598" t="s">
        <v>1741</v>
      </c>
      <c r="E1786" s="572">
        <v>110100</v>
      </c>
      <c r="F1786" s="672" t="str">
        <f>IFERROR(VLOOKUP(E1786,STAT1!$C$4:$D$1000,2,FALSE),"")</f>
        <v>Хаан Банк 5024654020</v>
      </c>
      <c r="G1786" s="377">
        <v>943800</v>
      </c>
      <c r="H1786" s="377"/>
      <c r="I1786" s="596">
        <f t="shared" si="179"/>
        <v>943800</v>
      </c>
      <c r="J1786" s="81">
        <f t="shared" si="185"/>
        <v>0</v>
      </c>
      <c r="K1786" s="81"/>
      <c r="L1786" s="597">
        <v>3094</v>
      </c>
      <c r="M1786" s="81" t="str">
        <f>+IFERROR(VLOOKUP(L1786,DATA!$G$4:$H$2000,2,FALSE),"")</f>
        <v xml:space="preserve">ТОД УНДАРГА ХХК </v>
      </c>
      <c r="N1786" s="435">
        <v>41</v>
      </c>
      <c r="O1786" s="81" t="str">
        <f>IFERROR(VLOOKUP(N1786,DATA!$K$4:$L$51,2,FALSE),"")</f>
        <v>Бараа борлуулсан, үйлчилгээ үзүүлсэний орлого</v>
      </c>
      <c r="P1786" s="81"/>
      <c r="Q1786" s="152">
        <f t="shared" si="178"/>
        <v>1</v>
      </c>
    </row>
    <row r="1787" spans="2:17">
      <c r="B1787" s="670">
        <f t="shared" si="186"/>
        <v>1782</v>
      </c>
      <c r="C1787" s="433">
        <v>42986</v>
      </c>
      <c r="D1787" s="598" t="s">
        <v>1741</v>
      </c>
      <c r="E1787" s="572">
        <v>320100</v>
      </c>
      <c r="F1787" s="672" t="str">
        <f>IFERROR(VLOOKUP(E1787,STAT1!$C$4:$D$1000,2,FALSE),"")</f>
        <v>Урьдчилж орсон орлого MNT</v>
      </c>
      <c r="G1787" s="377">
        <v>0</v>
      </c>
      <c r="H1787" s="377">
        <v>943800</v>
      </c>
      <c r="I1787" s="596">
        <f t="shared" si="179"/>
        <v>0</v>
      </c>
      <c r="J1787" s="81">
        <f t="shared" si="185"/>
        <v>0</v>
      </c>
      <c r="K1787" s="81"/>
      <c r="L1787" s="597">
        <v>3094</v>
      </c>
      <c r="M1787" s="81" t="str">
        <f>+IFERROR(VLOOKUP(L1787,DATA!$G$4:$H$2000,2,FALSE),"")</f>
        <v xml:space="preserve">ТОД УНДАРГА ХХК </v>
      </c>
      <c r="N1787" s="435"/>
      <c r="O1787" s="81" t="str">
        <f>IFERROR(VLOOKUP(N1787,DATA!$K$4:$L$51,2,FALSE),"")</f>
        <v/>
      </c>
      <c r="P1787" s="81"/>
      <c r="Q1787" s="152">
        <f t="shared" si="178"/>
        <v>0</v>
      </c>
    </row>
    <row r="1788" spans="2:17">
      <c r="B1788" s="670">
        <f t="shared" si="186"/>
        <v>1783</v>
      </c>
      <c r="C1788" s="433">
        <v>42986</v>
      </c>
      <c r="D1788" s="598" t="s">
        <v>1741</v>
      </c>
      <c r="E1788" s="572">
        <v>110100</v>
      </c>
      <c r="F1788" s="672" t="str">
        <f>IFERROR(VLOOKUP(E1788,STAT1!$C$4:$D$1000,2,FALSE),"")</f>
        <v>Хаан Банк 5024654020</v>
      </c>
      <c r="G1788" s="377">
        <v>94380</v>
      </c>
      <c r="H1788" s="377"/>
      <c r="I1788" s="596">
        <f t="shared" si="179"/>
        <v>94380</v>
      </c>
      <c r="J1788" s="81">
        <f t="shared" si="185"/>
        <v>0</v>
      </c>
      <c r="K1788" s="81"/>
      <c r="L1788" s="597">
        <v>3094</v>
      </c>
      <c r="M1788" s="81" t="str">
        <f>+IFERROR(VLOOKUP(L1788,DATA!$G$4:$H$2000,2,FALSE),"")</f>
        <v xml:space="preserve">ТОД УНДАРГА ХХК </v>
      </c>
      <c r="N1788" s="435">
        <v>41</v>
      </c>
      <c r="O1788" s="81" t="str">
        <f>IFERROR(VLOOKUP(N1788,DATA!$K$4:$L$51,2,FALSE),"")</f>
        <v>Бараа борлуулсан, үйлчилгээ үзүүлсэний орлого</v>
      </c>
      <c r="P1788" s="81"/>
      <c r="Q1788" s="152">
        <f t="shared" si="178"/>
        <v>1</v>
      </c>
    </row>
    <row r="1789" spans="2:17">
      <c r="B1789" s="670">
        <f t="shared" si="186"/>
        <v>1784</v>
      </c>
      <c r="C1789" s="433">
        <v>42986</v>
      </c>
      <c r="D1789" s="598" t="s">
        <v>1741</v>
      </c>
      <c r="E1789" s="572">
        <v>320100</v>
      </c>
      <c r="F1789" s="672" t="str">
        <f>IFERROR(VLOOKUP(E1789,STAT1!$C$4:$D$1000,2,FALSE),"")</f>
        <v>Урьдчилж орсон орлого MNT</v>
      </c>
      <c r="G1789" s="377">
        <v>0</v>
      </c>
      <c r="H1789" s="377">
        <v>94380</v>
      </c>
      <c r="I1789" s="596">
        <f t="shared" si="179"/>
        <v>0</v>
      </c>
      <c r="J1789" s="81">
        <f t="shared" si="185"/>
        <v>0</v>
      </c>
      <c r="K1789" s="81"/>
      <c r="L1789" s="597">
        <v>3094</v>
      </c>
      <c r="M1789" s="81" t="str">
        <f>+IFERROR(VLOOKUP(L1789,DATA!$G$4:$H$2000,2,FALSE),"")</f>
        <v xml:space="preserve">ТОД УНДАРГА ХХК </v>
      </c>
      <c r="N1789" s="435"/>
      <c r="O1789" s="81" t="str">
        <f>IFERROR(VLOOKUP(N1789,DATA!$K$4:$L$51,2,FALSE),"")</f>
        <v/>
      </c>
      <c r="P1789" s="81"/>
      <c r="Q1789" s="152">
        <f t="shared" si="178"/>
        <v>0</v>
      </c>
    </row>
    <row r="1790" spans="2:17">
      <c r="B1790" s="670">
        <f t="shared" si="186"/>
        <v>1785</v>
      </c>
      <c r="C1790" s="601">
        <v>42986</v>
      </c>
      <c r="D1790" s="377" t="s">
        <v>1659</v>
      </c>
      <c r="E1790" s="673">
        <v>150101</v>
      </c>
      <c r="F1790" s="672" t="str">
        <f>IFERROR(VLOOKUP(E1790,STAT1!$C$4:$D$8000,2,FALSE),"")</f>
        <v>Бараа бэлэн бүтээгдэхүүн БОЛОВСРУУЛАХ ЦЕХ /нарс/</v>
      </c>
      <c r="G1790" s="377"/>
      <c r="H1790" s="377">
        <v>55093.501574113223</v>
      </c>
      <c r="I1790" s="596">
        <f t="shared" si="179"/>
        <v>0</v>
      </c>
      <c r="J1790" s="81">
        <f t="shared" si="185"/>
        <v>0</v>
      </c>
      <c r="K1790" s="81"/>
      <c r="L1790" s="597">
        <v>4002</v>
      </c>
      <c r="M1790" s="81" t="str">
        <f>+IFERROR(VLOOKUP(L1790,DATA!$G$4:$H$2000,2,FALSE),"")</f>
        <v xml:space="preserve">Хувь хүн </v>
      </c>
      <c r="N1790" s="166"/>
      <c r="O1790" s="81" t="str">
        <f>IFERROR(VLOOKUP(N1790,DATA!$K$4:$L$51,2,FALSE),"")</f>
        <v/>
      </c>
      <c r="P1790" s="81"/>
      <c r="Q1790" s="152">
        <f t="shared" si="178"/>
        <v>0</v>
      </c>
    </row>
    <row r="1791" spans="2:17">
      <c r="B1791" s="670">
        <f t="shared" si="186"/>
        <v>1786</v>
      </c>
      <c r="C1791" s="601">
        <v>42986</v>
      </c>
      <c r="D1791" s="377" t="s">
        <v>1660</v>
      </c>
      <c r="E1791" s="674">
        <v>610100</v>
      </c>
      <c r="F1791" s="672" t="str">
        <f>IFERROR(VLOOKUP(E1791,STAT1!$C$4:$D$8000,2,FALSE),"")</f>
        <v>Борлуулсан барааны өртөг</v>
      </c>
      <c r="G1791" s="377">
        <v>55093.501574113223</v>
      </c>
      <c r="H1791" s="377"/>
      <c r="I1791" s="596">
        <f t="shared" si="179"/>
        <v>0</v>
      </c>
      <c r="J1791" s="81">
        <f t="shared" si="185"/>
        <v>0</v>
      </c>
      <c r="K1791" s="81"/>
      <c r="L1791" s="597">
        <v>4002</v>
      </c>
      <c r="M1791" s="81" t="str">
        <f>+IFERROR(VLOOKUP(L1791,DATA!$G$4:$H$2000,2,FALSE),"")</f>
        <v xml:space="preserve">Хувь хүн </v>
      </c>
      <c r="N1791" s="166"/>
      <c r="O1791" s="81" t="str">
        <f>IFERROR(VLOOKUP(N1791,DATA!$K$4:$L$51,2,FALSE),"")</f>
        <v/>
      </c>
      <c r="P1791" s="81"/>
      <c r="Q1791" s="152">
        <f t="shared" si="178"/>
        <v>0</v>
      </c>
    </row>
    <row r="1792" spans="2:17">
      <c r="B1792" s="670">
        <f t="shared" si="186"/>
        <v>1787</v>
      </c>
      <c r="C1792" s="601">
        <v>42986</v>
      </c>
      <c r="D1792" s="377" t="s">
        <v>587</v>
      </c>
      <c r="E1792" s="674">
        <v>310500</v>
      </c>
      <c r="F1792" s="672" t="str">
        <f>IFERROR(VLOOKUP(E1792,STAT1!$C$4:$D$8000,2,FALSE),"")</f>
        <v>НӨАТ өглөг</v>
      </c>
      <c r="G1792" s="377"/>
      <c r="H1792" s="377">
        <v>12600</v>
      </c>
      <c r="I1792" s="596">
        <f t="shared" si="179"/>
        <v>0</v>
      </c>
      <c r="J1792" s="81">
        <f t="shared" si="185"/>
        <v>0</v>
      </c>
      <c r="K1792" s="81"/>
      <c r="L1792" s="597">
        <v>4002</v>
      </c>
      <c r="M1792" s="81" t="str">
        <f>+IFERROR(VLOOKUP(L1792,DATA!$G$4:$H$2000,2,FALSE),"")</f>
        <v xml:space="preserve">Хувь хүн </v>
      </c>
      <c r="N1792" s="166"/>
      <c r="O1792" s="81" t="str">
        <f>IFERROR(VLOOKUP(N1792,DATA!$K$4:$L$51,2,FALSE),"")</f>
        <v/>
      </c>
      <c r="P1792" s="81"/>
      <c r="Q1792" s="152">
        <f t="shared" si="178"/>
        <v>0</v>
      </c>
    </row>
    <row r="1793" spans="2:17">
      <c r="B1793" s="670">
        <f t="shared" si="186"/>
        <v>1788</v>
      </c>
      <c r="C1793" s="601">
        <v>42986</v>
      </c>
      <c r="D1793" s="377" t="s">
        <v>587</v>
      </c>
      <c r="E1793" s="674">
        <v>510000</v>
      </c>
      <c r="F1793" s="672" t="str">
        <f>IFERROR(VLOOKUP(E1793,STAT1!$C$4:$D$8000,2,FALSE),"")</f>
        <v>Үндсэн үйл ажиллагааны борлуулалт</v>
      </c>
      <c r="G1793" s="377"/>
      <c r="H1793" s="377">
        <v>126000</v>
      </c>
      <c r="I1793" s="596">
        <f t="shared" si="179"/>
        <v>0</v>
      </c>
      <c r="J1793" s="81">
        <f t="shared" si="185"/>
        <v>0</v>
      </c>
      <c r="K1793" s="81"/>
      <c r="L1793" s="597">
        <v>4002</v>
      </c>
      <c r="M1793" s="81" t="str">
        <f>+IFERROR(VLOOKUP(L1793,DATA!$G$4:$H$2000,2,FALSE),"")</f>
        <v xml:space="preserve">Хувь хүн </v>
      </c>
      <c r="N1793" s="166"/>
      <c r="O1793" s="81" t="str">
        <f>IFERROR(VLOOKUP(N1793,DATA!$K$4:$L$51,2,FALSE),"")</f>
        <v/>
      </c>
      <c r="P1793" s="81"/>
      <c r="Q1793" s="152">
        <f t="shared" si="178"/>
        <v>0</v>
      </c>
    </row>
    <row r="1794" spans="2:17">
      <c r="B1794" s="670">
        <f t="shared" si="186"/>
        <v>1789</v>
      </c>
      <c r="C1794" s="601">
        <v>42986</v>
      </c>
      <c r="D1794" s="377" t="s">
        <v>587</v>
      </c>
      <c r="E1794" s="674">
        <v>320100</v>
      </c>
      <c r="F1794" s="672" t="str">
        <f>IFERROR(VLOOKUP(E1794,STAT1!$C$4:$D$8000,2,FALSE),"")</f>
        <v>Урьдчилж орсон орлого MNT</v>
      </c>
      <c r="G1794" s="377">
        <v>138600</v>
      </c>
      <c r="H1794" s="377"/>
      <c r="I1794" s="596">
        <f t="shared" si="179"/>
        <v>0</v>
      </c>
      <c r="J1794" s="81">
        <f t="shared" si="185"/>
        <v>0</v>
      </c>
      <c r="K1794" s="81"/>
      <c r="L1794" s="597">
        <v>4002</v>
      </c>
      <c r="M1794" s="81" t="str">
        <f>+IFERROR(VLOOKUP(L1794,DATA!$G$4:$H$2000,2,FALSE),"")</f>
        <v xml:space="preserve">Хувь хүн </v>
      </c>
      <c r="N1794" s="166"/>
      <c r="O1794" s="81" t="str">
        <f>IFERROR(VLOOKUP(N1794,DATA!$K$4:$L$51,2,FALSE),"")</f>
        <v/>
      </c>
      <c r="P1794" s="81"/>
      <c r="Q1794" s="152">
        <f t="shared" si="178"/>
        <v>0</v>
      </c>
    </row>
    <row r="1795" spans="2:17">
      <c r="B1795" s="670">
        <f t="shared" si="186"/>
        <v>1790</v>
      </c>
      <c r="C1795" s="433">
        <v>42989</v>
      </c>
      <c r="D1795" s="598" t="s">
        <v>1741</v>
      </c>
      <c r="E1795" s="572">
        <v>110100</v>
      </c>
      <c r="F1795" s="672" t="str">
        <f>IFERROR(VLOOKUP(E1795,STAT1!$C$4:$D$1000,2,FALSE),"")</f>
        <v>Хаан Банк 5024654020</v>
      </c>
      <c r="G1795" s="377">
        <v>5500000</v>
      </c>
      <c r="H1795" s="377"/>
      <c r="I1795" s="596">
        <f t="shared" si="179"/>
        <v>5500000</v>
      </c>
      <c r="J1795" s="81">
        <f t="shared" si="185"/>
        <v>0</v>
      </c>
      <c r="K1795" s="81"/>
      <c r="L1795" s="597">
        <v>3001</v>
      </c>
      <c r="M1795" s="81" t="str">
        <f>+IFERROR(VLOOKUP(L1795,DATA!$G$4:$H$2000,2,FALSE),"")</f>
        <v>ХУРД ГРУПП ХХК</v>
      </c>
      <c r="N1795" s="435">
        <v>41</v>
      </c>
      <c r="O1795" s="81" t="str">
        <f>IFERROR(VLOOKUP(N1795,DATA!$K$4:$L$51,2,FALSE),"")</f>
        <v>Бараа борлуулсан, үйлчилгээ үзүүлсэний орлого</v>
      </c>
      <c r="P1795" s="81"/>
      <c r="Q1795" s="152">
        <f t="shared" si="178"/>
        <v>1</v>
      </c>
    </row>
    <row r="1796" spans="2:17">
      <c r="B1796" s="670">
        <f t="shared" si="186"/>
        <v>1791</v>
      </c>
      <c r="C1796" s="433">
        <v>42989</v>
      </c>
      <c r="D1796" s="598" t="s">
        <v>1741</v>
      </c>
      <c r="E1796" s="572">
        <v>320100</v>
      </c>
      <c r="F1796" s="672" t="str">
        <f>IFERROR(VLOOKUP(E1796,STAT1!$C$4:$D$1000,2,FALSE),"")</f>
        <v>Урьдчилж орсон орлого MNT</v>
      </c>
      <c r="G1796" s="377">
        <v>0</v>
      </c>
      <c r="H1796" s="377">
        <v>5500000</v>
      </c>
      <c r="I1796" s="596">
        <f t="shared" si="179"/>
        <v>0</v>
      </c>
      <c r="J1796" s="81">
        <f t="shared" si="185"/>
        <v>0</v>
      </c>
      <c r="K1796" s="81"/>
      <c r="L1796" s="597">
        <v>3001</v>
      </c>
      <c r="M1796" s="81" t="str">
        <f>+IFERROR(VLOOKUP(L1796,DATA!$G$4:$H$2000,2,FALSE),"")</f>
        <v>ХУРД ГРУПП ХХК</v>
      </c>
      <c r="N1796" s="435"/>
      <c r="O1796" s="81" t="str">
        <f>IFERROR(VLOOKUP(N1796,DATA!$K$4:$L$51,2,FALSE),"")</f>
        <v/>
      </c>
      <c r="P1796" s="81"/>
      <c r="Q1796" s="152">
        <f t="shared" si="178"/>
        <v>0</v>
      </c>
    </row>
    <row r="1797" spans="2:17">
      <c r="B1797" s="670">
        <f t="shared" si="186"/>
        <v>1792</v>
      </c>
      <c r="C1797" s="433">
        <v>42989</v>
      </c>
      <c r="D1797" s="598" t="s">
        <v>1762</v>
      </c>
      <c r="E1797" s="572">
        <v>704200</v>
      </c>
      <c r="F1797" s="672" t="str">
        <f>IFERROR(VLOOKUP(E1797,STAT1!$C$4:$D$8000,2,FALSE),"")</f>
        <v>Ус рашаан ашигласны төлбөр</v>
      </c>
      <c r="G1797" s="377">
        <v>733866</v>
      </c>
      <c r="H1797" s="377">
        <v>0</v>
      </c>
      <c r="I1797" s="596">
        <f t="shared" si="179"/>
        <v>0</v>
      </c>
      <c r="J1797" s="81">
        <f t="shared" si="185"/>
        <v>0</v>
      </c>
      <c r="K1797" s="81"/>
      <c r="L1797" s="597">
        <v>2001</v>
      </c>
      <c r="M1797" s="81" t="str">
        <f>+IFERROR(VLOOKUP(L1797,DATA!$G$4:$H$2000,2,FALSE),"")</f>
        <v>ХУД-н ТАТВАРЫН ХЭЛТЭС</v>
      </c>
      <c r="N1797" s="435"/>
      <c r="O1797" s="81" t="str">
        <f>IFERROR(VLOOKUP(N1797,DATA!$K$4:$L$51,2,FALSE),"")</f>
        <v/>
      </c>
      <c r="P1797" s="81"/>
      <c r="Q1797" s="152">
        <f t="shared" si="178"/>
        <v>0</v>
      </c>
    </row>
    <row r="1798" spans="2:17">
      <c r="B1798" s="670">
        <f t="shared" si="186"/>
        <v>1793</v>
      </c>
      <c r="C1798" s="433">
        <v>42989</v>
      </c>
      <c r="D1798" s="598" t="s">
        <v>1762</v>
      </c>
      <c r="E1798" s="572">
        <v>110100</v>
      </c>
      <c r="F1798" s="672" t="str">
        <f>IFERROR(VLOOKUP(E1798,STAT1!$C$4:$D$8000,2,FALSE),"")</f>
        <v>Хаан Банк 5024654020</v>
      </c>
      <c r="G1798" s="377"/>
      <c r="H1798" s="377">
        <v>733866</v>
      </c>
      <c r="I1798" s="596">
        <f t="shared" si="179"/>
        <v>-733866</v>
      </c>
      <c r="J1798" s="81">
        <f t="shared" si="185"/>
        <v>0</v>
      </c>
      <c r="K1798" s="81"/>
      <c r="L1798" s="597">
        <v>2001</v>
      </c>
      <c r="M1798" s="81" t="str">
        <f>+IFERROR(VLOOKUP(L1798,DATA!$G$4:$H$2000,2,FALSE),"")</f>
        <v>ХУД-н ТАТВАРЫН ХЭЛТЭС</v>
      </c>
      <c r="N1798" s="435">
        <v>57</v>
      </c>
      <c r="O1798" s="81" t="str">
        <f>IFERROR(VLOOKUP(N1798,DATA!$K$4:$L$51,2,FALSE),"")</f>
        <v>Татварын байгууллагад төлсөн</v>
      </c>
      <c r="P1798" s="81"/>
      <c r="Q1798" s="152">
        <f t="shared" si="178"/>
        <v>1</v>
      </c>
    </row>
    <row r="1799" spans="2:17">
      <c r="B1799" s="670">
        <f t="shared" si="186"/>
        <v>1794</v>
      </c>
      <c r="C1799" s="601">
        <v>42990</v>
      </c>
      <c r="D1799" s="377" t="s">
        <v>2698</v>
      </c>
      <c r="E1799" s="673">
        <v>150101</v>
      </c>
      <c r="F1799" s="672" t="str">
        <f>IFERROR(VLOOKUP(E1799,STAT1!$C$4:$D$8000,2,FALSE),"")</f>
        <v>Бараа бэлэн бүтээгдэхүүн БОЛОВСРУУЛАХ ЦЕХ /нарс/</v>
      </c>
      <c r="G1799" s="377"/>
      <c r="H1799" s="377">
        <v>593063.34558365459</v>
      </c>
      <c r="I1799" s="596">
        <f t="shared" si="179"/>
        <v>0</v>
      </c>
      <c r="J1799" s="81">
        <f t="shared" si="185"/>
        <v>0</v>
      </c>
      <c r="K1799" s="81"/>
      <c r="L1799" s="597">
        <v>3094</v>
      </c>
      <c r="M1799" s="81" t="str">
        <f>+IFERROR(VLOOKUP(L1799,DATA!$G$4:$H$2000,2,FALSE),"")</f>
        <v xml:space="preserve">ТОД УНДАРГА ХХК </v>
      </c>
      <c r="N1799" s="166"/>
      <c r="O1799" s="81" t="str">
        <f>IFERROR(VLOOKUP(N1799,DATA!$K$4:$L$51,2,FALSE),"")</f>
        <v/>
      </c>
      <c r="P1799" s="81"/>
      <c r="Q1799" s="152">
        <f t="shared" si="178"/>
        <v>0</v>
      </c>
    </row>
    <row r="1800" spans="2:17">
      <c r="B1800" s="670">
        <f t="shared" si="186"/>
        <v>1795</v>
      </c>
      <c r="C1800" s="601">
        <v>42990</v>
      </c>
      <c r="D1800" s="377" t="s">
        <v>587</v>
      </c>
      <c r="E1800" s="674">
        <v>610100</v>
      </c>
      <c r="F1800" s="672" t="str">
        <f>IFERROR(VLOOKUP(E1800,STAT1!$C$4:$D$8000,2,FALSE),"")</f>
        <v>Борлуулсан барааны өртөг</v>
      </c>
      <c r="G1800" s="377">
        <v>593063.34558365459</v>
      </c>
      <c r="H1800" s="377"/>
      <c r="I1800" s="596">
        <f t="shared" si="179"/>
        <v>0</v>
      </c>
      <c r="J1800" s="81">
        <f t="shared" si="185"/>
        <v>0</v>
      </c>
      <c r="K1800" s="81"/>
      <c r="L1800" s="597">
        <v>3094</v>
      </c>
      <c r="M1800" s="81" t="str">
        <f>+IFERROR(VLOOKUP(L1800,DATA!$G$4:$H$2000,2,FALSE),"")</f>
        <v xml:space="preserve">ТОД УНДАРГА ХХК </v>
      </c>
      <c r="N1800" s="166"/>
      <c r="O1800" s="81" t="str">
        <f>IFERROR(VLOOKUP(N1800,DATA!$K$4:$L$51,2,FALSE),"")</f>
        <v/>
      </c>
      <c r="P1800" s="81"/>
      <c r="Q1800" s="152">
        <f t="shared" ref="Q1800:Q1863" si="187">+IF(I1800,1,0)</f>
        <v>0</v>
      </c>
    </row>
    <row r="1801" spans="2:17">
      <c r="B1801" s="670">
        <f t="shared" si="186"/>
        <v>1796</v>
      </c>
      <c r="C1801" s="601">
        <v>42990</v>
      </c>
      <c r="D1801" s="377" t="s">
        <v>587</v>
      </c>
      <c r="E1801" s="674">
        <v>310500</v>
      </c>
      <c r="F1801" s="672" t="str">
        <f>IFERROR(VLOOKUP(E1801,STAT1!$C$4:$D$8000,2,FALSE),"")</f>
        <v>НӨАТ өглөг</v>
      </c>
      <c r="G1801" s="377"/>
      <c r="H1801" s="377">
        <v>94379.999833519993</v>
      </c>
      <c r="I1801" s="596">
        <f t="shared" si="179"/>
        <v>0</v>
      </c>
      <c r="J1801" s="81">
        <f t="shared" si="185"/>
        <v>0</v>
      </c>
      <c r="K1801" s="81"/>
      <c r="L1801" s="597">
        <v>3094</v>
      </c>
      <c r="M1801" s="81" t="str">
        <f>+IFERROR(VLOOKUP(L1801,DATA!$G$4:$H$2000,2,FALSE),"")</f>
        <v xml:space="preserve">ТОД УНДАРГА ХХК </v>
      </c>
      <c r="N1801" s="166"/>
      <c r="O1801" s="81" t="str">
        <f>IFERROR(VLOOKUP(N1801,DATA!$K$4:$L$51,2,FALSE),"")</f>
        <v/>
      </c>
      <c r="P1801" s="81"/>
      <c r="Q1801" s="152">
        <f t="shared" si="187"/>
        <v>0</v>
      </c>
    </row>
    <row r="1802" spans="2:17">
      <c r="B1802" s="670">
        <f t="shared" si="186"/>
        <v>1797</v>
      </c>
      <c r="C1802" s="601">
        <v>42990</v>
      </c>
      <c r="D1802" s="377" t="s">
        <v>587</v>
      </c>
      <c r="E1802" s="674">
        <v>510000</v>
      </c>
      <c r="F1802" s="672" t="str">
        <f>IFERROR(VLOOKUP(E1802,STAT1!$C$4:$D$8000,2,FALSE),"")</f>
        <v>Үндсэн үйл ажиллагааны борлуулалт</v>
      </c>
      <c r="G1802" s="377"/>
      <c r="H1802" s="377">
        <v>943799.9983351999</v>
      </c>
      <c r="I1802" s="596">
        <f t="shared" si="179"/>
        <v>0</v>
      </c>
      <c r="J1802" s="81">
        <f t="shared" si="185"/>
        <v>0</v>
      </c>
      <c r="K1802" s="81"/>
      <c r="L1802" s="597">
        <v>3094</v>
      </c>
      <c r="M1802" s="81" t="str">
        <f>+IFERROR(VLOOKUP(L1802,DATA!$G$4:$H$2000,2,FALSE),"")</f>
        <v xml:space="preserve">ТОД УНДАРГА ХХК </v>
      </c>
      <c r="N1802" s="166"/>
      <c r="O1802" s="81" t="str">
        <f>IFERROR(VLOOKUP(N1802,DATA!$K$4:$L$51,2,FALSE),"")</f>
        <v/>
      </c>
      <c r="P1802" s="81"/>
      <c r="Q1802" s="152">
        <f t="shared" si="187"/>
        <v>0</v>
      </c>
    </row>
    <row r="1803" spans="2:17">
      <c r="B1803" s="670">
        <f t="shared" si="186"/>
        <v>1798</v>
      </c>
      <c r="C1803" s="601">
        <v>42990</v>
      </c>
      <c r="D1803" s="377" t="s">
        <v>587</v>
      </c>
      <c r="E1803" s="674">
        <v>320100</v>
      </c>
      <c r="F1803" s="672" t="str">
        <f>IFERROR(VLOOKUP(E1803,STAT1!$C$4:$D$8000,2,FALSE),"")</f>
        <v>Урьдчилж орсон орлого MNT</v>
      </c>
      <c r="G1803" s="377">
        <v>1038179.9981687199</v>
      </c>
      <c r="H1803" s="377"/>
      <c r="I1803" s="596">
        <f t="shared" si="179"/>
        <v>0</v>
      </c>
      <c r="J1803" s="81">
        <f t="shared" si="185"/>
        <v>0</v>
      </c>
      <c r="K1803" s="81"/>
      <c r="L1803" s="597">
        <v>3094</v>
      </c>
      <c r="M1803" s="81" t="str">
        <f>+IFERROR(VLOOKUP(L1803,DATA!$G$4:$H$2000,2,FALSE),"")</f>
        <v xml:space="preserve">ТОД УНДАРГА ХХК </v>
      </c>
      <c r="N1803" s="166"/>
      <c r="O1803" s="81" t="str">
        <f>IFERROR(VLOOKUP(N1803,DATA!$K$4:$L$51,2,FALSE),"")</f>
        <v/>
      </c>
      <c r="P1803" s="81"/>
      <c r="Q1803" s="152">
        <f t="shared" si="187"/>
        <v>0</v>
      </c>
    </row>
    <row r="1804" spans="2:17">
      <c r="B1804" s="670">
        <f t="shared" si="186"/>
        <v>1799</v>
      </c>
      <c r="C1804" s="433">
        <v>42992</v>
      </c>
      <c r="D1804" s="598" t="s">
        <v>1741</v>
      </c>
      <c r="E1804" s="572">
        <v>110100</v>
      </c>
      <c r="F1804" s="672" t="str">
        <f>IFERROR(VLOOKUP(E1804,STAT1!$C$4:$D$1000,2,FALSE),"")</f>
        <v>Хаан Банк 5024654020</v>
      </c>
      <c r="G1804" s="377">
        <v>2780768</v>
      </c>
      <c r="H1804" s="377"/>
      <c r="I1804" s="596">
        <f t="shared" si="179"/>
        <v>2780768</v>
      </c>
      <c r="J1804" s="81">
        <f t="shared" si="185"/>
        <v>0</v>
      </c>
      <c r="K1804" s="81"/>
      <c r="L1804" s="597">
        <v>3002</v>
      </c>
      <c r="M1804" s="81" t="str">
        <f>+IFERROR(VLOOKUP(L1804,DATA!$G$4:$H$2000,2,FALSE),"")</f>
        <v>ЭКО КОНСТРАКШН ХХК</v>
      </c>
      <c r="N1804" s="435">
        <v>41</v>
      </c>
      <c r="O1804" s="81" t="str">
        <f>IFERROR(VLOOKUP(N1804,DATA!$K$4:$L$51,2,FALSE),"")</f>
        <v>Бараа борлуулсан, үйлчилгээ үзүүлсэний орлого</v>
      </c>
      <c r="P1804" s="81"/>
      <c r="Q1804" s="152">
        <f t="shared" si="187"/>
        <v>1</v>
      </c>
    </row>
    <row r="1805" spans="2:17">
      <c r="B1805" s="670">
        <f t="shared" si="186"/>
        <v>1800</v>
      </c>
      <c r="C1805" s="433">
        <v>42992</v>
      </c>
      <c r="D1805" s="598" t="s">
        <v>1741</v>
      </c>
      <c r="E1805" s="572">
        <v>320100</v>
      </c>
      <c r="F1805" s="672" t="str">
        <f>IFERROR(VLOOKUP(E1805,STAT1!$C$4:$D$1000,2,FALSE),"")</f>
        <v>Урьдчилж орсон орлого MNT</v>
      </c>
      <c r="G1805" s="377">
        <v>0</v>
      </c>
      <c r="H1805" s="377">
        <v>2780768</v>
      </c>
      <c r="I1805" s="596">
        <f t="shared" si="179"/>
        <v>0</v>
      </c>
      <c r="J1805" s="81">
        <f t="shared" si="185"/>
        <v>0</v>
      </c>
      <c r="K1805" s="81"/>
      <c r="L1805" s="597">
        <v>3002</v>
      </c>
      <c r="M1805" s="81" t="str">
        <f>+IFERROR(VLOOKUP(L1805,DATA!$G$4:$H$2000,2,FALSE),"")</f>
        <v>ЭКО КОНСТРАКШН ХХК</v>
      </c>
      <c r="N1805" s="435"/>
      <c r="O1805" s="81" t="str">
        <f>IFERROR(VLOOKUP(N1805,DATA!$K$4:$L$51,2,FALSE),"")</f>
        <v/>
      </c>
      <c r="P1805" s="81"/>
      <c r="Q1805" s="152">
        <f t="shared" si="187"/>
        <v>0</v>
      </c>
    </row>
    <row r="1806" spans="2:17">
      <c r="B1806" s="670">
        <f t="shared" si="186"/>
        <v>1801</v>
      </c>
      <c r="C1806" s="433">
        <v>42992</v>
      </c>
      <c r="D1806" s="598" t="s">
        <v>1761</v>
      </c>
      <c r="E1806" s="572">
        <v>120900</v>
      </c>
      <c r="F1806" s="672" t="str">
        <f>IFERROR(VLOOKUP(E1806,STAT1!$C$4:$D$8000,2,FALSE),"")</f>
        <v>НД-ын байгууллагаас авах авлага</v>
      </c>
      <c r="G1806" s="377">
        <v>800000</v>
      </c>
      <c r="H1806" s="377">
        <v>0</v>
      </c>
      <c r="I1806" s="596">
        <f t="shared" si="179"/>
        <v>0</v>
      </c>
      <c r="J1806" s="81">
        <f t="shared" si="185"/>
        <v>0</v>
      </c>
      <c r="K1806" s="81"/>
      <c r="L1806" s="597">
        <v>2002</v>
      </c>
      <c r="M1806" s="81" t="str">
        <f>+IFERROR(VLOOKUP(L1806,DATA!$G$4:$H$2000,2,FALSE),"")</f>
        <v xml:space="preserve">ХУД-н ЭМНД ХЭЛТЭС </v>
      </c>
      <c r="N1806" s="435"/>
      <c r="O1806" s="81" t="str">
        <f>IFERROR(VLOOKUP(N1806,DATA!$K$4:$L$51,2,FALSE),"")</f>
        <v/>
      </c>
      <c r="P1806" s="81"/>
      <c r="Q1806" s="152">
        <f t="shared" si="187"/>
        <v>0</v>
      </c>
    </row>
    <row r="1807" spans="2:17">
      <c r="B1807" s="670">
        <f t="shared" si="186"/>
        <v>1802</v>
      </c>
      <c r="C1807" s="433">
        <v>42992</v>
      </c>
      <c r="D1807" s="598" t="s">
        <v>1761</v>
      </c>
      <c r="E1807" s="572">
        <v>110100</v>
      </c>
      <c r="F1807" s="672" t="str">
        <f>IFERROR(VLOOKUP(E1807,STAT1!$C$4:$D$8000,2,FALSE),"")</f>
        <v>Хаан Банк 5024654020</v>
      </c>
      <c r="G1807" s="377"/>
      <c r="H1807" s="377">
        <v>800000</v>
      </c>
      <c r="I1807" s="596">
        <f t="shared" si="179"/>
        <v>-800000</v>
      </c>
      <c r="J1807" s="81">
        <f t="shared" si="185"/>
        <v>0</v>
      </c>
      <c r="K1807" s="81"/>
      <c r="L1807" s="597">
        <v>2002</v>
      </c>
      <c r="M1807" s="81" t="str">
        <f>+IFERROR(VLOOKUP(L1807,DATA!$G$4:$H$2000,2,FALSE),"")</f>
        <v xml:space="preserve">ХУД-н ЭМНД ХЭЛТЭС </v>
      </c>
      <c r="N1807" s="435">
        <v>52</v>
      </c>
      <c r="O1807" s="81" t="str">
        <f>IFERROR(VLOOKUP(N1807,DATA!$K$4:$L$51,2,FALSE),"")</f>
        <v>Нийгмийн даатгалын байгууллагад төлсөн</v>
      </c>
      <c r="P1807" s="81"/>
      <c r="Q1807" s="152">
        <f t="shared" si="187"/>
        <v>1</v>
      </c>
    </row>
    <row r="1808" spans="2:17">
      <c r="B1808" s="670">
        <f t="shared" si="186"/>
        <v>1803</v>
      </c>
      <c r="C1808" s="601">
        <v>42992</v>
      </c>
      <c r="D1808" s="377" t="s">
        <v>1660</v>
      </c>
      <c r="E1808" s="673">
        <v>150101</v>
      </c>
      <c r="F1808" s="672" t="str">
        <f>IFERROR(VLOOKUP(E1808,STAT1!$C$4:$D$8000,2,FALSE),"")</f>
        <v>Бараа бэлэн бүтээгдэхүүн БОЛОВСРУУЛАХ ЦЕХ /нарс/</v>
      </c>
      <c r="G1808" s="377"/>
      <c r="H1808" s="377">
        <v>333742.97540124424</v>
      </c>
      <c r="I1808" s="596">
        <f t="shared" si="179"/>
        <v>0</v>
      </c>
      <c r="J1808" s="81">
        <f t="shared" si="185"/>
        <v>0</v>
      </c>
      <c r="K1808" s="81"/>
      <c r="L1808" s="597">
        <v>3061</v>
      </c>
      <c r="M1808" s="81" t="str">
        <f>+IFERROR(VLOOKUP(L1808,DATA!$G$4:$H$2000,2,FALSE),"")</f>
        <v>СТИМО ХХК</v>
      </c>
      <c r="N1808" s="166"/>
      <c r="O1808" s="81" t="str">
        <f>IFERROR(VLOOKUP(N1808,DATA!$K$4:$L$51,2,FALSE),"")</f>
        <v/>
      </c>
      <c r="P1808" s="81"/>
      <c r="Q1808" s="152">
        <f t="shared" si="187"/>
        <v>0</v>
      </c>
    </row>
    <row r="1809" spans="2:17">
      <c r="B1809" s="670">
        <f t="shared" si="186"/>
        <v>1804</v>
      </c>
      <c r="C1809" s="601">
        <v>42992</v>
      </c>
      <c r="D1809" s="377" t="s">
        <v>1659</v>
      </c>
      <c r="E1809" s="674">
        <v>610100</v>
      </c>
      <c r="F1809" s="672" t="str">
        <f>IFERROR(VLOOKUP(E1809,STAT1!$C$4:$D$8000,2,FALSE),"")</f>
        <v>Борлуулсан барааны өртөг</v>
      </c>
      <c r="G1809" s="377">
        <v>333742.97540124424</v>
      </c>
      <c r="H1809" s="377"/>
      <c r="I1809" s="596">
        <f t="shared" si="179"/>
        <v>0</v>
      </c>
      <c r="J1809" s="81">
        <f t="shared" si="185"/>
        <v>0</v>
      </c>
      <c r="K1809" s="81"/>
      <c r="L1809" s="597">
        <v>3061</v>
      </c>
      <c r="M1809" s="81" t="str">
        <f>+IFERROR(VLOOKUP(L1809,DATA!$G$4:$H$2000,2,FALSE),"")</f>
        <v>СТИМО ХХК</v>
      </c>
      <c r="N1809" s="166"/>
      <c r="O1809" s="81" t="str">
        <f>IFERROR(VLOOKUP(N1809,DATA!$K$4:$L$51,2,FALSE),"")</f>
        <v/>
      </c>
      <c r="P1809" s="81"/>
      <c r="Q1809" s="152">
        <f t="shared" si="187"/>
        <v>0</v>
      </c>
    </row>
    <row r="1810" spans="2:17">
      <c r="B1810" s="670">
        <f t="shared" si="186"/>
        <v>1805</v>
      </c>
      <c r="C1810" s="601">
        <v>42992</v>
      </c>
      <c r="D1810" s="377" t="s">
        <v>587</v>
      </c>
      <c r="E1810" s="674">
        <v>310500</v>
      </c>
      <c r="F1810" s="672" t="str">
        <f>IFERROR(VLOOKUP(E1810,STAT1!$C$4:$D$8000,2,FALSE),"")</f>
        <v>НӨАТ өглөг</v>
      </c>
      <c r="G1810" s="377"/>
      <c r="H1810" s="377">
        <v>79500</v>
      </c>
      <c r="I1810" s="596">
        <f t="shared" si="179"/>
        <v>0</v>
      </c>
      <c r="J1810" s="81">
        <f t="shared" si="185"/>
        <v>0</v>
      </c>
      <c r="K1810" s="81"/>
      <c r="L1810" s="597">
        <v>3061</v>
      </c>
      <c r="M1810" s="81" t="str">
        <f>+IFERROR(VLOOKUP(L1810,DATA!$G$4:$H$2000,2,FALSE),"")</f>
        <v>СТИМО ХХК</v>
      </c>
      <c r="N1810" s="166"/>
      <c r="O1810" s="81" t="str">
        <f>IFERROR(VLOOKUP(N1810,DATA!$K$4:$L$51,2,FALSE),"")</f>
        <v/>
      </c>
      <c r="P1810" s="81"/>
      <c r="Q1810" s="152">
        <f t="shared" si="187"/>
        <v>0</v>
      </c>
    </row>
    <row r="1811" spans="2:17">
      <c r="B1811" s="670">
        <f t="shared" si="186"/>
        <v>1806</v>
      </c>
      <c r="C1811" s="601">
        <v>42992</v>
      </c>
      <c r="D1811" s="377" t="s">
        <v>587</v>
      </c>
      <c r="E1811" s="674">
        <v>510000</v>
      </c>
      <c r="F1811" s="672" t="str">
        <f>IFERROR(VLOOKUP(E1811,STAT1!$C$4:$D$8000,2,FALSE),"")</f>
        <v>Үндсэн үйл ажиллагааны борлуулалт</v>
      </c>
      <c r="G1811" s="377"/>
      <c r="H1811" s="377">
        <v>795000</v>
      </c>
      <c r="I1811" s="596">
        <f t="shared" si="179"/>
        <v>0</v>
      </c>
      <c r="J1811" s="81">
        <f t="shared" si="185"/>
        <v>0</v>
      </c>
      <c r="K1811" s="81"/>
      <c r="L1811" s="597">
        <v>3061</v>
      </c>
      <c r="M1811" s="81" t="str">
        <f>+IFERROR(VLOOKUP(L1811,DATA!$G$4:$H$2000,2,FALSE),"")</f>
        <v>СТИМО ХХК</v>
      </c>
      <c r="N1811" s="166"/>
      <c r="O1811" s="81" t="str">
        <f>IFERROR(VLOOKUP(N1811,DATA!$K$4:$L$51,2,FALSE),"")</f>
        <v/>
      </c>
      <c r="P1811" s="81"/>
      <c r="Q1811" s="152">
        <f t="shared" si="187"/>
        <v>0</v>
      </c>
    </row>
    <row r="1812" spans="2:17">
      <c r="B1812" s="670">
        <f t="shared" si="186"/>
        <v>1807</v>
      </c>
      <c r="C1812" s="601">
        <v>42992</v>
      </c>
      <c r="D1812" s="377" t="s">
        <v>587</v>
      </c>
      <c r="E1812" s="674">
        <v>320100</v>
      </c>
      <c r="F1812" s="672" t="str">
        <f>IFERROR(VLOOKUP(E1812,STAT1!$C$4:$D$8000,2,FALSE),"")</f>
        <v>Урьдчилж орсон орлого MNT</v>
      </c>
      <c r="G1812" s="377">
        <v>874500</v>
      </c>
      <c r="H1812" s="377"/>
      <c r="I1812" s="596">
        <f t="shared" ref="I1812:I1875" si="188">+IF(OR(E1812=100100,E1812=100200,E1812=110100,E1812=110102,E1812=110103,E1812=110104,E1812=110105,E1812=110200,E1812=110201,E1812=110202,E1812=110203,E1812=110204,E1812=110300),G1812,0)+IF(OR(E1812=100100,E1812=100200,E1812=110100,E1812=110102,E1812=110103,E1812=110104,E1812=110105,E1812=110200,E1812=110201,E1812=110202,E1812=110203,E1812=110204,E1812=110300),H1812*-1,0)</f>
        <v>0</v>
      </c>
      <c r="J1812" s="81">
        <f t="shared" ref="J1812:J1843" si="189">+IF(E1812=110102,I1812/K1812,0)</f>
        <v>0</v>
      </c>
      <c r="K1812" s="81"/>
      <c r="L1812" s="597">
        <v>3061</v>
      </c>
      <c r="M1812" s="81" t="str">
        <f>+IFERROR(VLOOKUP(L1812,DATA!$G$4:$H$2000,2,FALSE),"")</f>
        <v>СТИМО ХХК</v>
      </c>
      <c r="N1812" s="166"/>
      <c r="O1812" s="81" t="str">
        <f>IFERROR(VLOOKUP(N1812,DATA!$K$4:$L$51,2,FALSE),"")</f>
        <v/>
      </c>
      <c r="P1812" s="81"/>
      <c r="Q1812" s="152">
        <f t="shared" si="187"/>
        <v>0</v>
      </c>
    </row>
    <row r="1813" spans="2:17">
      <c r="B1813" s="670">
        <f t="shared" si="186"/>
        <v>1808</v>
      </c>
      <c r="C1813" s="433">
        <v>42992</v>
      </c>
      <c r="D1813" s="377" t="s">
        <v>1741</v>
      </c>
      <c r="E1813" s="572">
        <v>100100</v>
      </c>
      <c r="F1813" s="672" t="str">
        <f>IFERROR(VLOOKUP(E1813,STAT1!$C$4:$D$8000,2,FALSE),"")</f>
        <v>Касс мөнгө MNT</v>
      </c>
      <c r="G1813" s="377">
        <v>874500</v>
      </c>
      <c r="H1813" s="377"/>
      <c r="I1813" s="596">
        <f t="shared" si="188"/>
        <v>874500</v>
      </c>
      <c r="J1813" s="81">
        <f t="shared" si="189"/>
        <v>0</v>
      </c>
      <c r="K1813" s="81"/>
      <c r="L1813" s="597">
        <v>3061</v>
      </c>
      <c r="M1813" s="81" t="str">
        <f>+IFERROR(VLOOKUP(L1813,DATA!$G$4:$H$2000,2,FALSE),"")</f>
        <v>СТИМО ХХК</v>
      </c>
      <c r="N1813" s="166">
        <v>41</v>
      </c>
      <c r="O1813" s="81" t="str">
        <f>IFERROR(VLOOKUP(N1813,DATA!$K$4:$L$51,2,FALSE),"")</f>
        <v>Бараа борлуулсан, үйлчилгээ үзүүлсэний орлого</v>
      </c>
      <c r="P1813" s="81"/>
      <c r="Q1813" s="152">
        <f t="shared" si="187"/>
        <v>1</v>
      </c>
    </row>
    <row r="1814" spans="2:17">
      <c r="B1814" s="670">
        <f t="shared" si="186"/>
        <v>1809</v>
      </c>
      <c r="C1814" s="433">
        <v>42992</v>
      </c>
      <c r="D1814" s="377" t="s">
        <v>1741</v>
      </c>
      <c r="E1814" s="572">
        <v>320100</v>
      </c>
      <c r="F1814" s="672" t="str">
        <f>IFERROR(VLOOKUP(E1814,STAT1!$C$4:$D$8000,2,FALSE),"")</f>
        <v>Урьдчилж орсон орлого MNT</v>
      </c>
      <c r="G1814" s="377"/>
      <c r="H1814" s="377">
        <v>874500</v>
      </c>
      <c r="I1814" s="596">
        <f t="shared" si="188"/>
        <v>0</v>
      </c>
      <c r="J1814" s="81">
        <f t="shared" si="189"/>
        <v>0</v>
      </c>
      <c r="K1814" s="81"/>
      <c r="L1814" s="597">
        <v>3061</v>
      </c>
      <c r="M1814" s="81" t="str">
        <f>+IFERROR(VLOOKUP(L1814,DATA!$G$4:$H$2000,2,FALSE),"")</f>
        <v>СТИМО ХХК</v>
      </c>
      <c r="N1814" s="166"/>
      <c r="O1814" s="81" t="str">
        <f>IFERROR(VLOOKUP(N1814,DATA!$K$4:$L$51,2,FALSE),"")</f>
        <v/>
      </c>
      <c r="P1814" s="81"/>
      <c r="Q1814" s="152">
        <f t="shared" si="187"/>
        <v>0</v>
      </c>
    </row>
    <row r="1815" spans="2:17">
      <c r="B1815" s="670">
        <f t="shared" si="186"/>
        <v>1810</v>
      </c>
      <c r="C1815" s="433">
        <v>42993</v>
      </c>
      <c r="D1815" s="377" t="s">
        <v>1355</v>
      </c>
      <c r="E1815" s="572">
        <v>100100</v>
      </c>
      <c r="F1815" s="672" t="str">
        <f>IFERROR(VLOOKUP(E1815,STAT1!$C$4:$D$1000,2,FALSE),"")</f>
        <v>Касс мөнгө MNT</v>
      </c>
      <c r="G1815" s="377"/>
      <c r="H1815" s="377">
        <v>50000</v>
      </c>
      <c r="I1815" s="596">
        <f t="shared" si="188"/>
        <v>-50000</v>
      </c>
      <c r="J1815" s="81">
        <f t="shared" si="189"/>
        <v>0</v>
      </c>
      <c r="K1815" s="81"/>
      <c r="L1815" s="597">
        <v>1003</v>
      </c>
      <c r="M1815" s="81" t="str">
        <f>+IFERROR(VLOOKUP(L1815,DATA!$G$4:$H$2000,2,FALSE),"")</f>
        <v>Бахдамдэмбэрэл</v>
      </c>
      <c r="N1815" s="435">
        <v>55</v>
      </c>
      <c r="O1815" s="81" t="str">
        <f>IFERROR(VLOOKUP(N1815,DATA!$K$4:$L$51,2,FALSE),"")</f>
        <v>Түлш, шатахуун, тээврийн хөлс, сэлбэг хэрэгсэлд төлсөн</v>
      </c>
      <c r="P1815" s="81"/>
      <c r="Q1815" s="152">
        <f t="shared" si="187"/>
        <v>1</v>
      </c>
    </row>
    <row r="1816" spans="2:17">
      <c r="B1816" s="670">
        <f t="shared" si="186"/>
        <v>1811</v>
      </c>
      <c r="C1816" s="433">
        <v>42993</v>
      </c>
      <c r="D1816" s="377" t="s">
        <v>1355</v>
      </c>
      <c r="E1816" s="572">
        <v>120600</v>
      </c>
      <c r="F1816" s="672" t="str">
        <f>IFERROR(VLOOKUP(E1816,STAT1!$C$4:$D$1000,2,FALSE),"")</f>
        <v>НӨАТ авлага</v>
      </c>
      <c r="G1816" s="377">
        <v>10859.08</v>
      </c>
      <c r="H1816" s="377"/>
      <c r="I1816" s="596">
        <f t="shared" si="188"/>
        <v>0</v>
      </c>
      <c r="J1816" s="81">
        <f t="shared" si="189"/>
        <v>0</v>
      </c>
      <c r="K1816" s="81"/>
      <c r="L1816" s="597">
        <v>1003</v>
      </c>
      <c r="M1816" s="81" t="str">
        <f>+IFERROR(VLOOKUP(L1816,DATA!$G$4:$H$2000,2,FALSE),"")</f>
        <v>Бахдамдэмбэрэл</v>
      </c>
      <c r="N1816" s="435"/>
      <c r="O1816" s="81" t="str">
        <f>IFERROR(VLOOKUP(N1816,DATA!$K$4:$L$51,2,FALSE),"")</f>
        <v/>
      </c>
      <c r="P1816" s="81"/>
      <c r="Q1816" s="152">
        <f t="shared" si="187"/>
        <v>0</v>
      </c>
    </row>
    <row r="1817" spans="2:17">
      <c r="B1817" s="670">
        <f t="shared" si="186"/>
        <v>1812</v>
      </c>
      <c r="C1817" s="433">
        <v>42993</v>
      </c>
      <c r="D1817" s="377" t="s">
        <v>1355</v>
      </c>
      <c r="E1817" s="572">
        <v>702000</v>
      </c>
      <c r="F1817" s="672" t="str">
        <f>IFERROR(VLOOKUP(E1817,STAT1!$C$4:$D$1000,2,FALSE),"")</f>
        <v>Түлш, шатахуун</v>
      </c>
      <c r="G1817" s="377">
        <v>39140.9</v>
      </c>
      <c r="H1817" s="377">
        <v>0</v>
      </c>
      <c r="I1817" s="596">
        <f t="shared" si="188"/>
        <v>0</v>
      </c>
      <c r="J1817" s="81">
        <f t="shared" si="189"/>
        <v>0</v>
      </c>
      <c r="K1817" s="81"/>
      <c r="L1817" s="597">
        <v>1003</v>
      </c>
      <c r="M1817" s="81" t="str">
        <f>+IFERROR(VLOOKUP(L1817,DATA!$G$4:$H$2000,2,FALSE),"")</f>
        <v>Бахдамдэмбэрэл</v>
      </c>
      <c r="N1817" s="435"/>
      <c r="O1817" s="81" t="str">
        <f>IFERROR(VLOOKUP(N1817,DATA!$K$4:$L$51,2,FALSE),"")</f>
        <v/>
      </c>
      <c r="P1817" s="81"/>
      <c r="Q1817" s="152">
        <f t="shared" si="187"/>
        <v>0</v>
      </c>
    </row>
    <row r="1818" spans="2:17">
      <c r="B1818" s="670">
        <f t="shared" si="186"/>
        <v>1813</v>
      </c>
      <c r="C1818" s="433">
        <v>42993</v>
      </c>
      <c r="D1818" s="377" t="s">
        <v>1355</v>
      </c>
      <c r="E1818" s="572">
        <v>100100</v>
      </c>
      <c r="F1818" s="672" t="str">
        <f>IFERROR(VLOOKUP(E1818,STAT1!$C$4:$D$1000,2,FALSE),"")</f>
        <v>Касс мөнгө MNT</v>
      </c>
      <c r="G1818" s="377"/>
      <c r="H1818" s="377">
        <v>10000</v>
      </c>
      <c r="I1818" s="596">
        <f t="shared" si="188"/>
        <v>-10000</v>
      </c>
      <c r="J1818" s="81">
        <f t="shared" si="189"/>
        <v>0</v>
      </c>
      <c r="K1818" s="81"/>
      <c r="L1818" s="597">
        <v>1005</v>
      </c>
      <c r="M1818" s="81" t="str">
        <f>+IFERROR(VLOOKUP(L1818,DATA!$G$4:$H$2000,2,FALSE),"")</f>
        <v>Золжаргал</v>
      </c>
      <c r="N1818" s="435">
        <v>55</v>
      </c>
      <c r="O1818" s="81" t="str">
        <f>IFERROR(VLOOKUP(N1818,DATA!$K$4:$L$51,2,FALSE),"")</f>
        <v>Түлш, шатахуун, тээврийн хөлс, сэлбэг хэрэгсэлд төлсөн</v>
      </c>
      <c r="P1818" s="81"/>
      <c r="Q1818" s="152">
        <f t="shared" si="187"/>
        <v>1</v>
      </c>
    </row>
    <row r="1819" spans="2:17">
      <c r="B1819" s="670">
        <f t="shared" si="186"/>
        <v>1814</v>
      </c>
      <c r="C1819" s="433">
        <v>42993</v>
      </c>
      <c r="D1819" s="377" t="s">
        <v>1355</v>
      </c>
      <c r="E1819" s="572">
        <v>702000</v>
      </c>
      <c r="F1819" s="672" t="str">
        <f>IFERROR(VLOOKUP(E1819,STAT1!$C$4:$D$1000,2,FALSE),"")</f>
        <v>Түлш, шатахуун</v>
      </c>
      <c r="G1819" s="377">
        <v>10000</v>
      </c>
      <c r="H1819" s="377">
        <v>0</v>
      </c>
      <c r="I1819" s="596">
        <f t="shared" si="188"/>
        <v>0</v>
      </c>
      <c r="J1819" s="81">
        <f t="shared" si="189"/>
        <v>0</v>
      </c>
      <c r="K1819" s="81"/>
      <c r="L1819" s="597">
        <v>1005</v>
      </c>
      <c r="M1819" s="81" t="str">
        <f>+IFERROR(VLOOKUP(L1819,DATA!$G$4:$H$2000,2,FALSE),"")</f>
        <v>Золжаргал</v>
      </c>
      <c r="N1819" s="435"/>
      <c r="O1819" s="81" t="str">
        <f>IFERROR(VLOOKUP(N1819,DATA!$K$4:$L$51,2,FALSE),"")</f>
        <v/>
      </c>
      <c r="P1819" s="81"/>
      <c r="Q1819" s="152">
        <f t="shared" si="187"/>
        <v>0</v>
      </c>
    </row>
    <row r="1820" spans="2:17">
      <c r="B1820" s="670">
        <f t="shared" si="186"/>
        <v>1815</v>
      </c>
      <c r="C1820" s="433">
        <v>42993</v>
      </c>
      <c r="D1820" s="377" t="s">
        <v>1352</v>
      </c>
      <c r="E1820" s="572">
        <v>100100</v>
      </c>
      <c r="F1820" s="672" t="str">
        <f>IFERROR(VLOOKUP(E1820,STAT1!$C$4:$D$1000,2,FALSE),"")</f>
        <v>Касс мөнгө MNT</v>
      </c>
      <c r="G1820" s="377"/>
      <c r="H1820" s="377">
        <v>63250</v>
      </c>
      <c r="I1820" s="596">
        <f t="shared" si="188"/>
        <v>-63250</v>
      </c>
      <c r="J1820" s="81">
        <f t="shared" si="189"/>
        <v>0</v>
      </c>
      <c r="K1820" s="81"/>
      <c r="L1820" s="597">
        <v>2006</v>
      </c>
      <c r="M1820" s="81" t="str">
        <f>+IFERROR(VLOOKUP(L1820,DATA!$G$4:$H$2000,2,FALSE),"")</f>
        <v xml:space="preserve">МЦХОЛБОО </v>
      </c>
      <c r="N1820" s="435">
        <v>59</v>
      </c>
      <c r="O1820" s="81" t="str">
        <f>IFERROR(VLOOKUP(N1820,DATA!$K$4:$L$51,2,FALSE),"")</f>
        <v>Бусад мөнгөн зарлага</v>
      </c>
      <c r="P1820" s="81"/>
      <c r="Q1820" s="152">
        <f t="shared" si="187"/>
        <v>1</v>
      </c>
    </row>
    <row r="1821" spans="2:17">
      <c r="B1821" s="670">
        <f t="shared" si="186"/>
        <v>1816</v>
      </c>
      <c r="C1821" s="433">
        <v>42993</v>
      </c>
      <c r="D1821" s="377" t="s">
        <v>1352</v>
      </c>
      <c r="E1821" s="572">
        <v>701900</v>
      </c>
      <c r="F1821" s="672" t="str">
        <f>IFERROR(VLOOKUP(E1821,STAT1!$C$4:$D$1000,2,FALSE),"")</f>
        <v>Харилцаа холбоо</v>
      </c>
      <c r="G1821" s="377">
        <v>63250</v>
      </c>
      <c r="H1821" s="377">
        <v>0</v>
      </c>
      <c r="I1821" s="596">
        <f t="shared" si="188"/>
        <v>0</v>
      </c>
      <c r="J1821" s="81">
        <f t="shared" si="189"/>
        <v>0</v>
      </c>
      <c r="K1821" s="81"/>
      <c r="L1821" s="597">
        <v>2006</v>
      </c>
      <c r="M1821" s="81" t="str">
        <f>+IFERROR(VLOOKUP(L1821,DATA!$G$4:$H$2000,2,FALSE),"")</f>
        <v xml:space="preserve">МЦХОЛБОО </v>
      </c>
      <c r="N1821" s="435"/>
      <c r="O1821" s="81" t="str">
        <f>IFERROR(VLOOKUP(N1821,DATA!$K$4:$L$51,2,FALSE),"")</f>
        <v/>
      </c>
      <c r="P1821" s="81"/>
      <c r="Q1821" s="152">
        <f t="shared" si="187"/>
        <v>0</v>
      </c>
    </row>
    <row r="1822" spans="2:17">
      <c r="B1822" s="670">
        <f t="shared" si="186"/>
        <v>1817</v>
      </c>
      <c r="C1822" s="433">
        <v>42993</v>
      </c>
      <c r="D1822" s="377" t="s">
        <v>1742</v>
      </c>
      <c r="E1822" s="572">
        <v>110100</v>
      </c>
      <c r="F1822" s="672" t="str">
        <f>IFERROR(VLOOKUP(E1822,STAT1!$C$4:$D$1000,2,FALSE),"")</f>
        <v>Хаан Банк 5024654020</v>
      </c>
      <c r="G1822" s="377"/>
      <c r="H1822" s="377">
        <v>7750000</v>
      </c>
      <c r="I1822" s="596">
        <f t="shared" si="188"/>
        <v>-7750000</v>
      </c>
      <c r="J1822" s="81">
        <f t="shared" si="189"/>
        <v>0</v>
      </c>
      <c r="K1822" s="81"/>
      <c r="L1822" s="597">
        <v>1004</v>
      </c>
      <c r="M1822" s="81" t="str">
        <f>+IFERROR(VLOOKUP(L1822,DATA!$G$4:$H$2000,2,FALSE),"")</f>
        <v xml:space="preserve">Түмэндэлгэр </v>
      </c>
      <c r="N1822" s="435"/>
      <c r="O1822" s="81" t="str">
        <f>IFERROR(VLOOKUP(N1822,DATA!$K$4:$L$51,2,FALSE),"")</f>
        <v/>
      </c>
      <c r="P1822" s="81"/>
      <c r="Q1822" s="152">
        <f t="shared" si="187"/>
        <v>1</v>
      </c>
    </row>
    <row r="1823" spans="2:17">
      <c r="B1823" s="670">
        <f t="shared" si="186"/>
        <v>1818</v>
      </c>
      <c r="C1823" s="433">
        <v>42993</v>
      </c>
      <c r="D1823" s="377" t="s">
        <v>1742</v>
      </c>
      <c r="E1823" s="572">
        <v>110100</v>
      </c>
      <c r="F1823" s="672" t="str">
        <f>IFERROR(VLOOKUP(E1823,STAT1!$C$4:$D$1000,2,FALSE),"")</f>
        <v>Хаан Банк 5024654020</v>
      </c>
      <c r="G1823" s="377">
        <v>7750000</v>
      </c>
      <c r="H1823" s="377">
        <v>0</v>
      </c>
      <c r="I1823" s="596">
        <f t="shared" si="188"/>
        <v>7750000</v>
      </c>
      <c r="J1823" s="81">
        <f t="shared" si="189"/>
        <v>0</v>
      </c>
      <c r="K1823" s="81"/>
      <c r="L1823" s="597">
        <v>1004</v>
      </c>
      <c r="M1823" s="81" t="str">
        <f>+IFERROR(VLOOKUP(L1823,DATA!$G$4:$H$2000,2,FALSE),"")</f>
        <v xml:space="preserve">Түмэндэлгэр </v>
      </c>
      <c r="N1823" s="435"/>
      <c r="O1823" s="81" t="str">
        <f>IFERROR(VLOOKUP(N1823,DATA!$K$4:$L$51,2,FALSE),"")</f>
        <v/>
      </c>
      <c r="P1823" s="81"/>
      <c r="Q1823" s="152">
        <f t="shared" si="187"/>
        <v>1</v>
      </c>
    </row>
    <row r="1824" spans="2:17">
      <c r="B1824" s="670">
        <f t="shared" si="186"/>
        <v>1819</v>
      </c>
      <c r="C1824" s="433">
        <v>42993</v>
      </c>
      <c r="D1824" s="598" t="s">
        <v>1749</v>
      </c>
      <c r="E1824" s="572">
        <v>100100</v>
      </c>
      <c r="F1824" s="672" t="str">
        <f>IFERROR(VLOOKUP(E1824,STAT1!$C$4:$D$8000,2,FALSE),"")</f>
        <v>Касс мөнгө MNT</v>
      </c>
      <c r="G1824" s="377">
        <v>7750000</v>
      </c>
      <c r="H1824" s="377">
        <v>0</v>
      </c>
      <c r="I1824" s="596">
        <f t="shared" si="188"/>
        <v>7750000</v>
      </c>
      <c r="J1824" s="81">
        <f t="shared" si="189"/>
        <v>0</v>
      </c>
      <c r="K1824" s="81"/>
      <c r="L1824" s="597">
        <v>1004</v>
      </c>
      <c r="M1824" s="81" t="str">
        <f>+IFERROR(VLOOKUP(L1824,DATA!$G$4:$H$2000,2,FALSE),"")</f>
        <v xml:space="preserve">Түмэндэлгэр </v>
      </c>
      <c r="N1824" s="435"/>
      <c r="O1824" s="81" t="str">
        <f>IFERROR(VLOOKUP(N1824,DATA!$K$4:$L$51,2,FALSE),"")</f>
        <v/>
      </c>
      <c r="P1824" s="81"/>
      <c r="Q1824" s="152">
        <f t="shared" si="187"/>
        <v>1</v>
      </c>
    </row>
    <row r="1825" spans="2:17">
      <c r="B1825" s="670">
        <f t="shared" si="186"/>
        <v>1820</v>
      </c>
      <c r="C1825" s="433">
        <v>42993</v>
      </c>
      <c r="D1825" s="598" t="s">
        <v>1749</v>
      </c>
      <c r="E1825" s="572">
        <v>110100</v>
      </c>
      <c r="F1825" s="672" t="str">
        <f>IFERROR(VLOOKUP(E1825,STAT1!$C$4:$D$8000,2,FALSE),"")</f>
        <v>Хаан Банк 5024654020</v>
      </c>
      <c r="G1825" s="377"/>
      <c r="H1825" s="377">
        <v>7750000</v>
      </c>
      <c r="I1825" s="596">
        <f t="shared" si="188"/>
        <v>-7750000</v>
      </c>
      <c r="J1825" s="81">
        <f t="shared" si="189"/>
        <v>0</v>
      </c>
      <c r="K1825" s="81"/>
      <c r="L1825" s="597">
        <v>1004</v>
      </c>
      <c r="M1825" s="81" t="str">
        <f>+IFERROR(VLOOKUP(L1825,DATA!$G$4:$H$2000,2,FALSE),"")</f>
        <v xml:space="preserve">Түмэндэлгэр </v>
      </c>
      <c r="N1825" s="435"/>
      <c r="O1825" s="81" t="str">
        <f>IFERROR(VLOOKUP(N1825,DATA!$K$4:$L$51,2,FALSE),"")</f>
        <v/>
      </c>
      <c r="P1825" s="81"/>
      <c r="Q1825" s="152">
        <f t="shared" si="187"/>
        <v>1</v>
      </c>
    </row>
    <row r="1826" spans="2:17">
      <c r="B1826" s="670">
        <f t="shared" si="186"/>
        <v>1821</v>
      </c>
      <c r="C1826" s="433">
        <v>42995</v>
      </c>
      <c r="D1826" s="598" t="s">
        <v>1746</v>
      </c>
      <c r="E1826" s="572">
        <v>702500</v>
      </c>
      <c r="F1826" s="672" t="str">
        <f>IFERROR(VLOOKUP(E1826,STAT1!$C$4:$D$8000,2,FALSE),"")</f>
        <v>Зээлийн хүүгийн зардал</v>
      </c>
      <c r="G1826" s="377">
        <v>40706</v>
      </c>
      <c r="H1826" s="377">
        <v>0</v>
      </c>
      <c r="I1826" s="596">
        <f t="shared" si="188"/>
        <v>0</v>
      </c>
      <c r="J1826" s="81">
        <f t="shared" si="189"/>
        <v>0</v>
      </c>
      <c r="K1826" s="81"/>
      <c r="L1826" s="597">
        <v>2009</v>
      </c>
      <c r="M1826" s="81" t="str">
        <f>+IFERROR(VLOOKUP(L1826,DATA!$G$4:$H$2000,2,FALSE),"")</f>
        <v>ХААН БАНК</v>
      </c>
      <c r="N1826" s="435"/>
      <c r="O1826" s="81" t="str">
        <f>IFERROR(VLOOKUP(N1826,DATA!$K$4:$L$51,2,FALSE),"")</f>
        <v/>
      </c>
      <c r="P1826" s="81"/>
      <c r="Q1826" s="152">
        <f t="shared" si="187"/>
        <v>0</v>
      </c>
    </row>
    <row r="1827" spans="2:17">
      <c r="B1827" s="670">
        <f t="shared" si="186"/>
        <v>1822</v>
      </c>
      <c r="C1827" s="433">
        <v>42995</v>
      </c>
      <c r="D1827" s="598" t="s">
        <v>1746</v>
      </c>
      <c r="E1827" s="572">
        <v>110100</v>
      </c>
      <c r="F1827" s="672" t="str">
        <f>IFERROR(VLOOKUP(E1827,STAT1!$C$4:$D$8000,2,FALSE),"")</f>
        <v>Хаан Банк 5024654020</v>
      </c>
      <c r="G1827" s="377"/>
      <c r="H1827" s="377">
        <v>40706</v>
      </c>
      <c r="I1827" s="596">
        <f t="shared" si="188"/>
        <v>-40706</v>
      </c>
      <c r="J1827" s="81">
        <f t="shared" si="189"/>
        <v>0</v>
      </c>
      <c r="K1827" s="81"/>
      <c r="L1827" s="597">
        <v>2009</v>
      </c>
      <c r="M1827" s="81" t="str">
        <f>+IFERROR(VLOOKUP(L1827,DATA!$G$4:$H$2000,2,FALSE),"")</f>
        <v>ХААН БАНК</v>
      </c>
      <c r="N1827" s="435">
        <v>56</v>
      </c>
      <c r="O1827" s="81" t="str">
        <f>IFERROR(VLOOKUP(N1827,DATA!$K$4:$L$51,2,FALSE),"")</f>
        <v>Хүүний төлбөрт төлсөн</v>
      </c>
      <c r="P1827" s="81"/>
      <c r="Q1827" s="152">
        <f t="shared" si="187"/>
        <v>1</v>
      </c>
    </row>
    <row r="1828" spans="2:17">
      <c r="B1828" s="670">
        <f t="shared" si="186"/>
        <v>1823</v>
      </c>
      <c r="C1828" s="433">
        <v>42995</v>
      </c>
      <c r="D1828" s="598" t="s">
        <v>1351</v>
      </c>
      <c r="E1828" s="572">
        <v>704900</v>
      </c>
      <c r="F1828" s="672" t="str">
        <f>IFERROR(VLOOKUP(E1828,STAT1!$C$4:$D$8000,2,FALSE),"")</f>
        <v>Банкны үйлчилгээ</v>
      </c>
      <c r="G1828" s="377">
        <v>800</v>
      </c>
      <c r="H1828" s="377">
        <v>0</v>
      </c>
      <c r="I1828" s="596">
        <f t="shared" si="188"/>
        <v>0</v>
      </c>
      <c r="J1828" s="81">
        <f t="shared" si="189"/>
        <v>0</v>
      </c>
      <c r="K1828" s="81"/>
      <c r="L1828" s="597">
        <v>2009</v>
      </c>
      <c r="M1828" s="81" t="str">
        <f>+IFERROR(VLOOKUP(L1828,DATA!$G$4:$H$2000,2,FALSE),"")</f>
        <v>ХААН БАНК</v>
      </c>
      <c r="N1828" s="435"/>
      <c r="O1828" s="81" t="str">
        <f>IFERROR(VLOOKUP(N1828,DATA!$K$4:$L$51,2,FALSE),"")</f>
        <v/>
      </c>
      <c r="P1828" s="81"/>
      <c r="Q1828" s="152">
        <f t="shared" si="187"/>
        <v>0</v>
      </c>
    </row>
    <row r="1829" spans="2:17">
      <c r="B1829" s="670">
        <f t="shared" si="186"/>
        <v>1824</v>
      </c>
      <c r="C1829" s="433">
        <v>42995</v>
      </c>
      <c r="D1829" s="598" t="s">
        <v>1351</v>
      </c>
      <c r="E1829" s="572">
        <v>110100</v>
      </c>
      <c r="F1829" s="672" t="str">
        <f>IFERROR(VLOOKUP(E1829,STAT1!$C$4:$D$8000,2,FALSE),"")</f>
        <v>Хаан Банк 5024654020</v>
      </c>
      <c r="G1829" s="377"/>
      <c r="H1829" s="377">
        <v>800</v>
      </c>
      <c r="I1829" s="596">
        <f t="shared" si="188"/>
        <v>-800</v>
      </c>
      <c r="J1829" s="81">
        <f t="shared" si="189"/>
        <v>0</v>
      </c>
      <c r="K1829" s="81"/>
      <c r="L1829" s="597">
        <v>2009</v>
      </c>
      <c r="M1829" s="81" t="str">
        <f>+IFERROR(VLOOKUP(L1829,DATA!$G$4:$H$2000,2,FALSE),"")</f>
        <v>ХААН БАНК</v>
      </c>
      <c r="N1829" s="435">
        <v>59</v>
      </c>
      <c r="O1829" s="81" t="str">
        <f>IFERROR(VLOOKUP(N1829,DATA!$K$4:$L$51,2,FALSE),"")</f>
        <v>Бусад мөнгөн зарлага</v>
      </c>
      <c r="P1829" s="81"/>
      <c r="Q1829" s="152">
        <f t="shared" si="187"/>
        <v>1</v>
      </c>
    </row>
    <row r="1830" spans="2:17">
      <c r="B1830" s="670">
        <f t="shared" si="186"/>
        <v>1825</v>
      </c>
      <c r="C1830" s="601">
        <v>42996</v>
      </c>
      <c r="D1830" s="377" t="s">
        <v>1659</v>
      </c>
      <c r="E1830" s="673">
        <v>150101</v>
      </c>
      <c r="F1830" s="672" t="str">
        <f>IFERROR(VLOOKUP(E1830,STAT1!$C$4:$D$8000,2,FALSE),"")</f>
        <v>Бараа бэлэн бүтээгдэхүүн БОЛОВСРУУЛАХ ЦЕХ /нарс/</v>
      </c>
      <c r="G1830" s="377"/>
      <c r="H1830" s="377">
        <v>324863.79773988959</v>
      </c>
      <c r="I1830" s="596">
        <f t="shared" si="188"/>
        <v>0</v>
      </c>
      <c r="J1830" s="81">
        <f t="shared" si="189"/>
        <v>0</v>
      </c>
      <c r="K1830" s="81"/>
      <c r="L1830" s="597">
        <v>3042</v>
      </c>
      <c r="M1830" s="81" t="str">
        <f>+IFERROR(VLOOKUP(L1830,DATA!$G$4:$H$2000,2,FALSE),"")</f>
        <v xml:space="preserve">ЖУРМАК ХХК </v>
      </c>
      <c r="N1830" s="166"/>
      <c r="O1830" s="81" t="str">
        <f>IFERROR(VLOOKUP(N1830,DATA!$K$4:$L$51,2,FALSE),"")</f>
        <v/>
      </c>
      <c r="P1830" s="81"/>
      <c r="Q1830" s="152">
        <f t="shared" si="187"/>
        <v>0</v>
      </c>
    </row>
    <row r="1831" spans="2:17">
      <c r="B1831" s="670">
        <f t="shared" si="186"/>
        <v>1826</v>
      </c>
      <c r="C1831" s="601">
        <v>42996</v>
      </c>
      <c r="D1831" s="377" t="s">
        <v>1660</v>
      </c>
      <c r="E1831" s="674">
        <v>610100</v>
      </c>
      <c r="F1831" s="672" t="str">
        <f>IFERROR(VLOOKUP(E1831,STAT1!$C$4:$D$8000,2,FALSE),"")</f>
        <v>Борлуулсан барааны өртөг</v>
      </c>
      <c r="G1831" s="377">
        <v>324863.79773988959</v>
      </c>
      <c r="H1831" s="377"/>
      <c r="I1831" s="596">
        <f t="shared" si="188"/>
        <v>0</v>
      </c>
      <c r="J1831" s="81">
        <f t="shared" si="189"/>
        <v>0</v>
      </c>
      <c r="K1831" s="81"/>
      <c r="L1831" s="597">
        <v>3042</v>
      </c>
      <c r="M1831" s="81" t="str">
        <f>+IFERROR(VLOOKUP(L1831,DATA!$G$4:$H$2000,2,FALSE),"")</f>
        <v xml:space="preserve">ЖУРМАК ХХК </v>
      </c>
      <c r="N1831" s="166"/>
      <c r="O1831" s="81" t="str">
        <f>IFERROR(VLOOKUP(N1831,DATA!$K$4:$L$51,2,FALSE),"")</f>
        <v/>
      </c>
      <c r="P1831" s="81"/>
      <c r="Q1831" s="152">
        <f t="shared" si="187"/>
        <v>0</v>
      </c>
    </row>
    <row r="1832" spans="2:17">
      <c r="B1832" s="670">
        <f t="shared" si="186"/>
        <v>1827</v>
      </c>
      <c r="C1832" s="601">
        <v>42996</v>
      </c>
      <c r="D1832" s="377" t="s">
        <v>587</v>
      </c>
      <c r="E1832" s="674">
        <v>310500</v>
      </c>
      <c r="F1832" s="672" t="str">
        <f>IFERROR(VLOOKUP(E1832,STAT1!$C$4:$D$8000,2,FALSE),"")</f>
        <v>НӨАТ өглөг</v>
      </c>
      <c r="G1832" s="377"/>
      <c r="H1832" s="377">
        <v>84000</v>
      </c>
      <c r="I1832" s="596">
        <f t="shared" si="188"/>
        <v>0</v>
      </c>
      <c r="J1832" s="81">
        <f t="shared" si="189"/>
        <v>0</v>
      </c>
      <c r="K1832" s="81"/>
      <c r="L1832" s="597">
        <v>3042</v>
      </c>
      <c r="M1832" s="81" t="str">
        <f>+IFERROR(VLOOKUP(L1832,DATA!$G$4:$H$2000,2,FALSE),"")</f>
        <v xml:space="preserve">ЖУРМАК ХХК </v>
      </c>
      <c r="N1832" s="166"/>
      <c r="O1832" s="81" t="str">
        <f>IFERROR(VLOOKUP(N1832,DATA!$K$4:$L$51,2,FALSE),"")</f>
        <v/>
      </c>
      <c r="P1832" s="81"/>
      <c r="Q1832" s="152">
        <f t="shared" si="187"/>
        <v>0</v>
      </c>
    </row>
    <row r="1833" spans="2:17">
      <c r="B1833" s="670">
        <f t="shared" si="186"/>
        <v>1828</v>
      </c>
      <c r="C1833" s="601">
        <v>42996</v>
      </c>
      <c r="D1833" s="377" t="s">
        <v>587</v>
      </c>
      <c r="E1833" s="674">
        <v>510000</v>
      </c>
      <c r="F1833" s="672" t="str">
        <f>IFERROR(VLOOKUP(E1833,STAT1!$C$4:$D$8000,2,FALSE),"")</f>
        <v>Үндсэн үйл ажиллагааны борлуулалт</v>
      </c>
      <c r="G1833" s="377"/>
      <c r="H1833" s="377">
        <v>840000</v>
      </c>
      <c r="I1833" s="596">
        <f t="shared" si="188"/>
        <v>0</v>
      </c>
      <c r="J1833" s="81">
        <f t="shared" si="189"/>
        <v>0</v>
      </c>
      <c r="K1833" s="81"/>
      <c r="L1833" s="597">
        <v>3042</v>
      </c>
      <c r="M1833" s="81" t="str">
        <f>+IFERROR(VLOOKUP(L1833,DATA!$G$4:$H$2000,2,FALSE),"")</f>
        <v xml:space="preserve">ЖУРМАК ХХК </v>
      </c>
      <c r="N1833" s="166"/>
      <c r="O1833" s="81" t="str">
        <f>IFERROR(VLOOKUP(N1833,DATA!$K$4:$L$51,2,FALSE),"")</f>
        <v/>
      </c>
      <c r="P1833" s="81"/>
      <c r="Q1833" s="152">
        <f t="shared" si="187"/>
        <v>0</v>
      </c>
    </row>
    <row r="1834" spans="2:17">
      <c r="B1834" s="670">
        <f t="shared" si="186"/>
        <v>1829</v>
      </c>
      <c r="C1834" s="601">
        <v>42996</v>
      </c>
      <c r="D1834" s="377" t="s">
        <v>587</v>
      </c>
      <c r="E1834" s="674">
        <v>320100</v>
      </c>
      <c r="F1834" s="672" t="str">
        <f>IFERROR(VLOOKUP(E1834,STAT1!$C$4:$D$8000,2,FALSE),"")</f>
        <v>Урьдчилж орсон орлого MNT</v>
      </c>
      <c r="G1834" s="377">
        <v>924000</v>
      </c>
      <c r="H1834" s="377"/>
      <c r="I1834" s="596">
        <f t="shared" si="188"/>
        <v>0</v>
      </c>
      <c r="J1834" s="81">
        <f t="shared" si="189"/>
        <v>0</v>
      </c>
      <c r="K1834" s="81"/>
      <c r="L1834" s="597">
        <v>3042</v>
      </c>
      <c r="M1834" s="81" t="str">
        <f>+IFERROR(VLOOKUP(L1834,DATA!$G$4:$H$2000,2,FALSE),"")</f>
        <v xml:space="preserve">ЖУРМАК ХХК </v>
      </c>
      <c r="N1834" s="166"/>
      <c r="O1834" s="81" t="str">
        <f>IFERROR(VLOOKUP(N1834,DATA!$K$4:$L$51,2,FALSE),"")</f>
        <v/>
      </c>
      <c r="P1834" s="81"/>
      <c r="Q1834" s="152">
        <f t="shared" si="187"/>
        <v>0</v>
      </c>
    </row>
    <row r="1835" spans="2:17">
      <c r="B1835" s="670">
        <f t="shared" si="186"/>
        <v>1830</v>
      </c>
      <c r="C1835" s="601">
        <v>42996</v>
      </c>
      <c r="D1835" s="377" t="s">
        <v>1659</v>
      </c>
      <c r="E1835" s="673">
        <v>150101</v>
      </c>
      <c r="F1835" s="672" t="str">
        <f>IFERROR(VLOOKUP(E1835,STAT1!$C$4:$D$8000,2,FALSE),"")</f>
        <v>Бараа бэлэн бүтээгдэхүүн БОЛОВСРУУЛАХ ЦЕХ /нарс/</v>
      </c>
      <c r="G1835" s="377"/>
      <c r="H1835" s="377">
        <v>92512.627102700964</v>
      </c>
      <c r="I1835" s="596">
        <f t="shared" si="188"/>
        <v>0</v>
      </c>
      <c r="J1835" s="81">
        <f t="shared" si="189"/>
        <v>0</v>
      </c>
      <c r="K1835" s="81"/>
      <c r="L1835" s="597">
        <v>4002</v>
      </c>
      <c r="M1835" s="81" t="str">
        <f>+IFERROR(VLOOKUP(L1835,DATA!$G$4:$H$2000,2,FALSE),"")</f>
        <v xml:space="preserve">Хувь хүн </v>
      </c>
      <c r="N1835" s="166"/>
      <c r="O1835" s="81" t="str">
        <f>IFERROR(VLOOKUP(N1835,DATA!$K$4:$L$51,2,FALSE),"")</f>
        <v/>
      </c>
      <c r="P1835" s="81"/>
      <c r="Q1835" s="152">
        <f t="shared" si="187"/>
        <v>0</v>
      </c>
    </row>
    <row r="1836" spans="2:17">
      <c r="B1836" s="670">
        <f t="shared" si="186"/>
        <v>1831</v>
      </c>
      <c r="C1836" s="601">
        <v>42996</v>
      </c>
      <c r="D1836" s="377" t="s">
        <v>1660</v>
      </c>
      <c r="E1836" s="674">
        <v>610100</v>
      </c>
      <c r="F1836" s="672" t="str">
        <f>IFERROR(VLOOKUP(E1836,STAT1!$C$4:$D$8000,2,FALSE),"")</f>
        <v>Борлуулсан барааны өртөг</v>
      </c>
      <c r="G1836" s="377">
        <v>92512.627102700964</v>
      </c>
      <c r="H1836" s="377"/>
      <c r="I1836" s="596">
        <f t="shared" si="188"/>
        <v>0</v>
      </c>
      <c r="J1836" s="81">
        <f t="shared" si="189"/>
        <v>0</v>
      </c>
      <c r="K1836" s="81"/>
      <c r="L1836" s="597">
        <v>4002</v>
      </c>
      <c r="M1836" s="81" t="str">
        <f>+IFERROR(VLOOKUP(L1836,DATA!$G$4:$H$2000,2,FALSE),"")</f>
        <v xml:space="preserve">Хувь хүн </v>
      </c>
      <c r="N1836" s="166"/>
      <c r="O1836" s="81" t="str">
        <f>IFERROR(VLOOKUP(N1836,DATA!$K$4:$L$51,2,FALSE),"")</f>
        <v/>
      </c>
      <c r="P1836" s="81"/>
      <c r="Q1836" s="152">
        <f t="shared" si="187"/>
        <v>0</v>
      </c>
    </row>
    <row r="1837" spans="2:17">
      <c r="B1837" s="670">
        <f t="shared" si="186"/>
        <v>1832</v>
      </c>
      <c r="C1837" s="601">
        <v>42996</v>
      </c>
      <c r="D1837" s="377" t="s">
        <v>2700</v>
      </c>
      <c r="E1837" s="674">
        <v>310500</v>
      </c>
      <c r="F1837" s="672" t="str">
        <f>IFERROR(VLOOKUP(E1837,STAT1!$C$4:$D$8000,2,FALSE),"")</f>
        <v>НӨАТ өглөг</v>
      </c>
      <c r="G1837" s="377"/>
      <c r="H1837" s="377">
        <v>19049.999640000002</v>
      </c>
      <c r="I1837" s="596">
        <f t="shared" si="188"/>
        <v>0</v>
      </c>
      <c r="J1837" s="81">
        <f t="shared" si="189"/>
        <v>0</v>
      </c>
      <c r="K1837" s="81"/>
      <c r="L1837" s="597">
        <v>4002</v>
      </c>
      <c r="M1837" s="81" t="str">
        <f>+IFERROR(VLOOKUP(L1837,DATA!$G$4:$H$2000,2,FALSE),"")</f>
        <v xml:space="preserve">Хувь хүн </v>
      </c>
      <c r="N1837" s="166"/>
      <c r="O1837" s="81" t="str">
        <f>IFERROR(VLOOKUP(N1837,DATA!$K$4:$L$51,2,FALSE),"")</f>
        <v/>
      </c>
      <c r="P1837" s="81"/>
      <c r="Q1837" s="152">
        <f t="shared" si="187"/>
        <v>0</v>
      </c>
    </row>
    <row r="1838" spans="2:17">
      <c r="B1838" s="670">
        <f t="shared" si="186"/>
        <v>1833</v>
      </c>
      <c r="C1838" s="601">
        <v>42996</v>
      </c>
      <c r="D1838" s="377" t="s">
        <v>587</v>
      </c>
      <c r="E1838" s="674">
        <v>510000</v>
      </c>
      <c r="F1838" s="672" t="str">
        <f>IFERROR(VLOOKUP(E1838,STAT1!$C$4:$D$8000,2,FALSE),"")</f>
        <v>Үндсэн үйл ажиллагааны борлуулалт</v>
      </c>
      <c r="G1838" s="377"/>
      <c r="H1838" s="377">
        <v>190499.9964</v>
      </c>
      <c r="I1838" s="596">
        <f t="shared" si="188"/>
        <v>0</v>
      </c>
      <c r="J1838" s="81">
        <f t="shared" si="189"/>
        <v>0</v>
      </c>
      <c r="K1838" s="81"/>
      <c r="L1838" s="597">
        <v>4002</v>
      </c>
      <c r="M1838" s="81" t="str">
        <f>+IFERROR(VLOOKUP(L1838,DATA!$G$4:$H$2000,2,FALSE),"")</f>
        <v xml:space="preserve">Хувь хүн </v>
      </c>
      <c r="N1838" s="166"/>
      <c r="O1838" s="81" t="str">
        <f>IFERROR(VLOOKUP(N1838,DATA!$K$4:$L$51,2,FALSE),"")</f>
        <v/>
      </c>
      <c r="P1838" s="81"/>
      <c r="Q1838" s="152">
        <f t="shared" si="187"/>
        <v>0</v>
      </c>
    </row>
    <row r="1839" spans="2:17">
      <c r="B1839" s="670">
        <f t="shared" si="186"/>
        <v>1834</v>
      </c>
      <c r="C1839" s="601">
        <v>42996</v>
      </c>
      <c r="D1839" s="377" t="s">
        <v>587</v>
      </c>
      <c r="E1839" s="674">
        <v>320100</v>
      </c>
      <c r="F1839" s="672" t="str">
        <f>IFERROR(VLOOKUP(E1839,STAT1!$C$4:$D$8000,2,FALSE),"")</f>
        <v>Урьдчилж орсон орлого MNT</v>
      </c>
      <c r="G1839" s="377">
        <v>209549.99604</v>
      </c>
      <c r="H1839" s="377"/>
      <c r="I1839" s="596">
        <f t="shared" si="188"/>
        <v>0</v>
      </c>
      <c r="J1839" s="81">
        <f t="shared" si="189"/>
        <v>0</v>
      </c>
      <c r="K1839" s="81"/>
      <c r="L1839" s="597">
        <v>4002</v>
      </c>
      <c r="M1839" s="81" t="str">
        <f>+IFERROR(VLOOKUP(L1839,DATA!$G$4:$H$2000,2,FALSE),"")</f>
        <v xml:space="preserve">Хувь хүн </v>
      </c>
      <c r="N1839" s="166"/>
      <c r="O1839" s="81" t="str">
        <f>IFERROR(VLOOKUP(N1839,DATA!$K$4:$L$51,2,FALSE),"")</f>
        <v/>
      </c>
      <c r="P1839" s="81"/>
      <c r="Q1839" s="152">
        <f t="shared" si="187"/>
        <v>0</v>
      </c>
    </row>
    <row r="1840" spans="2:17">
      <c r="B1840" s="670">
        <f t="shared" si="186"/>
        <v>1835</v>
      </c>
      <c r="C1840" s="601">
        <v>42997</v>
      </c>
      <c r="D1840" s="377" t="s">
        <v>1659</v>
      </c>
      <c r="E1840" s="673">
        <v>150101</v>
      </c>
      <c r="F1840" s="672" t="str">
        <f>IFERROR(VLOOKUP(E1840,STAT1!$C$4:$D$8000,2,FALSE),"")</f>
        <v>Бараа бэлэн бүтээгдэхүүн БОЛОВСРУУЛАХ ЦЕХ /нарс/</v>
      </c>
      <c r="G1840" s="377"/>
      <c r="H1840" s="377">
        <v>36907.796102762812</v>
      </c>
      <c r="I1840" s="596">
        <f t="shared" si="188"/>
        <v>0</v>
      </c>
      <c r="J1840" s="81">
        <f t="shared" si="189"/>
        <v>0</v>
      </c>
      <c r="K1840" s="81"/>
      <c r="L1840" s="597">
        <v>3098</v>
      </c>
      <c r="M1840" s="81" t="str">
        <f>+IFERROR(VLOOKUP(L1840,DATA!$G$4:$H$2000,2,FALSE),"")</f>
        <v xml:space="preserve">ЭБСО ХХК </v>
      </c>
      <c r="N1840" s="166"/>
      <c r="O1840" s="81" t="str">
        <f>IFERROR(VLOOKUP(N1840,DATA!$K$4:$L$51,2,FALSE),"")</f>
        <v/>
      </c>
      <c r="P1840" s="81"/>
      <c r="Q1840" s="152">
        <f t="shared" si="187"/>
        <v>0</v>
      </c>
    </row>
    <row r="1841" spans="2:17">
      <c r="B1841" s="670">
        <f t="shared" si="186"/>
        <v>1836</v>
      </c>
      <c r="C1841" s="601">
        <v>42997</v>
      </c>
      <c r="D1841" s="377" t="s">
        <v>587</v>
      </c>
      <c r="E1841" s="674">
        <v>610100</v>
      </c>
      <c r="F1841" s="672" t="str">
        <f>IFERROR(VLOOKUP(E1841,STAT1!$C$4:$D$8000,2,FALSE),"")</f>
        <v>Борлуулсан барааны өртөг</v>
      </c>
      <c r="G1841" s="377">
        <v>36907.796102762812</v>
      </c>
      <c r="H1841" s="377"/>
      <c r="I1841" s="596">
        <f t="shared" si="188"/>
        <v>0</v>
      </c>
      <c r="J1841" s="81">
        <f t="shared" si="189"/>
        <v>0</v>
      </c>
      <c r="K1841" s="81"/>
      <c r="L1841" s="597">
        <v>3098</v>
      </c>
      <c r="M1841" s="81" t="str">
        <f>+IFERROR(VLOOKUP(L1841,DATA!$G$4:$H$2000,2,FALSE),"")</f>
        <v xml:space="preserve">ЭБСО ХХК </v>
      </c>
      <c r="N1841" s="166"/>
      <c r="O1841" s="81" t="str">
        <f>IFERROR(VLOOKUP(N1841,DATA!$K$4:$L$51,2,FALSE),"")</f>
        <v/>
      </c>
      <c r="P1841" s="81"/>
      <c r="Q1841" s="152">
        <f t="shared" si="187"/>
        <v>0</v>
      </c>
    </row>
    <row r="1842" spans="2:17">
      <c r="B1842" s="670">
        <f t="shared" si="186"/>
        <v>1837</v>
      </c>
      <c r="C1842" s="601">
        <v>42997</v>
      </c>
      <c r="D1842" s="377" t="s">
        <v>587</v>
      </c>
      <c r="E1842" s="674">
        <v>310500</v>
      </c>
      <c r="F1842" s="672" t="str">
        <f>IFERROR(VLOOKUP(E1842,STAT1!$C$4:$D$8000,2,FALSE),"")</f>
        <v>НӨАТ өглөг</v>
      </c>
      <c r="G1842" s="377"/>
      <c r="H1842" s="377">
        <v>8550</v>
      </c>
      <c r="I1842" s="596">
        <f t="shared" si="188"/>
        <v>0</v>
      </c>
      <c r="J1842" s="81">
        <f t="shared" si="189"/>
        <v>0</v>
      </c>
      <c r="K1842" s="81"/>
      <c r="L1842" s="597">
        <v>3098</v>
      </c>
      <c r="M1842" s="81" t="str">
        <f>+IFERROR(VLOOKUP(L1842,DATA!$G$4:$H$2000,2,FALSE),"")</f>
        <v xml:space="preserve">ЭБСО ХХК </v>
      </c>
      <c r="N1842" s="166"/>
      <c r="O1842" s="81" t="str">
        <f>IFERROR(VLOOKUP(N1842,DATA!$K$4:$L$51,2,FALSE),"")</f>
        <v/>
      </c>
      <c r="P1842" s="81"/>
      <c r="Q1842" s="152">
        <f t="shared" si="187"/>
        <v>0</v>
      </c>
    </row>
    <row r="1843" spans="2:17">
      <c r="B1843" s="670">
        <f t="shared" si="186"/>
        <v>1838</v>
      </c>
      <c r="C1843" s="601">
        <v>42997</v>
      </c>
      <c r="D1843" s="377" t="s">
        <v>587</v>
      </c>
      <c r="E1843" s="674">
        <v>510000</v>
      </c>
      <c r="F1843" s="672" t="str">
        <f>IFERROR(VLOOKUP(E1843,STAT1!$C$4:$D$8000,2,FALSE),"")</f>
        <v>Үндсэн үйл ажиллагааны борлуулалт</v>
      </c>
      <c r="G1843" s="377"/>
      <c r="H1843" s="377">
        <v>85500</v>
      </c>
      <c r="I1843" s="596">
        <f t="shared" si="188"/>
        <v>0</v>
      </c>
      <c r="J1843" s="81">
        <f t="shared" si="189"/>
        <v>0</v>
      </c>
      <c r="K1843" s="81"/>
      <c r="L1843" s="597">
        <v>3098</v>
      </c>
      <c r="M1843" s="81" t="str">
        <f>+IFERROR(VLOOKUP(L1843,DATA!$G$4:$H$2000,2,FALSE),"")</f>
        <v xml:space="preserve">ЭБСО ХХК </v>
      </c>
      <c r="N1843" s="166"/>
      <c r="O1843" s="81" t="str">
        <f>IFERROR(VLOOKUP(N1843,DATA!$K$4:$L$51,2,FALSE),"")</f>
        <v/>
      </c>
      <c r="P1843" s="81"/>
      <c r="Q1843" s="152">
        <f t="shared" si="187"/>
        <v>0</v>
      </c>
    </row>
    <row r="1844" spans="2:17">
      <c r="B1844" s="670">
        <f t="shared" si="186"/>
        <v>1839</v>
      </c>
      <c r="C1844" s="601">
        <v>42997</v>
      </c>
      <c r="D1844" s="377" t="s">
        <v>587</v>
      </c>
      <c r="E1844" s="674">
        <v>320100</v>
      </c>
      <c r="F1844" s="672" t="str">
        <f>IFERROR(VLOOKUP(E1844,STAT1!$C$4:$D$8000,2,FALSE),"")</f>
        <v>Урьдчилж орсон орлого MNT</v>
      </c>
      <c r="G1844" s="377">
        <v>94050</v>
      </c>
      <c r="H1844" s="377"/>
      <c r="I1844" s="596">
        <f t="shared" si="188"/>
        <v>0</v>
      </c>
      <c r="J1844" s="81">
        <f t="shared" ref="J1844:J1875" si="190">+IF(E1844=110102,I1844/K1844,0)</f>
        <v>0</v>
      </c>
      <c r="K1844" s="81"/>
      <c r="L1844" s="597">
        <v>3098</v>
      </c>
      <c r="M1844" s="81" t="str">
        <f>+IFERROR(VLOOKUP(L1844,DATA!$G$4:$H$2000,2,FALSE),"")</f>
        <v xml:space="preserve">ЭБСО ХХК </v>
      </c>
      <c r="N1844" s="166"/>
      <c r="O1844" s="81" t="str">
        <f>IFERROR(VLOOKUP(N1844,DATA!$K$4:$L$51,2,FALSE),"")</f>
        <v/>
      </c>
      <c r="P1844" s="81"/>
      <c r="Q1844" s="152">
        <f t="shared" si="187"/>
        <v>0</v>
      </c>
    </row>
    <row r="1845" spans="2:17">
      <c r="B1845" s="670">
        <f t="shared" si="186"/>
        <v>1840</v>
      </c>
      <c r="C1845" s="601">
        <v>42998</v>
      </c>
      <c r="D1845" s="377" t="s">
        <v>2700</v>
      </c>
      <c r="E1845" s="673">
        <v>150101</v>
      </c>
      <c r="F1845" s="672" t="str">
        <f>IFERROR(VLOOKUP(E1845,STAT1!$C$4:$D$8000,2,FALSE),"")</f>
        <v>Бараа бэлэн бүтээгдэхүүн БОЛОВСРУУЛАХ ЦЕХ /нарс/</v>
      </c>
      <c r="G1845" s="377"/>
      <c r="H1845" s="377">
        <v>821944.72285621474</v>
      </c>
      <c r="I1845" s="596">
        <f t="shared" si="188"/>
        <v>0</v>
      </c>
      <c r="J1845" s="81">
        <f t="shared" si="190"/>
        <v>0</v>
      </c>
      <c r="K1845" s="81"/>
      <c r="L1845" s="597">
        <v>3096</v>
      </c>
      <c r="M1845" s="81" t="str">
        <f>+IFERROR(VLOOKUP(L1845,DATA!$G$4:$H$2000,2,FALSE),"")</f>
        <v>ЭРДЭНЭДРИЙЛИНГ ХХК</v>
      </c>
      <c r="N1845" s="166"/>
      <c r="O1845" s="81" t="str">
        <f>IFERROR(VLOOKUP(N1845,DATA!$K$4:$L$51,2,FALSE),"")</f>
        <v/>
      </c>
      <c r="P1845" s="81"/>
      <c r="Q1845" s="152">
        <f t="shared" si="187"/>
        <v>0</v>
      </c>
    </row>
    <row r="1846" spans="2:17">
      <c r="B1846" s="670">
        <f t="shared" si="186"/>
        <v>1841</v>
      </c>
      <c r="C1846" s="601">
        <v>42998</v>
      </c>
      <c r="D1846" s="377" t="s">
        <v>587</v>
      </c>
      <c r="E1846" s="674">
        <v>610100</v>
      </c>
      <c r="F1846" s="672" t="str">
        <f>IFERROR(VLOOKUP(E1846,STAT1!$C$4:$D$8000,2,FALSE),"")</f>
        <v>Борлуулсан барааны өртөг</v>
      </c>
      <c r="G1846" s="377">
        <v>821944.72285621474</v>
      </c>
      <c r="H1846" s="377"/>
      <c r="I1846" s="596">
        <f t="shared" si="188"/>
        <v>0</v>
      </c>
      <c r="J1846" s="81">
        <f t="shared" si="190"/>
        <v>0</v>
      </c>
      <c r="K1846" s="81"/>
      <c r="L1846" s="597">
        <v>3096</v>
      </c>
      <c r="M1846" s="81" t="str">
        <f>+IFERROR(VLOOKUP(L1846,DATA!$G$4:$H$2000,2,FALSE),"")</f>
        <v>ЭРДЭНЭДРИЙЛИНГ ХХК</v>
      </c>
      <c r="N1846" s="166"/>
      <c r="O1846" s="81" t="str">
        <f>IFERROR(VLOOKUP(N1846,DATA!$K$4:$L$51,2,FALSE),"")</f>
        <v/>
      </c>
      <c r="P1846" s="81"/>
      <c r="Q1846" s="152">
        <f t="shared" si="187"/>
        <v>0</v>
      </c>
    </row>
    <row r="1847" spans="2:17">
      <c r="B1847" s="670">
        <f t="shared" ref="B1847:B1908" si="191">+IF(C1847="","",ROW()-5)</f>
        <v>1842</v>
      </c>
      <c r="C1847" s="601">
        <v>42998</v>
      </c>
      <c r="D1847" s="377" t="s">
        <v>587</v>
      </c>
      <c r="E1847" s="674">
        <v>310500</v>
      </c>
      <c r="F1847" s="672" t="str">
        <f>IFERROR(VLOOKUP(E1847,STAT1!$C$4:$D$8000,2,FALSE),"")</f>
        <v>НӨАТ өглөг</v>
      </c>
      <c r="G1847" s="377"/>
      <c r="H1847" s="377">
        <v>100000</v>
      </c>
      <c r="I1847" s="596">
        <f t="shared" si="188"/>
        <v>0</v>
      </c>
      <c r="J1847" s="81">
        <f t="shared" si="190"/>
        <v>0</v>
      </c>
      <c r="K1847" s="81"/>
      <c r="L1847" s="597">
        <v>3096</v>
      </c>
      <c r="M1847" s="81" t="str">
        <f>+IFERROR(VLOOKUP(L1847,DATA!$G$4:$H$2000,2,FALSE),"")</f>
        <v>ЭРДЭНЭДРИЙЛИНГ ХХК</v>
      </c>
      <c r="N1847" s="166"/>
      <c r="O1847" s="81" t="str">
        <f>IFERROR(VLOOKUP(N1847,DATA!$K$4:$L$51,2,FALSE),"")</f>
        <v/>
      </c>
      <c r="P1847" s="81"/>
      <c r="Q1847" s="152">
        <f t="shared" si="187"/>
        <v>0</v>
      </c>
    </row>
    <row r="1848" spans="2:17">
      <c r="B1848" s="670">
        <f t="shared" si="191"/>
        <v>1843</v>
      </c>
      <c r="C1848" s="601">
        <v>42998</v>
      </c>
      <c r="D1848" s="377" t="s">
        <v>587</v>
      </c>
      <c r="E1848" s="674">
        <v>510000</v>
      </c>
      <c r="F1848" s="672" t="str">
        <f>IFERROR(VLOOKUP(E1848,STAT1!$C$4:$D$8000,2,FALSE),"")</f>
        <v>Үндсэн үйл ажиллагааны борлуулалт</v>
      </c>
      <c r="G1848" s="377"/>
      <c r="H1848" s="377">
        <v>1000000</v>
      </c>
      <c r="I1848" s="596">
        <f t="shared" si="188"/>
        <v>0</v>
      </c>
      <c r="J1848" s="81">
        <f t="shared" si="190"/>
        <v>0</v>
      </c>
      <c r="K1848" s="81"/>
      <c r="L1848" s="597">
        <v>3096</v>
      </c>
      <c r="M1848" s="81" t="str">
        <f>+IFERROR(VLOOKUP(L1848,DATA!$G$4:$H$2000,2,FALSE),"")</f>
        <v>ЭРДЭНЭДРИЙЛИНГ ХХК</v>
      </c>
      <c r="N1848" s="166"/>
      <c r="O1848" s="81" t="str">
        <f>IFERROR(VLOOKUP(N1848,DATA!$K$4:$L$51,2,FALSE),"")</f>
        <v/>
      </c>
      <c r="P1848" s="81"/>
      <c r="Q1848" s="152">
        <f t="shared" si="187"/>
        <v>0</v>
      </c>
    </row>
    <row r="1849" spans="2:17">
      <c r="B1849" s="670">
        <f t="shared" si="191"/>
        <v>1844</v>
      </c>
      <c r="C1849" s="601">
        <v>42998</v>
      </c>
      <c r="D1849" s="377" t="s">
        <v>587</v>
      </c>
      <c r="E1849" s="674">
        <v>320100</v>
      </c>
      <c r="F1849" s="672" t="str">
        <f>IFERROR(VLOOKUP(E1849,STAT1!$C$4:$D$8000,2,FALSE),"")</f>
        <v>Урьдчилж орсон орлого MNT</v>
      </c>
      <c r="G1849" s="377">
        <v>1100000</v>
      </c>
      <c r="H1849" s="377"/>
      <c r="I1849" s="596">
        <f t="shared" si="188"/>
        <v>0</v>
      </c>
      <c r="J1849" s="81">
        <f t="shared" si="190"/>
        <v>0</v>
      </c>
      <c r="K1849" s="81"/>
      <c r="L1849" s="597">
        <v>3096</v>
      </c>
      <c r="M1849" s="81" t="str">
        <f>+IFERROR(VLOOKUP(L1849,DATA!$G$4:$H$2000,2,FALSE),"")</f>
        <v>ЭРДЭНЭДРИЙЛИНГ ХХК</v>
      </c>
      <c r="N1849" s="166"/>
      <c r="O1849" s="81" t="str">
        <f>IFERROR(VLOOKUP(N1849,DATA!$K$4:$L$51,2,FALSE),"")</f>
        <v/>
      </c>
      <c r="P1849" s="81"/>
      <c r="Q1849" s="152">
        <f t="shared" si="187"/>
        <v>0</v>
      </c>
    </row>
    <row r="1850" spans="2:17">
      <c r="B1850" s="670">
        <f t="shared" si="191"/>
        <v>1845</v>
      </c>
      <c r="C1850" s="601">
        <v>42998</v>
      </c>
      <c r="D1850" s="377" t="s">
        <v>1701</v>
      </c>
      <c r="E1850" s="572">
        <v>100100</v>
      </c>
      <c r="F1850" s="672" t="str">
        <f>IFERROR(VLOOKUP(E1850,STAT1!$C$4:$D$8000,2,FALSE),"")</f>
        <v>Касс мөнгө MNT</v>
      </c>
      <c r="G1850" s="377"/>
      <c r="H1850" s="377">
        <v>1500000</v>
      </c>
      <c r="I1850" s="603">
        <f t="shared" si="188"/>
        <v>-1500000</v>
      </c>
      <c r="J1850" s="81">
        <f t="shared" si="190"/>
        <v>0</v>
      </c>
      <c r="K1850" s="81"/>
      <c r="L1850" s="597">
        <v>2012</v>
      </c>
      <c r="M1850" s="81" t="str">
        <f>+IFERROR(VLOOKUP(L1850,DATA!$G$4:$H$2000,2,FALSE),"")</f>
        <v>ИХ ТУГЧ ХХК</v>
      </c>
      <c r="N1850" s="166">
        <v>59</v>
      </c>
      <c r="O1850" s="81" t="str">
        <f>IFERROR(VLOOKUP(N1850,DATA!$K$4:$L$51,2,FALSE),"")</f>
        <v>Бусад мөнгөн зарлага</v>
      </c>
      <c r="P1850" s="81"/>
      <c r="Q1850" s="152">
        <f t="shared" si="187"/>
        <v>1</v>
      </c>
    </row>
    <row r="1851" spans="2:17">
      <c r="B1851" s="670">
        <f t="shared" si="191"/>
        <v>1846</v>
      </c>
      <c r="C1851" s="601">
        <v>42998</v>
      </c>
      <c r="D1851" s="377" t="s">
        <v>1701</v>
      </c>
      <c r="E1851" s="572">
        <v>705800</v>
      </c>
      <c r="F1851" s="672" t="str">
        <f>IFERROR(VLOOKUP(E1851,STAT1!$C$4:$D$8000,2,FALSE),"")</f>
        <v>Харуул хамгаалалт</v>
      </c>
      <c r="G1851" s="377">
        <v>1500000</v>
      </c>
      <c r="H1851" s="377"/>
      <c r="I1851" s="603">
        <f t="shared" si="188"/>
        <v>0</v>
      </c>
      <c r="J1851" s="81">
        <f t="shared" si="190"/>
        <v>0</v>
      </c>
      <c r="K1851" s="81"/>
      <c r="L1851" s="597">
        <v>2012</v>
      </c>
      <c r="M1851" s="81" t="str">
        <f>+IFERROR(VLOOKUP(L1851,DATA!$G$4:$H$2000,2,FALSE),"")</f>
        <v>ИХ ТУГЧ ХХК</v>
      </c>
      <c r="N1851" s="166"/>
      <c r="O1851" s="81" t="str">
        <f>IFERROR(VLOOKUP(N1851,DATA!$K$4:$L$51,2,FALSE),"")</f>
        <v/>
      </c>
      <c r="P1851" s="81"/>
      <c r="Q1851" s="152">
        <f t="shared" si="187"/>
        <v>0</v>
      </c>
    </row>
    <row r="1852" spans="2:17">
      <c r="B1852" s="670">
        <f t="shared" si="191"/>
        <v>1847</v>
      </c>
      <c r="C1852" s="433">
        <v>43000</v>
      </c>
      <c r="D1852" s="377" t="s">
        <v>1728</v>
      </c>
      <c r="E1852" s="572">
        <v>100100</v>
      </c>
      <c r="F1852" s="672" t="str">
        <f>IFERROR(VLOOKUP(E1852,STAT1!$C$4:$D$8000,2,FALSE),"")</f>
        <v>Касс мөнгө MNT</v>
      </c>
      <c r="G1852" s="377"/>
      <c r="H1852" s="377">
        <v>918940</v>
      </c>
      <c r="I1852" s="596">
        <f t="shared" si="188"/>
        <v>-918940</v>
      </c>
      <c r="J1852" s="81">
        <f t="shared" si="190"/>
        <v>0</v>
      </c>
      <c r="K1852" s="81"/>
      <c r="L1852" s="597">
        <v>3017</v>
      </c>
      <c r="M1852" s="81" t="str">
        <f>+IFERROR(VLOOKUP(L1852,DATA!$G$4:$H$2000,2,FALSE),"")</f>
        <v xml:space="preserve">ВОС ХХК </v>
      </c>
      <c r="N1852" s="166">
        <v>53</v>
      </c>
      <c r="O1852" s="81" t="str">
        <f>IFERROR(VLOOKUP(N1852,DATA!$K$4:$L$51,2,FALSE),"")</f>
        <v>Бараа материал худалдан авахад төлсөн</v>
      </c>
      <c r="P1852" s="81"/>
      <c r="Q1852" s="152">
        <f t="shared" si="187"/>
        <v>1</v>
      </c>
    </row>
    <row r="1853" spans="2:17">
      <c r="B1853" s="670">
        <f t="shared" si="191"/>
        <v>1848</v>
      </c>
      <c r="C1853" s="433">
        <v>43000</v>
      </c>
      <c r="D1853" s="377" t="s">
        <v>1728</v>
      </c>
      <c r="E1853" s="572">
        <v>120100</v>
      </c>
      <c r="F1853" s="672" t="str">
        <f>IFERROR(VLOOKUP(E1853,STAT1!$C$4:$D$8000,2,FALSE),"")</f>
        <v xml:space="preserve">Дансны авлага MNT </v>
      </c>
      <c r="G1853" s="377">
        <v>918940</v>
      </c>
      <c r="H1853" s="377"/>
      <c r="I1853" s="596">
        <f t="shared" si="188"/>
        <v>0</v>
      </c>
      <c r="J1853" s="81">
        <f t="shared" si="190"/>
        <v>0</v>
      </c>
      <c r="K1853" s="81"/>
      <c r="L1853" s="597">
        <v>3017</v>
      </c>
      <c r="M1853" s="81" t="str">
        <f>+IFERROR(VLOOKUP(L1853,DATA!$G$4:$H$2000,2,FALSE),"")</f>
        <v xml:space="preserve">ВОС ХХК </v>
      </c>
      <c r="N1853" s="166"/>
      <c r="O1853" s="81" t="str">
        <f>IFERROR(VLOOKUP(N1853,DATA!$K$4:$L$51,2,FALSE),"")</f>
        <v/>
      </c>
      <c r="P1853" s="81"/>
      <c r="Q1853" s="152">
        <f t="shared" si="187"/>
        <v>0</v>
      </c>
    </row>
    <row r="1854" spans="2:17">
      <c r="B1854" s="670">
        <f t="shared" si="191"/>
        <v>1849</v>
      </c>
      <c r="C1854" s="433">
        <v>43000</v>
      </c>
      <c r="D1854" s="377" t="s">
        <v>1355</v>
      </c>
      <c r="E1854" s="572">
        <v>100100</v>
      </c>
      <c r="F1854" s="672" t="str">
        <f>IFERROR(VLOOKUP(E1854,STAT1!$C$4:$D$8000,2,FALSE),"")</f>
        <v>Касс мөнгө MNT</v>
      </c>
      <c r="G1854" s="377"/>
      <c r="H1854" s="377">
        <v>10000</v>
      </c>
      <c r="I1854" s="596">
        <f t="shared" si="188"/>
        <v>-10000</v>
      </c>
      <c r="J1854" s="81">
        <f t="shared" si="190"/>
        <v>0</v>
      </c>
      <c r="K1854" s="81"/>
      <c r="L1854" s="597">
        <v>1005</v>
      </c>
      <c r="M1854" s="81" t="str">
        <f>+IFERROR(VLOOKUP(L1854,DATA!$G$4:$H$2000,2,FALSE),"")</f>
        <v>Золжаргал</v>
      </c>
      <c r="N1854" s="166">
        <v>55</v>
      </c>
      <c r="O1854" s="81" t="str">
        <f>IFERROR(VLOOKUP(N1854,DATA!$K$4:$L$51,2,FALSE),"")</f>
        <v>Түлш, шатахуун, тээврийн хөлс, сэлбэг хэрэгсэлд төлсөн</v>
      </c>
      <c r="P1854" s="81"/>
      <c r="Q1854" s="152">
        <f t="shared" si="187"/>
        <v>1</v>
      </c>
    </row>
    <row r="1855" spans="2:17">
      <c r="B1855" s="670">
        <f t="shared" si="191"/>
        <v>1850</v>
      </c>
      <c r="C1855" s="433">
        <v>43000</v>
      </c>
      <c r="D1855" s="377" t="s">
        <v>1355</v>
      </c>
      <c r="E1855" s="572">
        <v>702000</v>
      </c>
      <c r="F1855" s="672" t="str">
        <f>IFERROR(VLOOKUP(E1855,STAT1!$C$4:$D$8000,2,FALSE),"")</f>
        <v>Түлш, шатахуун</v>
      </c>
      <c r="G1855" s="377">
        <v>10000</v>
      </c>
      <c r="H1855" s="377"/>
      <c r="I1855" s="596">
        <f t="shared" si="188"/>
        <v>0</v>
      </c>
      <c r="J1855" s="81">
        <f t="shared" si="190"/>
        <v>0</v>
      </c>
      <c r="K1855" s="81"/>
      <c r="L1855" s="597">
        <v>1005</v>
      </c>
      <c r="M1855" s="81" t="str">
        <f>+IFERROR(VLOOKUP(L1855,DATA!$G$4:$H$2000,2,FALSE),"")</f>
        <v>Золжаргал</v>
      </c>
      <c r="N1855" s="166"/>
      <c r="O1855" s="81" t="str">
        <f>IFERROR(VLOOKUP(N1855,DATA!$K$4:$L$51,2,FALSE),"")</f>
        <v/>
      </c>
      <c r="P1855" s="81"/>
      <c r="Q1855" s="152">
        <f t="shared" si="187"/>
        <v>0</v>
      </c>
    </row>
    <row r="1856" spans="2:17">
      <c r="B1856" s="670">
        <f t="shared" si="191"/>
        <v>1851</v>
      </c>
      <c r="C1856" s="433">
        <v>43001</v>
      </c>
      <c r="D1856" s="598" t="s">
        <v>1741</v>
      </c>
      <c r="E1856" s="572">
        <v>110100</v>
      </c>
      <c r="F1856" s="672" t="str">
        <f>IFERROR(VLOOKUP(E1856,STAT1!$C$4:$D$1000,2,FALSE),"")</f>
        <v>Хаан Банк 5024654020</v>
      </c>
      <c r="G1856" s="377">
        <v>278800</v>
      </c>
      <c r="H1856" s="377"/>
      <c r="I1856" s="596">
        <f t="shared" si="188"/>
        <v>278800</v>
      </c>
      <c r="J1856" s="81">
        <f t="shared" si="190"/>
        <v>0</v>
      </c>
      <c r="K1856" s="81"/>
      <c r="L1856" s="597">
        <v>3095</v>
      </c>
      <c r="M1856" s="81" t="str">
        <f>+IFERROR(VLOOKUP(L1856,DATA!$G$4:$H$2000,2,FALSE),"")</f>
        <v xml:space="preserve">БАТС ӨРГӨӨ ХХК </v>
      </c>
      <c r="N1856" s="435">
        <v>41</v>
      </c>
      <c r="O1856" s="81" t="str">
        <f>IFERROR(VLOOKUP(N1856,DATA!$K$4:$L$51,2,FALSE),"")</f>
        <v>Бараа борлуулсан, үйлчилгээ үзүүлсэний орлого</v>
      </c>
      <c r="P1856" s="81"/>
      <c r="Q1856" s="152">
        <f t="shared" si="187"/>
        <v>1</v>
      </c>
    </row>
    <row r="1857" spans="2:17">
      <c r="B1857" s="670">
        <f t="shared" si="191"/>
        <v>1852</v>
      </c>
      <c r="C1857" s="433">
        <v>43001</v>
      </c>
      <c r="D1857" s="598" t="s">
        <v>1741</v>
      </c>
      <c r="E1857" s="572">
        <v>320100</v>
      </c>
      <c r="F1857" s="672" t="str">
        <f>IFERROR(VLOOKUP(E1857,STAT1!$C$4:$D$1000,2,FALSE),"")</f>
        <v>Урьдчилж орсон орлого MNT</v>
      </c>
      <c r="G1857" s="377">
        <v>0</v>
      </c>
      <c r="H1857" s="377">
        <v>278800</v>
      </c>
      <c r="I1857" s="596">
        <f t="shared" si="188"/>
        <v>0</v>
      </c>
      <c r="J1857" s="81">
        <f t="shared" si="190"/>
        <v>0</v>
      </c>
      <c r="K1857" s="81"/>
      <c r="L1857" s="597">
        <v>3095</v>
      </c>
      <c r="M1857" s="81" t="str">
        <f>+IFERROR(VLOOKUP(L1857,DATA!$G$4:$H$2000,2,FALSE),"")</f>
        <v xml:space="preserve">БАТС ӨРГӨӨ ХХК </v>
      </c>
      <c r="N1857" s="435"/>
      <c r="O1857" s="81" t="str">
        <f>IFERROR(VLOOKUP(N1857,DATA!$K$4:$L$51,2,FALSE),"")</f>
        <v/>
      </c>
      <c r="P1857" s="81"/>
      <c r="Q1857" s="152">
        <f t="shared" si="187"/>
        <v>0</v>
      </c>
    </row>
    <row r="1858" spans="2:17">
      <c r="B1858" s="670">
        <f t="shared" si="191"/>
        <v>1853</v>
      </c>
      <c r="C1858" s="433">
        <v>43001</v>
      </c>
      <c r="D1858" s="598" t="s">
        <v>1746</v>
      </c>
      <c r="E1858" s="572">
        <v>702500</v>
      </c>
      <c r="F1858" s="672" t="str">
        <f>IFERROR(VLOOKUP(E1858,STAT1!$C$4:$D$8000,2,FALSE),"")</f>
        <v>Зээлийн хүүгийн зардал</v>
      </c>
      <c r="G1858" s="377">
        <v>278800</v>
      </c>
      <c r="H1858" s="377">
        <v>0</v>
      </c>
      <c r="I1858" s="596">
        <f t="shared" si="188"/>
        <v>0</v>
      </c>
      <c r="J1858" s="81">
        <f t="shared" si="190"/>
        <v>0</v>
      </c>
      <c r="K1858" s="81"/>
      <c r="L1858" s="597">
        <v>2009</v>
      </c>
      <c r="M1858" s="81" t="str">
        <f>+IFERROR(VLOOKUP(L1858,DATA!$G$4:$H$2000,2,FALSE),"")</f>
        <v>ХААН БАНК</v>
      </c>
      <c r="N1858" s="435"/>
      <c r="O1858" s="81" t="str">
        <f>IFERROR(VLOOKUP(N1858,DATA!$K$4:$L$51,2,FALSE),"")</f>
        <v/>
      </c>
      <c r="P1858" s="81"/>
      <c r="Q1858" s="152">
        <f t="shared" si="187"/>
        <v>0</v>
      </c>
    </row>
    <row r="1859" spans="2:17">
      <c r="B1859" s="670">
        <f t="shared" si="191"/>
        <v>1854</v>
      </c>
      <c r="C1859" s="433">
        <v>43001</v>
      </c>
      <c r="D1859" s="598" t="s">
        <v>1746</v>
      </c>
      <c r="E1859" s="572">
        <v>110100</v>
      </c>
      <c r="F1859" s="672" t="str">
        <f>IFERROR(VLOOKUP(E1859,STAT1!$C$4:$D$8000,2,FALSE),"")</f>
        <v>Хаан Банк 5024654020</v>
      </c>
      <c r="G1859" s="377"/>
      <c r="H1859" s="377">
        <v>278800</v>
      </c>
      <c r="I1859" s="596">
        <f t="shared" si="188"/>
        <v>-278800</v>
      </c>
      <c r="J1859" s="81">
        <f t="shared" si="190"/>
        <v>0</v>
      </c>
      <c r="K1859" s="81"/>
      <c r="L1859" s="597">
        <v>2009</v>
      </c>
      <c r="M1859" s="81" t="str">
        <f>+IFERROR(VLOOKUP(L1859,DATA!$G$4:$H$2000,2,FALSE),"")</f>
        <v>ХААН БАНК</v>
      </c>
      <c r="N1859" s="166">
        <v>56</v>
      </c>
      <c r="O1859" s="81" t="str">
        <f>IFERROR(VLOOKUP(N1859,DATA!$K$4:$L$51,2,FALSE),"")</f>
        <v>Хүүний төлбөрт төлсөн</v>
      </c>
      <c r="P1859" s="81"/>
      <c r="Q1859" s="152">
        <f t="shared" si="187"/>
        <v>1</v>
      </c>
    </row>
    <row r="1860" spans="2:17">
      <c r="B1860" s="670">
        <f t="shared" si="191"/>
        <v>1855</v>
      </c>
      <c r="C1860" s="601">
        <v>43002</v>
      </c>
      <c r="D1860" s="377" t="s">
        <v>2698</v>
      </c>
      <c r="E1860" s="673">
        <v>150101</v>
      </c>
      <c r="F1860" s="672" t="str">
        <f>IFERROR(VLOOKUP(E1860,STAT1!$C$4:$D$8000,2,FALSE),"")</f>
        <v>Бараа бэлэн бүтээгдэхүүн БОЛОВСРУУЛАХ ЦЕХ /нарс/</v>
      </c>
      <c r="G1860" s="377"/>
      <c r="H1860" s="377">
        <v>159257.18356412675</v>
      </c>
      <c r="I1860" s="596">
        <f t="shared" si="188"/>
        <v>0</v>
      </c>
      <c r="J1860" s="81">
        <f t="shared" si="190"/>
        <v>0</v>
      </c>
      <c r="K1860" s="81"/>
      <c r="L1860" s="597">
        <v>3095</v>
      </c>
      <c r="M1860" s="81" t="str">
        <f>+IFERROR(VLOOKUP(L1860,DATA!$G$4:$H$2000,2,FALSE),"")</f>
        <v xml:space="preserve">БАТС ӨРГӨӨ ХХК </v>
      </c>
      <c r="N1860" s="166"/>
      <c r="O1860" s="81" t="str">
        <f>IFERROR(VLOOKUP(N1860,DATA!$K$4:$L$51,2,FALSE),"")</f>
        <v/>
      </c>
      <c r="P1860" s="81"/>
      <c r="Q1860" s="152">
        <f t="shared" si="187"/>
        <v>0</v>
      </c>
    </row>
    <row r="1861" spans="2:17">
      <c r="B1861" s="670">
        <f t="shared" si="191"/>
        <v>1856</v>
      </c>
      <c r="C1861" s="601">
        <v>43002</v>
      </c>
      <c r="D1861" s="377" t="s">
        <v>587</v>
      </c>
      <c r="E1861" s="674">
        <v>610100</v>
      </c>
      <c r="F1861" s="672" t="str">
        <f>IFERROR(VLOOKUP(E1861,STAT1!$C$4:$D$8000,2,FALSE),"")</f>
        <v>Борлуулсан барааны өртөг</v>
      </c>
      <c r="G1861" s="377">
        <v>159257.18356412675</v>
      </c>
      <c r="H1861" s="377"/>
      <c r="I1861" s="596">
        <f t="shared" si="188"/>
        <v>0</v>
      </c>
      <c r="J1861" s="81">
        <f t="shared" si="190"/>
        <v>0</v>
      </c>
      <c r="K1861" s="81"/>
      <c r="L1861" s="597">
        <v>3095</v>
      </c>
      <c r="M1861" s="81" t="str">
        <f>+IFERROR(VLOOKUP(L1861,DATA!$G$4:$H$2000,2,FALSE),"")</f>
        <v xml:space="preserve">БАТС ӨРГӨӨ ХХК </v>
      </c>
      <c r="N1861" s="166"/>
      <c r="O1861" s="81" t="str">
        <f>IFERROR(VLOOKUP(N1861,DATA!$K$4:$L$51,2,FALSE),"")</f>
        <v/>
      </c>
      <c r="P1861" s="81"/>
      <c r="Q1861" s="152">
        <f t="shared" si="187"/>
        <v>0</v>
      </c>
    </row>
    <row r="1862" spans="2:17">
      <c r="B1862" s="670">
        <f t="shared" si="191"/>
        <v>1857</v>
      </c>
      <c r="C1862" s="601">
        <v>43002</v>
      </c>
      <c r="D1862" s="377" t="s">
        <v>587</v>
      </c>
      <c r="E1862" s="674">
        <v>310500</v>
      </c>
      <c r="F1862" s="672" t="str">
        <f>IFERROR(VLOOKUP(E1862,STAT1!$C$4:$D$8000,2,FALSE),"")</f>
        <v>НӨАТ өглөг</v>
      </c>
      <c r="G1862" s="377"/>
      <c r="H1862" s="377">
        <v>25345.454464000002</v>
      </c>
      <c r="I1862" s="596">
        <f t="shared" si="188"/>
        <v>0</v>
      </c>
      <c r="J1862" s="81">
        <f t="shared" si="190"/>
        <v>0</v>
      </c>
      <c r="K1862" s="81"/>
      <c r="L1862" s="597">
        <v>3095</v>
      </c>
      <c r="M1862" s="81" t="str">
        <f>+IFERROR(VLOOKUP(L1862,DATA!$G$4:$H$2000,2,FALSE),"")</f>
        <v xml:space="preserve">БАТС ӨРГӨӨ ХХК </v>
      </c>
      <c r="N1862" s="166"/>
      <c r="O1862" s="81" t="str">
        <f>IFERROR(VLOOKUP(N1862,DATA!$K$4:$L$51,2,FALSE),"")</f>
        <v/>
      </c>
      <c r="P1862" s="81"/>
      <c r="Q1862" s="152">
        <f t="shared" si="187"/>
        <v>0</v>
      </c>
    </row>
    <row r="1863" spans="2:17">
      <c r="B1863" s="670">
        <f t="shared" si="191"/>
        <v>1858</v>
      </c>
      <c r="C1863" s="601">
        <v>43002</v>
      </c>
      <c r="D1863" s="377" t="s">
        <v>587</v>
      </c>
      <c r="E1863" s="674">
        <v>510000</v>
      </c>
      <c r="F1863" s="672" t="str">
        <f>IFERROR(VLOOKUP(E1863,STAT1!$C$4:$D$8000,2,FALSE),"")</f>
        <v>Үндсэн үйл ажиллагааны борлуулалт</v>
      </c>
      <c r="G1863" s="377"/>
      <c r="H1863" s="377">
        <v>253454.54464000001</v>
      </c>
      <c r="I1863" s="596">
        <f t="shared" si="188"/>
        <v>0</v>
      </c>
      <c r="J1863" s="81">
        <f t="shared" si="190"/>
        <v>0</v>
      </c>
      <c r="K1863" s="81"/>
      <c r="L1863" s="597">
        <v>3095</v>
      </c>
      <c r="M1863" s="81" t="str">
        <f>+IFERROR(VLOOKUP(L1863,DATA!$G$4:$H$2000,2,FALSE),"")</f>
        <v xml:space="preserve">БАТС ӨРГӨӨ ХХК </v>
      </c>
      <c r="N1863" s="166"/>
      <c r="O1863" s="81" t="str">
        <f>IFERROR(VLOOKUP(N1863,DATA!$K$4:$L$51,2,FALSE),"")</f>
        <v/>
      </c>
      <c r="P1863" s="81"/>
      <c r="Q1863" s="152">
        <f t="shared" si="187"/>
        <v>0</v>
      </c>
    </row>
    <row r="1864" spans="2:17">
      <c r="B1864" s="670">
        <f t="shared" si="191"/>
        <v>1859</v>
      </c>
      <c r="C1864" s="601">
        <v>43002</v>
      </c>
      <c r="D1864" s="377" t="s">
        <v>587</v>
      </c>
      <c r="E1864" s="674">
        <v>320100</v>
      </c>
      <c r="F1864" s="672" t="str">
        <f>IFERROR(VLOOKUP(E1864,STAT1!$C$4:$D$8000,2,FALSE),"")</f>
        <v>Урьдчилж орсон орлого MNT</v>
      </c>
      <c r="G1864" s="377">
        <v>278799.99910399999</v>
      </c>
      <c r="H1864" s="377"/>
      <c r="I1864" s="596">
        <f t="shared" si="188"/>
        <v>0</v>
      </c>
      <c r="J1864" s="81">
        <f t="shared" si="190"/>
        <v>0</v>
      </c>
      <c r="K1864" s="81"/>
      <c r="L1864" s="597">
        <v>3095</v>
      </c>
      <c r="M1864" s="81" t="str">
        <f>+IFERROR(VLOOKUP(L1864,DATA!$G$4:$H$2000,2,FALSE),"")</f>
        <v xml:space="preserve">БАТС ӨРГӨӨ ХХК </v>
      </c>
      <c r="N1864" s="166"/>
      <c r="O1864" s="81" t="str">
        <f>IFERROR(VLOOKUP(N1864,DATA!$K$4:$L$51,2,FALSE),"")</f>
        <v/>
      </c>
      <c r="P1864" s="81"/>
      <c r="Q1864" s="152">
        <f t="shared" ref="Q1864:Q1925" si="192">+IF(I1864,1,0)</f>
        <v>0</v>
      </c>
    </row>
    <row r="1865" spans="2:17">
      <c r="B1865" s="670">
        <f t="shared" si="191"/>
        <v>1860</v>
      </c>
      <c r="C1865" s="433">
        <v>43003</v>
      </c>
      <c r="D1865" s="598" t="s">
        <v>1741</v>
      </c>
      <c r="E1865" s="572">
        <v>110100</v>
      </c>
      <c r="F1865" s="672" t="str">
        <f>IFERROR(VLOOKUP(E1865,STAT1!$C$4:$D$1000,2,FALSE),"")</f>
        <v>Хаан Банк 5024654020</v>
      </c>
      <c r="G1865" s="377">
        <v>1420000</v>
      </c>
      <c r="H1865" s="377"/>
      <c r="I1865" s="596">
        <f t="shared" si="188"/>
        <v>1420000</v>
      </c>
      <c r="J1865" s="81">
        <f t="shared" si="190"/>
        <v>0</v>
      </c>
      <c r="K1865" s="81"/>
      <c r="L1865" s="597">
        <v>3074</v>
      </c>
      <c r="M1865" s="81" t="str">
        <f>+IFERROR(VLOOKUP(L1865,DATA!$G$4:$H$2000,2,FALSE),"")</f>
        <v>КАМДЕР ХХК</v>
      </c>
      <c r="N1865" s="435">
        <v>41</v>
      </c>
      <c r="O1865" s="81" t="str">
        <f>IFERROR(VLOOKUP(N1865,DATA!$K$4:$L$51,2,FALSE),"")</f>
        <v>Бараа борлуулсан, үйлчилгээ үзүүлсэний орлого</v>
      </c>
      <c r="P1865" s="81"/>
      <c r="Q1865" s="152">
        <f t="shared" si="192"/>
        <v>1</v>
      </c>
    </row>
    <row r="1866" spans="2:17">
      <c r="B1866" s="670">
        <f t="shared" si="191"/>
        <v>1861</v>
      </c>
      <c r="C1866" s="433">
        <v>43003</v>
      </c>
      <c r="D1866" s="598" t="s">
        <v>1741</v>
      </c>
      <c r="E1866" s="572">
        <v>320100</v>
      </c>
      <c r="F1866" s="672" t="str">
        <f>IFERROR(VLOOKUP(E1866,STAT1!$C$4:$D$1000,2,FALSE),"")</f>
        <v>Урьдчилж орсон орлого MNT</v>
      </c>
      <c r="G1866" s="377">
        <v>0</v>
      </c>
      <c r="H1866" s="377">
        <v>1420000</v>
      </c>
      <c r="I1866" s="596">
        <f t="shared" si="188"/>
        <v>0</v>
      </c>
      <c r="J1866" s="81">
        <f t="shared" si="190"/>
        <v>0</v>
      </c>
      <c r="K1866" s="81"/>
      <c r="L1866" s="597">
        <v>3074</v>
      </c>
      <c r="M1866" s="81" t="str">
        <f>+IFERROR(VLOOKUP(L1866,DATA!$G$4:$H$2000,2,FALSE),"")</f>
        <v>КАМДЕР ХХК</v>
      </c>
      <c r="N1866" s="435"/>
      <c r="O1866" s="81" t="str">
        <f>IFERROR(VLOOKUP(N1866,DATA!$K$4:$L$51,2,FALSE),"")</f>
        <v/>
      </c>
      <c r="P1866" s="81"/>
      <c r="Q1866" s="152">
        <f t="shared" si="192"/>
        <v>0</v>
      </c>
    </row>
    <row r="1867" spans="2:17">
      <c r="B1867" s="670">
        <f t="shared" si="191"/>
        <v>1862</v>
      </c>
      <c r="C1867" s="433">
        <v>43003</v>
      </c>
      <c r="D1867" s="598" t="s">
        <v>1741</v>
      </c>
      <c r="E1867" s="572">
        <v>110100</v>
      </c>
      <c r="F1867" s="672" t="str">
        <f>IFERROR(VLOOKUP(E1867,STAT1!$C$4:$D$1000,2,FALSE),"")</f>
        <v>Хаан Банк 5024654020</v>
      </c>
      <c r="G1867" s="377">
        <v>1100000</v>
      </c>
      <c r="H1867" s="377"/>
      <c r="I1867" s="596">
        <f t="shared" si="188"/>
        <v>1100000</v>
      </c>
      <c r="J1867" s="81">
        <f t="shared" si="190"/>
        <v>0</v>
      </c>
      <c r="K1867" s="81"/>
      <c r="L1867" s="597">
        <v>3096</v>
      </c>
      <c r="M1867" s="81" t="str">
        <f>+IFERROR(VLOOKUP(L1867,DATA!$G$4:$H$2000,2,FALSE),"")</f>
        <v>ЭРДЭНЭДРИЙЛИНГ ХХК</v>
      </c>
      <c r="N1867" s="435">
        <v>41</v>
      </c>
      <c r="O1867" s="81" t="str">
        <f>IFERROR(VLOOKUP(N1867,DATA!$K$4:$L$51,2,FALSE),"")</f>
        <v>Бараа борлуулсан, үйлчилгээ үзүүлсэний орлого</v>
      </c>
      <c r="P1867" s="81"/>
      <c r="Q1867" s="152">
        <f t="shared" si="192"/>
        <v>1</v>
      </c>
    </row>
    <row r="1868" spans="2:17">
      <c r="B1868" s="670">
        <f t="shared" si="191"/>
        <v>1863</v>
      </c>
      <c r="C1868" s="433">
        <v>43003</v>
      </c>
      <c r="D1868" s="598" t="s">
        <v>1741</v>
      </c>
      <c r="E1868" s="572">
        <v>320100</v>
      </c>
      <c r="F1868" s="672" t="str">
        <f>IFERROR(VLOOKUP(E1868,STAT1!$C$4:$D$1000,2,FALSE),"")</f>
        <v>Урьдчилж орсон орлого MNT</v>
      </c>
      <c r="G1868" s="377">
        <v>0</v>
      </c>
      <c r="H1868" s="377">
        <v>1100000</v>
      </c>
      <c r="I1868" s="596">
        <f t="shared" si="188"/>
        <v>0</v>
      </c>
      <c r="J1868" s="81">
        <f t="shared" si="190"/>
        <v>0</v>
      </c>
      <c r="K1868" s="81"/>
      <c r="L1868" s="597">
        <v>3096</v>
      </c>
      <c r="M1868" s="81" t="str">
        <f>+IFERROR(VLOOKUP(L1868,DATA!$G$4:$H$2000,2,FALSE),"")</f>
        <v>ЭРДЭНЭДРИЙЛИНГ ХХК</v>
      </c>
      <c r="N1868" s="435"/>
      <c r="O1868" s="81" t="str">
        <f>IFERROR(VLOOKUP(N1868,DATA!$K$4:$L$51,2,FALSE),"")</f>
        <v/>
      </c>
      <c r="P1868" s="81"/>
      <c r="Q1868" s="152">
        <f t="shared" si="192"/>
        <v>0</v>
      </c>
    </row>
    <row r="1869" spans="2:17">
      <c r="B1869" s="670">
        <f t="shared" si="191"/>
        <v>1864</v>
      </c>
      <c r="C1869" s="433">
        <v>43003</v>
      </c>
      <c r="D1869" s="598" t="s">
        <v>1746</v>
      </c>
      <c r="E1869" s="572">
        <v>310400</v>
      </c>
      <c r="F1869" s="672" t="str">
        <f>IFERROR(VLOOKUP(E1869,STAT1!$C$4:$D$8000,2,FALSE),"")</f>
        <v>Банкны богино хугацаат зээл MNT</v>
      </c>
      <c r="G1869" s="377">
        <v>2520000</v>
      </c>
      <c r="H1869" s="377">
        <v>0</v>
      </c>
      <c r="I1869" s="596">
        <f t="shared" si="188"/>
        <v>0</v>
      </c>
      <c r="J1869" s="81">
        <f t="shared" si="190"/>
        <v>0</v>
      </c>
      <c r="K1869" s="81"/>
      <c r="L1869" s="597">
        <v>2009</v>
      </c>
      <c r="M1869" s="81" t="str">
        <f>+IFERROR(VLOOKUP(L1869,DATA!$G$4:$H$2000,2,FALSE),"")</f>
        <v>ХААН БАНК</v>
      </c>
      <c r="N1869" s="166"/>
      <c r="O1869" s="81" t="str">
        <f>IFERROR(VLOOKUP(N1869,DATA!$K$4:$L$51,2,FALSE),"")</f>
        <v/>
      </c>
      <c r="P1869" s="81"/>
      <c r="Q1869" s="152">
        <f t="shared" si="192"/>
        <v>0</v>
      </c>
    </row>
    <row r="1870" spans="2:17">
      <c r="B1870" s="670">
        <f t="shared" si="191"/>
        <v>1865</v>
      </c>
      <c r="C1870" s="433">
        <v>43003</v>
      </c>
      <c r="D1870" s="598" t="s">
        <v>1746</v>
      </c>
      <c r="E1870" s="572">
        <v>110100</v>
      </c>
      <c r="F1870" s="672" t="str">
        <f>IFERROR(VLOOKUP(E1870,STAT1!$C$4:$D$8000,2,FALSE),"")</f>
        <v>Хаан Банк 5024654020</v>
      </c>
      <c r="G1870" s="377"/>
      <c r="H1870" s="377">
        <v>2520000</v>
      </c>
      <c r="I1870" s="596">
        <f t="shared" si="188"/>
        <v>-2520000</v>
      </c>
      <c r="J1870" s="81">
        <f t="shared" si="190"/>
        <v>0</v>
      </c>
      <c r="K1870" s="81"/>
      <c r="L1870" s="597">
        <v>2009</v>
      </c>
      <c r="M1870" s="81" t="str">
        <f>+IFERROR(VLOOKUP(L1870,DATA!$G$4:$H$2000,2,FALSE),"")</f>
        <v>ХААН БАНК</v>
      </c>
      <c r="N1870" s="166">
        <v>91</v>
      </c>
      <c r="O1870" s="81" t="str">
        <f>IFERROR(VLOOKUP(N1870,DATA!$K$4:$L$51,2,FALSE),"")</f>
        <v>Зээл, өрийн үнэт цаасны төлбөрт төлсөн</v>
      </c>
      <c r="P1870" s="81"/>
      <c r="Q1870" s="152">
        <f t="shared" si="192"/>
        <v>1</v>
      </c>
    </row>
    <row r="1871" spans="2:17">
      <c r="B1871" s="670">
        <f t="shared" si="191"/>
        <v>1866</v>
      </c>
      <c r="C1871" s="433">
        <v>43003</v>
      </c>
      <c r="D1871" s="377" t="s">
        <v>1793</v>
      </c>
      <c r="E1871" s="572">
        <v>160200</v>
      </c>
      <c r="F1871" s="672" t="str">
        <f>IFERROR(VLOOKUP(E1871,STAT1!$C$4:$D$8000,2,FALSE),"")</f>
        <v>Агуулахад байгаа материал, хангамж</v>
      </c>
      <c r="G1871" s="377">
        <v>95909.09</v>
      </c>
      <c r="H1871" s="377"/>
      <c r="I1871" s="596">
        <f t="shared" si="188"/>
        <v>0</v>
      </c>
      <c r="J1871" s="81">
        <f t="shared" si="190"/>
        <v>0</v>
      </c>
      <c r="K1871" s="81"/>
      <c r="L1871" s="597">
        <v>1005</v>
      </c>
      <c r="M1871" s="81" t="str">
        <f>+IFERROR(VLOOKUP(L1871,DATA!$G$4:$H$2000,2,FALSE),"")</f>
        <v>Золжаргал</v>
      </c>
      <c r="N1871" s="166"/>
      <c r="O1871" s="81" t="str">
        <f>IFERROR(VLOOKUP(N1871,DATA!$K$4:$L$51,2,FALSE),"")</f>
        <v/>
      </c>
      <c r="P1871" s="81"/>
      <c r="Q1871" s="152">
        <f t="shared" si="192"/>
        <v>0</v>
      </c>
    </row>
    <row r="1872" spans="2:17">
      <c r="B1872" s="670">
        <f t="shared" si="191"/>
        <v>1867</v>
      </c>
      <c r="C1872" s="433">
        <v>43003</v>
      </c>
      <c r="D1872" s="377" t="s">
        <v>1793</v>
      </c>
      <c r="E1872" s="572">
        <v>120600</v>
      </c>
      <c r="F1872" s="672" t="str">
        <f>IFERROR(VLOOKUP(E1872,STAT1!$C$4:$D$8000,2,FALSE),"")</f>
        <v>НӨАТ авлага</v>
      </c>
      <c r="G1872" s="377">
        <v>9590.9089999999997</v>
      </c>
      <c r="H1872" s="377"/>
      <c r="I1872" s="596">
        <f t="shared" si="188"/>
        <v>0</v>
      </c>
      <c r="J1872" s="81">
        <f t="shared" si="190"/>
        <v>0</v>
      </c>
      <c r="K1872" s="81"/>
      <c r="L1872" s="597">
        <v>1005</v>
      </c>
      <c r="M1872" s="81" t="str">
        <f>+IFERROR(VLOOKUP(L1872,DATA!$G$4:$H$2000,2,FALSE),"")</f>
        <v>Золжаргал</v>
      </c>
      <c r="N1872" s="166"/>
      <c r="O1872" s="81" t="str">
        <f>IFERROR(VLOOKUP(N1872,DATA!$K$4:$L$51,2,FALSE),"")</f>
        <v/>
      </c>
      <c r="P1872" s="81"/>
      <c r="Q1872" s="152">
        <f t="shared" si="192"/>
        <v>0</v>
      </c>
    </row>
    <row r="1873" spans="2:17">
      <c r="B1873" s="670">
        <f t="shared" si="191"/>
        <v>1868</v>
      </c>
      <c r="C1873" s="433">
        <v>43003</v>
      </c>
      <c r="D1873" s="377" t="s">
        <v>1793</v>
      </c>
      <c r="E1873" s="572">
        <v>121200</v>
      </c>
      <c r="F1873" s="672" t="str">
        <f>IFERROR(VLOOKUP(E1873,STAT1!$C$4:$D$8000,2,FALSE),"")</f>
        <v xml:space="preserve">Ажилчидын дараа тайлангийн тооцоо </v>
      </c>
      <c r="G1873" s="377"/>
      <c r="H1873" s="377">
        <v>105500</v>
      </c>
      <c r="I1873" s="596">
        <f t="shared" si="188"/>
        <v>0</v>
      </c>
      <c r="J1873" s="81">
        <f t="shared" si="190"/>
        <v>0</v>
      </c>
      <c r="K1873" s="81"/>
      <c r="L1873" s="597">
        <v>1005</v>
      </c>
      <c r="M1873" s="81" t="str">
        <f>+IFERROR(VLOOKUP(L1873,DATA!$G$4:$H$2000,2,FALSE),"")</f>
        <v>Золжаргал</v>
      </c>
      <c r="N1873" s="166"/>
      <c r="O1873" s="81" t="str">
        <f>IFERROR(VLOOKUP(N1873,DATA!$K$4:$L$51,2,FALSE),"")</f>
        <v/>
      </c>
      <c r="P1873" s="81"/>
      <c r="Q1873" s="152">
        <f t="shared" si="192"/>
        <v>0</v>
      </c>
    </row>
    <row r="1874" spans="2:17">
      <c r="B1874" s="670">
        <f t="shared" si="191"/>
        <v>1869</v>
      </c>
      <c r="C1874" s="601">
        <v>43003</v>
      </c>
      <c r="D1874" s="377" t="s">
        <v>1660</v>
      </c>
      <c r="E1874" s="673">
        <v>150101</v>
      </c>
      <c r="F1874" s="672" t="str">
        <f>IFERROR(VLOOKUP(E1874,STAT1!$C$4:$D$8000,2,FALSE),"")</f>
        <v>Бараа бэлэн бүтээгдэхүүн БОЛОВСРУУЛАХ ЦЕХ /нарс/</v>
      </c>
      <c r="G1874" s="377"/>
      <c r="H1874" s="377">
        <v>48735.627161617937</v>
      </c>
      <c r="I1874" s="596">
        <f t="shared" si="188"/>
        <v>0</v>
      </c>
      <c r="J1874" s="81">
        <f t="shared" si="190"/>
        <v>0</v>
      </c>
      <c r="K1874" s="81"/>
      <c r="L1874" s="597">
        <v>3021</v>
      </c>
      <c r="M1874" s="81" t="str">
        <f>+IFERROR(VLOOKUP(L1874,DATA!$G$4:$H$2000,2,FALSE),"")</f>
        <v>БАНДИА ХХК</v>
      </c>
      <c r="N1874" s="166"/>
      <c r="O1874" s="81" t="str">
        <f>IFERROR(VLOOKUP(N1874,DATA!$K$4:$L$51,2,FALSE),"")</f>
        <v/>
      </c>
      <c r="P1874" s="81"/>
      <c r="Q1874" s="152">
        <f t="shared" si="192"/>
        <v>0</v>
      </c>
    </row>
    <row r="1875" spans="2:17">
      <c r="B1875" s="670">
        <f t="shared" si="191"/>
        <v>1870</v>
      </c>
      <c r="C1875" s="601">
        <v>43003</v>
      </c>
      <c r="D1875" s="377" t="s">
        <v>1659</v>
      </c>
      <c r="E1875" s="674">
        <v>610100</v>
      </c>
      <c r="F1875" s="672" t="str">
        <f>IFERROR(VLOOKUP(E1875,STAT1!$C$4:$D$8000,2,FALSE),"")</f>
        <v>Борлуулсан барааны өртөг</v>
      </c>
      <c r="G1875" s="377">
        <v>48735.627161617937</v>
      </c>
      <c r="H1875" s="377"/>
      <c r="I1875" s="596">
        <f t="shared" si="188"/>
        <v>0</v>
      </c>
      <c r="J1875" s="81">
        <f t="shared" si="190"/>
        <v>0</v>
      </c>
      <c r="K1875" s="81"/>
      <c r="L1875" s="597">
        <v>3021</v>
      </c>
      <c r="M1875" s="81" t="str">
        <f>+IFERROR(VLOOKUP(L1875,DATA!$G$4:$H$2000,2,FALSE),"")</f>
        <v>БАНДИА ХХК</v>
      </c>
      <c r="N1875" s="166"/>
      <c r="O1875" s="81" t="str">
        <f>IFERROR(VLOOKUP(N1875,DATA!$K$4:$L$51,2,FALSE),"")</f>
        <v/>
      </c>
      <c r="P1875" s="81"/>
      <c r="Q1875" s="152">
        <f t="shared" si="192"/>
        <v>0</v>
      </c>
    </row>
    <row r="1876" spans="2:17">
      <c r="B1876" s="670">
        <f t="shared" si="191"/>
        <v>1871</v>
      </c>
      <c r="C1876" s="601">
        <v>43003</v>
      </c>
      <c r="D1876" s="377" t="s">
        <v>587</v>
      </c>
      <c r="E1876" s="674">
        <v>310500</v>
      </c>
      <c r="F1876" s="672" t="str">
        <f>IFERROR(VLOOKUP(E1876,STAT1!$C$4:$D$8000,2,FALSE),"")</f>
        <v>НӨАТ өглөг</v>
      </c>
      <c r="G1876" s="377"/>
      <c r="H1876" s="377">
        <v>11100</v>
      </c>
      <c r="I1876" s="596">
        <f t="shared" ref="I1876:I1939" si="193">+IF(OR(E1876=100100,E1876=100200,E1876=110100,E1876=110102,E1876=110103,E1876=110104,E1876=110105,E1876=110200,E1876=110201,E1876=110202,E1876=110203,E1876=110204,E1876=110300),G1876,0)+IF(OR(E1876=100100,E1876=100200,E1876=110100,E1876=110102,E1876=110103,E1876=110104,E1876=110105,E1876=110200,E1876=110201,E1876=110202,E1876=110203,E1876=110204,E1876=110300),H1876*-1,0)</f>
        <v>0</v>
      </c>
      <c r="J1876" s="81">
        <f t="shared" ref="J1876:J1907" si="194">+IF(E1876=110102,I1876/K1876,0)</f>
        <v>0</v>
      </c>
      <c r="K1876" s="81"/>
      <c r="L1876" s="597">
        <v>3021</v>
      </c>
      <c r="M1876" s="81" t="str">
        <f>+IFERROR(VLOOKUP(L1876,DATA!$G$4:$H$2000,2,FALSE),"")</f>
        <v>БАНДИА ХХК</v>
      </c>
      <c r="N1876" s="166"/>
      <c r="O1876" s="81" t="str">
        <f>IFERROR(VLOOKUP(N1876,DATA!$K$4:$L$51,2,FALSE),"")</f>
        <v/>
      </c>
      <c r="P1876" s="81"/>
      <c r="Q1876" s="152">
        <f t="shared" si="192"/>
        <v>0</v>
      </c>
    </row>
    <row r="1877" spans="2:17">
      <c r="B1877" s="670">
        <f t="shared" si="191"/>
        <v>1872</v>
      </c>
      <c r="C1877" s="601">
        <v>43003</v>
      </c>
      <c r="D1877" s="377" t="s">
        <v>587</v>
      </c>
      <c r="E1877" s="674">
        <v>510000</v>
      </c>
      <c r="F1877" s="672" t="str">
        <f>IFERROR(VLOOKUP(E1877,STAT1!$C$4:$D$8000,2,FALSE),"")</f>
        <v>Үндсэн үйл ажиллагааны борлуулалт</v>
      </c>
      <c r="G1877" s="377"/>
      <c r="H1877" s="377">
        <v>111000</v>
      </c>
      <c r="I1877" s="596">
        <f t="shared" si="193"/>
        <v>0</v>
      </c>
      <c r="J1877" s="81">
        <f t="shared" si="194"/>
        <v>0</v>
      </c>
      <c r="K1877" s="81"/>
      <c r="L1877" s="597">
        <v>3021</v>
      </c>
      <c r="M1877" s="81" t="str">
        <f>+IFERROR(VLOOKUP(L1877,DATA!$G$4:$H$2000,2,FALSE),"")</f>
        <v>БАНДИА ХХК</v>
      </c>
      <c r="N1877" s="166"/>
      <c r="O1877" s="81" t="str">
        <f>IFERROR(VLOOKUP(N1877,DATA!$K$4:$L$51,2,FALSE),"")</f>
        <v/>
      </c>
      <c r="P1877" s="81"/>
      <c r="Q1877" s="152">
        <f t="shared" si="192"/>
        <v>0</v>
      </c>
    </row>
    <row r="1878" spans="2:17">
      <c r="B1878" s="670">
        <f t="shared" si="191"/>
        <v>1873</v>
      </c>
      <c r="C1878" s="601">
        <v>43003</v>
      </c>
      <c r="D1878" s="377" t="s">
        <v>587</v>
      </c>
      <c r="E1878" s="674">
        <v>320100</v>
      </c>
      <c r="F1878" s="672" t="str">
        <f>IFERROR(VLOOKUP(E1878,STAT1!$C$4:$D$8000,2,FALSE),"")</f>
        <v>Урьдчилж орсон орлого MNT</v>
      </c>
      <c r="G1878" s="377">
        <v>122100</v>
      </c>
      <c r="H1878" s="377"/>
      <c r="I1878" s="596">
        <f t="shared" si="193"/>
        <v>0</v>
      </c>
      <c r="J1878" s="81">
        <f t="shared" si="194"/>
        <v>0</v>
      </c>
      <c r="K1878" s="81"/>
      <c r="L1878" s="597">
        <v>3021</v>
      </c>
      <c r="M1878" s="81" t="str">
        <f>+IFERROR(VLOOKUP(L1878,DATA!$G$4:$H$2000,2,FALSE),"")</f>
        <v>БАНДИА ХХК</v>
      </c>
      <c r="N1878" s="166"/>
      <c r="O1878" s="81" t="str">
        <f>IFERROR(VLOOKUP(N1878,DATA!$K$4:$L$51,2,FALSE),"")</f>
        <v/>
      </c>
      <c r="P1878" s="81"/>
      <c r="Q1878" s="152">
        <f t="shared" si="192"/>
        <v>0</v>
      </c>
    </row>
    <row r="1879" spans="2:17">
      <c r="B1879" s="670">
        <f t="shared" si="191"/>
        <v>1874</v>
      </c>
      <c r="C1879" s="601">
        <v>43003</v>
      </c>
      <c r="D1879" s="377" t="s">
        <v>2700</v>
      </c>
      <c r="E1879" s="673">
        <v>150101</v>
      </c>
      <c r="F1879" s="672" t="str">
        <f>IFERROR(VLOOKUP(E1879,STAT1!$C$4:$D$8000,2,FALSE),"")</f>
        <v>Бараа бэлэн бүтээгдэхүүн БОЛОВСРУУЛАХ ЦЕХ /нарс/</v>
      </c>
      <c r="G1879" s="377"/>
      <c r="H1879" s="377">
        <v>896585.97604005318</v>
      </c>
      <c r="I1879" s="596">
        <f t="shared" si="193"/>
        <v>0</v>
      </c>
      <c r="J1879" s="81">
        <f t="shared" si="194"/>
        <v>0</v>
      </c>
      <c r="K1879" s="81"/>
      <c r="L1879" s="597">
        <v>3074</v>
      </c>
      <c r="M1879" s="81" t="str">
        <f>+IFERROR(VLOOKUP(L1879,DATA!$G$4:$H$2000,2,FALSE),"")</f>
        <v>КАМДЕР ХХК</v>
      </c>
      <c r="N1879" s="166"/>
      <c r="O1879" s="81" t="str">
        <f>IFERROR(VLOOKUP(N1879,DATA!$K$4:$L$51,2,FALSE),"")</f>
        <v/>
      </c>
      <c r="P1879" s="81"/>
      <c r="Q1879" s="152">
        <f t="shared" si="192"/>
        <v>0</v>
      </c>
    </row>
    <row r="1880" spans="2:17">
      <c r="B1880" s="670">
        <f t="shared" si="191"/>
        <v>1875</v>
      </c>
      <c r="C1880" s="601">
        <v>43003</v>
      </c>
      <c r="D1880" s="377" t="s">
        <v>587</v>
      </c>
      <c r="E1880" s="674">
        <v>610100</v>
      </c>
      <c r="F1880" s="672" t="str">
        <f>IFERROR(VLOOKUP(E1880,STAT1!$C$4:$D$8000,2,FALSE),"")</f>
        <v>Борлуулсан барааны өртөг</v>
      </c>
      <c r="G1880" s="377">
        <v>896585.97604005318</v>
      </c>
      <c r="H1880" s="377"/>
      <c r="I1880" s="596">
        <f t="shared" si="193"/>
        <v>0</v>
      </c>
      <c r="J1880" s="81">
        <f t="shared" si="194"/>
        <v>0</v>
      </c>
      <c r="K1880" s="81"/>
      <c r="L1880" s="597">
        <v>3074</v>
      </c>
      <c r="M1880" s="81" t="str">
        <f>+IFERROR(VLOOKUP(L1880,DATA!$G$4:$H$2000,2,FALSE),"")</f>
        <v>КАМДЕР ХХК</v>
      </c>
      <c r="N1880" s="166"/>
      <c r="O1880" s="81" t="str">
        <f>IFERROR(VLOOKUP(N1880,DATA!$K$4:$L$51,2,FALSE),"")</f>
        <v/>
      </c>
      <c r="P1880" s="81"/>
      <c r="Q1880" s="152">
        <f t="shared" si="192"/>
        <v>0</v>
      </c>
    </row>
    <row r="1881" spans="2:17">
      <c r="B1881" s="670">
        <f t="shared" si="191"/>
        <v>1876</v>
      </c>
      <c r="C1881" s="601">
        <v>43003</v>
      </c>
      <c r="D1881" s="377" t="s">
        <v>587</v>
      </c>
      <c r="E1881" s="674">
        <v>310500</v>
      </c>
      <c r="F1881" s="672" t="str">
        <f>IFERROR(VLOOKUP(E1881,STAT1!$C$4:$D$8000,2,FALSE),"")</f>
        <v>НӨАТ өглөг</v>
      </c>
      <c r="G1881" s="377"/>
      <c r="H1881" s="377">
        <v>129090.90879360003</v>
      </c>
      <c r="I1881" s="596">
        <f t="shared" si="193"/>
        <v>0</v>
      </c>
      <c r="J1881" s="81">
        <f t="shared" si="194"/>
        <v>0</v>
      </c>
      <c r="K1881" s="81"/>
      <c r="L1881" s="597">
        <v>3074</v>
      </c>
      <c r="M1881" s="81" t="str">
        <f>+IFERROR(VLOOKUP(L1881,DATA!$G$4:$H$2000,2,FALSE),"")</f>
        <v>КАМДЕР ХХК</v>
      </c>
      <c r="N1881" s="166"/>
      <c r="O1881" s="81" t="str">
        <f>IFERROR(VLOOKUP(N1881,DATA!$K$4:$L$51,2,FALSE),"")</f>
        <v/>
      </c>
      <c r="P1881" s="81"/>
      <c r="Q1881" s="152">
        <f t="shared" si="192"/>
        <v>0</v>
      </c>
    </row>
    <row r="1882" spans="2:17">
      <c r="B1882" s="670">
        <f t="shared" si="191"/>
        <v>1877</v>
      </c>
      <c r="C1882" s="601">
        <v>43003</v>
      </c>
      <c r="D1882" s="377" t="s">
        <v>587</v>
      </c>
      <c r="E1882" s="674">
        <v>510000</v>
      </c>
      <c r="F1882" s="672" t="str">
        <f>IFERROR(VLOOKUP(E1882,STAT1!$C$4:$D$8000,2,FALSE),"")</f>
        <v>Үндсэн үйл ажиллагааны борлуулалт</v>
      </c>
      <c r="G1882" s="377"/>
      <c r="H1882" s="377">
        <v>1290909.0879360002</v>
      </c>
      <c r="I1882" s="596">
        <f t="shared" si="193"/>
        <v>0</v>
      </c>
      <c r="J1882" s="81">
        <f t="shared" si="194"/>
        <v>0</v>
      </c>
      <c r="K1882" s="81"/>
      <c r="L1882" s="597">
        <v>3074</v>
      </c>
      <c r="M1882" s="81" t="str">
        <f>+IFERROR(VLOOKUP(L1882,DATA!$G$4:$H$2000,2,FALSE),"")</f>
        <v>КАМДЕР ХХК</v>
      </c>
      <c r="N1882" s="166"/>
      <c r="O1882" s="81" t="str">
        <f>IFERROR(VLOOKUP(N1882,DATA!$K$4:$L$51,2,FALSE),"")</f>
        <v/>
      </c>
      <c r="P1882" s="81"/>
      <c r="Q1882" s="152">
        <f t="shared" si="192"/>
        <v>0</v>
      </c>
    </row>
    <row r="1883" spans="2:17">
      <c r="B1883" s="670">
        <f t="shared" si="191"/>
        <v>1878</v>
      </c>
      <c r="C1883" s="601">
        <v>43003</v>
      </c>
      <c r="D1883" s="377" t="s">
        <v>587</v>
      </c>
      <c r="E1883" s="674">
        <v>320100</v>
      </c>
      <c r="F1883" s="672" t="str">
        <f>IFERROR(VLOOKUP(E1883,STAT1!$C$4:$D$8000,2,FALSE),"")</f>
        <v>Урьдчилж орсон орлого MNT</v>
      </c>
      <c r="G1883" s="377">
        <v>1419999.9967296002</v>
      </c>
      <c r="H1883" s="377"/>
      <c r="I1883" s="596">
        <f t="shared" si="193"/>
        <v>0</v>
      </c>
      <c r="J1883" s="81">
        <f t="shared" si="194"/>
        <v>0</v>
      </c>
      <c r="K1883" s="81"/>
      <c r="L1883" s="597">
        <v>3074</v>
      </c>
      <c r="M1883" s="81" t="str">
        <f>+IFERROR(VLOOKUP(L1883,DATA!$G$4:$H$2000,2,FALSE),"")</f>
        <v>КАМДЕР ХХК</v>
      </c>
      <c r="N1883" s="166"/>
      <c r="O1883" s="81" t="str">
        <f>IFERROR(VLOOKUP(N1883,DATA!$K$4:$L$51,2,FALSE),"")</f>
        <v/>
      </c>
      <c r="P1883" s="81"/>
      <c r="Q1883" s="152">
        <f t="shared" si="192"/>
        <v>0</v>
      </c>
    </row>
    <row r="1884" spans="2:17">
      <c r="B1884" s="670">
        <f t="shared" si="191"/>
        <v>1879</v>
      </c>
      <c r="C1884" s="433">
        <v>43004</v>
      </c>
      <c r="D1884" s="598" t="s">
        <v>1741</v>
      </c>
      <c r="E1884" s="572">
        <v>110100</v>
      </c>
      <c r="F1884" s="672" t="str">
        <f>IFERROR(VLOOKUP(E1884,STAT1!$C$4:$D$1000,2,FALSE),"")</f>
        <v>Хаан Банк 5024654020</v>
      </c>
      <c r="G1884" s="377">
        <v>13200</v>
      </c>
      <c r="H1884" s="377"/>
      <c r="I1884" s="596">
        <f t="shared" si="193"/>
        <v>13200</v>
      </c>
      <c r="J1884" s="81">
        <f t="shared" si="194"/>
        <v>0</v>
      </c>
      <c r="K1884" s="81"/>
      <c r="L1884" s="597">
        <v>3093</v>
      </c>
      <c r="M1884" s="81" t="str">
        <f>+IFERROR(VLOOKUP(L1884,DATA!$G$4:$H$2000,2,FALSE),"")</f>
        <v xml:space="preserve">НЬЮ ЭРА ТУР МОНГОЛИА ХХК </v>
      </c>
      <c r="N1884" s="435">
        <v>41</v>
      </c>
      <c r="O1884" s="81" t="str">
        <f>IFERROR(VLOOKUP(N1884,DATA!$K$4:$L$51,2,FALSE),"")</f>
        <v>Бараа борлуулсан, үйлчилгээ үзүүлсэний орлого</v>
      </c>
      <c r="P1884" s="81"/>
      <c r="Q1884" s="152">
        <f t="shared" si="192"/>
        <v>1</v>
      </c>
    </row>
    <row r="1885" spans="2:17">
      <c r="B1885" s="670">
        <f t="shared" si="191"/>
        <v>1880</v>
      </c>
      <c r="C1885" s="433">
        <v>43004</v>
      </c>
      <c r="D1885" s="598" t="s">
        <v>1741</v>
      </c>
      <c r="E1885" s="572">
        <v>320100</v>
      </c>
      <c r="F1885" s="672" t="str">
        <f>IFERROR(VLOOKUP(E1885,STAT1!$C$4:$D$1000,2,FALSE),"")</f>
        <v>Урьдчилж орсон орлого MNT</v>
      </c>
      <c r="G1885" s="377">
        <v>0</v>
      </c>
      <c r="H1885" s="377">
        <v>13200</v>
      </c>
      <c r="I1885" s="596">
        <f t="shared" si="193"/>
        <v>0</v>
      </c>
      <c r="J1885" s="81">
        <f t="shared" si="194"/>
        <v>0</v>
      </c>
      <c r="K1885" s="81"/>
      <c r="L1885" s="597">
        <v>3093</v>
      </c>
      <c r="M1885" s="81" t="str">
        <f>+IFERROR(VLOOKUP(L1885,DATA!$G$4:$H$2000,2,FALSE),"")</f>
        <v xml:space="preserve">НЬЮ ЭРА ТУР МОНГОЛИА ХХК </v>
      </c>
      <c r="N1885" s="435"/>
      <c r="O1885" s="81" t="str">
        <f>IFERROR(VLOOKUP(N1885,DATA!$K$4:$L$51,2,FALSE),"")</f>
        <v/>
      </c>
      <c r="P1885" s="81"/>
      <c r="Q1885" s="152">
        <f t="shared" si="192"/>
        <v>0</v>
      </c>
    </row>
    <row r="1886" spans="2:17">
      <c r="B1886" s="670">
        <f t="shared" si="191"/>
        <v>1881</v>
      </c>
      <c r="C1886" s="433">
        <v>43004</v>
      </c>
      <c r="D1886" s="598" t="s">
        <v>1746</v>
      </c>
      <c r="E1886" s="572">
        <v>702500</v>
      </c>
      <c r="F1886" s="672" t="str">
        <f>IFERROR(VLOOKUP(E1886,STAT1!$C$4:$D$8000,2,FALSE),"")</f>
        <v>Зээлийн хүүгийн зардал</v>
      </c>
      <c r="G1886" s="377">
        <v>13200</v>
      </c>
      <c r="H1886" s="377">
        <v>0</v>
      </c>
      <c r="I1886" s="596">
        <f t="shared" si="193"/>
        <v>0</v>
      </c>
      <c r="J1886" s="81">
        <f t="shared" si="194"/>
        <v>0</v>
      </c>
      <c r="K1886" s="81"/>
      <c r="L1886" s="597">
        <v>2009</v>
      </c>
      <c r="M1886" s="81" t="str">
        <f>+IFERROR(VLOOKUP(L1886,DATA!$G$4:$H$2000,2,FALSE),"")</f>
        <v>ХААН БАНК</v>
      </c>
      <c r="N1886" s="166"/>
      <c r="O1886" s="81" t="str">
        <f>IFERROR(VLOOKUP(N1886,DATA!$K$4:$L$51,2,FALSE),"")</f>
        <v/>
      </c>
      <c r="P1886" s="81"/>
      <c r="Q1886" s="152">
        <f t="shared" si="192"/>
        <v>0</v>
      </c>
    </row>
    <row r="1887" spans="2:17">
      <c r="B1887" s="670">
        <f t="shared" si="191"/>
        <v>1882</v>
      </c>
      <c r="C1887" s="433">
        <v>43004</v>
      </c>
      <c r="D1887" s="598" t="s">
        <v>1746</v>
      </c>
      <c r="E1887" s="572">
        <v>110100</v>
      </c>
      <c r="F1887" s="672" t="str">
        <f>IFERROR(VLOOKUP(E1887,STAT1!$C$4:$D$8000,2,FALSE),"")</f>
        <v>Хаан Банк 5024654020</v>
      </c>
      <c r="G1887" s="377"/>
      <c r="H1887" s="377">
        <v>13200</v>
      </c>
      <c r="I1887" s="596">
        <f t="shared" si="193"/>
        <v>-13200</v>
      </c>
      <c r="J1887" s="81">
        <f t="shared" si="194"/>
        <v>0</v>
      </c>
      <c r="K1887" s="81"/>
      <c r="L1887" s="597">
        <v>2009</v>
      </c>
      <c r="M1887" s="81" t="str">
        <f>+IFERROR(VLOOKUP(L1887,DATA!$G$4:$H$2000,2,FALSE),"")</f>
        <v>ХААН БАНК</v>
      </c>
      <c r="N1887" s="166">
        <v>56</v>
      </c>
      <c r="O1887" s="81" t="str">
        <f>IFERROR(VLOOKUP(N1887,DATA!$K$4:$L$51,2,FALSE),"")</f>
        <v>Хүүний төлбөрт төлсөн</v>
      </c>
      <c r="P1887" s="81"/>
      <c r="Q1887" s="152">
        <f t="shared" si="192"/>
        <v>1</v>
      </c>
    </row>
    <row r="1888" spans="2:17">
      <c r="B1888" s="670">
        <f t="shared" si="191"/>
        <v>1883</v>
      </c>
      <c r="C1888" s="433">
        <v>43005</v>
      </c>
      <c r="D1888" s="377" t="s">
        <v>1740</v>
      </c>
      <c r="E1888" s="572">
        <v>100100</v>
      </c>
      <c r="F1888" s="672" t="str">
        <f>IFERROR(VLOOKUP(E1888,STAT1!$C$4:$D$1000,2,FALSE),"")</f>
        <v>Касс мөнгө MNT</v>
      </c>
      <c r="G1888" s="377"/>
      <c r="H1888" s="377">
        <v>105500</v>
      </c>
      <c r="I1888" s="596">
        <f t="shared" si="193"/>
        <v>-105500</v>
      </c>
      <c r="J1888" s="81">
        <f t="shared" si="194"/>
        <v>0</v>
      </c>
      <c r="K1888" s="81"/>
      <c r="L1888" s="597">
        <v>1005</v>
      </c>
      <c r="M1888" s="81" t="str">
        <f>+IFERROR(VLOOKUP(L1888,DATA!$G$4:$H$2000,2,FALSE),"")</f>
        <v>Золжаргал</v>
      </c>
      <c r="N1888" s="435">
        <v>55</v>
      </c>
      <c r="O1888" s="81" t="str">
        <f>IFERROR(VLOOKUP(N1888,DATA!$K$4:$L$51,2,FALSE),"")</f>
        <v>Түлш, шатахуун, тээврийн хөлс, сэлбэг хэрэгсэлд төлсөн</v>
      </c>
      <c r="P1888" s="81"/>
      <c r="Q1888" s="152">
        <f t="shared" si="192"/>
        <v>1</v>
      </c>
    </row>
    <row r="1889" spans="2:17">
      <c r="B1889" s="670">
        <f t="shared" si="191"/>
        <v>1884</v>
      </c>
      <c r="C1889" s="433">
        <v>43005</v>
      </c>
      <c r="D1889" s="377" t="s">
        <v>1740</v>
      </c>
      <c r="E1889" s="572">
        <v>121200</v>
      </c>
      <c r="F1889" s="672" t="str">
        <f>IFERROR(VLOOKUP(E1889,STAT1!$C$4:$D$1000,2,FALSE),"")</f>
        <v xml:space="preserve">Ажилчидын дараа тайлангийн тооцоо </v>
      </c>
      <c r="G1889" s="377">
        <v>105500</v>
      </c>
      <c r="H1889" s="377">
        <v>0</v>
      </c>
      <c r="I1889" s="596">
        <f t="shared" si="193"/>
        <v>0</v>
      </c>
      <c r="J1889" s="81">
        <f t="shared" si="194"/>
        <v>0</v>
      </c>
      <c r="K1889" s="81"/>
      <c r="L1889" s="597">
        <v>1005</v>
      </c>
      <c r="M1889" s="81" t="str">
        <f>+IFERROR(VLOOKUP(L1889,DATA!$G$4:$H$2000,2,FALSE),"")</f>
        <v>Золжаргал</v>
      </c>
      <c r="N1889" s="435"/>
      <c r="O1889" s="81" t="str">
        <f>IFERROR(VLOOKUP(N1889,DATA!$K$4:$L$51,2,FALSE),"")</f>
        <v/>
      </c>
      <c r="P1889" s="81"/>
      <c r="Q1889" s="152">
        <f t="shared" si="192"/>
        <v>0</v>
      </c>
    </row>
    <row r="1890" spans="2:17">
      <c r="B1890" s="670">
        <f t="shared" si="191"/>
        <v>1885</v>
      </c>
      <c r="C1890" s="433">
        <v>43006</v>
      </c>
      <c r="D1890" s="598" t="s">
        <v>1785</v>
      </c>
      <c r="E1890" s="572">
        <v>110100</v>
      </c>
      <c r="F1890" s="672" t="str">
        <f>IFERROR(VLOOKUP(E1890,STAT1!$C$4:$D$8000,2,FALSE),"")</f>
        <v>Хаан Банк 5024654020</v>
      </c>
      <c r="G1890" s="377">
        <v>4000000</v>
      </c>
      <c r="H1890" s="377"/>
      <c r="I1890" s="596">
        <f t="shared" si="193"/>
        <v>4000000</v>
      </c>
      <c r="J1890" s="81">
        <f t="shared" si="194"/>
        <v>0</v>
      </c>
      <c r="K1890" s="81"/>
      <c r="L1890" s="597">
        <v>1004</v>
      </c>
      <c r="M1890" s="81" t="str">
        <f>+IFERROR(VLOOKUP(L1890,DATA!$G$4:$H$2000,2,FALSE),"")</f>
        <v xml:space="preserve">Түмэндэлгэр </v>
      </c>
      <c r="N1890" s="166"/>
      <c r="O1890" s="81" t="str">
        <f>IFERROR(VLOOKUP(N1890,DATA!$K$4:$L$51,2,FALSE),"")</f>
        <v/>
      </c>
      <c r="P1890" s="81"/>
      <c r="Q1890" s="152">
        <f t="shared" si="192"/>
        <v>1</v>
      </c>
    </row>
    <row r="1891" spans="2:17">
      <c r="B1891" s="670">
        <f t="shared" si="191"/>
        <v>1886</v>
      </c>
      <c r="C1891" s="433">
        <v>43006</v>
      </c>
      <c r="D1891" s="598" t="s">
        <v>1785</v>
      </c>
      <c r="E1891" s="572">
        <v>100100</v>
      </c>
      <c r="F1891" s="672" t="str">
        <f>IFERROR(VLOOKUP(E1891,STAT1!$C$4:$D$8000,2,FALSE),"")</f>
        <v>Касс мөнгө MNT</v>
      </c>
      <c r="G1891" s="377"/>
      <c r="H1891" s="377">
        <v>4000000</v>
      </c>
      <c r="I1891" s="596">
        <f t="shared" si="193"/>
        <v>-4000000</v>
      </c>
      <c r="J1891" s="81">
        <f t="shared" si="194"/>
        <v>0</v>
      </c>
      <c r="K1891" s="81"/>
      <c r="L1891" s="597">
        <v>1004</v>
      </c>
      <c r="M1891" s="81" t="str">
        <f>+IFERROR(VLOOKUP(L1891,DATA!$G$4:$H$2000,2,FALSE),"")</f>
        <v xml:space="preserve">Түмэндэлгэр </v>
      </c>
      <c r="N1891" s="166"/>
      <c r="O1891" s="81" t="str">
        <f>IFERROR(VLOOKUP(N1891,DATA!$K$4:$L$51,2,FALSE),"")</f>
        <v/>
      </c>
      <c r="P1891" s="81"/>
      <c r="Q1891" s="152">
        <f t="shared" si="192"/>
        <v>1</v>
      </c>
    </row>
    <row r="1892" spans="2:17">
      <c r="B1892" s="670">
        <f t="shared" si="191"/>
        <v>1887</v>
      </c>
      <c r="C1892" s="433">
        <v>43006</v>
      </c>
      <c r="D1892" s="598" t="s">
        <v>1746</v>
      </c>
      <c r="E1892" s="572">
        <v>110100</v>
      </c>
      <c r="F1892" s="672" t="str">
        <f>IFERROR(VLOOKUP(E1892,STAT1!$C$4:$D$8000,2,FALSE),"")</f>
        <v>Хаан Банк 5024654020</v>
      </c>
      <c r="G1892" s="377"/>
      <c r="H1892" s="377">
        <v>2547773.0699999998</v>
      </c>
      <c r="I1892" s="596">
        <f t="shared" si="193"/>
        <v>-2547773.0699999998</v>
      </c>
      <c r="J1892" s="81">
        <f t="shared" si="194"/>
        <v>0</v>
      </c>
      <c r="K1892" s="81"/>
      <c r="L1892" s="597">
        <v>2009</v>
      </c>
      <c r="M1892" s="81" t="str">
        <f>+IFERROR(VLOOKUP(L1892,DATA!$G$4:$H$2000,2,FALSE),"")</f>
        <v>ХААН БАНК</v>
      </c>
      <c r="N1892" s="166">
        <v>91</v>
      </c>
      <c r="O1892" s="81" t="str">
        <f>IFERROR(VLOOKUP(N1892,DATA!$K$4:$L$51,2,FALSE),"")</f>
        <v>Зээл, өрийн үнэт цаасны төлбөрт төлсөн</v>
      </c>
      <c r="P1892" s="81"/>
      <c r="Q1892" s="152">
        <f t="shared" si="192"/>
        <v>1</v>
      </c>
    </row>
    <row r="1893" spans="2:17">
      <c r="B1893" s="670">
        <f t="shared" si="191"/>
        <v>1888</v>
      </c>
      <c r="C1893" s="433">
        <v>43006</v>
      </c>
      <c r="D1893" s="598" t="s">
        <v>1746</v>
      </c>
      <c r="E1893" s="572">
        <v>310400</v>
      </c>
      <c r="F1893" s="672" t="str">
        <f>IFERROR(VLOOKUP(E1893,STAT1!$C$4:$D$8000,2,FALSE),"")</f>
        <v>Банкны богино хугацаат зээл MNT</v>
      </c>
      <c r="G1893" s="377">
        <v>2547773.0699999998</v>
      </c>
      <c r="H1893" s="377"/>
      <c r="I1893" s="596">
        <f t="shared" si="193"/>
        <v>0</v>
      </c>
      <c r="J1893" s="81">
        <f t="shared" si="194"/>
        <v>0</v>
      </c>
      <c r="K1893" s="81"/>
      <c r="L1893" s="597">
        <v>2009</v>
      </c>
      <c r="M1893" s="81" t="str">
        <f>+IFERROR(VLOOKUP(L1893,DATA!$G$4:$H$2000,2,FALSE),"")</f>
        <v>ХААН БАНК</v>
      </c>
      <c r="N1893" s="166"/>
      <c r="O1893" s="81" t="str">
        <f>IFERROR(VLOOKUP(N1893,DATA!$K$4:$L$51,2,FALSE),"")</f>
        <v/>
      </c>
      <c r="P1893" s="81"/>
      <c r="Q1893" s="152">
        <f t="shared" si="192"/>
        <v>0</v>
      </c>
    </row>
    <row r="1894" spans="2:17">
      <c r="B1894" s="670">
        <f t="shared" si="191"/>
        <v>1889</v>
      </c>
      <c r="C1894" s="433">
        <v>43006</v>
      </c>
      <c r="D1894" s="598" t="s">
        <v>1746</v>
      </c>
      <c r="E1894" s="572">
        <v>110100</v>
      </c>
      <c r="F1894" s="672" t="str">
        <f>IFERROR(VLOOKUP(E1894,STAT1!$C$4:$D$8000,2,FALSE),"")</f>
        <v>Хаан Банк 5024654020</v>
      </c>
      <c r="G1894" s="377"/>
      <c r="H1894" s="377">
        <v>485226.93000000017</v>
      </c>
      <c r="I1894" s="596">
        <f t="shared" si="193"/>
        <v>-485226.93000000017</v>
      </c>
      <c r="J1894" s="81">
        <f t="shared" si="194"/>
        <v>0</v>
      </c>
      <c r="K1894" s="81"/>
      <c r="L1894" s="597">
        <v>2009</v>
      </c>
      <c r="M1894" s="81" t="str">
        <f>+IFERROR(VLOOKUP(L1894,DATA!$G$4:$H$2000,2,FALSE),"")</f>
        <v>ХААН БАНК</v>
      </c>
      <c r="N1894" s="166">
        <v>56</v>
      </c>
      <c r="O1894" s="81" t="str">
        <f>IFERROR(VLOOKUP(N1894,DATA!$K$4:$L$51,2,FALSE),"")</f>
        <v>Хүүний төлбөрт төлсөн</v>
      </c>
      <c r="P1894" s="81"/>
      <c r="Q1894" s="152">
        <f t="shared" si="192"/>
        <v>1</v>
      </c>
    </row>
    <row r="1895" spans="2:17">
      <c r="B1895" s="670">
        <f t="shared" si="191"/>
        <v>1890</v>
      </c>
      <c r="C1895" s="433">
        <v>43006</v>
      </c>
      <c r="D1895" s="598" t="s">
        <v>1746</v>
      </c>
      <c r="E1895" s="572">
        <v>702500</v>
      </c>
      <c r="F1895" s="672" t="str">
        <f>IFERROR(VLOOKUP(E1895,STAT1!$C$4:$D$8000,2,FALSE),"")</f>
        <v>Зээлийн хүүгийн зардал</v>
      </c>
      <c r="G1895" s="377">
        <v>485226.93000000017</v>
      </c>
      <c r="H1895" s="377"/>
      <c r="I1895" s="596">
        <f t="shared" si="193"/>
        <v>0</v>
      </c>
      <c r="J1895" s="81">
        <f t="shared" si="194"/>
        <v>0</v>
      </c>
      <c r="K1895" s="81"/>
      <c r="L1895" s="597">
        <v>2009</v>
      </c>
      <c r="M1895" s="81" t="str">
        <f>+IFERROR(VLOOKUP(L1895,DATA!$G$4:$H$2000,2,FALSE),"")</f>
        <v>ХААН БАНК</v>
      </c>
      <c r="N1895" s="166"/>
      <c r="O1895" s="81" t="str">
        <f>IFERROR(VLOOKUP(N1895,DATA!$K$4:$L$51,2,FALSE),"")</f>
        <v/>
      </c>
      <c r="P1895" s="81"/>
      <c r="Q1895" s="152">
        <f t="shared" si="192"/>
        <v>0</v>
      </c>
    </row>
    <row r="1896" spans="2:17">
      <c r="B1896" s="670">
        <f t="shared" si="191"/>
        <v>1891</v>
      </c>
      <c r="C1896" s="433">
        <v>43006</v>
      </c>
      <c r="D1896" s="598" t="s">
        <v>1747</v>
      </c>
      <c r="E1896" s="572">
        <v>110100</v>
      </c>
      <c r="F1896" s="672" t="str">
        <f>IFERROR(VLOOKUP(E1896,STAT1!$C$4:$D$8000,2,FALSE),"")</f>
        <v>Хаан Банк 5024654020</v>
      </c>
      <c r="G1896" s="377"/>
      <c r="H1896" s="377">
        <v>967000</v>
      </c>
      <c r="I1896" s="596">
        <f t="shared" si="193"/>
        <v>-967000</v>
      </c>
      <c r="J1896" s="81">
        <f t="shared" si="194"/>
        <v>0</v>
      </c>
      <c r="K1896" s="81"/>
      <c r="L1896" s="597">
        <v>2009</v>
      </c>
      <c r="M1896" s="81" t="str">
        <f>+IFERROR(VLOOKUP(L1896,DATA!$G$4:$H$2000,2,FALSE),"")</f>
        <v>ХААН БАНК</v>
      </c>
      <c r="N1896" s="166">
        <v>56</v>
      </c>
      <c r="O1896" s="81" t="str">
        <f>IFERROR(VLOOKUP(N1896,DATA!$K$4:$L$51,2,FALSE),"")</f>
        <v>Хүүний төлбөрт төлсөн</v>
      </c>
      <c r="P1896" s="81"/>
      <c r="Q1896" s="152">
        <f t="shared" si="192"/>
        <v>1</v>
      </c>
    </row>
    <row r="1897" spans="2:17">
      <c r="B1897" s="670">
        <f t="shared" si="191"/>
        <v>1892</v>
      </c>
      <c r="C1897" s="433">
        <v>43006</v>
      </c>
      <c r="D1897" s="598" t="s">
        <v>1747</v>
      </c>
      <c r="E1897" s="572">
        <v>702500</v>
      </c>
      <c r="F1897" s="672" t="str">
        <f>IFERROR(VLOOKUP(E1897,STAT1!$C$4:$D$8000,2,FALSE),"")</f>
        <v>Зээлийн хүүгийн зардал</v>
      </c>
      <c r="G1897" s="377">
        <v>967000</v>
      </c>
      <c r="H1897" s="377"/>
      <c r="I1897" s="596">
        <f t="shared" si="193"/>
        <v>0</v>
      </c>
      <c r="J1897" s="81">
        <f t="shared" si="194"/>
        <v>0</v>
      </c>
      <c r="K1897" s="81"/>
      <c r="L1897" s="597">
        <v>2009</v>
      </c>
      <c r="M1897" s="81" t="str">
        <f>+IFERROR(VLOOKUP(L1897,DATA!$G$4:$H$2000,2,FALSE),"")</f>
        <v>ХААН БАНК</v>
      </c>
      <c r="N1897" s="166"/>
      <c r="O1897" s="81" t="str">
        <f>IFERROR(VLOOKUP(N1897,DATA!$K$4:$L$51,2,FALSE),"")</f>
        <v/>
      </c>
      <c r="P1897" s="81"/>
      <c r="Q1897" s="152">
        <f t="shared" si="192"/>
        <v>0</v>
      </c>
    </row>
    <row r="1898" spans="2:17">
      <c r="B1898" s="670">
        <f t="shared" si="191"/>
        <v>1893</v>
      </c>
      <c r="C1898" s="433">
        <v>43006</v>
      </c>
      <c r="D1898" s="377" t="s">
        <v>1715</v>
      </c>
      <c r="E1898" s="572">
        <v>100100</v>
      </c>
      <c r="F1898" s="672" t="str">
        <f>IFERROR(VLOOKUP(E1898,STAT1!$C$4:$D$8000,2,FALSE),"")</f>
        <v>Касс мөнгө MNT</v>
      </c>
      <c r="G1898" s="377"/>
      <c r="H1898" s="377">
        <v>127000</v>
      </c>
      <c r="I1898" s="596">
        <f t="shared" si="193"/>
        <v>-127000</v>
      </c>
      <c r="J1898" s="81">
        <f t="shared" si="194"/>
        <v>0</v>
      </c>
      <c r="K1898" s="81"/>
      <c r="L1898" s="597">
        <v>2005</v>
      </c>
      <c r="M1898" s="81" t="str">
        <f>+IFERROR(VLOOKUP(L1898,DATA!$G$4:$H$2000,2,FALSE),"")</f>
        <v xml:space="preserve">УСУГ ТӨХК </v>
      </c>
      <c r="N1898" s="166">
        <v>54</v>
      </c>
      <c r="O1898" s="81" t="str">
        <f>IFERROR(VLOOKUP(N1898,DATA!$K$4:$L$51,2,FALSE),"")</f>
        <v>Ашиглалтын зардалд төлсөн</v>
      </c>
      <c r="P1898" s="81"/>
      <c r="Q1898" s="152">
        <f t="shared" si="192"/>
        <v>1</v>
      </c>
    </row>
    <row r="1899" spans="2:17">
      <c r="B1899" s="670">
        <f t="shared" si="191"/>
        <v>1894</v>
      </c>
      <c r="C1899" s="433">
        <v>43006</v>
      </c>
      <c r="D1899" s="377" t="s">
        <v>1715</v>
      </c>
      <c r="E1899" s="572">
        <v>120600</v>
      </c>
      <c r="F1899" s="672" t="str">
        <f>IFERROR(VLOOKUP(E1899,STAT1!$C$4:$D$8000,2,FALSE),"")</f>
        <v>НӨАТ авлага</v>
      </c>
      <c r="G1899" s="377">
        <v>11458</v>
      </c>
      <c r="H1899" s="377"/>
      <c r="I1899" s="596">
        <f t="shared" si="193"/>
        <v>0</v>
      </c>
      <c r="J1899" s="81">
        <f t="shared" si="194"/>
        <v>0</v>
      </c>
      <c r="K1899" s="81"/>
      <c r="L1899" s="597">
        <v>2005</v>
      </c>
      <c r="M1899" s="81" t="str">
        <f>+IFERROR(VLOOKUP(L1899,DATA!$G$4:$H$2000,2,FALSE),"")</f>
        <v xml:space="preserve">УСУГ ТӨХК </v>
      </c>
      <c r="N1899" s="166"/>
      <c r="O1899" s="81" t="str">
        <f>IFERROR(VLOOKUP(N1899,DATA!$K$4:$L$51,2,FALSE),"")</f>
        <v/>
      </c>
      <c r="P1899" s="81"/>
      <c r="Q1899" s="152">
        <f t="shared" si="192"/>
        <v>0</v>
      </c>
    </row>
    <row r="1900" spans="2:17">
      <c r="B1900" s="670">
        <f t="shared" si="191"/>
        <v>1895</v>
      </c>
      <c r="C1900" s="433">
        <v>43006</v>
      </c>
      <c r="D1900" s="377" t="s">
        <v>1715</v>
      </c>
      <c r="E1900" s="572">
        <v>700900</v>
      </c>
      <c r="F1900" s="672" t="str">
        <f>IFERROR(VLOOKUP(E1900,STAT1!$C$4:$D$8000,2,FALSE),"")</f>
        <v>Уур, ус</v>
      </c>
      <c r="G1900" s="377">
        <v>115542</v>
      </c>
      <c r="H1900" s="377"/>
      <c r="I1900" s="596">
        <f t="shared" si="193"/>
        <v>0</v>
      </c>
      <c r="J1900" s="81">
        <f t="shared" si="194"/>
        <v>0</v>
      </c>
      <c r="K1900" s="81"/>
      <c r="L1900" s="597">
        <v>2005</v>
      </c>
      <c r="M1900" s="81" t="str">
        <f>+IFERROR(VLOOKUP(L1900,DATA!$G$4:$H$2000,2,FALSE),"")</f>
        <v xml:space="preserve">УСУГ ТӨХК </v>
      </c>
      <c r="N1900" s="166"/>
      <c r="O1900" s="81" t="str">
        <f>IFERROR(VLOOKUP(N1900,DATA!$K$4:$L$51,2,FALSE),"")</f>
        <v/>
      </c>
      <c r="P1900" s="81"/>
      <c r="Q1900" s="152">
        <f t="shared" si="192"/>
        <v>0</v>
      </c>
    </row>
    <row r="1901" spans="2:17">
      <c r="B1901" s="670">
        <f t="shared" si="191"/>
        <v>1896</v>
      </c>
      <c r="C1901" s="601">
        <v>43006</v>
      </c>
      <c r="D1901" s="377" t="s">
        <v>2700</v>
      </c>
      <c r="E1901" s="673">
        <v>150101</v>
      </c>
      <c r="F1901" s="672" t="str">
        <f>IFERROR(VLOOKUP(E1901,STAT1!$C$4:$D$8000,2,FALSE),"")</f>
        <v>Бараа бэлэн бүтээгдэхүүн БОЛОВСРУУЛАХ ЦЕХ /нарс/</v>
      </c>
      <c r="G1901" s="377"/>
      <c r="H1901" s="377">
        <v>2077843.38</v>
      </c>
      <c r="I1901" s="596">
        <f t="shared" si="193"/>
        <v>0</v>
      </c>
      <c r="J1901" s="81">
        <f t="shared" si="194"/>
        <v>0</v>
      </c>
      <c r="K1901" s="81"/>
      <c r="L1901" s="597">
        <v>3002</v>
      </c>
      <c r="M1901" s="81" t="str">
        <f>+IFERROR(VLOOKUP(L1901,DATA!$G$4:$H$2000,2,FALSE),"")</f>
        <v>ЭКО КОНСТРАКШН ХХК</v>
      </c>
      <c r="N1901" s="166"/>
      <c r="O1901" s="81" t="str">
        <f>IFERROR(VLOOKUP(N1901,DATA!$K$4:$L$51,2,FALSE),"")</f>
        <v/>
      </c>
      <c r="P1901" s="81"/>
      <c r="Q1901" s="152">
        <f t="shared" si="192"/>
        <v>0</v>
      </c>
    </row>
    <row r="1902" spans="2:17">
      <c r="B1902" s="670">
        <f t="shared" si="191"/>
        <v>1897</v>
      </c>
      <c r="C1902" s="601">
        <v>43006</v>
      </c>
      <c r="D1902" s="377" t="s">
        <v>587</v>
      </c>
      <c r="E1902" s="674">
        <v>610100</v>
      </c>
      <c r="F1902" s="672" t="str">
        <f>IFERROR(VLOOKUP(E1902,STAT1!$C$4:$D$8000,2,FALSE),"")</f>
        <v>Борлуулсан барааны өртөг</v>
      </c>
      <c r="G1902" s="377">
        <v>2077843.38</v>
      </c>
      <c r="H1902" s="377"/>
      <c r="I1902" s="596">
        <f t="shared" si="193"/>
        <v>0</v>
      </c>
      <c r="J1902" s="81">
        <f t="shared" si="194"/>
        <v>0</v>
      </c>
      <c r="K1902" s="81"/>
      <c r="L1902" s="597">
        <v>3002</v>
      </c>
      <c r="M1902" s="81" t="str">
        <f>+IFERROR(VLOOKUP(L1902,DATA!$G$4:$H$2000,2,FALSE),"")</f>
        <v>ЭКО КОНСТРАКШН ХХК</v>
      </c>
      <c r="N1902" s="166"/>
      <c r="O1902" s="81" t="str">
        <f>IFERROR(VLOOKUP(N1902,DATA!$K$4:$L$51,2,FALSE),"")</f>
        <v/>
      </c>
      <c r="P1902" s="81"/>
      <c r="Q1902" s="152">
        <f t="shared" si="192"/>
        <v>0</v>
      </c>
    </row>
    <row r="1903" spans="2:17">
      <c r="B1903" s="670">
        <f t="shared" si="191"/>
        <v>1898</v>
      </c>
      <c r="C1903" s="601">
        <v>43006</v>
      </c>
      <c r="D1903" s="377" t="s">
        <v>587</v>
      </c>
      <c r="E1903" s="674">
        <v>310500</v>
      </c>
      <c r="F1903" s="672" t="str">
        <f>IFERROR(VLOOKUP(E1903,STAT1!$C$4:$D$8000,2,FALSE),"")</f>
        <v>НӨАТ өглөг</v>
      </c>
      <c r="G1903" s="377"/>
      <c r="H1903" s="377">
        <v>252797.09</v>
      </c>
      <c r="I1903" s="596">
        <f t="shared" si="193"/>
        <v>0</v>
      </c>
      <c r="J1903" s="81">
        <f t="shared" si="194"/>
        <v>0</v>
      </c>
      <c r="K1903" s="81"/>
      <c r="L1903" s="597">
        <v>3002</v>
      </c>
      <c r="M1903" s="81" t="str">
        <f>+IFERROR(VLOOKUP(L1903,DATA!$G$4:$H$2000,2,FALSE),"")</f>
        <v>ЭКО КОНСТРАКШН ХХК</v>
      </c>
      <c r="N1903" s="166"/>
      <c r="O1903" s="81" t="str">
        <f>IFERROR(VLOOKUP(N1903,DATA!$K$4:$L$51,2,FALSE),"")</f>
        <v/>
      </c>
      <c r="P1903" s="81"/>
      <c r="Q1903" s="152">
        <f t="shared" si="192"/>
        <v>0</v>
      </c>
    </row>
    <row r="1904" spans="2:17">
      <c r="B1904" s="670">
        <f t="shared" si="191"/>
        <v>1899</v>
      </c>
      <c r="C1904" s="601">
        <v>43006</v>
      </c>
      <c r="D1904" s="377" t="s">
        <v>587</v>
      </c>
      <c r="E1904" s="674">
        <v>510000</v>
      </c>
      <c r="F1904" s="672" t="str">
        <f>IFERROR(VLOOKUP(E1904,STAT1!$C$4:$D$8000,2,FALSE),"")</f>
        <v>Үндсэн үйл ажиллагааны борлуулалт</v>
      </c>
      <c r="G1904" s="377"/>
      <c r="H1904" s="377">
        <v>2527970.91</v>
      </c>
      <c r="I1904" s="596">
        <f t="shared" si="193"/>
        <v>0</v>
      </c>
      <c r="J1904" s="81">
        <f t="shared" si="194"/>
        <v>0</v>
      </c>
      <c r="K1904" s="81"/>
      <c r="L1904" s="597">
        <v>3002</v>
      </c>
      <c r="M1904" s="81" t="str">
        <f>+IFERROR(VLOOKUP(L1904,DATA!$G$4:$H$2000,2,FALSE),"")</f>
        <v>ЭКО КОНСТРАКШН ХХК</v>
      </c>
      <c r="N1904" s="166"/>
      <c r="O1904" s="81" t="str">
        <f>IFERROR(VLOOKUP(N1904,DATA!$K$4:$L$51,2,FALSE),"")</f>
        <v/>
      </c>
      <c r="P1904" s="81"/>
      <c r="Q1904" s="152">
        <f t="shared" si="192"/>
        <v>0</v>
      </c>
    </row>
    <row r="1905" spans="2:17">
      <c r="B1905" s="670">
        <f t="shared" si="191"/>
        <v>1900</v>
      </c>
      <c r="C1905" s="601">
        <v>43006</v>
      </c>
      <c r="D1905" s="377" t="s">
        <v>587</v>
      </c>
      <c r="E1905" s="674">
        <v>320100</v>
      </c>
      <c r="F1905" s="672" t="str">
        <f>IFERROR(VLOOKUP(E1905,STAT1!$C$4:$D$8000,2,FALSE),"")</f>
        <v>Урьдчилж орсон орлого MNT</v>
      </c>
      <c r="G1905" s="377">
        <v>2780768</v>
      </c>
      <c r="H1905" s="377"/>
      <c r="I1905" s="596">
        <f t="shared" si="193"/>
        <v>0</v>
      </c>
      <c r="J1905" s="81">
        <f t="shared" si="194"/>
        <v>0</v>
      </c>
      <c r="K1905" s="81"/>
      <c r="L1905" s="597">
        <v>3002</v>
      </c>
      <c r="M1905" s="81" t="str">
        <f>+IFERROR(VLOOKUP(L1905,DATA!$G$4:$H$2000,2,FALSE),"")</f>
        <v>ЭКО КОНСТРАКШН ХХК</v>
      </c>
      <c r="N1905" s="166"/>
      <c r="O1905" s="81" t="str">
        <f>IFERROR(VLOOKUP(N1905,DATA!$K$4:$L$51,2,FALSE),"")</f>
        <v/>
      </c>
      <c r="P1905" s="81"/>
      <c r="Q1905" s="152">
        <f t="shared" si="192"/>
        <v>0</v>
      </c>
    </row>
    <row r="1906" spans="2:17">
      <c r="B1906" s="670">
        <f t="shared" si="191"/>
        <v>1901</v>
      </c>
      <c r="C1906" s="601">
        <v>43006</v>
      </c>
      <c r="D1906" s="377" t="s">
        <v>1659</v>
      </c>
      <c r="E1906" s="673">
        <v>150101</v>
      </c>
      <c r="F1906" s="672" t="str">
        <f>IFERROR(VLOOKUP(E1906,STAT1!$C$4:$D$8000,2,FALSE),"")</f>
        <v>Бараа бэлэн бүтээгдэхүүн БОЛОВСРУУЛАХ ЦЕХ /нарс/</v>
      </c>
      <c r="G1906" s="377"/>
      <c r="H1906" s="377">
        <v>5180.0415582824999</v>
      </c>
      <c r="I1906" s="596">
        <f t="shared" si="193"/>
        <v>0</v>
      </c>
      <c r="J1906" s="81">
        <f t="shared" si="194"/>
        <v>0</v>
      </c>
      <c r="K1906" s="81"/>
      <c r="L1906" s="597">
        <v>3093</v>
      </c>
      <c r="M1906" s="81" t="str">
        <f>+IFERROR(VLOOKUP(L1906,DATA!$G$4:$H$2000,2,FALSE),"")</f>
        <v xml:space="preserve">НЬЮ ЭРА ТУР МОНГОЛИА ХХК </v>
      </c>
      <c r="N1906" s="166"/>
      <c r="O1906" s="81" t="str">
        <f>IFERROR(VLOOKUP(N1906,DATA!$K$4:$L$51,2,FALSE),"")</f>
        <v/>
      </c>
      <c r="P1906" s="81"/>
      <c r="Q1906" s="152">
        <f t="shared" si="192"/>
        <v>0</v>
      </c>
    </row>
    <row r="1907" spans="2:17">
      <c r="B1907" s="670">
        <f t="shared" si="191"/>
        <v>1902</v>
      </c>
      <c r="C1907" s="601">
        <v>43006</v>
      </c>
      <c r="D1907" s="377" t="s">
        <v>587</v>
      </c>
      <c r="E1907" s="674">
        <v>610100</v>
      </c>
      <c r="F1907" s="672" t="str">
        <f>IFERROR(VLOOKUP(E1907,STAT1!$C$4:$D$8000,2,FALSE),"")</f>
        <v>Борлуулсан барааны өртөг</v>
      </c>
      <c r="G1907" s="377">
        <v>5180.0415582824999</v>
      </c>
      <c r="H1907" s="377"/>
      <c r="I1907" s="596">
        <f t="shared" si="193"/>
        <v>0</v>
      </c>
      <c r="J1907" s="81">
        <f t="shared" si="194"/>
        <v>0</v>
      </c>
      <c r="K1907" s="81"/>
      <c r="L1907" s="597">
        <v>3093</v>
      </c>
      <c r="M1907" s="81" t="str">
        <f>+IFERROR(VLOOKUP(L1907,DATA!$G$4:$H$2000,2,FALSE),"")</f>
        <v xml:space="preserve">НЬЮ ЭРА ТУР МОНГОЛИА ХХК </v>
      </c>
      <c r="N1907" s="166"/>
      <c r="O1907" s="81" t="str">
        <f>IFERROR(VLOOKUP(N1907,DATA!$K$4:$L$51,2,FALSE),"")</f>
        <v/>
      </c>
      <c r="P1907" s="81"/>
      <c r="Q1907" s="152">
        <f t="shared" si="192"/>
        <v>0</v>
      </c>
    </row>
    <row r="1908" spans="2:17">
      <c r="B1908" s="670">
        <f t="shared" si="191"/>
        <v>1903</v>
      </c>
      <c r="C1908" s="601">
        <v>43006</v>
      </c>
      <c r="D1908" s="377" t="s">
        <v>587</v>
      </c>
      <c r="E1908" s="674">
        <v>310500</v>
      </c>
      <c r="F1908" s="672" t="str">
        <f>IFERROR(VLOOKUP(E1908,STAT1!$C$4:$D$8000,2,FALSE),"")</f>
        <v>НӨАТ өглөг</v>
      </c>
      <c r="G1908" s="377"/>
      <c r="H1908" s="377">
        <v>1200</v>
      </c>
      <c r="I1908" s="596">
        <f t="shared" si="193"/>
        <v>0</v>
      </c>
      <c r="J1908" s="81">
        <f t="shared" ref="J1908:J1936" si="195">+IF(E1908=110102,I1908/K1908,0)</f>
        <v>0</v>
      </c>
      <c r="K1908" s="81"/>
      <c r="L1908" s="597">
        <v>3093</v>
      </c>
      <c r="M1908" s="81" t="str">
        <f>+IFERROR(VLOOKUP(L1908,DATA!$G$4:$H$2000,2,FALSE),"")</f>
        <v xml:space="preserve">НЬЮ ЭРА ТУР МОНГОЛИА ХХК </v>
      </c>
      <c r="N1908" s="166"/>
      <c r="O1908" s="81" t="str">
        <f>IFERROR(VLOOKUP(N1908,DATA!$K$4:$L$51,2,FALSE),"")</f>
        <v/>
      </c>
      <c r="P1908" s="81"/>
      <c r="Q1908" s="152">
        <f t="shared" si="192"/>
        <v>0</v>
      </c>
    </row>
    <row r="1909" spans="2:17">
      <c r="B1909" s="670">
        <f t="shared" ref="B1909:B1972" si="196">+IF(C1909="","",ROW()-5)</f>
        <v>1904</v>
      </c>
      <c r="C1909" s="601">
        <v>43006</v>
      </c>
      <c r="D1909" s="377" t="s">
        <v>587</v>
      </c>
      <c r="E1909" s="674">
        <v>510000</v>
      </c>
      <c r="F1909" s="672" t="str">
        <f>IFERROR(VLOOKUP(E1909,STAT1!$C$4:$D$8000,2,FALSE),"")</f>
        <v>Үндсэн үйл ажиллагааны борлуулалт</v>
      </c>
      <c r="G1909" s="377"/>
      <c r="H1909" s="377">
        <v>12000</v>
      </c>
      <c r="I1909" s="596">
        <f t="shared" si="193"/>
        <v>0</v>
      </c>
      <c r="J1909" s="81">
        <f t="shared" si="195"/>
        <v>0</v>
      </c>
      <c r="K1909" s="81"/>
      <c r="L1909" s="597">
        <v>3093</v>
      </c>
      <c r="M1909" s="81" t="str">
        <f>+IFERROR(VLOOKUP(L1909,DATA!$G$4:$H$2000,2,FALSE),"")</f>
        <v xml:space="preserve">НЬЮ ЭРА ТУР МОНГОЛИА ХХК </v>
      </c>
      <c r="N1909" s="166"/>
      <c r="O1909" s="81" t="str">
        <f>IFERROR(VLOOKUP(N1909,DATA!$K$4:$L$51,2,FALSE),"")</f>
        <v/>
      </c>
      <c r="P1909" s="81"/>
      <c r="Q1909" s="152">
        <f t="shared" si="192"/>
        <v>0</v>
      </c>
    </row>
    <row r="1910" spans="2:17">
      <c r="B1910" s="670">
        <f t="shared" si="196"/>
        <v>1905</v>
      </c>
      <c r="C1910" s="601">
        <v>43006</v>
      </c>
      <c r="D1910" s="377" t="s">
        <v>587</v>
      </c>
      <c r="E1910" s="674">
        <v>320100</v>
      </c>
      <c r="F1910" s="672" t="str">
        <f>IFERROR(VLOOKUP(E1910,STAT1!$C$4:$D$8000,2,FALSE),"")</f>
        <v>Урьдчилж орсон орлого MNT</v>
      </c>
      <c r="G1910" s="377">
        <v>13200</v>
      </c>
      <c r="H1910" s="377"/>
      <c r="I1910" s="596">
        <f t="shared" si="193"/>
        <v>0</v>
      </c>
      <c r="J1910" s="81">
        <f t="shared" si="195"/>
        <v>0</v>
      </c>
      <c r="K1910" s="81"/>
      <c r="L1910" s="597">
        <v>3093</v>
      </c>
      <c r="M1910" s="81" t="str">
        <f>+IFERROR(VLOOKUP(L1910,DATA!$G$4:$H$2000,2,FALSE),"")</f>
        <v xml:space="preserve">НЬЮ ЭРА ТУР МОНГОЛИА ХХК </v>
      </c>
      <c r="N1910" s="166"/>
      <c r="O1910" s="81" t="str">
        <f>IFERROR(VLOOKUP(N1910,DATA!$K$4:$L$51,2,FALSE),"")</f>
        <v/>
      </c>
      <c r="P1910" s="81"/>
      <c r="Q1910" s="152">
        <f t="shared" si="192"/>
        <v>0</v>
      </c>
    </row>
    <row r="1911" spans="2:17">
      <c r="B1911" s="670">
        <f t="shared" si="196"/>
        <v>1906</v>
      </c>
      <c r="C1911" s="601">
        <v>43006</v>
      </c>
      <c r="D1911" s="377" t="s">
        <v>2703</v>
      </c>
      <c r="E1911" s="673">
        <v>150101</v>
      </c>
      <c r="F1911" s="672" t="str">
        <f>IFERROR(VLOOKUP(E1911,STAT1!$C$4:$D$8000,2,FALSE),"")</f>
        <v>Бараа бэлэн бүтээгдэхүүн БОЛОВСРУУЛАХ ЦЕХ /нарс/</v>
      </c>
      <c r="G1911" s="377"/>
      <c r="H1911" s="377">
        <v>1200768.8910751799</v>
      </c>
      <c r="I1911" s="596">
        <f t="shared" si="193"/>
        <v>0</v>
      </c>
      <c r="J1911" s="81">
        <f t="shared" si="195"/>
        <v>0</v>
      </c>
      <c r="K1911" s="81"/>
      <c r="L1911" s="597">
        <v>4002</v>
      </c>
      <c r="M1911" s="81" t="str">
        <f>+IFERROR(VLOOKUP(L1911,DATA!$G$4:$H$2000,2,FALSE),"")</f>
        <v xml:space="preserve">Хувь хүн </v>
      </c>
      <c r="N1911" s="166"/>
      <c r="O1911" s="81" t="str">
        <f>IFERROR(VLOOKUP(N1911,DATA!$K$4:$L$51,2,FALSE),"")</f>
        <v/>
      </c>
      <c r="P1911" s="81"/>
      <c r="Q1911" s="152">
        <f t="shared" si="192"/>
        <v>0</v>
      </c>
    </row>
    <row r="1912" spans="2:17">
      <c r="B1912" s="670">
        <f t="shared" si="196"/>
        <v>1907</v>
      </c>
      <c r="C1912" s="601">
        <v>43006</v>
      </c>
      <c r="D1912" s="377" t="s">
        <v>587</v>
      </c>
      <c r="E1912" s="674">
        <v>610100</v>
      </c>
      <c r="F1912" s="672" t="str">
        <f>IFERROR(VLOOKUP(E1912,STAT1!$C$4:$D$8000,2,FALSE),"")</f>
        <v>Борлуулсан барааны өртөг</v>
      </c>
      <c r="G1912" s="377">
        <v>1200768.8910751771</v>
      </c>
      <c r="H1912" s="377"/>
      <c r="I1912" s="596">
        <f t="shared" si="193"/>
        <v>0</v>
      </c>
      <c r="J1912" s="81">
        <f t="shared" si="195"/>
        <v>0</v>
      </c>
      <c r="K1912" s="81"/>
      <c r="L1912" s="597">
        <v>4002</v>
      </c>
      <c r="M1912" s="81" t="str">
        <f>+IFERROR(VLOOKUP(L1912,DATA!$G$4:$H$2000,2,FALSE),"")</f>
        <v xml:space="preserve">Хувь хүн </v>
      </c>
      <c r="N1912" s="166"/>
      <c r="O1912" s="81" t="str">
        <f>IFERROR(VLOOKUP(N1912,DATA!$K$4:$L$51,2,FALSE),"")</f>
        <v/>
      </c>
      <c r="P1912" s="81"/>
      <c r="Q1912" s="152">
        <f t="shared" si="192"/>
        <v>0</v>
      </c>
    </row>
    <row r="1913" spans="2:17">
      <c r="B1913" s="670">
        <f t="shared" si="196"/>
        <v>1908</v>
      </c>
      <c r="C1913" s="601">
        <v>43006</v>
      </c>
      <c r="D1913" s="377" t="s">
        <v>587</v>
      </c>
      <c r="E1913" s="674">
        <v>310500</v>
      </c>
      <c r="F1913" s="672" t="str">
        <f>IFERROR(VLOOKUP(E1913,STAT1!$C$4:$D$8000,2,FALSE),"")</f>
        <v>НӨАТ өглөг</v>
      </c>
      <c r="G1913" s="377"/>
      <c r="H1913" s="377">
        <v>157650.90896000003</v>
      </c>
      <c r="I1913" s="596">
        <f t="shared" si="193"/>
        <v>0</v>
      </c>
      <c r="J1913" s="81">
        <f t="shared" si="195"/>
        <v>0</v>
      </c>
      <c r="K1913" s="81"/>
      <c r="L1913" s="597">
        <v>4002</v>
      </c>
      <c r="M1913" s="81" t="str">
        <f>+IFERROR(VLOOKUP(L1913,DATA!$G$4:$H$2000,2,FALSE),"")</f>
        <v xml:space="preserve">Хувь хүн </v>
      </c>
      <c r="N1913" s="166"/>
      <c r="O1913" s="81" t="str">
        <f>IFERROR(VLOOKUP(N1913,DATA!$K$4:$L$51,2,FALSE),"")</f>
        <v/>
      </c>
      <c r="P1913" s="81"/>
      <c r="Q1913" s="152">
        <f t="shared" si="192"/>
        <v>0</v>
      </c>
    </row>
    <row r="1914" spans="2:17">
      <c r="B1914" s="670">
        <f t="shared" si="196"/>
        <v>1909</v>
      </c>
      <c r="C1914" s="601">
        <v>43006</v>
      </c>
      <c r="D1914" s="377" t="s">
        <v>587</v>
      </c>
      <c r="E1914" s="674">
        <v>510000</v>
      </c>
      <c r="F1914" s="672" t="str">
        <f>IFERROR(VLOOKUP(E1914,STAT1!$C$4:$D$8000,2,FALSE),"")</f>
        <v>Үндсэн үйл ажиллагааны борлуулалт</v>
      </c>
      <c r="G1914" s="377"/>
      <c r="H1914" s="377">
        <v>1576509.0896000001</v>
      </c>
      <c r="I1914" s="596">
        <f t="shared" si="193"/>
        <v>0</v>
      </c>
      <c r="J1914" s="81">
        <f t="shared" si="195"/>
        <v>0</v>
      </c>
      <c r="K1914" s="81"/>
      <c r="L1914" s="597">
        <v>4002</v>
      </c>
      <c r="M1914" s="81" t="str">
        <f>+IFERROR(VLOOKUP(L1914,DATA!$G$4:$H$2000,2,FALSE),"")</f>
        <v xml:space="preserve">Хувь хүн </v>
      </c>
      <c r="N1914" s="166"/>
      <c r="O1914" s="81" t="str">
        <f>IFERROR(VLOOKUP(N1914,DATA!$K$4:$L$51,2,FALSE),"")</f>
        <v/>
      </c>
      <c r="P1914" s="81"/>
      <c r="Q1914" s="152">
        <f t="shared" si="192"/>
        <v>0</v>
      </c>
    </row>
    <row r="1915" spans="2:17">
      <c r="B1915" s="670">
        <f t="shared" si="196"/>
        <v>1910</v>
      </c>
      <c r="C1915" s="601">
        <v>43006</v>
      </c>
      <c r="D1915" s="377" t="s">
        <v>587</v>
      </c>
      <c r="E1915" s="674">
        <v>320100</v>
      </c>
      <c r="F1915" s="672" t="str">
        <f>IFERROR(VLOOKUP(E1915,STAT1!$C$4:$D$8000,2,FALSE),"")</f>
        <v>Урьдчилж орсон орлого MNT</v>
      </c>
      <c r="G1915" s="377">
        <v>1734159.9985600002</v>
      </c>
      <c r="H1915" s="377"/>
      <c r="I1915" s="596">
        <f t="shared" si="193"/>
        <v>0</v>
      </c>
      <c r="J1915" s="81">
        <f t="shared" si="195"/>
        <v>0</v>
      </c>
      <c r="K1915" s="81"/>
      <c r="L1915" s="597">
        <v>4002</v>
      </c>
      <c r="M1915" s="81" t="str">
        <f>+IFERROR(VLOOKUP(L1915,DATA!$G$4:$H$2000,2,FALSE),"")</f>
        <v xml:space="preserve">Хувь хүн </v>
      </c>
      <c r="N1915" s="166"/>
      <c r="O1915" s="81" t="str">
        <f>IFERROR(VLOOKUP(N1915,DATA!$K$4:$L$51,2,FALSE),"")</f>
        <v/>
      </c>
      <c r="P1915" s="81"/>
      <c r="Q1915" s="152">
        <f t="shared" si="192"/>
        <v>0</v>
      </c>
    </row>
    <row r="1916" spans="2:17">
      <c r="B1916" s="670">
        <f t="shared" si="196"/>
        <v>1911</v>
      </c>
      <c r="C1916" s="433">
        <v>43007</v>
      </c>
      <c r="D1916" s="598" t="s">
        <v>1741</v>
      </c>
      <c r="E1916" s="572">
        <v>110100</v>
      </c>
      <c r="F1916" s="672" t="str">
        <f>IFERROR(VLOOKUP(E1916,STAT1!$C$4:$D$8000,2,FALSE),"")</f>
        <v>Хаан Банк 5024654020</v>
      </c>
      <c r="G1916" s="377">
        <v>6500000</v>
      </c>
      <c r="H1916" s="377"/>
      <c r="I1916" s="596">
        <f t="shared" si="193"/>
        <v>6500000</v>
      </c>
      <c r="J1916" s="81">
        <f t="shared" si="195"/>
        <v>0</v>
      </c>
      <c r="K1916" s="81"/>
      <c r="L1916" s="597">
        <v>3099</v>
      </c>
      <c r="M1916" s="81" t="str">
        <f>+IFERROR(VLOOKUP(L1916,DATA!$G$4:$H$2000,2,FALSE),"")</f>
        <v>ÃÐÀÍÄ ÑËÀÁ ÕÕÊ</v>
      </c>
      <c r="N1916" s="166">
        <v>41</v>
      </c>
      <c r="O1916" s="81" t="str">
        <f>IFERROR(VLOOKUP(N1916,DATA!$K$4:$L$51,2,FALSE),"")</f>
        <v>Бараа борлуулсан, үйлчилгээ үзүүлсэний орлого</v>
      </c>
      <c r="P1916" s="81"/>
      <c r="Q1916" s="152">
        <f t="shared" si="192"/>
        <v>1</v>
      </c>
    </row>
    <row r="1917" spans="2:17">
      <c r="B1917" s="670">
        <f t="shared" si="196"/>
        <v>1912</v>
      </c>
      <c r="C1917" s="433">
        <v>43007</v>
      </c>
      <c r="D1917" s="598" t="s">
        <v>1741</v>
      </c>
      <c r="E1917" s="572">
        <v>320100</v>
      </c>
      <c r="F1917" s="672" t="str">
        <f>IFERROR(VLOOKUP(E1917,STAT1!$C$4:$D$8000,2,FALSE),"")</f>
        <v>Урьдчилж орсон орлого MNT</v>
      </c>
      <c r="G1917" s="377"/>
      <c r="H1917" s="377">
        <v>6500000</v>
      </c>
      <c r="I1917" s="596">
        <f t="shared" si="193"/>
        <v>0</v>
      </c>
      <c r="J1917" s="81">
        <f t="shared" si="195"/>
        <v>0</v>
      </c>
      <c r="K1917" s="81"/>
      <c r="L1917" s="597">
        <v>3099</v>
      </c>
      <c r="M1917" s="81" t="str">
        <f>+IFERROR(VLOOKUP(L1917,DATA!$G$4:$H$2000,2,FALSE),"")</f>
        <v>ÃÐÀÍÄ ÑËÀÁ ÕÕÊ</v>
      </c>
      <c r="N1917" s="166"/>
      <c r="O1917" s="81" t="str">
        <f>IFERROR(VLOOKUP(N1917,DATA!$K$4:$L$51,2,FALSE),"")</f>
        <v/>
      </c>
      <c r="P1917" s="81"/>
      <c r="Q1917" s="152">
        <f t="shared" si="192"/>
        <v>0</v>
      </c>
    </row>
    <row r="1918" spans="2:17">
      <c r="B1918" s="670">
        <f t="shared" si="196"/>
        <v>1913</v>
      </c>
      <c r="C1918" s="433">
        <v>43007</v>
      </c>
      <c r="D1918" s="598" t="s">
        <v>1741</v>
      </c>
      <c r="E1918" s="572">
        <v>320100</v>
      </c>
      <c r="F1918" s="672" t="str">
        <f>IFERROR(VLOOKUP(E1918,STAT1!$C$4:$D$8000,2,FALSE),"")</f>
        <v>Урьдчилж орсон орлого MNT</v>
      </c>
      <c r="G1918" s="377"/>
      <c r="H1918" s="377">
        <v>564300</v>
      </c>
      <c r="I1918" s="596">
        <f t="shared" si="193"/>
        <v>0</v>
      </c>
      <c r="J1918" s="81">
        <f t="shared" si="195"/>
        <v>0</v>
      </c>
      <c r="K1918" s="81"/>
      <c r="L1918" s="597">
        <v>3097</v>
      </c>
      <c r="M1918" s="81" t="str">
        <f>+IFERROR(VLOOKUP(L1918,DATA!$G$4:$H$2000,2,FALSE),"")</f>
        <v xml:space="preserve">ХӨВСГӨЛ ТРЕЙВЛ ХХК </v>
      </c>
      <c r="N1918" s="166"/>
      <c r="O1918" s="81" t="str">
        <f>IFERROR(VLOOKUP(N1918,DATA!$K$4:$L$51,2,FALSE),"")</f>
        <v/>
      </c>
      <c r="P1918" s="81"/>
      <c r="Q1918" s="152">
        <f t="shared" si="192"/>
        <v>0</v>
      </c>
    </row>
    <row r="1919" spans="2:17">
      <c r="B1919" s="670">
        <f t="shared" si="196"/>
        <v>1914</v>
      </c>
      <c r="C1919" s="433">
        <v>43007</v>
      </c>
      <c r="D1919" s="598" t="s">
        <v>1741</v>
      </c>
      <c r="E1919" s="572">
        <v>110100</v>
      </c>
      <c r="F1919" s="672" t="str">
        <f>IFERROR(VLOOKUP(E1919,STAT1!$C$4:$D$8000,2,FALSE),"")</f>
        <v>Хаан Банк 5024654020</v>
      </c>
      <c r="G1919" s="377">
        <v>564300</v>
      </c>
      <c r="H1919" s="377"/>
      <c r="I1919" s="596">
        <f t="shared" si="193"/>
        <v>564300</v>
      </c>
      <c r="J1919" s="81">
        <f t="shared" si="195"/>
        <v>0</v>
      </c>
      <c r="K1919" s="81"/>
      <c r="L1919" s="597">
        <v>3097</v>
      </c>
      <c r="M1919" s="81" t="str">
        <f>+IFERROR(VLOOKUP(L1919,DATA!$G$4:$H$2000,2,FALSE),"")</f>
        <v xml:space="preserve">ХӨВСГӨЛ ТРЕЙВЛ ХХК </v>
      </c>
      <c r="N1919" s="166">
        <v>41</v>
      </c>
      <c r="O1919" s="81" t="str">
        <f>IFERROR(VLOOKUP(N1919,DATA!$K$4:$L$51,2,FALSE),"")</f>
        <v>Бараа борлуулсан, үйлчилгээ үзүүлсэний орлого</v>
      </c>
      <c r="P1919" s="81"/>
      <c r="Q1919" s="152">
        <f t="shared" si="192"/>
        <v>1</v>
      </c>
    </row>
    <row r="1920" spans="2:17">
      <c r="B1920" s="670">
        <f t="shared" si="196"/>
        <v>1915</v>
      </c>
      <c r="C1920" s="433">
        <v>43007</v>
      </c>
      <c r="D1920" s="598" t="s">
        <v>1714</v>
      </c>
      <c r="E1920" s="572">
        <v>120600</v>
      </c>
      <c r="F1920" s="672" t="str">
        <f>IFERROR(VLOOKUP(E1920,STAT1!$C$4:$D$8000,2,FALSE),"")</f>
        <v>НӨАТ авлага</v>
      </c>
      <c r="G1920" s="377">
        <v>143643.73000000001</v>
      </c>
      <c r="H1920" s="377"/>
      <c r="I1920" s="596">
        <f t="shared" si="193"/>
        <v>0</v>
      </c>
      <c r="J1920" s="81">
        <f t="shared" si="195"/>
        <v>0</v>
      </c>
      <c r="K1920" s="81"/>
      <c r="L1920" s="597">
        <v>2003</v>
      </c>
      <c r="M1920" s="81" t="str">
        <f>+IFERROR(VLOOKUP(L1920,DATA!$G$4:$H$2000,2,FALSE),"")</f>
        <v xml:space="preserve">УБЦТС ТӨХК </v>
      </c>
      <c r="N1920" s="166"/>
      <c r="O1920" s="81" t="str">
        <f>IFERROR(VLOOKUP(N1920,DATA!$K$4:$L$51,2,FALSE),"")</f>
        <v/>
      </c>
      <c r="P1920" s="81"/>
      <c r="Q1920" s="152">
        <f t="shared" si="192"/>
        <v>0</v>
      </c>
    </row>
    <row r="1921" spans="2:17">
      <c r="B1921" s="670">
        <f t="shared" si="196"/>
        <v>1916</v>
      </c>
      <c r="C1921" s="433">
        <v>43007</v>
      </c>
      <c r="D1921" s="598" t="s">
        <v>1714</v>
      </c>
      <c r="E1921" s="572">
        <v>700700</v>
      </c>
      <c r="F1921" s="672" t="str">
        <f>IFERROR(VLOOKUP(E1921,STAT1!$C$4:$D$8000,2,FALSE),"")</f>
        <v>Цахилгаан эрчим хүч</v>
      </c>
      <c r="G1921" s="377">
        <v>1436437.27</v>
      </c>
      <c r="H1921" s="377"/>
      <c r="I1921" s="596">
        <f t="shared" si="193"/>
        <v>0</v>
      </c>
      <c r="J1921" s="81">
        <f t="shared" si="195"/>
        <v>0</v>
      </c>
      <c r="K1921" s="81"/>
      <c r="L1921" s="597">
        <v>2003</v>
      </c>
      <c r="M1921" s="81" t="str">
        <f>+IFERROR(VLOOKUP(L1921,DATA!$G$4:$H$2000,2,FALSE),"")</f>
        <v xml:space="preserve">УБЦТС ТӨХК </v>
      </c>
      <c r="N1921" s="166"/>
      <c r="O1921" s="81" t="str">
        <f>IFERROR(VLOOKUP(N1921,DATA!$K$4:$L$51,2,FALSE),"")</f>
        <v/>
      </c>
      <c r="P1921" s="81"/>
      <c r="Q1921" s="152">
        <f t="shared" si="192"/>
        <v>0</v>
      </c>
    </row>
    <row r="1922" spans="2:17">
      <c r="B1922" s="670">
        <f t="shared" si="196"/>
        <v>1917</v>
      </c>
      <c r="C1922" s="433">
        <v>43007</v>
      </c>
      <c r="D1922" s="598" t="s">
        <v>1714</v>
      </c>
      <c r="E1922" s="572">
        <v>110100</v>
      </c>
      <c r="F1922" s="672" t="str">
        <f>IFERROR(VLOOKUP(E1922,STAT1!$C$4:$D$8000,2,FALSE),"")</f>
        <v>Хаан Банк 5024654020</v>
      </c>
      <c r="G1922" s="377"/>
      <c r="H1922" s="377">
        <v>1580081</v>
      </c>
      <c r="I1922" s="596">
        <f t="shared" si="193"/>
        <v>-1580081</v>
      </c>
      <c r="J1922" s="81">
        <f t="shared" si="195"/>
        <v>0</v>
      </c>
      <c r="K1922" s="81"/>
      <c r="L1922" s="597">
        <v>2003</v>
      </c>
      <c r="M1922" s="81" t="str">
        <f>+IFERROR(VLOOKUP(L1922,DATA!$G$4:$H$2000,2,FALSE),"")</f>
        <v xml:space="preserve">УБЦТС ТӨХК </v>
      </c>
      <c r="N1922" s="166">
        <v>54</v>
      </c>
      <c r="O1922" s="81" t="str">
        <f>IFERROR(VLOOKUP(N1922,DATA!$K$4:$L$51,2,FALSE),"")</f>
        <v>Ашиглалтын зардалд төлсөн</v>
      </c>
      <c r="P1922" s="81"/>
      <c r="Q1922" s="152">
        <f t="shared" si="192"/>
        <v>1</v>
      </c>
    </row>
    <row r="1923" spans="2:17">
      <c r="B1923" s="670">
        <f t="shared" si="196"/>
        <v>1918</v>
      </c>
      <c r="C1923" s="433">
        <v>43007</v>
      </c>
      <c r="D1923" s="598" t="s">
        <v>1747</v>
      </c>
      <c r="E1923" s="572">
        <v>110100</v>
      </c>
      <c r="F1923" s="672" t="str">
        <f>IFERROR(VLOOKUP(E1923,STAT1!$C$4:$D$8000,2,FALSE),"")</f>
        <v>Хаан Банк 5024654020</v>
      </c>
      <c r="G1923" s="377"/>
      <c r="H1923" s="377">
        <v>631443</v>
      </c>
      <c r="I1923" s="596">
        <f t="shared" si="193"/>
        <v>-631443</v>
      </c>
      <c r="J1923" s="81">
        <f t="shared" si="195"/>
        <v>0</v>
      </c>
      <c r="K1923" s="81"/>
      <c r="L1923" s="597">
        <v>2009</v>
      </c>
      <c r="M1923" s="81" t="str">
        <f>+IFERROR(VLOOKUP(L1923,DATA!$G$4:$H$2000,2,FALSE),"")</f>
        <v>ХААН БАНК</v>
      </c>
      <c r="N1923" s="166">
        <v>56</v>
      </c>
      <c r="O1923" s="81" t="str">
        <f>IFERROR(VLOOKUP(N1923,DATA!$K$4:$L$51,2,FALSE),"")</f>
        <v>Хүүний төлбөрт төлсөн</v>
      </c>
      <c r="P1923" s="81"/>
      <c r="Q1923" s="152">
        <f t="shared" si="192"/>
        <v>1</v>
      </c>
    </row>
    <row r="1924" spans="2:17">
      <c r="B1924" s="670">
        <f t="shared" si="196"/>
        <v>1919</v>
      </c>
      <c r="C1924" s="433">
        <v>43007</v>
      </c>
      <c r="D1924" s="598" t="s">
        <v>1747</v>
      </c>
      <c r="E1924" s="572">
        <v>702500</v>
      </c>
      <c r="F1924" s="672" t="str">
        <f>IFERROR(VLOOKUP(E1924,STAT1!$C$4:$D$8000,2,FALSE),"")</f>
        <v>Зээлийн хүүгийн зардал</v>
      </c>
      <c r="G1924" s="377">
        <v>631443</v>
      </c>
      <c r="H1924" s="377"/>
      <c r="I1924" s="596">
        <f t="shared" si="193"/>
        <v>0</v>
      </c>
      <c r="J1924" s="81">
        <f t="shared" si="195"/>
        <v>0</v>
      </c>
      <c r="K1924" s="81"/>
      <c r="L1924" s="597">
        <v>2009</v>
      </c>
      <c r="M1924" s="81" t="str">
        <f>+IFERROR(VLOOKUP(L1924,DATA!$G$4:$H$2000,2,FALSE),"")</f>
        <v>ХААН БАНК</v>
      </c>
      <c r="N1924" s="166"/>
      <c r="O1924" s="81" t="str">
        <f>IFERROR(VLOOKUP(N1924,DATA!$K$4:$L$51,2,FALSE),"")</f>
        <v/>
      </c>
      <c r="P1924" s="81"/>
      <c r="Q1924" s="152">
        <f t="shared" si="192"/>
        <v>0</v>
      </c>
    </row>
    <row r="1925" spans="2:17">
      <c r="B1925" s="670">
        <f t="shared" si="196"/>
        <v>1920</v>
      </c>
      <c r="C1925" s="433">
        <v>43007</v>
      </c>
      <c r="D1925" s="598" t="s">
        <v>1747</v>
      </c>
      <c r="E1925" s="572">
        <v>110100</v>
      </c>
      <c r="F1925" s="672" t="str">
        <f>IFERROR(VLOOKUP(E1925,STAT1!$C$4:$D$8000,2,FALSE),"")</f>
        <v>Хаан Банк 5024654020</v>
      </c>
      <c r="G1925" s="377"/>
      <c r="H1925" s="377">
        <v>2985057</v>
      </c>
      <c r="I1925" s="596">
        <f t="shared" si="193"/>
        <v>-2985057</v>
      </c>
      <c r="J1925" s="81">
        <f t="shared" si="195"/>
        <v>0</v>
      </c>
      <c r="K1925" s="81"/>
      <c r="L1925" s="597">
        <v>2009</v>
      </c>
      <c r="M1925" s="81" t="str">
        <f>+IFERROR(VLOOKUP(L1925,DATA!$G$4:$H$2000,2,FALSE),"")</f>
        <v>ХААН БАНК</v>
      </c>
      <c r="N1925" s="166">
        <v>91</v>
      </c>
      <c r="O1925" s="81" t="str">
        <f>IFERROR(VLOOKUP(N1925,DATA!$K$4:$L$51,2,FALSE),"")</f>
        <v>Зээл, өрийн үнэт цаасны төлбөрт төлсөн</v>
      </c>
      <c r="P1925" s="81"/>
      <c r="Q1925" s="152">
        <f t="shared" si="192"/>
        <v>1</v>
      </c>
    </row>
    <row r="1926" spans="2:17">
      <c r="B1926" s="670">
        <f t="shared" si="196"/>
        <v>1921</v>
      </c>
      <c r="C1926" s="433">
        <v>43007</v>
      </c>
      <c r="D1926" s="598" t="s">
        <v>1747</v>
      </c>
      <c r="E1926" s="572">
        <v>311100</v>
      </c>
      <c r="F1926" s="672" t="str">
        <f>IFERROR(VLOOKUP(E1926,STAT1!$C$4:$D$8000,2,FALSE),"")</f>
        <v xml:space="preserve">Бусад богино хугацаат өглөг </v>
      </c>
      <c r="G1926" s="377">
        <v>2985057</v>
      </c>
      <c r="H1926" s="377"/>
      <c r="I1926" s="596">
        <f t="shared" si="193"/>
        <v>0</v>
      </c>
      <c r="J1926" s="81">
        <f t="shared" si="195"/>
        <v>0</v>
      </c>
      <c r="K1926" s="81"/>
      <c r="L1926" s="597">
        <v>2009</v>
      </c>
      <c r="M1926" s="81" t="str">
        <f>+IFERROR(VLOOKUP(L1926,DATA!$G$4:$H$2000,2,FALSE),"")</f>
        <v>ХААН БАНК</v>
      </c>
      <c r="N1926" s="166"/>
      <c r="O1926" s="81" t="str">
        <f>IFERROR(VLOOKUP(N1926,DATA!$K$4:$L$51,2,FALSE),"")</f>
        <v/>
      </c>
      <c r="P1926" s="81"/>
      <c r="Q1926" s="152">
        <f t="shared" ref="Q1926:Q1989" si="197">+IF(I1926,1,0)</f>
        <v>0</v>
      </c>
    </row>
    <row r="1927" spans="2:17">
      <c r="B1927" s="670">
        <f t="shared" si="196"/>
        <v>1922</v>
      </c>
      <c r="C1927" s="433">
        <v>43007</v>
      </c>
      <c r="D1927" s="598" t="s">
        <v>1749</v>
      </c>
      <c r="E1927" s="572">
        <v>110100</v>
      </c>
      <c r="F1927" s="672" t="str">
        <f>IFERROR(VLOOKUP(E1927,STAT1!$C$4:$D$8000,2,FALSE),"")</f>
        <v>Хаан Банк 5024654020</v>
      </c>
      <c r="G1927" s="377"/>
      <c r="H1927" s="377">
        <v>1800000</v>
      </c>
      <c r="I1927" s="596">
        <f t="shared" si="193"/>
        <v>-1800000</v>
      </c>
      <c r="J1927" s="81">
        <f t="shared" si="195"/>
        <v>0</v>
      </c>
      <c r="K1927" s="81"/>
      <c r="L1927" s="597">
        <v>1004</v>
      </c>
      <c r="M1927" s="81" t="str">
        <f>+IFERROR(VLOOKUP(L1927,DATA!$G$4:$H$2000,2,FALSE),"")</f>
        <v xml:space="preserve">Түмэндэлгэр </v>
      </c>
      <c r="N1927" s="166"/>
      <c r="O1927" s="81" t="str">
        <f>IFERROR(VLOOKUP(N1927,DATA!$K$4:$L$51,2,FALSE),"")</f>
        <v/>
      </c>
      <c r="P1927" s="81"/>
      <c r="Q1927" s="152">
        <f t="shared" si="197"/>
        <v>1</v>
      </c>
    </row>
    <row r="1928" spans="2:17">
      <c r="B1928" s="670">
        <f t="shared" si="196"/>
        <v>1923</v>
      </c>
      <c r="C1928" s="433">
        <v>43007</v>
      </c>
      <c r="D1928" s="598" t="s">
        <v>1749</v>
      </c>
      <c r="E1928" s="572">
        <v>100100</v>
      </c>
      <c r="F1928" s="672" t="str">
        <f>IFERROR(VLOOKUP(E1928,STAT1!$C$4:$D$8000,2,FALSE),"")</f>
        <v>Касс мөнгө MNT</v>
      </c>
      <c r="G1928" s="377">
        <v>1800000</v>
      </c>
      <c r="H1928" s="377"/>
      <c r="I1928" s="596">
        <f t="shared" si="193"/>
        <v>1800000</v>
      </c>
      <c r="J1928" s="81">
        <f t="shared" si="195"/>
        <v>0</v>
      </c>
      <c r="K1928" s="81"/>
      <c r="L1928" s="597">
        <v>1004</v>
      </c>
      <c r="M1928" s="81" t="str">
        <f>+IFERROR(VLOOKUP(L1928,DATA!$G$4:$H$2000,2,FALSE),"")</f>
        <v xml:space="preserve">Түмэндэлгэр </v>
      </c>
      <c r="N1928" s="166"/>
      <c r="O1928" s="81" t="str">
        <f>IFERROR(VLOOKUP(N1928,DATA!$K$4:$L$51,2,FALSE),"")</f>
        <v/>
      </c>
      <c r="P1928" s="81"/>
      <c r="Q1928" s="152">
        <f t="shared" si="197"/>
        <v>1</v>
      </c>
    </row>
    <row r="1929" spans="2:17">
      <c r="B1929" s="670">
        <f t="shared" si="196"/>
        <v>1924</v>
      </c>
      <c r="C1929" s="433">
        <v>43007</v>
      </c>
      <c r="D1929" s="598" t="s">
        <v>1750</v>
      </c>
      <c r="E1929" s="572">
        <v>110100</v>
      </c>
      <c r="F1929" s="672" t="str">
        <f>IFERROR(VLOOKUP(E1929,STAT1!$C$4:$D$8000,2,FALSE),"")</f>
        <v>Хаан Банк 5024654020</v>
      </c>
      <c r="G1929" s="377"/>
      <c r="H1929" s="377">
        <v>400</v>
      </c>
      <c r="I1929" s="596">
        <f t="shared" si="193"/>
        <v>-400</v>
      </c>
      <c r="J1929" s="81">
        <f t="shared" si="195"/>
        <v>0</v>
      </c>
      <c r="K1929" s="81"/>
      <c r="L1929" s="597">
        <v>2009</v>
      </c>
      <c r="M1929" s="81" t="str">
        <f>+IFERROR(VLOOKUP(L1929,DATA!$G$4:$H$2000,2,FALSE),"")</f>
        <v>ХААН БАНК</v>
      </c>
      <c r="N1929" s="166">
        <v>59</v>
      </c>
      <c r="O1929" s="81" t="str">
        <f>IFERROR(VLOOKUP(N1929,DATA!$K$4:$L$51,2,FALSE),"")</f>
        <v>Бусад мөнгөн зарлага</v>
      </c>
      <c r="P1929" s="81"/>
      <c r="Q1929" s="152">
        <f t="shared" si="197"/>
        <v>1</v>
      </c>
    </row>
    <row r="1930" spans="2:17">
      <c r="B1930" s="670">
        <f t="shared" si="196"/>
        <v>1925</v>
      </c>
      <c r="C1930" s="433">
        <v>43007</v>
      </c>
      <c r="D1930" s="598" t="s">
        <v>1750</v>
      </c>
      <c r="E1930" s="572">
        <v>704900</v>
      </c>
      <c r="F1930" s="672" t="str">
        <f>IFERROR(VLOOKUP(E1930,STAT1!$C$4:$D$8000,2,FALSE),"")</f>
        <v>Банкны үйлчилгээ</v>
      </c>
      <c r="G1930" s="377">
        <v>400</v>
      </c>
      <c r="H1930" s="377"/>
      <c r="I1930" s="596">
        <f t="shared" si="193"/>
        <v>0</v>
      </c>
      <c r="J1930" s="81">
        <f t="shared" si="195"/>
        <v>0</v>
      </c>
      <c r="K1930" s="81"/>
      <c r="L1930" s="597">
        <v>2009</v>
      </c>
      <c r="M1930" s="81" t="str">
        <f>+IFERROR(VLOOKUP(L1930,DATA!$G$4:$H$2000,2,FALSE),"")</f>
        <v>ХААН БАНК</v>
      </c>
      <c r="N1930" s="166"/>
      <c r="O1930" s="81" t="str">
        <f>IFERROR(VLOOKUP(N1930,DATA!$K$4:$L$51,2,FALSE),"")</f>
        <v/>
      </c>
      <c r="P1930" s="81"/>
      <c r="Q1930" s="152">
        <f t="shared" si="197"/>
        <v>0</v>
      </c>
    </row>
    <row r="1931" spans="2:17">
      <c r="B1931" s="670">
        <f t="shared" si="196"/>
        <v>1926</v>
      </c>
      <c r="C1931" s="601">
        <v>43007</v>
      </c>
      <c r="D1931" s="377" t="s">
        <v>1659</v>
      </c>
      <c r="E1931" s="673">
        <v>150101</v>
      </c>
      <c r="F1931" s="672" t="str">
        <f>IFERROR(VLOOKUP(E1931,STAT1!$C$4:$D$8000,2,FALSE),"")</f>
        <v>Бараа бэлэн бүтээгдэхүүн БОЛОВСРУУЛАХ ЦЕХ /нарс/</v>
      </c>
      <c r="G1931" s="377"/>
      <c r="H1931" s="377">
        <v>221446.77661657686</v>
      </c>
      <c r="I1931" s="596">
        <f t="shared" si="193"/>
        <v>0</v>
      </c>
      <c r="J1931" s="81">
        <f t="shared" si="195"/>
        <v>0</v>
      </c>
      <c r="K1931" s="81"/>
      <c r="L1931" s="597">
        <v>3097</v>
      </c>
      <c r="M1931" s="81" t="str">
        <f>+IFERROR(VLOOKUP(L1931,DATA!$G$4:$H$2000,2,FALSE),"")</f>
        <v xml:space="preserve">ХӨВСГӨЛ ТРЕЙВЛ ХХК </v>
      </c>
      <c r="N1931" s="166"/>
      <c r="O1931" s="81" t="str">
        <f>IFERROR(VLOOKUP(N1931,DATA!$K$4:$L$51,2,FALSE),"")</f>
        <v/>
      </c>
      <c r="P1931" s="81"/>
      <c r="Q1931" s="152">
        <f t="shared" si="197"/>
        <v>0</v>
      </c>
    </row>
    <row r="1932" spans="2:17">
      <c r="B1932" s="670">
        <f t="shared" si="196"/>
        <v>1927</v>
      </c>
      <c r="C1932" s="601">
        <v>43007</v>
      </c>
      <c r="D1932" s="377" t="s">
        <v>587</v>
      </c>
      <c r="E1932" s="674">
        <v>610100</v>
      </c>
      <c r="F1932" s="672" t="str">
        <f>IFERROR(VLOOKUP(E1932,STAT1!$C$4:$D$8000,2,FALSE),"")</f>
        <v>Борлуулсан барааны өртөг</v>
      </c>
      <c r="G1932" s="377">
        <v>221446.77661657686</v>
      </c>
      <c r="H1932" s="377"/>
      <c r="I1932" s="596">
        <f t="shared" si="193"/>
        <v>0</v>
      </c>
      <c r="J1932" s="81">
        <f t="shared" si="195"/>
        <v>0</v>
      </c>
      <c r="K1932" s="81"/>
      <c r="L1932" s="597">
        <v>3097</v>
      </c>
      <c r="M1932" s="81" t="str">
        <f>+IFERROR(VLOOKUP(L1932,DATA!$G$4:$H$2000,2,FALSE),"")</f>
        <v xml:space="preserve">ХӨВСГӨЛ ТРЕЙВЛ ХХК </v>
      </c>
      <c r="N1932" s="166"/>
      <c r="O1932" s="81" t="str">
        <f>IFERROR(VLOOKUP(N1932,DATA!$K$4:$L$51,2,FALSE),"")</f>
        <v/>
      </c>
      <c r="P1932" s="81"/>
      <c r="Q1932" s="152">
        <f t="shared" si="197"/>
        <v>0</v>
      </c>
    </row>
    <row r="1933" spans="2:17">
      <c r="B1933" s="670">
        <f t="shared" si="196"/>
        <v>1928</v>
      </c>
      <c r="C1933" s="601">
        <v>43007</v>
      </c>
      <c r="D1933" s="377" t="s">
        <v>587</v>
      </c>
      <c r="E1933" s="674">
        <v>310500</v>
      </c>
      <c r="F1933" s="672" t="str">
        <f>IFERROR(VLOOKUP(E1933,STAT1!$C$4:$D$8000,2,FALSE),"")</f>
        <v>НӨАТ өглөг</v>
      </c>
      <c r="G1933" s="377"/>
      <c r="H1933" s="377">
        <v>51300</v>
      </c>
      <c r="I1933" s="596">
        <f t="shared" si="193"/>
        <v>0</v>
      </c>
      <c r="J1933" s="81">
        <f t="shared" si="195"/>
        <v>0</v>
      </c>
      <c r="K1933" s="81"/>
      <c r="L1933" s="597">
        <v>3097</v>
      </c>
      <c r="M1933" s="81" t="str">
        <f>+IFERROR(VLOOKUP(L1933,DATA!$G$4:$H$2000,2,FALSE),"")</f>
        <v xml:space="preserve">ХӨВСГӨЛ ТРЕЙВЛ ХХК </v>
      </c>
      <c r="N1933" s="166"/>
      <c r="O1933" s="81" t="str">
        <f>IFERROR(VLOOKUP(N1933,DATA!$K$4:$L$51,2,FALSE),"")</f>
        <v/>
      </c>
      <c r="P1933" s="81"/>
      <c r="Q1933" s="152">
        <f t="shared" si="197"/>
        <v>0</v>
      </c>
    </row>
    <row r="1934" spans="2:17">
      <c r="B1934" s="670">
        <f t="shared" si="196"/>
        <v>1929</v>
      </c>
      <c r="C1934" s="601">
        <v>43007</v>
      </c>
      <c r="D1934" s="377" t="s">
        <v>587</v>
      </c>
      <c r="E1934" s="674">
        <v>510000</v>
      </c>
      <c r="F1934" s="672" t="str">
        <f>IFERROR(VLOOKUP(E1934,STAT1!$C$4:$D$8000,2,FALSE),"")</f>
        <v>Үндсэн үйл ажиллагааны борлуулалт</v>
      </c>
      <c r="G1934" s="377"/>
      <c r="H1934" s="377">
        <v>513000</v>
      </c>
      <c r="I1934" s="596">
        <f t="shared" si="193"/>
        <v>0</v>
      </c>
      <c r="J1934" s="81">
        <f t="shared" si="195"/>
        <v>0</v>
      </c>
      <c r="K1934" s="81"/>
      <c r="L1934" s="597">
        <v>3097</v>
      </c>
      <c r="M1934" s="81" t="str">
        <f>+IFERROR(VLOOKUP(L1934,DATA!$G$4:$H$2000,2,FALSE),"")</f>
        <v xml:space="preserve">ХӨВСГӨЛ ТРЕЙВЛ ХХК </v>
      </c>
      <c r="N1934" s="166"/>
      <c r="O1934" s="81" t="str">
        <f>IFERROR(VLOOKUP(N1934,DATA!$K$4:$L$51,2,FALSE),"")</f>
        <v/>
      </c>
      <c r="P1934" s="81"/>
      <c r="Q1934" s="152">
        <f t="shared" si="197"/>
        <v>0</v>
      </c>
    </row>
    <row r="1935" spans="2:17">
      <c r="B1935" s="670">
        <f t="shared" si="196"/>
        <v>1930</v>
      </c>
      <c r="C1935" s="601">
        <v>43007</v>
      </c>
      <c r="D1935" s="377" t="s">
        <v>587</v>
      </c>
      <c r="E1935" s="674">
        <v>320100</v>
      </c>
      <c r="F1935" s="672" t="str">
        <f>IFERROR(VLOOKUP(E1935,STAT1!$C$4:$D$8000,2,FALSE),"")</f>
        <v>Урьдчилж орсон орлого MNT</v>
      </c>
      <c r="G1935" s="377">
        <v>564300</v>
      </c>
      <c r="H1935" s="377"/>
      <c r="I1935" s="596">
        <f t="shared" si="193"/>
        <v>0</v>
      </c>
      <c r="J1935" s="81">
        <f t="shared" si="195"/>
        <v>0</v>
      </c>
      <c r="K1935" s="81"/>
      <c r="L1935" s="597">
        <v>3097</v>
      </c>
      <c r="M1935" s="81" t="str">
        <f>+IFERROR(VLOOKUP(L1935,DATA!$G$4:$H$2000,2,FALSE),"")</f>
        <v xml:space="preserve">ХӨВСГӨЛ ТРЕЙВЛ ХХК </v>
      </c>
      <c r="N1935" s="166"/>
      <c r="O1935" s="81" t="str">
        <f>IFERROR(VLOOKUP(N1935,DATA!$K$4:$L$51,2,FALSE),"")</f>
        <v/>
      </c>
      <c r="P1935" s="81"/>
      <c r="Q1935" s="152">
        <f t="shared" si="197"/>
        <v>0</v>
      </c>
    </row>
    <row r="1936" spans="2:17">
      <c r="B1936" s="670">
        <f t="shared" si="196"/>
        <v>1931</v>
      </c>
      <c r="C1936" s="433">
        <v>43008</v>
      </c>
      <c r="D1936" s="598" t="s">
        <v>1751</v>
      </c>
      <c r="E1936" s="572">
        <v>110100</v>
      </c>
      <c r="F1936" s="672" t="str">
        <f>IFERROR(VLOOKUP(E1936,STAT1!$C$4:$D$8000,2,FALSE),"")</f>
        <v>Хаан Банк 5024654020</v>
      </c>
      <c r="G1936" s="377"/>
      <c r="H1936" s="377">
        <v>2000</v>
      </c>
      <c r="I1936" s="596">
        <f t="shared" si="193"/>
        <v>-2000</v>
      </c>
      <c r="J1936" s="81">
        <f t="shared" si="195"/>
        <v>0</v>
      </c>
      <c r="K1936" s="81"/>
      <c r="L1936" s="597">
        <v>2009</v>
      </c>
      <c r="M1936" s="81" t="str">
        <f>+IFERROR(VLOOKUP(L1936,DATA!$G$4:$H$2000,2,FALSE),"")</f>
        <v>ХААН БАНК</v>
      </c>
      <c r="N1936" s="166">
        <v>59</v>
      </c>
      <c r="O1936" s="81" t="str">
        <f>IFERROR(VLOOKUP(N1936,DATA!$K$4:$L$51,2,FALSE),"")</f>
        <v>Бусад мөнгөн зарлага</v>
      </c>
      <c r="P1936" s="81"/>
      <c r="Q1936" s="152">
        <f t="shared" si="197"/>
        <v>1</v>
      </c>
    </row>
    <row r="1937" spans="2:17">
      <c r="B1937" s="670">
        <f t="shared" si="196"/>
        <v>1932</v>
      </c>
      <c r="C1937" s="433">
        <v>43008</v>
      </c>
      <c r="D1937" s="598" t="s">
        <v>1751</v>
      </c>
      <c r="E1937" s="572">
        <v>704900</v>
      </c>
      <c r="F1937" s="672" t="str">
        <f>IFERROR(VLOOKUP(E1937,STAT1!$C$4:$D$8000,2,FALSE),"")</f>
        <v>Банкны үйлчилгээ</v>
      </c>
      <c r="G1937" s="377">
        <v>2000</v>
      </c>
      <c r="H1937" s="377"/>
      <c r="I1937" s="596">
        <f t="shared" si="193"/>
        <v>0</v>
      </c>
      <c r="J1937" s="81"/>
      <c r="K1937" s="81"/>
      <c r="L1937" s="597">
        <v>2009</v>
      </c>
      <c r="M1937" s="81" t="str">
        <f>+IFERROR(VLOOKUP(L1937,DATA!$G$4:$H$2000,2,FALSE),"")</f>
        <v>ХААН БАНК</v>
      </c>
      <c r="N1937" s="166"/>
      <c r="O1937" s="81" t="str">
        <f>IFERROR(VLOOKUP(N1937,DATA!$K$4:$L$51,2,FALSE),"")</f>
        <v/>
      </c>
      <c r="P1937" s="81"/>
      <c r="Q1937" s="152">
        <f t="shared" si="197"/>
        <v>0</v>
      </c>
    </row>
    <row r="1938" spans="2:17">
      <c r="B1938" s="670">
        <f t="shared" si="196"/>
        <v>1933</v>
      </c>
      <c r="C1938" s="433">
        <v>43008</v>
      </c>
      <c r="D1938" s="377" t="s">
        <v>1766</v>
      </c>
      <c r="E1938" s="572">
        <v>701600</v>
      </c>
      <c r="F1938" s="672" t="str">
        <f>IFERROR(VLOOKUP(E1938,STAT1!$C$4:$D$8000,2,FALSE),"")</f>
        <v>Элэгдэл, хорогдлын зардал</v>
      </c>
      <c r="G1938" s="377">
        <v>6661875</v>
      </c>
      <c r="H1938" s="377"/>
      <c r="I1938" s="596">
        <f t="shared" si="193"/>
        <v>0</v>
      </c>
      <c r="J1938" s="380">
        <f t="shared" ref="J1938:J1947" si="198">+IF(E1938=110102,I1938/K1938,0)</f>
        <v>0</v>
      </c>
      <c r="K1938" s="380"/>
      <c r="L1938" s="597">
        <v>1006</v>
      </c>
      <c r="M1938" s="81" t="str">
        <f>+IFERROR(VLOOKUP(L1938,DATA!$G$4:$H$2000,2,FALSE),"")</f>
        <v>Оюундэлгэр /нярав/</v>
      </c>
      <c r="N1938" s="166"/>
      <c r="O1938" s="81" t="str">
        <f>IFERROR(VLOOKUP(N1938,DATA!$K$4:$L$51,2,FALSE),"")</f>
        <v/>
      </c>
      <c r="P1938" s="81"/>
      <c r="Q1938" s="152">
        <f t="shared" si="197"/>
        <v>0</v>
      </c>
    </row>
    <row r="1939" spans="2:17">
      <c r="B1939" s="670">
        <f t="shared" si="196"/>
        <v>1934</v>
      </c>
      <c r="C1939" s="433">
        <v>43008</v>
      </c>
      <c r="D1939" s="377" t="s">
        <v>1766</v>
      </c>
      <c r="E1939" s="572">
        <v>201200</v>
      </c>
      <c r="F1939" s="672" t="str">
        <f>IFERROR(VLOOKUP(E1939,STAT1!$C$4:$D$8000,2,FALSE),"")</f>
        <v>Хур. элэгдэл - Барилга байгууламж</v>
      </c>
      <c r="G1939" s="377"/>
      <c r="H1939" s="377">
        <v>6661875</v>
      </c>
      <c r="I1939" s="596">
        <f t="shared" si="193"/>
        <v>0</v>
      </c>
      <c r="J1939" s="380">
        <f t="shared" si="198"/>
        <v>0</v>
      </c>
      <c r="K1939" s="380"/>
      <c r="L1939" s="597">
        <v>1006</v>
      </c>
      <c r="M1939" s="81" t="str">
        <f>+IFERROR(VLOOKUP(L1939,DATA!$G$4:$H$2000,2,FALSE),"")</f>
        <v>Оюундэлгэр /нярав/</v>
      </c>
      <c r="N1939" s="166"/>
      <c r="O1939" s="81" t="str">
        <f>IFERROR(VLOOKUP(N1939,DATA!$K$4:$L$51,2,FALSE),"")</f>
        <v/>
      </c>
      <c r="P1939" s="81"/>
      <c r="Q1939" s="152">
        <f t="shared" si="197"/>
        <v>0</v>
      </c>
    </row>
    <row r="1940" spans="2:17">
      <c r="B1940" s="670">
        <f t="shared" si="196"/>
        <v>1935</v>
      </c>
      <c r="C1940" s="433">
        <v>43008</v>
      </c>
      <c r="D1940" s="377" t="s">
        <v>1767</v>
      </c>
      <c r="E1940" s="572">
        <v>701600</v>
      </c>
      <c r="F1940" s="672" t="str">
        <f>IFERROR(VLOOKUP(E1940,STAT1!$C$4:$D$8000,2,FALSE),"")</f>
        <v>Элэгдэл, хорогдлын зардал</v>
      </c>
      <c r="G1940" s="377">
        <v>73072.72</v>
      </c>
      <c r="H1940" s="377"/>
      <c r="I1940" s="596">
        <f t="shared" ref="I1940:I1986" si="199">+IF(OR(E1940=100100,E1940=100200,E1940=110100,E1940=110102,E1940=110103,E1940=110104,E1940=110105,E1940=110200,E1940=110201,E1940=110202,E1940=110203,E1940=110204,E1940=110300),G1940,0)+IF(OR(E1940=100100,E1940=100200,E1940=110100,E1940=110102,E1940=110103,E1940=110104,E1940=110105,E1940=110200,E1940=110201,E1940=110202,E1940=110203,E1940=110204,E1940=110300),H1940*-1,0)</f>
        <v>0</v>
      </c>
      <c r="J1940" s="380">
        <f t="shared" si="198"/>
        <v>0</v>
      </c>
      <c r="K1940" s="380"/>
      <c r="L1940" s="597">
        <v>1006</v>
      </c>
      <c r="M1940" s="81" t="str">
        <f>+IFERROR(VLOOKUP(L1940,DATA!$G$4:$H$2000,2,FALSE),"")</f>
        <v>Оюундэлгэр /нярав/</v>
      </c>
      <c r="N1940" s="166"/>
      <c r="O1940" s="81" t="str">
        <f>IFERROR(VLOOKUP(N1940,DATA!$K$4:$L$51,2,FALSE),"")</f>
        <v/>
      </c>
      <c r="P1940" s="81"/>
      <c r="Q1940" s="152">
        <f t="shared" si="197"/>
        <v>0</v>
      </c>
    </row>
    <row r="1941" spans="2:17">
      <c r="B1941" s="670">
        <f t="shared" si="196"/>
        <v>1936</v>
      </c>
      <c r="C1941" s="433">
        <v>43008</v>
      </c>
      <c r="D1941" s="377" t="s">
        <v>1767</v>
      </c>
      <c r="E1941" s="572">
        <v>201300</v>
      </c>
      <c r="F1941" s="672" t="str">
        <f>IFERROR(VLOOKUP(E1941,STAT1!$C$4:$D$8000,2,FALSE),"")</f>
        <v>Хур. элэгдэл - Тавилга эд хогшил</v>
      </c>
      <c r="G1941" s="377"/>
      <c r="H1941" s="377">
        <v>73072.72</v>
      </c>
      <c r="I1941" s="596">
        <f t="shared" si="199"/>
        <v>0</v>
      </c>
      <c r="J1941" s="380">
        <f t="shared" si="198"/>
        <v>0</v>
      </c>
      <c r="K1941" s="380"/>
      <c r="L1941" s="597">
        <v>1006</v>
      </c>
      <c r="M1941" s="81" t="str">
        <f>+IFERROR(VLOOKUP(L1941,DATA!$G$4:$H$2000,2,FALSE),"")</f>
        <v>Оюундэлгэр /нярав/</v>
      </c>
      <c r="N1941" s="166"/>
      <c r="O1941" s="81" t="str">
        <f>IFERROR(VLOOKUP(N1941,DATA!$K$4:$L$51,2,FALSE),"")</f>
        <v/>
      </c>
      <c r="P1941" s="81"/>
      <c r="Q1941" s="152">
        <f t="shared" si="197"/>
        <v>0</v>
      </c>
    </row>
    <row r="1942" spans="2:17">
      <c r="B1942" s="670">
        <f t="shared" si="196"/>
        <v>1937</v>
      </c>
      <c r="C1942" s="433">
        <v>43008</v>
      </c>
      <c r="D1942" s="377" t="s">
        <v>1768</v>
      </c>
      <c r="E1942" s="572">
        <v>701600</v>
      </c>
      <c r="F1942" s="672" t="str">
        <f>IFERROR(VLOOKUP(E1942,STAT1!$C$4:$D$8000,2,FALSE),"")</f>
        <v>Элэгдэл, хорогдлын зардал</v>
      </c>
      <c r="G1942" s="377">
        <v>16634720.9</v>
      </c>
      <c r="H1942" s="377"/>
      <c r="I1942" s="596">
        <f t="shared" si="199"/>
        <v>0</v>
      </c>
      <c r="J1942" s="380">
        <f t="shared" si="198"/>
        <v>0</v>
      </c>
      <c r="K1942" s="380"/>
      <c r="L1942" s="597">
        <v>1006</v>
      </c>
      <c r="M1942" s="81" t="str">
        <f>+IFERROR(VLOOKUP(L1942,DATA!$G$4:$H$2000,2,FALSE),"")</f>
        <v>Оюундэлгэр /нярав/</v>
      </c>
      <c r="N1942" s="166"/>
      <c r="O1942" s="81" t="str">
        <f>IFERROR(VLOOKUP(N1942,DATA!$K$4:$L$51,2,FALSE),"")</f>
        <v/>
      </c>
      <c r="P1942" s="81"/>
      <c r="Q1942" s="152">
        <f t="shared" si="197"/>
        <v>0</v>
      </c>
    </row>
    <row r="1943" spans="2:17">
      <c r="B1943" s="670">
        <f t="shared" si="196"/>
        <v>1938</v>
      </c>
      <c r="C1943" s="433">
        <v>43008</v>
      </c>
      <c r="D1943" s="377" t="s">
        <v>1768</v>
      </c>
      <c r="E1943" s="572">
        <v>201400</v>
      </c>
      <c r="F1943" s="672" t="str">
        <f>IFERROR(VLOOKUP(E1943,STAT1!$C$4:$D$8000,2,FALSE),"")</f>
        <v>Хур. элэгдэл - Машин тоног төхөөрөмж</v>
      </c>
      <c r="G1943" s="377"/>
      <c r="H1943" s="377">
        <v>16634720.9</v>
      </c>
      <c r="I1943" s="596">
        <f t="shared" si="199"/>
        <v>0</v>
      </c>
      <c r="J1943" s="380">
        <f t="shared" si="198"/>
        <v>0</v>
      </c>
      <c r="K1943" s="380"/>
      <c r="L1943" s="597">
        <v>1006</v>
      </c>
      <c r="M1943" s="81" t="str">
        <f>+IFERROR(VLOOKUP(L1943,DATA!$G$4:$H$2000,2,FALSE),"")</f>
        <v>Оюундэлгэр /нярав/</v>
      </c>
      <c r="N1943" s="166"/>
      <c r="O1943" s="81" t="str">
        <f>IFERROR(VLOOKUP(N1943,DATA!$K$4:$L$51,2,FALSE),"")</f>
        <v/>
      </c>
      <c r="P1943" s="81"/>
      <c r="Q1943" s="152">
        <f t="shared" si="197"/>
        <v>0</v>
      </c>
    </row>
    <row r="1944" spans="2:17">
      <c r="B1944" s="670">
        <f t="shared" si="196"/>
        <v>1939</v>
      </c>
      <c r="C1944" s="433">
        <v>43008</v>
      </c>
      <c r="D1944" s="377" t="s">
        <v>2585</v>
      </c>
      <c r="E1944" s="572">
        <v>701600</v>
      </c>
      <c r="F1944" s="672" t="str">
        <f>IFERROR(VLOOKUP(E1944,STAT1!$C$4:$D$8000,2,FALSE),"")</f>
        <v>Элэгдэл, хорогдлын зардал</v>
      </c>
      <c r="G1944" s="377">
        <v>4245000</v>
      </c>
      <c r="H1944" s="377"/>
      <c r="I1944" s="596">
        <f t="shared" si="199"/>
        <v>0</v>
      </c>
      <c r="J1944" s="380">
        <f t="shared" si="198"/>
        <v>0</v>
      </c>
      <c r="K1944" s="380"/>
      <c r="L1944" s="597">
        <v>1006</v>
      </c>
      <c r="M1944" s="81" t="str">
        <f>+IFERROR(VLOOKUP(L1944,DATA!$G$4:$H$2000,2,FALSE),"")</f>
        <v>Оюундэлгэр /нярав/</v>
      </c>
      <c r="N1944" s="166"/>
      <c r="O1944" s="81" t="str">
        <f>IFERROR(VLOOKUP(N1944,DATA!$K$4:$L$51,2,FALSE),"")</f>
        <v/>
      </c>
      <c r="P1944" s="81"/>
      <c r="Q1944" s="152">
        <f t="shared" si="197"/>
        <v>0</v>
      </c>
    </row>
    <row r="1945" spans="2:17">
      <c r="B1945" s="670">
        <f t="shared" si="196"/>
        <v>1940</v>
      </c>
      <c r="C1945" s="433">
        <v>43008</v>
      </c>
      <c r="D1945" s="377" t="s">
        <v>2585</v>
      </c>
      <c r="E1945" s="572">
        <v>201500</v>
      </c>
      <c r="F1945" s="672" t="str">
        <f>IFERROR(VLOOKUP(E1945,STAT1!$C$4:$D$8000,2,FALSE),"")</f>
        <v>Хур. элэгдэл - Тээврийн хэрэгсэл</v>
      </c>
      <c r="G1945" s="377"/>
      <c r="H1945" s="377">
        <v>4245000</v>
      </c>
      <c r="I1945" s="596">
        <f t="shared" si="199"/>
        <v>0</v>
      </c>
      <c r="J1945" s="380">
        <f t="shared" si="198"/>
        <v>0</v>
      </c>
      <c r="K1945" s="380"/>
      <c r="L1945" s="597">
        <v>1006</v>
      </c>
      <c r="M1945" s="81" t="str">
        <f>+IFERROR(VLOOKUP(L1945,DATA!$G$4:$H$2000,2,FALSE),"")</f>
        <v>Оюундэлгэр /нярав/</v>
      </c>
      <c r="N1945" s="166"/>
      <c r="O1945" s="81" t="str">
        <f>IFERROR(VLOOKUP(N1945,DATA!$K$4:$L$51,2,FALSE),"")</f>
        <v/>
      </c>
      <c r="P1945" s="81"/>
      <c r="Q1945" s="152">
        <f t="shared" si="197"/>
        <v>0</v>
      </c>
    </row>
    <row r="1946" spans="2:17">
      <c r="B1946" s="670">
        <f t="shared" si="196"/>
        <v>1941</v>
      </c>
      <c r="C1946" s="433">
        <v>43008</v>
      </c>
      <c r="D1946" s="377" t="s">
        <v>2586</v>
      </c>
      <c r="E1946" s="572">
        <v>701600</v>
      </c>
      <c r="F1946" s="672" t="str">
        <f>IFERROR(VLOOKUP(E1946,STAT1!$C$4:$D$8000,2,FALSE),"")</f>
        <v>Элэгдэл, хорогдлын зардал</v>
      </c>
      <c r="G1946" s="377">
        <v>186.6</v>
      </c>
      <c r="H1946" s="377"/>
      <c r="I1946" s="596">
        <f t="shared" si="199"/>
        <v>0</v>
      </c>
      <c r="J1946" s="380">
        <f t="shared" si="198"/>
        <v>0</v>
      </c>
      <c r="K1946" s="380"/>
      <c r="L1946" s="597">
        <v>1006</v>
      </c>
      <c r="M1946" s="81" t="str">
        <f>+IFERROR(VLOOKUP(L1946,DATA!$G$4:$H$2000,2,FALSE),"")</f>
        <v>Оюундэлгэр /нярав/</v>
      </c>
      <c r="N1946" s="166"/>
      <c r="O1946" s="81" t="str">
        <f>IFERROR(VLOOKUP(N1946,DATA!$K$4:$L$51,2,FALSE),"")</f>
        <v/>
      </c>
      <c r="P1946" s="81"/>
      <c r="Q1946" s="152">
        <f t="shared" si="197"/>
        <v>0</v>
      </c>
    </row>
    <row r="1947" spans="2:17">
      <c r="B1947" s="670">
        <f t="shared" si="196"/>
        <v>1942</v>
      </c>
      <c r="C1947" s="433">
        <v>43008</v>
      </c>
      <c r="D1947" s="377" t="s">
        <v>2586</v>
      </c>
      <c r="E1947" s="572">
        <v>202000</v>
      </c>
      <c r="F1947" s="672" t="str">
        <f>IFERROR(VLOOKUP(E1947,STAT1!$C$4:$D$8000,2,FALSE),"")</f>
        <v>Хур. элэгдэл - Комъпютер, дагалдах хэрэгсэл</v>
      </c>
      <c r="G1947" s="377"/>
      <c r="H1947" s="377">
        <v>186.6</v>
      </c>
      <c r="I1947" s="596">
        <f t="shared" si="199"/>
        <v>0</v>
      </c>
      <c r="J1947" s="380">
        <f t="shared" si="198"/>
        <v>0</v>
      </c>
      <c r="K1947" s="380"/>
      <c r="L1947" s="597">
        <v>1006</v>
      </c>
      <c r="M1947" s="81" t="str">
        <f>+IFERROR(VLOOKUP(L1947,DATA!$G$4:$H$2000,2,FALSE),"")</f>
        <v>Оюундэлгэр /нярав/</v>
      </c>
      <c r="N1947" s="166"/>
      <c r="O1947" s="81" t="str">
        <f>IFERROR(VLOOKUP(N1947,DATA!$K$4:$L$51,2,FALSE),"")</f>
        <v/>
      </c>
      <c r="P1947" s="81"/>
      <c r="Q1947" s="152">
        <f t="shared" si="197"/>
        <v>0</v>
      </c>
    </row>
    <row r="1948" spans="2:17">
      <c r="B1948" s="670">
        <f t="shared" si="196"/>
        <v>1943</v>
      </c>
      <c r="C1948" s="433">
        <v>43008</v>
      </c>
      <c r="D1948" s="680" t="s">
        <v>1626</v>
      </c>
      <c r="E1948" s="572">
        <v>310800</v>
      </c>
      <c r="F1948" s="672" t="str">
        <f>IFERROR(VLOOKUP(E1948,STAT1!$C$4:$D$8000,2,FALSE),"")</f>
        <v>НД-ын байгууллагад өгөх өглөг</v>
      </c>
      <c r="G1948" s="377"/>
      <c r="H1948" s="377">
        <v>1233124.1000000001</v>
      </c>
      <c r="I1948" s="596">
        <f t="shared" si="199"/>
        <v>0</v>
      </c>
      <c r="J1948" s="81"/>
      <c r="K1948" s="81"/>
      <c r="L1948" s="597">
        <v>1004</v>
      </c>
      <c r="M1948" s="81" t="str">
        <f>+IFERROR(VLOOKUP(L1948,DATA!$G$4:$H$2000,2,FALSE),"")</f>
        <v xml:space="preserve">Түмэндэлгэр </v>
      </c>
      <c r="N1948" s="166"/>
      <c r="O1948" s="81" t="str">
        <f>IFERROR(VLOOKUP(N1948,DATA!$K$4:$L$51,2,FALSE),"")</f>
        <v/>
      </c>
      <c r="P1948" s="81"/>
      <c r="Q1948" s="152">
        <f t="shared" si="197"/>
        <v>0</v>
      </c>
    </row>
    <row r="1949" spans="2:17">
      <c r="B1949" s="670">
        <f t="shared" si="196"/>
        <v>1944</v>
      </c>
      <c r="C1949" s="433">
        <v>43008</v>
      </c>
      <c r="D1949" s="680" t="s">
        <v>1626</v>
      </c>
      <c r="E1949" s="572">
        <v>700200</v>
      </c>
      <c r="F1949" s="672" t="str">
        <f>IFERROR(VLOOKUP(E1949,STAT1!$C$4:$D$8000,2,FALSE),"")</f>
        <v>НДШимтгэл</v>
      </c>
      <c r="G1949" s="377">
        <v>1233124.1000000001</v>
      </c>
      <c r="H1949" s="377"/>
      <c r="I1949" s="596">
        <f t="shared" si="199"/>
        <v>0</v>
      </c>
      <c r="J1949" s="81"/>
      <c r="K1949" s="81"/>
      <c r="L1949" s="597">
        <v>1004</v>
      </c>
      <c r="M1949" s="81" t="str">
        <f>+IFERROR(VLOOKUP(L1949,DATA!$G$4:$H$2000,2,FALSE),"")</f>
        <v xml:space="preserve">Түмэндэлгэр </v>
      </c>
      <c r="N1949" s="166"/>
      <c r="O1949" s="81" t="str">
        <f>IFERROR(VLOOKUP(N1949,DATA!$K$4:$L$51,2,FALSE),"")</f>
        <v/>
      </c>
      <c r="P1949" s="81"/>
      <c r="Q1949" s="152">
        <f t="shared" si="197"/>
        <v>0</v>
      </c>
    </row>
    <row r="1950" spans="2:17">
      <c r="B1950" s="670">
        <f t="shared" si="196"/>
        <v>1945</v>
      </c>
      <c r="C1950" s="433">
        <v>43008</v>
      </c>
      <c r="D1950" s="680" t="s">
        <v>1627</v>
      </c>
      <c r="E1950" s="572">
        <v>310800</v>
      </c>
      <c r="F1950" s="672" t="str">
        <f>IFERROR(VLOOKUP(E1950,STAT1!$C$4:$D$8000,2,FALSE),"")</f>
        <v>НД-ын байгууллагад өгөх өглөг</v>
      </c>
      <c r="G1950" s="377"/>
      <c r="H1950" s="377">
        <v>1026332.42</v>
      </c>
      <c r="I1950" s="596">
        <f t="shared" si="199"/>
        <v>0</v>
      </c>
      <c r="J1950" s="81"/>
      <c r="K1950" s="81"/>
      <c r="L1950" s="597">
        <v>1004</v>
      </c>
      <c r="M1950" s="81" t="str">
        <f>+IFERROR(VLOOKUP(L1950,DATA!$G$4:$H$2000,2,FALSE),"")</f>
        <v xml:space="preserve">Түмэндэлгэр </v>
      </c>
      <c r="N1950" s="166"/>
      <c r="O1950" s="81" t="str">
        <f>IFERROR(VLOOKUP(N1950,DATA!$K$4:$L$51,2,FALSE),"")</f>
        <v/>
      </c>
      <c r="P1950" s="81"/>
      <c r="Q1950" s="152">
        <f t="shared" si="197"/>
        <v>0</v>
      </c>
    </row>
    <row r="1951" spans="2:17">
      <c r="B1951" s="670">
        <f t="shared" si="196"/>
        <v>1946</v>
      </c>
      <c r="C1951" s="433">
        <v>43008</v>
      </c>
      <c r="D1951" s="680" t="s">
        <v>1628</v>
      </c>
      <c r="E1951" s="572">
        <v>310700</v>
      </c>
      <c r="F1951" s="672" t="str">
        <f>IFERROR(VLOOKUP(E1951,STAT1!$C$4:$D$8000,2,FALSE),"")</f>
        <v>ХАОАТ өглөг</v>
      </c>
      <c r="G1951" s="377"/>
      <c r="H1951" s="377">
        <v>804641.76</v>
      </c>
      <c r="I1951" s="596">
        <f t="shared" si="199"/>
        <v>0</v>
      </c>
      <c r="J1951" s="81"/>
      <c r="K1951" s="81"/>
      <c r="L1951" s="597">
        <v>1004</v>
      </c>
      <c r="M1951" s="81" t="str">
        <f>+IFERROR(VLOOKUP(L1951,DATA!$G$4:$H$2000,2,FALSE),"")</f>
        <v xml:space="preserve">Түмэндэлгэр </v>
      </c>
      <c r="N1951" s="166"/>
      <c r="O1951" s="81" t="str">
        <f>IFERROR(VLOOKUP(N1951,DATA!$K$4:$L$51,2,FALSE),"")</f>
        <v/>
      </c>
      <c r="P1951" s="81"/>
      <c r="Q1951" s="152">
        <f t="shared" si="197"/>
        <v>0</v>
      </c>
    </row>
    <row r="1952" spans="2:17">
      <c r="B1952" s="670">
        <f t="shared" si="196"/>
        <v>1947</v>
      </c>
      <c r="C1952" s="433">
        <v>43008</v>
      </c>
      <c r="D1952" s="680" t="s">
        <v>1629</v>
      </c>
      <c r="E1952" s="572">
        <v>311000</v>
      </c>
      <c r="F1952" s="672" t="str">
        <f>IFERROR(VLOOKUP(E1952,STAT1!$C$4:$D$8000,2,FALSE),"")</f>
        <v>Цалингийн өглөг</v>
      </c>
      <c r="G1952" s="377"/>
      <c r="H1952" s="377">
        <v>8507926.2799999993</v>
      </c>
      <c r="I1952" s="596">
        <f t="shared" si="199"/>
        <v>0</v>
      </c>
      <c r="J1952" s="81"/>
      <c r="K1952" s="81"/>
      <c r="L1952" s="597">
        <v>1004</v>
      </c>
      <c r="M1952" s="81" t="str">
        <f>+IFERROR(VLOOKUP(L1952,DATA!$G$4:$H$2000,2,FALSE),"")</f>
        <v xml:space="preserve">Түмэндэлгэр </v>
      </c>
      <c r="N1952" s="166"/>
      <c r="O1952" s="81" t="str">
        <f>IFERROR(VLOOKUP(N1952,DATA!$K$4:$L$51,2,FALSE),"")</f>
        <v/>
      </c>
      <c r="P1952" s="81"/>
      <c r="Q1952" s="152">
        <f t="shared" si="197"/>
        <v>0</v>
      </c>
    </row>
    <row r="1953" spans="2:17">
      <c r="B1953" s="670">
        <f t="shared" si="196"/>
        <v>1948</v>
      </c>
      <c r="C1953" s="433">
        <v>43008</v>
      </c>
      <c r="D1953" s="680" t="s">
        <v>1629</v>
      </c>
      <c r="E1953" s="572">
        <v>700100</v>
      </c>
      <c r="F1953" s="672" t="str">
        <f>IFERROR(VLOOKUP(E1953,STAT1!$C$4:$D$8000,2,FALSE),"")</f>
        <v>Цалин хөлс, шагнал</v>
      </c>
      <c r="G1953" s="377">
        <v>10338900.460000001</v>
      </c>
      <c r="H1953" s="377"/>
      <c r="I1953" s="596">
        <f t="shared" si="199"/>
        <v>0</v>
      </c>
      <c r="J1953" s="81"/>
      <c r="K1953" s="81"/>
      <c r="L1953" s="597">
        <v>1004</v>
      </c>
      <c r="M1953" s="81" t="str">
        <f>+IFERROR(VLOOKUP(L1953,DATA!$G$4:$H$2000,2,FALSE),"")</f>
        <v xml:space="preserve">Түмэндэлгэр </v>
      </c>
      <c r="N1953" s="166"/>
      <c r="O1953" s="81" t="str">
        <f>IFERROR(VLOOKUP(N1953,DATA!$K$4:$L$51,2,FALSE),"")</f>
        <v/>
      </c>
      <c r="P1953" s="81"/>
      <c r="Q1953" s="152">
        <f t="shared" si="197"/>
        <v>0</v>
      </c>
    </row>
    <row r="1954" spans="2:17">
      <c r="B1954" s="670">
        <f t="shared" si="196"/>
        <v>1949</v>
      </c>
      <c r="C1954" s="433">
        <v>43008</v>
      </c>
      <c r="D1954" s="377" t="s">
        <v>1784</v>
      </c>
      <c r="E1954" s="572">
        <v>100100</v>
      </c>
      <c r="F1954" s="672" t="str">
        <f>IFERROR(VLOOKUP(E1954,STAT1!$C$4:$D$8000,2,FALSE),"")</f>
        <v>Касс мөнгө MNT</v>
      </c>
      <c r="G1954" s="377"/>
      <c r="H1954" s="377">
        <v>8507926.2799999993</v>
      </c>
      <c r="I1954" s="596">
        <f t="shared" si="199"/>
        <v>-8507926.2799999993</v>
      </c>
      <c r="J1954" s="81"/>
      <c r="K1954" s="81"/>
      <c r="L1954" s="597">
        <v>1004</v>
      </c>
      <c r="M1954" s="81" t="str">
        <f>+IFERROR(VLOOKUP(L1954,DATA!$G$4:$H$2000,2,FALSE),"")</f>
        <v xml:space="preserve">Түмэндэлгэр </v>
      </c>
      <c r="N1954" s="166">
        <v>51</v>
      </c>
      <c r="O1954" s="81" t="str">
        <f>IFERROR(VLOOKUP(N1954,DATA!$K$4:$L$51,2,FALSE),"")</f>
        <v>Ажиллагчдад төлсөн</v>
      </c>
      <c r="P1954" s="81"/>
      <c r="Q1954" s="152">
        <f t="shared" si="197"/>
        <v>1</v>
      </c>
    </row>
    <row r="1955" spans="2:17">
      <c r="B1955" s="670">
        <f t="shared" si="196"/>
        <v>1950</v>
      </c>
      <c r="C1955" s="433">
        <v>43008</v>
      </c>
      <c r="D1955" s="377" t="s">
        <v>1784</v>
      </c>
      <c r="E1955" s="572">
        <v>311000</v>
      </c>
      <c r="F1955" s="672" t="str">
        <f>IFERROR(VLOOKUP(E1955,STAT1!$C$4:$D$8000,2,FALSE),"")</f>
        <v>Цалингийн өглөг</v>
      </c>
      <c r="G1955" s="377">
        <v>8507926.2799999993</v>
      </c>
      <c r="H1955" s="377"/>
      <c r="I1955" s="596">
        <f t="shared" si="199"/>
        <v>0</v>
      </c>
      <c r="J1955" s="81"/>
      <c r="K1955" s="81"/>
      <c r="L1955" s="597">
        <v>1004</v>
      </c>
      <c r="M1955" s="81" t="str">
        <f>+IFERROR(VLOOKUP(L1955,DATA!$G$4:$H$2000,2,FALSE),"")</f>
        <v xml:space="preserve">Түмэндэлгэр </v>
      </c>
      <c r="N1955" s="166"/>
      <c r="O1955" s="81" t="str">
        <f>IFERROR(VLOOKUP(N1955,DATA!$K$4:$L$51,2,FALSE),"")</f>
        <v/>
      </c>
      <c r="P1955" s="81"/>
      <c r="Q1955" s="152">
        <f t="shared" si="197"/>
        <v>0</v>
      </c>
    </row>
    <row r="1956" spans="2:17">
      <c r="B1956" s="670">
        <f t="shared" si="196"/>
        <v>1951</v>
      </c>
      <c r="C1956" s="433">
        <v>43008</v>
      </c>
      <c r="D1956" s="377" t="s">
        <v>1787</v>
      </c>
      <c r="E1956" s="572">
        <v>700200</v>
      </c>
      <c r="F1956" s="672" t="str">
        <f>IFERROR(VLOOKUP(E1956,STAT1!$C$4:$D$8000,2,FALSE),"")</f>
        <v>НДШимтгэл</v>
      </c>
      <c r="G1956" s="377"/>
      <c r="H1956" s="377">
        <v>428.88</v>
      </c>
      <c r="I1956" s="596">
        <f t="shared" si="199"/>
        <v>0</v>
      </c>
      <c r="J1956" s="81"/>
      <c r="K1956" s="81"/>
      <c r="L1956" s="597">
        <v>1004</v>
      </c>
      <c r="M1956" s="81" t="str">
        <f>+IFERROR(VLOOKUP(L1956,DATA!$G$4:$H$2000,2,FALSE),"")</f>
        <v xml:space="preserve">Түмэндэлгэр </v>
      </c>
      <c r="N1956" s="166"/>
      <c r="O1956" s="81" t="str">
        <f>IFERROR(VLOOKUP(N1956,DATA!$K$4:$L$51,2,FALSE),"")</f>
        <v/>
      </c>
      <c r="P1956" s="81"/>
      <c r="Q1956" s="152">
        <f t="shared" si="197"/>
        <v>0</v>
      </c>
    </row>
    <row r="1957" spans="2:17">
      <c r="B1957" s="670">
        <f t="shared" si="196"/>
        <v>1952</v>
      </c>
      <c r="C1957" s="433">
        <v>43008</v>
      </c>
      <c r="D1957" s="377" t="s">
        <v>1787</v>
      </c>
      <c r="E1957" s="572">
        <v>310800</v>
      </c>
      <c r="F1957" s="672" t="str">
        <f>IFERROR(VLOOKUP(E1957,STAT1!$C$4:$D$8000,2,FALSE),"")</f>
        <v>НД-ын байгууллагад өгөх өглөг</v>
      </c>
      <c r="G1957" s="377">
        <v>428.88</v>
      </c>
      <c r="H1957" s="377"/>
      <c r="I1957" s="596">
        <f t="shared" si="199"/>
        <v>0</v>
      </c>
      <c r="J1957" s="81"/>
      <c r="K1957" s="81"/>
      <c r="L1957" s="597">
        <v>1004</v>
      </c>
      <c r="M1957" s="81" t="str">
        <f>+IFERROR(VLOOKUP(L1957,DATA!$G$4:$H$2000,2,FALSE),"")</f>
        <v xml:space="preserve">Түмэндэлгэр </v>
      </c>
      <c r="N1957" s="166"/>
      <c r="O1957" s="81" t="str">
        <f>IFERROR(VLOOKUP(N1957,DATA!$K$4:$L$51,2,FALSE),"")</f>
        <v/>
      </c>
      <c r="P1957" s="81"/>
      <c r="Q1957" s="152">
        <f t="shared" si="197"/>
        <v>0</v>
      </c>
    </row>
    <row r="1958" spans="2:17">
      <c r="B1958" s="670">
        <f t="shared" si="196"/>
        <v>1953</v>
      </c>
      <c r="C1958" s="433">
        <v>43008</v>
      </c>
      <c r="D1958" s="377" t="s">
        <v>1728</v>
      </c>
      <c r="E1958" s="572">
        <v>100100</v>
      </c>
      <c r="F1958" s="672" t="str">
        <f>IFERROR(VLOOKUP(E1958,STAT1!$C$4:$D$8000,2,FALSE),"")</f>
        <v>Касс мөнгө MNT</v>
      </c>
      <c r="G1958" s="377"/>
      <c r="H1958" s="377">
        <v>2566300</v>
      </c>
      <c r="I1958" s="596">
        <f t="shared" si="199"/>
        <v>-2566300</v>
      </c>
      <c r="J1958" s="81">
        <f t="shared" ref="J1958:J2021" si="200">+IF(E1958=110102,I1958/K1958,0)</f>
        <v>0</v>
      </c>
      <c r="K1958" s="81"/>
      <c r="L1958" s="597">
        <v>3017</v>
      </c>
      <c r="M1958" s="81" t="str">
        <f>+IFERROR(VLOOKUP(L1958,DATA!$G$4:$H$2000,2,FALSE),"")</f>
        <v xml:space="preserve">ВОС ХХК </v>
      </c>
      <c r="N1958" s="166">
        <v>53</v>
      </c>
      <c r="O1958" s="81" t="str">
        <f>IFERROR(VLOOKUP(N1958,DATA!$K$4:$L$51,2,FALSE),"")</f>
        <v>Бараа материал худалдан авахад төлсөн</v>
      </c>
      <c r="P1958" s="81"/>
      <c r="Q1958" s="152">
        <f t="shared" si="197"/>
        <v>1</v>
      </c>
    </row>
    <row r="1959" spans="2:17">
      <c r="B1959" s="670">
        <f t="shared" si="196"/>
        <v>1954</v>
      </c>
      <c r="C1959" s="433">
        <v>43008</v>
      </c>
      <c r="D1959" s="377" t="s">
        <v>1728</v>
      </c>
      <c r="E1959" s="572">
        <v>120100</v>
      </c>
      <c r="F1959" s="672" t="str">
        <f>IFERROR(VLOOKUP(E1959,STAT1!$C$4:$D$8000,2,FALSE),"")</f>
        <v xml:space="preserve">Дансны авлага MNT </v>
      </c>
      <c r="G1959" s="377">
        <v>2566300</v>
      </c>
      <c r="H1959" s="377"/>
      <c r="I1959" s="596">
        <f t="shared" si="199"/>
        <v>0</v>
      </c>
      <c r="J1959" s="81">
        <f t="shared" si="200"/>
        <v>0</v>
      </c>
      <c r="K1959" s="81"/>
      <c r="L1959" s="597">
        <v>3017</v>
      </c>
      <c r="M1959" s="81" t="str">
        <f>+IFERROR(VLOOKUP(L1959,DATA!$G$4:$H$2000,2,FALSE),"")</f>
        <v xml:space="preserve">ВОС ХХК </v>
      </c>
      <c r="N1959" s="166"/>
      <c r="O1959" s="81" t="str">
        <f>IFERROR(VLOOKUP(N1959,DATA!$K$4:$L$51,2,FALSE),"")</f>
        <v/>
      </c>
      <c r="P1959" s="81"/>
      <c r="Q1959" s="152">
        <f t="shared" si="197"/>
        <v>0</v>
      </c>
    </row>
    <row r="1960" spans="2:17">
      <c r="B1960" s="670">
        <f t="shared" si="196"/>
        <v>1955</v>
      </c>
      <c r="C1960" s="433">
        <v>43008</v>
      </c>
      <c r="D1960" s="377" t="s">
        <v>1640</v>
      </c>
      <c r="E1960" s="572">
        <v>160100</v>
      </c>
      <c r="F1960" s="672" t="str">
        <f>IFERROR(VLOOKUP(E1960,STAT1!$C$4:$D$8000,2,FALSE),"")</f>
        <v xml:space="preserve">Барилгын материал </v>
      </c>
      <c r="G1960" s="377">
        <v>3168400</v>
      </c>
      <c r="H1960" s="377"/>
      <c r="I1960" s="596">
        <f t="shared" si="199"/>
        <v>0</v>
      </c>
      <c r="J1960" s="81">
        <f t="shared" si="200"/>
        <v>0</v>
      </c>
      <c r="K1960" s="81"/>
      <c r="L1960" s="597">
        <v>3017</v>
      </c>
      <c r="M1960" s="81" t="str">
        <f>+IFERROR(VLOOKUP(L1960,DATA!$G$4:$H$2000,2,FALSE),"")</f>
        <v xml:space="preserve">ВОС ХХК </v>
      </c>
      <c r="N1960" s="166"/>
      <c r="O1960" s="81" t="str">
        <f>IFERROR(VLOOKUP(N1960,DATA!$K$4:$L$51,2,FALSE),"")</f>
        <v/>
      </c>
      <c r="P1960" s="81"/>
      <c r="Q1960" s="152">
        <f t="shared" si="197"/>
        <v>0</v>
      </c>
    </row>
    <row r="1961" spans="2:17">
      <c r="B1961" s="670">
        <f t="shared" si="196"/>
        <v>1956</v>
      </c>
      <c r="C1961" s="433">
        <v>43008</v>
      </c>
      <c r="D1961" s="377" t="s">
        <v>1795</v>
      </c>
      <c r="E1961" s="572">
        <v>120600</v>
      </c>
      <c r="F1961" s="672" t="str">
        <f>IFERROR(VLOOKUP(E1961,STAT1!$C$4:$D$8000,2,FALSE),"")</f>
        <v>НӨАТ авлага</v>
      </c>
      <c r="G1961" s="377">
        <v>316840</v>
      </c>
      <c r="H1961" s="377"/>
      <c r="I1961" s="596">
        <f t="shared" si="199"/>
        <v>0</v>
      </c>
      <c r="J1961" s="81">
        <f t="shared" si="200"/>
        <v>0</v>
      </c>
      <c r="K1961" s="81"/>
      <c r="L1961" s="597">
        <v>3017</v>
      </c>
      <c r="M1961" s="81" t="str">
        <f>+IFERROR(VLOOKUP(L1961,DATA!$G$4:$H$2000,2,FALSE),"")</f>
        <v xml:space="preserve">ВОС ХХК </v>
      </c>
      <c r="N1961" s="166"/>
      <c r="O1961" s="81" t="str">
        <f>IFERROR(VLOOKUP(N1961,DATA!$K$4:$L$51,2,FALSE),"")</f>
        <v/>
      </c>
      <c r="P1961" s="81"/>
      <c r="Q1961" s="152">
        <f t="shared" si="197"/>
        <v>0</v>
      </c>
    </row>
    <row r="1962" spans="2:17">
      <c r="B1962" s="670">
        <f t="shared" si="196"/>
        <v>1957</v>
      </c>
      <c r="C1962" s="433">
        <v>43008</v>
      </c>
      <c r="D1962" s="377" t="s">
        <v>1637</v>
      </c>
      <c r="E1962" s="572">
        <v>120100</v>
      </c>
      <c r="F1962" s="672" t="str">
        <f>IFERROR(VLOOKUP(E1962,STAT1!$C$4:$D$8000,2,FALSE),"")</f>
        <v xml:space="preserve">Дансны авлага MNT </v>
      </c>
      <c r="G1962" s="377"/>
      <c r="H1962" s="377">
        <v>3485240</v>
      </c>
      <c r="I1962" s="596">
        <f t="shared" si="199"/>
        <v>0</v>
      </c>
      <c r="J1962" s="81">
        <f t="shared" si="200"/>
        <v>0</v>
      </c>
      <c r="K1962" s="81"/>
      <c r="L1962" s="597">
        <v>3017</v>
      </c>
      <c r="M1962" s="81" t="str">
        <f>+IFERROR(VLOOKUP(L1962,DATA!$G$4:$H$2000,2,FALSE),"")</f>
        <v xml:space="preserve">ВОС ХХК </v>
      </c>
      <c r="N1962" s="166"/>
      <c r="O1962" s="81" t="str">
        <f>IFERROR(VLOOKUP(N1962,DATA!$K$4:$L$51,2,FALSE),"")</f>
        <v/>
      </c>
      <c r="P1962" s="81"/>
      <c r="Q1962" s="152">
        <f t="shared" si="197"/>
        <v>0</v>
      </c>
    </row>
    <row r="1963" spans="2:17">
      <c r="B1963" s="670">
        <f t="shared" si="196"/>
        <v>1958</v>
      </c>
      <c r="C1963" s="433">
        <v>43008</v>
      </c>
      <c r="D1963" s="377" t="s">
        <v>1816</v>
      </c>
      <c r="E1963" s="572">
        <v>140301</v>
      </c>
      <c r="F1963" s="672" t="str">
        <f>IFERROR(VLOOKUP(E1963,STAT1!$C$4:$D$8000,2,FALSE),"")</f>
        <v>ШХЗрдал БОЛОВСРУУЛАХ ЦЕХ /нарс/</v>
      </c>
      <c r="G1963" s="377">
        <v>10072518.800000001</v>
      </c>
      <c r="H1963" s="377"/>
      <c r="I1963" s="596">
        <f t="shared" si="199"/>
        <v>0</v>
      </c>
      <c r="J1963" s="81">
        <f t="shared" si="200"/>
        <v>0</v>
      </c>
      <c r="K1963" s="81"/>
      <c r="L1963" s="597">
        <v>1006</v>
      </c>
      <c r="M1963" s="81" t="str">
        <f>+IFERROR(VLOOKUP(L1963,DATA!$G$4:$H$2000,2,FALSE),"")</f>
        <v>Оюундэлгэр /нярав/</v>
      </c>
      <c r="N1963" s="166"/>
      <c r="O1963" s="81" t="str">
        <f>IFERROR(VLOOKUP(N1963,DATA!$K$4:$L$51,2,FALSE),"")</f>
        <v/>
      </c>
      <c r="P1963" s="81"/>
      <c r="Q1963" s="152">
        <f t="shared" si="197"/>
        <v>0</v>
      </c>
    </row>
    <row r="1964" spans="2:17">
      <c r="B1964" s="670">
        <f t="shared" si="196"/>
        <v>1959</v>
      </c>
      <c r="C1964" s="433">
        <v>43008</v>
      </c>
      <c r="D1964" s="377" t="s">
        <v>1816</v>
      </c>
      <c r="E1964" s="572">
        <v>700100</v>
      </c>
      <c r="F1964" s="672" t="str">
        <f>IFERROR(VLOOKUP(E1964,STAT1!$C$4:$D$8000,2,FALSE),"")</f>
        <v>Цалин хөлс, шагнал</v>
      </c>
      <c r="G1964" s="377"/>
      <c r="H1964" s="377">
        <v>8111259.4000000004</v>
      </c>
      <c r="I1964" s="596">
        <f t="shared" si="199"/>
        <v>0</v>
      </c>
      <c r="J1964" s="81">
        <f t="shared" si="200"/>
        <v>0</v>
      </c>
      <c r="K1964" s="81"/>
      <c r="L1964" s="597">
        <v>1006</v>
      </c>
      <c r="M1964" s="81" t="str">
        <f>+IFERROR(VLOOKUP(L1964,DATA!$G$4:$H$2000,2,FALSE),"")</f>
        <v>Оюундэлгэр /нярав/</v>
      </c>
      <c r="N1964" s="166"/>
      <c r="O1964" s="81" t="str">
        <f>IFERROR(VLOOKUP(N1964,DATA!$K$4:$L$51,2,FALSE),"")</f>
        <v/>
      </c>
      <c r="P1964" s="81"/>
      <c r="Q1964" s="152">
        <f t="shared" si="197"/>
        <v>0</v>
      </c>
    </row>
    <row r="1965" spans="2:17">
      <c r="B1965" s="670">
        <f t="shared" si="196"/>
        <v>1960</v>
      </c>
      <c r="C1965" s="433">
        <v>43008</v>
      </c>
      <c r="D1965" s="377" t="s">
        <v>1816</v>
      </c>
      <c r="E1965" s="572">
        <v>700200</v>
      </c>
      <c r="F1965" s="672" t="str">
        <f>IFERROR(VLOOKUP(E1965,STAT1!$C$4:$D$8000,2,FALSE),"")</f>
        <v>НДШимтгэл</v>
      </c>
      <c r="G1965" s="377"/>
      <c r="H1965" s="377">
        <v>1961259.4</v>
      </c>
      <c r="I1965" s="596">
        <f t="shared" si="199"/>
        <v>0</v>
      </c>
      <c r="J1965" s="81">
        <f t="shared" si="200"/>
        <v>0</v>
      </c>
      <c r="K1965" s="81"/>
      <c r="L1965" s="597">
        <v>1006</v>
      </c>
      <c r="M1965" s="81" t="str">
        <f>+IFERROR(VLOOKUP(L1965,DATA!$G$4:$H$2000,2,FALSE),"")</f>
        <v>Оюундэлгэр /нярав/</v>
      </c>
      <c r="N1965" s="166"/>
      <c r="O1965" s="81" t="str">
        <f>IFERROR(VLOOKUP(N1965,DATA!$K$4:$L$51,2,FALSE),"")</f>
        <v/>
      </c>
      <c r="P1965" s="81"/>
      <c r="Q1965" s="152">
        <f t="shared" si="197"/>
        <v>0</v>
      </c>
    </row>
    <row r="1966" spans="2:17">
      <c r="B1966" s="670">
        <f t="shared" si="196"/>
        <v>1961</v>
      </c>
      <c r="C1966" s="433">
        <v>43008</v>
      </c>
      <c r="D1966" s="377" t="s">
        <v>1817</v>
      </c>
      <c r="E1966" s="572">
        <v>140401</v>
      </c>
      <c r="F1966" s="672" t="str">
        <f>IFERROR(VLOOKUP(E1966,STAT1!$C$4:$D$8000,2,FALSE),"")</f>
        <v>ҮНЗардал БОЛОВСРУУЛАХ ЦЕХ /нарс/</v>
      </c>
      <c r="G1966" s="377">
        <v>24156020.379999999</v>
      </c>
      <c r="H1966" s="377"/>
      <c r="I1966" s="596">
        <f t="shared" si="199"/>
        <v>0</v>
      </c>
      <c r="J1966" s="81">
        <f t="shared" si="200"/>
        <v>0</v>
      </c>
      <c r="K1966" s="81"/>
      <c r="L1966" s="597">
        <v>1006</v>
      </c>
      <c r="M1966" s="81" t="str">
        <f>+IFERROR(VLOOKUP(L1966,DATA!$G$4:$H$2000,2,FALSE),"")</f>
        <v>Оюундэлгэр /нярав/</v>
      </c>
      <c r="N1966" s="166"/>
      <c r="O1966" s="81" t="str">
        <f>IFERROR(VLOOKUP(N1966,DATA!$K$4:$L$51,2,FALSE),"")</f>
        <v/>
      </c>
      <c r="P1966" s="81"/>
      <c r="Q1966" s="152">
        <f t="shared" si="197"/>
        <v>0</v>
      </c>
    </row>
    <row r="1967" spans="2:17">
      <c r="B1967" s="670">
        <f t="shared" si="196"/>
        <v>1962</v>
      </c>
      <c r="C1967" s="433">
        <v>43008</v>
      </c>
      <c r="D1967" s="377" t="s">
        <v>1817</v>
      </c>
      <c r="E1967" s="572">
        <v>700700</v>
      </c>
      <c r="F1967" s="672" t="str">
        <f>IFERROR(VLOOKUP(E1967,STAT1!$C$4:$D$8000,2,FALSE),"")</f>
        <v>Цахилгаан эрчим хүч</v>
      </c>
      <c r="G1967" s="377"/>
      <c r="H1967" s="377">
        <v>2780916.33</v>
      </c>
      <c r="I1967" s="596">
        <f t="shared" si="199"/>
        <v>0</v>
      </c>
      <c r="J1967" s="81">
        <f t="shared" si="200"/>
        <v>0</v>
      </c>
      <c r="K1967" s="81"/>
      <c r="L1967" s="597">
        <v>1006</v>
      </c>
      <c r="M1967" s="81" t="str">
        <f>+IFERROR(VLOOKUP(L1967,DATA!$G$4:$H$2000,2,FALSE),"")</f>
        <v>Оюундэлгэр /нярав/</v>
      </c>
      <c r="N1967" s="166"/>
      <c r="O1967" s="81" t="str">
        <f>IFERROR(VLOOKUP(N1967,DATA!$K$4:$L$51,2,FALSE),"")</f>
        <v/>
      </c>
      <c r="P1967" s="81"/>
      <c r="Q1967" s="152">
        <f t="shared" si="197"/>
        <v>0</v>
      </c>
    </row>
    <row r="1968" spans="2:17">
      <c r="B1968" s="670">
        <f t="shared" si="196"/>
        <v>1963</v>
      </c>
      <c r="C1968" s="433">
        <v>43008</v>
      </c>
      <c r="D1968" s="377" t="s">
        <v>1817</v>
      </c>
      <c r="E1968" s="572">
        <v>700900</v>
      </c>
      <c r="F1968" s="672" t="str">
        <f>IFERROR(VLOOKUP(E1968,STAT1!$C$4:$D$8000,2,FALSE),"")</f>
        <v>Уур, ус</v>
      </c>
      <c r="G1968" s="377"/>
      <c r="H1968" s="377">
        <f>410164.4-127000</f>
        <v>283164.40000000002</v>
      </c>
      <c r="I1968" s="596">
        <f t="shared" si="199"/>
        <v>0</v>
      </c>
      <c r="J1968" s="81">
        <f t="shared" si="200"/>
        <v>0</v>
      </c>
      <c r="K1968" s="81"/>
      <c r="L1968" s="597">
        <v>1006</v>
      </c>
      <c r="M1968" s="81" t="str">
        <f>+IFERROR(VLOOKUP(L1968,DATA!$G$4:$H$2000,2,FALSE),"")</f>
        <v>Оюундэлгэр /нярав/</v>
      </c>
      <c r="N1968" s="166"/>
      <c r="O1968" s="81" t="str">
        <f>IFERROR(VLOOKUP(N1968,DATA!$K$4:$L$51,2,FALSE),"")</f>
        <v/>
      </c>
      <c r="P1968" s="81"/>
      <c r="Q1968" s="152">
        <f t="shared" si="197"/>
        <v>0</v>
      </c>
    </row>
    <row r="1969" spans="2:17">
      <c r="B1969" s="670">
        <f t="shared" si="196"/>
        <v>1964</v>
      </c>
      <c r="C1969" s="433">
        <v>43008</v>
      </c>
      <c r="D1969" s="377" t="s">
        <v>1817</v>
      </c>
      <c r="E1969" s="572">
        <v>701600</v>
      </c>
      <c r="F1969" s="672" t="str">
        <f>IFERROR(VLOOKUP(E1969,STAT1!$C$4:$D$8000,2,FALSE),"")</f>
        <v>Элэгдэл, хорогдлын зардал</v>
      </c>
      <c r="G1969" s="377"/>
      <c r="H1969" s="377">
        <f>20964939.65+127000</f>
        <v>21091939.649999999</v>
      </c>
      <c r="I1969" s="596">
        <f t="shared" si="199"/>
        <v>0</v>
      </c>
      <c r="J1969" s="81">
        <f t="shared" si="200"/>
        <v>0</v>
      </c>
      <c r="K1969" s="81"/>
      <c r="L1969" s="597">
        <v>1006</v>
      </c>
      <c r="M1969" s="81" t="str">
        <f>+IFERROR(VLOOKUP(L1969,DATA!$G$4:$H$2000,2,FALSE),"")</f>
        <v>Оюундэлгэр /нярав/</v>
      </c>
      <c r="N1969" s="166"/>
      <c r="O1969" s="81" t="str">
        <f>IFERROR(VLOOKUP(N1969,DATA!$K$4:$L$51,2,FALSE),"")</f>
        <v/>
      </c>
      <c r="P1969" s="81"/>
      <c r="Q1969" s="152">
        <f t="shared" si="197"/>
        <v>0</v>
      </c>
    </row>
    <row r="1970" spans="2:17">
      <c r="B1970" s="670">
        <f t="shared" si="196"/>
        <v>1965</v>
      </c>
      <c r="C1970" s="433">
        <v>43008</v>
      </c>
      <c r="D1970" s="377" t="s">
        <v>1818</v>
      </c>
      <c r="E1970" s="674">
        <v>150100</v>
      </c>
      <c r="F1970" s="672" t="str">
        <f>IFERROR(VLOOKUP(E1970,STAT1!$C$4:$D$8000,2,FALSE),"")</f>
        <v>Бараа бэлэн бүтээгдэхүүн ХАТААХ ЦЕХ /нарс/</v>
      </c>
      <c r="G1970" s="684"/>
      <c r="H1970" s="377">
        <v>87396970.025346071</v>
      </c>
      <c r="I1970" s="596">
        <f t="shared" si="199"/>
        <v>0</v>
      </c>
      <c r="J1970" s="81">
        <f t="shared" si="200"/>
        <v>0</v>
      </c>
      <c r="K1970" s="81"/>
      <c r="L1970" s="597">
        <v>1006</v>
      </c>
      <c r="M1970" s="81" t="str">
        <f>+IFERROR(VLOOKUP(L1970,DATA!$G$4:$H$2000,2,FALSE),"")</f>
        <v>Оюундэлгэр /нярав/</v>
      </c>
      <c r="N1970" s="166"/>
      <c r="O1970" s="81" t="str">
        <f>IFERROR(VLOOKUP(N1970,DATA!$K$4:$L$51,2,FALSE),"")</f>
        <v/>
      </c>
      <c r="P1970" s="81"/>
      <c r="Q1970" s="152">
        <f t="shared" si="197"/>
        <v>0</v>
      </c>
    </row>
    <row r="1971" spans="2:17">
      <c r="B1971" s="670">
        <f t="shared" si="196"/>
        <v>1966</v>
      </c>
      <c r="C1971" s="433">
        <v>43008</v>
      </c>
      <c r="D1971" s="377" t="s">
        <v>1818</v>
      </c>
      <c r="E1971" s="674">
        <v>140100</v>
      </c>
      <c r="F1971" s="672" t="str">
        <f>IFERROR(VLOOKUP(E1971,STAT1!$C$4:$D$8000,2,FALSE),"")</f>
        <v>Түүхий эд материал</v>
      </c>
      <c r="G1971" s="684"/>
      <c r="H1971" s="377">
        <v>2810665.41</v>
      </c>
      <c r="I1971" s="596">
        <f t="shared" si="199"/>
        <v>0</v>
      </c>
      <c r="J1971" s="81">
        <f t="shared" si="200"/>
        <v>0</v>
      </c>
      <c r="K1971" s="81"/>
      <c r="L1971" s="597">
        <v>1006</v>
      </c>
      <c r="M1971" s="81" t="str">
        <f>+IFERROR(VLOOKUP(L1971,DATA!$G$4:$H$2000,2,FALSE),"")</f>
        <v>Оюундэлгэр /нярав/</v>
      </c>
      <c r="N1971" s="166"/>
      <c r="O1971" s="81"/>
      <c r="P1971" s="81"/>
      <c r="Q1971" s="152">
        <f t="shared" si="197"/>
        <v>0</v>
      </c>
    </row>
    <row r="1972" spans="2:17">
      <c r="B1972" s="670">
        <f t="shared" si="196"/>
        <v>1967</v>
      </c>
      <c r="C1972" s="433">
        <v>43008</v>
      </c>
      <c r="D1972" s="377" t="s">
        <v>1819</v>
      </c>
      <c r="E1972" s="674">
        <v>140201</v>
      </c>
      <c r="F1972" s="672" t="str">
        <f>IFERROR(VLOOKUP(E1972,STAT1!$C$4:$D$8000,2,FALSE),"")</f>
        <v>ШМЗардал БОЛОВСРУУЛАХ ЦЕХ /нарс/</v>
      </c>
      <c r="G1972" s="377">
        <v>90207635.430000007</v>
      </c>
      <c r="H1972" s="377"/>
      <c r="I1972" s="596">
        <f t="shared" si="199"/>
        <v>0</v>
      </c>
      <c r="J1972" s="81">
        <f t="shared" si="200"/>
        <v>0</v>
      </c>
      <c r="K1972" s="81"/>
      <c r="L1972" s="597">
        <v>1006</v>
      </c>
      <c r="M1972" s="81" t="str">
        <f>+IFERROR(VLOOKUP(L1972,DATA!$G$4:$H$2000,2,FALSE),"")</f>
        <v>Оюундэлгэр /нярав/</v>
      </c>
      <c r="N1972" s="166"/>
      <c r="O1972" s="81" t="str">
        <f>IFERROR(VLOOKUP(N1972,DATA!$K$4:$L$51,2,FALSE),"")</f>
        <v/>
      </c>
      <c r="P1972" s="81"/>
      <c r="Q1972" s="152">
        <f t="shared" si="197"/>
        <v>0</v>
      </c>
    </row>
    <row r="1973" spans="2:17">
      <c r="B1973" s="670">
        <f t="shared" ref="B1973:B2036" si="201">+IF(C1973="","",ROW()-5)</f>
        <v>1968</v>
      </c>
      <c r="C1973" s="433">
        <v>43008</v>
      </c>
      <c r="D1973" s="377" t="s">
        <v>1820</v>
      </c>
      <c r="E1973" s="674">
        <v>140401</v>
      </c>
      <c r="F1973" s="672" t="str">
        <f>IFERROR(VLOOKUP(E1973,STAT1!$C$4:$D$8000,2,FALSE),"")</f>
        <v>ҮНЗардал БОЛОВСРУУЛАХ ЦЕХ /нарс/</v>
      </c>
      <c r="G1973" s="377">
        <v>1701682.5391611392</v>
      </c>
      <c r="H1973" s="377"/>
      <c r="I1973" s="596">
        <f t="shared" si="199"/>
        <v>0</v>
      </c>
      <c r="J1973" s="81">
        <f t="shared" si="200"/>
        <v>0</v>
      </c>
      <c r="K1973" s="81"/>
      <c r="L1973" s="597">
        <v>1006</v>
      </c>
      <c r="M1973" s="81" t="str">
        <f>+IFERROR(VLOOKUP(L1973,DATA!$G$4:$H$2000,2,FALSE),"")</f>
        <v>Оюундэлгэр /нярав/</v>
      </c>
      <c r="N1973" s="166"/>
      <c r="O1973" s="81" t="str">
        <f>IFERROR(VLOOKUP(N1973,DATA!$K$4:$L$51,2,FALSE),"")</f>
        <v/>
      </c>
      <c r="P1973" s="81"/>
      <c r="Q1973" s="152">
        <f t="shared" si="197"/>
        <v>0</v>
      </c>
    </row>
    <row r="1974" spans="2:17">
      <c r="B1974" s="670">
        <f t="shared" si="201"/>
        <v>1969</v>
      </c>
      <c r="C1974" s="433">
        <v>43008</v>
      </c>
      <c r="D1974" s="377" t="s">
        <v>1820</v>
      </c>
      <c r="E1974" s="674">
        <v>160200</v>
      </c>
      <c r="F1974" s="672" t="str">
        <f>IFERROR(VLOOKUP(E1974,STAT1!$C$4:$D$8000,2,FALSE),"")</f>
        <v>Агуулахад байгаа материал, хангамж</v>
      </c>
      <c r="G1974" s="377"/>
      <c r="H1974" s="377">
        <v>584075.76</v>
      </c>
      <c r="I1974" s="596">
        <f t="shared" si="199"/>
        <v>0</v>
      </c>
      <c r="J1974" s="81">
        <f t="shared" si="200"/>
        <v>0</v>
      </c>
      <c r="K1974" s="81"/>
      <c r="L1974" s="597">
        <v>1006</v>
      </c>
      <c r="M1974" s="81" t="str">
        <f>+IFERROR(VLOOKUP(L1974,DATA!$G$4:$H$2000,2,FALSE),"")</f>
        <v>Оюундэлгэр /нярав/</v>
      </c>
      <c r="N1974" s="166"/>
      <c r="O1974" s="81" t="str">
        <f>IFERROR(VLOOKUP(N1974,DATA!$K$4:$L$51,2,FALSE),"")</f>
        <v/>
      </c>
      <c r="P1974" s="81"/>
      <c r="Q1974" s="152">
        <f t="shared" si="197"/>
        <v>0</v>
      </c>
    </row>
    <row r="1975" spans="2:17">
      <c r="B1975" s="670">
        <f t="shared" si="201"/>
        <v>1970</v>
      </c>
      <c r="C1975" s="433">
        <v>43008</v>
      </c>
      <c r="D1975" s="377" t="s">
        <v>1820</v>
      </c>
      <c r="E1975" s="674">
        <v>160100</v>
      </c>
      <c r="F1975" s="672" t="str">
        <f>IFERROR(VLOOKUP(E1975,STAT1!$C$4:$D$8000,2,FALSE),"")</f>
        <v xml:space="preserve">Барилгын материал </v>
      </c>
      <c r="G1975" s="377"/>
      <c r="H1975" s="377">
        <v>1117606.7791611392</v>
      </c>
      <c r="I1975" s="596">
        <f t="shared" si="199"/>
        <v>0</v>
      </c>
      <c r="J1975" s="81">
        <f t="shared" si="200"/>
        <v>0</v>
      </c>
      <c r="K1975" s="81"/>
      <c r="L1975" s="597">
        <v>1006</v>
      </c>
      <c r="M1975" s="81" t="str">
        <f>+IFERROR(VLOOKUP(L1975,DATA!$G$4:$H$2000,2,FALSE),"")</f>
        <v>Оюундэлгэр /нярав/</v>
      </c>
      <c r="N1975" s="166"/>
      <c r="O1975" s="81" t="str">
        <f>IFERROR(VLOOKUP(N1975,DATA!$K$4:$L$51,2,FALSE),"")</f>
        <v/>
      </c>
      <c r="P1975" s="81"/>
      <c r="Q1975" s="152">
        <f t="shared" si="197"/>
        <v>0</v>
      </c>
    </row>
    <row r="1976" spans="2:17">
      <c r="B1976" s="670">
        <f t="shared" si="201"/>
        <v>1971</v>
      </c>
      <c r="C1976" s="433">
        <v>43008</v>
      </c>
      <c r="D1976" s="377" t="s">
        <v>1821</v>
      </c>
      <c r="E1976" s="573">
        <v>150101</v>
      </c>
      <c r="F1976" s="672" t="str">
        <f>IFERROR(VLOOKUP(E1976,STAT1!$C$4:$D$8000,2,FALSE),"")</f>
        <v>Бараа бэлэн бүтээгдэхүүн БОЛОВСРУУЛАХ ЦЕХ /нарс/</v>
      </c>
      <c r="G1976" s="377">
        <v>126137857.15000001</v>
      </c>
      <c r="H1976" s="377"/>
      <c r="I1976" s="596">
        <f t="shared" si="199"/>
        <v>0</v>
      </c>
      <c r="J1976" s="81">
        <f t="shared" si="200"/>
        <v>0</v>
      </c>
      <c r="K1976" s="81"/>
      <c r="L1976" s="597">
        <v>1006</v>
      </c>
      <c r="M1976" s="81" t="str">
        <f>+IFERROR(VLOOKUP(L1976,DATA!$G$4:$H$2000,2,FALSE),"")</f>
        <v>Оюундэлгэр /нярав/</v>
      </c>
      <c r="N1976" s="166"/>
      <c r="O1976" s="81" t="str">
        <f>IFERROR(VLOOKUP(N1976,DATA!$K$4:$L$51,2,FALSE),"")</f>
        <v/>
      </c>
      <c r="P1976" s="81"/>
      <c r="Q1976" s="152">
        <f t="shared" si="197"/>
        <v>0</v>
      </c>
    </row>
    <row r="1977" spans="2:17">
      <c r="B1977" s="670">
        <f t="shared" si="201"/>
        <v>1972</v>
      </c>
      <c r="C1977" s="433">
        <v>43008</v>
      </c>
      <c r="D1977" s="377" t="s">
        <v>1821</v>
      </c>
      <c r="E1977" s="572">
        <v>140501</v>
      </c>
      <c r="F1977" s="672" t="str">
        <f>IFERROR(VLOOKUP(E1977,STAT1!$C$4:$D$8000,2,FALSE),"")</f>
        <v>Нэгтгэл зардал БОЛОВСРУУЛАХ ЦЕХ /нарс/</v>
      </c>
      <c r="G1977" s="377"/>
      <c r="H1977" s="377">
        <v>126137857.15000001</v>
      </c>
      <c r="I1977" s="596">
        <f t="shared" si="199"/>
        <v>0</v>
      </c>
      <c r="J1977" s="81">
        <f t="shared" si="200"/>
        <v>0</v>
      </c>
      <c r="K1977" s="81"/>
      <c r="L1977" s="597">
        <v>1006</v>
      </c>
      <c r="M1977" s="81" t="str">
        <f>+IFERROR(VLOOKUP(L1977,DATA!$G$4:$H$2000,2,FALSE),"")</f>
        <v>Оюундэлгэр /нярав/</v>
      </c>
      <c r="N1977" s="166"/>
      <c r="O1977" s="81" t="str">
        <f>IFERROR(VLOOKUP(N1977,DATA!$K$4:$L$51,2,FALSE),"")</f>
        <v/>
      </c>
      <c r="P1977" s="81"/>
      <c r="Q1977" s="152">
        <f t="shared" si="197"/>
        <v>0</v>
      </c>
    </row>
    <row r="1978" spans="2:17">
      <c r="B1978" s="670">
        <f t="shared" si="201"/>
        <v>1973</v>
      </c>
      <c r="C1978" s="433">
        <v>43008</v>
      </c>
      <c r="D1978" s="377" t="s">
        <v>1822</v>
      </c>
      <c r="E1978" s="572">
        <v>140501</v>
      </c>
      <c r="F1978" s="672" t="str">
        <f>IFERROR(VLOOKUP(E1978,STAT1!$C$4:$D$8000,2,FALSE),"")</f>
        <v>Нэгтгэл зардал БОЛОВСРУУЛАХ ЦЕХ /нарс/</v>
      </c>
      <c r="G1978" s="377">
        <v>126137857.15000001</v>
      </c>
      <c r="H1978" s="377"/>
      <c r="I1978" s="596">
        <f t="shared" si="199"/>
        <v>0</v>
      </c>
      <c r="J1978" s="81">
        <f t="shared" si="200"/>
        <v>0</v>
      </c>
      <c r="K1978" s="81"/>
      <c r="L1978" s="597">
        <v>1006</v>
      </c>
      <c r="M1978" s="81" t="str">
        <f>+IFERROR(VLOOKUP(L1978,DATA!$G$4:$H$2000,2,FALSE),"")</f>
        <v>Оюундэлгэр /нярав/</v>
      </c>
      <c r="N1978" s="166"/>
      <c r="O1978" s="81" t="str">
        <f>IFERROR(VLOOKUP(N1978,DATA!$K$4:$L$51,2,FALSE),"")</f>
        <v/>
      </c>
      <c r="P1978" s="81"/>
      <c r="Q1978" s="152">
        <f t="shared" si="197"/>
        <v>0</v>
      </c>
    </row>
    <row r="1979" spans="2:17">
      <c r="B1979" s="670">
        <f t="shared" si="201"/>
        <v>1974</v>
      </c>
      <c r="C1979" s="433">
        <v>43008</v>
      </c>
      <c r="D1979" s="377" t="s">
        <v>1823</v>
      </c>
      <c r="E1979" s="572">
        <v>140401</v>
      </c>
      <c r="F1979" s="672" t="str">
        <f>IFERROR(VLOOKUP(E1979,STAT1!$C$4:$D$8000,2,FALSE),"")</f>
        <v>ҮНЗардал БОЛОВСРУУЛАХ ЦЕХ /нарс/</v>
      </c>
      <c r="G1979" s="377"/>
      <c r="H1979" s="377">
        <v>25857702.920000002</v>
      </c>
      <c r="I1979" s="596">
        <f t="shared" si="199"/>
        <v>0</v>
      </c>
      <c r="J1979" s="81">
        <f t="shared" si="200"/>
        <v>0</v>
      </c>
      <c r="K1979" s="81"/>
      <c r="L1979" s="597">
        <v>1006</v>
      </c>
      <c r="M1979" s="81" t="str">
        <f>+IFERROR(VLOOKUP(L1979,DATA!$G$4:$H$2000,2,FALSE),"")</f>
        <v>Оюундэлгэр /нярав/</v>
      </c>
      <c r="N1979" s="166"/>
      <c r="O1979" s="81" t="str">
        <f>IFERROR(VLOOKUP(N1979,DATA!$K$4:$L$51,2,FALSE),"")</f>
        <v/>
      </c>
      <c r="P1979" s="81"/>
      <c r="Q1979" s="152">
        <f t="shared" si="197"/>
        <v>0</v>
      </c>
    </row>
    <row r="1980" spans="2:17">
      <c r="B1980" s="670">
        <f t="shared" si="201"/>
        <v>1975</v>
      </c>
      <c r="C1980" s="433">
        <v>43008</v>
      </c>
      <c r="D1980" s="377" t="s">
        <v>1824</v>
      </c>
      <c r="E1980" s="572">
        <v>140301</v>
      </c>
      <c r="F1980" s="672" t="str">
        <f>IFERROR(VLOOKUP(E1980,STAT1!$C$4:$D$8000,2,FALSE),"")</f>
        <v>ШХЗрдал БОЛОВСРУУЛАХ ЦЕХ /нарс/</v>
      </c>
      <c r="G1980" s="377"/>
      <c r="H1980" s="377">
        <v>10072518.800000001</v>
      </c>
      <c r="I1980" s="596">
        <f t="shared" si="199"/>
        <v>0</v>
      </c>
      <c r="J1980" s="81">
        <f t="shared" si="200"/>
        <v>0</v>
      </c>
      <c r="K1980" s="81"/>
      <c r="L1980" s="597">
        <v>1006</v>
      </c>
      <c r="M1980" s="81" t="str">
        <f>+IFERROR(VLOOKUP(L1980,DATA!$G$4:$H$2000,2,FALSE),"")</f>
        <v>Оюундэлгэр /нярав/</v>
      </c>
      <c r="N1980" s="166"/>
      <c r="O1980" s="81" t="str">
        <f>IFERROR(VLOOKUP(N1980,DATA!$K$4:$L$51,2,FALSE),"")</f>
        <v/>
      </c>
      <c r="P1980" s="81"/>
      <c r="Q1980" s="152">
        <f t="shared" si="197"/>
        <v>0</v>
      </c>
    </row>
    <row r="1981" spans="2:17">
      <c r="B1981" s="670">
        <f t="shared" si="201"/>
        <v>1976</v>
      </c>
      <c r="C1981" s="433">
        <v>43008</v>
      </c>
      <c r="D1981" s="377" t="s">
        <v>1825</v>
      </c>
      <c r="E1981" s="572">
        <v>140201</v>
      </c>
      <c r="F1981" s="672" t="str">
        <f>IFERROR(VLOOKUP(E1981,STAT1!$C$4:$D$8000,2,FALSE),"")</f>
        <v>ШМЗардал БОЛОВСРУУЛАХ ЦЕХ /нарс/</v>
      </c>
      <c r="G1981" s="377"/>
      <c r="H1981" s="377">
        <v>90207635.430000007</v>
      </c>
      <c r="I1981" s="596">
        <f t="shared" si="199"/>
        <v>0</v>
      </c>
      <c r="J1981" s="81">
        <f t="shared" si="200"/>
        <v>0</v>
      </c>
      <c r="K1981" s="81"/>
      <c r="L1981" s="597">
        <v>1006</v>
      </c>
      <c r="M1981" s="81" t="str">
        <f>+IFERROR(VLOOKUP(L1981,DATA!$G$4:$H$2000,2,FALSE),"")</f>
        <v>Оюундэлгэр /нярав/</v>
      </c>
      <c r="N1981" s="166"/>
      <c r="O1981" s="81" t="str">
        <f>IFERROR(VLOOKUP(N1981,DATA!$K$4:$L$51,2,FALSE),"")</f>
        <v/>
      </c>
      <c r="P1981" s="81"/>
      <c r="Q1981" s="152">
        <f t="shared" si="197"/>
        <v>0</v>
      </c>
    </row>
    <row r="1982" spans="2:17">
      <c r="B1982" s="670">
        <f t="shared" si="201"/>
        <v>1977</v>
      </c>
      <c r="C1982" s="601">
        <v>43008</v>
      </c>
      <c r="D1982" s="377" t="s">
        <v>1660</v>
      </c>
      <c r="E1982" s="673">
        <v>150101</v>
      </c>
      <c r="F1982" s="672" t="str">
        <f>IFERROR(VLOOKUP(E1982,STAT1!$C$4:$D$8000,2,FALSE),"")</f>
        <v>Бараа бэлэн бүтээгдэхүүн БОЛОВСРУУЛАХ ЦЕХ /нарс/</v>
      </c>
      <c r="G1982" s="377"/>
      <c r="H1982" s="377">
        <v>243678.13580808963</v>
      </c>
      <c r="I1982" s="596">
        <f t="shared" si="199"/>
        <v>0</v>
      </c>
      <c r="J1982" s="81">
        <f t="shared" si="200"/>
        <v>0</v>
      </c>
      <c r="K1982" s="81"/>
      <c r="L1982" s="597">
        <v>3021</v>
      </c>
      <c r="M1982" s="81" t="str">
        <f>+IFERROR(VLOOKUP(L1982,DATA!$G$4:$H$2000,2,FALSE),"")</f>
        <v>БАНДИА ХХК</v>
      </c>
      <c r="N1982" s="166"/>
      <c r="O1982" s="81" t="str">
        <f>IFERROR(VLOOKUP(N1982,DATA!$K$4:$L$51,2,FALSE),"")</f>
        <v/>
      </c>
      <c r="P1982" s="81"/>
      <c r="Q1982" s="152">
        <f t="shared" si="197"/>
        <v>0</v>
      </c>
    </row>
    <row r="1983" spans="2:17">
      <c r="B1983" s="670">
        <f t="shared" si="201"/>
        <v>1978</v>
      </c>
      <c r="C1983" s="601">
        <v>43008</v>
      </c>
      <c r="D1983" s="377" t="s">
        <v>1659</v>
      </c>
      <c r="E1983" s="674">
        <v>610100</v>
      </c>
      <c r="F1983" s="672" t="str">
        <f>IFERROR(VLOOKUP(E1983,STAT1!$C$4:$D$8000,2,FALSE),"")</f>
        <v>Борлуулсан барааны өртөг</v>
      </c>
      <c r="G1983" s="377">
        <v>243678.13580808963</v>
      </c>
      <c r="H1983" s="377"/>
      <c r="I1983" s="596">
        <f t="shared" si="199"/>
        <v>0</v>
      </c>
      <c r="J1983" s="81">
        <f t="shared" si="200"/>
        <v>0</v>
      </c>
      <c r="K1983" s="81"/>
      <c r="L1983" s="597">
        <v>3021</v>
      </c>
      <c r="M1983" s="81" t="str">
        <f>+IFERROR(VLOOKUP(L1983,DATA!$G$4:$H$2000,2,FALSE),"")</f>
        <v>БАНДИА ХХК</v>
      </c>
      <c r="N1983" s="166"/>
      <c r="O1983" s="81" t="str">
        <f>IFERROR(VLOOKUP(N1983,DATA!$K$4:$L$51,2,FALSE),"")</f>
        <v/>
      </c>
      <c r="P1983" s="81"/>
      <c r="Q1983" s="152">
        <f t="shared" si="197"/>
        <v>0</v>
      </c>
    </row>
    <row r="1984" spans="2:17">
      <c r="B1984" s="670">
        <f t="shared" si="201"/>
        <v>1979</v>
      </c>
      <c r="C1984" s="601">
        <v>43008</v>
      </c>
      <c r="D1984" s="377" t="s">
        <v>587</v>
      </c>
      <c r="E1984" s="674">
        <v>310500</v>
      </c>
      <c r="F1984" s="672" t="str">
        <f>IFERROR(VLOOKUP(E1984,STAT1!$C$4:$D$8000,2,FALSE),"")</f>
        <v>НӨАТ өглөг</v>
      </c>
      <c r="G1984" s="377"/>
      <c r="H1984" s="377">
        <v>55500</v>
      </c>
      <c r="I1984" s="596">
        <f t="shared" si="199"/>
        <v>0</v>
      </c>
      <c r="J1984" s="81">
        <f t="shared" si="200"/>
        <v>0</v>
      </c>
      <c r="K1984" s="81"/>
      <c r="L1984" s="597">
        <v>3021</v>
      </c>
      <c r="M1984" s="81" t="str">
        <f>+IFERROR(VLOOKUP(L1984,DATA!$G$4:$H$2000,2,FALSE),"")</f>
        <v>БАНДИА ХХК</v>
      </c>
      <c r="N1984" s="166"/>
      <c r="O1984" s="81" t="str">
        <f>IFERROR(VLOOKUP(N1984,DATA!$K$4:$L$51,2,FALSE),"")</f>
        <v/>
      </c>
      <c r="P1984" s="81"/>
      <c r="Q1984" s="152">
        <f t="shared" si="197"/>
        <v>0</v>
      </c>
    </row>
    <row r="1985" spans="2:17">
      <c r="B1985" s="670">
        <f t="shared" si="201"/>
        <v>1980</v>
      </c>
      <c r="C1985" s="601">
        <v>43008</v>
      </c>
      <c r="D1985" s="377" t="s">
        <v>587</v>
      </c>
      <c r="E1985" s="674">
        <v>510000</v>
      </c>
      <c r="F1985" s="672" t="str">
        <f>IFERROR(VLOOKUP(E1985,STAT1!$C$4:$D$8000,2,FALSE),"")</f>
        <v>Үндсэн үйл ажиллагааны борлуулалт</v>
      </c>
      <c r="G1985" s="377"/>
      <c r="H1985" s="377">
        <v>555000</v>
      </c>
      <c r="I1985" s="596">
        <f t="shared" si="199"/>
        <v>0</v>
      </c>
      <c r="J1985" s="81">
        <f t="shared" si="200"/>
        <v>0</v>
      </c>
      <c r="K1985" s="81"/>
      <c r="L1985" s="597">
        <v>3021</v>
      </c>
      <c r="M1985" s="81" t="str">
        <f>+IFERROR(VLOOKUP(L1985,DATA!$G$4:$H$2000,2,FALSE),"")</f>
        <v>БАНДИА ХХК</v>
      </c>
      <c r="N1985" s="166"/>
      <c r="O1985" s="81" t="str">
        <f>IFERROR(VLOOKUP(N1985,DATA!$K$4:$L$51,2,FALSE),"")</f>
        <v/>
      </c>
      <c r="P1985" s="81"/>
      <c r="Q1985" s="152">
        <f t="shared" si="197"/>
        <v>0</v>
      </c>
    </row>
    <row r="1986" spans="2:17">
      <c r="B1986" s="670">
        <f t="shared" si="201"/>
        <v>1981</v>
      </c>
      <c r="C1986" s="601">
        <v>43008</v>
      </c>
      <c r="D1986" s="377" t="s">
        <v>587</v>
      </c>
      <c r="E1986" s="674">
        <v>320100</v>
      </c>
      <c r="F1986" s="672" t="str">
        <f>IFERROR(VLOOKUP(E1986,STAT1!$C$4:$D$8000,2,FALSE),"")</f>
        <v>Урьдчилж орсон орлого MNT</v>
      </c>
      <c r="G1986" s="377">
        <v>610500</v>
      </c>
      <c r="H1986" s="377"/>
      <c r="I1986" s="596">
        <f t="shared" si="199"/>
        <v>0</v>
      </c>
      <c r="J1986" s="81">
        <f t="shared" si="200"/>
        <v>0</v>
      </c>
      <c r="K1986" s="81"/>
      <c r="L1986" s="597">
        <v>3021</v>
      </c>
      <c r="M1986" s="81" t="str">
        <f>+IFERROR(VLOOKUP(L1986,DATA!$G$4:$H$2000,2,FALSE),"")</f>
        <v>БАНДИА ХХК</v>
      </c>
      <c r="N1986" s="166"/>
      <c r="O1986" s="81" t="str">
        <f>IFERROR(VLOOKUP(N1986,DATA!$K$4:$L$51,2,FALSE),"")</f>
        <v/>
      </c>
      <c r="P1986" s="81"/>
      <c r="Q1986" s="152">
        <f t="shared" si="197"/>
        <v>0</v>
      </c>
    </row>
    <row r="1987" spans="2:17">
      <c r="B1987" s="670">
        <f t="shared" si="201"/>
        <v>1982</v>
      </c>
      <c r="C1987" s="433">
        <v>43008</v>
      </c>
      <c r="D1987" s="377" t="s">
        <v>1741</v>
      </c>
      <c r="E1987" s="572">
        <v>100100</v>
      </c>
      <c r="F1987" s="672" t="str">
        <f>IFERROR(VLOOKUP(E1987,STAT1!$C$4:$D$8000,2,FALSE),"")</f>
        <v>Касс мөнгө MNT</v>
      </c>
      <c r="G1987" s="377">
        <v>2158510</v>
      </c>
      <c r="H1987" s="377"/>
      <c r="I1987" s="81">
        <v>2158510</v>
      </c>
      <c r="J1987" s="81">
        <f t="shared" si="200"/>
        <v>0</v>
      </c>
      <c r="K1987" s="81"/>
      <c r="L1987" s="597">
        <v>4002</v>
      </c>
      <c r="M1987" s="81" t="str">
        <f>+IFERROR(VLOOKUP(L1987,DATA!$G$4:$H$2000,2,FALSE),"")</f>
        <v xml:space="preserve">Хувь хүн </v>
      </c>
      <c r="N1987" s="166">
        <v>41</v>
      </c>
      <c r="O1987" s="81" t="str">
        <f>IFERROR(VLOOKUP(N1987,DATA!$K$4:$L$51,2,FALSE),"")</f>
        <v>Бараа борлуулсан, үйлчилгээ үзүүлсэний орлого</v>
      </c>
      <c r="P1987" s="81"/>
      <c r="Q1987" s="152">
        <f t="shared" si="197"/>
        <v>1</v>
      </c>
    </row>
    <row r="1988" spans="2:17">
      <c r="B1988" s="670">
        <f t="shared" si="201"/>
        <v>1983</v>
      </c>
      <c r="C1988" s="433">
        <v>43008</v>
      </c>
      <c r="D1988" s="377" t="s">
        <v>1741</v>
      </c>
      <c r="E1988" s="572">
        <v>320100</v>
      </c>
      <c r="F1988" s="672" t="str">
        <f>IFERROR(VLOOKUP(E1988,STAT1!$C$4:$D$8000,2,FALSE),"")</f>
        <v>Урьдчилж орсон орлого MNT</v>
      </c>
      <c r="G1988" s="377"/>
      <c r="H1988" s="377">
        <v>2158510</v>
      </c>
      <c r="I1988" s="596">
        <f t="shared" ref="I1988:I2051" si="202">+IF(OR(E1988=100100,E1988=100200,E1988=110100,E1988=110102,E1988=110103,E1988=110104,E1988=110105,E1988=110200,E1988=110201,E1988=110202,E1988=110203,E1988=110204,E1988=110300),G1988,0)+IF(OR(E1988=100100,E1988=100200,E1988=110100,E1988=110102,E1988=110103,E1988=110104,E1988=110105,E1988=110200,E1988=110201,E1988=110202,E1988=110203,E1988=110204,E1988=110300),H1988*-1,0)</f>
        <v>0</v>
      </c>
      <c r="J1988" s="81">
        <f t="shared" si="200"/>
        <v>0</v>
      </c>
      <c r="K1988" s="81"/>
      <c r="L1988" s="597">
        <v>4002</v>
      </c>
      <c r="M1988" s="81" t="str">
        <f>+IFERROR(VLOOKUP(L1988,DATA!$G$4:$H$2000,2,FALSE),"")</f>
        <v xml:space="preserve">Хувь хүн </v>
      </c>
      <c r="N1988" s="166"/>
      <c r="O1988" s="81" t="str">
        <f>IFERROR(VLOOKUP(N1988,DATA!$K$4:$L$51,2,FALSE),"")</f>
        <v/>
      </c>
      <c r="P1988" s="81"/>
      <c r="Q1988" s="152">
        <f t="shared" si="197"/>
        <v>0</v>
      </c>
    </row>
    <row r="1989" spans="2:17">
      <c r="B1989" s="670">
        <f t="shared" si="201"/>
        <v>1984</v>
      </c>
      <c r="C1989" s="433">
        <v>43008</v>
      </c>
      <c r="D1989" s="377" t="s">
        <v>1741</v>
      </c>
      <c r="E1989" s="572">
        <v>100100</v>
      </c>
      <c r="F1989" s="672" t="str">
        <f>IFERROR(VLOOKUP(E1989,STAT1!$C$4:$D$8000,2,FALSE),"")</f>
        <v>Касс мөнгө MNT</v>
      </c>
      <c r="G1989" s="377">
        <v>732600</v>
      </c>
      <c r="H1989" s="377"/>
      <c r="I1989" s="596">
        <f t="shared" si="202"/>
        <v>732600</v>
      </c>
      <c r="J1989" s="81">
        <f t="shared" si="200"/>
        <v>0</v>
      </c>
      <c r="K1989" s="81"/>
      <c r="L1989" s="597">
        <v>3021</v>
      </c>
      <c r="M1989" s="81" t="str">
        <f>+IFERROR(VLOOKUP(L1989,DATA!$G$4:$H$2000,2,FALSE),"")</f>
        <v>БАНДИА ХХК</v>
      </c>
      <c r="N1989" s="166">
        <v>41</v>
      </c>
      <c r="O1989" s="81" t="str">
        <f>IFERROR(VLOOKUP(N1989,DATA!$K$4:$L$51,2,FALSE),"")</f>
        <v>Бараа борлуулсан, үйлчилгээ үзүүлсэний орлого</v>
      </c>
      <c r="P1989" s="81"/>
      <c r="Q1989" s="152">
        <f t="shared" si="197"/>
        <v>1</v>
      </c>
    </row>
    <row r="1990" spans="2:17">
      <c r="B1990" s="670">
        <f t="shared" si="201"/>
        <v>1985</v>
      </c>
      <c r="C1990" s="433">
        <v>43008</v>
      </c>
      <c r="D1990" s="377" t="s">
        <v>1741</v>
      </c>
      <c r="E1990" s="572">
        <v>320100</v>
      </c>
      <c r="F1990" s="672" t="str">
        <f>IFERROR(VLOOKUP(E1990,STAT1!$C$4:$D$8000,2,FALSE),"")</f>
        <v>Урьдчилж орсон орлого MNT</v>
      </c>
      <c r="G1990" s="377"/>
      <c r="H1990" s="377">
        <v>732600</v>
      </c>
      <c r="I1990" s="596">
        <f t="shared" si="202"/>
        <v>0</v>
      </c>
      <c r="J1990" s="81">
        <f t="shared" si="200"/>
        <v>0</v>
      </c>
      <c r="K1990" s="81"/>
      <c r="L1990" s="597">
        <v>3021</v>
      </c>
      <c r="M1990" s="81" t="str">
        <f>+IFERROR(VLOOKUP(L1990,DATA!$G$4:$H$2000,2,FALSE),"")</f>
        <v>БАНДИА ХХК</v>
      </c>
      <c r="N1990" s="166"/>
      <c r="O1990" s="81" t="str">
        <f>IFERROR(VLOOKUP(N1990,DATA!$K$4:$L$51,2,FALSE),"")</f>
        <v/>
      </c>
      <c r="P1990" s="81"/>
      <c r="Q1990" s="152">
        <f t="shared" ref="Q1990:Q2053" si="203">+IF(I1990,1,0)</f>
        <v>0</v>
      </c>
    </row>
    <row r="1991" spans="2:17">
      <c r="B1991" s="670">
        <f t="shared" si="201"/>
        <v>1986</v>
      </c>
      <c r="C1991" s="433">
        <v>43008</v>
      </c>
      <c r="D1991" s="377" t="s">
        <v>1741</v>
      </c>
      <c r="E1991" s="572">
        <v>100100</v>
      </c>
      <c r="F1991" s="672" t="str">
        <f>IFERROR(VLOOKUP(E1991,STAT1!$C$4:$D$8000,2,FALSE),"")</f>
        <v>Касс мөнгө MNT</v>
      </c>
      <c r="G1991" s="377">
        <v>1084600</v>
      </c>
      <c r="H1991" s="377"/>
      <c r="I1991" s="596">
        <f t="shared" si="202"/>
        <v>1084600</v>
      </c>
      <c r="J1991" s="81">
        <f t="shared" si="200"/>
        <v>0</v>
      </c>
      <c r="K1991" s="81"/>
      <c r="L1991" s="597">
        <v>3039</v>
      </c>
      <c r="M1991" s="81" t="str">
        <f>+IFERROR(VLOOKUP(L1991,DATA!$G$4:$H$2000,2,FALSE),"")</f>
        <v xml:space="preserve">САССИР ХХК </v>
      </c>
      <c r="N1991" s="166">
        <v>41</v>
      </c>
      <c r="O1991" s="81" t="str">
        <f>IFERROR(VLOOKUP(N1991,DATA!$K$4:$L$51,2,FALSE),"")</f>
        <v>Бараа борлуулсан, үйлчилгээ үзүүлсэний орлого</v>
      </c>
      <c r="P1991" s="81"/>
      <c r="Q1991" s="152">
        <f t="shared" si="203"/>
        <v>1</v>
      </c>
    </row>
    <row r="1992" spans="2:17">
      <c r="B1992" s="670">
        <f t="shared" si="201"/>
        <v>1987</v>
      </c>
      <c r="C1992" s="433">
        <v>43008</v>
      </c>
      <c r="D1992" s="377" t="s">
        <v>1741</v>
      </c>
      <c r="E1992" s="572">
        <v>320100</v>
      </c>
      <c r="F1992" s="672" t="str">
        <f>IFERROR(VLOOKUP(E1992,STAT1!$C$4:$D$8000,2,FALSE),"")</f>
        <v>Урьдчилж орсон орлого MNT</v>
      </c>
      <c r="G1992" s="377"/>
      <c r="H1992" s="377">
        <v>1084600</v>
      </c>
      <c r="I1992" s="596">
        <f t="shared" si="202"/>
        <v>0</v>
      </c>
      <c r="J1992" s="81">
        <f t="shared" si="200"/>
        <v>0</v>
      </c>
      <c r="K1992" s="81"/>
      <c r="L1992" s="597">
        <v>3039</v>
      </c>
      <c r="M1992" s="81" t="str">
        <f>+IFERROR(VLOOKUP(L1992,DATA!$G$4:$H$2000,2,FALSE),"")</f>
        <v xml:space="preserve">САССИР ХХК </v>
      </c>
      <c r="N1992" s="166"/>
      <c r="O1992" s="81" t="str">
        <f>IFERROR(VLOOKUP(N1992,DATA!$K$4:$L$51,2,FALSE),"")</f>
        <v/>
      </c>
      <c r="P1992" s="81"/>
      <c r="Q1992" s="152">
        <f t="shared" si="203"/>
        <v>0</v>
      </c>
    </row>
    <row r="1993" spans="2:17">
      <c r="B1993" s="670">
        <f t="shared" si="201"/>
        <v>1988</v>
      </c>
      <c r="C1993" s="433">
        <v>43008</v>
      </c>
      <c r="D1993" s="377" t="s">
        <v>1741</v>
      </c>
      <c r="E1993" s="572">
        <v>100100</v>
      </c>
      <c r="F1993" s="672" t="str">
        <f>IFERROR(VLOOKUP(E1993,STAT1!$C$4:$D$8000,2,FALSE),"")</f>
        <v>Касс мөнгө MNT</v>
      </c>
      <c r="G1993" s="377">
        <v>1408000</v>
      </c>
      <c r="H1993" s="377"/>
      <c r="I1993" s="596">
        <f t="shared" si="202"/>
        <v>1408000</v>
      </c>
      <c r="J1993" s="81">
        <f t="shared" si="200"/>
        <v>0</v>
      </c>
      <c r="K1993" s="81"/>
      <c r="L1993" s="597">
        <v>3042</v>
      </c>
      <c r="M1993" s="81" t="str">
        <f>+IFERROR(VLOOKUP(L1993,DATA!$G$4:$H$2000,2,FALSE),"")</f>
        <v xml:space="preserve">ЖУРМАК ХХК </v>
      </c>
      <c r="N1993" s="166">
        <v>41</v>
      </c>
      <c r="O1993" s="81" t="str">
        <f>IFERROR(VLOOKUP(N1993,DATA!$K$4:$L$51,2,FALSE),"")</f>
        <v>Бараа борлуулсан, үйлчилгээ үзүүлсэний орлого</v>
      </c>
      <c r="P1993" s="81"/>
      <c r="Q1993" s="152">
        <f t="shared" si="203"/>
        <v>1</v>
      </c>
    </row>
    <row r="1994" spans="2:17">
      <c r="B1994" s="670">
        <f t="shared" si="201"/>
        <v>1989</v>
      </c>
      <c r="C1994" s="433">
        <v>43008</v>
      </c>
      <c r="D1994" s="377" t="s">
        <v>1741</v>
      </c>
      <c r="E1994" s="572">
        <v>320100</v>
      </c>
      <c r="F1994" s="672" t="str">
        <f>IFERROR(VLOOKUP(E1994,STAT1!$C$4:$D$8000,2,FALSE),"")</f>
        <v>Урьдчилж орсон орлого MNT</v>
      </c>
      <c r="G1994" s="377"/>
      <c r="H1994" s="377">
        <v>1408000</v>
      </c>
      <c r="I1994" s="596">
        <f t="shared" si="202"/>
        <v>0</v>
      </c>
      <c r="J1994" s="81">
        <f t="shared" si="200"/>
        <v>0</v>
      </c>
      <c r="K1994" s="81"/>
      <c r="L1994" s="597">
        <v>3042</v>
      </c>
      <c r="M1994" s="81" t="str">
        <f>+IFERROR(VLOOKUP(L1994,DATA!$G$4:$H$2000,2,FALSE),"")</f>
        <v xml:space="preserve">ЖУРМАК ХХК </v>
      </c>
      <c r="N1994" s="166"/>
      <c r="O1994" s="81" t="str">
        <f>IFERROR(VLOOKUP(N1994,DATA!$K$4:$L$51,2,FALSE),"")</f>
        <v/>
      </c>
      <c r="P1994" s="81"/>
      <c r="Q1994" s="152">
        <f t="shared" si="203"/>
        <v>0</v>
      </c>
    </row>
    <row r="1995" spans="2:17">
      <c r="B1995" s="670">
        <f t="shared" si="201"/>
        <v>1990</v>
      </c>
      <c r="C1995" s="433">
        <v>43008</v>
      </c>
      <c r="D1995" s="377" t="s">
        <v>1741</v>
      </c>
      <c r="E1995" s="572">
        <v>100100</v>
      </c>
      <c r="F1995" s="672" t="str">
        <f>IFERROR(VLOOKUP(E1995,STAT1!$C$4:$D$8000,2,FALSE),"")</f>
        <v>Касс мөнгө MNT</v>
      </c>
      <c r="G1995" s="377">
        <v>111800</v>
      </c>
      <c r="H1995" s="377"/>
      <c r="I1995" s="596">
        <f t="shared" si="202"/>
        <v>111800</v>
      </c>
      <c r="J1995" s="81">
        <f t="shared" si="200"/>
        <v>0</v>
      </c>
      <c r="K1995" s="81"/>
      <c r="L1995" s="597">
        <v>3075</v>
      </c>
      <c r="M1995" s="81" t="str">
        <f>+IFERROR(VLOOKUP(L1995,DATA!$G$4:$H$2000,2,FALSE),"")</f>
        <v>СИ АЙ ТИ ХХК</v>
      </c>
      <c r="N1995" s="166">
        <v>41</v>
      </c>
      <c r="O1995" s="81" t="str">
        <f>IFERROR(VLOOKUP(N1995,DATA!$K$4:$L$51,2,FALSE),"")</f>
        <v>Бараа борлуулсан, үйлчилгээ үзүүлсэний орлого</v>
      </c>
      <c r="P1995" s="81"/>
      <c r="Q1995" s="152">
        <f t="shared" si="203"/>
        <v>1</v>
      </c>
    </row>
    <row r="1996" spans="2:17">
      <c r="B1996" s="670">
        <f t="shared" si="201"/>
        <v>1991</v>
      </c>
      <c r="C1996" s="433">
        <v>43008</v>
      </c>
      <c r="D1996" s="377" t="s">
        <v>1741</v>
      </c>
      <c r="E1996" s="572">
        <v>320100</v>
      </c>
      <c r="F1996" s="672" t="str">
        <f>IFERROR(VLOOKUP(E1996,STAT1!$C$4:$D$8000,2,FALSE),"")</f>
        <v>Урьдчилж орсон орлого MNT</v>
      </c>
      <c r="G1996" s="377"/>
      <c r="H1996" s="377">
        <v>111800</v>
      </c>
      <c r="I1996" s="596">
        <f t="shared" si="202"/>
        <v>0</v>
      </c>
      <c r="J1996" s="81">
        <f t="shared" si="200"/>
        <v>0</v>
      </c>
      <c r="K1996" s="81"/>
      <c r="L1996" s="597">
        <v>3075</v>
      </c>
      <c r="M1996" s="81" t="str">
        <f>+IFERROR(VLOOKUP(L1996,DATA!$G$4:$H$2000,2,FALSE),"")</f>
        <v>СИ АЙ ТИ ХХК</v>
      </c>
      <c r="N1996" s="166"/>
      <c r="O1996" s="81" t="str">
        <f>IFERROR(VLOOKUP(N1996,DATA!$K$4:$L$51,2,FALSE),"")</f>
        <v/>
      </c>
      <c r="P1996" s="81"/>
      <c r="Q1996" s="152">
        <f t="shared" si="203"/>
        <v>0</v>
      </c>
    </row>
    <row r="1997" spans="2:17">
      <c r="B1997" s="670">
        <f t="shared" si="201"/>
        <v>1992</v>
      </c>
      <c r="C1997" s="433">
        <v>43008</v>
      </c>
      <c r="D1997" s="377" t="s">
        <v>1741</v>
      </c>
      <c r="E1997" s="572">
        <v>100100</v>
      </c>
      <c r="F1997" s="672" t="str">
        <f>IFERROR(VLOOKUP(E1997,STAT1!$C$4:$D$8000,2,FALSE),"")</f>
        <v>Касс мөнгө MNT</v>
      </c>
      <c r="G1997" s="377">
        <v>187000</v>
      </c>
      <c r="H1997" s="377"/>
      <c r="I1997" s="596">
        <f t="shared" si="202"/>
        <v>187000</v>
      </c>
      <c r="J1997" s="81">
        <f t="shared" si="200"/>
        <v>0</v>
      </c>
      <c r="K1997" s="81"/>
      <c r="L1997" s="597">
        <v>3076</v>
      </c>
      <c r="M1997" s="81" t="str">
        <f>+IFERROR(VLOOKUP(L1997,DATA!$G$4:$H$2000,2,FALSE),"")</f>
        <v>ЖИ ЭЙ БИ ӨҮ ТИ ХХК</v>
      </c>
      <c r="N1997" s="166">
        <v>41</v>
      </c>
      <c r="O1997" s="81" t="str">
        <f>IFERROR(VLOOKUP(N1997,DATA!$K$4:$L$51,2,FALSE),"")</f>
        <v>Бараа борлуулсан, үйлчилгээ үзүүлсэний орлого</v>
      </c>
      <c r="P1997" s="81"/>
      <c r="Q1997" s="152">
        <f t="shared" si="203"/>
        <v>1</v>
      </c>
    </row>
    <row r="1998" spans="2:17">
      <c r="B1998" s="670">
        <f t="shared" si="201"/>
        <v>1993</v>
      </c>
      <c r="C1998" s="433">
        <v>43008</v>
      </c>
      <c r="D1998" s="377" t="s">
        <v>1741</v>
      </c>
      <c r="E1998" s="572">
        <v>320100</v>
      </c>
      <c r="F1998" s="672" t="str">
        <f>IFERROR(VLOOKUP(E1998,STAT1!$C$4:$D$8000,2,FALSE),"")</f>
        <v>Урьдчилж орсон орлого MNT</v>
      </c>
      <c r="G1998" s="377"/>
      <c r="H1998" s="377">
        <v>187000</v>
      </c>
      <c r="I1998" s="596">
        <f t="shared" si="202"/>
        <v>0</v>
      </c>
      <c r="J1998" s="81">
        <f t="shared" si="200"/>
        <v>0</v>
      </c>
      <c r="K1998" s="81"/>
      <c r="L1998" s="597">
        <v>3076</v>
      </c>
      <c r="M1998" s="81" t="str">
        <f>+IFERROR(VLOOKUP(L1998,DATA!$G$4:$H$2000,2,FALSE),"")</f>
        <v>ЖИ ЭЙ БИ ӨҮ ТИ ХХК</v>
      </c>
      <c r="N1998" s="166"/>
      <c r="O1998" s="81" t="str">
        <f>IFERROR(VLOOKUP(N1998,DATA!$K$4:$L$51,2,FALSE),"")</f>
        <v/>
      </c>
      <c r="P1998" s="81"/>
      <c r="Q1998" s="152">
        <f t="shared" si="203"/>
        <v>0</v>
      </c>
    </row>
    <row r="1999" spans="2:17">
      <c r="B1999" s="670">
        <f t="shared" si="201"/>
        <v>1994</v>
      </c>
      <c r="C1999" s="433">
        <v>43008</v>
      </c>
      <c r="D1999" s="377" t="s">
        <v>1741</v>
      </c>
      <c r="E1999" s="572">
        <v>100100</v>
      </c>
      <c r="F1999" s="672" t="str">
        <f>IFERROR(VLOOKUP(E1999,STAT1!$C$4:$D$8000,2,FALSE),"")</f>
        <v>Касс мөнгө MNT</v>
      </c>
      <c r="G1999" s="377">
        <v>714500</v>
      </c>
      <c r="H1999" s="377"/>
      <c r="I1999" s="596">
        <f t="shared" si="202"/>
        <v>714500</v>
      </c>
      <c r="J1999" s="81">
        <f t="shared" si="200"/>
        <v>0</v>
      </c>
      <c r="K1999" s="81"/>
      <c r="L1999" s="597">
        <v>3077</v>
      </c>
      <c r="M1999" s="81" t="str">
        <f>+IFERROR(VLOOKUP(L1999,DATA!$G$4:$H$2000,2,FALSE),"")</f>
        <v>КАРАНДАШ ХХК</v>
      </c>
      <c r="N1999" s="166">
        <v>41</v>
      </c>
      <c r="O1999" s="81" t="str">
        <f>IFERROR(VLOOKUP(N1999,DATA!$K$4:$L$51,2,FALSE),"")</f>
        <v>Бараа борлуулсан, үйлчилгээ үзүүлсэний орлого</v>
      </c>
      <c r="P1999" s="81"/>
      <c r="Q1999" s="152">
        <f t="shared" si="203"/>
        <v>1</v>
      </c>
    </row>
    <row r="2000" spans="2:17">
      <c r="B2000" s="670">
        <f t="shared" si="201"/>
        <v>1995</v>
      </c>
      <c r="C2000" s="433">
        <v>43008</v>
      </c>
      <c r="D2000" s="377" t="s">
        <v>1741</v>
      </c>
      <c r="E2000" s="572">
        <v>320100</v>
      </c>
      <c r="F2000" s="672" t="str">
        <f>IFERROR(VLOOKUP(E2000,STAT1!$C$4:$D$8000,2,FALSE),"")</f>
        <v>Урьдчилж орсон орлого MNT</v>
      </c>
      <c r="G2000" s="377"/>
      <c r="H2000" s="377">
        <v>714500</v>
      </c>
      <c r="I2000" s="596">
        <f t="shared" si="202"/>
        <v>0</v>
      </c>
      <c r="J2000" s="81">
        <f t="shared" si="200"/>
        <v>0</v>
      </c>
      <c r="K2000" s="81"/>
      <c r="L2000" s="597">
        <v>3077</v>
      </c>
      <c r="M2000" s="81" t="str">
        <f>+IFERROR(VLOOKUP(L2000,DATA!$G$4:$H$2000,2,FALSE),"")</f>
        <v>КАРАНДАШ ХХК</v>
      </c>
      <c r="N2000" s="166"/>
      <c r="O2000" s="81" t="str">
        <f>IFERROR(VLOOKUP(N2000,DATA!$K$4:$L$51,2,FALSE),"")</f>
        <v/>
      </c>
      <c r="P2000" s="81"/>
      <c r="Q2000" s="152">
        <f t="shared" si="203"/>
        <v>0</v>
      </c>
    </row>
    <row r="2001" spans="2:17">
      <c r="B2001" s="670">
        <f t="shared" si="201"/>
        <v>1996</v>
      </c>
      <c r="C2001" s="433">
        <v>43008</v>
      </c>
      <c r="D2001" s="377" t="s">
        <v>1741</v>
      </c>
      <c r="E2001" s="572">
        <v>100100</v>
      </c>
      <c r="F2001" s="672" t="str">
        <f>IFERROR(VLOOKUP(E2001,STAT1!$C$4:$D$8000,2,FALSE),"")</f>
        <v>Касс мөнгө MNT</v>
      </c>
      <c r="G2001" s="377">
        <v>908110</v>
      </c>
      <c r="H2001" s="377"/>
      <c r="I2001" s="596">
        <f t="shared" si="202"/>
        <v>908110</v>
      </c>
      <c r="J2001" s="81">
        <f t="shared" si="200"/>
        <v>0</v>
      </c>
      <c r="K2001" s="81"/>
      <c r="L2001" s="597">
        <v>3078</v>
      </c>
      <c r="M2001" s="81" t="str">
        <f>+IFERROR(VLOOKUP(L2001,DATA!$G$4:$H$2000,2,FALSE),"")</f>
        <v>МӨНХ ЭНХРИЙ ХХК</v>
      </c>
      <c r="N2001" s="166">
        <v>41</v>
      </c>
      <c r="O2001" s="81" t="str">
        <f>IFERROR(VLOOKUP(N2001,DATA!$K$4:$L$51,2,FALSE),"")</f>
        <v>Бараа борлуулсан, үйлчилгээ үзүүлсэний орлого</v>
      </c>
      <c r="P2001" s="81"/>
      <c r="Q2001" s="152">
        <f t="shared" si="203"/>
        <v>1</v>
      </c>
    </row>
    <row r="2002" spans="2:17">
      <c r="B2002" s="670">
        <f t="shared" si="201"/>
        <v>1997</v>
      </c>
      <c r="C2002" s="433">
        <v>43008</v>
      </c>
      <c r="D2002" s="377" t="s">
        <v>1741</v>
      </c>
      <c r="E2002" s="572">
        <v>320100</v>
      </c>
      <c r="F2002" s="672" t="str">
        <f>IFERROR(VLOOKUP(E2002,STAT1!$C$4:$D$8000,2,FALSE),"")</f>
        <v>Урьдчилж орсон орлого MNT</v>
      </c>
      <c r="G2002" s="377"/>
      <c r="H2002" s="377">
        <v>908110</v>
      </c>
      <c r="I2002" s="596">
        <f t="shared" si="202"/>
        <v>0</v>
      </c>
      <c r="J2002" s="81">
        <f t="shared" si="200"/>
        <v>0</v>
      </c>
      <c r="K2002" s="81"/>
      <c r="L2002" s="597">
        <v>3078</v>
      </c>
      <c r="M2002" s="81" t="str">
        <f>+IFERROR(VLOOKUP(L2002,DATA!$G$4:$H$2000,2,FALSE),"")</f>
        <v>МӨНХ ЭНХРИЙ ХХК</v>
      </c>
      <c r="N2002" s="166"/>
      <c r="O2002" s="81" t="str">
        <f>IFERROR(VLOOKUP(N2002,DATA!$K$4:$L$51,2,FALSE),"")</f>
        <v/>
      </c>
      <c r="P2002" s="81"/>
      <c r="Q2002" s="152">
        <f t="shared" si="203"/>
        <v>0</v>
      </c>
    </row>
    <row r="2003" spans="2:17">
      <c r="B2003" s="670">
        <f t="shared" si="201"/>
        <v>1998</v>
      </c>
      <c r="C2003" s="433">
        <v>43008</v>
      </c>
      <c r="D2003" s="377" t="s">
        <v>1741</v>
      </c>
      <c r="E2003" s="572">
        <v>100100</v>
      </c>
      <c r="F2003" s="672" t="str">
        <f>IFERROR(VLOOKUP(E2003,STAT1!$C$4:$D$8000,2,FALSE),"")</f>
        <v>Касс мөнгө MNT</v>
      </c>
      <c r="G2003" s="377">
        <v>1980000</v>
      </c>
      <c r="H2003" s="377"/>
      <c r="I2003" s="596">
        <f t="shared" si="202"/>
        <v>1980000</v>
      </c>
      <c r="J2003" s="81">
        <f t="shared" si="200"/>
        <v>0</v>
      </c>
      <c r="K2003" s="81"/>
      <c r="L2003" s="597">
        <v>3079</v>
      </c>
      <c r="M2003" s="81" t="str">
        <f>+IFERROR(VLOOKUP(L2003,DATA!$G$4:$H$2000,2,FALSE),"")</f>
        <v>ДА ХОТ ХХК</v>
      </c>
      <c r="N2003" s="166">
        <v>41</v>
      </c>
      <c r="O2003" s="81" t="str">
        <f>IFERROR(VLOOKUP(N2003,DATA!$K$4:$L$51,2,FALSE),"")</f>
        <v>Бараа борлуулсан, үйлчилгээ үзүүлсэний орлого</v>
      </c>
      <c r="P2003" s="81"/>
      <c r="Q2003" s="152">
        <f t="shared" si="203"/>
        <v>1</v>
      </c>
    </row>
    <row r="2004" spans="2:17">
      <c r="B2004" s="670">
        <f t="shared" si="201"/>
        <v>1999</v>
      </c>
      <c r="C2004" s="433">
        <v>43008</v>
      </c>
      <c r="D2004" s="377" t="s">
        <v>1741</v>
      </c>
      <c r="E2004" s="572">
        <v>320100</v>
      </c>
      <c r="F2004" s="672" t="str">
        <f>IFERROR(VLOOKUP(E2004,STAT1!$C$4:$D$8000,2,FALSE),"")</f>
        <v>Урьдчилж орсон орлого MNT</v>
      </c>
      <c r="G2004" s="377"/>
      <c r="H2004" s="377">
        <v>1980000</v>
      </c>
      <c r="I2004" s="596">
        <f t="shared" si="202"/>
        <v>0</v>
      </c>
      <c r="J2004" s="81">
        <f t="shared" si="200"/>
        <v>0</v>
      </c>
      <c r="K2004" s="81"/>
      <c r="L2004" s="597">
        <v>3079</v>
      </c>
      <c r="M2004" s="81" t="str">
        <f>+IFERROR(VLOOKUP(L2004,DATA!$G$4:$H$2000,2,FALSE),"")</f>
        <v>ДА ХОТ ХХК</v>
      </c>
      <c r="N2004" s="166"/>
      <c r="O2004" s="81" t="str">
        <f>IFERROR(VLOOKUP(N2004,DATA!$K$4:$L$51,2,FALSE),"")</f>
        <v/>
      </c>
      <c r="P2004" s="81"/>
      <c r="Q2004" s="152">
        <f t="shared" si="203"/>
        <v>0</v>
      </c>
    </row>
    <row r="2005" spans="2:17">
      <c r="B2005" s="671">
        <f t="shared" si="201"/>
        <v>2000</v>
      </c>
      <c r="C2005" s="685">
        <v>43008</v>
      </c>
      <c r="D2005" s="614" t="s">
        <v>1741</v>
      </c>
      <c r="E2005" s="577">
        <v>100100</v>
      </c>
      <c r="F2005" s="686" t="str">
        <f>IFERROR(VLOOKUP(E2005,STAT1!$C$4:$D$8000,2,FALSE),"")</f>
        <v>Касс мөнгө MNT</v>
      </c>
      <c r="G2005" s="614">
        <v>94050</v>
      </c>
      <c r="H2005" s="614"/>
      <c r="I2005" s="604">
        <f t="shared" si="202"/>
        <v>94050</v>
      </c>
      <c r="J2005" s="152">
        <f t="shared" si="200"/>
        <v>0</v>
      </c>
      <c r="L2005" s="703">
        <v>3098</v>
      </c>
      <c r="M2005" s="152" t="str">
        <f>+IFERROR(VLOOKUP(L2005,DATA!$G$4:$H$2000,2,FALSE),"")</f>
        <v xml:space="preserve">ЭБСО ХХК </v>
      </c>
      <c r="N2005" s="153">
        <v>41</v>
      </c>
      <c r="O2005" s="152" t="str">
        <f>IFERROR(VLOOKUP(N2005,DATA!$K$4:$L$51,2,FALSE),"")</f>
        <v>Бараа борлуулсан, үйлчилгээ үзүүлсэний орлого</v>
      </c>
      <c r="Q2005" s="152">
        <f t="shared" si="203"/>
        <v>1</v>
      </c>
    </row>
    <row r="2006" spans="2:17">
      <c r="B2006" s="671">
        <f t="shared" si="201"/>
        <v>2001</v>
      </c>
      <c r="C2006" s="685">
        <v>43008</v>
      </c>
      <c r="D2006" s="614" t="s">
        <v>1741</v>
      </c>
      <c r="E2006" s="577">
        <v>320100</v>
      </c>
      <c r="F2006" s="686" t="str">
        <f>IFERROR(VLOOKUP(E2006,STAT1!$C$4:$D$8000,2,FALSE),"")</f>
        <v>Урьдчилж орсон орлого MNT</v>
      </c>
      <c r="G2006" s="614"/>
      <c r="H2006" s="614">
        <v>94050</v>
      </c>
      <c r="I2006" s="604">
        <f t="shared" si="202"/>
        <v>0</v>
      </c>
      <c r="J2006" s="152">
        <f t="shared" si="200"/>
        <v>0</v>
      </c>
      <c r="L2006" s="703">
        <v>3098</v>
      </c>
      <c r="M2006" s="152" t="str">
        <f>+IFERROR(VLOOKUP(L2006,DATA!$G$4:$H$2000,2,FALSE),"")</f>
        <v xml:space="preserve">ЭБСО ХХК </v>
      </c>
      <c r="O2006" s="152" t="str">
        <f>IFERROR(VLOOKUP(N2006,DATA!$K$4:$L$51,2,FALSE),"")</f>
        <v/>
      </c>
      <c r="Q2006" s="152">
        <f t="shared" si="203"/>
        <v>0</v>
      </c>
    </row>
    <row r="2007" spans="2:17">
      <c r="B2007" s="671">
        <f t="shared" si="201"/>
        <v>2002</v>
      </c>
      <c r="C2007" s="685">
        <v>43008</v>
      </c>
      <c r="D2007" s="614" t="s">
        <v>1844</v>
      </c>
      <c r="E2007" s="577">
        <v>122000</v>
      </c>
      <c r="F2007" s="686" t="str">
        <f>IFERROR(VLOOKUP(E2007,STAT1!$C$4:$D$8000,2,FALSE),"")</f>
        <v>Борлуулалтын авлагын түр тооцоо MNT</v>
      </c>
      <c r="G2007" s="614"/>
      <c r="H2007" s="614">
        <v>484000</v>
      </c>
      <c r="I2007" s="604">
        <f t="shared" si="202"/>
        <v>0</v>
      </c>
      <c r="J2007" s="152">
        <f t="shared" si="200"/>
        <v>0</v>
      </c>
      <c r="L2007" s="703">
        <v>3042</v>
      </c>
      <c r="M2007" s="152" t="str">
        <f>+IFERROR(VLOOKUP(L2007,DATA!$G$4:$H$2000,2,FALSE),"")</f>
        <v xml:space="preserve">ЖУРМАК ХХК </v>
      </c>
      <c r="O2007" s="152" t="str">
        <f>IFERROR(VLOOKUP(N2007,DATA!$K$4:$L$51,2,FALSE),"")</f>
        <v/>
      </c>
      <c r="Q2007" s="152">
        <f t="shared" si="203"/>
        <v>0</v>
      </c>
    </row>
    <row r="2008" spans="2:17">
      <c r="B2008" s="671">
        <f t="shared" si="201"/>
        <v>2003</v>
      </c>
      <c r="C2008" s="685">
        <v>43008</v>
      </c>
      <c r="D2008" s="614" t="s">
        <v>1844</v>
      </c>
      <c r="E2008" s="577">
        <v>320100</v>
      </c>
      <c r="F2008" s="686" t="str">
        <f>IFERROR(VLOOKUP(E2008,STAT1!$C$4:$D$8000,2,FALSE),"")</f>
        <v>Урьдчилж орсон орлого MNT</v>
      </c>
      <c r="G2008" s="614">
        <v>484000</v>
      </c>
      <c r="H2008" s="614"/>
      <c r="I2008" s="604">
        <f t="shared" si="202"/>
        <v>0</v>
      </c>
      <c r="J2008" s="152">
        <f t="shared" si="200"/>
        <v>0</v>
      </c>
      <c r="L2008" s="703">
        <v>3042</v>
      </c>
      <c r="M2008" s="152" t="str">
        <f>+IFERROR(VLOOKUP(L2008,DATA!$G$4:$H$2000,2,FALSE),"")</f>
        <v xml:space="preserve">ЖУРМАК ХХК </v>
      </c>
      <c r="O2008" s="152" t="str">
        <f>IFERROR(VLOOKUP(N2008,DATA!$K$4:$L$51,2,FALSE),"")</f>
        <v/>
      </c>
      <c r="Q2008" s="152">
        <f t="shared" si="203"/>
        <v>0</v>
      </c>
    </row>
    <row r="2009" spans="2:17">
      <c r="B2009" s="671">
        <f t="shared" si="201"/>
        <v>2004</v>
      </c>
      <c r="C2009" s="685">
        <v>43008</v>
      </c>
      <c r="D2009" s="614" t="s">
        <v>1844</v>
      </c>
      <c r="E2009" s="577">
        <v>320100</v>
      </c>
      <c r="F2009" s="686" t="str">
        <f>IFERROR(VLOOKUP(E2009,STAT1!$C$4:$D$8000,2,FALSE),"")</f>
        <v>Урьдчилж орсон орлого MNT</v>
      </c>
      <c r="G2009" s="687">
        <v>3942791</v>
      </c>
      <c r="H2009" s="687"/>
      <c r="I2009" s="604">
        <f t="shared" si="202"/>
        <v>0</v>
      </c>
      <c r="J2009" s="152">
        <f t="shared" si="200"/>
        <v>0</v>
      </c>
      <c r="L2009" s="703">
        <v>3001</v>
      </c>
      <c r="M2009" s="152" t="str">
        <f>+IFERROR(VLOOKUP(L2009,DATA!$G$4:$H$2000,2,FALSE),"")</f>
        <v>ХУРД ГРУПП ХХК</v>
      </c>
      <c r="O2009" s="152" t="str">
        <f>IFERROR(VLOOKUP(N2009,DATA!$K$4:$L$51,2,FALSE),"")</f>
        <v/>
      </c>
      <c r="Q2009" s="152">
        <f t="shared" si="203"/>
        <v>0</v>
      </c>
    </row>
    <row r="2010" spans="2:17">
      <c r="B2010" s="671">
        <f t="shared" si="201"/>
        <v>2005</v>
      </c>
      <c r="C2010" s="685">
        <v>43008</v>
      </c>
      <c r="D2010" s="614" t="s">
        <v>1844</v>
      </c>
      <c r="E2010" s="577">
        <v>122000</v>
      </c>
      <c r="F2010" s="686" t="str">
        <f>IFERROR(VLOOKUP(E2010,STAT1!$C$4:$D$8000,2,FALSE),"")</f>
        <v>Борлуулалтын авлагын түр тооцоо MNT</v>
      </c>
      <c r="G2010" s="687"/>
      <c r="H2010" s="687">
        <v>3942791</v>
      </c>
      <c r="I2010" s="604">
        <f t="shared" si="202"/>
        <v>0</v>
      </c>
      <c r="J2010" s="152">
        <f t="shared" si="200"/>
        <v>0</v>
      </c>
      <c r="L2010" s="703">
        <v>3001</v>
      </c>
      <c r="M2010" s="152" t="str">
        <f>+IFERROR(VLOOKUP(L2010,DATA!$G$4:$H$2000,2,FALSE),"")</f>
        <v>ХУРД ГРУПП ХХК</v>
      </c>
      <c r="O2010" s="152" t="str">
        <f>IFERROR(VLOOKUP(N2010,DATA!$K$4:$L$51,2,FALSE),"")</f>
        <v/>
      </c>
      <c r="Q2010" s="152">
        <f t="shared" si="203"/>
        <v>0</v>
      </c>
    </row>
    <row r="2011" spans="2:17">
      <c r="B2011" s="671">
        <f t="shared" si="201"/>
        <v>2006</v>
      </c>
      <c r="C2011" s="685">
        <v>43009</v>
      </c>
      <c r="D2011" s="614" t="s">
        <v>2643</v>
      </c>
      <c r="E2011" s="688">
        <v>150100</v>
      </c>
      <c r="F2011" s="689" t="str">
        <f>+IFERROR(VLOOKUP(E2011,STAT1!$C$4:$D$189,2,FALSE),"")</f>
        <v>Бараа бэлэн бүтээгдэхүүн ХАТААХ ЦЕХ /нарс/</v>
      </c>
      <c r="G2011" s="690"/>
      <c r="H2011" s="614">
        <v>82838103.02927506</v>
      </c>
      <c r="I2011" s="590">
        <f t="shared" si="202"/>
        <v>0</v>
      </c>
      <c r="J2011" s="152">
        <f t="shared" si="200"/>
        <v>0</v>
      </c>
      <c r="L2011" s="703">
        <v>1004</v>
      </c>
      <c r="M2011" s="152" t="str">
        <f>+IFERROR(VLOOKUP(L2011,DATA!$G$4:$H$2000,2,FALSE),"")</f>
        <v xml:space="preserve">Түмэндэлгэр </v>
      </c>
      <c r="O2011" s="152" t="str">
        <f>IFERROR(VLOOKUP(N2011,DATA!$K$4:$L$51,2,FALSE),"")</f>
        <v/>
      </c>
      <c r="Q2011" s="152">
        <f t="shared" si="203"/>
        <v>0</v>
      </c>
    </row>
    <row r="2012" spans="2:17">
      <c r="B2012" s="671">
        <f t="shared" si="201"/>
        <v>2007</v>
      </c>
      <c r="C2012" s="685">
        <v>43009</v>
      </c>
      <c r="D2012" s="614" t="s">
        <v>2643</v>
      </c>
      <c r="E2012" s="688">
        <v>140201</v>
      </c>
      <c r="F2012" s="689" t="str">
        <f>+IFERROR(VLOOKUP(E2012,STAT1!$C$4:$D$189,2,FALSE),"")</f>
        <v>ШМЗардал БОЛОВСРУУЛАХ ЦЕХ /нарс/</v>
      </c>
      <c r="G2012" s="614">
        <v>82838103.02927506</v>
      </c>
      <c r="H2012" s="614"/>
      <c r="I2012" s="590">
        <f t="shared" si="202"/>
        <v>0</v>
      </c>
      <c r="J2012" s="152">
        <f t="shared" si="200"/>
        <v>0</v>
      </c>
      <c r="L2012" s="703">
        <v>1004</v>
      </c>
      <c r="M2012" s="152" t="str">
        <f>+IFERROR(VLOOKUP(L2012,DATA!$G$4:$H$2000,2,FALSE),"")</f>
        <v xml:space="preserve">Түмэндэлгэр </v>
      </c>
      <c r="O2012" s="152" t="str">
        <f>IFERROR(VLOOKUP(N2012,DATA!$K$4:$L$51,2,FALSE),"")</f>
        <v/>
      </c>
      <c r="Q2012" s="152">
        <f t="shared" si="203"/>
        <v>0</v>
      </c>
    </row>
    <row r="2013" spans="2:17">
      <c r="B2013" s="671">
        <f t="shared" si="201"/>
        <v>2008</v>
      </c>
      <c r="C2013" s="685">
        <v>43009</v>
      </c>
      <c r="D2013" s="614" t="s">
        <v>2644</v>
      </c>
      <c r="E2013" s="577">
        <v>140401</v>
      </c>
      <c r="F2013" s="686" t="str">
        <f>IFERROR(VLOOKUP(E2013,STAT1!$C$4:$D$8000,2,FALSE),"")</f>
        <v>ҮНЗардал БОЛОВСРУУЛАХ ЦЕХ /нарс/</v>
      </c>
      <c r="G2013" s="614"/>
      <c r="H2013" s="687">
        <v>30843213.809999999</v>
      </c>
      <c r="I2013" s="590">
        <f t="shared" si="202"/>
        <v>0</v>
      </c>
      <c r="J2013" s="152">
        <f t="shared" si="200"/>
        <v>0</v>
      </c>
      <c r="L2013" s="703">
        <v>1004</v>
      </c>
      <c r="M2013" s="152" t="str">
        <f>+IFERROR(VLOOKUP(L2013,DATA!$G$4:$H$2000,2,FALSE),"")</f>
        <v xml:space="preserve">Түмэндэлгэр </v>
      </c>
      <c r="N2013" s="166"/>
      <c r="O2013" s="152" t="str">
        <f>IFERROR(VLOOKUP(N2013,DATA!$K$4:$L$51,2,FALSE),"")</f>
        <v/>
      </c>
      <c r="Q2013" s="152">
        <f t="shared" si="203"/>
        <v>0</v>
      </c>
    </row>
    <row r="2014" spans="2:17">
      <c r="B2014" s="671">
        <f t="shared" si="201"/>
        <v>2009</v>
      </c>
      <c r="C2014" s="685">
        <v>43009</v>
      </c>
      <c r="D2014" s="614" t="s">
        <v>2644</v>
      </c>
      <c r="E2014" s="577">
        <v>140501</v>
      </c>
      <c r="F2014" s="686" t="str">
        <f>IFERROR(VLOOKUP(E2014,STAT1!$C$4:$D$8000,2,FALSE),"")</f>
        <v>Нэгтгэл зардал БОЛОВСРУУЛАХ ЦЕХ /нарс/</v>
      </c>
      <c r="G2014" s="614">
        <v>30843213.809999999</v>
      </c>
      <c r="H2014" s="614"/>
      <c r="I2014" s="590">
        <f t="shared" si="202"/>
        <v>0</v>
      </c>
      <c r="J2014" s="152">
        <f t="shared" si="200"/>
        <v>0</v>
      </c>
      <c r="L2014" s="703">
        <v>1004</v>
      </c>
      <c r="M2014" s="152" t="str">
        <f>+IFERROR(VLOOKUP(L2014,DATA!$G$4:$H$2000,2,FALSE),"")</f>
        <v xml:space="preserve">Түмэндэлгэр </v>
      </c>
      <c r="O2014" s="152" t="str">
        <f>IFERROR(VLOOKUP(N2014,DATA!$K$4:$L$51,2,FALSE),"")</f>
        <v/>
      </c>
      <c r="Q2014" s="152">
        <f t="shared" si="203"/>
        <v>0</v>
      </c>
    </row>
    <row r="2015" spans="2:17">
      <c r="B2015" s="671">
        <f t="shared" si="201"/>
        <v>2010</v>
      </c>
      <c r="C2015" s="691">
        <v>43009</v>
      </c>
      <c r="D2015" s="614" t="s">
        <v>2645</v>
      </c>
      <c r="E2015" s="692">
        <v>140301</v>
      </c>
      <c r="F2015" s="686" t="str">
        <f>IFERROR(VLOOKUP(E2015,STAT1!$C$4:$D$8000,2,FALSE),"")</f>
        <v>ШХЗрдал БОЛОВСРУУЛАХ ЦЕХ /нарс/</v>
      </c>
      <c r="G2015" s="614"/>
      <c r="H2015" s="614">
        <v>20049601.66</v>
      </c>
      <c r="I2015" s="590">
        <f t="shared" si="202"/>
        <v>0</v>
      </c>
      <c r="J2015" s="152">
        <f t="shared" si="200"/>
        <v>0</v>
      </c>
      <c r="L2015" s="703">
        <v>1004</v>
      </c>
      <c r="M2015" s="152" t="str">
        <f>+IFERROR(VLOOKUP(L2015,DATA!$G$4:$H$2000,2,FALSE),"")</f>
        <v xml:space="preserve">Түмэндэлгэр </v>
      </c>
      <c r="N2015" s="166"/>
      <c r="O2015" s="152" t="str">
        <f>IFERROR(VLOOKUP(N2015,DATA!$K$4:$L$51,2,FALSE),"")</f>
        <v/>
      </c>
      <c r="Q2015" s="152">
        <f t="shared" si="203"/>
        <v>0</v>
      </c>
    </row>
    <row r="2016" spans="2:17">
      <c r="B2016" s="671">
        <f t="shared" si="201"/>
        <v>2011</v>
      </c>
      <c r="C2016" s="691">
        <v>43009</v>
      </c>
      <c r="D2016" s="614" t="s">
        <v>2645</v>
      </c>
      <c r="E2016" s="692">
        <v>140501</v>
      </c>
      <c r="F2016" s="686" t="str">
        <f>IFERROR(VLOOKUP(E2016,STAT1!$C$4:$D$8000,2,FALSE),"")</f>
        <v>Нэгтгэл зардал БОЛОВСРУУЛАХ ЦЕХ /нарс/</v>
      </c>
      <c r="G2016" s="614">
        <v>20049601.66</v>
      </c>
      <c r="H2016" s="614"/>
      <c r="I2016" s="590">
        <f t="shared" si="202"/>
        <v>0</v>
      </c>
      <c r="J2016" s="152">
        <f t="shared" si="200"/>
        <v>0</v>
      </c>
      <c r="L2016" s="703">
        <v>1004</v>
      </c>
      <c r="M2016" s="152" t="str">
        <f>+IFERROR(VLOOKUP(L2016,DATA!$G$4:$H$2000,2,FALSE),"")</f>
        <v xml:space="preserve">Түмэндэлгэр </v>
      </c>
      <c r="O2016" s="152" t="str">
        <f>IFERROR(VLOOKUP(N2016,DATA!$K$4:$L$51,2,FALSE),"")</f>
        <v/>
      </c>
      <c r="Q2016" s="152">
        <f t="shared" si="203"/>
        <v>0</v>
      </c>
    </row>
    <row r="2017" spans="2:17">
      <c r="B2017" s="671">
        <f t="shared" si="201"/>
        <v>2012</v>
      </c>
      <c r="C2017" s="691">
        <v>43009</v>
      </c>
      <c r="D2017" s="614" t="s">
        <v>2646</v>
      </c>
      <c r="E2017" s="692">
        <v>140201</v>
      </c>
      <c r="F2017" s="686" t="str">
        <f>IFERROR(VLOOKUP(E2017,STAT1!$C$4:$D$8000,2,FALSE),"")</f>
        <v>ШМЗардал БОЛОВСРУУЛАХ ЦЕХ /нарс/</v>
      </c>
      <c r="G2017" s="614"/>
      <c r="H2017" s="614">
        <v>82838103.02927506</v>
      </c>
      <c r="I2017" s="590">
        <f t="shared" si="202"/>
        <v>0</v>
      </c>
      <c r="J2017" s="152">
        <f t="shared" si="200"/>
        <v>0</v>
      </c>
      <c r="L2017" s="703">
        <v>1004</v>
      </c>
      <c r="M2017" s="152" t="str">
        <f>+IFERROR(VLOOKUP(L2017,DATA!$G$4:$H$2000,2,FALSE),"")</f>
        <v xml:space="preserve">Түмэндэлгэр </v>
      </c>
      <c r="O2017" s="152" t="str">
        <f>IFERROR(VLOOKUP(N2017,DATA!$K$4:$L$51,2,FALSE),"")</f>
        <v/>
      </c>
      <c r="Q2017" s="152">
        <f t="shared" si="203"/>
        <v>0</v>
      </c>
    </row>
    <row r="2018" spans="2:17">
      <c r="B2018" s="671">
        <f t="shared" si="201"/>
        <v>2013</v>
      </c>
      <c r="C2018" s="691">
        <v>43009</v>
      </c>
      <c r="D2018" s="614" t="s">
        <v>2646</v>
      </c>
      <c r="E2018" s="692">
        <v>140501</v>
      </c>
      <c r="F2018" s="686" t="str">
        <f>IFERROR(VLOOKUP(E2018,STAT1!$C$4:$D$8000,2,FALSE),"")</f>
        <v>Нэгтгэл зардал БОЛОВСРУУЛАХ ЦЕХ /нарс/</v>
      </c>
      <c r="G2018" s="614">
        <v>82838103.02927506</v>
      </c>
      <c r="H2018" s="614"/>
      <c r="I2018" s="590">
        <f t="shared" si="202"/>
        <v>0</v>
      </c>
      <c r="J2018" s="152">
        <f t="shared" si="200"/>
        <v>0</v>
      </c>
      <c r="L2018" s="703">
        <v>1004</v>
      </c>
      <c r="M2018" s="152" t="str">
        <f>+IFERROR(VLOOKUP(L2018,DATA!$G$4:$H$2000,2,FALSE),"")</f>
        <v xml:space="preserve">Түмэндэлгэр </v>
      </c>
      <c r="O2018" s="152" t="str">
        <f>IFERROR(VLOOKUP(N2018,DATA!$K$4:$L$51,2,FALSE),"")</f>
        <v/>
      </c>
      <c r="Q2018" s="152">
        <f t="shared" si="203"/>
        <v>0</v>
      </c>
    </row>
    <row r="2019" spans="2:17">
      <c r="B2019" s="671">
        <f t="shared" si="201"/>
        <v>2014</v>
      </c>
      <c r="C2019" s="691">
        <v>43009</v>
      </c>
      <c r="D2019" s="614" t="s">
        <v>2647</v>
      </c>
      <c r="E2019" s="692">
        <v>150101</v>
      </c>
      <c r="F2019" s="686" t="str">
        <f>IFERROR(VLOOKUP(E2019,STAT1!$C$4:$D$8000,2,FALSE),"")</f>
        <v>Бараа бэлэн бүтээгдэхүүн БОЛОВСРУУЛАХ ЦЕХ /нарс/</v>
      </c>
      <c r="G2019" s="687">
        <v>133730918.49927506</v>
      </c>
      <c r="H2019" s="614"/>
      <c r="I2019" s="590">
        <f t="shared" si="202"/>
        <v>0</v>
      </c>
      <c r="J2019" s="152">
        <f t="shared" si="200"/>
        <v>0</v>
      </c>
      <c r="L2019" s="703">
        <v>1004</v>
      </c>
      <c r="M2019" s="152" t="str">
        <f>+IFERROR(VLOOKUP(L2019,DATA!$G$4:$H$2000,2,FALSE),"")</f>
        <v xml:space="preserve">Түмэндэлгэр </v>
      </c>
      <c r="O2019" s="152" t="str">
        <f>IFERROR(VLOOKUP(N2019,DATA!$K$4:$L$51,2,FALSE),"")</f>
        <v/>
      </c>
      <c r="Q2019" s="152">
        <f t="shared" si="203"/>
        <v>0</v>
      </c>
    </row>
    <row r="2020" spans="2:17">
      <c r="B2020" s="671">
        <f t="shared" si="201"/>
        <v>2015</v>
      </c>
      <c r="C2020" s="691">
        <v>43009</v>
      </c>
      <c r="D2020" s="693" t="s">
        <v>2647</v>
      </c>
      <c r="E2020" s="692">
        <v>140501</v>
      </c>
      <c r="F2020" s="686" t="str">
        <f>IFERROR(VLOOKUP(E2020,STAT1!$C$4:$D$8000,2,FALSE),"")</f>
        <v>Нэгтгэл зардал БОЛОВСРУУЛАХ ЦЕХ /нарс/</v>
      </c>
      <c r="G2020" s="614"/>
      <c r="H2020" s="687">
        <v>133730918.49927506</v>
      </c>
      <c r="I2020" s="590">
        <f t="shared" si="202"/>
        <v>0</v>
      </c>
      <c r="J2020" s="152">
        <f t="shared" si="200"/>
        <v>0</v>
      </c>
      <c r="L2020" s="703">
        <v>1004</v>
      </c>
      <c r="M2020" s="152" t="str">
        <f>+IFERROR(VLOOKUP(L2020,DATA!$G$4:$H$2000,2,FALSE),"")</f>
        <v xml:space="preserve">Түмэндэлгэр </v>
      </c>
      <c r="O2020" s="152" t="str">
        <f>IFERROR(VLOOKUP(N2020,DATA!$K$4:$L$51,2,FALSE),"")</f>
        <v/>
      </c>
      <c r="Q2020" s="152">
        <f t="shared" si="203"/>
        <v>0</v>
      </c>
    </row>
    <row r="2021" spans="2:17">
      <c r="B2021" s="671">
        <f t="shared" ref="B2021" si="204">+IF(C2021="","",ROW()-5)</f>
        <v>2016</v>
      </c>
      <c r="C2021" s="694">
        <v>43009</v>
      </c>
      <c r="D2021" s="614" t="s">
        <v>2700</v>
      </c>
      <c r="E2021" s="692">
        <v>141201</v>
      </c>
      <c r="F2021" s="686" t="str">
        <f>IFERROR(VLOOKUP(E2021,STAT1!$C$4:$D$8000,2,FALSE),"")</f>
        <v>ШМЗардал БУСАД</v>
      </c>
      <c r="G2021" s="614">
        <v>6403997.8118424602</v>
      </c>
      <c r="H2021" s="614"/>
      <c r="I2021" s="590">
        <f t="shared" si="202"/>
        <v>0</v>
      </c>
      <c r="J2021" s="152">
        <f t="shared" si="200"/>
        <v>0</v>
      </c>
      <c r="L2021" s="703">
        <v>3001</v>
      </c>
      <c r="M2021" s="152" t="str">
        <f>+IFERROR(VLOOKUP(L2021,DATA!$G$4:$H$2000,2,FALSE),"")</f>
        <v>ХУРД ГРУПП ХХК</v>
      </c>
      <c r="O2021" s="152" t="str">
        <f>IFERROR(VLOOKUP(N2021,DATA!$K$4:$L$51,2,FALSE),"")</f>
        <v/>
      </c>
      <c r="Q2021" s="152">
        <f t="shared" si="203"/>
        <v>0</v>
      </c>
    </row>
    <row r="2022" spans="2:17">
      <c r="B2022" s="671">
        <f t="shared" si="201"/>
        <v>2017</v>
      </c>
      <c r="C2022" s="694">
        <v>43009</v>
      </c>
      <c r="D2022" s="693" t="s">
        <v>2700</v>
      </c>
      <c r="E2022" s="692">
        <v>150101</v>
      </c>
      <c r="F2022" s="686" t="str">
        <f>IFERROR(VLOOKUP(E2022,STAT1!$C$4:$D$8000,2,FALSE),"")</f>
        <v>Бараа бэлэн бүтээгдэхүүн БОЛОВСРУУЛАХ ЦЕХ /нарс/</v>
      </c>
      <c r="G2022" s="614"/>
      <c r="H2022" s="614">
        <v>6403997.8118424602</v>
      </c>
      <c r="I2022" s="590">
        <f t="shared" si="202"/>
        <v>0</v>
      </c>
      <c r="J2022" s="152">
        <f t="shared" ref="J2022:J2085" si="205">+IF(E2022=110102,I2022/K2022,0)</f>
        <v>0</v>
      </c>
      <c r="L2022" s="703">
        <v>3001</v>
      </c>
      <c r="M2022" s="152" t="str">
        <f>+IFERROR(VLOOKUP(L2022,DATA!$G$4:$H$2000,2,FALSE),"")</f>
        <v>ХУРД ГРУПП ХХК</v>
      </c>
      <c r="O2022" s="152" t="str">
        <f>IFERROR(VLOOKUP(N2022,DATA!$K$4:$L$51,2,FALSE),"")</f>
        <v/>
      </c>
      <c r="Q2022" s="152">
        <f t="shared" si="203"/>
        <v>0</v>
      </c>
    </row>
    <row r="2023" spans="2:17">
      <c r="B2023" s="671">
        <f t="shared" si="201"/>
        <v>2018</v>
      </c>
      <c r="C2023" s="694">
        <v>43009</v>
      </c>
      <c r="D2023" s="614" t="s">
        <v>1637</v>
      </c>
      <c r="E2023" s="577">
        <v>160100</v>
      </c>
      <c r="F2023" s="686" t="str">
        <f>IFERROR(VLOOKUP(E2023,STAT1!$C$4:$D$8000,2,FALSE),"")</f>
        <v xml:space="preserve">Барилгын материал </v>
      </c>
      <c r="G2023" s="614"/>
      <c r="H2023" s="614">
        <v>831723.32377208234</v>
      </c>
      <c r="I2023" s="590">
        <f t="shared" si="202"/>
        <v>0</v>
      </c>
      <c r="J2023" s="152">
        <f t="shared" si="205"/>
        <v>0</v>
      </c>
      <c r="L2023" s="703">
        <v>3001</v>
      </c>
      <c r="M2023" s="152" t="str">
        <f>+IFERROR(VLOOKUP(L2023,DATA!$G$4:$H$2000,2,FALSE),"")</f>
        <v>ХУРД ГРУПП ХХК</v>
      </c>
      <c r="O2023" s="152" t="str">
        <f>IFERROR(VLOOKUP(N2023,DATA!$K$4:$L$51,2,FALSE),"")</f>
        <v/>
      </c>
      <c r="Q2023" s="152">
        <f t="shared" si="203"/>
        <v>0</v>
      </c>
    </row>
    <row r="2024" spans="2:17">
      <c r="B2024" s="671">
        <f t="shared" si="201"/>
        <v>2019</v>
      </c>
      <c r="C2024" s="694">
        <v>43009</v>
      </c>
      <c r="D2024" s="614" t="s">
        <v>1640</v>
      </c>
      <c r="E2024" s="577">
        <v>141401</v>
      </c>
      <c r="F2024" s="686" t="str">
        <f>IFERROR(VLOOKUP(E2024,STAT1!$C$4:$D$8000,2,FALSE),"")</f>
        <v xml:space="preserve">ҮНЗардал БУСАД </v>
      </c>
      <c r="G2024" s="614">
        <v>831723.32377208234</v>
      </c>
      <c r="H2024" s="614"/>
      <c r="I2024" s="590">
        <f t="shared" si="202"/>
        <v>0</v>
      </c>
      <c r="J2024" s="152">
        <f t="shared" si="205"/>
        <v>0</v>
      </c>
      <c r="L2024" s="703">
        <v>3001</v>
      </c>
      <c r="M2024" s="152" t="str">
        <f>+IFERROR(VLOOKUP(L2024,DATA!$G$4:$H$2000,2,FALSE),"")</f>
        <v>ХУРД ГРУПП ХХК</v>
      </c>
      <c r="O2024" s="152" t="str">
        <f>IFERROR(VLOOKUP(N2024,DATA!$K$4:$L$51,2,FALSE),"")</f>
        <v/>
      </c>
      <c r="Q2024" s="152">
        <f t="shared" si="203"/>
        <v>0</v>
      </c>
    </row>
    <row r="2025" spans="2:17">
      <c r="B2025" s="671">
        <f t="shared" si="201"/>
        <v>2020</v>
      </c>
      <c r="C2025" s="694">
        <v>43010</v>
      </c>
      <c r="D2025" s="614" t="s">
        <v>2141</v>
      </c>
      <c r="E2025" s="692">
        <v>150101</v>
      </c>
      <c r="F2025" s="686" t="str">
        <f>IFERROR(VLOOKUP(E2025,STAT1!$C$4:$D$8000,2,FALSE),"")</f>
        <v>Бараа бэлэн бүтээгдэхүүн БОЛОВСРУУЛАХ ЦЕХ /нарс/</v>
      </c>
      <c r="G2025" s="614"/>
      <c r="H2025" s="614">
        <v>247163.17436565214</v>
      </c>
      <c r="I2025" s="590">
        <f t="shared" si="202"/>
        <v>0</v>
      </c>
      <c r="J2025" s="152">
        <f t="shared" si="205"/>
        <v>0</v>
      </c>
      <c r="L2025" s="703">
        <v>3042</v>
      </c>
      <c r="M2025" s="152" t="str">
        <f>+IFERROR(VLOOKUP(L2025,DATA!$G$4:$H$2000,2,FALSE),"")</f>
        <v xml:space="preserve">ЖУРМАК ХХК </v>
      </c>
      <c r="O2025" s="152" t="str">
        <f>IFERROR(VLOOKUP(N2025,DATA!$K$4:$L$51,2,FALSE),"")</f>
        <v/>
      </c>
      <c r="Q2025" s="152">
        <f t="shared" si="203"/>
        <v>0</v>
      </c>
    </row>
    <row r="2026" spans="2:17">
      <c r="B2026" s="671">
        <f t="shared" si="201"/>
        <v>2021</v>
      </c>
      <c r="C2026" s="694">
        <v>43010</v>
      </c>
      <c r="D2026" s="614" t="s">
        <v>2631</v>
      </c>
      <c r="E2026" s="692">
        <v>610100</v>
      </c>
      <c r="F2026" s="686" t="str">
        <f>IFERROR(VLOOKUP(E2026,STAT1!$C$4:$D$8000,2,FALSE),"")</f>
        <v>Борлуулсан барааны өртөг</v>
      </c>
      <c r="G2026" s="614">
        <v>247163.17436565214</v>
      </c>
      <c r="H2026" s="614"/>
      <c r="I2026" s="590">
        <f t="shared" si="202"/>
        <v>0</v>
      </c>
      <c r="J2026" s="152">
        <f t="shared" si="205"/>
        <v>0</v>
      </c>
      <c r="L2026" s="703">
        <v>3042</v>
      </c>
      <c r="M2026" s="152" t="str">
        <f>+IFERROR(VLOOKUP(L2026,DATA!$G$4:$H$2000,2,FALSE),"")</f>
        <v xml:space="preserve">ЖУРМАК ХХК </v>
      </c>
      <c r="N2026" s="166"/>
      <c r="O2026" s="152" t="str">
        <f>IFERROR(VLOOKUP(N2026,DATA!$K$4:$L$51,2,FALSE),"")</f>
        <v/>
      </c>
      <c r="Q2026" s="152">
        <f t="shared" si="203"/>
        <v>0</v>
      </c>
    </row>
    <row r="2027" spans="2:17">
      <c r="B2027" s="671">
        <f t="shared" si="201"/>
        <v>2022</v>
      </c>
      <c r="C2027" s="694">
        <v>43010</v>
      </c>
      <c r="D2027" s="614" t="s">
        <v>587</v>
      </c>
      <c r="E2027" s="577">
        <v>310500</v>
      </c>
      <c r="F2027" s="686" t="str">
        <f>IFERROR(VLOOKUP(E2027,STAT1!$C$4:$D$8000,2,FALSE),"")</f>
        <v>НӨАТ өглөг</v>
      </c>
      <c r="G2027" s="614"/>
      <c r="H2027" s="614">
        <v>66000</v>
      </c>
      <c r="I2027" s="590">
        <f t="shared" si="202"/>
        <v>0</v>
      </c>
      <c r="J2027" s="152">
        <f t="shared" si="205"/>
        <v>0</v>
      </c>
      <c r="L2027" s="703">
        <v>3042</v>
      </c>
      <c r="M2027" s="152" t="str">
        <f>+IFERROR(VLOOKUP(L2027,DATA!$G$4:$H$2000,2,FALSE),"")</f>
        <v xml:space="preserve">ЖУРМАК ХХК </v>
      </c>
      <c r="O2027" s="152" t="str">
        <f>IFERROR(VLOOKUP(N2027,DATA!$K$4:$L$51,2,FALSE),"")</f>
        <v/>
      </c>
      <c r="Q2027" s="152">
        <f t="shared" si="203"/>
        <v>0</v>
      </c>
    </row>
    <row r="2028" spans="2:17">
      <c r="B2028" s="671">
        <f t="shared" si="201"/>
        <v>2023</v>
      </c>
      <c r="C2028" s="694">
        <v>43010</v>
      </c>
      <c r="D2028" s="614" t="s">
        <v>587</v>
      </c>
      <c r="E2028" s="692">
        <v>510000</v>
      </c>
      <c r="F2028" s="686" t="str">
        <f>IFERROR(VLOOKUP(E2028,STAT1!$C$4:$D$8000,2,FALSE),"")</f>
        <v>Үндсэн үйл ажиллагааны борлуулалт</v>
      </c>
      <c r="G2028" s="614"/>
      <c r="H2028" s="614">
        <v>660000</v>
      </c>
      <c r="I2028" s="590">
        <f t="shared" si="202"/>
        <v>0</v>
      </c>
      <c r="J2028" s="152">
        <f t="shared" si="205"/>
        <v>0</v>
      </c>
      <c r="L2028" s="703">
        <v>3042</v>
      </c>
      <c r="M2028" s="152" t="str">
        <f>+IFERROR(VLOOKUP(L2028,DATA!$G$4:$H$2000,2,FALSE),"")</f>
        <v xml:space="preserve">ЖУРМАК ХХК </v>
      </c>
      <c r="O2028" s="152" t="str">
        <f>IFERROR(VLOOKUP(N2028,DATA!$K$4:$L$51,2,FALSE),"")</f>
        <v/>
      </c>
      <c r="Q2028" s="152">
        <f t="shared" si="203"/>
        <v>0</v>
      </c>
    </row>
    <row r="2029" spans="2:17">
      <c r="B2029" s="671">
        <f t="shared" si="201"/>
        <v>2024</v>
      </c>
      <c r="C2029" s="694">
        <v>43010</v>
      </c>
      <c r="D2029" s="614" t="s">
        <v>587</v>
      </c>
      <c r="E2029" s="692">
        <v>320100</v>
      </c>
      <c r="F2029" s="686" t="str">
        <f>IFERROR(VLOOKUP(E2029,STAT1!$C$4:$D$8000,2,FALSE),"")</f>
        <v>Урьдчилж орсон орлого MNT</v>
      </c>
      <c r="G2029" s="614">
        <v>726000</v>
      </c>
      <c r="H2029" s="614"/>
      <c r="I2029" s="590">
        <f t="shared" si="202"/>
        <v>0</v>
      </c>
      <c r="J2029" s="152">
        <f t="shared" si="205"/>
        <v>0</v>
      </c>
      <c r="L2029" s="703">
        <v>3042</v>
      </c>
      <c r="M2029" s="152" t="str">
        <f>+IFERROR(VLOOKUP(L2029,DATA!$G$4:$H$2000,2,FALSE),"")</f>
        <v xml:space="preserve">ЖУРМАК ХХК </v>
      </c>
      <c r="O2029" s="152" t="str">
        <f>IFERROR(VLOOKUP(N2029,DATA!$K$4:$L$51,2,FALSE),"")</f>
        <v/>
      </c>
      <c r="Q2029" s="152">
        <f t="shared" si="203"/>
        <v>0</v>
      </c>
    </row>
    <row r="2030" spans="2:17">
      <c r="B2030" s="671">
        <f t="shared" si="201"/>
        <v>2025</v>
      </c>
      <c r="C2030" s="694">
        <v>43010</v>
      </c>
      <c r="D2030" s="614" t="s">
        <v>2141</v>
      </c>
      <c r="E2030" s="692">
        <v>150101</v>
      </c>
      <c r="F2030" s="686" t="str">
        <f>IFERROR(VLOOKUP(E2030,STAT1!$C$4:$D$8000,2,FALSE),"")</f>
        <v>Бараа бэлэн бүтээгдэхүүн БОЛОВСРУУЛАХ ЦЕХ /нарс/</v>
      </c>
      <c r="G2030" s="614"/>
      <c r="H2030" s="614">
        <v>155401.24674847498</v>
      </c>
      <c r="I2030" s="590">
        <f t="shared" si="202"/>
        <v>0</v>
      </c>
      <c r="J2030" s="152">
        <f t="shared" si="205"/>
        <v>0</v>
      </c>
      <c r="L2030" s="703">
        <v>3067</v>
      </c>
      <c r="M2030" s="152" t="str">
        <f>+IFERROR(VLOOKUP(L2030,DATA!$G$4:$H$2000,2,FALSE),"")</f>
        <v>ЦЭЦЭН УРЧУУД ХХК</v>
      </c>
      <c r="N2030" s="166"/>
      <c r="O2030" s="152" t="str">
        <f>IFERROR(VLOOKUP(N2030,DATA!$K$4:$L$51,2,FALSE),"")</f>
        <v/>
      </c>
      <c r="Q2030" s="152">
        <f t="shared" si="203"/>
        <v>0</v>
      </c>
    </row>
    <row r="2031" spans="2:17">
      <c r="B2031" s="671">
        <f t="shared" si="201"/>
        <v>2026</v>
      </c>
      <c r="C2031" s="694">
        <v>43010</v>
      </c>
      <c r="D2031" s="614" t="s">
        <v>587</v>
      </c>
      <c r="E2031" s="692">
        <v>610100</v>
      </c>
      <c r="F2031" s="686" t="str">
        <f>IFERROR(VLOOKUP(E2031,STAT1!$C$4:$D$8000,2,FALSE),"")</f>
        <v>Борлуулсан барааны өртөг</v>
      </c>
      <c r="G2031" s="614">
        <v>155401.24674847498</v>
      </c>
      <c r="H2031" s="614"/>
      <c r="I2031" s="590">
        <f t="shared" si="202"/>
        <v>0</v>
      </c>
      <c r="J2031" s="152">
        <f t="shared" si="205"/>
        <v>0</v>
      </c>
      <c r="L2031" s="703">
        <v>3067</v>
      </c>
      <c r="M2031" s="152" t="str">
        <f>+IFERROR(VLOOKUP(L2031,DATA!$G$4:$H$2000,2,FALSE),"")</f>
        <v>ЦЭЦЭН УРЧУУД ХХК</v>
      </c>
      <c r="O2031" s="152" t="str">
        <f>IFERROR(VLOOKUP(N2031,DATA!$K$4:$L$51,2,FALSE),"")</f>
        <v/>
      </c>
      <c r="Q2031" s="152">
        <f t="shared" si="203"/>
        <v>0</v>
      </c>
    </row>
    <row r="2032" spans="2:17">
      <c r="B2032" s="671">
        <f t="shared" si="201"/>
        <v>2027</v>
      </c>
      <c r="C2032" s="694">
        <v>43010</v>
      </c>
      <c r="D2032" s="614" t="s">
        <v>587</v>
      </c>
      <c r="E2032" s="692">
        <v>310500</v>
      </c>
      <c r="F2032" s="686" t="str">
        <f>IFERROR(VLOOKUP(E2032,STAT1!$C$4:$D$8000,2,FALSE),"")</f>
        <v>НӨАТ өглөг</v>
      </c>
      <c r="G2032" s="614"/>
      <c r="H2032" s="614">
        <v>36000</v>
      </c>
      <c r="I2032" s="590">
        <f t="shared" si="202"/>
        <v>0</v>
      </c>
      <c r="J2032" s="152">
        <f t="shared" si="205"/>
        <v>0</v>
      </c>
      <c r="L2032" s="703">
        <v>3067</v>
      </c>
      <c r="M2032" s="152" t="str">
        <f>+IFERROR(VLOOKUP(L2032,DATA!$G$4:$H$2000,2,FALSE),"")</f>
        <v>ЦЭЦЭН УРЧУУД ХХК</v>
      </c>
      <c r="O2032" s="152" t="str">
        <f>IFERROR(VLOOKUP(N2032,DATA!$K$4:$L$51,2,FALSE),"")</f>
        <v/>
      </c>
      <c r="Q2032" s="152">
        <f t="shared" si="203"/>
        <v>0</v>
      </c>
    </row>
    <row r="2033" spans="2:17">
      <c r="B2033" s="671">
        <f t="shared" si="201"/>
        <v>2028</v>
      </c>
      <c r="C2033" s="694">
        <v>43010</v>
      </c>
      <c r="D2033" s="614" t="s">
        <v>587</v>
      </c>
      <c r="E2033" s="577">
        <v>510000</v>
      </c>
      <c r="F2033" s="686" t="str">
        <f>IFERROR(VLOOKUP(E2033,STAT1!$C$4:$D$8000,2,FALSE),"")</f>
        <v>Үндсэн үйл ажиллагааны борлуулалт</v>
      </c>
      <c r="G2033" s="614"/>
      <c r="H2033" s="614">
        <v>360000</v>
      </c>
      <c r="I2033" s="606">
        <f t="shared" si="202"/>
        <v>0</v>
      </c>
      <c r="J2033" s="152">
        <f t="shared" si="205"/>
        <v>0</v>
      </c>
      <c r="L2033" s="703">
        <v>3067</v>
      </c>
      <c r="M2033" s="152" t="str">
        <f>+IFERROR(VLOOKUP(L2033,DATA!$G$4:$H$2000,2,FALSE),"")</f>
        <v>ЦЭЦЭН УРЧУУД ХХК</v>
      </c>
      <c r="O2033" s="152" t="str">
        <f>IFERROR(VLOOKUP(N2033,DATA!$K$4:$L$51,2,FALSE),"")</f>
        <v/>
      </c>
      <c r="Q2033" s="152">
        <f t="shared" si="203"/>
        <v>0</v>
      </c>
    </row>
    <row r="2034" spans="2:17">
      <c r="B2034" s="671">
        <f t="shared" si="201"/>
        <v>2029</v>
      </c>
      <c r="C2034" s="694">
        <v>43010</v>
      </c>
      <c r="D2034" s="614" t="s">
        <v>587</v>
      </c>
      <c r="E2034" s="692">
        <v>320100</v>
      </c>
      <c r="F2034" s="686" t="str">
        <f>IFERROR(VLOOKUP(E2034,STAT1!$C$4:$D$8000,2,FALSE),"")</f>
        <v>Урьдчилж орсон орлого MNT</v>
      </c>
      <c r="G2034" s="614">
        <v>396000</v>
      </c>
      <c r="H2034" s="614"/>
      <c r="I2034" s="606">
        <f t="shared" si="202"/>
        <v>0</v>
      </c>
      <c r="J2034" s="152">
        <f t="shared" si="205"/>
        <v>0</v>
      </c>
      <c r="L2034" s="703">
        <v>3067</v>
      </c>
      <c r="M2034" s="152" t="str">
        <f>+IFERROR(VLOOKUP(L2034,DATA!$G$4:$H$2000,2,FALSE),"")</f>
        <v>ЦЭЦЭН УРЧУУД ХХК</v>
      </c>
      <c r="O2034" s="152" t="str">
        <f>IFERROR(VLOOKUP(N2034,DATA!$K$4:$L$51,2,FALSE),"")</f>
        <v/>
      </c>
      <c r="Q2034" s="152">
        <f t="shared" si="203"/>
        <v>0</v>
      </c>
    </row>
    <row r="2035" spans="2:17">
      <c r="B2035" s="671">
        <f t="shared" si="201"/>
        <v>2030</v>
      </c>
      <c r="C2035" s="685">
        <v>43012</v>
      </c>
      <c r="D2035" s="614" t="s">
        <v>1741</v>
      </c>
      <c r="E2035" s="692">
        <v>110100</v>
      </c>
      <c r="F2035" s="686" t="str">
        <f>IFERROR(VLOOKUP(E2035,STAT1!$C$4:$D$8000,2,FALSE),"")</f>
        <v>Хаан Банк 5024654020</v>
      </c>
      <c r="G2035" s="614">
        <v>570240</v>
      </c>
      <c r="H2035" s="614"/>
      <c r="I2035" s="607">
        <f t="shared" si="202"/>
        <v>570240</v>
      </c>
      <c r="J2035" s="152">
        <f t="shared" si="205"/>
        <v>0</v>
      </c>
      <c r="L2035" s="703">
        <v>3006</v>
      </c>
      <c r="M2035" s="152" t="str">
        <f>+IFERROR(VLOOKUP(L2035,DATA!$G$4:$H$2000,2,FALSE),"")</f>
        <v xml:space="preserve">ПАЙОНЕРИНГ ИНТЕРНЭШНЛ ХХК </v>
      </c>
      <c r="N2035" s="153">
        <v>41</v>
      </c>
      <c r="O2035" s="152" t="str">
        <f>IFERROR(VLOOKUP(N2035,DATA!$K$4:$L$51,2,FALSE),"")</f>
        <v>Бараа борлуулсан, үйлчилгээ үзүүлсэний орлого</v>
      </c>
      <c r="Q2035" s="152">
        <f t="shared" si="203"/>
        <v>1</v>
      </c>
    </row>
    <row r="2036" spans="2:17">
      <c r="B2036" s="671">
        <f t="shared" si="201"/>
        <v>2031</v>
      </c>
      <c r="C2036" s="685">
        <v>43012</v>
      </c>
      <c r="D2036" s="614" t="s">
        <v>1741</v>
      </c>
      <c r="E2036" s="692">
        <v>320100</v>
      </c>
      <c r="F2036" s="686" t="str">
        <f>IFERROR(VLOOKUP(E2036,STAT1!$C$4:$D$8000,2,FALSE),"")</f>
        <v>Урьдчилж орсон орлого MNT</v>
      </c>
      <c r="G2036" s="614"/>
      <c r="H2036" s="614">
        <v>570240</v>
      </c>
      <c r="I2036" s="607">
        <f t="shared" si="202"/>
        <v>0</v>
      </c>
      <c r="J2036" s="152">
        <f t="shared" si="205"/>
        <v>0</v>
      </c>
      <c r="L2036" s="703">
        <v>3006</v>
      </c>
      <c r="M2036" s="152" t="str">
        <f>+IFERROR(VLOOKUP(L2036,DATA!$G$4:$H$2000,2,FALSE),"")</f>
        <v xml:space="preserve">ПАЙОНЕРИНГ ИНТЕРНЭШНЛ ХХК </v>
      </c>
      <c r="O2036" s="152" t="str">
        <f>IFERROR(VLOOKUP(N2036,DATA!$K$4:$L$51,2,FALSE),"")</f>
        <v/>
      </c>
      <c r="Q2036" s="152">
        <f t="shared" si="203"/>
        <v>0</v>
      </c>
    </row>
    <row r="2037" spans="2:17">
      <c r="B2037" s="671">
        <f t="shared" ref="B2037:B2044" si="206">+IF(C2037="","",ROW()-5)</f>
        <v>2032</v>
      </c>
      <c r="C2037" s="691">
        <v>43012</v>
      </c>
      <c r="D2037" s="614" t="s">
        <v>1355</v>
      </c>
      <c r="E2037" s="577">
        <v>100100</v>
      </c>
      <c r="F2037" s="686" t="str">
        <f>IFERROR(VLOOKUP(E2037,STAT1!$C$4:$D$8000,2,FALSE),"")</f>
        <v>Касс мөнгө MNT</v>
      </c>
      <c r="G2037" s="614"/>
      <c r="H2037" s="614">
        <v>100000</v>
      </c>
      <c r="I2037" s="604">
        <f t="shared" si="202"/>
        <v>-100000</v>
      </c>
      <c r="J2037" s="152">
        <f t="shared" si="205"/>
        <v>0</v>
      </c>
      <c r="L2037" s="703">
        <v>1003</v>
      </c>
      <c r="M2037" s="152" t="str">
        <f>+IFERROR(VLOOKUP(L2037,DATA!$G$4:$H$2000,2,FALSE),"")</f>
        <v>Бахдамдэмбэрэл</v>
      </c>
      <c r="N2037" s="153">
        <v>55</v>
      </c>
      <c r="O2037" s="152" t="str">
        <f>IFERROR(VLOOKUP(N2037,DATA!$K$4:$L$51,2,FALSE),"")</f>
        <v>Түлш, шатахуун, тээврийн хөлс, сэлбэг хэрэгсэлд төлсөн</v>
      </c>
      <c r="Q2037" s="152">
        <f t="shared" si="203"/>
        <v>1</v>
      </c>
    </row>
    <row r="2038" spans="2:17">
      <c r="B2038" s="671">
        <f t="shared" si="206"/>
        <v>2033</v>
      </c>
      <c r="C2038" s="691">
        <v>43012</v>
      </c>
      <c r="D2038" s="614" t="s">
        <v>1355</v>
      </c>
      <c r="E2038" s="577">
        <v>702000</v>
      </c>
      <c r="F2038" s="686" t="str">
        <f>IFERROR(VLOOKUP(E2038,STAT1!$C$4:$D$8000,2,FALSE),"")</f>
        <v>Түлш, шатахуун</v>
      </c>
      <c r="G2038" s="614">
        <v>100000</v>
      </c>
      <c r="H2038" s="614"/>
      <c r="I2038" s="604">
        <f t="shared" si="202"/>
        <v>0</v>
      </c>
      <c r="J2038" s="152">
        <f t="shared" si="205"/>
        <v>0</v>
      </c>
      <c r="L2038" s="703">
        <v>1003</v>
      </c>
      <c r="M2038" s="152" t="str">
        <f>+IFERROR(VLOOKUP(L2038,DATA!$G$4:$H$2000,2,FALSE),"")</f>
        <v>Бахдамдэмбэрэл</v>
      </c>
      <c r="O2038" s="152" t="str">
        <f>IFERROR(VLOOKUP(N2038,DATA!$K$4:$L$51,2,FALSE),"")</f>
        <v/>
      </c>
      <c r="Q2038" s="152">
        <f t="shared" si="203"/>
        <v>0</v>
      </c>
    </row>
    <row r="2039" spans="2:17">
      <c r="B2039" s="671">
        <f t="shared" si="206"/>
        <v>2034</v>
      </c>
      <c r="C2039" s="694">
        <v>43012</v>
      </c>
      <c r="D2039" s="614" t="s">
        <v>2698</v>
      </c>
      <c r="E2039" s="577">
        <v>150101</v>
      </c>
      <c r="F2039" s="686" t="str">
        <f>IFERROR(VLOOKUP(E2039,STAT1!$C$4:$D$8000,2,FALSE),"")</f>
        <v>Бараа бэлэн бүтээгдэхүүн БОЛОВСРУУЛАХ ЦЕХ /нарс/</v>
      </c>
      <c r="G2039" s="614"/>
      <c r="H2039" s="614">
        <v>226685.43360000002</v>
      </c>
      <c r="I2039" s="590">
        <f t="shared" si="202"/>
        <v>0</v>
      </c>
      <c r="J2039" s="152">
        <f t="shared" si="205"/>
        <v>0</v>
      </c>
      <c r="L2039" s="703">
        <v>3006</v>
      </c>
      <c r="M2039" s="152" t="str">
        <f>+IFERROR(VLOOKUP(L2039,DATA!$G$4:$H$2000,2,FALSE),"")</f>
        <v xml:space="preserve">ПАЙОНЕРИНГ ИНТЕРНЭШНЛ ХХК </v>
      </c>
      <c r="O2039" s="152" t="str">
        <f>IFERROR(VLOOKUP(N2039,DATA!$K$4:$L$51,2,FALSE),"")</f>
        <v/>
      </c>
      <c r="Q2039" s="152">
        <f t="shared" si="203"/>
        <v>0</v>
      </c>
    </row>
    <row r="2040" spans="2:17">
      <c r="B2040" s="671">
        <f t="shared" si="206"/>
        <v>2035</v>
      </c>
      <c r="C2040" s="694">
        <v>43012</v>
      </c>
      <c r="D2040" s="614" t="s">
        <v>587</v>
      </c>
      <c r="E2040" s="577">
        <v>610100</v>
      </c>
      <c r="F2040" s="686" t="str">
        <f>IFERROR(VLOOKUP(E2040,STAT1!$C$4:$D$8000,2,FALSE),"")</f>
        <v>Борлуулсан барааны өртөг</v>
      </c>
      <c r="G2040" s="614">
        <v>226685.43360000002</v>
      </c>
      <c r="H2040" s="614"/>
      <c r="I2040" s="590">
        <f t="shared" si="202"/>
        <v>0</v>
      </c>
      <c r="J2040" s="152">
        <f t="shared" si="205"/>
        <v>0</v>
      </c>
      <c r="L2040" s="703">
        <v>3006</v>
      </c>
      <c r="M2040" s="152" t="str">
        <f>+IFERROR(VLOOKUP(L2040,DATA!$G$4:$H$2000,2,FALSE),"")</f>
        <v xml:space="preserve">ПАЙОНЕРИНГ ИНТЕРНЭШНЛ ХХК </v>
      </c>
      <c r="N2040" s="166"/>
      <c r="O2040" s="152" t="str">
        <f>IFERROR(VLOOKUP(N2040,DATA!$K$4:$L$51,2,FALSE),"")</f>
        <v/>
      </c>
      <c r="Q2040" s="152">
        <f t="shared" si="203"/>
        <v>0</v>
      </c>
    </row>
    <row r="2041" spans="2:17">
      <c r="B2041" s="671">
        <f t="shared" si="206"/>
        <v>2036</v>
      </c>
      <c r="C2041" s="694">
        <v>43012</v>
      </c>
      <c r="D2041" s="614" t="s">
        <v>587</v>
      </c>
      <c r="E2041" s="577">
        <v>310500</v>
      </c>
      <c r="F2041" s="686" t="str">
        <f>IFERROR(VLOOKUP(E2041,STAT1!$C$4:$D$8000,2,FALSE),"")</f>
        <v>НӨАТ өглөг</v>
      </c>
      <c r="G2041" s="614"/>
      <c r="H2041" s="614">
        <v>51840</v>
      </c>
      <c r="I2041" s="590">
        <f t="shared" si="202"/>
        <v>0</v>
      </c>
      <c r="J2041" s="152">
        <f t="shared" si="205"/>
        <v>0</v>
      </c>
      <c r="L2041" s="703">
        <v>3006</v>
      </c>
      <c r="M2041" s="152" t="str">
        <f>+IFERROR(VLOOKUP(L2041,DATA!$G$4:$H$2000,2,FALSE),"")</f>
        <v xml:space="preserve">ПАЙОНЕРИНГ ИНТЕРНЭШНЛ ХХК </v>
      </c>
      <c r="O2041" s="152" t="str">
        <f>IFERROR(VLOOKUP(N2041,DATA!$K$4:$L$51,2,FALSE),"")</f>
        <v/>
      </c>
      <c r="Q2041" s="152">
        <f t="shared" si="203"/>
        <v>0</v>
      </c>
    </row>
    <row r="2042" spans="2:17">
      <c r="B2042" s="671">
        <f t="shared" si="206"/>
        <v>2037</v>
      </c>
      <c r="C2042" s="694">
        <v>43012</v>
      </c>
      <c r="D2042" s="614" t="s">
        <v>587</v>
      </c>
      <c r="E2042" s="577">
        <v>510000</v>
      </c>
      <c r="F2042" s="686" t="str">
        <f>IFERROR(VLOOKUP(E2042,STAT1!$C$4:$D$8000,2,FALSE),"")</f>
        <v>Үндсэн үйл ажиллагааны борлуулалт</v>
      </c>
      <c r="G2042" s="614"/>
      <c r="H2042" s="614">
        <v>518400</v>
      </c>
      <c r="I2042" s="606">
        <f t="shared" si="202"/>
        <v>0</v>
      </c>
      <c r="J2042" s="152">
        <f t="shared" si="205"/>
        <v>0</v>
      </c>
      <c r="L2042" s="703">
        <v>3006</v>
      </c>
      <c r="M2042" s="152" t="str">
        <f>+IFERROR(VLOOKUP(L2042,DATA!$G$4:$H$2000,2,FALSE),"")</f>
        <v xml:space="preserve">ПАЙОНЕРИНГ ИНТЕРНЭШНЛ ХХК </v>
      </c>
      <c r="O2042" s="152" t="str">
        <f>IFERROR(VLOOKUP(N2042,DATA!$K$4:$L$51,2,FALSE),"")</f>
        <v/>
      </c>
      <c r="Q2042" s="152">
        <f t="shared" si="203"/>
        <v>0</v>
      </c>
    </row>
    <row r="2043" spans="2:17">
      <c r="B2043" s="671">
        <f t="shared" si="206"/>
        <v>2038</v>
      </c>
      <c r="C2043" s="694">
        <v>43012</v>
      </c>
      <c r="D2043" s="614" t="s">
        <v>587</v>
      </c>
      <c r="E2043" s="577">
        <v>320100</v>
      </c>
      <c r="F2043" s="686" t="str">
        <f>IFERROR(VLOOKUP(E2043,STAT1!$C$4:$D$8000,2,FALSE),"")</f>
        <v>Урьдчилж орсон орлого MNT</v>
      </c>
      <c r="G2043" s="614">
        <v>570240</v>
      </c>
      <c r="H2043" s="614"/>
      <c r="I2043" s="606">
        <f t="shared" si="202"/>
        <v>0</v>
      </c>
      <c r="J2043" s="152">
        <f t="shared" si="205"/>
        <v>0</v>
      </c>
      <c r="L2043" s="703">
        <v>3006</v>
      </c>
      <c r="M2043" s="152" t="str">
        <f>+IFERROR(VLOOKUP(L2043,DATA!$G$4:$H$2000,2,FALSE),"")</f>
        <v xml:space="preserve">ПАЙОНЕРИНГ ИНТЕРНЭШНЛ ХХК </v>
      </c>
      <c r="O2043" s="152" t="str">
        <f>IFERROR(VLOOKUP(N2043,DATA!$K$4:$L$51,2,FALSE),"")</f>
        <v/>
      </c>
      <c r="Q2043" s="152">
        <f t="shared" si="203"/>
        <v>0</v>
      </c>
    </row>
    <row r="2044" spans="2:17">
      <c r="B2044" s="671">
        <f t="shared" si="206"/>
        <v>2039</v>
      </c>
      <c r="C2044" s="685">
        <v>43013</v>
      </c>
      <c r="D2044" s="614" t="s">
        <v>1355</v>
      </c>
      <c r="E2044" s="692">
        <v>100100</v>
      </c>
      <c r="F2044" s="686" t="str">
        <f>IFERROR(VLOOKUP(E2044,STAT1!$C$4:$D$8000,2,FALSE),"")</f>
        <v>Касс мөнгө MNT</v>
      </c>
      <c r="G2044" s="614"/>
      <c r="H2044" s="614">
        <v>10000</v>
      </c>
      <c r="I2044" s="607">
        <f t="shared" si="202"/>
        <v>-10000</v>
      </c>
      <c r="J2044" s="152">
        <f t="shared" si="205"/>
        <v>0</v>
      </c>
      <c r="L2044" s="703">
        <v>1004</v>
      </c>
      <c r="M2044" s="152" t="str">
        <f>+IFERROR(VLOOKUP(L2044,DATA!$G$4:$H$2000,2,FALSE),"")</f>
        <v xml:space="preserve">Түмэндэлгэр </v>
      </c>
      <c r="N2044" s="153">
        <v>55</v>
      </c>
      <c r="O2044" s="152" t="str">
        <f>IFERROR(VLOOKUP(N2044,DATA!$K$4:$L$51,2,FALSE),"")</f>
        <v>Түлш, шатахуун, тээврийн хөлс, сэлбэг хэрэгсэлд төлсөн</v>
      </c>
      <c r="Q2044" s="152">
        <f t="shared" si="203"/>
        <v>1</v>
      </c>
    </row>
    <row r="2045" spans="2:17">
      <c r="B2045" s="671">
        <f t="shared" ref="B2045:B2101" si="207">+IF(C2045="","",ROW()-5)</f>
        <v>2040</v>
      </c>
      <c r="C2045" s="685">
        <v>43013</v>
      </c>
      <c r="D2045" s="614" t="s">
        <v>1355</v>
      </c>
      <c r="E2045" s="577">
        <v>702000</v>
      </c>
      <c r="F2045" s="686" t="str">
        <f>IFERROR(VLOOKUP(E2045,STAT1!$C$4:$D$8000,2,FALSE),"")</f>
        <v>Түлш, шатахуун</v>
      </c>
      <c r="G2045" s="614">
        <v>10000</v>
      </c>
      <c r="H2045" s="614"/>
      <c r="I2045" s="607">
        <f t="shared" si="202"/>
        <v>0</v>
      </c>
      <c r="J2045" s="152">
        <f t="shared" si="205"/>
        <v>0</v>
      </c>
      <c r="L2045" s="703">
        <v>1004</v>
      </c>
      <c r="M2045" s="152" t="str">
        <f>+IFERROR(VLOOKUP(L2045,DATA!$G$4:$H$2000,2,FALSE),"")</f>
        <v xml:space="preserve">Түмэндэлгэр </v>
      </c>
      <c r="N2045" s="166"/>
      <c r="O2045" s="152" t="str">
        <f>IFERROR(VLOOKUP(N2045,DATA!$K$4:$L$51,2,FALSE),"")</f>
        <v/>
      </c>
      <c r="Q2045" s="152">
        <f t="shared" si="203"/>
        <v>0</v>
      </c>
    </row>
    <row r="2046" spans="2:17">
      <c r="B2046" s="671">
        <f t="shared" si="207"/>
        <v>2041</v>
      </c>
      <c r="C2046" s="685">
        <v>43014</v>
      </c>
      <c r="D2046" s="614" t="s">
        <v>1741</v>
      </c>
      <c r="E2046" s="577">
        <v>110100</v>
      </c>
      <c r="F2046" s="686" t="str">
        <f>IFERROR(VLOOKUP(E2046,STAT1!$C$4:$D$8000,2,FALSE),"")</f>
        <v>Хаан Банк 5024654020</v>
      </c>
      <c r="G2046" s="614">
        <v>726000</v>
      </c>
      <c r="H2046" s="614"/>
      <c r="I2046" s="607">
        <f t="shared" si="202"/>
        <v>726000</v>
      </c>
      <c r="J2046" s="152">
        <f t="shared" si="205"/>
        <v>0</v>
      </c>
      <c r="L2046" s="703">
        <v>3042</v>
      </c>
      <c r="M2046" s="152" t="str">
        <f>+IFERROR(VLOOKUP(L2046,DATA!$G$4:$H$2000,2,FALSE),"")</f>
        <v xml:space="preserve">ЖУРМАК ХХК </v>
      </c>
      <c r="N2046" s="153">
        <v>41</v>
      </c>
      <c r="O2046" s="152" t="str">
        <f>IFERROR(VLOOKUP(N2046,DATA!$K$4:$L$51,2,FALSE),"")</f>
        <v>Бараа борлуулсан, үйлчилгээ үзүүлсэний орлого</v>
      </c>
      <c r="Q2046" s="152">
        <f t="shared" si="203"/>
        <v>1</v>
      </c>
    </row>
    <row r="2047" spans="2:17">
      <c r="B2047" s="671">
        <f t="shared" si="207"/>
        <v>2042</v>
      </c>
      <c r="C2047" s="685">
        <v>43014</v>
      </c>
      <c r="D2047" s="614" t="s">
        <v>1741</v>
      </c>
      <c r="E2047" s="577">
        <v>320100</v>
      </c>
      <c r="F2047" s="686" t="str">
        <f>IFERROR(VLOOKUP(E2047,STAT1!$C$4:$D$8000,2,FALSE),"")</f>
        <v>Урьдчилж орсон орлого MNT</v>
      </c>
      <c r="G2047" s="614"/>
      <c r="H2047" s="614">
        <v>726000</v>
      </c>
      <c r="I2047" s="607">
        <f t="shared" si="202"/>
        <v>0</v>
      </c>
      <c r="J2047" s="152">
        <f t="shared" si="205"/>
        <v>0</v>
      </c>
      <c r="L2047" s="703">
        <v>3042</v>
      </c>
      <c r="M2047" s="152" t="str">
        <f>+IFERROR(VLOOKUP(L2047,DATA!$G$4:$H$2000,2,FALSE),"")</f>
        <v xml:space="preserve">ЖУРМАК ХХК </v>
      </c>
      <c r="O2047" s="152" t="str">
        <f>IFERROR(VLOOKUP(N2047,DATA!$K$4:$L$51,2,FALSE),"")</f>
        <v/>
      </c>
      <c r="Q2047" s="152">
        <f t="shared" si="203"/>
        <v>0</v>
      </c>
    </row>
    <row r="2048" spans="2:17">
      <c r="B2048" s="671">
        <f t="shared" si="207"/>
        <v>2043</v>
      </c>
      <c r="C2048" s="685">
        <v>43014</v>
      </c>
      <c r="D2048" s="614" t="s">
        <v>1741</v>
      </c>
      <c r="E2048" s="577">
        <v>110100</v>
      </c>
      <c r="F2048" s="686" t="str">
        <f>IFERROR(VLOOKUP(E2048,STAT1!$C$4:$D$8000,2,FALSE),"")</f>
        <v>Хаан Банк 5024654020</v>
      </c>
      <c r="G2048" s="614">
        <v>596145</v>
      </c>
      <c r="H2048" s="614"/>
      <c r="I2048" s="607">
        <f t="shared" si="202"/>
        <v>596145</v>
      </c>
      <c r="J2048" s="152">
        <f t="shared" si="205"/>
        <v>0</v>
      </c>
      <c r="L2048" s="703">
        <v>3101</v>
      </c>
      <c r="M2048" s="152" t="str">
        <f>+IFERROR(VLOOKUP(L2048,DATA!$G$4:$H$2000,2,FALSE),"")</f>
        <v xml:space="preserve">АЛТАН ТАРИА ХХК </v>
      </c>
      <c r="N2048" s="153">
        <v>41</v>
      </c>
      <c r="O2048" s="152" t="str">
        <f>IFERROR(VLOOKUP(N2048,DATA!$K$4:$L$51,2,FALSE),"")</f>
        <v>Бараа борлуулсан, үйлчилгээ үзүүлсэний орлого</v>
      </c>
      <c r="Q2048" s="152">
        <f t="shared" si="203"/>
        <v>1</v>
      </c>
    </row>
    <row r="2049" spans="2:17">
      <c r="B2049" s="671">
        <f t="shared" si="207"/>
        <v>2044</v>
      </c>
      <c r="C2049" s="685">
        <v>43014</v>
      </c>
      <c r="D2049" s="614" t="s">
        <v>1741</v>
      </c>
      <c r="E2049" s="577">
        <v>320100</v>
      </c>
      <c r="F2049" s="686" t="str">
        <f>IFERROR(VLOOKUP(E2049,STAT1!$C$4:$D$8000,2,FALSE),"")</f>
        <v>Урьдчилж орсон орлого MNT</v>
      </c>
      <c r="G2049" s="614"/>
      <c r="H2049" s="614">
        <v>596145</v>
      </c>
      <c r="I2049" s="607">
        <f t="shared" si="202"/>
        <v>0</v>
      </c>
      <c r="J2049" s="152">
        <f t="shared" si="205"/>
        <v>0</v>
      </c>
      <c r="L2049" s="703">
        <v>3101</v>
      </c>
      <c r="M2049" s="152" t="str">
        <f>+IFERROR(VLOOKUP(L2049,DATA!$G$4:$H$2000,2,FALSE),"")</f>
        <v xml:space="preserve">АЛТАН ТАРИА ХХК </v>
      </c>
      <c r="O2049" s="152" t="str">
        <f>IFERROR(VLOOKUP(N2049,DATA!$K$4:$L$51,2,FALSE),"")</f>
        <v/>
      </c>
      <c r="Q2049" s="152">
        <f t="shared" si="203"/>
        <v>0</v>
      </c>
    </row>
    <row r="2050" spans="2:17">
      <c r="B2050" s="671">
        <f t="shared" si="207"/>
        <v>2045</v>
      </c>
      <c r="C2050" s="691">
        <v>43014</v>
      </c>
      <c r="D2050" s="614" t="s">
        <v>1761</v>
      </c>
      <c r="E2050" s="577">
        <v>110100</v>
      </c>
      <c r="F2050" s="686" t="str">
        <f>IFERROR(VLOOKUP(E2050,STAT1!$C$4:$D$8000,2,FALSE),"")</f>
        <v>Хаан Банк 5024654020</v>
      </c>
      <c r="G2050" s="614"/>
      <c r="H2050" s="614">
        <v>1300000</v>
      </c>
      <c r="I2050" s="604">
        <f t="shared" si="202"/>
        <v>-1300000</v>
      </c>
      <c r="J2050" s="152">
        <f t="shared" si="205"/>
        <v>0</v>
      </c>
      <c r="L2050" s="703">
        <v>2002</v>
      </c>
      <c r="M2050" s="152" t="str">
        <f>+IFERROR(VLOOKUP(L2050,DATA!$G$4:$H$2000,2,FALSE),"")</f>
        <v xml:space="preserve">ХУД-н ЭМНД ХЭЛТЭС </v>
      </c>
      <c r="N2050" s="166">
        <v>52</v>
      </c>
      <c r="O2050" s="152" t="str">
        <f>IFERROR(VLOOKUP(N2050,DATA!$K$4:$L$51,2,FALSE),"")</f>
        <v>Нийгмийн даатгалын байгууллагад төлсөн</v>
      </c>
      <c r="Q2050" s="152">
        <f t="shared" si="203"/>
        <v>1</v>
      </c>
    </row>
    <row r="2051" spans="2:17">
      <c r="B2051" s="671">
        <f t="shared" si="207"/>
        <v>2046</v>
      </c>
      <c r="C2051" s="691">
        <v>43014</v>
      </c>
      <c r="D2051" s="614" t="s">
        <v>1761</v>
      </c>
      <c r="E2051" s="577">
        <v>120900</v>
      </c>
      <c r="F2051" s="686" t="str">
        <f>IFERROR(VLOOKUP(E2051,STAT1!$C$4:$D$8000,2,FALSE),"")</f>
        <v>НД-ын байгууллагаас авах авлага</v>
      </c>
      <c r="G2051" s="614">
        <v>1300000</v>
      </c>
      <c r="H2051" s="614"/>
      <c r="I2051" s="604">
        <f t="shared" si="202"/>
        <v>0</v>
      </c>
      <c r="J2051" s="152">
        <f t="shared" si="205"/>
        <v>0</v>
      </c>
      <c r="L2051" s="703">
        <v>2002</v>
      </c>
      <c r="M2051" s="152" t="str">
        <f>+IFERROR(VLOOKUP(L2051,DATA!$G$4:$H$2000,2,FALSE),"")</f>
        <v xml:space="preserve">ХУД-н ЭМНД ХЭЛТЭС </v>
      </c>
      <c r="O2051" s="152" t="str">
        <f>IFERROR(VLOOKUP(N2051,DATA!$K$4:$L$51,2,FALSE),"")</f>
        <v/>
      </c>
      <c r="Q2051" s="152">
        <f t="shared" si="203"/>
        <v>0</v>
      </c>
    </row>
    <row r="2052" spans="2:17">
      <c r="B2052" s="671">
        <f t="shared" si="207"/>
        <v>2047</v>
      </c>
      <c r="C2052" s="694">
        <v>43014</v>
      </c>
      <c r="D2052" s="614" t="s">
        <v>2698</v>
      </c>
      <c r="E2052" s="577">
        <v>150101</v>
      </c>
      <c r="F2052" s="686" t="str">
        <f>IFERROR(VLOOKUP(E2052,STAT1!$C$4:$D$8000,2,FALSE),"")</f>
        <v>Бараа бэлэн бүтээгдэхүүн БОЛОВСРУУЛАХ ЦЕХ /нарс/</v>
      </c>
      <c r="G2052" s="614"/>
      <c r="H2052" s="614">
        <v>122787.94319999999</v>
      </c>
      <c r="I2052" s="590">
        <f t="shared" ref="I2052:I2115" si="208">+IF(OR(E2052=100100,E2052=100200,E2052=110100,E2052=110102,E2052=110103,E2052=110104,E2052=110105,E2052=110200,E2052=110201,E2052=110202,E2052=110203,E2052=110204,E2052=110300),G2052,0)+IF(OR(E2052=100100,E2052=100200,E2052=110100,E2052=110102,E2052=110103,E2052=110104,E2052=110105,E2052=110200,E2052=110201,E2052=110202,E2052=110203,E2052=110204,E2052=110300),H2052*-1,0)</f>
        <v>0</v>
      </c>
      <c r="J2052" s="152">
        <f t="shared" si="205"/>
        <v>0</v>
      </c>
      <c r="L2052" s="703">
        <v>3006</v>
      </c>
      <c r="M2052" s="152" t="str">
        <f>+IFERROR(VLOOKUP(L2052,DATA!$G$4:$H$2000,2,FALSE),"")</f>
        <v xml:space="preserve">ПАЙОНЕРИНГ ИНТЕРНЭШНЛ ХХК </v>
      </c>
      <c r="O2052" s="152" t="str">
        <f>IFERROR(VLOOKUP(N2052,DATA!$K$4:$L$51,2,FALSE),"")</f>
        <v/>
      </c>
      <c r="Q2052" s="152">
        <f t="shared" si="203"/>
        <v>0</v>
      </c>
    </row>
    <row r="2053" spans="2:17">
      <c r="B2053" s="671">
        <f t="shared" si="207"/>
        <v>2048</v>
      </c>
      <c r="C2053" s="694">
        <v>43014</v>
      </c>
      <c r="D2053" s="614" t="s">
        <v>587</v>
      </c>
      <c r="E2053" s="577">
        <v>610100</v>
      </c>
      <c r="F2053" s="686" t="str">
        <f>IFERROR(VLOOKUP(E2053,STAT1!$C$4:$D$8000,2,FALSE),"")</f>
        <v>Борлуулсан барааны өртөг</v>
      </c>
      <c r="G2053" s="614">
        <v>122787.94319999999</v>
      </c>
      <c r="H2053" s="614"/>
      <c r="I2053" s="590">
        <f t="shared" si="208"/>
        <v>0</v>
      </c>
      <c r="J2053" s="152">
        <f t="shared" si="205"/>
        <v>0</v>
      </c>
      <c r="L2053" s="703">
        <v>3006</v>
      </c>
      <c r="M2053" s="152" t="str">
        <f>+IFERROR(VLOOKUP(L2053,DATA!$G$4:$H$2000,2,FALSE),"")</f>
        <v xml:space="preserve">ПАЙОНЕРИНГ ИНТЕРНЭШНЛ ХХК </v>
      </c>
      <c r="O2053" s="152" t="str">
        <f>IFERROR(VLOOKUP(N2053,DATA!$K$4:$L$51,2,FALSE),"")</f>
        <v/>
      </c>
      <c r="Q2053" s="152">
        <f t="shared" si="203"/>
        <v>0</v>
      </c>
    </row>
    <row r="2054" spans="2:17">
      <c r="B2054" s="671">
        <f t="shared" si="207"/>
        <v>2049</v>
      </c>
      <c r="C2054" s="694">
        <v>43014</v>
      </c>
      <c r="D2054" s="614" t="s">
        <v>587</v>
      </c>
      <c r="E2054" s="692">
        <v>310500</v>
      </c>
      <c r="F2054" s="686" t="str">
        <f>IFERROR(VLOOKUP(E2054,STAT1!$C$4:$D$8000,2,FALSE),"")</f>
        <v>НӨАТ өглөг</v>
      </c>
      <c r="G2054" s="614"/>
      <c r="H2054" s="614">
        <v>28080</v>
      </c>
      <c r="I2054" s="590">
        <f t="shared" si="208"/>
        <v>0</v>
      </c>
      <c r="J2054" s="152">
        <f t="shared" si="205"/>
        <v>0</v>
      </c>
      <c r="L2054" s="703">
        <v>3006</v>
      </c>
      <c r="M2054" s="152" t="str">
        <f>+IFERROR(VLOOKUP(L2054,DATA!$G$4:$H$2000,2,FALSE),"")</f>
        <v xml:space="preserve">ПАЙОНЕРИНГ ИНТЕРНЭШНЛ ХХК </v>
      </c>
      <c r="N2054" s="166"/>
      <c r="O2054" s="152" t="str">
        <f>IFERROR(VLOOKUP(N2054,DATA!$K$4:$L$51,2,FALSE),"")</f>
        <v/>
      </c>
      <c r="Q2054" s="152">
        <f t="shared" ref="Q2054:Q2117" si="209">+IF(I2054,1,0)</f>
        <v>0</v>
      </c>
    </row>
    <row r="2055" spans="2:17">
      <c r="B2055" s="671">
        <f t="shared" si="207"/>
        <v>2050</v>
      </c>
      <c r="C2055" s="694">
        <v>43014</v>
      </c>
      <c r="D2055" s="614" t="s">
        <v>587</v>
      </c>
      <c r="E2055" s="577">
        <v>510000</v>
      </c>
      <c r="F2055" s="686" t="str">
        <f>IFERROR(VLOOKUP(E2055,STAT1!$C$4:$D$8000,2,FALSE),"")</f>
        <v>Үндсэн үйл ажиллагааны борлуулалт</v>
      </c>
      <c r="G2055" s="614"/>
      <c r="H2055" s="614">
        <v>280800</v>
      </c>
      <c r="I2055" s="590">
        <f t="shared" si="208"/>
        <v>0</v>
      </c>
      <c r="J2055" s="152">
        <f t="shared" si="205"/>
        <v>0</v>
      </c>
      <c r="L2055" s="703">
        <v>3006</v>
      </c>
      <c r="M2055" s="152" t="str">
        <f>+IFERROR(VLOOKUP(L2055,DATA!$G$4:$H$2000,2,FALSE),"")</f>
        <v xml:space="preserve">ПАЙОНЕРИНГ ИНТЕРНЭШНЛ ХХК </v>
      </c>
      <c r="O2055" s="152" t="str">
        <f>IFERROR(VLOOKUP(N2055,DATA!$K$4:$L$51,2,FALSE),"")</f>
        <v/>
      </c>
      <c r="Q2055" s="152">
        <f t="shared" si="209"/>
        <v>0</v>
      </c>
    </row>
    <row r="2056" spans="2:17">
      <c r="B2056" s="671">
        <f t="shared" si="207"/>
        <v>2051</v>
      </c>
      <c r="C2056" s="694">
        <v>43014</v>
      </c>
      <c r="D2056" s="614" t="s">
        <v>587</v>
      </c>
      <c r="E2056" s="577">
        <v>320100</v>
      </c>
      <c r="F2056" s="686" t="str">
        <f>IFERROR(VLOOKUP(E2056,STAT1!$C$4:$D$8000,2,FALSE),"")</f>
        <v>Урьдчилж орсон орлого MNT</v>
      </c>
      <c r="G2056" s="614">
        <v>308880</v>
      </c>
      <c r="H2056" s="614"/>
      <c r="I2056" s="590">
        <f t="shared" si="208"/>
        <v>0</v>
      </c>
      <c r="J2056" s="152">
        <f t="shared" si="205"/>
        <v>0</v>
      </c>
      <c r="L2056" s="703">
        <v>3006</v>
      </c>
      <c r="M2056" s="152" t="str">
        <f>+IFERROR(VLOOKUP(L2056,DATA!$G$4:$H$2000,2,FALSE),"")</f>
        <v xml:space="preserve">ПАЙОНЕРИНГ ИНТЕРНЭШНЛ ХХК </v>
      </c>
      <c r="O2056" s="152" t="str">
        <f>IFERROR(VLOOKUP(N2056,DATA!$K$4:$L$51,2,FALSE),"")</f>
        <v/>
      </c>
      <c r="Q2056" s="152">
        <f t="shared" si="209"/>
        <v>0</v>
      </c>
    </row>
    <row r="2057" spans="2:17">
      <c r="B2057" s="671">
        <f t="shared" si="207"/>
        <v>2052</v>
      </c>
      <c r="C2057" s="685">
        <v>43014</v>
      </c>
      <c r="D2057" s="614" t="s">
        <v>1741</v>
      </c>
      <c r="E2057" s="692">
        <v>100100</v>
      </c>
      <c r="F2057" s="686" t="str">
        <f>IFERROR(VLOOKUP(E2057,STAT1!$C$4:$D$8000,2,FALSE),"")</f>
        <v>Касс мөнгө MNT</v>
      </c>
      <c r="G2057" s="614">
        <v>442530</v>
      </c>
      <c r="H2057" s="614"/>
      <c r="I2057" s="606">
        <f t="shared" si="208"/>
        <v>442530</v>
      </c>
      <c r="J2057" s="152">
        <f t="shared" si="205"/>
        <v>0</v>
      </c>
      <c r="L2057" s="703">
        <v>3006</v>
      </c>
      <c r="M2057" s="152" t="str">
        <f>+IFERROR(VLOOKUP(L2057,DATA!$G$4:$H$2000,2,FALSE),"")</f>
        <v xml:space="preserve">ПАЙОНЕРИНГ ИНТЕРНЭШНЛ ХХК </v>
      </c>
      <c r="N2057" s="153">
        <v>41</v>
      </c>
      <c r="O2057" s="152" t="str">
        <f>IFERROR(VLOOKUP(N2057,DATA!$K$4:$L$51,2,FALSE),"")</f>
        <v>Бараа борлуулсан, үйлчилгээ үзүүлсэний орлого</v>
      </c>
      <c r="Q2057" s="152">
        <f t="shared" si="209"/>
        <v>1</v>
      </c>
    </row>
    <row r="2058" spans="2:17">
      <c r="B2058" s="671">
        <f t="shared" si="207"/>
        <v>2053</v>
      </c>
      <c r="C2058" s="685">
        <v>43014</v>
      </c>
      <c r="D2058" s="614" t="s">
        <v>1741</v>
      </c>
      <c r="E2058" s="692">
        <v>320100</v>
      </c>
      <c r="F2058" s="686" t="str">
        <f>IFERROR(VLOOKUP(E2058,STAT1!$C$4:$D$8000,2,FALSE),"")</f>
        <v>Урьдчилж орсон орлого MNT</v>
      </c>
      <c r="G2058" s="614"/>
      <c r="H2058" s="614">
        <v>442530</v>
      </c>
      <c r="I2058" s="606">
        <f t="shared" si="208"/>
        <v>0</v>
      </c>
      <c r="J2058" s="152">
        <f t="shared" si="205"/>
        <v>0</v>
      </c>
      <c r="L2058" s="703">
        <v>3006</v>
      </c>
      <c r="M2058" s="152" t="str">
        <f>+IFERROR(VLOOKUP(L2058,DATA!$G$4:$H$2000,2,FALSE),"")</f>
        <v xml:space="preserve">ПАЙОНЕРИНГ ИНТЕРНЭШНЛ ХХК </v>
      </c>
      <c r="O2058" s="152" t="str">
        <f>IFERROR(VLOOKUP(N2058,DATA!$K$4:$L$51,2,FALSE),"")</f>
        <v/>
      </c>
      <c r="Q2058" s="152">
        <f t="shared" si="209"/>
        <v>0</v>
      </c>
    </row>
    <row r="2059" spans="2:17">
      <c r="B2059" s="671">
        <f t="shared" si="207"/>
        <v>2054</v>
      </c>
      <c r="C2059" s="691">
        <v>43017</v>
      </c>
      <c r="D2059" s="614" t="s">
        <v>1741</v>
      </c>
      <c r="E2059" s="692">
        <v>110100</v>
      </c>
      <c r="F2059" s="686" t="str">
        <f>IFERROR(VLOOKUP(E2059,STAT1!$C$4:$D$8000,2,FALSE),"")</f>
        <v>Хаан Банк 5024654020</v>
      </c>
      <c r="G2059" s="614">
        <v>104000</v>
      </c>
      <c r="H2059" s="614"/>
      <c r="I2059" s="604">
        <f t="shared" si="208"/>
        <v>104000</v>
      </c>
      <c r="J2059" s="152">
        <f t="shared" si="205"/>
        <v>0</v>
      </c>
      <c r="L2059" s="703">
        <v>3100</v>
      </c>
      <c r="M2059" s="152" t="str">
        <f>+IFERROR(VLOOKUP(L2059,DATA!$G$4:$H$2000,2,FALSE),"")</f>
        <v xml:space="preserve">УЛЬТРАСОНИК ХХК </v>
      </c>
      <c r="N2059" s="153">
        <v>41</v>
      </c>
      <c r="O2059" s="152" t="str">
        <f>IFERROR(VLOOKUP(N2059,DATA!$K$4:$L$51,2,FALSE),"")</f>
        <v>Бараа борлуулсан, үйлчилгээ үзүүлсэний орлого</v>
      </c>
      <c r="Q2059" s="152">
        <f t="shared" si="209"/>
        <v>1</v>
      </c>
    </row>
    <row r="2060" spans="2:17">
      <c r="B2060" s="671">
        <f t="shared" si="207"/>
        <v>2055</v>
      </c>
      <c r="C2060" s="691">
        <v>43017</v>
      </c>
      <c r="D2060" s="377" t="s">
        <v>1741</v>
      </c>
      <c r="E2060" s="572">
        <v>320100</v>
      </c>
      <c r="F2060" s="686" t="str">
        <f>IFERROR(VLOOKUP(E2060,STAT1!$C$4:$D$8000,2,FALSE),"")</f>
        <v>Урьдчилж орсон орлого MNT</v>
      </c>
      <c r="G2060" s="377"/>
      <c r="H2060" s="377">
        <v>104000</v>
      </c>
      <c r="I2060" s="604">
        <f t="shared" si="208"/>
        <v>0</v>
      </c>
      <c r="J2060" s="152">
        <f t="shared" si="205"/>
        <v>0</v>
      </c>
      <c r="L2060" s="703">
        <v>3100</v>
      </c>
      <c r="M2060" s="152" t="str">
        <f>+IFERROR(VLOOKUP(L2060,DATA!$G$4:$H$2000,2,FALSE),"")</f>
        <v xml:space="preserve">УЛЬТРАСОНИК ХХК </v>
      </c>
      <c r="O2060" s="152" t="str">
        <f>IFERROR(VLOOKUP(N2060,DATA!$K$4:$L$51,2,FALSE),"")</f>
        <v/>
      </c>
      <c r="Q2060" s="152">
        <f t="shared" si="209"/>
        <v>0</v>
      </c>
    </row>
    <row r="2061" spans="2:17">
      <c r="B2061" s="671">
        <f t="shared" si="207"/>
        <v>2056</v>
      </c>
      <c r="C2061" s="694">
        <v>43017</v>
      </c>
      <c r="D2061" s="377" t="s">
        <v>2703</v>
      </c>
      <c r="E2061" s="572">
        <v>150101</v>
      </c>
      <c r="F2061" s="686" t="str">
        <f>IFERROR(VLOOKUP(E2061,STAT1!$C$4:$D$8000,2,FALSE),"")</f>
        <v>Бараа бэлэн бүтээгдэхүүн БОЛОВСРУУЛАХ ЦЕХ /нарс/</v>
      </c>
      <c r="G2061" s="377"/>
      <c r="H2061" s="377">
        <v>4497707.6135531422</v>
      </c>
      <c r="I2061" s="590">
        <f t="shared" si="208"/>
        <v>0</v>
      </c>
      <c r="J2061" s="152">
        <f t="shared" si="205"/>
        <v>0</v>
      </c>
      <c r="L2061" s="703">
        <v>3099</v>
      </c>
      <c r="M2061" s="152" t="str">
        <f>+IFERROR(VLOOKUP(L2061,DATA!$G$4:$H$2000,2,FALSE),"")</f>
        <v>ÃÐÀÍÄ ÑËÀÁ ÕÕÊ</v>
      </c>
      <c r="O2061" s="152" t="str">
        <f>IFERROR(VLOOKUP(N2061,DATA!$K$4:$L$51,2,FALSE),"")</f>
        <v/>
      </c>
      <c r="Q2061" s="152">
        <f t="shared" si="209"/>
        <v>0</v>
      </c>
    </row>
    <row r="2062" spans="2:17">
      <c r="B2062" s="671">
        <f t="shared" si="207"/>
        <v>2057</v>
      </c>
      <c r="C2062" s="694">
        <v>43017</v>
      </c>
      <c r="D2062" s="377" t="s">
        <v>587</v>
      </c>
      <c r="E2062" s="572">
        <v>610100</v>
      </c>
      <c r="F2062" s="686" t="str">
        <f>IFERROR(VLOOKUP(E2062,STAT1!$C$4:$D$8000,2,FALSE),"")</f>
        <v>Борлуулсан барааны өртөг</v>
      </c>
      <c r="G2062" s="377">
        <v>4497707.6135531422</v>
      </c>
      <c r="H2062" s="377"/>
      <c r="I2062" s="590">
        <f t="shared" si="208"/>
        <v>0</v>
      </c>
      <c r="J2062" s="152">
        <f t="shared" si="205"/>
        <v>0</v>
      </c>
      <c r="L2062" s="703">
        <v>3099</v>
      </c>
      <c r="M2062" s="152" t="str">
        <f>+IFERROR(VLOOKUP(L2062,DATA!$G$4:$H$2000,2,FALSE),"")</f>
        <v>ÃÐÀÍÄ ÑËÀÁ ÕÕÊ</v>
      </c>
      <c r="O2062" s="152" t="str">
        <f>IFERROR(VLOOKUP(N2062,DATA!$K$4:$L$51,2,FALSE),"")</f>
        <v/>
      </c>
      <c r="Q2062" s="152">
        <f t="shared" si="209"/>
        <v>0</v>
      </c>
    </row>
    <row r="2063" spans="2:17">
      <c r="B2063" s="671">
        <f t="shared" si="207"/>
        <v>2058</v>
      </c>
      <c r="C2063" s="695">
        <v>43017</v>
      </c>
      <c r="D2063" s="377" t="s">
        <v>587</v>
      </c>
      <c r="E2063" s="572">
        <v>310500</v>
      </c>
      <c r="F2063" s="686" t="str">
        <f>IFERROR(VLOOKUP(E2063,STAT1!$C$4:$D$8000,2,FALSE),"")</f>
        <v>НӨАТ өглөг</v>
      </c>
      <c r="G2063" s="377"/>
      <c r="H2063" s="377">
        <v>590909.09</v>
      </c>
      <c r="I2063" s="590">
        <f t="shared" si="208"/>
        <v>0</v>
      </c>
      <c r="J2063" s="152">
        <f t="shared" si="205"/>
        <v>0</v>
      </c>
      <c r="L2063" s="703">
        <v>3099</v>
      </c>
      <c r="M2063" s="152" t="str">
        <f>+IFERROR(VLOOKUP(L2063,DATA!$G$4:$H$2000,2,FALSE),"")</f>
        <v>ÃÐÀÍÄ ÑËÀÁ ÕÕÊ</v>
      </c>
      <c r="O2063" s="152" t="str">
        <f>IFERROR(VLOOKUP(N2063,DATA!$K$4:$L$51,2,FALSE),"")</f>
        <v/>
      </c>
      <c r="Q2063" s="152">
        <f t="shared" si="209"/>
        <v>0</v>
      </c>
    </row>
    <row r="2064" spans="2:17">
      <c r="B2064" s="671">
        <f t="shared" si="207"/>
        <v>2059</v>
      </c>
      <c r="C2064" s="694">
        <v>43017</v>
      </c>
      <c r="D2064" s="377" t="s">
        <v>587</v>
      </c>
      <c r="E2064" s="572">
        <v>510000</v>
      </c>
      <c r="F2064" s="686" t="str">
        <f>IFERROR(VLOOKUP(E2064,STAT1!$C$4:$D$8000,2,FALSE),"")</f>
        <v>Үндсэн үйл ажиллагааны борлуулалт</v>
      </c>
      <c r="G2064" s="377"/>
      <c r="H2064" s="377">
        <v>5909090.9100000001</v>
      </c>
      <c r="I2064" s="590">
        <f t="shared" si="208"/>
        <v>0</v>
      </c>
      <c r="J2064" s="152">
        <f t="shared" si="205"/>
        <v>0</v>
      </c>
      <c r="L2064" s="703">
        <v>3099</v>
      </c>
      <c r="M2064" s="152" t="str">
        <f>+IFERROR(VLOOKUP(L2064,DATA!$G$4:$H$2000,2,FALSE),"")</f>
        <v>ÃÐÀÍÄ ÑËÀÁ ÕÕÊ</v>
      </c>
      <c r="O2064" s="152" t="str">
        <f>IFERROR(VLOOKUP(N2064,DATA!$K$4:$L$51,2,FALSE),"")</f>
        <v/>
      </c>
      <c r="Q2064" s="152">
        <f t="shared" si="209"/>
        <v>0</v>
      </c>
    </row>
    <row r="2065" spans="2:17">
      <c r="B2065" s="671">
        <f t="shared" si="207"/>
        <v>2060</v>
      </c>
      <c r="C2065" s="694">
        <v>43017</v>
      </c>
      <c r="D2065" s="377" t="s">
        <v>587</v>
      </c>
      <c r="E2065" s="572">
        <v>320100</v>
      </c>
      <c r="F2065" s="686" t="str">
        <f>IFERROR(VLOOKUP(E2065,STAT1!$C$4:$D$8000,2,FALSE),"")</f>
        <v>Урьдчилж орсон орлого MNT</v>
      </c>
      <c r="G2065" s="377">
        <v>6500000</v>
      </c>
      <c r="H2065" s="377"/>
      <c r="I2065" s="590">
        <f t="shared" si="208"/>
        <v>0</v>
      </c>
      <c r="J2065" s="152">
        <f t="shared" si="205"/>
        <v>0</v>
      </c>
      <c r="L2065" s="703">
        <v>3099</v>
      </c>
      <c r="M2065" s="152" t="str">
        <f>+IFERROR(VLOOKUP(L2065,DATA!$G$4:$H$2000,2,FALSE),"")</f>
        <v>ÃÐÀÍÄ ÑËÀÁ ÕÕÊ</v>
      </c>
      <c r="O2065" s="152" t="str">
        <f>IFERROR(VLOOKUP(N2065,DATA!$K$4:$L$51,2,FALSE),"")</f>
        <v/>
      </c>
      <c r="Q2065" s="152">
        <f t="shared" si="209"/>
        <v>0</v>
      </c>
    </row>
    <row r="2066" spans="2:17">
      <c r="B2066" s="671">
        <f t="shared" si="207"/>
        <v>2061</v>
      </c>
      <c r="C2066" s="694">
        <v>43017</v>
      </c>
      <c r="D2066" s="614" t="s">
        <v>2698</v>
      </c>
      <c r="E2066" s="692">
        <v>150101</v>
      </c>
      <c r="F2066" s="686" t="str">
        <f>IFERROR(VLOOKUP(E2066,STAT1!$C$4:$D$8000,2,FALSE),"")</f>
        <v>Бараа бэлэн бүтээгдэхүүн БОЛОВСРУУЛАХ ЦЕХ /нарс/</v>
      </c>
      <c r="G2066" s="614"/>
      <c r="H2066" s="614">
        <v>62488.041805659101</v>
      </c>
      <c r="I2066" s="590">
        <f t="shared" si="208"/>
        <v>0</v>
      </c>
      <c r="J2066" s="152">
        <f t="shared" si="205"/>
        <v>0</v>
      </c>
      <c r="L2066" s="703">
        <v>3100</v>
      </c>
      <c r="M2066" s="152" t="str">
        <f>+IFERROR(VLOOKUP(L2066,DATA!$G$4:$H$2000,2,FALSE),"")</f>
        <v xml:space="preserve">УЛЬТРАСОНИК ХХК </v>
      </c>
      <c r="O2066" s="152" t="str">
        <f>IFERROR(VLOOKUP(N2066,DATA!$K$4:$L$51,2,FALSE),"")</f>
        <v/>
      </c>
      <c r="Q2066" s="152">
        <f t="shared" si="209"/>
        <v>0</v>
      </c>
    </row>
    <row r="2067" spans="2:17">
      <c r="B2067" s="671">
        <f t="shared" si="207"/>
        <v>2062</v>
      </c>
      <c r="C2067" s="694">
        <v>43017</v>
      </c>
      <c r="D2067" s="614" t="s">
        <v>587</v>
      </c>
      <c r="E2067" s="692">
        <v>610100</v>
      </c>
      <c r="F2067" s="686" t="str">
        <f>IFERROR(VLOOKUP(E2067,STAT1!$C$4:$D$8000,2,FALSE),"")</f>
        <v>Борлуулсан барааны өртөг</v>
      </c>
      <c r="G2067" s="614">
        <v>62488.041805659101</v>
      </c>
      <c r="H2067" s="614"/>
      <c r="I2067" s="590">
        <f t="shared" si="208"/>
        <v>0</v>
      </c>
      <c r="J2067" s="152">
        <f t="shared" si="205"/>
        <v>0</v>
      </c>
      <c r="L2067" s="703">
        <v>3100</v>
      </c>
      <c r="M2067" s="152" t="str">
        <f>+IFERROR(VLOOKUP(L2067,DATA!$G$4:$H$2000,2,FALSE),"")</f>
        <v xml:space="preserve">УЛЬТРАСОНИК ХХК </v>
      </c>
      <c r="O2067" s="152" t="str">
        <f>IFERROR(VLOOKUP(N2067,DATA!$K$4:$L$51,2,FALSE),"")</f>
        <v/>
      </c>
      <c r="Q2067" s="152">
        <f t="shared" si="209"/>
        <v>0</v>
      </c>
    </row>
    <row r="2068" spans="2:17">
      <c r="B2068" s="671">
        <f t="shared" si="207"/>
        <v>2063</v>
      </c>
      <c r="C2068" s="694">
        <v>43017</v>
      </c>
      <c r="D2068" s="614" t="s">
        <v>587</v>
      </c>
      <c r="E2068" s="692">
        <v>310500</v>
      </c>
      <c r="F2068" s="686" t="str">
        <f>IFERROR(VLOOKUP(E2068,STAT1!$C$4:$D$8000,2,FALSE),"")</f>
        <v>НӨАТ өглөг</v>
      </c>
      <c r="G2068" s="614"/>
      <c r="H2068" s="614">
        <v>9454.5499999999993</v>
      </c>
      <c r="I2068" s="590">
        <f t="shared" si="208"/>
        <v>0</v>
      </c>
      <c r="J2068" s="152">
        <f t="shared" si="205"/>
        <v>0</v>
      </c>
      <c r="L2068" s="703">
        <v>3100</v>
      </c>
      <c r="M2068" s="152" t="str">
        <f>+IFERROR(VLOOKUP(L2068,DATA!$G$4:$H$2000,2,FALSE),"")</f>
        <v xml:space="preserve">УЛЬТРАСОНИК ХХК </v>
      </c>
      <c r="O2068" s="152" t="str">
        <f>IFERROR(VLOOKUP(N2068,DATA!$K$4:$L$51,2,FALSE),"")</f>
        <v/>
      </c>
      <c r="Q2068" s="152">
        <f t="shared" si="209"/>
        <v>0</v>
      </c>
    </row>
    <row r="2069" spans="2:17">
      <c r="B2069" s="671">
        <f t="shared" si="207"/>
        <v>2064</v>
      </c>
      <c r="C2069" s="695">
        <v>43017</v>
      </c>
      <c r="D2069" s="693" t="s">
        <v>587</v>
      </c>
      <c r="E2069" s="692">
        <v>510000</v>
      </c>
      <c r="F2069" s="686" t="str">
        <f>IFERROR(VLOOKUP(E2069,STAT1!$C$4:$D$8000,2,FALSE),"")</f>
        <v>Үндсэн үйл ажиллагааны борлуулалт</v>
      </c>
      <c r="G2069" s="614"/>
      <c r="H2069" s="614">
        <v>94545.45</v>
      </c>
      <c r="I2069" s="590">
        <f t="shared" si="208"/>
        <v>0</v>
      </c>
      <c r="J2069" s="152">
        <f t="shared" si="205"/>
        <v>0</v>
      </c>
      <c r="L2069" s="703">
        <v>3100</v>
      </c>
      <c r="M2069" s="152" t="str">
        <f>+IFERROR(VLOOKUP(L2069,DATA!$G$4:$H$2000,2,FALSE),"")</f>
        <v xml:space="preserve">УЛЬТРАСОНИК ХХК </v>
      </c>
      <c r="O2069" s="152" t="str">
        <f>IFERROR(VLOOKUP(N2069,DATA!$K$4:$L$51,2,FALSE),"")</f>
        <v/>
      </c>
      <c r="Q2069" s="152">
        <f t="shared" si="209"/>
        <v>0</v>
      </c>
    </row>
    <row r="2070" spans="2:17">
      <c r="B2070" s="671">
        <f t="shared" si="207"/>
        <v>2065</v>
      </c>
      <c r="C2070" s="695">
        <v>43017</v>
      </c>
      <c r="D2070" s="693" t="s">
        <v>587</v>
      </c>
      <c r="E2070" s="692">
        <v>320100</v>
      </c>
      <c r="F2070" s="686" t="str">
        <f>IFERROR(VLOOKUP(E2070,STAT1!$C$4:$D$8000,2,FALSE),"")</f>
        <v>Урьдчилж орсон орлого MNT</v>
      </c>
      <c r="G2070" s="614">
        <v>104000</v>
      </c>
      <c r="H2070" s="614"/>
      <c r="I2070" s="590">
        <f t="shared" si="208"/>
        <v>0</v>
      </c>
      <c r="J2070" s="152">
        <f t="shared" si="205"/>
        <v>0</v>
      </c>
      <c r="L2070" s="703">
        <v>3100</v>
      </c>
      <c r="M2070" s="152" t="str">
        <f>+IFERROR(VLOOKUP(L2070,DATA!$G$4:$H$2000,2,FALSE),"")</f>
        <v xml:space="preserve">УЛЬТРАСОНИК ХХК </v>
      </c>
      <c r="O2070" s="152" t="str">
        <f>IFERROR(VLOOKUP(N2070,DATA!$K$4:$L$51,2,FALSE),"")</f>
        <v/>
      </c>
      <c r="Q2070" s="152">
        <f t="shared" si="209"/>
        <v>0</v>
      </c>
    </row>
    <row r="2071" spans="2:17">
      <c r="B2071" s="671">
        <f t="shared" si="207"/>
        <v>2066</v>
      </c>
      <c r="C2071" s="694">
        <v>43018</v>
      </c>
      <c r="D2071" s="614" t="s">
        <v>2141</v>
      </c>
      <c r="E2071" s="577">
        <v>150101</v>
      </c>
      <c r="F2071" s="686" t="str">
        <f>IFERROR(VLOOKUP(E2071,STAT1!$C$4:$D$8000,2,FALSE),"")</f>
        <v>Бараа бэлэн бүтээгдэхүүн БОЛОВСРУУЛАХ ЦЕХ /нарс/</v>
      </c>
      <c r="G2071" s="614"/>
      <c r="H2071" s="614">
        <v>194251.5584355937</v>
      </c>
      <c r="I2071" s="590">
        <f t="shared" si="208"/>
        <v>0</v>
      </c>
      <c r="J2071" s="152">
        <f t="shared" si="205"/>
        <v>0</v>
      </c>
      <c r="L2071" s="703">
        <v>3067</v>
      </c>
      <c r="M2071" s="152" t="str">
        <f>+IFERROR(VLOOKUP(L2071,DATA!$G$4:$H$2000,2,FALSE),"")</f>
        <v>ЦЭЦЭН УРЧУУД ХХК</v>
      </c>
      <c r="O2071" s="152" t="str">
        <f>IFERROR(VLOOKUP(N2071,DATA!$K$4:$L$51,2,FALSE),"")</f>
        <v/>
      </c>
      <c r="Q2071" s="152">
        <f t="shared" si="209"/>
        <v>0</v>
      </c>
    </row>
    <row r="2072" spans="2:17">
      <c r="B2072" s="671">
        <f t="shared" si="207"/>
        <v>2067</v>
      </c>
      <c r="C2072" s="694">
        <v>43018</v>
      </c>
      <c r="D2072" s="614" t="s">
        <v>587</v>
      </c>
      <c r="E2072" s="577">
        <v>610100</v>
      </c>
      <c r="F2072" s="686" t="str">
        <f>IFERROR(VLOOKUP(E2072,STAT1!$C$4:$D$8000,2,FALSE),"")</f>
        <v>Борлуулсан барааны өртөг</v>
      </c>
      <c r="G2072" s="614">
        <v>194251.5584355937</v>
      </c>
      <c r="H2072" s="614"/>
      <c r="I2072" s="590">
        <f t="shared" si="208"/>
        <v>0</v>
      </c>
      <c r="J2072" s="152">
        <f t="shared" si="205"/>
        <v>0</v>
      </c>
      <c r="L2072" s="703">
        <v>3067</v>
      </c>
      <c r="M2072" s="152" t="str">
        <f>+IFERROR(VLOOKUP(L2072,DATA!$G$4:$H$2000,2,FALSE),"")</f>
        <v>ЦЭЦЭН УРЧУУД ХХК</v>
      </c>
      <c r="O2072" s="152" t="str">
        <f>IFERROR(VLOOKUP(N2072,DATA!$K$4:$L$51,2,FALSE),"")</f>
        <v/>
      </c>
      <c r="Q2072" s="152">
        <f t="shared" si="209"/>
        <v>0</v>
      </c>
    </row>
    <row r="2073" spans="2:17">
      <c r="B2073" s="671">
        <f t="shared" si="207"/>
        <v>2068</v>
      </c>
      <c r="C2073" s="694">
        <v>43018</v>
      </c>
      <c r="D2073" s="614" t="s">
        <v>587</v>
      </c>
      <c r="E2073" s="577">
        <v>310500</v>
      </c>
      <c r="F2073" s="686" t="str">
        <f>IFERROR(VLOOKUP(E2073,STAT1!$C$4:$D$8000,2,FALSE),"")</f>
        <v>НӨАТ өглөг</v>
      </c>
      <c r="G2073" s="614"/>
      <c r="H2073" s="614">
        <v>45000</v>
      </c>
      <c r="I2073" s="590">
        <f t="shared" si="208"/>
        <v>0</v>
      </c>
      <c r="J2073" s="152">
        <f t="shared" si="205"/>
        <v>0</v>
      </c>
      <c r="L2073" s="703">
        <v>3067</v>
      </c>
      <c r="M2073" s="152" t="str">
        <f>+IFERROR(VLOOKUP(L2073,DATA!$G$4:$H$2000,2,FALSE),"")</f>
        <v>ЦЭЦЭН УРЧУУД ХХК</v>
      </c>
      <c r="O2073" s="152" t="str">
        <f>IFERROR(VLOOKUP(N2073,DATA!$K$4:$L$51,2,FALSE),"")</f>
        <v/>
      </c>
      <c r="Q2073" s="152">
        <f t="shared" si="209"/>
        <v>0</v>
      </c>
    </row>
    <row r="2074" spans="2:17">
      <c r="B2074" s="671">
        <f t="shared" si="207"/>
        <v>2069</v>
      </c>
      <c r="C2074" s="694">
        <v>43018</v>
      </c>
      <c r="D2074" s="614" t="s">
        <v>587</v>
      </c>
      <c r="E2074" s="577">
        <v>510000</v>
      </c>
      <c r="F2074" s="686" t="str">
        <f>IFERROR(VLOOKUP(E2074,STAT1!$C$4:$D$8000,2,FALSE),"")</f>
        <v>Үндсэн үйл ажиллагааны борлуулалт</v>
      </c>
      <c r="G2074" s="614"/>
      <c r="H2074" s="614">
        <v>450000</v>
      </c>
      <c r="I2074" s="590">
        <f t="shared" si="208"/>
        <v>0</v>
      </c>
      <c r="J2074" s="152">
        <f t="shared" si="205"/>
        <v>0</v>
      </c>
      <c r="L2074" s="703">
        <v>3067</v>
      </c>
      <c r="M2074" s="152" t="str">
        <f>+IFERROR(VLOOKUP(L2074,DATA!$G$4:$H$2000,2,FALSE),"")</f>
        <v>ЦЭЦЭН УРЧУУД ХХК</v>
      </c>
      <c r="O2074" s="152" t="str">
        <f>IFERROR(VLOOKUP(N2074,DATA!$K$4:$L$51,2,FALSE),"")</f>
        <v/>
      </c>
      <c r="Q2074" s="152">
        <f t="shared" si="209"/>
        <v>0</v>
      </c>
    </row>
    <row r="2075" spans="2:17">
      <c r="B2075" s="671">
        <f t="shared" si="207"/>
        <v>2070</v>
      </c>
      <c r="C2075" s="694">
        <v>43018</v>
      </c>
      <c r="D2075" s="614" t="s">
        <v>587</v>
      </c>
      <c r="E2075" s="577">
        <v>320100</v>
      </c>
      <c r="F2075" s="686" t="str">
        <f>IFERROR(VLOOKUP(E2075,STAT1!$C$4:$D$8000,2,FALSE),"")</f>
        <v>Урьдчилж орсон орлого MNT</v>
      </c>
      <c r="G2075" s="614">
        <v>495000</v>
      </c>
      <c r="H2075" s="614"/>
      <c r="I2075" s="590">
        <f t="shared" si="208"/>
        <v>0</v>
      </c>
      <c r="J2075" s="152">
        <f t="shared" si="205"/>
        <v>0</v>
      </c>
      <c r="L2075" s="703">
        <v>3067</v>
      </c>
      <c r="M2075" s="152" t="str">
        <f>+IFERROR(VLOOKUP(L2075,DATA!$G$4:$H$2000,2,FALSE),"")</f>
        <v>ЦЭЦЭН УРЧУУД ХХК</v>
      </c>
      <c r="O2075" s="152" t="str">
        <f>IFERROR(VLOOKUP(N2075,DATA!$K$4:$L$51,2,FALSE),"")</f>
        <v/>
      </c>
      <c r="Q2075" s="152">
        <f t="shared" si="209"/>
        <v>0</v>
      </c>
    </row>
    <row r="2076" spans="2:17">
      <c r="B2076" s="671">
        <f t="shared" si="207"/>
        <v>2071</v>
      </c>
      <c r="C2076" s="694">
        <v>43019</v>
      </c>
      <c r="D2076" s="614" t="s">
        <v>2700</v>
      </c>
      <c r="E2076" s="692">
        <v>150101</v>
      </c>
      <c r="F2076" s="686" t="str">
        <f>IFERROR(VLOOKUP(E2076,STAT1!$C$4:$D$8000,2,FALSE),"")</f>
        <v>Бараа бэлэн бүтээгдэхүүн БОЛОВСРУУЛАХ ЦЕХ /нарс/</v>
      </c>
      <c r="G2076" s="614"/>
      <c r="H2076" s="614">
        <v>272415.21056157956</v>
      </c>
      <c r="I2076" s="590">
        <f t="shared" si="208"/>
        <v>0</v>
      </c>
      <c r="J2076" s="152">
        <f t="shared" si="205"/>
        <v>0</v>
      </c>
      <c r="L2076" s="703">
        <v>3087</v>
      </c>
      <c r="M2076" s="152" t="str">
        <f>+IFERROR(VLOOKUP(L2076,DATA!$G$4:$H$2000,2,FALSE),"")</f>
        <v xml:space="preserve">ОРГИЛ ХАУС ХХК </v>
      </c>
      <c r="O2076" s="152" t="str">
        <f>IFERROR(VLOOKUP(N2076,DATA!$K$4:$L$51,2,FALSE),"")</f>
        <v/>
      </c>
      <c r="Q2076" s="152">
        <f t="shared" si="209"/>
        <v>0</v>
      </c>
    </row>
    <row r="2077" spans="2:17">
      <c r="B2077" s="671">
        <f t="shared" si="207"/>
        <v>2072</v>
      </c>
      <c r="C2077" s="694">
        <v>43019</v>
      </c>
      <c r="D2077" s="614" t="s">
        <v>587</v>
      </c>
      <c r="E2077" s="692">
        <v>610100</v>
      </c>
      <c r="F2077" s="686" t="str">
        <f>IFERROR(VLOOKUP(E2077,STAT1!$C$4:$D$8000,2,FALSE),"")</f>
        <v>Борлуулсан барааны өртөг</v>
      </c>
      <c r="G2077" s="614">
        <v>272415.21056157956</v>
      </c>
      <c r="H2077" s="614"/>
      <c r="I2077" s="590">
        <f t="shared" si="208"/>
        <v>0</v>
      </c>
      <c r="J2077" s="152">
        <f t="shared" si="205"/>
        <v>0</v>
      </c>
      <c r="L2077" s="703">
        <v>3087</v>
      </c>
      <c r="M2077" s="152" t="str">
        <f>+IFERROR(VLOOKUP(L2077,DATA!$G$4:$H$2000,2,FALSE),"")</f>
        <v xml:space="preserve">ОРГИЛ ХАУС ХХК </v>
      </c>
      <c r="O2077" s="152" t="str">
        <f>IFERROR(VLOOKUP(N2077,DATA!$K$4:$L$51,2,FALSE),"")</f>
        <v/>
      </c>
      <c r="Q2077" s="152">
        <f t="shared" si="209"/>
        <v>0</v>
      </c>
    </row>
    <row r="2078" spans="2:17">
      <c r="B2078" s="671">
        <f t="shared" si="207"/>
        <v>2073</v>
      </c>
      <c r="C2078" s="694">
        <v>43019</v>
      </c>
      <c r="D2078" s="614" t="s">
        <v>587</v>
      </c>
      <c r="E2078" s="692">
        <v>310500</v>
      </c>
      <c r="F2078" s="686" t="str">
        <f>IFERROR(VLOOKUP(E2078,STAT1!$C$4:$D$8000,2,FALSE),"")</f>
        <v>НӨАТ өглөг</v>
      </c>
      <c r="G2078" s="614"/>
      <c r="H2078" s="614">
        <v>30000</v>
      </c>
      <c r="I2078" s="590">
        <f t="shared" si="208"/>
        <v>0</v>
      </c>
      <c r="J2078" s="152">
        <f t="shared" si="205"/>
        <v>0</v>
      </c>
      <c r="L2078" s="703">
        <v>3087</v>
      </c>
      <c r="M2078" s="152" t="str">
        <f>+IFERROR(VLOOKUP(L2078,DATA!$G$4:$H$2000,2,FALSE),"")</f>
        <v xml:space="preserve">ОРГИЛ ХАУС ХХК </v>
      </c>
      <c r="O2078" s="152" t="str">
        <f>IFERROR(VLOOKUP(N2078,DATA!$K$4:$L$51,2,FALSE),"")</f>
        <v/>
      </c>
      <c r="Q2078" s="152">
        <f t="shared" si="209"/>
        <v>0</v>
      </c>
    </row>
    <row r="2079" spans="2:17">
      <c r="B2079" s="671">
        <f t="shared" si="207"/>
        <v>2074</v>
      </c>
      <c r="C2079" s="694">
        <v>43019</v>
      </c>
      <c r="D2079" s="614" t="s">
        <v>587</v>
      </c>
      <c r="E2079" s="577">
        <v>510000</v>
      </c>
      <c r="F2079" s="686" t="str">
        <f>IFERROR(VLOOKUP(E2079,STAT1!$C$4:$D$8000,2,FALSE),"")</f>
        <v>Үндсэн үйл ажиллагааны борлуулалт</v>
      </c>
      <c r="G2079" s="614"/>
      <c r="H2079" s="614">
        <v>300000</v>
      </c>
      <c r="I2079" s="590">
        <f t="shared" si="208"/>
        <v>0</v>
      </c>
      <c r="J2079" s="152">
        <f t="shared" si="205"/>
        <v>0</v>
      </c>
      <c r="L2079" s="703">
        <v>3087</v>
      </c>
      <c r="M2079" s="152" t="str">
        <f>+IFERROR(VLOOKUP(L2079,DATA!$G$4:$H$2000,2,FALSE),"")</f>
        <v xml:space="preserve">ОРГИЛ ХАУС ХХК </v>
      </c>
      <c r="O2079" s="152" t="str">
        <f>IFERROR(VLOOKUP(N2079,DATA!$K$4:$L$51,2,FALSE),"")</f>
        <v/>
      </c>
      <c r="Q2079" s="152">
        <f t="shared" si="209"/>
        <v>0</v>
      </c>
    </row>
    <row r="2080" spans="2:17">
      <c r="B2080" s="671">
        <f t="shared" si="207"/>
        <v>2075</v>
      </c>
      <c r="C2080" s="694">
        <v>43019</v>
      </c>
      <c r="D2080" s="614" t="s">
        <v>587</v>
      </c>
      <c r="E2080" s="577">
        <v>320100</v>
      </c>
      <c r="F2080" s="686" t="str">
        <f>IFERROR(VLOOKUP(E2080,STAT1!$C$4:$D$8000,2,FALSE),"")</f>
        <v>Урьдчилж орсон орлого MNT</v>
      </c>
      <c r="G2080" s="614">
        <v>330000</v>
      </c>
      <c r="H2080" s="614"/>
      <c r="I2080" s="590">
        <f t="shared" si="208"/>
        <v>0</v>
      </c>
      <c r="J2080" s="152">
        <f t="shared" si="205"/>
        <v>0</v>
      </c>
      <c r="L2080" s="703">
        <v>3087</v>
      </c>
      <c r="M2080" s="152" t="str">
        <f>+IFERROR(VLOOKUP(L2080,DATA!$G$4:$H$2000,2,FALSE),"")</f>
        <v xml:space="preserve">ОРГИЛ ХАУС ХХК </v>
      </c>
      <c r="O2080" s="152" t="str">
        <f>IFERROR(VLOOKUP(N2080,DATA!$K$4:$L$51,2,FALSE),"")</f>
        <v/>
      </c>
      <c r="Q2080" s="152">
        <f t="shared" si="209"/>
        <v>0</v>
      </c>
    </row>
    <row r="2081" spans="2:17">
      <c r="B2081" s="671">
        <f t="shared" si="207"/>
        <v>2076</v>
      </c>
      <c r="C2081" s="685">
        <v>43019</v>
      </c>
      <c r="D2081" s="614" t="s">
        <v>1741</v>
      </c>
      <c r="E2081" s="577">
        <v>100100</v>
      </c>
      <c r="F2081" s="686" t="str">
        <f>IFERROR(VLOOKUP(E2081,STAT1!$C$4:$D$8000,2,FALSE),"")</f>
        <v>Касс мөнгө MNT</v>
      </c>
      <c r="G2081" s="614">
        <v>330000</v>
      </c>
      <c r="H2081" s="614"/>
      <c r="I2081" s="606">
        <f t="shared" si="208"/>
        <v>330000</v>
      </c>
      <c r="J2081" s="152">
        <f t="shared" si="205"/>
        <v>0</v>
      </c>
      <c r="L2081" s="703">
        <v>3087</v>
      </c>
      <c r="M2081" s="152" t="str">
        <f>+IFERROR(VLOOKUP(L2081,DATA!$G$4:$H$2000,2,FALSE),"")</f>
        <v xml:space="preserve">ОРГИЛ ХАУС ХХК </v>
      </c>
      <c r="N2081" s="153">
        <v>41</v>
      </c>
      <c r="O2081" s="152" t="str">
        <f>IFERROR(VLOOKUP(N2081,DATA!$K$4:$L$51,2,FALSE),"")</f>
        <v>Бараа борлуулсан, үйлчилгээ үзүүлсэний орлого</v>
      </c>
      <c r="Q2081" s="152">
        <f t="shared" si="209"/>
        <v>1</v>
      </c>
    </row>
    <row r="2082" spans="2:17">
      <c r="B2082" s="671">
        <f t="shared" si="207"/>
        <v>2077</v>
      </c>
      <c r="C2082" s="685">
        <v>43019</v>
      </c>
      <c r="D2082" s="614" t="s">
        <v>1741</v>
      </c>
      <c r="E2082" s="577">
        <v>320100</v>
      </c>
      <c r="F2082" s="686" t="str">
        <f>IFERROR(VLOOKUP(E2082,STAT1!$C$4:$D$8000,2,FALSE),"")</f>
        <v>Урьдчилж орсон орлого MNT</v>
      </c>
      <c r="G2082" s="614"/>
      <c r="H2082" s="614">
        <v>330000</v>
      </c>
      <c r="I2082" s="606">
        <f t="shared" si="208"/>
        <v>0</v>
      </c>
      <c r="J2082" s="152">
        <f t="shared" si="205"/>
        <v>0</v>
      </c>
      <c r="L2082" s="703">
        <v>3087</v>
      </c>
      <c r="M2082" s="152" t="str">
        <f>+IFERROR(VLOOKUP(L2082,DATA!$G$4:$H$2000,2,FALSE),"")</f>
        <v xml:space="preserve">ОРГИЛ ХАУС ХХК </v>
      </c>
      <c r="O2082" s="152" t="str">
        <f>IFERROR(VLOOKUP(N2082,DATA!$K$4:$L$51,2,FALSE),"")</f>
        <v/>
      </c>
      <c r="Q2082" s="152">
        <f t="shared" si="209"/>
        <v>0</v>
      </c>
    </row>
    <row r="2083" spans="2:17">
      <c r="B2083" s="671">
        <f t="shared" si="207"/>
        <v>2078</v>
      </c>
      <c r="C2083" s="685">
        <v>43020</v>
      </c>
      <c r="D2083" s="614" t="s">
        <v>1355</v>
      </c>
      <c r="E2083" s="692">
        <v>100100</v>
      </c>
      <c r="F2083" s="686" t="str">
        <f>IFERROR(VLOOKUP(E2083,STAT1!$C$4:$D$8000,2,FALSE),"")</f>
        <v>Касс мөнгө MNT</v>
      </c>
      <c r="G2083" s="614"/>
      <c r="H2083" s="614">
        <v>10100</v>
      </c>
      <c r="I2083" s="607">
        <f t="shared" si="208"/>
        <v>-10100</v>
      </c>
      <c r="J2083" s="152">
        <f t="shared" si="205"/>
        <v>0</v>
      </c>
      <c r="L2083" s="703">
        <v>1005</v>
      </c>
      <c r="M2083" s="152" t="str">
        <f>+IFERROR(VLOOKUP(L2083,DATA!$G$4:$H$2000,2,FALSE),"")</f>
        <v>Золжаргал</v>
      </c>
      <c r="N2083" s="153">
        <v>55</v>
      </c>
      <c r="O2083" s="152" t="str">
        <f>IFERROR(VLOOKUP(N2083,DATA!$K$4:$L$51,2,FALSE),"")</f>
        <v>Түлш, шатахуун, тээврийн хөлс, сэлбэг хэрэгсэлд төлсөн</v>
      </c>
      <c r="Q2083" s="152">
        <f t="shared" si="209"/>
        <v>1</v>
      </c>
    </row>
    <row r="2084" spans="2:17">
      <c r="B2084" s="671">
        <f t="shared" si="207"/>
        <v>2079</v>
      </c>
      <c r="C2084" s="685">
        <v>43020</v>
      </c>
      <c r="D2084" s="614" t="s">
        <v>1355</v>
      </c>
      <c r="E2084" s="692">
        <v>702000</v>
      </c>
      <c r="F2084" s="686" t="str">
        <f>IFERROR(VLOOKUP(E2084,STAT1!$C$4:$D$8000,2,FALSE),"")</f>
        <v>Түлш, шатахуун</v>
      </c>
      <c r="G2084" s="614">
        <v>10100</v>
      </c>
      <c r="H2084" s="614"/>
      <c r="I2084" s="607">
        <f t="shared" si="208"/>
        <v>0</v>
      </c>
      <c r="J2084" s="152">
        <f t="shared" si="205"/>
        <v>0</v>
      </c>
      <c r="L2084" s="703">
        <v>1005</v>
      </c>
      <c r="M2084" s="152" t="str">
        <f>+IFERROR(VLOOKUP(L2084,DATA!$G$4:$H$2000,2,FALSE),"")</f>
        <v>Золжаргал</v>
      </c>
      <c r="O2084" s="152" t="str">
        <f>IFERROR(VLOOKUP(N2084,DATA!$K$4:$L$51,2,FALSE),"")</f>
        <v/>
      </c>
      <c r="Q2084" s="152">
        <f t="shared" si="209"/>
        <v>0</v>
      </c>
    </row>
    <row r="2085" spans="2:17">
      <c r="B2085" s="671">
        <f t="shared" si="207"/>
        <v>2080</v>
      </c>
      <c r="C2085" s="685">
        <v>43021</v>
      </c>
      <c r="D2085" s="614" t="s">
        <v>2133</v>
      </c>
      <c r="E2085" s="577">
        <v>100100</v>
      </c>
      <c r="F2085" s="686" t="str">
        <f>IFERROR(VLOOKUP(E2085,STAT1!$C$4:$D$8000,2,FALSE),"")</f>
        <v>Касс мөнгө MNT</v>
      </c>
      <c r="G2085" s="614"/>
      <c r="H2085" s="614">
        <v>167405</v>
      </c>
      <c r="I2085" s="607">
        <f t="shared" si="208"/>
        <v>-167405</v>
      </c>
      <c r="J2085" s="152">
        <f t="shared" si="205"/>
        <v>0</v>
      </c>
      <c r="L2085" s="703">
        <v>1005</v>
      </c>
      <c r="M2085" s="152" t="str">
        <f>+IFERROR(VLOOKUP(L2085,DATA!$G$4:$H$2000,2,FALSE),"")</f>
        <v>Золжаргал</v>
      </c>
      <c r="N2085" s="153">
        <v>59</v>
      </c>
      <c r="O2085" s="152" t="str">
        <f>IFERROR(VLOOKUP(N2085,DATA!$K$4:$L$51,2,FALSE),"")</f>
        <v>Бусад мөнгөн зарлага</v>
      </c>
      <c r="Q2085" s="152">
        <f t="shared" si="209"/>
        <v>1</v>
      </c>
    </row>
    <row r="2086" spans="2:17">
      <c r="B2086" s="671">
        <f t="shared" si="207"/>
        <v>2081</v>
      </c>
      <c r="C2086" s="685">
        <v>43021</v>
      </c>
      <c r="D2086" s="614" t="s">
        <v>2133</v>
      </c>
      <c r="E2086" s="577">
        <v>120600</v>
      </c>
      <c r="F2086" s="686" t="str">
        <f>IFERROR(VLOOKUP(E2086,STAT1!$C$4:$D$8000,2,FALSE),"")</f>
        <v>НӨАТ авлага</v>
      </c>
      <c r="G2086" s="614">
        <v>14099.82</v>
      </c>
      <c r="H2086" s="614"/>
      <c r="I2086" s="607">
        <f t="shared" si="208"/>
        <v>0</v>
      </c>
      <c r="J2086" s="152">
        <f t="shared" ref="J2086:J2149" si="210">+IF(E2086=110102,I2086/K2086,0)</f>
        <v>0</v>
      </c>
      <c r="L2086" s="703">
        <v>1005</v>
      </c>
      <c r="M2086" s="152" t="str">
        <f>+IFERROR(VLOOKUP(L2086,DATA!$G$4:$H$2000,2,FALSE),"")</f>
        <v>Золжаргал</v>
      </c>
      <c r="O2086" s="152" t="str">
        <f>IFERROR(VLOOKUP(N2086,DATA!$K$4:$L$51,2,FALSE),"")</f>
        <v/>
      </c>
      <c r="Q2086" s="152">
        <f t="shared" si="209"/>
        <v>0</v>
      </c>
    </row>
    <row r="2087" spans="2:17">
      <c r="B2087" s="671">
        <f t="shared" si="207"/>
        <v>2082</v>
      </c>
      <c r="C2087" s="685">
        <v>43021</v>
      </c>
      <c r="D2087" s="614" t="s">
        <v>2133</v>
      </c>
      <c r="E2087" s="577">
        <v>704700</v>
      </c>
      <c r="F2087" s="686" t="str">
        <f>IFERROR(VLOOKUP(E2087,STAT1!$C$4:$D$8000,2,FALSE),"")</f>
        <v>Цэвэрлэгээ</v>
      </c>
      <c r="G2087" s="614">
        <v>153305.18</v>
      </c>
      <c r="H2087" s="614"/>
      <c r="I2087" s="607">
        <f t="shared" si="208"/>
        <v>0</v>
      </c>
      <c r="J2087" s="152">
        <f t="shared" si="210"/>
        <v>0</v>
      </c>
      <c r="L2087" s="703">
        <v>1005</v>
      </c>
      <c r="M2087" s="152" t="str">
        <f>+IFERROR(VLOOKUP(L2087,DATA!$G$4:$H$2000,2,FALSE),"")</f>
        <v>Золжаргал</v>
      </c>
      <c r="O2087" s="152" t="str">
        <f>IFERROR(VLOOKUP(N2087,DATA!$K$4:$L$51,2,FALSE),"")</f>
        <v/>
      </c>
      <c r="Q2087" s="152">
        <f t="shared" si="209"/>
        <v>0</v>
      </c>
    </row>
    <row r="2088" spans="2:17">
      <c r="B2088" s="671">
        <f t="shared" si="207"/>
        <v>2083</v>
      </c>
      <c r="C2088" s="685">
        <v>43021</v>
      </c>
      <c r="D2088" s="614" t="s">
        <v>2134</v>
      </c>
      <c r="E2088" s="577">
        <v>100100</v>
      </c>
      <c r="F2088" s="686" t="str">
        <f>IFERROR(VLOOKUP(E2088,STAT1!$C$4:$D$8000,2,FALSE),"")</f>
        <v>Касс мөнгө MNT</v>
      </c>
      <c r="G2088" s="614"/>
      <c r="H2088" s="614">
        <v>67507</v>
      </c>
      <c r="I2088" s="607">
        <f t="shared" si="208"/>
        <v>-67507</v>
      </c>
      <c r="J2088" s="152">
        <f t="shared" si="210"/>
        <v>0</v>
      </c>
      <c r="L2088" s="703">
        <v>1005</v>
      </c>
      <c r="M2088" s="152" t="str">
        <f>+IFERROR(VLOOKUP(L2088,DATA!$G$4:$H$2000,2,FALSE),"")</f>
        <v>Золжаргал</v>
      </c>
      <c r="N2088" s="153">
        <v>55</v>
      </c>
      <c r="O2088" s="152" t="str">
        <f>IFERROR(VLOOKUP(N2088,DATA!$K$4:$L$51,2,FALSE),"")</f>
        <v>Түлш, шатахуун, тээврийн хөлс, сэлбэг хэрэгсэлд төлсөн</v>
      </c>
      <c r="Q2088" s="152">
        <f t="shared" si="209"/>
        <v>1</v>
      </c>
    </row>
    <row r="2089" spans="2:17">
      <c r="B2089" s="671">
        <f t="shared" si="207"/>
        <v>2084</v>
      </c>
      <c r="C2089" s="685">
        <v>43021</v>
      </c>
      <c r="D2089" s="614" t="s">
        <v>2134</v>
      </c>
      <c r="E2089" s="692">
        <v>120600</v>
      </c>
      <c r="F2089" s="686" t="str">
        <f>IFERROR(VLOOKUP(E2089,STAT1!$C$4:$D$8000,2,FALSE),"")</f>
        <v>НӨАТ авлага</v>
      </c>
      <c r="G2089" s="614">
        <v>6137</v>
      </c>
      <c r="H2089" s="614"/>
      <c r="I2089" s="607">
        <f t="shared" si="208"/>
        <v>0</v>
      </c>
      <c r="J2089" s="152">
        <f t="shared" si="210"/>
        <v>0</v>
      </c>
      <c r="L2089" s="703">
        <v>1005</v>
      </c>
      <c r="M2089" s="152" t="str">
        <f>+IFERROR(VLOOKUP(L2089,DATA!$G$4:$H$2000,2,FALSE),"")</f>
        <v>Золжаргал</v>
      </c>
      <c r="O2089" s="152" t="str">
        <f>IFERROR(VLOOKUP(N2089,DATA!$K$4:$L$51,2,FALSE),"")</f>
        <v/>
      </c>
      <c r="Q2089" s="152">
        <f t="shared" si="209"/>
        <v>0</v>
      </c>
    </row>
    <row r="2090" spans="2:17">
      <c r="B2090" s="671">
        <f t="shared" si="207"/>
        <v>2085</v>
      </c>
      <c r="C2090" s="685">
        <v>43021</v>
      </c>
      <c r="D2090" s="614" t="s">
        <v>2134</v>
      </c>
      <c r="E2090" s="692">
        <v>702000</v>
      </c>
      <c r="F2090" s="686" t="str">
        <f>IFERROR(VLOOKUP(E2090,STAT1!$C$4:$D$8000,2,FALSE),"")</f>
        <v>Түлш, шатахуун</v>
      </c>
      <c r="G2090" s="614">
        <v>61370</v>
      </c>
      <c r="H2090" s="614"/>
      <c r="I2090" s="607">
        <f t="shared" si="208"/>
        <v>0</v>
      </c>
      <c r="J2090" s="152">
        <f t="shared" si="210"/>
        <v>0</v>
      </c>
      <c r="L2090" s="703">
        <v>1005</v>
      </c>
      <c r="M2090" s="152" t="str">
        <f>+IFERROR(VLOOKUP(L2090,DATA!$G$4:$H$2000,2,FALSE),"")</f>
        <v>Золжаргал</v>
      </c>
      <c r="O2090" s="152" t="str">
        <f>IFERROR(VLOOKUP(N2090,DATA!$K$4:$L$51,2,FALSE),"")</f>
        <v/>
      </c>
      <c r="Q2090" s="152">
        <f t="shared" si="209"/>
        <v>0</v>
      </c>
    </row>
    <row r="2091" spans="2:17">
      <c r="B2091" s="671">
        <f t="shared" si="207"/>
        <v>2086</v>
      </c>
      <c r="C2091" s="685">
        <v>43024</v>
      </c>
      <c r="D2091" s="614" t="s">
        <v>1741</v>
      </c>
      <c r="E2091" s="692">
        <v>110100</v>
      </c>
      <c r="F2091" s="686" t="str">
        <f>IFERROR(VLOOKUP(E2091,STAT1!$C$4:$D$8000,2,FALSE),"")</f>
        <v>Хаан Банк 5024654020</v>
      </c>
      <c r="G2091" s="614">
        <v>561000</v>
      </c>
      <c r="H2091" s="614"/>
      <c r="I2091" s="607">
        <f t="shared" si="208"/>
        <v>561000</v>
      </c>
      <c r="J2091" s="152">
        <f t="shared" si="210"/>
        <v>0</v>
      </c>
      <c r="L2091" s="703">
        <v>3042</v>
      </c>
      <c r="M2091" s="152" t="str">
        <f>+IFERROR(VLOOKUP(L2091,DATA!$G$4:$H$2000,2,FALSE),"")</f>
        <v xml:space="preserve">ЖУРМАК ХХК </v>
      </c>
      <c r="N2091" s="153">
        <v>41</v>
      </c>
      <c r="O2091" s="152" t="str">
        <f>IFERROR(VLOOKUP(N2091,DATA!$K$4:$L$51,2,FALSE),"")</f>
        <v>Бараа борлуулсан, үйлчилгээ үзүүлсэний орлого</v>
      </c>
      <c r="Q2091" s="152">
        <f t="shared" si="209"/>
        <v>1</v>
      </c>
    </row>
    <row r="2092" spans="2:17">
      <c r="B2092" s="671">
        <f t="shared" si="207"/>
        <v>2087</v>
      </c>
      <c r="C2092" s="685">
        <v>43024</v>
      </c>
      <c r="D2092" s="614" t="s">
        <v>1741</v>
      </c>
      <c r="E2092" s="692">
        <v>320100</v>
      </c>
      <c r="F2092" s="686" t="str">
        <f>IFERROR(VLOOKUP(E2092,STAT1!$C$4:$D$8000,2,FALSE),"")</f>
        <v>Урьдчилж орсон орлого MNT</v>
      </c>
      <c r="G2092" s="614"/>
      <c r="H2092" s="614">
        <v>561000</v>
      </c>
      <c r="I2092" s="607">
        <f t="shared" si="208"/>
        <v>0</v>
      </c>
      <c r="J2092" s="152">
        <f t="shared" si="210"/>
        <v>0</v>
      </c>
      <c r="L2092" s="703">
        <v>3042</v>
      </c>
      <c r="M2092" s="152" t="str">
        <f>+IFERROR(VLOOKUP(L2092,DATA!$G$4:$H$2000,2,FALSE),"")</f>
        <v xml:space="preserve">ЖУРМАК ХХК </v>
      </c>
      <c r="O2092" s="152" t="str">
        <f>IFERROR(VLOOKUP(N2092,DATA!$K$4:$L$51,2,FALSE),"")</f>
        <v/>
      </c>
      <c r="Q2092" s="152">
        <f t="shared" si="209"/>
        <v>0</v>
      </c>
    </row>
    <row r="2093" spans="2:17">
      <c r="B2093" s="671">
        <f t="shared" si="207"/>
        <v>2088</v>
      </c>
      <c r="C2093" s="691">
        <v>43024</v>
      </c>
      <c r="D2093" s="614" t="s">
        <v>1785</v>
      </c>
      <c r="E2093" s="692">
        <v>110100</v>
      </c>
      <c r="F2093" s="686" t="str">
        <f>IFERROR(VLOOKUP(E2093,STAT1!$C$4:$D$8000,2,FALSE),"")</f>
        <v>Хаан Банк 5024654020</v>
      </c>
      <c r="G2093" s="614">
        <v>4900000</v>
      </c>
      <c r="H2093" s="614"/>
      <c r="I2093" s="604">
        <f t="shared" si="208"/>
        <v>4900000</v>
      </c>
      <c r="J2093" s="152">
        <f t="shared" si="210"/>
        <v>0</v>
      </c>
      <c r="L2093" s="703">
        <v>1003</v>
      </c>
      <c r="M2093" s="152" t="str">
        <f>+IFERROR(VLOOKUP(L2093,DATA!$G$4:$H$2000,2,FALSE),"")</f>
        <v>Бахдамдэмбэрэл</v>
      </c>
      <c r="O2093" s="152" t="str">
        <f>IFERROR(VLOOKUP(N2093,DATA!$K$4:$L$51,2,FALSE),"")</f>
        <v/>
      </c>
      <c r="Q2093" s="152">
        <f t="shared" si="209"/>
        <v>1</v>
      </c>
    </row>
    <row r="2094" spans="2:17">
      <c r="B2094" s="671">
        <f t="shared" si="207"/>
        <v>2089</v>
      </c>
      <c r="C2094" s="691">
        <v>43024</v>
      </c>
      <c r="D2094" s="614" t="s">
        <v>1785</v>
      </c>
      <c r="E2094" s="692">
        <v>100100</v>
      </c>
      <c r="F2094" s="686" t="str">
        <f>IFERROR(VLOOKUP(E2094,STAT1!$C$4:$D$8000,2,FALSE),"")</f>
        <v>Касс мөнгө MNT</v>
      </c>
      <c r="G2094" s="614"/>
      <c r="H2094" s="614">
        <v>4900000</v>
      </c>
      <c r="I2094" s="604">
        <f t="shared" si="208"/>
        <v>-4900000</v>
      </c>
      <c r="J2094" s="152">
        <f t="shared" si="210"/>
        <v>0</v>
      </c>
      <c r="L2094" s="703">
        <v>1003</v>
      </c>
      <c r="M2094" s="152" t="str">
        <f>+IFERROR(VLOOKUP(L2094,DATA!$G$4:$H$2000,2,FALSE),"")</f>
        <v>Бахдамдэмбэрэл</v>
      </c>
      <c r="O2094" s="152" t="str">
        <f>IFERROR(VLOOKUP(N2094,DATA!$K$4:$L$51,2,FALSE),"")</f>
        <v/>
      </c>
      <c r="Q2094" s="152">
        <f t="shared" si="209"/>
        <v>1</v>
      </c>
    </row>
    <row r="2095" spans="2:17">
      <c r="B2095" s="671">
        <f t="shared" si="207"/>
        <v>2090</v>
      </c>
      <c r="C2095" s="694">
        <v>43024</v>
      </c>
      <c r="D2095" s="614" t="s">
        <v>2141</v>
      </c>
      <c r="E2095" s="692">
        <v>150101</v>
      </c>
      <c r="F2095" s="686" t="str">
        <f>IFERROR(VLOOKUP(E2095,STAT1!$C$4:$D$8000,2,FALSE),"")</f>
        <v>Бараа бэлэн бүтээгдэхүүн БОЛОВСРУУЛАХ ЦЕХ /нарс/</v>
      </c>
      <c r="G2095" s="614"/>
      <c r="H2095" s="614">
        <v>201282.21055706355</v>
      </c>
      <c r="I2095" s="590">
        <f t="shared" si="208"/>
        <v>0</v>
      </c>
      <c r="J2095" s="152">
        <f t="shared" si="210"/>
        <v>0</v>
      </c>
      <c r="L2095" s="703">
        <v>3042</v>
      </c>
      <c r="M2095" s="152" t="str">
        <f>+IFERROR(VLOOKUP(L2095,DATA!$G$4:$H$2000,2,FALSE),"")</f>
        <v xml:space="preserve">ЖУРМАК ХХК </v>
      </c>
      <c r="O2095" s="152" t="str">
        <f>IFERROR(VLOOKUP(N2095,DATA!$K$4:$L$51,2,FALSE),"")</f>
        <v/>
      </c>
      <c r="Q2095" s="152">
        <f t="shared" si="209"/>
        <v>0</v>
      </c>
    </row>
    <row r="2096" spans="2:17">
      <c r="B2096" s="671">
        <f t="shared" si="207"/>
        <v>2091</v>
      </c>
      <c r="C2096" s="694">
        <v>43024</v>
      </c>
      <c r="D2096" s="614" t="s">
        <v>2631</v>
      </c>
      <c r="E2096" s="692">
        <v>610100</v>
      </c>
      <c r="F2096" s="686" t="str">
        <f>IFERROR(VLOOKUP(E2096,STAT1!$C$4:$D$8000,2,FALSE),"")</f>
        <v>Борлуулсан барааны өртөг</v>
      </c>
      <c r="G2096" s="614">
        <v>201282.21055706355</v>
      </c>
      <c r="H2096" s="614"/>
      <c r="I2096" s="590">
        <f t="shared" si="208"/>
        <v>0</v>
      </c>
      <c r="J2096" s="152">
        <f t="shared" si="210"/>
        <v>0</v>
      </c>
      <c r="L2096" s="703">
        <v>3042</v>
      </c>
      <c r="M2096" s="152" t="str">
        <f>+IFERROR(VLOOKUP(L2096,DATA!$G$4:$H$2000,2,FALSE),"")</f>
        <v xml:space="preserve">ЖУРМАК ХХК </v>
      </c>
      <c r="O2096" s="152" t="str">
        <f>IFERROR(VLOOKUP(N2096,DATA!$K$4:$L$51,2,FALSE),"")</f>
        <v/>
      </c>
      <c r="Q2096" s="152">
        <f t="shared" si="209"/>
        <v>0</v>
      </c>
    </row>
    <row r="2097" spans="2:17">
      <c r="B2097" s="671">
        <f t="shared" si="207"/>
        <v>2092</v>
      </c>
      <c r="C2097" s="694">
        <v>43024</v>
      </c>
      <c r="D2097" s="614" t="s">
        <v>587</v>
      </c>
      <c r="E2097" s="692">
        <v>310500</v>
      </c>
      <c r="F2097" s="686" t="str">
        <f>IFERROR(VLOOKUP(E2097,STAT1!$C$4:$D$8000,2,FALSE),"")</f>
        <v>НӨАТ өглөг</v>
      </c>
      <c r="G2097" s="614"/>
      <c r="H2097" s="614">
        <v>51000</v>
      </c>
      <c r="I2097" s="590">
        <f t="shared" si="208"/>
        <v>0</v>
      </c>
      <c r="J2097" s="152">
        <f t="shared" si="210"/>
        <v>0</v>
      </c>
      <c r="L2097" s="703">
        <v>3042</v>
      </c>
      <c r="M2097" s="152" t="str">
        <f>+IFERROR(VLOOKUP(L2097,DATA!$G$4:$H$2000,2,FALSE),"")</f>
        <v xml:space="preserve">ЖУРМАК ХХК </v>
      </c>
      <c r="O2097" s="152" t="str">
        <f>IFERROR(VLOOKUP(N2097,DATA!$K$4:$L$51,2,FALSE),"")</f>
        <v/>
      </c>
      <c r="Q2097" s="152">
        <f t="shared" si="209"/>
        <v>0</v>
      </c>
    </row>
    <row r="2098" spans="2:17">
      <c r="B2098" s="671">
        <f t="shared" si="207"/>
        <v>2093</v>
      </c>
      <c r="C2098" s="694">
        <v>43024</v>
      </c>
      <c r="D2098" s="614" t="s">
        <v>587</v>
      </c>
      <c r="E2098" s="692">
        <v>510000</v>
      </c>
      <c r="F2098" s="686" t="str">
        <f>IFERROR(VLOOKUP(E2098,STAT1!$C$4:$D$8000,2,FALSE),"")</f>
        <v>Үндсэн үйл ажиллагааны борлуулалт</v>
      </c>
      <c r="G2098" s="614"/>
      <c r="H2098" s="614">
        <v>510000</v>
      </c>
      <c r="I2098" s="606">
        <f t="shared" si="208"/>
        <v>0</v>
      </c>
      <c r="J2098" s="152">
        <f t="shared" si="210"/>
        <v>0</v>
      </c>
      <c r="L2098" s="703">
        <v>3042</v>
      </c>
      <c r="M2098" s="152" t="str">
        <f>+IFERROR(VLOOKUP(L2098,DATA!$G$4:$H$2000,2,FALSE),"")</f>
        <v xml:space="preserve">ЖУРМАК ХХК </v>
      </c>
      <c r="O2098" s="152" t="str">
        <f>IFERROR(VLOOKUP(N2098,DATA!$K$4:$L$51,2,FALSE),"")</f>
        <v/>
      </c>
      <c r="Q2098" s="152">
        <f t="shared" si="209"/>
        <v>0</v>
      </c>
    </row>
    <row r="2099" spans="2:17">
      <c r="B2099" s="671">
        <f t="shared" si="207"/>
        <v>2094</v>
      </c>
      <c r="C2099" s="694">
        <v>43024</v>
      </c>
      <c r="D2099" s="614" t="s">
        <v>587</v>
      </c>
      <c r="E2099" s="692">
        <v>320100</v>
      </c>
      <c r="F2099" s="686" t="str">
        <f>IFERROR(VLOOKUP(E2099,STAT1!$C$4:$D$8000,2,FALSE),"")</f>
        <v>Урьдчилж орсон орлого MNT</v>
      </c>
      <c r="G2099" s="614">
        <v>561000</v>
      </c>
      <c r="H2099" s="614"/>
      <c r="I2099" s="606">
        <f t="shared" si="208"/>
        <v>0</v>
      </c>
      <c r="J2099" s="152">
        <f t="shared" si="210"/>
        <v>0</v>
      </c>
      <c r="L2099" s="703">
        <v>3042</v>
      </c>
      <c r="M2099" s="152" t="str">
        <f>+IFERROR(VLOOKUP(L2099,DATA!$G$4:$H$2000,2,FALSE),"")</f>
        <v xml:space="preserve">ЖУРМАК ХХК </v>
      </c>
      <c r="O2099" s="152" t="str">
        <f>IFERROR(VLOOKUP(N2099,DATA!$K$4:$L$51,2,FALSE),"")</f>
        <v/>
      </c>
      <c r="Q2099" s="152">
        <f t="shared" si="209"/>
        <v>0</v>
      </c>
    </row>
    <row r="2100" spans="2:17">
      <c r="B2100" s="671">
        <f t="shared" si="207"/>
        <v>2095</v>
      </c>
      <c r="C2100" s="685">
        <v>43025</v>
      </c>
      <c r="D2100" s="614" t="s">
        <v>1746</v>
      </c>
      <c r="E2100" s="692">
        <v>110100</v>
      </c>
      <c r="F2100" s="686" t="str">
        <f>IFERROR(VLOOKUP(E2100,STAT1!$C$4:$D$8000,2,FALSE),"")</f>
        <v>Хаан Банк 5024654020</v>
      </c>
      <c r="G2100" s="614"/>
      <c r="H2100" s="614">
        <v>5126540</v>
      </c>
      <c r="I2100" s="607">
        <f t="shared" si="208"/>
        <v>-5126540</v>
      </c>
      <c r="J2100" s="152">
        <f t="shared" si="210"/>
        <v>0</v>
      </c>
      <c r="L2100" s="703">
        <v>2009</v>
      </c>
      <c r="M2100" s="152" t="str">
        <f>+IFERROR(VLOOKUP(L2100,DATA!$G$4:$H$2000,2,FALSE),"")</f>
        <v>ХААН БАНК</v>
      </c>
      <c r="N2100" s="153">
        <v>91</v>
      </c>
      <c r="O2100" s="152" t="str">
        <f>IFERROR(VLOOKUP(N2100,DATA!$K$4:$L$51,2,FALSE),"")</f>
        <v>Зээл, өрийн үнэт цаасны төлбөрт төлсөн</v>
      </c>
      <c r="Q2100" s="152">
        <f t="shared" si="209"/>
        <v>1</v>
      </c>
    </row>
    <row r="2101" spans="2:17">
      <c r="B2101" s="671">
        <f t="shared" si="207"/>
        <v>2096</v>
      </c>
      <c r="C2101" s="685">
        <v>43025</v>
      </c>
      <c r="D2101" s="614" t="s">
        <v>1746</v>
      </c>
      <c r="E2101" s="692">
        <v>310400</v>
      </c>
      <c r="F2101" s="686" t="str">
        <f>IFERROR(VLOOKUP(E2101,STAT1!$C$4:$D$8000,2,FALSE),"")</f>
        <v>Банкны богино хугацаат зээл MNT</v>
      </c>
      <c r="G2101" s="614">
        <v>5126540</v>
      </c>
      <c r="H2101" s="614"/>
      <c r="I2101" s="607">
        <f t="shared" si="208"/>
        <v>0</v>
      </c>
      <c r="J2101" s="152">
        <f t="shared" si="210"/>
        <v>0</v>
      </c>
      <c r="L2101" s="703">
        <v>2009</v>
      </c>
      <c r="M2101" s="152" t="str">
        <f>+IFERROR(VLOOKUP(L2101,DATA!$G$4:$H$2000,2,FALSE),"")</f>
        <v>ХААН БАНК</v>
      </c>
      <c r="O2101" s="152" t="str">
        <f>IFERROR(VLOOKUP(N2101,DATA!$K$4:$L$51,2,FALSE),"")</f>
        <v/>
      </c>
      <c r="Q2101" s="152">
        <f t="shared" si="209"/>
        <v>0</v>
      </c>
    </row>
    <row r="2102" spans="2:17">
      <c r="B2102" s="671">
        <f t="shared" ref="B2102:B2139" si="211">+IF(C2102="","",ROW()-5)</f>
        <v>2097</v>
      </c>
      <c r="C2102" s="685">
        <v>43025</v>
      </c>
      <c r="D2102" s="614" t="s">
        <v>1746</v>
      </c>
      <c r="E2102" s="692">
        <v>110100</v>
      </c>
      <c r="F2102" s="686" t="str">
        <f>IFERROR(VLOOKUP(E2102,STAT1!$C$4:$D$8000,2,FALSE),"")</f>
        <v>Хаан Банк 5024654020</v>
      </c>
      <c r="G2102" s="614"/>
      <c r="H2102" s="614">
        <v>751291.24000000022</v>
      </c>
      <c r="I2102" s="607">
        <f t="shared" si="208"/>
        <v>-751291.24000000022</v>
      </c>
      <c r="J2102" s="152">
        <f t="shared" si="210"/>
        <v>0</v>
      </c>
      <c r="L2102" s="703">
        <v>2009</v>
      </c>
      <c r="M2102" s="152" t="str">
        <f>+IFERROR(VLOOKUP(L2102,DATA!$G$4:$H$2000,2,FALSE),"")</f>
        <v>ХААН БАНК</v>
      </c>
      <c r="N2102" s="153">
        <v>56</v>
      </c>
      <c r="O2102" s="152" t="str">
        <f>IFERROR(VLOOKUP(N2102,DATA!$K$4:$L$51,2,FALSE),"")</f>
        <v>Хүүний төлбөрт төлсөн</v>
      </c>
      <c r="Q2102" s="152">
        <f t="shared" si="209"/>
        <v>1</v>
      </c>
    </row>
    <row r="2103" spans="2:17">
      <c r="B2103" s="671">
        <f t="shared" si="211"/>
        <v>2098</v>
      </c>
      <c r="C2103" s="685">
        <v>43025</v>
      </c>
      <c r="D2103" s="614" t="s">
        <v>1746</v>
      </c>
      <c r="E2103" s="692">
        <v>702500</v>
      </c>
      <c r="F2103" s="686" t="str">
        <f>IFERROR(VLOOKUP(E2103,STAT1!$C$4:$D$8000,2,FALSE),"")</f>
        <v>Зээлийн хүүгийн зардал</v>
      </c>
      <c r="G2103" s="614">
        <v>751291.24000000022</v>
      </c>
      <c r="H2103" s="614"/>
      <c r="I2103" s="607">
        <f t="shared" si="208"/>
        <v>0</v>
      </c>
      <c r="J2103" s="152">
        <f t="shared" si="210"/>
        <v>0</v>
      </c>
      <c r="L2103" s="703">
        <v>2009</v>
      </c>
      <c r="M2103" s="152" t="str">
        <f>+IFERROR(VLOOKUP(L2103,DATA!$G$4:$H$2000,2,FALSE),"")</f>
        <v>ХААН БАНК</v>
      </c>
      <c r="O2103" s="152" t="str">
        <f>IFERROR(VLOOKUP(N2103,DATA!$K$4:$L$51,2,FALSE),"")</f>
        <v/>
      </c>
      <c r="Q2103" s="152">
        <f t="shared" si="209"/>
        <v>0</v>
      </c>
    </row>
    <row r="2104" spans="2:17">
      <c r="B2104" s="671">
        <f t="shared" si="211"/>
        <v>2099</v>
      </c>
      <c r="C2104" s="685">
        <v>43025</v>
      </c>
      <c r="D2104" s="614" t="s">
        <v>1352</v>
      </c>
      <c r="E2104" s="692">
        <v>110100</v>
      </c>
      <c r="F2104" s="686" t="str">
        <f>IFERROR(VLOOKUP(E2104,STAT1!$C$4:$D$8000,2,FALSE),"")</f>
        <v>Хаан Банк 5024654020</v>
      </c>
      <c r="G2104" s="614"/>
      <c r="H2104" s="614">
        <v>84000</v>
      </c>
      <c r="I2104" s="607">
        <f t="shared" si="208"/>
        <v>-84000</v>
      </c>
      <c r="J2104" s="152">
        <f t="shared" si="210"/>
        <v>0</v>
      </c>
      <c r="L2104" s="703">
        <v>2006</v>
      </c>
      <c r="M2104" s="152" t="str">
        <f>+IFERROR(VLOOKUP(L2104,DATA!$G$4:$H$2000,2,FALSE),"")</f>
        <v xml:space="preserve">МЦХОЛБОО </v>
      </c>
      <c r="N2104" s="153">
        <v>59</v>
      </c>
      <c r="O2104" s="152" t="str">
        <f>IFERROR(VLOOKUP(N2104,DATA!$K$4:$L$51,2,FALSE),"")</f>
        <v>Бусад мөнгөн зарлага</v>
      </c>
      <c r="Q2104" s="152">
        <f t="shared" si="209"/>
        <v>1</v>
      </c>
    </row>
    <row r="2105" spans="2:17">
      <c r="B2105" s="671">
        <f t="shared" si="211"/>
        <v>2100</v>
      </c>
      <c r="C2105" s="685">
        <v>43025</v>
      </c>
      <c r="D2105" s="614" t="s">
        <v>1352</v>
      </c>
      <c r="E2105" s="692">
        <v>120600</v>
      </c>
      <c r="F2105" s="686" t="str">
        <f>IFERROR(VLOOKUP(E2105,STAT1!$C$4:$D$8000,2,FALSE),"")</f>
        <v>НӨАТ авлага</v>
      </c>
      <c r="G2105" s="614">
        <v>7636.36</v>
      </c>
      <c r="H2105" s="614"/>
      <c r="I2105" s="607">
        <f t="shared" si="208"/>
        <v>0</v>
      </c>
      <c r="J2105" s="152">
        <f t="shared" si="210"/>
        <v>0</v>
      </c>
      <c r="L2105" s="703">
        <v>2006</v>
      </c>
      <c r="M2105" s="152" t="str">
        <f>+IFERROR(VLOOKUP(L2105,DATA!$G$4:$H$2000,2,FALSE),"")</f>
        <v xml:space="preserve">МЦХОЛБОО </v>
      </c>
      <c r="O2105" s="152" t="str">
        <f>IFERROR(VLOOKUP(N2105,DATA!$K$4:$L$51,2,FALSE),"")</f>
        <v/>
      </c>
      <c r="Q2105" s="152">
        <f t="shared" si="209"/>
        <v>0</v>
      </c>
    </row>
    <row r="2106" spans="2:17">
      <c r="B2106" s="671">
        <f t="shared" si="211"/>
        <v>2101</v>
      </c>
      <c r="C2106" s="685">
        <v>43025</v>
      </c>
      <c r="D2106" s="614" t="s">
        <v>1352</v>
      </c>
      <c r="E2106" s="692">
        <v>701900</v>
      </c>
      <c r="F2106" s="686" t="str">
        <f>IFERROR(VLOOKUP(E2106,STAT1!$C$4:$D$8000,2,FALSE),"")</f>
        <v>Харилцаа холбоо</v>
      </c>
      <c r="G2106" s="614">
        <v>76363.64</v>
      </c>
      <c r="H2106" s="614"/>
      <c r="I2106" s="607">
        <f t="shared" si="208"/>
        <v>0</v>
      </c>
      <c r="J2106" s="152">
        <f t="shared" si="210"/>
        <v>0</v>
      </c>
      <c r="L2106" s="703">
        <v>2006</v>
      </c>
      <c r="M2106" s="152" t="str">
        <f>+IFERROR(VLOOKUP(L2106,DATA!$G$4:$H$2000,2,FALSE),"")</f>
        <v xml:space="preserve">МЦХОЛБОО </v>
      </c>
      <c r="O2106" s="152" t="str">
        <f>IFERROR(VLOOKUP(N2106,DATA!$K$4:$L$51,2,FALSE),"")</f>
        <v/>
      </c>
      <c r="Q2106" s="152">
        <f t="shared" si="209"/>
        <v>0</v>
      </c>
    </row>
    <row r="2107" spans="2:17">
      <c r="B2107" s="671">
        <f t="shared" si="211"/>
        <v>2102</v>
      </c>
      <c r="C2107" s="691">
        <v>43026</v>
      </c>
      <c r="D2107" s="614" t="s">
        <v>1741</v>
      </c>
      <c r="E2107" s="692">
        <v>110100</v>
      </c>
      <c r="F2107" s="686" t="str">
        <f>IFERROR(VLOOKUP(E2107,STAT1!$C$4:$D$8000,2,FALSE),"")</f>
        <v>Хаан Банк 5024654020</v>
      </c>
      <c r="G2107" s="614">
        <v>198000</v>
      </c>
      <c r="H2107" s="614"/>
      <c r="I2107" s="604">
        <f t="shared" si="208"/>
        <v>198000</v>
      </c>
      <c r="J2107" s="152">
        <f t="shared" si="210"/>
        <v>0</v>
      </c>
      <c r="L2107" s="703">
        <v>3042</v>
      </c>
      <c r="M2107" s="152" t="str">
        <f>+IFERROR(VLOOKUP(L2107,DATA!$G$4:$H$2000,2,FALSE),"")</f>
        <v xml:space="preserve">ЖУРМАК ХХК </v>
      </c>
      <c r="N2107" s="153">
        <v>41</v>
      </c>
      <c r="O2107" s="152" t="str">
        <f>IFERROR(VLOOKUP(N2107,DATA!$K$4:$L$51,2,FALSE),"")</f>
        <v>Бараа борлуулсан, үйлчилгээ үзүүлсэний орлого</v>
      </c>
      <c r="Q2107" s="152">
        <f t="shared" si="209"/>
        <v>1</v>
      </c>
    </row>
    <row r="2108" spans="2:17">
      <c r="B2108" s="671">
        <f t="shared" si="211"/>
        <v>2103</v>
      </c>
      <c r="C2108" s="691">
        <v>43026</v>
      </c>
      <c r="D2108" s="614" t="s">
        <v>1741</v>
      </c>
      <c r="E2108" s="692">
        <v>320100</v>
      </c>
      <c r="F2108" s="686" t="str">
        <f>IFERROR(VLOOKUP(E2108,STAT1!$C$4:$D$8000,2,FALSE),"")</f>
        <v>Урьдчилж орсон орлого MNT</v>
      </c>
      <c r="G2108" s="614"/>
      <c r="H2108" s="614">
        <v>198000</v>
      </c>
      <c r="I2108" s="604">
        <f t="shared" si="208"/>
        <v>0</v>
      </c>
      <c r="J2108" s="152">
        <f t="shared" si="210"/>
        <v>0</v>
      </c>
      <c r="L2108" s="703">
        <v>3042</v>
      </c>
      <c r="M2108" s="152" t="str">
        <f>+IFERROR(VLOOKUP(L2108,DATA!$G$4:$H$2000,2,FALSE),"")</f>
        <v xml:space="preserve">ЖУРМАК ХХК </v>
      </c>
      <c r="O2108" s="152" t="str">
        <f>IFERROR(VLOOKUP(N2108,DATA!$K$4:$L$51,2,FALSE),"")</f>
        <v/>
      </c>
      <c r="Q2108" s="152">
        <f t="shared" si="209"/>
        <v>0</v>
      </c>
    </row>
    <row r="2109" spans="2:17">
      <c r="B2109" s="671">
        <f t="shared" si="211"/>
        <v>2104</v>
      </c>
      <c r="C2109" s="694">
        <v>43026</v>
      </c>
      <c r="D2109" s="614" t="s">
        <v>587</v>
      </c>
      <c r="E2109" s="692">
        <v>320100</v>
      </c>
      <c r="F2109" s="686" t="str">
        <f>IFERROR(VLOOKUP(E2109,STAT1!$C$4:$D$8000,2,FALSE),"")</f>
        <v>Урьдчилж орсон орлого MNT</v>
      </c>
      <c r="G2109" s="614">
        <v>247500</v>
      </c>
      <c r="H2109" s="614"/>
      <c r="I2109" s="590">
        <f t="shared" si="208"/>
        <v>0</v>
      </c>
      <c r="J2109" s="152">
        <f t="shared" si="210"/>
        <v>0</v>
      </c>
      <c r="L2109" s="703">
        <v>3042</v>
      </c>
      <c r="M2109" s="152" t="str">
        <f>+IFERROR(VLOOKUP(L2109,DATA!$G$4:$H$2000,2,FALSE),"")</f>
        <v xml:space="preserve">ЖУРМАК ХХК </v>
      </c>
      <c r="O2109" s="152" t="str">
        <f>IFERROR(VLOOKUP(N2109,DATA!$K$4:$L$51,2,FALSE),"")</f>
        <v/>
      </c>
      <c r="Q2109" s="152">
        <f t="shared" si="209"/>
        <v>0</v>
      </c>
    </row>
    <row r="2110" spans="2:17">
      <c r="B2110" s="671">
        <f t="shared" si="211"/>
        <v>2105</v>
      </c>
      <c r="C2110" s="694">
        <v>43026</v>
      </c>
      <c r="D2110" s="614" t="s">
        <v>2141</v>
      </c>
      <c r="E2110" s="692">
        <v>150101</v>
      </c>
      <c r="F2110" s="686" t="str">
        <f>IFERROR(VLOOKUP(E2110,STAT1!$C$4:$D$8000,2,FALSE),"")</f>
        <v>Бараа бэлэн бүтээгдэхүүн БОЛОВСРУУЛАХ ЦЕХ /нарс/</v>
      </c>
      <c r="G2110" s="614"/>
      <c r="H2110" s="614">
        <v>77700.623374237504</v>
      </c>
      <c r="I2110" s="590">
        <f t="shared" si="208"/>
        <v>0</v>
      </c>
      <c r="J2110" s="152">
        <f t="shared" si="210"/>
        <v>0</v>
      </c>
      <c r="L2110" s="703">
        <v>3042</v>
      </c>
      <c r="M2110" s="152" t="str">
        <f>+IFERROR(VLOOKUP(L2110,DATA!$G$4:$H$2000,2,FALSE),"")</f>
        <v xml:space="preserve">ЖУРМАК ХХК </v>
      </c>
      <c r="O2110" s="152" t="str">
        <f>IFERROR(VLOOKUP(N2110,DATA!$K$4:$L$51,2,FALSE),"")</f>
        <v/>
      </c>
      <c r="Q2110" s="152">
        <f t="shared" si="209"/>
        <v>0</v>
      </c>
    </row>
    <row r="2111" spans="2:17">
      <c r="B2111" s="671">
        <f t="shared" si="211"/>
        <v>2106</v>
      </c>
      <c r="C2111" s="694">
        <v>43026</v>
      </c>
      <c r="D2111" s="614" t="s">
        <v>587</v>
      </c>
      <c r="E2111" s="692">
        <v>610100</v>
      </c>
      <c r="F2111" s="686" t="str">
        <f>IFERROR(VLOOKUP(E2111,STAT1!$C$4:$D$8000,2,FALSE),"")</f>
        <v>Борлуулсан барааны өртөг</v>
      </c>
      <c r="G2111" s="614">
        <v>77700.623374237504</v>
      </c>
      <c r="H2111" s="614"/>
      <c r="I2111" s="590">
        <f t="shared" si="208"/>
        <v>0</v>
      </c>
      <c r="J2111" s="152">
        <f t="shared" si="210"/>
        <v>0</v>
      </c>
      <c r="L2111" s="703">
        <v>3042</v>
      </c>
      <c r="M2111" s="152" t="str">
        <f>+IFERROR(VLOOKUP(L2111,DATA!$G$4:$H$2000,2,FALSE),"")</f>
        <v xml:space="preserve">ЖУРМАК ХХК </v>
      </c>
      <c r="O2111" s="152" t="str">
        <f>IFERROR(VLOOKUP(N2111,DATA!$K$4:$L$51,2,FALSE),"")</f>
        <v/>
      </c>
      <c r="Q2111" s="152">
        <f t="shared" si="209"/>
        <v>0</v>
      </c>
    </row>
    <row r="2112" spans="2:17">
      <c r="B2112" s="671">
        <f t="shared" si="211"/>
        <v>2107</v>
      </c>
      <c r="C2112" s="694">
        <v>43026</v>
      </c>
      <c r="D2112" s="614" t="s">
        <v>587</v>
      </c>
      <c r="E2112" s="577">
        <v>310500</v>
      </c>
      <c r="F2112" s="686" t="str">
        <f>IFERROR(VLOOKUP(E2112,STAT1!$C$4:$D$8000,2,FALSE),"")</f>
        <v>НӨАТ өглөг</v>
      </c>
      <c r="G2112" s="614"/>
      <c r="H2112" s="614">
        <v>18000</v>
      </c>
      <c r="I2112" s="590">
        <f t="shared" si="208"/>
        <v>0</v>
      </c>
      <c r="J2112" s="152">
        <f t="shared" si="210"/>
        <v>0</v>
      </c>
      <c r="L2112" s="703">
        <v>3042</v>
      </c>
      <c r="M2112" s="152" t="str">
        <f>+IFERROR(VLOOKUP(L2112,DATA!$G$4:$H$2000,2,FALSE),"")</f>
        <v xml:space="preserve">ЖУРМАК ХХК </v>
      </c>
      <c r="O2112" s="152" t="str">
        <f>IFERROR(VLOOKUP(N2112,DATA!$K$4:$L$51,2,FALSE),"")</f>
        <v/>
      </c>
      <c r="Q2112" s="152">
        <f t="shared" si="209"/>
        <v>0</v>
      </c>
    </row>
    <row r="2113" spans="2:17">
      <c r="B2113" s="671">
        <f t="shared" si="211"/>
        <v>2108</v>
      </c>
      <c r="C2113" s="694">
        <v>43026</v>
      </c>
      <c r="D2113" s="614" t="s">
        <v>587</v>
      </c>
      <c r="E2113" s="692">
        <v>510000</v>
      </c>
      <c r="F2113" s="686" t="str">
        <f>IFERROR(VLOOKUP(E2113,STAT1!$C$4:$D$8000,2,FALSE),"")</f>
        <v>Үндсэн үйл ажиллагааны борлуулалт</v>
      </c>
      <c r="G2113" s="614"/>
      <c r="H2113" s="614">
        <v>180000</v>
      </c>
      <c r="I2113" s="606">
        <f t="shared" si="208"/>
        <v>0</v>
      </c>
      <c r="J2113" s="152">
        <f t="shared" si="210"/>
        <v>0</v>
      </c>
      <c r="L2113" s="703">
        <v>3042</v>
      </c>
      <c r="M2113" s="152" t="str">
        <f>+IFERROR(VLOOKUP(L2113,DATA!$G$4:$H$2000,2,FALSE),"")</f>
        <v xml:space="preserve">ЖУРМАК ХХК </v>
      </c>
      <c r="O2113" s="152" t="str">
        <f>IFERROR(VLOOKUP(N2113,DATA!$K$4:$L$51,2,FALSE),"")</f>
        <v/>
      </c>
      <c r="Q2113" s="152">
        <f t="shared" si="209"/>
        <v>0</v>
      </c>
    </row>
    <row r="2114" spans="2:17">
      <c r="B2114" s="671">
        <f t="shared" si="211"/>
        <v>2109</v>
      </c>
      <c r="C2114" s="694">
        <v>43026</v>
      </c>
      <c r="D2114" s="614" t="s">
        <v>587</v>
      </c>
      <c r="E2114" s="692">
        <v>320100</v>
      </c>
      <c r="F2114" s="686" t="str">
        <f>IFERROR(VLOOKUP(E2114,STAT1!$C$4:$D$8000,2,FALSE),"")</f>
        <v>Урьдчилж орсон орлого MNT</v>
      </c>
      <c r="G2114" s="614">
        <v>198000</v>
      </c>
      <c r="H2114" s="614"/>
      <c r="I2114" s="606">
        <f t="shared" si="208"/>
        <v>0</v>
      </c>
      <c r="J2114" s="152">
        <f t="shared" si="210"/>
        <v>0</v>
      </c>
      <c r="L2114" s="703">
        <v>3042</v>
      </c>
      <c r="M2114" s="152" t="str">
        <f>+IFERROR(VLOOKUP(L2114,DATA!$G$4:$H$2000,2,FALSE),"")</f>
        <v xml:space="preserve">ЖУРМАК ХХК </v>
      </c>
      <c r="O2114" s="152" t="str">
        <f>IFERROR(VLOOKUP(N2114,DATA!$K$4:$L$51,2,FALSE),"")</f>
        <v/>
      </c>
      <c r="Q2114" s="152">
        <f t="shared" si="209"/>
        <v>0</v>
      </c>
    </row>
    <row r="2115" spans="2:17">
      <c r="B2115" s="671">
        <f t="shared" si="211"/>
        <v>2110</v>
      </c>
      <c r="C2115" s="685">
        <v>43028</v>
      </c>
      <c r="D2115" s="377" t="s">
        <v>1747</v>
      </c>
      <c r="E2115" s="572">
        <v>110100</v>
      </c>
      <c r="F2115" s="686" t="str">
        <f>IFERROR(VLOOKUP(E2115,STAT1!$C$4:$D$8000,2,FALSE),"")</f>
        <v>Хаан Банк 5024654020</v>
      </c>
      <c r="G2115" s="614"/>
      <c r="H2115" s="614">
        <v>458672.76</v>
      </c>
      <c r="I2115" s="607">
        <f t="shared" si="208"/>
        <v>-458672.76</v>
      </c>
      <c r="J2115" s="152">
        <f t="shared" si="210"/>
        <v>0</v>
      </c>
      <c r="L2115" s="703">
        <v>2009</v>
      </c>
      <c r="M2115" s="152" t="str">
        <f>+IFERROR(VLOOKUP(L2115,DATA!$G$4:$H$2000,2,FALSE),"")</f>
        <v>ХААН БАНК</v>
      </c>
      <c r="N2115" s="153">
        <v>56</v>
      </c>
      <c r="O2115" s="152" t="str">
        <f>IFERROR(VLOOKUP(N2115,DATA!$K$4:$L$51,2,FALSE),"")</f>
        <v>Хүүний төлбөрт төлсөн</v>
      </c>
      <c r="Q2115" s="152">
        <f t="shared" si="209"/>
        <v>1</v>
      </c>
    </row>
    <row r="2116" spans="2:17">
      <c r="B2116" s="671">
        <f t="shared" si="211"/>
        <v>2111</v>
      </c>
      <c r="C2116" s="685">
        <v>43028</v>
      </c>
      <c r="D2116" s="377" t="s">
        <v>1747</v>
      </c>
      <c r="E2116" s="572">
        <v>702500</v>
      </c>
      <c r="F2116" s="686" t="str">
        <f>IFERROR(VLOOKUP(E2116,STAT1!$C$4:$D$8000,2,FALSE),"")</f>
        <v>Зээлийн хүүгийн зардал</v>
      </c>
      <c r="G2116" s="614">
        <v>458672.76</v>
      </c>
      <c r="H2116" s="614"/>
      <c r="I2116" s="607">
        <f t="shared" ref="I2116:I2179" si="212">+IF(OR(E2116=100100,E2116=100200,E2116=110100,E2116=110102,E2116=110103,E2116=110104,E2116=110105,E2116=110200,E2116=110201,E2116=110202,E2116=110203,E2116=110204,E2116=110300),G2116,0)+IF(OR(E2116=100100,E2116=100200,E2116=110100,E2116=110102,E2116=110103,E2116=110104,E2116=110105,E2116=110200,E2116=110201,E2116=110202,E2116=110203,E2116=110204,E2116=110300),H2116*-1,0)</f>
        <v>0</v>
      </c>
      <c r="J2116" s="152">
        <f t="shared" si="210"/>
        <v>0</v>
      </c>
      <c r="L2116" s="703">
        <v>2009</v>
      </c>
      <c r="M2116" s="152" t="str">
        <f>+IFERROR(VLOOKUP(L2116,DATA!$G$4:$H$2000,2,FALSE),"")</f>
        <v>ХААН БАНК</v>
      </c>
      <c r="O2116" s="152" t="str">
        <f>IFERROR(VLOOKUP(N2116,DATA!$K$4:$L$51,2,FALSE),"")</f>
        <v/>
      </c>
      <c r="Q2116" s="152">
        <f t="shared" si="209"/>
        <v>0</v>
      </c>
    </row>
    <row r="2117" spans="2:17">
      <c r="B2117" s="671">
        <f t="shared" ref="B2117" si="213">+IF(C2117="","",ROW()-5)</f>
        <v>2112</v>
      </c>
      <c r="C2117" s="685">
        <v>43028</v>
      </c>
      <c r="D2117" s="377" t="s">
        <v>1741</v>
      </c>
      <c r="E2117" s="572">
        <v>110100</v>
      </c>
      <c r="F2117" s="686" t="str">
        <f>IFERROR(VLOOKUP(E2117,STAT1!$C$4:$D$8000,2,FALSE),"")</f>
        <v>Хаан Банк 5024654020</v>
      </c>
      <c r="G2117" s="614">
        <v>132000</v>
      </c>
      <c r="H2117" s="614"/>
      <c r="I2117" s="607">
        <f t="shared" si="212"/>
        <v>132000</v>
      </c>
      <c r="J2117" s="152">
        <f t="shared" si="210"/>
        <v>0</v>
      </c>
      <c r="L2117" s="703">
        <v>3102</v>
      </c>
      <c r="M2117" s="152" t="str">
        <f>+IFERROR(VLOOKUP(L2117,DATA!$G$4:$H$2000,2,FALSE),"")</f>
        <v xml:space="preserve">ВОРК ШОП ХХК </v>
      </c>
      <c r="N2117" s="153">
        <v>41</v>
      </c>
      <c r="O2117" s="152" t="str">
        <f>IFERROR(VLOOKUP(N2117,DATA!$K$4:$L$51,2,FALSE),"")</f>
        <v>Бараа борлуулсан, үйлчилгээ үзүүлсэний орлого</v>
      </c>
      <c r="Q2117" s="152">
        <f t="shared" si="209"/>
        <v>1</v>
      </c>
    </row>
    <row r="2118" spans="2:17">
      <c r="B2118" s="671">
        <f t="shared" si="211"/>
        <v>2113</v>
      </c>
      <c r="C2118" s="685">
        <v>43028</v>
      </c>
      <c r="D2118" s="377" t="s">
        <v>1741</v>
      </c>
      <c r="E2118" s="572">
        <v>320100</v>
      </c>
      <c r="F2118" s="686" t="str">
        <f>IFERROR(VLOOKUP(E2118,STAT1!$C$4:$D$8000,2,FALSE),"")</f>
        <v>Урьдчилж орсон орлого MNT</v>
      </c>
      <c r="G2118" s="614"/>
      <c r="H2118" s="614">
        <v>132000</v>
      </c>
      <c r="I2118" s="607">
        <f t="shared" si="212"/>
        <v>0</v>
      </c>
      <c r="J2118" s="152">
        <f t="shared" si="210"/>
        <v>0</v>
      </c>
      <c r="L2118" s="703">
        <v>3102</v>
      </c>
      <c r="M2118" s="152" t="str">
        <f>+IFERROR(VLOOKUP(L2118,DATA!$G$4:$H$2000,2,FALSE),"")</f>
        <v xml:space="preserve">ВОРК ШОП ХХК </v>
      </c>
      <c r="O2118" s="152" t="str">
        <f>IFERROR(VLOOKUP(N2118,DATA!$K$4:$L$51,2,FALSE),"")</f>
        <v/>
      </c>
      <c r="Q2118" s="152">
        <f t="shared" ref="Q2118:Q2178" si="214">+IF(I2118,1,0)</f>
        <v>0</v>
      </c>
    </row>
    <row r="2119" spans="2:17">
      <c r="B2119" s="671">
        <f t="shared" si="211"/>
        <v>2114</v>
      </c>
      <c r="C2119" s="685">
        <v>43028</v>
      </c>
      <c r="D2119" s="614" t="s">
        <v>1747</v>
      </c>
      <c r="E2119" s="692">
        <v>110100</v>
      </c>
      <c r="F2119" s="686" t="str">
        <f>IFERROR(VLOOKUP(E2119,STAT1!$C$4:$D$8000,2,FALSE),"")</f>
        <v>Хаан Банк 5024654020</v>
      </c>
      <c r="G2119" s="614"/>
      <c r="H2119" s="614">
        <v>132000</v>
      </c>
      <c r="I2119" s="607">
        <f t="shared" si="212"/>
        <v>-132000</v>
      </c>
      <c r="J2119" s="152">
        <f t="shared" si="210"/>
        <v>0</v>
      </c>
      <c r="L2119" s="703">
        <v>2009</v>
      </c>
      <c r="M2119" s="152" t="str">
        <f>+IFERROR(VLOOKUP(L2119,DATA!$G$4:$H$2000,2,FALSE),"")</f>
        <v>ХААН БАНК</v>
      </c>
      <c r="N2119" s="153">
        <v>56</v>
      </c>
      <c r="O2119" s="152" t="str">
        <f>IFERROR(VLOOKUP(N2119,DATA!$K$4:$L$51,2,FALSE),"")</f>
        <v>Хүүний төлбөрт төлсөн</v>
      </c>
      <c r="Q2119" s="152">
        <f t="shared" si="214"/>
        <v>1</v>
      </c>
    </row>
    <row r="2120" spans="2:17">
      <c r="B2120" s="671">
        <f t="shared" si="211"/>
        <v>2115</v>
      </c>
      <c r="C2120" s="685">
        <v>43028</v>
      </c>
      <c r="D2120" s="614" t="s">
        <v>1747</v>
      </c>
      <c r="E2120" s="577">
        <v>702500</v>
      </c>
      <c r="F2120" s="686" t="str">
        <f>IFERROR(VLOOKUP(E2120,STAT1!$C$4:$D$8000,2,FALSE),"")</f>
        <v>Зээлийн хүүгийн зардал</v>
      </c>
      <c r="G2120" s="614">
        <v>132000</v>
      </c>
      <c r="H2120" s="614"/>
      <c r="I2120" s="607">
        <f t="shared" si="212"/>
        <v>0</v>
      </c>
      <c r="J2120" s="152">
        <f t="shared" si="210"/>
        <v>0</v>
      </c>
      <c r="L2120" s="703">
        <v>2009</v>
      </c>
      <c r="M2120" s="152" t="str">
        <f>+IFERROR(VLOOKUP(L2120,DATA!$G$4:$H$2000,2,FALSE),"")</f>
        <v>ХААН БАНК</v>
      </c>
      <c r="O2120" s="152" t="str">
        <f>IFERROR(VLOOKUP(N2120,DATA!$K$4:$L$51,2,FALSE),"")</f>
        <v/>
      </c>
      <c r="Q2120" s="152">
        <f t="shared" si="214"/>
        <v>0</v>
      </c>
    </row>
    <row r="2121" spans="2:17">
      <c r="B2121" s="671">
        <f t="shared" si="211"/>
        <v>2116</v>
      </c>
      <c r="C2121" s="685">
        <v>43028</v>
      </c>
      <c r="D2121" s="614" t="s">
        <v>1747</v>
      </c>
      <c r="E2121" s="572">
        <v>100100</v>
      </c>
      <c r="F2121" s="686" t="str">
        <f>IFERROR(VLOOKUP(E2121,STAT1!$C$4:$D$8000,2,FALSE),"")</f>
        <v>Касс мөнгө MNT</v>
      </c>
      <c r="G2121" s="614"/>
      <c r="H2121" s="614">
        <v>799032.24000000022</v>
      </c>
      <c r="I2121" s="607">
        <f t="shared" si="212"/>
        <v>-799032.24000000022</v>
      </c>
      <c r="J2121" s="152">
        <f t="shared" si="210"/>
        <v>0</v>
      </c>
      <c r="L2121" s="703">
        <v>2009</v>
      </c>
      <c r="M2121" s="152" t="str">
        <f>+IFERROR(VLOOKUP(L2121,DATA!$G$4:$H$2000,2,FALSE),"")</f>
        <v>ХААН БАНК</v>
      </c>
      <c r="N2121" s="153">
        <v>56</v>
      </c>
      <c r="O2121" s="152" t="str">
        <f>IFERROR(VLOOKUP(N2121,DATA!$K$4:$L$51,2,FALSE),"")</f>
        <v>Хүүний төлбөрт төлсөн</v>
      </c>
      <c r="Q2121" s="152">
        <f t="shared" si="214"/>
        <v>1</v>
      </c>
    </row>
    <row r="2122" spans="2:17">
      <c r="B2122" s="671">
        <f t="shared" si="211"/>
        <v>2117</v>
      </c>
      <c r="C2122" s="685">
        <v>43028</v>
      </c>
      <c r="D2122" s="614" t="s">
        <v>1747</v>
      </c>
      <c r="E2122" s="572">
        <v>702500</v>
      </c>
      <c r="F2122" s="686" t="str">
        <f>IFERROR(VLOOKUP(E2122,STAT1!$C$4:$D$8000,2,FALSE),"")</f>
        <v>Зээлийн хүүгийн зардал</v>
      </c>
      <c r="G2122" s="614">
        <v>799032.24000000022</v>
      </c>
      <c r="H2122" s="614"/>
      <c r="I2122" s="607">
        <f t="shared" si="212"/>
        <v>0</v>
      </c>
      <c r="J2122" s="152">
        <f t="shared" si="210"/>
        <v>0</v>
      </c>
      <c r="L2122" s="703">
        <v>2009</v>
      </c>
      <c r="M2122" s="152" t="str">
        <f>+IFERROR(VLOOKUP(L2122,DATA!$G$4:$H$2000,2,FALSE),"")</f>
        <v>ХААН БАНК</v>
      </c>
      <c r="O2122" s="152" t="str">
        <f>IFERROR(VLOOKUP(N2122,DATA!$K$4:$L$51,2,FALSE),"")</f>
        <v/>
      </c>
      <c r="Q2122" s="152">
        <f t="shared" si="214"/>
        <v>0</v>
      </c>
    </row>
    <row r="2123" spans="2:17">
      <c r="B2123" s="671">
        <f t="shared" si="211"/>
        <v>2118</v>
      </c>
      <c r="C2123" s="691">
        <v>43028</v>
      </c>
      <c r="D2123" s="614" t="s">
        <v>1747</v>
      </c>
      <c r="E2123" s="572">
        <v>100100</v>
      </c>
      <c r="F2123" s="686" t="str">
        <f>IFERROR(VLOOKUP(E2123,STAT1!$C$4:$D$8000,2,FALSE),"")</f>
        <v>Касс мөнгө MNT</v>
      </c>
      <c r="G2123" s="614"/>
      <c r="H2123" s="614">
        <v>3190295</v>
      </c>
      <c r="I2123" s="604">
        <f t="shared" si="212"/>
        <v>-3190295</v>
      </c>
      <c r="J2123" s="152">
        <f t="shared" si="210"/>
        <v>0</v>
      </c>
      <c r="L2123" s="703">
        <v>2009</v>
      </c>
      <c r="M2123" s="152" t="str">
        <f>+IFERROR(VLOOKUP(L2123,DATA!$G$4:$H$2000,2,FALSE),"")</f>
        <v>ХААН БАНК</v>
      </c>
      <c r="N2123" s="153">
        <v>91</v>
      </c>
      <c r="O2123" s="152" t="str">
        <f>IFERROR(VLOOKUP(N2123,DATA!$K$4:$L$51,2,FALSE),"")</f>
        <v>Зээл, өрийн үнэт цаасны төлбөрт төлсөн</v>
      </c>
      <c r="Q2123" s="152">
        <f t="shared" si="214"/>
        <v>1</v>
      </c>
    </row>
    <row r="2124" spans="2:17">
      <c r="B2124" s="671">
        <f t="shared" si="211"/>
        <v>2119</v>
      </c>
      <c r="C2124" s="691">
        <v>43028</v>
      </c>
      <c r="D2124" s="614" t="s">
        <v>1747</v>
      </c>
      <c r="E2124" s="692">
        <v>311100</v>
      </c>
      <c r="F2124" s="686" t="str">
        <f>IFERROR(VLOOKUP(E2124,STAT1!$C$4:$D$8000,2,FALSE),"")</f>
        <v xml:space="preserve">Бусад богино хугацаат өглөг </v>
      </c>
      <c r="G2124" s="614">
        <v>3190295</v>
      </c>
      <c r="H2124" s="614"/>
      <c r="I2124" s="604">
        <f t="shared" si="212"/>
        <v>0</v>
      </c>
      <c r="J2124" s="152">
        <f t="shared" si="210"/>
        <v>0</v>
      </c>
      <c r="L2124" s="703">
        <v>2009</v>
      </c>
      <c r="M2124" s="152" t="str">
        <f>+IFERROR(VLOOKUP(L2124,DATA!$G$4:$H$2000,2,FALSE),"")</f>
        <v>ХААН БАНК</v>
      </c>
      <c r="O2124" s="152" t="str">
        <f>IFERROR(VLOOKUP(N2124,DATA!$K$4:$L$51,2,FALSE),"")</f>
        <v/>
      </c>
      <c r="Q2124" s="152">
        <f t="shared" si="214"/>
        <v>0</v>
      </c>
    </row>
    <row r="2125" spans="2:17">
      <c r="B2125" s="671">
        <f t="shared" si="211"/>
        <v>2120</v>
      </c>
      <c r="C2125" s="695">
        <v>43028</v>
      </c>
      <c r="D2125" s="693" t="s">
        <v>2700</v>
      </c>
      <c r="E2125" s="692">
        <v>150101</v>
      </c>
      <c r="F2125" s="686" t="str">
        <f>IFERROR(VLOOKUP(E2125,STAT1!$C$4:$D$8000,2,FALSE),"")</f>
        <v>Бараа бэлэн бүтээгдэхүүн БОЛОВСРУУЛАХ ЦЕХ /нарс/</v>
      </c>
      <c r="G2125" s="614"/>
      <c r="H2125" s="614">
        <v>98633.36674274574</v>
      </c>
      <c r="I2125" s="590">
        <f t="shared" si="212"/>
        <v>0</v>
      </c>
      <c r="J2125" s="152">
        <f t="shared" si="210"/>
        <v>0</v>
      </c>
      <c r="L2125" s="703">
        <v>3102</v>
      </c>
      <c r="M2125" s="152" t="str">
        <f>+IFERROR(VLOOKUP(L2125,DATA!$G$4:$H$2000,2,FALSE),"")</f>
        <v xml:space="preserve">ВОРК ШОП ХХК </v>
      </c>
      <c r="O2125" s="152" t="str">
        <f>IFERROR(VLOOKUP(N2125,DATA!$K$4:$L$51,2,FALSE),"")</f>
        <v/>
      </c>
      <c r="Q2125" s="152">
        <f t="shared" si="214"/>
        <v>0</v>
      </c>
    </row>
    <row r="2126" spans="2:17">
      <c r="B2126" s="671">
        <f t="shared" si="211"/>
        <v>2121</v>
      </c>
      <c r="C2126" s="695">
        <v>43028</v>
      </c>
      <c r="D2126" s="693" t="s">
        <v>587</v>
      </c>
      <c r="E2126" s="692">
        <v>610100</v>
      </c>
      <c r="F2126" s="686" t="str">
        <f>IFERROR(VLOOKUP(E2126,STAT1!$C$4:$D$8000,2,FALSE),"")</f>
        <v>Борлуулсан барааны өртөг</v>
      </c>
      <c r="G2126" s="614">
        <v>98633.36674274574</v>
      </c>
      <c r="H2126" s="614"/>
      <c r="I2126" s="590">
        <f t="shared" si="212"/>
        <v>0</v>
      </c>
      <c r="J2126" s="152">
        <f t="shared" si="210"/>
        <v>0</v>
      </c>
      <c r="L2126" s="703">
        <v>3102</v>
      </c>
      <c r="M2126" s="152" t="str">
        <f>+IFERROR(VLOOKUP(L2126,DATA!$G$4:$H$2000,2,FALSE),"")</f>
        <v xml:space="preserve">ВОРК ШОП ХХК </v>
      </c>
      <c r="O2126" s="152" t="str">
        <f>IFERROR(VLOOKUP(N2126,DATA!$K$4:$L$51,2,FALSE),"")</f>
        <v/>
      </c>
      <c r="Q2126" s="152">
        <f t="shared" si="214"/>
        <v>0</v>
      </c>
    </row>
    <row r="2127" spans="2:17">
      <c r="B2127" s="671">
        <f t="shared" si="211"/>
        <v>2122</v>
      </c>
      <c r="C2127" s="695">
        <v>43028</v>
      </c>
      <c r="D2127" s="693" t="s">
        <v>587</v>
      </c>
      <c r="E2127" s="692">
        <v>310500</v>
      </c>
      <c r="F2127" s="686" t="str">
        <f>IFERROR(VLOOKUP(E2127,STAT1!$C$4:$D$8000,2,FALSE),"")</f>
        <v>НӨАТ өглөг</v>
      </c>
      <c r="G2127" s="614"/>
      <c r="H2127" s="614">
        <v>12000</v>
      </c>
      <c r="I2127" s="590">
        <f t="shared" si="212"/>
        <v>0</v>
      </c>
      <c r="J2127" s="152">
        <f t="shared" si="210"/>
        <v>0</v>
      </c>
      <c r="L2127" s="703">
        <v>3102</v>
      </c>
      <c r="M2127" s="152" t="str">
        <f>+IFERROR(VLOOKUP(L2127,DATA!$G$4:$H$2000,2,FALSE),"")</f>
        <v xml:space="preserve">ВОРК ШОП ХХК </v>
      </c>
      <c r="O2127" s="152" t="str">
        <f>IFERROR(VLOOKUP(N2127,DATA!$K$4:$L$51,2,FALSE),"")</f>
        <v/>
      </c>
      <c r="Q2127" s="152">
        <f t="shared" si="214"/>
        <v>0</v>
      </c>
    </row>
    <row r="2128" spans="2:17">
      <c r="B2128" s="671">
        <f t="shared" si="211"/>
        <v>2123</v>
      </c>
      <c r="C2128" s="695">
        <v>43028</v>
      </c>
      <c r="D2128" s="693" t="s">
        <v>587</v>
      </c>
      <c r="E2128" s="692">
        <v>510000</v>
      </c>
      <c r="F2128" s="686" t="str">
        <f>IFERROR(VLOOKUP(E2128,STAT1!$C$4:$D$8000,2,FALSE),"")</f>
        <v>Үндсэн үйл ажиллагааны борлуулалт</v>
      </c>
      <c r="G2128" s="614"/>
      <c r="H2128" s="614">
        <v>120000</v>
      </c>
      <c r="I2128" s="590">
        <f t="shared" si="212"/>
        <v>0</v>
      </c>
      <c r="J2128" s="152">
        <f t="shared" si="210"/>
        <v>0</v>
      </c>
      <c r="L2128" s="703">
        <v>3102</v>
      </c>
      <c r="M2128" s="152" t="str">
        <f>+IFERROR(VLOOKUP(L2128,DATA!$G$4:$H$2000,2,FALSE),"")</f>
        <v xml:space="preserve">ВОРК ШОП ХХК </v>
      </c>
      <c r="O2128" s="152" t="str">
        <f>IFERROR(VLOOKUP(N2128,DATA!$K$4:$L$51,2,FALSE),"")</f>
        <v/>
      </c>
      <c r="Q2128" s="152">
        <f t="shared" si="214"/>
        <v>0</v>
      </c>
    </row>
    <row r="2129" spans="2:17">
      <c r="B2129" s="671">
        <f t="shared" si="211"/>
        <v>2124</v>
      </c>
      <c r="C2129" s="695">
        <v>43028</v>
      </c>
      <c r="D2129" s="693" t="s">
        <v>587</v>
      </c>
      <c r="E2129" s="692">
        <v>320100</v>
      </c>
      <c r="F2129" s="686" t="str">
        <f>IFERROR(VLOOKUP(E2129,STAT1!$C$4:$D$8000,2,FALSE),"")</f>
        <v>Урьдчилж орсон орлого MNT</v>
      </c>
      <c r="G2129" s="614">
        <v>132000</v>
      </c>
      <c r="H2129" s="614"/>
      <c r="I2129" s="590">
        <f t="shared" si="212"/>
        <v>0</v>
      </c>
      <c r="J2129" s="152">
        <f t="shared" si="210"/>
        <v>0</v>
      </c>
      <c r="L2129" s="703">
        <v>3102</v>
      </c>
      <c r="M2129" s="152" t="str">
        <f>+IFERROR(VLOOKUP(L2129,DATA!$G$4:$H$2000,2,FALSE),"")</f>
        <v xml:space="preserve">ВОРК ШОП ХХК </v>
      </c>
      <c r="O2129" s="152" t="str">
        <f>IFERROR(VLOOKUP(N2129,DATA!$K$4:$L$51,2,FALSE),"")</f>
        <v/>
      </c>
      <c r="Q2129" s="152">
        <f t="shared" si="214"/>
        <v>0</v>
      </c>
    </row>
    <row r="2130" spans="2:17">
      <c r="B2130" s="671">
        <f t="shared" si="211"/>
        <v>2125</v>
      </c>
      <c r="C2130" s="695">
        <v>43029</v>
      </c>
      <c r="D2130" s="693" t="s">
        <v>2700</v>
      </c>
      <c r="E2130" s="692">
        <v>150101</v>
      </c>
      <c r="F2130" s="686" t="str">
        <f>IFERROR(VLOOKUP(E2130,STAT1!$C$4:$D$8000,2,FALSE),"")</f>
        <v>Бараа бэлэн бүтээгдэхүүн БОЛОВСРУУЛАХ ЦЕХ /нарс/</v>
      </c>
      <c r="G2130" s="614"/>
      <c r="H2130" s="614" t="s">
        <v>587</v>
      </c>
      <c r="I2130" s="590">
        <f t="shared" si="212"/>
        <v>0</v>
      </c>
      <c r="J2130" s="152">
        <f t="shared" si="210"/>
        <v>0</v>
      </c>
      <c r="L2130" s="703">
        <v>4002</v>
      </c>
      <c r="M2130" s="152" t="str">
        <f>+IFERROR(VLOOKUP(L2130,DATA!$G$4:$H$2000,2,FALSE),"")</f>
        <v xml:space="preserve">Хувь хүн </v>
      </c>
      <c r="O2130" s="152" t="str">
        <f>IFERROR(VLOOKUP(N2130,DATA!$K$4:$L$51,2,FALSE),"")</f>
        <v/>
      </c>
      <c r="Q2130" s="152">
        <f t="shared" si="214"/>
        <v>0</v>
      </c>
    </row>
    <row r="2131" spans="2:17">
      <c r="B2131" s="671">
        <f t="shared" si="211"/>
        <v>2126</v>
      </c>
      <c r="C2131" s="694">
        <v>43029</v>
      </c>
      <c r="D2131" s="377" t="s">
        <v>587</v>
      </c>
      <c r="E2131" s="572">
        <v>610100</v>
      </c>
      <c r="F2131" s="686" t="str">
        <f>IFERROR(VLOOKUP(E2131,STAT1!$C$4:$D$8000,2,FALSE),"")</f>
        <v>Борлуулсан барааны өртөг</v>
      </c>
      <c r="G2131" s="614" t="s">
        <v>587</v>
      </c>
      <c r="H2131" s="614"/>
      <c r="I2131" s="590">
        <f t="shared" si="212"/>
        <v>0</v>
      </c>
      <c r="J2131" s="152">
        <f t="shared" si="210"/>
        <v>0</v>
      </c>
      <c r="L2131" s="703">
        <v>4002</v>
      </c>
      <c r="M2131" s="152" t="str">
        <f>+IFERROR(VLOOKUP(L2131,DATA!$G$4:$H$2000,2,FALSE),"")</f>
        <v xml:space="preserve">Хувь хүн </v>
      </c>
      <c r="O2131" s="152" t="str">
        <f>IFERROR(VLOOKUP(N2131,DATA!$K$4:$L$51,2,FALSE),"")</f>
        <v/>
      </c>
      <c r="Q2131" s="152">
        <f t="shared" si="214"/>
        <v>0</v>
      </c>
    </row>
    <row r="2132" spans="2:17">
      <c r="B2132" s="671">
        <f t="shared" si="211"/>
        <v>2127</v>
      </c>
      <c r="C2132" s="694">
        <v>43029</v>
      </c>
      <c r="D2132" s="377" t="s">
        <v>587</v>
      </c>
      <c r="E2132" s="572">
        <v>310500</v>
      </c>
      <c r="F2132" s="686" t="str">
        <f>IFERROR(VLOOKUP(E2132,STAT1!$C$4:$D$8000,2,FALSE),"")</f>
        <v>НӨАТ өглөг</v>
      </c>
      <c r="G2132" s="614"/>
      <c r="H2132" s="614">
        <v>12000</v>
      </c>
      <c r="I2132" s="590">
        <f t="shared" si="212"/>
        <v>0</v>
      </c>
      <c r="J2132" s="152">
        <f t="shared" si="210"/>
        <v>0</v>
      </c>
      <c r="L2132" s="703">
        <v>4002</v>
      </c>
      <c r="M2132" s="152" t="str">
        <f>+IFERROR(VLOOKUP(L2132,DATA!$G$4:$H$2000,2,FALSE),"")</f>
        <v xml:space="preserve">Хувь хүн </v>
      </c>
      <c r="O2132" s="152" t="str">
        <f>IFERROR(VLOOKUP(N2132,DATA!$K$4:$L$51,2,FALSE),"")</f>
        <v/>
      </c>
      <c r="Q2132" s="152">
        <f t="shared" si="214"/>
        <v>0</v>
      </c>
    </row>
    <row r="2133" spans="2:17">
      <c r="B2133" s="671">
        <f t="shared" si="211"/>
        <v>2128</v>
      </c>
      <c r="C2133" s="694">
        <v>43029</v>
      </c>
      <c r="D2133" s="377" t="s">
        <v>587</v>
      </c>
      <c r="E2133" s="572">
        <v>510000</v>
      </c>
      <c r="F2133" s="686" t="str">
        <f>IFERROR(VLOOKUP(E2133,STAT1!$C$4:$D$8000,2,FALSE),"")</f>
        <v>Үндсэн үйл ажиллагааны борлуулалт</v>
      </c>
      <c r="G2133" s="614"/>
      <c r="H2133" s="614">
        <v>120000</v>
      </c>
      <c r="I2133" s="606">
        <f t="shared" si="212"/>
        <v>0</v>
      </c>
      <c r="J2133" s="152">
        <f t="shared" si="210"/>
        <v>0</v>
      </c>
      <c r="L2133" s="703">
        <v>4002</v>
      </c>
      <c r="M2133" s="152" t="str">
        <f>+IFERROR(VLOOKUP(L2133,DATA!$G$4:$H$2000,2,FALSE),"")</f>
        <v xml:space="preserve">Хувь хүн </v>
      </c>
      <c r="O2133" s="152" t="str">
        <f>IFERROR(VLOOKUP(N2133,DATA!$K$4:$L$51,2,FALSE),"")</f>
        <v/>
      </c>
      <c r="Q2133" s="152">
        <f t="shared" si="214"/>
        <v>0</v>
      </c>
    </row>
    <row r="2134" spans="2:17">
      <c r="B2134" s="671">
        <f t="shared" si="211"/>
        <v>2129</v>
      </c>
      <c r="C2134" s="694">
        <v>43029</v>
      </c>
      <c r="D2134" s="377" t="s">
        <v>587</v>
      </c>
      <c r="E2134" s="572">
        <v>320100</v>
      </c>
      <c r="F2134" s="686" t="str">
        <f>IFERROR(VLOOKUP(E2134,STAT1!$C$4:$D$8000,2,FALSE),"")</f>
        <v>Урьдчилж орсон орлого MNT</v>
      </c>
      <c r="G2134" s="614">
        <v>132000</v>
      </c>
      <c r="H2134" s="614"/>
      <c r="I2134" s="606">
        <f t="shared" si="212"/>
        <v>0</v>
      </c>
      <c r="J2134" s="152">
        <f t="shared" si="210"/>
        <v>0</v>
      </c>
      <c r="L2134" s="703">
        <v>4002</v>
      </c>
      <c r="M2134" s="152" t="str">
        <f>+IFERROR(VLOOKUP(L2134,DATA!$G$4:$H$2000,2,FALSE),"")</f>
        <v xml:space="preserve">Хувь хүн </v>
      </c>
      <c r="O2134" s="152" t="str">
        <f>IFERROR(VLOOKUP(N2134,DATA!$K$4:$L$51,2,FALSE),"")</f>
        <v/>
      </c>
      <c r="Q2134" s="152">
        <f t="shared" si="214"/>
        <v>0</v>
      </c>
    </row>
    <row r="2135" spans="2:17">
      <c r="B2135" s="671">
        <f t="shared" si="211"/>
        <v>2130</v>
      </c>
      <c r="C2135" s="685">
        <v>43031</v>
      </c>
      <c r="D2135" s="377" t="s">
        <v>1701</v>
      </c>
      <c r="E2135" s="572">
        <v>100100</v>
      </c>
      <c r="F2135" s="686" t="str">
        <f>IFERROR(VLOOKUP(E2135,STAT1!$C$4:$D$8000,2,FALSE),"")</f>
        <v>Касс мөнгө MNT</v>
      </c>
      <c r="G2135" s="614"/>
      <c r="H2135" s="614">
        <v>1500000</v>
      </c>
      <c r="I2135" s="607">
        <f t="shared" si="212"/>
        <v>-1500000</v>
      </c>
      <c r="J2135" s="152">
        <f t="shared" si="210"/>
        <v>0</v>
      </c>
      <c r="L2135" s="703">
        <v>2012</v>
      </c>
      <c r="M2135" s="152" t="str">
        <f>+IFERROR(VLOOKUP(L2135,DATA!$G$4:$H$2000,2,FALSE),"")</f>
        <v>ИХ ТУГЧ ХХК</v>
      </c>
      <c r="N2135" s="153">
        <v>59</v>
      </c>
      <c r="O2135" s="152" t="str">
        <f>IFERROR(VLOOKUP(N2135,DATA!$K$4:$L$51,2,FALSE),"")</f>
        <v>Бусад мөнгөн зарлага</v>
      </c>
      <c r="Q2135" s="152">
        <f t="shared" si="214"/>
        <v>1</v>
      </c>
    </row>
    <row r="2136" spans="2:17">
      <c r="B2136" s="671">
        <f t="shared" si="211"/>
        <v>2131</v>
      </c>
      <c r="C2136" s="691">
        <v>43031</v>
      </c>
      <c r="D2136" s="377" t="s">
        <v>1701</v>
      </c>
      <c r="E2136" s="572">
        <v>705800</v>
      </c>
      <c r="F2136" s="686" t="str">
        <f>IFERROR(VLOOKUP(E2136,STAT1!$C$4:$D$8000,2,FALSE),"")</f>
        <v>Харуул хамгаалалт</v>
      </c>
      <c r="G2136" s="614">
        <v>1500000</v>
      </c>
      <c r="H2136" s="614"/>
      <c r="I2136" s="607">
        <f t="shared" si="212"/>
        <v>0</v>
      </c>
      <c r="J2136" s="152">
        <f t="shared" si="210"/>
        <v>0</v>
      </c>
      <c r="L2136" s="703">
        <v>2012</v>
      </c>
      <c r="M2136" s="152" t="str">
        <f>+IFERROR(VLOOKUP(L2136,DATA!$G$4:$H$2000,2,FALSE),"")</f>
        <v>ИХ ТУГЧ ХХК</v>
      </c>
      <c r="O2136" s="152" t="str">
        <f>IFERROR(VLOOKUP(N2136,DATA!$K$4:$L$51,2,FALSE),"")</f>
        <v/>
      </c>
      <c r="Q2136" s="152">
        <f t="shared" si="214"/>
        <v>0</v>
      </c>
    </row>
    <row r="2137" spans="2:17">
      <c r="B2137" s="671">
        <f t="shared" si="211"/>
        <v>2132</v>
      </c>
      <c r="C2137" s="691">
        <v>43031</v>
      </c>
      <c r="D2137" s="614" t="s">
        <v>2137</v>
      </c>
      <c r="E2137" s="577">
        <v>141301</v>
      </c>
      <c r="F2137" s="686" t="str">
        <f>IFERROR(VLOOKUP(E2137,STAT1!$C$4:$D$8000,2,FALSE),"")</f>
        <v xml:space="preserve">ШХЗардал БУСАД </v>
      </c>
      <c r="G2137" s="614">
        <v>1375000</v>
      </c>
      <c r="H2137" s="614"/>
      <c r="I2137" s="604">
        <f t="shared" si="212"/>
        <v>0</v>
      </c>
      <c r="J2137" s="152">
        <f t="shared" si="210"/>
        <v>0</v>
      </c>
      <c r="L2137" s="703">
        <v>3099</v>
      </c>
      <c r="M2137" s="152" t="str">
        <f>+IFERROR(VLOOKUP(L2137,DATA!$G$4:$H$2000,2,FALSE),"")</f>
        <v>ÃÐÀÍÄ ÑËÀÁ ÕÕÊ</v>
      </c>
      <c r="O2137" s="152" t="str">
        <f>IFERROR(VLOOKUP(N2137,DATA!$K$4:$L$51,2,FALSE),"")</f>
        <v/>
      </c>
      <c r="Q2137" s="152">
        <f t="shared" si="214"/>
        <v>0</v>
      </c>
    </row>
    <row r="2138" spans="2:17">
      <c r="B2138" s="671">
        <f t="shared" si="211"/>
        <v>2133</v>
      </c>
      <c r="C2138" s="691">
        <v>43031</v>
      </c>
      <c r="D2138" s="614" t="s">
        <v>2137</v>
      </c>
      <c r="E2138" s="577">
        <v>700100</v>
      </c>
      <c r="F2138" s="686" t="str">
        <f>IFERROR(VLOOKUP(E2138,STAT1!$C$4:$D$8000,2,FALSE),"")</f>
        <v>Цалин хөлс, шагнал</v>
      </c>
      <c r="G2138" s="614"/>
      <c r="H2138" s="614">
        <v>1375000</v>
      </c>
      <c r="I2138" s="604">
        <f t="shared" si="212"/>
        <v>0</v>
      </c>
      <c r="J2138" s="152">
        <f t="shared" si="210"/>
        <v>0</v>
      </c>
      <c r="L2138" s="703">
        <v>3099</v>
      </c>
      <c r="M2138" s="152" t="str">
        <f>+IFERROR(VLOOKUP(L2138,DATA!$G$4:$H$2000,2,FALSE),"")</f>
        <v>ÃÐÀÍÄ ÑËÀÁ ÕÕÊ</v>
      </c>
      <c r="O2138" s="152" t="str">
        <f>IFERROR(VLOOKUP(N2138,DATA!$K$4:$L$51,2,FALSE),"")</f>
        <v/>
      </c>
      <c r="Q2138" s="152">
        <f t="shared" si="214"/>
        <v>0</v>
      </c>
    </row>
    <row r="2139" spans="2:17">
      <c r="B2139" s="671">
        <f t="shared" si="211"/>
        <v>2134</v>
      </c>
      <c r="C2139" s="694">
        <v>43031</v>
      </c>
      <c r="D2139" s="614" t="s">
        <v>1640</v>
      </c>
      <c r="E2139" s="577">
        <v>141201</v>
      </c>
      <c r="F2139" s="686" t="str">
        <f>IFERROR(VLOOKUP(E2139,STAT1!$C$4:$D$8000,2,FALSE),"")</f>
        <v>ШМЗардал БУСАД</v>
      </c>
      <c r="G2139" s="614">
        <v>2260402.7974249171</v>
      </c>
      <c r="H2139" s="614"/>
      <c r="I2139" s="590">
        <f t="shared" si="212"/>
        <v>0</v>
      </c>
      <c r="J2139" s="152">
        <f t="shared" si="210"/>
        <v>0</v>
      </c>
      <c r="L2139" s="703">
        <v>3099</v>
      </c>
      <c r="M2139" s="152" t="str">
        <f>+IFERROR(VLOOKUP(L2139,DATA!$G$4:$H$2000,2,FALSE),"")</f>
        <v>ÃÐÀÍÄ ÑËÀÁ ÕÕÊ</v>
      </c>
      <c r="O2139" s="152" t="str">
        <f>IFERROR(VLOOKUP(N2139,DATA!$K$4:$L$51,2,FALSE),"")</f>
        <v/>
      </c>
      <c r="Q2139" s="152">
        <f t="shared" si="214"/>
        <v>0</v>
      </c>
    </row>
    <row r="2140" spans="2:17">
      <c r="B2140" s="671">
        <f t="shared" ref="B2140:B2160" si="215">+IF(C2140="","",ROW()-5)</f>
        <v>2135</v>
      </c>
      <c r="C2140" s="694">
        <v>43031</v>
      </c>
      <c r="D2140" s="614" t="s">
        <v>2136</v>
      </c>
      <c r="E2140" s="577">
        <v>150101</v>
      </c>
      <c r="F2140" s="686" t="str">
        <f>IFERROR(VLOOKUP(E2140,STAT1!$C$4:$D$8000,2,FALSE),"")</f>
        <v>Бараа бэлэн бүтээгдэхүүн БОЛОВСРУУЛАХ ЦЕХ /нарс/</v>
      </c>
      <c r="G2140" s="614"/>
      <c r="H2140" s="614">
        <v>2260402.7974249171</v>
      </c>
      <c r="I2140" s="590">
        <f t="shared" si="212"/>
        <v>0</v>
      </c>
      <c r="J2140" s="152">
        <f t="shared" si="210"/>
        <v>0</v>
      </c>
      <c r="L2140" s="703">
        <v>3099</v>
      </c>
      <c r="M2140" s="152" t="str">
        <f>+IFERROR(VLOOKUP(L2140,DATA!$G$4:$H$2000,2,FALSE),"")</f>
        <v>ÃÐÀÍÄ ÑËÀÁ ÕÕÊ</v>
      </c>
      <c r="O2140" s="152" t="str">
        <f>IFERROR(VLOOKUP(N2140,DATA!$K$4:$L$51,2,FALSE),"")</f>
        <v/>
      </c>
      <c r="Q2140" s="152">
        <f t="shared" si="214"/>
        <v>0</v>
      </c>
    </row>
    <row r="2141" spans="2:17">
      <c r="B2141" s="671">
        <f t="shared" si="215"/>
        <v>2136</v>
      </c>
      <c r="C2141" s="694">
        <v>43031</v>
      </c>
      <c r="D2141" s="614" t="s">
        <v>1637</v>
      </c>
      <c r="E2141" s="692">
        <v>160100</v>
      </c>
      <c r="F2141" s="686" t="str">
        <f>IFERROR(VLOOKUP(E2141,STAT1!$C$4:$D$8000,2,FALSE),"")</f>
        <v xml:space="preserve">Барилгын материал </v>
      </c>
      <c r="G2141" s="614"/>
      <c r="H2141" s="614">
        <v>5286400.7451639045</v>
      </c>
      <c r="I2141" s="590">
        <f t="shared" si="212"/>
        <v>0</v>
      </c>
      <c r="J2141" s="152">
        <f t="shared" si="210"/>
        <v>0</v>
      </c>
      <c r="L2141" s="703">
        <v>3099</v>
      </c>
      <c r="M2141" s="152" t="str">
        <f>+IFERROR(VLOOKUP(L2141,DATA!$G$4:$H$2000,2,FALSE),"")</f>
        <v>ÃÐÀÍÄ ÑËÀÁ ÕÕÊ</v>
      </c>
      <c r="O2141" s="152" t="str">
        <f>IFERROR(VLOOKUP(N2141,DATA!$K$4:$L$51,2,FALSE),"")</f>
        <v/>
      </c>
      <c r="Q2141" s="152">
        <f t="shared" si="214"/>
        <v>0</v>
      </c>
    </row>
    <row r="2142" spans="2:17">
      <c r="B2142" s="671">
        <f t="shared" ref="B2142" si="216">+IF(C2142="","",ROW()-5)</f>
        <v>2137</v>
      </c>
      <c r="C2142" s="694">
        <v>43031</v>
      </c>
      <c r="D2142" s="693" t="s">
        <v>2688</v>
      </c>
      <c r="E2142" s="692">
        <v>141401</v>
      </c>
      <c r="F2142" s="686" t="str">
        <f>IFERROR(VLOOKUP(E2142,STAT1!$C$4:$D$8000,2,FALSE),"")</f>
        <v xml:space="preserve">ҮНЗардал БУСАД </v>
      </c>
      <c r="G2142" s="614">
        <v>5286400.7451639045</v>
      </c>
      <c r="H2142" s="614"/>
      <c r="I2142" s="590">
        <f t="shared" si="212"/>
        <v>0</v>
      </c>
      <c r="J2142" s="152">
        <f t="shared" si="210"/>
        <v>0</v>
      </c>
      <c r="L2142" s="703">
        <v>3099</v>
      </c>
      <c r="M2142" s="152" t="str">
        <f>+IFERROR(VLOOKUP(L2142,DATA!$G$4:$H$2000,2,FALSE),"")</f>
        <v>ÃÐÀÍÄ ÑËÀÁ ÕÕÊ</v>
      </c>
      <c r="O2142" s="152" t="str">
        <f>IFERROR(VLOOKUP(N2142,DATA!$K$4:$L$51,2,FALSE),"")</f>
        <v/>
      </c>
      <c r="Q2142" s="152">
        <f t="shared" si="214"/>
        <v>0</v>
      </c>
    </row>
    <row r="2143" spans="2:17">
      <c r="B2143" s="671">
        <f t="shared" si="215"/>
        <v>2138</v>
      </c>
      <c r="C2143" s="685">
        <v>43032</v>
      </c>
      <c r="D2143" s="614" t="s">
        <v>1785</v>
      </c>
      <c r="E2143" s="577">
        <v>110100</v>
      </c>
      <c r="F2143" s="686" t="str">
        <f>IFERROR(VLOOKUP(E2143,STAT1!$C$4:$D$8000,2,FALSE),"")</f>
        <v>Хаан Банк 5024654020</v>
      </c>
      <c r="G2143" s="614">
        <v>4500000</v>
      </c>
      <c r="H2143" s="614"/>
      <c r="I2143" s="607">
        <f t="shared" si="212"/>
        <v>4500000</v>
      </c>
      <c r="J2143" s="152">
        <f t="shared" si="210"/>
        <v>0</v>
      </c>
      <c r="L2143" s="703">
        <v>1003</v>
      </c>
      <c r="M2143" s="152" t="str">
        <f>+IFERROR(VLOOKUP(L2143,DATA!$G$4:$H$2000,2,FALSE),"")</f>
        <v>Бахдамдэмбэрэл</v>
      </c>
      <c r="O2143" s="152" t="str">
        <f>IFERROR(VLOOKUP(N2143,DATA!$K$4:$L$51,2,FALSE),"")</f>
        <v/>
      </c>
      <c r="Q2143" s="152">
        <f t="shared" si="214"/>
        <v>1</v>
      </c>
    </row>
    <row r="2144" spans="2:17">
      <c r="B2144" s="671">
        <f t="shared" si="215"/>
        <v>2139</v>
      </c>
      <c r="C2144" s="685">
        <v>43032</v>
      </c>
      <c r="D2144" s="614" t="s">
        <v>1785</v>
      </c>
      <c r="E2144" s="577">
        <v>100100</v>
      </c>
      <c r="F2144" s="686" t="str">
        <f>IFERROR(VLOOKUP(E2144,STAT1!$C$4:$D$8000,2,FALSE),"")</f>
        <v>Касс мөнгө MNT</v>
      </c>
      <c r="G2144" s="614"/>
      <c r="H2144" s="614">
        <v>4500000</v>
      </c>
      <c r="I2144" s="607">
        <f t="shared" si="212"/>
        <v>-4500000</v>
      </c>
      <c r="J2144" s="152">
        <f t="shared" si="210"/>
        <v>0</v>
      </c>
      <c r="L2144" s="703">
        <v>1003</v>
      </c>
      <c r="M2144" s="152" t="str">
        <f>+IFERROR(VLOOKUP(L2144,DATA!$G$4:$H$2000,2,FALSE),"")</f>
        <v>Бахдамдэмбэрэл</v>
      </c>
      <c r="O2144" s="152" t="str">
        <f>IFERROR(VLOOKUP(N2144,DATA!$K$4:$L$51,2,FALSE),"")</f>
        <v/>
      </c>
      <c r="Q2144" s="152">
        <f t="shared" si="214"/>
        <v>1</v>
      </c>
    </row>
    <row r="2145" spans="2:17">
      <c r="B2145" s="671">
        <f t="shared" si="215"/>
        <v>2140</v>
      </c>
      <c r="C2145" s="685">
        <v>43032</v>
      </c>
      <c r="D2145" s="614" t="s">
        <v>1741</v>
      </c>
      <c r="E2145" s="577">
        <v>110100</v>
      </c>
      <c r="F2145" s="686" t="str">
        <f>IFERROR(VLOOKUP(E2145,STAT1!$C$4:$D$8000,2,FALSE),"")</f>
        <v>Хаан Банк 5024654020</v>
      </c>
      <c r="G2145" s="614">
        <v>247500</v>
      </c>
      <c r="H2145" s="614"/>
      <c r="I2145" s="607">
        <f t="shared" si="212"/>
        <v>247500</v>
      </c>
      <c r="J2145" s="152">
        <f t="shared" si="210"/>
        <v>0</v>
      </c>
      <c r="L2145" s="703">
        <v>3042</v>
      </c>
      <c r="M2145" s="152" t="str">
        <f>+IFERROR(VLOOKUP(L2145,DATA!$G$4:$H$2000,2,FALSE),"")</f>
        <v xml:space="preserve">ЖУРМАК ХХК </v>
      </c>
      <c r="N2145" s="153">
        <v>41</v>
      </c>
      <c r="O2145" s="152" t="str">
        <f>IFERROR(VLOOKUP(N2145,DATA!$K$4:$L$51,2,FALSE),"")</f>
        <v>Бараа борлуулсан, үйлчилгээ үзүүлсэний орлого</v>
      </c>
      <c r="Q2145" s="152">
        <f t="shared" si="214"/>
        <v>1</v>
      </c>
    </row>
    <row r="2146" spans="2:17">
      <c r="B2146" s="671">
        <f t="shared" si="215"/>
        <v>2141</v>
      </c>
      <c r="C2146" s="685">
        <v>43032</v>
      </c>
      <c r="D2146" s="614" t="s">
        <v>1741</v>
      </c>
      <c r="E2146" s="577">
        <v>320100</v>
      </c>
      <c r="F2146" s="686" t="str">
        <f>IFERROR(VLOOKUP(E2146,STAT1!$C$4:$D$8000,2,FALSE),"")</f>
        <v>Урьдчилж орсон орлого MNT</v>
      </c>
      <c r="G2146" s="614"/>
      <c r="H2146" s="614">
        <v>247500</v>
      </c>
      <c r="I2146" s="607">
        <f t="shared" si="212"/>
        <v>0</v>
      </c>
      <c r="J2146" s="152">
        <f t="shared" si="210"/>
        <v>0</v>
      </c>
      <c r="L2146" s="703">
        <v>3042</v>
      </c>
      <c r="M2146" s="152" t="str">
        <f>+IFERROR(VLOOKUP(L2146,DATA!$G$4:$H$2000,2,FALSE),"")</f>
        <v xml:space="preserve">ЖУРМАК ХХК </v>
      </c>
      <c r="O2146" s="152" t="str">
        <f>IFERROR(VLOOKUP(N2146,DATA!$K$4:$L$51,2,FALSE),"")</f>
        <v/>
      </c>
      <c r="Q2146" s="152">
        <f t="shared" si="214"/>
        <v>0</v>
      </c>
    </row>
    <row r="2147" spans="2:17">
      <c r="B2147" s="671">
        <f t="shared" si="215"/>
        <v>2142</v>
      </c>
      <c r="C2147" s="685">
        <v>43032</v>
      </c>
      <c r="D2147" s="614" t="s">
        <v>1715</v>
      </c>
      <c r="E2147" s="577">
        <v>110100</v>
      </c>
      <c r="F2147" s="686" t="str">
        <f>IFERROR(VLOOKUP(E2147,STAT1!$C$4:$D$8000,2,FALSE),"")</f>
        <v>Хаан Банк 5024654020</v>
      </c>
      <c r="G2147" s="614"/>
      <c r="H2147" s="614">
        <v>100350</v>
      </c>
      <c r="I2147" s="607">
        <f t="shared" si="212"/>
        <v>-100350</v>
      </c>
      <c r="J2147" s="152">
        <f t="shared" si="210"/>
        <v>0</v>
      </c>
      <c r="L2147" s="703">
        <v>2005</v>
      </c>
      <c r="M2147" s="152" t="str">
        <f>+IFERROR(VLOOKUP(L2147,DATA!$G$4:$H$2000,2,FALSE),"")</f>
        <v xml:space="preserve">УСУГ ТӨХК </v>
      </c>
      <c r="N2147" s="153">
        <v>54</v>
      </c>
      <c r="O2147" s="152" t="str">
        <f>IFERROR(VLOOKUP(N2147,DATA!$K$4:$L$51,2,FALSE),"")</f>
        <v>Ашиглалтын зардалд төлсөн</v>
      </c>
      <c r="Q2147" s="152">
        <f t="shared" si="214"/>
        <v>1</v>
      </c>
    </row>
    <row r="2148" spans="2:17">
      <c r="B2148" s="671">
        <f t="shared" si="215"/>
        <v>2143</v>
      </c>
      <c r="C2148" s="685">
        <v>43032</v>
      </c>
      <c r="D2148" s="614" t="s">
        <v>1715</v>
      </c>
      <c r="E2148" s="577">
        <v>120600</v>
      </c>
      <c r="F2148" s="686" t="str">
        <f>IFERROR(VLOOKUP(E2148,STAT1!$C$4:$D$8000,2,FALSE),"")</f>
        <v>НӨАТ авлага</v>
      </c>
      <c r="G2148" s="614">
        <v>9118</v>
      </c>
      <c r="H2148" s="614"/>
      <c r="I2148" s="607">
        <f t="shared" si="212"/>
        <v>0</v>
      </c>
      <c r="J2148" s="152">
        <f t="shared" si="210"/>
        <v>0</v>
      </c>
      <c r="L2148" s="703">
        <v>2005</v>
      </c>
      <c r="M2148" s="152" t="str">
        <f>+IFERROR(VLOOKUP(L2148,DATA!$G$4:$H$2000,2,FALSE),"")</f>
        <v xml:space="preserve">УСУГ ТӨХК </v>
      </c>
      <c r="O2148" s="152" t="str">
        <f>IFERROR(VLOOKUP(N2148,DATA!$K$4:$L$51,2,FALSE),"")</f>
        <v/>
      </c>
      <c r="Q2148" s="152">
        <f t="shared" si="214"/>
        <v>0</v>
      </c>
    </row>
    <row r="2149" spans="2:17">
      <c r="B2149" s="671">
        <f t="shared" si="215"/>
        <v>2144</v>
      </c>
      <c r="C2149" s="685">
        <v>43032</v>
      </c>
      <c r="D2149" s="614" t="s">
        <v>1715</v>
      </c>
      <c r="E2149" s="577">
        <v>700900</v>
      </c>
      <c r="F2149" s="686" t="str">
        <f>IFERROR(VLOOKUP(E2149,STAT1!$C$4:$D$8000,2,FALSE),"")</f>
        <v>Уур, ус</v>
      </c>
      <c r="G2149" s="614">
        <v>91232</v>
      </c>
      <c r="H2149" s="614"/>
      <c r="I2149" s="607">
        <f t="shared" si="212"/>
        <v>0</v>
      </c>
      <c r="J2149" s="152">
        <f t="shared" si="210"/>
        <v>0</v>
      </c>
      <c r="L2149" s="703">
        <v>2005</v>
      </c>
      <c r="M2149" s="152" t="str">
        <f>+IFERROR(VLOOKUP(L2149,DATA!$G$4:$H$2000,2,FALSE),"")</f>
        <v xml:space="preserve">УСУГ ТӨХК </v>
      </c>
      <c r="O2149" s="152" t="str">
        <f>IFERROR(VLOOKUP(N2149,DATA!$K$4:$L$51,2,FALSE),"")</f>
        <v/>
      </c>
      <c r="Q2149" s="152">
        <f t="shared" si="214"/>
        <v>0</v>
      </c>
    </row>
    <row r="2150" spans="2:17">
      <c r="B2150" s="671">
        <f t="shared" si="215"/>
        <v>2145</v>
      </c>
      <c r="C2150" s="694">
        <v>43032</v>
      </c>
      <c r="D2150" s="614" t="s">
        <v>2141</v>
      </c>
      <c r="E2150" s="692">
        <v>150101</v>
      </c>
      <c r="F2150" s="686" t="str">
        <f>IFERROR(VLOOKUP(E2150,STAT1!$C$4:$D$8000,2,FALSE),"")</f>
        <v>Бараа бэлэн бүтээгдэхүүн БОЛОВСРУУЛАХ ЦЕХ /нарс/</v>
      </c>
      <c r="G2150" s="614"/>
      <c r="H2150" s="614">
        <v>102398.76830889922</v>
      </c>
      <c r="I2150" s="590">
        <f t="shared" si="212"/>
        <v>0</v>
      </c>
      <c r="J2150" s="152">
        <f t="shared" ref="J2150:J2213" si="217">+IF(E2150=110102,I2150/K2150,0)</f>
        <v>0</v>
      </c>
      <c r="L2150" s="703">
        <v>3042</v>
      </c>
      <c r="M2150" s="152" t="str">
        <f>+IFERROR(VLOOKUP(L2150,DATA!$G$4:$H$2000,2,FALSE),"")</f>
        <v xml:space="preserve">ЖУРМАК ХХК </v>
      </c>
      <c r="O2150" s="152" t="str">
        <f>IFERROR(VLOOKUP(N2150,DATA!$K$4:$L$51,2,FALSE),"")</f>
        <v/>
      </c>
      <c r="Q2150" s="152">
        <f t="shared" si="214"/>
        <v>0</v>
      </c>
    </row>
    <row r="2151" spans="2:17">
      <c r="B2151" s="671">
        <f t="shared" si="215"/>
        <v>2146</v>
      </c>
      <c r="C2151" s="694">
        <v>43032</v>
      </c>
      <c r="D2151" s="614" t="s">
        <v>2631</v>
      </c>
      <c r="E2151" s="692">
        <v>610100</v>
      </c>
      <c r="F2151" s="686" t="str">
        <f>IFERROR(VLOOKUP(E2151,STAT1!$C$4:$D$8000,2,FALSE),"")</f>
        <v>Борлуулсан барааны өртөг</v>
      </c>
      <c r="G2151" s="614">
        <v>102398.76830889922</v>
      </c>
      <c r="H2151" s="614"/>
      <c r="I2151" s="590">
        <f t="shared" si="212"/>
        <v>0</v>
      </c>
      <c r="J2151" s="152">
        <f t="shared" si="217"/>
        <v>0</v>
      </c>
      <c r="L2151" s="703">
        <v>3042</v>
      </c>
      <c r="M2151" s="152" t="str">
        <f>+IFERROR(VLOOKUP(L2151,DATA!$G$4:$H$2000,2,FALSE),"")</f>
        <v xml:space="preserve">ЖУРМАК ХХК </v>
      </c>
      <c r="O2151" s="152" t="str">
        <f>IFERROR(VLOOKUP(N2151,DATA!$K$4:$L$51,2,FALSE),"")</f>
        <v/>
      </c>
      <c r="Q2151" s="152">
        <f t="shared" si="214"/>
        <v>0</v>
      </c>
    </row>
    <row r="2152" spans="2:17">
      <c r="B2152" s="671">
        <f t="shared" si="215"/>
        <v>2147</v>
      </c>
      <c r="C2152" s="694">
        <v>43032</v>
      </c>
      <c r="D2152" s="614" t="s">
        <v>587</v>
      </c>
      <c r="E2152" s="692">
        <v>310500</v>
      </c>
      <c r="F2152" s="686" t="str">
        <f>IFERROR(VLOOKUP(E2152,STAT1!$C$4:$D$8000,2,FALSE),"")</f>
        <v>НӨАТ өглөг</v>
      </c>
      <c r="G2152" s="614"/>
      <c r="H2152" s="614">
        <v>22500</v>
      </c>
      <c r="I2152" s="590">
        <f t="shared" si="212"/>
        <v>0</v>
      </c>
      <c r="J2152" s="152">
        <f t="shared" si="217"/>
        <v>0</v>
      </c>
      <c r="L2152" s="703">
        <v>3042</v>
      </c>
      <c r="M2152" s="152" t="str">
        <f>+IFERROR(VLOOKUP(L2152,DATA!$G$4:$H$2000,2,FALSE),"")</f>
        <v xml:space="preserve">ЖУРМАК ХХК </v>
      </c>
      <c r="O2152" s="152" t="str">
        <f>IFERROR(VLOOKUP(N2152,DATA!$K$4:$L$51,2,FALSE),"")</f>
        <v/>
      </c>
      <c r="Q2152" s="152">
        <f t="shared" si="214"/>
        <v>0</v>
      </c>
    </row>
    <row r="2153" spans="2:17">
      <c r="B2153" s="671">
        <f t="shared" si="215"/>
        <v>2148</v>
      </c>
      <c r="C2153" s="694">
        <v>43032</v>
      </c>
      <c r="D2153" s="614" t="s">
        <v>587</v>
      </c>
      <c r="E2153" s="692">
        <v>510000</v>
      </c>
      <c r="F2153" s="686" t="str">
        <f>IFERROR(VLOOKUP(E2153,STAT1!$C$4:$D$8000,2,FALSE),"")</f>
        <v>Үндсэн үйл ажиллагааны борлуулалт</v>
      </c>
      <c r="G2153" s="614"/>
      <c r="H2153" s="614">
        <v>225000</v>
      </c>
      <c r="I2153" s="590">
        <f t="shared" si="212"/>
        <v>0</v>
      </c>
      <c r="J2153" s="152">
        <f t="shared" si="217"/>
        <v>0</v>
      </c>
      <c r="L2153" s="703">
        <v>3042</v>
      </c>
      <c r="M2153" s="152" t="str">
        <f>+IFERROR(VLOOKUP(L2153,DATA!$G$4:$H$2000,2,FALSE),"")</f>
        <v xml:space="preserve">ЖУРМАК ХХК </v>
      </c>
      <c r="O2153" s="152" t="str">
        <f>IFERROR(VLOOKUP(N2153,DATA!$K$4:$L$51,2,FALSE),"")</f>
        <v/>
      </c>
      <c r="Q2153" s="152">
        <f t="shared" si="214"/>
        <v>0</v>
      </c>
    </row>
    <row r="2154" spans="2:17">
      <c r="B2154" s="671">
        <f t="shared" si="215"/>
        <v>2149</v>
      </c>
      <c r="C2154" s="695">
        <v>43033</v>
      </c>
      <c r="D2154" s="693" t="s">
        <v>2631</v>
      </c>
      <c r="E2154" s="692">
        <v>150101</v>
      </c>
      <c r="F2154" s="686" t="str">
        <f>IFERROR(VLOOKUP(E2154,STAT1!$C$4:$D$8000,2,FALSE),"")</f>
        <v>Бараа бэлэн бүтээгдэхүүн БОЛОВСРУУЛАХ ЦЕХ /нарс/</v>
      </c>
      <c r="G2154" s="614"/>
      <c r="H2154" s="614">
        <v>282437.58498569106</v>
      </c>
      <c r="I2154" s="590">
        <f t="shared" si="212"/>
        <v>0</v>
      </c>
      <c r="J2154" s="152">
        <f t="shared" si="217"/>
        <v>0</v>
      </c>
      <c r="L2154" s="703">
        <v>3103</v>
      </c>
      <c r="M2154" s="152" t="str">
        <f>+IFERROR(VLOOKUP(L2154,DATA!$G$4:$H$2000,2,FALSE),"")</f>
        <v xml:space="preserve">СКАЙ ФОРТУН ХХК </v>
      </c>
      <c r="O2154" s="152" t="str">
        <f>IFERROR(VLOOKUP(N2154,DATA!$K$4:$L$51,2,FALSE),"")</f>
        <v/>
      </c>
      <c r="Q2154" s="152">
        <f t="shared" si="214"/>
        <v>0</v>
      </c>
    </row>
    <row r="2155" spans="2:17">
      <c r="B2155" s="671">
        <f t="shared" si="215"/>
        <v>2150</v>
      </c>
      <c r="C2155" s="695">
        <v>43033</v>
      </c>
      <c r="D2155" s="693" t="s">
        <v>587</v>
      </c>
      <c r="E2155" s="692">
        <v>610100</v>
      </c>
      <c r="F2155" s="686" t="str">
        <f>IFERROR(VLOOKUP(E2155,STAT1!$C$4:$D$8000,2,FALSE),"")</f>
        <v>Борлуулсан барааны өртөг</v>
      </c>
      <c r="G2155" s="614">
        <v>282437.58498569106</v>
      </c>
      <c r="H2155" s="614"/>
      <c r="I2155" s="590">
        <f t="shared" si="212"/>
        <v>0</v>
      </c>
      <c r="J2155" s="152">
        <f t="shared" si="217"/>
        <v>0</v>
      </c>
      <c r="L2155" s="703">
        <v>3103</v>
      </c>
      <c r="M2155" s="152" t="str">
        <f>+IFERROR(VLOOKUP(L2155,DATA!$G$4:$H$2000,2,FALSE),"")</f>
        <v xml:space="preserve">СКАЙ ФОРТУН ХХК </v>
      </c>
      <c r="O2155" s="152" t="str">
        <f>IFERROR(VLOOKUP(N2155,DATA!$K$4:$L$51,2,FALSE),"")</f>
        <v/>
      </c>
      <c r="Q2155" s="152">
        <f t="shared" si="214"/>
        <v>0</v>
      </c>
    </row>
    <row r="2156" spans="2:17">
      <c r="B2156" s="671">
        <f t="shared" si="215"/>
        <v>2151</v>
      </c>
      <c r="C2156" s="694">
        <v>43033</v>
      </c>
      <c r="D2156" s="614" t="s">
        <v>587</v>
      </c>
      <c r="E2156" s="692">
        <v>310500</v>
      </c>
      <c r="F2156" s="686" t="str">
        <f>IFERROR(VLOOKUP(E2156,STAT1!$C$4:$D$8000,2,FALSE),"")</f>
        <v>НӨАТ өглөг</v>
      </c>
      <c r="G2156" s="614"/>
      <c r="H2156" s="614">
        <v>80000</v>
      </c>
      <c r="I2156" s="590">
        <f t="shared" si="212"/>
        <v>0</v>
      </c>
      <c r="J2156" s="152">
        <f t="shared" si="217"/>
        <v>0</v>
      </c>
      <c r="L2156" s="703">
        <v>3103</v>
      </c>
      <c r="M2156" s="152" t="str">
        <f>+IFERROR(VLOOKUP(L2156,DATA!$G$4:$H$2000,2,FALSE),"")</f>
        <v xml:space="preserve">СКАЙ ФОРТУН ХХК </v>
      </c>
      <c r="O2156" s="152" t="str">
        <f>IFERROR(VLOOKUP(N2156,DATA!$K$4:$L$51,2,FALSE),"")</f>
        <v/>
      </c>
      <c r="Q2156" s="152">
        <f t="shared" si="214"/>
        <v>0</v>
      </c>
    </row>
    <row r="2157" spans="2:17">
      <c r="B2157" s="671">
        <f t="shared" si="215"/>
        <v>2152</v>
      </c>
      <c r="C2157" s="694">
        <v>43033</v>
      </c>
      <c r="D2157" s="614" t="s">
        <v>587</v>
      </c>
      <c r="E2157" s="692">
        <v>510000</v>
      </c>
      <c r="F2157" s="686" t="str">
        <f>IFERROR(VLOOKUP(E2157,STAT1!$C$4:$D$8000,2,FALSE),"")</f>
        <v>Үндсэн үйл ажиллагааны борлуулалт</v>
      </c>
      <c r="G2157" s="614"/>
      <c r="H2157" s="614">
        <v>800000</v>
      </c>
      <c r="I2157" s="590">
        <f t="shared" si="212"/>
        <v>0</v>
      </c>
      <c r="J2157" s="152">
        <f t="shared" si="217"/>
        <v>0</v>
      </c>
      <c r="L2157" s="703">
        <v>3103</v>
      </c>
      <c r="M2157" s="152" t="str">
        <f>+IFERROR(VLOOKUP(L2157,DATA!$G$4:$H$2000,2,FALSE),"")</f>
        <v xml:space="preserve">СКАЙ ФОРТУН ХХК </v>
      </c>
      <c r="O2157" s="152" t="str">
        <f>IFERROR(VLOOKUP(N2157,DATA!$K$4:$L$51,2,FALSE),"")</f>
        <v/>
      </c>
      <c r="Q2157" s="152">
        <f t="shared" si="214"/>
        <v>0</v>
      </c>
    </row>
    <row r="2158" spans="2:17">
      <c r="B2158" s="671">
        <f t="shared" si="215"/>
        <v>2153</v>
      </c>
      <c r="C2158" s="694">
        <v>43033</v>
      </c>
      <c r="D2158" s="614" t="s">
        <v>587</v>
      </c>
      <c r="E2158" s="692">
        <v>320100</v>
      </c>
      <c r="F2158" s="686" t="str">
        <f>IFERROR(VLOOKUP(E2158,STAT1!$C$4:$D$8000,2,FALSE),"")</f>
        <v>Урьдчилж орсон орлого MNT</v>
      </c>
      <c r="G2158" s="614">
        <v>880000</v>
      </c>
      <c r="H2158" s="614"/>
      <c r="I2158" s="590">
        <f t="shared" si="212"/>
        <v>0</v>
      </c>
      <c r="J2158" s="152">
        <f t="shared" si="217"/>
        <v>0</v>
      </c>
      <c r="L2158" s="703">
        <v>3103</v>
      </c>
      <c r="M2158" s="152" t="str">
        <f>+IFERROR(VLOOKUP(L2158,DATA!$G$4:$H$2000,2,FALSE),"")</f>
        <v xml:space="preserve">СКАЙ ФОРТУН ХХК </v>
      </c>
      <c r="O2158" s="152" t="str">
        <f>IFERROR(VLOOKUP(N2158,DATA!$K$4:$L$51,2,FALSE),"")</f>
        <v/>
      </c>
      <c r="Q2158" s="152">
        <f t="shared" si="214"/>
        <v>0</v>
      </c>
    </row>
    <row r="2159" spans="2:17">
      <c r="B2159" s="671">
        <f t="shared" si="215"/>
        <v>2154</v>
      </c>
      <c r="C2159" s="685">
        <v>43035</v>
      </c>
      <c r="D2159" s="614" t="s">
        <v>1741</v>
      </c>
      <c r="E2159" s="692">
        <v>110100</v>
      </c>
      <c r="F2159" s="686" t="str">
        <f>IFERROR(VLOOKUP(E2159,STAT1!$C$4:$D$8000,2,FALSE),"")</f>
        <v>Хаан Банк 5024654020</v>
      </c>
      <c r="G2159" s="614">
        <v>880000</v>
      </c>
      <c r="H2159" s="614"/>
      <c r="I2159" s="607">
        <f t="shared" si="212"/>
        <v>880000</v>
      </c>
      <c r="J2159" s="152">
        <f t="shared" si="217"/>
        <v>0</v>
      </c>
      <c r="L2159" s="703">
        <v>3103</v>
      </c>
      <c r="M2159" s="152" t="str">
        <f>+IFERROR(VLOOKUP(L2159,DATA!$G$4:$H$2000,2,FALSE),"")</f>
        <v xml:space="preserve">СКАЙ ФОРТУН ХХК </v>
      </c>
      <c r="N2159" s="153">
        <v>41</v>
      </c>
      <c r="O2159" s="152" t="str">
        <f>IFERROR(VLOOKUP(N2159,DATA!$K$4:$L$51,2,FALSE),"")</f>
        <v>Бараа борлуулсан, үйлчилгээ үзүүлсэний орлого</v>
      </c>
      <c r="Q2159" s="152">
        <f t="shared" si="214"/>
        <v>1</v>
      </c>
    </row>
    <row r="2160" spans="2:17">
      <c r="B2160" s="671">
        <f t="shared" si="215"/>
        <v>2155</v>
      </c>
      <c r="C2160" s="685">
        <v>43035</v>
      </c>
      <c r="D2160" s="614" t="s">
        <v>1741</v>
      </c>
      <c r="E2160" s="692">
        <v>320100</v>
      </c>
      <c r="F2160" s="686" t="str">
        <f>IFERROR(VLOOKUP(E2160,STAT1!$C$4:$D$8000,2,FALSE),"")</f>
        <v>Урьдчилж орсон орлого MNT</v>
      </c>
      <c r="G2160" s="614"/>
      <c r="H2160" s="614">
        <v>880000</v>
      </c>
      <c r="I2160" s="607">
        <f t="shared" si="212"/>
        <v>0</v>
      </c>
      <c r="J2160" s="152">
        <f t="shared" si="217"/>
        <v>0</v>
      </c>
      <c r="L2160" s="703">
        <v>3103</v>
      </c>
      <c r="M2160" s="152" t="str">
        <f>+IFERROR(VLOOKUP(L2160,DATA!$G$4:$H$2000,2,FALSE),"")</f>
        <v xml:space="preserve">СКАЙ ФОРТУН ХХК </v>
      </c>
      <c r="O2160" s="152" t="str">
        <f>IFERROR(VLOOKUP(N2160,DATA!$K$4:$L$51,2,FALSE),"")</f>
        <v/>
      </c>
      <c r="Q2160" s="152">
        <f t="shared" si="214"/>
        <v>0</v>
      </c>
    </row>
    <row r="2161" spans="2:17">
      <c r="B2161" s="671">
        <f t="shared" ref="B2161:B2222" si="218">+IF(C2161="","",ROW()-5)</f>
        <v>2156</v>
      </c>
      <c r="C2161" s="685">
        <v>43035</v>
      </c>
      <c r="D2161" s="614" t="s">
        <v>1714</v>
      </c>
      <c r="E2161" s="692">
        <v>110100</v>
      </c>
      <c r="F2161" s="686" t="str">
        <f>IFERROR(VLOOKUP(E2161,STAT1!$C$4:$D$8000,2,FALSE),"")</f>
        <v>Хаан Банк 5024654020</v>
      </c>
      <c r="G2161" s="614"/>
      <c r="H2161" s="614">
        <v>1883600</v>
      </c>
      <c r="I2161" s="607">
        <f t="shared" si="212"/>
        <v>-1883600</v>
      </c>
      <c r="J2161" s="152">
        <f t="shared" si="217"/>
        <v>0</v>
      </c>
      <c r="L2161" s="703">
        <v>2003</v>
      </c>
      <c r="M2161" s="152" t="str">
        <f>+IFERROR(VLOOKUP(L2161,DATA!$G$4:$H$2000,2,FALSE),"")</f>
        <v xml:space="preserve">УБЦТС ТӨХК </v>
      </c>
      <c r="N2161" s="153">
        <v>54</v>
      </c>
      <c r="O2161" s="152" t="str">
        <f>IFERROR(VLOOKUP(N2161,DATA!$K$4:$L$51,2,FALSE),"")</f>
        <v>Ашиглалтын зардалд төлсөн</v>
      </c>
      <c r="Q2161" s="152">
        <f t="shared" si="214"/>
        <v>1</v>
      </c>
    </row>
    <row r="2162" spans="2:17">
      <c r="B2162" s="671">
        <f t="shared" si="218"/>
        <v>2157</v>
      </c>
      <c r="C2162" s="685">
        <v>43035</v>
      </c>
      <c r="D2162" s="614" t="s">
        <v>1714</v>
      </c>
      <c r="E2162" s="692">
        <v>120600</v>
      </c>
      <c r="F2162" s="686" t="str">
        <f>IFERROR(VLOOKUP(E2162,STAT1!$C$4:$D$8000,2,FALSE),"")</f>
        <v>НӨАТ авлага</v>
      </c>
      <c r="G2162" s="614">
        <v>171236.12</v>
      </c>
      <c r="H2162" s="614"/>
      <c r="I2162" s="607">
        <f t="shared" si="212"/>
        <v>0</v>
      </c>
      <c r="J2162" s="152">
        <f t="shared" si="217"/>
        <v>0</v>
      </c>
      <c r="L2162" s="703">
        <v>2003</v>
      </c>
      <c r="M2162" s="152" t="str">
        <f>+IFERROR(VLOOKUP(L2162,DATA!$G$4:$H$2000,2,FALSE),"")</f>
        <v xml:space="preserve">УБЦТС ТӨХК </v>
      </c>
      <c r="O2162" s="152" t="str">
        <f>IFERROR(VLOOKUP(N2162,DATA!$K$4:$L$51,2,FALSE),"")</f>
        <v/>
      </c>
      <c r="Q2162" s="152">
        <f t="shared" si="214"/>
        <v>0</v>
      </c>
    </row>
    <row r="2163" spans="2:17">
      <c r="B2163" s="671">
        <f t="shared" si="218"/>
        <v>2158</v>
      </c>
      <c r="C2163" s="685">
        <v>43035</v>
      </c>
      <c r="D2163" s="614" t="s">
        <v>1714</v>
      </c>
      <c r="E2163" s="692">
        <v>700700</v>
      </c>
      <c r="F2163" s="686" t="str">
        <f>IFERROR(VLOOKUP(E2163,STAT1!$C$4:$D$8000,2,FALSE),"")</f>
        <v>Цахилгаан эрчим хүч</v>
      </c>
      <c r="G2163" s="614">
        <v>1712363.88</v>
      </c>
      <c r="H2163" s="614"/>
      <c r="I2163" s="607">
        <f t="shared" si="212"/>
        <v>0</v>
      </c>
      <c r="J2163" s="152">
        <f t="shared" si="217"/>
        <v>0</v>
      </c>
      <c r="L2163" s="703">
        <v>2003</v>
      </c>
      <c r="M2163" s="152" t="str">
        <f>+IFERROR(VLOOKUP(L2163,DATA!$G$4:$H$2000,2,FALSE),"")</f>
        <v xml:space="preserve">УБЦТС ТӨХК </v>
      </c>
      <c r="O2163" s="152" t="str">
        <f>IFERROR(VLOOKUP(N2163,DATA!$K$4:$L$51,2,FALSE),"")</f>
        <v/>
      </c>
      <c r="Q2163" s="152">
        <f t="shared" si="214"/>
        <v>0</v>
      </c>
    </row>
    <row r="2164" spans="2:17">
      <c r="B2164" s="671">
        <f t="shared" si="218"/>
        <v>2159</v>
      </c>
      <c r="C2164" s="685">
        <v>43035</v>
      </c>
      <c r="D2164" s="614" t="s">
        <v>1741</v>
      </c>
      <c r="E2164" s="577">
        <v>110100</v>
      </c>
      <c r="F2164" s="686" t="str">
        <f>IFERROR(VLOOKUP(E2164,STAT1!$C$4:$D$8000,2,FALSE),"")</f>
        <v>Хаан Банк 5024654020</v>
      </c>
      <c r="G2164" s="614">
        <v>13000000</v>
      </c>
      <c r="H2164" s="614"/>
      <c r="I2164" s="607">
        <f t="shared" si="212"/>
        <v>13000000</v>
      </c>
      <c r="J2164" s="152">
        <f t="shared" si="217"/>
        <v>0</v>
      </c>
      <c r="L2164" s="703">
        <v>3002</v>
      </c>
      <c r="M2164" s="152" t="str">
        <f>+IFERROR(VLOOKUP(L2164,DATA!$G$4:$H$2000,2,FALSE),"")</f>
        <v>ЭКО КОНСТРАКШН ХХК</v>
      </c>
      <c r="N2164" s="153">
        <v>41</v>
      </c>
      <c r="O2164" s="152" t="str">
        <f>IFERROR(VLOOKUP(N2164,DATA!$K$4:$L$51,2,FALSE),"")</f>
        <v>Бараа борлуулсан, үйлчилгээ үзүүлсэний орлого</v>
      </c>
      <c r="Q2164" s="152">
        <f t="shared" si="214"/>
        <v>1</v>
      </c>
    </row>
    <row r="2165" spans="2:17">
      <c r="B2165" s="671">
        <f t="shared" si="218"/>
        <v>2160</v>
      </c>
      <c r="C2165" s="685">
        <v>43035</v>
      </c>
      <c r="D2165" s="614" t="s">
        <v>1741</v>
      </c>
      <c r="E2165" s="577">
        <v>320100</v>
      </c>
      <c r="F2165" s="686" t="str">
        <f>IFERROR(VLOOKUP(E2165,STAT1!$C$4:$D$8000,2,FALSE),"")</f>
        <v>Урьдчилж орсон орлого MNT</v>
      </c>
      <c r="G2165" s="614"/>
      <c r="H2165" s="614">
        <v>13000000</v>
      </c>
      <c r="I2165" s="607">
        <f t="shared" si="212"/>
        <v>0</v>
      </c>
      <c r="J2165" s="152">
        <f t="shared" si="217"/>
        <v>0</v>
      </c>
      <c r="L2165" s="703">
        <v>3002</v>
      </c>
      <c r="M2165" s="152" t="str">
        <f>+IFERROR(VLOOKUP(L2165,DATA!$G$4:$H$2000,2,FALSE),"")</f>
        <v>ЭКО КОНСТРАКШН ХХК</v>
      </c>
      <c r="O2165" s="152" t="str">
        <f>IFERROR(VLOOKUP(N2165,DATA!$K$4:$L$51,2,FALSE),"")</f>
        <v/>
      </c>
      <c r="Q2165" s="152">
        <f t="shared" si="214"/>
        <v>0</v>
      </c>
    </row>
    <row r="2166" spans="2:17">
      <c r="B2166" s="671">
        <f t="shared" si="218"/>
        <v>2161</v>
      </c>
      <c r="C2166" s="694">
        <v>43035</v>
      </c>
      <c r="D2166" s="614" t="s">
        <v>2141</v>
      </c>
      <c r="E2166" s="577">
        <v>150101</v>
      </c>
      <c r="F2166" s="686" t="str">
        <f>IFERROR(VLOOKUP(E2166,STAT1!$C$4:$D$8000,2,FALSE),"")</f>
        <v>Бараа бэлэн бүтээгдэхүүн БОЛОВСРУУЛАХ ЦЕХ /нарс/</v>
      </c>
      <c r="G2166" s="614"/>
      <c r="H2166" s="614">
        <v>58275.467530678121</v>
      </c>
      <c r="I2166" s="590">
        <f t="shared" si="212"/>
        <v>0</v>
      </c>
      <c r="J2166" s="152">
        <f t="shared" si="217"/>
        <v>0</v>
      </c>
      <c r="L2166" s="703">
        <v>3061</v>
      </c>
      <c r="M2166" s="152" t="str">
        <f>+IFERROR(VLOOKUP(L2166,DATA!$G$4:$H$2000,2,FALSE),"")</f>
        <v>СТИМО ХХК</v>
      </c>
      <c r="O2166" s="152" t="str">
        <f>IFERROR(VLOOKUP(N2166,DATA!$K$4:$L$51,2,FALSE),"")</f>
        <v/>
      </c>
      <c r="Q2166" s="152">
        <f t="shared" si="214"/>
        <v>0</v>
      </c>
    </row>
    <row r="2167" spans="2:17">
      <c r="B2167" s="671">
        <f t="shared" si="218"/>
        <v>2162</v>
      </c>
      <c r="C2167" s="694">
        <v>43035</v>
      </c>
      <c r="D2167" s="377" t="s">
        <v>587</v>
      </c>
      <c r="E2167" s="572">
        <v>610100</v>
      </c>
      <c r="F2167" s="686" t="str">
        <f>IFERROR(VLOOKUP(E2167,STAT1!$C$4:$D$8000,2,FALSE),"")</f>
        <v>Борлуулсан барааны өртөг</v>
      </c>
      <c r="G2167" s="614">
        <v>58275.467530678121</v>
      </c>
      <c r="H2167" s="614"/>
      <c r="I2167" s="590">
        <f t="shared" si="212"/>
        <v>0</v>
      </c>
      <c r="J2167" s="152">
        <f t="shared" si="217"/>
        <v>0</v>
      </c>
      <c r="L2167" s="703">
        <v>3061</v>
      </c>
      <c r="M2167" s="152" t="str">
        <f>+IFERROR(VLOOKUP(L2167,DATA!$G$4:$H$2000,2,FALSE),"")</f>
        <v>СТИМО ХХК</v>
      </c>
      <c r="O2167" s="152" t="str">
        <f>IFERROR(VLOOKUP(N2167,DATA!$K$4:$L$51,2,FALSE),"")</f>
        <v/>
      </c>
      <c r="Q2167" s="152">
        <f t="shared" si="214"/>
        <v>0</v>
      </c>
    </row>
    <row r="2168" spans="2:17">
      <c r="B2168" s="671">
        <f t="shared" si="218"/>
        <v>2163</v>
      </c>
      <c r="C2168" s="694">
        <v>43035</v>
      </c>
      <c r="D2168" s="377" t="s">
        <v>587</v>
      </c>
      <c r="E2168" s="572">
        <v>310500</v>
      </c>
      <c r="F2168" s="686" t="str">
        <f>IFERROR(VLOOKUP(E2168,STAT1!$C$4:$D$8000,2,FALSE),"")</f>
        <v>НӨАТ өглөг</v>
      </c>
      <c r="G2168" s="614"/>
      <c r="H2168" s="614">
        <v>13500</v>
      </c>
      <c r="I2168" s="590">
        <f t="shared" si="212"/>
        <v>0</v>
      </c>
      <c r="J2168" s="152">
        <f t="shared" si="217"/>
        <v>0</v>
      </c>
      <c r="L2168" s="703">
        <v>3061</v>
      </c>
      <c r="M2168" s="152" t="str">
        <f>+IFERROR(VLOOKUP(L2168,DATA!$G$4:$H$2000,2,FALSE),"")</f>
        <v>СТИМО ХХК</v>
      </c>
      <c r="O2168" s="152" t="str">
        <f>IFERROR(VLOOKUP(N2168,DATA!$K$4:$L$51,2,FALSE),"")</f>
        <v/>
      </c>
      <c r="Q2168" s="152">
        <f t="shared" si="214"/>
        <v>0</v>
      </c>
    </row>
    <row r="2169" spans="2:17">
      <c r="B2169" s="671">
        <f t="shared" si="218"/>
        <v>2164</v>
      </c>
      <c r="C2169" s="694">
        <v>43035</v>
      </c>
      <c r="D2169" s="377" t="s">
        <v>587</v>
      </c>
      <c r="E2169" s="572">
        <v>510000</v>
      </c>
      <c r="F2169" s="686" t="str">
        <f>IFERROR(VLOOKUP(E2169,STAT1!$C$4:$D$8000,2,FALSE),"")</f>
        <v>Үндсэн үйл ажиллагааны борлуулалт</v>
      </c>
      <c r="G2169" s="614"/>
      <c r="H2169" s="614">
        <v>135000</v>
      </c>
      <c r="I2169" s="590">
        <f t="shared" si="212"/>
        <v>0</v>
      </c>
      <c r="J2169" s="152">
        <f t="shared" si="217"/>
        <v>0</v>
      </c>
      <c r="L2169" s="703">
        <v>3061</v>
      </c>
      <c r="M2169" s="152" t="str">
        <f>+IFERROR(VLOOKUP(L2169,DATA!$G$4:$H$2000,2,FALSE),"")</f>
        <v>СТИМО ХХК</v>
      </c>
      <c r="O2169" s="152" t="str">
        <f>IFERROR(VLOOKUP(N2169,DATA!$K$4:$L$51,2,FALSE),"")</f>
        <v/>
      </c>
      <c r="Q2169" s="152">
        <f t="shared" si="214"/>
        <v>0</v>
      </c>
    </row>
    <row r="2170" spans="2:17">
      <c r="B2170" s="671">
        <f t="shared" si="218"/>
        <v>2165</v>
      </c>
      <c r="C2170" s="695">
        <v>43035</v>
      </c>
      <c r="D2170" s="377" t="s">
        <v>587</v>
      </c>
      <c r="E2170" s="572">
        <v>320100</v>
      </c>
      <c r="F2170" s="686" t="str">
        <f>IFERROR(VLOOKUP(E2170,STAT1!$C$4:$D$8000,2,FALSE),"")</f>
        <v>Урьдчилж орсон орлого MNT</v>
      </c>
      <c r="G2170" s="614">
        <v>148500</v>
      </c>
      <c r="H2170" s="614"/>
      <c r="I2170" s="590">
        <f t="shared" si="212"/>
        <v>0</v>
      </c>
      <c r="J2170" s="152">
        <f t="shared" si="217"/>
        <v>0</v>
      </c>
      <c r="L2170" s="703">
        <v>3061</v>
      </c>
      <c r="M2170" s="152" t="str">
        <f>+IFERROR(VLOOKUP(L2170,DATA!$G$4:$H$2000,2,FALSE),"")</f>
        <v>СТИМО ХХК</v>
      </c>
      <c r="O2170" s="152" t="str">
        <f>IFERROR(VLOOKUP(N2170,DATA!$K$4:$L$51,2,FALSE),"")</f>
        <v/>
      </c>
      <c r="Q2170" s="152">
        <f t="shared" si="214"/>
        <v>0</v>
      </c>
    </row>
    <row r="2171" spans="2:17">
      <c r="B2171" s="671">
        <f t="shared" si="218"/>
        <v>2166</v>
      </c>
      <c r="C2171" s="685">
        <v>43035</v>
      </c>
      <c r="D2171" s="614" t="s">
        <v>1741</v>
      </c>
      <c r="E2171" s="577">
        <v>100100</v>
      </c>
      <c r="F2171" s="686" t="str">
        <f>IFERROR(VLOOKUP(E2171,STAT1!$C$4:$D$8000,2,FALSE),"")</f>
        <v>Касс мөнгө MNT</v>
      </c>
      <c r="G2171" s="614">
        <v>148500</v>
      </c>
      <c r="H2171" s="614"/>
      <c r="I2171" s="590">
        <f t="shared" si="212"/>
        <v>148500</v>
      </c>
      <c r="J2171" s="152">
        <f t="shared" si="217"/>
        <v>0</v>
      </c>
      <c r="L2171" s="703">
        <v>3061</v>
      </c>
      <c r="M2171" s="152" t="str">
        <f>+IFERROR(VLOOKUP(L2171,DATA!$G$4:$H$2000,2,FALSE),"")</f>
        <v>СТИМО ХХК</v>
      </c>
      <c r="N2171" s="153">
        <v>41</v>
      </c>
      <c r="O2171" s="152" t="str">
        <f>IFERROR(VLOOKUP(N2171,DATA!$K$4:$L$51,2,FALSE),"")</f>
        <v>Бараа борлуулсан, үйлчилгээ үзүүлсэний орлого</v>
      </c>
      <c r="Q2171" s="152">
        <f t="shared" si="214"/>
        <v>1</v>
      </c>
    </row>
    <row r="2172" spans="2:17">
      <c r="B2172" s="671">
        <f t="shared" si="218"/>
        <v>2167</v>
      </c>
      <c r="C2172" s="685">
        <v>43035</v>
      </c>
      <c r="D2172" s="614" t="s">
        <v>1741</v>
      </c>
      <c r="E2172" s="577">
        <v>320100</v>
      </c>
      <c r="F2172" s="686" t="str">
        <f>IFERROR(VLOOKUP(E2172,STAT1!$C$4:$D$8000,2,FALSE),"")</f>
        <v>Урьдчилж орсон орлого MNT</v>
      </c>
      <c r="G2172" s="614"/>
      <c r="H2172" s="614">
        <v>148500</v>
      </c>
      <c r="I2172" s="590">
        <f t="shared" si="212"/>
        <v>0</v>
      </c>
      <c r="J2172" s="152">
        <f t="shared" si="217"/>
        <v>0</v>
      </c>
      <c r="L2172" s="703">
        <v>3061</v>
      </c>
      <c r="M2172" s="152" t="str">
        <f>+IFERROR(VLOOKUP(L2172,DATA!$G$4:$H$2000,2,FALSE),"")</f>
        <v>СТИМО ХХК</v>
      </c>
      <c r="O2172" s="152" t="str">
        <f>IFERROR(VLOOKUP(N2172,DATA!$K$4:$L$51,2,FALSE),"")</f>
        <v/>
      </c>
      <c r="Q2172" s="152">
        <f t="shared" si="214"/>
        <v>0</v>
      </c>
    </row>
    <row r="2173" spans="2:17">
      <c r="B2173" s="671">
        <f t="shared" si="218"/>
        <v>2168</v>
      </c>
      <c r="C2173" s="694">
        <v>43038</v>
      </c>
      <c r="D2173" s="377" t="s">
        <v>2141</v>
      </c>
      <c r="E2173" s="572">
        <v>150101</v>
      </c>
      <c r="F2173" s="672" t="str">
        <f>IFERROR(VLOOKUP(E2173,STAT1!$C$4:$D$8000,2,FALSE),"")</f>
        <v>Бараа бэлэн бүтээгдэхүүн БОЛОВСРУУЛАХ ЦЕХ /нарс/</v>
      </c>
      <c r="G2173" s="377"/>
      <c r="H2173" s="377">
        <v>54205.583807977768</v>
      </c>
      <c r="I2173" s="590">
        <f t="shared" si="212"/>
        <v>0</v>
      </c>
      <c r="J2173" s="152">
        <f t="shared" si="217"/>
        <v>0</v>
      </c>
      <c r="L2173" s="703">
        <v>3006</v>
      </c>
      <c r="M2173" s="152" t="str">
        <f>+IFERROR(VLOOKUP(L2173,DATA!$G$4:$H$2000,2,FALSE),"")</f>
        <v xml:space="preserve">ПАЙОНЕРИНГ ИНТЕРНЭШНЛ ХХК </v>
      </c>
      <c r="O2173" s="152" t="str">
        <f>IFERROR(VLOOKUP(N2173,DATA!$K$4:$L$51,2,FALSE),"")</f>
        <v/>
      </c>
      <c r="Q2173" s="152">
        <f t="shared" si="214"/>
        <v>0</v>
      </c>
    </row>
    <row r="2174" spans="2:17">
      <c r="B2174" s="671">
        <f t="shared" si="218"/>
        <v>2169</v>
      </c>
      <c r="C2174" s="694">
        <v>43038</v>
      </c>
      <c r="D2174" s="377" t="s">
        <v>2631</v>
      </c>
      <c r="E2174" s="572">
        <v>610100</v>
      </c>
      <c r="F2174" s="672" t="str">
        <f>IFERROR(VLOOKUP(E2174,STAT1!$C$4:$D$8000,2,FALSE),"")</f>
        <v>Борлуулсан барааны өртөг</v>
      </c>
      <c r="G2174" s="377">
        <v>54205.583807977768</v>
      </c>
      <c r="H2174" s="377"/>
      <c r="I2174" s="590">
        <f t="shared" si="212"/>
        <v>0</v>
      </c>
      <c r="J2174" s="152">
        <f t="shared" si="217"/>
        <v>0</v>
      </c>
      <c r="L2174" s="703">
        <v>3006</v>
      </c>
      <c r="M2174" s="152" t="str">
        <f>+IFERROR(VLOOKUP(L2174,DATA!$G$4:$H$2000,2,FALSE),"")</f>
        <v xml:space="preserve">ПАЙОНЕРИНГ ИНТЕРНЭШНЛ ХХК </v>
      </c>
      <c r="O2174" s="152" t="str">
        <f>IFERROR(VLOOKUP(N2174,DATA!$K$4:$L$51,2,FALSE),"")</f>
        <v/>
      </c>
      <c r="Q2174" s="152">
        <f t="shared" si="214"/>
        <v>0</v>
      </c>
    </row>
    <row r="2175" spans="2:17">
      <c r="B2175" s="671">
        <f t="shared" si="218"/>
        <v>2170</v>
      </c>
      <c r="C2175" s="694">
        <v>43038</v>
      </c>
      <c r="D2175" s="377" t="s">
        <v>587</v>
      </c>
      <c r="E2175" s="572">
        <v>310500</v>
      </c>
      <c r="F2175" s="672" t="str">
        <f>IFERROR(VLOOKUP(E2175,STAT1!$C$4:$D$8000,2,FALSE),"")</f>
        <v>НӨАТ өглөг</v>
      </c>
      <c r="G2175" s="377"/>
      <c r="H2175" s="377">
        <v>12150</v>
      </c>
      <c r="I2175" s="590">
        <f t="shared" si="212"/>
        <v>0</v>
      </c>
      <c r="J2175" s="152">
        <f t="shared" si="217"/>
        <v>0</v>
      </c>
      <c r="L2175" s="703">
        <v>3006</v>
      </c>
      <c r="M2175" s="152" t="str">
        <f>+IFERROR(VLOOKUP(L2175,DATA!$G$4:$H$2000,2,FALSE),"")</f>
        <v xml:space="preserve">ПАЙОНЕРИНГ ИНТЕРНЭШНЛ ХХК </v>
      </c>
      <c r="O2175" s="152" t="str">
        <f>IFERROR(VLOOKUP(N2175,DATA!$K$4:$L$51,2,FALSE),"")</f>
        <v/>
      </c>
      <c r="Q2175" s="152">
        <f t="shared" si="214"/>
        <v>0</v>
      </c>
    </row>
    <row r="2176" spans="2:17">
      <c r="B2176" s="671">
        <f t="shared" si="218"/>
        <v>2171</v>
      </c>
      <c r="C2176" s="694">
        <v>43038</v>
      </c>
      <c r="D2176" s="377" t="s">
        <v>587</v>
      </c>
      <c r="E2176" s="572">
        <v>510000</v>
      </c>
      <c r="F2176" s="672" t="str">
        <f>IFERROR(VLOOKUP(E2176,STAT1!$C$4:$D$8000,2,FALSE),"")</f>
        <v>Үндсэн үйл ажиллагааны борлуулалт</v>
      </c>
      <c r="G2176" s="377"/>
      <c r="H2176" s="377">
        <v>121500</v>
      </c>
      <c r="I2176" s="590">
        <f t="shared" si="212"/>
        <v>0</v>
      </c>
      <c r="J2176" s="152">
        <f t="shared" si="217"/>
        <v>0</v>
      </c>
      <c r="L2176" s="703">
        <v>3006</v>
      </c>
      <c r="M2176" s="152" t="str">
        <f>+IFERROR(VLOOKUP(L2176,DATA!$G$4:$H$2000,2,FALSE),"")</f>
        <v xml:space="preserve">ПАЙОНЕРИНГ ИНТЕРНЭШНЛ ХХК </v>
      </c>
      <c r="O2176" s="152" t="str">
        <f>IFERROR(VLOOKUP(N2176,DATA!$K$4:$L$51,2,FALSE),"")</f>
        <v/>
      </c>
      <c r="Q2176" s="152">
        <f t="shared" si="214"/>
        <v>0</v>
      </c>
    </row>
    <row r="2177" spans="2:17">
      <c r="B2177" s="671">
        <f t="shared" si="218"/>
        <v>2172</v>
      </c>
      <c r="C2177" s="694">
        <v>43038</v>
      </c>
      <c r="D2177" s="377" t="s">
        <v>587</v>
      </c>
      <c r="E2177" s="572">
        <v>320100</v>
      </c>
      <c r="F2177" s="672" t="str">
        <f>IFERROR(VLOOKUP(E2177,STAT1!$C$4:$D$8000,2,FALSE),"")</f>
        <v>Урьдчилж орсон орлого MNT</v>
      </c>
      <c r="G2177" s="377">
        <v>133650</v>
      </c>
      <c r="H2177" s="377"/>
      <c r="I2177" s="590">
        <f t="shared" si="212"/>
        <v>0</v>
      </c>
      <c r="J2177" s="152">
        <f t="shared" si="217"/>
        <v>0</v>
      </c>
      <c r="L2177" s="703">
        <v>3006</v>
      </c>
      <c r="M2177" s="152" t="str">
        <f>+IFERROR(VLOOKUP(L2177,DATA!$G$4:$H$2000,2,FALSE),"")</f>
        <v xml:space="preserve">ПАЙОНЕРИНГ ИНТЕРНЭШНЛ ХХК </v>
      </c>
      <c r="O2177" s="152" t="str">
        <f>IFERROR(VLOOKUP(N2177,DATA!$K$4:$L$51,2,FALSE),"")</f>
        <v/>
      </c>
      <c r="Q2177" s="152">
        <f t="shared" si="214"/>
        <v>0</v>
      </c>
    </row>
    <row r="2178" spans="2:17">
      <c r="B2178" s="671">
        <f t="shared" si="218"/>
        <v>2173</v>
      </c>
      <c r="C2178" s="685">
        <v>43039</v>
      </c>
      <c r="D2178" s="377" t="s">
        <v>1761</v>
      </c>
      <c r="E2178" s="572">
        <v>110100</v>
      </c>
      <c r="F2178" s="672" t="str">
        <f>IFERROR(VLOOKUP(E2178,STAT1!$C$4:$D$8000,2,FALSE),"")</f>
        <v>Хаан Банк 5024654020</v>
      </c>
      <c r="G2178" s="377"/>
      <c r="H2178" s="377">
        <v>6500000</v>
      </c>
      <c r="I2178" s="607">
        <f t="shared" si="212"/>
        <v>-6500000</v>
      </c>
      <c r="J2178" s="152">
        <f t="shared" si="217"/>
        <v>0</v>
      </c>
      <c r="L2178" s="703">
        <v>2002</v>
      </c>
      <c r="M2178" s="152" t="str">
        <f>+IFERROR(VLOOKUP(L2178,DATA!$G$4:$H$2000,2,FALSE),"")</f>
        <v xml:space="preserve">ХУД-н ЭМНД ХЭЛТЭС </v>
      </c>
      <c r="N2178" s="153">
        <v>52</v>
      </c>
      <c r="O2178" s="152" t="str">
        <f>IFERROR(VLOOKUP(N2178,DATA!$K$4:$L$51,2,FALSE),"")</f>
        <v>Нийгмийн даатгалын байгууллагад төлсөн</v>
      </c>
      <c r="Q2178" s="152">
        <f t="shared" si="214"/>
        <v>1</v>
      </c>
    </row>
    <row r="2179" spans="2:17">
      <c r="B2179" s="671">
        <f t="shared" si="218"/>
        <v>2174</v>
      </c>
      <c r="C2179" s="685">
        <v>43039</v>
      </c>
      <c r="D2179" s="377" t="s">
        <v>1761</v>
      </c>
      <c r="E2179" s="572">
        <v>120900</v>
      </c>
      <c r="F2179" s="672" t="str">
        <f>IFERROR(VLOOKUP(E2179,STAT1!$C$4:$D$8000,2,FALSE),"")</f>
        <v>НД-ын байгууллагаас авах авлага</v>
      </c>
      <c r="G2179" s="377">
        <v>6500000</v>
      </c>
      <c r="H2179" s="377"/>
      <c r="I2179" s="607">
        <f t="shared" si="212"/>
        <v>0</v>
      </c>
      <c r="J2179" s="152">
        <f t="shared" si="217"/>
        <v>0</v>
      </c>
      <c r="L2179" s="703">
        <v>2002</v>
      </c>
      <c r="M2179" s="152" t="str">
        <f>+IFERROR(VLOOKUP(L2179,DATA!$G$4:$H$2000,2,FALSE),"")</f>
        <v xml:space="preserve">ХУД-н ЭМНД ХЭЛТЭС </v>
      </c>
      <c r="O2179" s="152" t="str">
        <f>IFERROR(VLOOKUP(N2179,DATA!$K$4:$L$51,2,FALSE),"")</f>
        <v/>
      </c>
      <c r="Q2179" s="152">
        <f t="shared" ref="Q2179:Q2241" si="219">+IF(I2179,1,0)</f>
        <v>0</v>
      </c>
    </row>
    <row r="2180" spans="2:17">
      <c r="B2180" s="671">
        <f t="shared" si="218"/>
        <v>2175</v>
      </c>
      <c r="C2180" s="685">
        <v>43039</v>
      </c>
      <c r="D2180" s="377" t="s">
        <v>1741</v>
      </c>
      <c r="E2180" s="572">
        <v>110100</v>
      </c>
      <c r="F2180" s="672" t="str">
        <f>IFERROR(VLOOKUP(E2180,STAT1!$C$4:$D$8000,2,FALSE),"")</f>
        <v>Хаан Банк 5024654020</v>
      </c>
      <c r="G2180" s="377">
        <v>3660300</v>
      </c>
      <c r="H2180" s="377"/>
      <c r="I2180" s="607">
        <f t="shared" ref="I2180:I2243" si="220">+IF(OR(E2180=100100,E2180=100200,E2180=110100,E2180=110102,E2180=110103,E2180=110104,E2180=110105,E2180=110200,E2180=110201,E2180=110202,E2180=110203,E2180=110204,E2180=110300),G2180,0)+IF(OR(E2180=100100,E2180=100200,E2180=110100,E2180=110102,E2180=110103,E2180=110104,E2180=110105,E2180=110200,E2180=110201,E2180=110202,E2180=110203,E2180=110204,E2180=110300),H2180*-1,0)</f>
        <v>3660300</v>
      </c>
      <c r="J2180" s="152">
        <f t="shared" si="217"/>
        <v>0</v>
      </c>
      <c r="L2180" s="703">
        <v>3001</v>
      </c>
      <c r="M2180" s="152" t="str">
        <f>+IFERROR(VLOOKUP(L2180,DATA!$G$4:$H$2000,2,FALSE),"")</f>
        <v>ХУРД ГРУПП ХХК</v>
      </c>
      <c r="N2180" s="153">
        <v>41</v>
      </c>
      <c r="O2180" s="152" t="str">
        <f>IFERROR(VLOOKUP(N2180,DATA!$K$4:$L$51,2,FALSE),"")</f>
        <v>Бараа борлуулсан, үйлчилгээ үзүүлсэний орлого</v>
      </c>
      <c r="Q2180" s="152">
        <f t="shared" si="219"/>
        <v>1</v>
      </c>
    </row>
    <row r="2181" spans="2:17">
      <c r="B2181" s="671">
        <f t="shared" si="218"/>
        <v>2176</v>
      </c>
      <c r="C2181" s="685">
        <v>43039</v>
      </c>
      <c r="D2181" s="614" t="s">
        <v>1741</v>
      </c>
      <c r="E2181" s="572">
        <v>320100</v>
      </c>
      <c r="F2181" s="686" t="str">
        <f>IFERROR(VLOOKUP(E2181,STAT1!$C$4:$D$8000,2,FALSE),"")</f>
        <v>Урьдчилж орсон орлого MNT</v>
      </c>
      <c r="G2181" s="614"/>
      <c r="H2181" s="614">
        <v>3660300</v>
      </c>
      <c r="I2181" s="607">
        <f t="shared" si="220"/>
        <v>0</v>
      </c>
      <c r="J2181" s="152">
        <f t="shared" si="217"/>
        <v>0</v>
      </c>
      <c r="L2181" s="703">
        <v>3001</v>
      </c>
      <c r="M2181" s="152" t="str">
        <f>+IFERROR(VLOOKUP(L2181,DATA!$G$4:$H$2000,2,FALSE),"")</f>
        <v>ХУРД ГРУПП ХХК</v>
      </c>
      <c r="O2181" s="152" t="str">
        <f>IFERROR(VLOOKUP(N2181,DATA!$K$4:$L$51,2,FALSE),"")</f>
        <v/>
      </c>
      <c r="Q2181" s="152">
        <f t="shared" si="219"/>
        <v>0</v>
      </c>
    </row>
    <row r="2182" spans="2:17">
      <c r="B2182" s="671">
        <f t="shared" si="218"/>
        <v>2177</v>
      </c>
      <c r="C2182" s="685">
        <v>43039</v>
      </c>
      <c r="D2182" s="614" t="s">
        <v>1751</v>
      </c>
      <c r="E2182" s="572">
        <v>110100</v>
      </c>
      <c r="F2182" s="686" t="str">
        <f>IFERROR(VLOOKUP(E2182,STAT1!$C$4:$D$8000,2,FALSE),"")</f>
        <v>Хаан Банк 5024654020</v>
      </c>
      <c r="G2182" s="614"/>
      <c r="H2182" s="614">
        <v>2000</v>
      </c>
      <c r="I2182" s="607">
        <f t="shared" si="220"/>
        <v>-2000</v>
      </c>
      <c r="J2182" s="152">
        <f t="shared" si="217"/>
        <v>0</v>
      </c>
      <c r="L2182" s="703">
        <v>2009</v>
      </c>
      <c r="M2182" s="152" t="str">
        <f>+IFERROR(VLOOKUP(L2182,DATA!$G$4:$H$2000,2,FALSE),"")</f>
        <v>ХААН БАНК</v>
      </c>
      <c r="N2182" s="153">
        <v>59</v>
      </c>
      <c r="O2182" s="152" t="str">
        <f>IFERROR(VLOOKUP(N2182,DATA!$K$4:$L$51,2,FALSE),"")</f>
        <v>Бусад мөнгөн зарлага</v>
      </c>
      <c r="Q2182" s="152">
        <f t="shared" si="219"/>
        <v>1</v>
      </c>
    </row>
    <row r="2183" spans="2:17">
      <c r="B2183" s="671">
        <f t="shared" si="218"/>
        <v>2178</v>
      </c>
      <c r="C2183" s="685">
        <v>43039</v>
      </c>
      <c r="D2183" s="614" t="s">
        <v>1751</v>
      </c>
      <c r="E2183" s="572">
        <v>704900</v>
      </c>
      <c r="F2183" s="686" t="str">
        <f>IFERROR(VLOOKUP(E2183,STAT1!$C$4:$D$8000,2,FALSE),"")</f>
        <v>Банкны үйлчилгээ</v>
      </c>
      <c r="G2183" s="614">
        <v>2000</v>
      </c>
      <c r="H2183" s="614"/>
      <c r="I2183" s="607">
        <f t="shared" si="220"/>
        <v>0</v>
      </c>
      <c r="J2183" s="152">
        <f t="shared" si="217"/>
        <v>0</v>
      </c>
      <c r="L2183" s="703">
        <v>2009</v>
      </c>
      <c r="M2183" s="152" t="str">
        <f>+IFERROR(VLOOKUP(L2183,DATA!$G$4:$H$2000,2,FALSE),"")</f>
        <v>ХААН БАНК</v>
      </c>
      <c r="O2183" s="152" t="str">
        <f>IFERROR(VLOOKUP(N2183,DATA!$K$4:$L$51,2,FALSE),"")</f>
        <v/>
      </c>
      <c r="Q2183" s="152">
        <f t="shared" si="219"/>
        <v>0</v>
      </c>
    </row>
    <row r="2184" spans="2:17">
      <c r="B2184" s="671">
        <f t="shared" si="218"/>
        <v>2179</v>
      </c>
      <c r="C2184" s="685">
        <v>43039</v>
      </c>
      <c r="D2184" s="614" t="s">
        <v>1974</v>
      </c>
      <c r="E2184" s="577">
        <v>110100</v>
      </c>
      <c r="F2184" s="686" t="str">
        <f>IFERROR(VLOOKUP(E2184,STAT1!$C$4:$D$8000,2,FALSE),"")</f>
        <v>Хаан Банк 5024654020</v>
      </c>
      <c r="G2184" s="614"/>
      <c r="H2184" s="614">
        <v>500</v>
      </c>
      <c r="I2184" s="607">
        <f t="shared" si="220"/>
        <v>-500</v>
      </c>
      <c r="J2184" s="152">
        <f t="shared" si="217"/>
        <v>0</v>
      </c>
      <c r="L2184" s="703">
        <v>2009</v>
      </c>
      <c r="M2184" s="152" t="str">
        <f>+IFERROR(VLOOKUP(L2184,DATA!$G$4:$H$2000,2,FALSE),"")</f>
        <v>ХААН БАНК</v>
      </c>
      <c r="N2184" s="153">
        <v>59</v>
      </c>
      <c r="O2184" s="152" t="str">
        <f>IFERROR(VLOOKUP(N2184,DATA!$K$4:$L$51,2,FALSE),"")</f>
        <v>Бусад мөнгөн зарлага</v>
      </c>
      <c r="Q2184" s="152">
        <f t="shared" si="219"/>
        <v>1</v>
      </c>
    </row>
    <row r="2185" spans="2:17">
      <c r="B2185" s="671">
        <f t="shared" si="218"/>
        <v>2180</v>
      </c>
      <c r="C2185" s="685">
        <v>43039</v>
      </c>
      <c r="D2185" s="614" t="s">
        <v>1974</v>
      </c>
      <c r="E2185" s="572">
        <v>704900</v>
      </c>
      <c r="F2185" s="686" t="str">
        <f>IFERROR(VLOOKUP(E2185,STAT1!$C$4:$D$8000,2,FALSE),"")</f>
        <v>Банкны үйлчилгээ</v>
      </c>
      <c r="G2185" s="614">
        <v>500</v>
      </c>
      <c r="H2185" s="614"/>
      <c r="I2185" s="607">
        <f t="shared" si="220"/>
        <v>0</v>
      </c>
      <c r="J2185" s="152">
        <f t="shared" si="217"/>
        <v>0</v>
      </c>
      <c r="L2185" s="703">
        <v>2009</v>
      </c>
      <c r="M2185" s="152" t="str">
        <f>+IFERROR(VLOOKUP(L2185,DATA!$G$4:$H$2000,2,FALSE),"")</f>
        <v>ХААН БАНК</v>
      </c>
      <c r="O2185" s="152" t="str">
        <f>IFERROR(VLOOKUP(N2185,DATA!$K$4:$L$51,2,FALSE),"")</f>
        <v/>
      </c>
      <c r="Q2185" s="152">
        <f t="shared" si="219"/>
        <v>0</v>
      </c>
    </row>
    <row r="2186" spans="2:17">
      <c r="B2186" s="671">
        <f t="shared" si="218"/>
        <v>2181</v>
      </c>
      <c r="C2186" s="685">
        <v>43039</v>
      </c>
      <c r="D2186" s="696" t="s">
        <v>1977</v>
      </c>
      <c r="E2186" s="697">
        <v>700200</v>
      </c>
      <c r="F2186" s="686" t="str">
        <f>IFERROR(VLOOKUP(E2186,STAT1!$C$4:$D$8000,2,FALSE),"")</f>
        <v>НДШимтгэл</v>
      </c>
      <c r="G2186" s="698">
        <v>1382997.5</v>
      </c>
      <c r="H2186" s="699"/>
      <c r="I2186" s="607">
        <f t="shared" si="220"/>
        <v>0</v>
      </c>
      <c r="J2186" s="152">
        <f t="shared" si="217"/>
        <v>0</v>
      </c>
      <c r="L2186" s="703">
        <v>1004</v>
      </c>
      <c r="M2186" s="152" t="str">
        <f>+IFERROR(VLOOKUP(L2186,DATA!$G$4:$H$2000,2,FALSE),"")</f>
        <v xml:space="preserve">Түмэндэлгэр </v>
      </c>
      <c r="O2186" s="152" t="str">
        <f>IFERROR(VLOOKUP(N2186,DATA!$K$4:$L$51,2,FALSE),"")</f>
        <v/>
      </c>
      <c r="Q2186" s="152">
        <f t="shared" si="219"/>
        <v>0</v>
      </c>
    </row>
    <row r="2187" spans="2:17">
      <c r="B2187" s="671">
        <f t="shared" si="218"/>
        <v>2182</v>
      </c>
      <c r="C2187" s="685">
        <v>43039</v>
      </c>
      <c r="D2187" s="696" t="s">
        <v>1977</v>
      </c>
      <c r="E2187" s="700">
        <v>310800</v>
      </c>
      <c r="F2187" s="686" t="str">
        <f>IFERROR(VLOOKUP(E2187,STAT1!$C$4:$D$8000,2,FALSE),"")</f>
        <v>НД-ын байгууллагад өгөх өглөг</v>
      </c>
      <c r="G2187" s="699"/>
      <c r="H2187" s="698">
        <v>1382997.5</v>
      </c>
      <c r="I2187" s="607">
        <f t="shared" si="220"/>
        <v>0</v>
      </c>
      <c r="J2187" s="152">
        <f t="shared" si="217"/>
        <v>0</v>
      </c>
      <c r="L2187" s="703">
        <v>1004</v>
      </c>
      <c r="M2187" s="152" t="str">
        <f>+IFERROR(VLOOKUP(L2187,DATA!$G$4:$H$2000,2,FALSE),"")</f>
        <v xml:space="preserve">Түмэндэлгэр </v>
      </c>
      <c r="O2187" s="152" t="str">
        <f>IFERROR(VLOOKUP(N2187,DATA!$K$4:$L$51,2,FALSE),"")</f>
        <v/>
      </c>
      <c r="Q2187" s="152">
        <f t="shared" si="219"/>
        <v>0</v>
      </c>
    </row>
    <row r="2188" spans="2:17">
      <c r="B2188" s="671">
        <f t="shared" si="218"/>
        <v>2183</v>
      </c>
      <c r="C2188" s="685">
        <v>43039</v>
      </c>
      <c r="D2188" s="696" t="s">
        <v>1978</v>
      </c>
      <c r="E2188" s="700">
        <v>310800</v>
      </c>
      <c r="F2188" s="686" t="str">
        <f>IFERROR(VLOOKUP(E2188,STAT1!$C$4:$D$8000,2,FALSE),"")</f>
        <v>НД-ын байгууллагад өгөх өглөг</v>
      </c>
      <c r="G2188" s="699"/>
      <c r="H2188" s="698">
        <v>1151036.75</v>
      </c>
      <c r="I2188" s="607">
        <f t="shared" si="220"/>
        <v>0</v>
      </c>
      <c r="J2188" s="152">
        <f t="shared" si="217"/>
        <v>0</v>
      </c>
      <c r="L2188" s="703">
        <v>1004</v>
      </c>
      <c r="M2188" s="152" t="str">
        <f>+IFERROR(VLOOKUP(L2188,DATA!$G$4:$H$2000,2,FALSE),"")</f>
        <v xml:space="preserve">Түмэндэлгэр </v>
      </c>
      <c r="O2188" s="152" t="str">
        <f>IFERROR(VLOOKUP(N2188,DATA!$K$4:$L$51,2,FALSE),"")</f>
        <v/>
      </c>
      <c r="Q2188" s="152">
        <f t="shared" si="219"/>
        <v>0</v>
      </c>
    </row>
    <row r="2189" spans="2:17">
      <c r="B2189" s="671">
        <f t="shared" si="218"/>
        <v>2184</v>
      </c>
      <c r="C2189" s="685">
        <v>43039</v>
      </c>
      <c r="D2189" s="696" t="s">
        <v>1979</v>
      </c>
      <c r="E2189" s="700">
        <v>310700</v>
      </c>
      <c r="F2189" s="686" t="str">
        <f>IFERROR(VLOOKUP(E2189,STAT1!$C$4:$D$8000,2,FALSE),"")</f>
        <v>ХАОАТ өглөг</v>
      </c>
      <c r="G2189" s="699"/>
      <c r="H2189" s="698">
        <v>918700.07499999995</v>
      </c>
      <c r="I2189" s="607">
        <f t="shared" si="220"/>
        <v>0</v>
      </c>
      <c r="J2189" s="152">
        <f t="shared" si="217"/>
        <v>0</v>
      </c>
      <c r="L2189" s="703">
        <v>1004</v>
      </c>
      <c r="M2189" s="152" t="str">
        <f>+IFERROR(VLOOKUP(L2189,DATA!$G$4:$H$2000,2,FALSE),"")</f>
        <v xml:space="preserve">Түмэндэлгэр </v>
      </c>
      <c r="O2189" s="152" t="str">
        <f>IFERROR(VLOOKUP(N2189,DATA!$K$4:$L$51,2,FALSE),"")</f>
        <v/>
      </c>
      <c r="Q2189" s="152">
        <f t="shared" si="219"/>
        <v>0</v>
      </c>
    </row>
    <row r="2190" spans="2:17">
      <c r="B2190" s="671">
        <f t="shared" si="218"/>
        <v>2185</v>
      </c>
      <c r="C2190" s="685">
        <v>43039</v>
      </c>
      <c r="D2190" s="696" t="s">
        <v>1980</v>
      </c>
      <c r="E2190" s="700">
        <v>311000</v>
      </c>
      <c r="F2190" s="686" t="str">
        <f>IFERROR(VLOOKUP(E2190,STAT1!$C$4:$D$8000,2,FALSE),"")</f>
        <v>Цалингийн өглөг</v>
      </c>
      <c r="G2190" s="699"/>
      <c r="H2190" s="698">
        <v>9528300.6750000007</v>
      </c>
      <c r="I2190" s="607">
        <f t="shared" si="220"/>
        <v>0</v>
      </c>
      <c r="J2190" s="152">
        <f t="shared" si="217"/>
        <v>0</v>
      </c>
      <c r="L2190" s="703">
        <v>1004</v>
      </c>
      <c r="M2190" s="152" t="str">
        <f>+IFERROR(VLOOKUP(L2190,DATA!$G$4:$H$2000,2,FALSE),"")</f>
        <v xml:space="preserve">Түмэндэлгэр </v>
      </c>
      <c r="O2190" s="152" t="str">
        <f>IFERROR(VLOOKUP(N2190,DATA!$K$4:$L$51,2,FALSE),"")</f>
        <v/>
      </c>
      <c r="Q2190" s="152">
        <f t="shared" si="219"/>
        <v>0</v>
      </c>
    </row>
    <row r="2191" spans="2:17">
      <c r="B2191" s="671">
        <f t="shared" si="218"/>
        <v>2186</v>
      </c>
      <c r="C2191" s="685">
        <v>43039</v>
      </c>
      <c r="D2191" s="696" t="s">
        <v>2704</v>
      </c>
      <c r="E2191" s="700">
        <v>700100</v>
      </c>
      <c r="F2191" s="686" t="str">
        <f>IFERROR(VLOOKUP(E2191,STAT1!$C$4:$D$8000,2,FALSE),"")</f>
        <v>Цалин хөлс, шагнал</v>
      </c>
      <c r="G2191" s="701">
        <v>11598037.5</v>
      </c>
      <c r="H2191" s="696"/>
      <c r="I2191" s="607">
        <f t="shared" si="220"/>
        <v>0</v>
      </c>
      <c r="J2191" s="152">
        <f t="shared" si="217"/>
        <v>0</v>
      </c>
      <c r="L2191" s="703">
        <v>1004</v>
      </c>
      <c r="M2191" s="152" t="str">
        <f>+IFERROR(VLOOKUP(L2191,DATA!$G$4:$H$2000,2,FALSE),"")</f>
        <v xml:space="preserve">Түмэндэлгэр </v>
      </c>
      <c r="O2191" s="152" t="str">
        <f>IFERROR(VLOOKUP(N2191,DATA!$K$4:$L$51,2,FALSE),"")</f>
        <v/>
      </c>
      <c r="Q2191" s="152">
        <f t="shared" si="219"/>
        <v>0</v>
      </c>
    </row>
    <row r="2192" spans="2:17">
      <c r="B2192" s="671">
        <f t="shared" si="218"/>
        <v>2187</v>
      </c>
      <c r="C2192" s="685">
        <v>43039</v>
      </c>
      <c r="D2192" s="614" t="s">
        <v>2129</v>
      </c>
      <c r="E2192" s="577">
        <v>100100</v>
      </c>
      <c r="F2192" s="686" t="str">
        <f>IFERROR(VLOOKUP(E2192,STAT1!$C$4:$D$8000,2,FALSE),"")</f>
        <v>Касс мөнгө MNT</v>
      </c>
      <c r="G2192" s="614"/>
      <c r="H2192" s="614">
        <v>9528300.6799999997</v>
      </c>
      <c r="I2192" s="607">
        <f t="shared" si="220"/>
        <v>-9528300.6799999997</v>
      </c>
      <c r="J2192" s="152">
        <f t="shared" si="217"/>
        <v>0</v>
      </c>
      <c r="L2192" s="703">
        <v>1004</v>
      </c>
      <c r="M2192" s="152" t="str">
        <f>+IFERROR(VLOOKUP(L2192,DATA!$G$4:$H$2000,2,FALSE),"")</f>
        <v xml:space="preserve">Түмэндэлгэр </v>
      </c>
      <c r="N2192" s="153">
        <v>51</v>
      </c>
      <c r="O2192" s="152" t="str">
        <f>IFERROR(VLOOKUP(N2192,DATA!$K$4:$L$51,2,FALSE),"")</f>
        <v>Ажиллагчдад төлсөн</v>
      </c>
      <c r="Q2192" s="152">
        <f t="shared" si="219"/>
        <v>1</v>
      </c>
    </row>
    <row r="2193" spans="2:17">
      <c r="B2193" s="671">
        <f t="shared" si="218"/>
        <v>2188</v>
      </c>
      <c r="C2193" s="685">
        <v>43039</v>
      </c>
      <c r="D2193" s="614" t="s">
        <v>2129</v>
      </c>
      <c r="E2193" s="577">
        <v>311000</v>
      </c>
      <c r="F2193" s="686" t="str">
        <f>IFERROR(VLOOKUP(E2193,STAT1!$C$4:$D$8000,2,FALSE),"")</f>
        <v>Цалингийн өглөг</v>
      </c>
      <c r="G2193" s="614">
        <v>9528300.6799999997</v>
      </c>
      <c r="H2193" s="614"/>
      <c r="I2193" s="607">
        <f t="shared" si="220"/>
        <v>0</v>
      </c>
      <c r="J2193" s="152">
        <f t="shared" si="217"/>
        <v>0</v>
      </c>
      <c r="L2193" s="703">
        <v>1004</v>
      </c>
      <c r="M2193" s="152" t="str">
        <f>+IFERROR(VLOOKUP(L2193,DATA!$G$4:$H$2000,2,FALSE),"")</f>
        <v xml:space="preserve">Түмэндэлгэр </v>
      </c>
      <c r="O2193" s="152" t="str">
        <f>IFERROR(VLOOKUP(N2193,DATA!$K$4:$L$51,2,FALSE),"")</f>
        <v/>
      </c>
      <c r="Q2193" s="152">
        <f t="shared" si="219"/>
        <v>0</v>
      </c>
    </row>
    <row r="2194" spans="2:17">
      <c r="B2194" s="671">
        <f t="shared" si="218"/>
        <v>2189</v>
      </c>
      <c r="C2194" s="691">
        <v>43039</v>
      </c>
      <c r="D2194" s="693" t="s">
        <v>2138</v>
      </c>
      <c r="E2194" s="692">
        <v>510100</v>
      </c>
      <c r="F2194" s="686" t="str">
        <f>IFERROR(VLOOKUP(E2194,STAT1!$C$4:$D$8000,2,FALSE),"")</f>
        <v>Үзүүлсэн ажил үйлчилгээний орлого</v>
      </c>
      <c r="G2194" s="614"/>
      <c r="H2194" s="614">
        <v>11690909.1</v>
      </c>
      <c r="I2194" s="607">
        <f t="shared" si="220"/>
        <v>0</v>
      </c>
      <c r="J2194" s="152">
        <f t="shared" si="217"/>
        <v>0</v>
      </c>
      <c r="L2194" s="703">
        <v>3099</v>
      </c>
      <c r="M2194" s="152" t="str">
        <f>+IFERROR(VLOOKUP(L2194,DATA!$G$4:$H$2000,2,FALSE),"")</f>
        <v>ÃÐÀÍÄ ÑËÀÁ ÕÕÊ</v>
      </c>
      <c r="O2194" s="152" t="str">
        <f>IFERROR(VLOOKUP(N2194,DATA!$K$4:$L$51,2,FALSE),"")</f>
        <v/>
      </c>
      <c r="Q2194" s="152">
        <f t="shared" si="219"/>
        <v>0</v>
      </c>
    </row>
    <row r="2195" spans="2:17">
      <c r="B2195" s="671">
        <f t="shared" si="218"/>
        <v>2190</v>
      </c>
      <c r="C2195" s="691">
        <v>43039</v>
      </c>
      <c r="D2195" s="693" t="s">
        <v>2138</v>
      </c>
      <c r="E2195" s="692">
        <v>310500</v>
      </c>
      <c r="F2195" s="686" t="str">
        <f>IFERROR(VLOOKUP(E2195,STAT1!$C$4:$D$8000,2,FALSE),"")</f>
        <v>НӨАТ өглөг</v>
      </c>
      <c r="G2195" s="614"/>
      <c r="H2195" s="614">
        <v>1169090.8999999999</v>
      </c>
      <c r="I2195" s="607">
        <f t="shared" si="220"/>
        <v>0</v>
      </c>
      <c r="J2195" s="152">
        <f t="shared" si="217"/>
        <v>0</v>
      </c>
      <c r="L2195" s="703">
        <v>3099</v>
      </c>
      <c r="M2195" s="152" t="str">
        <f>+IFERROR(VLOOKUP(L2195,DATA!$G$4:$H$2000,2,FALSE),"")</f>
        <v>ÃÐÀÍÄ ÑËÀÁ ÕÕÊ</v>
      </c>
      <c r="O2195" s="152" t="str">
        <f>IFERROR(VLOOKUP(N2195,DATA!$K$4:$L$51,2,FALSE),"")</f>
        <v/>
      </c>
      <c r="Q2195" s="152">
        <f t="shared" si="219"/>
        <v>0</v>
      </c>
    </row>
    <row r="2196" spans="2:17">
      <c r="B2196" s="671">
        <f t="shared" si="218"/>
        <v>2191</v>
      </c>
      <c r="C2196" s="691">
        <v>43039</v>
      </c>
      <c r="D2196" s="693" t="s">
        <v>2138</v>
      </c>
      <c r="E2196" s="692">
        <v>122000</v>
      </c>
      <c r="F2196" s="686" t="str">
        <f>IFERROR(VLOOKUP(E2196,STAT1!$C$4:$D$8000,2,FALSE),"")</f>
        <v>Борлуулалтын авлагын түр тооцоо MNT</v>
      </c>
      <c r="G2196" s="614">
        <v>12860000</v>
      </c>
      <c r="H2196" s="614"/>
      <c r="I2196" s="607">
        <f t="shared" si="220"/>
        <v>0</v>
      </c>
      <c r="J2196" s="152">
        <f t="shared" si="217"/>
        <v>0</v>
      </c>
      <c r="L2196" s="703">
        <v>3099</v>
      </c>
      <c r="M2196" s="152" t="str">
        <f>+IFERROR(VLOOKUP(L2196,DATA!$G$4:$H$2000,2,FALSE),"")</f>
        <v>ÃÐÀÍÄ ÑËÀÁ ÕÕÊ</v>
      </c>
      <c r="O2196" s="152" t="str">
        <f>IFERROR(VLOOKUP(N2196,DATA!$K$4:$L$51,2,FALSE),"")</f>
        <v/>
      </c>
      <c r="Q2196" s="152">
        <f t="shared" si="219"/>
        <v>0</v>
      </c>
    </row>
    <row r="2197" spans="2:17">
      <c r="B2197" s="671">
        <f t="shared" si="218"/>
        <v>2192</v>
      </c>
      <c r="C2197" s="691">
        <v>43039</v>
      </c>
      <c r="D2197" s="693" t="s">
        <v>2139</v>
      </c>
      <c r="E2197" s="692">
        <v>510100</v>
      </c>
      <c r="F2197" s="686" t="str">
        <f>IFERROR(VLOOKUP(E2197,STAT1!$C$4:$D$8000,2,FALSE),"")</f>
        <v>Үзүүлсэн ажил үйлчилгээний орлого</v>
      </c>
      <c r="G2197" s="614"/>
      <c r="H2197" s="614">
        <v>8327545.5</v>
      </c>
      <c r="I2197" s="607">
        <f t="shared" si="220"/>
        <v>0</v>
      </c>
      <c r="J2197" s="152">
        <f t="shared" si="217"/>
        <v>0</v>
      </c>
      <c r="L2197" s="703">
        <v>3001</v>
      </c>
      <c r="M2197" s="152" t="str">
        <f>+IFERROR(VLOOKUP(L2197,DATA!$G$4:$H$2000,2,FALSE),"")</f>
        <v>ХУРД ГРУПП ХХК</v>
      </c>
      <c r="O2197" s="152" t="str">
        <f>IFERROR(VLOOKUP(N2197,DATA!$K$4:$L$51,2,FALSE),"")</f>
        <v/>
      </c>
      <c r="Q2197" s="152">
        <f t="shared" si="219"/>
        <v>0</v>
      </c>
    </row>
    <row r="2198" spans="2:17">
      <c r="B2198" s="671">
        <f t="shared" si="218"/>
        <v>2193</v>
      </c>
      <c r="C2198" s="691">
        <v>43039</v>
      </c>
      <c r="D2198" s="693" t="s">
        <v>2139</v>
      </c>
      <c r="E2198" s="692">
        <v>310500</v>
      </c>
      <c r="F2198" s="686" t="str">
        <f>IFERROR(VLOOKUP(E2198,STAT1!$C$4:$D$8000,2,FALSE),"")</f>
        <v>НӨАТ өглөг</v>
      </c>
      <c r="G2198" s="614"/>
      <c r="H2198" s="614">
        <v>832754.5</v>
      </c>
      <c r="I2198" s="607">
        <f t="shared" si="220"/>
        <v>0</v>
      </c>
      <c r="J2198" s="152">
        <f t="shared" si="217"/>
        <v>0</v>
      </c>
      <c r="L2198" s="703">
        <v>3001</v>
      </c>
      <c r="M2198" s="152" t="str">
        <f>+IFERROR(VLOOKUP(L2198,DATA!$G$4:$H$2000,2,FALSE),"")</f>
        <v>ХУРД ГРУПП ХХК</v>
      </c>
      <c r="O2198" s="152" t="str">
        <f>IFERROR(VLOOKUP(N2198,DATA!$K$4:$L$51,2,FALSE),"")</f>
        <v/>
      </c>
      <c r="Q2198" s="152">
        <f t="shared" si="219"/>
        <v>0</v>
      </c>
    </row>
    <row r="2199" spans="2:17">
      <c r="B2199" s="671">
        <f t="shared" si="218"/>
        <v>2194</v>
      </c>
      <c r="C2199" s="685">
        <v>43039</v>
      </c>
      <c r="D2199" s="614" t="s">
        <v>2139</v>
      </c>
      <c r="E2199" s="577">
        <v>122000</v>
      </c>
      <c r="F2199" s="686" t="str">
        <f>IFERROR(VLOOKUP(E2199,STAT1!$C$4:$D$8000,2,FALSE),"")</f>
        <v>Борлуулалтын авлагын түр тооцоо MNT</v>
      </c>
      <c r="G2199" s="614">
        <v>9160300</v>
      </c>
      <c r="H2199" s="614"/>
      <c r="I2199" s="607">
        <f t="shared" si="220"/>
        <v>0</v>
      </c>
      <c r="J2199" s="152">
        <f t="shared" si="217"/>
        <v>0</v>
      </c>
      <c r="L2199" s="703">
        <v>3001</v>
      </c>
      <c r="M2199" s="152" t="str">
        <f>+IFERROR(VLOOKUP(L2199,DATA!$G$4:$H$2000,2,FALSE),"")</f>
        <v>ХУРД ГРУПП ХХК</v>
      </c>
      <c r="O2199" s="152" t="str">
        <f>IFERROR(VLOOKUP(N2199,DATA!$K$4:$L$51,2,FALSE),"")</f>
        <v/>
      </c>
      <c r="Q2199" s="152">
        <f t="shared" si="219"/>
        <v>0</v>
      </c>
    </row>
    <row r="2200" spans="2:17">
      <c r="B2200" s="671">
        <f t="shared" si="218"/>
        <v>2195</v>
      </c>
      <c r="C2200" s="685">
        <v>43039</v>
      </c>
      <c r="D2200" s="614" t="s">
        <v>2140</v>
      </c>
      <c r="E2200" s="692">
        <v>120600</v>
      </c>
      <c r="F2200" s="686" t="str">
        <f>IFERROR(VLOOKUP(E2200,STAT1!$C$4:$D$8000,2,FALSE),"")</f>
        <v>НӨАТ авлага</v>
      </c>
      <c r="G2200" s="614">
        <v>10918.18</v>
      </c>
      <c r="H2200" s="614"/>
      <c r="I2200" s="607">
        <f t="shared" si="220"/>
        <v>0</v>
      </c>
      <c r="J2200" s="152">
        <f t="shared" si="217"/>
        <v>0</v>
      </c>
      <c r="L2200" s="703">
        <v>1005</v>
      </c>
      <c r="M2200" s="152" t="str">
        <f>+IFERROR(VLOOKUP(L2200,DATA!$G$4:$H$2000,2,FALSE),"")</f>
        <v>Золжаргал</v>
      </c>
      <c r="O2200" s="152" t="str">
        <f>IFERROR(VLOOKUP(N2200,DATA!$K$4:$L$51,2,FALSE),"")</f>
        <v/>
      </c>
      <c r="Q2200" s="152">
        <f t="shared" si="219"/>
        <v>0</v>
      </c>
    </row>
    <row r="2201" spans="2:17">
      <c r="B2201" s="671">
        <f t="shared" si="218"/>
        <v>2196</v>
      </c>
      <c r="C2201" s="685">
        <v>43039</v>
      </c>
      <c r="D2201" s="614" t="s">
        <v>2140</v>
      </c>
      <c r="E2201" s="692">
        <v>702000</v>
      </c>
      <c r="F2201" s="686" t="str">
        <f>IFERROR(VLOOKUP(E2201,STAT1!$C$4:$D$8000,2,FALSE),"")</f>
        <v>Түлш, шатахуун</v>
      </c>
      <c r="G2201" s="614"/>
      <c r="H2201" s="614">
        <v>10918.18</v>
      </c>
      <c r="I2201" s="607">
        <f t="shared" si="220"/>
        <v>0</v>
      </c>
      <c r="J2201" s="152">
        <f t="shared" si="217"/>
        <v>0</v>
      </c>
      <c r="L2201" s="703">
        <v>1005</v>
      </c>
      <c r="M2201" s="152" t="str">
        <f>+IFERROR(VLOOKUP(L2201,DATA!$G$4:$H$2000,2,FALSE),"")</f>
        <v>Золжаргал</v>
      </c>
      <c r="O2201" s="152" t="str">
        <f>IFERROR(VLOOKUP(N2201,DATA!$K$4:$L$51,2,FALSE),"")</f>
        <v/>
      </c>
      <c r="Q2201" s="152">
        <f t="shared" si="219"/>
        <v>0</v>
      </c>
    </row>
    <row r="2202" spans="2:17">
      <c r="B2202" s="671">
        <f t="shared" si="218"/>
        <v>2197</v>
      </c>
      <c r="C2202" s="685">
        <v>43040</v>
      </c>
      <c r="D2202" s="614" t="s">
        <v>2147</v>
      </c>
      <c r="E2202" s="692">
        <v>110100</v>
      </c>
      <c r="F2202" s="686" t="str">
        <f>IFERROR(VLOOKUP(E2202,STAT1!$C$4:$D$8000,2,FALSE),"")</f>
        <v>Хаан Банк 5024654020</v>
      </c>
      <c r="G2202" s="614"/>
      <c r="H2202" s="614">
        <v>13500000</v>
      </c>
      <c r="I2202" s="607">
        <f t="shared" si="220"/>
        <v>-13500000</v>
      </c>
      <c r="J2202" s="152">
        <f t="shared" si="217"/>
        <v>0</v>
      </c>
      <c r="L2202" s="703">
        <v>1005</v>
      </c>
      <c r="M2202" s="152" t="str">
        <f>+IFERROR(VLOOKUP(L2202,DATA!$G$4:$H$2000,2,FALSE),"")</f>
        <v>Золжаргал</v>
      </c>
      <c r="O2202" s="152" t="str">
        <f>IFERROR(VLOOKUP(N2202,DATA!$K$4:$L$51,2,FALSE),"")</f>
        <v/>
      </c>
      <c r="Q2202" s="152">
        <f t="shared" si="219"/>
        <v>1</v>
      </c>
    </row>
    <row r="2203" spans="2:17">
      <c r="B2203" s="671">
        <f t="shared" si="218"/>
        <v>2198</v>
      </c>
      <c r="C2203" s="685">
        <v>43040</v>
      </c>
      <c r="D2203" s="614" t="s">
        <v>2147</v>
      </c>
      <c r="E2203" s="692">
        <v>100100</v>
      </c>
      <c r="F2203" s="686" t="str">
        <f>IFERROR(VLOOKUP(E2203,STAT1!$C$4:$D$8000,2,FALSE),"")</f>
        <v>Касс мөнгө MNT</v>
      </c>
      <c r="G2203" s="614">
        <v>13500000</v>
      </c>
      <c r="H2203" s="614"/>
      <c r="I2203" s="590">
        <f t="shared" si="220"/>
        <v>13500000</v>
      </c>
      <c r="J2203" s="152">
        <f t="shared" si="217"/>
        <v>0</v>
      </c>
      <c r="L2203" s="703">
        <v>1005</v>
      </c>
      <c r="M2203" s="152" t="str">
        <f>+IFERROR(VLOOKUP(L2203,DATA!$G$4:$H$2000,2,FALSE),"")</f>
        <v>Золжаргал</v>
      </c>
      <c r="O2203" s="152" t="str">
        <f>IFERROR(VLOOKUP(N2203,DATA!$K$4:$L$51,2,FALSE),"")</f>
        <v/>
      </c>
      <c r="Q2203" s="152">
        <f t="shared" si="219"/>
        <v>1</v>
      </c>
    </row>
    <row r="2204" spans="2:17">
      <c r="B2204" s="671">
        <f t="shared" si="218"/>
        <v>2199</v>
      </c>
      <c r="C2204" s="685">
        <v>43040</v>
      </c>
      <c r="D2204" s="614" t="s">
        <v>1741</v>
      </c>
      <c r="E2204" s="692">
        <v>110100</v>
      </c>
      <c r="F2204" s="686" t="str">
        <f>IFERROR(VLOOKUP(E2204,STAT1!$C$4:$D$8000,2,FALSE),"")</f>
        <v>Хаан Банк 5024654020</v>
      </c>
      <c r="G2204" s="614">
        <v>1231200</v>
      </c>
      <c r="H2204" s="614"/>
      <c r="I2204" s="590">
        <f t="shared" si="220"/>
        <v>1231200</v>
      </c>
      <c r="J2204" s="152">
        <f t="shared" si="217"/>
        <v>0</v>
      </c>
      <c r="L2204" s="703">
        <v>3051</v>
      </c>
      <c r="M2204" s="152" t="str">
        <f>+IFERROR(VLOOKUP(L2204,DATA!$G$4:$H$2000,2,FALSE),"")</f>
        <v xml:space="preserve">НОМАДС ТУР ХХК </v>
      </c>
      <c r="N2204" s="153">
        <v>41</v>
      </c>
      <c r="O2204" s="152" t="str">
        <f>IFERROR(VLOOKUP(N2204,DATA!$K$4:$L$51,2,FALSE),"")</f>
        <v>Бараа борлуулсан, үйлчилгээ үзүүлсэний орлого</v>
      </c>
      <c r="Q2204" s="152">
        <f t="shared" si="219"/>
        <v>1</v>
      </c>
    </row>
    <row r="2205" spans="2:17">
      <c r="B2205" s="671">
        <f t="shared" si="218"/>
        <v>2200</v>
      </c>
      <c r="C2205" s="685">
        <v>43040</v>
      </c>
      <c r="D2205" s="614" t="s">
        <v>1741</v>
      </c>
      <c r="E2205" s="692">
        <v>320100</v>
      </c>
      <c r="F2205" s="686" t="str">
        <f>IFERROR(VLOOKUP(E2205,STAT1!$C$4:$D$8000,2,FALSE),"")</f>
        <v>Урьдчилж орсон орлого MNT</v>
      </c>
      <c r="G2205" s="614"/>
      <c r="H2205" s="614">
        <v>1231200</v>
      </c>
      <c r="I2205" s="590">
        <f t="shared" si="220"/>
        <v>0</v>
      </c>
      <c r="J2205" s="152">
        <f t="shared" si="217"/>
        <v>0</v>
      </c>
      <c r="L2205" s="703">
        <v>3051</v>
      </c>
      <c r="M2205" s="152" t="str">
        <f>+IFERROR(VLOOKUP(L2205,DATA!$G$4:$H$2000,2,FALSE),"")</f>
        <v xml:space="preserve">НОМАДС ТУР ХХК </v>
      </c>
      <c r="O2205" s="152" t="str">
        <f>IFERROR(VLOOKUP(N2205,DATA!$K$4:$L$51,2,FALSE),"")</f>
        <v/>
      </c>
      <c r="Q2205" s="152">
        <f t="shared" si="219"/>
        <v>0</v>
      </c>
    </row>
    <row r="2206" spans="2:17">
      <c r="B2206" s="671">
        <f t="shared" si="218"/>
        <v>2201</v>
      </c>
      <c r="C2206" s="685">
        <v>43040</v>
      </c>
      <c r="D2206" s="614" t="s">
        <v>1741</v>
      </c>
      <c r="E2206" s="692">
        <v>110100</v>
      </c>
      <c r="F2206" s="686" t="str">
        <f>IFERROR(VLOOKUP(E2206,STAT1!$C$4:$D$8000,2,FALSE),"")</f>
        <v>Хаан Банк 5024654020</v>
      </c>
      <c r="G2206" s="614">
        <v>12860000</v>
      </c>
      <c r="H2206" s="614"/>
      <c r="I2206" s="590">
        <f t="shared" si="220"/>
        <v>12860000</v>
      </c>
      <c r="J2206" s="152">
        <f t="shared" si="217"/>
        <v>0</v>
      </c>
      <c r="L2206" s="703">
        <v>3099</v>
      </c>
      <c r="M2206" s="152" t="str">
        <f>+IFERROR(VLOOKUP(L2206,DATA!$G$4:$H$2000,2,FALSE),"")</f>
        <v>ÃÐÀÍÄ ÑËÀÁ ÕÕÊ</v>
      </c>
      <c r="N2206" s="153">
        <v>41</v>
      </c>
      <c r="O2206" s="152" t="str">
        <f>IFERROR(VLOOKUP(N2206,DATA!$K$4:$L$51,2,FALSE),"")</f>
        <v>Бараа борлуулсан, үйлчилгээ үзүүлсэний орлого</v>
      </c>
      <c r="Q2206" s="152">
        <f t="shared" si="219"/>
        <v>1</v>
      </c>
    </row>
    <row r="2207" spans="2:17">
      <c r="B2207" s="671">
        <f t="shared" si="218"/>
        <v>2202</v>
      </c>
      <c r="C2207" s="685">
        <v>43040</v>
      </c>
      <c r="D2207" s="614" t="s">
        <v>1741</v>
      </c>
      <c r="E2207" s="692">
        <v>320100</v>
      </c>
      <c r="F2207" s="686" t="str">
        <f>IFERROR(VLOOKUP(E2207,STAT1!$C$4:$D$8000,2,FALSE),"")</f>
        <v>Урьдчилж орсон орлого MNT</v>
      </c>
      <c r="G2207" s="614"/>
      <c r="H2207" s="614">
        <v>12860000</v>
      </c>
      <c r="I2207" s="590">
        <f t="shared" si="220"/>
        <v>0</v>
      </c>
      <c r="J2207" s="152">
        <f t="shared" si="217"/>
        <v>0</v>
      </c>
      <c r="L2207" s="703">
        <v>3099</v>
      </c>
      <c r="M2207" s="152" t="str">
        <f>+IFERROR(VLOOKUP(L2207,DATA!$G$4:$H$2000,2,FALSE),"")</f>
        <v>ÃÐÀÍÄ ÑËÀÁ ÕÕÊ</v>
      </c>
      <c r="O2207" s="152" t="str">
        <f>IFERROR(VLOOKUP(N2207,DATA!$K$4:$L$51,2,FALSE),"")</f>
        <v/>
      </c>
      <c r="Q2207" s="152">
        <f t="shared" si="219"/>
        <v>0</v>
      </c>
    </row>
    <row r="2208" spans="2:17">
      <c r="B2208" s="671">
        <f t="shared" si="218"/>
        <v>2203</v>
      </c>
      <c r="C2208" s="685">
        <v>43041</v>
      </c>
      <c r="D2208" s="614" t="s">
        <v>2147</v>
      </c>
      <c r="E2208" s="692">
        <v>110100</v>
      </c>
      <c r="F2208" s="686" t="str">
        <f>IFERROR(VLOOKUP(E2208,STAT1!$C$4:$D$8000,2,FALSE),"")</f>
        <v>Хаан Банк 5024654020</v>
      </c>
      <c r="G2208" s="614"/>
      <c r="H2208" s="614">
        <v>14300000</v>
      </c>
      <c r="I2208" s="590">
        <f t="shared" si="220"/>
        <v>-14300000</v>
      </c>
      <c r="J2208" s="152">
        <f t="shared" si="217"/>
        <v>0</v>
      </c>
      <c r="L2208" s="703">
        <v>1003</v>
      </c>
      <c r="M2208" s="152" t="str">
        <f>+IFERROR(VLOOKUP(L2208,DATA!$G$4:$H$2000,2,FALSE),"")</f>
        <v>Бахдамдэмбэрэл</v>
      </c>
      <c r="O2208" s="152" t="str">
        <f>IFERROR(VLOOKUP(N2208,DATA!$K$4:$L$51,2,FALSE),"")</f>
        <v/>
      </c>
      <c r="Q2208" s="152">
        <f t="shared" si="219"/>
        <v>1</v>
      </c>
    </row>
    <row r="2209" spans="2:17">
      <c r="B2209" s="671">
        <f t="shared" si="218"/>
        <v>2204</v>
      </c>
      <c r="C2209" s="685">
        <v>43041</v>
      </c>
      <c r="D2209" s="614" t="s">
        <v>2147</v>
      </c>
      <c r="E2209" s="692">
        <v>100100</v>
      </c>
      <c r="F2209" s="686" t="str">
        <f>IFERROR(VLOOKUP(E2209,STAT1!$C$4:$D$8000,2,FALSE),"")</f>
        <v>Касс мөнгө MNT</v>
      </c>
      <c r="G2209" s="614">
        <v>14300000</v>
      </c>
      <c r="H2209" s="614"/>
      <c r="I2209" s="590">
        <f t="shared" si="220"/>
        <v>14300000</v>
      </c>
      <c r="J2209" s="152">
        <f t="shared" si="217"/>
        <v>0</v>
      </c>
      <c r="L2209" s="703">
        <v>1003</v>
      </c>
      <c r="M2209" s="152" t="str">
        <f>+IFERROR(VLOOKUP(L2209,DATA!$G$4:$H$2000,2,FALSE),"")</f>
        <v>Бахдамдэмбэрэл</v>
      </c>
      <c r="O2209" s="152" t="str">
        <f>IFERROR(VLOOKUP(N2209,DATA!$K$4:$L$51,2,FALSE),"")</f>
        <v/>
      </c>
      <c r="Q2209" s="152">
        <f t="shared" si="219"/>
        <v>1</v>
      </c>
    </row>
    <row r="2210" spans="2:17">
      <c r="B2210" s="671">
        <f t="shared" si="218"/>
        <v>2205</v>
      </c>
      <c r="C2210" s="685">
        <v>43044</v>
      </c>
      <c r="D2210" s="614" t="s">
        <v>1741</v>
      </c>
      <c r="E2210" s="572">
        <v>100100</v>
      </c>
      <c r="F2210" s="686" t="str">
        <f>IFERROR(VLOOKUP(E2210,STAT1!$C$4:$D$8000,2,FALSE),"")</f>
        <v>Касс мөнгө MNT</v>
      </c>
      <c r="G2210" s="614">
        <v>215440</v>
      </c>
      <c r="H2210" s="614"/>
      <c r="I2210" s="590">
        <f t="shared" si="220"/>
        <v>215440</v>
      </c>
      <c r="J2210" s="152">
        <f t="shared" si="217"/>
        <v>0</v>
      </c>
      <c r="L2210" s="703">
        <v>3067</v>
      </c>
      <c r="M2210" s="152" t="str">
        <f>+IFERROR(VLOOKUP(L2210,DATA!$G$4:$H$2000,2,FALSE),"")</f>
        <v>ЦЭЦЭН УРЧУУД ХХК</v>
      </c>
      <c r="N2210" s="153">
        <v>41</v>
      </c>
      <c r="O2210" s="152" t="str">
        <f>IFERROR(VLOOKUP(N2210,DATA!$K$4:$L$51,2,FALSE),"")</f>
        <v>Бараа борлуулсан, үйлчилгээ үзүүлсэний орлого</v>
      </c>
      <c r="Q2210" s="152">
        <f t="shared" si="219"/>
        <v>1</v>
      </c>
    </row>
    <row r="2211" spans="2:17">
      <c r="B2211" s="671">
        <f t="shared" si="218"/>
        <v>2206</v>
      </c>
      <c r="C2211" s="685">
        <v>43044</v>
      </c>
      <c r="D2211" s="614" t="s">
        <v>1741</v>
      </c>
      <c r="E2211" s="577">
        <v>320100</v>
      </c>
      <c r="F2211" s="686" t="str">
        <f>IFERROR(VLOOKUP(E2211,STAT1!$C$4:$D$8000,2,FALSE),"")</f>
        <v>Урьдчилж орсон орлого MNT</v>
      </c>
      <c r="G2211" s="614"/>
      <c r="H2211" s="614">
        <v>215440</v>
      </c>
      <c r="I2211" s="590">
        <f t="shared" si="220"/>
        <v>0</v>
      </c>
      <c r="J2211" s="152">
        <f t="shared" si="217"/>
        <v>0</v>
      </c>
      <c r="L2211" s="703">
        <v>3067</v>
      </c>
      <c r="M2211" s="152" t="str">
        <f>+IFERROR(VLOOKUP(L2211,DATA!$G$4:$H$2000,2,FALSE),"")</f>
        <v>ЦЭЦЭН УРЧУУД ХХК</v>
      </c>
      <c r="O2211" s="152" t="str">
        <f>IFERROR(VLOOKUP(N2211,DATA!$K$4:$L$51,2,FALSE),"")</f>
        <v/>
      </c>
      <c r="Q2211" s="152">
        <f t="shared" si="219"/>
        <v>0</v>
      </c>
    </row>
    <row r="2212" spans="2:17">
      <c r="B2212" s="671">
        <f t="shared" si="218"/>
        <v>2207</v>
      </c>
      <c r="C2212" s="685">
        <v>43045</v>
      </c>
      <c r="D2212" s="614" t="s">
        <v>1699</v>
      </c>
      <c r="E2212" s="692">
        <v>110100</v>
      </c>
      <c r="F2212" s="686" t="str">
        <f>IFERROR(VLOOKUP(E2212,STAT1!$C$4:$D$8000,2,FALSE),"")</f>
        <v>Хаан Банк 5024654020</v>
      </c>
      <c r="G2212" s="614">
        <v>8000000</v>
      </c>
      <c r="H2212" s="614"/>
      <c r="I2212" s="590">
        <f t="shared" si="220"/>
        <v>8000000</v>
      </c>
      <c r="J2212" s="152">
        <f t="shared" si="217"/>
        <v>0</v>
      </c>
      <c r="L2212" s="703">
        <v>1004</v>
      </c>
      <c r="M2212" s="152" t="str">
        <f>+IFERROR(VLOOKUP(L2212,DATA!$G$4:$H$2000,2,FALSE),"")</f>
        <v xml:space="preserve">Түмэндэлгэр </v>
      </c>
      <c r="O2212" s="152" t="str">
        <f>IFERROR(VLOOKUP(N2212,DATA!$K$4:$L$51,2,FALSE),"")</f>
        <v/>
      </c>
      <c r="Q2212" s="152">
        <f t="shared" si="219"/>
        <v>1</v>
      </c>
    </row>
    <row r="2213" spans="2:17">
      <c r="B2213" s="671">
        <f t="shared" si="218"/>
        <v>2208</v>
      </c>
      <c r="C2213" s="685">
        <v>43045</v>
      </c>
      <c r="D2213" s="614" t="s">
        <v>1699</v>
      </c>
      <c r="E2213" s="577">
        <v>100100</v>
      </c>
      <c r="F2213" s="686" t="str">
        <f>IFERROR(VLOOKUP(E2213,STAT1!$C$4:$D$8000,2,FALSE),"")</f>
        <v>Касс мөнгө MNT</v>
      </c>
      <c r="G2213" s="614"/>
      <c r="H2213" s="614">
        <v>8000000</v>
      </c>
      <c r="I2213" s="590">
        <f t="shared" si="220"/>
        <v>-8000000</v>
      </c>
      <c r="J2213" s="152">
        <f t="shared" si="217"/>
        <v>0</v>
      </c>
      <c r="L2213" s="703">
        <v>1004</v>
      </c>
      <c r="M2213" s="152" t="str">
        <f>+IFERROR(VLOOKUP(L2213,DATA!$G$4:$H$2000,2,FALSE),"")</f>
        <v xml:space="preserve">Түмэндэлгэр </v>
      </c>
      <c r="O2213" s="152" t="str">
        <f>IFERROR(VLOOKUP(N2213,DATA!$K$4:$L$51,2,FALSE),"")</f>
        <v/>
      </c>
      <c r="Q2213" s="152">
        <f t="shared" si="219"/>
        <v>1</v>
      </c>
    </row>
    <row r="2214" spans="2:17">
      <c r="B2214" s="671">
        <f t="shared" si="218"/>
        <v>2209</v>
      </c>
      <c r="C2214" s="685">
        <v>43045</v>
      </c>
      <c r="D2214" s="614" t="s">
        <v>1741</v>
      </c>
      <c r="E2214" s="577">
        <v>110100</v>
      </c>
      <c r="F2214" s="686" t="str">
        <f>IFERROR(VLOOKUP(E2214,STAT1!$C$4:$D$8000,2,FALSE),"")</f>
        <v>Хаан Банк 5024654020</v>
      </c>
      <c r="G2214" s="614">
        <v>10000000</v>
      </c>
      <c r="H2214" s="614"/>
      <c r="I2214" s="590">
        <f t="shared" si="220"/>
        <v>10000000</v>
      </c>
      <c r="J2214" s="152">
        <f t="shared" ref="J2214:J2262" si="221">+IF(E2214=110102,I2214/K2214,0)</f>
        <v>0</v>
      </c>
      <c r="L2214" s="703">
        <v>3096</v>
      </c>
      <c r="M2214" s="152" t="str">
        <f>+IFERROR(VLOOKUP(L2214,DATA!$G$4:$H$2000,2,FALSE),"")</f>
        <v>ЭРДЭНЭДРИЙЛИНГ ХХК</v>
      </c>
      <c r="N2214" s="153">
        <v>41</v>
      </c>
      <c r="O2214" s="152" t="str">
        <f>IFERROR(VLOOKUP(N2214,DATA!$K$4:$L$51,2,FALSE),"")</f>
        <v>Бараа борлуулсан, үйлчилгээ үзүүлсэний орлого</v>
      </c>
      <c r="Q2214" s="152">
        <f t="shared" si="219"/>
        <v>1</v>
      </c>
    </row>
    <row r="2215" spans="2:17">
      <c r="B2215" s="671">
        <f t="shared" si="218"/>
        <v>2210</v>
      </c>
      <c r="C2215" s="685">
        <v>43045</v>
      </c>
      <c r="D2215" s="614" t="s">
        <v>1741</v>
      </c>
      <c r="E2215" s="577">
        <v>320100</v>
      </c>
      <c r="F2215" s="686" t="str">
        <f>IFERROR(VLOOKUP(E2215,STAT1!$C$4:$D$8000,2,FALSE),"")</f>
        <v>Урьдчилж орсон орлого MNT</v>
      </c>
      <c r="G2215" s="614"/>
      <c r="H2215" s="614">
        <v>10000000</v>
      </c>
      <c r="I2215" s="590">
        <f t="shared" si="220"/>
        <v>0</v>
      </c>
      <c r="J2215" s="152">
        <f t="shared" si="221"/>
        <v>0</v>
      </c>
      <c r="L2215" s="703">
        <v>3096</v>
      </c>
      <c r="M2215" s="152" t="str">
        <f>+IFERROR(VLOOKUP(L2215,DATA!$G$4:$H$2000,2,FALSE),"")</f>
        <v>ЭРДЭНЭДРИЙЛИНГ ХХК</v>
      </c>
      <c r="O2215" s="152" t="str">
        <f>IFERROR(VLOOKUP(N2215,DATA!$K$4:$L$51,2,FALSE),"")</f>
        <v/>
      </c>
      <c r="Q2215" s="152">
        <f t="shared" si="219"/>
        <v>0</v>
      </c>
    </row>
    <row r="2216" spans="2:17">
      <c r="B2216" s="671">
        <f t="shared" si="218"/>
        <v>2211</v>
      </c>
      <c r="C2216" s="694">
        <v>43046</v>
      </c>
      <c r="D2216" s="614" t="s">
        <v>2660</v>
      </c>
      <c r="E2216" s="577">
        <v>150101</v>
      </c>
      <c r="F2216" s="686" t="str">
        <f>IFERROR(VLOOKUP(E2216,STAT1!$C$4:$D$8000,2,FALSE),"")</f>
        <v>Бараа бэлэн бүтээгдэхүүн БОЛОВСРУУЛАХ ЦЕХ /нарс/</v>
      </c>
      <c r="G2216" s="614"/>
      <c r="H2216" s="614">
        <v>617273.77066479612</v>
      </c>
      <c r="I2216" s="590">
        <f t="shared" si="220"/>
        <v>0</v>
      </c>
      <c r="J2216" s="152">
        <f t="shared" si="221"/>
        <v>0</v>
      </c>
      <c r="L2216" s="703">
        <v>3051</v>
      </c>
      <c r="M2216" s="152" t="str">
        <f>+IFERROR(VLOOKUP(L2216,DATA!$G$4:$H$2000,2,FALSE),"")</f>
        <v xml:space="preserve">НОМАДС ТУР ХХК </v>
      </c>
      <c r="O2216" s="152" t="str">
        <f>IFERROR(VLOOKUP(N2216,DATA!$K$4:$L$51,2,FALSE),"")</f>
        <v/>
      </c>
      <c r="Q2216" s="152">
        <f t="shared" si="219"/>
        <v>0</v>
      </c>
    </row>
    <row r="2217" spans="2:17">
      <c r="B2217" s="671">
        <f t="shared" si="218"/>
        <v>2212</v>
      </c>
      <c r="C2217" s="694">
        <v>43046</v>
      </c>
      <c r="D2217" s="614" t="s">
        <v>587</v>
      </c>
      <c r="E2217" s="577">
        <v>610100</v>
      </c>
      <c r="F2217" s="686" t="str">
        <f>IFERROR(VLOOKUP(E2217,STAT1!$C$4:$D$8000,2,FALSE),"")</f>
        <v>Борлуулсан барааны өртөг</v>
      </c>
      <c r="G2217" s="614">
        <v>617273.77066479612</v>
      </c>
      <c r="H2217" s="614"/>
      <c r="I2217" s="590">
        <f t="shared" si="220"/>
        <v>0</v>
      </c>
      <c r="J2217" s="152">
        <f t="shared" si="221"/>
        <v>0</v>
      </c>
      <c r="L2217" s="703">
        <v>3051</v>
      </c>
      <c r="M2217" s="152" t="str">
        <f>+IFERROR(VLOOKUP(L2217,DATA!$G$4:$H$2000,2,FALSE),"")</f>
        <v xml:space="preserve">НОМАДС ТУР ХХК </v>
      </c>
      <c r="O2217" s="152" t="str">
        <f>IFERROR(VLOOKUP(N2217,DATA!$K$4:$L$51,2,FALSE),"")</f>
        <v/>
      </c>
      <c r="Q2217" s="152">
        <f t="shared" si="219"/>
        <v>0</v>
      </c>
    </row>
    <row r="2218" spans="2:17">
      <c r="B2218" s="671">
        <f t="shared" si="218"/>
        <v>2213</v>
      </c>
      <c r="C2218" s="694">
        <v>43046</v>
      </c>
      <c r="D2218" s="614" t="s">
        <v>587</v>
      </c>
      <c r="E2218" s="577">
        <v>310500</v>
      </c>
      <c r="F2218" s="686" t="str">
        <f>IFERROR(VLOOKUP(E2218,STAT1!$C$4:$D$8000,2,FALSE),"")</f>
        <v>НӨАТ өглөг</v>
      </c>
      <c r="G2218" s="614"/>
      <c r="H2218" s="614">
        <v>111927.27</v>
      </c>
      <c r="I2218" s="590">
        <f t="shared" si="220"/>
        <v>0</v>
      </c>
      <c r="J2218" s="152">
        <f t="shared" si="221"/>
        <v>0</v>
      </c>
      <c r="L2218" s="703">
        <v>3051</v>
      </c>
      <c r="M2218" s="152" t="str">
        <f>+IFERROR(VLOOKUP(L2218,DATA!$G$4:$H$2000,2,FALSE),"")</f>
        <v xml:space="preserve">НОМАДС ТУР ХХК </v>
      </c>
      <c r="O2218" s="152" t="str">
        <f>IFERROR(VLOOKUP(N2218,DATA!$K$4:$L$51,2,FALSE),"")</f>
        <v/>
      </c>
      <c r="Q2218" s="152">
        <f t="shared" si="219"/>
        <v>0</v>
      </c>
    </row>
    <row r="2219" spans="2:17">
      <c r="B2219" s="671">
        <f t="shared" si="218"/>
        <v>2214</v>
      </c>
      <c r="C2219" s="694">
        <v>43046</v>
      </c>
      <c r="D2219" s="614" t="s">
        <v>587</v>
      </c>
      <c r="E2219" s="577">
        <v>510000</v>
      </c>
      <c r="F2219" s="686" t="str">
        <f>IFERROR(VLOOKUP(E2219,STAT1!$C$4:$D$8000,2,FALSE),"")</f>
        <v>Үндсэн үйл ажиллагааны борлуулалт</v>
      </c>
      <c r="G2219" s="614"/>
      <c r="H2219" s="614">
        <v>1119272.73</v>
      </c>
      <c r="I2219" s="590">
        <f t="shared" si="220"/>
        <v>0</v>
      </c>
      <c r="J2219" s="152">
        <f t="shared" si="221"/>
        <v>0</v>
      </c>
      <c r="L2219" s="703">
        <v>3051</v>
      </c>
      <c r="M2219" s="152" t="str">
        <f>+IFERROR(VLOOKUP(L2219,DATA!$G$4:$H$2000,2,FALSE),"")</f>
        <v xml:space="preserve">НОМАДС ТУР ХХК </v>
      </c>
      <c r="O2219" s="152" t="str">
        <f>IFERROR(VLOOKUP(N2219,DATA!$K$4:$L$51,2,FALSE),"")</f>
        <v/>
      </c>
      <c r="Q2219" s="152">
        <f t="shared" si="219"/>
        <v>0</v>
      </c>
    </row>
    <row r="2220" spans="2:17">
      <c r="B2220" s="671">
        <f t="shared" si="218"/>
        <v>2215</v>
      </c>
      <c r="C2220" s="694">
        <v>43046</v>
      </c>
      <c r="D2220" s="614" t="s">
        <v>587</v>
      </c>
      <c r="E2220" s="692">
        <v>320100</v>
      </c>
      <c r="F2220" s="686" t="str">
        <f>IFERROR(VLOOKUP(E2220,STAT1!$C$4:$D$8000,2,FALSE),"")</f>
        <v>Урьдчилж орсон орлого MNT</v>
      </c>
      <c r="G2220" s="614">
        <v>1231200</v>
      </c>
      <c r="H2220" s="614"/>
      <c r="I2220" s="590">
        <f t="shared" si="220"/>
        <v>0</v>
      </c>
      <c r="J2220" s="152">
        <f t="shared" si="221"/>
        <v>0</v>
      </c>
      <c r="L2220" s="703">
        <v>3051</v>
      </c>
      <c r="M2220" s="152" t="str">
        <f>+IFERROR(VLOOKUP(L2220,DATA!$G$4:$H$2000,2,FALSE),"")</f>
        <v xml:space="preserve">НОМАДС ТУР ХХК </v>
      </c>
      <c r="O2220" s="152" t="str">
        <f>IFERROR(VLOOKUP(N2220,DATA!$K$4:$L$51,2,FALSE),"")</f>
        <v/>
      </c>
      <c r="Q2220" s="152">
        <f t="shared" si="219"/>
        <v>0</v>
      </c>
    </row>
    <row r="2221" spans="2:17">
      <c r="B2221" s="671">
        <f t="shared" si="218"/>
        <v>2216</v>
      </c>
      <c r="C2221" s="694">
        <v>43046</v>
      </c>
      <c r="D2221" s="614" t="s">
        <v>2700</v>
      </c>
      <c r="E2221" s="692">
        <v>150101</v>
      </c>
      <c r="F2221" s="686" t="str">
        <f>IFERROR(VLOOKUP(E2221,STAT1!$C$4:$D$8000,2,FALSE),"")</f>
        <v>Бараа бэлэн бүтээгдэхүүн БОЛОВСРУУЛАХ ЦЕХ /нарс/</v>
      </c>
      <c r="G2221" s="614"/>
      <c r="H2221" s="614">
        <v>6314023.8977322178</v>
      </c>
      <c r="I2221" s="590">
        <f t="shared" si="220"/>
        <v>0</v>
      </c>
      <c r="J2221" s="152">
        <f t="shared" si="221"/>
        <v>0</v>
      </c>
      <c r="L2221" s="703">
        <v>3096</v>
      </c>
      <c r="M2221" s="152" t="str">
        <f>+IFERROR(VLOOKUP(L2221,DATA!$G$4:$H$2000,2,FALSE),"")</f>
        <v>ЭРДЭНЭДРИЙЛИНГ ХХК</v>
      </c>
      <c r="O2221" s="152" t="str">
        <f>IFERROR(VLOOKUP(N2221,DATA!$K$4:$L$51,2,FALSE),"")</f>
        <v/>
      </c>
      <c r="Q2221" s="152">
        <f t="shared" si="219"/>
        <v>0</v>
      </c>
    </row>
    <row r="2222" spans="2:17">
      <c r="B2222" s="671">
        <f t="shared" si="218"/>
        <v>2217</v>
      </c>
      <c r="C2222" s="694">
        <v>43046</v>
      </c>
      <c r="D2222" s="614" t="s">
        <v>587</v>
      </c>
      <c r="E2222" s="692">
        <v>610100</v>
      </c>
      <c r="F2222" s="686" t="str">
        <f>IFERROR(VLOOKUP(E2222,STAT1!$C$4:$D$8000,2,FALSE),"")</f>
        <v>Борлуулсан барааны өртөг</v>
      </c>
      <c r="G2222" s="614">
        <v>6314023.8977322178</v>
      </c>
      <c r="H2222" s="614"/>
      <c r="I2222" s="590">
        <f t="shared" si="220"/>
        <v>0</v>
      </c>
      <c r="J2222" s="152">
        <f t="shared" si="221"/>
        <v>0</v>
      </c>
      <c r="L2222" s="703">
        <v>3096</v>
      </c>
      <c r="M2222" s="152" t="str">
        <f>+IFERROR(VLOOKUP(L2222,DATA!$G$4:$H$2000,2,FALSE),"")</f>
        <v>ЭРДЭНЭДРИЙЛИНГ ХХК</v>
      </c>
      <c r="O2222" s="152" t="str">
        <f>IFERROR(VLOOKUP(N2222,DATA!$K$4:$L$51,2,FALSE),"")</f>
        <v/>
      </c>
      <c r="Q2222" s="152">
        <f t="shared" si="219"/>
        <v>0</v>
      </c>
    </row>
    <row r="2223" spans="2:17">
      <c r="B2223" s="671">
        <f t="shared" ref="B2223:B2284" si="222">+IF(C2223="","",ROW()-5)</f>
        <v>2218</v>
      </c>
      <c r="C2223" s="694">
        <v>43046</v>
      </c>
      <c r="D2223" s="614" t="s">
        <v>587</v>
      </c>
      <c r="E2223" s="692">
        <v>310500</v>
      </c>
      <c r="F2223" s="686" t="str">
        <f>IFERROR(VLOOKUP(E2223,STAT1!$C$4:$D$8000,2,FALSE),"")</f>
        <v>НӨАТ өглөг</v>
      </c>
      <c r="G2223" s="614"/>
      <c r="H2223" s="614">
        <v>909090.91</v>
      </c>
      <c r="I2223" s="590">
        <f t="shared" si="220"/>
        <v>0</v>
      </c>
      <c r="J2223" s="152">
        <f t="shared" si="221"/>
        <v>0</v>
      </c>
      <c r="L2223" s="746">
        <v>3096</v>
      </c>
      <c r="M2223" s="152" t="str">
        <f>+IFERROR(VLOOKUP(L2223,DATA!$G$4:$H$2000,2,FALSE),"")</f>
        <v>ЭРДЭНЭДРИЙЛИНГ ХХК</v>
      </c>
      <c r="O2223" s="152" t="str">
        <f>IFERROR(VLOOKUP(N2223,DATA!$K$4:$L$51,2,FALSE),"")</f>
        <v/>
      </c>
      <c r="Q2223" s="152">
        <f t="shared" si="219"/>
        <v>0</v>
      </c>
    </row>
    <row r="2224" spans="2:17">
      <c r="B2224" s="671">
        <f t="shared" si="222"/>
        <v>2219</v>
      </c>
      <c r="C2224" s="694">
        <v>43046</v>
      </c>
      <c r="D2224" s="614" t="s">
        <v>587</v>
      </c>
      <c r="E2224" s="692">
        <v>510000</v>
      </c>
      <c r="F2224" s="686" t="str">
        <f>IFERROR(VLOOKUP(E2224,STAT1!$C$4:$D$8000,2,FALSE),"")</f>
        <v>Үндсэн үйл ажиллагааны борлуулалт</v>
      </c>
      <c r="G2224" s="614"/>
      <c r="H2224" s="614">
        <v>9090909.0899999999</v>
      </c>
      <c r="I2224" s="590">
        <f t="shared" si="220"/>
        <v>0</v>
      </c>
      <c r="J2224" s="152">
        <f t="shared" si="221"/>
        <v>0</v>
      </c>
      <c r="L2224" s="746">
        <v>3096</v>
      </c>
      <c r="M2224" s="152" t="str">
        <f>+IFERROR(VLOOKUP(L2224,DATA!$G$4:$H$2000,2,FALSE),"")</f>
        <v>ЭРДЭНЭДРИЙЛИНГ ХХК</v>
      </c>
      <c r="O2224" s="152" t="str">
        <f>IFERROR(VLOOKUP(N2224,DATA!$K$4:$L$51,2,FALSE),"")</f>
        <v/>
      </c>
      <c r="Q2224" s="152">
        <f t="shared" si="219"/>
        <v>0</v>
      </c>
    </row>
    <row r="2225" spans="2:17">
      <c r="B2225" s="671">
        <f t="shared" si="222"/>
        <v>2220</v>
      </c>
      <c r="C2225" s="694">
        <v>43046</v>
      </c>
      <c r="D2225" s="614" t="s">
        <v>587</v>
      </c>
      <c r="E2225" s="692">
        <v>320100</v>
      </c>
      <c r="F2225" s="686" t="str">
        <f>IFERROR(VLOOKUP(E2225,STAT1!$C$4:$D$8000,2,FALSE),"")</f>
        <v>Урьдчилж орсон орлого MNT</v>
      </c>
      <c r="G2225" s="614">
        <v>10000000</v>
      </c>
      <c r="H2225" s="614"/>
      <c r="I2225" s="590">
        <f t="shared" si="220"/>
        <v>0</v>
      </c>
      <c r="J2225" s="152">
        <f t="shared" si="221"/>
        <v>0</v>
      </c>
      <c r="L2225" s="746">
        <v>3096</v>
      </c>
      <c r="M2225" s="152" t="str">
        <f>+IFERROR(VLOOKUP(L2225,DATA!$G$4:$H$2000,2,FALSE),"")</f>
        <v>ЭРДЭНЭДРИЙЛИНГ ХХК</v>
      </c>
      <c r="O2225" s="152" t="str">
        <f>IFERROR(VLOOKUP(N2225,DATA!$K$4:$L$51,2,FALSE),"")</f>
        <v/>
      </c>
      <c r="Q2225" s="152">
        <f t="shared" si="219"/>
        <v>0</v>
      </c>
    </row>
    <row r="2226" spans="2:17">
      <c r="B2226" s="671">
        <f t="shared" si="222"/>
        <v>2221</v>
      </c>
      <c r="C2226" s="685">
        <v>43049</v>
      </c>
      <c r="D2226" s="614" t="s">
        <v>1741</v>
      </c>
      <c r="E2226" s="577">
        <v>110100</v>
      </c>
      <c r="F2226" s="686" t="str">
        <f>IFERROR(VLOOKUP(E2226,STAT1!$C$4:$D$8000,2,FALSE),"")</f>
        <v>Хаан Банк 5024654020</v>
      </c>
      <c r="G2226" s="614">
        <v>4686000</v>
      </c>
      <c r="H2226" s="614"/>
      <c r="I2226" s="590">
        <f t="shared" si="220"/>
        <v>4686000</v>
      </c>
      <c r="J2226" s="152">
        <f t="shared" si="221"/>
        <v>0</v>
      </c>
      <c r="L2226" s="703">
        <v>3104</v>
      </c>
      <c r="M2226" s="152" t="str">
        <f>+IFERROR(VLOOKUP(L2226,DATA!$G$4:$H$2000,2,FALSE),"")</f>
        <v>ХҮРЭЭ ЦАМХАГ ХХК</v>
      </c>
      <c r="N2226" s="153">
        <v>41</v>
      </c>
      <c r="O2226" s="152" t="str">
        <f>IFERROR(VLOOKUP(N2226,DATA!$K$4:$L$51,2,FALSE),"")</f>
        <v>Бараа борлуулсан, үйлчилгээ үзүүлсэний орлого</v>
      </c>
      <c r="Q2226" s="152">
        <f t="shared" si="219"/>
        <v>1</v>
      </c>
    </row>
    <row r="2227" spans="2:17">
      <c r="B2227" s="671">
        <f t="shared" si="222"/>
        <v>2222</v>
      </c>
      <c r="C2227" s="685">
        <v>43049</v>
      </c>
      <c r="D2227" s="614" t="s">
        <v>1741</v>
      </c>
      <c r="E2227" s="577">
        <v>320100</v>
      </c>
      <c r="F2227" s="686" t="str">
        <f>IFERROR(VLOOKUP(E2227,STAT1!$C$4:$D$8000,2,FALSE),"")</f>
        <v>Урьдчилж орсон орлого MNT</v>
      </c>
      <c r="G2227" s="614"/>
      <c r="H2227" s="614">
        <v>4686000</v>
      </c>
      <c r="I2227" s="590">
        <f t="shared" si="220"/>
        <v>0</v>
      </c>
      <c r="J2227" s="152">
        <f t="shared" si="221"/>
        <v>0</v>
      </c>
      <c r="L2227" s="703">
        <v>3104</v>
      </c>
      <c r="M2227" s="152" t="str">
        <f>+IFERROR(VLOOKUP(L2227,DATA!$G$4:$H$2000,2,FALSE),"")</f>
        <v>ХҮРЭЭ ЦАМХАГ ХХК</v>
      </c>
      <c r="O2227" s="152" t="str">
        <f>IFERROR(VLOOKUP(N2227,DATA!$K$4:$L$51,2,FALSE),"")</f>
        <v/>
      </c>
      <c r="Q2227" s="152">
        <f t="shared" si="219"/>
        <v>0</v>
      </c>
    </row>
    <row r="2228" spans="2:17">
      <c r="B2228" s="671">
        <f t="shared" si="222"/>
        <v>2223</v>
      </c>
      <c r="C2228" s="685">
        <v>43050</v>
      </c>
      <c r="D2228" s="614" t="s">
        <v>1352</v>
      </c>
      <c r="E2228" s="692">
        <v>110100</v>
      </c>
      <c r="F2228" s="686" t="str">
        <f>IFERROR(VLOOKUP(E2228,STAT1!$C$4:$D$8000,2,FALSE),"")</f>
        <v>Хаан Банк 5024654020</v>
      </c>
      <c r="G2228" s="614"/>
      <c r="H2228" s="614">
        <v>54210</v>
      </c>
      <c r="I2228" s="590">
        <f t="shared" si="220"/>
        <v>-54210</v>
      </c>
      <c r="J2228" s="152">
        <f t="shared" si="221"/>
        <v>0</v>
      </c>
      <c r="L2228" s="703">
        <v>2006</v>
      </c>
      <c r="M2228" s="152" t="str">
        <f>+IFERROR(VLOOKUP(L2228,DATA!$G$4:$H$2000,2,FALSE),"")</f>
        <v xml:space="preserve">МЦХОЛБОО </v>
      </c>
      <c r="N2228" s="153">
        <v>59</v>
      </c>
      <c r="O2228" s="152" t="str">
        <f>IFERROR(VLOOKUP(N2228,DATA!$K$4:$L$51,2,FALSE),"")</f>
        <v>Бусад мөнгөн зарлага</v>
      </c>
      <c r="Q2228" s="152">
        <f t="shared" si="219"/>
        <v>1</v>
      </c>
    </row>
    <row r="2229" spans="2:17">
      <c r="B2229" s="671">
        <f t="shared" si="222"/>
        <v>2224</v>
      </c>
      <c r="C2229" s="685">
        <v>43050</v>
      </c>
      <c r="D2229" s="614" t="s">
        <v>1352</v>
      </c>
      <c r="E2229" s="692">
        <v>120600</v>
      </c>
      <c r="F2229" s="686" t="str">
        <f>IFERROR(VLOOKUP(E2229,STAT1!$C$4:$D$8000,2,FALSE),"")</f>
        <v>НӨАТ авлага</v>
      </c>
      <c r="G2229" s="614">
        <v>4928.18</v>
      </c>
      <c r="H2229" s="614"/>
      <c r="I2229" s="590">
        <f t="shared" si="220"/>
        <v>0</v>
      </c>
      <c r="J2229" s="152">
        <f t="shared" si="221"/>
        <v>0</v>
      </c>
      <c r="L2229" s="703">
        <v>2006</v>
      </c>
      <c r="M2229" s="152" t="str">
        <f>+IFERROR(VLOOKUP(L2229,DATA!$G$4:$H$2000,2,FALSE),"")</f>
        <v xml:space="preserve">МЦХОЛБОО </v>
      </c>
      <c r="O2229" s="152" t="str">
        <f>IFERROR(VLOOKUP(N2229,DATA!$K$4:$L$51,2,FALSE),"")</f>
        <v/>
      </c>
      <c r="Q2229" s="152">
        <f t="shared" si="219"/>
        <v>0</v>
      </c>
    </row>
    <row r="2230" spans="2:17">
      <c r="B2230" s="671">
        <f t="shared" si="222"/>
        <v>2225</v>
      </c>
      <c r="C2230" s="685">
        <v>43050</v>
      </c>
      <c r="D2230" s="614" t="s">
        <v>1352</v>
      </c>
      <c r="E2230" s="692">
        <v>701900</v>
      </c>
      <c r="F2230" s="686" t="str">
        <f>IFERROR(VLOOKUP(E2230,STAT1!$C$4:$D$8000,2,FALSE),"")</f>
        <v>Харилцаа холбоо</v>
      </c>
      <c r="G2230" s="614">
        <v>49281.82</v>
      </c>
      <c r="H2230" s="614"/>
      <c r="I2230" s="590">
        <f t="shared" si="220"/>
        <v>0</v>
      </c>
      <c r="J2230" s="152">
        <f t="shared" si="221"/>
        <v>0</v>
      </c>
      <c r="L2230" s="703">
        <v>2006</v>
      </c>
      <c r="M2230" s="152" t="str">
        <f>+IFERROR(VLOOKUP(L2230,DATA!$G$4:$H$2000,2,FALSE),"")</f>
        <v xml:space="preserve">МЦХОЛБОО </v>
      </c>
      <c r="O2230" s="152" t="str">
        <f>IFERROR(VLOOKUP(N2230,DATA!$K$4:$L$51,2,FALSE),"")</f>
        <v/>
      </c>
      <c r="Q2230" s="152">
        <f t="shared" si="219"/>
        <v>0</v>
      </c>
    </row>
    <row r="2231" spans="2:17">
      <c r="B2231" s="671">
        <f t="shared" si="222"/>
        <v>2226</v>
      </c>
      <c r="C2231" s="694">
        <v>43050</v>
      </c>
      <c r="D2231" s="614" t="s">
        <v>2142</v>
      </c>
      <c r="E2231" s="692">
        <v>150101</v>
      </c>
      <c r="F2231" s="686" t="str">
        <f>IFERROR(VLOOKUP(E2231,STAT1!$C$4:$D$8000,2,FALSE),"")</f>
        <v>Бараа бэлэн бүтээгдэхүүн БОЛОВСРУУЛАХ ЦЕХ /нарс/</v>
      </c>
      <c r="G2231" s="614"/>
      <c r="H2231" s="614">
        <v>115675.66070732978</v>
      </c>
      <c r="I2231" s="590">
        <f t="shared" si="220"/>
        <v>0</v>
      </c>
      <c r="J2231" s="152">
        <f t="shared" si="221"/>
        <v>0</v>
      </c>
      <c r="L2231" s="703">
        <v>3105</v>
      </c>
      <c r="M2231" s="152" t="str">
        <f>+IFERROR(VLOOKUP(L2231,DATA!$G$4:$H$2000,2,FALSE),"")</f>
        <v xml:space="preserve">ÆÈÍÑÒ ÕÀÉÐÕÀÍ ÕÕÊ </v>
      </c>
      <c r="O2231" s="152" t="str">
        <f>IFERROR(VLOOKUP(N2231,DATA!$K$4:$L$51,2,FALSE),"")</f>
        <v/>
      </c>
      <c r="Q2231" s="152">
        <f t="shared" si="219"/>
        <v>0</v>
      </c>
    </row>
    <row r="2232" spans="2:17">
      <c r="B2232" s="671">
        <f t="shared" si="222"/>
        <v>2227</v>
      </c>
      <c r="C2232" s="694">
        <v>43050</v>
      </c>
      <c r="D2232" s="614" t="s">
        <v>587</v>
      </c>
      <c r="E2232" s="577">
        <v>610100</v>
      </c>
      <c r="F2232" s="686" t="str">
        <f>IFERROR(VLOOKUP(E2232,STAT1!$C$4:$D$8000,2,FALSE),"")</f>
        <v>Борлуулсан барааны өртөг</v>
      </c>
      <c r="G2232" s="614">
        <v>115675.66070732978</v>
      </c>
      <c r="H2232" s="614"/>
      <c r="I2232" s="590">
        <f t="shared" si="220"/>
        <v>0</v>
      </c>
      <c r="J2232" s="152">
        <f t="shared" si="221"/>
        <v>0</v>
      </c>
      <c r="L2232" s="703">
        <v>3105</v>
      </c>
      <c r="M2232" s="152" t="str">
        <f>+IFERROR(VLOOKUP(L2232,DATA!$G$4:$H$2000,2,FALSE),"")</f>
        <v xml:space="preserve">ÆÈÍÑÒ ÕÀÉÐÕÀÍ ÕÕÊ </v>
      </c>
      <c r="O2232" s="152" t="str">
        <f>IFERROR(VLOOKUP(N2232,DATA!$K$4:$L$51,2,FALSE),"")</f>
        <v/>
      </c>
      <c r="Q2232" s="152">
        <f t="shared" si="219"/>
        <v>0</v>
      </c>
    </row>
    <row r="2233" spans="2:17">
      <c r="B2233" s="671">
        <f t="shared" si="222"/>
        <v>2228</v>
      </c>
      <c r="C2233" s="694">
        <v>43050</v>
      </c>
      <c r="D2233" s="614" t="s">
        <v>587</v>
      </c>
      <c r="E2233" s="577">
        <v>310500</v>
      </c>
      <c r="F2233" s="686" t="str">
        <f>IFERROR(VLOOKUP(E2233,STAT1!$C$4:$D$8000,2,FALSE),"")</f>
        <v>НӨАТ өглөг</v>
      </c>
      <c r="G2233" s="614"/>
      <c r="H2233" s="614">
        <v>24700</v>
      </c>
      <c r="I2233" s="590">
        <f t="shared" si="220"/>
        <v>0</v>
      </c>
      <c r="J2233" s="152">
        <f t="shared" si="221"/>
        <v>0</v>
      </c>
      <c r="L2233" s="703">
        <v>3105</v>
      </c>
      <c r="M2233" s="152" t="str">
        <f>+IFERROR(VLOOKUP(L2233,DATA!$G$4:$H$2000,2,FALSE),"")</f>
        <v xml:space="preserve">ÆÈÍÑÒ ÕÀÉÐÕÀÍ ÕÕÊ </v>
      </c>
      <c r="O2233" s="152" t="str">
        <f>IFERROR(VLOOKUP(N2233,DATA!$K$4:$L$51,2,FALSE),"")</f>
        <v/>
      </c>
      <c r="Q2233" s="152">
        <f t="shared" si="219"/>
        <v>0</v>
      </c>
    </row>
    <row r="2234" spans="2:17">
      <c r="B2234" s="671">
        <f t="shared" si="222"/>
        <v>2229</v>
      </c>
      <c r="C2234" s="694">
        <v>43050</v>
      </c>
      <c r="D2234" s="614" t="s">
        <v>587</v>
      </c>
      <c r="E2234" s="577">
        <v>510000</v>
      </c>
      <c r="F2234" s="686" t="str">
        <f>IFERROR(VLOOKUP(E2234,STAT1!$C$4:$D$8000,2,FALSE),"")</f>
        <v>Үндсэн үйл ажиллагааны борлуулалт</v>
      </c>
      <c r="G2234" s="614"/>
      <c r="H2234" s="614">
        <v>247000</v>
      </c>
      <c r="I2234" s="590">
        <f t="shared" si="220"/>
        <v>0</v>
      </c>
      <c r="J2234" s="152">
        <f t="shared" si="221"/>
        <v>0</v>
      </c>
      <c r="L2234" s="703">
        <v>3105</v>
      </c>
      <c r="M2234" s="152" t="str">
        <f>+IFERROR(VLOOKUP(L2234,DATA!$G$4:$H$2000,2,FALSE),"")</f>
        <v xml:space="preserve">ÆÈÍÑÒ ÕÀÉÐÕÀÍ ÕÕÊ </v>
      </c>
      <c r="O2234" s="152" t="str">
        <f>IFERROR(VLOOKUP(N2234,DATA!$K$4:$L$51,2,FALSE),"")</f>
        <v/>
      </c>
      <c r="Q2234" s="152">
        <f t="shared" si="219"/>
        <v>0</v>
      </c>
    </row>
    <row r="2235" spans="2:17">
      <c r="B2235" s="671">
        <f t="shared" si="222"/>
        <v>2230</v>
      </c>
      <c r="C2235" s="694">
        <v>43050</v>
      </c>
      <c r="D2235" s="614" t="s">
        <v>587</v>
      </c>
      <c r="E2235" s="577">
        <v>320100</v>
      </c>
      <c r="F2235" s="686" t="str">
        <f>IFERROR(VLOOKUP(E2235,STAT1!$C$4:$D$8000,2,FALSE),"")</f>
        <v>Урьдчилж орсон орлого MNT</v>
      </c>
      <c r="G2235" s="614">
        <v>271700</v>
      </c>
      <c r="H2235" s="614"/>
      <c r="I2235" s="590">
        <f t="shared" si="220"/>
        <v>0</v>
      </c>
      <c r="J2235" s="152">
        <f t="shared" si="221"/>
        <v>0</v>
      </c>
      <c r="L2235" s="703">
        <v>3105</v>
      </c>
      <c r="M2235" s="152" t="str">
        <f>+IFERROR(VLOOKUP(L2235,DATA!$G$4:$H$2000,2,FALSE),"")</f>
        <v xml:space="preserve">ÆÈÍÑÒ ÕÀÉÐÕÀÍ ÕÕÊ </v>
      </c>
      <c r="O2235" s="152" t="str">
        <f>IFERROR(VLOOKUP(N2235,DATA!$K$4:$L$51,2,FALSE),"")</f>
        <v/>
      </c>
      <c r="Q2235" s="152">
        <f t="shared" si="219"/>
        <v>0</v>
      </c>
    </row>
    <row r="2236" spans="2:17">
      <c r="B2236" s="671">
        <f t="shared" si="222"/>
        <v>2231</v>
      </c>
      <c r="C2236" s="685">
        <v>43050</v>
      </c>
      <c r="D2236" s="614" t="s">
        <v>1741</v>
      </c>
      <c r="E2236" s="692">
        <v>100100</v>
      </c>
      <c r="F2236" s="686" t="str">
        <f>IFERROR(VLOOKUP(E2236,STAT1!$C$4:$D$8000,2,FALSE),"")</f>
        <v>Касс мөнгө MNT</v>
      </c>
      <c r="G2236" s="614">
        <v>271700</v>
      </c>
      <c r="H2236" s="614"/>
      <c r="I2236" s="590">
        <f t="shared" si="220"/>
        <v>271700</v>
      </c>
      <c r="J2236" s="152">
        <f t="shared" si="221"/>
        <v>0</v>
      </c>
      <c r="L2236" s="703">
        <v>3105</v>
      </c>
      <c r="M2236" s="152" t="str">
        <f>+IFERROR(VLOOKUP(L2236,DATA!$G$4:$H$2000,2,FALSE),"")</f>
        <v xml:space="preserve">ÆÈÍÑÒ ÕÀÉÐÕÀÍ ÕÕÊ </v>
      </c>
      <c r="N2236" s="153">
        <v>41</v>
      </c>
      <c r="O2236" s="152" t="str">
        <f>IFERROR(VLOOKUP(N2236,DATA!$K$4:$L$51,2,FALSE),"")</f>
        <v>Бараа борлуулсан, үйлчилгээ үзүүлсэний орлого</v>
      </c>
      <c r="Q2236" s="152">
        <f t="shared" si="219"/>
        <v>1</v>
      </c>
    </row>
    <row r="2237" spans="2:17">
      <c r="B2237" s="671">
        <f t="shared" si="222"/>
        <v>2232</v>
      </c>
      <c r="C2237" s="685">
        <v>43050</v>
      </c>
      <c r="D2237" s="614" t="s">
        <v>1741</v>
      </c>
      <c r="E2237" s="692">
        <v>320100</v>
      </c>
      <c r="F2237" s="686" t="str">
        <f>IFERROR(VLOOKUP(E2237,STAT1!$C$4:$D$8000,2,FALSE),"")</f>
        <v>Урьдчилж орсон орлого MNT</v>
      </c>
      <c r="G2237" s="614"/>
      <c r="H2237" s="614">
        <v>271700</v>
      </c>
      <c r="I2237" s="590">
        <f t="shared" si="220"/>
        <v>0</v>
      </c>
      <c r="J2237" s="152">
        <f t="shared" si="221"/>
        <v>0</v>
      </c>
      <c r="L2237" s="703">
        <v>3105</v>
      </c>
      <c r="M2237" s="152" t="str">
        <f>+IFERROR(VLOOKUP(L2237,DATA!$G$4:$H$2000,2,FALSE),"")</f>
        <v xml:space="preserve">ÆÈÍÑÒ ÕÀÉÐÕÀÍ ÕÕÊ </v>
      </c>
      <c r="O2237" s="152" t="str">
        <f>IFERROR(VLOOKUP(N2237,DATA!$K$4:$L$51,2,FALSE),"")</f>
        <v/>
      </c>
      <c r="Q2237" s="152">
        <f t="shared" si="219"/>
        <v>0</v>
      </c>
    </row>
    <row r="2238" spans="2:17">
      <c r="B2238" s="671">
        <f t="shared" si="222"/>
        <v>2233</v>
      </c>
      <c r="C2238" s="685">
        <v>43050</v>
      </c>
      <c r="D2238" s="614" t="s">
        <v>1741</v>
      </c>
      <c r="E2238" s="692">
        <v>100100</v>
      </c>
      <c r="F2238" s="686" t="str">
        <f>IFERROR(VLOOKUP(E2238,STAT1!$C$4:$D$8000,2,FALSE),"")</f>
        <v>Касс мөнгө MNT</v>
      </c>
      <c r="G2238" s="614">
        <v>185000</v>
      </c>
      <c r="H2238" s="614"/>
      <c r="I2238" s="590">
        <f t="shared" si="220"/>
        <v>185000</v>
      </c>
      <c r="J2238" s="152">
        <f t="shared" si="221"/>
        <v>0</v>
      </c>
      <c r="L2238" s="703">
        <v>3108</v>
      </c>
      <c r="M2238" s="152" t="str">
        <f>+IFERROR(VLOOKUP(L2238,DATA!$G$4:$H$2000,2,FALSE),"")</f>
        <v>ИХ ГОВИЙН ЭРЧИМ ХУРД ХХК</v>
      </c>
      <c r="N2238" s="153">
        <v>41</v>
      </c>
      <c r="O2238" s="152" t="str">
        <f>IFERROR(VLOOKUP(N2238,DATA!$K$4:$L$51,2,FALSE),"")</f>
        <v>Бараа борлуулсан, үйлчилгээ үзүүлсэний орлого</v>
      </c>
      <c r="Q2238" s="152">
        <f t="shared" si="219"/>
        <v>1</v>
      </c>
    </row>
    <row r="2239" spans="2:17">
      <c r="B2239" s="671">
        <f t="shared" si="222"/>
        <v>2234</v>
      </c>
      <c r="C2239" s="685">
        <v>43050</v>
      </c>
      <c r="D2239" s="614" t="s">
        <v>1741</v>
      </c>
      <c r="E2239" s="692">
        <v>320100</v>
      </c>
      <c r="F2239" s="686" t="str">
        <f>IFERROR(VLOOKUP(E2239,STAT1!$C$4:$D$8000,2,FALSE),"")</f>
        <v>Урьдчилж орсон орлого MNT</v>
      </c>
      <c r="G2239" s="614"/>
      <c r="H2239" s="614">
        <v>185000</v>
      </c>
      <c r="I2239" s="590">
        <f t="shared" si="220"/>
        <v>0</v>
      </c>
      <c r="J2239" s="152">
        <f t="shared" si="221"/>
        <v>0</v>
      </c>
      <c r="L2239" s="703">
        <v>3108</v>
      </c>
      <c r="M2239" s="152" t="str">
        <f>+IFERROR(VLOOKUP(L2239,DATA!$G$4:$H$2000,2,FALSE),"")</f>
        <v>ИХ ГОВИЙН ЭРЧИМ ХУРД ХХК</v>
      </c>
      <c r="O2239" s="152" t="str">
        <f>IFERROR(VLOOKUP(N2239,DATA!$K$4:$L$51,2,FALSE),"")</f>
        <v/>
      </c>
      <c r="Q2239" s="152">
        <f t="shared" si="219"/>
        <v>0</v>
      </c>
    </row>
    <row r="2240" spans="2:17">
      <c r="B2240" s="671">
        <f t="shared" si="222"/>
        <v>2235</v>
      </c>
      <c r="C2240" s="685">
        <v>43052</v>
      </c>
      <c r="D2240" s="614" t="s">
        <v>2147</v>
      </c>
      <c r="E2240" s="692">
        <v>110100</v>
      </c>
      <c r="F2240" s="686" t="str">
        <f>IFERROR(VLOOKUP(E2240,STAT1!$C$4:$D$8000,2,FALSE),"")</f>
        <v>Хаан Банк 5024654020</v>
      </c>
      <c r="G2240" s="614"/>
      <c r="H2240" s="614">
        <v>16800000</v>
      </c>
      <c r="I2240" s="590">
        <f t="shared" si="220"/>
        <v>-16800000</v>
      </c>
      <c r="J2240" s="152">
        <f t="shared" si="221"/>
        <v>0</v>
      </c>
      <c r="L2240" s="703">
        <v>1003</v>
      </c>
      <c r="M2240" s="152" t="str">
        <f>+IFERROR(VLOOKUP(L2240,DATA!$G$4:$H$2000,2,FALSE),"")</f>
        <v>Бахдамдэмбэрэл</v>
      </c>
      <c r="O2240" s="152" t="str">
        <f>IFERROR(VLOOKUP(N2240,DATA!$K$4:$L$51,2,FALSE),"")</f>
        <v/>
      </c>
      <c r="Q2240" s="152">
        <f t="shared" si="219"/>
        <v>1</v>
      </c>
    </row>
    <row r="2241" spans="2:17">
      <c r="B2241" s="671">
        <f t="shared" si="222"/>
        <v>2236</v>
      </c>
      <c r="C2241" s="685">
        <v>43052</v>
      </c>
      <c r="D2241" s="614" t="s">
        <v>2147</v>
      </c>
      <c r="E2241" s="692">
        <v>100100</v>
      </c>
      <c r="F2241" s="686" t="str">
        <f>IFERROR(VLOOKUP(E2241,STAT1!$C$4:$D$8000,2,FALSE),"")</f>
        <v>Касс мөнгө MNT</v>
      </c>
      <c r="G2241" s="614">
        <v>16800000</v>
      </c>
      <c r="H2241" s="614"/>
      <c r="I2241" s="590">
        <f t="shared" si="220"/>
        <v>16800000</v>
      </c>
      <c r="J2241" s="152">
        <f t="shared" si="221"/>
        <v>0</v>
      </c>
      <c r="L2241" s="703">
        <v>1003</v>
      </c>
      <c r="M2241" s="152" t="str">
        <f>+IFERROR(VLOOKUP(L2241,DATA!$G$4:$H$2000,2,FALSE),"")</f>
        <v>Бахдамдэмбэрэл</v>
      </c>
      <c r="O2241" s="152" t="str">
        <f>IFERROR(VLOOKUP(N2241,DATA!$K$4:$L$51,2,FALSE),"")</f>
        <v/>
      </c>
      <c r="Q2241" s="152">
        <f t="shared" si="219"/>
        <v>1</v>
      </c>
    </row>
    <row r="2242" spans="2:17">
      <c r="B2242" s="671">
        <f t="shared" si="222"/>
        <v>2237</v>
      </c>
      <c r="C2242" s="694">
        <v>43052</v>
      </c>
      <c r="D2242" s="614" t="s">
        <v>2700</v>
      </c>
      <c r="E2242" s="692">
        <v>150101</v>
      </c>
      <c r="F2242" s="686" t="str">
        <f>IFERROR(VLOOKUP(E2242,STAT1!$C$4:$D$8000,2,FALSE),"")</f>
        <v>Бараа бэлэн бүтээгдэхүүн БОЛОВСРУУЛАХ ЦЕХ /нарс/</v>
      </c>
      <c r="G2242" s="614"/>
      <c r="H2242" s="614">
        <v>112301.44569967713</v>
      </c>
      <c r="I2242" s="590">
        <f t="shared" si="220"/>
        <v>0</v>
      </c>
      <c r="J2242" s="152">
        <f t="shared" si="221"/>
        <v>0</v>
      </c>
      <c r="L2242" s="703">
        <v>3108</v>
      </c>
      <c r="M2242" s="152" t="str">
        <f>+IFERROR(VLOOKUP(L2242,DATA!$G$4:$H$2000,2,FALSE),"")</f>
        <v>ИХ ГОВИЙН ЭРЧИМ ХУРД ХХК</v>
      </c>
      <c r="O2242" s="152" t="str">
        <f>IFERROR(VLOOKUP(N2242,DATA!$K$4:$L$51,2,FALSE),"")</f>
        <v/>
      </c>
      <c r="Q2242" s="152">
        <f t="shared" ref="Q2242:Q2255" si="223">+IF(I2242,1,0)</f>
        <v>0</v>
      </c>
    </row>
    <row r="2243" spans="2:17">
      <c r="B2243" s="671">
        <f t="shared" si="222"/>
        <v>2238</v>
      </c>
      <c r="C2243" s="694">
        <v>43052</v>
      </c>
      <c r="D2243" s="614" t="s">
        <v>587</v>
      </c>
      <c r="E2243" s="692">
        <v>610100</v>
      </c>
      <c r="F2243" s="686" t="str">
        <f>IFERROR(VLOOKUP(E2243,STAT1!$C$4:$D$8000,2,FALSE),"")</f>
        <v>Борлуулсан барааны өртөг</v>
      </c>
      <c r="G2243" s="614">
        <v>112301.44569967713</v>
      </c>
      <c r="H2243" s="614"/>
      <c r="I2243" s="590">
        <f t="shared" si="220"/>
        <v>0</v>
      </c>
      <c r="J2243" s="152">
        <f t="shared" si="221"/>
        <v>0</v>
      </c>
      <c r="L2243" s="703">
        <v>3108</v>
      </c>
      <c r="M2243" s="152" t="str">
        <f>+IFERROR(VLOOKUP(L2243,DATA!$G$4:$H$2000,2,FALSE),"")</f>
        <v>ИХ ГОВИЙН ЭРЧИМ ХУРД ХХК</v>
      </c>
      <c r="O2243" s="152" t="str">
        <f>IFERROR(VLOOKUP(N2243,DATA!$K$4:$L$51,2,FALSE),"")</f>
        <v/>
      </c>
      <c r="Q2243" s="152">
        <f t="shared" si="223"/>
        <v>0</v>
      </c>
    </row>
    <row r="2244" spans="2:17">
      <c r="B2244" s="671">
        <f t="shared" si="222"/>
        <v>2239</v>
      </c>
      <c r="C2244" s="694">
        <v>43052</v>
      </c>
      <c r="D2244" s="614" t="s">
        <v>587</v>
      </c>
      <c r="E2244" s="692">
        <v>310500</v>
      </c>
      <c r="F2244" s="686" t="str">
        <f>IFERROR(VLOOKUP(E2244,STAT1!$C$4:$D$8000,2,FALSE),"")</f>
        <v>НӨАТ өглөг</v>
      </c>
      <c r="G2244" s="614"/>
      <c r="H2244" s="614">
        <v>16818.18</v>
      </c>
      <c r="I2244" s="590">
        <f t="shared" ref="I2244:I2307" si="224">+IF(OR(E2244=100100,E2244=100200,E2244=110100,E2244=110102,E2244=110103,E2244=110104,E2244=110105,E2244=110200,E2244=110201,E2244=110202,E2244=110203,E2244=110204,E2244=110300),G2244,0)+IF(OR(E2244=100100,E2244=100200,E2244=110100,E2244=110102,E2244=110103,E2244=110104,E2244=110105,E2244=110200,E2244=110201,E2244=110202,E2244=110203,E2244=110204,E2244=110300),H2244*-1,0)</f>
        <v>0</v>
      </c>
      <c r="J2244" s="152">
        <f t="shared" si="221"/>
        <v>0</v>
      </c>
      <c r="L2244" s="703">
        <v>3108</v>
      </c>
      <c r="M2244" s="152" t="str">
        <f>+IFERROR(VLOOKUP(L2244,DATA!$G$4:$H$2000,2,FALSE),"")</f>
        <v>ИХ ГОВИЙН ЭРЧИМ ХУРД ХХК</v>
      </c>
      <c r="O2244" s="152" t="str">
        <f>IFERROR(VLOOKUP(N2244,DATA!$K$4:$L$51,2,FALSE),"")</f>
        <v/>
      </c>
      <c r="Q2244" s="152">
        <f t="shared" si="223"/>
        <v>0</v>
      </c>
    </row>
    <row r="2245" spans="2:17">
      <c r="B2245" s="671">
        <f t="shared" si="222"/>
        <v>2240</v>
      </c>
      <c r="C2245" s="694">
        <v>43052</v>
      </c>
      <c r="D2245" s="614" t="s">
        <v>587</v>
      </c>
      <c r="E2245" s="692">
        <v>510000</v>
      </c>
      <c r="F2245" s="686" t="str">
        <f>IFERROR(VLOOKUP(E2245,STAT1!$C$4:$D$8000,2,FALSE),"")</f>
        <v>Үндсэн үйл ажиллагааны борлуулалт</v>
      </c>
      <c r="G2245" s="614"/>
      <c r="H2245" s="614">
        <v>168181.82</v>
      </c>
      <c r="I2245" s="590">
        <f t="shared" si="224"/>
        <v>0</v>
      </c>
      <c r="J2245" s="152">
        <f t="shared" si="221"/>
        <v>0</v>
      </c>
      <c r="L2245" s="703">
        <v>3108</v>
      </c>
      <c r="M2245" s="152" t="str">
        <f>+IFERROR(VLOOKUP(L2245,DATA!$G$4:$H$2000,2,FALSE),"")</f>
        <v>ИХ ГОВИЙН ЭРЧИМ ХУРД ХХК</v>
      </c>
      <c r="O2245" s="152" t="str">
        <f>IFERROR(VLOOKUP(N2245,DATA!$K$4:$L$51,2,FALSE),"")</f>
        <v/>
      </c>
      <c r="Q2245" s="152">
        <f t="shared" si="223"/>
        <v>0</v>
      </c>
    </row>
    <row r="2246" spans="2:17">
      <c r="B2246" s="671">
        <f t="shared" si="222"/>
        <v>2241</v>
      </c>
      <c r="C2246" s="694">
        <v>43052</v>
      </c>
      <c r="D2246" s="614" t="s">
        <v>587</v>
      </c>
      <c r="E2246" s="692">
        <v>320100</v>
      </c>
      <c r="F2246" s="686" t="str">
        <f>IFERROR(VLOOKUP(E2246,STAT1!$C$4:$D$8000,2,FALSE),"")</f>
        <v>Урьдчилж орсон орлого MNT</v>
      </c>
      <c r="G2246" s="614">
        <v>185000</v>
      </c>
      <c r="H2246" s="614"/>
      <c r="I2246" s="590">
        <f t="shared" si="224"/>
        <v>0</v>
      </c>
      <c r="J2246" s="152">
        <f t="shared" si="221"/>
        <v>0</v>
      </c>
      <c r="L2246" s="703">
        <v>3108</v>
      </c>
      <c r="M2246" s="152" t="str">
        <f>+IFERROR(VLOOKUP(L2246,DATA!$G$4:$H$2000,2,FALSE),"")</f>
        <v>ИХ ГОВИЙН ЭРЧИМ ХУРД ХХК</v>
      </c>
      <c r="O2246" s="152" t="str">
        <f>IFERROR(VLOOKUP(N2246,DATA!$K$4:$L$51,2,FALSE),"")</f>
        <v/>
      </c>
      <c r="Q2246" s="152">
        <f t="shared" si="223"/>
        <v>0</v>
      </c>
    </row>
    <row r="2247" spans="2:17">
      <c r="B2247" s="671">
        <f t="shared" si="222"/>
        <v>2242</v>
      </c>
      <c r="C2247" s="685">
        <v>43054</v>
      </c>
      <c r="D2247" s="614" t="s">
        <v>1741</v>
      </c>
      <c r="E2247" s="692">
        <v>110100</v>
      </c>
      <c r="F2247" s="686" t="str">
        <f>IFERROR(VLOOKUP(E2247,STAT1!$C$4:$D$8000,2,FALSE),"")</f>
        <v>Хаан Банк 5024654020</v>
      </c>
      <c r="G2247" s="614">
        <v>188650</v>
      </c>
      <c r="H2247" s="614"/>
      <c r="I2247" s="590">
        <f t="shared" si="224"/>
        <v>188650</v>
      </c>
      <c r="J2247" s="152">
        <f t="shared" si="221"/>
        <v>0</v>
      </c>
      <c r="L2247" s="703">
        <v>3006</v>
      </c>
      <c r="M2247" s="152" t="str">
        <f>+IFERROR(VLOOKUP(L2247,DATA!$G$4:$H$2000,2,FALSE),"")</f>
        <v xml:space="preserve">ПАЙОНЕРИНГ ИНТЕРНЭШНЛ ХХК </v>
      </c>
      <c r="N2247" s="153">
        <v>41</v>
      </c>
      <c r="O2247" s="152" t="str">
        <f>IFERROR(VLOOKUP(N2247,DATA!$K$4:$L$51,2,FALSE),"")</f>
        <v>Бараа борлуулсан, үйлчилгээ үзүүлсэний орлого</v>
      </c>
      <c r="Q2247" s="152">
        <f t="shared" si="223"/>
        <v>1</v>
      </c>
    </row>
    <row r="2248" spans="2:17">
      <c r="B2248" s="671">
        <f t="shared" si="222"/>
        <v>2243</v>
      </c>
      <c r="C2248" s="685">
        <v>43054</v>
      </c>
      <c r="D2248" s="614" t="s">
        <v>1741</v>
      </c>
      <c r="E2248" s="692">
        <v>320100</v>
      </c>
      <c r="F2248" s="686" t="str">
        <f>IFERROR(VLOOKUP(E2248,STAT1!$C$4:$D$8000,2,FALSE),"")</f>
        <v>Урьдчилж орсон орлого MNT</v>
      </c>
      <c r="G2248" s="614"/>
      <c r="H2248" s="614">
        <v>188650</v>
      </c>
      <c r="I2248" s="590">
        <f t="shared" si="224"/>
        <v>0</v>
      </c>
      <c r="J2248" s="152">
        <f t="shared" si="221"/>
        <v>0</v>
      </c>
      <c r="L2248" s="703">
        <v>3006</v>
      </c>
      <c r="M2248" s="152" t="str">
        <f>+IFERROR(VLOOKUP(L2248,DATA!$G$4:$H$2000,2,FALSE),"")</f>
        <v xml:space="preserve">ПАЙОНЕРИНГ ИНТЕРНЭШНЛ ХХК </v>
      </c>
      <c r="O2248" s="152" t="str">
        <f>IFERROR(VLOOKUP(N2248,DATA!$K$4:$L$51,2,FALSE),"")</f>
        <v/>
      </c>
      <c r="Q2248" s="152">
        <f t="shared" si="223"/>
        <v>0</v>
      </c>
    </row>
    <row r="2249" spans="2:17">
      <c r="B2249" s="671">
        <f t="shared" si="222"/>
        <v>2244</v>
      </c>
      <c r="C2249" s="685">
        <v>43054</v>
      </c>
      <c r="D2249" s="614" t="s">
        <v>1751</v>
      </c>
      <c r="E2249" s="577">
        <v>110100</v>
      </c>
      <c r="F2249" s="686" t="str">
        <f>IFERROR(VLOOKUP(E2249,STAT1!$C$4:$D$8000,2,FALSE),"")</f>
        <v>Хаан Банк 5024654020</v>
      </c>
      <c r="G2249" s="614"/>
      <c r="H2249" s="614">
        <v>1000</v>
      </c>
      <c r="I2249" s="590">
        <f t="shared" si="224"/>
        <v>-1000</v>
      </c>
      <c r="J2249" s="152">
        <f t="shared" si="221"/>
        <v>0</v>
      </c>
      <c r="L2249" s="703">
        <v>2009</v>
      </c>
      <c r="M2249" s="152" t="str">
        <f>+IFERROR(VLOOKUP(L2249,DATA!$G$4:$H$2000,2,FALSE),"")</f>
        <v>ХААН БАНК</v>
      </c>
      <c r="N2249" s="153">
        <v>59</v>
      </c>
      <c r="O2249" s="152" t="str">
        <f>IFERROR(VLOOKUP(N2249,DATA!$K$4:$L$51,2,FALSE),"")</f>
        <v>Бусад мөнгөн зарлага</v>
      </c>
      <c r="Q2249" s="152">
        <f t="shared" si="223"/>
        <v>1</v>
      </c>
    </row>
    <row r="2250" spans="2:17">
      <c r="B2250" s="671">
        <f t="shared" si="222"/>
        <v>2245</v>
      </c>
      <c r="C2250" s="685">
        <v>43054</v>
      </c>
      <c r="D2250" s="614" t="s">
        <v>1751</v>
      </c>
      <c r="E2250" s="577">
        <v>704900</v>
      </c>
      <c r="F2250" s="686" t="str">
        <f>IFERROR(VLOOKUP(E2250,STAT1!$C$4:$D$8000,2,FALSE),"")</f>
        <v>Банкны үйлчилгээ</v>
      </c>
      <c r="G2250" s="614">
        <v>1000</v>
      </c>
      <c r="H2250" s="614"/>
      <c r="I2250" s="590">
        <f t="shared" si="224"/>
        <v>0</v>
      </c>
      <c r="J2250" s="152">
        <f t="shared" si="221"/>
        <v>0</v>
      </c>
      <c r="L2250" s="703">
        <v>2009</v>
      </c>
      <c r="M2250" s="152" t="str">
        <f>+IFERROR(VLOOKUP(L2250,DATA!$G$4:$H$2000,2,FALSE),"")</f>
        <v>ХААН БАНК</v>
      </c>
      <c r="O2250" s="152" t="str">
        <f>IFERROR(VLOOKUP(N2250,DATA!$K$4:$L$51,2,FALSE),"")</f>
        <v/>
      </c>
      <c r="Q2250" s="152">
        <f t="shared" si="223"/>
        <v>0</v>
      </c>
    </row>
    <row r="2251" spans="2:17">
      <c r="B2251" s="671">
        <f t="shared" si="222"/>
        <v>2246</v>
      </c>
      <c r="C2251" s="694">
        <v>43054</v>
      </c>
      <c r="D2251" s="614" t="s">
        <v>2143</v>
      </c>
      <c r="E2251" s="692">
        <v>150101</v>
      </c>
      <c r="F2251" s="686" t="str">
        <f>IFERROR(VLOOKUP(E2251,STAT1!$C$4:$D$8000,2,FALSE),"")</f>
        <v>Бараа бэлэн бүтээгдэхүүн БОЛОВСРУУЛАХ ЦЕХ /нарс/</v>
      </c>
      <c r="G2251" s="614"/>
      <c r="H2251" s="614">
        <v>1497509.4661540359</v>
      </c>
      <c r="I2251" s="590">
        <f t="shared" si="224"/>
        <v>0</v>
      </c>
      <c r="J2251" s="152">
        <f t="shared" si="221"/>
        <v>0</v>
      </c>
      <c r="L2251" s="703">
        <v>3104</v>
      </c>
      <c r="M2251" s="152" t="str">
        <f>+IFERROR(VLOOKUP(L2251,DATA!$G$4:$H$2000,2,FALSE),"")</f>
        <v>ХҮРЭЭ ЦАМХАГ ХХК</v>
      </c>
      <c r="O2251" s="152" t="str">
        <f>IFERROR(VLOOKUP(N2251,DATA!$K$4:$L$51,2,FALSE),"")</f>
        <v/>
      </c>
      <c r="Q2251" s="152">
        <f t="shared" si="223"/>
        <v>0</v>
      </c>
    </row>
    <row r="2252" spans="2:17">
      <c r="B2252" s="671">
        <f t="shared" si="222"/>
        <v>2247</v>
      </c>
      <c r="C2252" s="694">
        <v>43054</v>
      </c>
      <c r="D2252" s="614" t="s">
        <v>2631</v>
      </c>
      <c r="E2252" s="692">
        <v>610100</v>
      </c>
      <c r="F2252" s="686" t="str">
        <f>IFERROR(VLOOKUP(E2252,STAT1!$C$4:$D$8000,2,FALSE),"")</f>
        <v>Борлуулсан барааны өртөг</v>
      </c>
      <c r="G2252" s="614">
        <v>1497509.4661540359</v>
      </c>
      <c r="H2252" s="614"/>
      <c r="I2252" s="590">
        <f t="shared" si="224"/>
        <v>0</v>
      </c>
      <c r="J2252" s="152">
        <f t="shared" si="221"/>
        <v>0</v>
      </c>
      <c r="L2252" s="703">
        <v>3104</v>
      </c>
      <c r="M2252" s="152" t="str">
        <f>+IFERROR(VLOOKUP(L2252,DATA!$G$4:$H$2000,2,FALSE),"")</f>
        <v>ХҮРЭЭ ЦАМХАГ ХХК</v>
      </c>
      <c r="O2252" s="152" t="str">
        <f>IFERROR(VLOOKUP(N2252,DATA!$K$4:$L$51,2,FALSE),"")</f>
        <v/>
      </c>
      <c r="Q2252" s="152">
        <f t="shared" si="223"/>
        <v>0</v>
      </c>
    </row>
    <row r="2253" spans="2:17">
      <c r="B2253" s="671">
        <f t="shared" si="222"/>
        <v>2248</v>
      </c>
      <c r="C2253" s="694">
        <v>43054</v>
      </c>
      <c r="D2253" s="614" t="s">
        <v>2141</v>
      </c>
      <c r="E2253" s="692">
        <v>310500</v>
      </c>
      <c r="F2253" s="686" t="str">
        <f>IFERROR(VLOOKUP(E2253,STAT1!$C$4:$D$8000,2,FALSE),"")</f>
        <v>НӨАТ өглөг</v>
      </c>
      <c r="G2253" s="614"/>
      <c r="H2253" s="614">
        <v>426000</v>
      </c>
      <c r="I2253" s="590">
        <f t="shared" si="224"/>
        <v>0</v>
      </c>
      <c r="J2253" s="152">
        <f t="shared" si="221"/>
        <v>0</v>
      </c>
      <c r="L2253" s="703">
        <v>3104</v>
      </c>
      <c r="M2253" s="152" t="str">
        <f>+IFERROR(VLOOKUP(L2253,DATA!$G$4:$H$2000,2,FALSE),"")</f>
        <v>ХҮРЭЭ ЦАМХАГ ХХК</v>
      </c>
      <c r="O2253" s="152" t="str">
        <f>IFERROR(VLOOKUP(N2253,DATA!$K$4:$L$51,2,FALSE),"")</f>
        <v/>
      </c>
      <c r="Q2253" s="152">
        <f t="shared" si="223"/>
        <v>0</v>
      </c>
    </row>
    <row r="2254" spans="2:17">
      <c r="B2254" s="671">
        <f t="shared" si="222"/>
        <v>2249</v>
      </c>
      <c r="C2254" s="694">
        <v>43054</v>
      </c>
      <c r="D2254" s="614" t="s">
        <v>2144</v>
      </c>
      <c r="E2254" s="692">
        <v>510000</v>
      </c>
      <c r="F2254" s="686" t="str">
        <f>IFERROR(VLOOKUP(E2254,STAT1!$C$4:$D$8000,2,FALSE),"")</f>
        <v>Үндсэн үйл ажиллагааны борлуулалт</v>
      </c>
      <c r="G2254" s="614"/>
      <c r="H2254" s="614">
        <v>4260000</v>
      </c>
      <c r="I2254" s="590">
        <f t="shared" si="224"/>
        <v>0</v>
      </c>
      <c r="J2254" s="152">
        <f t="shared" si="221"/>
        <v>0</v>
      </c>
      <c r="L2254" s="703">
        <v>3104</v>
      </c>
      <c r="M2254" s="152" t="str">
        <f>+IFERROR(VLOOKUP(L2254,DATA!$G$4:$H$2000,2,FALSE),"")</f>
        <v>ХҮРЭЭ ЦАМХАГ ХХК</v>
      </c>
      <c r="O2254" s="152" t="str">
        <f>IFERROR(VLOOKUP(N2254,DATA!$K$4:$L$51,2,FALSE),"")</f>
        <v/>
      </c>
      <c r="Q2254" s="152">
        <f t="shared" si="223"/>
        <v>0</v>
      </c>
    </row>
    <row r="2255" spans="2:17">
      <c r="B2255" s="671">
        <f t="shared" si="222"/>
        <v>2250</v>
      </c>
      <c r="C2255" s="694">
        <v>43054</v>
      </c>
      <c r="D2255" s="614" t="s">
        <v>587</v>
      </c>
      <c r="E2255" s="692">
        <v>320100</v>
      </c>
      <c r="F2255" s="686" t="str">
        <f>IFERROR(VLOOKUP(E2255,STAT1!$C$4:$D$8000,2,FALSE),"")</f>
        <v>Урьдчилж орсон орлого MNT</v>
      </c>
      <c r="G2255" s="614">
        <v>4686000</v>
      </c>
      <c r="H2255" s="614"/>
      <c r="I2255" s="590">
        <f t="shared" si="224"/>
        <v>0</v>
      </c>
      <c r="J2255" s="152">
        <f t="shared" si="221"/>
        <v>0</v>
      </c>
      <c r="L2255" s="703">
        <v>3104</v>
      </c>
      <c r="M2255" s="152" t="str">
        <f>+IFERROR(VLOOKUP(L2255,DATA!$G$4:$H$2000,2,FALSE),"")</f>
        <v>ХҮРЭЭ ЦАМХАГ ХХК</v>
      </c>
      <c r="O2255" s="152" t="str">
        <f>IFERROR(VLOOKUP(N2255,DATA!$K$4:$L$51,2,FALSE),"")</f>
        <v/>
      </c>
      <c r="Q2255" s="152">
        <f t="shared" si="223"/>
        <v>0</v>
      </c>
    </row>
    <row r="2256" spans="2:17">
      <c r="B2256" s="671">
        <f t="shared" si="222"/>
        <v>2251</v>
      </c>
      <c r="C2256" s="694">
        <v>43054</v>
      </c>
      <c r="D2256" s="614" t="s">
        <v>2142</v>
      </c>
      <c r="E2256" s="692">
        <v>150101</v>
      </c>
      <c r="F2256" s="686" t="str">
        <f>IFERROR(VLOOKUP(E2256,STAT1!$C$4:$D$8000,2,FALSE),"")</f>
        <v>Бараа бэлэн бүтээгдэхүүн БОЛОВСРУУЛАХ ЦЕХ /нарс/</v>
      </c>
      <c r="G2256" s="614"/>
      <c r="H2256" s="614">
        <v>78216.468879786291</v>
      </c>
      <c r="I2256" s="590">
        <f t="shared" si="224"/>
        <v>0</v>
      </c>
      <c r="J2256" s="152">
        <f t="shared" si="221"/>
        <v>0</v>
      </c>
      <c r="L2256" s="703">
        <v>3006</v>
      </c>
      <c r="M2256" s="152" t="str">
        <f>+IFERROR(VLOOKUP(L2256,DATA!$G$4:$H$2000,2,FALSE),"")</f>
        <v xml:space="preserve">ПАЙОНЕРИНГ ИНТЕРНЭШНЛ ХХК </v>
      </c>
      <c r="O2256" s="152" t="str">
        <f>IFERROR(VLOOKUP(N2256,DATA!$K$4:$L$51,2,FALSE),"")</f>
        <v/>
      </c>
    </row>
    <row r="2257" spans="2:15">
      <c r="B2257" s="671">
        <f t="shared" si="222"/>
        <v>2252</v>
      </c>
      <c r="C2257" s="694">
        <v>43054</v>
      </c>
      <c r="D2257" s="614" t="s">
        <v>2631</v>
      </c>
      <c r="E2257" s="692">
        <v>610100</v>
      </c>
      <c r="F2257" s="686" t="str">
        <f>IFERROR(VLOOKUP(E2257,STAT1!$C$4:$D$8000,2,FALSE),"")</f>
        <v>Борлуулсан барааны өртөг</v>
      </c>
      <c r="G2257" s="614">
        <v>78216.468879786291</v>
      </c>
      <c r="H2257" s="614"/>
      <c r="I2257" s="590">
        <f t="shared" si="224"/>
        <v>0</v>
      </c>
      <c r="J2257" s="152">
        <f t="shared" si="221"/>
        <v>0</v>
      </c>
      <c r="L2257" s="703">
        <v>3006</v>
      </c>
      <c r="M2257" s="152" t="str">
        <f>+IFERROR(VLOOKUP(L2257,DATA!$G$4:$H$2000,2,FALSE),"")</f>
        <v xml:space="preserve">ПАЙОНЕРИНГ ИНТЕРНЭШНЛ ХХК </v>
      </c>
      <c r="O2257" s="152" t="str">
        <f>IFERROR(VLOOKUP(N2257,DATA!$K$4:$L$51,2,FALSE),"")</f>
        <v/>
      </c>
    </row>
    <row r="2258" spans="2:15">
      <c r="B2258" s="671">
        <f t="shared" si="222"/>
        <v>2253</v>
      </c>
      <c r="C2258" s="694">
        <v>43054</v>
      </c>
      <c r="D2258" s="614" t="s">
        <v>2141</v>
      </c>
      <c r="E2258" s="692">
        <v>310500</v>
      </c>
      <c r="F2258" s="686" t="str">
        <f>IFERROR(VLOOKUP(E2258,STAT1!$C$4:$D$8000,2,FALSE),"")</f>
        <v>НӨАТ өглөг</v>
      </c>
      <c r="G2258" s="614"/>
      <c r="H2258" s="614">
        <v>17150</v>
      </c>
      <c r="I2258" s="590">
        <f t="shared" si="224"/>
        <v>0</v>
      </c>
      <c r="J2258" s="152">
        <f t="shared" si="221"/>
        <v>0</v>
      </c>
      <c r="L2258" s="703">
        <v>3006</v>
      </c>
      <c r="M2258" s="152" t="str">
        <f>+IFERROR(VLOOKUP(L2258,DATA!$G$4:$H$2000,2,FALSE),"")</f>
        <v xml:space="preserve">ПАЙОНЕРИНГ ИНТЕРНЭШНЛ ХХК </v>
      </c>
      <c r="O2258" s="152" t="str">
        <f>IFERROR(VLOOKUP(N2258,DATA!$K$4:$L$51,2,FALSE),"")</f>
        <v/>
      </c>
    </row>
    <row r="2259" spans="2:15">
      <c r="B2259" s="671">
        <f t="shared" si="222"/>
        <v>2254</v>
      </c>
      <c r="C2259" s="694">
        <v>43054</v>
      </c>
      <c r="D2259" s="614" t="s">
        <v>587</v>
      </c>
      <c r="E2259" s="692">
        <v>510000</v>
      </c>
      <c r="F2259" s="686" t="str">
        <f>IFERROR(VLOOKUP(E2259,STAT1!$C$4:$D$8000,2,FALSE),"")</f>
        <v>Үндсэн үйл ажиллагааны борлуулалт</v>
      </c>
      <c r="G2259" s="614"/>
      <c r="H2259" s="614">
        <v>171500</v>
      </c>
      <c r="I2259" s="590">
        <f t="shared" si="224"/>
        <v>0</v>
      </c>
      <c r="J2259" s="152">
        <f t="shared" si="221"/>
        <v>0</v>
      </c>
      <c r="L2259" s="703">
        <v>3006</v>
      </c>
      <c r="M2259" s="152" t="str">
        <f>+IFERROR(VLOOKUP(L2259,DATA!$G$4:$H$2000,2,FALSE),"")</f>
        <v xml:space="preserve">ПАЙОНЕРИНГ ИНТЕРНЭШНЛ ХХК </v>
      </c>
      <c r="O2259" s="152" t="str">
        <f>IFERROR(VLOOKUP(N2259,DATA!$K$4:$L$51,2,FALSE),"")</f>
        <v/>
      </c>
    </row>
    <row r="2260" spans="2:15">
      <c r="B2260" s="671">
        <f t="shared" si="222"/>
        <v>2255</v>
      </c>
      <c r="C2260" s="694">
        <v>43054</v>
      </c>
      <c r="D2260" s="614" t="s">
        <v>587</v>
      </c>
      <c r="E2260" s="692">
        <v>320100</v>
      </c>
      <c r="F2260" s="686" t="str">
        <f>IFERROR(VLOOKUP(E2260,STAT1!$C$4:$D$8000,2,FALSE),"")</f>
        <v>Урьдчилж орсон орлого MNT</v>
      </c>
      <c r="G2260" s="614">
        <v>188650</v>
      </c>
      <c r="H2260" s="614"/>
      <c r="I2260" s="590">
        <f t="shared" si="224"/>
        <v>0</v>
      </c>
      <c r="J2260" s="152">
        <f t="shared" si="221"/>
        <v>0</v>
      </c>
      <c r="L2260" s="703">
        <v>3006</v>
      </c>
      <c r="M2260" s="152" t="str">
        <f>+IFERROR(VLOOKUP(L2260,DATA!$G$4:$H$2000,2,FALSE),"")</f>
        <v xml:space="preserve">ПАЙОНЕРИНГ ИНТЕРНЭШНЛ ХХК </v>
      </c>
      <c r="O2260" s="152" t="str">
        <f>IFERROR(VLOOKUP(N2260,DATA!$K$4:$L$51,2,FALSE),"")</f>
        <v/>
      </c>
    </row>
    <row r="2261" spans="2:15">
      <c r="B2261" s="671">
        <f t="shared" si="222"/>
        <v>2256</v>
      </c>
      <c r="C2261" s="685">
        <v>43056</v>
      </c>
      <c r="D2261" s="702" t="s">
        <v>1746</v>
      </c>
      <c r="E2261" s="692">
        <v>110100</v>
      </c>
      <c r="F2261" s="686" t="str">
        <f>IFERROR(VLOOKUP(E2261,STAT1!$C$4:$D$8000,2,FALSE),"")</f>
        <v>Хаан Банк 5024654020</v>
      </c>
      <c r="G2261" s="614"/>
      <c r="H2261" s="614">
        <v>5205972</v>
      </c>
      <c r="I2261" s="590">
        <f t="shared" si="224"/>
        <v>-5205972</v>
      </c>
      <c r="J2261" s="152">
        <f t="shared" si="221"/>
        <v>0</v>
      </c>
      <c r="L2261" s="703">
        <v>2009</v>
      </c>
      <c r="M2261" s="152" t="str">
        <f>+IFERROR(VLOOKUP(L2261,DATA!$G$4:$H$2000,2,FALSE),"")</f>
        <v>ХААН БАНК</v>
      </c>
      <c r="N2261" s="153">
        <v>91</v>
      </c>
      <c r="O2261" s="152" t="str">
        <f>IFERROR(VLOOKUP(N2261,DATA!$K$4:$L$51,2,FALSE),"")</f>
        <v>Зээл, өрийн үнэт цаасны төлбөрт төлсөн</v>
      </c>
    </row>
    <row r="2262" spans="2:15">
      <c r="B2262" s="671">
        <f t="shared" si="222"/>
        <v>2257</v>
      </c>
      <c r="C2262" s="685">
        <v>43056</v>
      </c>
      <c r="D2262" s="702" t="s">
        <v>1746</v>
      </c>
      <c r="E2262" s="692">
        <v>310400</v>
      </c>
      <c r="F2262" s="686" t="str">
        <f>IFERROR(VLOOKUP(E2262,STAT1!$C$4:$D$8000,2,FALSE),"")</f>
        <v>Банкны богино хугацаат зээл MNT</v>
      </c>
      <c r="G2262" s="614">
        <v>5205972</v>
      </c>
      <c r="H2262" s="614"/>
      <c r="I2262" s="590">
        <f t="shared" si="224"/>
        <v>0</v>
      </c>
      <c r="J2262" s="152">
        <f t="shared" si="221"/>
        <v>0</v>
      </c>
      <c r="L2262" s="703">
        <v>2009</v>
      </c>
      <c r="M2262" s="152" t="str">
        <f>+IFERROR(VLOOKUP(L2262,DATA!$G$4:$H$2000,2,FALSE),"")</f>
        <v>ХААН БАНК</v>
      </c>
      <c r="O2262" s="152" t="str">
        <f>IFERROR(VLOOKUP(N2262,DATA!$K$4:$L$51,2,FALSE),"")</f>
        <v/>
      </c>
    </row>
    <row r="2263" spans="2:15">
      <c r="B2263" s="671">
        <f t="shared" si="222"/>
        <v>2258</v>
      </c>
      <c r="C2263" s="685">
        <v>43056</v>
      </c>
      <c r="D2263" s="702" t="s">
        <v>1746</v>
      </c>
      <c r="E2263" s="692">
        <v>110100</v>
      </c>
      <c r="F2263" s="686" t="str">
        <f>IFERROR(VLOOKUP(E2263,STAT1!$C$4:$D$8000,2,FALSE),"")</f>
        <v>Хаан Банк 5024654020</v>
      </c>
      <c r="G2263" s="614"/>
      <c r="H2263" s="614">
        <v>672508</v>
      </c>
      <c r="I2263" s="590">
        <f t="shared" si="224"/>
        <v>-672508</v>
      </c>
      <c r="L2263" s="703">
        <v>2009</v>
      </c>
      <c r="M2263" s="152" t="str">
        <f>+IFERROR(VLOOKUP(L2263,DATA!$G$4:$H$2000,2,FALSE),"")</f>
        <v>ХААН БАНК</v>
      </c>
      <c r="N2263" s="153">
        <v>56</v>
      </c>
      <c r="O2263" s="152" t="str">
        <f>IFERROR(VLOOKUP(N2263,DATA!$K$4:$L$51,2,FALSE),"")</f>
        <v>Хүүний төлбөрт төлсөн</v>
      </c>
    </row>
    <row r="2264" spans="2:15">
      <c r="B2264" s="671">
        <f t="shared" si="222"/>
        <v>2259</v>
      </c>
      <c r="C2264" s="685">
        <v>43056</v>
      </c>
      <c r="D2264" s="702" t="s">
        <v>1746</v>
      </c>
      <c r="E2264" s="692">
        <v>702500</v>
      </c>
      <c r="F2264" s="686" t="str">
        <f>IFERROR(VLOOKUP(E2264,STAT1!$C$4:$D$8000,2,FALSE),"")</f>
        <v>Зээлийн хүүгийн зардал</v>
      </c>
      <c r="G2264" s="614">
        <v>672508</v>
      </c>
      <c r="H2264" s="614"/>
      <c r="I2264" s="590">
        <f t="shared" si="224"/>
        <v>0</v>
      </c>
      <c r="J2264" s="152">
        <f t="shared" ref="J2264:J2327" si="225">+IF(E2264=110102,I2264/K2264,0)</f>
        <v>0</v>
      </c>
      <c r="L2264" s="703">
        <v>2009</v>
      </c>
      <c r="M2264" s="152" t="str">
        <f>+IFERROR(VLOOKUP(L2264,DATA!$G$4:$H$2000,2,FALSE),"")</f>
        <v>ХААН БАНК</v>
      </c>
      <c r="O2264" s="152" t="str">
        <f>IFERROR(VLOOKUP(N2264,DATA!$K$4:$L$51,2,FALSE),"")</f>
        <v/>
      </c>
    </row>
    <row r="2265" spans="2:15">
      <c r="B2265" s="671">
        <f t="shared" si="222"/>
        <v>2260</v>
      </c>
      <c r="C2265" s="685">
        <v>43057</v>
      </c>
      <c r="D2265" s="614" t="s">
        <v>1785</v>
      </c>
      <c r="E2265" s="692">
        <v>110100</v>
      </c>
      <c r="F2265" s="686" t="str">
        <f>IFERROR(VLOOKUP(E2265,STAT1!$C$4:$D$8000,2,FALSE),"")</f>
        <v>Хаан Банк 5024654020</v>
      </c>
      <c r="G2265" s="614">
        <v>4400000</v>
      </c>
      <c r="H2265" s="614"/>
      <c r="I2265" s="590">
        <f t="shared" si="224"/>
        <v>4400000</v>
      </c>
      <c r="J2265" s="152">
        <f t="shared" si="225"/>
        <v>0</v>
      </c>
      <c r="L2265" s="703">
        <v>2009</v>
      </c>
      <c r="M2265" s="152" t="str">
        <f>+IFERROR(VLOOKUP(L2265,DATA!$G$4:$H$2000,2,FALSE),"")</f>
        <v>ХААН БАНК</v>
      </c>
      <c r="O2265" s="152" t="str">
        <f>IFERROR(VLOOKUP(N2265,DATA!$K$4:$L$51,2,FALSE),"")</f>
        <v/>
      </c>
    </row>
    <row r="2266" spans="2:15">
      <c r="B2266" s="671">
        <f t="shared" si="222"/>
        <v>2261</v>
      </c>
      <c r="C2266" s="685">
        <v>43057</v>
      </c>
      <c r="D2266" s="614" t="s">
        <v>1785</v>
      </c>
      <c r="E2266" s="692">
        <v>100100</v>
      </c>
      <c r="F2266" s="686" t="str">
        <f>IFERROR(VLOOKUP(E2266,STAT1!$C$4:$D$8000,2,FALSE),"")</f>
        <v>Касс мөнгө MNT</v>
      </c>
      <c r="G2266" s="614"/>
      <c r="H2266" s="614">
        <v>4400000</v>
      </c>
      <c r="I2266" s="590">
        <f t="shared" si="224"/>
        <v>-4400000</v>
      </c>
      <c r="J2266" s="152">
        <f t="shared" si="225"/>
        <v>0</v>
      </c>
      <c r="L2266" s="703">
        <v>2009</v>
      </c>
      <c r="M2266" s="152" t="str">
        <f>+IFERROR(VLOOKUP(L2266,DATA!$G$4:$H$2000,2,FALSE),"")</f>
        <v>ХААН БАНК</v>
      </c>
      <c r="O2266" s="152" t="str">
        <f>IFERROR(VLOOKUP(N2266,DATA!$K$4:$L$51,2,FALSE),"")</f>
        <v/>
      </c>
    </row>
    <row r="2267" spans="2:15">
      <c r="B2267" s="671">
        <f t="shared" si="222"/>
        <v>2262</v>
      </c>
      <c r="C2267" s="685">
        <v>43059</v>
      </c>
      <c r="D2267" s="614" t="s">
        <v>1747</v>
      </c>
      <c r="E2267" s="577">
        <v>110100</v>
      </c>
      <c r="F2267" s="686" t="str">
        <f>IFERROR(VLOOKUP(E2267,STAT1!$C$4:$D$8000,2,FALSE),"")</f>
        <v>Хаан Банк 5024654020</v>
      </c>
      <c r="G2267" s="614"/>
      <c r="H2267" s="614">
        <v>3200872</v>
      </c>
      <c r="I2267" s="590">
        <f t="shared" si="224"/>
        <v>-3200872</v>
      </c>
      <c r="J2267" s="152">
        <f t="shared" si="225"/>
        <v>0</v>
      </c>
      <c r="L2267" s="703">
        <v>2009</v>
      </c>
      <c r="M2267" s="152" t="str">
        <f>+IFERROR(VLOOKUP(L2267,DATA!$G$4:$H$2000,2,FALSE),"")</f>
        <v>ХААН БАНК</v>
      </c>
      <c r="N2267" s="153">
        <v>91</v>
      </c>
      <c r="O2267" s="152" t="str">
        <f>IFERROR(VLOOKUP(N2267,DATA!$K$4:$L$51,2,FALSE),"")</f>
        <v>Зээл, өрийн үнэт цаасны төлбөрт төлсөн</v>
      </c>
    </row>
    <row r="2268" spans="2:15">
      <c r="B2268" s="671">
        <f t="shared" si="222"/>
        <v>2263</v>
      </c>
      <c r="C2268" s="685">
        <v>43059</v>
      </c>
      <c r="D2268" s="614" t="s">
        <v>1747</v>
      </c>
      <c r="E2268" s="577">
        <v>311100</v>
      </c>
      <c r="F2268" s="686" t="str">
        <f>IFERROR(VLOOKUP(E2268,STAT1!$C$4:$D$8000,2,FALSE),"")</f>
        <v xml:space="preserve">Бусад богино хугацаат өглөг </v>
      </c>
      <c r="G2268" s="614">
        <v>3200872</v>
      </c>
      <c r="H2268" s="614"/>
      <c r="I2268" s="590">
        <f t="shared" si="224"/>
        <v>0</v>
      </c>
      <c r="J2268" s="152">
        <f t="shared" si="225"/>
        <v>0</v>
      </c>
      <c r="L2268" s="703">
        <v>2009</v>
      </c>
      <c r="M2268" s="152" t="str">
        <f>+IFERROR(VLOOKUP(L2268,DATA!$G$4:$H$2000,2,FALSE),"")</f>
        <v>ХААН БАНК</v>
      </c>
      <c r="O2268" s="152" t="str">
        <f>IFERROR(VLOOKUP(N2268,DATA!$K$4:$L$51,2,FALSE),"")</f>
        <v/>
      </c>
    </row>
    <row r="2269" spans="2:15">
      <c r="B2269" s="671">
        <f t="shared" si="222"/>
        <v>2264</v>
      </c>
      <c r="C2269" s="685">
        <v>43059</v>
      </c>
      <c r="D2269" s="614" t="s">
        <v>1747</v>
      </c>
      <c r="E2269" s="692">
        <v>110100</v>
      </c>
      <c r="F2269" s="686" t="str">
        <f>IFERROR(VLOOKUP(E2269,STAT1!$C$4:$D$8000,2,FALSE),"")</f>
        <v>Хаан Банк 5024654020</v>
      </c>
      <c r="G2269" s="614"/>
      <c r="H2269" s="614">
        <v>1379127.0099999998</v>
      </c>
      <c r="I2269" s="590">
        <f t="shared" si="224"/>
        <v>-1379127.0099999998</v>
      </c>
      <c r="J2269" s="152">
        <f t="shared" si="225"/>
        <v>0</v>
      </c>
      <c r="L2269" s="703">
        <v>2009</v>
      </c>
      <c r="M2269" s="152" t="str">
        <f>+IFERROR(VLOOKUP(L2269,DATA!$G$4:$H$2000,2,FALSE),"")</f>
        <v>ХААН БАНК</v>
      </c>
      <c r="N2269" s="153">
        <v>56</v>
      </c>
      <c r="O2269" s="152" t="str">
        <f>IFERROR(VLOOKUP(N2269,DATA!$K$4:$L$51,2,FALSE),"")</f>
        <v>Хүүний төлбөрт төлсөн</v>
      </c>
    </row>
    <row r="2270" spans="2:15">
      <c r="B2270" s="671">
        <f t="shared" si="222"/>
        <v>2265</v>
      </c>
      <c r="C2270" s="685">
        <v>43059</v>
      </c>
      <c r="D2270" s="614" t="s">
        <v>1747</v>
      </c>
      <c r="E2270" s="692">
        <v>702500</v>
      </c>
      <c r="F2270" s="686" t="str">
        <f>IFERROR(VLOOKUP(E2270,STAT1!$C$4:$D$8000,2,FALSE),"")</f>
        <v>Зээлийн хүүгийн зардал</v>
      </c>
      <c r="G2270" s="614">
        <v>1379127.0099999998</v>
      </c>
      <c r="H2270" s="614"/>
      <c r="I2270" s="590">
        <f t="shared" si="224"/>
        <v>0</v>
      </c>
      <c r="J2270" s="152">
        <f t="shared" si="225"/>
        <v>0</v>
      </c>
      <c r="L2270" s="703">
        <v>2009</v>
      </c>
      <c r="M2270" s="152" t="str">
        <f>+IFERROR(VLOOKUP(L2270,DATA!$G$4:$H$2000,2,FALSE),"")</f>
        <v>ХААН БАНК</v>
      </c>
      <c r="O2270" s="152" t="str">
        <f>IFERROR(VLOOKUP(N2270,DATA!$K$4:$L$51,2,FALSE),"")</f>
        <v/>
      </c>
    </row>
    <row r="2271" spans="2:15">
      <c r="B2271" s="671">
        <f t="shared" si="222"/>
        <v>2266</v>
      </c>
      <c r="C2271" s="685">
        <v>43059</v>
      </c>
      <c r="D2271" s="614" t="s">
        <v>1701</v>
      </c>
      <c r="E2271" s="692">
        <v>100100</v>
      </c>
      <c r="F2271" s="686" t="str">
        <f>IFERROR(VLOOKUP(E2271,STAT1!$C$4:$D$8000,2,FALSE),"")</f>
        <v>Касс мөнгө MNT</v>
      </c>
      <c r="G2271" s="614"/>
      <c r="H2271" s="614">
        <v>1500000</v>
      </c>
      <c r="I2271" s="590">
        <f t="shared" si="224"/>
        <v>-1500000</v>
      </c>
      <c r="J2271" s="152">
        <f t="shared" si="225"/>
        <v>0</v>
      </c>
      <c r="L2271" s="703">
        <v>2012</v>
      </c>
      <c r="M2271" s="152" t="str">
        <f>+IFERROR(VLOOKUP(L2271,DATA!$G$4:$H$2000,2,FALSE),"")</f>
        <v>ИХ ТУГЧ ХХК</v>
      </c>
      <c r="N2271" s="153">
        <v>59</v>
      </c>
      <c r="O2271" s="152" t="str">
        <f>IFERROR(VLOOKUP(N2271,DATA!$K$4:$L$51,2,FALSE),"")</f>
        <v>Бусад мөнгөн зарлага</v>
      </c>
    </row>
    <row r="2272" spans="2:15">
      <c r="B2272" s="671">
        <f t="shared" si="222"/>
        <v>2267</v>
      </c>
      <c r="C2272" s="691">
        <v>43059</v>
      </c>
      <c r="D2272" s="693" t="s">
        <v>1701</v>
      </c>
      <c r="E2272" s="692">
        <v>705800</v>
      </c>
      <c r="F2272" s="686" t="str">
        <f>IFERROR(VLOOKUP(E2272,STAT1!$C$4:$D$8000,2,FALSE),"")</f>
        <v>Харуул хамгаалалт</v>
      </c>
      <c r="G2272" s="614">
        <v>1500000</v>
      </c>
      <c r="H2272" s="614"/>
      <c r="I2272" s="590">
        <f t="shared" si="224"/>
        <v>0</v>
      </c>
      <c r="J2272" s="152">
        <f t="shared" si="225"/>
        <v>0</v>
      </c>
      <c r="L2272" s="703">
        <v>2012</v>
      </c>
      <c r="M2272" s="152" t="str">
        <f>+IFERROR(VLOOKUP(L2272,DATA!$G$4:$H$2000,2,FALSE),"")</f>
        <v>ИХ ТУГЧ ХХК</v>
      </c>
      <c r="O2272" s="152" t="str">
        <f>IFERROR(VLOOKUP(N2272,DATA!$K$4:$L$51,2,FALSE),"")</f>
        <v/>
      </c>
    </row>
    <row r="2273" spans="2:15">
      <c r="B2273" s="671">
        <f t="shared" si="222"/>
        <v>2268</v>
      </c>
      <c r="C2273" s="685">
        <v>43063</v>
      </c>
      <c r="D2273" s="614" t="s">
        <v>1741</v>
      </c>
      <c r="E2273" s="692">
        <v>110100</v>
      </c>
      <c r="F2273" s="686" t="str">
        <f>IFERROR(VLOOKUP(E2273,STAT1!$C$4:$D$8000,2,FALSE),"")</f>
        <v>Хаан Банк 5024654020</v>
      </c>
      <c r="G2273" s="614">
        <v>1177000</v>
      </c>
      <c r="H2273" s="614"/>
      <c r="I2273" s="590">
        <f t="shared" si="224"/>
        <v>1177000</v>
      </c>
      <c r="J2273" s="152">
        <f t="shared" si="225"/>
        <v>0</v>
      </c>
      <c r="L2273" s="703">
        <v>3106</v>
      </c>
      <c r="M2273" s="152" t="str">
        <f>+IFERROR(VLOOKUP(L2273,DATA!$G$4:$H$2000,2,FALSE),"")</f>
        <v xml:space="preserve">ГАН ЗОСОН КОНСТРАКШН ХХК </v>
      </c>
      <c r="N2273" s="153">
        <v>41</v>
      </c>
      <c r="O2273" s="152" t="str">
        <f>IFERROR(VLOOKUP(N2273,DATA!$K$4:$L$51,2,FALSE),"")</f>
        <v>Бараа борлуулсан, үйлчилгээ үзүүлсэний орлого</v>
      </c>
    </row>
    <row r="2274" spans="2:15">
      <c r="B2274" s="671">
        <f t="shared" si="222"/>
        <v>2269</v>
      </c>
      <c r="C2274" s="685">
        <v>43063</v>
      </c>
      <c r="D2274" s="614" t="s">
        <v>1741</v>
      </c>
      <c r="E2274" s="577">
        <v>320100</v>
      </c>
      <c r="F2274" s="686" t="str">
        <f>IFERROR(VLOOKUP(E2274,STAT1!$C$4:$D$8000,2,FALSE),"")</f>
        <v>Урьдчилж орсон орлого MNT</v>
      </c>
      <c r="G2274" s="614"/>
      <c r="H2274" s="614">
        <v>1177000</v>
      </c>
      <c r="I2274" s="590">
        <f t="shared" si="224"/>
        <v>0</v>
      </c>
      <c r="J2274" s="152">
        <f t="shared" si="225"/>
        <v>0</v>
      </c>
      <c r="L2274" s="703">
        <v>3106</v>
      </c>
      <c r="M2274" s="152" t="str">
        <f>+IFERROR(VLOOKUP(L2274,DATA!$G$4:$H$2000,2,FALSE),"")</f>
        <v xml:space="preserve">ГАН ЗОСОН КОНСТРАКШН ХХК </v>
      </c>
      <c r="O2274" s="152" t="str">
        <f>IFERROR(VLOOKUP(N2274,DATA!$K$4:$L$51,2,FALSE),"")</f>
        <v/>
      </c>
    </row>
    <row r="2275" spans="2:15">
      <c r="B2275" s="671">
        <f t="shared" si="222"/>
        <v>2270</v>
      </c>
      <c r="C2275" s="685">
        <v>43063</v>
      </c>
      <c r="D2275" s="614" t="s">
        <v>2705</v>
      </c>
      <c r="E2275" s="577">
        <v>100100</v>
      </c>
      <c r="F2275" s="686" t="str">
        <f>IFERROR(VLOOKUP(E2275,STAT1!$C$4:$D$8000,2,FALSE),"")</f>
        <v>Касс мөнгө MNT</v>
      </c>
      <c r="G2275" s="614"/>
      <c r="H2275" s="614">
        <v>3405728</v>
      </c>
      <c r="I2275" s="590">
        <f t="shared" si="224"/>
        <v>-3405728</v>
      </c>
      <c r="J2275" s="152">
        <f t="shared" si="225"/>
        <v>0</v>
      </c>
      <c r="L2275" s="703">
        <v>2003</v>
      </c>
      <c r="M2275" s="152" t="str">
        <f>+IFERROR(VLOOKUP(L2275,DATA!$G$4:$H$2000,2,FALSE),"")</f>
        <v xml:space="preserve">УБЦТС ТӨХК </v>
      </c>
      <c r="N2275" s="153">
        <v>54</v>
      </c>
      <c r="O2275" s="152" t="str">
        <f>IFERROR(VLOOKUP(N2275,DATA!$K$4:$L$51,2,FALSE),"")</f>
        <v>Ашиглалтын зардалд төлсөн</v>
      </c>
    </row>
    <row r="2276" spans="2:15">
      <c r="B2276" s="671">
        <f t="shared" si="222"/>
        <v>2271</v>
      </c>
      <c r="C2276" s="685">
        <v>43063</v>
      </c>
      <c r="D2276" s="614" t="s">
        <v>2705</v>
      </c>
      <c r="E2276" s="577">
        <v>120600</v>
      </c>
      <c r="F2276" s="686" t="str">
        <f>IFERROR(VLOOKUP(E2276,STAT1!$C$4:$D$8000,2,FALSE),"")</f>
        <v>НӨАТ авлага</v>
      </c>
      <c r="G2276" s="614">
        <v>309611.57</v>
      </c>
      <c r="H2276" s="614"/>
      <c r="I2276" s="590">
        <f t="shared" si="224"/>
        <v>0</v>
      </c>
      <c r="J2276" s="152">
        <f t="shared" si="225"/>
        <v>0</v>
      </c>
      <c r="L2276" s="703">
        <v>2003</v>
      </c>
      <c r="M2276" s="152" t="str">
        <f>+IFERROR(VLOOKUP(L2276,DATA!$G$4:$H$2000,2,FALSE),"")</f>
        <v xml:space="preserve">УБЦТС ТӨХК </v>
      </c>
      <c r="O2276" s="152" t="str">
        <f>IFERROR(VLOOKUP(N2276,DATA!$K$4:$L$51,2,FALSE),"")</f>
        <v/>
      </c>
    </row>
    <row r="2277" spans="2:15">
      <c r="B2277" s="671">
        <f t="shared" si="222"/>
        <v>2272</v>
      </c>
      <c r="C2277" s="685">
        <v>43063</v>
      </c>
      <c r="D2277" s="614" t="s">
        <v>2705</v>
      </c>
      <c r="E2277" s="577">
        <v>700700</v>
      </c>
      <c r="F2277" s="686" t="str">
        <f>IFERROR(VLOOKUP(E2277,STAT1!$C$4:$D$8000,2,FALSE),"")</f>
        <v>Цахилгаан эрчим хүч</v>
      </c>
      <c r="G2277" s="614">
        <v>2197273.61</v>
      </c>
      <c r="H2277" s="614"/>
      <c r="I2277" s="590">
        <f t="shared" si="224"/>
        <v>0</v>
      </c>
      <c r="J2277" s="152">
        <f t="shared" si="225"/>
        <v>0</v>
      </c>
      <c r="L2277" s="703">
        <v>2003</v>
      </c>
      <c r="M2277" s="152" t="str">
        <f>+IFERROR(VLOOKUP(L2277,DATA!$G$4:$H$2000,2,FALSE),"")</f>
        <v xml:space="preserve">УБЦТС ТӨХК </v>
      </c>
      <c r="O2277" s="152" t="str">
        <f>IFERROR(VLOOKUP(N2277,DATA!$K$4:$L$51,2,FALSE),"")</f>
        <v/>
      </c>
    </row>
    <row r="2278" spans="2:15">
      <c r="B2278" s="671">
        <f t="shared" si="222"/>
        <v>2273</v>
      </c>
      <c r="C2278" s="685">
        <v>43063</v>
      </c>
      <c r="D2278" s="614" t="s">
        <v>2705</v>
      </c>
      <c r="E2278" s="577">
        <v>700800</v>
      </c>
      <c r="F2278" s="686" t="str">
        <f>IFERROR(VLOOKUP(E2278,STAT1!$C$4:$D$8000,2,FALSE),"")</f>
        <v>Дулаан</v>
      </c>
      <c r="G2278" s="614">
        <v>898842.82</v>
      </c>
      <c r="H2278" s="614"/>
      <c r="I2278" s="590">
        <f t="shared" si="224"/>
        <v>0</v>
      </c>
      <c r="J2278" s="152">
        <f t="shared" si="225"/>
        <v>0</v>
      </c>
      <c r="L2278" s="703">
        <v>2013</v>
      </c>
      <c r="M2278" s="152" t="str">
        <f>+IFERROR(VLOOKUP(L2278,DATA!$G$4:$H$2000,2,FALSE),"")</f>
        <v>УБДС ТӨХК</v>
      </c>
      <c r="O2278" s="152" t="str">
        <f>IFERROR(VLOOKUP(N2278,DATA!$K$4:$L$51,2,FALSE),"")</f>
        <v/>
      </c>
    </row>
    <row r="2279" spans="2:15">
      <c r="B2279" s="671">
        <f t="shared" si="222"/>
        <v>2274</v>
      </c>
      <c r="C2279" s="685">
        <v>43064</v>
      </c>
      <c r="D2279" s="614" t="s">
        <v>1741</v>
      </c>
      <c r="E2279" s="577">
        <v>110100</v>
      </c>
      <c r="F2279" s="686" t="str">
        <f>IFERROR(VLOOKUP(E2279,STAT1!$C$4:$D$8000,2,FALSE),"")</f>
        <v>Хаан Банк 5024654020</v>
      </c>
      <c r="G2279" s="614">
        <v>361514</v>
      </c>
      <c r="H2279" s="614"/>
      <c r="I2279" s="590">
        <f t="shared" si="224"/>
        <v>361514</v>
      </c>
      <c r="J2279" s="152">
        <f t="shared" si="225"/>
        <v>0</v>
      </c>
      <c r="L2279" s="703">
        <v>3006</v>
      </c>
      <c r="M2279" s="152" t="str">
        <f>+IFERROR(VLOOKUP(L2279,DATA!$G$4:$H$2000,2,FALSE),"")</f>
        <v xml:space="preserve">ПАЙОНЕРИНГ ИНТЕРНЭШНЛ ХХК </v>
      </c>
      <c r="N2279" s="153">
        <v>41</v>
      </c>
      <c r="O2279" s="152" t="str">
        <f>IFERROR(VLOOKUP(N2279,DATA!$K$4:$L$51,2,FALSE),"")</f>
        <v>Бараа борлуулсан, үйлчилгээ үзүүлсэний орлого</v>
      </c>
    </row>
    <row r="2280" spans="2:15">
      <c r="B2280" s="671">
        <f t="shared" si="222"/>
        <v>2275</v>
      </c>
      <c r="C2280" s="685">
        <v>43064</v>
      </c>
      <c r="D2280" s="614" t="s">
        <v>1741</v>
      </c>
      <c r="E2280" s="577">
        <v>320100</v>
      </c>
      <c r="F2280" s="686" t="str">
        <f>IFERROR(VLOOKUP(E2280,STAT1!$C$4:$D$8000,2,FALSE),"")</f>
        <v>Урьдчилж орсон орлого MNT</v>
      </c>
      <c r="G2280" s="614"/>
      <c r="H2280" s="614">
        <v>361514</v>
      </c>
      <c r="I2280" s="590">
        <f t="shared" si="224"/>
        <v>0</v>
      </c>
      <c r="J2280" s="152">
        <f t="shared" si="225"/>
        <v>0</v>
      </c>
      <c r="L2280" s="703">
        <v>3006</v>
      </c>
      <c r="M2280" s="152" t="str">
        <f>+IFERROR(VLOOKUP(L2280,DATA!$G$4:$H$2000,2,FALSE),"")</f>
        <v xml:space="preserve">ПАЙОНЕРИНГ ИНТЕРНЭШНЛ ХХК </v>
      </c>
      <c r="O2280" s="152" t="str">
        <f>IFERROR(VLOOKUP(N2280,DATA!$K$4:$L$51,2,FALSE),"")</f>
        <v/>
      </c>
    </row>
    <row r="2281" spans="2:15">
      <c r="B2281" s="671">
        <f t="shared" si="222"/>
        <v>2276</v>
      </c>
      <c r="C2281" s="685">
        <v>43064</v>
      </c>
      <c r="D2281" s="614" t="s">
        <v>2149</v>
      </c>
      <c r="E2281" s="577">
        <v>110100</v>
      </c>
      <c r="F2281" s="686" t="str">
        <f>IFERROR(VLOOKUP(E2281,STAT1!$C$4:$D$8000,2,FALSE),"")</f>
        <v>Хаан Банк 5024654020</v>
      </c>
      <c r="G2281" s="614"/>
      <c r="H2281" s="614">
        <v>1177000</v>
      </c>
      <c r="I2281" s="590">
        <f t="shared" si="224"/>
        <v>-1177000</v>
      </c>
      <c r="J2281" s="152">
        <f t="shared" si="225"/>
        <v>0</v>
      </c>
      <c r="L2281" s="703">
        <v>3106</v>
      </c>
      <c r="M2281" s="152" t="str">
        <f>+IFERROR(VLOOKUP(L2281,DATA!$G$4:$H$2000,2,FALSE),"")</f>
        <v xml:space="preserve">ГАН ЗОСОН КОНСТРАКШН ХХК </v>
      </c>
      <c r="N2281" s="153">
        <v>41</v>
      </c>
      <c r="O2281" s="152" t="str">
        <f>IFERROR(VLOOKUP(N2281,DATA!$K$4:$L$51,2,FALSE),"")</f>
        <v>Бараа борлуулсан, үйлчилгээ үзүүлсэний орлого</v>
      </c>
    </row>
    <row r="2282" spans="2:15">
      <c r="B2282" s="671">
        <f t="shared" si="222"/>
        <v>2277</v>
      </c>
      <c r="C2282" s="685">
        <v>43064</v>
      </c>
      <c r="D2282" s="614" t="s">
        <v>2149</v>
      </c>
      <c r="E2282" s="577">
        <v>320100</v>
      </c>
      <c r="F2282" s="686" t="str">
        <f>IFERROR(VLOOKUP(E2282,STAT1!$C$4:$D$8000,2,FALSE),"")</f>
        <v>Урьдчилж орсон орлого MNT</v>
      </c>
      <c r="G2282" s="614">
        <v>1177000</v>
      </c>
      <c r="H2282" s="614"/>
      <c r="I2282" s="590">
        <f t="shared" si="224"/>
        <v>0</v>
      </c>
      <c r="J2282" s="152">
        <f t="shared" si="225"/>
        <v>0</v>
      </c>
      <c r="L2282" s="703">
        <v>3106</v>
      </c>
      <c r="M2282" s="152" t="str">
        <f>+IFERROR(VLOOKUP(L2282,DATA!$G$4:$H$2000,2,FALSE),"")</f>
        <v xml:space="preserve">ГАН ЗОСОН КОНСТРАКШН ХХК </v>
      </c>
      <c r="O2282" s="152" t="str">
        <f>IFERROR(VLOOKUP(N2282,DATA!$K$4:$L$51,2,FALSE),"")</f>
        <v/>
      </c>
    </row>
    <row r="2283" spans="2:15">
      <c r="B2283" s="671">
        <f t="shared" si="222"/>
        <v>2278</v>
      </c>
      <c r="C2283" s="694">
        <v>43064</v>
      </c>
      <c r="D2283" s="614" t="s">
        <v>2698</v>
      </c>
      <c r="E2283" s="577">
        <v>150101</v>
      </c>
      <c r="F2283" s="686" t="str">
        <f>IFERROR(VLOOKUP(E2283,STAT1!$C$4:$D$8000,2,FALSE),"")</f>
        <v>Бараа бэлэн бүтээгдэхүүн БОЛОВСРУУЛАХ ЦЕХ /нарс/</v>
      </c>
      <c r="G2283" s="614"/>
      <c r="H2283" s="614">
        <v>204087.41866090748</v>
      </c>
      <c r="I2283" s="590">
        <f t="shared" si="224"/>
        <v>0</v>
      </c>
      <c r="J2283" s="152">
        <f t="shared" si="225"/>
        <v>0</v>
      </c>
      <c r="L2283" s="703">
        <v>3006</v>
      </c>
      <c r="M2283" s="152" t="str">
        <f>+IFERROR(VLOOKUP(L2283,DATA!$G$4:$H$2000,2,FALSE),"")</f>
        <v xml:space="preserve">ПАЙОНЕРИНГ ИНТЕРНЭШНЛ ХХК </v>
      </c>
      <c r="O2283" s="152" t="str">
        <f>IFERROR(VLOOKUP(N2283,DATA!$K$4:$L$51,2,FALSE),"")</f>
        <v/>
      </c>
    </row>
    <row r="2284" spans="2:15">
      <c r="B2284" s="671">
        <f t="shared" si="222"/>
        <v>2279</v>
      </c>
      <c r="C2284" s="695">
        <v>43064</v>
      </c>
      <c r="D2284" s="693" t="s">
        <v>587</v>
      </c>
      <c r="E2284" s="692">
        <v>610100</v>
      </c>
      <c r="F2284" s="686" t="str">
        <f>IFERROR(VLOOKUP(E2284,STAT1!$C$4:$D$8000,2,FALSE),"")</f>
        <v>Борлуулсан барааны өртөг</v>
      </c>
      <c r="G2284" s="614">
        <v>204087.41866090748</v>
      </c>
      <c r="H2284" s="614"/>
      <c r="I2284" s="590">
        <f t="shared" si="224"/>
        <v>0</v>
      </c>
      <c r="J2284" s="152">
        <f t="shared" si="225"/>
        <v>0</v>
      </c>
      <c r="L2284" s="703">
        <v>3006</v>
      </c>
      <c r="M2284" s="152" t="str">
        <f>+IFERROR(VLOOKUP(L2284,DATA!$G$4:$H$2000,2,FALSE),"")</f>
        <v xml:space="preserve">ПАЙОНЕРИНГ ИНТЕРНЭШНЛ ХХК </v>
      </c>
      <c r="O2284" s="152" t="str">
        <f>IFERROR(VLOOKUP(N2284,DATA!$K$4:$L$51,2,FALSE),"")</f>
        <v/>
      </c>
    </row>
    <row r="2285" spans="2:15">
      <c r="B2285" s="671">
        <f t="shared" ref="B2285:B2348" si="226">+IF(C2285="","",ROW()-5)</f>
        <v>2280</v>
      </c>
      <c r="C2285" s="695">
        <v>43064</v>
      </c>
      <c r="D2285" s="693" t="s">
        <v>587</v>
      </c>
      <c r="E2285" s="692">
        <v>310500</v>
      </c>
      <c r="F2285" s="686" t="str">
        <f>IFERROR(VLOOKUP(E2285,STAT1!$C$4:$D$8000,2,FALSE),"")</f>
        <v>НӨАТ өглөг</v>
      </c>
      <c r="G2285" s="614"/>
      <c r="H2285" s="614">
        <v>32864.910000000003</v>
      </c>
      <c r="I2285" s="590">
        <f t="shared" si="224"/>
        <v>0</v>
      </c>
      <c r="J2285" s="152">
        <f t="shared" si="225"/>
        <v>0</v>
      </c>
      <c r="L2285" s="703">
        <v>3006</v>
      </c>
      <c r="M2285" s="152" t="str">
        <f>+IFERROR(VLOOKUP(L2285,DATA!$G$4:$H$2000,2,FALSE),"")</f>
        <v xml:space="preserve">ПАЙОНЕРИНГ ИНТЕРНЭШНЛ ХХК </v>
      </c>
      <c r="O2285" s="152" t="str">
        <f>IFERROR(VLOOKUP(N2285,DATA!$K$4:$L$51,2,FALSE),"")</f>
        <v/>
      </c>
    </row>
    <row r="2286" spans="2:15">
      <c r="B2286" s="671">
        <f t="shared" si="226"/>
        <v>2281</v>
      </c>
      <c r="C2286" s="695">
        <v>43064</v>
      </c>
      <c r="D2286" s="693" t="s">
        <v>587</v>
      </c>
      <c r="E2286" s="692">
        <v>510000</v>
      </c>
      <c r="F2286" s="686" t="str">
        <f>IFERROR(VLOOKUP(E2286,STAT1!$C$4:$D$8000,2,FALSE),"")</f>
        <v>Үндсэн үйл ажиллагааны борлуулалт</v>
      </c>
      <c r="G2286" s="614"/>
      <c r="H2286" s="614">
        <v>328649.09000000003</v>
      </c>
      <c r="I2286" s="590">
        <f t="shared" si="224"/>
        <v>0</v>
      </c>
      <c r="J2286" s="152">
        <f t="shared" si="225"/>
        <v>0</v>
      </c>
      <c r="L2286" s="703">
        <v>3006</v>
      </c>
      <c r="M2286" s="152" t="str">
        <f>+IFERROR(VLOOKUP(L2286,DATA!$G$4:$H$2000,2,FALSE),"")</f>
        <v xml:space="preserve">ПАЙОНЕРИНГ ИНТЕРНЭШНЛ ХХК </v>
      </c>
      <c r="O2286" s="152" t="str">
        <f>IFERROR(VLOOKUP(N2286,DATA!$K$4:$L$51,2,FALSE),"")</f>
        <v/>
      </c>
    </row>
    <row r="2287" spans="2:15">
      <c r="B2287" s="671">
        <f t="shared" si="226"/>
        <v>2282</v>
      </c>
      <c r="C2287" s="694">
        <v>43064</v>
      </c>
      <c r="D2287" s="614" t="s">
        <v>587</v>
      </c>
      <c r="E2287" s="577">
        <v>320100</v>
      </c>
      <c r="F2287" s="686" t="str">
        <f>IFERROR(VLOOKUP(E2287,STAT1!$C$4:$D$8000,2,FALSE),"")</f>
        <v>Урьдчилж орсон орлого MNT</v>
      </c>
      <c r="G2287" s="614">
        <v>361514</v>
      </c>
      <c r="H2287" s="614"/>
      <c r="I2287" s="590">
        <f t="shared" si="224"/>
        <v>0</v>
      </c>
      <c r="J2287" s="152">
        <f t="shared" si="225"/>
        <v>0</v>
      </c>
      <c r="L2287" s="703">
        <v>3006</v>
      </c>
      <c r="M2287" s="152" t="str">
        <f>+IFERROR(VLOOKUP(L2287,DATA!$G$4:$H$2000,2,FALSE),"")</f>
        <v xml:space="preserve">ПАЙОНЕРИНГ ИНТЕРНЭШНЛ ХХК </v>
      </c>
      <c r="O2287" s="152" t="str">
        <f>IFERROR(VLOOKUP(N2287,DATA!$K$4:$L$51,2,FALSE),"")</f>
        <v/>
      </c>
    </row>
    <row r="2288" spans="2:15">
      <c r="B2288" s="671">
        <f t="shared" si="226"/>
        <v>2283</v>
      </c>
      <c r="C2288" s="694">
        <v>43066</v>
      </c>
      <c r="D2288" s="614" t="s">
        <v>2631</v>
      </c>
      <c r="E2288" s="692">
        <v>150101</v>
      </c>
      <c r="F2288" s="686" t="str">
        <f>IFERROR(VLOOKUP(E2288,STAT1!$C$4:$D$8000,2,FALSE),"")</f>
        <v>Бараа бэлэн бүтээгдэхүүн БОЛОВСРУУЛАХ ЦЕХ /нарс/</v>
      </c>
      <c r="G2288" s="614"/>
      <c r="H2288" s="614">
        <v>30895.396795706518</v>
      </c>
      <c r="I2288" s="590">
        <f t="shared" si="224"/>
        <v>0</v>
      </c>
      <c r="J2288" s="152">
        <f t="shared" si="225"/>
        <v>0</v>
      </c>
      <c r="L2288" s="703">
        <v>3006</v>
      </c>
      <c r="M2288" s="152" t="str">
        <f>+IFERROR(VLOOKUP(L2288,DATA!$G$4:$H$2000,2,FALSE),"")</f>
        <v xml:space="preserve">ПАЙОНЕРИНГ ИНТЕРНЭШНЛ ХХК </v>
      </c>
      <c r="O2288" s="152" t="str">
        <f>IFERROR(VLOOKUP(N2288,DATA!$K$4:$L$51,2,FALSE),"")</f>
        <v/>
      </c>
    </row>
    <row r="2289" spans="2:15">
      <c r="B2289" s="671">
        <f t="shared" si="226"/>
        <v>2284</v>
      </c>
      <c r="C2289" s="694">
        <v>43066</v>
      </c>
      <c r="D2289" s="614" t="s">
        <v>2141</v>
      </c>
      <c r="E2289" s="692">
        <v>610100</v>
      </c>
      <c r="F2289" s="686" t="str">
        <f>IFERROR(VLOOKUP(E2289,STAT1!$C$4:$D$8000,2,FALSE),"")</f>
        <v>Борлуулсан барааны өртөг</v>
      </c>
      <c r="G2289" s="614">
        <v>30895.396795706518</v>
      </c>
      <c r="H2289" s="614"/>
      <c r="I2289" s="590">
        <f t="shared" si="224"/>
        <v>0</v>
      </c>
      <c r="J2289" s="152">
        <f t="shared" si="225"/>
        <v>0</v>
      </c>
      <c r="L2289" s="703">
        <v>3006</v>
      </c>
      <c r="M2289" s="152" t="str">
        <f>+IFERROR(VLOOKUP(L2289,DATA!$G$4:$H$2000,2,FALSE),"")</f>
        <v xml:space="preserve">ПАЙОНЕРИНГ ИНТЕРНЭШНЛ ХХК </v>
      </c>
      <c r="O2289" s="152" t="str">
        <f>IFERROR(VLOOKUP(N2289,DATA!$K$4:$L$51,2,FALSE),"")</f>
        <v/>
      </c>
    </row>
    <row r="2290" spans="2:15">
      <c r="B2290" s="671">
        <f t="shared" si="226"/>
        <v>2285</v>
      </c>
      <c r="C2290" s="694">
        <v>43066</v>
      </c>
      <c r="D2290" s="614" t="s">
        <v>587</v>
      </c>
      <c r="E2290" s="692">
        <v>310500</v>
      </c>
      <c r="F2290" s="686" t="str">
        <f>IFERROR(VLOOKUP(E2290,STAT1!$C$4:$D$8000,2,FALSE),"")</f>
        <v>НӨАТ өглөг</v>
      </c>
      <c r="G2290" s="614"/>
      <c r="H2290" s="614">
        <v>8250</v>
      </c>
      <c r="I2290" s="590">
        <f t="shared" si="224"/>
        <v>0</v>
      </c>
      <c r="J2290" s="152">
        <f t="shared" si="225"/>
        <v>0</v>
      </c>
      <c r="L2290" s="703">
        <v>3006</v>
      </c>
      <c r="M2290" s="152" t="str">
        <f>+IFERROR(VLOOKUP(L2290,DATA!$G$4:$H$2000,2,FALSE),"")</f>
        <v xml:space="preserve">ПАЙОНЕРИНГ ИНТЕРНЭШНЛ ХХК </v>
      </c>
      <c r="O2290" s="152" t="str">
        <f>IFERROR(VLOOKUP(N2290,DATA!$K$4:$L$51,2,FALSE),"")</f>
        <v/>
      </c>
    </row>
    <row r="2291" spans="2:15">
      <c r="B2291" s="671">
        <f t="shared" si="226"/>
        <v>2286</v>
      </c>
      <c r="C2291" s="694">
        <v>43066</v>
      </c>
      <c r="D2291" s="614" t="s">
        <v>587</v>
      </c>
      <c r="E2291" s="692">
        <v>510000</v>
      </c>
      <c r="F2291" s="686" t="str">
        <f>IFERROR(VLOOKUP(E2291,STAT1!$C$4:$D$8000,2,FALSE),"")</f>
        <v>Үндсэн үйл ажиллагааны борлуулалт</v>
      </c>
      <c r="G2291" s="614"/>
      <c r="H2291" s="614">
        <v>82500</v>
      </c>
      <c r="I2291" s="590">
        <f t="shared" si="224"/>
        <v>0</v>
      </c>
      <c r="J2291" s="152">
        <f t="shared" si="225"/>
        <v>0</v>
      </c>
      <c r="L2291" s="703">
        <v>3006</v>
      </c>
      <c r="M2291" s="152" t="str">
        <f>+IFERROR(VLOOKUP(L2291,DATA!$G$4:$H$2000,2,FALSE),"")</f>
        <v xml:space="preserve">ПАЙОНЕРИНГ ИНТЕРНЭШНЛ ХХК </v>
      </c>
      <c r="O2291" s="152" t="str">
        <f>IFERROR(VLOOKUP(N2291,DATA!$K$4:$L$51,2,FALSE),"")</f>
        <v/>
      </c>
    </row>
    <row r="2292" spans="2:15">
      <c r="B2292" s="671">
        <f t="shared" si="226"/>
        <v>2287</v>
      </c>
      <c r="C2292" s="694">
        <v>43066</v>
      </c>
      <c r="D2292" s="614" t="s">
        <v>587</v>
      </c>
      <c r="E2292" s="692">
        <v>320100</v>
      </c>
      <c r="F2292" s="686" t="str">
        <f>IFERROR(VLOOKUP(E2292,STAT1!$C$4:$D$8000,2,FALSE),"")</f>
        <v>Урьдчилж орсон орлого MNT</v>
      </c>
      <c r="G2292" s="614">
        <v>90750</v>
      </c>
      <c r="H2292" s="614"/>
      <c r="I2292" s="590">
        <f t="shared" si="224"/>
        <v>0</v>
      </c>
      <c r="J2292" s="152">
        <f t="shared" si="225"/>
        <v>0</v>
      </c>
      <c r="L2292" s="703">
        <v>3006</v>
      </c>
      <c r="M2292" s="152" t="str">
        <f>+IFERROR(VLOOKUP(L2292,DATA!$G$4:$H$2000,2,FALSE),"")</f>
        <v xml:space="preserve">ПАЙОНЕРИНГ ИНТЕРНЭШНЛ ХХК </v>
      </c>
      <c r="O2292" s="152" t="str">
        <f>IFERROR(VLOOKUP(N2292,DATA!$K$4:$L$51,2,FALSE),"")</f>
        <v/>
      </c>
    </row>
    <row r="2293" spans="2:15">
      <c r="B2293" s="671">
        <f t="shared" si="226"/>
        <v>2288</v>
      </c>
      <c r="C2293" s="685">
        <v>43067</v>
      </c>
      <c r="D2293" s="614" t="s">
        <v>1741</v>
      </c>
      <c r="E2293" s="692">
        <v>110100</v>
      </c>
      <c r="F2293" s="686" t="str">
        <f>IFERROR(VLOOKUP(E2293,STAT1!$C$4:$D$8000,2,FALSE),"")</f>
        <v>Хаан Банк 5024654020</v>
      </c>
      <c r="G2293" s="614">
        <v>90750</v>
      </c>
      <c r="H2293" s="614"/>
      <c r="I2293" s="590">
        <f t="shared" si="224"/>
        <v>90750</v>
      </c>
      <c r="J2293" s="152">
        <f t="shared" si="225"/>
        <v>0</v>
      </c>
      <c r="L2293" s="703">
        <v>3006</v>
      </c>
      <c r="M2293" s="152" t="str">
        <f>+IFERROR(VLOOKUP(L2293,DATA!$G$4:$H$2000,2,FALSE),"")</f>
        <v xml:space="preserve">ПАЙОНЕРИНГ ИНТЕРНЭШНЛ ХХК </v>
      </c>
      <c r="N2293" s="153">
        <v>41</v>
      </c>
      <c r="O2293" s="152" t="str">
        <f>IFERROR(VLOOKUP(N2293,DATA!$K$4:$L$51,2,FALSE),"")</f>
        <v>Бараа борлуулсан, үйлчилгээ үзүүлсэний орлого</v>
      </c>
    </row>
    <row r="2294" spans="2:15">
      <c r="B2294" s="671">
        <f t="shared" si="226"/>
        <v>2289</v>
      </c>
      <c r="C2294" s="685">
        <v>43067</v>
      </c>
      <c r="D2294" s="614" t="s">
        <v>1741</v>
      </c>
      <c r="E2294" s="692">
        <v>320100</v>
      </c>
      <c r="F2294" s="686" t="str">
        <f>IFERROR(VLOOKUP(E2294,STAT1!$C$4:$D$8000,2,FALSE),"")</f>
        <v>Урьдчилж орсон орлого MNT</v>
      </c>
      <c r="G2294" s="614"/>
      <c r="H2294" s="614">
        <v>90750</v>
      </c>
      <c r="I2294" s="590">
        <f t="shared" si="224"/>
        <v>0</v>
      </c>
      <c r="J2294" s="152">
        <f t="shared" si="225"/>
        <v>0</v>
      </c>
      <c r="L2294" s="703">
        <v>3006</v>
      </c>
      <c r="M2294" s="152" t="str">
        <f>+IFERROR(VLOOKUP(L2294,DATA!$G$4:$H$2000,2,FALSE),"")</f>
        <v xml:space="preserve">ПАЙОНЕРИНГ ИНТЕРНЭШНЛ ХХК </v>
      </c>
      <c r="O2294" s="152" t="str">
        <f>IFERROR(VLOOKUP(N2294,DATA!$K$4:$L$51,2,FALSE),"")</f>
        <v/>
      </c>
    </row>
    <row r="2295" spans="2:15">
      <c r="B2295" s="671">
        <f t="shared" si="226"/>
        <v>2290</v>
      </c>
      <c r="C2295" s="685">
        <v>43067</v>
      </c>
      <c r="D2295" s="614" t="s">
        <v>1715</v>
      </c>
      <c r="E2295" s="692">
        <v>110100</v>
      </c>
      <c r="F2295" s="686" t="str">
        <f>IFERROR(VLOOKUP(E2295,STAT1!$C$4:$D$8000,2,FALSE),"")</f>
        <v>Хаан Банк 5024654020</v>
      </c>
      <c r="G2295" s="614"/>
      <c r="H2295" s="614">
        <v>98000</v>
      </c>
      <c r="I2295" s="590">
        <f t="shared" si="224"/>
        <v>-98000</v>
      </c>
      <c r="J2295" s="152">
        <f t="shared" si="225"/>
        <v>0</v>
      </c>
      <c r="L2295" s="703">
        <v>2005</v>
      </c>
      <c r="M2295" s="152" t="str">
        <f>+IFERROR(VLOOKUP(L2295,DATA!$G$4:$H$2000,2,FALSE),"")</f>
        <v xml:space="preserve">УСУГ ТӨХК </v>
      </c>
      <c r="N2295" s="153">
        <v>54</v>
      </c>
      <c r="O2295" s="152" t="str">
        <f>IFERROR(VLOOKUP(N2295,DATA!$K$4:$L$51,2,FALSE),"")</f>
        <v>Ашиглалтын зардалд төлсөн</v>
      </c>
    </row>
    <row r="2296" spans="2:15">
      <c r="B2296" s="671">
        <f t="shared" si="226"/>
        <v>2291</v>
      </c>
      <c r="C2296" s="685">
        <v>43067</v>
      </c>
      <c r="D2296" s="614" t="s">
        <v>1715</v>
      </c>
      <c r="E2296" s="692">
        <v>120600</v>
      </c>
      <c r="F2296" s="686" t="str">
        <f>IFERROR(VLOOKUP(E2296,STAT1!$C$4:$D$8000,2,FALSE),"")</f>
        <v>НӨАТ авлага</v>
      </c>
      <c r="G2296" s="614">
        <v>8923</v>
      </c>
      <c r="H2296" s="614"/>
      <c r="I2296" s="590">
        <f t="shared" si="224"/>
        <v>0</v>
      </c>
      <c r="J2296" s="152">
        <f t="shared" si="225"/>
        <v>0</v>
      </c>
      <c r="L2296" s="703">
        <v>2005</v>
      </c>
      <c r="M2296" s="152" t="str">
        <f>+IFERROR(VLOOKUP(L2296,DATA!$G$4:$H$2000,2,FALSE),"")</f>
        <v xml:space="preserve">УСУГ ТӨХК </v>
      </c>
    </row>
    <row r="2297" spans="2:15">
      <c r="B2297" s="671">
        <f t="shared" si="226"/>
        <v>2292</v>
      </c>
      <c r="C2297" s="685">
        <v>43067</v>
      </c>
      <c r="D2297" s="614" t="s">
        <v>1715</v>
      </c>
      <c r="E2297" s="692">
        <v>700900</v>
      </c>
      <c r="F2297" s="686" t="str">
        <f>IFERROR(VLOOKUP(E2297,STAT1!$C$4:$D$8000,2,FALSE),"")</f>
        <v>Уур, ус</v>
      </c>
      <c r="G2297" s="614">
        <v>89077</v>
      </c>
      <c r="H2297" s="614"/>
      <c r="I2297" s="590">
        <f t="shared" si="224"/>
        <v>0</v>
      </c>
      <c r="J2297" s="152">
        <f t="shared" si="225"/>
        <v>0</v>
      </c>
      <c r="L2297" s="703">
        <v>2005</v>
      </c>
      <c r="M2297" s="152" t="str">
        <f>+IFERROR(VLOOKUP(L2297,DATA!$G$4:$H$2000,2,FALSE),"")</f>
        <v xml:space="preserve">УСУГ ТӨХК </v>
      </c>
      <c r="O2297" s="152" t="str">
        <f>IFERROR(VLOOKUP(N2297,DATA!$K$4:$L$51,2,FALSE),"")</f>
        <v/>
      </c>
    </row>
    <row r="2298" spans="2:15">
      <c r="B2298" s="671">
        <f t="shared" si="226"/>
        <v>2293</v>
      </c>
      <c r="C2298" s="685">
        <v>43067</v>
      </c>
      <c r="D2298" s="614" t="s">
        <v>2166</v>
      </c>
      <c r="E2298" s="692">
        <v>110100</v>
      </c>
      <c r="F2298" s="686" t="str">
        <f>IFERROR(VLOOKUP(E2298,STAT1!$C$4:$D$8000,2,FALSE),"")</f>
        <v>Хаан Банк 5024654020</v>
      </c>
      <c r="G2298" s="614"/>
      <c r="H2298" s="614">
        <v>200</v>
      </c>
      <c r="I2298" s="590">
        <f t="shared" si="224"/>
        <v>-200</v>
      </c>
      <c r="J2298" s="152">
        <f t="shared" si="225"/>
        <v>0</v>
      </c>
      <c r="L2298" s="703">
        <v>2009</v>
      </c>
      <c r="M2298" s="152" t="str">
        <f>+IFERROR(VLOOKUP(L2298,DATA!$G$4:$H$2000,2,FALSE),"")</f>
        <v>ХААН БАНК</v>
      </c>
      <c r="N2298" s="153">
        <v>59</v>
      </c>
      <c r="O2298" s="152" t="str">
        <f>IFERROR(VLOOKUP(N2298,DATA!$K$4:$L$51,2,FALSE),"")</f>
        <v>Бусад мөнгөн зарлага</v>
      </c>
    </row>
    <row r="2299" spans="2:15">
      <c r="B2299" s="671">
        <f t="shared" si="226"/>
        <v>2294</v>
      </c>
      <c r="C2299" s="685">
        <v>43067</v>
      </c>
      <c r="D2299" s="614" t="s">
        <v>2166</v>
      </c>
      <c r="E2299" s="692">
        <v>704900</v>
      </c>
      <c r="F2299" s="686" t="str">
        <f>IFERROR(VLOOKUP(E2299,STAT1!$C$4:$D$8000,2,FALSE),"")</f>
        <v>Банкны үйлчилгээ</v>
      </c>
      <c r="G2299" s="614">
        <v>200</v>
      </c>
      <c r="H2299" s="614"/>
      <c r="I2299" s="590">
        <f t="shared" si="224"/>
        <v>0</v>
      </c>
      <c r="J2299" s="152">
        <f t="shared" si="225"/>
        <v>0</v>
      </c>
      <c r="L2299" s="703">
        <v>2009</v>
      </c>
      <c r="M2299" s="152" t="str">
        <f>+IFERROR(VLOOKUP(L2299,DATA!$G$4:$H$2000,2,FALSE),"")</f>
        <v>ХААН БАНК</v>
      </c>
      <c r="O2299" s="152" t="str">
        <f>IFERROR(VLOOKUP(N2299,DATA!$K$4:$L$51,2,FALSE),"")</f>
        <v/>
      </c>
    </row>
    <row r="2300" spans="2:15">
      <c r="B2300" s="671">
        <f t="shared" si="226"/>
        <v>2295</v>
      </c>
      <c r="C2300" s="685">
        <v>43068</v>
      </c>
      <c r="D2300" s="614" t="s">
        <v>2587</v>
      </c>
      <c r="E2300" s="577">
        <v>510100</v>
      </c>
      <c r="F2300" s="686" t="str">
        <f>IFERROR(VLOOKUP(E2300,STAT1!$C$4:$D$8000,2,FALSE),"")</f>
        <v>Үзүүлсэн ажил үйлчилгээний орлого</v>
      </c>
      <c r="G2300" s="614"/>
      <c r="H2300" s="614">
        <v>11818181.82</v>
      </c>
      <c r="I2300" s="590">
        <f t="shared" si="224"/>
        <v>0</v>
      </c>
      <c r="J2300" s="152">
        <f t="shared" si="225"/>
        <v>0</v>
      </c>
      <c r="L2300" s="703">
        <v>3002</v>
      </c>
      <c r="M2300" s="152" t="str">
        <f>+IFERROR(VLOOKUP(L2300,DATA!$G$4:$H$2000,2,FALSE),"")</f>
        <v>ЭКО КОНСТРАКШН ХХК</v>
      </c>
      <c r="O2300" s="152" t="str">
        <f>IFERROR(VLOOKUP(N2300,DATA!$K$4:$L$51,2,FALSE),"")</f>
        <v/>
      </c>
    </row>
    <row r="2301" spans="2:15">
      <c r="B2301" s="671">
        <f t="shared" si="226"/>
        <v>2296</v>
      </c>
      <c r="C2301" s="685">
        <v>43068</v>
      </c>
      <c r="D2301" s="614" t="s">
        <v>2587</v>
      </c>
      <c r="E2301" s="577">
        <v>310500</v>
      </c>
      <c r="F2301" s="686" t="str">
        <f>IFERROR(VLOOKUP(E2301,STAT1!$C$4:$D$8000,2,FALSE),"")</f>
        <v>НӨАТ өглөг</v>
      </c>
      <c r="G2301" s="614"/>
      <c r="H2301" s="614">
        <v>1181818.18</v>
      </c>
      <c r="I2301" s="590">
        <f t="shared" si="224"/>
        <v>0</v>
      </c>
      <c r="J2301" s="152">
        <f t="shared" si="225"/>
        <v>0</v>
      </c>
      <c r="L2301" s="703">
        <v>3002</v>
      </c>
      <c r="M2301" s="152" t="str">
        <f>+IFERROR(VLOOKUP(L2301,DATA!$G$4:$H$2000,2,FALSE),"")</f>
        <v>ЭКО КОНСТРАКШН ХХК</v>
      </c>
      <c r="O2301" s="152" t="str">
        <f>IFERROR(VLOOKUP(N2301,DATA!$K$4:$L$51,2,FALSE),"")</f>
        <v/>
      </c>
    </row>
    <row r="2302" spans="2:15">
      <c r="B2302" s="671">
        <f t="shared" si="226"/>
        <v>2297</v>
      </c>
      <c r="C2302" s="685">
        <v>43068</v>
      </c>
      <c r="D2302" s="614" t="s">
        <v>2587</v>
      </c>
      <c r="E2302" s="577">
        <v>320100</v>
      </c>
      <c r="F2302" s="686" t="str">
        <f>IFERROR(VLOOKUP(E2302,STAT1!$C$4:$D$8000,2,FALSE),"")</f>
        <v>Урьдчилж орсон орлого MNT</v>
      </c>
      <c r="G2302" s="614">
        <v>13000000</v>
      </c>
      <c r="H2302" s="614"/>
      <c r="I2302" s="590">
        <f t="shared" si="224"/>
        <v>0</v>
      </c>
      <c r="J2302" s="152">
        <f t="shared" si="225"/>
        <v>0</v>
      </c>
      <c r="L2302" s="703">
        <v>3002</v>
      </c>
      <c r="M2302" s="152" t="str">
        <f>+IFERROR(VLOOKUP(L2302,DATA!$G$4:$H$2000,2,FALSE),"")</f>
        <v>ЭКО КОНСТРАКШН ХХК</v>
      </c>
      <c r="O2302" s="152" t="str">
        <f>IFERROR(VLOOKUP(N2302,DATA!$K$4:$L$51,2,FALSE),"")</f>
        <v/>
      </c>
    </row>
    <row r="2303" spans="2:15">
      <c r="B2303" s="671">
        <f t="shared" si="226"/>
        <v>2298</v>
      </c>
      <c r="C2303" s="694">
        <v>43068</v>
      </c>
      <c r="D2303" s="614" t="s">
        <v>2700</v>
      </c>
      <c r="E2303" s="692">
        <v>150101</v>
      </c>
      <c r="F2303" s="686" t="str">
        <f>IFERROR(VLOOKUP(E2303,STAT1!$C$4:$D$8000,2,FALSE),"")</f>
        <v>Бараа бэлэн бүтээгдэхүүн БОЛОВСРУУЛАХ ЦЕХ /нарс/</v>
      </c>
      <c r="G2303" s="614"/>
      <c r="H2303" s="614">
        <v>6356354.9131035227</v>
      </c>
      <c r="I2303" s="590">
        <f t="shared" si="224"/>
        <v>0</v>
      </c>
      <c r="J2303" s="152">
        <f t="shared" si="225"/>
        <v>0</v>
      </c>
      <c r="L2303" s="703">
        <v>3002</v>
      </c>
      <c r="M2303" s="152" t="str">
        <f>+IFERROR(VLOOKUP(L2303,DATA!$G$4:$H$2000,2,FALSE),"")</f>
        <v>ЭКО КОНСТРАКШН ХХК</v>
      </c>
      <c r="O2303" s="152" t="str">
        <f>IFERROR(VLOOKUP(N2303,DATA!$K$4:$L$51,2,FALSE),"")</f>
        <v/>
      </c>
    </row>
    <row r="2304" spans="2:15">
      <c r="B2304" s="671">
        <f t="shared" si="226"/>
        <v>2299</v>
      </c>
      <c r="C2304" s="694">
        <v>43068</v>
      </c>
      <c r="D2304" s="614" t="s">
        <v>2700</v>
      </c>
      <c r="E2304" s="692">
        <v>150101</v>
      </c>
      <c r="F2304" s="686" t="str">
        <f>IFERROR(VLOOKUP(E2304,STAT1!$C$4:$D$8000,2,FALSE),"")</f>
        <v>Бараа бэлэн бүтээгдэхүүн БОЛОВСРУУЛАХ ЦЕХ /нарс/</v>
      </c>
      <c r="G2304" s="614"/>
      <c r="H2304" s="614">
        <v>2356290.2307010512</v>
      </c>
      <c r="I2304" s="590">
        <f t="shared" si="224"/>
        <v>0</v>
      </c>
      <c r="J2304" s="152">
        <f t="shared" si="225"/>
        <v>0</v>
      </c>
      <c r="L2304" s="703">
        <v>3002</v>
      </c>
      <c r="M2304" s="152" t="str">
        <f>+IFERROR(VLOOKUP(L2304,DATA!$G$4:$H$2000,2,FALSE),"")</f>
        <v>ЭКО КОНСТРАКШН ХХК</v>
      </c>
      <c r="O2304" s="152" t="str">
        <f>IFERROR(VLOOKUP(N2304,DATA!$K$4:$L$51,2,FALSE),"")</f>
        <v/>
      </c>
    </row>
    <row r="2305" spans="2:15">
      <c r="B2305" s="671">
        <f t="shared" si="226"/>
        <v>2300</v>
      </c>
      <c r="C2305" s="694">
        <v>43068</v>
      </c>
      <c r="D2305" s="614"/>
      <c r="E2305" s="692">
        <v>141201</v>
      </c>
      <c r="F2305" s="686" t="str">
        <f>IFERROR(VLOOKUP(E2305,STAT1!$C$4:$D$8000,2,FALSE),"")</f>
        <v>ШМЗардал БУСАД</v>
      </c>
      <c r="G2305" s="614">
        <v>8712645.1438045744</v>
      </c>
      <c r="H2305" s="614"/>
      <c r="I2305" s="590">
        <f t="shared" si="224"/>
        <v>0</v>
      </c>
      <c r="J2305" s="152">
        <f t="shared" si="225"/>
        <v>0</v>
      </c>
      <c r="L2305" s="703">
        <v>3002</v>
      </c>
      <c r="M2305" s="152" t="str">
        <f>+IFERROR(VLOOKUP(L2305,DATA!$G$4:$H$2000,2,FALSE),"")</f>
        <v>ЭКО КОНСТРАКШН ХХК</v>
      </c>
      <c r="O2305" s="152" t="str">
        <f>IFERROR(VLOOKUP(N2305,DATA!$K$4:$L$51,2,FALSE),"")</f>
        <v/>
      </c>
    </row>
    <row r="2306" spans="2:15">
      <c r="B2306" s="671">
        <f t="shared" si="226"/>
        <v>2301</v>
      </c>
      <c r="C2306" s="694">
        <v>43068</v>
      </c>
      <c r="D2306" s="614" t="s">
        <v>1640</v>
      </c>
      <c r="E2306" s="692">
        <v>160100</v>
      </c>
      <c r="F2306" s="686" t="str">
        <f>IFERROR(VLOOKUP(E2306,STAT1!$C$4:$D$8000,2,FALSE),"")</f>
        <v xml:space="preserve">Барилгын материал </v>
      </c>
      <c r="G2306" s="614"/>
      <c r="H2306" s="614">
        <v>1836183.6347691424</v>
      </c>
      <c r="I2306" s="590">
        <f t="shared" si="224"/>
        <v>0</v>
      </c>
      <c r="J2306" s="152">
        <f t="shared" si="225"/>
        <v>0</v>
      </c>
      <c r="L2306" s="703">
        <v>3002</v>
      </c>
      <c r="M2306" s="152" t="str">
        <f>+IFERROR(VLOOKUP(L2306,DATA!$G$4:$H$2000,2,FALSE),"")</f>
        <v>ЭКО КОНСТРАКШН ХХК</v>
      </c>
      <c r="O2306" s="152" t="str">
        <f>IFERROR(VLOOKUP(N2306,DATA!$K$4:$L$51,2,FALSE),"")</f>
        <v/>
      </c>
    </row>
    <row r="2307" spans="2:15">
      <c r="B2307" s="671">
        <f t="shared" si="226"/>
        <v>2302</v>
      </c>
      <c r="C2307" s="694">
        <v>43068</v>
      </c>
      <c r="D2307" s="614" t="s">
        <v>2136</v>
      </c>
      <c r="E2307" s="692">
        <v>160100</v>
      </c>
      <c r="F2307" s="686" t="str">
        <f>IFERROR(VLOOKUP(E2307,STAT1!$C$4:$D$8000,2,FALSE),"")</f>
        <v xml:space="preserve">Барилгын материал </v>
      </c>
      <c r="G2307" s="614"/>
      <c r="H2307" s="614">
        <v>80000</v>
      </c>
      <c r="I2307" s="590">
        <f t="shared" si="224"/>
        <v>0</v>
      </c>
      <c r="J2307" s="152">
        <f t="shared" si="225"/>
        <v>0</v>
      </c>
      <c r="L2307" s="703">
        <v>3002</v>
      </c>
      <c r="M2307" s="152" t="str">
        <f>+IFERROR(VLOOKUP(L2307,DATA!$G$4:$H$2000,2,FALSE),"")</f>
        <v>ЭКО КОНСТРАКШН ХХК</v>
      </c>
      <c r="O2307" s="152" t="str">
        <f>IFERROR(VLOOKUP(N2307,DATA!$K$4:$L$51,2,FALSE),"")</f>
        <v/>
      </c>
    </row>
    <row r="2308" spans="2:15">
      <c r="B2308" s="671">
        <f t="shared" si="226"/>
        <v>2303</v>
      </c>
      <c r="C2308" s="694">
        <v>43068</v>
      </c>
      <c r="D2308" s="614" t="s">
        <v>587</v>
      </c>
      <c r="E2308" s="692">
        <v>141401</v>
      </c>
      <c r="F2308" s="686" t="str">
        <f>IFERROR(VLOOKUP(E2308,STAT1!$C$4:$D$8000,2,FALSE),"")</f>
        <v xml:space="preserve">ҮНЗардал БУСАД </v>
      </c>
      <c r="G2308" s="614">
        <v>1916183.6347691424</v>
      </c>
      <c r="H2308" s="614"/>
      <c r="I2308" s="590">
        <f t="shared" ref="I2308:I2371" si="227">+IF(OR(E2308=100100,E2308=100200,E2308=110100,E2308=110102,E2308=110103,E2308=110104,E2308=110105,E2308=110200,E2308=110201,E2308=110202,E2308=110203,E2308=110204,E2308=110300),G2308,0)+IF(OR(E2308=100100,E2308=100200,E2308=110100,E2308=110102,E2308=110103,E2308=110104,E2308=110105,E2308=110200,E2308=110201,E2308=110202,E2308=110203,E2308=110204,E2308=110300),H2308*-1,0)</f>
        <v>0</v>
      </c>
      <c r="J2308" s="152">
        <f t="shared" si="225"/>
        <v>0</v>
      </c>
      <c r="L2308" s="703">
        <v>3002</v>
      </c>
      <c r="M2308" s="152" t="str">
        <f>+IFERROR(VLOOKUP(L2308,DATA!$G$4:$H$2000,2,FALSE),"")</f>
        <v>ЭКО КОНСТРАКШН ХХК</v>
      </c>
      <c r="O2308" s="152" t="str">
        <f>IFERROR(VLOOKUP(N2308,DATA!$K$4:$L$51,2,FALSE),"")</f>
        <v/>
      </c>
    </row>
    <row r="2309" spans="2:15">
      <c r="B2309" s="671">
        <f t="shared" si="226"/>
        <v>2304</v>
      </c>
      <c r="C2309" s="685">
        <v>43069</v>
      </c>
      <c r="D2309" s="696" t="s">
        <v>2151</v>
      </c>
      <c r="E2309" s="700">
        <v>700200</v>
      </c>
      <c r="F2309" s="686" t="str">
        <f>IFERROR(VLOOKUP(E2309,STAT1!$C$4:$D$8000,2,FALSE),"")</f>
        <v>НДШимтгэл</v>
      </c>
      <c r="G2309" s="614">
        <v>1610127.6800000002</v>
      </c>
      <c r="H2309" s="703"/>
      <c r="I2309" s="590">
        <f t="shared" si="227"/>
        <v>0</v>
      </c>
      <c r="J2309" s="152">
        <f t="shared" si="225"/>
        <v>0</v>
      </c>
      <c r="L2309" s="703">
        <v>1004</v>
      </c>
      <c r="M2309" s="152" t="str">
        <f>+IFERROR(VLOOKUP(L2309,DATA!$G$4:$H$2000,2,FALSE),"")</f>
        <v xml:space="preserve">Түмэндэлгэр </v>
      </c>
      <c r="O2309" s="152" t="str">
        <f>IFERROR(VLOOKUP(N2309,DATA!$K$4:$L$51,2,FALSE),"")</f>
        <v/>
      </c>
    </row>
    <row r="2310" spans="2:15">
      <c r="B2310" s="671">
        <f t="shared" si="226"/>
        <v>2305</v>
      </c>
      <c r="C2310" s="685">
        <v>43069</v>
      </c>
      <c r="D2310" s="696" t="s">
        <v>2151</v>
      </c>
      <c r="E2310" s="700">
        <v>310800</v>
      </c>
      <c r="F2310" s="686" t="str">
        <f>IFERROR(VLOOKUP(E2310,STAT1!$C$4:$D$8000,2,FALSE),"")</f>
        <v>НД-ын байгууллагад өгөх өглөг</v>
      </c>
      <c r="G2310" s="703"/>
      <c r="H2310" s="614">
        <v>1610127.6800000002</v>
      </c>
      <c r="I2310" s="590">
        <f t="shared" si="227"/>
        <v>0</v>
      </c>
      <c r="J2310" s="152">
        <f t="shared" si="225"/>
        <v>0</v>
      </c>
      <c r="L2310" s="703">
        <v>1004</v>
      </c>
      <c r="M2310" s="152" t="str">
        <f>+IFERROR(VLOOKUP(L2310,DATA!$G$4:$H$2000,2,FALSE),"")</f>
        <v xml:space="preserve">Түмэндэлгэр </v>
      </c>
      <c r="O2310" s="152" t="str">
        <f>IFERROR(VLOOKUP(N2310,DATA!$K$4:$L$51,2,FALSE),"")</f>
        <v/>
      </c>
    </row>
    <row r="2311" spans="2:15">
      <c r="B2311" s="671">
        <f t="shared" si="226"/>
        <v>2306</v>
      </c>
      <c r="C2311" s="685">
        <v>43069</v>
      </c>
      <c r="D2311" s="696" t="s">
        <v>2152</v>
      </c>
      <c r="E2311" s="700">
        <v>310800</v>
      </c>
      <c r="F2311" s="686" t="str">
        <f>IFERROR(VLOOKUP(E2311,STAT1!$C$4:$D$8000,2,FALSE),"")</f>
        <v>НД-ын байгууллагад өгөх өглөг</v>
      </c>
      <c r="G2311" s="703"/>
      <c r="H2311" s="614">
        <v>1340306.3999999999</v>
      </c>
      <c r="I2311" s="590">
        <f t="shared" si="227"/>
        <v>0</v>
      </c>
      <c r="J2311" s="152">
        <f t="shared" si="225"/>
        <v>0</v>
      </c>
      <c r="L2311" s="703">
        <v>1004</v>
      </c>
      <c r="M2311" s="152" t="str">
        <f>+IFERROR(VLOOKUP(L2311,DATA!$G$4:$H$2000,2,FALSE),"")</f>
        <v xml:space="preserve">Түмэндэлгэр </v>
      </c>
      <c r="O2311" s="152" t="str">
        <f>IFERROR(VLOOKUP(N2311,DATA!$K$4:$L$51,2,FALSE),"")</f>
        <v/>
      </c>
    </row>
    <row r="2312" spans="2:15">
      <c r="B2312" s="671">
        <f t="shared" si="226"/>
        <v>2307</v>
      </c>
      <c r="C2312" s="685">
        <v>43069</v>
      </c>
      <c r="D2312" s="696" t="s">
        <v>2153</v>
      </c>
      <c r="E2312" s="700">
        <v>310700</v>
      </c>
      <c r="F2312" s="686" t="str">
        <f>IFERROR(VLOOKUP(E2312,STAT1!$C$4:$D$8000,2,FALSE),"")</f>
        <v>ХАОАТ өглөг</v>
      </c>
      <c r="G2312" s="703"/>
      <c r="H2312" s="614">
        <v>1054075.7600000002</v>
      </c>
      <c r="I2312" s="590">
        <f t="shared" si="227"/>
        <v>0</v>
      </c>
      <c r="J2312" s="152">
        <f t="shared" si="225"/>
        <v>0</v>
      </c>
      <c r="L2312" s="703">
        <v>1004</v>
      </c>
      <c r="M2312" s="152" t="str">
        <f>+IFERROR(VLOOKUP(L2312,DATA!$G$4:$H$2000,2,FALSE),"")</f>
        <v xml:space="preserve">Түмэндэлгэр </v>
      </c>
      <c r="O2312" s="152" t="str">
        <f>IFERROR(VLOOKUP(N2312,DATA!$K$4:$L$51,2,FALSE),"")</f>
        <v/>
      </c>
    </row>
    <row r="2313" spans="2:15">
      <c r="B2313" s="671">
        <f t="shared" si="226"/>
        <v>2308</v>
      </c>
      <c r="C2313" s="685">
        <v>43069</v>
      </c>
      <c r="D2313" s="696" t="s">
        <v>2154</v>
      </c>
      <c r="E2313" s="700">
        <v>311000</v>
      </c>
      <c r="F2313" s="686" t="str">
        <f>IFERROR(VLOOKUP(E2313,STAT1!$C$4:$D$8000,2,FALSE),"")</f>
        <v>Цалингийн өглөг</v>
      </c>
      <c r="G2313" s="703"/>
      <c r="H2313" s="614">
        <v>11096681.84</v>
      </c>
      <c r="I2313" s="590">
        <f t="shared" si="227"/>
        <v>0</v>
      </c>
      <c r="J2313" s="152">
        <f t="shared" si="225"/>
        <v>0</v>
      </c>
      <c r="L2313" s="703">
        <v>1004</v>
      </c>
      <c r="M2313" s="152" t="str">
        <f>+IFERROR(VLOOKUP(L2313,DATA!$G$4:$H$2000,2,FALSE),"")</f>
        <v xml:space="preserve">Түмэндэлгэр </v>
      </c>
      <c r="O2313" s="152" t="str">
        <f>IFERROR(VLOOKUP(N2313,DATA!$K$4:$L$51,2,FALSE),"")</f>
        <v/>
      </c>
    </row>
    <row r="2314" spans="2:15">
      <c r="B2314" s="671">
        <f t="shared" si="226"/>
        <v>2309</v>
      </c>
      <c r="C2314" s="685">
        <v>43069</v>
      </c>
      <c r="D2314" s="696" t="s">
        <v>2706</v>
      </c>
      <c r="E2314" s="700">
        <v>700100</v>
      </c>
      <c r="F2314" s="686" t="str">
        <f>IFERROR(VLOOKUP(E2314,STAT1!$C$4:$D$8000,2,FALSE),"")</f>
        <v>Цалин хөлс, шагнал</v>
      </c>
      <c r="G2314" s="614">
        <v>13491064</v>
      </c>
      <c r="H2314" s="703"/>
      <c r="I2314" s="590">
        <f t="shared" si="227"/>
        <v>0</v>
      </c>
      <c r="J2314" s="152">
        <f t="shared" si="225"/>
        <v>0</v>
      </c>
      <c r="L2314" s="703">
        <v>1004</v>
      </c>
      <c r="M2314" s="152" t="str">
        <f>+IFERROR(VLOOKUP(L2314,DATA!$G$4:$H$2000,2,FALSE),"")</f>
        <v xml:space="preserve">Түмэндэлгэр </v>
      </c>
      <c r="O2314" s="152" t="str">
        <f>IFERROR(VLOOKUP(N2314,DATA!$K$4:$L$51,2,FALSE),"")</f>
        <v/>
      </c>
    </row>
    <row r="2315" spans="2:15">
      <c r="B2315" s="671">
        <f t="shared" si="226"/>
        <v>2310</v>
      </c>
      <c r="C2315" s="685">
        <v>43069</v>
      </c>
      <c r="D2315" s="614" t="s">
        <v>2165</v>
      </c>
      <c r="E2315" s="692">
        <v>100100</v>
      </c>
      <c r="F2315" s="686" t="str">
        <f>IFERROR(VLOOKUP(E2315,STAT1!$C$4:$D$8000,2,FALSE),"")</f>
        <v>Касс мөнгө MNT</v>
      </c>
      <c r="G2315" s="614"/>
      <c r="H2315" s="614">
        <v>11096681.84</v>
      </c>
      <c r="I2315" s="590">
        <f t="shared" si="227"/>
        <v>-11096681.84</v>
      </c>
      <c r="J2315" s="152">
        <f t="shared" si="225"/>
        <v>0</v>
      </c>
      <c r="L2315" s="703">
        <v>1004</v>
      </c>
      <c r="M2315" s="152" t="str">
        <f>+IFERROR(VLOOKUP(L2315,DATA!$G$4:$H$2000,2,FALSE),"")</f>
        <v xml:space="preserve">Түмэндэлгэр </v>
      </c>
      <c r="N2315" s="153">
        <v>51</v>
      </c>
      <c r="O2315" s="152" t="str">
        <f>IFERROR(VLOOKUP(N2315,DATA!$K$4:$L$51,2,FALSE),"")</f>
        <v>Ажиллагчдад төлсөн</v>
      </c>
    </row>
    <row r="2316" spans="2:15">
      <c r="B2316" s="671">
        <f t="shared" si="226"/>
        <v>2311</v>
      </c>
      <c r="C2316" s="685">
        <v>43069</v>
      </c>
      <c r="D2316" s="614" t="s">
        <v>2165</v>
      </c>
      <c r="E2316" s="692">
        <v>311000</v>
      </c>
      <c r="F2316" s="686" t="str">
        <f>IFERROR(VLOOKUP(E2316,STAT1!$C$4:$D$8000,2,FALSE),"")</f>
        <v>Цалингийн өглөг</v>
      </c>
      <c r="G2316" s="614">
        <v>11096681.84</v>
      </c>
      <c r="H2316" s="614"/>
      <c r="I2316" s="590">
        <f t="shared" si="227"/>
        <v>0</v>
      </c>
      <c r="J2316" s="152">
        <f t="shared" si="225"/>
        <v>0</v>
      </c>
      <c r="L2316" s="703">
        <v>1004</v>
      </c>
      <c r="M2316" s="152" t="str">
        <f>+IFERROR(VLOOKUP(L2316,DATA!$G$4:$H$2000,2,FALSE),"")</f>
        <v xml:space="preserve">Түмэндэлгэр </v>
      </c>
      <c r="O2316" s="152" t="str">
        <f>IFERROR(VLOOKUP(N2316,DATA!$K$4:$L$51,2,FALSE),"")</f>
        <v/>
      </c>
    </row>
    <row r="2317" spans="2:15">
      <c r="B2317" s="671">
        <f t="shared" si="226"/>
        <v>2312</v>
      </c>
      <c r="C2317" s="685">
        <v>43069</v>
      </c>
      <c r="D2317" s="614" t="s">
        <v>1751</v>
      </c>
      <c r="E2317" s="692">
        <v>110100</v>
      </c>
      <c r="F2317" s="686" t="str">
        <f>IFERROR(VLOOKUP(E2317,STAT1!$C$4:$D$8000,2,FALSE),"")</f>
        <v>Хаан Банк 5024654020</v>
      </c>
      <c r="G2317" s="614"/>
      <c r="H2317" s="614">
        <v>2000</v>
      </c>
      <c r="I2317" s="590">
        <f t="shared" si="227"/>
        <v>-2000</v>
      </c>
      <c r="J2317" s="152">
        <f t="shared" si="225"/>
        <v>0</v>
      </c>
      <c r="L2317" s="703">
        <v>2009</v>
      </c>
      <c r="M2317" s="152" t="str">
        <f>+IFERROR(VLOOKUP(L2317,DATA!$G$4:$H$2000,2,FALSE),"")</f>
        <v>ХААН БАНК</v>
      </c>
      <c r="N2317" s="153">
        <v>59</v>
      </c>
      <c r="O2317" s="152" t="str">
        <f>IFERROR(VLOOKUP(N2317,DATA!$K$4:$L$51,2,FALSE),"")</f>
        <v>Бусад мөнгөн зарлага</v>
      </c>
    </row>
    <row r="2318" spans="2:15">
      <c r="B2318" s="671">
        <f t="shared" si="226"/>
        <v>2313</v>
      </c>
      <c r="C2318" s="685">
        <v>43069</v>
      </c>
      <c r="D2318" s="614" t="s">
        <v>1751</v>
      </c>
      <c r="E2318" s="577">
        <v>704900</v>
      </c>
      <c r="F2318" s="686" t="str">
        <f>IFERROR(VLOOKUP(E2318,STAT1!$C$4:$D$8000,2,FALSE),"")</f>
        <v>Банкны үйлчилгээ</v>
      </c>
      <c r="G2318" s="614">
        <v>2000</v>
      </c>
      <c r="H2318" s="614"/>
      <c r="I2318" s="590">
        <f t="shared" si="227"/>
        <v>0</v>
      </c>
      <c r="J2318" s="152">
        <f t="shared" si="225"/>
        <v>0</v>
      </c>
      <c r="L2318" s="703">
        <v>2009</v>
      </c>
      <c r="M2318" s="152" t="str">
        <f>+IFERROR(VLOOKUP(L2318,DATA!$G$4:$H$2000,2,FALSE),"")</f>
        <v>ХААН БАНК</v>
      </c>
      <c r="O2318" s="152" t="str">
        <f>IFERROR(VLOOKUP(N2318,DATA!$K$4:$L$51,2,FALSE),"")</f>
        <v/>
      </c>
    </row>
    <row r="2319" spans="2:15">
      <c r="B2319" s="671">
        <f t="shared" si="226"/>
        <v>2314</v>
      </c>
      <c r="C2319" s="694">
        <v>43069</v>
      </c>
      <c r="D2319" s="614" t="s">
        <v>2144</v>
      </c>
      <c r="E2319" s="692">
        <v>150101</v>
      </c>
      <c r="F2319" s="686" t="str">
        <f>IFERROR(VLOOKUP(E2319,STAT1!$C$4:$D$8000,2,FALSE),"")</f>
        <v>Бараа бэлэн бүтээгдэхүүн БОЛОВСРУУЛАХ ЦЕХ /нарс/</v>
      </c>
      <c r="G2319" s="614"/>
      <c r="H2319" s="614">
        <v>4061.0116491105009</v>
      </c>
      <c r="I2319" s="590">
        <f t="shared" si="227"/>
        <v>0</v>
      </c>
      <c r="J2319" s="152">
        <f t="shared" si="225"/>
        <v>0</v>
      </c>
      <c r="L2319" s="703">
        <v>3107</v>
      </c>
      <c r="M2319" s="152" t="str">
        <f>+IFERROR(VLOOKUP(L2319,DATA!$G$4:$H$2000,2,FALSE),"")</f>
        <v>СЭФИЛО ХХК</v>
      </c>
      <c r="O2319" s="152" t="str">
        <f>IFERROR(VLOOKUP(N2319,DATA!$K$4:$L$51,2,FALSE),"")</f>
        <v/>
      </c>
    </row>
    <row r="2320" spans="2:15">
      <c r="B2320" s="671">
        <f t="shared" si="226"/>
        <v>2315</v>
      </c>
      <c r="C2320" s="694">
        <v>43069</v>
      </c>
      <c r="D2320" s="614" t="s">
        <v>587</v>
      </c>
      <c r="E2320" s="692">
        <v>610100</v>
      </c>
      <c r="F2320" s="686" t="str">
        <f>IFERROR(VLOOKUP(E2320,STAT1!$C$4:$D$8000,2,FALSE),"")</f>
        <v>Борлуулсан барааны өртөг</v>
      </c>
      <c r="G2320" s="614">
        <v>4061.0116491105009</v>
      </c>
      <c r="H2320" s="614"/>
      <c r="I2320" s="590">
        <f t="shared" si="227"/>
        <v>0</v>
      </c>
      <c r="J2320" s="152">
        <f t="shared" si="225"/>
        <v>0</v>
      </c>
      <c r="L2320" s="703">
        <v>3107</v>
      </c>
      <c r="M2320" s="152" t="str">
        <f>+IFERROR(VLOOKUP(L2320,DATA!$G$4:$H$2000,2,FALSE),"")</f>
        <v>СЭФИЛО ХХК</v>
      </c>
      <c r="O2320" s="152" t="str">
        <f>IFERROR(VLOOKUP(N2320,DATA!$K$4:$L$51,2,FALSE),"")</f>
        <v/>
      </c>
    </row>
    <row r="2321" spans="2:15">
      <c r="B2321" s="671">
        <f t="shared" si="226"/>
        <v>2316</v>
      </c>
      <c r="C2321" s="694">
        <v>43069</v>
      </c>
      <c r="D2321" s="614" t="s">
        <v>587</v>
      </c>
      <c r="E2321" s="692">
        <v>310500</v>
      </c>
      <c r="F2321" s="686" t="str">
        <f>IFERROR(VLOOKUP(E2321,STAT1!$C$4:$D$8000,2,FALSE),"")</f>
        <v>НӨАТ өглөг</v>
      </c>
      <c r="G2321" s="614"/>
      <c r="H2321" s="614">
        <v>2100</v>
      </c>
      <c r="I2321" s="590">
        <f t="shared" si="227"/>
        <v>0</v>
      </c>
      <c r="J2321" s="152">
        <f t="shared" si="225"/>
        <v>0</v>
      </c>
      <c r="L2321" s="703">
        <v>3107</v>
      </c>
      <c r="M2321" s="152" t="str">
        <f>+IFERROR(VLOOKUP(L2321,DATA!$G$4:$H$2000,2,FALSE),"")</f>
        <v>СЭФИЛО ХХК</v>
      </c>
      <c r="O2321" s="152" t="str">
        <f>IFERROR(VLOOKUP(N2321,DATA!$K$4:$L$51,2,FALSE),"")</f>
        <v/>
      </c>
    </row>
    <row r="2322" spans="2:15">
      <c r="B2322" s="671">
        <f t="shared" si="226"/>
        <v>2317</v>
      </c>
      <c r="C2322" s="694">
        <v>43069</v>
      </c>
      <c r="D2322" s="614" t="s">
        <v>587</v>
      </c>
      <c r="E2322" s="692">
        <v>510000</v>
      </c>
      <c r="F2322" s="686" t="str">
        <f>IFERROR(VLOOKUP(E2322,STAT1!$C$4:$D$8000,2,FALSE),"")</f>
        <v>Үндсэн үйл ажиллагааны борлуулалт</v>
      </c>
      <c r="G2322" s="614"/>
      <c r="H2322" s="614">
        <v>21000</v>
      </c>
      <c r="I2322" s="590">
        <f t="shared" si="227"/>
        <v>0</v>
      </c>
      <c r="J2322" s="152">
        <f t="shared" si="225"/>
        <v>0</v>
      </c>
      <c r="L2322" s="703">
        <v>3107</v>
      </c>
      <c r="M2322" s="152" t="str">
        <f>+IFERROR(VLOOKUP(L2322,DATA!$G$4:$H$2000,2,FALSE),"")</f>
        <v>СЭФИЛО ХХК</v>
      </c>
      <c r="O2322" s="152" t="str">
        <f>IFERROR(VLOOKUP(N2322,DATA!$K$4:$L$51,2,FALSE),"")</f>
        <v/>
      </c>
    </row>
    <row r="2323" spans="2:15">
      <c r="B2323" s="671">
        <f t="shared" si="226"/>
        <v>2318</v>
      </c>
      <c r="C2323" s="694">
        <v>43069</v>
      </c>
      <c r="D2323" s="614" t="s">
        <v>587</v>
      </c>
      <c r="E2323" s="692">
        <v>320100</v>
      </c>
      <c r="F2323" s="686" t="str">
        <f>IFERROR(VLOOKUP(E2323,STAT1!$C$4:$D$8000,2,FALSE),"")</f>
        <v>Урьдчилж орсон орлого MNT</v>
      </c>
      <c r="G2323" s="614">
        <v>23100</v>
      </c>
      <c r="H2323" s="614"/>
      <c r="I2323" s="590">
        <f t="shared" si="227"/>
        <v>0</v>
      </c>
      <c r="J2323" s="152">
        <f t="shared" si="225"/>
        <v>0</v>
      </c>
      <c r="L2323" s="703">
        <v>3107</v>
      </c>
      <c r="M2323" s="152" t="str">
        <f>+IFERROR(VLOOKUP(L2323,DATA!$G$4:$H$2000,2,FALSE),"")</f>
        <v>СЭФИЛО ХХК</v>
      </c>
      <c r="O2323" s="152" t="str">
        <f>IFERROR(VLOOKUP(N2323,DATA!$K$4:$L$51,2,FALSE),"")</f>
        <v/>
      </c>
    </row>
    <row r="2324" spans="2:15">
      <c r="B2324" s="671">
        <f t="shared" si="226"/>
        <v>2319</v>
      </c>
      <c r="C2324" s="685">
        <v>43069</v>
      </c>
      <c r="D2324" s="614" t="s">
        <v>1741</v>
      </c>
      <c r="E2324" s="692">
        <v>100100</v>
      </c>
      <c r="F2324" s="686" t="str">
        <f>IFERROR(VLOOKUP(E2324,STAT1!$C$4:$D$8000,2,FALSE),"")</f>
        <v>Касс мөнгө MNT</v>
      </c>
      <c r="G2324" s="614">
        <v>23100</v>
      </c>
      <c r="H2324" s="614"/>
      <c r="I2324" s="590">
        <f t="shared" si="227"/>
        <v>23100</v>
      </c>
      <c r="J2324" s="152">
        <f t="shared" si="225"/>
        <v>0</v>
      </c>
      <c r="L2324" s="703">
        <v>3107</v>
      </c>
      <c r="M2324" s="152" t="str">
        <f>+IFERROR(VLOOKUP(L2324,DATA!$G$4:$H$2000,2,FALSE),"")</f>
        <v>СЭФИЛО ХХК</v>
      </c>
      <c r="N2324" s="153">
        <v>41</v>
      </c>
      <c r="O2324" s="152" t="str">
        <f>IFERROR(VLOOKUP(N2324,DATA!$K$4:$L$51,2,FALSE),"")</f>
        <v>Бараа борлуулсан, үйлчилгээ үзүүлсэний орлого</v>
      </c>
    </row>
    <row r="2325" spans="2:15">
      <c r="B2325" s="671">
        <f t="shared" si="226"/>
        <v>2320</v>
      </c>
      <c r="C2325" s="685">
        <v>43069</v>
      </c>
      <c r="D2325" s="614" t="s">
        <v>1741</v>
      </c>
      <c r="E2325" s="692">
        <v>320100</v>
      </c>
      <c r="F2325" s="686" t="str">
        <f>IFERROR(VLOOKUP(E2325,STAT1!$C$4:$D$8000,2,FALSE),"")</f>
        <v>Урьдчилж орсон орлого MNT</v>
      </c>
      <c r="G2325" s="614"/>
      <c r="H2325" s="614">
        <v>23100</v>
      </c>
      <c r="I2325" s="590">
        <f t="shared" si="227"/>
        <v>0</v>
      </c>
      <c r="J2325" s="152">
        <f t="shared" si="225"/>
        <v>0</v>
      </c>
      <c r="L2325" s="703">
        <v>3107</v>
      </c>
      <c r="M2325" s="152" t="str">
        <f>+IFERROR(VLOOKUP(L2325,DATA!$G$4:$H$2000,2,FALSE),"")</f>
        <v>СЭФИЛО ХХК</v>
      </c>
      <c r="O2325" s="152" t="str">
        <f>IFERROR(VLOOKUP(N2325,DATA!$K$4:$L$51,2,FALSE),"")</f>
        <v/>
      </c>
    </row>
    <row r="2326" spans="2:15">
      <c r="B2326" s="671">
        <f t="shared" si="226"/>
        <v>2321</v>
      </c>
      <c r="C2326" s="685">
        <v>43070</v>
      </c>
      <c r="D2326" s="614" t="s">
        <v>1741</v>
      </c>
      <c r="E2326" s="577">
        <v>110100</v>
      </c>
      <c r="F2326" s="686" t="str">
        <f>IFERROR(VLOOKUP(E2326,STAT1!$C$4:$D$8000,2,FALSE),"")</f>
        <v>Хаан Банк 5024654020</v>
      </c>
      <c r="G2326" s="614">
        <v>300000</v>
      </c>
      <c r="H2326" s="614"/>
      <c r="I2326" s="590">
        <f t="shared" si="227"/>
        <v>300000</v>
      </c>
      <c r="J2326" s="152">
        <f t="shared" si="225"/>
        <v>0</v>
      </c>
      <c r="L2326" s="703">
        <v>3109</v>
      </c>
      <c r="M2326" s="152" t="str">
        <f>+IFERROR(VLOOKUP(L2326,DATA!$G$4:$H$2000,2,FALSE),"")</f>
        <v xml:space="preserve">СИЛК РӨҮТ ТЕКСТИЛЬ ХХК </v>
      </c>
      <c r="N2326" s="153">
        <v>41</v>
      </c>
      <c r="O2326" s="152" t="str">
        <f>IFERROR(VLOOKUP(N2326,DATA!$K$4:$L$51,2,FALSE),"")</f>
        <v>Бараа борлуулсан, үйлчилгээ үзүүлсэний орлого</v>
      </c>
    </row>
    <row r="2327" spans="2:15">
      <c r="B2327" s="671">
        <f t="shared" si="226"/>
        <v>2322</v>
      </c>
      <c r="C2327" s="685">
        <v>43070</v>
      </c>
      <c r="D2327" s="614" t="s">
        <v>1741</v>
      </c>
      <c r="E2327" s="577">
        <v>320100</v>
      </c>
      <c r="F2327" s="686" t="str">
        <f>IFERROR(VLOOKUP(E2327,STAT1!$C$4:$D$8000,2,FALSE),"")</f>
        <v>Урьдчилж орсон орлого MNT</v>
      </c>
      <c r="G2327" s="614"/>
      <c r="H2327" s="614">
        <v>300000</v>
      </c>
      <c r="I2327" s="590">
        <f t="shared" si="227"/>
        <v>0</v>
      </c>
      <c r="J2327" s="152">
        <f t="shared" si="225"/>
        <v>0</v>
      </c>
      <c r="L2327" s="703">
        <v>3109</v>
      </c>
      <c r="M2327" s="152" t="str">
        <f>+IFERROR(VLOOKUP(L2327,DATA!$G$4:$H$2000,2,FALSE),"")</f>
        <v xml:space="preserve">СИЛК РӨҮТ ТЕКСТИЛЬ ХХК </v>
      </c>
      <c r="O2327" s="152" t="str">
        <f>IFERROR(VLOOKUP(N2327,DATA!$K$4:$L$51,2,FALSE),"")</f>
        <v/>
      </c>
    </row>
    <row r="2328" spans="2:15">
      <c r="B2328" s="671">
        <f t="shared" si="226"/>
        <v>2323</v>
      </c>
      <c r="C2328" s="691">
        <v>43070</v>
      </c>
      <c r="D2328" s="693" t="s">
        <v>2665</v>
      </c>
      <c r="E2328" s="688">
        <v>140100</v>
      </c>
      <c r="F2328" s="686" t="str">
        <f>IFERROR(VLOOKUP(E2328,STAT1!$C$4:$D$8000,2,FALSE),"")</f>
        <v>Түүхий эд материал</v>
      </c>
      <c r="G2328" s="614"/>
      <c r="H2328" s="614">
        <v>37821085.057334527</v>
      </c>
      <c r="I2328" s="590">
        <f t="shared" si="227"/>
        <v>0</v>
      </c>
      <c r="J2328" s="152">
        <f t="shared" ref="J2328:J2391" si="228">+IF(E2328=110102,I2328/K2328,0)</f>
        <v>0</v>
      </c>
      <c r="L2328" s="703">
        <v>1005</v>
      </c>
      <c r="M2328" s="152" t="str">
        <f>+IFERROR(VLOOKUP(L2328,DATA!$G$4:$H$2000,2,FALSE),"")</f>
        <v>Золжаргал</v>
      </c>
      <c r="O2328" s="152" t="str">
        <f>IFERROR(VLOOKUP(N2328,DATA!$K$4:$L$51,2,FALSE),"")</f>
        <v/>
      </c>
    </row>
    <row r="2329" spans="2:15">
      <c r="B2329" s="671">
        <f t="shared" si="226"/>
        <v>2324</v>
      </c>
      <c r="C2329" s="691">
        <v>43070</v>
      </c>
      <c r="D2329" s="693" t="s">
        <v>2665</v>
      </c>
      <c r="E2329" s="688">
        <v>140200</v>
      </c>
      <c r="F2329" s="686" t="str">
        <f>IFERROR(VLOOKUP(E2329,STAT1!$C$4:$D$8000,2,FALSE),"")</f>
        <v>ШМЗардал ХАТААХ ЦЕХ /нарс/</v>
      </c>
      <c r="G2329" s="614">
        <v>37821085.057334527</v>
      </c>
      <c r="H2329" s="614"/>
      <c r="I2329" s="590">
        <f t="shared" si="227"/>
        <v>0</v>
      </c>
      <c r="J2329" s="152">
        <f t="shared" si="228"/>
        <v>0</v>
      </c>
      <c r="L2329" s="703">
        <v>1005</v>
      </c>
      <c r="M2329" s="152" t="str">
        <f>+IFERROR(VLOOKUP(L2329,DATA!$G$4:$H$2000,2,FALSE),"")</f>
        <v>Золжаргал</v>
      </c>
      <c r="O2329" s="152" t="str">
        <f>IFERROR(VLOOKUP(N2329,DATA!$K$4:$L$51,2,FALSE),"")</f>
        <v/>
      </c>
    </row>
    <row r="2330" spans="2:15">
      <c r="B2330" s="671">
        <f t="shared" si="226"/>
        <v>2325</v>
      </c>
      <c r="C2330" s="691">
        <v>43070</v>
      </c>
      <c r="D2330" s="693" t="s">
        <v>2666</v>
      </c>
      <c r="E2330" s="692">
        <v>140400</v>
      </c>
      <c r="F2330" s="686" t="str">
        <f>IFERROR(VLOOKUP(E2330,STAT1!$C$4:$D$8000,2,FALSE),"")</f>
        <v>ҮНЗардал ХАТААХ ЦЕХ /нарс/</v>
      </c>
      <c r="G2330" s="614">
        <v>3180934.32</v>
      </c>
      <c r="H2330" s="614"/>
      <c r="I2330" s="590">
        <f t="shared" si="227"/>
        <v>0</v>
      </c>
      <c r="J2330" s="152">
        <f t="shared" si="228"/>
        <v>0</v>
      </c>
      <c r="L2330" s="703">
        <v>1005</v>
      </c>
      <c r="M2330" s="152" t="str">
        <f>+IFERROR(VLOOKUP(L2330,DATA!$G$4:$H$2000,2,FALSE),"")</f>
        <v>Золжаргал</v>
      </c>
      <c r="O2330" s="152" t="str">
        <f>IFERROR(VLOOKUP(N2330,DATA!$K$4:$L$51,2,FALSE),"")</f>
        <v/>
      </c>
    </row>
    <row r="2331" spans="2:15">
      <c r="B2331" s="671">
        <f t="shared" si="226"/>
        <v>2326</v>
      </c>
      <c r="C2331" s="685">
        <v>43070</v>
      </c>
      <c r="D2331" s="614" t="s">
        <v>2666</v>
      </c>
      <c r="E2331" s="692">
        <v>700900</v>
      </c>
      <c r="F2331" s="686" t="str">
        <f>IFERROR(VLOOKUP(E2331,STAT1!$C$4:$D$8000,2,FALSE),"")</f>
        <v>Уур, ус</v>
      </c>
      <c r="G2331" s="614"/>
      <c r="H2331" s="614">
        <v>3180934.32</v>
      </c>
      <c r="I2331" s="590">
        <f t="shared" si="227"/>
        <v>0</v>
      </c>
      <c r="J2331" s="152">
        <f t="shared" si="228"/>
        <v>0</v>
      </c>
      <c r="L2331" s="703">
        <v>1005</v>
      </c>
      <c r="M2331" s="152" t="str">
        <f>+IFERROR(VLOOKUP(L2331,DATA!$G$4:$H$2000,2,FALSE),"")</f>
        <v>Золжаргал</v>
      </c>
      <c r="O2331" s="152" t="str">
        <f>IFERROR(VLOOKUP(N2331,DATA!$K$4:$L$51,2,FALSE),"")</f>
        <v/>
      </c>
    </row>
    <row r="2332" spans="2:15">
      <c r="B2332" s="671">
        <f t="shared" si="226"/>
        <v>2327</v>
      </c>
      <c r="C2332" s="691">
        <v>43071</v>
      </c>
      <c r="D2332" s="693" t="s">
        <v>1355</v>
      </c>
      <c r="E2332" s="692">
        <v>100100</v>
      </c>
      <c r="F2332" s="686" t="str">
        <f>IFERROR(VLOOKUP(E2332,STAT1!$C$4:$D$8000,2,FALSE),"")</f>
        <v>Касс мөнгө MNT</v>
      </c>
      <c r="G2332" s="614"/>
      <c r="H2332" s="614">
        <v>20000</v>
      </c>
      <c r="I2332" s="590">
        <f t="shared" si="227"/>
        <v>-20000</v>
      </c>
      <c r="J2332" s="152">
        <f t="shared" si="228"/>
        <v>0</v>
      </c>
      <c r="L2332" s="703">
        <v>1005</v>
      </c>
      <c r="M2332" s="152" t="str">
        <f>+IFERROR(VLOOKUP(L2332,DATA!$G$4:$H$2000,2,FALSE),"")</f>
        <v>Золжаргал</v>
      </c>
      <c r="N2332" s="153">
        <v>55</v>
      </c>
      <c r="O2332" s="152" t="str">
        <f>IFERROR(VLOOKUP(N2332,DATA!$K$4:$L$51,2,FALSE),"")</f>
        <v>Түлш, шатахуун, тээврийн хөлс, сэлбэг хэрэгсэлд төлсөн</v>
      </c>
    </row>
    <row r="2333" spans="2:15">
      <c r="B2333" s="671">
        <f t="shared" si="226"/>
        <v>2328</v>
      </c>
      <c r="C2333" s="691">
        <v>43071</v>
      </c>
      <c r="D2333" s="693" t="s">
        <v>1355</v>
      </c>
      <c r="E2333" s="692">
        <v>120600</v>
      </c>
      <c r="F2333" s="686" t="str">
        <f>IFERROR(VLOOKUP(E2333,STAT1!$C$4:$D$8000,2,FALSE),"")</f>
        <v>НӨАТ авлага</v>
      </c>
      <c r="G2333" s="614">
        <v>1818.1800000000003</v>
      </c>
      <c r="H2333" s="614"/>
      <c r="I2333" s="590">
        <f t="shared" si="227"/>
        <v>0</v>
      </c>
      <c r="J2333" s="152">
        <f t="shared" si="228"/>
        <v>0</v>
      </c>
      <c r="L2333" s="703">
        <v>1005</v>
      </c>
      <c r="M2333" s="152" t="str">
        <f>+IFERROR(VLOOKUP(L2333,DATA!$G$4:$H$2000,2,FALSE),"")</f>
        <v>Золжаргал</v>
      </c>
      <c r="O2333" s="152" t="str">
        <f>IFERROR(VLOOKUP(N2333,DATA!$K$4:$L$51,2,FALSE),"")</f>
        <v/>
      </c>
    </row>
    <row r="2334" spans="2:15">
      <c r="B2334" s="671">
        <f t="shared" si="226"/>
        <v>2329</v>
      </c>
      <c r="C2334" s="685">
        <v>43071</v>
      </c>
      <c r="D2334" s="614" t="s">
        <v>1355</v>
      </c>
      <c r="E2334" s="577">
        <v>702000</v>
      </c>
      <c r="F2334" s="686" t="str">
        <f>IFERROR(VLOOKUP(E2334,STAT1!$C$4:$D$8000,2,FALSE),"")</f>
        <v>Түлш, шатахуун</v>
      </c>
      <c r="G2334" s="614">
        <v>18181.82</v>
      </c>
      <c r="H2334" s="614"/>
      <c r="I2334" s="590">
        <f t="shared" si="227"/>
        <v>0</v>
      </c>
      <c r="J2334" s="152">
        <f t="shared" si="228"/>
        <v>0</v>
      </c>
      <c r="L2334" s="703">
        <v>1005</v>
      </c>
      <c r="M2334" s="152" t="str">
        <f>+IFERROR(VLOOKUP(L2334,DATA!$G$4:$H$2000,2,FALSE),"")</f>
        <v>Золжаргал</v>
      </c>
      <c r="O2334" s="152" t="str">
        <f>IFERROR(VLOOKUP(N2334,DATA!$K$4:$L$51,2,FALSE),"")</f>
        <v/>
      </c>
    </row>
    <row r="2335" spans="2:15">
      <c r="B2335" s="671">
        <f t="shared" si="226"/>
        <v>2330</v>
      </c>
      <c r="C2335" s="685">
        <v>43071</v>
      </c>
      <c r="D2335" s="614" t="s">
        <v>2629</v>
      </c>
      <c r="E2335" s="577">
        <v>100100</v>
      </c>
      <c r="F2335" s="686" t="str">
        <f>IFERROR(VLOOKUP(E2335,STAT1!$C$4:$D$8000,2,FALSE),"")</f>
        <v>Касс мөнгө MNT</v>
      </c>
      <c r="G2335" s="614"/>
      <c r="H2335" s="614">
        <v>38000</v>
      </c>
      <c r="I2335" s="590">
        <f t="shared" si="227"/>
        <v>-38000</v>
      </c>
      <c r="J2335" s="152">
        <f t="shared" si="228"/>
        <v>0</v>
      </c>
      <c r="L2335" s="703">
        <v>1005</v>
      </c>
      <c r="M2335" s="152" t="str">
        <f>+IFERROR(VLOOKUP(L2335,DATA!$G$4:$H$2000,2,FALSE),"")</f>
        <v>Золжаргал</v>
      </c>
      <c r="N2335" s="153">
        <v>53</v>
      </c>
      <c r="O2335" s="152" t="str">
        <f>IFERROR(VLOOKUP(N2335,DATA!$K$4:$L$51,2,FALSE),"")</f>
        <v>Бараа материал худалдан авахад төлсөн</v>
      </c>
    </row>
    <row r="2336" spans="2:15">
      <c r="B2336" s="671">
        <f t="shared" si="226"/>
        <v>2331</v>
      </c>
      <c r="C2336" s="685">
        <v>43071</v>
      </c>
      <c r="D2336" s="614" t="s">
        <v>2629</v>
      </c>
      <c r="E2336" s="577">
        <v>120600</v>
      </c>
      <c r="F2336" s="686" t="str">
        <f>IFERROR(VLOOKUP(E2336,STAT1!$C$4:$D$8000,2,FALSE),"")</f>
        <v>НӨАТ авлага</v>
      </c>
      <c r="G2336" s="614">
        <v>3454.55</v>
      </c>
      <c r="H2336" s="614"/>
      <c r="I2336" s="590">
        <f t="shared" si="227"/>
        <v>0</v>
      </c>
      <c r="J2336" s="152">
        <f t="shared" si="228"/>
        <v>0</v>
      </c>
      <c r="L2336" s="703">
        <v>1005</v>
      </c>
      <c r="M2336" s="152" t="str">
        <f>+IFERROR(VLOOKUP(L2336,DATA!$G$4:$H$2000,2,FALSE),"")</f>
        <v>Золжаргал</v>
      </c>
      <c r="O2336" s="152" t="str">
        <f>IFERROR(VLOOKUP(N2336,DATA!$K$4:$L$51,2,FALSE),"")</f>
        <v/>
      </c>
    </row>
    <row r="2337" spans="2:15">
      <c r="B2337" s="671">
        <f t="shared" si="226"/>
        <v>2332</v>
      </c>
      <c r="C2337" s="685">
        <v>43071</v>
      </c>
      <c r="D2337" s="614" t="s">
        <v>2629</v>
      </c>
      <c r="E2337" s="577">
        <v>703700</v>
      </c>
      <c r="F2337" s="686" t="str">
        <f>IFERROR(VLOOKUP(E2337,STAT1!$C$4:$D$8000,2,FALSE),"")</f>
        <v>Бичиг хэргийн зардал</v>
      </c>
      <c r="G2337" s="614">
        <v>34545.449999999997</v>
      </c>
      <c r="H2337" s="614"/>
      <c r="I2337" s="590">
        <f t="shared" si="227"/>
        <v>0</v>
      </c>
      <c r="J2337" s="152">
        <f t="shared" si="228"/>
        <v>0</v>
      </c>
      <c r="L2337" s="703">
        <v>1005</v>
      </c>
      <c r="M2337" s="152" t="str">
        <f>+IFERROR(VLOOKUP(L2337,DATA!$G$4:$H$2000,2,FALSE),"")</f>
        <v>Золжаргал</v>
      </c>
      <c r="O2337" s="152" t="str">
        <f>IFERROR(VLOOKUP(N2337,DATA!$K$4:$L$51,2,FALSE),"")</f>
        <v/>
      </c>
    </row>
    <row r="2338" spans="2:15">
      <c r="B2338" s="671">
        <f t="shared" si="226"/>
        <v>2333</v>
      </c>
      <c r="C2338" s="685">
        <v>43073</v>
      </c>
      <c r="D2338" s="614" t="s">
        <v>2171</v>
      </c>
      <c r="E2338" s="692">
        <v>110100</v>
      </c>
      <c r="F2338" s="686" t="str">
        <f>IFERROR(VLOOKUP(E2338,STAT1!$C$4:$D$8000,2,FALSE),"")</f>
        <v>Хаан Банк 5024654020</v>
      </c>
      <c r="G2338" s="614"/>
      <c r="H2338" s="614">
        <v>134000</v>
      </c>
      <c r="I2338" s="590">
        <f t="shared" si="227"/>
        <v>-134000</v>
      </c>
      <c r="J2338" s="152">
        <f t="shared" si="228"/>
        <v>0</v>
      </c>
      <c r="L2338" s="703">
        <v>2004</v>
      </c>
      <c r="M2338" s="152" t="str">
        <f>+IFERROR(VLOOKUP(L2338,DATA!$G$4:$H$2000,2,FALSE),"")</f>
        <v xml:space="preserve">ДЦС-3 ТӨХК </v>
      </c>
      <c r="N2338" s="153">
        <v>54</v>
      </c>
      <c r="O2338" s="152" t="str">
        <f>IFERROR(VLOOKUP(N2338,DATA!$K$4:$L$51,2,FALSE),"")</f>
        <v>Ашиглалтын зардалд төлсөн</v>
      </c>
    </row>
    <row r="2339" spans="2:15">
      <c r="B2339" s="671">
        <f t="shared" si="226"/>
        <v>2334</v>
      </c>
      <c r="C2339" s="685">
        <v>43073</v>
      </c>
      <c r="D2339" s="614" t="s">
        <v>2171</v>
      </c>
      <c r="E2339" s="692">
        <v>700900</v>
      </c>
      <c r="F2339" s="686" t="str">
        <f>IFERROR(VLOOKUP(E2339,STAT1!$C$4:$D$8000,2,FALSE),"")</f>
        <v>Уур, ус</v>
      </c>
      <c r="G2339" s="614">
        <v>134000</v>
      </c>
      <c r="H2339" s="614"/>
      <c r="I2339" s="590">
        <f t="shared" si="227"/>
        <v>0</v>
      </c>
      <c r="J2339" s="152">
        <f t="shared" si="228"/>
        <v>0</v>
      </c>
      <c r="L2339" s="703">
        <v>2004</v>
      </c>
      <c r="M2339" s="152" t="str">
        <f>+IFERROR(VLOOKUP(L2339,DATA!$G$4:$H$2000,2,FALSE),"")</f>
        <v xml:space="preserve">ДЦС-3 ТӨХК </v>
      </c>
      <c r="O2339" s="152" t="str">
        <f>IFERROR(VLOOKUP(N2339,DATA!$K$4:$L$51,2,FALSE),"")</f>
        <v/>
      </c>
    </row>
    <row r="2340" spans="2:15">
      <c r="B2340" s="671">
        <f t="shared" si="226"/>
        <v>2335</v>
      </c>
      <c r="C2340" s="685">
        <v>43073</v>
      </c>
      <c r="D2340" s="614" t="s">
        <v>2171</v>
      </c>
      <c r="E2340" s="692">
        <v>110100</v>
      </c>
      <c r="F2340" s="686" t="str">
        <f>IFERROR(VLOOKUP(E2340,STAT1!$C$4:$D$8000,2,FALSE),"")</f>
        <v>Хаан Банк 5024654020</v>
      </c>
      <c r="G2340" s="614"/>
      <c r="H2340" s="614">
        <v>10000</v>
      </c>
      <c r="I2340" s="590">
        <f t="shared" si="227"/>
        <v>-10000</v>
      </c>
      <c r="J2340" s="152">
        <f t="shared" si="228"/>
        <v>0</v>
      </c>
      <c r="L2340" s="703">
        <v>2004</v>
      </c>
      <c r="M2340" s="152" t="str">
        <f>+IFERROR(VLOOKUP(L2340,DATA!$G$4:$H$2000,2,FALSE),"")</f>
        <v xml:space="preserve">ДЦС-3 ТӨХК </v>
      </c>
      <c r="N2340" s="153">
        <v>54</v>
      </c>
      <c r="O2340" s="152" t="str">
        <f>IFERROR(VLOOKUP(N2340,DATA!$K$4:$L$51,2,FALSE),"")</f>
        <v>Ашиглалтын зардалд төлсөн</v>
      </c>
    </row>
    <row r="2341" spans="2:15">
      <c r="B2341" s="671">
        <f t="shared" si="226"/>
        <v>2336</v>
      </c>
      <c r="C2341" s="685">
        <v>43073</v>
      </c>
      <c r="D2341" s="614" t="s">
        <v>2171</v>
      </c>
      <c r="E2341" s="692">
        <v>700900</v>
      </c>
      <c r="F2341" s="686" t="str">
        <f>IFERROR(VLOOKUP(E2341,STAT1!$C$4:$D$8000,2,FALSE),"")</f>
        <v>Уур, ус</v>
      </c>
      <c r="G2341" s="614">
        <v>10000</v>
      </c>
      <c r="H2341" s="614"/>
      <c r="I2341" s="590">
        <f t="shared" si="227"/>
        <v>0</v>
      </c>
      <c r="J2341" s="152">
        <f t="shared" si="228"/>
        <v>0</v>
      </c>
      <c r="L2341" s="703">
        <v>2004</v>
      </c>
      <c r="M2341" s="152" t="str">
        <f>+IFERROR(VLOOKUP(L2341,DATA!$G$4:$H$2000,2,FALSE),"")</f>
        <v xml:space="preserve">ДЦС-3 ТӨХК </v>
      </c>
      <c r="O2341" s="152" t="str">
        <f>IFERROR(VLOOKUP(N2341,DATA!$K$4:$L$51,2,FALSE),"")</f>
        <v/>
      </c>
    </row>
    <row r="2342" spans="2:15">
      <c r="B2342" s="671">
        <f t="shared" si="226"/>
        <v>2337</v>
      </c>
      <c r="C2342" s="685">
        <v>43074</v>
      </c>
      <c r="D2342" s="614" t="s">
        <v>1741</v>
      </c>
      <c r="E2342" s="692">
        <v>100100</v>
      </c>
      <c r="F2342" s="686" t="str">
        <f>IFERROR(VLOOKUP(E2342,STAT1!$C$4:$D$8000,2,FALSE),"")</f>
        <v>Касс мөнгө MNT</v>
      </c>
      <c r="G2342" s="614">
        <v>519206</v>
      </c>
      <c r="H2342" s="614"/>
      <c r="I2342" s="590">
        <f t="shared" si="227"/>
        <v>519206</v>
      </c>
      <c r="J2342" s="152">
        <f t="shared" si="228"/>
        <v>0</v>
      </c>
      <c r="L2342" s="703">
        <v>3109</v>
      </c>
      <c r="M2342" s="152" t="str">
        <f>+IFERROR(VLOOKUP(L2342,DATA!$G$4:$H$2000,2,FALSE),"")</f>
        <v xml:space="preserve">СИЛК РӨҮТ ТЕКСТИЛЬ ХХК </v>
      </c>
      <c r="N2342" s="153">
        <v>41</v>
      </c>
      <c r="O2342" s="152" t="str">
        <f>IFERROR(VLOOKUP(N2342,DATA!$K$4:$L$51,2,FALSE),"")</f>
        <v>Бараа борлуулсан, үйлчилгээ үзүүлсэний орлого</v>
      </c>
    </row>
    <row r="2343" spans="2:15">
      <c r="B2343" s="671">
        <f t="shared" si="226"/>
        <v>2338</v>
      </c>
      <c r="C2343" s="685">
        <v>43074</v>
      </c>
      <c r="D2343" s="614" t="s">
        <v>1741</v>
      </c>
      <c r="E2343" s="577">
        <v>320100</v>
      </c>
      <c r="F2343" s="686" t="str">
        <f>IFERROR(VLOOKUP(E2343,STAT1!$C$4:$D$8000,2,FALSE),"")</f>
        <v>Урьдчилж орсон орлого MNT</v>
      </c>
      <c r="G2343" s="614"/>
      <c r="H2343" s="614">
        <v>519206</v>
      </c>
      <c r="I2343" s="590">
        <f t="shared" si="227"/>
        <v>0</v>
      </c>
      <c r="J2343" s="152">
        <f t="shared" si="228"/>
        <v>0</v>
      </c>
      <c r="L2343" s="703">
        <v>3109</v>
      </c>
      <c r="M2343" s="152" t="str">
        <f>+IFERROR(VLOOKUP(L2343,DATA!$G$4:$H$2000,2,FALSE),"")</f>
        <v xml:space="preserve">СИЛК РӨҮТ ТЕКСТИЛЬ ХХК </v>
      </c>
      <c r="O2343" s="152" t="str">
        <f>IFERROR(VLOOKUP(N2343,DATA!$K$4:$L$51,2,FALSE),"")</f>
        <v/>
      </c>
    </row>
    <row r="2344" spans="2:15">
      <c r="B2344" s="671">
        <f t="shared" si="226"/>
        <v>2339</v>
      </c>
      <c r="C2344" s="685">
        <v>43077</v>
      </c>
      <c r="D2344" s="614" t="s">
        <v>1741</v>
      </c>
      <c r="E2344" s="692">
        <v>110100</v>
      </c>
      <c r="F2344" s="686" t="str">
        <f>IFERROR(VLOOKUP(E2344,STAT1!$C$4:$D$8000,2,FALSE),"")</f>
        <v>Хаан Банк 5024654020</v>
      </c>
      <c r="G2344" s="614">
        <v>3000000</v>
      </c>
      <c r="H2344" s="614"/>
      <c r="I2344" s="590">
        <f t="shared" si="227"/>
        <v>3000000</v>
      </c>
      <c r="J2344" s="152">
        <f t="shared" si="228"/>
        <v>0</v>
      </c>
      <c r="L2344" s="703">
        <v>3002</v>
      </c>
      <c r="M2344" s="152" t="str">
        <f>+IFERROR(VLOOKUP(L2344,DATA!$G$4:$H$2000,2,FALSE),"")</f>
        <v>ЭКО КОНСТРАКШН ХХК</v>
      </c>
      <c r="N2344" s="153">
        <v>41</v>
      </c>
      <c r="O2344" s="152" t="str">
        <f>IFERROR(VLOOKUP(N2344,DATA!$K$4:$L$51,2,FALSE),"")</f>
        <v>Бараа борлуулсан, үйлчилгээ үзүүлсэний орлого</v>
      </c>
    </row>
    <row r="2345" spans="2:15">
      <c r="B2345" s="671">
        <f t="shared" si="226"/>
        <v>2340</v>
      </c>
      <c r="C2345" s="685">
        <v>43077</v>
      </c>
      <c r="D2345" s="614" t="s">
        <v>1741</v>
      </c>
      <c r="E2345" s="577">
        <v>320100</v>
      </c>
      <c r="F2345" s="686" t="str">
        <f>IFERROR(VLOOKUP(E2345,STAT1!$C$4:$D$8000,2,FALSE),"")</f>
        <v>Урьдчилж орсон орлого MNT</v>
      </c>
      <c r="G2345" s="614"/>
      <c r="H2345" s="614">
        <v>3000000</v>
      </c>
      <c r="I2345" s="590">
        <f t="shared" si="227"/>
        <v>0</v>
      </c>
      <c r="J2345" s="152">
        <f t="shared" si="228"/>
        <v>0</v>
      </c>
      <c r="L2345" s="703">
        <v>3002</v>
      </c>
      <c r="M2345" s="152" t="str">
        <f>+IFERROR(VLOOKUP(L2345,DATA!$G$4:$H$2000,2,FALSE),"")</f>
        <v>ЭКО КОНСТРАКШН ХХК</v>
      </c>
      <c r="O2345" s="152" t="str">
        <f>IFERROR(VLOOKUP(N2345,DATA!$K$4:$L$51,2,FALSE),"")</f>
        <v/>
      </c>
    </row>
    <row r="2346" spans="2:15">
      <c r="B2346" s="671">
        <f t="shared" si="226"/>
        <v>2341</v>
      </c>
      <c r="C2346" s="685">
        <v>43077</v>
      </c>
      <c r="D2346" s="614" t="s">
        <v>1741</v>
      </c>
      <c r="E2346" s="577">
        <v>110100</v>
      </c>
      <c r="F2346" s="686" t="str">
        <f>IFERROR(VLOOKUP(E2346,STAT1!$C$4:$D$8000,2,FALSE),"")</f>
        <v>Хаан Банк 5024654020</v>
      </c>
      <c r="G2346" s="614">
        <v>4629981</v>
      </c>
      <c r="H2346" s="614"/>
      <c r="I2346" s="590">
        <f t="shared" si="227"/>
        <v>4629981</v>
      </c>
      <c r="J2346" s="152">
        <f t="shared" si="228"/>
        <v>0</v>
      </c>
      <c r="L2346" s="703">
        <v>3002</v>
      </c>
      <c r="M2346" s="152" t="str">
        <f>+IFERROR(VLOOKUP(L2346,DATA!$G$4:$H$2000,2,FALSE),"")</f>
        <v>ЭКО КОНСТРАКШН ХХК</v>
      </c>
      <c r="N2346" s="153">
        <v>41</v>
      </c>
      <c r="O2346" s="152" t="str">
        <f>IFERROR(VLOOKUP(N2346,DATA!$K$4:$L$51,2,FALSE),"")</f>
        <v>Бараа борлуулсан, үйлчилгээ үзүүлсэний орлого</v>
      </c>
    </row>
    <row r="2347" spans="2:15">
      <c r="B2347" s="671">
        <f t="shared" si="226"/>
        <v>2342</v>
      </c>
      <c r="C2347" s="685">
        <v>43077</v>
      </c>
      <c r="D2347" s="614" t="s">
        <v>1741</v>
      </c>
      <c r="E2347" s="577">
        <v>320100</v>
      </c>
      <c r="F2347" s="686" t="str">
        <f>IFERROR(VLOOKUP(E2347,STAT1!$C$4:$D$8000,2,FALSE),"")</f>
        <v>Урьдчилж орсон орлого MNT</v>
      </c>
      <c r="G2347" s="614"/>
      <c r="H2347" s="614">
        <v>4629981</v>
      </c>
      <c r="I2347" s="590">
        <f t="shared" si="227"/>
        <v>0</v>
      </c>
      <c r="J2347" s="152">
        <f t="shared" si="228"/>
        <v>0</v>
      </c>
      <c r="L2347" s="703">
        <v>3002</v>
      </c>
      <c r="M2347" s="152" t="str">
        <f>+IFERROR(VLOOKUP(L2347,DATA!$G$4:$H$2000,2,FALSE),"")</f>
        <v>ЭКО КОНСТРАКШН ХХК</v>
      </c>
      <c r="O2347" s="152" t="str">
        <f>IFERROR(VLOOKUP(N2347,DATA!$K$4:$L$51,2,FALSE),"")</f>
        <v/>
      </c>
    </row>
    <row r="2348" spans="2:15">
      <c r="B2348" s="671">
        <f t="shared" si="226"/>
        <v>2343</v>
      </c>
      <c r="C2348" s="685">
        <v>43077</v>
      </c>
      <c r="D2348" s="614" t="s">
        <v>1741</v>
      </c>
      <c r="E2348" s="577">
        <v>110100</v>
      </c>
      <c r="F2348" s="686" t="str">
        <f>IFERROR(VLOOKUP(E2348,STAT1!$C$4:$D$8000,2,FALSE),"")</f>
        <v>Хаан Банк 5024654020</v>
      </c>
      <c r="G2348" s="614">
        <v>825000</v>
      </c>
      <c r="H2348" s="614"/>
      <c r="I2348" s="590">
        <f t="shared" si="227"/>
        <v>825000</v>
      </c>
      <c r="J2348" s="152">
        <f t="shared" si="228"/>
        <v>0</v>
      </c>
      <c r="L2348" s="703">
        <v>4002</v>
      </c>
      <c r="M2348" s="152" t="str">
        <f>+IFERROR(VLOOKUP(L2348,DATA!$G$4:$H$2000,2,FALSE),"")</f>
        <v xml:space="preserve">Хувь хүн </v>
      </c>
      <c r="N2348" s="153">
        <v>41</v>
      </c>
      <c r="O2348" s="152" t="str">
        <f>IFERROR(VLOOKUP(N2348,DATA!$K$4:$L$51,2,FALSE),"")</f>
        <v>Бараа борлуулсан, үйлчилгээ үзүүлсэний орлого</v>
      </c>
    </row>
    <row r="2349" spans="2:15">
      <c r="B2349" s="671">
        <f t="shared" ref="B2349:B2412" si="229">+IF(C2349="","",ROW()-5)</f>
        <v>2344</v>
      </c>
      <c r="C2349" s="685">
        <v>43077</v>
      </c>
      <c r="D2349" s="614" t="s">
        <v>1741</v>
      </c>
      <c r="E2349" s="577">
        <v>320100</v>
      </c>
      <c r="F2349" s="686" t="str">
        <f>IFERROR(VLOOKUP(E2349,STAT1!$C$4:$D$8000,2,FALSE),"")</f>
        <v>Урьдчилж орсон орлого MNT</v>
      </c>
      <c r="G2349" s="614"/>
      <c r="H2349" s="614">
        <v>825000</v>
      </c>
      <c r="I2349" s="590">
        <f t="shared" si="227"/>
        <v>0</v>
      </c>
      <c r="J2349" s="152">
        <f t="shared" si="228"/>
        <v>0</v>
      </c>
      <c r="L2349" s="703">
        <v>4002</v>
      </c>
      <c r="M2349" s="152" t="str">
        <f>+IFERROR(VLOOKUP(L2349,DATA!$G$4:$H$2000,2,FALSE),"")</f>
        <v xml:space="preserve">Хувь хүн </v>
      </c>
      <c r="O2349" s="152" t="str">
        <f>IFERROR(VLOOKUP(N2349,DATA!$K$4:$L$51,2,FALSE),"")</f>
        <v/>
      </c>
    </row>
    <row r="2350" spans="2:15">
      <c r="B2350" s="671">
        <f t="shared" si="229"/>
        <v>2345</v>
      </c>
      <c r="C2350" s="694">
        <v>43077</v>
      </c>
      <c r="D2350" s="704" t="s">
        <v>2631</v>
      </c>
      <c r="E2350" s="705">
        <v>150101</v>
      </c>
      <c r="F2350" s="686" t="str">
        <f>IFERROR(VLOOKUP(E2350,STAT1!$C$4:$D$8000,2,FALSE),"")</f>
        <v>Бараа бэлэн бүтээгдэхүүн БОЛОВСРУУЛАХ ЦЕХ /нарс/</v>
      </c>
      <c r="G2350" s="614"/>
      <c r="H2350" s="614">
        <v>144065.00538533664</v>
      </c>
      <c r="I2350" s="590">
        <f t="shared" si="227"/>
        <v>0</v>
      </c>
      <c r="J2350" s="152">
        <f t="shared" si="228"/>
        <v>0</v>
      </c>
      <c r="L2350" s="676">
        <v>3112</v>
      </c>
      <c r="M2350" s="152" t="str">
        <f>+IFERROR(VLOOKUP(L2350,DATA!$G$4:$H$2000,2,FALSE),"")</f>
        <v>АЛИА ДАРХАН ХХК</v>
      </c>
      <c r="O2350" s="152" t="str">
        <f>IFERROR(VLOOKUP(N2350,DATA!$K$4:$L$51,2,FALSE),"")</f>
        <v/>
      </c>
    </row>
    <row r="2351" spans="2:15">
      <c r="B2351" s="671">
        <f t="shared" si="229"/>
        <v>2346</v>
      </c>
      <c r="C2351" s="694">
        <v>43077</v>
      </c>
      <c r="D2351" s="704" t="s">
        <v>2700</v>
      </c>
      <c r="E2351" s="705">
        <v>610100</v>
      </c>
      <c r="F2351" s="686" t="str">
        <f>IFERROR(VLOOKUP(E2351,STAT1!$C$4:$D$8000,2,FALSE),"")</f>
        <v>Борлуулсан барааны өртөг</v>
      </c>
      <c r="G2351" s="614">
        <v>144065.00538533664</v>
      </c>
      <c r="H2351" s="614"/>
      <c r="I2351" s="590">
        <f t="shared" si="227"/>
        <v>0</v>
      </c>
      <c r="J2351" s="152">
        <f t="shared" si="228"/>
        <v>0</v>
      </c>
      <c r="L2351" s="676">
        <v>3112</v>
      </c>
      <c r="M2351" s="152" t="str">
        <f>+IFERROR(VLOOKUP(L2351,DATA!$G$4:$H$2000,2,FALSE),"")</f>
        <v>АЛИА ДАРХАН ХХК</v>
      </c>
      <c r="O2351" s="152" t="str">
        <f>IFERROR(VLOOKUP(N2351,DATA!$K$4:$L$51,2,FALSE),"")</f>
        <v/>
      </c>
    </row>
    <row r="2352" spans="2:15">
      <c r="B2352" s="671">
        <f t="shared" si="229"/>
        <v>2347</v>
      </c>
      <c r="C2352" s="694">
        <v>43077</v>
      </c>
      <c r="D2352" s="704" t="s">
        <v>2141</v>
      </c>
      <c r="E2352" s="705">
        <v>310500</v>
      </c>
      <c r="F2352" s="686" t="str">
        <f>IFERROR(VLOOKUP(E2352,STAT1!$C$4:$D$8000,2,FALSE),"")</f>
        <v>НӨАТ өглөг</v>
      </c>
      <c r="G2352" s="614"/>
      <c r="H2352" s="614">
        <v>28400</v>
      </c>
      <c r="I2352" s="590">
        <f t="shared" si="227"/>
        <v>0</v>
      </c>
      <c r="J2352" s="152">
        <f t="shared" si="228"/>
        <v>0</v>
      </c>
      <c r="L2352" s="676">
        <v>3112</v>
      </c>
      <c r="M2352" s="152" t="str">
        <f>+IFERROR(VLOOKUP(L2352,DATA!$G$4:$H$2000,2,FALSE),"")</f>
        <v>АЛИА ДАРХАН ХХК</v>
      </c>
      <c r="O2352" s="152" t="str">
        <f>IFERROR(VLOOKUP(N2352,DATA!$K$4:$L$51,2,FALSE),"")</f>
        <v/>
      </c>
    </row>
    <row r="2353" spans="2:15">
      <c r="B2353" s="671">
        <f t="shared" si="229"/>
        <v>2348</v>
      </c>
      <c r="C2353" s="694">
        <v>43077</v>
      </c>
      <c r="D2353" s="704" t="s">
        <v>587</v>
      </c>
      <c r="E2353" s="705">
        <v>510000</v>
      </c>
      <c r="F2353" s="686" t="str">
        <f>IFERROR(VLOOKUP(E2353,STAT1!$C$4:$D$8000,2,FALSE),"")</f>
        <v>Үндсэн үйл ажиллагааны борлуулалт</v>
      </c>
      <c r="G2353" s="614"/>
      <c r="H2353" s="614">
        <v>284000</v>
      </c>
      <c r="I2353" s="590">
        <f t="shared" si="227"/>
        <v>0</v>
      </c>
      <c r="J2353" s="152">
        <f t="shared" si="228"/>
        <v>0</v>
      </c>
      <c r="L2353" s="676">
        <v>3112</v>
      </c>
      <c r="M2353" s="152" t="str">
        <f>+IFERROR(VLOOKUP(L2353,DATA!$G$4:$H$2000,2,FALSE),"")</f>
        <v>АЛИА ДАРХАН ХХК</v>
      </c>
      <c r="O2353" s="152" t="str">
        <f>IFERROR(VLOOKUP(N2353,DATA!$K$4:$L$51,2,FALSE),"")</f>
        <v/>
      </c>
    </row>
    <row r="2354" spans="2:15">
      <c r="B2354" s="671">
        <f t="shared" si="229"/>
        <v>2349</v>
      </c>
      <c r="C2354" s="694">
        <v>43077</v>
      </c>
      <c r="D2354" s="704" t="s">
        <v>587</v>
      </c>
      <c r="E2354" s="705">
        <v>320100</v>
      </c>
      <c r="F2354" s="686" t="str">
        <f>IFERROR(VLOOKUP(E2354,STAT1!$C$4:$D$8000,2,FALSE),"")</f>
        <v>Урьдчилж орсон орлого MNT</v>
      </c>
      <c r="G2354" s="614">
        <v>312400</v>
      </c>
      <c r="H2354" s="614"/>
      <c r="I2354" s="590">
        <f t="shared" si="227"/>
        <v>0</v>
      </c>
      <c r="J2354" s="152">
        <f t="shared" si="228"/>
        <v>0</v>
      </c>
      <c r="L2354" s="676">
        <v>3112</v>
      </c>
      <c r="M2354" s="152" t="str">
        <f>+IFERROR(VLOOKUP(L2354,DATA!$G$4:$H$2000,2,FALSE),"")</f>
        <v>АЛИА ДАРХАН ХХК</v>
      </c>
      <c r="O2354" s="152" t="str">
        <f>IFERROR(VLOOKUP(N2354,DATA!$K$4:$L$51,2,FALSE),"")</f>
        <v/>
      </c>
    </row>
    <row r="2355" spans="2:15">
      <c r="B2355" s="671">
        <f t="shared" si="229"/>
        <v>2350</v>
      </c>
      <c r="C2355" s="685">
        <v>43077</v>
      </c>
      <c r="D2355" s="614" t="s">
        <v>1741</v>
      </c>
      <c r="E2355" s="577">
        <v>100100</v>
      </c>
      <c r="F2355" s="686" t="str">
        <f>IFERROR(VLOOKUP(E2355,STAT1!$C$4:$D$8000,2,FALSE),"")</f>
        <v>Касс мөнгө MNT</v>
      </c>
      <c r="G2355" s="614">
        <v>312400</v>
      </c>
      <c r="H2355" s="614"/>
      <c r="I2355" s="590">
        <f t="shared" si="227"/>
        <v>312400</v>
      </c>
      <c r="J2355" s="152">
        <f t="shared" si="228"/>
        <v>0</v>
      </c>
      <c r="L2355" s="703">
        <v>3112</v>
      </c>
      <c r="M2355" s="152" t="str">
        <f>+IFERROR(VLOOKUP(L2355,DATA!$G$4:$H$2000,2,FALSE),"")</f>
        <v>АЛИА ДАРХАН ХХК</v>
      </c>
      <c r="N2355" s="153">
        <v>41</v>
      </c>
      <c r="O2355" s="152" t="str">
        <f>IFERROR(VLOOKUP(N2355,DATA!$K$4:$L$51,2,FALSE),"")</f>
        <v>Бараа борлуулсан, үйлчилгээ үзүүлсэний орлого</v>
      </c>
    </row>
    <row r="2356" spans="2:15">
      <c r="B2356" s="671">
        <f t="shared" si="229"/>
        <v>2351</v>
      </c>
      <c r="C2356" s="685">
        <v>43077</v>
      </c>
      <c r="D2356" s="614" t="s">
        <v>1741</v>
      </c>
      <c r="E2356" s="577">
        <v>320100</v>
      </c>
      <c r="F2356" s="686" t="str">
        <f>IFERROR(VLOOKUP(E2356,STAT1!$C$4:$D$8000,2,FALSE),"")</f>
        <v>Урьдчилж орсон орлого MNT</v>
      </c>
      <c r="G2356" s="614"/>
      <c r="H2356" s="614">
        <v>312400</v>
      </c>
      <c r="I2356" s="590">
        <f t="shared" si="227"/>
        <v>0</v>
      </c>
      <c r="J2356" s="152">
        <f t="shared" si="228"/>
        <v>0</v>
      </c>
      <c r="L2356" s="703">
        <v>3112</v>
      </c>
      <c r="M2356" s="152" t="str">
        <f>+IFERROR(VLOOKUP(L2356,DATA!$G$4:$H$2000,2,FALSE),"")</f>
        <v>АЛИА ДАРХАН ХХК</v>
      </c>
      <c r="O2356" s="152" t="str">
        <f>IFERROR(VLOOKUP(N2356,DATA!$K$4:$L$51,2,FALSE),"")</f>
        <v/>
      </c>
    </row>
    <row r="2357" spans="2:15">
      <c r="B2357" s="671">
        <f t="shared" si="229"/>
        <v>2352</v>
      </c>
      <c r="C2357" s="685">
        <v>43078</v>
      </c>
      <c r="D2357" s="614" t="s">
        <v>2587</v>
      </c>
      <c r="E2357" s="692">
        <v>510100</v>
      </c>
      <c r="F2357" s="686" t="str">
        <f>IFERROR(VLOOKUP(E2357,STAT1!$C$4:$D$8000,2,FALSE),"")</f>
        <v>Үзүүлсэн ажил үйлчилгээний орлого</v>
      </c>
      <c r="G2357" s="614"/>
      <c r="H2357" s="614">
        <v>4209073.6363636358</v>
      </c>
      <c r="I2357" s="590">
        <f t="shared" si="227"/>
        <v>0</v>
      </c>
      <c r="J2357" s="152">
        <f t="shared" si="228"/>
        <v>0</v>
      </c>
      <c r="L2357" s="703">
        <v>3002</v>
      </c>
      <c r="M2357" s="152" t="str">
        <f>+IFERROR(VLOOKUP(L2357,DATA!$G$4:$H$2000,2,FALSE),"")</f>
        <v>ЭКО КОНСТРАКШН ХХК</v>
      </c>
      <c r="O2357" s="152" t="str">
        <f>IFERROR(VLOOKUP(N2357,DATA!$K$4:$L$51,2,FALSE),"")</f>
        <v/>
      </c>
    </row>
    <row r="2358" spans="2:15">
      <c r="B2358" s="671">
        <f t="shared" si="229"/>
        <v>2353</v>
      </c>
      <c r="C2358" s="685">
        <v>43078</v>
      </c>
      <c r="D2358" s="614" t="s">
        <v>2587</v>
      </c>
      <c r="E2358" s="692">
        <v>310500</v>
      </c>
      <c r="F2358" s="686" t="str">
        <f>IFERROR(VLOOKUP(E2358,STAT1!$C$4:$D$8000,2,FALSE),"")</f>
        <v>НӨАТ өглөг</v>
      </c>
      <c r="G2358" s="614"/>
      <c r="H2358" s="614">
        <v>420907.36363636359</v>
      </c>
      <c r="I2358" s="590">
        <f t="shared" si="227"/>
        <v>0</v>
      </c>
      <c r="J2358" s="152">
        <f t="shared" si="228"/>
        <v>0</v>
      </c>
      <c r="L2358" s="703">
        <v>3002</v>
      </c>
      <c r="M2358" s="152" t="str">
        <f>+IFERROR(VLOOKUP(L2358,DATA!$G$4:$H$2000,2,FALSE),"")</f>
        <v>ЭКО КОНСТРАКШН ХХК</v>
      </c>
      <c r="O2358" s="152" t="str">
        <f>IFERROR(VLOOKUP(N2358,DATA!$K$4:$L$51,2,FALSE),"")</f>
        <v/>
      </c>
    </row>
    <row r="2359" spans="2:15">
      <c r="B2359" s="671">
        <f t="shared" si="229"/>
        <v>2354</v>
      </c>
      <c r="C2359" s="685">
        <v>43078</v>
      </c>
      <c r="D2359" s="614" t="s">
        <v>2587</v>
      </c>
      <c r="E2359" s="692">
        <v>320100</v>
      </c>
      <c r="F2359" s="686" t="str">
        <f>IFERROR(VLOOKUP(E2359,STAT1!$C$4:$D$8000,2,FALSE),"")</f>
        <v>Урьдчилж орсон орлого MNT</v>
      </c>
      <c r="G2359" s="614">
        <v>4629981</v>
      </c>
      <c r="H2359" s="614"/>
      <c r="I2359" s="590">
        <f t="shared" si="227"/>
        <v>0</v>
      </c>
      <c r="J2359" s="152">
        <f t="shared" si="228"/>
        <v>0</v>
      </c>
      <c r="L2359" s="703">
        <v>3002</v>
      </c>
      <c r="M2359" s="152" t="str">
        <f>+IFERROR(VLOOKUP(L2359,DATA!$G$4:$H$2000,2,FALSE),"")</f>
        <v>ЭКО КОНСТРАКШН ХХК</v>
      </c>
      <c r="O2359" s="152" t="str">
        <f>IFERROR(VLOOKUP(N2359,DATA!$K$4:$L$51,2,FALSE),"")</f>
        <v/>
      </c>
    </row>
    <row r="2360" spans="2:15">
      <c r="B2360" s="671">
        <f t="shared" si="229"/>
        <v>2355</v>
      </c>
      <c r="C2360" s="694">
        <v>43078</v>
      </c>
      <c r="D2360" s="614" t="s">
        <v>2700</v>
      </c>
      <c r="E2360" s="577">
        <v>150101</v>
      </c>
      <c r="F2360" s="686" t="str">
        <f>IFERROR(VLOOKUP(E2360,STAT1!$C$4:$D$8000,2,FALSE),"")</f>
        <v>Бараа бэлэн бүтээгдэхүүн БОЛОВСРУУЛАХ ЦЕХ /нарс/</v>
      </c>
      <c r="G2360" s="614"/>
      <c r="H2360" s="614">
        <v>2400078.5907401461</v>
      </c>
      <c r="I2360" s="590">
        <f t="shared" si="227"/>
        <v>0</v>
      </c>
      <c r="J2360" s="152">
        <f t="shared" si="228"/>
        <v>0</v>
      </c>
      <c r="L2360" s="746">
        <v>3002</v>
      </c>
      <c r="M2360" s="152" t="str">
        <f>+IFERROR(VLOOKUP(L2360,DATA!$G$4:$H$2000,2,FALSE),"")</f>
        <v>ЭКО КОНСТРАКШН ХХК</v>
      </c>
      <c r="O2360" s="152" t="str">
        <f>IFERROR(VLOOKUP(N2360,DATA!$K$4:$L$51,2,FALSE),"")</f>
        <v/>
      </c>
    </row>
    <row r="2361" spans="2:15">
      <c r="B2361" s="671">
        <f t="shared" si="229"/>
        <v>2356</v>
      </c>
      <c r="C2361" s="694">
        <v>43078</v>
      </c>
      <c r="D2361" s="614" t="s">
        <v>2700</v>
      </c>
      <c r="E2361" s="577">
        <v>150101</v>
      </c>
      <c r="F2361" s="686" t="str">
        <f>IFERROR(VLOOKUP(E2361,STAT1!$C$4:$D$8000,2,FALSE),"")</f>
        <v>Бараа бэлэн бүтээгдэхүүн БОЛОВСРУУЛАХ ЦЕХ /нарс/</v>
      </c>
      <c r="G2361" s="614"/>
      <c r="H2361" s="614">
        <v>1250646.3532182502</v>
      </c>
      <c r="I2361" s="590">
        <f t="shared" si="227"/>
        <v>0</v>
      </c>
      <c r="J2361" s="152">
        <f t="shared" si="228"/>
        <v>0</v>
      </c>
      <c r="L2361" s="746">
        <v>3002</v>
      </c>
      <c r="M2361" s="152" t="str">
        <f>+IFERROR(VLOOKUP(L2361,DATA!$G$4:$H$2000,2,FALSE),"")</f>
        <v>ЭКО КОНСТРАКШН ХХК</v>
      </c>
      <c r="O2361" s="152" t="str">
        <f>IFERROR(VLOOKUP(N2361,DATA!$K$4:$L$51,2,FALSE),"")</f>
        <v/>
      </c>
    </row>
    <row r="2362" spans="2:15">
      <c r="B2362" s="671">
        <f t="shared" si="229"/>
        <v>2357</v>
      </c>
      <c r="C2362" s="694">
        <v>43078</v>
      </c>
      <c r="D2362" s="614"/>
      <c r="E2362" s="577">
        <v>141201</v>
      </c>
      <c r="F2362" s="686" t="str">
        <f>IFERROR(VLOOKUP(E2362,STAT1!$C$4:$D$8000,2,FALSE),"")</f>
        <v>ШМЗардал БУСАД</v>
      </c>
      <c r="G2362" s="614">
        <v>3650724.9439583961</v>
      </c>
      <c r="H2362" s="614"/>
      <c r="I2362" s="590">
        <f t="shared" si="227"/>
        <v>0</v>
      </c>
      <c r="J2362" s="152">
        <f t="shared" si="228"/>
        <v>0</v>
      </c>
      <c r="L2362" s="746">
        <v>3002</v>
      </c>
      <c r="M2362" s="152" t="str">
        <f>+IFERROR(VLOOKUP(L2362,DATA!$G$4:$H$2000,2,FALSE),"")</f>
        <v>ЭКО КОНСТРАКШН ХХК</v>
      </c>
      <c r="O2362" s="152" t="str">
        <f>IFERROR(VLOOKUP(N2362,DATA!$K$4:$L$51,2,FALSE),"")</f>
        <v/>
      </c>
    </row>
    <row r="2363" spans="2:15">
      <c r="B2363" s="671">
        <f t="shared" si="229"/>
        <v>2358</v>
      </c>
      <c r="C2363" s="694">
        <v>43078</v>
      </c>
      <c r="D2363" s="614" t="s">
        <v>2688</v>
      </c>
      <c r="E2363" s="577">
        <v>160100</v>
      </c>
      <c r="F2363" s="686" t="str">
        <f>IFERROR(VLOOKUP(E2363,STAT1!$C$4:$D$8000,2,FALSE),"")</f>
        <v xml:space="preserve">Барилгын материал </v>
      </c>
      <c r="G2363" s="614"/>
      <c r="H2363" s="614">
        <v>875044.08686473954</v>
      </c>
      <c r="I2363" s="590">
        <f t="shared" si="227"/>
        <v>0</v>
      </c>
      <c r="J2363" s="152">
        <f t="shared" si="228"/>
        <v>0</v>
      </c>
      <c r="L2363" s="746">
        <v>3002</v>
      </c>
      <c r="M2363" s="152" t="str">
        <f>+IFERROR(VLOOKUP(L2363,DATA!$G$4:$H$2000,2,FALSE),"")</f>
        <v>ЭКО КОНСТРАКШН ХХК</v>
      </c>
      <c r="O2363" s="152" t="str">
        <f>IFERROR(VLOOKUP(N2363,DATA!$K$4:$L$51,2,FALSE),"")</f>
        <v/>
      </c>
    </row>
    <row r="2364" spans="2:15">
      <c r="B2364" s="671">
        <f t="shared" si="229"/>
        <v>2359</v>
      </c>
      <c r="C2364" s="694">
        <v>43078</v>
      </c>
      <c r="D2364" s="614" t="s">
        <v>1637</v>
      </c>
      <c r="E2364" s="577">
        <v>160100</v>
      </c>
      <c r="F2364" s="686" t="str">
        <f>IFERROR(VLOOKUP(E2364,STAT1!$C$4:$D$8000,2,FALSE),"")</f>
        <v xml:space="preserve">Барилгын материал </v>
      </c>
      <c r="G2364" s="614"/>
      <c r="H2364" s="614">
        <v>134862.3348414085</v>
      </c>
      <c r="I2364" s="590">
        <f t="shared" si="227"/>
        <v>0</v>
      </c>
      <c r="J2364" s="152">
        <f t="shared" si="228"/>
        <v>0</v>
      </c>
      <c r="L2364" s="746">
        <v>3002</v>
      </c>
      <c r="M2364" s="152" t="str">
        <f>+IFERROR(VLOOKUP(L2364,DATA!$G$4:$H$2000,2,FALSE),"")</f>
        <v>ЭКО КОНСТРАКШН ХХК</v>
      </c>
      <c r="O2364" s="152" t="str">
        <f>IFERROR(VLOOKUP(N2364,DATA!$K$4:$L$51,2,FALSE),"")</f>
        <v/>
      </c>
    </row>
    <row r="2365" spans="2:15">
      <c r="B2365" s="671">
        <f t="shared" si="229"/>
        <v>2360</v>
      </c>
      <c r="C2365" s="694">
        <v>43078</v>
      </c>
      <c r="D2365" s="614" t="s">
        <v>587</v>
      </c>
      <c r="E2365" s="577">
        <v>141401</v>
      </c>
      <c r="F2365" s="686" t="str">
        <f>IFERROR(VLOOKUP(E2365,STAT1!$C$4:$D$8000,2,FALSE),"")</f>
        <v xml:space="preserve">ҮНЗардал БУСАД </v>
      </c>
      <c r="G2365" s="614">
        <v>1009906.4217061481</v>
      </c>
      <c r="H2365" s="614"/>
      <c r="I2365" s="590">
        <f t="shared" si="227"/>
        <v>0</v>
      </c>
      <c r="J2365" s="152">
        <f t="shared" si="228"/>
        <v>0</v>
      </c>
      <c r="L2365" s="746">
        <v>3002</v>
      </c>
      <c r="M2365" s="152" t="str">
        <f>+IFERROR(VLOOKUP(L2365,DATA!$G$4:$H$2000,2,FALSE),"")</f>
        <v>ЭКО КОНСТРАКШН ХХК</v>
      </c>
      <c r="O2365" s="152" t="str">
        <f>IFERROR(VLOOKUP(N2365,DATA!$K$4:$L$51,2,FALSE),"")</f>
        <v/>
      </c>
    </row>
    <row r="2366" spans="2:15">
      <c r="B2366" s="671">
        <f t="shared" si="229"/>
        <v>2361</v>
      </c>
      <c r="C2366" s="694">
        <v>43081</v>
      </c>
      <c r="D2366" s="614" t="s">
        <v>2698</v>
      </c>
      <c r="E2366" s="692">
        <v>150101</v>
      </c>
      <c r="F2366" s="686" t="str">
        <f>IFERROR(VLOOKUP(E2366,STAT1!$C$4:$D$8000,2,FALSE),"")</f>
        <v>Бараа бэлэн бүтээгдэхүүн БОЛОВСРУУЛАХ ЦЕХ /нарс/</v>
      </c>
      <c r="G2366" s="614"/>
      <c r="H2366" s="614">
        <v>335114.74700275977</v>
      </c>
      <c r="I2366" s="590">
        <f t="shared" si="227"/>
        <v>0</v>
      </c>
      <c r="J2366" s="152">
        <f t="shared" si="228"/>
        <v>0</v>
      </c>
      <c r="L2366" s="703">
        <v>3101</v>
      </c>
      <c r="M2366" s="152" t="str">
        <f>+IFERROR(VLOOKUP(L2366,DATA!$G$4:$H$2000,2,FALSE),"")</f>
        <v xml:space="preserve">АЛТАН ТАРИА ХХК </v>
      </c>
      <c r="O2366" s="152" t="str">
        <f>IFERROR(VLOOKUP(N2366,DATA!$K$4:$L$51,2,FALSE),"")</f>
        <v/>
      </c>
    </row>
    <row r="2367" spans="2:15">
      <c r="B2367" s="671">
        <f t="shared" si="229"/>
        <v>2362</v>
      </c>
      <c r="C2367" s="694">
        <v>43081</v>
      </c>
      <c r="D2367" s="614" t="s">
        <v>587</v>
      </c>
      <c r="E2367" s="692">
        <v>610100</v>
      </c>
      <c r="F2367" s="686" t="str">
        <f>IFERROR(VLOOKUP(E2367,STAT1!$C$4:$D$8000,2,FALSE),"")</f>
        <v>Борлуулсан барааны өртөг</v>
      </c>
      <c r="G2367" s="614">
        <v>335114.74700275977</v>
      </c>
      <c r="H2367" s="614"/>
      <c r="I2367" s="590">
        <f t="shared" si="227"/>
        <v>0</v>
      </c>
      <c r="J2367" s="152">
        <f t="shared" si="228"/>
        <v>0</v>
      </c>
      <c r="L2367" s="703">
        <v>3101</v>
      </c>
      <c r="M2367" s="152" t="str">
        <f>+IFERROR(VLOOKUP(L2367,DATA!$G$4:$H$2000,2,FALSE),"")</f>
        <v xml:space="preserve">АЛТАН ТАРИА ХХК </v>
      </c>
      <c r="O2367" s="152" t="str">
        <f>IFERROR(VLOOKUP(N2367,DATA!$K$4:$L$51,2,FALSE),"")</f>
        <v/>
      </c>
    </row>
    <row r="2368" spans="2:15">
      <c r="B2368" s="671">
        <f t="shared" si="229"/>
        <v>2363</v>
      </c>
      <c r="C2368" s="694">
        <v>43081</v>
      </c>
      <c r="D2368" s="614" t="s">
        <v>587</v>
      </c>
      <c r="E2368" s="692">
        <v>310500</v>
      </c>
      <c r="F2368" s="686" t="str">
        <f>IFERROR(VLOOKUP(E2368,STAT1!$C$4:$D$8000,2,FALSE),"")</f>
        <v>НӨАТ өглөг</v>
      </c>
      <c r="G2368" s="614"/>
      <c r="H2368" s="614">
        <v>54195.002160000011</v>
      </c>
      <c r="I2368" s="590">
        <f t="shared" si="227"/>
        <v>0</v>
      </c>
      <c r="J2368" s="152">
        <f t="shared" si="228"/>
        <v>0</v>
      </c>
      <c r="L2368" s="703">
        <v>3101</v>
      </c>
      <c r="M2368" s="152" t="str">
        <f>+IFERROR(VLOOKUP(L2368,DATA!$G$4:$H$2000,2,FALSE),"")</f>
        <v xml:space="preserve">АЛТАН ТАРИА ХХК </v>
      </c>
      <c r="O2368" s="152" t="str">
        <f>IFERROR(VLOOKUP(N2368,DATA!$K$4:$L$51,2,FALSE),"")</f>
        <v/>
      </c>
    </row>
    <row r="2369" spans="2:15">
      <c r="B2369" s="671">
        <f t="shared" si="229"/>
        <v>2364</v>
      </c>
      <c r="C2369" s="694">
        <v>43081</v>
      </c>
      <c r="D2369" s="614" t="s">
        <v>587</v>
      </c>
      <c r="E2369" s="692">
        <v>510000</v>
      </c>
      <c r="F2369" s="686" t="str">
        <f>IFERROR(VLOOKUP(E2369,STAT1!$C$4:$D$8000,2,FALSE),"")</f>
        <v>Үндсэн үйл ажиллагааны борлуулалт</v>
      </c>
      <c r="G2369" s="614"/>
      <c r="H2369" s="614">
        <v>541950</v>
      </c>
      <c r="I2369" s="590">
        <f t="shared" si="227"/>
        <v>0</v>
      </c>
      <c r="J2369" s="152">
        <f t="shared" si="228"/>
        <v>0</v>
      </c>
      <c r="L2369" s="703">
        <v>3101</v>
      </c>
      <c r="M2369" s="152" t="str">
        <f>+IFERROR(VLOOKUP(L2369,DATA!$G$4:$H$2000,2,FALSE),"")</f>
        <v xml:space="preserve">АЛТАН ТАРИА ХХК </v>
      </c>
      <c r="O2369" s="152" t="str">
        <f>IFERROR(VLOOKUP(N2369,DATA!$K$4:$L$51,2,FALSE),"")</f>
        <v/>
      </c>
    </row>
    <row r="2370" spans="2:15">
      <c r="B2370" s="671">
        <f t="shared" si="229"/>
        <v>2365</v>
      </c>
      <c r="C2370" s="694">
        <v>43081</v>
      </c>
      <c r="D2370" s="614" t="s">
        <v>587</v>
      </c>
      <c r="E2370" s="692">
        <v>320100</v>
      </c>
      <c r="F2370" s="686" t="str">
        <f>IFERROR(VLOOKUP(E2370,STAT1!$C$4:$D$8000,2,FALSE),"")</f>
        <v>Урьдчилж орсон орлого MNT</v>
      </c>
      <c r="G2370" s="614">
        <v>596145</v>
      </c>
      <c r="H2370" s="614"/>
      <c r="I2370" s="590">
        <f t="shared" si="227"/>
        <v>0</v>
      </c>
      <c r="J2370" s="152">
        <f t="shared" si="228"/>
        <v>0</v>
      </c>
      <c r="L2370" s="703">
        <v>3101</v>
      </c>
      <c r="M2370" s="152" t="str">
        <f>+IFERROR(VLOOKUP(L2370,DATA!$G$4:$H$2000,2,FALSE),"")</f>
        <v xml:space="preserve">АЛТАН ТАРИА ХХК </v>
      </c>
      <c r="O2370" s="152" t="str">
        <f>IFERROR(VLOOKUP(N2370,DATA!$K$4:$L$51,2,FALSE),"")</f>
        <v/>
      </c>
    </row>
    <row r="2371" spans="2:15">
      <c r="B2371" s="671">
        <f t="shared" si="229"/>
        <v>2366</v>
      </c>
      <c r="C2371" s="685">
        <v>43082</v>
      </c>
      <c r="D2371" s="614" t="s">
        <v>2588</v>
      </c>
      <c r="E2371" s="692">
        <v>120100</v>
      </c>
      <c r="F2371" s="686" t="str">
        <f>IFERROR(VLOOKUP(E2371,STAT1!$C$4:$D$8000,2,FALSE),"")</f>
        <v xml:space="preserve">Дансны авлага MNT </v>
      </c>
      <c r="G2371" s="614">
        <v>1082400</v>
      </c>
      <c r="H2371" s="614"/>
      <c r="I2371" s="590">
        <f t="shared" si="227"/>
        <v>0</v>
      </c>
      <c r="J2371" s="152">
        <f t="shared" si="228"/>
        <v>0</v>
      </c>
      <c r="L2371" s="703">
        <v>3017</v>
      </c>
      <c r="M2371" s="152" t="str">
        <f>+IFERROR(VLOOKUP(L2371,DATA!$G$4:$H$2000,2,FALSE),"")</f>
        <v xml:space="preserve">ВОС ХХК </v>
      </c>
      <c r="O2371" s="152" t="str">
        <f>IFERROR(VLOOKUP(N2371,DATA!$K$4:$L$51,2,FALSE),"")</f>
        <v/>
      </c>
    </row>
    <row r="2372" spans="2:15">
      <c r="B2372" s="671">
        <f t="shared" si="229"/>
        <v>2367</v>
      </c>
      <c r="C2372" s="685">
        <v>43082</v>
      </c>
      <c r="D2372" s="614" t="s">
        <v>2588</v>
      </c>
      <c r="E2372" s="692">
        <v>100100</v>
      </c>
      <c r="F2372" s="686" t="str">
        <f>IFERROR(VLOOKUP(E2372,STAT1!$C$4:$D$8000,2,FALSE),"")</f>
        <v>Касс мөнгө MNT</v>
      </c>
      <c r="G2372" s="614"/>
      <c r="H2372" s="614">
        <v>1082400</v>
      </c>
      <c r="I2372" s="590">
        <f t="shared" ref="I2372:I2435" si="230">+IF(OR(E2372=100100,E2372=100200,E2372=110100,E2372=110102,E2372=110103,E2372=110104,E2372=110105,E2372=110200,E2372=110201,E2372=110202,E2372=110203,E2372=110204,E2372=110300),G2372,0)+IF(OR(E2372=100100,E2372=100200,E2372=110100,E2372=110102,E2372=110103,E2372=110104,E2372=110105,E2372=110200,E2372=110201,E2372=110202,E2372=110203,E2372=110204,E2372=110300),H2372*-1,0)</f>
        <v>-1082400</v>
      </c>
      <c r="J2372" s="152">
        <f t="shared" si="228"/>
        <v>0</v>
      </c>
      <c r="L2372" s="703">
        <v>3017</v>
      </c>
      <c r="M2372" s="152" t="str">
        <f>+IFERROR(VLOOKUP(L2372,DATA!$G$4:$H$2000,2,FALSE),"")</f>
        <v xml:space="preserve">ВОС ХХК </v>
      </c>
      <c r="N2372" s="153">
        <v>53</v>
      </c>
      <c r="O2372" s="152" t="str">
        <f>IFERROR(VLOOKUP(N2372,DATA!$K$4:$L$51,2,FALSE),"")</f>
        <v>Бараа материал худалдан авахад төлсөн</v>
      </c>
    </row>
    <row r="2373" spans="2:15">
      <c r="B2373" s="671">
        <f t="shared" si="229"/>
        <v>2368</v>
      </c>
      <c r="C2373" s="685">
        <v>43082</v>
      </c>
      <c r="D2373" s="614" t="s">
        <v>2588</v>
      </c>
      <c r="E2373" s="692">
        <v>160100</v>
      </c>
      <c r="F2373" s="686" t="str">
        <f>IFERROR(VLOOKUP(E2373,STAT1!$C$4:$D$8000,2,FALSE),"")</f>
        <v xml:space="preserve">Барилгын материал </v>
      </c>
      <c r="G2373" s="614">
        <v>984000</v>
      </c>
      <c r="H2373" s="614"/>
      <c r="I2373" s="590">
        <f t="shared" si="230"/>
        <v>0</v>
      </c>
      <c r="J2373" s="152">
        <f t="shared" si="228"/>
        <v>0</v>
      </c>
      <c r="L2373" s="703">
        <v>3017</v>
      </c>
      <c r="M2373" s="152" t="str">
        <f>+IFERROR(VLOOKUP(L2373,DATA!$G$4:$H$2000,2,FALSE),"")</f>
        <v xml:space="preserve">ВОС ХХК </v>
      </c>
      <c r="O2373" s="152" t="str">
        <f>IFERROR(VLOOKUP(N2373,DATA!$K$4:$L$51,2,FALSE),"")</f>
        <v/>
      </c>
    </row>
    <row r="2374" spans="2:15">
      <c r="B2374" s="671">
        <f t="shared" si="229"/>
        <v>2369</v>
      </c>
      <c r="C2374" s="685">
        <v>43082</v>
      </c>
      <c r="D2374" s="614" t="s">
        <v>2588</v>
      </c>
      <c r="E2374" s="692">
        <v>120600</v>
      </c>
      <c r="F2374" s="686" t="str">
        <f>IFERROR(VLOOKUP(E2374,STAT1!$C$4:$D$8000,2,FALSE),"")</f>
        <v>НӨАТ авлага</v>
      </c>
      <c r="G2374" s="614">
        <v>98400</v>
      </c>
      <c r="H2374" s="614"/>
      <c r="I2374" s="590">
        <f t="shared" si="230"/>
        <v>0</v>
      </c>
      <c r="J2374" s="152">
        <f t="shared" si="228"/>
        <v>0</v>
      </c>
      <c r="L2374" s="703">
        <v>3017</v>
      </c>
      <c r="M2374" s="152" t="str">
        <f>+IFERROR(VLOOKUP(L2374,DATA!$G$4:$H$2000,2,FALSE),"")</f>
        <v xml:space="preserve">ВОС ХХК </v>
      </c>
      <c r="O2374" s="152" t="str">
        <f>IFERROR(VLOOKUP(N2374,DATA!$K$4:$L$51,2,FALSE),"")</f>
        <v/>
      </c>
    </row>
    <row r="2375" spans="2:15">
      <c r="B2375" s="671">
        <f t="shared" si="229"/>
        <v>2370</v>
      </c>
      <c r="C2375" s="685">
        <v>43082</v>
      </c>
      <c r="D2375" s="614" t="s">
        <v>2588</v>
      </c>
      <c r="E2375" s="692">
        <v>120100</v>
      </c>
      <c r="F2375" s="686" t="str">
        <f>IFERROR(VLOOKUP(E2375,STAT1!$C$4:$D$8000,2,FALSE),"")</f>
        <v xml:space="preserve">Дансны авлага MNT </v>
      </c>
      <c r="G2375" s="614"/>
      <c r="H2375" s="614">
        <v>1082400</v>
      </c>
      <c r="I2375" s="590">
        <f t="shared" si="230"/>
        <v>0</v>
      </c>
      <c r="J2375" s="152">
        <f t="shared" si="228"/>
        <v>0</v>
      </c>
      <c r="L2375" s="703">
        <v>3017</v>
      </c>
      <c r="M2375" s="152" t="str">
        <f>+IFERROR(VLOOKUP(L2375,DATA!$G$4:$H$2000,2,FALSE),"")</f>
        <v xml:space="preserve">ВОС ХХК </v>
      </c>
      <c r="O2375" s="152" t="str">
        <f>IFERROR(VLOOKUP(N2375,DATA!$K$4:$L$51,2,FALSE),"")</f>
        <v/>
      </c>
    </row>
    <row r="2376" spans="2:15">
      <c r="B2376" s="671">
        <f t="shared" si="229"/>
        <v>2371</v>
      </c>
      <c r="C2376" s="685">
        <v>43083</v>
      </c>
      <c r="D2376" s="614" t="s">
        <v>1352</v>
      </c>
      <c r="E2376" s="692">
        <v>110100</v>
      </c>
      <c r="F2376" s="686" t="str">
        <f>IFERROR(VLOOKUP(E2376,STAT1!$C$4:$D$8000,2,FALSE),"")</f>
        <v>Хаан Банк 5024654020</v>
      </c>
      <c r="G2376" s="614"/>
      <c r="H2376" s="614">
        <v>51000</v>
      </c>
      <c r="I2376" s="590">
        <f t="shared" si="230"/>
        <v>-51000</v>
      </c>
      <c r="J2376" s="152">
        <f t="shared" si="228"/>
        <v>0</v>
      </c>
      <c r="L2376" s="703">
        <v>2006</v>
      </c>
      <c r="M2376" s="152" t="str">
        <f>+IFERROR(VLOOKUP(L2376,DATA!$G$4:$H$2000,2,FALSE),"")</f>
        <v xml:space="preserve">МЦХОЛБОО </v>
      </c>
      <c r="N2376" s="153">
        <v>59</v>
      </c>
      <c r="O2376" s="152" t="str">
        <f>IFERROR(VLOOKUP(N2376,DATA!$K$4:$L$51,2,FALSE),"")</f>
        <v>Бусад мөнгөн зарлага</v>
      </c>
    </row>
    <row r="2377" spans="2:15">
      <c r="B2377" s="671">
        <f t="shared" si="229"/>
        <v>2372</v>
      </c>
      <c r="C2377" s="685">
        <v>43083</v>
      </c>
      <c r="D2377" s="614" t="s">
        <v>1352</v>
      </c>
      <c r="E2377" s="692">
        <v>120600</v>
      </c>
      <c r="F2377" s="686" t="str">
        <f>IFERROR(VLOOKUP(E2377,STAT1!$C$4:$D$8000,2,FALSE),"")</f>
        <v>НӨАТ авлага</v>
      </c>
      <c r="G2377" s="614">
        <v>4636.3599999999997</v>
      </c>
      <c r="H2377" s="614"/>
      <c r="I2377" s="590">
        <f t="shared" si="230"/>
        <v>0</v>
      </c>
      <c r="J2377" s="152">
        <f t="shared" si="228"/>
        <v>0</v>
      </c>
      <c r="L2377" s="703">
        <v>2006</v>
      </c>
      <c r="M2377" s="152" t="str">
        <f>+IFERROR(VLOOKUP(L2377,DATA!$G$4:$H$2000,2,FALSE),"")</f>
        <v xml:space="preserve">МЦХОЛБОО </v>
      </c>
      <c r="O2377" s="152" t="str">
        <f>IFERROR(VLOOKUP(N2377,DATA!$K$4:$L$51,2,FALSE),"")</f>
        <v/>
      </c>
    </row>
    <row r="2378" spans="2:15">
      <c r="B2378" s="671">
        <f t="shared" si="229"/>
        <v>2373</v>
      </c>
      <c r="C2378" s="685">
        <v>43083</v>
      </c>
      <c r="D2378" s="614" t="s">
        <v>1352</v>
      </c>
      <c r="E2378" s="577">
        <v>701900</v>
      </c>
      <c r="F2378" s="686" t="str">
        <f>IFERROR(VLOOKUP(E2378,STAT1!$C$4:$D$8000,2,FALSE),"")</f>
        <v>Харилцаа холбоо</v>
      </c>
      <c r="G2378" s="614">
        <v>46363.64</v>
      </c>
      <c r="H2378" s="614"/>
      <c r="I2378" s="590">
        <f t="shared" si="230"/>
        <v>0</v>
      </c>
      <c r="J2378" s="152">
        <f t="shared" si="228"/>
        <v>0</v>
      </c>
      <c r="L2378" s="703">
        <v>2006</v>
      </c>
      <c r="M2378" s="152" t="str">
        <f>+IFERROR(VLOOKUP(L2378,DATA!$G$4:$H$2000,2,FALSE),"")</f>
        <v xml:space="preserve">МЦХОЛБОО </v>
      </c>
      <c r="O2378" s="152" t="str">
        <f>IFERROR(VLOOKUP(N2378,DATA!$K$4:$L$51,2,FALSE),"")</f>
        <v/>
      </c>
    </row>
    <row r="2379" spans="2:15">
      <c r="B2379" s="671">
        <f t="shared" si="229"/>
        <v>2374</v>
      </c>
      <c r="C2379" s="691">
        <v>43084</v>
      </c>
      <c r="D2379" s="693" t="s">
        <v>1748</v>
      </c>
      <c r="E2379" s="692">
        <v>100100</v>
      </c>
      <c r="F2379" s="686" t="str">
        <f>IFERROR(VLOOKUP(E2379,STAT1!$C$4:$D$8000,2,FALSE),"")</f>
        <v>Касс мөнгө MNT</v>
      </c>
      <c r="G2379" s="614"/>
      <c r="H2379" s="614">
        <v>3179268</v>
      </c>
      <c r="I2379" s="590">
        <f t="shared" si="230"/>
        <v>-3179268</v>
      </c>
      <c r="J2379" s="152">
        <f t="shared" si="228"/>
        <v>0</v>
      </c>
      <c r="L2379" s="703">
        <v>2013</v>
      </c>
      <c r="M2379" s="152" t="str">
        <f>+IFERROR(VLOOKUP(L2379,DATA!$G$4:$H$2000,2,FALSE),"")</f>
        <v>УБДС ТӨХК</v>
      </c>
      <c r="N2379" s="153">
        <v>54</v>
      </c>
      <c r="O2379" s="152" t="str">
        <f>IFERROR(VLOOKUP(N2379,DATA!$K$4:$L$51,2,FALSE),"")</f>
        <v>Ашиглалтын зардалд төлсөн</v>
      </c>
    </row>
    <row r="2380" spans="2:15">
      <c r="B2380" s="671">
        <f t="shared" si="229"/>
        <v>2375</v>
      </c>
      <c r="C2380" s="691">
        <v>43084</v>
      </c>
      <c r="D2380" s="693" t="s">
        <v>1748</v>
      </c>
      <c r="E2380" s="692">
        <v>120600</v>
      </c>
      <c r="F2380" s="686" t="str">
        <f>IFERROR(VLOOKUP(E2380,STAT1!$C$4:$D$8000,2,FALSE),"")</f>
        <v>НӨАТ авлага</v>
      </c>
      <c r="G2380" s="614">
        <v>289024.36</v>
      </c>
      <c r="H2380" s="614"/>
      <c r="I2380" s="590">
        <f t="shared" si="230"/>
        <v>0</v>
      </c>
      <c r="J2380" s="152">
        <f t="shared" si="228"/>
        <v>0</v>
      </c>
      <c r="L2380" s="703">
        <v>2013</v>
      </c>
      <c r="M2380" s="152" t="str">
        <f>+IFERROR(VLOOKUP(L2380,DATA!$G$4:$H$2000,2,FALSE),"")</f>
        <v>УБДС ТӨХК</v>
      </c>
      <c r="O2380" s="152" t="str">
        <f>IFERROR(VLOOKUP(N2380,DATA!$K$4:$L$51,2,FALSE),"")</f>
        <v/>
      </c>
    </row>
    <row r="2381" spans="2:15">
      <c r="B2381" s="671">
        <f t="shared" si="229"/>
        <v>2376</v>
      </c>
      <c r="C2381" s="691">
        <v>43084</v>
      </c>
      <c r="D2381" s="693" t="s">
        <v>1748</v>
      </c>
      <c r="E2381" s="692">
        <v>700800</v>
      </c>
      <c r="F2381" s="686" t="str">
        <f>IFERROR(VLOOKUP(E2381,STAT1!$C$4:$D$8000,2,FALSE),"")</f>
        <v>Дулаан</v>
      </c>
      <c r="G2381" s="614">
        <v>2890243.64</v>
      </c>
      <c r="H2381" s="614"/>
      <c r="I2381" s="590">
        <f t="shared" si="230"/>
        <v>0</v>
      </c>
      <c r="J2381" s="152">
        <f t="shared" si="228"/>
        <v>0</v>
      </c>
      <c r="L2381" s="703">
        <v>2013</v>
      </c>
      <c r="M2381" s="152" t="str">
        <f>+IFERROR(VLOOKUP(L2381,DATA!$G$4:$H$2000,2,FALSE),"")</f>
        <v>УБДС ТӨХК</v>
      </c>
      <c r="O2381" s="152" t="str">
        <f>IFERROR(VLOOKUP(N2381,DATA!$K$4:$L$51,2,FALSE),"")</f>
        <v/>
      </c>
    </row>
    <row r="2382" spans="2:15">
      <c r="B2382" s="671">
        <f t="shared" si="229"/>
        <v>2377</v>
      </c>
      <c r="C2382" s="685">
        <v>43086</v>
      </c>
      <c r="D2382" s="702" t="s">
        <v>1746</v>
      </c>
      <c r="E2382" s="577">
        <v>110100</v>
      </c>
      <c r="F2382" s="686" t="str">
        <f>IFERROR(VLOOKUP(E2382,STAT1!$C$4:$D$8000,2,FALSE),"")</f>
        <v>Хаан Банк 5024654020</v>
      </c>
      <c r="G2382" s="614"/>
      <c r="H2382" s="614">
        <v>5330358</v>
      </c>
      <c r="I2382" s="590">
        <f t="shared" si="230"/>
        <v>-5330358</v>
      </c>
      <c r="J2382" s="152">
        <f t="shared" si="228"/>
        <v>0</v>
      </c>
      <c r="L2382" s="703">
        <v>2009</v>
      </c>
      <c r="M2382" s="152" t="str">
        <f>+IFERROR(VLOOKUP(L2382,DATA!$G$4:$H$2000,2,FALSE),"")</f>
        <v>ХААН БАНК</v>
      </c>
      <c r="N2382" s="153">
        <v>91</v>
      </c>
      <c r="O2382" s="152" t="str">
        <f>IFERROR(VLOOKUP(N2382,DATA!$K$4:$L$51,2,FALSE),"")</f>
        <v>Зээл, өрийн үнэт цаасны төлбөрт төлсөн</v>
      </c>
    </row>
    <row r="2383" spans="2:15">
      <c r="B2383" s="671">
        <f t="shared" si="229"/>
        <v>2378</v>
      </c>
      <c r="C2383" s="685">
        <v>43086</v>
      </c>
      <c r="D2383" s="702" t="s">
        <v>1746</v>
      </c>
      <c r="E2383" s="577">
        <v>310400</v>
      </c>
      <c r="F2383" s="686" t="str">
        <f>IFERROR(VLOOKUP(E2383,STAT1!$C$4:$D$8000,2,FALSE),"")</f>
        <v>Банкны богино хугацаат зээл MNT</v>
      </c>
      <c r="G2383" s="614">
        <v>5330358</v>
      </c>
      <c r="H2383" s="614"/>
      <c r="I2383" s="590">
        <f t="shared" si="230"/>
        <v>0</v>
      </c>
      <c r="J2383" s="152">
        <f t="shared" si="228"/>
        <v>0</v>
      </c>
      <c r="L2383" s="703">
        <v>2009</v>
      </c>
      <c r="M2383" s="152" t="str">
        <f>+IFERROR(VLOOKUP(L2383,DATA!$G$4:$H$2000,2,FALSE),"")</f>
        <v>ХААН БАНК</v>
      </c>
      <c r="O2383" s="152" t="str">
        <f>IFERROR(VLOOKUP(N2383,DATA!$K$4:$L$51,2,FALSE),"")</f>
        <v/>
      </c>
    </row>
    <row r="2384" spans="2:15">
      <c r="B2384" s="671">
        <f t="shared" si="229"/>
        <v>2379</v>
      </c>
      <c r="C2384" s="685">
        <v>43086</v>
      </c>
      <c r="D2384" s="702" t="s">
        <v>1746</v>
      </c>
      <c r="E2384" s="577">
        <v>110100</v>
      </c>
      <c r="F2384" s="686" t="str">
        <f>IFERROR(VLOOKUP(E2384,STAT1!$C$4:$D$8000,2,FALSE),"")</f>
        <v>Хаан Банк 5024654020</v>
      </c>
      <c r="G2384" s="614"/>
      <c r="H2384" s="614">
        <v>548122</v>
      </c>
      <c r="I2384" s="590">
        <f t="shared" si="230"/>
        <v>-548122</v>
      </c>
      <c r="J2384" s="152">
        <f t="shared" si="228"/>
        <v>0</v>
      </c>
      <c r="L2384" s="703">
        <v>2009</v>
      </c>
      <c r="M2384" s="152" t="str">
        <f>+IFERROR(VLOOKUP(L2384,DATA!$G$4:$H$2000,2,FALSE),"")</f>
        <v>ХААН БАНК</v>
      </c>
      <c r="N2384" s="153">
        <v>56</v>
      </c>
      <c r="O2384" s="152" t="str">
        <f>IFERROR(VLOOKUP(N2384,DATA!$K$4:$L$51,2,FALSE),"")</f>
        <v>Хүүний төлбөрт төлсөн</v>
      </c>
    </row>
    <row r="2385" spans="2:15">
      <c r="B2385" s="671">
        <f t="shared" si="229"/>
        <v>2380</v>
      </c>
      <c r="C2385" s="685">
        <v>43086</v>
      </c>
      <c r="D2385" s="706" t="s">
        <v>1746</v>
      </c>
      <c r="E2385" s="692">
        <v>702500</v>
      </c>
      <c r="F2385" s="686" t="str">
        <f>IFERROR(VLOOKUP(E2385,STAT1!$C$4:$D$8000,2,FALSE),"")</f>
        <v>Зээлийн хүүгийн зардал</v>
      </c>
      <c r="G2385" s="614">
        <v>548122</v>
      </c>
      <c r="H2385" s="614"/>
      <c r="I2385" s="590">
        <f t="shared" si="230"/>
        <v>0</v>
      </c>
      <c r="J2385" s="152">
        <f t="shared" si="228"/>
        <v>0</v>
      </c>
      <c r="L2385" s="703">
        <v>2009</v>
      </c>
      <c r="M2385" s="152" t="str">
        <f>+IFERROR(VLOOKUP(L2385,DATA!$G$4:$H$2000,2,FALSE),"")</f>
        <v>ХААН БАНК</v>
      </c>
      <c r="O2385" s="152" t="str">
        <f>IFERROR(VLOOKUP(N2385,DATA!$K$4:$L$51,2,FALSE),"")</f>
        <v/>
      </c>
    </row>
    <row r="2386" spans="2:15">
      <c r="B2386" s="671">
        <f t="shared" si="229"/>
        <v>2381</v>
      </c>
      <c r="C2386" s="685">
        <v>43086</v>
      </c>
      <c r="D2386" s="614" t="s">
        <v>2166</v>
      </c>
      <c r="E2386" s="577">
        <v>110100</v>
      </c>
      <c r="F2386" s="686" t="str">
        <f>IFERROR(VLOOKUP(E2386,STAT1!$C$4:$D$8000,2,FALSE),"")</f>
        <v>Хаан Банк 5024654020</v>
      </c>
      <c r="G2386" s="614"/>
      <c r="H2386" s="614">
        <v>700</v>
      </c>
      <c r="I2386" s="590">
        <f t="shared" si="230"/>
        <v>-700</v>
      </c>
      <c r="J2386" s="152">
        <f t="shared" si="228"/>
        <v>0</v>
      </c>
      <c r="L2386" s="703">
        <v>1004</v>
      </c>
      <c r="M2386" s="152" t="str">
        <f>+IFERROR(VLOOKUP(L2386,DATA!$G$4:$H$2000,2,FALSE),"")</f>
        <v xml:space="preserve">Түмэндэлгэр </v>
      </c>
      <c r="N2386" s="153">
        <v>59</v>
      </c>
      <c r="O2386" s="152" t="str">
        <f>IFERROR(VLOOKUP(N2386,DATA!$K$4:$L$51,2,FALSE),"")</f>
        <v>Бусад мөнгөн зарлага</v>
      </c>
    </row>
    <row r="2387" spans="2:15">
      <c r="B2387" s="671">
        <f t="shared" si="229"/>
        <v>2382</v>
      </c>
      <c r="C2387" s="685">
        <v>43086</v>
      </c>
      <c r="D2387" s="614" t="s">
        <v>2166</v>
      </c>
      <c r="E2387" s="577">
        <v>704900</v>
      </c>
      <c r="F2387" s="686" t="str">
        <f>IFERROR(VLOOKUP(E2387,STAT1!$C$4:$D$8000,2,FALSE),"")</f>
        <v>Банкны үйлчилгээ</v>
      </c>
      <c r="G2387" s="614">
        <v>700</v>
      </c>
      <c r="H2387" s="614"/>
      <c r="I2387" s="590">
        <f t="shared" si="230"/>
        <v>0</v>
      </c>
      <c r="J2387" s="152">
        <f t="shared" si="228"/>
        <v>0</v>
      </c>
      <c r="L2387" s="703">
        <v>1004</v>
      </c>
      <c r="M2387" s="152" t="str">
        <f>+IFERROR(VLOOKUP(L2387,DATA!$G$4:$H$2000,2,FALSE),"")</f>
        <v xml:space="preserve">Түмэндэлгэр </v>
      </c>
      <c r="O2387" s="152" t="str">
        <f>IFERROR(VLOOKUP(N2387,DATA!$K$4:$L$51,2,FALSE),"")</f>
        <v/>
      </c>
    </row>
    <row r="2388" spans="2:15">
      <c r="B2388" s="671">
        <f t="shared" si="229"/>
        <v>2383</v>
      </c>
      <c r="C2388" s="691">
        <v>43089</v>
      </c>
      <c r="D2388" s="693" t="s">
        <v>1747</v>
      </c>
      <c r="E2388" s="692">
        <v>110100</v>
      </c>
      <c r="F2388" s="686" t="str">
        <f>IFERROR(VLOOKUP(E2388,STAT1!$C$4:$D$8000,2,FALSE),"")</f>
        <v>Хаан Банк 5024654020</v>
      </c>
      <c r="G2388" s="614"/>
      <c r="H2388" s="614">
        <v>3086575.99</v>
      </c>
      <c r="I2388" s="590">
        <f t="shared" si="230"/>
        <v>-3086575.99</v>
      </c>
      <c r="J2388" s="152">
        <f t="shared" si="228"/>
        <v>0</v>
      </c>
      <c r="L2388" s="703">
        <v>2009</v>
      </c>
      <c r="M2388" s="152" t="str">
        <f>+IFERROR(VLOOKUP(L2388,DATA!$G$4:$H$2000,2,FALSE),"")</f>
        <v>ХААН БАНК</v>
      </c>
      <c r="N2388" s="153">
        <v>91</v>
      </c>
      <c r="O2388" s="152" t="str">
        <f>IFERROR(VLOOKUP(N2388,DATA!$K$4:$L$51,2,FALSE),"")</f>
        <v>Зээл, өрийн үнэт цаасны төлбөрт төлсөн</v>
      </c>
    </row>
    <row r="2389" spans="2:15">
      <c r="B2389" s="671">
        <f t="shared" si="229"/>
        <v>2384</v>
      </c>
      <c r="C2389" s="691">
        <v>43089</v>
      </c>
      <c r="D2389" s="693" t="s">
        <v>1747</v>
      </c>
      <c r="E2389" s="692">
        <v>311100</v>
      </c>
      <c r="F2389" s="686" t="str">
        <f>IFERROR(VLOOKUP(E2389,STAT1!$C$4:$D$8000,2,FALSE),"")</f>
        <v xml:space="preserve">Бусад богино хугацаат өглөг </v>
      </c>
      <c r="G2389" s="614">
        <v>3086575.99</v>
      </c>
      <c r="H2389" s="614"/>
      <c r="I2389" s="590">
        <f t="shared" si="230"/>
        <v>0</v>
      </c>
      <c r="J2389" s="152">
        <f t="shared" si="228"/>
        <v>0</v>
      </c>
      <c r="L2389" s="703">
        <v>2009</v>
      </c>
      <c r="M2389" s="152" t="str">
        <f>+IFERROR(VLOOKUP(L2389,DATA!$G$4:$H$2000,2,FALSE),"")</f>
        <v>ХААН БАНК</v>
      </c>
      <c r="O2389" s="152" t="str">
        <f>IFERROR(VLOOKUP(N2389,DATA!$K$4:$L$51,2,FALSE),"")</f>
        <v/>
      </c>
    </row>
    <row r="2390" spans="2:15">
      <c r="B2390" s="671">
        <f t="shared" si="229"/>
        <v>2385</v>
      </c>
      <c r="C2390" s="691">
        <v>43089</v>
      </c>
      <c r="D2390" s="693" t="s">
        <v>1747</v>
      </c>
      <c r="E2390" s="692">
        <v>110100</v>
      </c>
      <c r="F2390" s="686" t="str">
        <f>IFERROR(VLOOKUP(E2390,STAT1!$C$4:$D$8000,2,FALSE),"")</f>
        <v>Хаан Банк 5024654020</v>
      </c>
      <c r="G2390" s="614"/>
      <c r="H2390" s="614">
        <v>1279968.99</v>
      </c>
      <c r="I2390" s="590">
        <f t="shared" si="230"/>
        <v>-1279968.99</v>
      </c>
      <c r="J2390" s="152">
        <f t="shared" si="228"/>
        <v>0</v>
      </c>
      <c r="L2390" s="703">
        <v>2009</v>
      </c>
      <c r="M2390" s="152" t="str">
        <f>+IFERROR(VLOOKUP(L2390,DATA!$G$4:$H$2000,2,FALSE),"")</f>
        <v>ХААН БАНК</v>
      </c>
      <c r="N2390" s="153">
        <v>56</v>
      </c>
      <c r="O2390" s="152" t="str">
        <f>IFERROR(VLOOKUP(N2390,DATA!$K$4:$L$51,2,FALSE),"")</f>
        <v>Хүүний төлбөрт төлсөн</v>
      </c>
    </row>
    <row r="2391" spans="2:15">
      <c r="B2391" s="671">
        <f t="shared" si="229"/>
        <v>2386</v>
      </c>
      <c r="C2391" s="691">
        <v>43089</v>
      </c>
      <c r="D2391" s="693" t="s">
        <v>1747</v>
      </c>
      <c r="E2391" s="692">
        <v>702500</v>
      </c>
      <c r="F2391" s="686" t="str">
        <f>IFERROR(VLOOKUP(E2391,STAT1!$C$4:$D$8000,2,FALSE),"")</f>
        <v>Зээлийн хүүгийн зардал</v>
      </c>
      <c r="G2391" s="614">
        <v>1279968.99</v>
      </c>
      <c r="H2391" s="614"/>
      <c r="I2391" s="590">
        <f t="shared" si="230"/>
        <v>0</v>
      </c>
      <c r="J2391" s="152">
        <f t="shared" si="228"/>
        <v>0</v>
      </c>
      <c r="L2391" s="703">
        <v>2009</v>
      </c>
      <c r="M2391" s="152" t="str">
        <f>+IFERROR(VLOOKUP(L2391,DATA!$G$4:$H$2000,2,FALSE),"")</f>
        <v>ХААН БАНК</v>
      </c>
      <c r="O2391" s="152" t="str">
        <f>IFERROR(VLOOKUP(N2391,DATA!$K$4:$L$51,2,FALSE),"")</f>
        <v/>
      </c>
    </row>
    <row r="2392" spans="2:15">
      <c r="B2392" s="671">
        <f t="shared" si="229"/>
        <v>2387</v>
      </c>
      <c r="C2392" s="691">
        <v>43089</v>
      </c>
      <c r="D2392" s="693" t="s">
        <v>1747</v>
      </c>
      <c r="E2392" s="577">
        <v>110100</v>
      </c>
      <c r="F2392" s="686" t="str">
        <f>IFERROR(VLOOKUP(E2392,STAT1!$C$4:$D$8000,2,FALSE),"")</f>
        <v>Хаан Банк 5024654020</v>
      </c>
      <c r="G2392" s="614"/>
      <c r="H2392" s="614">
        <v>214031.00999999978</v>
      </c>
      <c r="I2392" s="590">
        <f t="shared" si="230"/>
        <v>-214031.00999999978</v>
      </c>
      <c r="J2392" s="152">
        <f t="shared" ref="J2392:J2455" si="231">+IF(E2392=110102,I2392/K2392,0)</f>
        <v>0</v>
      </c>
      <c r="L2392" s="703">
        <v>2009</v>
      </c>
      <c r="M2392" s="152" t="str">
        <f>+IFERROR(VLOOKUP(L2392,DATA!$G$4:$H$2000,2,FALSE),"")</f>
        <v>ХААН БАНК</v>
      </c>
      <c r="N2392" s="153">
        <v>91</v>
      </c>
      <c r="O2392" s="152" t="str">
        <f>IFERROR(VLOOKUP(N2392,DATA!$K$4:$L$51,2,FALSE),"")</f>
        <v>Зээл, өрийн үнэт цаасны төлбөрт төлсөн</v>
      </c>
    </row>
    <row r="2393" spans="2:15">
      <c r="B2393" s="671">
        <f t="shared" si="229"/>
        <v>2388</v>
      </c>
      <c r="C2393" s="685">
        <v>43089</v>
      </c>
      <c r="D2393" s="614" t="s">
        <v>1747</v>
      </c>
      <c r="E2393" s="577">
        <v>311100</v>
      </c>
      <c r="F2393" s="686" t="str">
        <f>IFERROR(VLOOKUP(E2393,STAT1!$C$4:$D$8000,2,FALSE),"")</f>
        <v xml:space="preserve">Бусад богино хугацаат өглөг </v>
      </c>
      <c r="G2393" s="614">
        <v>214031.00999999978</v>
      </c>
      <c r="H2393" s="614"/>
      <c r="I2393" s="590">
        <f t="shared" si="230"/>
        <v>0</v>
      </c>
      <c r="J2393" s="152">
        <f t="shared" si="231"/>
        <v>0</v>
      </c>
      <c r="L2393" s="703">
        <v>2009</v>
      </c>
      <c r="M2393" s="152" t="str">
        <f>+IFERROR(VLOOKUP(L2393,DATA!$G$4:$H$2000,2,FALSE),"")</f>
        <v>ХААН БАНК</v>
      </c>
      <c r="O2393" s="152" t="str">
        <f>IFERROR(VLOOKUP(N2393,DATA!$K$4:$L$51,2,FALSE),"")</f>
        <v/>
      </c>
    </row>
    <row r="2394" spans="2:15">
      <c r="B2394" s="671">
        <f t="shared" si="229"/>
        <v>2389</v>
      </c>
      <c r="C2394" s="685">
        <v>43089</v>
      </c>
      <c r="D2394" s="614" t="s">
        <v>1785</v>
      </c>
      <c r="E2394" s="692">
        <v>100100</v>
      </c>
      <c r="F2394" s="686" t="str">
        <f>IFERROR(VLOOKUP(E2394,STAT1!$C$4:$D$8000,2,FALSE),"")</f>
        <v>Касс мөнгө MNT</v>
      </c>
      <c r="G2394" s="614"/>
      <c r="H2394" s="614">
        <v>1600000</v>
      </c>
      <c r="I2394" s="590">
        <f t="shared" si="230"/>
        <v>-1600000</v>
      </c>
      <c r="J2394" s="152">
        <f t="shared" si="231"/>
        <v>0</v>
      </c>
      <c r="L2394" s="703">
        <v>2009</v>
      </c>
      <c r="M2394" s="152" t="str">
        <f>+IFERROR(VLOOKUP(L2394,DATA!$G$4:$H$2000,2,FALSE),"")</f>
        <v>ХААН БАНК</v>
      </c>
      <c r="O2394" s="152" t="str">
        <f>IFERROR(VLOOKUP(N2394,DATA!$K$4:$L$51,2,FALSE),"")</f>
        <v/>
      </c>
    </row>
    <row r="2395" spans="2:15">
      <c r="B2395" s="671">
        <f t="shared" si="229"/>
        <v>2390</v>
      </c>
      <c r="C2395" s="685">
        <v>43089</v>
      </c>
      <c r="D2395" s="614" t="s">
        <v>1785</v>
      </c>
      <c r="E2395" s="692">
        <v>110100</v>
      </c>
      <c r="F2395" s="686" t="str">
        <f>IFERROR(VLOOKUP(E2395,STAT1!$C$4:$D$8000,2,FALSE),"")</f>
        <v>Хаан Банк 5024654020</v>
      </c>
      <c r="G2395" s="614">
        <v>1600000</v>
      </c>
      <c r="H2395" s="614"/>
      <c r="I2395" s="590">
        <f t="shared" si="230"/>
        <v>1600000</v>
      </c>
      <c r="J2395" s="152">
        <f t="shared" si="231"/>
        <v>0</v>
      </c>
      <c r="L2395" s="703">
        <v>2009</v>
      </c>
      <c r="M2395" s="152" t="str">
        <f>+IFERROR(VLOOKUP(L2395,DATA!$G$4:$H$2000,2,FALSE),"")</f>
        <v>ХААН БАНК</v>
      </c>
      <c r="O2395" s="152" t="str">
        <f>IFERROR(VLOOKUP(N2395,DATA!$K$4:$L$51,2,FALSE),"")</f>
        <v/>
      </c>
    </row>
    <row r="2396" spans="2:15">
      <c r="B2396" s="671">
        <f t="shared" si="229"/>
        <v>2391</v>
      </c>
      <c r="C2396" s="694">
        <v>43089</v>
      </c>
      <c r="D2396" s="614" t="s">
        <v>2700</v>
      </c>
      <c r="E2396" s="577">
        <v>150101</v>
      </c>
      <c r="F2396" s="686" t="str">
        <f>IFERROR(VLOOKUP(E2396,STAT1!$C$4:$D$8000,2,FALSE),"")</f>
        <v>Бараа бэлэн бүтээгдэхүүн БОЛОВСРУУЛАХ ЦЕХ /нарс/</v>
      </c>
      <c r="G2396" s="614"/>
      <c r="H2396" s="614">
        <v>4208356.9810238173</v>
      </c>
      <c r="I2396" s="590">
        <f t="shared" si="230"/>
        <v>0</v>
      </c>
      <c r="J2396" s="152">
        <f t="shared" si="231"/>
        <v>0</v>
      </c>
      <c r="L2396" s="703">
        <v>3002</v>
      </c>
      <c r="M2396" s="152" t="str">
        <f>+IFERROR(VLOOKUP(L2396,DATA!$G$4:$H$2000,2,FALSE),"")</f>
        <v>ЭКО КОНСТРАКШН ХХК</v>
      </c>
      <c r="O2396" s="152" t="str">
        <f>IFERROR(VLOOKUP(N2396,DATA!$K$4:$L$51,2,FALSE),"")</f>
        <v/>
      </c>
    </row>
    <row r="2397" spans="2:15">
      <c r="B2397" s="671">
        <f t="shared" si="229"/>
        <v>2392</v>
      </c>
      <c r="C2397" s="694">
        <v>43089</v>
      </c>
      <c r="D2397" s="614" t="s">
        <v>2700</v>
      </c>
      <c r="E2397" s="577">
        <v>150101</v>
      </c>
      <c r="F2397" s="686" t="str">
        <f>IFERROR(VLOOKUP(E2397,STAT1!$C$4:$D$8000,2,FALSE),"")</f>
        <v>Бараа бэлэн бүтээгдэхүүн БОЛОВСРУУЛАХ ЦЕХ /нарс/</v>
      </c>
      <c r="G2397" s="614"/>
      <c r="H2397" s="614">
        <v>1975658.7318954966</v>
      </c>
      <c r="I2397" s="590">
        <f t="shared" si="230"/>
        <v>0</v>
      </c>
      <c r="J2397" s="152">
        <f t="shared" si="231"/>
        <v>0</v>
      </c>
      <c r="L2397" s="703">
        <v>3002</v>
      </c>
      <c r="M2397" s="152" t="str">
        <f>+IFERROR(VLOOKUP(L2397,DATA!$G$4:$H$2000,2,FALSE),"")</f>
        <v>ЭКО КОНСТРАКШН ХХК</v>
      </c>
      <c r="O2397" s="152" t="str">
        <f>IFERROR(VLOOKUP(N2397,DATA!$K$4:$L$51,2,FALSE),"")</f>
        <v/>
      </c>
    </row>
    <row r="2398" spans="2:15">
      <c r="B2398" s="671">
        <f t="shared" si="229"/>
        <v>2393</v>
      </c>
      <c r="C2398" s="694">
        <v>43089</v>
      </c>
      <c r="D2398" s="614"/>
      <c r="E2398" s="577">
        <v>141201</v>
      </c>
      <c r="F2398" s="686" t="str">
        <f>IFERROR(VLOOKUP(E2398,STAT1!$C$4:$D$8000,2,FALSE),"")</f>
        <v>ШМЗардал БУСАД</v>
      </c>
      <c r="G2398" s="614">
        <v>6184015.7129193135</v>
      </c>
      <c r="H2398" s="614"/>
      <c r="I2398" s="590">
        <f t="shared" si="230"/>
        <v>0</v>
      </c>
      <c r="J2398" s="152">
        <f t="shared" si="231"/>
        <v>0</v>
      </c>
      <c r="L2398" s="703">
        <v>3002</v>
      </c>
      <c r="M2398" s="152" t="str">
        <f>+IFERROR(VLOOKUP(L2398,DATA!$G$4:$H$2000,2,FALSE),"")</f>
        <v>ЭКО КОНСТРАКШН ХХК</v>
      </c>
      <c r="O2398" s="152" t="str">
        <f>IFERROR(VLOOKUP(N2398,DATA!$K$4:$L$51,2,FALSE),"")</f>
        <v/>
      </c>
    </row>
    <row r="2399" spans="2:15">
      <c r="B2399" s="671">
        <f t="shared" si="229"/>
        <v>2394</v>
      </c>
      <c r="C2399" s="694">
        <v>43089</v>
      </c>
      <c r="D2399" s="614" t="s">
        <v>1640</v>
      </c>
      <c r="E2399" s="577">
        <v>160100</v>
      </c>
      <c r="F2399" s="686" t="str">
        <f>IFERROR(VLOOKUP(E2399,STAT1!$C$4:$D$8000,2,FALSE),"")</f>
        <v xml:space="preserve">Барилгын материал </v>
      </c>
      <c r="G2399" s="614"/>
      <c r="H2399" s="614">
        <v>682967.69946712675</v>
      </c>
      <c r="I2399" s="590">
        <f t="shared" si="230"/>
        <v>0</v>
      </c>
      <c r="J2399" s="152">
        <f t="shared" si="231"/>
        <v>0</v>
      </c>
      <c r="L2399" s="746">
        <v>3002</v>
      </c>
      <c r="M2399" s="152" t="str">
        <f>+IFERROR(VLOOKUP(L2399,DATA!$G$4:$H$2000,2,FALSE),"")</f>
        <v>ЭКО КОНСТРАКШН ХХК</v>
      </c>
      <c r="O2399" s="152" t="str">
        <f>IFERROR(VLOOKUP(N2399,DATA!$K$4:$L$51,2,FALSE),"")</f>
        <v/>
      </c>
    </row>
    <row r="2400" spans="2:15">
      <c r="B2400" s="671">
        <f t="shared" si="229"/>
        <v>2395</v>
      </c>
      <c r="C2400" s="694">
        <v>43089</v>
      </c>
      <c r="D2400" s="614" t="s">
        <v>1637</v>
      </c>
      <c r="E2400" s="577">
        <v>160100</v>
      </c>
      <c r="F2400" s="686" t="str">
        <f>IFERROR(VLOOKUP(E2400,STAT1!$C$4:$D$8000,2,FALSE),"")</f>
        <v xml:space="preserve">Барилгын материал </v>
      </c>
      <c r="G2400" s="614"/>
      <c r="H2400" s="614">
        <v>154347.92723004258</v>
      </c>
      <c r="I2400" s="590">
        <f t="shared" si="230"/>
        <v>0</v>
      </c>
      <c r="J2400" s="152">
        <f t="shared" si="231"/>
        <v>0</v>
      </c>
      <c r="L2400" s="746">
        <v>3002</v>
      </c>
      <c r="M2400" s="152" t="str">
        <f>+IFERROR(VLOOKUP(L2400,DATA!$G$4:$H$2000,2,FALSE),"")</f>
        <v>ЭКО КОНСТРАКШН ХХК</v>
      </c>
      <c r="O2400" s="152" t="str">
        <f>IFERROR(VLOOKUP(N2400,DATA!$K$4:$L$51,2,FALSE),"")</f>
        <v/>
      </c>
    </row>
    <row r="2401" spans="2:15">
      <c r="B2401" s="671">
        <f t="shared" si="229"/>
        <v>2396</v>
      </c>
      <c r="C2401" s="694">
        <v>43089</v>
      </c>
      <c r="D2401" s="614" t="s">
        <v>587</v>
      </c>
      <c r="E2401" s="577">
        <v>141401</v>
      </c>
      <c r="F2401" s="686" t="str">
        <f>IFERROR(VLOOKUP(E2401,STAT1!$C$4:$D$8000,2,FALSE),"")</f>
        <v xml:space="preserve">ҮНЗардал БУСАД </v>
      </c>
      <c r="G2401" s="614">
        <v>837315.62669716938</v>
      </c>
      <c r="H2401" s="614"/>
      <c r="I2401" s="590">
        <f t="shared" si="230"/>
        <v>0</v>
      </c>
      <c r="J2401" s="152">
        <f t="shared" si="231"/>
        <v>0</v>
      </c>
      <c r="L2401" s="746">
        <v>3002</v>
      </c>
      <c r="M2401" s="152" t="str">
        <f>+IFERROR(VLOOKUP(L2401,DATA!$G$4:$H$2000,2,FALSE),"")</f>
        <v>ЭКО КОНСТРАКШН ХХК</v>
      </c>
      <c r="O2401" s="152" t="str">
        <f>IFERROR(VLOOKUP(N2401,DATA!$K$4:$L$51,2,FALSE),"")</f>
        <v/>
      </c>
    </row>
    <row r="2402" spans="2:15">
      <c r="B2402" s="671">
        <f t="shared" si="229"/>
        <v>2397</v>
      </c>
      <c r="C2402" s="691">
        <v>43090</v>
      </c>
      <c r="D2402" s="693" t="s">
        <v>2592</v>
      </c>
      <c r="E2402" s="692">
        <v>100100</v>
      </c>
      <c r="F2402" s="686" t="str">
        <f>IFERROR(VLOOKUP(E2402,STAT1!$C$4:$D$8000,2,FALSE),"")</f>
        <v>Касс мөнгө MNT</v>
      </c>
      <c r="G2402" s="614"/>
      <c r="H2402" s="614">
        <v>384000</v>
      </c>
      <c r="I2402" s="590">
        <f t="shared" si="230"/>
        <v>-384000</v>
      </c>
      <c r="J2402" s="152">
        <f t="shared" si="231"/>
        <v>0</v>
      </c>
      <c r="L2402" s="703">
        <v>1007</v>
      </c>
      <c r="M2402" s="152" t="str">
        <f>+IFERROR(VLOOKUP(L2402,DATA!$G$4:$H$2000,2,FALSE),"")</f>
        <v xml:space="preserve">Нэргүй </v>
      </c>
      <c r="N2402" s="153">
        <v>53</v>
      </c>
      <c r="O2402" s="152" t="str">
        <f>IFERROR(VLOOKUP(N2402,DATA!$K$4:$L$51,2,FALSE),"")</f>
        <v>Бараа материал худалдан авахад төлсөн</v>
      </c>
    </row>
    <row r="2403" spans="2:15">
      <c r="B2403" s="671">
        <f t="shared" si="229"/>
        <v>2398</v>
      </c>
      <c r="C2403" s="691">
        <v>43090</v>
      </c>
      <c r="D2403" s="693" t="s">
        <v>2592</v>
      </c>
      <c r="E2403" s="692">
        <v>120600</v>
      </c>
      <c r="F2403" s="686" t="str">
        <f>IFERROR(VLOOKUP(E2403,STAT1!$C$4:$D$8000,2,FALSE),"")</f>
        <v>НӨАТ авлага</v>
      </c>
      <c r="G2403" s="614">
        <v>34909.089999999997</v>
      </c>
      <c r="H2403" s="614"/>
      <c r="I2403" s="590">
        <f t="shared" si="230"/>
        <v>0</v>
      </c>
      <c r="J2403" s="152">
        <f t="shared" si="231"/>
        <v>0</v>
      </c>
      <c r="L2403" s="703">
        <v>1007</v>
      </c>
      <c r="M2403" s="152" t="str">
        <f>+IFERROR(VLOOKUP(L2403,DATA!$G$4:$H$2000,2,FALSE),"")</f>
        <v xml:space="preserve">Нэргүй </v>
      </c>
      <c r="O2403" s="152" t="str">
        <f>IFERROR(VLOOKUP(N2403,DATA!$K$4:$L$51,2,FALSE),"")</f>
        <v/>
      </c>
    </row>
    <row r="2404" spans="2:15">
      <c r="B2404" s="671">
        <f t="shared" si="229"/>
        <v>2399</v>
      </c>
      <c r="C2404" s="685">
        <v>43090</v>
      </c>
      <c r="D2404" s="614" t="s">
        <v>2592</v>
      </c>
      <c r="E2404" s="692">
        <v>701400</v>
      </c>
      <c r="F2404" s="686" t="str">
        <f>IFERROR(VLOOKUP(E2404,STAT1!$C$4:$D$8000,2,FALSE),"")</f>
        <v>Засвар үйлчилгээний зардал</v>
      </c>
      <c r="G2404" s="614">
        <v>349090.91000000003</v>
      </c>
      <c r="H2404" s="614"/>
      <c r="I2404" s="590">
        <f t="shared" si="230"/>
        <v>0</v>
      </c>
      <c r="J2404" s="152">
        <f t="shared" si="231"/>
        <v>0</v>
      </c>
      <c r="L2404" s="703">
        <v>1007</v>
      </c>
      <c r="M2404" s="152" t="str">
        <f>+IFERROR(VLOOKUP(L2404,DATA!$G$4:$H$2000,2,FALSE),"")</f>
        <v xml:space="preserve">Нэргүй </v>
      </c>
      <c r="O2404" s="152" t="str">
        <f>IFERROR(VLOOKUP(N2404,DATA!$K$4:$L$51,2,FALSE),"")</f>
        <v/>
      </c>
    </row>
    <row r="2405" spans="2:15">
      <c r="B2405" s="671">
        <f t="shared" si="229"/>
        <v>2400</v>
      </c>
      <c r="C2405" s="685">
        <v>43091</v>
      </c>
      <c r="D2405" s="614" t="s">
        <v>1741</v>
      </c>
      <c r="E2405" s="692">
        <v>110100</v>
      </c>
      <c r="F2405" s="686" t="str">
        <f>IFERROR(VLOOKUP(E2405,STAT1!$C$4:$D$8000,2,FALSE),"")</f>
        <v>Хаан Банк 5024654020</v>
      </c>
      <c r="G2405" s="614">
        <v>5875588</v>
      </c>
      <c r="H2405" s="614"/>
      <c r="I2405" s="590">
        <f t="shared" si="230"/>
        <v>5875588</v>
      </c>
      <c r="J2405" s="152">
        <f t="shared" si="231"/>
        <v>0</v>
      </c>
      <c r="K2405" s="81"/>
      <c r="L2405" s="597">
        <v>3002</v>
      </c>
      <c r="M2405" s="152" t="str">
        <f>+IFERROR(VLOOKUP(L2405,DATA!$G$4:$H$2000,2,FALSE),"")</f>
        <v>ЭКО КОНСТРАКШН ХХК</v>
      </c>
      <c r="N2405" s="153">
        <v>41</v>
      </c>
      <c r="O2405" s="152" t="str">
        <f>IFERROR(VLOOKUP(N2405,DATA!$K$4:$L$51,2,FALSE),"")</f>
        <v>Бараа борлуулсан, үйлчилгээ үзүүлсэний орлого</v>
      </c>
    </row>
    <row r="2406" spans="2:15">
      <c r="B2406" s="671">
        <f t="shared" si="229"/>
        <v>2401</v>
      </c>
      <c r="C2406" s="685">
        <v>43091</v>
      </c>
      <c r="D2406" s="614" t="s">
        <v>1741</v>
      </c>
      <c r="E2406" s="692">
        <v>320100</v>
      </c>
      <c r="F2406" s="686" t="str">
        <f>IFERROR(VLOOKUP(E2406,STAT1!$C$4:$D$8000,2,FALSE),"")</f>
        <v>Урьдчилж орсон орлого MNT</v>
      </c>
      <c r="G2406" s="614"/>
      <c r="H2406" s="614">
        <v>5875588</v>
      </c>
      <c r="I2406" s="590">
        <f t="shared" si="230"/>
        <v>0</v>
      </c>
      <c r="J2406" s="152">
        <f t="shared" si="231"/>
        <v>0</v>
      </c>
      <c r="K2406" s="81"/>
      <c r="L2406" s="597">
        <v>3002</v>
      </c>
      <c r="M2406" s="152" t="str">
        <f>+IFERROR(VLOOKUP(L2406,DATA!$G$4:$H$2000,2,FALSE),"")</f>
        <v>ЭКО КОНСТРАКШН ХХК</v>
      </c>
      <c r="O2406" s="152" t="str">
        <f>IFERROR(VLOOKUP(N2406,DATA!$K$4:$L$51,2,FALSE),"")</f>
        <v/>
      </c>
    </row>
    <row r="2407" spans="2:15">
      <c r="B2407" s="671">
        <f t="shared" si="229"/>
        <v>2402</v>
      </c>
      <c r="C2407" s="685">
        <v>43092</v>
      </c>
      <c r="D2407" s="614" t="s">
        <v>1714</v>
      </c>
      <c r="E2407" s="692">
        <v>110100</v>
      </c>
      <c r="F2407" s="686" t="str">
        <f>IFERROR(VLOOKUP(E2407,STAT1!$C$4:$D$8000,2,FALSE),"")</f>
        <v>Хаан Банк 5024654020</v>
      </c>
      <c r="G2407" s="614"/>
      <c r="H2407" s="614">
        <v>3930871</v>
      </c>
      <c r="I2407" s="590">
        <f t="shared" si="230"/>
        <v>-3930871</v>
      </c>
      <c r="J2407" s="152">
        <f t="shared" si="231"/>
        <v>0</v>
      </c>
      <c r="K2407" s="81"/>
      <c r="L2407" s="597">
        <v>2003</v>
      </c>
      <c r="M2407" s="152" t="str">
        <f>+IFERROR(VLOOKUP(L2407,DATA!$G$4:$H$2000,2,FALSE),"")</f>
        <v xml:space="preserve">УБЦТС ТӨХК </v>
      </c>
      <c r="N2407" s="153">
        <v>54</v>
      </c>
      <c r="O2407" s="152" t="str">
        <f>IFERROR(VLOOKUP(N2407,DATA!$K$4:$L$51,2,FALSE),"")</f>
        <v>Ашиглалтын зардалд төлсөн</v>
      </c>
    </row>
    <row r="2408" spans="2:15">
      <c r="B2408" s="671">
        <f t="shared" si="229"/>
        <v>2403</v>
      </c>
      <c r="C2408" s="685">
        <v>43092</v>
      </c>
      <c r="D2408" s="614" t="s">
        <v>1714</v>
      </c>
      <c r="E2408" s="692">
        <v>120600</v>
      </c>
      <c r="F2408" s="686" t="str">
        <f>IFERROR(VLOOKUP(E2408,STAT1!$C$4:$D$8000,2,FALSE),"")</f>
        <v>НӨАТ авлага</v>
      </c>
      <c r="G2408" s="614">
        <v>357351.90909090912</v>
      </c>
      <c r="H2408" s="614"/>
      <c r="I2408" s="590">
        <f t="shared" si="230"/>
        <v>0</v>
      </c>
      <c r="J2408" s="152">
        <f t="shared" si="231"/>
        <v>0</v>
      </c>
      <c r="K2408" s="81"/>
      <c r="L2408" s="597">
        <v>2003</v>
      </c>
      <c r="M2408" s="152" t="str">
        <f>+IFERROR(VLOOKUP(L2408,DATA!$G$4:$H$2000,2,FALSE),"")</f>
        <v xml:space="preserve">УБЦТС ТӨХК </v>
      </c>
      <c r="O2408" s="152" t="str">
        <f>IFERROR(VLOOKUP(N2408,DATA!$K$4:$L$51,2,FALSE),"")</f>
        <v/>
      </c>
    </row>
    <row r="2409" spans="2:15">
      <c r="B2409" s="671">
        <f t="shared" si="229"/>
        <v>2404</v>
      </c>
      <c r="C2409" s="685">
        <v>43092</v>
      </c>
      <c r="D2409" s="614" t="s">
        <v>1714</v>
      </c>
      <c r="E2409" s="692">
        <v>700700</v>
      </c>
      <c r="F2409" s="686" t="str">
        <f>IFERROR(VLOOKUP(E2409,STAT1!$C$4:$D$8000,2,FALSE),"")</f>
        <v>Цахилгаан эрчим хүч</v>
      </c>
      <c r="G2409" s="614">
        <v>3573519.09</v>
      </c>
      <c r="H2409" s="614"/>
      <c r="I2409" s="590">
        <f t="shared" si="230"/>
        <v>0</v>
      </c>
      <c r="J2409" s="152">
        <f t="shared" si="231"/>
        <v>0</v>
      </c>
      <c r="K2409" s="81"/>
      <c r="L2409" s="597">
        <v>2003</v>
      </c>
      <c r="M2409" s="152" t="str">
        <f>+IFERROR(VLOOKUP(L2409,DATA!$G$4:$H$2000,2,FALSE),"")</f>
        <v xml:space="preserve">УБЦТС ТӨХК </v>
      </c>
      <c r="O2409" s="152" t="str">
        <f>IFERROR(VLOOKUP(N2409,DATA!$K$4:$L$51,2,FALSE),"")</f>
        <v/>
      </c>
    </row>
    <row r="2410" spans="2:15">
      <c r="B2410" s="671">
        <f t="shared" si="229"/>
        <v>2405</v>
      </c>
      <c r="C2410" s="685">
        <v>43092</v>
      </c>
      <c r="D2410" s="614" t="s">
        <v>1741</v>
      </c>
      <c r="E2410" s="692">
        <v>100100</v>
      </c>
      <c r="F2410" s="686" t="str">
        <f>IFERROR(VLOOKUP(E2410,STAT1!$C$4:$D$8000,2,FALSE),"")</f>
        <v>Касс мөнгө MNT</v>
      </c>
      <c r="G2410" s="614">
        <v>120120</v>
      </c>
      <c r="H2410" s="614"/>
      <c r="I2410" s="590">
        <f t="shared" si="230"/>
        <v>120120</v>
      </c>
      <c r="J2410" s="152">
        <f t="shared" si="231"/>
        <v>0</v>
      </c>
      <c r="K2410" s="81"/>
      <c r="L2410" s="597">
        <v>3110</v>
      </c>
      <c r="M2410" s="152" t="str">
        <f>+IFERROR(VLOOKUP(L2410,DATA!$G$4:$H$2000,2,FALSE),"")</f>
        <v xml:space="preserve">СҮЙХЭНТ ХХК </v>
      </c>
      <c r="N2410" s="153">
        <v>41</v>
      </c>
      <c r="O2410" s="152" t="str">
        <f>IFERROR(VLOOKUP(N2410,DATA!$K$4:$L$51,2,FALSE),"")</f>
        <v>Бараа борлуулсан, үйлчилгээ үзүүлсэний орлого</v>
      </c>
    </row>
    <row r="2411" spans="2:15">
      <c r="B2411" s="671">
        <f t="shared" si="229"/>
        <v>2406</v>
      </c>
      <c r="C2411" s="685">
        <v>43092</v>
      </c>
      <c r="D2411" s="614" t="s">
        <v>1741</v>
      </c>
      <c r="E2411" s="692">
        <v>320100</v>
      </c>
      <c r="F2411" s="686" t="str">
        <f>IFERROR(VLOOKUP(E2411,STAT1!$C$4:$D$8000,2,FALSE),"")</f>
        <v>Урьдчилж орсон орлого MNT</v>
      </c>
      <c r="G2411" s="614"/>
      <c r="H2411" s="614">
        <v>120120</v>
      </c>
      <c r="I2411" s="590">
        <f t="shared" si="230"/>
        <v>0</v>
      </c>
      <c r="J2411" s="152">
        <f t="shared" si="231"/>
        <v>0</v>
      </c>
      <c r="K2411" s="81"/>
      <c r="L2411" s="597">
        <v>3110</v>
      </c>
      <c r="M2411" s="152" t="str">
        <f>+IFERROR(VLOOKUP(L2411,DATA!$G$4:$H$2000,2,FALSE),"")</f>
        <v xml:space="preserve">СҮЙХЭНТ ХХК </v>
      </c>
      <c r="O2411" s="152" t="str">
        <f>IFERROR(VLOOKUP(N2411,DATA!$K$4:$L$51,2,FALSE),"")</f>
        <v/>
      </c>
    </row>
    <row r="2412" spans="2:15">
      <c r="B2412" s="671">
        <f t="shared" si="229"/>
        <v>2407</v>
      </c>
      <c r="C2412" s="685">
        <v>43092</v>
      </c>
      <c r="D2412" s="614" t="s">
        <v>2587</v>
      </c>
      <c r="E2412" s="692">
        <v>510100</v>
      </c>
      <c r="F2412" s="686" t="str">
        <f>IFERROR(VLOOKUP(E2412,STAT1!$C$4:$D$8000,2,FALSE),"")</f>
        <v>Үзүүлсэн ажил үйлчилгээний орлого</v>
      </c>
      <c r="G2412" s="614"/>
      <c r="H2412" s="614">
        <v>8068716.3636363633</v>
      </c>
      <c r="I2412" s="590">
        <f t="shared" si="230"/>
        <v>0</v>
      </c>
      <c r="J2412" s="152">
        <f t="shared" si="231"/>
        <v>0</v>
      </c>
      <c r="K2412" s="81"/>
      <c r="L2412" s="597">
        <v>3002</v>
      </c>
      <c r="M2412" s="152" t="str">
        <f>+IFERROR(VLOOKUP(L2412,DATA!$G$4:$H$2000,2,FALSE),"")</f>
        <v>ЭКО КОНСТРАКШН ХХК</v>
      </c>
      <c r="O2412" s="152" t="str">
        <f>IFERROR(VLOOKUP(N2412,DATA!$K$4:$L$51,2,FALSE),"")</f>
        <v/>
      </c>
    </row>
    <row r="2413" spans="2:15">
      <c r="B2413" s="671">
        <f t="shared" ref="B2413:B2476" si="232">+IF(C2413="","",ROW()-5)</f>
        <v>2408</v>
      </c>
      <c r="C2413" s="685">
        <v>43092</v>
      </c>
      <c r="D2413" s="614" t="s">
        <v>2587</v>
      </c>
      <c r="E2413" s="692">
        <v>310500</v>
      </c>
      <c r="F2413" s="686" t="str">
        <f>IFERROR(VLOOKUP(E2413,STAT1!$C$4:$D$8000,2,FALSE),"")</f>
        <v>НӨАТ өглөг</v>
      </c>
      <c r="G2413" s="614"/>
      <c r="H2413" s="614">
        <v>806871.63636363635</v>
      </c>
      <c r="I2413" s="590">
        <f t="shared" si="230"/>
        <v>0</v>
      </c>
      <c r="J2413" s="152">
        <f t="shared" si="231"/>
        <v>0</v>
      </c>
      <c r="K2413" s="81"/>
      <c r="L2413" s="597">
        <v>3002</v>
      </c>
      <c r="M2413" s="152" t="str">
        <f>+IFERROR(VLOOKUP(L2413,DATA!$G$4:$H$2000,2,FALSE),"")</f>
        <v>ЭКО КОНСТРАКШН ХХК</v>
      </c>
      <c r="O2413" s="152" t="str">
        <f>IFERROR(VLOOKUP(N2413,DATA!$K$4:$L$51,2,FALSE),"")</f>
        <v/>
      </c>
    </row>
    <row r="2414" spans="2:15">
      <c r="B2414" s="671">
        <f t="shared" si="232"/>
        <v>2409</v>
      </c>
      <c r="C2414" s="685">
        <v>43092</v>
      </c>
      <c r="D2414" s="614" t="s">
        <v>2587</v>
      </c>
      <c r="E2414" s="692">
        <v>320100</v>
      </c>
      <c r="F2414" s="686" t="str">
        <f>IFERROR(VLOOKUP(E2414,STAT1!$C$4:$D$8000,2,FALSE),"")</f>
        <v>Урьдчилж орсон орлого MNT</v>
      </c>
      <c r="G2414" s="614">
        <v>8875588</v>
      </c>
      <c r="H2414" s="614"/>
      <c r="I2414" s="590">
        <f t="shared" si="230"/>
        <v>0</v>
      </c>
      <c r="J2414" s="152">
        <f t="shared" si="231"/>
        <v>0</v>
      </c>
      <c r="K2414" s="81"/>
      <c r="L2414" s="597">
        <v>3002</v>
      </c>
      <c r="M2414" s="152" t="str">
        <f>+IFERROR(VLOOKUP(L2414,DATA!$G$4:$H$2000,2,FALSE),"")</f>
        <v>ЭКО КОНСТРАКШН ХХК</v>
      </c>
      <c r="O2414" s="152" t="str">
        <f>IFERROR(VLOOKUP(N2414,DATA!$K$4:$L$51,2,FALSE),"")</f>
        <v/>
      </c>
    </row>
    <row r="2415" spans="2:15">
      <c r="B2415" s="671">
        <f t="shared" si="232"/>
        <v>2410</v>
      </c>
      <c r="C2415" s="691">
        <v>43092</v>
      </c>
      <c r="D2415" s="693" t="s">
        <v>2133</v>
      </c>
      <c r="E2415" s="692">
        <v>100100</v>
      </c>
      <c r="F2415" s="686" t="str">
        <f>IFERROR(VLOOKUP(E2415,STAT1!$C$4:$D$8000,2,FALSE),"")</f>
        <v>Касс мөнгө MNT</v>
      </c>
      <c r="G2415" s="614"/>
      <c r="H2415" s="614">
        <v>102424</v>
      </c>
      <c r="I2415" s="590">
        <f t="shared" si="230"/>
        <v>-102424</v>
      </c>
      <c r="J2415" s="152">
        <f t="shared" si="231"/>
        <v>0</v>
      </c>
      <c r="K2415" s="81"/>
      <c r="L2415" s="597">
        <v>1005</v>
      </c>
      <c r="M2415" s="152" t="str">
        <f>+IFERROR(VLOOKUP(L2415,DATA!$G$4:$H$2000,2,FALSE),"")</f>
        <v>Золжаргал</v>
      </c>
      <c r="N2415" s="153">
        <v>59</v>
      </c>
      <c r="O2415" s="152" t="str">
        <f>IFERROR(VLOOKUP(N2415,DATA!$K$4:$L$51,2,FALSE),"")</f>
        <v>Бусад мөнгөн зарлага</v>
      </c>
    </row>
    <row r="2416" spans="2:15">
      <c r="B2416" s="671">
        <f t="shared" si="232"/>
        <v>2411</v>
      </c>
      <c r="C2416" s="691">
        <v>43092</v>
      </c>
      <c r="D2416" s="693" t="s">
        <v>2133</v>
      </c>
      <c r="E2416" s="692">
        <v>120600</v>
      </c>
      <c r="F2416" s="686" t="str">
        <f>IFERROR(VLOOKUP(E2416,STAT1!$C$4:$D$8000,2,FALSE),"")</f>
        <v>НӨАТ авлага</v>
      </c>
      <c r="G2416" s="614">
        <v>8539.4500000000007</v>
      </c>
      <c r="H2416" s="614"/>
      <c r="I2416" s="590">
        <f t="shared" si="230"/>
        <v>0</v>
      </c>
      <c r="J2416" s="152">
        <f t="shared" si="231"/>
        <v>0</v>
      </c>
      <c r="K2416" s="81"/>
      <c r="L2416" s="597">
        <v>1005</v>
      </c>
      <c r="M2416" s="152" t="str">
        <f>+IFERROR(VLOOKUP(L2416,DATA!$G$4:$H$2000,2,FALSE),"")</f>
        <v>Золжаргал</v>
      </c>
      <c r="O2416" s="152" t="str">
        <f>IFERROR(VLOOKUP(N2416,DATA!$K$4:$L$51,2,FALSE),"")</f>
        <v/>
      </c>
    </row>
    <row r="2417" spans="2:15">
      <c r="B2417" s="671">
        <f t="shared" si="232"/>
        <v>2412</v>
      </c>
      <c r="C2417" s="691">
        <v>43092</v>
      </c>
      <c r="D2417" s="693" t="s">
        <v>2133</v>
      </c>
      <c r="E2417" s="692">
        <v>704700</v>
      </c>
      <c r="F2417" s="686" t="str">
        <f>IFERROR(VLOOKUP(E2417,STAT1!$C$4:$D$8000,2,FALSE),"")</f>
        <v>Цэвэрлэгээ</v>
      </c>
      <c r="G2417" s="614">
        <v>93884.55</v>
      </c>
      <c r="H2417" s="614"/>
      <c r="I2417" s="590">
        <f t="shared" si="230"/>
        <v>0</v>
      </c>
      <c r="J2417" s="152">
        <f t="shared" si="231"/>
        <v>0</v>
      </c>
      <c r="K2417" s="81"/>
      <c r="L2417" s="597">
        <v>1005</v>
      </c>
      <c r="M2417" s="152" t="str">
        <f>+IFERROR(VLOOKUP(L2417,DATA!$G$4:$H$2000,2,FALSE),"")</f>
        <v>Золжаргал</v>
      </c>
      <c r="O2417" s="152" t="str">
        <f>IFERROR(VLOOKUP(N2417,DATA!$K$4:$L$51,2,FALSE),"")</f>
        <v/>
      </c>
    </row>
    <row r="2418" spans="2:15">
      <c r="B2418" s="671">
        <f t="shared" si="232"/>
        <v>2413</v>
      </c>
      <c r="C2418" s="694">
        <v>43092</v>
      </c>
      <c r="D2418" s="614" t="s">
        <v>2698</v>
      </c>
      <c r="E2418" s="692">
        <v>150101</v>
      </c>
      <c r="F2418" s="686" t="str">
        <f>IFERROR(VLOOKUP(E2418,STAT1!$C$4:$D$8000,2,FALSE),"")</f>
        <v>Бараа бэлэн бүтээгдэхүүн БОЛОВСРУУЛАХ ЦЕХ /нарс/</v>
      </c>
      <c r="G2418" s="614"/>
      <c r="H2418" s="614">
        <v>71105.664649838567</v>
      </c>
      <c r="I2418" s="590">
        <f t="shared" si="230"/>
        <v>0</v>
      </c>
      <c r="J2418" s="152">
        <f t="shared" si="231"/>
        <v>0</v>
      </c>
      <c r="K2418" s="81"/>
      <c r="L2418" s="597">
        <v>3110</v>
      </c>
      <c r="M2418" s="152" t="str">
        <f>+IFERROR(VLOOKUP(L2418,DATA!$G$4:$H$2000,2,FALSE),"")</f>
        <v xml:space="preserve">СҮЙХЭНТ ХХК </v>
      </c>
      <c r="O2418" s="152" t="str">
        <f>IFERROR(VLOOKUP(N2418,DATA!$K$4:$L$51,2,FALSE),"")</f>
        <v/>
      </c>
    </row>
    <row r="2419" spans="2:15">
      <c r="B2419" s="671">
        <f t="shared" si="232"/>
        <v>2414</v>
      </c>
      <c r="C2419" s="694">
        <v>43092</v>
      </c>
      <c r="D2419" s="614" t="s">
        <v>2698</v>
      </c>
      <c r="E2419" s="692">
        <v>610100</v>
      </c>
      <c r="F2419" s="686" t="str">
        <f>IFERROR(VLOOKUP(E2419,STAT1!$C$4:$D$8000,2,FALSE),"")</f>
        <v>Борлуулсан барааны өртөг</v>
      </c>
      <c r="G2419" s="614">
        <v>71105.664649838567</v>
      </c>
      <c r="H2419" s="614"/>
      <c r="I2419" s="590">
        <f t="shared" si="230"/>
        <v>0</v>
      </c>
      <c r="J2419" s="152">
        <f t="shared" si="231"/>
        <v>0</v>
      </c>
      <c r="K2419" s="81"/>
      <c r="L2419" s="597">
        <v>3110</v>
      </c>
      <c r="M2419" s="152" t="str">
        <f>+IFERROR(VLOOKUP(L2419,DATA!$G$4:$H$2000,2,FALSE),"")</f>
        <v xml:space="preserve">СҮЙХЭНТ ХХК </v>
      </c>
      <c r="O2419" s="152" t="str">
        <f>IFERROR(VLOOKUP(N2419,DATA!$K$4:$L$51,2,FALSE),"")</f>
        <v/>
      </c>
    </row>
    <row r="2420" spans="2:15">
      <c r="B2420" s="671">
        <f t="shared" si="232"/>
        <v>2415</v>
      </c>
      <c r="C2420" s="694">
        <v>43092</v>
      </c>
      <c r="D2420" s="614" t="s">
        <v>587</v>
      </c>
      <c r="E2420" s="692">
        <v>310500</v>
      </c>
      <c r="F2420" s="686" t="str">
        <f>IFERROR(VLOOKUP(E2420,STAT1!$C$4:$D$8000,2,FALSE),"")</f>
        <v>НӨАТ өглөг</v>
      </c>
      <c r="G2420" s="614"/>
      <c r="H2420" s="614">
        <v>10920</v>
      </c>
      <c r="I2420" s="590">
        <f t="shared" si="230"/>
        <v>0</v>
      </c>
      <c r="J2420" s="152">
        <f t="shared" si="231"/>
        <v>0</v>
      </c>
      <c r="K2420" s="81"/>
      <c r="L2420" s="597">
        <v>3110</v>
      </c>
      <c r="M2420" s="152" t="str">
        <f>+IFERROR(VLOOKUP(L2420,DATA!$G$4:$H$2000,2,FALSE),"")</f>
        <v xml:space="preserve">СҮЙХЭНТ ХХК </v>
      </c>
      <c r="O2420" s="152" t="str">
        <f>IFERROR(VLOOKUP(N2420,DATA!$K$4:$L$51,2,FALSE),"")</f>
        <v/>
      </c>
    </row>
    <row r="2421" spans="2:15">
      <c r="B2421" s="671">
        <f t="shared" si="232"/>
        <v>2416</v>
      </c>
      <c r="C2421" s="694">
        <v>43092</v>
      </c>
      <c r="D2421" s="614" t="s">
        <v>587</v>
      </c>
      <c r="E2421" s="692">
        <v>510000</v>
      </c>
      <c r="F2421" s="686" t="str">
        <f>IFERROR(VLOOKUP(E2421,STAT1!$C$4:$D$8000,2,FALSE),"")</f>
        <v>Үндсэн үйл ажиллагааны борлуулалт</v>
      </c>
      <c r="G2421" s="614"/>
      <c r="H2421" s="614">
        <v>109200</v>
      </c>
      <c r="I2421" s="590">
        <f t="shared" si="230"/>
        <v>0</v>
      </c>
      <c r="J2421" s="152">
        <f t="shared" si="231"/>
        <v>0</v>
      </c>
      <c r="K2421" s="81"/>
      <c r="L2421" s="597">
        <v>3110</v>
      </c>
      <c r="M2421" s="152" t="str">
        <f>+IFERROR(VLOOKUP(L2421,DATA!$G$4:$H$2000,2,FALSE),"")</f>
        <v xml:space="preserve">СҮЙХЭНТ ХХК </v>
      </c>
      <c r="O2421" s="152" t="str">
        <f>IFERROR(VLOOKUP(N2421,DATA!$K$4:$L$51,2,FALSE),"")</f>
        <v/>
      </c>
    </row>
    <row r="2422" spans="2:15">
      <c r="B2422" s="671">
        <f t="shared" si="232"/>
        <v>2417</v>
      </c>
      <c r="C2422" s="694">
        <v>43092</v>
      </c>
      <c r="D2422" s="614" t="s">
        <v>587</v>
      </c>
      <c r="E2422" s="577">
        <v>320100</v>
      </c>
      <c r="F2422" s="686" t="str">
        <f>IFERROR(VLOOKUP(E2422,STAT1!$C$4:$D$8000,2,FALSE),"")</f>
        <v>Урьдчилж орсон орлого MNT</v>
      </c>
      <c r="G2422" s="614">
        <v>120120</v>
      </c>
      <c r="H2422" s="614"/>
      <c r="I2422" s="590">
        <f t="shared" si="230"/>
        <v>0</v>
      </c>
      <c r="J2422" s="152">
        <f t="shared" si="231"/>
        <v>0</v>
      </c>
      <c r="K2422" s="81"/>
      <c r="L2422" s="597">
        <v>3110</v>
      </c>
      <c r="M2422" s="152" t="str">
        <f>+IFERROR(VLOOKUP(L2422,DATA!$G$4:$H$2000,2,FALSE),"")</f>
        <v xml:space="preserve">СҮЙХЭНТ ХХК </v>
      </c>
      <c r="O2422" s="152" t="str">
        <f>IFERROR(VLOOKUP(N2422,DATA!$K$4:$L$51,2,FALSE),"")</f>
        <v/>
      </c>
    </row>
    <row r="2423" spans="2:15">
      <c r="B2423" s="671">
        <f t="shared" si="232"/>
        <v>2418</v>
      </c>
      <c r="C2423" s="694">
        <v>43094</v>
      </c>
      <c r="D2423" s="614" t="s">
        <v>2660</v>
      </c>
      <c r="E2423" s="577">
        <v>150101</v>
      </c>
      <c r="F2423" s="686" t="str">
        <f>IFERROR(VLOOKUP(E2423,STAT1!$C$4:$D$8000,2,FALSE),"")</f>
        <v>Бараа бэлэн бүтээгдэхүүн БОЛОВСРУУЛАХ ЦЕХ /нарс/</v>
      </c>
      <c r="G2423" s="614"/>
      <c r="H2423" s="614">
        <v>410613.40007672843</v>
      </c>
      <c r="I2423" s="590">
        <f t="shared" si="230"/>
        <v>0</v>
      </c>
      <c r="J2423" s="152">
        <f t="shared" si="231"/>
        <v>0</v>
      </c>
      <c r="K2423" s="81"/>
      <c r="L2423" s="597">
        <v>3109</v>
      </c>
      <c r="M2423" s="152" t="str">
        <f>+IFERROR(VLOOKUP(L2423,DATA!$G$4:$H$2000,2,FALSE),"")</f>
        <v xml:space="preserve">СИЛК РӨҮТ ТЕКСТИЛЬ ХХК </v>
      </c>
      <c r="O2423" s="152" t="str">
        <f>IFERROR(VLOOKUP(N2423,DATA!$K$4:$L$51,2,FALSE),"")</f>
        <v/>
      </c>
    </row>
    <row r="2424" spans="2:15">
      <c r="B2424" s="671">
        <f t="shared" si="232"/>
        <v>2419</v>
      </c>
      <c r="C2424" s="694">
        <v>43094</v>
      </c>
      <c r="D2424" s="614" t="s">
        <v>587</v>
      </c>
      <c r="E2424" s="577">
        <v>610100</v>
      </c>
      <c r="F2424" s="686" t="str">
        <f>IFERROR(VLOOKUP(E2424,STAT1!$C$4:$D$8000,2,FALSE),"")</f>
        <v>Борлуулсан барааны өртөг</v>
      </c>
      <c r="G2424" s="614">
        <v>410613.40007672843</v>
      </c>
      <c r="H2424" s="614"/>
      <c r="I2424" s="590">
        <f t="shared" si="230"/>
        <v>0</v>
      </c>
      <c r="J2424" s="152">
        <f t="shared" si="231"/>
        <v>0</v>
      </c>
      <c r="K2424" s="81"/>
      <c r="L2424" s="597">
        <v>3109</v>
      </c>
      <c r="M2424" s="152" t="str">
        <f>+IFERROR(VLOOKUP(L2424,DATA!$G$4:$H$2000,2,FALSE),"")</f>
        <v xml:space="preserve">СИЛК РӨҮТ ТЕКСТИЛЬ ХХК </v>
      </c>
      <c r="O2424" s="152" t="str">
        <f>IFERROR(VLOOKUP(N2424,DATA!$K$4:$L$51,2,FALSE),"")</f>
        <v/>
      </c>
    </row>
    <row r="2425" spans="2:15">
      <c r="B2425" s="671">
        <f t="shared" si="232"/>
        <v>2420</v>
      </c>
      <c r="C2425" s="694">
        <v>43094</v>
      </c>
      <c r="D2425" s="614" t="s">
        <v>587</v>
      </c>
      <c r="E2425" s="577">
        <v>310500</v>
      </c>
      <c r="F2425" s="686" t="str">
        <f>IFERROR(VLOOKUP(E2425,STAT1!$C$4:$D$8000,2,FALSE),"")</f>
        <v>НӨАТ өглөг</v>
      </c>
      <c r="G2425" s="614"/>
      <c r="H2425" s="614">
        <v>74473.27</v>
      </c>
      <c r="I2425" s="590">
        <f t="shared" si="230"/>
        <v>0</v>
      </c>
      <c r="J2425" s="152">
        <f t="shared" si="231"/>
        <v>0</v>
      </c>
      <c r="K2425" s="81"/>
      <c r="L2425" s="597">
        <v>3109</v>
      </c>
      <c r="M2425" s="152" t="str">
        <f>+IFERROR(VLOOKUP(L2425,DATA!$G$4:$H$2000,2,FALSE),"")</f>
        <v xml:space="preserve">СИЛК РӨҮТ ТЕКСТИЛЬ ХХК </v>
      </c>
      <c r="O2425" s="152" t="str">
        <f>IFERROR(VLOOKUP(N2425,DATA!$K$4:$L$51,2,FALSE),"")</f>
        <v/>
      </c>
    </row>
    <row r="2426" spans="2:15">
      <c r="B2426" s="671">
        <f t="shared" si="232"/>
        <v>2421</v>
      </c>
      <c r="C2426" s="694">
        <v>43094</v>
      </c>
      <c r="D2426" s="614" t="s">
        <v>587</v>
      </c>
      <c r="E2426" s="577">
        <v>510000</v>
      </c>
      <c r="F2426" s="686" t="str">
        <f>IFERROR(VLOOKUP(E2426,STAT1!$C$4:$D$8000,2,FALSE),"")</f>
        <v>Үндсэн үйл ажиллагааны борлуулалт</v>
      </c>
      <c r="G2426" s="614"/>
      <c r="H2426" s="614">
        <v>744732.73</v>
      </c>
      <c r="I2426" s="590">
        <f t="shared" si="230"/>
        <v>0</v>
      </c>
      <c r="J2426" s="152">
        <f t="shared" si="231"/>
        <v>0</v>
      </c>
      <c r="K2426" s="81"/>
      <c r="L2426" s="597">
        <v>3109</v>
      </c>
      <c r="M2426" s="152" t="str">
        <f>+IFERROR(VLOOKUP(L2426,DATA!$G$4:$H$2000,2,FALSE),"")</f>
        <v xml:space="preserve">СИЛК РӨҮТ ТЕКСТИЛЬ ХХК </v>
      </c>
      <c r="O2426" s="152" t="str">
        <f>IFERROR(VLOOKUP(N2426,DATA!$K$4:$L$51,2,FALSE),"")</f>
        <v/>
      </c>
    </row>
    <row r="2427" spans="2:15">
      <c r="B2427" s="671">
        <f t="shared" si="232"/>
        <v>2422</v>
      </c>
      <c r="C2427" s="694">
        <v>43094</v>
      </c>
      <c r="D2427" s="614" t="s">
        <v>587</v>
      </c>
      <c r="E2427" s="577">
        <v>320100</v>
      </c>
      <c r="F2427" s="686" t="str">
        <f>IFERROR(VLOOKUP(E2427,STAT1!$C$4:$D$8000,2,FALSE),"")</f>
        <v>Урьдчилж орсон орлого MNT</v>
      </c>
      <c r="G2427" s="614">
        <v>819206</v>
      </c>
      <c r="H2427" s="614"/>
      <c r="I2427" s="590">
        <f t="shared" si="230"/>
        <v>0</v>
      </c>
      <c r="J2427" s="152">
        <f t="shared" si="231"/>
        <v>0</v>
      </c>
      <c r="K2427" s="81"/>
      <c r="L2427" s="597">
        <v>3109</v>
      </c>
      <c r="M2427" s="152" t="str">
        <f>+IFERROR(VLOOKUP(L2427,DATA!$G$4:$H$2000,2,FALSE),"")</f>
        <v xml:space="preserve">СИЛК РӨҮТ ТЕКСТИЛЬ ХХК </v>
      </c>
      <c r="O2427" s="152" t="str">
        <f>IFERROR(VLOOKUP(N2427,DATA!$K$4:$L$51,2,FALSE),"")</f>
        <v/>
      </c>
    </row>
    <row r="2428" spans="2:15">
      <c r="B2428" s="671">
        <f t="shared" si="232"/>
        <v>2423</v>
      </c>
      <c r="C2428" s="694">
        <v>43094</v>
      </c>
      <c r="D2428" s="614" t="s">
        <v>2141</v>
      </c>
      <c r="E2428" s="577">
        <v>150101</v>
      </c>
      <c r="F2428" s="686" t="str">
        <f>IFERROR(VLOOKUP(E2428,STAT1!$C$4:$D$8000,2,FALSE),"")</f>
        <v>Бараа бэлэн бүтээгдэхүүн БОЛОВСРУУЛАХ ЦЕХ /нарс/</v>
      </c>
      <c r="G2428" s="614"/>
      <c r="H2428" s="614">
        <v>323752.59739265632</v>
      </c>
      <c r="I2428" s="590">
        <f t="shared" si="230"/>
        <v>0</v>
      </c>
      <c r="J2428" s="152">
        <f t="shared" si="231"/>
        <v>0</v>
      </c>
      <c r="K2428" s="81"/>
      <c r="L2428" s="597">
        <v>3067</v>
      </c>
      <c r="M2428" s="152" t="str">
        <f>+IFERROR(VLOOKUP(L2428,DATA!$G$4:$H$2000,2,FALSE),"")</f>
        <v>ЦЭЦЭН УРЧУУД ХХК</v>
      </c>
      <c r="O2428" s="152" t="str">
        <f>IFERROR(VLOOKUP(N2428,DATA!$K$4:$L$51,2,FALSE),"")</f>
        <v/>
      </c>
    </row>
    <row r="2429" spans="2:15">
      <c r="B2429" s="671">
        <f t="shared" si="232"/>
        <v>2424</v>
      </c>
      <c r="C2429" s="694">
        <v>43094</v>
      </c>
      <c r="D2429" s="614" t="s">
        <v>587</v>
      </c>
      <c r="E2429" s="692">
        <v>610100</v>
      </c>
      <c r="F2429" s="686" t="str">
        <f>IFERROR(VLOOKUP(E2429,STAT1!$C$4:$D$8000,2,FALSE),"")</f>
        <v>Борлуулсан барааны өртөг</v>
      </c>
      <c r="G2429" s="614">
        <v>323752.59739265632</v>
      </c>
      <c r="H2429" s="614"/>
      <c r="I2429" s="590">
        <f t="shared" si="230"/>
        <v>0</v>
      </c>
      <c r="J2429" s="152">
        <f t="shared" si="231"/>
        <v>0</v>
      </c>
      <c r="K2429" s="81"/>
      <c r="L2429" s="597">
        <v>3067</v>
      </c>
      <c r="M2429" s="152" t="str">
        <f>+IFERROR(VLOOKUP(L2429,DATA!$G$4:$H$2000,2,FALSE),"")</f>
        <v>ЦЭЦЭН УРЧУУД ХХК</v>
      </c>
      <c r="O2429" s="152" t="str">
        <f>IFERROR(VLOOKUP(N2429,DATA!$K$4:$L$51,2,FALSE),"")</f>
        <v/>
      </c>
    </row>
    <row r="2430" spans="2:15">
      <c r="B2430" s="671">
        <f t="shared" si="232"/>
        <v>2425</v>
      </c>
      <c r="C2430" s="694">
        <v>43094</v>
      </c>
      <c r="D2430" s="614" t="s">
        <v>587</v>
      </c>
      <c r="E2430" s="692">
        <v>310500</v>
      </c>
      <c r="F2430" s="686" t="str">
        <f>IFERROR(VLOOKUP(E2430,STAT1!$C$4:$D$8000,2,FALSE),"")</f>
        <v>НӨАТ өглөг</v>
      </c>
      <c r="G2430" s="614"/>
      <c r="H2430" s="614">
        <v>75000</v>
      </c>
      <c r="I2430" s="590">
        <f t="shared" si="230"/>
        <v>0</v>
      </c>
      <c r="J2430" s="152">
        <f t="shared" si="231"/>
        <v>0</v>
      </c>
      <c r="K2430" s="81"/>
      <c r="L2430" s="597">
        <v>3067</v>
      </c>
      <c r="M2430" s="152" t="str">
        <f>+IFERROR(VLOOKUP(L2430,DATA!$G$4:$H$2000,2,FALSE),"")</f>
        <v>ЦЭЦЭН УРЧУУД ХХК</v>
      </c>
      <c r="O2430" s="152" t="str">
        <f>IFERROR(VLOOKUP(N2430,DATA!$K$4:$L$51,2,FALSE),"")</f>
        <v/>
      </c>
    </row>
    <row r="2431" spans="2:15">
      <c r="B2431" s="671">
        <f t="shared" si="232"/>
        <v>2426</v>
      </c>
      <c r="C2431" s="694">
        <v>43094</v>
      </c>
      <c r="D2431" s="614"/>
      <c r="E2431" s="577">
        <v>510000</v>
      </c>
      <c r="F2431" s="686" t="str">
        <f>IFERROR(VLOOKUP(E2431,STAT1!$C$4:$D$8000,2,FALSE),"")</f>
        <v>Үндсэн үйл ажиллагааны борлуулалт</v>
      </c>
      <c r="G2431" s="614"/>
      <c r="H2431" s="614">
        <v>750000</v>
      </c>
      <c r="I2431" s="590">
        <f t="shared" si="230"/>
        <v>0</v>
      </c>
      <c r="J2431" s="152">
        <f t="shared" si="231"/>
        <v>0</v>
      </c>
      <c r="K2431" s="81"/>
      <c r="L2431" s="597">
        <v>3067</v>
      </c>
      <c r="M2431" s="152" t="str">
        <f>+IFERROR(VLOOKUP(L2431,DATA!$G$4:$H$2000,2,FALSE),"")</f>
        <v>ЦЭЦЭН УРЧУУД ХХК</v>
      </c>
      <c r="O2431" s="152" t="str">
        <f>IFERROR(VLOOKUP(N2431,DATA!$K$4:$L$51,2,FALSE),"")</f>
        <v/>
      </c>
    </row>
    <row r="2432" spans="2:15">
      <c r="B2432" s="671">
        <f t="shared" si="232"/>
        <v>2427</v>
      </c>
      <c r="C2432" s="694">
        <v>43094</v>
      </c>
      <c r="D2432" s="614"/>
      <c r="E2432" s="577">
        <v>320100</v>
      </c>
      <c r="F2432" s="686" t="str">
        <f>IFERROR(VLOOKUP(E2432,STAT1!$C$4:$D$8000,2,FALSE),"")</f>
        <v>Урьдчилж орсон орлого MNT</v>
      </c>
      <c r="G2432" s="614">
        <v>825000</v>
      </c>
      <c r="H2432" s="614"/>
      <c r="I2432" s="590">
        <f t="shared" si="230"/>
        <v>0</v>
      </c>
      <c r="J2432" s="152">
        <f t="shared" si="231"/>
        <v>0</v>
      </c>
      <c r="K2432" s="81"/>
      <c r="L2432" s="597">
        <v>3067</v>
      </c>
      <c r="M2432" s="152" t="str">
        <f>+IFERROR(VLOOKUP(L2432,DATA!$G$4:$H$2000,2,FALSE),"")</f>
        <v>ЦЭЦЭН УРЧУУД ХХК</v>
      </c>
      <c r="O2432" s="152" t="str">
        <f>IFERROR(VLOOKUP(N2432,DATA!$K$4:$L$51,2,FALSE),"")</f>
        <v/>
      </c>
    </row>
    <row r="2433" spans="2:15">
      <c r="B2433" s="671">
        <f t="shared" si="232"/>
        <v>2428</v>
      </c>
      <c r="C2433" s="685">
        <v>43095</v>
      </c>
      <c r="D2433" s="614" t="s">
        <v>1715</v>
      </c>
      <c r="E2433" s="692">
        <v>110100</v>
      </c>
      <c r="F2433" s="686" t="str">
        <f>IFERROR(VLOOKUP(E2433,STAT1!$C$4:$D$8000,2,FALSE),"")</f>
        <v>Хаан Банк 5024654020</v>
      </c>
      <c r="G2433" s="614"/>
      <c r="H2433" s="614">
        <v>360000</v>
      </c>
      <c r="I2433" s="590">
        <f t="shared" si="230"/>
        <v>-360000</v>
      </c>
      <c r="J2433" s="152">
        <f t="shared" si="231"/>
        <v>0</v>
      </c>
      <c r="K2433" s="81"/>
      <c r="L2433" s="597">
        <v>2005</v>
      </c>
      <c r="M2433" s="152" t="str">
        <f>+IFERROR(VLOOKUP(L2433,DATA!$G$4:$H$2000,2,FALSE),"")</f>
        <v xml:space="preserve">УСУГ ТӨХК </v>
      </c>
      <c r="N2433" s="153">
        <v>54</v>
      </c>
      <c r="O2433" s="152" t="str">
        <f>IFERROR(VLOOKUP(N2433,DATA!$K$4:$L$51,2,FALSE),"")</f>
        <v>Ашиглалтын зардалд төлсөн</v>
      </c>
    </row>
    <row r="2434" spans="2:15">
      <c r="B2434" s="671">
        <f t="shared" si="232"/>
        <v>2429</v>
      </c>
      <c r="C2434" s="685">
        <v>43095</v>
      </c>
      <c r="D2434" s="614" t="s">
        <v>1715</v>
      </c>
      <c r="E2434" s="692">
        <v>120600</v>
      </c>
      <c r="F2434" s="686" t="str">
        <f>IFERROR(VLOOKUP(E2434,STAT1!$C$4:$D$8000,2,FALSE),"")</f>
        <v>НӨАТ авлага</v>
      </c>
      <c r="G2434" s="614">
        <v>32325.040000000001</v>
      </c>
      <c r="H2434" s="614"/>
      <c r="I2434" s="590">
        <f t="shared" si="230"/>
        <v>0</v>
      </c>
      <c r="J2434" s="152">
        <f t="shared" si="231"/>
        <v>0</v>
      </c>
      <c r="K2434" s="81"/>
      <c r="L2434" s="597">
        <v>2005</v>
      </c>
      <c r="M2434" s="152" t="str">
        <f>+IFERROR(VLOOKUP(L2434,DATA!$G$4:$H$2000,2,FALSE),"")</f>
        <v xml:space="preserve">УСУГ ТӨХК </v>
      </c>
      <c r="O2434" s="152" t="str">
        <f>IFERROR(VLOOKUP(N2434,DATA!$K$4:$L$51,2,FALSE),"")</f>
        <v/>
      </c>
    </row>
    <row r="2435" spans="2:15">
      <c r="B2435" s="671">
        <f t="shared" si="232"/>
        <v>2430</v>
      </c>
      <c r="C2435" s="685">
        <v>43095</v>
      </c>
      <c r="D2435" s="614" t="s">
        <v>1715</v>
      </c>
      <c r="E2435" s="692">
        <v>700900</v>
      </c>
      <c r="F2435" s="686" t="str">
        <f>IFERROR(VLOOKUP(E2435,STAT1!$C$4:$D$8000,2,FALSE),"")</f>
        <v>Уур, ус</v>
      </c>
      <c r="G2435" s="614">
        <v>327674.96000000002</v>
      </c>
      <c r="H2435" s="614"/>
      <c r="I2435" s="590">
        <f t="shared" si="230"/>
        <v>0</v>
      </c>
      <c r="J2435" s="152">
        <f t="shared" si="231"/>
        <v>0</v>
      </c>
      <c r="K2435" s="81"/>
      <c r="L2435" s="597">
        <v>2005</v>
      </c>
      <c r="M2435" s="152" t="str">
        <f>+IFERROR(VLOOKUP(L2435,DATA!$G$4:$H$2000,2,FALSE),"")</f>
        <v xml:space="preserve">УСУГ ТӨХК </v>
      </c>
      <c r="O2435" s="152" t="str">
        <f>IFERROR(VLOOKUP(N2435,DATA!$K$4:$L$51,2,FALSE),"")</f>
        <v/>
      </c>
    </row>
    <row r="2436" spans="2:15">
      <c r="B2436" s="671">
        <f t="shared" si="232"/>
        <v>2431</v>
      </c>
      <c r="C2436" s="685">
        <v>43095</v>
      </c>
      <c r="D2436" s="614" t="s">
        <v>1741</v>
      </c>
      <c r="E2436" s="577">
        <v>110100</v>
      </c>
      <c r="F2436" s="686" t="str">
        <f>IFERROR(VLOOKUP(E2436,STAT1!$C$4:$D$8000,2,FALSE),"")</f>
        <v>Хаан Банк 5024654020</v>
      </c>
      <c r="G2436" s="614">
        <v>44880</v>
      </c>
      <c r="H2436" s="614"/>
      <c r="I2436" s="590">
        <f t="shared" ref="I2436:I2499" si="233">+IF(OR(E2436=100100,E2436=100200,E2436=110100,E2436=110102,E2436=110103,E2436=110104,E2436=110105,E2436=110200,E2436=110201,E2436=110202,E2436=110203,E2436=110204,E2436=110300),G2436,0)+IF(OR(E2436=100100,E2436=100200,E2436=110100,E2436=110102,E2436=110103,E2436=110104,E2436=110105,E2436=110200,E2436=110201,E2436=110202,E2436=110203,E2436=110204,E2436=110300),H2436*-1,0)</f>
        <v>44880</v>
      </c>
      <c r="J2436" s="152">
        <f t="shared" si="231"/>
        <v>0</v>
      </c>
      <c r="K2436" s="81"/>
      <c r="L2436" s="597">
        <v>3111</v>
      </c>
      <c r="M2436" s="152" t="str">
        <f>+IFERROR(VLOOKUP(L2436,DATA!$G$4:$H$2000,2,FALSE),"")</f>
        <v xml:space="preserve">ЗУЛЗАГАН ДӨЛ ХХК </v>
      </c>
      <c r="N2436" s="153">
        <v>41</v>
      </c>
      <c r="O2436" s="152" t="str">
        <f>IFERROR(VLOOKUP(N2436,DATA!$K$4:$L$51,2,FALSE),"")</f>
        <v>Бараа борлуулсан, үйлчилгээ үзүүлсэний орлого</v>
      </c>
    </row>
    <row r="2437" spans="2:15">
      <c r="B2437" s="671">
        <f t="shared" si="232"/>
        <v>2432</v>
      </c>
      <c r="C2437" s="685">
        <v>43095</v>
      </c>
      <c r="D2437" s="614" t="s">
        <v>1741</v>
      </c>
      <c r="E2437" s="577">
        <v>320100</v>
      </c>
      <c r="F2437" s="686" t="str">
        <f>IFERROR(VLOOKUP(E2437,STAT1!$C$4:$D$8000,2,FALSE),"")</f>
        <v>Урьдчилж орсон орлого MNT</v>
      </c>
      <c r="G2437" s="614"/>
      <c r="H2437" s="614">
        <v>44880</v>
      </c>
      <c r="I2437" s="590">
        <f t="shared" si="233"/>
        <v>0</v>
      </c>
      <c r="J2437" s="152">
        <f t="shared" si="231"/>
        <v>0</v>
      </c>
      <c r="K2437" s="81"/>
      <c r="L2437" s="597">
        <v>3111</v>
      </c>
      <c r="M2437" s="152" t="str">
        <f>+IFERROR(VLOOKUP(L2437,DATA!$G$4:$H$2000,2,FALSE),"")</f>
        <v xml:space="preserve">ЗУЛЗАГАН ДӨЛ ХХК </v>
      </c>
      <c r="O2437" s="152" t="str">
        <f>IFERROR(VLOOKUP(N2437,DATA!$K$4:$L$51,2,FALSE),"")</f>
        <v/>
      </c>
    </row>
    <row r="2438" spans="2:15">
      <c r="B2438" s="671">
        <f t="shared" si="232"/>
        <v>2433</v>
      </c>
      <c r="C2438" s="685">
        <v>43095</v>
      </c>
      <c r="D2438" s="614" t="s">
        <v>1701</v>
      </c>
      <c r="E2438" s="692">
        <v>100100</v>
      </c>
      <c r="F2438" s="686" t="str">
        <f>IFERROR(VLOOKUP(E2438,STAT1!$C$4:$D$8000,2,FALSE),"")</f>
        <v>Касс мөнгө MNT</v>
      </c>
      <c r="G2438" s="614"/>
      <c r="H2438" s="614">
        <v>1500000</v>
      </c>
      <c r="I2438" s="590">
        <f t="shared" si="233"/>
        <v>-1500000</v>
      </c>
      <c r="J2438" s="152">
        <f t="shared" si="231"/>
        <v>0</v>
      </c>
      <c r="K2438" s="81"/>
      <c r="L2438" s="597">
        <v>2012</v>
      </c>
      <c r="M2438" s="152" t="str">
        <f>+IFERROR(VLOOKUP(L2438,DATA!$G$4:$H$2000,2,FALSE),"")</f>
        <v>ИХ ТУГЧ ХХК</v>
      </c>
      <c r="N2438" s="153">
        <v>59</v>
      </c>
      <c r="O2438" s="152" t="str">
        <f>IFERROR(VLOOKUP(N2438,DATA!$K$4:$L$51,2,FALSE),"")</f>
        <v>Бусад мөнгөн зарлага</v>
      </c>
    </row>
    <row r="2439" spans="2:15">
      <c r="B2439" s="671">
        <f t="shared" si="232"/>
        <v>2434</v>
      </c>
      <c r="C2439" s="685">
        <v>43095</v>
      </c>
      <c r="D2439" s="614" t="s">
        <v>1701</v>
      </c>
      <c r="E2439" s="692">
        <v>705800</v>
      </c>
      <c r="F2439" s="686" t="str">
        <f>IFERROR(VLOOKUP(E2439,STAT1!$C$4:$D$8000,2,FALSE),"")</f>
        <v>Харуул хамгаалалт</v>
      </c>
      <c r="G2439" s="614">
        <v>1500000</v>
      </c>
      <c r="H2439" s="614"/>
      <c r="I2439" s="590">
        <f t="shared" si="233"/>
        <v>0</v>
      </c>
      <c r="J2439" s="152">
        <f t="shared" si="231"/>
        <v>0</v>
      </c>
      <c r="K2439" s="81"/>
      <c r="L2439" s="597">
        <v>2012</v>
      </c>
      <c r="M2439" s="152" t="str">
        <f>+IFERROR(VLOOKUP(L2439,DATA!$G$4:$H$2000,2,FALSE),"")</f>
        <v>ИХ ТУГЧ ХХК</v>
      </c>
      <c r="O2439" s="152" t="str">
        <f>IFERROR(VLOOKUP(N2439,DATA!$K$4:$L$51,2,FALSE),"")</f>
        <v/>
      </c>
    </row>
    <row r="2440" spans="2:15">
      <c r="B2440" s="671">
        <f t="shared" si="232"/>
        <v>2435</v>
      </c>
      <c r="C2440" s="691">
        <v>43095</v>
      </c>
      <c r="D2440" s="693" t="s">
        <v>1741</v>
      </c>
      <c r="E2440" s="692">
        <v>100100</v>
      </c>
      <c r="F2440" s="686" t="str">
        <f>IFERROR(VLOOKUP(E2440,STAT1!$C$4:$D$8000,2,FALSE),"")</f>
        <v>Касс мөнгө MNT</v>
      </c>
      <c r="G2440" s="614">
        <v>219800</v>
      </c>
      <c r="H2440" s="614"/>
      <c r="I2440" s="590">
        <f t="shared" si="233"/>
        <v>219800</v>
      </c>
      <c r="J2440" s="152">
        <f t="shared" si="231"/>
        <v>0</v>
      </c>
      <c r="K2440" s="81"/>
      <c r="L2440" s="597">
        <v>3113</v>
      </c>
      <c r="M2440" s="152" t="str">
        <f>+IFERROR(VLOOKUP(L2440,DATA!$G$4:$H$2000,2,FALSE),"")</f>
        <v xml:space="preserve">ХАВТГАЙН ГОЛ ХХК </v>
      </c>
      <c r="N2440" s="153">
        <v>41</v>
      </c>
      <c r="O2440" s="152" t="str">
        <f>IFERROR(VLOOKUP(N2440,DATA!$K$4:$L$51,2,FALSE),"")</f>
        <v>Бараа борлуулсан, үйлчилгээ үзүүлсэний орлого</v>
      </c>
    </row>
    <row r="2441" spans="2:15">
      <c r="B2441" s="671">
        <f t="shared" si="232"/>
        <v>2436</v>
      </c>
      <c r="C2441" s="691">
        <v>43095</v>
      </c>
      <c r="D2441" s="693" t="s">
        <v>1741</v>
      </c>
      <c r="E2441" s="692">
        <v>320100</v>
      </c>
      <c r="F2441" s="686" t="str">
        <f>IFERROR(VLOOKUP(E2441,STAT1!$C$4:$D$8000,2,FALSE),"")</f>
        <v>Урьдчилж орсон орлого MNT</v>
      </c>
      <c r="G2441" s="614"/>
      <c r="H2441" s="614">
        <v>219800</v>
      </c>
      <c r="I2441" s="590">
        <f t="shared" si="233"/>
        <v>0</v>
      </c>
      <c r="J2441" s="152">
        <f t="shared" si="231"/>
        <v>0</v>
      </c>
      <c r="K2441" s="81"/>
      <c r="L2441" s="597">
        <v>3113</v>
      </c>
      <c r="M2441" s="152" t="str">
        <f>+IFERROR(VLOOKUP(L2441,DATA!$G$4:$H$2000,2,FALSE),"")</f>
        <v xml:space="preserve">ХАВТГАЙН ГОЛ ХХК </v>
      </c>
      <c r="O2441" s="152" t="str">
        <f>IFERROR(VLOOKUP(N2441,DATA!$K$4:$L$51,2,FALSE),"")</f>
        <v/>
      </c>
    </row>
    <row r="2442" spans="2:15">
      <c r="B2442" s="671">
        <f t="shared" si="232"/>
        <v>2437</v>
      </c>
      <c r="C2442" s="685">
        <v>43095</v>
      </c>
      <c r="D2442" s="614" t="s">
        <v>2630</v>
      </c>
      <c r="E2442" s="577">
        <v>100100</v>
      </c>
      <c r="F2442" s="686" t="str">
        <f>IFERROR(VLOOKUP(E2442,STAT1!$C$4:$D$8000,2,FALSE),"")</f>
        <v>Касс мөнгө MNT</v>
      </c>
      <c r="G2442" s="614"/>
      <c r="H2442" s="614">
        <v>898430</v>
      </c>
      <c r="I2442" s="590">
        <f t="shared" si="233"/>
        <v>-898430</v>
      </c>
      <c r="J2442" s="152">
        <f t="shared" si="231"/>
        <v>0</v>
      </c>
      <c r="K2442" s="81"/>
      <c r="L2442" s="597">
        <v>1005</v>
      </c>
      <c r="M2442" s="152" t="str">
        <f>+IFERROR(VLOOKUP(L2442,DATA!$G$4:$H$2000,2,FALSE),"")</f>
        <v>Золжаргал</v>
      </c>
      <c r="N2442" s="153">
        <v>59</v>
      </c>
      <c r="O2442" s="152" t="str">
        <f>IFERROR(VLOOKUP(N2442,DATA!$K$4:$L$51,2,FALSE),"")</f>
        <v>Бусад мөнгөн зарлага</v>
      </c>
    </row>
    <row r="2443" spans="2:15">
      <c r="B2443" s="671">
        <f t="shared" si="232"/>
        <v>2438</v>
      </c>
      <c r="C2443" s="685">
        <v>43095</v>
      </c>
      <c r="D2443" s="614" t="s">
        <v>2630</v>
      </c>
      <c r="E2443" s="692">
        <v>120600</v>
      </c>
      <c r="F2443" s="686" t="str">
        <f>IFERROR(VLOOKUP(E2443,STAT1!$C$4:$D$8000,2,FALSE),"")</f>
        <v>НӨАТ авлага</v>
      </c>
      <c r="G2443" s="614">
        <v>80053.09</v>
      </c>
      <c r="H2443" s="614"/>
      <c r="I2443" s="590">
        <f t="shared" si="233"/>
        <v>0</v>
      </c>
      <c r="J2443" s="152">
        <f t="shared" si="231"/>
        <v>0</v>
      </c>
      <c r="K2443" s="81"/>
      <c r="L2443" s="597">
        <v>1005</v>
      </c>
      <c r="M2443" s="152" t="str">
        <f>+IFERROR(VLOOKUP(L2443,DATA!$G$4:$H$2000,2,FALSE),"")</f>
        <v>Золжаргал</v>
      </c>
      <c r="O2443" s="152" t="str">
        <f>IFERROR(VLOOKUP(N2443,DATA!$K$4:$L$51,2,FALSE),"")</f>
        <v/>
      </c>
    </row>
    <row r="2444" spans="2:15">
      <c r="B2444" s="671">
        <f t="shared" si="232"/>
        <v>2439</v>
      </c>
      <c r="C2444" s="685">
        <v>43095</v>
      </c>
      <c r="D2444" s="614" t="s">
        <v>2630</v>
      </c>
      <c r="E2444" s="692">
        <v>706000</v>
      </c>
      <c r="F2444" s="686" t="str">
        <f>IFERROR(VLOOKUP(E2444,STAT1!$C$4:$D$8000,2,FALSE),"")</f>
        <v>Бусад зардал</v>
      </c>
      <c r="G2444" s="614">
        <v>818376.91</v>
      </c>
      <c r="H2444" s="614"/>
      <c r="I2444" s="590">
        <f t="shared" si="233"/>
        <v>0</v>
      </c>
      <c r="J2444" s="152">
        <f t="shared" si="231"/>
        <v>0</v>
      </c>
      <c r="K2444" s="81"/>
      <c r="L2444" s="597">
        <v>1005</v>
      </c>
      <c r="M2444" s="152" t="str">
        <f>+IFERROR(VLOOKUP(L2444,DATA!$G$4:$H$2000,2,FALSE),"")</f>
        <v>Золжаргал</v>
      </c>
      <c r="O2444" s="152" t="str">
        <f>IFERROR(VLOOKUP(N2444,DATA!$K$4:$L$51,2,FALSE),"")</f>
        <v/>
      </c>
    </row>
    <row r="2445" spans="2:15">
      <c r="B2445" s="671">
        <f t="shared" si="232"/>
        <v>2440</v>
      </c>
      <c r="C2445" s="694">
        <v>43095</v>
      </c>
      <c r="D2445" s="704" t="s">
        <v>2631</v>
      </c>
      <c r="E2445" s="705">
        <v>150101</v>
      </c>
      <c r="F2445" s="686" t="str">
        <f>IFERROR(VLOOKUP(E2445,STAT1!$C$4:$D$8000,2,FALSE),"")</f>
        <v>Бараа бэлэн бүтээгдэхүүн БОЛОВСРУУЛАХ ЦЕХ /нарс/</v>
      </c>
      <c r="G2445" s="614"/>
      <c r="H2445" s="614">
        <v>21182.81887392683</v>
      </c>
      <c r="I2445" s="590">
        <f t="shared" si="233"/>
        <v>0</v>
      </c>
      <c r="J2445" s="152">
        <f t="shared" si="231"/>
        <v>0</v>
      </c>
      <c r="K2445" s="81"/>
      <c r="L2445" s="673">
        <v>3111</v>
      </c>
      <c r="M2445" s="152" t="str">
        <f>+IFERROR(VLOOKUP(L2445,DATA!$G$4:$H$2000,2,FALSE),"")</f>
        <v xml:space="preserve">ЗУЛЗАГАН ДӨЛ ХХК </v>
      </c>
      <c r="O2445" s="152" t="str">
        <f>IFERROR(VLOOKUP(N2445,DATA!$K$4:$L$51,2,FALSE),"")</f>
        <v/>
      </c>
    </row>
    <row r="2446" spans="2:15">
      <c r="B2446" s="671">
        <f t="shared" si="232"/>
        <v>2441</v>
      </c>
      <c r="C2446" s="694">
        <v>43095</v>
      </c>
      <c r="D2446" s="704" t="s">
        <v>587</v>
      </c>
      <c r="E2446" s="705">
        <v>610100</v>
      </c>
      <c r="F2446" s="686" t="str">
        <f>IFERROR(VLOOKUP(E2446,STAT1!$C$4:$D$8000,2,FALSE),"")</f>
        <v>Борлуулсан барааны өртөг</v>
      </c>
      <c r="G2446" s="614">
        <v>21182.81887392683</v>
      </c>
      <c r="H2446" s="614"/>
      <c r="I2446" s="590">
        <f t="shared" si="233"/>
        <v>0</v>
      </c>
      <c r="J2446" s="152">
        <f t="shared" si="231"/>
        <v>0</v>
      </c>
      <c r="K2446" s="81"/>
      <c r="L2446" s="673">
        <v>3111</v>
      </c>
      <c r="M2446" s="152" t="str">
        <f>+IFERROR(VLOOKUP(L2446,DATA!$G$4:$H$2000,2,FALSE),"")</f>
        <v xml:space="preserve">ЗУЛЗАГАН ДӨЛ ХХК </v>
      </c>
      <c r="O2446" s="152" t="str">
        <f>IFERROR(VLOOKUP(N2446,DATA!$K$4:$L$51,2,FALSE),"")</f>
        <v/>
      </c>
    </row>
    <row r="2447" spans="2:15">
      <c r="B2447" s="671">
        <f t="shared" si="232"/>
        <v>2442</v>
      </c>
      <c r="C2447" s="694">
        <v>43095</v>
      </c>
      <c r="D2447" s="704" t="s">
        <v>587</v>
      </c>
      <c r="E2447" s="705">
        <v>310500</v>
      </c>
      <c r="F2447" s="686" t="str">
        <f>IFERROR(VLOOKUP(E2447,STAT1!$C$4:$D$8000,2,FALSE),"")</f>
        <v>НӨАТ өглөг</v>
      </c>
      <c r="G2447" s="614"/>
      <c r="H2447" s="614">
        <v>4080</v>
      </c>
      <c r="I2447" s="590">
        <f t="shared" si="233"/>
        <v>0</v>
      </c>
      <c r="J2447" s="152">
        <f t="shared" si="231"/>
        <v>0</v>
      </c>
      <c r="K2447" s="81"/>
      <c r="L2447" s="673">
        <v>3111</v>
      </c>
      <c r="M2447" s="152" t="str">
        <f>+IFERROR(VLOOKUP(L2447,DATA!$G$4:$H$2000,2,FALSE),"")</f>
        <v xml:space="preserve">ЗУЛЗАГАН ДӨЛ ХХК </v>
      </c>
      <c r="O2447" s="152" t="str">
        <f>IFERROR(VLOOKUP(N2447,DATA!$K$4:$L$51,2,FALSE),"")</f>
        <v/>
      </c>
    </row>
    <row r="2448" spans="2:15">
      <c r="B2448" s="671">
        <f t="shared" si="232"/>
        <v>2443</v>
      </c>
      <c r="C2448" s="694">
        <v>43095</v>
      </c>
      <c r="D2448" s="704" t="s">
        <v>587</v>
      </c>
      <c r="E2448" s="705">
        <v>510000</v>
      </c>
      <c r="F2448" s="686" t="str">
        <f>IFERROR(VLOOKUP(E2448,STAT1!$C$4:$D$8000,2,FALSE),"")</f>
        <v>Үндсэн үйл ажиллагааны борлуулалт</v>
      </c>
      <c r="G2448" s="614"/>
      <c r="H2448" s="614">
        <v>40800</v>
      </c>
      <c r="I2448" s="590">
        <f t="shared" si="233"/>
        <v>0</v>
      </c>
      <c r="J2448" s="152">
        <f t="shared" si="231"/>
        <v>0</v>
      </c>
      <c r="K2448" s="81"/>
      <c r="L2448" s="673">
        <v>3111</v>
      </c>
      <c r="M2448" s="152" t="str">
        <f>+IFERROR(VLOOKUP(L2448,DATA!$G$4:$H$2000,2,FALSE),"")</f>
        <v xml:space="preserve">ЗУЛЗАГАН ДӨЛ ХХК </v>
      </c>
      <c r="O2448" s="152" t="str">
        <f>IFERROR(VLOOKUP(N2448,DATA!$K$4:$L$51,2,FALSE),"")</f>
        <v/>
      </c>
    </row>
    <row r="2449" spans="2:15">
      <c r="B2449" s="671">
        <f t="shared" si="232"/>
        <v>2444</v>
      </c>
      <c r="C2449" s="694">
        <v>43095</v>
      </c>
      <c r="D2449" s="704" t="s">
        <v>587</v>
      </c>
      <c r="E2449" s="705">
        <v>320100</v>
      </c>
      <c r="F2449" s="686" t="str">
        <f>IFERROR(VLOOKUP(E2449,STAT1!$C$4:$D$8000,2,FALSE),"")</f>
        <v>Урьдчилж орсон орлого MNT</v>
      </c>
      <c r="G2449" s="614">
        <v>44880</v>
      </c>
      <c r="H2449" s="614"/>
      <c r="I2449" s="590">
        <f t="shared" si="233"/>
        <v>0</v>
      </c>
      <c r="J2449" s="152">
        <f t="shared" si="231"/>
        <v>0</v>
      </c>
      <c r="K2449" s="81"/>
      <c r="L2449" s="673">
        <v>3111</v>
      </c>
      <c r="M2449" s="152" t="str">
        <f>+IFERROR(VLOOKUP(L2449,DATA!$G$4:$H$2000,2,FALSE),"")</f>
        <v xml:space="preserve">ЗУЛЗАГАН ДӨЛ ХХК </v>
      </c>
      <c r="O2449" s="152" t="str">
        <f>IFERROR(VLOOKUP(N2449,DATA!$K$4:$L$51,2,FALSE),"")</f>
        <v/>
      </c>
    </row>
    <row r="2450" spans="2:15">
      <c r="B2450" s="671">
        <f t="shared" si="232"/>
        <v>2445</v>
      </c>
      <c r="C2450" s="694">
        <v>43095</v>
      </c>
      <c r="D2450" s="704" t="s">
        <v>2698</v>
      </c>
      <c r="E2450" s="705">
        <v>150101</v>
      </c>
      <c r="F2450" s="686" t="str">
        <f>IFERROR(VLOOKUP(E2450,STAT1!$C$4:$D$8000,2,FALSE),"")</f>
        <v>Бараа бэлэн бүтээгдэхүүн БОЛОВСРУУЛАХ ЦЕХ /нарс/</v>
      </c>
      <c r="G2450" s="614"/>
      <c r="H2450" s="614">
        <v>488447.44</v>
      </c>
      <c r="I2450" s="590">
        <f t="shared" si="233"/>
        <v>0</v>
      </c>
      <c r="J2450" s="152">
        <f t="shared" si="231"/>
        <v>0</v>
      </c>
      <c r="K2450" s="81"/>
      <c r="L2450" s="673">
        <v>3113</v>
      </c>
      <c r="M2450" s="152" t="str">
        <f>+IFERROR(VLOOKUP(L2450,DATA!$G$4:$H$2000,2,FALSE),"")</f>
        <v xml:space="preserve">ХАВТГАЙН ГОЛ ХХК </v>
      </c>
      <c r="O2450" s="152" t="str">
        <f>IFERROR(VLOOKUP(N2450,DATA!$K$4:$L$51,2,FALSE),"")</f>
        <v/>
      </c>
    </row>
    <row r="2451" spans="2:15">
      <c r="B2451" s="671">
        <f t="shared" si="232"/>
        <v>2446</v>
      </c>
      <c r="C2451" s="694">
        <v>43095</v>
      </c>
      <c r="D2451" s="704" t="s">
        <v>587</v>
      </c>
      <c r="E2451" s="705">
        <v>610100</v>
      </c>
      <c r="F2451" s="686" t="str">
        <f>IFERROR(VLOOKUP(E2451,STAT1!$C$4:$D$8000,2,FALSE),"")</f>
        <v>Борлуулсан барааны өртөг</v>
      </c>
      <c r="G2451" s="614">
        <v>488447.44</v>
      </c>
      <c r="H2451" s="614"/>
      <c r="I2451" s="590">
        <f t="shared" si="233"/>
        <v>0</v>
      </c>
      <c r="J2451" s="152">
        <f t="shared" si="231"/>
        <v>0</v>
      </c>
      <c r="K2451" s="81"/>
      <c r="L2451" s="673">
        <v>3113</v>
      </c>
      <c r="M2451" s="152" t="str">
        <f>+IFERROR(VLOOKUP(L2451,DATA!$G$4:$H$2000,2,FALSE),"")</f>
        <v xml:space="preserve">ХАВТГАЙН ГОЛ ХХК </v>
      </c>
      <c r="O2451" s="152" t="str">
        <f>IFERROR(VLOOKUP(N2451,DATA!$K$4:$L$51,2,FALSE),"")</f>
        <v/>
      </c>
    </row>
    <row r="2452" spans="2:15">
      <c r="B2452" s="671">
        <f t="shared" si="232"/>
        <v>2447</v>
      </c>
      <c r="C2452" s="694">
        <v>43095</v>
      </c>
      <c r="D2452" s="704" t="s">
        <v>587</v>
      </c>
      <c r="E2452" s="705">
        <v>310500</v>
      </c>
      <c r="F2452" s="686" t="str">
        <f>IFERROR(VLOOKUP(E2452,STAT1!$C$4:$D$8000,2,FALSE),"")</f>
        <v>НӨАТ өглөг</v>
      </c>
      <c r="G2452" s="614"/>
      <c r="H2452" s="614">
        <v>78993.636363636353</v>
      </c>
      <c r="I2452" s="590">
        <f t="shared" si="233"/>
        <v>0</v>
      </c>
      <c r="J2452" s="152">
        <f t="shared" si="231"/>
        <v>0</v>
      </c>
      <c r="K2452" s="81"/>
      <c r="L2452" s="673">
        <v>3113</v>
      </c>
      <c r="M2452" s="152" t="str">
        <f>+IFERROR(VLOOKUP(L2452,DATA!$G$4:$H$2000,2,FALSE),"")</f>
        <v xml:space="preserve">ХАВТГАЙН ГОЛ ХХК </v>
      </c>
      <c r="O2452" s="152" t="str">
        <f>IFERROR(VLOOKUP(N2452,DATA!$K$4:$L$51,2,FALSE),"")</f>
        <v/>
      </c>
    </row>
    <row r="2453" spans="2:15">
      <c r="B2453" s="671">
        <f t="shared" si="232"/>
        <v>2448</v>
      </c>
      <c r="C2453" s="694">
        <v>43095</v>
      </c>
      <c r="D2453" s="704" t="s">
        <v>587</v>
      </c>
      <c r="E2453" s="705">
        <v>510000</v>
      </c>
      <c r="F2453" s="686" t="str">
        <f>IFERROR(VLOOKUP(E2453,STAT1!$C$4:$D$8000,2,FALSE),"")</f>
        <v>Үндсэн үйл ажиллагааны борлуулалт</v>
      </c>
      <c r="G2453" s="614"/>
      <c r="H2453" s="614">
        <v>789936.36363636353</v>
      </c>
      <c r="I2453" s="590">
        <f t="shared" si="233"/>
        <v>0</v>
      </c>
      <c r="J2453" s="152">
        <f t="shared" si="231"/>
        <v>0</v>
      </c>
      <c r="K2453" s="81"/>
      <c r="L2453" s="673">
        <v>3113</v>
      </c>
      <c r="M2453" s="152" t="str">
        <f>+IFERROR(VLOOKUP(L2453,DATA!$G$4:$H$2000,2,FALSE),"")</f>
        <v xml:space="preserve">ХАВТГАЙН ГОЛ ХХК </v>
      </c>
      <c r="O2453" s="152" t="str">
        <f>IFERROR(VLOOKUP(N2453,DATA!$K$4:$L$51,2,FALSE),"")</f>
        <v/>
      </c>
    </row>
    <row r="2454" spans="2:15">
      <c r="B2454" s="671">
        <f t="shared" si="232"/>
        <v>2449</v>
      </c>
      <c r="C2454" s="694">
        <v>43095</v>
      </c>
      <c r="D2454" s="704" t="s">
        <v>587</v>
      </c>
      <c r="E2454" s="705">
        <v>320100</v>
      </c>
      <c r="F2454" s="686" t="str">
        <f>IFERROR(VLOOKUP(E2454,STAT1!$C$4:$D$8000,2,FALSE),"")</f>
        <v>Урьдчилж орсон орлого MNT</v>
      </c>
      <c r="G2454" s="614">
        <v>868930</v>
      </c>
      <c r="H2454" s="614"/>
      <c r="I2454" s="590">
        <f t="shared" si="233"/>
        <v>0</v>
      </c>
      <c r="J2454" s="152">
        <f t="shared" si="231"/>
        <v>0</v>
      </c>
      <c r="K2454" s="81"/>
      <c r="L2454" s="673">
        <v>3113</v>
      </c>
      <c r="M2454" s="152" t="str">
        <f>+IFERROR(VLOOKUP(L2454,DATA!$G$4:$H$2000,2,FALSE),"")</f>
        <v xml:space="preserve">ХАВТГАЙН ГОЛ ХХК </v>
      </c>
      <c r="O2454" s="152" t="str">
        <f>IFERROR(VLOOKUP(N2454,DATA!$K$4:$L$51,2,FALSE),"")</f>
        <v/>
      </c>
    </row>
    <row r="2455" spans="2:15">
      <c r="B2455" s="671">
        <f t="shared" si="232"/>
        <v>2450</v>
      </c>
      <c r="C2455" s="685">
        <v>43096</v>
      </c>
      <c r="D2455" s="614" t="s">
        <v>2589</v>
      </c>
      <c r="E2455" s="692">
        <v>100100</v>
      </c>
      <c r="F2455" s="686" t="str">
        <f>IFERROR(VLOOKUP(E2455,STAT1!$C$4:$D$8000,2,FALSE),"")</f>
        <v>Касс мөнгө MNT</v>
      </c>
      <c r="G2455" s="614"/>
      <c r="H2455" s="614">
        <v>17582616</v>
      </c>
      <c r="I2455" s="590">
        <f t="shared" si="233"/>
        <v>-17582616</v>
      </c>
      <c r="J2455" s="152">
        <f t="shared" si="231"/>
        <v>0</v>
      </c>
      <c r="K2455" s="81"/>
      <c r="L2455" s="597">
        <v>1004</v>
      </c>
      <c r="M2455" s="152" t="str">
        <f>+IFERROR(VLOOKUP(L2455,DATA!$G$4:$H$2000,2,FALSE),"")</f>
        <v xml:space="preserve">Түмэндэлгэр </v>
      </c>
      <c r="N2455" s="153">
        <v>57</v>
      </c>
      <c r="O2455" s="152" t="str">
        <f>IFERROR(VLOOKUP(N2455,DATA!$K$4:$L$51,2,FALSE),"")</f>
        <v>Татварын байгууллагад төлсөн</v>
      </c>
    </row>
    <row r="2456" spans="2:15">
      <c r="B2456" s="671">
        <f t="shared" si="232"/>
        <v>2451</v>
      </c>
      <c r="C2456" s="685">
        <v>43096</v>
      </c>
      <c r="D2456" s="614" t="s">
        <v>2589</v>
      </c>
      <c r="E2456" s="692">
        <v>120800</v>
      </c>
      <c r="F2456" s="686" t="str">
        <f>IFERROR(VLOOKUP(E2456,STAT1!$C$4:$D$8000,2,FALSE),"")</f>
        <v>ХАОАТ авлага</v>
      </c>
      <c r="G2456" s="614">
        <v>7200000</v>
      </c>
      <c r="H2456" s="614"/>
      <c r="I2456" s="590">
        <f t="shared" si="233"/>
        <v>0</v>
      </c>
      <c r="J2456" s="152">
        <f t="shared" ref="J2456:J2519" si="234">+IF(E2456=110102,I2456/K2456,0)</f>
        <v>0</v>
      </c>
      <c r="K2456" s="81"/>
      <c r="L2456" s="597">
        <v>1004</v>
      </c>
      <c r="M2456" s="152" t="str">
        <f>+IFERROR(VLOOKUP(L2456,DATA!$G$4:$H$2000,2,FALSE),"")</f>
        <v xml:space="preserve">Түмэндэлгэр </v>
      </c>
      <c r="O2456" s="152" t="str">
        <f>IFERROR(VLOOKUP(N2456,DATA!$K$4:$L$51,2,FALSE),"")</f>
        <v/>
      </c>
    </row>
    <row r="2457" spans="2:15">
      <c r="B2457" s="671">
        <f t="shared" si="232"/>
        <v>2452</v>
      </c>
      <c r="C2457" s="685">
        <v>43096</v>
      </c>
      <c r="D2457" s="614" t="s">
        <v>2589</v>
      </c>
      <c r="E2457" s="692">
        <v>703900</v>
      </c>
      <c r="F2457" s="686" t="str">
        <f>IFERROR(VLOOKUP(E2457,STAT1!$C$4:$D$8000,2,FALSE),"")</f>
        <v>Үл хөдлөхийн татвар</v>
      </c>
      <c r="G2457" s="614">
        <v>8659000</v>
      </c>
      <c r="H2457" s="614"/>
      <c r="I2457" s="590">
        <f t="shared" si="233"/>
        <v>0</v>
      </c>
      <c r="J2457" s="152">
        <f t="shared" si="234"/>
        <v>0</v>
      </c>
      <c r="K2457" s="81"/>
      <c r="L2457" s="597">
        <v>1004</v>
      </c>
      <c r="M2457" s="152" t="str">
        <f>+IFERROR(VLOOKUP(L2457,DATA!$G$4:$H$2000,2,FALSE),"")</f>
        <v xml:space="preserve">Түмэндэлгэр </v>
      </c>
      <c r="O2457" s="152" t="str">
        <f>IFERROR(VLOOKUP(N2457,DATA!$K$4:$L$51,2,FALSE),"")</f>
        <v/>
      </c>
    </row>
    <row r="2458" spans="2:15">
      <c r="B2458" s="671">
        <f t="shared" si="232"/>
        <v>2453</v>
      </c>
      <c r="C2458" s="685">
        <v>43096</v>
      </c>
      <c r="D2458" s="614" t="s">
        <v>2589</v>
      </c>
      <c r="E2458" s="577">
        <v>704100</v>
      </c>
      <c r="F2458" s="686" t="str">
        <f>IFERROR(VLOOKUP(E2458,STAT1!$C$4:$D$8000,2,FALSE),"")</f>
        <v>Газар, байгалийн нөөц ашигласны төлбөр, хураамж</v>
      </c>
      <c r="G2458" s="614">
        <v>1723616</v>
      </c>
      <c r="H2458" s="614"/>
      <c r="I2458" s="590">
        <f t="shared" si="233"/>
        <v>0</v>
      </c>
      <c r="J2458" s="152">
        <f t="shared" si="234"/>
        <v>0</v>
      </c>
      <c r="K2458" s="81"/>
      <c r="L2458" s="597">
        <v>1004</v>
      </c>
      <c r="M2458" s="152" t="str">
        <f>+IFERROR(VLOOKUP(L2458,DATA!$G$4:$H$2000,2,FALSE),"")</f>
        <v xml:space="preserve">Түмэндэлгэр </v>
      </c>
      <c r="O2458" s="152" t="str">
        <f>IFERROR(VLOOKUP(N2458,DATA!$K$4:$L$51,2,FALSE),"")</f>
        <v/>
      </c>
    </row>
    <row r="2459" spans="2:15">
      <c r="B2459" s="671">
        <f t="shared" si="232"/>
        <v>2454</v>
      </c>
      <c r="C2459" s="685">
        <v>43096</v>
      </c>
      <c r="D2459" s="614" t="s">
        <v>1785</v>
      </c>
      <c r="E2459" s="577">
        <v>110100</v>
      </c>
      <c r="F2459" s="686" t="str">
        <f>IFERROR(VLOOKUP(E2459,STAT1!$C$4:$D$8000,2,FALSE),"")</f>
        <v>Хаан Банк 5024654020</v>
      </c>
      <c r="G2459" s="614">
        <v>4000000</v>
      </c>
      <c r="H2459" s="614"/>
      <c r="I2459" s="590">
        <f t="shared" si="233"/>
        <v>4000000</v>
      </c>
      <c r="J2459" s="152">
        <f t="shared" si="234"/>
        <v>0</v>
      </c>
      <c r="K2459" s="81"/>
      <c r="L2459" s="597">
        <v>1005</v>
      </c>
      <c r="M2459" s="152" t="str">
        <f>+IFERROR(VLOOKUP(L2459,DATA!$G$4:$H$2000,2,FALSE),"")</f>
        <v>Золжаргал</v>
      </c>
      <c r="O2459" s="152" t="str">
        <f>IFERROR(VLOOKUP(N2459,DATA!$K$4:$L$51,2,FALSE),"")</f>
        <v/>
      </c>
    </row>
    <row r="2460" spans="2:15">
      <c r="B2460" s="671">
        <f t="shared" si="232"/>
        <v>2455</v>
      </c>
      <c r="C2460" s="685">
        <v>43096</v>
      </c>
      <c r="D2460" s="614" t="s">
        <v>1785</v>
      </c>
      <c r="E2460" s="577">
        <v>100100</v>
      </c>
      <c r="F2460" s="686" t="str">
        <f>IFERROR(VLOOKUP(E2460,STAT1!$C$4:$D$8000,2,FALSE),"")</f>
        <v>Касс мөнгө MNT</v>
      </c>
      <c r="G2460" s="614"/>
      <c r="H2460" s="614">
        <v>4000000</v>
      </c>
      <c r="I2460" s="590">
        <f t="shared" si="233"/>
        <v>-4000000</v>
      </c>
      <c r="J2460" s="152">
        <f t="shared" si="234"/>
        <v>0</v>
      </c>
      <c r="K2460" s="81"/>
      <c r="L2460" s="597">
        <v>1005</v>
      </c>
      <c r="M2460" s="152" t="str">
        <f>+IFERROR(VLOOKUP(L2460,DATA!$G$4:$H$2000,2,FALSE),"")</f>
        <v>Золжаргал</v>
      </c>
      <c r="O2460" s="152" t="str">
        <f>IFERROR(VLOOKUP(N2460,DATA!$K$4:$L$51,2,FALSE),"")</f>
        <v/>
      </c>
    </row>
    <row r="2461" spans="2:15">
      <c r="B2461" s="671">
        <f t="shared" si="232"/>
        <v>2456</v>
      </c>
      <c r="C2461" s="685">
        <v>43096</v>
      </c>
      <c r="D2461" s="614" t="s">
        <v>1761</v>
      </c>
      <c r="E2461" s="577">
        <v>110100</v>
      </c>
      <c r="F2461" s="686" t="str">
        <f>IFERROR(VLOOKUP(E2461,STAT1!$C$4:$D$8000,2,FALSE),"")</f>
        <v>Хаан Банк 5024654020</v>
      </c>
      <c r="G2461" s="614"/>
      <c r="H2461" s="614">
        <v>5700000</v>
      </c>
      <c r="I2461" s="590">
        <f t="shared" si="233"/>
        <v>-5700000</v>
      </c>
      <c r="J2461" s="152">
        <f t="shared" si="234"/>
        <v>0</v>
      </c>
      <c r="K2461" s="81"/>
      <c r="L2461" s="597">
        <v>2002</v>
      </c>
      <c r="M2461" s="152" t="str">
        <f>+IFERROR(VLOOKUP(L2461,DATA!$G$4:$H$2000,2,FALSE),"")</f>
        <v xml:space="preserve">ХУД-н ЭМНД ХЭЛТЭС </v>
      </c>
      <c r="N2461" s="153">
        <v>52</v>
      </c>
      <c r="O2461" s="152" t="str">
        <f>IFERROR(VLOOKUP(N2461,DATA!$K$4:$L$51,2,FALSE),"")</f>
        <v>Нийгмийн даатгалын байгууллагад төлсөн</v>
      </c>
    </row>
    <row r="2462" spans="2:15">
      <c r="B2462" s="671">
        <f t="shared" si="232"/>
        <v>2457</v>
      </c>
      <c r="C2462" s="685">
        <v>43096</v>
      </c>
      <c r="D2462" s="614" t="s">
        <v>1761</v>
      </c>
      <c r="E2462" s="692">
        <v>120900</v>
      </c>
      <c r="F2462" s="686" t="str">
        <f>IFERROR(VLOOKUP(E2462,STAT1!$C$4:$D$8000,2,FALSE),"")</f>
        <v>НД-ын байгууллагаас авах авлага</v>
      </c>
      <c r="G2462" s="614">
        <v>5700000</v>
      </c>
      <c r="H2462" s="614"/>
      <c r="I2462" s="590">
        <f t="shared" si="233"/>
        <v>0</v>
      </c>
      <c r="J2462" s="152">
        <f t="shared" si="234"/>
        <v>0</v>
      </c>
      <c r="K2462" s="81"/>
      <c r="L2462" s="597">
        <v>2002</v>
      </c>
      <c r="M2462" s="152" t="str">
        <f>+IFERROR(VLOOKUP(L2462,DATA!$G$4:$H$2000,2,FALSE),"")</f>
        <v xml:space="preserve">ХУД-н ЭМНД ХЭЛТЭС </v>
      </c>
      <c r="O2462" s="152" t="str">
        <f>IFERROR(VLOOKUP(N2462,DATA!$K$4:$L$51,2,FALSE),"")</f>
        <v/>
      </c>
    </row>
    <row r="2463" spans="2:15">
      <c r="B2463" s="671">
        <f t="shared" si="232"/>
        <v>2458</v>
      </c>
      <c r="C2463" s="685">
        <v>43096</v>
      </c>
      <c r="D2463" s="614" t="s">
        <v>1974</v>
      </c>
      <c r="E2463" s="692">
        <v>110100</v>
      </c>
      <c r="F2463" s="686" t="str">
        <f>IFERROR(VLOOKUP(E2463,STAT1!$C$4:$D$8000,2,FALSE),"")</f>
        <v>Хаан Банк 5024654020</v>
      </c>
      <c r="G2463" s="614"/>
      <c r="H2463" s="614">
        <v>300</v>
      </c>
      <c r="I2463" s="590">
        <f t="shared" si="233"/>
        <v>-300</v>
      </c>
      <c r="J2463" s="152">
        <f t="shared" si="234"/>
        <v>0</v>
      </c>
      <c r="K2463" s="81"/>
      <c r="L2463" s="597">
        <v>2009</v>
      </c>
      <c r="M2463" s="152" t="str">
        <f>+IFERROR(VLOOKUP(L2463,DATA!$G$4:$H$2000,2,FALSE),"")</f>
        <v>ХААН БАНК</v>
      </c>
      <c r="N2463" s="153">
        <v>59</v>
      </c>
      <c r="O2463" s="152" t="str">
        <f>IFERROR(VLOOKUP(N2463,DATA!$K$4:$L$51,2,FALSE),"")</f>
        <v>Бусад мөнгөн зарлага</v>
      </c>
    </row>
    <row r="2464" spans="2:15">
      <c r="B2464" s="671">
        <f t="shared" si="232"/>
        <v>2459</v>
      </c>
      <c r="C2464" s="685">
        <v>43096</v>
      </c>
      <c r="D2464" s="614" t="s">
        <v>1974</v>
      </c>
      <c r="E2464" s="692">
        <v>704900</v>
      </c>
      <c r="F2464" s="686" t="str">
        <f>IFERROR(VLOOKUP(E2464,STAT1!$C$4:$D$8000,2,FALSE),"")</f>
        <v>Банкны үйлчилгээ</v>
      </c>
      <c r="G2464" s="614">
        <v>300</v>
      </c>
      <c r="H2464" s="614"/>
      <c r="I2464" s="590">
        <f t="shared" si="233"/>
        <v>0</v>
      </c>
      <c r="J2464" s="152">
        <f t="shared" si="234"/>
        <v>0</v>
      </c>
      <c r="K2464" s="81"/>
      <c r="L2464" s="597">
        <v>2009</v>
      </c>
      <c r="M2464" s="152" t="str">
        <f>+IFERROR(VLOOKUP(L2464,DATA!$G$4:$H$2000,2,FALSE),"")</f>
        <v>ХААН БАНК</v>
      </c>
      <c r="O2464" s="152" t="str">
        <f>IFERROR(VLOOKUP(N2464,DATA!$K$4:$L$51,2,FALSE),"")</f>
        <v/>
      </c>
    </row>
    <row r="2465" spans="2:15">
      <c r="B2465" s="671">
        <f t="shared" si="232"/>
        <v>2460</v>
      </c>
      <c r="C2465" s="691">
        <v>43096</v>
      </c>
      <c r="D2465" s="693" t="s">
        <v>1741</v>
      </c>
      <c r="E2465" s="692">
        <v>100100</v>
      </c>
      <c r="F2465" s="686" t="str">
        <f>IFERROR(VLOOKUP(E2465,STAT1!$C$4:$D$8000,2,FALSE),"")</f>
        <v>Касс мөнгө MNT</v>
      </c>
      <c r="G2465" s="614">
        <v>668930</v>
      </c>
      <c r="H2465" s="614"/>
      <c r="I2465" s="590">
        <f t="shared" si="233"/>
        <v>668930</v>
      </c>
      <c r="J2465" s="152">
        <f t="shared" si="234"/>
        <v>0</v>
      </c>
      <c r="K2465" s="81"/>
      <c r="L2465" s="597">
        <v>3113</v>
      </c>
      <c r="M2465" s="152" t="str">
        <f>+IFERROR(VLOOKUP(L2465,DATA!$G$4:$H$2000,2,FALSE),"")</f>
        <v xml:space="preserve">ХАВТГАЙН ГОЛ ХХК </v>
      </c>
      <c r="N2465" s="153">
        <v>41</v>
      </c>
      <c r="O2465" s="152" t="str">
        <f>IFERROR(VLOOKUP(N2465,DATA!$K$4:$L$51,2,FALSE),"")</f>
        <v>Бараа борлуулсан, үйлчилгээ үзүүлсэний орлого</v>
      </c>
    </row>
    <row r="2466" spans="2:15">
      <c r="B2466" s="671">
        <f t="shared" si="232"/>
        <v>2461</v>
      </c>
      <c r="C2466" s="691">
        <v>43096</v>
      </c>
      <c r="D2466" s="693" t="s">
        <v>1741</v>
      </c>
      <c r="E2466" s="692">
        <v>320100</v>
      </c>
      <c r="F2466" s="686" t="str">
        <f>IFERROR(VLOOKUP(E2466,STAT1!$C$4:$D$8000,2,FALSE),"")</f>
        <v>Урьдчилж орсон орлого MNT</v>
      </c>
      <c r="G2466" s="614"/>
      <c r="H2466" s="614">
        <v>668930</v>
      </c>
      <c r="I2466" s="590">
        <f t="shared" si="233"/>
        <v>0</v>
      </c>
      <c r="J2466" s="152">
        <f t="shared" si="234"/>
        <v>0</v>
      </c>
      <c r="K2466" s="81"/>
      <c r="L2466" s="597">
        <v>3113</v>
      </c>
      <c r="M2466" s="152" t="str">
        <f>+IFERROR(VLOOKUP(L2466,DATA!$G$4:$H$2000,2,FALSE),"")</f>
        <v xml:space="preserve">ХАВТГАЙН ГОЛ ХХК </v>
      </c>
      <c r="O2466" s="152" t="str">
        <f>IFERROR(VLOOKUP(N2466,DATA!$K$4:$L$51,2,FALSE),"")</f>
        <v/>
      </c>
    </row>
    <row r="2467" spans="2:15">
      <c r="B2467" s="671">
        <f t="shared" si="232"/>
        <v>2462</v>
      </c>
      <c r="C2467" s="685">
        <v>43097</v>
      </c>
      <c r="D2467" s="614" t="s">
        <v>2626</v>
      </c>
      <c r="E2467" s="692">
        <v>120600</v>
      </c>
      <c r="F2467" s="686" t="str">
        <f>IFERROR(VLOOKUP(E2467,STAT1!$C$4:$D$8000,2,FALSE),"")</f>
        <v>НӨАТ авлага</v>
      </c>
      <c r="G2467" s="614">
        <v>17000000</v>
      </c>
      <c r="H2467" s="614"/>
      <c r="I2467" s="590">
        <f t="shared" si="233"/>
        <v>0</v>
      </c>
      <c r="J2467" s="152">
        <f t="shared" si="234"/>
        <v>0</v>
      </c>
      <c r="K2467" s="81"/>
      <c r="L2467" s="597">
        <v>2001</v>
      </c>
      <c r="M2467" s="152" t="str">
        <f>+IFERROR(VLOOKUP(L2467,DATA!$G$4:$H$2000,2,FALSE),"")</f>
        <v>ХУД-н ТАТВАРЫН ХЭЛТЭС</v>
      </c>
      <c r="O2467" s="152" t="str">
        <f>IFERROR(VLOOKUP(N2467,DATA!$K$4:$L$51,2,FALSE),"")</f>
        <v/>
      </c>
    </row>
    <row r="2468" spans="2:15">
      <c r="B2468" s="671">
        <f t="shared" si="232"/>
        <v>2463</v>
      </c>
      <c r="C2468" s="685">
        <v>43097</v>
      </c>
      <c r="D2468" s="614" t="s">
        <v>2626</v>
      </c>
      <c r="E2468" s="692">
        <v>100100</v>
      </c>
      <c r="F2468" s="686" t="str">
        <f>IFERROR(VLOOKUP(E2468,STAT1!$C$4:$D$8000,2,FALSE),"")</f>
        <v>Касс мөнгө MNT</v>
      </c>
      <c r="G2468" s="614"/>
      <c r="H2468" s="614">
        <v>17000000</v>
      </c>
      <c r="I2468" s="590">
        <f t="shared" si="233"/>
        <v>-17000000</v>
      </c>
      <c r="J2468" s="152">
        <f t="shared" si="234"/>
        <v>0</v>
      </c>
      <c r="K2468" s="81"/>
      <c r="L2468" s="597">
        <v>2001</v>
      </c>
      <c r="M2468" s="152" t="str">
        <f>+IFERROR(VLOOKUP(L2468,DATA!$G$4:$H$2000,2,FALSE),"")</f>
        <v>ХУД-н ТАТВАРЫН ХЭЛТЭС</v>
      </c>
      <c r="N2468" s="153">
        <v>57</v>
      </c>
      <c r="O2468" s="152" t="str">
        <f>IFERROR(VLOOKUP(N2468,DATA!$K$4:$L$51,2,FALSE),"")</f>
        <v>Татварын байгууллагад төлсөн</v>
      </c>
    </row>
    <row r="2469" spans="2:15">
      <c r="B2469" s="671">
        <f t="shared" si="232"/>
        <v>2464</v>
      </c>
      <c r="C2469" s="685">
        <v>43097</v>
      </c>
      <c r="D2469" s="703" t="s">
        <v>2605</v>
      </c>
      <c r="E2469" s="692">
        <v>700200</v>
      </c>
      <c r="F2469" s="686" t="str">
        <f>IFERROR(VLOOKUP(E2469,STAT1!$C$4:$D$8000,2,FALSE),"")</f>
        <v>НДШимтгэл</v>
      </c>
      <c r="G2469" s="614">
        <v>1554331.6363636365</v>
      </c>
      <c r="H2469" s="703"/>
      <c r="I2469" s="590">
        <f t="shared" si="233"/>
        <v>0</v>
      </c>
      <c r="J2469" s="152">
        <f t="shared" si="234"/>
        <v>0</v>
      </c>
      <c r="K2469" s="81"/>
      <c r="L2469" s="597">
        <v>1004</v>
      </c>
      <c r="M2469" s="152" t="str">
        <f>+IFERROR(VLOOKUP(L2469,DATA!$G$4:$H$2000,2,FALSE),"")</f>
        <v xml:space="preserve">Түмэндэлгэр </v>
      </c>
      <c r="O2469" s="152" t="str">
        <f>IFERROR(VLOOKUP(N2469,DATA!$K$4:$L$51,2,FALSE),"")</f>
        <v/>
      </c>
    </row>
    <row r="2470" spans="2:15">
      <c r="B2470" s="671">
        <f t="shared" si="232"/>
        <v>2465</v>
      </c>
      <c r="C2470" s="685">
        <v>43097</v>
      </c>
      <c r="D2470" s="703" t="s">
        <v>2605</v>
      </c>
      <c r="E2470" s="692">
        <v>310800</v>
      </c>
      <c r="F2470" s="686" t="str">
        <f>IFERROR(VLOOKUP(E2470,STAT1!$C$4:$D$8000,2,FALSE),"")</f>
        <v>НД-ын байгууллагад өгөх өглөг</v>
      </c>
      <c r="G2470" s="703"/>
      <c r="H2470" s="614">
        <v>1554331.6363636365</v>
      </c>
      <c r="I2470" s="590">
        <f t="shared" si="233"/>
        <v>0</v>
      </c>
      <c r="J2470" s="152">
        <f t="shared" si="234"/>
        <v>0</v>
      </c>
      <c r="K2470" s="81"/>
      <c r="L2470" s="597">
        <v>1004</v>
      </c>
      <c r="M2470" s="152" t="str">
        <f>+IFERROR(VLOOKUP(L2470,DATA!$G$4:$H$2000,2,FALSE),"")</f>
        <v xml:space="preserve">Түмэндэлгэр </v>
      </c>
      <c r="O2470" s="152" t="str">
        <f>IFERROR(VLOOKUP(N2470,DATA!$K$4:$L$51,2,FALSE),"")</f>
        <v/>
      </c>
    </row>
    <row r="2471" spans="2:15">
      <c r="B2471" s="671">
        <f t="shared" si="232"/>
        <v>2466</v>
      </c>
      <c r="C2471" s="685">
        <v>43097</v>
      </c>
      <c r="D2471" s="703" t="s">
        <v>2606</v>
      </c>
      <c r="E2471" s="692">
        <v>310800</v>
      </c>
      <c r="F2471" s="686" t="str">
        <f>IFERROR(VLOOKUP(E2471,STAT1!$C$4:$D$8000,2,FALSE),"")</f>
        <v>НД-ын байгууллагад өгөх өглөг</v>
      </c>
      <c r="G2471" s="703"/>
      <c r="H2471" s="614">
        <v>1293884.3636363635</v>
      </c>
      <c r="I2471" s="590">
        <f t="shared" si="233"/>
        <v>0</v>
      </c>
      <c r="J2471" s="152">
        <f t="shared" si="234"/>
        <v>0</v>
      </c>
      <c r="K2471" s="81"/>
      <c r="L2471" s="597">
        <v>1004</v>
      </c>
      <c r="M2471" s="152" t="str">
        <f>+IFERROR(VLOOKUP(L2471,DATA!$G$4:$H$2000,2,FALSE),"")</f>
        <v xml:space="preserve">Түмэндэлгэр </v>
      </c>
      <c r="O2471" s="152" t="str">
        <f>IFERROR(VLOOKUP(N2471,DATA!$K$4:$L$51,2,FALSE),"")</f>
        <v/>
      </c>
    </row>
    <row r="2472" spans="2:15">
      <c r="B2472" s="671">
        <f t="shared" si="232"/>
        <v>2467</v>
      </c>
      <c r="C2472" s="685">
        <v>43097</v>
      </c>
      <c r="D2472" s="703" t="s">
        <v>2607</v>
      </c>
      <c r="E2472" s="692">
        <v>310700</v>
      </c>
      <c r="F2472" s="686" t="str">
        <f>IFERROR(VLOOKUP(E2472,STAT1!$C$4:$D$8000,2,FALSE),"")</f>
        <v>ХАОАТ өглөг</v>
      </c>
      <c r="G2472" s="703"/>
      <c r="H2472" s="614">
        <v>1018847.9272727275</v>
      </c>
      <c r="I2472" s="590">
        <f t="shared" si="233"/>
        <v>0</v>
      </c>
      <c r="J2472" s="152">
        <f t="shared" si="234"/>
        <v>0</v>
      </c>
      <c r="K2472" s="81"/>
      <c r="L2472" s="597">
        <v>1004</v>
      </c>
      <c r="M2472" s="152" t="str">
        <f>+IFERROR(VLOOKUP(L2472,DATA!$G$4:$H$2000,2,FALSE),"")</f>
        <v xml:space="preserve">Түмэндэлгэр </v>
      </c>
      <c r="O2472" s="152" t="str">
        <f>IFERROR(VLOOKUP(N2472,DATA!$K$4:$L$51,2,FALSE),"")</f>
        <v/>
      </c>
    </row>
    <row r="2473" spans="2:15">
      <c r="B2473" s="671">
        <f t="shared" si="232"/>
        <v>2468</v>
      </c>
      <c r="C2473" s="685">
        <v>43097</v>
      </c>
      <c r="D2473" s="703" t="s">
        <v>2608</v>
      </c>
      <c r="E2473" s="692">
        <v>311000</v>
      </c>
      <c r="F2473" s="686" t="str">
        <f>IFERROR(VLOOKUP(E2473,STAT1!$C$4:$D$8000,2,FALSE),"")</f>
        <v>Цалингийн өглөг</v>
      </c>
      <c r="G2473" s="703"/>
      <c r="H2473" s="614">
        <v>10709631.345454548</v>
      </c>
      <c r="I2473" s="590">
        <f t="shared" si="233"/>
        <v>0</v>
      </c>
      <c r="J2473" s="152">
        <f t="shared" si="234"/>
        <v>0</v>
      </c>
      <c r="K2473" s="81"/>
      <c r="L2473" s="597">
        <v>1004</v>
      </c>
      <c r="M2473" s="610" t="str">
        <f>+IFERROR(VLOOKUP(L2473,DATA!$G$4:$H$2000,2,FALSE),"")</f>
        <v xml:space="preserve">Түмэндэлгэр </v>
      </c>
      <c r="O2473" s="152" t="str">
        <f>IFERROR(VLOOKUP(N2473,DATA!$K$4:$L$51,2,FALSE),"")</f>
        <v/>
      </c>
    </row>
    <row r="2474" spans="2:15">
      <c r="B2474" s="671">
        <f t="shared" si="232"/>
        <v>2469</v>
      </c>
      <c r="C2474" s="685">
        <v>43097</v>
      </c>
      <c r="D2474" s="703" t="s">
        <v>2707</v>
      </c>
      <c r="E2474" s="692">
        <v>700100</v>
      </c>
      <c r="F2474" s="686" t="str">
        <f>IFERROR(VLOOKUP(E2474,STAT1!$C$4:$D$8000,2,FALSE),"")</f>
        <v>Цалин хөлс, шагнал</v>
      </c>
      <c r="G2474" s="614">
        <v>13022363.636363639</v>
      </c>
      <c r="H2474" s="703"/>
      <c r="I2474" s="590">
        <f t="shared" si="233"/>
        <v>0</v>
      </c>
      <c r="J2474" s="152">
        <f t="shared" si="234"/>
        <v>0</v>
      </c>
      <c r="K2474" s="81"/>
      <c r="L2474" s="597">
        <v>1004</v>
      </c>
      <c r="M2474" s="611" t="str">
        <f>+IFERROR(VLOOKUP(L2474,DATA!$G$4:$H$2000,2,FALSE),"")</f>
        <v xml:space="preserve">Түмэндэлгэр </v>
      </c>
      <c r="O2474" s="152" t="str">
        <f>IFERROR(VLOOKUP(N2474,DATA!$K$4:$L$51,2,FALSE),"")</f>
        <v/>
      </c>
    </row>
    <row r="2475" spans="2:15">
      <c r="B2475" s="671">
        <f t="shared" si="232"/>
        <v>2470</v>
      </c>
      <c r="C2475" s="685">
        <v>43097</v>
      </c>
      <c r="D2475" s="614" t="s">
        <v>2608</v>
      </c>
      <c r="E2475" s="692">
        <v>100100</v>
      </c>
      <c r="F2475" s="686" t="str">
        <f>IFERROR(VLOOKUP(E2475,STAT1!$C$4:$D$8000,2,FALSE),"")</f>
        <v>Касс мөнгө MNT</v>
      </c>
      <c r="G2475" s="614"/>
      <c r="H2475" s="614">
        <v>10709631.345454548</v>
      </c>
      <c r="I2475" s="590">
        <f t="shared" si="233"/>
        <v>-10709631.345454548</v>
      </c>
      <c r="J2475" s="152">
        <f t="shared" si="234"/>
        <v>0</v>
      </c>
      <c r="K2475" s="81"/>
      <c r="L2475" s="597">
        <v>1004</v>
      </c>
      <c r="M2475" s="611" t="str">
        <f>+IFERROR(VLOOKUP(L2475,DATA!$G$4:$H$2000,2,FALSE),"")</f>
        <v xml:space="preserve">Түмэндэлгэр </v>
      </c>
      <c r="N2475" s="153">
        <v>51</v>
      </c>
      <c r="O2475" s="152" t="str">
        <f>IFERROR(VLOOKUP(N2475,DATA!$K$4:$L$51,2,FALSE),"")</f>
        <v>Ажиллагчдад төлсөн</v>
      </c>
    </row>
    <row r="2476" spans="2:15">
      <c r="B2476" s="671">
        <f t="shared" si="232"/>
        <v>2471</v>
      </c>
      <c r="C2476" s="691">
        <v>43097</v>
      </c>
      <c r="D2476" s="693" t="s">
        <v>2608</v>
      </c>
      <c r="E2476" s="692">
        <v>311000</v>
      </c>
      <c r="F2476" s="686" t="str">
        <f>IFERROR(VLOOKUP(E2476,STAT1!$C$4:$D$8000,2,FALSE),"")</f>
        <v>Цалингийн өглөг</v>
      </c>
      <c r="G2476" s="614">
        <v>10709631.345454548</v>
      </c>
      <c r="H2476" s="614"/>
      <c r="I2476" s="590">
        <f t="shared" si="233"/>
        <v>0</v>
      </c>
      <c r="J2476" s="152">
        <f t="shared" si="234"/>
        <v>0</v>
      </c>
      <c r="K2476" s="81"/>
      <c r="L2476" s="597">
        <v>1004</v>
      </c>
      <c r="M2476" s="612" t="str">
        <f>+IFERROR(VLOOKUP(L2476,DATA!$G$4:$H$2000,2,FALSE),"")</f>
        <v xml:space="preserve">Түмэндэлгэр </v>
      </c>
      <c r="O2476" s="152" t="str">
        <f>IFERROR(VLOOKUP(N2476,DATA!$K$4:$L$51,2,FALSE),"")</f>
        <v/>
      </c>
    </row>
    <row r="2477" spans="2:15">
      <c r="B2477" s="671">
        <f t="shared" ref="B2477:B2540" si="235">+IF(C2477="","",ROW()-5)</f>
        <v>2472</v>
      </c>
      <c r="C2477" s="694">
        <v>43097</v>
      </c>
      <c r="D2477" s="704" t="s">
        <v>2141</v>
      </c>
      <c r="E2477" s="705">
        <v>150101</v>
      </c>
      <c r="F2477" s="686" t="str">
        <f>IFERROR(VLOOKUP(E2477,STAT1!$C$4:$D$8000,2,FALSE),"")</f>
        <v>Бараа бэлэн бүтээгдэхүүн БОЛОВСРУУЛАХ ЦЕХ /нарс/</v>
      </c>
      <c r="G2477" s="614"/>
      <c r="H2477" s="614">
        <v>91298.23</v>
      </c>
      <c r="I2477" s="590">
        <f t="shared" si="233"/>
        <v>0</v>
      </c>
      <c r="J2477" s="152">
        <f t="shared" si="234"/>
        <v>0</v>
      </c>
      <c r="K2477" s="81"/>
      <c r="L2477" s="673">
        <v>4002</v>
      </c>
      <c r="M2477" s="152" t="str">
        <f>+IFERROR(VLOOKUP(L2477,DATA!$G$4:$H$2000,2,FALSE),"")</f>
        <v xml:space="preserve">Хувь хүн </v>
      </c>
      <c r="O2477" s="152" t="str">
        <f>IFERROR(VLOOKUP(N2477,DATA!$K$4:$L$51,2,FALSE),"")</f>
        <v/>
      </c>
    </row>
    <row r="2478" spans="2:15">
      <c r="B2478" s="671">
        <f t="shared" si="235"/>
        <v>2473</v>
      </c>
      <c r="C2478" s="694">
        <v>43097</v>
      </c>
      <c r="D2478" s="704" t="s">
        <v>587</v>
      </c>
      <c r="E2478" s="705">
        <v>610100</v>
      </c>
      <c r="F2478" s="686" t="str">
        <f>IFERROR(VLOOKUP(E2478,STAT1!$C$4:$D$8000,2,FALSE),"")</f>
        <v>Борлуулсан барааны өртөг</v>
      </c>
      <c r="G2478" s="614">
        <v>91298.23</v>
      </c>
      <c r="H2478" s="614"/>
      <c r="I2478" s="590">
        <f t="shared" si="233"/>
        <v>0</v>
      </c>
      <c r="J2478" s="152">
        <f t="shared" si="234"/>
        <v>0</v>
      </c>
      <c r="K2478" s="81"/>
      <c r="L2478" s="673">
        <v>4002</v>
      </c>
      <c r="M2478" s="152" t="str">
        <f>+IFERROR(VLOOKUP(L2478,DATA!$G$4:$H$2000,2,FALSE),"")</f>
        <v xml:space="preserve">Хувь хүн </v>
      </c>
      <c r="O2478" s="152" t="str">
        <f>IFERROR(VLOOKUP(N2478,DATA!$K$4:$L$51,2,FALSE),"")</f>
        <v/>
      </c>
    </row>
    <row r="2479" spans="2:15">
      <c r="B2479" s="671">
        <f t="shared" si="235"/>
        <v>2474</v>
      </c>
      <c r="C2479" s="694">
        <v>43097</v>
      </c>
      <c r="D2479" s="704" t="s">
        <v>587</v>
      </c>
      <c r="E2479" s="688">
        <v>310500</v>
      </c>
      <c r="F2479" s="686" t="str">
        <f>IFERROR(VLOOKUP(E2479,STAT1!$C$4:$D$8000,2,FALSE),"")</f>
        <v>НӨАТ өглөг</v>
      </c>
      <c r="G2479" s="614"/>
      <c r="H2479" s="614">
        <v>21150</v>
      </c>
      <c r="I2479" s="590">
        <f t="shared" si="233"/>
        <v>0</v>
      </c>
      <c r="J2479" s="152">
        <f t="shared" si="234"/>
        <v>0</v>
      </c>
      <c r="K2479" s="81"/>
      <c r="L2479" s="673">
        <v>4002</v>
      </c>
      <c r="M2479" s="152" t="str">
        <f>+IFERROR(VLOOKUP(L2479,DATA!$G$4:$H$2000,2,FALSE),"")</f>
        <v xml:space="preserve">Хувь хүн </v>
      </c>
      <c r="O2479" s="152" t="str">
        <f>IFERROR(VLOOKUP(N2479,DATA!$K$4:$L$51,2,FALSE),"")</f>
        <v/>
      </c>
    </row>
    <row r="2480" spans="2:15">
      <c r="B2480" s="671">
        <f t="shared" si="235"/>
        <v>2475</v>
      </c>
      <c r="C2480" s="694">
        <v>43097</v>
      </c>
      <c r="D2480" s="704" t="s">
        <v>587</v>
      </c>
      <c r="E2480" s="688">
        <v>510000</v>
      </c>
      <c r="F2480" s="686" t="str">
        <f>IFERROR(VLOOKUP(E2480,STAT1!$C$4:$D$8000,2,FALSE),"")</f>
        <v>Үндсэн үйл ажиллагааны борлуулалт</v>
      </c>
      <c r="G2480" s="614"/>
      <c r="H2480" s="614">
        <v>211500</v>
      </c>
      <c r="I2480" s="590">
        <f t="shared" si="233"/>
        <v>0</v>
      </c>
      <c r="J2480" s="152">
        <f t="shared" si="234"/>
        <v>0</v>
      </c>
      <c r="K2480" s="81"/>
      <c r="L2480" s="673">
        <v>4002</v>
      </c>
      <c r="M2480" s="152" t="str">
        <f>+IFERROR(VLOOKUP(L2480,DATA!$G$4:$H$2000,2,FALSE),"")</f>
        <v xml:space="preserve">Хувь хүн </v>
      </c>
      <c r="O2480" s="152" t="str">
        <f>IFERROR(VLOOKUP(N2480,DATA!$K$4:$L$51,2,FALSE),"")</f>
        <v/>
      </c>
    </row>
    <row r="2481" spans="2:15">
      <c r="B2481" s="671">
        <f t="shared" si="235"/>
        <v>2476</v>
      </c>
      <c r="C2481" s="694">
        <v>43097</v>
      </c>
      <c r="D2481" s="704" t="s">
        <v>587</v>
      </c>
      <c r="E2481" s="688">
        <v>320100</v>
      </c>
      <c r="F2481" s="686" t="str">
        <f>IFERROR(VLOOKUP(E2481,STAT1!$C$4:$D$8000,2,FALSE),"")</f>
        <v>Урьдчилж орсон орлого MNT</v>
      </c>
      <c r="G2481" s="614">
        <v>232650</v>
      </c>
      <c r="H2481" s="614"/>
      <c r="I2481" s="590">
        <f t="shared" si="233"/>
        <v>0</v>
      </c>
      <c r="J2481" s="152">
        <f t="shared" si="234"/>
        <v>0</v>
      </c>
      <c r="K2481" s="81"/>
      <c r="L2481" s="673">
        <v>4002</v>
      </c>
      <c r="M2481" s="152" t="str">
        <f>+IFERROR(VLOOKUP(L2481,DATA!$G$4:$H$2000,2,FALSE),"")</f>
        <v xml:space="preserve">Хувь хүн </v>
      </c>
      <c r="O2481" s="152" t="str">
        <f>IFERROR(VLOOKUP(N2481,DATA!$K$4:$L$51,2,FALSE),"")</f>
        <v/>
      </c>
    </row>
    <row r="2482" spans="2:15">
      <c r="B2482" s="671">
        <f t="shared" si="235"/>
        <v>2477</v>
      </c>
      <c r="C2482" s="694">
        <v>43097</v>
      </c>
      <c r="D2482" s="704" t="s">
        <v>2141</v>
      </c>
      <c r="E2482" s="688">
        <v>150101</v>
      </c>
      <c r="F2482" s="686" t="str">
        <f>IFERROR(VLOOKUP(E2482,STAT1!$C$4:$D$8000,2,FALSE),"")</f>
        <v>Бараа бэлэн бүтээгдэхүүн БОЛОВСРУУЛАХ ЦЕХ /нарс/</v>
      </c>
      <c r="G2482" s="614"/>
      <c r="H2482" s="614">
        <v>7770.06</v>
      </c>
      <c r="I2482" s="590">
        <f t="shared" si="233"/>
        <v>0</v>
      </c>
      <c r="J2482" s="152">
        <f t="shared" si="234"/>
        <v>0</v>
      </c>
      <c r="L2482" s="676">
        <v>3113</v>
      </c>
      <c r="M2482" s="152" t="str">
        <f>+IFERROR(VLOOKUP(L2482,DATA!$G$4:$H$2000,2,FALSE),"")</f>
        <v xml:space="preserve">ХАВТГАЙН ГОЛ ХХК </v>
      </c>
      <c r="O2482" s="152" t="str">
        <f>IFERROR(VLOOKUP(N2482,DATA!$K$4:$L$51,2,FALSE),"")</f>
        <v/>
      </c>
    </row>
    <row r="2483" spans="2:15">
      <c r="B2483" s="671">
        <f t="shared" si="235"/>
        <v>2478</v>
      </c>
      <c r="C2483" s="694">
        <v>43097</v>
      </c>
      <c r="D2483" s="704" t="s">
        <v>587</v>
      </c>
      <c r="E2483" s="705">
        <v>610100</v>
      </c>
      <c r="F2483" s="686" t="str">
        <f>IFERROR(VLOOKUP(E2483,STAT1!$C$4:$D$8000,2,FALSE),"")</f>
        <v>Борлуулсан барааны өртөг</v>
      </c>
      <c r="G2483" s="614">
        <v>7770.06</v>
      </c>
      <c r="H2483" s="614"/>
      <c r="I2483" s="590">
        <f t="shared" si="233"/>
        <v>0</v>
      </c>
      <c r="J2483" s="152">
        <f t="shared" si="234"/>
        <v>0</v>
      </c>
      <c r="L2483" s="676">
        <v>3113</v>
      </c>
      <c r="M2483" s="152" t="str">
        <f>+IFERROR(VLOOKUP(L2483,DATA!$G$4:$H$2000,2,FALSE),"")</f>
        <v xml:space="preserve">ХАВТГАЙН ГОЛ ХХК </v>
      </c>
      <c r="O2483" s="152" t="str">
        <f>IFERROR(VLOOKUP(N2483,DATA!$K$4:$L$51,2,FALSE),"")</f>
        <v/>
      </c>
    </row>
    <row r="2484" spans="2:15">
      <c r="B2484" s="671">
        <f t="shared" si="235"/>
        <v>2479</v>
      </c>
      <c r="C2484" s="694">
        <v>43097</v>
      </c>
      <c r="D2484" s="704" t="s">
        <v>587</v>
      </c>
      <c r="E2484" s="705">
        <v>310500</v>
      </c>
      <c r="F2484" s="686" t="str">
        <f>IFERROR(VLOOKUP(E2484,STAT1!$C$4:$D$8000,2,FALSE),"")</f>
        <v>НӨАТ өглөг</v>
      </c>
      <c r="G2484" s="614"/>
      <c r="H2484" s="614">
        <v>1800</v>
      </c>
      <c r="I2484" s="590">
        <f t="shared" si="233"/>
        <v>0</v>
      </c>
      <c r="J2484" s="152">
        <f t="shared" si="234"/>
        <v>0</v>
      </c>
      <c r="L2484" s="676">
        <v>3113</v>
      </c>
      <c r="M2484" s="152" t="str">
        <f>+IFERROR(VLOOKUP(L2484,DATA!$G$4:$H$2000,2,FALSE),"")</f>
        <v xml:space="preserve">ХАВТГАЙН ГОЛ ХХК </v>
      </c>
      <c r="O2484" s="152" t="str">
        <f>IFERROR(VLOOKUP(N2484,DATA!$K$4:$L$51,2,FALSE),"")</f>
        <v/>
      </c>
    </row>
    <row r="2485" spans="2:15">
      <c r="B2485" s="671">
        <f t="shared" si="235"/>
        <v>2480</v>
      </c>
      <c r="C2485" s="694">
        <v>43097</v>
      </c>
      <c r="D2485" s="704" t="s">
        <v>587</v>
      </c>
      <c r="E2485" s="705">
        <v>510000</v>
      </c>
      <c r="F2485" s="686" t="str">
        <f>IFERROR(VLOOKUP(E2485,STAT1!$C$4:$D$8000,2,FALSE),"")</f>
        <v>Үндсэн үйл ажиллагааны борлуулалт</v>
      </c>
      <c r="G2485" s="614"/>
      <c r="H2485" s="614">
        <v>18000</v>
      </c>
      <c r="I2485" s="590">
        <f t="shared" si="233"/>
        <v>0</v>
      </c>
      <c r="J2485" s="152">
        <f t="shared" si="234"/>
        <v>0</v>
      </c>
      <c r="L2485" s="676">
        <v>3113</v>
      </c>
      <c r="M2485" s="152" t="str">
        <f>+IFERROR(VLOOKUP(L2485,DATA!$G$4:$H$2000,2,FALSE),"")</f>
        <v xml:space="preserve">ХАВТГАЙН ГОЛ ХХК </v>
      </c>
      <c r="O2485" s="152" t="str">
        <f>IFERROR(VLOOKUP(N2485,DATA!$K$4:$L$51,2,FALSE),"")</f>
        <v/>
      </c>
    </row>
    <row r="2486" spans="2:15">
      <c r="B2486" s="671">
        <f t="shared" si="235"/>
        <v>2481</v>
      </c>
      <c r="C2486" s="694">
        <v>43097</v>
      </c>
      <c r="D2486" s="704" t="s">
        <v>587</v>
      </c>
      <c r="E2486" s="705">
        <v>320100</v>
      </c>
      <c r="F2486" s="686" t="str">
        <f>IFERROR(VLOOKUP(E2486,STAT1!$C$4:$D$8000,2,FALSE),"")</f>
        <v>Урьдчилж орсон орлого MNT</v>
      </c>
      <c r="G2486" s="614">
        <v>19800</v>
      </c>
      <c r="H2486" s="614"/>
      <c r="I2486" s="590">
        <f t="shared" si="233"/>
        <v>0</v>
      </c>
      <c r="J2486" s="152">
        <f t="shared" si="234"/>
        <v>0</v>
      </c>
      <c r="L2486" s="676">
        <v>3113</v>
      </c>
      <c r="M2486" s="152" t="str">
        <f>+IFERROR(VLOOKUP(L2486,DATA!$G$4:$H$2000,2,FALSE),"")</f>
        <v xml:space="preserve">ХАВТГАЙН ГОЛ ХХК </v>
      </c>
      <c r="O2486" s="152" t="str">
        <f>IFERROR(VLOOKUP(N2486,DATA!$K$4:$L$51,2,FALSE),"")</f>
        <v/>
      </c>
    </row>
    <row r="2487" spans="2:15">
      <c r="B2487" s="671">
        <f t="shared" si="235"/>
        <v>2482</v>
      </c>
      <c r="C2487" s="685">
        <v>43100</v>
      </c>
      <c r="D2487" s="614" t="s">
        <v>1766</v>
      </c>
      <c r="E2487" s="692">
        <v>701600</v>
      </c>
      <c r="F2487" s="686" t="str">
        <f>IFERROR(VLOOKUP(E2487,STAT1!$C$4:$D$8000,2,FALSE),"")</f>
        <v>Элэгдэл, хорогдлын зардал</v>
      </c>
      <c r="G2487" s="614">
        <v>6661875</v>
      </c>
      <c r="H2487" s="614"/>
      <c r="I2487" s="590">
        <f t="shared" si="233"/>
        <v>0</v>
      </c>
      <c r="J2487" s="152">
        <f t="shared" si="234"/>
        <v>0</v>
      </c>
      <c r="L2487" s="703">
        <v>1004</v>
      </c>
      <c r="M2487" s="152" t="str">
        <f>+IFERROR(VLOOKUP(L2487,DATA!$G$4:$H$2000,2,FALSE),"")</f>
        <v xml:space="preserve">Түмэндэлгэр </v>
      </c>
      <c r="O2487" s="152" t="str">
        <f>IFERROR(VLOOKUP(N2487,DATA!$K$4:$L$51,2,FALSE),"")</f>
        <v/>
      </c>
    </row>
    <row r="2488" spans="2:15">
      <c r="B2488" s="671">
        <f t="shared" si="235"/>
        <v>2483</v>
      </c>
      <c r="C2488" s="685">
        <v>43100</v>
      </c>
      <c r="D2488" s="614" t="s">
        <v>1766</v>
      </c>
      <c r="E2488" s="692">
        <v>201200</v>
      </c>
      <c r="F2488" s="686" t="str">
        <f>IFERROR(VLOOKUP(E2488,STAT1!$C$4:$D$8000,2,FALSE),"")</f>
        <v>Хур. элэгдэл - Барилга байгууламж</v>
      </c>
      <c r="G2488" s="614"/>
      <c r="H2488" s="614">
        <v>6661875</v>
      </c>
      <c r="I2488" s="590">
        <f t="shared" si="233"/>
        <v>0</v>
      </c>
      <c r="J2488" s="152">
        <f t="shared" si="234"/>
        <v>0</v>
      </c>
      <c r="L2488" s="703">
        <v>1004</v>
      </c>
      <c r="M2488" s="152" t="str">
        <f>+IFERROR(VLOOKUP(L2488,DATA!$G$4:$H$2000,2,FALSE),"")</f>
        <v xml:space="preserve">Түмэндэлгэр </v>
      </c>
      <c r="O2488" s="152" t="str">
        <f>IFERROR(VLOOKUP(N2488,DATA!$K$4:$L$51,2,FALSE),"")</f>
        <v/>
      </c>
    </row>
    <row r="2489" spans="2:15">
      <c r="B2489" s="671">
        <f t="shared" si="235"/>
        <v>2484</v>
      </c>
      <c r="C2489" s="685">
        <v>43100</v>
      </c>
      <c r="D2489" s="614" t="s">
        <v>1767</v>
      </c>
      <c r="E2489" s="692">
        <v>701600</v>
      </c>
      <c r="F2489" s="686" t="str">
        <f>IFERROR(VLOOKUP(E2489,STAT1!$C$4:$D$8000,2,FALSE),"")</f>
        <v>Элэгдэл, хорогдлын зардал</v>
      </c>
      <c r="G2489" s="614">
        <v>73072.72</v>
      </c>
      <c r="H2489" s="614"/>
      <c r="I2489" s="590">
        <f t="shared" si="233"/>
        <v>0</v>
      </c>
      <c r="J2489" s="152">
        <f t="shared" si="234"/>
        <v>0</v>
      </c>
      <c r="L2489" s="703">
        <v>1004</v>
      </c>
      <c r="M2489" s="152" t="str">
        <f>+IFERROR(VLOOKUP(L2489,DATA!$G$4:$H$2000,2,FALSE),"")</f>
        <v xml:space="preserve">Түмэндэлгэр </v>
      </c>
      <c r="O2489" s="152" t="str">
        <f>IFERROR(VLOOKUP(N2489,DATA!$K$4:$L$51,2,FALSE),"")</f>
        <v/>
      </c>
    </row>
    <row r="2490" spans="2:15">
      <c r="B2490" s="671">
        <f t="shared" si="235"/>
        <v>2485</v>
      </c>
      <c r="C2490" s="685">
        <v>43100</v>
      </c>
      <c r="D2490" s="614" t="s">
        <v>1767</v>
      </c>
      <c r="E2490" s="692">
        <v>201300</v>
      </c>
      <c r="F2490" s="686" t="str">
        <f>IFERROR(VLOOKUP(E2490,STAT1!$C$4:$D$8000,2,FALSE),"")</f>
        <v>Хур. элэгдэл - Тавилга эд хогшил</v>
      </c>
      <c r="G2490" s="614"/>
      <c r="H2490" s="614">
        <v>73072.72</v>
      </c>
      <c r="I2490" s="590">
        <f t="shared" si="233"/>
        <v>0</v>
      </c>
      <c r="J2490" s="152">
        <f t="shared" si="234"/>
        <v>0</v>
      </c>
      <c r="L2490" s="703">
        <v>1004</v>
      </c>
      <c r="M2490" s="152" t="str">
        <f>+IFERROR(VLOOKUP(L2490,DATA!$G$4:$H$2000,2,FALSE),"")</f>
        <v xml:space="preserve">Түмэндэлгэр </v>
      </c>
      <c r="O2490" s="152" t="str">
        <f>IFERROR(VLOOKUP(N2490,DATA!$K$4:$L$51,2,FALSE),"")</f>
        <v/>
      </c>
    </row>
    <row r="2491" spans="2:15">
      <c r="B2491" s="671">
        <f t="shared" si="235"/>
        <v>2486</v>
      </c>
      <c r="C2491" s="685">
        <v>43100</v>
      </c>
      <c r="D2491" s="614" t="s">
        <v>1768</v>
      </c>
      <c r="E2491" s="692">
        <v>701600</v>
      </c>
      <c r="F2491" s="686" t="str">
        <f>IFERROR(VLOOKUP(E2491,STAT1!$C$4:$D$8000,2,FALSE),"")</f>
        <v>Элэгдэл, хорогдлын зардал</v>
      </c>
      <c r="G2491" s="614">
        <v>16634720.9</v>
      </c>
      <c r="H2491" s="614"/>
      <c r="I2491" s="590">
        <f t="shared" si="233"/>
        <v>0</v>
      </c>
      <c r="J2491" s="152">
        <f t="shared" si="234"/>
        <v>0</v>
      </c>
      <c r="L2491" s="703">
        <v>1004</v>
      </c>
      <c r="M2491" s="152" t="str">
        <f>+IFERROR(VLOOKUP(L2491,DATA!$G$4:$H$2000,2,FALSE),"")</f>
        <v xml:space="preserve">Түмэндэлгэр </v>
      </c>
      <c r="O2491" s="152" t="str">
        <f>IFERROR(VLOOKUP(N2491,DATA!$K$4:$L$51,2,FALSE),"")</f>
        <v/>
      </c>
    </row>
    <row r="2492" spans="2:15">
      <c r="B2492" s="671">
        <f t="shared" si="235"/>
        <v>2487</v>
      </c>
      <c r="C2492" s="685">
        <v>43100</v>
      </c>
      <c r="D2492" s="614" t="s">
        <v>1768</v>
      </c>
      <c r="E2492" s="577">
        <v>201400</v>
      </c>
      <c r="F2492" s="686" t="str">
        <f>IFERROR(VLOOKUP(E2492,STAT1!$C$4:$D$8000,2,FALSE),"")</f>
        <v>Хур. элэгдэл - Машин тоног төхөөрөмж</v>
      </c>
      <c r="G2492" s="614"/>
      <c r="H2492" s="614">
        <v>16634720.9</v>
      </c>
      <c r="I2492" s="590">
        <f t="shared" si="233"/>
        <v>0</v>
      </c>
      <c r="J2492" s="152">
        <f t="shared" si="234"/>
        <v>0</v>
      </c>
      <c r="L2492" s="703">
        <v>1004</v>
      </c>
      <c r="M2492" s="152" t="str">
        <f>+IFERROR(VLOOKUP(L2492,DATA!$G$4:$H$2000,2,FALSE),"")</f>
        <v xml:space="preserve">Түмэндэлгэр </v>
      </c>
      <c r="O2492" s="152" t="str">
        <f>IFERROR(VLOOKUP(N2492,DATA!$K$4:$L$51,2,FALSE),"")</f>
        <v/>
      </c>
    </row>
    <row r="2493" spans="2:15">
      <c r="B2493" s="671">
        <f t="shared" si="235"/>
        <v>2488</v>
      </c>
      <c r="C2493" s="685">
        <v>43100</v>
      </c>
      <c r="D2493" s="614" t="s">
        <v>2585</v>
      </c>
      <c r="E2493" s="577">
        <v>701600</v>
      </c>
      <c r="F2493" s="686" t="str">
        <f>IFERROR(VLOOKUP(E2493,STAT1!$C$4:$D$8000,2,FALSE),"")</f>
        <v>Элэгдэл, хорогдлын зардал</v>
      </c>
      <c r="G2493" s="614">
        <v>4245000</v>
      </c>
      <c r="H2493" s="614"/>
      <c r="I2493" s="590">
        <f t="shared" si="233"/>
        <v>0</v>
      </c>
      <c r="J2493" s="152">
        <f t="shared" si="234"/>
        <v>0</v>
      </c>
      <c r="L2493" s="703">
        <v>1004</v>
      </c>
      <c r="M2493" s="152" t="str">
        <f>+IFERROR(VLOOKUP(L2493,DATA!$G$4:$H$2000,2,FALSE),"")</f>
        <v xml:space="preserve">Түмэндэлгэр </v>
      </c>
      <c r="O2493" s="152" t="str">
        <f>IFERROR(VLOOKUP(N2493,DATA!$K$4:$L$51,2,FALSE),"")</f>
        <v/>
      </c>
    </row>
    <row r="2494" spans="2:15">
      <c r="B2494" s="671">
        <f t="shared" si="235"/>
        <v>2489</v>
      </c>
      <c r="C2494" s="691">
        <v>43100</v>
      </c>
      <c r="D2494" s="614" t="s">
        <v>2585</v>
      </c>
      <c r="E2494" s="577">
        <v>201500</v>
      </c>
      <c r="F2494" s="686" t="str">
        <f>IFERROR(VLOOKUP(E2494,STAT1!$C$4:$D$8000,2,FALSE),"")</f>
        <v>Хур. элэгдэл - Тээврийн хэрэгсэл</v>
      </c>
      <c r="G2494" s="614"/>
      <c r="H2494" s="614">
        <v>4245000</v>
      </c>
      <c r="I2494" s="590">
        <f t="shared" si="233"/>
        <v>0</v>
      </c>
      <c r="J2494" s="152">
        <f t="shared" si="234"/>
        <v>0</v>
      </c>
      <c r="L2494" s="703">
        <v>1004</v>
      </c>
      <c r="M2494" s="152" t="str">
        <f>+IFERROR(VLOOKUP(L2494,DATA!$G$4:$H$2000,2,FALSE),"")</f>
        <v xml:space="preserve">Түмэндэлгэр </v>
      </c>
      <c r="O2494" s="152" t="str">
        <f>IFERROR(VLOOKUP(N2494,DATA!$K$4:$L$51,2,FALSE),"")</f>
        <v/>
      </c>
    </row>
    <row r="2495" spans="2:15">
      <c r="B2495" s="671">
        <f t="shared" si="235"/>
        <v>2490</v>
      </c>
      <c r="C2495" s="691">
        <v>43100</v>
      </c>
      <c r="D2495" s="693" t="s">
        <v>1751</v>
      </c>
      <c r="E2495" s="692">
        <v>110100</v>
      </c>
      <c r="F2495" s="686" t="str">
        <f>IFERROR(VLOOKUP(E2495,STAT1!$C$4:$D$8000,2,FALSE),"")</f>
        <v>Хаан Банк 5024654020</v>
      </c>
      <c r="G2495" s="614"/>
      <c r="H2495" s="614">
        <v>2000</v>
      </c>
      <c r="I2495" s="590">
        <f t="shared" si="233"/>
        <v>-2000</v>
      </c>
      <c r="J2495" s="152">
        <f t="shared" si="234"/>
        <v>0</v>
      </c>
      <c r="L2495" s="703">
        <v>2009</v>
      </c>
      <c r="M2495" s="152" t="str">
        <f>+IFERROR(VLOOKUP(L2495,DATA!$G$4:$H$2000,2,FALSE),"")</f>
        <v>ХААН БАНК</v>
      </c>
      <c r="N2495" s="153">
        <v>59</v>
      </c>
      <c r="O2495" s="152" t="str">
        <f>IFERROR(VLOOKUP(N2495,DATA!$K$4:$L$51,2,FALSE),"")</f>
        <v>Бусад мөнгөн зарлага</v>
      </c>
    </row>
    <row r="2496" spans="2:15">
      <c r="B2496" s="671">
        <f t="shared" si="235"/>
        <v>2491</v>
      </c>
      <c r="C2496" s="691">
        <v>43100</v>
      </c>
      <c r="D2496" s="693" t="s">
        <v>1751</v>
      </c>
      <c r="E2496" s="692">
        <v>704900</v>
      </c>
      <c r="F2496" s="686" t="str">
        <f>IFERROR(VLOOKUP(E2496,STAT1!$C$4:$D$8000,2,FALSE),"")</f>
        <v>Банкны үйлчилгээ</v>
      </c>
      <c r="G2496" s="614">
        <v>2000</v>
      </c>
      <c r="H2496" s="614"/>
      <c r="I2496" s="590">
        <f t="shared" si="233"/>
        <v>0</v>
      </c>
      <c r="J2496" s="152">
        <f t="shared" si="234"/>
        <v>0</v>
      </c>
      <c r="L2496" s="703">
        <v>2009</v>
      </c>
      <c r="M2496" s="152" t="str">
        <f>+IFERROR(VLOOKUP(L2496,DATA!$G$4:$H$2000,2,FALSE),"")</f>
        <v>ХААН БАНК</v>
      </c>
      <c r="O2496" s="152" t="str">
        <f>IFERROR(VLOOKUP(N2496,DATA!$K$4:$L$51,2,FALSE),"")</f>
        <v/>
      </c>
    </row>
    <row r="2497" spans="2:15">
      <c r="B2497" s="671">
        <f t="shared" si="235"/>
        <v>2492</v>
      </c>
      <c r="C2497" s="685">
        <v>43100</v>
      </c>
      <c r="D2497" s="614" t="s">
        <v>2635</v>
      </c>
      <c r="E2497" s="692">
        <v>700100</v>
      </c>
      <c r="F2497" s="686" t="str">
        <f>IFERROR(VLOOKUP(E2497,STAT1!$C$4:$D$8000,2,FALSE),"")</f>
        <v>Цалин хөлс, шагнал</v>
      </c>
      <c r="G2497" s="614"/>
      <c r="H2497" s="614">
        <v>19536465.140000001</v>
      </c>
      <c r="I2497" s="590">
        <f t="shared" si="233"/>
        <v>0</v>
      </c>
      <c r="J2497" s="152">
        <f t="shared" si="234"/>
        <v>0</v>
      </c>
      <c r="L2497" s="703">
        <v>1005</v>
      </c>
      <c r="M2497" s="152" t="str">
        <f>+IFERROR(VLOOKUP(L2497,DATA!$G$4:$H$2000,2,FALSE),"")</f>
        <v>Золжаргал</v>
      </c>
      <c r="O2497" s="152" t="str">
        <f>IFERROR(VLOOKUP(N2497,DATA!$K$4:$L$51,2,FALSE),"")</f>
        <v/>
      </c>
    </row>
    <row r="2498" spans="2:15">
      <c r="B2498" s="671">
        <f t="shared" si="235"/>
        <v>2493</v>
      </c>
      <c r="C2498" s="685">
        <v>43100</v>
      </c>
      <c r="D2498" s="614" t="s">
        <v>2635</v>
      </c>
      <c r="E2498" s="692">
        <v>141301</v>
      </c>
      <c r="F2498" s="686" t="str">
        <f>IFERROR(VLOOKUP(E2498,STAT1!$C$4:$D$8000,2,FALSE),"")</f>
        <v xml:space="preserve">ШХЗардал БУСАД </v>
      </c>
      <c r="G2498" s="614">
        <v>1759214.55</v>
      </c>
      <c r="H2498" s="614"/>
      <c r="I2498" s="590">
        <f t="shared" si="233"/>
        <v>0</v>
      </c>
      <c r="J2498" s="152">
        <f t="shared" si="234"/>
        <v>0</v>
      </c>
      <c r="L2498" s="703">
        <v>1005</v>
      </c>
      <c r="M2498" s="152" t="str">
        <f>+IFERROR(VLOOKUP(L2498,DATA!$G$4:$H$2000,2,FALSE),"")</f>
        <v>Золжаргал</v>
      </c>
      <c r="O2498" s="152" t="str">
        <f>IFERROR(VLOOKUP(N2498,DATA!$K$4:$L$51,2,FALSE),"")</f>
        <v/>
      </c>
    </row>
    <row r="2499" spans="2:15">
      <c r="B2499" s="671">
        <f t="shared" si="235"/>
        <v>2494</v>
      </c>
      <c r="C2499" s="685">
        <v>43100</v>
      </c>
      <c r="D2499" s="614" t="s">
        <v>2635</v>
      </c>
      <c r="E2499" s="692">
        <v>140301</v>
      </c>
      <c r="F2499" s="686" t="str">
        <f>IFERROR(VLOOKUP(E2499,STAT1!$C$4:$D$8000,2,FALSE),"")</f>
        <v>ШХЗрдал БОЛОВСРУУЛАХ ЦЕХ /нарс/</v>
      </c>
      <c r="G2499" s="614">
        <v>17777250.59</v>
      </c>
      <c r="H2499" s="614"/>
      <c r="I2499" s="590">
        <f t="shared" si="233"/>
        <v>0</v>
      </c>
      <c r="J2499" s="152">
        <f t="shared" si="234"/>
        <v>0</v>
      </c>
      <c r="L2499" s="703">
        <v>1005</v>
      </c>
      <c r="M2499" s="152" t="str">
        <f>+IFERROR(VLOOKUP(L2499,DATA!$G$4:$H$2000,2,FALSE),"")</f>
        <v>Золжаргал</v>
      </c>
      <c r="O2499" s="152" t="str">
        <f>IFERROR(VLOOKUP(N2499,DATA!$K$4:$L$51,2,FALSE),"")</f>
        <v/>
      </c>
    </row>
    <row r="2500" spans="2:15">
      <c r="B2500" s="671">
        <f t="shared" si="235"/>
        <v>2495</v>
      </c>
      <c r="C2500" s="685">
        <v>43100</v>
      </c>
      <c r="D2500" s="614" t="s">
        <v>2636</v>
      </c>
      <c r="E2500" s="692">
        <v>700200</v>
      </c>
      <c r="F2500" s="686" t="str">
        <f>IFERROR(VLOOKUP(E2500,STAT1!$C$4:$D$8000,2,FALSE),"")</f>
        <v>НДШимтгэл</v>
      </c>
      <c r="G2500" s="614"/>
      <c r="H2500" s="614">
        <v>2483456.8199999998</v>
      </c>
      <c r="I2500" s="590">
        <f t="shared" ref="I2500:I2537" si="236">+IF(OR(E2500=100100,E2500=100200,E2500=110100,E2500=110102,E2500=110103,E2500=110104,E2500=110105,E2500=110200,E2500=110201,E2500=110202,E2500=110203,E2500=110204,E2500=110300),G2500,0)+IF(OR(E2500=100100,E2500=100200,E2500=110100,E2500=110102,E2500=110103,E2500=110104,E2500=110105,E2500=110200,E2500=110201,E2500=110202,E2500=110203,E2500=110204,E2500=110300),H2500*-1,0)</f>
        <v>0</v>
      </c>
      <c r="J2500" s="152">
        <f t="shared" si="234"/>
        <v>0</v>
      </c>
      <c r="L2500" s="703">
        <v>1005</v>
      </c>
      <c r="M2500" s="152" t="str">
        <f>+IFERROR(VLOOKUP(L2500,DATA!$G$4:$H$2000,2,FALSE),"")</f>
        <v>Золжаргал</v>
      </c>
      <c r="O2500" s="152" t="str">
        <f>IFERROR(VLOOKUP(N2500,DATA!$K$4:$L$51,2,FALSE),"")</f>
        <v/>
      </c>
    </row>
    <row r="2501" spans="2:15">
      <c r="B2501" s="671">
        <f t="shared" si="235"/>
        <v>2496</v>
      </c>
      <c r="C2501" s="685">
        <v>43100</v>
      </c>
      <c r="D2501" s="614" t="s">
        <v>2636</v>
      </c>
      <c r="E2501" s="692">
        <v>141301</v>
      </c>
      <c r="F2501" s="686" t="str">
        <f>IFERROR(VLOOKUP(E2501,STAT1!$C$4:$D$8000,2,FALSE),"")</f>
        <v xml:space="preserve">ШХЗардал БУСАД </v>
      </c>
      <c r="G2501" s="614">
        <v>211105.75</v>
      </c>
      <c r="H2501" s="614"/>
      <c r="I2501" s="590">
        <f t="shared" si="236"/>
        <v>0</v>
      </c>
      <c r="J2501" s="152">
        <f t="shared" si="234"/>
        <v>0</v>
      </c>
      <c r="L2501" s="703">
        <v>1005</v>
      </c>
      <c r="M2501" s="152" t="str">
        <f>+IFERROR(VLOOKUP(L2501,DATA!$G$4:$H$2000,2,FALSE),"")</f>
        <v>Золжаргал</v>
      </c>
      <c r="O2501" s="152" t="str">
        <f>IFERROR(VLOOKUP(N2501,DATA!$K$4:$L$51,2,FALSE),"")</f>
        <v/>
      </c>
    </row>
    <row r="2502" spans="2:15">
      <c r="B2502" s="671">
        <f t="shared" si="235"/>
        <v>2497</v>
      </c>
      <c r="C2502" s="685">
        <v>43100</v>
      </c>
      <c r="D2502" s="614" t="s">
        <v>2636</v>
      </c>
      <c r="E2502" s="692">
        <v>140301</v>
      </c>
      <c r="F2502" s="686" t="str">
        <f>IFERROR(VLOOKUP(E2502,STAT1!$C$4:$D$8000,2,FALSE),"")</f>
        <v>ШХЗрдал БОЛОВСРУУЛАХ ЦЕХ /нарс/</v>
      </c>
      <c r="G2502" s="614">
        <v>2272351.0699999998</v>
      </c>
      <c r="H2502" s="614"/>
      <c r="I2502" s="590">
        <f t="shared" si="236"/>
        <v>0</v>
      </c>
      <c r="J2502" s="152">
        <f t="shared" si="234"/>
        <v>0</v>
      </c>
      <c r="L2502" s="703">
        <v>1005</v>
      </c>
      <c r="M2502" s="152" t="str">
        <f>+IFERROR(VLOOKUP(L2502,DATA!$G$4:$H$2000,2,FALSE),"")</f>
        <v>Золжаргал</v>
      </c>
      <c r="O2502" s="152" t="str">
        <f>IFERROR(VLOOKUP(N2502,DATA!$K$4:$L$51,2,FALSE),"")</f>
        <v/>
      </c>
    </row>
    <row r="2503" spans="2:15">
      <c r="B2503" s="671">
        <f t="shared" si="235"/>
        <v>2498</v>
      </c>
      <c r="C2503" s="685">
        <v>43100</v>
      </c>
      <c r="D2503" s="614" t="s">
        <v>2637</v>
      </c>
      <c r="E2503" s="692">
        <v>700700</v>
      </c>
      <c r="F2503" s="686" t="str">
        <f>IFERROR(VLOOKUP(E2503,STAT1!$C$4:$D$8000,2,FALSE),"")</f>
        <v>Цахилгаан эрчим хүч</v>
      </c>
      <c r="G2503" s="614"/>
      <c r="H2503" s="614">
        <v>7108998.75</v>
      </c>
      <c r="I2503" s="590">
        <f t="shared" si="236"/>
        <v>0</v>
      </c>
      <c r="J2503" s="152">
        <f t="shared" si="234"/>
        <v>0</v>
      </c>
      <c r="L2503" s="703">
        <v>1005</v>
      </c>
      <c r="M2503" s="152" t="str">
        <f>+IFERROR(VLOOKUP(L2503,DATA!$G$4:$H$2000,2,FALSE),"")</f>
        <v>Золжаргал</v>
      </c>
      <c r="O2503" s="152" t="str">
        <f>IFERROR(VLOOKUP(N2503,DATA!$K$4:$L$51,2,FALSE),"")</f>
        <v/>
      </c>
    </row>
    <row r="2504" spans="2:15">
      <c r="B2504" s="671">
        <f t="shared" si="235"/>
        <v>2499</v>
      </c>
      <c r="C2504" s="685">
        <v>43100</v>
      </c>
      <c r="D2504" s="614" t="s">
        <v>2637</v>
      </c>
      <c r="E2504" s="692">
        <v>140401</v>
      </c>
      <c r="F2504" s="686" t="str">
        <f>IFERROR(VLOOKUP(E2504,STAT1!$C$4:$D$8000,2,FALSE),"")</f>
        <v>ҮНЗардал БОЛОВСРУУЛАХ ЦЕХ /нарс/</v>
      </c>
      <c r="G2504" s="614">
        <v>7108998.75</v>
      </c>
      <c r="H2504" s="614"/>
      <c r="I2504" s="590">
        <f t="shared" si="236"/>
        <v>0</v>
      </c>
      <c r="J2504" s="152">
        <f t="shared" si="234"/>
        <v>0</v>
      </c>
      <c r="L2504" s="703">
        <v>1005</v>
      </c>
      <c r="M2504" s="152" t="str">
        <f>+IFERROR(VLOOKUP(L2504,DATA!$G$4:$H$2000,2,FALSE),"")</f>
        <v>Золжаргал</v>
      </c>
      <c r="O2504" s="152" t="str">
        <f>IFERROR(VLOOKUP(N2504,DATA!$K$4:$L$51,2,FALSE),"")</f>
        <v/>
      </c>
    </row>
    <row r="2505" spans="2:15">
      <c r="B2505" s="671">
        <f t="shared" si="235"/>
        <v>2500</v>
      </c>
      <c r="C2505" s="685">
        <v>43100</v>
      </c>
      <c r="D2505" s="614" t="s">
        <v>2638</v>
      </c>
      <c r="E2505" s="692">
        <v>700800</v>
      </c>
      <c r="F2505" s="686" t="str">
        <f>IFERROR(VLOOKUP(E2505,STAT1!$C$4:$D$8000,2,FALSE),"")</f>
        <v>Дулаан</v>
      </c>
      <c r="G2505" s="614"/>
      <c r="H2505" s="614">
        <v>853900.68</v>
      </c>
      <c r="I2505" s="590">
        <f t="shared" si="236"/>
        <v>0</v>
      </c>
      <c r="J2505" s="152">
        <f t="shared" si="234"/>
        <v>0</v>
      </c>
      <c r="L2505" s="703">
        <v>1005</v>
      </c>
      <c r="M2505" s="152" t="str">
        <f>+IFERROR(VLOOKUP(L2505,DATA!$G$4:$H$2000,2,FALSE),"")</f>
        <v>Золжаргал</v>
      </c>
      <c r="O2505" s="152" t="str">
        <f>IFERROR(VLOOKUP(N2505,DATA!$K$4:$L$51,2,FALSE),"")</f>
        <v/>
      </c>
    </row>
    <row r="2506" spans="2:15">
      <c r="B2506" s="671">
        <f t="shared" si="235"/>
        <v>2501</v>
      </c>
      <c r="C2506" s="685">
        <v>43100</v>
      </c>
      <c r="D2506" s="614" t="s">
        <v>2638</v>
      </c>
      <c r="E2506" s="692">
        <v>140401</v>
      </c>
      <c r="F2506" s="686" t="str">
        <f>IFERROR(VLOOKUP(E2506,STAT1!$C$4:$D$8000,2,FALSE),"")</f>
        <v>ҮНЗардал БОЛОВСРУУЛАХ ЦЕХ /нарс/</v>
      </c>
      <c r="G2506" s="614">
        <v>853900.68</v>
      </c>
      <c r="H2506" s="614"/>
      <c r="I2506" s="590">
        <f t="shared" si="236"/>
        <v>0</v>
      </c>
      <c r="J2506" s="152">
        <f t="shared" si="234"/>
        <v>0</v>
      </c>
      <c r="L2506" s="703">
        <v>1005</v>
      </c>
      <c r="M2506" s="152" t="str">
        <f>+IFERROR(VLOOKUP(L2506,DATA!$G$4:$H$2000,2,FALSE),"")</f>
        <v>Золжаргал</v>
      </c>
      <c r="O2506" s="152" t="str">
        <f>IFERROR(VLOOKUP(N2506,DATA!$K$4:$L$51,2,FALSE),"")</f>
        <v/>
      </c>
    </row>
    <row r="2507" spans="2:15">
      <c r="B2507" s="671">
        <f t="shared" si="235"/>
        <v>2502</v>
      </c>
      <c r="C2507" s="685">
        <v>43100</v>
      </c>
      <c r="D2507" s="614" t="s">
        <v>2639</v>
      </c>
      <c r="E2507" s="692">
        <v>700900</v>
      </c>
      <c r="F2507" s="686" t="str">
        <f>IFERROR(VLOOKUP(E2507,STAT1!$C$4:$D$8000,2,FALSE),"")</f>
        <v>Уур, ус</v>
      </c>
      <c r="G2507" s="614"/>
      <c r="H2507" s="614">
        <v>619384.76</v>
      </c>
      <c r="I2507" s="590">
        <f t="shared" si="236"/>
        <v>0</v>
      </c>
      <c r="J2507" s="152">
        <f t="shared" si="234"/>
        <v>0</v>
      </c>
      <c r="L2507" s="703">
        <v>1005</v>
      </c>
      <c r="M2507" s="152" t="str">
        <f>+IFERROR(VLOOKUP(L2507,DATA!$G$4:$H$2000,2,FALSE),"")</f>
        <v>Золжаргал</v>
      </c>
      <c r="O2507" s="152" t="str">
        <f>IFERROR(VLOOKUP(N2507,DATA!$K$4:$L$51,2,FALSE),"")</f>
        <v/>
      </c>
    </row>
    <row r="2508" spans="2:15">
      <c r="B2508" s="671">
        <f t="shared" si="235"/>
        <v>2503</v>
      </c>
      <c r="C2508" s="685">
        <v>43100</v>
      </c>
      <c r="D2508" s="614" t="s">
        <v>2639</v>
      </c>
      <c r="E2508" s="692">
        <v>140401</v>
      </c>
      <c r="F2508" s="686" t="str">
        <f>IFERROR(VLOOKUP(E2508,STAT1!$C$4:$D$8000,2,FALSE),"")</f>
        <v>ҮНЗардал БОЛОВСРУУЛАХ ЦЕХ /нарс/</v>
      </c>
      <c r="G2508" s="614">
        <v>619384.76</v>
      </c>
      <c r="H2508" s="614"/>
      <c r="I2508" s="590">
        <f t="shared" si="236"/>
        <v>0</v>
      </c>
      <c r="J2508" s="152">
        <f t="shared" si="234"/>
        <v>0</v>
      </c>
      <c r="L2508" s="703">
        <v>1005</v>
      </c>
      <c r="M2508" s="152" t="str">
        <f>+IFERROR(VLOOKUP(L2508,DATA!$G$4:$H$2000,2,FALSE),"")</f>
        <v>Золжаргал</v>
      </c>
      <c r="O2508" s="152" t="str">
        <f>IFERROR(VLOOKUP(N2508,DATA!$K$4:$L$51,2,FALSE),"")</f>
        <v/>
      </c>
    </row>
    <row r="2509" spans="2:15">
      <c r="B2509" s="671">
        <f t="shared" si="235"/>
        <v>2504</v>
      </c>
      <c r="C2509" s="685">
        <v>43100</v>
      </c>
      <c r="D2509" s="614" t="s">
        <v>2640</v>
      </c>
      <c r="E2509" s="692">
        <v>701600</v>
      </c>
      <c r="F2509" s="686" t="str">
        <f>IFERROR(VLOOKUP(E2509,STAT1!$C$4:$D$8000,2,FALSE),"")</f>
        <v>Элэгдэл, хорогдлын зардал</v>
      </c>
      <c r="G2509" s="614"/>
      <c r="H2509" s="614">
        <v>4330218.75</v>
      </c>
      <c r="I2509" s="590">
        <f t="shared" si="236"/>
        <v>0</v>
      </c>
      <c r="J2509" s="152">
        <f t="shared" si="234"/>
        <v>0</v>
      </c>
      <c r="L2509" s="703">
        <v>1005</v>
      </c>
      <c r="M2509" s="152" t="str">
        <f>+IFERROR(VLOOKUP(L2509,DATA!$G$4:$H$2000,2,FALSE),"")</f>
        <v>Золжаргал</v>
      </c>
      <c r="O2509" s="152" t="str">
        <f>IFERROR(VLOOKUP(N2509,DATA!$K$4:$L$51,2,FALSE),"")</f>
        <v/>
      </c>
    </row>
    <row r="2510" spans="2:15">
      <c r="B2510" s="671">
        <f t="shared" si="235"/>
        <v>2505</v>
      </c>
      <c r="C2510" s="685">
        <v>43100</v>
      </c>
      <c r="D2510" s="614" t="s">
        <v>2640</v>
      </c>
      <c r="E2510" s="692">
        <v>140401</v>
      </c>
      <c r="F2510" s="686" t="str">
        <f>IFERROR(VLOOKUP(E2510,STAT1!$C$4:$D$8000,2,FALSE),"")</f>
        <v>ҮНЗардал БОЛОВСРУУЛАХ ЦЕХ /нарс/</v>
      </c>
      <c r="G2510" s="614">
        <v>4330218.75</v>
      </c>
      <c r="H2510" s="614"/>
      <c r="I2510" s="590">
        <f t="shared" si="236"/>
        <v>0</v>
      </c>
      <c r="J2510" s="152">
        <f t="shared" si="234"/>
        <v>0</v>
      </c>
      <c r="L2510" s="703">
        <v>1005</v>
      </c>
      <c r="M2510" s="152" t="str">
        <f>+IFERROR(VLOOKUP(L2510,DATA!$G$4:$H$2000,2,FALSE),"")</f>
        <v>Золжаргал</v>
      </c>
      <c r="O2510" s="152" t="str">
        <f>IFERROR(VLOOKUP(N2510,DATA!$K$4:$L$51,2,FALSE),"")</f>
        <v/>
      </c>
    </row>
    <row r="2511" spans="2:15">
      <c r="B2511" s="671">
        <f t="shared" si="235"/>
        <v>2506</v>
      </c>
      <c r="C2511" s="685">
        <v>43100</v>
      </c>
      <c r="D2511" s="614" t="s">
        <v>2641</v>
      </c>
      <c r="E2511" s="692">
        <v>701600</v>
      </c>
      <c r="F2511" s="686" t="str">
        <f>IFERROR(VLOOKUP(E2511,STAT1!$C$4:$D$8000,2,FALSE),"")</f>
        <v>Элэгдэл, хорогдлын зардал</v>
      </c>
      <c r="G2511" s="614"/>
      <c r="H2511" s="614">
        <v>16634720.9</v>
      </c>
      <c r="I2511" s="590">
        <f t="shared" si="236"/>
        <v>0</v>
      </c>
      <c r="J2511" s="152">
        <f t="shared" si="234"/>
        <v>0</v>
      </c>
      <c r="L2511" s="703">
        <v>1005</v>
      </c>
      <c r="M2511" s="152" t="str">
        <f>+IFERROR(VLOOKUP(L2511,DATA!$G$4:$H$2000,2,FALSE),"")</f>
        <v>Золжаргал</v>
      </c>
      <c r="O2511" s="152" t="str">
        <f>IFERROR(VLOOKUP(N2511,DATA!$K$4:$L$51,2,FALSE),"")</f>
        <v/>
      </c>
    </row>
    <row r="2512" spans="2:15">
      <c r="B2512" s="671">
        <f t="shared" si="235"/>
        <v>2507</v>
      </c>
      <c r="C2512" s="685">
        <v>43100</v>
      </c>
      <c r="D2512" s="614" t="s">
        <v>2641</v>
      </c>
      <c r="E2512" s="692">
        <v>140401</v>
      </c>
      <c r="F2512" s="686" t="str">
        <f>IFERROR(VLOOKUP(E2512,STAT1!$C$4:$D$8000,2,FALSE),"")</f>
        <v>ҮНЗардал БОЛОВСРУУЛАХ ЦЕХ /нарс/</v>
      </c>
      <c r="G2512" s="614">
        <v>16634720.9</v>
      </c>
      <c r="H2512" s="614"/>
      <c r="I2512" s="590">
        <f t="shared" si="236"/>
        <v>0</v>
      </c>
      <c r="J2512" s="152">
        <f t="shared" si="234"/>
        <v>0</v>
      </c>
      <c r="L2512" s="703">
        <v>1005</v>
      </c>
      <c r="M2512" s="152" t="str">
        <f>+IFERROR(VLOOKUP(L2512,DATA!$G$4:$H$2000,2,FALSE),"")</f>
        <v>Золжаргал</v>
      </c>
      <c r="O2512" s="152" t="str">
        <f>IFERROR(VLOOKUP(N2512,DATA!$K$4:$L$51,2,FALSE),"")</f>
        <v/>
      </c>
    </row>
    <row r="2513" spans="2:15">
      <c r="B2513" s="671">
        <f t="shared" si="235"/>
        <v>2508</v>
      </c>
      <c r="C2513" s="685">
        <v>43100</v>
      </c>
      <c r="D2513" s="614" t="s">
        <v>2642</v>
      </c>
      <c r="E2513" s="577">
        <v>140401</v>
      </c>
      <c r="F2513" s="686" t="str">
        <f>IFERROR(VLOOKUP(E2513,STAT1!$C$4:$D$8000,2,FALSE),"")</f>
        <v>ҮНЗардал БОЛОВСРУУЛАХ ЦЕХ /нарс/</v>
      </c>
      <c r="G2513" s="614">
        <v>1295989.97</v>
      </c>
      <c r="H2513" s="614"/>
      <c r="I2513" s="590">
        <f t="shared" si="236"/>
        <v>0</v>
      </c>
      <c r="J2513" s="152">
        <f t="shared" si="234"/>
        <v>0</v>
      </c>
      <c r="L2513" s="703">
        <v>1004</v>
      </c>
      <c r="M2513" s="152" t="str">
        <f>+IFERROR(VLOOKUP(L2513,DATA!$G$4:$H$2000,2,FALSE),"")</f>
        <v xml:space="preserve">Түмэндэлгэр </v>
      </c>
      <c r="O2513" s="152" t="str">
        <f>IFERROR(VLOOKUP(N2513,DATA!$K$4:$L$51,2,FALSE),"")</f>
        <v/>
      </c>
    </row>
    <row r="2514" spans="2:15">
      <c r="B2514" s="671">
        <f t="shared" si="235"/>
        <v>2509</v>
      </c>
      <c r="C2514" s="685">
        <v>43100</v>
      </c>
      <c r="D2514" s="614" t="s">
        <v>2642</v>
      </c>
      <c r="E2514" s="577">
        <v>160200</v>
      </c>
      <c r="F2514" s="686" t="str">
        <f>IFERROR(VLOOKUP(E2514,STAT1!$C$4:$D$8000,2,FALSE),"")</f>
        <v>Агуулахад байгаа материал, хангамж</v>
      </c>
      <c r="G2514" s="614"/>
      <c r="H2514" s="614">
        <v>28461.06</v>
      </c>
      <c r="I2514" s="590">
        <f t="shared" si="236"/>
        <v>0</v>
      </c>
      <c r="J2514" s="152">
        <f t="shared" si="234"/>
        <v>0</v>
      </c>
      <c r="L2514" s="703">
        <v>1004</v>
      </c>
      <c r="M2514" s="152" t="str">
        <f>+IFERROR(VLOOKUP(L2514,DATA!$G$4:$H$2000,2,FALSE),"")</f>
        <v xml:space="preserve">Түмэндэлгэр </v>
      </c>
      <c r="O2514" s="152" t="str">
        <f>IFERROR(VLOOKUP(N2514,DATA!$K$4:$L$51,2,FALSE),"")</f>
        <v/>
      </c>
    </row>
    <row r="2515" spans="2:15">
      <c r="B2515" s="671">
        <f t="shared" si="235"/>
        <v>2510</v>
      </c>
      <c r="C2515" s="685">
        <v>43100</v>
      </c>
      <c r="D2515" s="614" t="s">
        <v>2642</v>
      </c>
      <c r="E2515" s="577">
        <v>160100</v>
      </c>
      <c r="F2515" s="686" t="str">
        <f>IFERROR(VLOOKUP(E2515,STAT1!$C$4:$D$8000,2,FALSE),"")</f>
        <v xml:space="preserve">Барилгын материал </v>
      </c>
      <c r="G2515" s="614"/>
      <c r="H2515" s="614">
        <v>1267528.9099999999</v>
      </c>
      <c r="I2515" s="590">
        <f t="shared" si="236"/>
        <v>0</v>
      </c>
      <c r="J2515" s="152">
        <f t="shared" si="234"/>
        <v>0</v>
      </c>
      <c r="L2515" s="703">
        <v>1004</v>
      </c>
      <c r="M2515" s="152" t="str">
        <f>+IFERROR(VLOOKUP(L2515,DATA!$G$4:$H$2000,2,FALSE),"")</f>
        <v xml:space="preserve">Түмэндэлгэр </v>
      </c>
      <c r="O2515" s="152" t="str">
        <f>IFERROR(VLOOKUP(N2515,DATA!$K$4:$L$51,2,FALSE),"")</f>
        <v/>
      </c>
    </row>
    <row r="2516" spans="2:15">
      <c r="B2516" s="671">
        <f t="shared" si="235"/>
        <v>2511</v>
      </c>
      <c r="C2516" s="685">
        <v>43100</v>
      </c>
      <c r="D2516" s="614" t="s">
        <v>2708</v>
      </c>
      <c r="E2516" s="577">
        <v>122000</v>
      </c>
      <c r="F2516" s="686" t="str">
        <f>IFERROR(VLOOKUP(E2516,STAT1!$C$4:$D$8000,2,FALSE),"")</f>
        <v>Борлуулалтын авлагын түр тооцоо MNT</v>
      </c>
      <c r="G2516" s="614"/>
      <c r="H2516" s="614">
        <v>9160300</v>
      </c>
      <c r="I2516" s="590">
        <f t="shared" si="236"/>
        <v>0</v>
      </c>
      <c r="J2516" s="152">
        <f t="shared" si="234"/>
        <v>0</v>
      </c>
      <c r="L2516" s="703">
        <v>3001</v>
      </c>
      <c r="M2516" s="152" t="str">
        <f>+IFERROR(VLOOKUP(L2516,DATA!$G$4:$H$2000,2,FALSE),"")</f>
        <v>ХУРД ГРУПП ХХК</v>
      </c>
      <c r="O2516" s="152" t="str">
        <f>IFERROR(VLOOKUP(N2516,DATA!$K$4:$L$51,2,FALSE),"")</f>
        <v/>
      </c>
    </row>
    <row r="2517" spans="2:15">
      <c r="B2517" s="671">
        <f t="shared" si="235"/>
        <v>2512</v>
      </c>
      <c r="C2517" s="685">
        <v>43100</v>
      </c>
      <c r="D2517" s="614" t="s">
        <v>2708</v>
      </c>
      <c r="E2517" s="577">
        <v>320100</v>
      </c>
      <c r="F2517" s="686" t="str">
        <f>IFERROR(VLOOKUP(E2517,STAT1!$C$4:$D$8000,2,FALSE),"")</f>
        <v>Урьдчилж орсон орлого MNT</v>
      </c>
      <c r="G2517" s="614">
        <v>9160300</v>
      </c>
      <c r="H2517" s="614"/>
      <c r="I2517" s="590">
        <f t="shared" si="236"/>
        <v>0</v>
      </c>
      <c r="J2517" s="152">
        <f t="shared" si="234"/>
        <v>0</v>
      </c>
      <c r="L2517" s="703">
        <v>3001</v>
      </c>
      <c r="M2517" s="152" t="str">
        <f>+IFERROR(VLOOKUP(L2517,DATA!$G$4:$H$2000,2,FALSE),"")</f>
        <v>ХУРД ГРУПП ХХК</v>
      </c>
      <c r="O2517" s="152" t="str">
        <f>IFERROR(VLOOKUP(N2517,DATA!$K$4:$L$51,2,FALSE),"")</f>
        <v/>
      </c>
    </row>
    <row r="2518" spans="2:15">
      <c r="B2518" s="671">
        <f t="shared" si="235"/>
        <v>2513</v>
      </c>
      <c r="C2518" s="691">
        <v>43100</v>
      </c>
      <c r="D2518" s="693" t="s">
        <v>2708</v>
      </c>
      <c r="E2518" s="692">
        <v>122000</v>
      </c>
      <c r="F2518" s="686" t="str">
        <f>IFERROR(VLOOKUP(E2518,STAT1!$C$4:$D$8000,2,FALSE),"")</f>
        <v>Борлуулалтын авлагын түр тооцоо MNT</v>
      </c>
      <c r="G2518" s="614"/>
      <c r="H2518" s="614">
        <v>12860000</v>
      </c>
      <c r="I2518" s="590">
        <f t="shared" si="236"/>
        <v>0</v>
      </c>
      <c r="J2518" s="152">
        <f t="shared" si="234"/>
        <v>0</v>
      </c>
      <c r="L2518" s="703">
        <v>3099</v>
      </c>
      <c r="M2518" s="152" t="str">
        <f>+IFERROR(VLOOKUP(L2518,DATA!$G$4:$H$2000,2,FALSE),"")</f>
        <v>ÃÐÀÍÄ ÑËÀÁ ÕÕÊ</v>
      </c>
      <c r="O2518" s="152" t="str">
        <f>IFERROR(VLOOKUP(N2518,DATA!$K$4:$L$51,2,FALSE),"")</f>
        <v/>
      </c>
    </row>
    <row r="2519" spans="2:15">
      <c r="B2519" s="671">
        <f t="shared" si="235"/>
        <v>2514</v>
      </c>
      <c r="C2519" s="691">
        <v>43100</v>
      </c>
      <c r="D2519" s="693" t="s">
        <v>2708</v>
      </c>
      <c r="E2519" s="692">
        <v>320100</v>
      </c>
      <c r="F2519" s="686" t="str">
        <f>IFERROR(VLOOKUP(E2519,STAT1!$C$4:$D$8000,2,FALSE),"")</f>
        <v>Урьдчилж орсон орлого MNT</v>
      </c>
      <c r="G2519" s="614">
        <v>12860000</v>
      </c>
      <c r="H2519" s="614"/>
      <c r="I2519" s="590">
        <f t="shared" si="236"/>
        <v>0</v>
      </c>
      <c r="J2519" s="152">
        <f t="shared" si="234"/>
        <v>0</v>
      </c>
      <c r="L2519" s="703">
        <v>3099</v>
      </c>
      <c r="M2519" s="152" t="str">
        <f>+IFERROR(VLOOKUP(L2519,DATA!$G$4:$H$2000,2,FALSE),"")</f>
        <v>ÃÐÀÍÄ ÑËÀÁ ÕÕÊ</v>
      </c>
      <c r="O2519" s="152" t="str">
        <f>IFERROR(VLOOKUP(N2519,DATA!$K$4:$L$51,2,FALSE),"")</f>
        <v/>
      </c>
    </row>
    <row r="2520" spans="2:15">
      <c r="B2520" s="671">
        <f t="shared" si="235"/>
        <v>2515</v>
      </c>
      <c r="C2520" s="691">
        <v>43100</v>
      </c>
      <c r="D2520" s="693" t="s">
        <v>2661</v>
      </c>
      <c r="E2520" s="692">
        <v>141201</v>
      </c>
      <c r="F2520" s="686" t="str">
        <f>IFERROR(VLOOKUP(E2520,STAT1!$C$4:$D$8000,2,FALSE),"")</f>
        <v>ШМЗардал БУСАД</v>
      </c>
      <c r="G2520" s="614"/>
      <c r="H2520" s="614">
        <v>27211786.40994966</v>
      </c>
      <c r="I2520" s="590">
        <f t="shared" si="236"/>
        <v>0</v>
      </c>
      <c r="J2520" s="152">
        <f t="shared" ref="J2520:J2537" si="237">+IF(E2520=110102,I2520/K2520,0)</f>
        <v>0</v>
      </c>
      <c r="L2520" s="703">
        <v>1004</v>
      </c>
      <c r="M2520" s="152" t="str">
        <f>+IFERROR(VLOOKUP(L2520,DATA!$G$4:$H$2000,2,FALSE),"")</f>
        <v xml:space="preserve">Түмэндэлгэр </v>
      </c>
      <c r="O2520" s="152" t="str">
        <f>IFERROR(VLOOKUP(N2520,DATA!$K$4:$L$51,2,FALSE),"")</f>
        <v/>
      </c>
    </row>
    <row r="2521" spans="2:15">
      <c r="B2521" s="671">
        <f t="shared" si="235"/>
        <v>2516</v>
      </c>
      <c r="C2521" s="685">
        <v>43100</v>
      </c>
      <c r="D2521" s="614" t="s">
        <v>2661</v>
      </c>
      <c r="E2521" s="577">
        <v>141301</v>
      </c>
      <c r="F2521" s="686" t="str">
        <f>IFERROR(VLOOKUP(E2521,STAT1!$C$4:$D$8000,2,FALSE),"")</f>
        <v xml:space="preserve">ШХЗардал БУСАД </v>
      </c>
      <c r="G2521" s="614"/>
      <c r="H2521" s="614">
        <v>3345320.3</v>
      </c>
      <c r="I2521" s="590">
        <f t="shared" si="236"/>
        <v>0</v>
      </c>
      <c r="J2521" s="152">
        <f t="shared" si="237"/>
        <v>0</v>
      </c>
      <c r="L2521" s="703">
        <v>1004</v>
      </c>
      <c r="M2521" s="152" t="str">
        <f>+IFERROR(VLOOKUP(L2521,DATA!$G$4:$H$2000,2,FALSE),"")</f>
        <v xml:space="preserve">Түмэндэлгэр </v>
      </c>
      <c r="O2521" s="152" t="str">
        <f>IFERROR(VLOOKUP(N2521,DATA!$K$4:$L$51,2,FALSE),"")</f>
        <v/>
      </c>
    </row>
    <row r="2522" spans="2:15">
      <c r="B2522" s="671">
        <f t="shared" si="235"/>
        <v>2517</v>
      </c>
      <c r="C2522" s="685">
        <v>43100</v>
      </c>
      <c r="D2522" s="614" t="s">
        <v>2661</v>
      </c>
      <c r="E2522" s="577">
        <v>141401</v>
      </c>
      <c r="F2522" s="686" t="str">
        <f>IFERROR(VLOOKUP(E2522,STAT1!$C$4:$D$8000,2,FALSE),"")</f>
        <v xml:space="preserve">ҮНЗардал БУСАД </v>
      </c>
      <c r="G2522" s="614"/>
      <c r="H2522" s="614">
        <v>9881529.7521084454</v>
      </c>
      <c r="I2522" s="590">
        <f t="shared" si="236"/>
        <v>0</v>
      </c>
      <c r="J2522" s="152">
        <f t="shared" si="237"/>
        <v>0</v>
      </c>
      <c r="L2522" s="703">
        <v>1004</v>
      </c>
      <c r="M2522" s="152" t="str">
        <f>+IFERROR(VLOOKUP(L2522,DATA!$G$4:$H$2000,2,FALSE),"")</f>
        <v xml:space="preserve">Түмэндэлгэр </v>
      </c>
      <c r="O2522" s="152" t="str">
        <f>IFERROR(VLOOKUP(N2522,DATA!$K$4:$L$51,2,FALSE),"")</f>
        <v/>
      </c>
    </row>
    <row r="2523" spans="2:15">
      <c r="B2523" s="671">
        <f t="shared" si="235"/>
        <v>2518</v>
      </c>
      <c r="C2523" s="685">
        <v>43100</v>
      </c>
      <c r="D2523" s="614" t="s">
        <v>2661</v>
      </c>
      <c r="E2523" s="577">
        <v>141501</v>
      </c>
      <c r="F2523" s="686" t="str">
        <f>IFERROR(VLOOKUP(E2523,STAT1!$C$4:$D$8000,2,FALSE),"")</f>
        <v xml:space="preserve">Нэгтгэл зардал БУСАД </v>
      </c>
      <c r="G2523" s="614">
        <v>40438636.460000001</v>
      </c>
      <c r="H2523" s="614"/>
      <c r="I2523" s="590">
        <f t="shared" si="236"/>
        <v>0</v>
      </c>
      <c r="J2523" s="152">
        <f t="shared" si="237"/>
        <v>0</v>
      </c>
      <c r="L2523" s="703">
        <v>1004</v>
      </c>
      <c r="M2523" s="152" t="str">
        <f>+IFERROR(VLOOKUP(L2523,DATA!$G$4:$H$2000,2,FALSE),"")</f>
        <v xml:space="preserve">Түмэндэлгэр </v>
      </c>
      <c r="O2523" s="152" t="str">
        <f>IFERROR(VLOOKUP(N2523,DATA!$K$4:$L$51,2,FALSE),"")</f>
        <v/>
      </c>
    </row>
    <row r="2524" spans="2:15">
      <c r="B2524" s="671">
        <f t="shared" si="235"/>
        <v>2519</v>
      </c>
      <c r="C2524" s="685">
        <v>43100</v>
      </c>
      <c r="D2524" s="614" t="s">
        <v>2662</v>
      </c>
      <c r="E2524" s="577">
        <v>610101</v>
      </c>
      <c r="F2524" s="686" t="str">
        <f>IFERROR(VLOOKUP(E2524,STAT1!$C$4:$D$8000,2,FALSE),"")</f>
        <v>Борлуулсан барааны өртөг - Бусад</v>
      </c>
      <c r="G2524" s="614">
        <v>40438636.460000001</v>
      </c>
      <c r="H2524" s="614"/>
      <c r="I2524" s="590">
        <f t="shared" si="236"/>
        <v>0</v>
      </c>
      <c r="J2524" s="152">
        <f t="shared" si="237"/>
        <v>0</v>
      </c>
      <c r="L2524" s="703">
        <v>1004</v>
      </c>
      <c r="M2524" s="152" t="str">
        <f>+IFERROR(VLOOKUP(L2524,DATA!$G$4:$H$2000,2,FALSE),"")</f>
        <v xml:space="preserve">Түмэндэлгэр </v>
      </c>
      <c r="O2524" s="152" t="str">
        <f>IFERROR(VLOOKUP(N2524,DATA!$K$4:$L$51,2,FALSE),"")</f>
        <v/>
      </c>
    </row>
    <row r="2525" spans="2:15">
      <c r="B2525" s="671">
        <f t="shared" si="235"/>
        <v>2520</v>
      </c>
      <c r="C2525" s="685">
        <v>43100</v>
      </c>
      <c r="D2525" s="614" t="s">
        <v>2662</v>
      </c>
      <c r="E2525" s="577">
        <v>141501</v>
      </c>
      <c r="F2525" s="686" t="str">
        <f>IFERROR(VLOOKUP(E2525,STAT1!$C$4:$D$8000,2,FALSE),"")</f>
        <v xml:space="preserve">Нэгтгэл зардал БУСАД </v>
      </c>
      <c r="G2525" s="614"/>
      <c r="H2525" s="614">
        <v>40438636.460000001</v>
      </c>
      <c r="I2525" s="590">
        <f t="shared" si="236"/>
        <v>0</v>
      </c>
      <c r="J2525" s="152">
        <f t="shared" si="237"/>
        <v>0</v>
      </c>
      <c r="L2525" s="703">
        <v>1004</v>
      </c>
      <c r="M2525" s="152" t="str">
        <f>+IFERROR(VLOOKUP(L2525,DATA!$G$4:$H$2000,2,FALSE),"")</f>
        <v xml:space="preserve">Түмэндэлгэр </v>
      </c>
      <c r="O2525" s="152" t="str">
        <f>IFERROR(VLOOKUP(N2525,DATA!$K$4:$L$51,2,FALSE),"")</f>
        <v/>
      </c>
    </row>
    <row r="2526" spans="2:15">
      <c r="B2526" s="671">
        <f t="shared" si="235"/>
        <v>2521</v>
      </c>
      <c r="C2526" s="685">
        <v>43100</v>
      </c>
      <c r="D2526" s="614" t="s">
        <v>2663</v>
      </c>
      <c r="E2526" s="692">
        <v>202000</v>
      </c>
      <c r="F2526" s="686" t="str">
        <f>IFERROR(VLOOKUP(E2526,STAT1!$C$4:$D$8000,2,FALSE),"")</f>
        <v>Хур. элэгдэл - Комъпютер, дагалдах хэрэгсэл</v>
      </c>
      <c r="G2526" s="614">
        <v>658522.62000000104</v>
      </c>
      <c r="H2526" s="614"/>
      <c r="I2526" s="590">
        <f t="shared" si="236"/>
        <v>0</v>
      </c>
      <c r="J2526" s="152">
        <f t="shared" si="237"/>
        <v>0</v>
      </c>
      <c r="L2526" s="703">
        <v>1004</v>
      </c>
      <c r="M2526" s="152" t="str">
        <f>+IFERROR(VLOOKUP(L2526,DATA!$G$4:$H$2000,2,FALSE),"")</f>
        <v xml:space="preserve">Түмэндэлгэр </v>
      </c>
      <c r="O2526" s="152" t="str">
        <f>IFERROR(VLOOKUP(N2526,DATA!$K$4:$L$51,2,FALSE),"")</f>
        <v/>
      </c>
    </row>
    <row r="2527" spans="2:15">
      <c r="B2527" s="671">
        <f t="shared" si="235"/>
        <v>2522</v>
      </c>
      <c r="C2527" s="685">
        <v>43100</v>
      </c>
      <c r="D2527" s="614" t="s">
        <v>2663</v>
      </c>
      <c r="E2527" s="692">
        <v>701600</v>
      </c>
      <c r="F2527" s="686" t="str">
        <f>IFERROR(VLOOKUP(E2527,STAT1!$C$4:$D$8000,2,FALSE),"")</f>
        <v>Элэгдэл, хорогдлын зардал</v>
      </c>
      <c r="G2527" s="614"/>
      <c r="H2527" s="614">
        <v>658522.62000000104</v>
      </c>
      <c r="I2527" s="590">
        <f t="shared" si="236"/>
        <v>0</v>
      </c>
      <c r="J2527" s="152">
        <f t="shared" si="237"/>
        <v>0</v>
      </c>
      <c r="L2527" s="703">
        <v>1004</v>
      </c>
      <c r="M2527" s="152" t="str">
        <f>+IFERROR(VLOOKUP(L2527,DATA!$G$4:$H$2000,2,FALSE),"")</f>
        <v xml:space="preserve">Түмэндэлгэр </v>
      </c>
      <c r="O2527" s="152" t="str">
        <f>IFERROR(VLOOKUP(N2527,DATA!$K$4:$L$51,2,FALSE),"")</f>
        <v/>
      </c>
    </row>
    <row r="2528" spans="2:15">
      <c r="B2528" s="671">
        <f t="shared" si="235"/>
        <v>2523</v>
      </c>
      <c r="C2528" s="691">
        <v>43100</v>
      </c>
      <c r="D2528" s="693" t="s">
        <v>2664</v>
      </c>
      <c r="E2528" s="692">
        <v>310100</v>
      </c>
      <c r="F2528" s="686" t="str">
        <f>IFERROR(VLOOKUP(E2528,STAT1!$C$4:$D$8000,2,FALSE),"")</f>
        <v>Дансны өглөг MNT</v>
      </c>
      <c r="G2528" s="614"/>
      <c r="H2528" s="614">
        <v>3499027.46</v>
      </c>
      <c r="I2528" s="590">
        <f t="shared" si="236"/>
        <v>0</v>
      </c>
      <c r="J2528" s="152">
        <f t="shared" si="237"/>
        <v>0</v>
      </c>
      <c r="L2528" s="703">
        <v>2004</v>
      </c>
      <c r="M2528" s="152" t="str">
        <f>+IFERROR(VLOOKUP(L2528,DATA!$G$4:$H$2000,2,FALSE),"")</f>
        <v xml:space="preserve">ДЦС-3 ТӨХК </v>
      </c>
      <c r="O2528" s="152" t="str">
        <f>IFERROR(VLOOKUP(N2528,DATA!$K$4:$L$51,2,FALSE),"")</f>
        <v/>
      </c>
    </row>
    <row r="2529" spans="2:15">
      <c r="B2529" s="671">
        <f t="shared" si="235"/>
        <v>2524</v>
      </c>
      <c r="C2529" s="691">
        <v>43100</v>
      </c>
      <c r="D2529" s="693" t="s">
        <v>2664</v>
      </c>
      <c r="E2529" s="692">
        <v>120600</v>
      </c>
      <c r="F2529" s="686" t="str">
        <f>IFERROR(VLOOKUP(E2529,STAT1!$C$4:$D$8000,2,FALSE),"")</f>
        <v>НӨАТ авлага</v>
      </c>
      <c r="G2529" s="614">
        <v>318093.14</v>
      </c>
      <c r="H2529" s="614"/>
      <c r="I2529" s="590">
        <f t="shared" si="236"/>
        <v>0</v>
      </c>
      <c r="J2529" s="152">
        <f t="shared" si="237"/>
        <v>0</v>
      </c>
      <c r="L2529" s="703">
        <v>2004</v>
      </c>
      <c r="M2529" s="152" t="str">
        <f>+IFERROR(VLOOKUP(L2529,DATA!$G$4:$H$2000,2,FALSE),"")</f>
        <v xml:space="preserve">ДЦС-3 ТӨХК </v>
      </c>
      <c r="O2529" s="152" t="str">
        <f>IFERROR(VLOOKUP(N2529,DATA!$K$4:$L$51,2,FALSE),"")</f>
        <v/>
      </c>
    </row>
    <row r="2530" spans="2:15">
      <c r="B2530" s="671">
        <f t="shared" si="235"/>
        <v>2525</v>
      </c>
      <c r="C2530" s="691">
        <v>43100</v>
      </c>
      <c r="D2530" s="693" t="s">
        <v>2664</v>
      </c>
      <c r="E2530" s="692">
        <v>700900</v>
      </c>
      <c r="F2530" s="686" t="str">
        <f>IFERROR(VLOOKUP(E2530,STAT1!$C$4:$D$8000,2,FALSE),"")</f>
        <v>Уур, ус</v>
      </c>
      <c r="G2530" s="614">
        <v>3180934.32</v>
      </c>
      <c r="H2530" s="614"/>
      <c r="I2530" s="590">
        <f t="shared" si="236"/>
        <v>0</v>
      </c>
      <c r="J2530" s="152">
        <f t="shared" si="237"/>
        <v>0</v>
      </c>
      <c r="L2530" s="703">
        <v>2004</v>
      </c>
      <c r="M2530" s="152" t="str">
        <f>+IFERROR(VLOOKUP(L2530,DATA!$G$4:$H$2000,2,FALSE),"")</f>
        <v xml:space="preserve">ДЦС-3 ТӨХК </v>
      </c>
      <c r="O2530" s="152" t="str">
        <f>IFERROR(VLOOKUP(N2530,DATA!$K$4:$L$51,2,FALSE),"")</f>
        <v/>
      </c>
    </row>
    <row r="2531" spans="2:15">
      <c r="B2531" s="671">
        <f t="shared" si="235"/>
        <v>2526</v>
      </c>
      <c r="C2531" s="685">
        <v>43100</v>
      </c>
      <c r="D2531" s="614" t="s">
        <v>2667</v>
      </c>
      <c r="E2531" s="692">
        <v>140500</v>
      </c>
      <c r="F2531" s="686" t="str">
        <f>IFERROR(VLOOKUP(E2531,STAT1!$C$4:$D$8000,2,FALSE),"")</f>
        <v>Нэгтгэл зардал ХАТААХ ЦЕХ /нарс/</v>
      </c>
      <c r="G2531" s="614"/>
      <c r="H2531" s="614">
        <v>43502019.377334528</v>
      </c>
      <c r="I2531" s="590">
        <f t="shared" si="236"/>
        <v>0</v>
      </c>
      <c r="J2531" s="152">
        <f t="shared" si="237"/>
        <v>0</v>
      </c>
      <c r="L2531" s="703">
        <v>1005</v>
      </c>
      <c r="M2531" s="152" t="str">
        <f>+IFERROR(VLOOKUP(L2531,DATA!$G$4:$H$2000,2,FALSE),"")</f>
        <v>Золжаргал</v>
      </c>
      <c r="O2531" s="152" t="str">
        <f>IFERROR(VLOOKUP(N2531,DATA!$K$4:$L$51,2,FALSE),"")</f>
        <v/>
      </c>
    </row>
    <row r="2532" spans="2:15">
      <c r="B2532" s="671">
        <f t="shared" si="235"/>
        <v>2527</v>
      </c>
      <c r="C2532" s="685">
        <v>43100</v>
      </c>
      <c r="D2532" s="614" t="s">
        <v>2667</v>
      </c>
      <c r="E2532" s="692">
        <v>150100</v>
      </c>
      <c r="F2532" s="686" t="str">
        <f>IFERROR(VLOOKUP(E2532,STAT1!$C$4:$D$8000,2,FALSE),"")</f>
        <v>Бараа бэлэн бүтээгдэхүүн ХАТААХ ЦЕХ /нарс/</v>
      </c>
      <c r="G2532" s="614">
        <v>43502019.377334498</v>
      </c>
      <c r="H2532" s="614"/>
      <c r="I2532" s="590">
        <f t="shared" si="236"/>
        <v>0</v>
      </c>
      <c r="J2532" s="152">
        <f t="shared" si="237"/>
        <v>0</v>
      </c>
      <c r="L2532" s="703">
        <v>1005</v>
      </c>
      <c r="M2532" s="152" t="str">
        <f>+IFERROR(VLOOKUP(L2532,DATA!$G$4:$H$2000,2,FALSE),"")</f>
        <v>Золжаргал</v>
      </c>
      <c r="O2532" s="152" t="str">
        <f>IFERROR(VLOOKUP(N2532,DATA!$K$4:$L$51,2,FALSE),"")</f>
        <v/>
      </c>
    </row>
    <row r="2533" spans="2:15">
      <c r="B2533" s="671">
        <f t="shared" si="235"/>
        <v>2528</v>
      </c>
      <c r="C2533" s="685">
        <v>43100</v>
      </c>
      <c r="D2533" s="614" t="s">
        <v>2668</v>
      </c>
      <c r="E2533" s="692">
        <v>140500</v>
      </c>
      <c r="F2533" s="686" t="str">
        <f>IFERROR(VLOOKUP(E2533,STAT1!$C$4:$D$8000,2,FALSE),"")</f>
        <v>Нэгтгэл зардал ХАТААХ ЦЕХ /нарс/</v>
      </c>
      <c r="G2533" s="614">
        <v>43502019.377334528</v>
      </c>
      <c r="H2533" s="614"/>
      <c r="I2533" s="590">
        <f t="shared" si="236"/>
        <v>0</v>
      </c>
      <c r="J2533" s="152">
        <f t="shared" si="237"/>
        <v>0</v>
      </c>
      <c r="L2533" s="703">
        <v>1005</v>
      </c>
      <c r="M2533" s="152" t="str">
        <f>+IFERROR(VLOOKUP(L2533,DATA!$G$4:$H$2000,2,FALSE),"")</f>
        <v>Золжаргал</v>
      </c>
      <c r="O2533" s="152" t="str">
        <f>IFERROR(VLOOKUP(N2533,DATA!$K$4:$L$51,2,FALSE),"")</f>
        <v/>
      </c>
    </row>
    <row r="2534" spans="2:15">
      <c r="B2534" s="671">
        <f t="shared" si="235"/>
        <v>2529</v>
      </c>
      <c r="C2534" s="685">
        <v>43100</v>
      </c>
      <c r="D2534" s="614" t="s">
        <v>2668</v>
      </c>
      <c r="E2534" s="692">
        <v>140400</v>
      </c>
      <c r="F2534" s="686" t="str">
        <f>IFERROR(VLOOKUP(E2534,STAT1!$C$4:$D$8000,2,FALSE),"")</f>
        <v>ҮНЗардал ХАТААХ ЦЕХ /нарс/</v>
      </c>
      <c r="G2534" s="614"/>
      <c r="H2534" s="614">
        <v>5680934.3200000003</v>
      </c>
      <c r="I2534" s="590">
        <f t="shared" si="236"/>
        <v>0</v>
      </c>
      <c r="J2534" s="152">
        <f t="shared" si="237"/>
        <v>0</v>
      </c>
      <c r="L2534" s="703">
        <v>1005</v>
      </c>
      <c r="M2534" s="152" t="str">
        <f>+IFERROR(VLOOKUP(L2534,DATA!$G$4:$H$2000,2,FALSE),"")</f>
        <v>Золжаргал</v>
      </c>
      <c r="O2534" s="152" t="str">
        <f>IFERROR(VLOOKUP(N2534,DATA!$K$4:$L$51,2,FALSE),"")</f>
        <v/>
      </c>
    </row>
    <row r="2535" spans="2:15">
      <c r="B2535" s="671">
        <f t="shared" si="235"/>
        <v>2530</v>
      </c>
      <c r="C2535" s="685">
        <v>43100</v>
      </c>
      <c r="D2535" s="614" t="s">
        <v>2668</v>
      </c>
      <c r="E2535" s="692">
        <v>140200</v>
      </c>
      <c r="F2535" s="686" t="str">
        <f>IFERROR(VLOOKUP(E2535,STAT1!$C$4:$D$8000,2,FALSE),"")</f>
        <v>ШМЗардал ХАТААХ ЦЕХ /нарс/</v>
      </c>
      <c r="G2535" s="614"/>
      <c r="H2535" s="614">
        <v>37821085.057334527</v>
      </c>
      <c r="I2535" s="590">
        <f t="shared" si="236"/>
        <v>0</v>
      </c>
      <c r="J2535" s="152">
        <f t="shared" si="237"/>
        <v>0</v>
      </c>
      <c r="L2535" s="703">
        <v>1005</v>
      </c>
      <c r="M2535" s="152" t="str">
        <f>+IFERROR(VLOOKUP(L2535,DATA!$G$4:$H$2000,2,FALSE),"")</f>
        <v>Золжаргал</v>
      </c>
      <c r="O2535" s="152" t="str">
        <f>IFERROR(VLOOKUP(N2535,DATA!$K$4:$L$51,2,FALSE),"")</f>
        <v/>
      </c>
    </row>
    <row r="2536" spans="2:15">
      <c r="B2536" s="671">
        <f t="shared" si="235"/>
        <v>2531</v>
      </c>
      <c r="C2536" s="685">
        <v>43100</v>
      </c>
      <c r="D2536" s="614" t="s">
        <v>2638</v>
      </c>
      <c r="E2536" s="692">
        <v>700800</v>
      </c>
      <c r="F2536" s="686" t="str">
        <f>IFERROR(VLOOKUP(E2536,STAT1!$C$4:$D$8000,2,FALSE),"")</f>
        <v>Дулаан</v>
      </c>
      <c r="G2536" s="614"/>
      <c r="H2536" s="614">
        <v>2500000</v>
      </c>
      <c r="I2536" s="590">
        <f t="shared" si="236"/>
        <v>0</v>
      </c>
      <c r="J2536" s="152">
        <f t="shared" si="237"/>
        <v>0</v>
      </c>
      <c r="L2536" s="703">
        <v>1005</v>
      </c>
      <c r="M2536" s="152" t="str">
        <f>+IFERROR(VLOOKUP(L2536,DATA!$G$4:$H$2000,2,FALSE),"")</f>
        <v>Золжаргал</v>
      </c>
      <c r="O2536" s="152" t="str">
        <f>IFERROR(VLOOKUP(N2536,DATA!$K$4:$L$51,2,FALSE),"")</f>
        <v/>
      </c>
    </row>
    <row r="2537" spans="2:15">
      <c r="B2537" s="671">
        <f t="shared" si="235"/>
        <v>2532</v>
      </c>
      <c r="C2537" s="685">
        <v>43100</v>
      </c>
      <c r="D2537" s="614" t="s">
        <v>2638</v>
      </c>
      <c r="E2537" s="692">
        <v>140400</v>
      </c>
      <c r="F2537" s="686" t="str">
        <f>IFERROR(VLOOKUP(E2537,STAT1!$C$4:$D$8000,2,FALSE),"")</f>
        <v>ҮНЗардал ХАТААХ ЦЕХ /нарс/</v>
      </c>
      <c r="G2537" s="614">
        <v>2500000</v>
      </c>
      <c r="H2537" s="614"/>
      <c r="I2537" s="590">
        <f t="shared" si="236"/>
        <v>0</v>
      </c>
      <c r="J2537" s="152">
        <f t="shared" si="237"/>
        <v>0</v>
      </c>
      <c r="L2537" s="703">
        <v>1005</v>
      </c>
      <c r="M2537" s="152" t="str">
        <f>+IFERROR(VLOOKUP(L2537,DATA!$G$4:$H$2000,2,FALSE),"")</f>
        <v>Золжаргал</v>
      </c>
      <c r="O2537" s="152" t="str">
        <f>IFERROR(VLOOKUP(N2537,DATA!$K$4:$L$51,2,FALSE),"")</f>
        <v/>
      </c>
    </row>
    <row r="2538" spans="2:15">
      <c r="B2538" s="671" t="str">
        <f t="shared" si="235"/>
        <v/>
      </c>
      <c r="E2538" s="605"/>
      <c r="F2538" s="566" t="str">
        <f>IFERROR(VLOOKUP(E2538,STAT1!$C$4:$D$8000,2,FALSE),"")</f>
        <v/>
      </c>
      <c r="I2538" s="590">
        <f t="shared" ref="I2538:I2541" si="238">+IF(OR(E2538=100100,E2538=100200,E2538=110100,E2538=110102,E2538=110103,E2538=110104,E2538=110105,E2538=110200,E2538=110201,E2538=110202,E2538=110203,E2538=110204,E2538=110300),G2538,0)+IF(OR(E2538=100100,E2538=100200,E2538=110100,E2538=110102,E2538=110103,E2538=110104,E2538=110105,E2538=110200,E2538=110201,E2538=110202,E2538=110203,E2538=110204,E2538=110300),H2538*-1,0)</f>
        <v>0</v>
      </c>
      <c r="J2538" s="152">
        <f t="shared" ref="J2538:J2541" si="239">+IF(E2538=110102,I2538/K2538,0)</f>
        <v>0</v>
      </c>
      <c r="M2538" s="152" t="str">
        <f>+IFERROR(VLOOKUP(L2538,DATA!$G$4:$H$2000,2,FALSE),"")</f>
        <v/>
      </c>
      <c r="O2538" s="152" t="str">
        <f>IFERROR(VLOOKUP(N2538,DATA!$K$4:$L$51,2,FALSE),"")</f>
        <v/>
      </c>
    </row>
    <row r="2539" spans="2:15">
      <c r="B2539" s="671" t="str">
        <f t="shared" si="235"/>
        <v/>
      </c>
      <c r="E2539" s="605"/>
      <c r="F2539" s="566" t="str">
        <f>IFERROR(VLOOKUP(E2539,STAT1!$C$4:$D$8000,2,FALSE),"")</f>
        <v/>
      </c>
      <c r="I2539" s="590">
        <f t="shared" si="238"/>
        <v>0</v>
      </c>
      <c r="J2539" s="152">
        <f t="shared" si="239"/>
        <v>0</v>
      </c>
      <c r="M2539" s="152" t="str">
        <f>+IFERROR(VLOOKUP(L2539,DATA!$G$4:$H$2000,2,FALSE),"")</f>
        <v/>
      </c>
      <c r="O2539" s="152" t="str">
        <f>IFERROR(VLOOKUP(N2539,DATA!$K$4:$L$51,2,FALSE),"")</f>
        <v/>
      </c>
    </row>
    <row r="2540" spans="2:15">
      <c r="B2540" s="671" t="str">
        <f t="shared" si="235"/>
        <v/>
      </c>
      <c r="E2540" s="605"/>
      <c r="F2540" s="566" t="str">
        <f>IFERROR(VLOOKUP(E2540,STAT1!$C$4:$D$8000,2,FALSE),"")</f>
        <v/>
      </c>
      <c r="I2540" s="590">
        <f t="shared" si="238"/>
        <v>0</v>
      </c>
      <c r="J2540" s="152">
        <f t="shared" si="239"/>
        <v>0</v>
      </c>
      <c r="M2540" s="152" t="str">
        <f>+IFERROR(VLOOKUP(L2540,DATA!$G$4:$H$2000,2,FALSE),"")</f>
        <v/>
      </c>
      <c r="O2540" s="152" t="str">
        <f>IFERROR(VLOOKUP(N2540,DATA!$K$4:$L$51,2,FALSE),"")</f>
        <v/>
      </c>
    </row>
    <row r="2541" spans="2:15">
      <c r="B2541" s="671" t="str">
        <f t="shared" ref="B2541:B2571" si="240">+IF(C2541="","",ROW()-5)</f>
        <v/>
      </c>
      <c r="E2541" s="605"/>
      <c r="F2541" s="566" t="str">
        <f>IFERROR(VLOOKUP(E2541,STAT1!$C$4:$D$8000,2,FALSE),"")</f>
        <v/>
      </c>
      <c r="I2541" s="590">
        <f t="shared" si="238"/>
        <v>0</v>
      </c>
      <c r="J2541" s="152">
        <f t="shared" si="239"/>
        <v>0</v>
      </c>
      <c r="M2541" s="152" t="str">
        <f>+IFERROR(VLOOKUP(L2541,DATA!$G$4:$H$2000,2,FALSE),"")</f>
        <v/>
      </c>
      <c r="O2541" s="152" t="str">
        <f>IFERROR(VLOOKUP(N2541,DATA!$K$4:$L$51,2,FALSE),"")</f>
        <v/>
      </c>
    </row>
    <row r="2542" spans="2:15">
      <c r="B2542" s="671" t="str">
        <f t="shared" si="240"/>
        <v/>
      </c>
      <c r="E2542" s="605"/>
      <c r="F2542" s="566" t="str">
        <f>IFERROR(VLOOKUP(E2542,STAT1!$C$4:$D$8000,2,FALSE),"")</f>
        <v/>
      </c>
      <c r="M2542" s="152" t="str">
        <f>+IFERROR(VLOOKUP(L2542,DATA!$G$4:$H$2000,2,FALSE),"")</f>
        <v/>
      </c>
      <c r="O2542" s="152" t="str">
        <f>IFERROR(VLOOKUP(N2542,DATA!$K$4:$L$51,2,FALSE),"")</f>
        <v/>
      </c>
    </row>
    <row r="2543" spans="2:15">
      <c r="B2543" s="671" t="str">
        <f t="shared" si="240"/>
        <v/>
      </c>
      <c r="E2543" s="605"/>
      <c r="F2543" s="566" t="str">
        <f>IFERROR(VLOOKUP(E2543,STAT1!$C$4:$D$8000,2,FALSE),"")</f>
        <v/>
      </c>
      <c r="M2543" s="152" t="str">
        <f>+IFERROR(VLOOKUP(L2543,DATA!$G$4:$H$2000,2,FALSE),"")</f>
        <v/>
      </c>
      <c r="O2543" s="152" t="str">
        <f>IFERROR(VLOOKUP(N2543,DATA!$K$4:$L$51,2,FALSE),"")</f>
        <v/>
      </c>
    </row>
    <row r="2544" spans="2:15">
      <c r="B2544" s="671" t="str">
        <f t="shared" si="240"/>
        <v/>
      </c>
      <c r="E2544" s="605"/>
      <c r="F2544" s="566" t="str">
        <f>IFERROR(VLOOKUP(E2544,STAT1!$C$4:$D$8000,2,FALSE),"")</f>
        <v/>
      </c>
      <c r="M2544" s="152" t="str">
        <f>+IFERROR(VLOOKUP(L2544,DATA!$G$4:$H$2000,2,FALSE),"")</f>
        <v/>
      </c>
      <c r="O2544" s="152" t="str">
        <f>IFERROR(VLOOKUP(N2544,DATA!$K$4:$L$51,2,FALSE),"")</f>
        <v/>
      </c>
    </row>
    <row r="2545" spans="2:15">
      <c r="B2545" s="671" t="str">
        <f t="shared" si="240"/>
        <v/>
      </c>
      <c r="E2545" s="605"/>
      <c r="F2545" s="566" t="str">
        <f>IFERROR(VLOOKUP(E2545,STAT1!$C$4:$D$8000,2,FALSE),"")</f>
        <v/>
      </c>
      <c r="M2545" s="152" t="str">
        <f>+IFERROR(VLOOKUP(L2545,DATA!$G$4:$H$2000,2,FALSE),"")</f>
        <v/>
      </c>
      <c r="O2545" s="152" t="str">
        <f>IFERROR(VLOOKUP(N2545,DATA!$K$4:$L$51,2,FALSE),"")</f>
        <v/>
      </c>
    </row>
    <row r="2546" spans="2:15">
      <c r="B2546" s="671" t="str">
        <f t="shared" si="240"/>
        <v/>
      </c>
      <c r="E2546" s="605"/>
      <c r="F2546" s="566" t="str">
        <f>IFERROR(VLOOKUP(E2546,STAT1!$C$4:$D$8000,2,FALSE),"")</f>
        <v/>
      </c>
      <c r="M2546" s="152" t="str">
        <f>+IFERROR(VLOOKUP(L2546,DATA!$G$4:$H$2000,2,FALSE),"")</f>
        <v/>
      </c>
      <c r="O2546" s="152" t="str">
        <f>IFERROR(VLOOKUP(N2546,DATA!$K$4:$L$51,2,FALSE),"")</f>
        <v/>
      </c>
    </row>
    <row r="2547" spans="2:15">
      <c r="B2547" s="671" t="str">
        <f t="shared" si="240"/>
        <v/>
      </c>
      <c r="E2547" s="605"/>
      <c r="F2547" s="566" t="str">
        <f>IFERROR(VLOOKUP(E2547,STAT1!$C$4:$D$8000,2,FALSE),"")</f>
        <v/>
      </c>
      <c r="M2547" s="152" t="str">
        <f>+IFERROR(VLOOKUP(L2547,DATA!$G$4:$H$2000,2,FALSE),"")</f>
        <v/>
      </c>
      <c r="O2547" s="152" t="str">
        <f>IFERROR(VLOOKUP(N2547,DATA!$K$4:$L$51,2,FALSE),"")</f>
        <v/>
      </c>
    </row>
    <row r="2548" spans="2:15">
      <c r="B2548" s="671" t="str">
        <f t="shared" si="240"/>
        <v/>
      </c>
      <c r="E2548" s="605"/>
      <c r="F2548" s="566" t="str">
        <f>IFERROR(VLOOKUP(E2548,STAT1!$C$4:$D$8000,2,FALSE),"")</f>
        <v/>
      </c>
      <c r="M2548" s="152" t="str">
        <f>+IFERROR(VLOOKUP(L2548,DATA!$G$4:$H$2000,2,FALSE),"")</f>
        <v/>
      </c>
      <c r="O2548" s="152" t="str">
        <f>IFERROR(VLOOKUP(N2548,DATA!$K$4:$L$51,2,FALSE),"")</f>
        <v/>
      </c>
    </row>
    <row r="2549" spans="2:15">
      <c r="B2549" s="671" t="str">
        <f t="shared" si="240"/>
        <v/>
      </c>
      <c r="E2549" s="605"/>
      <c r="F2549" s="566" t="str">
        <f>IFERROR(VLOOKUP(E2549,STAT1!$C$4:$D$8000,2,FALSE),"")</f>
        <v/>
      </c>
      <c r="M2549" s="152" t="str">
        <f>+IFERROR(VLOOKUP(L2549,DATA!$G$4:$H$2000,2,FALSE),"")</f>
        <v/>
      </c>
      <c r="O2549" s="152" t="str">
        <f>IFERROR(VLOOKUP(N2549,DATA!$K$4:$L$51,2,FALSE),"")</f>
        <v/>
      </c>
    </row>
    <row r="2550" spans="2:15">
      <c r="B2550" s="671" t="str">
        <f t="shared" si="240"/>
        <v/>
      </c>
      <c r="E2550" s="605"/>
      <c r="F2550" s="566" t="str">
        <f>IFERROR(VLOOKUP(E2550,STAT1!$C$4:$D$8000,2,FALSE),"")</f>
        <v/>
      </c>
      <c r="M2550" s="152" t="str">
        <f>+IFERROR(VLOOKUP(L2550,DATA!$G$4:$H$2000,2,FALSE),"")</f>
        <v/>
      </c>
      <c r="O2550" s="152" t="str">
        <f>IFERROR(VLOOKUP(N2550,DATA!$K$4:$L$51,2,FALSE),"")</f>
        <v/>
      </c>
    </row>
    <row r="2551" spans="2:15">
      <c r="B2551" s="671" t="str">
        <f t="shared" si="240"/>
        <v/>
      </c>
      <c r="E2551" s="605"/>
      <c r="F2551" s="566" t="str">
        <f>IFERROR(VLOOKUP(E2551,STAT1!$C$4:$D$8000,2,FALSE),"")</f>
        <v/>
      </c>
      <c r="M2551" s="152" t="str">
        <f>+IFERROR(VLOOKUP(L2551,DATA!$G$4:$H$2000,2,FALSE),"")</f>
        <v/>
      </c>
      <c r="O2551" s="152" t="str">
        <f>IFERROR(VLOOKUP(N2551,DATA!$K$4:$L$51,2,FALSE),"")</f>
        <v/>
      </c>
    </row>
    <row r="2552" spans="2:15">
      <c r="B2552" s="671" t="str">
        <f t="shared" si="240"/>
        <v/>
      </c>
      <c r="E2552" s="605"/>
      <c r="F2552" s="566" t="str">
        <f>IFERROR(VLOOKUP(E2552,STAT1!$C$4:$D$8000,2,FALSE),"")</f>
        <v/>
      </c>
      <c r="M2552" s="152" t="str">
        <f>+IFERROR(VLOOKUP(L2552,DATA!$G$4:$H$2000,2,FALSE),"")</f>
        <v/>
      </c>
      <c r="O2552" s="152" t="str">
        <f>IFERROR(VLOOKUP(N2552,DATA!$K$4:$L$51,2,FALSE),"")</f>
        <v/>
      </c>
    </row>
    <row r="2553" spans="2:15">
      <c r="B2553" s="671" t="str">
        <f t="shared" si="240"/>
        <v/>
      </c>
      <c r="E2553" s="605"/>
      <c r="F2553" s="566" t="str">
        <f>IFERROR(VLOOKUP(E2553,STAT1!$C$4:$D$8000,2,FALSE),"")</f>
        <v/>
      </c>
      <c r="M2553" s="152" t="str">
        <f>+IFERROR(VLOOKUP(L2553,DATA!$G$4:$H$2000,2,FALSE),"")</f>
        <v/>
      </c>
      <c r="O2553" s="152" t="str">
        <f>IFERROR(VLOOKUP(N2553,DATA!$K$4:$L$51,2,FALSE),"")</f>
        <v/>
      </c>
    </row>
    <row r="2554" spans="2:15">
      <c r="B2554" s="671" t="str">
        <f t="shared" si="240"/>
        <v/>
      </c>
      <c r="E2554" s="605"/>
      <c r="F2554" s="566" t="str">
        <f>IFERROR(VLOOKUP(E2554,STAT1!$C$4:$D$8000,2,FALSE),"")</f>
        <v/>
      </c>
      <c r="M2554" s="152" t="str">
        <f>+IFERROR(VLOOKUP(L2554,DATA!$G$4:$H$2000,2,FALSE),"")</f>
        <v/>
      </c>
      <c r="O2554" s="152" t="str">
        <f>IFERROR(VLOOKUP(N2554,DATA!$K$4:$L$51,2,FALSE),"")</f>
        <v/>
      </c>
    </row>
    <row r="2555" spans="2:15">
      <c r="B2555" s="671" t="str">
        <f t="shared" si="240"/>
        <v/>
      </c>
      <c r="E2555" s="605"/>
      <c r="F2555" s="566" t="str">
        <f>IFERROR(VLOOKUP(E2555,STAT1!$C$4:$D$8000,2,FALSE),"")</f>
        <v/>
      </c>
      <c r="M2555" s="152" t="str">
        <f>+IFERROR(VLOOKUP(L2555,DATA!$G$4:$H$2000,2,FALSE),"")</f>
        <v/>
      </c>
      <c r="O2555" s="152" t="str">
        <f>IFERROR(VLOOKUP(N2555,DATA!$K$4:$L$51,2,FALSE),"")</f>
        <v/>
      </c>
    </row>
    <row r="2556" spans="2:15">
      <c r="B2556" s="671" t="str">
        <f t="shared" si="240"/>
        <v/>
      </c>
      <c r="E2556" s="605"/>
      <c r="F2556" s="566" t="str">
        <f>IFERROR(VLOOKUP(E2556,STAT1!$C$4:$D$8000,2,FALSE),"")</f>
        <v/>
      </c>
      <c r="M2556" s="152" t="str">
        <f>+IFERROR(VLOOKUP(L2556,DATA!$G$4:$H$2000,2,FALSE),"")</f>
        <v/>
      </c>
      <c r="O2556" s="152" t="str">
        <f>IFERROR(VLOOKUP(N2556,DATA!$K$4:$L$51,2,FALSE),"")</f>
        <v/>
      </c>
    </row>
    <row r="2557" spans="2:15">
      <c r="B2557" s="671" t="str">
        <f t="shared" si="240"/>
        <v/>
      </c>
      <c r="E2557" s="605"/>
      <c r="F2557" s="566" t="str">
        <f>IFERROR(VLOOKUP(E2557,STAT1!$C$4:$D$8000,2,FALSE),"")</f>
        <v/>
      </c>
      <c r="M2557" s="152" t="str">
        <f>+IFERROR(VLOOKUP(L2557,DATA!$G$4:$H$2000,2,FALSE),"")</f>
        <v/>
      </c>
      <c r="O2557" s="152" t="str">
        <f>IFERROR(VLOOKUP(N2557,DATA!$K$4:$L$51,2,FALSE),"")</f>
        <v/>
      </c>
    </row>
    <row r="2558" spans="2:15">
      <c r="B2558" s="671" t="str">
        <f t="shared" si="240"/>
        <v/>
      </c>
      <c r="E2558" s="605"/>
      <c r="F2558" s="566" t="str">
        <f>IFERROR(VLOOKUP(E2558,STAT1!$C$4:$D$8000,2,FALSE),"")</f>
        <v/>
      </c>
      <c r="M2558" s="152" t="str">
        <f>+IFERROR(VLOOKUP(L2558,DATA!$G$4:$H$2000,2,FALSE),"")</f>
        <v/>
      </c>
      <c r="O2558" s="152" t="str">
        <f>IFERROR(VLOOKUP(N2558,DATA!$K$4:$L$51,2,FALSE),"")</f>
        <v/>
      </c>
    </row>
    <row r="2559" spans="2:15">
      <c r="B2559" s="671" t="str">
        <f t="shared" si="240"/>
        <v/>
      </c>
      <c r="E2559" s="605"/>
      <c r="F2559" s="566" t="str">
        <f>IFERROR(VLOOKUP(E2559,STAT1!$C$4:$D$8000,2,FALSE),"")</f>
        <v/>
      </c>
      <c r="M2559" s="152" t="str">
        <f>+IFERROR(VLOOKUP(L2559,DATA!$G$4:$H$2000,2,FALSE),"")</f>
        <v/>
      </c>
      <c r="O2559" s="152" t="str">
        <f>IFERROR(VLOOKUP(N2559,DATA!$K$4:$L$51,2,FALSE),"")</f>
        <v/>
      </c>
    </row>
    <row r="2560" spans="2:15">
      <c r="B2560" s="671" t="str">
        <f t="shared" si="240"/>
        <v/>
      </c>
      <c r="E2560" s="605"/>
      <c r="F2560" s="566" t="str">
        <f>IFERROR(VLOOKUP(E2560,STAT1!$C$4:$D$8000,2,FALSE),"")</f>
        <v/>
      </c>
      <c r="M2560" s="152" t="str">
        <f>+IFERROR(VLOOKUP(L2560,DATA!$G$4:$H$2000,2,FALSE),"")</f>
        <v/>
      </c>
      <c r="O2560" s="152" t="str">
        <f>IFERROR(VLOOKUP(N2560,DATA!$K$4:$L$51,2,FALSE),"")</f>
        <v/>
      </c>
    </row>
    <row r="2561" spans="2:15">
      <c r="B2561" s="671" t="str">
        <f t="shared" si="240"/>
        <v/>
      </c>
      <c r="E2561" s="605"/>
      <c r="F2561" s="566" t="str">
        <f>IFERROR(VLOOKUP(E2561,STAT1!$C$4:$D$8000,2,FALSE),"")</f>
        <v/>
      </c>
      <c r="M2561" s="152" t="str">
        <f>+IFERROR(VLOOKUP(L2561,DATA!$G$4:$H$2000,2,FALSE),"")</f>
        <v/>
      </c>
      <c r="O2561" s="152" t="str">
        <f>IFERROR(VLOOKUP(N2561,DATA!$K$4:$L$51,2,FALSE),"")</f>
        <v/>
      </c>
    </row>
    <row r="2562" spans="2:15">
      <c r="B2562" s="671" t="str">
        <f t="shared" si="240"/>
        <v/>
      </c>
      <c r="E2562" s="605"/>
      <c r="F2562" s="566" t="str">
        <f>IFERROR(VLOOKUP(E2562,STAT1!$C$4:$D$8000,2,FALSE),"")</f>
        <v/>
      </c>
      <c r="M2562" s="152" t="str">
        <f>+IFERROR(VLOOKUP(L2562,DATA!$G$4:$H$2000,2,FALSE),"")</f>
        <v/>
      </c>
      <c r="O2562" s="152" t="str">
        <f>IFERROR(VLOOKUP(N2562,DATA!$K$4:$L$51,2,FALSE),"")</f>
        <v/>
      </c>
    </row>
    <row r="2563" spans="2:15">
      <c r="B2563" s="671" t="str">
        <f t="shared" si="240"/>
        <v/>
      </c>
      <c r="E2563" s="605"/>
      <c r="F2563" s="566" t="str">
        <f>IFERROR(VLOOKUP(E2563,STAT1!$C$4:$D$8000,2,FALSE),"")</f>
        <v/>
      </c>
      <c r="M2563" s="152" t="str">
        <f>+IFERROR(VLOOKUP(L2563,DATA!$G$4:$H$2000,2,FALSE),"")</f>
        <v/>
      </c>
      <c r="O2563" s="152" t="str">
        <f>IFERROR(VLOOKUP(N2563,DATA!$K$4:$L$51,2,FALSE),"")</f>
        <v/>
      </c>
    </row>
    <row r="2564" spans="2:15">
      <c r="B2564" s="671" t="str">
        <f t="shared" si="240"/>
        <v/>
      </c>
      <c r="E2564" s="605"/>
      <c r="F2564" s="566" t="str">
        <f>IFERROR(VLOOKUP(E2564,STAT1!$C$4:$D$8000,2,FALSE),"")</f>
        <v/>
      </c>
      <c r="M2564" s="152" t="str">
        <f>+IFERROR(VLOOKUP(L2564,DATA!$G$4:$H$2000,2,FALSE),"")</f>
        <v/>
      </c>
      <c r="O2564" s="152" t="str">
        <f>IFERROR(VLOOKUP(N2564,DATA!$K$4:$L$51,2,FALSE),"")</f>
        <v/>
      </c>
    </row>
    <row r="2565" spans="2:15">
      <c r="B2565" s="671" t="str">
        <f t="shared" si="240"/>
        <v/>
      </c>
      <c r="E2565" s="605"/>
      <c r="F2565" s="566" t="str">
        <f>IFERROR(VLOOKUP(E2565,STAT1!$C$4:$D$8000,2,FALSE),"")</f>
        <v/>
      </c>
      <c r="M2565" s="152" t="str">
        <f>+IFERROR(VLOOKUP(L2565,DATA!$G$4:$H$2000,2,FALSE),"")</f>
        <v/>
      </c>
      <c r="O2565" s="152" t="str">
        <f>IFERROR(VLOOKUP(N2565,DATA!$K$4:$L$51,2,FALSE),"")</f>
        <v/>
      </c>
    </row>
    <row r="2566" spans="2:15">
      <c r="B2566" s="671" t="str">
        <f t="shared" si="240"/>
        <v/>
      </c>
      <c r="E2566" s="605"/>
      <c r="F2566" s="566" t="str">
        <f>IFERROR(VLOOKUP(E2566,STAT1!$C$4:$D$8000,2,FALSE),"")</f>
        <v/>
      </c>
      <c r="M2566" s="152" t="str">
        <f>+IFERROR(VLOOKUP(L2566,DATA!$G$4:$H$2000,2,FALSE),"")</f>
        <v/>
      </c>
      <c r="O2566" s="152" t="str">
        <f>IFERROR(VLOOKUP(N2566,DATA!$K$4:$L$51,2,FALSE),"")</f>
        <v/>
      </c>
    </row>
    <row r="2567" spans="2:15">
      <c r="B2567" s="671" t="str">
        <f t="shared" si="240"/>
        <v/>
      </c>
      <c r="E2567" s="605"/>
      <c r="F2567" s="566" t="str">
        <f>IFERROR(VLOOKUP(E2567,STAT1!$C$4:$D$8000,2,FALSE),"")</f>
        <v/>
      </c>
      <c r="M2567" s="152" t="str">
        <f>+IFERROR(VLOOKUP(L2567,DATA!$G$4:$H$2000,2,FALSE),"")</f>
        <v/>
      </c>
      <c r="O2567" s="152" t="str">
        <f>IFERROR(VLOOKUP(N2567,DATA!$K$4:$L$51,2,FALSE),"")</f>
        <v/>
      </c>
    </row>
    <row r="2568" spans="2:15">
      <c r="B2568" s="671" t="str">
        <f t="shared" si="240"/>
        <v/>
      </c>
      <c r="E2568" s="605"/>
      <c r="F2568" s="566" t="str">
        <f>IFERROR(VLOOKUP(E2568,STAT1!$C$4:$D$8000,2,FALSE),"")</f>
        <v/>
      </c>
      <c r="M2568" s="152" t="str">
        <f>+IFERROR(VLOOKUP(L2568,DATA!$G$4:$H$2000,2,FALSE),"")</f>
        <v/>
      </c>
      <c r="O2568" s="152" t="str">
        <f>IFERROR(VLOOKUP(N2568,DATA!$K$4:$L$51,2,FALSE),"")</f>
        <v/>
      </c>
    </row>
    <row r="2569" spans="2:15">
      <c r="B2569" s="671" t="str">
        <f t="shared" si="240"/>
        <v/>
      </c>
      <c r="E2569" s="605"/>
      <c r="F2569" s="566" t="str">
        <f>IFERROR(VLOOKUP(E2569,STAT1!$C$4:$D$8000,2,FALSE),"")</f>
        <v/>
      </c>
      <c r="M2569" s="152" t="str">
        <f>+IFERROR(VLOOKUP(L2569,DATA!$G$4:$H$2000,2,FALSE),"")</f>
        <v/>
      </c>
      <c r="O2569" s="152" t="str">
        <f>IFERROR(VLOOKUP(N2569,DATA!$K$4:$L$51,2,FALSE),"")</f>
        <v/>
      </c>
    </row>
    <row r="2570" spans="2:15">
      <c r="B2570" s="671" t="str">
        <f t="shared" si="240"/>
        <v/>
      </c>
      <c r="E2570" s="605"/>
      <c r="F2570" s="566" t="str">
        <f>IFERROR(VLOOKUP(E2570,STAT1!$C$4:$D$8000,2,FALSE),"")</f>
        <v/>
      </c>
      <c r="M2570" s="152" t="str">
        <f>+IFERROR(VLOOKUP(L2570,DATA!$G$4:$H$2000,2,FALSE),"")</f>
        <v/>
      </c>
      <c r="O2570" s="152" t="str">
        <f>IFERROR(VLOOKUP(N2570,DATA!$K$4:$L$51,2,FALSE),"")</f>
        <v/>
      </c>
    </row>
    <row r="2571" spans="2:15">
      <c r="B2571" s="671" t="str">
        <f t="shared" si="240"/>
        <v/>
      </c>
      <c r="E2571" s="605"/>
      <c r="F2571" s="566" t="str">
        <f>IFERROR(VLOOKUP(E2571,STAT1!$C$4:$D$8000,2,FALSE),"")</f>
        <v/>
      </c>
      <c r="M2571" s="152" t="str">
        <f>+IFERROR(VLOOKUP(L2571,DATA!$G$4:$H$2000,2,FALSE),"")</f>
        <v/>
      </c>
      <c r="O2571" s="152" t="str">
        <f>IFERROR(VLOOKUP(N2571,DATA!$K$4:$L$51,2,FALSE),"")</f>
        <v/>
      </c>
    </row>
    <row r="2572" spans="2:15">
      <c r="E2572" s="605"/>
      <c r="F2572" s="566" t="str">
        <f>IFERROR(VLOOKUP(E2572,STAT1!$C$4:$D$8000,2,FALSE),"")</f>
        <v/>
      </c>
      <c r="M2572" s="152" t="str">
        <f>+IFERROR(VLOOKUP(L2572,DATA!$G$4:$H$2000,2,FALSE),"")</f>
        <v/>
      </c>
      <c r="O2572" s="152" t="str">
        <f>IFERROR(VLOOKUP(N2572,DATA!$K$4:$L$51,2,FALSE),"")</f>
        <v/>
      </c>
    </row>
    <row r="2573" spans="2:15">
      <c r="E2573" s="605"/>
      <c r="F2573" s="566" t="str">
        <f>IFERROR(VLOOKUP(E2573,STAT1!$C$4:$D$8000,2,FALSE),"")</f>
        <v/>
      </c>
      <c r="M2573" s="152" t="str">
        <f>+IFERROR(VLOOKUP(L2573,DATA!$G$4:$H$2000,2,FALSE),"")</f>
        <v/>
      </c>
      <c r="O2573" s="152" t="str">
        <f>IFERROR(VLOOKUP(N2573,DATA!$K$4:$L$51,2,FALSE),"")</f>
        <v/>
      </c>
    </row>
    <row r="2574" spans="2:15">
      <c r="E2574" s="605"/>
      <c r="F2574" s="566" t="str">
        <f>IFERROR(VLOOKUP(E2574,STAT1!$C$4:$D$8000,2,FALSE),"")</f>
        <v/>
      </c>
      <c r="M2574" s="152" t="str">
        <f>+IFERROR(VLOOKUP(L2574,DATA!$G$4:$H$2000,2,FALSE),"")</f>
        <v/>
      </c>
      <c r="O2574" s="152" t="str">
        <f>IFERROR(VLOOKUP(N2574,DATA!$K$4:$L$51,2,FALSE),"")</f>
        <v/>
      </c>
    </row>
    <row r="2575" spans="2:15">
      <c r="E2575" s="605"/>
      <c r="F2575" s="566" t="str">
        <f>IFERROR(VLOOKUP(E2575,STAT1!$C$4:$D$8000,2,FALSE),"")</f>
        <v/>
      </c>
      <c r="M2575" s="152" t="str">
        <f>+IFERROR(VLOOKUP(L2575,DATA!$G$4:$H$2000,2,FALSE),"")</f>
        <v/>
      </c>
      <c r="O2575" s="152" t="str">
        <f>IFERROR(VLOOKUP(N2575,DATA!$K$4:$L$51,2,FALSE),"")</f>
        <v/>
      </c>
    </row>
    <row r="2576" spans="2:15">
      <c r="E2576" s="605"/>
      <c r="F2576" s="566" t="str">
        <f>IFERROR(VLOOKUP(E2576,STAT1!$C$4:$D$8000,2,FALSE),"")</f>
        <v/>
      </c>
      <c r="M2576" s="152" t="str">
        <f>+IFERROR(VLOOKUP(L2576,DATA!$G$4:$H$2000,2,FALSE),"")</f>
        <v/>
      </c>
      <c r="O2576" s="152" t="str">
        <f>IFERROR(VLOOKUP(N2576,DATA!$K$4:$L$51,2,FALSE),"")</f>
        <v/>
      </c>
    </row>
    <row r="2577" spans="5:15">
      <c r="E2577" s="605"/>
      <c r="F2577" s="566" t="str">
        <f>IFERROR(VLOOKUP(E2577,STAT1!$C$4:$D$8000,2,FALSE),"")</f>
        <v/>
      </c>
      <c r="M2577" s="152" t="str">
        <f>+IFERROR(VLOOKUP(L2577,DATA!$G$4:$H$2000,2,FALSE),"")</f>
        <v/>
      </c>
      <c r="O2577" s="152" t="str">
        <f>IFERROR(VLOOKUP(N2577,DATA!$K$4:$L$51,2,FALSE),"")</f>
        <v/>
      </c>
    </row>
    <row r="2578" spans="5:15">
      <c r="E2578" s="605"/>
      <c r="F2578" s="566" t="str">
        <f>IFERROR(VLOOKUP(E2578,STAT1!$C$4:$D$8000,2,FALSE),"")</f>
        <v/>
      </c>
      <c r="M2578" s="152" t="str">
        <f>+IFERROR(VLOOKUP(L2578,DATA!$G$4:$H$2000,2,FALSE),"")</f>
        <v/>
      </c>
      <c r="O2578" s="152" t="str">
        <f>IFERROR(VLOOKUP(N2578,DATA!$K$4:$L$51,2,FALSE),"")</f>
        <v/>
      </c>
    </row>
    <row r="2579" spans="5:15">
      <c r="E2579" s="605"/>
      <c r="F2579" s="566" t="str">
        <f>IFERROR(VLOOKUP(E2579,STAT1!$C$4:$D$8000,2,FALSE),"")</f>
        <v/>
      </c>
      <c r="M2579" s="152" t="str">
        <f>+IFERROR(VLOOKUP(L2579,DATA!$G$4:$H$2000,2,FALSE),"")</f>
        <v/>
      </c>
      <c r="O2579" s="152" t="str">
        <f>IFERROR(VLOOKUP(N2579,DATA!$K$4:$L$51,2,FALSE),"")</f>
        <v/>
      </c>
    </row>
    <row r="2580" spans="5:15">
      <c r="E2580" s="605"/>
      <c r="F2580" s="566" t="str">
        <f>IFERROR(VLOOKUP(E2580,STAT1!$C$4:$D$8000,2,FALSE),"")</f>
        <v/>
      </c>
      <c r="M2580" s="152" t="str">
        <f>+IFERROR(VLOOKUP(L2580,DATA!$G$4:$H$2000,2,FALSE),"")</f>
        <v/>
      </c>
      <c r="O2580" s="152" t="str">
        <f>IFERROR(VLOOKUP(N2580,DATA!$K$4:$L$51,2,FALSE),"")</f>
        <v/>
      </c>
    </row>
    <row r="2581" spans="5:15">
      <c r="E2581" s="605"/>
      <c r="F2581" s="566" t="str">
        <f>IFERROR(VLOOKUP(E2581,STAT1!$C$4:$D$8000,2,FALSE),"")</f>
        <v/>
      </c>
      <c r="M2581" s="152" t="str">
        <f>+IFERROR(VLOOKUP(L2581,DATA!$G$4:$H$2000,2,FALSE),"")</f>
        <v/>
      </c>
      <c r="O2581" s="152" t="str">
        <f>IFERROR(VLOOKUP(N2581,DATA!$K$4:$L$51,2,FALSE),"")</f>
        <v/>
      </c>
    </row>
    <row r="2582" spans="5:15">
      <c r="E2582" s="605"/>
      <c r="F2582" s="566" t="str">
        <f>IFERROR(VLOOKUP(E2582,STAT1!$C$4:$D$8000,2,FALSE),"")</f>
        <v/>
      </c>
      <c r="M2582" s="152" t="str">
        <f>+IFERROR(VLOOKUP(L2582,DATA!$G$4:$H$2000,2,FALSE),"")</f>
        <v/>
      </c>
      <c r="O2582" s="152" t="str">
        <f>IFERROR(VLOOKUP(N2582,DATA!$K$4:$L$51,2,FALSE),"")</f>
        <v/>
      </c>
    </row>
    <row r="2583" spans="5:15">
      <c r="E2583" s="605"/>
      <c r="F2583" s="566" t="str">
        <f>IFERROR(VLOOKUP(E2583,STAT1!$C$4:$D$8000,2,FALSE),"")</f>
        <v/>
      </c>
      <c r="M2583" s="152" t="str">
        <f>+IFERROR(VLOOKUP(L2583,DATA!$G$4:$H$2000,2,FALSE),"")</f>
        <v/>
      </c>
      <c r="O2583" s="152" t="str">
        <f>IFERROR(VLOOKUP(N2583,DATA!$K$4:$L$51,2,FALSE),"")</f>
        <v/>
      </c>
    </row>
    <row r="2584" spans="5:15">
      <c r="E2584" s="605"/>
      <c r="F2584" s="566" t="str">
        <f>IFERROR(VLOOKUP(E2584,STAT1!$C$4:$D$8000,2,FALSE),"")</f>
        <v/>
      </c>
      <c r="M2584" s="152" t="str">
        <f>+IFERROR(VLOOKUP(L2584,DATA!$G$4:$H$2000,2,FALSE),"")</f>
        <v/>
      </c>
      <c r="O2584" s="152" t="str">
        <f>IFERROR(VLOOKUP(N2584,DATA!$K$4:$L$51,2,FALSE),"")</f>
        <v/>
      </c>
    </row>
    <row r="2585" spans="5:15">
      <c r="E2585" s="605"/>
      <c r="F2585" s="566" t="str">
        <f>IFERROR(VLOOKUP(E2585,STAT1!$C$4:$D$8000,2,FALSE),"")</f>
        <v/>
      </c>
      <c r="M2585" s="152" t="str">
        <f>+IFERROR(VLOOKUP(L2585,DATA!$G$4:$H$2000,2,FALSE),"")</f>
        <v/>
      </c>
      <c r="O2585" s="152" t="str">
        <f>IFERROR(VLOOKUP(N2585,DATA!$K$4:$L$51,2,FALSE),"")</f>
        <v/>
      </c>
    </row>
    <row r="2586" spans="5:15">
      <c r="E2586" s="605"/>
      <c r="F2586" s="566" t="str">
        <f>IFERROR(VLOOKUP(E2586,STAT1!$C$4:$D$8000,2,FALSE),"")</f>
        <v/>
      </c>
      <c r="M2586" s="152" t="str">
        <f>+IFERROR(VLOOKUP(L2586,DATA!$G$4:$H$2000,2,FALSE),"")</f>
        <v/>
      </c>
      <c r="O2586" s="152" t="str">
        <f>IFERROR(VLOOKUP(N2586,DATA!$K$4:$L$51,2,FALSE),"")</f>
        <v/>
      </c>
    </row>
    <row r="2587" spans="5:15">
      <c r="E2587" s="605"/>
      <c r="F2587" s="566" t="str">
        <f>IFERROR(VLOOKUP(E2587,STAT1!$C$4:$D$8000,2,FALSE),"")</f>
        <v/>
      </c>
      <c r="M2587" s="152" t="str">
        <f>+IFERROR(VLOOKUP(L2587,DATA!$G$4:$H$2000,2,FALSE),"")</f>
        <v/>
      </c>
      <c r="O2587" s="152" t="str">
        <f>IFERROR(VLOOKUP(N2587,DATA!$K$4:$L$51,2,FALSE),"")</f>
        <v/>
      </c>
    </row>
    <row r="2588" spans="5:15">
      <c r="E2588" s="605"/>
      <c r="F2588" s="566" t="str">
        <f>IFERROR(VLOOKUP(E2588,STAT1!$C$4:$D$8000,2,FALSE),"")</f>
        <v/>
      </c>
      <c r="M2588" s="152" t="str">
        <f>+IFERROR(VLOOKUP(L2588,DATA!$G$4:$H$2000,2,FALSE),"")</f>
        <v/>
      </c>
      <c r="O2588" s="152" t="str">
        <f>IFERROR(VLOOKUP(N2588,DATA!$K$4:$L$51,2,FALSE),"")</f>
        <v/>
      </c>
    </row>
    <row r="2589" spans="5:15">
      <c r="E2589" s="605"/>
      <c r="F2589" s="566" t="str">
        <f>IFERROR(VLOOKUP(E2589,STAT1!$C$4:$D$8000,2,FALSE),"")</f>
        <v/>
      </c>
      <c r="M2589" s="152" t="str">
        <f>+IFERROR(VLOOKUP(L2589,DATA!$G$4:$H$2000,2,FALSE),"")</f>
        <v/>
      </c>
      <c r="O2589" s="152" t="str">
        <f>IFERROR(VLOOKUP(N2589,DATA!$K$4:$L$51,2,FALSE),"")</f>
        <v/>
      </c>
    </row>
    <row r="2590" spans="5:15">
      <c r="E2590" s="605"/>
      <c r="F2590" s="566" t="str">
        <f>IFERROR(VLOOKUP(E2590,STAT1!$C$4:$D$8000,2,FALSE),"")</f>
        <v/>
      </c>
      <c r="M2590" s="152" t="str">
        <f>+IFERROR(VLOOKUP(L2590,DATA!$G$4:$H$2000,2,FALSE),"")</f>
        <v/>
      </c>
      <c r="O2590" s="152" t="str">
        <f>IFERROR(VLOOKUP(N2590,DATA!$K$4:$L$51,2,FALSE),"")</f>
        <v/>
      </c>
    </row>
    <row r="2591" spans="5:15">
      <c r="E2591" s="605"/>
      <c r="F2591" s="566" t="str">
        <f>IFERROR(VLOOKUP(E2591,STAT1!$C$4:$D$8000,2,FALSE),"")</f>
        <v/>
      </c>
      <c r="M2591" s="152" t="str">
        <f>+IFERROR(VLOOKUP(L2591,DATA!$G$4:$H$2000,2,FALSE),"")</f>
        <v/>
      </c>
      <c r="O2591" s="152" t="str">
        <f>IFERROR(VLOOKUP(N2591,DATA!$K$4:$L$51,2,FALSE),"")</f>
        <v/>
      </c>
    </row>
    <row r="2592" spans="5:15">
      <c r="E2592" s="605"/>
      <c r="F2592" s="566" t="str">
        <f>IFERROR(VLOOKUP(E2592,STAT1!$C$4:$D$8000,2,FALSE),"")</f>
        <v/>
      </c>
      <c r="M2592" s="152" t="str">
        <f>+IFERROR(VLOOKUP(L2592,DATA!$G$4:$H$2000,2,FALSE),"")</f>
        <v/>
      </c>
      <c r="O2592" s="152" t="str">
        <f>IFERROR(VLOOKUP(N2592,DATA!$K$4:$L$51,2,FALSE),"")</f>
        <v/>
      </c>
    </row>
    <row r="2593" spans="5:15">
      <c r="E2593" s="605"/>
      <c r="F2593" s="566" t="str">
        <f>IFERROR(VLOOKUP(E2593,STAT1!$C$4:$D$8000,2,FALSE),"")</f>
        <v/>
      </c>
      <c r="M2593" s="152" t="str">
        <f>+IFERROR(VLOOKUP(L2593,DATA!$G$4:$H$2000,2,FALSE),"")</f>
        <v/>
      </c>
      <c r="O2593" s="152" t="str">
        <f>IFERROR(VLOOKUP(N2593,DATA!$K$4:$L$51,2,FALSE),"")</f>
        <v/>
      </c>
    </row>
    <row r="2594" spans="5:15">
      <c r="E2594" s="605"/>
      <c r="F2594" s="566" t="str">
        <f>IFERROR(VLOOKUP(E2594,STAT1!$C$4:$D$8000,2,FALSE),"")</f>
        <v/>
      </c>
      <c r="M2594" s="152" t="str">
        <f>+IFERROR(VLOOKUP(L2594,DATA!$G$4:$H$2000,2,FALSE),"")</f>
        <v/>
      </c>
      <c r="O2594" s="152" t="str">
        <f>IFERROR(VLOOKUP(N2594,DATA!$K$4:$L$51,2,FALSE),"")</f>
        <v/>
      </c>
    </row>
    <row r="2595" spans="5:15">
      <c r="E2595" s="605"/>
      <c r="F2595" s="566" t="str">
        <f>IFERROR(VLOOKUP(E2595,STAT1!$C$4:$D$8000,2,FALSE),"")</f>
        <v/>
      </c>
      <c r="M2595" s="152" t="str">
        <f>+IFERROR(VLOOKUP(L2595,DATA!$G$4:$H$2000,2,FALSE),"")</f>
        <v/>
      </c>
      <c r="O2595" s="152" t="str">
        <f>IFERROR(VLOOKUP(N2595,DATA!$K$4:$L$51,2,FALSE),"")</f>
        <v/>
      </c>
    </row>
    <row r="2596" spans="5:15">
      <c r="E2596" s="605"/>
      <c r="F2596" s="566" t="str">
        <f>IFERROR(VLOOKUP(E2596,STAT1!$C$4:$D$8000,2,FALSE),"")</f>
        <v/>
      </c>
      <c r="M2596" s="152" t="str">
        <f>+IFERROR(VLOOKUP(L2596,DATA!$G$4:$H$2000,2,FALSE),"")</f>
        <v/>
      </c>
      <c r="O2596" s="152" t="str">
        <f>IFERROR(VLOOKUP(N2596,DATA!$K$4:$L$51,2,FALSE),"")</f>
        <v/>
      </c>
    </row>
    <row r="2597" spans="5:15">
      <c r="E2597" s="605"/>
      <c r="F2597" s="566" t="str">
        <f>IFERROR(VLOOKUP(E2597,STAT1!$C$4:$D$8000,2,FALSE),"")</f>
        <v/>
      </c>
      <c r="M2597" s="152" t="str">
        <f>+IFERROR(VLOOKUP(L2597,DATA!$G$4:$H$2000,2,FALSE),"")</f>
        <v/>
      </c>
      <c r="O2597" s="152" t="str">
        <f>IFERROR(VLOOKUP(N2597,DATA!$K$4:$L$51,2,FALSE),"")</f>
        <v/>
      </c>
    </row>
    <row r="2598" spans="5:15">
      <c r="E2598" s="605"/>
      <c r="F2598" s="566" t="str">
        <f>IFERROR(VLOOKUP(E2598,STAT1!$C$4:$D$8000,2,FALSE),"")</f>
        <v/>
      </c>
      <c r="M2598" s="152" t="str">
        <f>+IFERROR(VLOOKUP(L2598,DATA!$G$4:$H$2000,2,FALSE),"")</f>
        <v/>
      </c>
      <c r="O2598" s="152" t="str">
        <f>IFERROR(VLOOKUP(N2598,DATA!$K$4:$L$51,2,FALSE),"")</f>
        <v/>
      </c>
    </row>
    <row r="2599" spans="5:15">
      <c r="E2599" s="605"/>
      <c r="F2599" s="566" t="str">
        <f>IFERROR(VLOOKUP(E2599,STAT1!$C$4:$D$8000,2,FALSE),"")</f>
        <v/>
      </c>
      <c r="M2599" s="152" t="str">
        <f>+IFERROR(VLOOKUP(L2599,DATA!$G$4:$H$2000,2,FALSE),"")</f>
        <v/>
      </c>
      <c r="O2599" s="152" t="str">
        <f>IFERROR(VLOOKUP(N2599,DATA!$K$4:$L$51,2,FALSE),"")</f>
        <v/>
      </c>
    </row>
    <row r="2600" spans="5:15">
      <c r="E2600" s="605"/>
      <c r="F2600" s="566" t="str">
        <f>IFERROR(VLOOKUP(E2600,STAT1!$C$4:$D$8000,2,FALSE),"")</f>
        <v/>
      </c>
      <c r="M2600" s="152" t="str">
        <f>+IFERROR(VLOOKUP(L2600,DATA!$G$4:$H$2000,2,FALSE),"")</f>
        <v/>
      </c>
      <c r="O2600" s="152" t="str">
        <f>IFERROR(VLOOKUP(N2600,DATA!$K$4:$L$51,2,FALSE),"")</f>
        <v/>
      </c>
    </row>
    <row r="2601" spans="5:15">
      <c r="E2601" s="605"/>
      <c r="F2601" s="566" t="str">
        <f>IFERROR(VLOOKUP(E2601,STAT1!$C$4:$D$8000,2,FALSE),"")</f>
        <v/>
      </c>
      <c r="O2601" s="152" t="str">
        <f>IFERROR(VLOOKUP(N2601,DATA!$K$4:$L$51,2,FALSE),"")</f>
        <v/>
      </c>
    </row>
    <row r="2602" spans="5:15">
      <c r="E2602" s="605"/>
      <c r="F2602" s="566" t="str">
        <f>IFERROR(VLOOKUP(E2602,STAT1!$C$4:$D$8000,2,FALSE),"")</f>
        <v/>
      </c>
      <c r="O2602" s="152" t="str">
        <f>IFERROR(VLOOKUP(N2602,DATA!$K$4:$L$51,2,FALSE),"")</f>
        <v/>
      </c>
    </row>
    <row r="2603" spans="5:15">
      <c r="E2603" s="605"/>
      <c r="F2603" s="566" t="str">
        <f>IFERROR(VLOOKUP(E2603,STAT1!$C$4:$D$8000,2,FALSE),"")</f>
        <v/>
      </c>
      <c r="O2603" s="152" t="str">
        <f>IFERROR(VLOOKUP(N2603,DATA!$K$4:$L$51,2,FALSE),"")</f>
        <v/>
      </c>
    </row>
    <row r="2604" spans="5:15">
      <c r="E2604" s="605"/>
      <c r="F2604" s="566" t="str">
        <f>IFERROR(VLOOKUP(E2604,STAT1!$C$4:$D$8000,2,FALSE),"")</f>
        <v/>
      </c>
      <c r="O2604" s="152" t="str">
        <f>IFERROR(VLOOKUP(N2604,DATA!$K$4:$L$51,2,FALSE),"")</f>
        <v/>
      </c>
    </row>
    <row r="2605" spans="5:15">
      <c r="E2605" s="605"/>
      <c r="F2605" s="566" t="str">
        <f>IFERROR(VLOOKUP(E2605,STAT1!$C$4:$D$8000,2,FALSE),"")</f>
        <v/>
      </c>
      <c r="O2605" s="152" t="str">
        <f>IFERROR(VLOOKUP(N2605,DATA!$K$4:$L$51,2,FALSE),"")</f>
        <v/>
      </c>
    </row>
    <row r="2606" spans="5:15">
      <c r="E2606" s="605"/>
      <c r="F2606" s="566" t="str">
        <f>IFERROR(VLOOKUP(E2606,STAT1!$C$4:$D$8000,2,FALSE),"")</f>
        <v/>
      </c>
      <c r="O2606" s="152" t="str">
        <f>IFERROR(VLOOKUP(N2606,DATA!$K$4:$L$51,2,FALSE),"")</f>
        <v/>
      </c>
    </row>
    <row r="2607" spans="5:15">
      <c r="E2607" s="605"/>
      <c r="F2607" s="566" t="str">
        <f>IFERROR(VLOOKUP(E2607,STAT1!$C$4:$D$8000,2,FALSE),"")</f>
        <v/>
      </c>
      <c r="O2607" s="152" t="str">
        <f>IFERROR(VLOOKUP(N2607,DATA!$K$4:$L$51,2,FALSE),"")</f>
        <v/>
      </c>
    </row>
    <row r="2608" spans="5:15">
      <c r="E2608" s="605"/>
      <c r="F2608" s="566" t="str">
        <f>IFERROR(VLOOKUP(E2608,STAT1!$C$4:$D$8000,2,FALSE),"")</f>
        <v/>
      </c>
      <c r="O2608" s="152" t="str">
        <f>IFERROR(VLOOKUP(N2608,DATA!$K$4:$L$51,2,FALSE),"")</f>
        <v/>
      </c>
    </row>
    <row r="2609" spans="5:15">
      <c r="E2609" s="605"/>
      <c r="F2609" s="566" t="str">
        <f>IFERROR(VLOOKUP(E2609,STAT1!$C$4:$D$8000,2,FALSE),"")</f>
        <v/>
      </c>
      <c r="O2609" s="152" t="str">
        <f>IFERROR(VLOOKUP(N2609,DATA!$K$4:$L$51,2,FALSE),"")</f>
        <v/>
      </c>
    </row>
    <row r="2610" spans="5:15">
      <c r="E2610" s="605"/>
      <c r="F2610" s="566" t="str">
        <f>IFERROR(VLOOKUP(E2610,STAT1!$C$4:$D$8000,2,FALSE),"")</f>
        <v/>
      </c>
      <c r="O2610" s="152" t="str">
        <f>IFERROR(VLOOKUP(N2610,DATA!$K$4:$L$51,2,FALSE),"")</f>
        <v/>
      </c>
    </row>
    <row r="2611" spans="5:15">
      <c r="E2611" s="605"/>
      <c r="F2611" s="566" t="str">
        <f>IFERROR(VLOOKUP(E2611,STAT1!$C$4:$D$8000,2,FALSE),"")</f>
        <v/>
      </c>
      <c r="O2611" s="152" t="str">
        <f>IFERROR(VLOOKUP(N2611,DATA!$K$4:$L$51,2,FALSE),"")</f>
        <v/>
      </c>
    </row>
    <row r="2612" spans="5:15">
      <c r="E2612" s="605"/>
      <c r="F2612" s="566" t="str">
        <f>IFERROR(VLOOKUP(E2612,STAT1!$C$4:$D$8000,2,FALSE),"")</f>
        <v/>
      </c>
      <c r="O2612" s="152" t="str">
        <f>IFERROR(VLOOKUP(N2612,DATA!$K$4:$L$51,2,FALSE),"")</f>
        <v/>
      </c>
    </row>
    <row r="2613" spans="5:15">
      <c r="E2613" s="605"/>
      <c r="F2613" s="566" t="str">
        <f>IFERROR(VLOOKUP(E2613,STAT1!$C$4:$D$8000,2,FALSE),"")</f>
        <v/>
      </c>
      <c r="O2613" s="152" t="str">
        <f>IFERROR(VLOOKUP(N2613,DATA!$K$4:$L$51,2,FALSE),"")</f>
        <v/>
      </c>
    </row>
    <row r="2614" spans="5:15">
      <c r="E2614" s="605"/>
      <c r="F2614" s="566" t="str">
        <f>IFERROR(VLOOKUP(E2614,STAT1!$C$4:$D$8000,2,FALSE),"")</f>
        <v/>
      </c>
      <c r="O2614" s="152" t="str">
        <f>IFERROR(VLOOKUP(N2614,DATA!$K$4:$L$51,2,FALSE),"")</f>
        <v/>
      </c>
    </row>
    <row r="2615" spans="5:15">
      <c r="E2615" s="605"/>
      <c r="F2615" s="566" t="str">
        <f>IFERROR(VLOOKUP(E2615,STAT1!$C$4:$D$8000,2,FALSE),"")</f>
        <v/>
      </c>
      <c r="O2615" s="152" t="str">
        <f>IFERROR(VLOOKUP(N2615,DATA!$K$4:$L$51,2,FALSE),"")</f>
        <v/>
      </c>
    </row>
    <row r="2616" spans="5:15">
      <c r="E2616" s="605"/>
      <c r="F2616" s="566" t="str">
        <f>IFERROR(VLOOKUP(E2616,STAT1!$C$4:$D$8000,2,FALSE),"")</f>
        <v/>
      </c>
      <c r="O2616" s="152" t="str">
        <f>IFERROR(VLOOKUP(N2616,DATA!$K$4:$L$51,2,FALSE),"")</f>
        <v/>
      </c>
    </row>
    <row r="2617" spans="5:15">
      <c r="E2617" s="605"/>
      <c r="F2617" s="566" t="str">
        <f>IFERROR(VLOOKUP(E2617,STAT1!$C$4:$D$8000,2,FALSE),"")</f>
        <v/>
      </c>
      <c r="O2617" s="152" t="str">
        <f>IFERROR(VLOOKUP(N2617,DATA!$K$4:$L$51,2,FALSE),"")</f>
        <v/>
      </c>
    </row>
    <row r="2618" spans="5:15">
      <c r="E2618" s="605"/>
      <c r="F2618" s="566" t="str">
        <f>IFERROR(VLOOKUP(E2618,STAT1!$C$4:$D$8000,2,FALSE),"")</f>
        <v/>
      </c>
      <c r="O2618" s="152" t="str">
        <f>IFERROR(VLOOKUP(N2618,DATA!$K$4:$L$51,2,FALSE),"")</f>
        <v/>
      </c>
    </row>
    <row r="2619" spans="5:15">
      <c r="E2619" s="605"/>
      <c r="F2619" s="566" t="str">
        <f>IFERROR(VLOOKUP(E2619,STAT1!$C$4:$D$8000,2,FALSE),"")</f>
        <v/>
      </c>
      <c r="O2619" s="152" t="str">
        <f>IFERROR(VLOOKUP(N2619,DATA!$K$4:$L$51,2,FALSE),"")</f>
        <v/>
      </c>
    </row>
    <row r="2620" spans="5:15">
      <c r="E2620" s="605"/>
      <c r="F2620" s="566" t="str">
        <f>IFERROR(VLOOKUP(E2620,STAT1!$C$4:$D$8000,2,FALSE),"")</f>
        <v/>
      </c>
      <c r="O2620" s="152" t="str">
        <f>IFERROR(VLOOKUP(N2620,DATA!$K$4:$L$51,2,FALSE),"")</f>
        <v/>
      </c>
    </row>
    <row r="2621" spans="5:15">
      <c r="E2621" s="605"/>
      <c r="F2621" s="566" t="str">
        <f>IFERROR(VLOOKUP(E2621,STAT1!$C$4:$D$8000,2,FALSE),"")</f>
        <v/>
      </c>
      <c r="O2621" s="152" t="str">
        <f>IFERROR(VLOOKUP(N2621,DATA!$K$4:$L$51,2,FALSE),"")</f>
        <v/>
      </c>
    </row>
    <row r="2622" spans="5:15">
      <c r="E2622" s="605"/>
      <c r="F2622" s="566" t="str">
        <f>IFERROR(VLOOKUP(E2622,STAT1!$C$4:$D$8000,2,FALSE),"")</f>
        <v/>
      </c>
      <c r="O2622" s="152" t="str">
        <f>IFERROR(VLOOKUP(N2622,DATA!$K$4:$L$51,2,FALSE),"")</f>
        <v/>
      </c>
    </row>
    <row r="2623" spans="5:15">
      <c r="E2623" s="605"/>
      <c r="F2623" s="566" t="str">
        <f>IFERROR(VLOOKUP(E2623,STAT1!$C$4:$D$8000,2,FALSE),"")</f>
        <v/>
      </c>
      <c r="O2623" s="152" t="str">
        <f>IFERROR(VLOOKUP(N2623,DATA!$K$4:$L$51,2,FALSE),"")</f>
        <v/>
      </c>
    </row>
    <row r="2624" spans="5:15">
      <c r="E2624" s="605"/>
      <c r="F2624" s="566" t="str">
        <f>IFERROR(VLOOKUP(E2624,STAT1!$C$4:$D$8000,2,FALSE),"")</f>
        <v/>
      </c>
      <c r="O2624" s="152" t="str">
        <f>IFERROR(VLOOKUP(N2624,DATA!$K$4:$L$51,2,FALSE),"")</f>
        <v/>
      </c>
    </row>
    <row r="2625" spans="5:15">
      <c r="E2625" s="605"/>
      <c r="F2625" s="566" t="str">
        <f>IFERROR(VLOOKUP(E2625,STAT1!$C$4:$D$8000,2,FALSE),"")</f>
        <v/>
      </c>
      <c r="O2625" s="152" t="str">
        <f>IFERROR(VLOOKUP(N2625,DATA!$K$4:$L$51,2,FALSE),"")</f>
        <v/>
      </c>
    </row>
    <row r="2626" spans="5:15">
      <c r="E2626" s="605"/>
      <c r="F2626" s="566" t="str">
        <f>IFERROR(VLOOKUP(E2626,STAT1!$C$4:$D$8000,2,FALSE),"")</f>
        <v/>
      </c>
      <c r="O2626" s="152" t="str">
        <f>IFERROR(VLOOKUP(N2626,DATA!$K$4:$L$51,2,FALSE),"")</f>
        <v/>
      </c>
    </row>
    <row r="2627" spans="5:15">
      <c r="E2627" s="605"/>
      <c r="F2627" s="566" t="str">
        <f>IFERROR(VLOOKUP(E2627,STAT1!$C$4:$D$8000,2,FALSE),"")</f>
        <v/>
      </c>
      <c r="O2627" s="152" t="str">
        <f>IFERROR(VLOOKUP(N2627,DATA!$K$4:$L$51,2,FALSE),"")</f>
        <v/>
      </c>
    </row>
    <row r="2628" spans="5:15">
      <c r="E2628" s="605"/>
      <c r="F2628" s="566" t="str">
        <f>IFERROR(VLOOKUP(E2628,STAT1!$C$4:$D$8000,2,FALSE),"")</f>
        <v/>
      </c>
      <c r="O2628" s="152" t="str">
        <f>IFERROR(VLOOKUP(N2628,DATA!$K$4:$L$51,2,FALSE),"")</f>
        <v/>
      </c>
    </row>
    <row r="2629" spans="5:15">
      <c r="E2629" s="605"/>
      <c r="F2629" s="566" t="str">
        <f>IFERROR(VLOOKUP(E2629,STAT1!$C$4:$D$8000,2,FALSE),"")</f>
        <v/>
      </c>
      <c r="O2629" s="152" t="str">
        <f>IFERROR(VLOOKUP(N2629,DATA!$K$4:$L$51,2,FALSE),"")</f>
        <v/>
      </c>
    </row>
    <row r="2630" spans="5:15">
      <c r="E2630" s="605"/>
      <c r="F2630" s="566" t="str">
        <f>IFERROR(VLOOKUP(E2630,STAT1!$C$4:$D$8000,2,FALSE),"")</f>
        <v/>
      </c>
      <c r="O2630" s="152" t="str">
        <f>IFERROR(VLOOKUP(N2630,DATA!$K$4:$L$51,2,FALSE),"")</f>
        <v/>
      </c>
    </row>
    <row r="2631" spans="5:15">
      <c r="E2631" s="605"/>
      <c r="F2631" s="566" t="str">
        <f>IFERROR(VLOOKUP(E2631,STAT1!$C$4:$D$8000,2,FALSE),"")</f>
        <v/>
      </c>
      <c r="O2631" s="152" t="str">
        <f>IFERROR(VLOOKUP(N2631,DATA!$K$4:$L$51,2,FALSE),"")</f>
        <v/>
      </c>
    </row>
    <row r="2632" spans="5:15">
      <c r="E2632" s="605"/>
      <c r="F2632" s="566" t="str">
        <f>IFERROR(VLOOKUP(E2632,STAT1!$C$4:$D$8000,2,FALSE),"")</f>
        <v/>
      </c>
      <c r="O2632" s="152" t="str">
        <f>IFERROR(VLOOKUP(N2632,DATA!$K$4:$L$51,2,FALSE),"")</f>
        <v/>
      </c>
    </row>
    <row r="2633" spans="5:15">
      <c r="E2633" s="605"/>
      <c r="F2633" s="566" t="str">
        <f>IFERROR(VLOOKUP(E2633,STAT1!$C$4:$D$8000,2,FALSE),"")</f>
        <v/>
      </c>
      <c r="O2633" s="152" t="str">
        <f>IFERROR(VLOOKUP(N2633,DATA!$K$4:$L$51,2,FALSE),"")</f>
        <v/>
      </c>
    </row>
    <row r="2634" spans="5:15">
      <c r="E2634" s="605"/>
      <c r="F2634" s="566" t="str">
        <f>IFERROR(VLOOKUP(E2634,STAT1!$C$4:$D$8000,2,FALSE),"")</f>
        <v/>
      </c>
      <c r="O2634" s="152" t="str">
        <f>IFERROR(VLOOKUP(N2634,DATA!$K$4:$L$51,2,FALSE),"")</f>
        <v/>
      </c>
    </row>
    <row r="2635" spans="5:15">
      <c r="E2635" s="605"/>
      <c r="F2635" s="566" t="str">
        <f>IFERROR(VLOOKUP(E2635,STAT1!$C$4:$D$8000,2,FALSE),"")</f>
        <v/>
      </c>
      <c r="O2635" s="152" t="str">
        <f>IFERROR(VLOOKUP(N2635,DATA!$K$4:$L$51,2,FALSE),"")</f>
        <v/>
      </c>
    </row>
    <row r="2636" spans="5:15">
      <c r="E2636" s="605"/>
      <c r="F2636" s="566" t="str">
        <f>IFERROR(VLOOKUP(E2636,STAT1!$C$4:$D$8000,2,FALSE),"")</f>
        <v/>
      </c>
      <c r="O2636" s="152" t="str">
        <f>IFERROR(VLOOKUP(N2636,DATA!$K$4:$L$51,2,FALSE),"")</f>
        <v/>
      </c>
    </row>
    <row r="2637" spans="5:15">
      <c r="E2637" s="605"/>
      <c r="F2637" s="566" t="str">
        <f>IFERROR(VLOOKUP(E2637,STAT1!$C$4:$D$8000,2,FALSE),"")</f>
        <v/>
      </c>
      <c r="O2637" s="152" t="str">
        <f>IFERROR(VLOOKUP(N2637,DATA!$K$4:$L$51,2,FALSE),"")</f>
        <v/>
      </c>
    </row>
    <row r="2638" spans="5:15">
      <c r="E2638" s="605"/>
      <c r="F2638" s="566" t="str">
        <f>IFERROR(VLOOKUP(E2638,STAT1!$C$4:$D$8000,2,FALSE),"")</f>
        <v/>
      </c>
      <c r="O2638" s="152" t="str">
        <f>IFERROR(VLOOKUP(N2638,DATA!$K$4:$L$51,2,FALSE),"")</f>
        <v/>
      </c>
    </row>
    <row r="2639" spans="5:15">
      <c r="E2639" s="605"/>
      <c r="F2639" s="566" t="str">
        <f>IFERROR(VLOOKUP(E2639,STAT1!$C$4:$D$8000,2,FALSE),"")</f>
        <v/>
      </c>
      <c r="O2639" s="152" t="str">
        <f>IFERROR(VLOOKUP(N2639,DATA!$K$4:$L$51,2,FALSE),"")</f>
        <v/>
      </c>
    </row>
    <row r="2640" spans="5:15">
      <c r="E2640" s="605"/>
      <c r="F2640" s="566" t="str">
        <f>IFERROR(VLOOKUP(E2640,STAT1!$C$4:$D$8000,2,FALSE),"")</f>
        <v/>
      </c>
      <c r="O2640" s="152" t="str">
        <f>IFERROR(VLOOKUP(N2640,DATA!$K$4:$L$51,2,FALSE),"")</f>
        <v/>
      </c>
    </row>
    <row r="2641" spans="5:15">
      <c r="E2641" s="605"/>
      <c r="F2641" s="566" t="str">
        <f>IFERROR(VLOOKUP(E2641,STAT1!$C$4:$D$8000,2,FALSE),"")</f>
        <v/>
      </c>
      <c r="O2641" s="152" t="str">
        <f>IFERROR(VLOOKUP(N2641,DATA!$K$4:$L$51,2,FALSE),"")</f>
        <v/>
      </c>
    </row>
    <row r="2642" spans="5:15">
      <c r="E2642" s="605"/>
      <c r="F2642" s="566" t="str">
        <f>IFERROR(VLOOKUP(E2642,STAT1!$C$4:$D$8000,2,FALSE),"")</f>
        <v/>
      </c>
      <c r="O2642" s="152" t="str">
        <f>IFERROR(VLOOKUP(N2642,DATA!$K$4:$L$51,2,FALSE),"")</f>
        <v/>
      </c>
    </row>
    <row r="2643" spans="5:15">
      <c r="E2643" s="605"/>
      <c r="F2643" s="566" t="str">
        <f>IFERROR(VLOOKUP(E2643,STAT1!$C$4:$D$8000,2,FALSE),"")</f>
        <v/>
      </c>
      <c r="O2643" s="152" t="str">
        <f>IFERROR(VLOOKUP(N2643,DATA!$K$4:$L$51,2,FALSE),"")</f>
        <v/>
      </c>
    </row>
    <row r="2644" spans="5:15">
      <c r="E2644" s="605"/>
      <c r="F2644" s="566" t="str">
        <f>IFERROR(VLOOKUP(E2644,STAT1!$C$4:$D$8000,2,FALSE),"")</f>
        <v/>
      </c>
      <c r="O2644" s="152" t="str">
        <f>IFERROR(VLOOKUP(N2644,DATA!$K$4:$L$51,2,FALSE),"")</f>
        <v/>
      </c>
    </row>
    <row r="2645" spans="5:15">
      <c r="E2645" s="605"/>
      <c r="F2645" s="566" t="str">
        <f>IFERROR(VLOOKUP(E2645,STAT1!$C$4:$D$8000,2,FALSE),"")</f>
        <v/>
      </c>
      <c r="O2645" s="152" t="str">
        <f>IFERROR(VLOOKUP(N2645,DATA!$K$4:$L$51,2,FALSE),"")</f>
        <v/>
      </c>
    </row>
    <row r="2646" spans="5:15">
      <c r="E2646" s="605"/>
      <c r="F2646" s="566" t="str">
        <f>IFERROR(VLOOKUP(E2646,STAT1!$C$4:$D$8000,2,FALSE),"")</f>
        <v/>
      </c>
      <c r="O2646" s="152" t="str">
        <f>IFERROR(VLOOKUP(N2646,DATA!$K$4:$L$51,2,FALSE),"")</f>
        <v/>
      </c>
    </row>
    <row r="2647" spans="5:15">
      <c r="E2647" s="605"/>
      <c r="F2647" s="566" t="str">
        <f>IFERROR(VLOOKUP(E2647,STAT1!$C$4:$D$8000,2,FALSE),"")</f>
        <v/>
      </c>
      <c r="O2647" s="152" t="str">
        <f>IFERROR(VLOOKUP(N2647,DATA!$K$4:$L$51,2,FALSE),"")</f>
        <v/>
      </c>
    </row>
    <row r="2648" spans="5:15">
      <c r="E2648" s="605"/>
      <c r="F2648" s="566" t="str">
        <f>IFERROR(VLOOKUP(E2648,STAT1!$C$4:$D$8000,2,FALSE),"")</f>
        <v/>
      </c>
      <c r="O2648" s="152" t="str">
        <f>IFERROR(VLOOKUP(N2648,DATA!$K$4:$L$51,2,FALSE),"")</f>
        <v/>
      </c>
    </row>
    <row r="2649" spans="5:15">
      <c r="E2649" s="605"/>
      <c r="F2649" s="566" t="str">
        <f>IFERROR(VLOOKUP(E2649,STAT1!$C$4:$D$8000,2,FALSE),"")</f>
        <v/>
      </c>
      <c r="O2649" s="152" t="str">
        <f>IFERROR(VLOOKUP(N2649,DATA!$K$4:$L$51,2,FALSE),"")</f>
        <v/>
      </c>
    </row>
    <row r="2650" spans="5:15">
      <c r="E2650" s="605"/>
      <c r="F2650" s="566" t="str">
        <f>IFERROR(VLOOKUP(E2650,STAT1!$C$4:$D$8000,2,FALSE),"")</f>
        <v/>
      </c>
      <c r="O2650" s="152" t="str">
        <f>IFERROR(VLOOKUP(N2650,DATA!$K$4:$L$51,2,FALSE),"")</f>
        <v/>
      </c>
    </row>
    <row r="2651" spans="5:15">
      <c r="E2651" s="605"/>
      <c r="F2651" s="566" t="str">
        <f>IFERROR(VLOOKUP(E2651,STAT1!$C$4:$D$8000,2,FALSE),"")</f>
        <v/>
      </c>
      <c r="O2651" s="152" t="str">
        <f>IFERROR(VLOOKUP(N2651,DATA!$K$4:$L$51,2,FALSE),"")</f>
        <v/>
      </c>
    </row>
    <row r="2652" spans="5:15">
      <c r="E2652" s="605"/>
      <c r="F2652" s="566" t="str">
        <f>IFERROR(VLOOKUP(E2652,STAT1!$C$4:$D$8000,2,FALSE),"")</f>
        <v/>
      </c>
      <c r="O2652" s="152" t="str">
        <f>IFERROR(VLOOKUP(N2652,DATA!$K$4:$L$51,2,FALSE),"")</f>
        <v/>
      </c>
    </row>
    <row r="2653" spans="5:15">
      <c r="E2653" s="605"/>
      <c r="F2653" s="566" t="str">
        <f>IFERROR(VLOOKUP(E2653,STAT1!$C$4:$D$8000,2,FALSE),"")</f>
        <v/>
      </c>
      <c r="O2653" s="152" t="str">
        <f>IFERROR(VLOOKUP(N2653,DATA!$K$4:$L$51,2,FALSE),"")</f>
        <v/>
      </c>
    </row>
    <row r="2654" spans="5:15">
      <c r="E2654" s="605"/>
      <c r="F2654" s="566" t="str">
        <f>IFERROR(VLOOKUP(E2654,STAT1!$C$4:$D$8000,2,FALSE),"")</f>
        <v/>
      </c>
      <c r="O2654" s="152" t="str">
        <f>IFERROR(VLOOKUP(N2654,DATA!$K$4:$L$51,2,FALSE),"")</f>
        <v/>
      </c>
    </row>
    <row r="2655" spans="5:15">
      <c r="E2655" s="605"/>
      <c r="F2655" s="566" t="str">
        <f>IFERROR(VLOOKUP(E2655,STAT1!$C$4:$D$8000,2,FALSE),"")</f>
        <v/>
      </c>
      <c r="O2655" s="152" t="str">
        <f>IFERROR(VLOOKUP(N2655,DATA!$K$4:$L$51,2,FALSE),"")</f>
        <v/>
      </c>
    </row>
    <row r="2656" spans="5:15">
      <c r="E2656" s="605"/>
      <c r="F2656" s="566" t="str">
        <f>IFERROR(VLOOKUP(E2656,STAT1!$C$4:$D$8000,2,FALSE),"")</f>
        <v/>
      </c>
      <c r="O2656" s="152" t="str">
        <f>IFERROR(VLOOKUP(N2656,DATA!$K$4:$L$51,2,FALSE),"")</f>
        <v/>
      </c>
    </row>
    <row r="2657" spans="5:15">
      <c r="E2657" s="605"/>
      <c r="F2657" s="566" t="str">
        <f>IFERROR(VLOOKUP(E2657,STAT1!$C$4:$D$8000,2,FALSE),"")</f>
        <v/>
      </c>
      <c r="O2657" s="152" t="str">
        <f>IFERROR(VLOOKUP(N2657,DATA!$K$4:$L$51,2,FALSE),"")</f>
        <v/>
      </c>
    </row>
    <row r="2658" spans="5:15">
      <c r="E2658" s="605"/>
      <c r="F2658" s="566" t="str">
        <f>IFERROR(VLOOKUP(E2658,STAT1!$C$4:$D$8000,2,FALSE),"")</f>
        <v/>
      </c>
      <c r="O2658" s="152" t="str">
        <f>IFERROR(VLOOKUP(N2658,DATA!$K$4:$L$51,2,FALSE),"")</f>
        <v/>
      </c>
    </row>
    <row r="2659" spans="5:15">
      <c r="E2659" s="605"/>
      <c r="F2659" s="566" t="str">
        <f>IFERROR(VLOOKUP(E2659,STAT1!$C$4:$D$8000,2,FALSE),"")</f>
        <v/>
      </c>
      <c r="O2659" s="152" t="str">
        <f>IFERROR(VLOOKUP(N2659,DATA!$K$4:$L$51,2,FALSE),"")</f>
        <v/>
      </c>
    </row>
    <row r="2660" spans="5:15">
      <c r="E2660" s="605"/>
      <c r="F2660" s="566" t="str">
        <f>IFERROR(VLOOKUP(E2660,STAT1!$C$4:$D$8000,2,FALSE),"")</f>
        <v/>
      </c>
      <c r="O2660" s="152" t="str">
        <f>IFERROR(VLOOKUP(N2660,DATA!$K$4:$L$51,2,FALSE),"")</f>
        <v/>
      </c>
    </row>
    <row r="2661" spans="5:15">
      <c r="E2661" s="605"/>
      <c r="F2661" s="566" t="str">
        <f>IFERROR(VLOOKUP(E2661,STAT1!$C$4:$D$8000,2,FALSE),"")</f>
        <v/>
      </c>
      <c r="O2661" s="152" t="str">
        <f>IFERROR(VLOOKUP(N2661,DATA!$K$4:$L$51,2,FALSE),"")</f>
        <v/>
      </c>
    </row>
    <row r="2662" spans="5:15">
      <c r="E2662" s="605"/>
      <c r="F2662" s="566" t="str">
        <f>IFERROR(VLOOKUP(E2662,STAT1!$C$4:$D$8000,2,FALSE),"")</f>
        <v/>
      </c>
      <c r="O2662" s="152" t="str">
        <f>IFERROR(VLOOKUP(N2662,DATA!$K$4:$L$51,2,FALSE),"")</f>
        <v/>
      </c>
    </row>
    <row r="2663" spans="5:15">
      <c r="E2663" s="605"/>
      <c r="F2663" s="566" t="str">
        <f>IFERROR(VLOOKUP(E2663,STAT1!$C$4:$D$8000,2,FALSE),"")</f>
        <v/>
      </c>
      <c r="O2663" s="152" t="str">
        <f>IFERROR(VLOOKUP(N2663,DATA!$K$4:$L$51,2,FALSE),"")</f>
        <v/>
      </c>
    </row>
    <row r="2664" spans="5:15">
      <c r="E2664" s="605"/>
      <c r="F2664" s="566" t="str">
        <f>IFERROR(VLOOKUP(E2664,STAT1!$C$4:$D$8000,2,FALSE),"")</f>
        <v/>
      </c>
      <c r="O2664" s="152" t="str">
        <f>IFERROR(VLOOKUP(N2664,DATA!$K$4:$L$51,2,FALSE),"")</f>
        <v/>
      </c>
    </row>
    <row r="2665" spans="5:15">
      <c r="E2665" s="605"/>
      <c r="F2665" s="566" t="str">
        <f>IFERROR(VLOOKUP(E2665,STAT1!$C$4:$D$8000,2,FALSE),"")</f>
        <v/>
      </c>
      <c r="O2665" s="152" t="str">
        <f>IFERROR(VLOOKUP(N2665,DATA!$K$4:$L$51,2,FALSE),"")</f>
        <v/>
      </c>
    </row>
    <row r="2666" spans="5:15">
      <c r="E2666" s="605"/>
      <c r="F2666" s="566" t="str">
        <f>IFERROR(VLOOKUP(E2666,STAT1!$C$4:$D$8000,2,FALSE),"")</f>
        <v/>
      </c>
      <c r="O2666" s="152" t="str">
        <f>IFERROR(VLOOKUP(N2666,DATA!$K$4:$L$51,2,FALSE),"")</f>
        <v/>
      </c>
    </row>
    <row r="2667" spans="5:15">
      <c r="E2667" s="605"/>
      <c r="F2667" s="566" t="str">
        <f>IFERROR(VLOOKUP(E2667,STAT1!$C$4:$D$8000,2,FALSE),"")</f>
        <v/>
      </c>
      <c r="O2667" s="152" t="str">
        <f>IFERROR(VLOOKUP(N2667,DATA!$K$4:$L$51,2,FALSE),"")</f>
        <v/>
      </c>
    </row>
    <row r="2668" spans="5:15">
      <c r="E2668" s="605"/>
      <c r="F2668" s="566" t="str">
        <f>IFERROR(VLOOKUP(E2668,STAT1!$C$4:$D$8000,2,FALSE),"")</f>
        <v/>
      </c>
      <c r="O2668" s="152" t="str">
        <f>IFERROR(VLOOKUP(N2668,DATA!$K$4:$L$51,2,FALSE),"")</f>
        <v/>
      </c>
    </row>
    <row r="2669" spans="5:15">
      <c r="E2669" s="605"/>
      <c r="F2669" s="566" t="str">
        <f>IFERROR(VLOOKUP(E2669,STAT1!$C$4:$D$8000,2,FALSE),"")</f>
        <v/>
      </c>
      <c r="O2669" s="152" t="str">
        <f>IFERROR(VLOOKUP(N2669,DATA!$K$4:$L$51,2,FALSE),"")</f>
        <v/>
      </c>
    </row>
    <row r="2670" spans="5:15">
      <c r="E2670" s="605"/>
      <c r="F2670" s="566" t="str">
        <f>IFERROR(VLOOKUP(E2670,STAT1!$C$4:$D$8000,2,FALSE),"")</f>
        <v/>
      </c>
      <c r="O2670" s="152" t="str">
        <f>IFERROR(VLOOKUP(N2670,DATA!$K$4:$L$51,2,FALSE),"")</f>
        <v/>
      </c>
    </row>
    <row r="2671" spans="5:15">
      <c r="E2671" s="605"/>
      <c r="F2671" s="566" t="str">
        <f>IFERROR(VLOOKUP(E2671,STAT1!$C$4:$D$8000,2,FALSE),"")</f>
        <v/>
      </c>
      <c r="O2671" s="152" t="str">
        <f>IFERROR(VLOOKUP(N2671,DATA!$K$4:$L$51,2,FALSE),"")</f>
        <v/>
      </c>
    </row>
    <row r="2672" spans="5:15">
      <c r="E2672" s="605"/>
      <c r="F2672" s="566" t="str">
        <f>IFERROR(VLOOKUP(E2672,STAT1!$C$4:$D$8000,2,FALSE),"")</f>
        <v/>
      </c>
      <c r="O2672" s="152" t="str">
        <f>IFERROR(VLOOKUP(N2672,DATA!$K$4:$L$51,2,FALSE),"")</f>
        <v/>
      </c>
    </row>
    <row r="2673" spans="5:15">
      <c r="E2673" s="605"/>
      <c r="F2673" s="566" t="str">
        <f>IFERROR(VLOOKUP(E2673,STAT1!$C$4:$D$8000,2,FALSE),"")</f>
        <v/>
      </c>
      <c r="O2673" s="152" t="str">
        <f>IFERROR(VLOOKUP(N2673,DATA!$K$4:$L$51,2,FALSE),"")</f>
        <v/>
      </c>
    </row>
    <row r="2674" spans="5:15">
      <c r="E2674" s="605"/>
      <c r="F2674" s="566" t="str">
        <f>IFERROR(VLOOKUP(E2674,STAT1!$C$4:$D$8000,2,FALSE),"")</f>
        <v/>
      </c>
      <c r="O2674" s="152" t="str">
        <f>IFERROR(VLOOKUP(N2674,DATA!$K$4:$L$51,2,FALSE),"")</f>
        <v/>
      </c>
    </row>
    <row r="2675" spans="5:15">
      <c r="E2675" s="605"/>
      <c r="F2675" s="566" t="str">
        <f>IFERROR(VLOOKUP(E2675,STAT1!$C$4:$D$8000,2,FALSE),"")</f>
        <v/>
      </c>
      <c r="O2675" s="152" t="str">
        <f>IFERROR(VLOOKUP(N2675,DATA!$K$4:$L$51,2,FALSE),"")</f>
        <v/>
      </c>
    </row>
    <row r="2676" spans="5:15">
      <c r="E2676" s="605"/>
      <c r="F2676" s="566" t="str">
        <f>IFERROR(VLOOKUP(E2676,STAT1!$C$4:$D$8000,2,FALSE),"")</f>
        <v/>
      </c>
      <c r="O2676" s="152" t="str">
        <f>IFERROR(VLOOKUP(N2676,DATA!$K$4:$L$51,2,FALSE),"")</f>
        <v/>
      </c>
    </row>
    <row r="2677" spans="5:15">
      <c r="E2677" s="605"/>
      <c r="F2677" s="566" t="str">
        <f>IFERROR(VLOOKUP(E2677,STAT1!$C$4:$D$8000,2,FALSE),"")</f>
        <v/>
      </c>
      <c r="O2677" s="152" t="str">
        <f>IFERROR(VLOOKUP(N2677,DATA!$K$4:$L$51,2,FALSE),"")</f>
        <v/>
      </c>
    </row>
    <row r="2678" spans="5:15">
      <c r="E2678" s="605"/>
      <c r="F2678" s="566" t="str">
        <f>IFERROR(VLOOKUP(E2678,STAT1!$C$4:$D$8000,2,FALSE),"")</f>
        <v/>
      </c>
      <c r="O2678" s="152" t="str">
        <f>IFERROR(VLOOKUP(N2678,DATA!$K$4:$L$51,2,FALSE),"")</f>
        <v/>
      </c>
    </row>
    <row r="2679" spans="5:15">
      <c r="E2679" s="605"/>
      <c r="F2679" s="566" t="str">
        <f>IFERROR(VLOOKUP(E2679,STAT1!$C$4:$D$8000,2,FALSE),"")</f>
        <v/>
      </c>
      <c r="O2679" s="152" t="str">
        <f>IFERROR(VLOOKUP(N2679,DATA!$K$4:$L$51,2,FALSE),"")</f>
        <v/>
      </c>
    </row>
    <row r="2680" spans="5:15">
      <c r="E2680" s="605"/>
      <c r="F2680" s="566" t="str">
        <f>IFERROR(VLOOKUP(E2680,STAT1!$C$4:$D$8000,2,FALSE),"")</f>
        <v/>
      </c>
      <c r="O2680" s="152" t="str">
        <f>IFERROR(VLOOKUP(N2680,DATA!$K$4:$L$51,2,FALSE),"")</f>
        <v/>
      </c>
    </row>
    <row r="2681" spans="5:15">
      <c r="E2681" s="605"/>
      <c r="F2681" s="566" t="str">
        <f>IFERROR(VLOOKUP(E2681,STAT1!$C$4:$D$8000,2,FALSE),"")</f>
        <v/>
      </c>
      <c r="O2681" s="152" t="str">
        <f>IFERROR(VLOOKUP(N2681,DATA!$K$4:$L$51,2,FALSE),"")</f>
        <v/>
      </c>
    </row>
    <row r="2682" spans="5:15">
      <c r="E2682" s="605"/>
      <c r="F2682" s="566" t="str">
        <f>IFERROR(VLOOKUP(E2682,STAT1!$C$4:$D$8000,2,FALSE),"")</f>
        <v/>
      </c>
      <c r="O2682" s="152" t="str">
        <f>IFERROR(VLOOKUP(N2682,DATA!$K$4:$L$51,2,FALSE),"")</f>
        <v/>
      </c>
    </row>
    <row r="2683" spans="5:15">
      <c r="E2683" s="605"/>
      <c r="F2683" s="566" t="str">
        <f>IFERROR(VLOOKUP(E2683,STAT1!$C$4:$D$8000,2,FALSE),"")</f>
        <v/>
      </c>
      <c r="O2683" s="152" t="str">
        <f>IFERROR(VLOOKUP(N2683,DATA!$K$4:$L$51,2,FALSE),"")</f>
        <v/>
      </c>
    </row>
    <row r="2684" spans="5:15">
      <c r="E2684" s="605"/>
      <c r="F2684" s="566" t="str">
        <f>IFERROR(VLOOKUP(E2684,STAT1!$C$4:$D$8000,2,FALSE),"")</f>
        <v/>
      </c>
      <c r="O2684" s="152" t="str">
        <f>IFERROR(VLOOKUP(N2684,DATA!$K$4:$L$51,2,FALSE),"")</f>
        <v/>
      </c>
    </row>
    <row r="2685" spans="5:15">
      <c r="E2685" s="605"/>
      <c r="F2685" s="566" t="str">
        <f>IFERROR(VLOOKUP(E2685,STAT1!$C$4:$D$8000,2,FALSE),"")</f>
        <v/>
      </c>
      <c r="O2685" s="152" t="str">
        <f>IFERROR(VLOOKUP(N2685,DATA!$K$4:$L$51,2,FALSE),"")</f>
        <v/>
      </c>
    </row>
    <row r="2686" spans="5:15">
      <c r="E2686" s="605"/>
      <c r="F2686" s="566" t="str">
        <f>IFERROR(VLOOKUP(E2686,STAT1!$C$4:$D$8000,2,FALSE),"")</f>
        <v/>
      </c>
      <c r="O2686" s="152" t="str">
        <f>IFERROR(VLOOKUP(N2686,DATA!$K$4:$L$51,2,FALSE),"")</f>
        <v/>
      </c>
    </row>
    <row r="2687" spans="5:15">
      <c r="E2687" s="605"/>
      <c r="F2687" s="566" t="str">
        <f>IFERROR(VLOOKUP(E2687,STAT1!$C$4:$D$8000,2,FALSE),"")</f>
        <v/>
      </c>
      <c r="O2687" s="152" t="str">
        <f>IFERROR(VLOOKUP(N2687,DATA!$K$4:$L$51,2,FALSE),"")</f>
        <v/>
      </c>
    </row>
    <row r="2688" spans="5:15">
      <c r="E2688" s="605"/>
      <c r="F2688" s="566" t="str">
        <f>IFERROR(VLOOKUP(E2688,STAT1!$C$4:$D$8000,2,FALSE),"")</f>
        <v/>
      </c>
      <c r="O2688" s="152" t="str">
        <f>IFERROR(VLOOKUP(N2688,DATA!$K$4:$L$51,2,FALSE),"")</f>
        <v/>
      </c>
    </row>
    <row r="2689" spans="5:15">
      <c r="E2689" s="605"/>
      <c r="F2689" s="566" t="str">
        <f>IFERROR(VLOOKUP(E2689,STAT1!$C$4:$D$8000,2,FALSE),"")</f>
        <v/>
      </c>
      <c r="O2689" s="152" t="str">
        <f>IFERROR(VLOOKUP(N2689,DATA!$K$4:$L$51,2,FALSE),"")</f>
        <v/>
      </c>
    </row>
    <row r="2690" spans="5:15">
      <c r="E2690" s="605"/>
      <c r="F2690" s="566" t="str">
        <f>IFERROR(VLOOKUP(E2690,STAT1!$C$4:$D$8000,2,FALSE),"")</f>
        <v/>
      </c>
      <c r="O2690" s="152" t="str">
        <f>IFERROR(VLOOKUP(N2690,DATA!$K$4:$L$51,2,FALSE),"")</f>
        <v/>
      </c>
    </row>
    <row r="2691" spans="5:15">
      <c r="E2691" s="605"/>
      <c r="F2691" s="566" t="str">
        <f>IFERROR(VLOOKUP(E2691,STAT1!$C$4:$D$8000,2,FALSE),"")</f>
        <v/>
      </c>
      <c r="O2691" s="152" t="str">
        <f>IFERROR(VLOOKUP(N2691,DATA!$K$4:$L$51,2,FALSE),"")</f>
        <v/>
      </c>
    </row>
    <row r="2692" spans="5:15">
      <c r="E2692" s="605"/>
      <c r="F2692" s="566" t="str">
        <f>IFERROR(VLOOKUP(E2692,STAT1!$C$4:$D$8000,2,FALSE),"")</f>
        <v/>
      </c>
      <c r="O2692" s="152" t="str">
        <f>IFERROR(VLOOKUP(N2692,DATA!$K$4:$L$51,2,FALSE),"")</f>
        <v/>
      </c>
    </row>
    <row r="2693" spans="5:15">
      <c r="E2693" s="605"/>
      <c r="F2693" s="566" t="str">
        <f>IFERROR(VLOOKUP(E2693,STAT1!$C$4:$D$8000,2,FALSE),"")</f>
        <v/>
      </c>
      <c r="O2693" s="152" t="str">
        <f>IFERROR(VLOOKUP(N2693,DATA!$K$4:$L$51,2,FALSE),"")</f>
        <v/>
      </c>
    </row>
    <row r="2694" spans="5:15">
      <c r="E2694" s="605"/>
      <c r="F2694" s="566" t="str">
        <f>IFERROR(VLOOKUP(E2694,STAT1!$C$4:$D$8000,2,FALSE),"")</f>
        <v/>
      </c>
      <c r="O2694" s="152" t="str">
        <f>IFERROR(VLOOKUP(N2694,DATA!$K$4:$L$51,2,FALSE),"")</f>
        <v/>
      </c>
    </row>
    <row r="2695" spans="5:15">
      <c r="E2695" s="605"/>
      <c r="F2695" s="566" t="str">
        <f>IFERROR(VLOOKUP(E2695,STAT1!$C$4:$D$8000,2,FALSE),"")</f>
        <v/>
      </c>
      <c r="O2695" s="152" t="str">
        <f>IFERROR(VLOOKUP(N2695,DATA!$K$4:$L$51,2,FALSE),"")</f>
        <v/>
      </c>
    </row>
    <row r="2696" spans="5:15">
      <c r="E2696" s="605"/>
      <c r="F2696" s="566" t="str">
        <f>IFERROR(VLOOKUP(E2696,STAT1!$C$4:$D$8000,2,FALSE),"")</f>
        <v/>
      </c>
      <c r="O2696" s="152" t="str">
        <f>IFERROR(VLOOKUP(N2696,DATA!$K$4:$L$51,2,FALSE),"")</f>
        <v/>
      </c>
    </row>
    <row r="2697" spans="5:15">
      <c r="E2697" s="605"/>
      <c r="F2697" s="566" t="str">
        <f>IFERROR(VLOOKUP(E2697,STAT1!$C$4:$D$8000,2,FALSE),"")</f>
        <v/>
      </c>
      <c r="O2697" s="152" t="str">
        <f>IFERROR(VLOOKUP(N2697,DATA!$K$4:$L$51,2,FALSE),"")</f>
        <v/>
      </c>
    </row>
    <row r="2698" spans="5:15">
      <c r="E2698" s="605"/>
      <c r="F2698" s="566" t="str">
        <f>IFERROR(VLOOKUP(E2698,STAT1!$C$4:$D$8000,2,FALSE),"")</f>
        <v/>
      </c>
      <c r="O2698" s="152" t="str">
        <f>IFERROR(VLOOKUP(N2698,DATA!$K$4:$L$51,2,FALSE),"")</f>
        <v/>
      </c>
    </row>
    <row r="2699" spans="5:15">
      <c r="E2699" s="605"/>
      <c r="F2699" s="566" t="str">
        <f>IFERROR(VLOOKUP(E2699,STAT1!$C$4:$D$8000,2,FALSE),"")</f>
        <v/>
      </c>
      <c r="O2699" s="152" t="str">
        <f>IFERROR(VLOOKUP(N2699,DATA!$K$4:$L$51,2,FALSE),"")</f>
        <v/>
      </c>
    </row>
    <row r="2700" spans="5:15">
      <c r="E2700" s="605"/>
      <c r="F2700" s="566" t="str">
        <f>IFERROR(VLOOKUP(E2700,STAT1!$C$4:$D$8000,2,FALSE),"")</f>
        <v/>
      </c>
      <c r="O2700" s="152" t="str">
        <f>IFERROR(VLOOKUP(N2700,DATA!$K$4:$L$51,2,FALSE),"")</f>
        <v/>
      </c>
    </row>
    <row r="2701" spans="5:15">
      <c r="E2701" s="605"/>
      <c r="F2701" s="566" t="str">
        <f>IFERROR(VLOOKUP(E2701,STAT1!$C$4:$D$8000,2,FALSE),"")</f>
        <v/>
      </c>
      <c r="O2701" s="152" t="str">
        <f>IFERROR(VLOOKUP(N2701,DATA!$K$4:$L$51,2,FALSE),"")</f>
        <v/>
      </c>
    </row>
    <row r="2702" spans="5:15">
      <c r="E2702" s="605"/>
      <c r="F2702" s="566" t="str">
        <f>IFERROR(VLOOKUP(E2702,STAT1!$C$4:$D$8000,2,FALSE),"")</f>
        <v/>
      </c>
      <c r="O2702" s="152" t="str">
        <f>IFERROR(VLOOKUP(N2702,DATA!$K$4:$L$51,2,FALSE),"")</f>
        <v/>
      </c>
    </row>
    <row r="2703" spans="5:15">
      <c r="E2703" s="605"/>
      <c r="F2703" s="566" t="str">
        <f>IFERROR(VLOOKUP(E2703,STAT1!$C$4:$D$8000,2,FALSE),"")</f>
        <v/>
      </c>
      <c r="O2703" s="152" t="str">
        <f>IFERROR(VLOOKUP(N2703,DATA!$K$4:$L$51,2,FALSE),"")</f>
        <v/>
      </c>
    </row>
    <row r="2704" spans="5:15">
      <c r="E2704" s="605"/>
      <c r="F2704" s="566" t="str">
        <f>IFERROR(VLOOKUP(E2704,STAT1!$C$4:$D$8000,2,FALSE),"")</f>
        <v/>
      </c>
      <c r="O2704" s="152" t="str">
        <f>IFERROR(VLOOKUP(N2704,DATA!$K$4:$L$51,2,FALSE),"")</f>
        <v/>
      </c>
    </row>
    <row r="2705" spans="5:15">
      <c r="E2705" s="605"/>
      <c r="F2705" s="566" t="str">
        <f>IFERROR(VLOOKUP(E2705,STAT1!$C$4:$D$8000,2,FALSE),"")</f>
        <v/>
      </c>
      <c r="O2705" s="152" t="str">
        <f>IFERROR(VLOOKUP(N2705,DATA!$K$4:$L$51,2,FALSE),"")</f>
        <v/>
      </c>
    </row>
    <row r="2706" spans="5:15">
      <c r="E2706" s="605"/>
      <c r="F2706" s="566" t="str">
        <f>IFERROR(VLOOKUP(E2706,STAT1!$C$4:$D$8000,2,FALSE),"")</f>
        <v/>
      </c>
      <c r="O2706" s="152" t="str">
        <f>IFERROR(VLOOKUP(N2706,DATA!$K$4:$L$51,2,FALSE),"")</f>
        <v/>
      </c>
    </row>
    <row r="2707" spans="5:15">
      <c r="E2707" s="605"/>
      <c r="F2707" s="566" t="str">
        <f>IFERROR(VLOOKUP(E2707,STAT1!$C$4:$D$8000,2,FALSE),"")</f>
        <v/>
      </c>
      <c r="O2707" s="152" t="str">
        <f>IFERROR(VLOOKUP(N2707,DATA!$K$4:$L$51,2,FALSE),"")</f>
        <v/>
      </c>
    </row>
    <row r="2708" spans="5:15">
      <c r="E2708" s="605"/>
      <c r="F2708" s="566" t="str">
        <f>IFERROR(VLOOKUP(E2708,STAT1!$C$4:$D$8000,2,FALSE),"")</f>
        <v/>
      </c>
      <c r="O2708" s="152" t="str">
        <f>IFERROR(VLOOKUP(N2708,DATA!$K$4:$L$51,2,FALSE),"")</f>
        <v/>
      </c>
    </row>
    <row r="2709" spans="5:15">
      <c r="E2709" s="605"/>
      <c r="F2709" s="566" t="str">
        <f>IFERROR(VLOOKUP(E2709,STAT1!$C$4:$D$8000,2,FALSE),"")</f>
        <v/>
      </c>
      <c r="O2709" s="152" t="str">
        <f>IFERROR(VLOOKUP(N2709,DATA!$K$4:$L$51,2,FALSE),"")</f>
        <v/>
      </c>
    </row>
    <row r="2710" spans="5:15">
      <c r="E2710" s="605"/>
      <c r="F2710" s="566" t="str">
        <f>IFERROR(VLOOKUP(E2710,STAT1!$C$4:$D$8000,2,FALSE),"")</f>
        <v/>
      </c>
      <c r="O2710" s="152" t="str">
        <f>IFERROR(VLOOKUP(N2710,DATA!$K$4:$L$51,2,FALSE),"")</f>
        <v/>
      </c>
    </row>
    <row r="2711" spans="5:15">
      <c r="E2711" s="605"/>
      <c r="F2711" s="566" t="str">
        <f>IFERROR(VLOOKUP(E2711,STAT1!$C$4:$D$8000,2,FALSE),"")</f>
        <v/>
      </c>
      <c r="O2711" s="152" t="str">
        <f>IFERROR(VLOOKUP(N2711,DATA!$K$4:$L$51,2,FALSE),"")</f>
        <v/>
      </c>
    </row>
    <row r="2712" spans="5:15">
      <c r="E2712" s="605"/>
      <c r="F2712" s="566" t="str">
        <f>IFERROR(VLOOKUP(E2712,STAT1!$C$4:$D$8000,2,FALSE),"")</f>
        <v/>
      </c>
      <c r="O2712" s="152" t="str">
        <f>IFERROR(VLOOKUP(N2712,DATA!$K$4:$L$51,2,FALSE),"")</f>
        <v/>
      </c>
    </row>
    <row r="2713" spans="5:15">
      <c r="E2713" s="605"/>
      <c r="F2713" s="566" t="str">
        <f>IFERROR(VLOOKUP(E2713,STAT1!$C$4:$D$8000,2,FALSE),"")</f>
        <v/>
      </c>
      <c r="O2713" s="152" t="str">
        <f>IFERROR(VLOOKUP(N2713,DATA!$K$4:$L$51,2,FALSE),"")</f>
        <v/>
      </c>
    </row>
    <row r="2714" spans="5:15">
      <c r="E2714" s="605"/>
      <c r="F2714" s="566" t="str">
        <f>IFERROR(VLOOKUP(E2714,STAT1!$C$4:$D$8000,2,FALSE),"")</f>
        <v/>
      </c>
      <c r="O2714" s="152" t="str">
        <f>IFERROR(VLOOKUP(N2714,DATA!$K$4:$L$51,2,FALSE),"")</f>
        <v/>
      </c>
    </row>
    <row r="2715" spans="5:15">
      <c r="E2715" s="605"/>
      <c r="F2715" s="566" t="str">
        <f>IFERROR(VLOOKUP(E2715,STAT1!$C$4:$D$8000,2,FALSE),"")</f>
        <v/>
      </c>
      <c r="O2715" s="152" t="str">
        <f>IFERROR(VLOOKUP(N2715,DATA!$K$4:$L$51,2,FALSE),"")</f>
        <v/>
      </c>
    </row>
    <row r="2716" spans="5:15">
      <c r="E2716" s="605"/>
      <c r="F2716" s="566" t="str">
        <f>IFERROR(VLOOKUP(E2716,STAT1!$C$4:$D$8000,2,FALSE),"")</f>
        <v/>
      </c>
      <c r="O2716" s="152" t="str">
        <f>IFERROR(VLOOKUP(N2716,DATA!$K$4:$L$51,2,FALSE),"")</f>
        <v/>
      </c>
    </row>
    <row r="2717" spans="5:15">
      <c r="E2717" s="605"/>
      <c r="F2717" s="566" t="str">
        <f>IFERROR(VLOOKUP(E2717,STAT1!$C$4:$D$8000,2,FALSE),"")</f>
        <v/>
      </c>
      <c r="O2717" s="152" t="str">
        <f>IFERROR(VLOOKUP(N2717,DATA!$K$4:$L$51,2,FALSE),"")</f>
        <v/>
      </c>
    </row>
    <row r="2718" spans="5:15">
      <c r="E2718" s="605"/>
      <c r="F2718" s="566" t="str">
        <f>IFERROR(VLOOKUP(E2718,STAT1!$C$4:$D$8000,2,FALSE),"")</f>
        <v/>
      </c>
      <c r="O2718" s="152" t="str">
        <f>IFERROR(VLOOKUP(N2718,DATA!$K$4:$L$51,2,FALSE),"")</f>
        <v/>
      </c>
    </row>
    <row r="2719" spans="5:15">
      <c r="E2719" s="605"/>
      <c r="F2719" s="566" t="str">
        <f>IFERROR(VLOOKUP(E2719,STAT1!$C$4:$D$8000,2,FALSE),"")</f>
        <v/>
      </c>
      <c r="O2719" s="152" t="str">
        <f>IFERROR(VLOOKUP(N2719,DATA!$K$4:$L$51,2,FALSE),"")</f>
        <v/>
      </c>
    </row>
    <row r="2720" spans="5:15">
      <c r="E2720" s="605"/>
      <c r="F2720" s="566" t="str">
        <f>IFERROR(VLOOKUP(E2720,STAT1!$C$4:$D$8000,2,FALSE),"")</f>
        <v/>
      </c>
      <c r="O2720" s="152" t="str">
        <f>IFERROR(VLOOKUP(N2720,DATA!$K$4:$L$51,2,FALSE),"")</f>
        <v/>
      </c>
    </row>
    <row r="2721" spans="5:15">
      <c r="E2721" s="605"/>
      <c r="F2721" s="566" t="str">
        <f>IFERROR(VLOOKUP(E2721,STAT1!$C$4:$D$8000,2,FALSE),"")</f>
        <v/>
      </c>
      <c r="O2721" s="152" t="str">
        <f>IFERROR(VLOOKUP(N2721,DATA!$K$4:$L$51,2,FALSE),"")</f>
        <v/>
      </c>
    </row>
    <row r="2722" spans="5:15">
      <c r="E2722" s="605"/>
      <c r="F2722" s="566" t="str">
        <f>IFERROR(VLOOKUP(E2722,STAT1!$C$4:$D$8000,2,FALSE),"")</f>
        <v/>
      </c>
      <c r="O2722" s="152" t="str">
        <f>IFERROR(VLOOKUP(N2722,DATA!$K$4:$L$51,2,FALSE),"")</f>
        <v/>
      </c>
    </row>
    <row r="2723" spans="5:15">
      <c r="E2723" s="605"/>
      <c r="F2723" s="566" t="str">
        <f>IFERROR(VLOOKUP(E2723,STAT1!$C$4:$D$8000,2,FALSE),"")</f>
        <v/>
      </c>
      <c r="O2723" s="152" t="str">
        <f>IFERROR(VLOOKUP(N2723,DATA!$K$4:$L$51,2,FALSE),"")</f>
        <v/>
      </c>
    </row>
    <row r="2724" spans="5:15">
      <c r="E2724" s="605"/>
      <c r="F2724" s="566" t="str">
        <f>IFERROR(VLOOKUP(E2724,STAT1!$C$4:$D$8000,2,FALSE),"")</f>
        <v/>
      </c>
      <c r="O2724" s="152" t="str">
        <f>IFERROR(VLOOKUP(N2724,DATA!$K$4:$L$51,2,FALSE),"")</f>
        <v/>
      </c>
    </row>
    <row r="2725" spans="5:15">
      <c r="E2725" s="605"/>
      <c r="F2725" s="566" t="str">
        <f>IFERROR(VLOOKUP(E2725,STAT1!$C$4:$D$8000,2,FALSE),"")</f>
        <v/>
      </c>
      <c r="O2725" s="152" t="str">
        <f>IFERROR(VLOOKUP(N2725,DATA!$K$4:$L$51,2,FALSE),"")</f>
        <v/>
      </c>
    </row>
    <row r="2726" spans="5:15">
      <c r="E2726" s="605"/>
      <c r="F2726" s="566" t="str">
        <f>IFERROR(VLOOKUP(E2726,STAT1!$C$4:$D$8000,2,FALSE),"")</f>
        <v/>
      </c>
      <c r="O2726" s="152" t="str">
        <f>IFERROR(VLOOKUP(N2726,DATA!$K$4:$L$51,2,FALSE),"")</f>
        <v/>
      </c>
    </row>
    <row r="2727" spans="5:15">
      <c r="E2727" s="605"/>
      <c r="F2727" s="566" t="str">
        <f>IFERROR(VLOOKUP(E2727,STAT1!$C$4:$D$8000,2,FALSE),"")</f>
        <v/>
      </c>
      <c r="O2727" s="152" t="str">
        <f>IFERROR(VLOOKUP(N2727,DATA!$K$4:$L$51,2,FALSE),"")</f>
        <v/>
      </c>
    </row>
    <row r="2728" spans="5:15">
      <c r="E2728" s="605"/>
      <c r="F2728" s="566" t="str">
        <f>IFERROR(VLOOKUP(E2728,STAT1!$C$4:$D$8000,2,FALSE),"")</f>
        <v/>
      </c>
      <c r="O2728" s="152" t="str">
        <f>IFERROR(VLOOKUP(N2728,DATA!$K$4:$L$51,2,FALSE),"")</f>
        <v/>
      </c>
    </row>
    <row r="2729" spans="5:15">
      <c r="E2729" s="605"/>
      <c r="F2729" s="566" t="str">
        <f>IFERROR(VLOOKUP(E2729,STAT1!$C$4:$D$8000,2,FALSE),"")</f>
        <v/>
      </c>
      <c r="O2729" s="152" t="str">
        <f>IFERROR(VLOOKUP(N2729,DATA!$K$4:$L$51,2,FALSE),"")</f>
        <v/>
      </c>
    </row>
    <row r="2730" spans="5:15">
      <c r="E2730" s="605"/>
      <c r="F2730" s="566" t="str">
        <f>IFERROR(VLOOKUP(E2730,STAT1!$C$4:$D$8000,2,FALSE),"")</f>
        <v/>
      </c>
      <c r="O2730" s="152" t="str">
        <f>IFERROR(VLOOKUP(N2730,DATA!$K$4:$L$51,2,FALSE),"")</f>
        <v/>
      </c>
    </row>
    <row r="2731" spans="5:15">
      <c r="E2731" s="605"/>
      <c r="F2731" s="566" t="str">
        <f>IFERROR(VLOOKUP(E2731,STAT1!$C$4:$D$8000,2,FALSE),"")</f>
        <v/>
      </c>
      <c r="O2731" s="152" t="str">
        <f>IFERROR(VLOOKUP(N2731,DATA!$K$4:$L$51,2,FALSE),"")</f>
        <v/>
      </c>
    </row>
    <row r="2732" spans="5:15">
      <c r="E2732" s="605"/>
      <c r="F2732" s="566" t="str">
        <f>IFERROR(VLOOKUP(E2732,STAT1!$C$4:$D$8000,2,FALSE),"")</f>
        <v/>
      </c>
      <c r="O2732" s="152" t="str">
        <f>IFERROR(VLOOKUP(N2732,DATA!$K$4:$L$51,2,FALSE),"")</f>
        <v/>
      </c>
    </row>
    <row r="2733" spans="5:15">
      <c r="E2733" s="605"/>
      <c r="F2733" s="566" t="str">
        <f>IFERROR(VLOOKUP(E2733,STAT1!$C$4:$D$8000,2,FALSE),"")</f>
        <v/>
      </c>
      <c r="O2733" s="152" t="str">
        <f>IFERROR(VLOOKUP(N2733,DATA!$K$4:$L$51,2,FALSE),"")</f>
        <v/>
      </c>
    </row>
    <row r="2734" spans="5:15">
      <c r="E2734" s="605"/>
      <c r="F2734" s="566" t="str">
        <f>IFERROR(VLOOKUP(E2734,STAT1!$C$4:$D$8000,2,FALSE),"")</f>
        <v/>
      </c>
      <c r="O2734" s="152" t="str">
        <f>IFERROR(VLOOKUP(N2734,DATA!$K$4:$L$51,2,FALSE),"")</f>
        <v/>
      </c>
    </row>
    <row r="2735" spans="5:15">
      <c r="E2735" s="605"/>
      <c r="F2735" s="566" t="str">
        <f>IFERROR(VLOOKUP(E2735,STAT1!$C$4:$D$8000,2,FALSE),"")</f>
        <v/>
      </c>
      <c r="O2735" s="152" t="str">
        <f>IFERROR(VLOOKUP(N2735,DATA!$K$4:$L$51,2,FALSE),"")</f>
        <v/>
      </c>
    </row>
    <row r="2736" spans="5:15">
      <c r="E2736" s="605"/>
      <c r="F2736" s="566" t="str">
        <f>IFERROR(VLOOKUP(E2736,STAT1!$C$4:$D$8000,2,FALSE),"")</f>
        <v/>
      </c>
      <c r="O2736" s="152" t="str">
        <f>IFERROR(VLOOKUP(N2736,DATA!$K$4:$L$51,2,FALSE),"")</f>
        <v/>
      </c>
    </row>
    <row r="2737" spans="5:15">
      <c r="E2737" s="605"/>
      <c r="F2737" s="566" t="str">
        <f>IFERROR(VLOOKUP(E2737,STAT1!$C$4:$D$8000,2,FALSE),"")</f>
        <v/>
      </c>
      <c r="O2737" s="152" t="str">
        <f>IFERROR(VLOOKUP(N2737,DATA!$K$4:$L$51,2,FALSE),"")</f>
        <v/>
      </c>
    </row>
    <row r="2738" spans="5:15">
      <c r="E2738" s="605"/>
      <c r="F2738" s="566" t="str">
        <f>IFERROR(VLOOKUP(E2738,STAT1!$C$4:$D$8000,2,FALSE),"")</f>
        <v/>
      </c>
      <c r="O2738" s="152" t="str">
        <f>IFERROR(VLOOKUP(N2738,DATA!$K$4:$L$51,2,FALSE),"")</f>
        <v/>
      </c>
    </row>
    <row r="2739" spans="5:15">
      <c r="E2739" s="605"/>
      <c r="F2739" s="566" t="str">
        <f>IFERROR(VLOOKUP(E2739,STAT1!$C$4:$D$8000,2,FALSE),"")</f>
        <v/>
      </c>
      <c r="O2739" s="152" t="str">
        <f>IFERROR(VLOOKUP(N2739,DATA!$K$4:$L$51,2,FALSE),"")</f>
        <v/>
      </c>
    </row>
    <row r="2740" spans="5:15">
      <c r="E2740" s="605"/>
      <c r="F2740" s="566" t="str">
        <f>IFERROR(VLOOKUP(E2740,STAT1!$C$4:$D$8000,2,FALSE),"")</f>
        <v/>
      </c>
      <c r="O2740" s="152" t="str">
        <f>IFERROR(VLOOKUP(N2740,DATA!$K$4:$L$51,2,FALSE),"")</f>
        <v/>
      </c>
    </row>
    <row r="2741" spans="5:15">
      <c r="E2741" s="605"/>
      <c r="F2741" s="566" t="str">
        <f>IFERROR(VLOOKUP(E2741,STAT1!$C$4:$D$8000,2,FALSE),"")</f>
        <v/>
      </c>
      <c r="O2741" s="152" t="str">
        <f>IFERROR(VLOOKUP(N2741,DATA!$K$4:$L$51,2,FALSE),"")</f>
        <v/>
      </c>
    </row>
    <row r="2742" spans="5:15">
      <c r="E2742" s="605"/>
      <c r="F2742" s="566" t="str">
        <f>IFERROR(VLOOKUP(E2742,STAT1!$C$4:$D$8000,2,FALSE),"")</f>
        <v/>
      </c>
      <c r="O2742" s="152" t="str">
        <f>IFERROR(VLOOKUP(N2742,DATA!$K$4:$L$51,2,FALSE),"")</f>
        <v/>
      </c>
    </row>
    <row r="2743" spans="5:15">
      <c r="E2743" s="605"/>
      <c r="F2743" s="566" t="str">
        <f>IFERROR(VLOOKUP(E2743,STAT1!$C$4:$D$8000,2,FALSE),"")</f>
        <v/>
      </c>
      <c r="O2743" s="152" t="str">
        <f>IFERROR(VLOOKUP(N2743,DATA!$K$4:$L$51,2,FALSE),"")</f>
        <v/>
      </c>
    </row>
    <row r="2744" spans="5:15">
      <c r="E2744" s="605"/>
      <c r="F2744" s="566" t="str">
        <f>IFERROR(VLOOKUP(E2744,STAT1!$C$4:$D$8000,2,FALSE),"")</f>
        <v/>
      </c>
      <c r="O2744" s="152" t="str">
        <f>IFERROR(VLOOKUP(N2744,DATA!$K$4:$L$51,2,FALSE),"")</f>
        <v/>
      </c>
    </row>
    <row r="2745" spans="5:15">
      <c r="E2745" s="605"/>
      <c r="F2745" s="566" t="str">
        <f>IFERROR(VLOOKUP(E2745,STAT1!$C$4:$D$8000,2,FALSE),"")</f>
        <v/>
      </c>
      <c r="O2745" s="152" t="str">
        <f>IFERROR(VLOOKUP(N2745,DATA!$K$4:$L$51,2,FALSE),"")</f>
        <v/>
      </c>
    </row>
    <row r="2746" spans="5:15">
      <c r="E2746" s="605"/>
      <c r="F2746" s="566" t="str">
        <f>IFERROR(VLOOKUP(E2746,STAT1!$C$4:$D$8000,2,FALSE),"")</f>
        <v/>
      </c>
      <c r="O2746" s="152" t="str">
        <f>IFERROR(VLOOKUP(N2746,DATA!$K$4:$L$51,2,FALSE),"")</f>
        <v/>
      </c>
    </row>
    <row r="2747" spans="5:15">
      <c r="E2747" s="605"/>
      <c r="F2747" s="566" t="str">
        <f>IFERROR(VLOOKUP(E2747,STAT1!$C$4:$D$8000,2,FALSE),"")</f>
        <v/>
      </c>
      <c r="O2747" s="152" t="str">
        <f>IFERROR(VLOOKUP(N2747,DATA!$K$4:$L$51,2,FALSE),"")</f>
        <v/>
      </c>
    </row>
    <row r="2748" spans="5:15">
      <c r="E2748" s="605"/>
      <c r="F2748" s="566" t="str">
        <f>IFERROR(VLOOKUP(E2748,STAT1!$C$4:$D$8000,2,FALSE),"")</f>
        <v/>
      </c>
      <c r="O2748" s="152" t="str">
        <f>IFERROR(VLOOKUP(N2748,DATA!$K$4:$L$51,2,FALSE),"")</f>
        <v/>
      </c>
    </row>
    <row r="2749" spans="5:15">
      <c r="E2749" s="605"/>
      <c r="F2749" s="566" t="str">
        <f>IFERROR(VLOOKUP(E2749,STAT1!$C$4:$D$8000,2,FALSE),"")</f>
        <v/>
      </c>
      <c r="O2749" s="152" t="str">
        <f>IFERROR(VLOOKUP(N2749,DATA!$K$4:$L$51,2,FALSE),"")</f>
        <v/>
      </c>
    </row>
    <row r="2750" spans="5:15">
      <c r="E2750" s="605"/>
      <c r="F2750" s="566" t="str">
        <f>IFERROR(VLOOKUP(E2750,STAT1!$C$4:$D$8000,2,FALSE),"")</f>
        <v/>
      </c>
      <c r="O2750" s="152" t="str">
        <f>IFERROR(VLOOKUP(N2750,DATA!$K$4:$L$51,2,FALSE),"")</f>
        <v/>
      </c>
    </row>
    <row r="2751" spans="5:15">
      <c r="E2751" s="605"/>
      <c r="F2751" s="566" t="str">
        <f>IFERROR(VLOOKUP(E2751,STAT1!$C$4:$D$8000,2,FALSE),"")</f>
        <v/>
      </c>
      <c r="O2751" s="152" t="str">
        <f>IFERROR(VLOOKUP(N2751,DATA!$K$4:$L$51,2,FALSE),"")</f>
        <v/>
      </c>
    </row>
    <row r="2752" spans="5:15">
      <c r="E2752" s="605"/>
      <c r="F2752" s="566" t="str">
        <f>IFERROR(VLOOKUP(E2752,STAT1!$C$4:$D$8000,2,FALSE),"")</f>
        <v/>
      </c>
      <c r="O2752" s="152" t="str">
        <f>IFERROR(VLOOKUP(N2752,DATA!$K$4:$L$51,2,FALSE),"")</f>
        <v/>
      </c>
    </row>
    <row r="2753" spans="5:15">
      <c r="E2753" s="605"/>
      <c r="F2753" s="566" t="str">
        <f>IFERROR(VLOOKUP(E2753,STAT1!$C$4:$D$8000,2,FALSE),"")</f>
        <v/>
      </c>
      <c r="O2753" s="152" t="str">
        <f>IFERROR(VLOOKUP(N2753,DATA!$K$4:$L$51,2,FALSE),"")</f>
        <v/>
      </c>
    </row>
    <row r="2754" spans="5:15">
      <c r="E2754" s="605"/>
      <c r="F2754" s="566" t="str">
        <f>IFERROR(VLOOKUP(E2754,STAT1!$C$4:$D$8000,2,FALSE),"")</f>
        <v/>
      </c>
      <c r="O2754" s="152" t="str">
        <f>IFERROR(VLOOKUP(N2754,DATA!$K$4:$L$51,2,FALSE),"")</f>
        <v/>
      </c>
    </row>
    <row r="2755" spans="5:15">
      <c r="E2755" s="605"/>
      <c r="F2755" s="566" t="str">
        <f>IFERROR(VLOOKUP(E2755,STAT1!$C$4:$D$8000,2,FALSE),"")</f>
        <v/>
      </c>
      <c r="O2755" s="152" t="str">
        <f>IFERROR(VLOOKUP(N2755,DATA!$K$4:$L$51,2,FALSE),"")</f>
        <v/>
      </c>
    </row>
    <row r="2756" spans="5:15">
      <c r="E2756" s="605"/>
      <c r="F2756" s="566" t="str">
        <f>IFERROR(VLOOKUP(E2756,STAT1!$C$4:$D$8000,2,FALSE),"")</f>
        <v/>
      </c>
      <c r="O2756" s="152" t="str">
        <f>IFERROR(VLOOKUP(N2756,DATA!$K$4:$L$51,2,FALSE),"")</f>
        <v/>
      </c>
    </row>
    <row r="2757" spans="5:15">
      <c r="E2757" s="605"/>
      <c r="F2757" s="566" t="str">
        <f>IFERROR(VLOOKUP(E2757,STAT1!$C$4:$D$8000,2,FALSE),"")</f>
        <v/>
      </c>
      <c r="O2757" s="152" t="str">
        <f>IFERROR(VLOOKUP(N2757,DATA!$K$4:$L$51,2,FALSE),"")</f>
        <v/>
      </c>
    </row>
    <row r="2758" spans="5:15">
      <c r="E2758" s="605"/>
      <c r="F2758" s="566" t="str">
        <f>IFERROR(VLOOKUP(E2758,STAT1!$C$4:$D$8000,2,FALSE),"")</f>
        <v/>
      </c>
      <c r="O2758" s="152" t="str">
        <f>IFERROR(VLOOKUP(N2758,DATA!$K$4:$L$51,2,FALSE),"")</f>
        <v/>
      </c>
    </row>
    <row r="2759" spans="5:15">
      <c r="E2759" s="605"/>
      <c r="F2759" s="566" t="str">
        <f>IFERROR(VLOOKUP(E2759,STAT1!$C$4:$D$8000,2,FALSE),"")</f>
        <v/>
      </c>
      <c r="O2759" s="152" t="str">
        <f>IFERROR(VLOOKUP(N2759,DATA!$K$4:$L$51,2,FALSE),"")</f>
        <v/>
      </c>
    </row>
    <row r="2760" spans="5:15">
      <c r="E2760" s="605"/>
      <c r="F2760" s="566" t="str">
        <f>IFERROR(VLOOKUP(E2760,STAT1!$C$4:$D$8000,2,FALSE),"")</f>
        <v/>
      </c>
      <c r="O2760" s="152" t="str">
        <f>IFERROR(VLOOKUP(N2760,DATA!$K$4:$L$51,2,FALSE),"")</f>
        <v/>
      </c>
    </row>
    <row r="2761" spans="5:15">
      <c r="E2761" s="605"/>
      <c r="F2761" s="566" t="str">
        <f>IFERROR(VLOOKUP(E2761,STAT1!$C$4:$D$8000,2,FALSE),"")</f>
        <v/>
      </c>
      <c r="O2761" s="152" t="str">
        <f>IFERROR(VLOOKUP(N2761,DATA!$K$4:$L$51,2,FALSE),"")</f>
        <v/>
      </c>
    </row>
    <row r="2762" spans="5:15">
      <c r="E2762" s="605"/>
      <c r="F2762" s="566" t="str">
        <f>IFERROR(VLOOKUP(E2762,STAT1!$C$4:$D$8000,2,FALSE),"")</f>
        <v/>
      </c>
      <c r="O2762" s="152" t="str">
        <f>IFERROR(VLOOKUP(N2762,DATA!$K$4:$L$51,2,FALSE),"")</f>
        <v/>
      </c>
    </row>
    <row r="2763" spans="5:15">
      <c r="E2763" s="605"/>
      <c r="F2763" s="566" t="str">
        <f>IFERROR(VLOOKUP(E2763,STAT1!$C$4:$D$8000,2,FALSE),"")</f>
        <v/>
      </c>
      <c r="O2763" s="152" t="str">
        <f>IFERROR(VLOOKUP(N2763,DATA!$K$4:$L$51,2,FALSE),"")</f>
        <v/>
      </c>
    </row>
    <row r="2764" spans="5:15">
      <c r="E2764" s="605"/>
      <c r="F2764" s="566" t="str">
        <f>IFERROR(VLOOKUP(E2764,STAT1!$C$4:$D$8000,2,FALSE),"")</f>
        <v/>
      </c>
      <c r="O2764" s="152" t="str">
        <f>IFERROR(VLOOKUP(N2764,DATA!$K$4:$L$51,2,FALSE),"")</f>
        <v/>
      </c>
    </row>
    <row r="2765" spans="5:15">
      <c r="E2765" s="605"/>
      <c r="F2765" s="566" t="str">
        <f>IFERROR(VLOOKUP(E2765,STAT1!$C$4:$D$8000,2,FALSE),"")</f>
        <v/>
      </c>
      <c r="O2765" s="152" t="str">
        <f>IFERROR(VLOOKUP(N2765,DATA!$K$4:$L$51,2,FALSE),"")</f>
        <v/>
      </c>
    </row>
    <row r="2766" spans="5:15">
      <c r="E2766" s="605"/>
      <c r="F2766" s="566" t="str">
        <f>IFERROR(VLOOKUP(E2766,STAT1!$C$4:$D$8000,2,FALSE),"")</f>
        <v/>
      </c>
      <c r="O2766" s="152" t="str">
        <f>IFERROR(VLOOKUP(N2766,DATA!$K$4:$L$51,2,FALSE),"")</f>
        <v/>
      </c>
    </row>
    <row r="2767" spans="5:15">
      <c r="E2767" s="605"/>
      <c r="F2767" s="566" t="str">
        <f>IFERROR(VLOOKUP(E2767,STAT1!$C$4:$D$8000,2,FALSE),"")</f>
        <v/>
      </c>
      <c r="O2767" s="152" t="str">
        <f>IFERROR(VLOOKUP(N2767,DATA!$K$4:$L$51,2,FALSE),"")</f>
        <v/>
      </c>
    </row>
    <row r="2768" spans="5:15">
      <c r="E2768" s="605"/>
      <c r="F2768" s="566" t="str">
        <f>IFERROR(VLOOKUP(E2768,STAT1!$C$4:$D$8000,2,FALSE),"")</f>
        <v/>
      </c>
      <c r="O2768" s="152" t="str">
        <f>IFERROR(VLOOKUP(N2768,DATA!$K$4:$L$51,2,FALSE),"")</f>
        <v/>
      </c>
    </row>
    <row r="2769" spans="5:15">
      <c r="E2769" s="605"/>
      <c r="F2769" s="566" t="str">
        <f>IFERROR(VLOOKUP(E2769,STAT1!$C$4:$D$8000,2,FALSE),"")</f>
        <v/>
      </c>
      <c r="O2769" s="152" t="str">
        <f>IFERROR(VLOOKUP(N2769,DATA!$K$4:$L$51,2,FALSE),"")</f>
        <v/>
      </c>
    </row>
    <row r="2770" spans="5:15">
      <c r="E2770" s="605"/>
      <c r="F2770" s="566" t="str">
        <f>IFERROR(VLOOKUP(E2770,STAT1!$C$4:$D$8000,2,FALSE),"")</f>
        <v/>
      </c>
      <c r="O2770" s="152" t="str">
        <f>IFERROR(VLOOKUP(N2770,DATA!$K$4:$L$51,2,FALSE),"")</f>
        <v/>
      </c>
    </row>
    <row r="2771" spans="5:15">
      <c r="E2771" s="605"/>
      <c r="F2771" s="566" t="str">
        <f>IFERROR(VLOOKUP(E2771,STAT1!$C$4:$D$8000,2,FALSE),"")</f>
        <v/>
      </c>
      <c r="O2771" s="152" t="str">
        <f>IFERROR(VLOOKUP(N2771,DATA!$K$4:$L$51,2,FALSE),"")</f>
        <v/>
      </c>
    </row>
    <row r="2772" spans="5:15">
      <c r="E2772" s="605"/>
      <c r="F2772" s="566" t="str">
        <f>IFERROR(VLOOKUP(E2772,STAT1!$C$4:$D$8000,2,FALSE),"")</f>
        <v/>
      </c>
      <c r="O2772" s="152" t="str">
        <f>IFERROR(VLOOKUP(N2772,DATA!$K$4:$L$51,2,FALSE),"")</f>
        <v/>
      </c>
    </row>
    <row r="2773" spans="5:15">
      <c r="E2773" s="605"/>
      <c r="F2773" s="566" t="str">
        <f>IFERROR(VLOOKUP(E2773,STAT1!$C$4:$D$8000,2,FALSE),"")</f>
        <v/>
      </c>
      <c r="O2773" s="152" t="str">
        <f>IFERROR(VLOOKUP(N2773,DATA!$K$4:$L$51,2,FALSE),"")</f>
        <v/>
      </c>
    </row>
    <row r="2774" spans="5:15">
      <c r="E2774" s="605"/>
      <c r="F2774" s="566" t="str">
        <f>IFERROR(VLOOKUP(E2774,STAT1!$C$4:$D$8000,2,FALSE),"")</f>
        <v/>
      </c>
      <c r="O2774" s="152" t="str">
        <f>IFERROR(VLOOKUP(N2774,DATA!$K$4:$L$51,2,FALSE),"")</f>
        <v/>
      </c>
    </row>
    <row r="2775" spans="5:15">
      <c r="E2775" s="605"/>
      <c r="F2775" s="566" t="str">
        <f>IFERROR(VLOOKUP(E2775,STAT1!$C$4:$D$8000,2,FALSE),"")</f>
        <v/>
      </c>
      <c r="O2775" s="152" t="str">
        <f>IFERROR(VLOOKUP(N2775,DATA!$K$4:$L$51,2,FALSE),"")</f>
        <v/>
      </c>
    </row>
    <row r="2776" spans="5:15">
      <c r="E2776" s="605"/>
      <c r="F2776" s="566" t="str">
        <f>IFERROR(VLOOKUP(E2776,STAT1!$C$4:$D$8000,2,FALSE),"")</f>
        <v/>
      </c>
      <c r="O2776" s="152" t="str">
        <f>IFERROR(VLOOKUP(N2776,DATA!$K$4:$L$51,2,FALSE),"")</f>
        <v/>
      </c>
    </row>
    <row r="2777" spans="5:15">
      <c r="E2777" s="605"/>
      <c r="F2777" s="566" t="str">
        <f>IFERROR(VLOOKUP(E2777,STAT1!$C$4:$D$8000,2,FALSE),"")</f>
        <v/>
      </c>
      <c r="O2777" s="152" t="str">
        <f>IFERROR(VLOOKUP(N2777,DATA!$K$4:$L$51,2,FALSE),"")</f>
        <v/>
      </c>
    </row>
    <row r="2778" spans="5:15">
      <c r="E2778" s="605"/>
      <c r="F2778" s="566" t="str">
        <f>IFERROR(VLOOKUP(E2778,STAT1!$C$4:$D$8000,2,FALSE),"")</f>
        <v/>
      </c>
      <c r="O2778" s="152" t="str">
        <f>IFERROR(VLOOKUP(N2778,DATA!$K$4:$L$51,2,FALSE),"")</f>
        <v/>
      </c>
    </row>
    <row r="2779" spans="5:15">
      <c r="E2779" s="605"/>
      <c r="F2779" s="566" t="str">
        <f>IFERROR(VLOOKUP(E2779,STAT1!$C$4:$D$8000,2,FALSE),"")</f>
        <v/>
      </c>
      <c r="O2779" s="152" t="str">
        <f>IFERROR(VLOOKUP(N2779,DATA!$K$4:$L$51,2,FALSE),"")</f>
        <v/>
      </c>
    </row>
    <row r="2780" spans="5:15">
      <c r="E2780" s="605"/>
      <c r="F2780" s="566" t="str">
        <f>IFERROR(VLOOKUP(E2780,STAT1!$C$4:$D$8000,2,FALSE),"")</f>
        <v/>
      </c>
      <c r="O2780" s="152" t="str">
        <f>IFERROR(VLOOKUP(N2780,DATA!$K$4:$L$51,2,FALSE),"")</f>
        <v/>
      </c>
    </row>
    <row r="2781" spans="5:15">
      <c r="E2781" s="605"/>
      <c r="F2781" s="566" t="str">
        <f>IFERROR(VLOOKUP(E2781,STAT1!$C$4:$D$8000,2,FALSE),"")</f>
        <v/>
      </c>
      <c r="O2781" s="152" t="str">
        <f>IFERROR(VLOOKUP(N2781,DATA!$K$4:$L$51,2,FALSE),"")</f>
        <v/>
      </c>
    </row>
    <row r="2782" spans="5:15">
      <c r="E2782" s="605"/>
      <c r="F2782" s="566" t="str">
        <f>IFERROR(VLOOKUP(E2782,STAT1!$C$4:$D$8000,2,FALSE),"")</f>
        <v/>
      </c>
      <c r="O2782" s="152" t="str">
        <f>IFERROR(VLOOKUP(N2782,DATA!$K$4:$L$51,2,FALSE),"")</f>
        <v/>
      </c>
    </row>
    <row r="2783" spans="5:15">
      <c r="E2783" s="605"/>
      <c r="F2783" s="566" t="str">
        <f>IFERROR(VLOOKUP(E2783,STAT1!$C$4:$D$8000,2,FALSE),"")</f>
        <v/>
      </c>
      <c r="O2783" s="152" t="str">
        <f>IFERROR(VLOOKUP(N2783,DATA!$K$4:$L$51,2,FALSE),"")</f>
        <v/>
      </c>
    </row>
    <row r="2784" spans="5:15">
      <c r="E2784" s="605"/>
      <c r="F2784" s="566" t="str">
        <f>IFERROR(VLOOKUP(E2784,STAT1!$C$4:$D$8000,2,FALSE),"")</f>
        <v/>
      </c>
      <c r="O2784" s="152" t="str">
        <f>IFERROR(VLOOKUP(N2784,DATA!$K$4:$L$51,2,FALSE),"")</f>
        <v/>
      </c>
    </row>
    <row r="2785" spans="5:15">
      <c r="E2785" s="605"/>
      <c r="F2785" s="566" t="str">
        <f>IFERROR(VLOOKUP(E2785,STAT1!$C$4:$D$8000,2,FALSE),"")</f>
        <v/>
      </c>
      <c r="O2785" s="152" t="str">
        <f>IFERROR(VLOOKUP(N2785,DATA!$K$4:$L$51,2,FALSE),"")</f>
        <v/>
      </c>
    </row>
    <row r="2786" spans="5:15">
      <c r="E2786" s="605"/>
      <c r="F2786" s="566" t="str">
        <f>IFERROR(VLOOKUP(E2786,STAT1!$C$4:$D$8000,2,FALSE),"")</f>
        <v/>
      </c>
      <c r="O2786" s="152" t="str">
        <f>IFERROR(VLOOKUP(N2786,DATA!$K$4:$L$51,2,FALSE),"")</f>
        <v/>
      </c>
    </row>
    <row r="2787" spans="5:15">
      <c r="E2787" s="605"/>
      <c r="F2787" s="566" t="str">
        <f>IFERROR(VLOOKUP(E2787,STAT1!$C$4:$D$8000,2,FALSE),"")</f>
        <v/>
      </c>
      <c r="O2787" s="152" t="str">
        <f>IFERROR(VLOOKUP(N2787,DATA!$K$4:$L$51,2,FALSE),"")</f>
        <v/>
      </c>
    </row>
    <row r="2788" spans="5:15">
      <c r="E2788" s="605"/>
      <c r="F2788" s="566" t="str">
        <f>IFERROR(VLOOKUP(E2788,STAT1!$C$4:$D$8000,2,FALSE),"")</f>
        <v/>
      </c>
      <c r="O2788" s="152" t="str">
        <f>IFERROR(VLOOKUP(N2788,DATA!$K$4:$L$51,2,FALSE),"")</f>
        <v/>
      </c>
    </row>
    <row r="2789" spans="5:15">
      <c r="E2789" s="605"/>
      <c r="F2789" s="566" t="str">
        <f>IFERROR(VLOOKUP(E2789,STAT1!$C$4:$D$8000,2,FALSE),"")</f>
        <v/>
      </c>
      <c r="O2789" s="152" t="str">
        <f>IFERROR(VLOOKUP(N2789,DATA!$K$4:$L$51,2,FALSE),"")</f>
        <v/>
      </c>
    </row>
    <row r="2790" spans="5:15">
      <c r="E2790" s="605"/>
      <c r="F2790" s="566" t="str">
        <f>IFERROR(VLOOKUP(E2790,STAT1!$C$4:$D$8000,2,FALSE),"")</f>
        <v/>
      </c>
      <c r="O2790" s="152" t="str">
        <f>IFERROR(VLOOKUP(N2790,DATA!$K$4:$L$51,2,FALSE),"")</f>
        <v/>
      </c>
    </row>
    <row r="2791" spans="5:15">
      <c r="E2791" s="605"/>
      <c r="F2791" s="566" t="str">
        <f>IFERROR(VLOOKUP(E2791,STAT1!$C$4:$D$8000,2,FALSE),"")</f>
        <v/>
      </c>
      <c r="O2791" s="152" t="str">
        <f>IFERROR(VLOOKUP(N2791,DATA!$K$4:$L$51,2,FALSE),"")</f>
        <v/>
      </c>
    </row>
    <row r="2792" spans="5:15">
      <c r="E2792" s="605"/>
      <c r="F2792" s="566" t="str">
        <f>IFERROR(VLOOKUP(E2792,STAT1!$C$4:$D$8000,2,FALSE),"")</f>
        <v/>
      </c>
      <c r="O2792" s="152" t="str">
        <f>IFERROR(VLOOKUP(N2792,DATA!$K$4:$L$51,2,FALSE),"")</f>
        <v/>
      </c>
    </row>
    <row r="2793" spans="5:15">
      <c r="E2793" s="605"/>
      <c r="F2793" s="566" t="str">
        <f>IFERROR(VLOOKUP(E2793,STAT1!$C$4:$D$8000,2,FALSE),"")</f>
        <v/>
      </c>
      <c r="O2793" s="152" t="str">
        <f>IFERROR(VLOOKUP(N2793,DATA!$K$4:$L$51,2,FALSE),"")</f>
        <v/>
      </c>
    </row>
    <row r="2794" spans="5:15">
      <c r="E2794" s="605"/>
      <c r="F2794" s="566" t="str">
        <f>IFERROR(VLOOKUP(E2794,STAT1!$C$4:$D$8000,2,FALSE),"")</f>
        <v/>
      </c>
      <c r="O2794" s="152" t="str">
        <f>IFERROR(VLOOKUP(N2794,DATA!$K$4:$L$51,2,FALSE),"")</f>
        <v/>
      </c>
    </row>
    <row r="2795" spans="5:15">
      <c r="E2795" s="605"/>
      <c r="F2795" s="566" t="str">
        <f>IFERROR(VLOOKUP(E2795,STAT1!$C$4:$D$8000,2,FALSE),"")</f>
        <v/>
      </c>
      <c r="O2795" s="152" t="str">
        <f>IFERROR(VLOOKUP(N2795,DATA!$K$4:$L$51,2,FALSE),"")</f>
        <v/>
      </c>
    </row>
    <row r="2796" spans="5:15">
      <c r="E2796" s="605"/>
      <c r="F2796" s="566" t="str">
        <f>IFERROR(VLOOKUP(E2796,STAT1!$C$4:$D$8000,2,FALSE),"")</f>
        <v/>
      </c>
      <c r="O2796" s="152" t="str">
        <f>IFERROR(VLOOKUP(N2796,DATA!$K$4:$L$51,2,FALSE),"")</f>
        <v/>
      </c>
    </row>
    <row r="2797" spans="5:15">
      <c r="E2797" s="605"/>
      <c r="F2797" s="566" t="str">
        <f>IFERROR(VLOOKUP(E2797,STAT1!$C$4:$D$8000,2,FALSE),"")</f>
        <v/>
      </c>
      <c r="O2797" s="152" t="str">
        <f>IFERROR(VLOOKUP(N2797,DATA!$K$4:$L$51,2,FALSE),"")</f>
        <v/>
      </c>
    </row>
    <row r="2798" spans="5:15">
      <c r="E2798" s="605"/>
      <c r="F2798" s="566" t="str">
        <f>IFERROR(VLOOKUP(E2798,STAT1!$C$4:$D$8000,2,FALSE),"")</f>
        <v/>
      </c>
      <c r="O2798" s="152" t="str">
        <f>IFERROR(VLOOKUP(N2798,DATA!$K$4:$L$51,2,FALSE),"")</f>
        <v/>
      </c>
    </row>
    <row r="2799" spans="5:15">
      <c r="E2799" s="605"/>
      <c r="F2799" s="566" t="str">
        <f>IFERROR(VLOOKUP(E2799,STAT1!$C$4:$D$8000,2,FALSE),"")</f>
        <v/>
      </c>
      <c r="O2799" s="152" t="str">
        <f>IFERROR(VLOOKUP(N2799,DATA!$K$4:$L$51,2,FALSE),"")</f>
        <v/>
      </c>
    </row>
    <row r="2800" spans="5:15">
      <c r="E2800" s="605"/>
      <c r="F2800" s="566" t="str">
        <f>IFERROR(VLOOKUP(E2800,STAT1!$C$4:$D$8000,2,FALSE),"")</f>
        <v/>
      </c>
      <c r="O2800" s="152" t="str">
        <f>IFERROR(VLOOKUP(N2800,DATA!$K$4:$L$51,2,FALSE),"")</f>
        <v/>
      </c>
    </row>
    <row r="2801" spans="5:15">
      <c r="E2801" s="605"/>
      <c r="F2801" s="566" t="str">
        <f>IFERROR(VLOOKUP(E2801,STAT1!$C$4:$D$8000,2,FALSE),"")</f>
        <v/>
      </c>
      <c r="O2801" s="152" t="str">
        <f>IFERROR(VLOOKUP(N2801,DATA!$K$4:$L$51,2,FALSE),"")</f>
        <v/>
      </c>
    </row>
    <row r="2802" spans="5:15">
      <c r="E2802" s="605"/>
      <c r="F2802" s="566" t="str">
        <f>IFERROR(VLOOKUP(E2802,STAT1!$C$4:$D$8000,2,FALSE),"")</f>
        <v/>
      </c>
      <c r="O2802" s="152" t="str">
        <f>IFERROR(VLOOKUP(N2802,DATA!$K$4:$L$51,2,FALSE),"")</f>
        <v/>
      </c>
    </row>
    <row r="2803" spans="5:15">
      <c r="E2803" s="605"/>
      <c r="F2803" s="566" t="str">
        <f>IFERROR(VLOOKUP(E2803,STAT1!$C$4:$D$8000,2,FALSE),"")</f>
        <v/>
      </c>
      <c r="O2803" s="152" t="str">
        <f>IFERROR(VLOOKUP(N2803,DATA!$K$4:$L$51,2,FALSE),"")</f>
        <v/>
      </c>
    </row>
    <row r="2804" spans="5:15">
      <c r="E2804" s="605"/>
      <c r="F2804" s="566" t="str">
        <f>IFERROR(VLOOKUP(E2804,STAT1!$C$4:$D$8000,2,FALSE),"")</f>
        <v/>
      </c>
      <c r="O2804" s="152" t="str">
        <f>IFERROR(VLOOKUP(N2804,DATA!$K$4:$L$51,2,FALSE),"")</f>
        <v/>
      </c>
    </row>
    <row r="2805" spans="5:15">
      <c r="E2805" s="605"/>
      <c r="F2805" s="566" t="str">
        <f>IFERROR(VLOOKUP(E2805,STAT1!$C$4:$D$8000,2,FALSE),"")</f>
        <v/>
      </c>
      <c r="O2805" s="152" t="str">
        <f>IFERROR(VLOOKUP(N2805,DATA!$K$4:$L$51,2,FALSE),"")</f>
        <v/>
      </c>
    </row>
    <row r="2806" spans="5:15">
      <c r="E2806" s="605"/>
      <c r="F2806" s="566" t="str">
        <f>IFERROR(VLOOKUP(E2806,STAT1!$C$4:$D$8000,2,FALSE),"")</f>
        <v/>
      </c>
      <c r="O2806" s="152" t="str">
        <f>IFERROR(VLOOKUP(N2806,DATA!$K$4:$L$51,2,FALSE),"")</f>
        <v/>
      </c>
    </row>
    <row r="2807" spans="5:15">
      <c r="E2807" s="605"/>
      <c r="F2807" s="566" t="str">
        <f>IFERROR(VLOOKUP(E2807,STAT1!$C$4:$D$8000,2,FALSE),"")</f>
        <v/>
      </c>
      <c r="O2807" s="152" t="str">
        <f>IFERROR(VLOOKUP(N2807,DATA!$K$4:$L$51,2,FALSE),"")</f>
        <v/>
      </c>
    </row>
    <row r="2808" spans="5:15">
      <c r="E2808" s="605"/>
      <c r="F2808" s="566" t="str">
        <f>IFERROR(VLOOKUP(E2808,STAT1!$C$4:$D$8000,2,FALSE),"")</f>
        <v/>
      </c>
      <c r="O2808" s="152" t="str">
        <f>IFERROR(VLOOKUP(N2808,DATA!$K$4:$L$51,2,FALSE),"")</f>
        <v/>
      </c>
    </row>
    <row r="2809" spans="5:15">
      <c r="E2809" s="605"/>
      <c r="F2809" s="566" t="str">
        <f>IFERROR(VLOOKUP(E2809,STAT1!$C$4:$D$8000,2,FALSE),"")</f>
        <v/>
      </c>
      <c r="O2809" s="152" t="str">
        <f>IFERROR(VLOOKUP(N2809,DATA!$K$4:$L$51,2,FALSE),"")</f>
        <v/>
      </c>
    </row>
    <row r="2810" spans="5:15">
      <c r="E2810" s="605"/>
      <c r="F2810" s="566" t="str">
        <f>IFERROR(VLOOKUP(E2810,STAT1!$C$4:$D$8000,2,FALSE),"")</f>
        <v/>
      </c>
      <c r="O2810" s="152" t="str">
        <f>IFERROR(VLOOKUP(N2810,DATA!$K$4:$L$51,2,FALSE),"")</f>
        <v/>
      </c>
    </row>
    <row r="2811" spans="5:15">
      <c r="E2811" s="605"/>
      <c r="F2811" s="566" t="str">
        <f>IFERROR(VLOOKUP(E2811,STAT1!$C$4:$D$8000,2,FALSE),"")</f>
        <v/>
      </c>
      <c r="O2811" s="152" t="str">
        <f>IFERROR(VLOOKUP(N2811,DATA!$K$4:$L$51,2,FALSE),"")</f>
        <v/>
      </c>
    </row>
    <row r="2812" spans="5:15">
      <c r="E2812" s="605"/>
      <c r="F2812" s="566" t="str">
        <f>IFERROR(VLOOKUP(E2812,STAT1!$C$4:$D$8000,2,FALSE),"")</f>
        <v/>
      </c>
      <c r="O2812" s="152" t="str">
        <f>IFERROR(VLOOKUP(N2812,DATA!$K$4:$L$51,2,FALSE),"")</f>
        <v/>
      </c>
    </row>
    <row r="2813" spans="5:15">
      <c r="E2813" s="605"/>
      <c r="F2813" s="566" t="str">
        <f>IFERROR(VLOOKUP(E2813,STAT1!$C$4:$D$8000,2,FALSE),"")</f>
        <v/>
      </c>
      <c r="O2813" s="152" t="str">
        <f>IFERROR(VLOOKUP(N2813,DATA!$K$4:$L$51,2,FALSE),"")</f>
        <v/>
      </c>
    </row>
    <row r="2814" spans="5:15">
      <c r="E2814" s="605"/>
      <c r="F2814" s="566" t="str">
        <f>IFERROR(VLOOKUP(E2814,STAT1!$C$4:$D$8000,2,FALSE),"")</f>
        <v/>
      </c>
      <c r="O2814" s="152" t="str">
        <f>IFERROR(VLOOKUP(N2814,DATA!$K$4:$L$51,2,FALSE),"")</f>
        <v/>
      </c>
    </row>
    <row r="2815" spans="5:15">
      <c r="E2815" s="605"/>
      <c r="F2815" s="566" t="str">
        <f>IFERROR(VLOOKUP(E2815,STAT1!$C$4:$D$8000,2,FALSE),"")</f>
        <v/>
      </c>
      <c r="O2815" s="152" t="str">
        <f>IFERROR(VLOOKUP(N2815,DATA!$K$4:$L$51,2,FALSE),"")</f>
        <v/>
      </c>
    </row>
    <row r="2816" spans="5:15">
      <c r="E2816" s="605"/>
      <c r="F2816" s="566" t="str">
        <f>IFERROR(VLOOKUP(E2816,STAT1!$C$4:$D$8000,2,FALSE),"")</f>
        <v/>
      </c>
      <c r="O2816" s="152" t="str">
        <f>IFERROR(VLOOKUP(N2816,DATA!$K$4:$L$51,2,FALSE),"")</f>
        <v/>
      </c>
    </row>
    <row r="2817" spans="5:15">
      <c r="E2817" s="605"/>
      <c r="F2817" s="566" t="str">
        <f>IFERROR(VLOOKUP(E2817,STAT1!$C$4:$D$8000,2,FALSE),"")</f>
        <v/>
      </c>
      <c r="O2817" s="152" t="str">
        <f>IFERROR(VLOOKUP(N2817,DATA!$K$4:$L$51,2,FALSE),"")</f>
        <v/>
      </c>
    </row>
    <row r="2818" spans="5:15">
      <c r="E2818" s="605"/>
      <c r="F2818" s="566" t="str">
        <f>IFERROR(VLOOKUP(E2818,STAT1!$C$4:$D$8000,2,FALSE),"")</f>
        <v/>
      </c>
      <c r="O2818" s="152" t="str">
        <f>IFERROR(VLOOKUP(N2818,DATA!$K$4:$L$51,2,FALSE),"")</f>
        <v/>
      </c>
    </row>
    <row r="2819" spans="5:15">
      <c r="E2819" s="605"/>
      <c r="F2819" s="566" t="str">
        <f>IFERROR(VLOOKUP(E2819,STAT1!$C$4:$D$8000,2,FALSE),"")</f>
        <v/>
      </c>
      <c r="O2819" s="152" t="str">
        <f>IFERROR(VLOOKUP(N2819,DATA!$K$4:$L$51,2,FALSE),"")</f>
        <v/>
      </c>
    </row>
    <row r="2820" spans="5:15">
      <c r="E2820" s="605"/>
      <c r="F2820" s="566" t="str">
        <f>IFERROR(VLOOKUP(E2820,STAT1!$C$4:$D$8000,2,FALSE),"")</f>
        <v/>
      </c>
      <c r="O2820" s="152" t="str">
        <f>IFERROR(VLOOKUP(N2820,DATA!$K$4:$L$51,2,FALSE),"")</f>
        <v/>
      </c>
    </row>
    <row r="2821" spans="5:15">
      <c r="E2821" s="605"/>
      <c r="F2821" s="566" t="str">
        <f>IFERROR(VLOOKUP(E2821,STAT1!$C$4:$D$8000,2,FALSE),"")</f>
        <v/>
      </c>
      <c r="O2821" s="152" t="str">
        <f>IFERROR(VLOOKUP(N2821,DATA!$K$4:$L$51,2,FALSE),"")</f>
        <v/>
      </c>
    </row>
    <row r="2822" spans="5:15">
      <c r="E2822" s="605"/>
      <c r="F2822" s="566" t="str">
        <f>IFERROR(VLOOKUP(E2822,STAT1!$C$4:$D$8000,2,FALSE),"")</f>
        <v/>
      </c>
      <c r="O2822" s="152" t="str">
        <f>IFERROR(VLOOKUP(N2822,DATA!$K$4:$L$51,2,FALSE),"")</f>
        <v/>
      </c>
    </row>
    <row r="2823" spans="5:15">
      <c r="E2823" s="605"/>
      <c r="F2823" s="566" t="str">
        <f>IFERROR(VLOOKUP(E2823,STAT1!$C$4:$D$8000,2,FALSE),"")</f>
        <v/>
      </c>
      <c r="O2823" s="152" t="str">
        <f>IFERROR(VLOOKUP(N2823,DATA!$K$4:$L$51,2,FALSE),"")</f>
        <v/>
      </c>
    </row>
    <row r="2824" spans="5:15">
      <c r="E2824" s="605"/>
      <c r="F2824" s="566" t="str">
        <f>IFERROR(VLOOKUP(E2824,STAT1!$C$4:$D$8000,2,FALSE),"")</f>
        <v/>
      </c>
      <c r="O2824" s="152" t="str">
        <f>IFERROR(VLOOKUP(N2824,DATA!$K$4:$L$51,2,FALSE),"")</f>
        <v/>
      </c>
    </row>
    <row r="2825" spans="5:15">
      <c r="E2825" s="605"/>
      <c r="F2825" s="566" t="str">
        <f>IFERROR(VLOOKUP(E2825,STAT1!$C$4:$D$8000,2,FALSE),"")</f>
        <v/>
      </c>
      <c r="O2825" s="152" t="str">
        <f>IFERROR(VLOOKUP(N2825,DATA!$K$4:$L$51,2,FALSE),"")</f>
        <v/>
      </c>
    </row>
    <row r="2826" spans="5:15">
      <c r="E2826" s="605"/>
      <c r="F2826" s="566" t="str">
        <f>IFERROR(VLOOKUP(E2826,STAT1!$C$4:$D$8000,2,FALSE),"")</f>
        <v/>
      </c>
      <c r="O2826" s="152" t="str">
        <f>IFERROR(VLOOKUP(N2826,DATA!$K$4:$L$51,2,FALSE),"")</f>
        <v/>
      </c>
    </row>
    <row r="2827" spans="5:15">
      <c r="E2827" s="605"/>
      <c r="F2827" s="566" t="str">
        <f>IFERROR(VLOOKUP(E2827,STAT1!$C$4:$D$8000,2,FALSE),"")</f>
        <v/>
      </c>
      <c r="O2827" s="152" t="str">
        <f>IFERROR(VLOOKUP(N2827,DATA!$K$4:$L$51,2,FALSE),"")</f>
        <v/>
      </c>
    </row>
    <row r="2828" spans="5:15">
      <c r="E2828" s="605"/>
      <c r="F2828" s="566" t="str">
        <f>IFERROR(VLOOKUP(E2828,STAT1!$C$4:$D$8000,2,FALSE),"")</f>
        <v/>
      </c>
      <c r="O2828" s="152" t="str">
        <f>IFERROR(VLOOKUP(N2828,DATA!$K$4:$L$51,2,FALSE),"")</f>
        <v/>
      </c>
    </row>
    <row r="2829" spans="5:15">
      <c r="E2829" s="605"/>
      <c r="F2829" s="566" t="str">
        <f>IFERROR(VLOOKUP(E2829,STAT1!$C$4:$D$8000,2,FALSE),"")</f>
        <v/>
      </c>
      <c r="O2829" s="152" t="str">
        <f>IFERROR(VLOOKUP(N2829,DATA!$K$4:$L$51,2,FALSE),"")</f>
        <v/>
      </c>
    </row>
    <row r="2830" spans="5:15">
      <c r="E2830" s="605"/>
      <c r="F2830" s="566" t="str">
        <f>IFERROR(VLOOKUP(E2830,STAT1!$C$4:$D$8000,2,FALSE),"")</f>
        <v/>
      </c>
      <c r="O2830" s="152" t="str">
        <f>IFERROR(VLOOKUP(N2830,DATA!$K$4:$L$51,2,FALSE),"")</f>
        <v/>
      </c>
    </row>
    <row r="2831" spans="5:15">
      <c r="E2831" s="605"/>
      <c r="F2831" s="566" t="str">
        <f>IFERROR(VLOOKUP(E2831,STAT1!$C$4:$D$8000,2,FALSE),"")</f>
        <v/>
      </c>
      <c r="O2831" s="152" t="str">
        <f>IFERROR(VLOOKUP(N2831,DATA!$K$4:$L$51,2,FALSE),"")</f>
        <v/>
      </c>
    </row>
    <row r="2832" spans="5:15">
      <c r="E2832" s="605"/>
      <c r="F2832" s="566" t="str">
        <f>IFERROR(VLOOKUP(E2832,STAT1!$C$4:$D$8000,2,FALSE),"")</f>
        <v/>
      </c>
      <c r="O2832" s="152" t="str">
        <f>IFERROR(VLOOKUP(N2832,DATA!$K$4:$L$51,2,FALSE),"")</f>
        <v/>
      </c>
    </row>
    <row r="2833" spans="5:15">
      <c r="E2833" s="605"/>
      <c r="F2833" s="566" t="str">
        <f>IFERROR(VLOOKUP(E2833,STAT1!$C$4:$D$8000,2,FALSE),"")</f>
        <v/>
      </c>
      <c r="O2833" s="152" t="str">
        <f>IFERROR(VLOOKUP(N2833,DATA!$K$4:$L$51,2,FALSE),"")</f>
        <v/>
      </c>
    </row>
    <row r="2834" spans="5:15">
      <c r="E2834" s="605"/>
      <c r="F2834" s="566" t="str">
        <f>IFERROR(VLOOKUP(E2834,STAT1!$C$4:$D$8000,2,FALSE),"")</f>
        <v/>
      </c>
      <c r="O2834" s="152" t="str">
        <f>IFERROR(VLOOKUP(N2834,DATA!$K$4:$L$51,2,FALSE),"")</f>
        <v/>
      </c>
    </row>
    <row r="2835" spans="5:15">
      <c r="E2835" s="605"/>
      <c r="F2835" s="566" t="str">
        <f>IFERROR(VLOOKUP(E2835,STAT1!$C$4:$D$8000,2,FALSE),"")</f>
        <v/>
      </c>
      <c r="O2835" s="152" t="str">
        <f>IFERROR(VLOOKUP(N2835,DATA!$K$4:$L$51,2,FALSE),"")</f>
        <v/>
      </c>
    </row>
    <row r="2836" spans="5:15">
      <c r="E2836" s="605"/>
      <c r="F2836" s="566" t="str">
        <f>IFERROR(VLOOKUP(E2836,STAT1!$C$4:$D$8000,2,FALSE),"")</f>
        <v/>
      </c>
      <c r="O2836" s="152" t="str">
        <f>IFERROR(VLOOKUP(N2836,DATA!$K$4:$L$51,2,FALSE),"")</f>
        <v/>
      </c>
    </row>
    <row r="2837" spans="5:15">
      <c r="E2837" s="605"/>
      <c r="F2837" s="566" t="str">
        <f>IFERROR(VLOOKUP(E2837,STAT1!$C$4:$D$8000,2,FALSE),"")</f>
        <v/>
      </c>
      <c r="O2837" s="152" t="str">
        <f>IFERROR(VLOOKUP(N2837,DATA!$K$4:$L$51,2,FALSE),"")</f>
        <v/>
      </c>
    </row>
    <row r="2838" spans="5:15">
      <c r="E2838" s="605"/>
      <c r="F2838" s="566" t="str">
        <f>IFERROR(VLOOKUP(E2838,STAT1!$C$4:$D$8000,2,FALSE),"")</f>
        <v/>
      </c>
      <c r="O2838" s="152" t="str">
        <f>IFERROR(VLOOKUP(N2838,DATA!$K$4:$L$51,2,FALSE),"")</f>
        <v/>
      </c>
    </row>
    <row r="2839" spans="5:15">
      <c r="E2839" s="605"/>
      <c r="F2839" s="566" t="str">
        <f>IFERROR(VLOOKUP(E2839,STAT1!$C$4:$D$8000,2,FALSE),"")</f>
        <v/>
      </c>
      <c r="O2839" s="152" t="str">
        <f>IFERROR(VLOOKUP(N2839,DATA!$K$4:$L$51,2,FALSE),"")</f>
        <v/>
      </c>
    </row>
    <row r="2840" spans="5:15">
      <c r="E2840" s="605"/>
      <c r="F2840" s="566" t="str">
        <f>IFERROR(VLOOKUP(E2840,STAT1!$C$4:$D$8000,2,FALSE),"")</f>
        <v/>
      </c>
      <c r="O2840" s="152" t="str">
        <f>IFERROR(VLOOKUP(N2840,DATA!$K$4:$L$51,2,FALSE),"")</f>
        <v/>
      </c>
    </row>
    <row r="2841" spans="5:15">
      <c r="E2841" s="605"/>
      <c r="F2841" s="566" t="str">
        <f>IFERROR(VLOOKUP(E2841,STAT1!$C$4:$D$8000,2,FALSE),"")</f>
        <v/>
      </c>
      <c r="O2841" s="152" t="str">
        <f>IFERROR(VLOOKUP(N2841,DATA!$K$4:$L$51,2,FALSE),"")</f>
        <v/>
      </c>
    </row>
    <row r="2842" spans="5:15">
      <c r="E2842" s="605"/>
      <c r="F2842" s="566" t="str">
        <f>IFERROR(VLOOKUP(E2842,STAT1!$C$4:$D$8000,2,FALSE),"")</f>
        <v/>
      </c>
      <c r="O2842" s="152" t="str">
        <f>IFERROR(VLOOKUP(N2842,DATA!$K$4:$L$51,2,FALSE),"")</f>
        <v/>
      </c>
    </row>
    <row r="2843" spans="5:15">
      <c r="E2843" s="605"/>
      <c r="F2843" s="566" t="str">
        <f>IFERROR(VLOOKUP(E2843,STAT1!$C$4:$D$8000,2,FALSE),"")</f>
        <v/>
      </c>
      <c r="O2843" s="152" t="str">
        <f>IFERROR(VLOOKUP(N2843,DATA!$K$4:$L$51,2,FALSE),"")</f>
        <v/>
      </c>
    </row>
    <row r="2844" spans="5:15">
      <c r="E2844" s="605"/>
      <c r="F2844" s="566" t="str">
        <f>IFERROR(VLOOKUP(E2844,STAT1!$C$4:$D$8000,2,FALSE),"")</f>
        <v/>
      </c>
      <c r="O2844" s="152" t="str">
        <f>IFERROR(VLOOKUP(N2844,DATA!$K$4:$L$51,2,FALSE),"")</f>
        <v/>
      </c>
    </row>
    <row r="2845" spans="5:15">
      <c r="E2845" s="605"/>
      <c r="F2845" s="566" t="str">
        <f>IFERROR(VLOOKUP(E2845,STAT1!$C$4:$D$8000,2,FALSE),"")</f>
        <v/>
      </c>
      <c r="O2845" s="152" t="str">
        <f>IFERROR(VLOOKUP(N2845,DATA!$K$4:$L$51,2,FALSE),"")</f>
        <v/>
      </c>
    </row>
    <row r="2846" spans="5:15">
      <c r="E2846" s="605"/>
      <c r="F2846" s="566" t="str">
        <f>IFERROR(VLOOKUP(E2846,STAT1!$C$4:$D$8000,2,FALSE),"")</f>
        <v/>
      </c>
      <c r="O2846" s="152" t="str">
        <f>IFERROR(VLOOKUP(N2846,DATA!$K$4:$L$51,2,FALSE),"")</f>
        <v/>
      </c>
    </row>
    <row r="2847" spans="5:15">
      <c r="E2847" s="605"/>
      <c r="F2847" s="566" t="str">
        <f>IFERROR(VLOOKUP(E2847,STAT1!$C$4:$D$8000,2,FALSE),"")</f>
        <v/>
      </c>
      <c r="O2847" s="152" t="str">
        <f>IFERROR(VLOOKUP(N2847,DATA!$K$4:$L$51,2,FALSE),"")</f>
        <v/>
      </c>
    </row>
    <row r="2848" spans="5:15">
      <c r="E2848" s="605"/>
      <c r="F2848" s="566" t="str">
        <f>IFERROR(VLOOKUP(E2848,STAT1!$C$4:$D$8000,2,FALSE),"")</f>
        <v/>
      </c>
      <c r="O2848" s="152" t="str">
        <f>IFERROR(VLOOKUP(N2848,DATA!$K$4:$L$51,2,FALSE),"")</f>
        <v/>
      </c>
    </row>
    <row r="2849" spans="5:15">
      <c r="E2849" s="605"/>
      <c r="F2849" s="566" t="str">
        <f>IFERROR(VLOOKUP(E2849,STAT1!$C$4:$D$8000,2,FALSE),"")</f>
        <v/>
      </c>
      <c r="O2849" s="152" t="str">
        <f>IFERROR(VLOOKUP(N2849,DATA!$K$4:$L$51,2,FALSE),"")</f>
        <v/>
      </c>
    </row>
    <row r="2850" spans="5:15">
      <c r="E2850" s="605"/>
      <c r="F2850" s="566" t="str">
        <f>IFERROR(VLOOKUP(E2850,STAT1!$C$4:$D$8000,2,FALSE),"")</f>
        <v/>
      </c>
      <c r="O2850" s="152" t="str">
        <f>IFERROR(VLOOKUP(N2850,DATA!$K$4:$L$51,2,FALSE),"")</f>
        <v/>
      </c>
    </row>
    <row r="2851" spans="5:15">
      <c r="E2851" s="605"/>
      <c r="F2851" s="566" t="str">
        <f>IFERROR(VLOOKUP(E2851,STAT1!$C$4:$D$8000,2,FALSE),"")</f>
        <v/>
      </c>
      <c r="O2851" s="152" t="str">
        <f>IFERROR(VLOOKUP(N2851,DATA!$K$4:$L$51,2,FALSE),"")</f>
        <v/>
      </c>
    </row>
    <row r="2852" spans="5:15">
      <c r="E2852" s="605"/>
      <c r="F2852" s="566" t="str">
        <f>IFERROR(VLOOKUP(E2852,STAT1!$C$4:$D$8000,2,FALSE),"")</f>
        <v/>
      </c>
      <c r="O2852" s="152" t="str">
        <f>IFERROR(VLOOKUP(N2852,DATA!$K$4:$L$51,2,FALSE),"")</f>
        <v/>
      </c>
    </row>
    <row r="2853" spans="5:15">
      <c r="E2853" s="605"/>
      <c r="F2853" s="566" t="str">
        <f>IFERROR(VLOOKUP(E2853,STAT1!$C$4:$D$8000,2,FALSE),"")</f>
        <v/>
      </c>
      <c r="O2853" s="152" t="str">
        <f>IFERROR(VLOOKUP(N2853,DATA!$K$4:$L$51,2,FALSE),"")</f>
        <v/>
      </c>
    </row>
    <row r="2854" spans="5:15">
      <c r="E2854" s="605"/>
      <c r="F2854" s="566" t="str">
        <f>IFERROR(VLOOKUP(E2854,STAT1!$C$4:$D$8000,2,FALSE),"")</f>
        <v/>
      </c>
      <c r="O2854" s="152" t="str">
        <f>IFERROR(VLOOKUP(N2854,DATA!$K$4:$L$51,2,FALSE),"")</f>
        <v/>
      </c>
    </row>
    <row r="2855" spans="5:15">
      <c r="E2855" s="605"/>
      <c r="F2855" s="566" t="str">
        <f>IFERROR(VLOOKUP(E2855,STAT1!$C$4:$D$8000,2,FALSE),"")</f>
        <v/>
      </c>
      <c r="O2855" s="152" t="str">
        <f>IFERROR(VLOOKUP(N2855,DATA!$K$4:$L$51,2,FALSE),"")</f>
        <v/>
      </c>
    </row>
    <row r="2856" spans="5:15">
      <c r="E2856" s="605"/>
      <c r="F2856" s="566" t="str">
        <f>IFERROR(VLOOKUP(E2856,STAT1!$C$4:$D$8000,2,FALSE),"")</f>
        <v/>
      </c>
      <c r="O2856" s="152" t="str">
        <f>IFERROR(VLOOKUP(N2856,DATA!$K$4:$L$51,2,FALSE),"")</f>
        <v/>
      </c>
    </row>
    <row r="2857" spans="5:15">
      <c r="E2857" s="605"/>
      <c r="F2857" s="566" t="str">
        <f>IFERROR(VLOOKUP(E2857,STAT1!$C$4:$D$8000,2,FALSE),"")</f>
        <v/>
      </c>
      <c r="O2857" s="152" t="str">
        <f>IFERROR(VLOOKUP(N2857,DATA!$K$4:$L$51,2,FALSE),"")</f>
        <v/>
      </c>
    </row>
    <row r="2858" spans="5:15">
      <c r="E2858" s="605"/>
      <c r="F2858" s="566" t="str">
        <f>IFERROR(VLOOKUP(E2858,STAT1!$C$4:$D$8000,2,FALSE),"")</f>
        <v/>
      </c>
      <c r="O2858" s="152" t="str">
        <f>IFERROR(VLOOKUP(N2858,DATA!$K$4:$L$51,2,FALSE),"")</f>
        <v/>
      </c>
    </row>
    <row r="2859" spans="5:15">
      <c r="E2859" s="605"/>
      <c r="F2859" s="566" t="str">
        <f>IFERROR(VLOOKUP(E2859,STAT1!$C$4:$D$8000,2,FALSE),"")</f>
        <v/>
      </c>
      <c r="O2859" s="152" t="str">
        <f>IFERROR(VLOOKUP(N2859,DATA!$K$4:$L$51,2,FALSE),"")</f>
        <v/>
      </c>
    </row>
    <row r="2860" spans="5:15">
      <c r="E2860" s="605"/>
      <c r="F2860" s="566" t="str">
        <f>IFERROR(VLOOKUP(E2860,STAT1!$C$4:$D$8000,2,FALSE),"")</f>
        <v/>
      </c>
      <c r="O2860" s="152" t="str">
        <f>IFERROR(VLOOKUP(N2860,DATA!$K$4:$L$51,2,FALSE),"")</f>
        <v/>
      </c>
    </row>
    <row r="2861" spans="5:15">
      <c r="E2861" s="605"/>
      <c r="F2861" s="566" t="str">
        <f>IFERROR(VLOOKUP(E2861,STAT1!$C$4:$D$8000,2,FALSE),"")</f>
        <v/>
      </c>
      <c r="O2861" s="152" t="str">
        <f>IFERROR(VLOOKUP(N2861,DATA!$K$4:$L$51,2,FALSE),"")</f>
        <v/>
      </c>
    </row>
    <row r="2862" spans="5:15">
      <c r="E2862" s="605"/>
      <c r="F2862" s="566" t="str">
        <f>IFERROR(VLOOKUP(E2862,STAT1!$C$4:$D$8000,2,FALSE),"")</f>
        <v/>
      </c>
      <c r="O2862" s="152" t="str">
        <f>IFERROR(VLOOKUP(N2862,DATA!$K$4:$L$51,2,FALSE),"")</f>
        <v/>
      </c>
    </row>
    <row r="2863" spans="5:15">
      <c r="E2863" s="605"/>
      <c r="F2863" s="566" t="str">
        <f>IFERROR(VLOOKUP(E2863,STAT1!$C$4:$D$8000,2,FALSE),"")</f>
        <v/>
      </c>
      <c r="O2863" s="152" t="str">
        <f>IFERROR(VLOOKUP(N2863,DATA!$K$4:$L$51,2,FALSE),"")</f>
        <v/>
      </c>
    </row>
    <row r="2864" spans="5:15">
      <c r="E2864" s="605"/>
      <c r="F2864" s="566" t="str">
        <f>IFERROR(VLOOKUP(E2864,STAT1!$C$4:$D$8000,2,FALSE),"")</f>
        <v/>
      </c>
      <c r="O2864" s="152" t="str">
        <f>IFERROR(VLOOKUP(N2864,DATA!$K$4:$L$51,2,FALSE),"")</f>
        <v/>
      </c>
    </row>
    <row r="2865" spans="5:15">
      <c r="E2865" s="605"/>
      <c r="F2865" s="566" t="str">
        <f>IFERROR(VLOOKUP(E2865,STAT1!$C$4:$D$8000,2,FALSE),"")</f>
        <v/>
      </c>
      <c r="O2865" s="152" t="str">
        <f>IFERROR(VLOOKUP(N2865,DATA!$K$4:$L$51,2,FALSE),"")</f>
        <v/>
      </c>
    </row>
    <row r="2866" spans="5:15">
      <c r="E2866" s="605"/>
      <c r="F2866" s="566" t="str">
        <f>IFERROR(VLOOKUP(E2866,STAT1!$C$4:$D$8000,2,FALSE),"")</f>
        <v/>
      </c>
      <c r="O2866" s="152" t="str">
        <f>IFERROR(VLOOKUP(N2866,DATA!$K$4:$L$51,2,FALSE),"")</f>
        <v/>
      </c>
    </row>
    <row r="2867" spans="5:15">
      <c r="E2867" s="605"/>
      <c r="F2867" s="566" t="str">
        <f>IFERROR(VLOOKUP(E2867,STAT1!$C$4:$D$8000,2,FALSE),"")</f>
        <v/>
      </c>
      <c r="O2867" s="152" t="str">
        <f>IFERROR(VLOOKUP(N2867,DATA!$K$4:$L$51,2,FALSE),"")</f>
        <v/>
      </c>
    </row>
    <row r="2868" spans="5:15">
      <c r="E2868" s="605"/>
      <c r="F2868" s="566" t="str">
        <f>IFERROR(VLOOKUP(E2868,STAT1!$C$4:$D$8000,2,FALSE),"")</f>
        <v/>
      </c>
      <c r="O2868" s="152" t="str">
        <f>IFERROR(VLOOKUP(N2868,DATA!$K$4:$L$51,2,FALSE),"")</f>
        <v/>
      </c>
    </row>
    <row r="2869" spans="5:15">
      <c r="E2869" s="605"/>
      <c r="F2869" s="566" t="str">
        <f>IFERROR(VLOOKUP(E2869,STAT1!$C$4:$D$8000,2,FALSE),"")</f>
        <v/>
      </c>
      <c r="O2869" s="152" t="str">
        <f>IFERROR(VLOOKUP(N2869,DATA!$K$4:$L$51,2,FALSE),"")</f>
        <v/>
      </c>
    </row>
    <row r="2870" spans="5:15">
      <c r="E2870" s="605"/>
      <c r="F2870" s="566" t="str">
        <f>IFERROR(VLOOKUP(E2870,STAT1!$C$4:$D$8000,2,FALSE),"")</f>
        <v/>
      </c>
      <c r="O2870" s="152" t="str">
        <f>IFERROR(VLOOKUP(N2870,DATA!$K$4:$L$51,2,FALSE),"")</f>
        <v/>
      </c>
    </row>
    <row r="2871" spans="5:15">
      <c r="E2871" s="605"/>
      <c r="F2871" s="566" t="str">
        <f>IFERROR(VLOOKUP(E2871,STAT1!$C$4:$D$8000,2,FALSE),"")</f>
        <v/>
      </c>
      <c r="O2871" s="152" t="str">
        <f>IFERROR(VLOOKUP(N2871,DATA!$K$4:$L$51,2,FALSE),"")</f>
        <v/>
      </c>
    </row>
    <row r="2872" spans="5:15">
      <c r="E2872" s="605"/>
      <c r="F2872" s="566" t="str">
        <f>IFERROR(VLOOKUP(E2872,STAT1!$C$4:$D$8000,2,FALSE),"")</f>
        <v/>
      </c>
      <c r="O2872" s="152" t="str">
        <f>IFERROR(VLOOKUP(N2872,DATA!$K$4:$L$51,2,FALSE),"")</f>
        <v/>
      </c>
    </row>
    <row r="2873" spans="5:15">
      <c r="E2873" s="605"/>
      <c r="F2873" s="566" t="str">
        <f>IFERROR(VLOOKUP(E2873,STAT1!$C$4:$D$8000,2,FALSE),"")</f>
        <v/>
      </c>
      <c r="O2873" s="152" t="str">
        <f>IFERROR(VLOOKUP(N2873,DATA!$K$4:$L$51,2,FALSE),"")</f>
        <v/>
      </c>
    </row>
    <row r="2874" spans="5:15">
      <c r="E2874" s="605"/>
      <c r="F2874" s="566" t="str">
        <f>IFERROR(VLOOKUP(E2874,STAT1!$C$4:$D$8000,2,FALSE),"")</f>
        <v/>
      </c>
      <c r="O2874" s="152" t="str">
        <f>IFERROR(VLOOKUP(N2874,DATA!$K$4:$L$51,2,FALSE),"")</f>
        <v/>
      </c>
    </row>
    <row r="2875" spans="5:15">
      <c r="E2875" s="605"/>
      <c r="F2875" s="566" t="str">
        <f>IFERROR(VLOOKUP(E2875,STAT1!$C$4:$D$8000,2,FALSE),"")</f>
        <v/>
      </c>
      <c r="O2875" s="152" t="str">
        <f>IFERROR(VLOOKUP(N2875,DATA!$K$4:$L$51,2,FALSE),"")</f>
        <v/>
      </c>
    </row>
    <row r="2876" spans="5:15">
      <c r="E2876" s="605"/>
      <c r="F2876" s="566" t="str">
        <f>IFERROR(VLOOKUP(E2876,STAT1!$C$4:$D$8000,2,FALSE),"")</f>
        <v/>
      </c>
      <c r="O2876" s="152" t="str">
        <f>IFERROR(VLOOKUP(N2876,DATA!$K$4:$L$51,2,FALSE),"")</f>
        <v/>
      </c>
    </row>
    <row r="2877" spans="5:15">
      <c r="E2877" s="605"/>
      <c r="F2877" s="566" t="str">
        <f>IFERROR(VLOOKUP(E2877,STAT1!$C$4:$D$8000,2,FALSE),"")</f>
        <v/>
      </c>
      <c r="O2877" s="152" t="str">
        <f>IFERROR(VLOOKUP(N2877,DATA!$K$4:$L$51,2,FALSE),"")</f>
        <v/>
      </c>
    </row>
    <row r="2878" spans="5:15">
      <c r="E2878" s="605"/>
      <c r="F2878" s="566" t="str">
        <f>IFERROR(VLOOKUP(E2878,STAT1!$C$4:$D$8000,2,FALSE),"")</f>
        <v/>
      </c>
      <c r="O2878" s="152" t="str">
        <f>IFERROR(VLOOKUP(N2878,DATA!$K$4:$L$51,2,FALSE),"")</f>
        <v/>
      </c>
    </row>
    <row r="2879" spans="5:15">
      <c r="E2879" s="605"/>
      <c r="F2879" s="566" t="str">
        <f>IFERROR(VLOOKUP(E2879,STAT1!$C$4:$D$8000,2,FALSE),"")</f>
        <v/>
      </c>
      <c r="O2879" s="152" t="str">
        <f>IFERROR(VLOOKUP(N2879,DATA!$K$4:$L$51,2,FALSE),"")</f>
        <v/>
      </c>
    </row>
    <row r="2880" spans="5:15">
      <c r="E2880" s="605"/>
      <c r="F2880" s="566" t="str">
        <f>IFERROR(VLOOKUP(E2880,STAT1!$C$4:$D$8000,2,FALSE),"")</f>
        <v/>
      </c>
      <c r="O2880" s="152" t="str">
        <f>IFERROR(VLOOKUP(N2880,DATA!$K$4:$L$51,2,FALSE),"")</f>
        <v/>
      </c>
    </row>
    <row r="2881" spans="5:15">
      <c r="E2881" s="605"/>
      <c r="F2881" s="566" t="str">
        <f>IFERROR(VLOOKUP(E2881,STAT1!$C$4:$D$8000,2,FALSE),"")</f>
        <v/>
      </c>
      <c r="O2881" s="152" t="str">
        <f>IFERROR(VLOOKUP(N2881,DATA!$K$4:$L$51,2,FALSE),"")</f>
        <v/>
      </c>
    </row>
    <row r="2882" spans="5:15">
      <c r="E2882" s="605"/>
      <c r="F2882" s="566" t="str">
        <f>IFERROR(VLOOKUP(E2882,STAT1!$C$4:$D$8000,2,FALSE),"")</f>
        <v/>
      </c>
      <c r="O2882" s="152" t="str">
        <f>IFERROR(VLOOKUP(N2882,DATA!$K$4:$L$51,2,FALSE),"")</f>
        <v/>
      </c>
    </row>
    <row r="2883" spans="5:15">
      <c r="E2883" s="605"/>
      <c r="F2883" s="566" t="str">
        <f>IFERROR(VLOOKUP(E2883,STAT1!$C$4:$D$8000,2,FALSE),"")</f>
        <v/>
      </c>
      <c r="O2883" s="152" t="str">
        <f>IFERROR(VLOOKUP(N2883,DATA!$K$4:$L$51,2,FALSE),"")</f>
        <v/>
      </c>
    </row>
    <row r="2884" spans="5:15">
      <c r="E2884" s="605"/>
      <c r="F2884" s="566" t="str">
        <f>IFERROR(VLOOKUP(E2884,STAT1!$C$4:$D$8000,2,FALSE),"")</f>
        <v/>
      </c>
      <c r="O2884" s="152" t="str">
        <f>IFERROR(VLOOKUP(N2884,DATA!$K$4:$L$51,2,FALSE),"")</f>
        <v/>
      </c>
    </row>
    <row r="2885" spans="5:15">
      <c r="E2885" s="605"/>
      <c r="F2885" s="566" t="str">
        <f>IFERROR(VLOOKUP(E2885,STAT1!$C$4:$D$8000,2,FALSE),"")</f>
        <v/>
      </c>
      <c r="O2885" s="152" t="str">
        <f>IFERROR(VLOOKUP(N2885,DATA!$K$4:$L$51,2,FALSE),"")</f>
        <v/>
      </c>
    </row>
    <row r="2886" spans="5:15">
      <c r="E2886" s="605"/>
      <c r="F2886" s="566" t="str">
        <f>IFERROR(VLOOKUP(E2886,STAT1!$C$4:$D$8000,2,FALSE),"")</f>
        <v/>
      </c>
      <c r="O2886" s="152" t="str">
        <f>IFERROR(VLOOKUP(N2886,DATA!$K$4:$L$51,2,FALSE),"")</f>
        <v/>
      </c>
    </row>
    <row r="2887" spans="5:15">
      <c r="E2887" s="605"/>
      <c r="F2887" s="566" t="str">
        <f>IFERROR(VLOOKUP(E2887,STAT1!$C$4:$D$8000,2,FALSE),"")</f>
        <v/>
      </c>
      <c r="O2887" s="152" t="str">
        <f>IFERROR(VLOOKUP(N2887,DATA!$K$4:$L$51,2,FALSE),"")</f>
        <v/>
      </c>
    </row>
    <row r="2888" spans="5:15">
      <c r="E2888" s="605"/>
      <c r="F2888" s="566" t="str">
        <f>IFERROR(VLOOKUP(E2888,STAT1!$C$4:$D$8000,2,FALSE),"")</f>
        <v/>
      </c>
      <c r="O2888" s="152" t="str">
        <f>IFERROR(VLOOKUP(N2888,DATA!$K$4:$L$51,2,FALSE),"")</f>
        <v/>
      </c>
    </row>
    <row r="2889" spans="5:15">
      <c r="E2889" s="605"/>
      <c r="F2889" s="566" t="str">
        <f>IFERROR(VLOOKUP(E2889,STAT1!$C$4:$D$8000,2,FALSE),"")</f>
        <v/>
      </c>
      <c r="O2889" s="152" t="str">
        <f>IFERROR(VLOOKUP(N2889,DATA!$K$4:$L$51,2,FALSE),"")</f>
        <v/>
      </c>
    </row>
    <row r="2890" spans="5:15">
      <c r="E2890" s="605"/>
      <c r="F2890" s="566" t="str">
        <f>IFERROR(VLOOKUP(E2890,STAT1!$C$4:$D$8000,2,FALSE),"")</f>
        <v/>
      </c>
      <c r="O2890" s="152" t="str">
        <f>IFERROR(VLOOKUP(N2890,DATA!$K$4:$L$51,2,FALSE),"")</f>
        <v/>
      </c>
    </row>
    <row r="2891" spans="5:15">
      <c r="E2891" s="605"/>
      <c r="F2891" s="566" t="str">
        <f>IFERROR(VLOOKUP(E2891,STAT1!$C$4:$D$8000,2,FALSE),"")</f>
        <v/>
      </c>
      <c r="O2891" s="152" t="str">
        <f>IFERROR(VLOOKUP(N2891,DATA!$K$4:$L$51,2,FALSE),"")</f>
        <v/>
      </c>
    </row>
    <row r="2892" spans="5:15">
      <c r="E2892" s="605"/>
      <c r="F2892" s="566" t="str">
        <f>IFERROR(VLOOKUP(E2892,STAT1!$C$4:$D$8000,2,FALSE),"")</f>
        <v/>
      </c>
      <c r="O2892" s="152" t="str">
        <f>IFERROR(VLOOKUP(N2892,DATA!$K$4:$L$51,2,FALSE),"")</f>
        <v/>
      </c>
    </row>
    <row r="2893" spans="5:15">
      <c r="E2893" s="605"/>
      <c r="F2893" s="566" t="str">
        <f>IFERROR(VLOOKUP(E2893,STAT1!$C$4:$D$8000,2,FALSE),"")</f>
        <v/>
      </c>
      <c r="O2893" s="152" t="str">
        <f>IFERROR(VLOOKUP(N2893,DATA!$K$4:$L$51,2,FALSE),"")</f>
        <v/>
      </c>
    </row>
    <row r="2894" spans="5:15">
      <c r="E2894" s="605"/>
      <c r="F2894" s="566" t="str">
        <f>IFERROR(VLOOKUP(E2894,STAT1!$C$4:$D$8000,2,FALSE),"")</f>
        <v/>
      </c>
      <c r="O2894" s="152" t="str">
        <f>IFERROR(VLOOKUP(N2894,DATA!$K$4:$L$51,2,FALSE),"")</f>
        <v/>
      </c>
    </row>
    <row r="2895" spans="5:15">
      <c r="E2895" s="605"/>
      <c r="F2895" s="566" t="str">
        <f>IFERROR(VLOOKUP(E2895,STAT1!$C$4:$D$8000,2,FALSE),"")</f>
        <v/>
      </c>
      <c r="O2895" s="152" t="str">
        <f>IFERROR(VLOOKUP(N2895,DATA!$K$4:$L$51,2,FALSE),"")</f>
        <v/>
      </c>
    </row>
    <row r="2896" spans="5:15">
      <c r="E2896" s="605"/>
      <c r="F2896" s="566" t="str">
        <f>IFERROR(VLOOKUP(E2896,STAT1!$C$4:$D$8000,2,FALSE),"")</f>
        <v/>
      </c>
      <c r="O2896" s="152" t="str">
        <f>IFERROR(VLOOKUP(N2896,DATA!$K$4:$L$51,2,FALSE),"")</f>
        <v/>
      </c>
    </row>
    <row r="2897" spans="5:15">
      <c r="E2897" s="605"/>
      <c r="F2897" s="566" t="str">
        <f>IFERROR(VLOOKUP(E2897,STAT1!$C$4:$D$8000,2,FALSE),"")</f>
        <v/>
      </c>
      <c r="O2897" s="152" t="str">
        <f>IFERROR(VLOOKUP(N2897,DATA!$K$4:$L$51,2,FALSE),"")</f>
        <v/>
      </c>
    </row>
    <row r="2898" spans="5:15">
      <c r="E2898" s="605"/>
      <c r="F2898" s="566" t="str">
        <f>IFERROR(VLOOKUP(E2898,STAT1!$C$4:$D$8000,2,FALSE),"")</f>
        <v/>
      </c>
      <c r="O2898" s="152" t="str">
        <f>IFERROR(VLOOKUP(N2898,DATA!$K$4:$L$51,2,FALSE),"")</f>
        <v/>
      </c>
    </row>
    <row r="2899" spans="5:15">
      <c r="E2899" s="605"/>
      <c r="F2899" s="566" t="str">
        <f>IFERROR(VLOOKUP(E2899,STAT1!$C$4:$D$8000,2,FALSE),"")</f>
        <v/>
      </c>
      <c r="O2899" s="152" t="str">
        <f>IFERROR(VLOOKUP(N2899,DATA!$K$4:$L$51,2,FALSE),"")</f>
        <v/>
      </c>
    </row>
    <row r="2900" spans="5:15">
      <c r="E2900" s="605"/>
      <c r="F2900" s="566" t="str">
        <f>IFERROR(VLOOKUP(E2900,STAT1!$C$4:$D$8000,2,FALSE),"")</f>
        <v/>
      </c>
      <c r="O2900" s="152" t="str">
        <f>IFERROR(VLOOKUP(N2900,DATA!$K$4:$L$51,2,FALSE),"")</f>
        <v/>
      </c>
    </row>
    <row r="2901" spans="5:15">
      <c r="E2901" s="605"/>
      <c r="F2901" s="566" t="str">
        <f>IFERROR(VLOOKUP(E2901,STAT1!$C$4:$D$8000,2,FALSE),"")</f>
        <v/>
      </c>
      <c r="O2901" s="152" t="str">
        <f>IFERROR(VLOOKUP(N2901,DATA!$K$4:$L$51,2,FALSE),"")</f>
        <v/>
      </c>
    </row>
    <row r="2902" spans="5:15">
      <c r="E2902" s="605"/>
      <c r="F2902" s="566" t="str">
        <f>IFERROR(VLOOKUP(E2902,STAT1!$C$4:$D$8000,2,FALSE),"")</f>
        <v/>
      </c>
      <c r="O2902" s="152" t="str">
        <f>IFERROR(VLOOKUP(N2902,DATA!$K$4:$L$51,2,FALSE),"")</f>
        <v/>
      </c>
    </row>
    <row r="2903" spans="5:15">
      <c r="E2903" s="605"/>
      <c r="F2903" s="566" t="str">
        <f>IFERROR(VLOOKUP(E2903,STAT1!$C$4:$D$8000,2,FALSE),"")</f>
        <v/>
      </c>
      <c r="O2903" s="152" t="str">
        <f>IFERROR(VLOOKUP(N2903,DATA!$K$4:$L$51,2,FALSE),"")</f>
        <v/>
      </c>
    </row>
    <row r="2904" spans="5:15">
      <c r="E2904" s="605"/>
      <c r="F2904" s="566" t="str">
        <f>IFERROR(VLOOKUP(E2904,STAT1!$C$4:$D$8000,2,FALSE),"")</f>
        <v/>
      </c>
      <c r="O2904" s="152" t="str">
        <f>IFERROR(VLOOKUP(N2904,DATA!$K$4:$L$51,2,FALSE),"")</f>
        <v/>
      </c>
    </row>
    <row r="2905" spans="5:15">
      <c r="E2905" s="605"/>
      <c r="F2905" s="566" t="str">
        <f>IFERROR(VLOOKUP(E2905,STAT1!$C$4:$D$8000,2,FALSE),"")</f>
        <v/>
      </c>
      <c r="O2905" s="152" t="str">
        <f>IFERROR(VLOOKUP(N2905,DATA!$K$4:$L$51,2,FALSE),"")</f>
        <v/>
      </c>
    </row>
    <row r="2906" spans="5:15">
      <c r="E2906" s="605"/>
      <c r="F2906" s="566" t="str">
        <f>IFERROR(VLOOKUP(E2906,STAT1!$C$4:$D$8000,2,FALSE),"")</f>
        <v/>
      </c>
      <c r="O2906" s="152" t="str">
        <f>IFERROR(VLOOKUP(N2906,DATA!$K$4:$L$51,2,FALSE),"")</f>
        <v/>
      </c>
    </row>
    <row r="2907" spans="5:15">
      <c r="E2907" s="605"/>
      <c r="F2907" s="566" t="str">
        <f>IFERROR(VLOOKUP(E2907,STAT1!$C$4:$D$8000,2,FALSE),"")</f>
        <v/>
      </c>
      <c r="O2907" s="152" t="str">
        <f>IFERROR(VLOOKUP(N2907,DATA!$K$4:$L$51,2,FALSE),"")</f>
        <v/>
      </c>
    </row>
    <row r="2908" spans="5:15">
      <c r="E2908" s="605"/>
      <c r="F2908" s="566" t="str">
        <f>IFERROR(VLOOKUP(E2908,STAT1!$C$4:$D$8000,2,FALSE),"")</f>
        <v/>
      </c>
      <c r="O2908" s="152" t="str">
        <f>IFERROR(VLOOKUP(N2908,DATA!$K$4:$L$51,2,FALSE),"")</f>
        <v/>
      </c>
    </row>
    <row r="2909" spans="5:15">
      <c r="E2909" s="605"/>
      <c r="F2909" s="566" t="str">
        <f>IFERROR(VLOOKUP(E2909,STAT1!$C$4:$D$8000,2,FALSE),"")</f>
        <v/>
      </c>
      <c r="O2909" s="152" t="str">
        <f>IFERROR(VLOOKUP(N2909,DATA!$K$4:$L$51,2,FALSE),"")</f>
        <v/>
      </c>
    </row>
    <row r="2910" spans="5:15">
      <c r="E2910" s="605"/>
      <c r="F2910" s="566" t="str">
        <f>IFERROR(VLOOKUP(E2910,STAT1!$C$4:$D$8000,2,FALSE),"")</f>
        <v/>
      </c>
      <c r="O2910" s="152" t="str">
        <f>IFERROR(VLOOKUP(N2910,DATA!$K$4:$L$51,2,FALSE),"")</f>
        <v/>
      </c>
    </row>
    <row r="2911" spans="5:15">
      <c r="E2911" s="605"/>
      <c r="F2911" s="566" t="str">
        <f>IFERROR(VLOOKUP(E2911,STAT1!$C$4:$D$8000,2,FALSE),"")</f>
        <v/>
      </c>
      <c r="O2911" s="152" t="str">
        <f>IFERROR(VLOOKUP(N2911,DATA!$K$4:$L$51,2,FALSE),"")</f>
        <v/>
      </c>
    </row>
    <row r="2912" spans="5:15">
      <c r="E2912" s="605"/>
      <c r="F2912" s="566" t="str">
        <f>IFERROR(VLOOKUP(E2912,STAT1!$C$4:$D$8000,2,FALSE),"")</f>
        <v/>
      </c>
      <c r="O2912" s="152" t="str">
        <f>IFERROR(VLOOKUP(N2912,DATA!$K$4:$L$51,2,FALSE),"")</f>
        <v/>
      </c>
    </row>
    <row r="2913" spans="5:15">
      <c r="E2913" s="605"/>
      <c r="F2913" s="566" t="str">
        <f>IFERROR(VLOOKUP(E2913,STAT1!$C$4:$D$8000,2,FALSE),"")</f>
        <v/>
      </c>
      <c r="O2913" s="152" t="str">
        <f>IFERROR(VLOOKUP(N2913,DATA!$K$4:$L$51,2,FALSE),"")</f>
        <v/>
      </c>
    </row>
    <row r="2914" spans="5:15">
      <c r="E2914" s="605"/>
      <c r="F2914" s="566" t="str">
        <f>IFERROR(VLOOKUP(E2914,STAT1!$C$4:$D$8000,2,FALSE),"")</f>
        <v/>
      </c>
      <c r="O2914" s="152" t="str">
        <f>IFERROR(VLOOKUP(N2914,DATA!$K$4:$L$51,2,FALSE),"")</f>
        <v/>
      </c>
    </row>
    <row r="2915" spans="5:15">
      <c r="E2915" s="605"/>
      <c r="F2915" s="566" t="str">
        <f>IFERROR(VLOOKUP(E2915,STAT1!$C$4:$D$8000,2,FALSE),"")</f>
        <v/>
      </c>
      <c r="O2915" s="152" t="str">
        <f>IFERROR(VLOOKUP(N2915,DATA!$K$4:$L$51,2,FALSE),"")</f>
        <v/>
      </c>
    </row>
    <row r="2916" spans="5:15">
      <c r="E2916" s="605"/>
      <c r="F2916" s="566" t="str">
        <f>IFERROR(VLOOKUP(E2916,STAT1!$C$4:$D$8000,2,FALSE),"")</f>
        <v/>
      </c>
      <c r="O2916" s="152" t="str">
        <f>IFERROR(VLOOKUP(N2916,DATA!$K$4:$L$51,2,FALSE),"")</f>
        <v/>
      </c>
    </row>
    <row r="2917" spans="5:15">
      <c r="E2917" s="605"/>
      <c r="F2917" s="566" t="str">
        <f>IFERROR(VLOOKUP(E2917,STAT1!$C$4:$D$8000,2,FALSE),"")</f>
        <v/>
      </c>
      <c r="O2917" s="152" t="str">
        <f>IFERROR(VLOOKUP(N2917,DATA!$K$4:$L$51,2,FALSE),"")</f>
        <v/>
      </c>
    </row>
    <row r="2918" spans="5:15">
      <c r="E2918" s="605"/>
      <c r="F2918" s="566" t="str">
        <f>IFERROR(VLOOKUP(E2918,STAT1!$C$4:$D$8000,2,FALSE),"")</f>
        <v/>
      </c>
      <c r="O2918" s="152" t="str">
        <f>IFERROR(VLOOKUP(N2918,DATA!$K$4:$L$51,2,FALSE),"")</f>
        <v/>
      </c>
    </row>
    <row r="2919" spans="5:15">
      <c r="E2919" s="605"/>
      <c r="F2919" s="566" t="str">
        <f>IFERROR(VLOOKUP(E2919,STAT1!$C$4:$D$8000,2,FALSE),"")</f>
        <v/>
      </c>
      <c r="O2919" s="152" t="str">
        <f>IFERROR(VLOOKUP(N2919,DATA!$K$4:$L$51,2,FALSE),"")</f>
        <v/>
      </c>
    </row>
    <row r="2920" spans="5:15">
      <c r="E2920" s="605"/>
      <c r="F2920" s="566" t="str">
        <f>IFERROR(VLOOKUP(E2920,STAT1!$C$4:$D$8000,2,FALSE),"")</f>
        <v/>
      </c>
      <c r="O2920" s="152" t="str">
        <f>IFERROR(VLOOKUP(N2920,DATA!$K$4:$L$51,2,FALSE),"")</f>
        <v/>
      </c>
    </row>
    <row r="2921" spans="5:15">
      <c r="E2921" s="605"/>
      <c r="F2921" s="566" t="str">
        <f>IFERROR(VLOOKUP(E2921,STAT1!$C$4:$D$8000,2,FALSE),"")</f>
        <v/>
      </c>
      <c r="O2921" s="152" t="str">
        <f>IFERROR(VLOOKUP(N2921,DATA!$K$4:$L$51,2,FALSE),"")</f>
        <v/>
      </c>
    </row>
    <row r="2922" spans="5:15">
      <c r="E2922" s="605"/>
      <c r="F2922" s="566" t="str">
        <f>IFERROR(VLOOKUP(E2922,STAT1!$C$4:$D$8000,2,FALSE),"")</f>
        <v/>
      </c>
      <c r="O2922" s="152" t="str">
        <f>IFERROR(VLOOKUP(N2922,DATA!$K$4:$L$51,2,FALSE),"")</f>
        <v/>
      </c>
    </row>
    <row r="2923" spans="5:15">
      <c r="E2923" s="605"/>
      <c r="F2923" s="566" t="str">
        <f>IFERROR(VLOOKUP(E2923,STAT1!$C$4:$D$8000,2,FALSE),"")</f>
        <v/>
      </c>
      <c r="O2923" s="152" t="str">
        <f>IFERROR(VLOOKUP(N2923,DATA!$K$4:$L$51,2,FALSE),"")</f>
        <v/>
      </c>
    </row>
    <row r="2924" spans="5:15">
      <c r="E2924" s="605"/>
      <c r="F2924" s="566" t="str">
        <f>IFERROR(VLOOKUP(E2924,STAT1!$C$4:$D$8000,2,FALSE),"")</f>
        <v/>
      </c>
      <c r="O2924" s="152" t="str">
        <f>IFERROR(VLOOKUP(N2924,DATA!$K$4:$L$51,2,FALSE),"")</f>
        <v/>
      </c>
    </row>
    <row r="2925" spans="5:15">
      <c r="E2925" s="605"/>
      <c r="F2925" s="566" t="str">
        <f>IFERROR(VLOOKUP(E2925,STAT1!$C$4:$D$8000,2,FALSE),"")</f>
        <v/>
      </c>
      <c r="O2925" s="152" t="str">
        <f>IFERROR(VLOOKUP(N2925,DATA!$K$4:$L$51,2,FALSE),"")</f>
        <v/>
      </c>
    </row>
    <row r="2926" spans="5:15">
      <c r="E2926" s="605"/>
      <c r="F2926" s="566" t="str">
        <f>IFERROR(VLOOKUP(E2926,STAT1!$C$4:$D$8000,2,FALSE),"")</f>
        <v/>
      </c>
      <c r="O2926" s="152" t="str">
        <f>IFERROR(VLOOKUP(N2926,DATA!$K$4:$L$51,2,FALSE),"")</f>
        <v/>
      </c>
    </row>
    <row r="2927" spans="5:15">
      <c r="E2927" s="605"/>
      <c r="F2927" s="566" t="str">
        <f>IFERROR(VLOOKUP(E2927,STAT1!$C$4:$D$8000,2,FALSE),"")</f>
        <v/>
      </c>
      <c r="O2927" s="152" t="str">
        <f>IFERROR(VLOOKUP(N2927,DATA!$K$4:$L$51,2,FALSE),"")</f>
        <v/>
      </c>
    </row>
    <row r="2928" spans="5:15">
      <c r="E2928" s="605"/>
      <c r="F2928" s="566" t="str">
        <f>IFERROR(VLOOKUP(E2928,STAT1!$C$4:$D$8000,2,FALSE),"")</f>
        <v/>
      </c>
      <c r="O2928" s="152" t="str">
        <f>IFERROR(VLOOKUP(N2928,DATA!$K$4:$L$51,2,FALSE),"")</f>
        <v/>
      </c>
    </row>
    <row r="2929" spans="5:15">
      <c r="E2929" s="605"/>
      <c r="F2929" s="566" t="str">
        <f>IFERROR(VLOOKUP(E2929,STAT1!$C$4:$D$8000,2,FALSE),"")</f>
        <v/>
      </c>
      <c r="O2929" s="152" t="str">
        <f>IFERROR(VLOOKUP(N2929,DATA!$K$4:$L$51,2,FALSE),"")</f>
        <v/>
      </c>
    </row>
    <row r="2930" spans="5:15">
      <c r="E2930" s="605"/>
      <c r="F2930" s="566" t="str">
        <f>IFERROR(VLOOKUP(E2930,STAT1!$C$4:$D$8000,2,FALSE),"")</f>
        <v/>
      </c>
      <c r="O2930" s="152" t="str">
        <f>IFERROR(VLOOKUP(N2930,DATA!$K$4:$L$51,2,FALSE),"")</f>
        <v/>
      </c>
    </row>
    <row r="2931" spans="5:15">
      <c r="E2931" s="605"/>
      <c r="F2931" s="566" t="str">
        <f>IFERROR(VLOOKUP(E2931,STAT1!$C$4:$D$8000,2,FALSE),"")</f>
        <v/>
      </c>
      <c r="O2931" s="152" t="str">
        <f>IFERROR(VLOOKUP(N2931,DATA!$K$4:$L$51,2,FALSE),"")</f>
        <v/>
      </c>
    </row>
    <row r="2932" spans="5:15">
      <c r="E2932" s="605"/>
      <c r="F2932" s="566" t="str">
        <f>IFERROR(VLOOKUP(E2932,STAT1!$C$4:$D$8000,2,FALSE),"")</f>
        <v/>
      </c>
      <c r="O2932" s="152" t="str">
        <f>IFERROR(VLOOKUP(N2932,DATA!$K$4:$L$51,2,FALSE),"")</f>
        <v/>
      </c>
    </row>
    <row r="2933" spans="5:15">
      <c r="E2933" s="605"/>
      <c r="F2933" s="566" t="str">
        <f>IFERROR(VLOOKUP(E2933,STAT1!$C$4:$D$8000,2,FALSE),"")</f>
        <v/>
      </c>
      <c r="O2933" s="152" t="str">
        <f>IFERROR(VLOOKUP(N2933,DATA!$K$4:$L$51,2,FALSE),"")</f>
        <v/>
      </c>
    </row>
    <row r="2934" spans="5:15">
      <c r="E2934" s="605"/>
      <c r="F2934" s="566" t="str">
        <f>IFERROR(VLOOKUP(E2934,STAT1!$C$4:$D$8000,2,FALSE),"")</f>
        <v/>
      </c>
      <c r="O2934" s="152" t="str">
        <f>IFERROR(VLOOKUP(N2934,DATA!$K$4:$L$51,2,FALSE),"")</f>
        <v/>
      </c>
    </row>
    <row r="2935" spans="5:15">
      <c r="E2935" s="605"/>
      <c r="F2935" s="566" t="str">
        <f>IFERROR(VLOOKUP(E2935,STAT1!$C$4:$D$8000,2,FALSE),"")</f>
        <v/>
      </c>
      <c r="O2935" s="152" t="str">
        <f>IFERROR(VLOOKUP(N2935,DATA!$K$4:$L$51,2,FALSE),"")</f>
        <v/>
      </c>
    </row>
    <row r="2936" spans="5:15">
      <c r="E2936" s="605"/>
      <c r="F2936" s="566" t="str">
        <f>IFERROR(VLOOKUP(E2936,STAT1!$C$4:$D$8000,2,FALSE),"")</f>
        <v/>
      </c>
      <c r="O2936" s="152" t="str">
        <f>IFERROR(VLOOKUP(N2936,DATA!$K$4:$L$51,2,FALSE),"")</f>
        <v/>
      </c>
    </row>
    <row r="2937" spans="5:15">
      <c r="E2937" s="605"/>
      <c r="F2937" s="566" t="str">
        <f>IFERROR(VLOOKUP(E2937,STAT1!$C$4:$D$8000,2,FALSE),"")</f>
        <v/>
      </c>
      <c r="O2937" s="152" t="str">
        <f>IFERROR(VLOOKUP(N2937,DATA!$K$4:$L$51,2,FALSE),"")</f>
        <v/>
      </c>
    </row>
    <row r="2938" spans="5:15">
      <c r="E2938" s="605"/>
      <c r="F2938" s="566" t="str">
        <f>IFERROR(VLOOKUP(E2938,STAT1!$C$4:$D$8000,2,FALSE),"")</f>
        <v/>
      </c>
      <c r="O2938" s="152" t="str">
        <f>IFERROR(VLOOKUP(N2938,DATA!$K$4:$L$51,2,FALSE),"")</f>
        <v/>
      </c>
    </row>
    <row r="2939" spans="5:15">
      <c r="E2939" s="605"/>
      <c r="F2939" s="566" t="str">
        <f>IFERROR(VLOOKUP(E2939,STAT1!$C$4:$D$8000,2,FALSE),"")</f>
        <v/>
      </c>
      <c r="O2939" s="152" t="str">
        <f>IFERROR(VLOOKUP(N2939,DATA!$K$4:$L$51,2,FALSE),"")</f>
        <v/>
      </c>
    </row>
    <row r="2940" spans="5:15">
      <c r="E2940" s="605"/>
      <c r="F2940" s="566" t="str">
        <f>IFERROR(VLOOKUP(E2940,STAT1!$C$4:$D$8000,2,FALSE),"")</f>
        <v/>
      </c>
      <c r="O2940" s="152" t="str">
        <f>IFERROR(VLOOKUP(N2940,DATA!$K$4:$L$51,2,FALSE),"")</f>
        <v/>
      </c>
    </row>
    <row r="2941" spans="5:15">
      <c r="E2941" s="605"/>
      <c r="F2941" s="566" t="str">
        <f>IFERROR(VLOOKUP(E2941,STAT1!$C$4:$D$8000,2,FALSE),"")</f>
        <v/>
      </c>
      <c r="O2941" s="152" t="str">
        <f>IFERROR(VLOOKUP(N2941,DATA!$K$4:$L$51,2,FALSE),"")</f>
        <v/>
      </c>
    </row>
    <row r="2942" spans="5:15">
      <c r="E2942" s="605"/>
      <c r="F2942" s="566" t="str">
        <f>IFERROR(VLOOKUP(E2942,STAT1!$C$4:$D$8000,2,FALSE),"")</f>
        <v/>
      </c>
      <c r="O2942" s="152" t="str">
        <f>IFERROR(VLOOKUP(N2942,DATA!$K$4:$L$51,2,FALSE),"")</f>
        <v/>
      </c>
    </row>
    <row r="2943" spans="5:15">
      <c r="E2943" s="605"/>
      <c r="F2943" s="566" t="str">
        <f>IFERROR(VLOOKUP(E2943,STAT1!$C$4:$D$8000,2,FALSE),"")</f>
        <v/>
      </c>
      <c r="O2943" s="152" t="str">
        <f>IFERROR(VLOOKUP(N2943,DATA!$K$4:$L$51,2,FALSE),"")</f>
        <v/>
      </c>
    </row>
    <row r="2944" spans="5:15">
      <c r="E2944" s="605"/>
      <c r="F2944" s="566" t="str">
        <f>IFERROR(VLOOKUP(E2944,STAT1!$C$4:$D$8000,2,FALSE),"")</f>
        <v/>
      </c>
      <c r="O2944" s="152" t="str">
        <f>IFERROR(VLOOKUP(N2944,DATA!$K$4:$L$51,2,FALSE),"")</f>
        <v/>
      </c>
    </row>
    <row r="2945" spans="5:15">
      <c r="E2945" s="605"/>
      <c r="F2945" s="566" t="str">
        <f>IFERROR(VLOOKUP(E2945,STAT1!$C$4:$D$8000,2,FALSE),"")</f>
        <v/>
      </c>
      <c r="O2945" s="152" t="str">
        <f>IFERROR(VLOOKUP(N2945,DATA!$K$4:$L$51,2,FALSE),"")</f>
        <v/>
      </c>
    </row>
    <row r="2946" spans="5:15">
      <c r="E2946" s="605"/>
      <c r="F2946" s="566" t="str">
        <f>IFERROR(VLOOKUP(E2946,STAT1!$C$4:$D$8000,2,FALSE),"")</f>
        <v/>
      </c>
      <c r="O2946" s="152" t="str">
        <f>IFERROR(VLOOKUP(N2946,DATA!$K$4:$L$51,2,FALSE),"")</f>
        <v/>
      </c>
    </row>
    <row r="2947" spans="5:15">
      <c r="E2947" s="605"/>
      <c r="F2947" s="566" t="str">
        <f>IFERROR(VLOOKUP(E2947,STAT1!$C$4:$D$8000,2,FALSE),"")</f>
        <v/>
      </c>
      <c r="O2947" s="152" t="str">
        <f>IFERROR(VLOOKUP(N2947,DATA!$K$4:$L$51,2,FALSE),"")</f>
        <v/>
      </c>
    </row>
    <row r="2948" spans="5:15">
      <c r="E2948" s="605"/>
      <c r="F2948" s="566" t="str">
        <f>IFERROR(VLOOKUP(E2948,STAT1!$C$4:$D$8000,2,FALSE),"")</f>
        <v/>
      </c>
      <c r="O2948" s="152" t="str">
        <f>IFERROR(VLOOKUP(N2948,DATA!$K$4:$L$51,2,FALSE),"")</f>
        <v/>
      </c>
    </row>
    <row r="2949" spans="5:15">
      <c r="E2949" s="605"/>
      <c r="F2949" s="566" t="str">
        <f>IFERROR(VLOOKUP(E2949,STAT1!$C$4:$D$8000,2,FALSE),"")</f>
        <v/>
      </c>
      <c r="O2949" s="152" t="str">
        <f>IFERROR(VLOOKUP(N2949,DATA!$K$4:$L$51,2,FALSE),"")</f>
        <v/>
      </c>
    </row>
    <row r="2950" spans="5:15">
      <c r="E2950" s="605"/>
      <c r="F2950" s="566" t="str">
        <f>IFERROR(VLOOKUP(E2950,STAT1!$C$4:$D$8000,2,FALSE),"")</f>
        <v/>
      </c>
      <c r="O2950" s="152" t="str">
        <f>IFERROR(VLOOKUP(N2950,DATA!$K$4:$L$51,2,FALSE),"")</f>
        <v/>
      </c>
    </row>
    <row r="2951" spans="5:15">
      <c r="E2951" s="605"/>
      <c r="F2951" s="566" t="str">
        <f>IFERROR(VLOOKUP(E2951,STAT1!$C$4:$D$8000,2,FALSE),"")</f>
        <v/>
      </c>
      <c r="O2951" s="152" t="str">
        <f>IFERROR(VLOOKUP(N2951,DATA!$K$4:$L$51,2,FALSE),"")</f>
        <v/>
      </c>
    </row>
    <row r="2952" spans="5:15">
      <c r="E2952" s="605"/>
      <c r="F2952" s="566" t="str">
        <f>IFERROR(VLOOKUP(E2952,STAT1!$C$4:$D$8000,2,FALSE),"")</f>
        <v/>
      </c>
      <c r="O2952" s="152" t="str">
        <f>IFERROR(VLOOKUP(N2952,DATA!$K$4:$L$51,2,FALSE),"")</f>
        <v/>
      </c>
    </row>
    <row r="2953" spans="5:15">
      <c r="E2953" s="605"/>
      <c r="F2953" s="566" t="str">
        <f>IFERROR(VLOOKUP(E2953,STAT1!$C$4:$D$8000,2,FALSE),"")</f>
        <v/>
      </c>
      <c r="O2953" s="152" t="str">
        <f>IFERROR(VLOOKUP(N2953,DATA!$K$4:$L$51,2,FALSE),"")</f>
        <v/>
      </c>
    </row>
    <row r="2954" spans="5:15">
      <c r="E2954" s="605"/>
      <c r="F2954" s="566" t="str">
        <f>IFERROR(VLOOKUP(E2954,STAT1!$C$4:$D$8000,2,FALSE),"")</f>
        <v/>
      </c>
      <c r="O2954" s="152" t="str">
        <f>IFERROR(VLOOKUP(N2954,DATA!$K$4:$L$51,2,FALSE),"")</f>
        <v/>
      </c>
    </row>
    <row r="2955" spans="5:15">
      <c r="E2955" s="605"/>
      <c r="F2955" s="566" t="str">
        <f>IFERROR(VLOOKUP(E2955,STAT1!$C$4:$D$8000,2,FALSE),"")</f>
        <v/>
      </c>
      <c r="O2955" s="152" t="str">
        <f>IFERROR(VLOOKUP(N2955,DATA!$K$4:$L$51,2,FALSE),"")</f>
        <v/>
      </c>
    </row>
    <row r="2956" spans="5:15">
      <c r="E2956" s="605"/>
      <c r="F2956" s="566" t="str">
        <f>IFERROR(VLOOKUP(E2956,STAT1!$C$4:$D$8000,2,FALSE),"")</f>
        <v/>
      </c>
      <c r="O2956" s="152" t="str">
        <f>IFERROR(VLOOKUP(N2956,DATA!$K$4:$L$51,2,FALSE),"")</f>
        <v/>
      </c>
    </row>
    <row r="2957" spans="5:15">
      <c r="E2957" s="605"/>
      <c r="F2957" s="566" t="str">
        <f>IFERROR(VLOOKUP(E2957,STAT1!$C$4:$D$8000,2,FALSE),"")</f>
        <v/>
      </c>
      <c r="O2957" s="152" t="str">
        <f>IFERROR(VLOOKUP(N2957,DATA!$K$4:$L$51,2,FALSE),"")</f>
        <v/>
      </c>
    </row>
    <row r="2958" spans="5:15">
      <c r="E2958" s="605"/>
      <c r="F2958" s="566" t="str">
        <f>IFERROR(VLOOKUP(E2958,STAT1!$C$4:$D$8000,2,FALSE),"")</f>
        <v/>
      </c>
      <c r="O2958" s="152" t="str">
        <f>IFERROR(VLOOKUP(N2958,DATA!$K$4:$L$51,2,FALSE),"")</f>
        <v/>
      </c>
    </row>
    <row r="2959" spans="5:15">
      <c r="E2959" s="605"/>
      <c r="F2959" s="566" t="str">
        <f>IFERROR(VLOOKUP(E2959,STAT1!$C$4:$D$8000,2,FALSE),"")</f>
        <v/>
      </c>
      <c r="O2959" s="152" t="str">
        <f>IFERROR(VLOOKUP(N2959,DATA!$K$4:$L$51,2,FALSE),"")</f>
        <v/>
      </c>
    </row>
    <row r="2960" spans="5:15">
      <c r="E2960" s="605"/>
      <c r="F2960" s="566" t="str">
        <f>IFERROR(VLOOKUP(E2960,STAT1!$C$4:$D$8000,2,FALSE),"")</f>
        <v/>
      </c>
      <c r="O2960" s="152" t="str">
        <f>IFERROR(VLOOKUP(N2960,DATA!$K$4:$L$51,2,FALSE),"")</f>
        <v/>
      </c>
    </row>
    <row r="2961" spans="5:15">
      <c r="E2961" s="605"/>
      <c r="F2961" s="566" t="str">
        <f>IFERROR(VLOOKUP(E2961,STAT1!$C$4:$D$8000,2,FALSE),"")</f>
        <v/>
      </c>
      <c r="O2961" s="152" t="str">
        <f>IFERROR(VLOOKUP(N2961,DATA!$K$4:$L$51,2,FALSE),"")</f>
        <v/>
      </c>
    </row>
    <row r="2962" spans="5:15">
      <c r="E2962" s="605"/>
      <c r="F2962" s="566" t="str">
        <f>IFERROR(VLOOKUP(E2962,STAT1!$C$4:$D$8000,2,FALSE),"")</f>
        <v/>
      </c>
      <c r="O2962" s="152" t="str">
        <f>IFERROR(VLOOKUP(N2962,DATA!$K$4:$L$51,2,FALSE),"")</f>
        <v/>
      </c>
    </row>
    <row r="2963" spans="5:15">
      <c r="E2963" s="605"/>
      <c r="F2963" s="566" t="str">
        <f>IFERROR(VLOOKUP(E2963,STAT1!$C$4:$D$8000,2,FALSE),"")</f>
        <v/>
      </c>
      <c r="O2963" s="152" t="str">
        <f>IFERROR(VLOOKUP(N2963,DATA!$K$4:$L$51,2,FALSE),"")</f>
        <v/>
      </c>
    </row>
    <row r="2964" spans="5:15">
      <c r="E2964" s="605"/>
      <c r="F2964" s="566" t="str">
        <f>IFERROR(VLOOKUP(E2964,STAT1!$C$4:$D$8000,2,FALSE),"")</f>
        <v/>
      </c>
      <c r="O2964" s="152" t="str">
        <f>IFERROR(VLOOKUP(N2964,DATA!$K$4:$L$51,2,FALSE),"")</f>
        <v/>
      </c>
    </row>
    <row r="2965" spans="5:15">
      <c r="E2965" s="605"/>
      <c r="F2965" s="566" t="str">
        <f>IFERROR(VLOOKUP(E2965,STAT1!$C$4:$D$8000,2,FALSE),"")</f>
        <v/>
      </c>
      <c r="O2965" s="152" t="str">
        <f>IFERROR(VLOOKUP(N2965,DATA!$K$4:$L$51,2,FALSE),"")</f>
        <v/>
      </c>
    </row>
    <row r="2966" spans="5:15">
      <c r="E2966" s="605"/>
      <c r="F2966" s="566" t="str">
        <f>IFERROR(VLOOKUP(E2966,STAT1!$C$4:$D$8000,2,FALSE),"")</f>
        <v/>
      </c>
      <c r="O2966" s="152" t="str">
        <f>IFERROR(VLOOKUP(N2966,DATA!$K$4:$L$51,2,FALSE),"")</f>
        <v/>
      </c>
    </row>
    <row r="2967" spans="5:15">
      <c r="E2967" s="605"/>
      <c r="F2967" s="566" t="str">
        <f>IFERROR(VLOOKUP(E2967,STAT1!$C$4:$D$8000,2,FALSE),"")</f>
        <v/>
      </c>
      <c r="O2967" s="152" t="str">
        <f>IFERROR(VLOOKUP(N2967,DATA!$K$4:$L$51,2,FALSE),"")</f>
        <v/>
      </c>
    </row>
    <row r="2968" spans="5:15">
      <c r="E2968" s="605"/>
      <c r="F2968" s="566" t="str">
        <f>IFERROR(VLOOKUP(E2968,STAT1!$C$4:$D$8000,2,FALSE),"")</f>
        <v/>
      </c>
      <c r="O2968" s="152" t="str">
        <f>IFERROR(VLOOKUP(N2968,DATA!$K$4:$L$51,2,FALSE),"")</f>
        <v/>
      </c>
    </row>
    <row r="2969" spans="5:15">
      <c r="E2969" s="605"/>
      <c r="F2969" s="566" t="str">
        <f>IFERROR(VLOOKUP(E2969,STAT1!$C$4:$D$8000,2,FALSE),"")</f>
        <v/>
      </c>
      <c r="O2969" s="152" t="str">
        <f>IFERROR(VLOOKUP(N2969,DATA!$K$4:$L$51,2,FALSE),"")</f>
        <v/>
      </c>
    </row>
    <row r="2970" spans="5:15">
      <c r="E2970" s="605"/>
      <c r="F2970" s="566" t="str">
        <f>IFERROR(VLOOKUP(E2970,STAT1!$C$4:$D$8000,2,FALSE),"")</f>
        <v/>
      </c>
      <c r="O2970" s="152" t="str">
        <f>IFERROR(VLOOKUP(N2970,DATA!$K$4:$L$51,2,FALSE),"")</f>
        <v/>
      </c>
    </row>
    <row r="2971" spans="5:15">
      <c r="E2971" s="605"/>
      <c r="F2971" s="566" t="str">
        <f>IFERROR(VLOOKUP(E2971,STAT1!$C$4:$D$8000,2,FALSE),"")</f>
        <v/>
      </c>
      <c r="O2971" s="152" t="str">
        <f>IFERROR(VLOOKUP(N2971,DATA!$K$4:$L$51,2,FALSE),"")</f>
        <v/>
      </c>
    </row>
    <row r="2972" spans="5:15">
      <c r="E2972" s="605"/>
      <c r="F2972" s="566" t="str">
        <f>IFERROR(VLOOKUP(E2972,STAT1!$C$4:$D$8000,2,FALSE),"")</f>
        <v/>
      </c>
      <c r="O2972" s="152" t="str">
        <f>IFERROR(VLOOKUP(N2972,DATA!$K$4:$L$51,2,FALSE),"")</f>
        <v/>
      </c>
    </row>
    <row r="2973" spans="5:15">
      <c r="E2973" s="605"/>
      <c r="F2973" s="566" t="str">
        <f>IFERROR(VLOOKUP(E2973,STAT1!$C$4:$D$8000,2,FALSE),"")</f>
        <v/>
      </c>
      <c r="O2973" s="152" t="str">
        <f>IFERROR(VLOOKUP(N2973,DATA!$K$4:$L$51,2,FALSE),"")</f>
        <v/>
      </c>
    </row>
    <row r="2974" spans="5:15">
      <c r="E2974" s="605"/>
      <c r="F2974" s="566" t="str">
        <f>IFERROR(VLOOKUP(E2974,STAT1!$C$4:$D$8000,2,FALSE),"")</f>
        <v/>
      </c>
      <c r="O2974" s="152" t="str">
        <f>IFERROR(VLOOKUP(N2974,DATA!$K$4:$L$51,2,FALSE),"")</f>
        <v/>
      </c>
    </row>
    <row r="2975" spans="5:15">
      <c r="E2975" s="605"/>
      <c r="F2975" s="566" t="str">
        <f>IFERROR(VLOOKUP(E2975,STAT1!$C$4:$D$8000,2,FALSE),"")</f>
        <v/>
      </c>
      <c r="O2975" s="152" t="str">
        <f>IFERROR(VLOOKUP(N2975,DATA!$K$4:$L$51,2,FALSE),"")</f>
        <v/>
      </c>
    </row>
    <row r="2976" spans="5:15">
      <c r="E2976" s="605"/>
      <c r="F2976" s="566" t="str">
        <f>IFERROR(VLOOKUP(E2976,STAT1!$C$4:$D$8000,2,FALSE),"")</f>
        <v/>
      </c>
      <c r="O2976" s="152" t="str">
        <f>IFERROR(VLOOKUP(N2976,DATA!$K$4:$L$51,2,FALSE),"")</f>
        <v/>
      </c>
    </row>
    <row r="2977" spans="5:15">
      <c r="E2977" s="605"/>
      <c r="F2977" s="566" t="str">
        <f>IFERROR(VLOOKUP(E2977,STAT1!$C$4:$D$8000,2,FALSE),"")</f>
        <v/>
      </c>
      <c r="O2977" s="152" t="str">
        <f>IFERROR(VLOOKUP(N2977,DATA!$K$4:$L$51,2,FALSE),"")</f>
        <v/>
      </c>
    </row>
    <row r="2978" spans="5:15">
      <c r="E2978" s="605"/>
      <c r="F2978" s="566" t="str">
        <f>IFERROR(VLOOKUP(E2978,STAT1!$C$4:$D$8000,2,FALSE),"")</f>
        <v/>
      </c>
      <c r="O2978" s="152" t="str">
        <f>IFERROR(VLOOKUP(N2978,DATA!$K$4:$L$51,2,FALSE),"")</f>
        <v/>
      </c>
    </row>
    <row r="2979" spans="5:15">
      <c r="E2979" s="605"/>
      <c r="F2979" s="566" t="str">
        <f>IFERROR(VLOOKUP(E2979,STAT1!$C$4:$D$8000,2,FALSE),"")</f>
        <v/>
      </c>
      <c r="O2979" s="152" t="str">
        <f>IFERROR(VLOOKUP(N2979,DATA!$K$4:$L$51,2,FALSE),"")</f>
        <v/>
      </c>
    </row>
    <row r="2980" spans="5:15">
      <c r="E2980" s="605"/>
      <c r="F2980" s="566" t="str">
        <f>IFERROR(VLOOKUP(E2980,STAT1!$C$4:$D$8000,2,FALSE),"")</f>
        <v/>
      </c>
      <c r="O2980" s="152" t="str">
        <f>IFERROR(VLOOKUP(N2980,DATA!$K$4:$L$51,2,FALSE),"")</f>
        <v/>
      </c>
    </row>
    <row r="2981" spans="5:15">
      <c r="E2981" s="605"/>
      <c r="F2981" s="566" t="str">
        <f>IFERROR(VLOOKUP(E2981,STAT1!$C$4:$D$8000,2,FALSE),"")</f>
        <v/>
      </c>
      <c r="O2981" s="152" t="str">
        <f>IFERROR(VLOOKUP(N2981,DATA!$K$4:$L$51,2,FALSE),"")</f>
        <v/>
      </c>
    </row>
    <row r="2982" spans="5:15">
      <c r="E2982" s="605"/>
      <c r="F2982" s="566" t="str">
        <f>IFERROR(VLOOKUP(E2982,STAT1!$C$4:$D$8000,2,FALSE),"")</f>
        <v/>
      </c>
      <c r="O2982" s="152" t="str">
        <f>IFERROR(VLOOKUP(N2982,DATA!$K$4:$L$51,2,FALSE),"")</f>
        <v/>
      </c>
    </row>
    <row r="2983" spans="5:15">
      <c r="E2983" s="605"/>
      <c r="F2983" s="566" t="str">
        <f>IFERROR(VLOOKUP(E2983,STAT1!$C$4:$D$8000,2,FALSE),"")</f>
        <v/>
      </c>
      <c r="O2983" s="152" t="str">
        <f>IFERROR(VLOOKUP(N2983,DATA!$K$4:$L$51,2,FALSE),"")</f>
        <v/>
      </c>
    </row>
    <row r="2984" spans="5:15">
      <c r="E2984" s="605"/>
      <c r="F2984" s="566" t="str">
        <f>IFERROR(VLOOKUP(E2984,STAT1!$C$4:$D$8000,2,FALSE),"")</f>
        <v/>
      </c>
      <c r="O2984" s="152" t="str">
        <f>IFERROR(VLOOKUP(N2984,DATA!$K$4:$L$51,2,FALSE),"")</f>
        <v/>
      </c>
    </row>
    <row r="2985" spans="5:15">
      <c r="E2985" s="605"/>
      <c r="F2985" s="566" t="str">
        <f>IFERROR(VLOOKUP(E2985,STAT1!$C$4:$D$8000,2,FALSE),"")</f>
        <v/>
      </c>
      <c r="O2985" s="152" t="str">
        <f>IFERROR(VLOOKUP(N2985,DATA!$K$4:$L$51,2,FALSE),"")</f>
        <v/>
      </c>
    </row>
    <row r="2986" spans="5:15">
      <c r="E2986" s="605"/>
      <c r="F2986" s="566" t="str">
        <f>IFERROR(VLOOKUP(E2986,STAT1!$C$4:$D$8000,2,FALSE),"")</f>
        <v/>
      </c>
      <c r="O2986" s="152" t="str">
        <f>IFERROR(VLOOKUP(N2986,DATA!$K$4:$L$51,2,FALSE),"")</f>
        <v/>
      </c>
    </row>
    <row r="2987" spans="5:15">
      <c r="E2987" s="605"/>
      <c r="F2987" s="566" t="str">
        <f>IFERROR(VLOOKUP(E2987,STAT1!$C$4:$D$8000,2,FALSE),"")</f>
        <v/>
      </c>
      <c r="O2987" s="152" t="str">
        <f>IFERROR(VLOOKUP(N2987,DATA!$K$4:$L$51,2,FALSE),"")</f>
        <v/>
      </c>
    </row>
    <row r="2988" spans="5:15">
      <c r="E2988" s="605"/>
      <c r="F2988" s="566" t="str">
        <f>IFERROR(VLOOKUP(E2988,STAT1!$C$4:$D$8000,2,FALSE),"")</f>
        <v/>
      </c>
      <c r="O2988" s="152" t="str">
        <f>IFERROR(VLOOKUP(N2988,DATA!$K$4:$L$51,2,FALSE),"")</f>
        <v/>
      </c>
    </row>
    <row r="2989" spans="5:15">
      <c r="E2989" s="605"/>
      <c r="F2989" s="566" t="str">
        <f>IFERROR(VLOOKUP(E2989,STAT1!$C$4:$D$8000,2,FALSE),"")</f>
        <v/>
      </c>
      <c r="O2989" s="152" t="str">
        <f>IFERROR(VLOOKUP(N2989,DATA!$K$4:$L$51,2,FALSE),"")</f>
        <v/>
      </c>
    </row>
    <row r="2990" spans="5:15">
      <c r="E2990" s="605"/>
      <c r="F2990" s="566" t="str">
        <f>IFERROR(VLOOKUP(E2990,STAT1!$C$4:$D$8000,2,FALSE),"")</f>
        <v/>
      </c>
      <c r="O2990" s="152" t="str">
        <f>IFERROR(VLOOKUP(N2990,DATA!$K$4:$L$51,2,FALSE),"")</f>
        <v/>
      </c>
    </row>
    <row r="2991" spans="5:15">
      <c r="E2991" s="605"/>
      <c r="F2991" s="566" t="str">
        <f>IFERROR(VLOOKUP(E2991,STAT1!$C$4:$D$8000,2,FALSE),"")</f>
        <v/>
      </c>
      <c r="O2991" s="152" t="str">
        <f>IFERROR(VLOOKUP(N2991,DATA!$K$4:$L$51,2,FALSE),"")</f>
        <v/>
      </c>
    </row>
    <row r="2992" spans="5:15">
      <c r="E2992" s="605"/>
      <c r="F2992" s="566" t="str">
        <f>IFERROR(VLOOKUP(E2992,STAT1!$C$4:$D$8000,2,FALSE),"")</f>
        <v/>
      </c>
      <c r="O2992" s="152" t="str">
        <f>IFERROR(VLOOKUP(N2992,DATA!$K$4:$L$51,2,FALSE),"")</f>
        <v/>
      </c>
    </row>
    <row r="2993" spans="5:15">
      <c r="E2993" s="605"/>
      <c r="F2993" s="566" t="str">
        <f>IFERROR(VLOOKUP(E2993,STAT1!$C$4:$D$8000,2,FALSE),"")</f>
        <v/>
      </c>
      <c r="O2993" s="152" t="str">
        <f>IFERROR(VLOOKUP(N2993,DATA!$K$4:$L$51,2,FALSE),"")</f>
        <v/>
      </c>
    </row>
    <row r="2994" spans="5:15">
      <c r="E2994" s="605"/>
      <c r="F2994" s="566" t="str">
        <f>IFERROR(VLOOKUP(E2994,STAT1!$C$4:$D$8000,2,FALSE),"")</f>
        <v/>
      </c>
      <c r="O2994" s="152" t="str">
        <f>IFERROR(VLOOKUP(N2994,DATA!$K$4:$L$51,2,FALSE),"")</f>
        <v/>
      </c>
    </row>
    <row r="2995" spans="5:15">
      <c r="E2995" s="605"/>
      <c r="F2995" s="566" t="str">
        <f>IFERROR(VLOOKUP(E2995,STAT1!$C$4:$D$8000,2,FALSE),"")</f>
        <v/>
      </c>
      <c r="O2995" s="152" t="str">
        <f>IFERROR(VLOOKUP(N2995,DATA!$K$4:$L$51,2,FALSE),"")</f>
        <v/>
      </c>
    </row>
    <row r="2996" spans="5:15">
      <c r="E2996" s="605"/>
      <c r="F2996" s="566" t="str">
        <f>IFERROR(VLOOKUP(E2996,STAT1!$C$4:$D$8000,2,FALSE),"")</f>
        <v/>
      </c>
      <c r="O2996" s="152" t="str">
        <f>IFERROR(VLOOKUP(N2996,DATA!$K$4:$L$51,2,FALSE),"")</f>
        <v/>
      </c>
    </row>
    <row r="2997" spans="5:15">
      <c r="E2997" s="605"/>
      <c r="F2997" s="566" t="str">
        <f>IFERROR(VLOOKUP(E2997,STAT1!$C$4:$D$8000,2,FALSE),"")</f>
        <v/>
      </c>
      <c r="O2997" s="152" t="str">
        <f>IFERROR(VLOOKUP(N2997,DATA!$K$4:$L$51,2,FALSE),"")</f>
        <v/>
      </c>
    </row>
    <row r="2998" spans="5:15">
      <c r="E2998" s="605"/>
      <c r="F2998" s="566" t="str">
        <f>IFERROR(VLOOKUP(E2998,STAT1!$C$4:$D$8000,2,FALSE),"")</f>
        <v/>
      </c>
      <c r="O2998" s="152" t="str">
        <f>IFERROR(VLOOKUP(N2998,DATA!$K$4:$L$51,2,FALSE),"")</f>
        <v/>
      </c>
    </row>
    <row r="2999" spans="5:15">
      <c r="E2999" s="605"/>
      <c r="F2999" s="566" t="str">
        <f>IFERROR(VLOOKUP(E2999,STAT1!$C$4:$D$8000,2,FALSE),"")</f>
        <v/>
      </c>
      <c r="O2999" s="152" t="str">
        <f>IFERROR(VLOOKUP(N2999,DATA!$K$4:$L$51,2,FALSE),"")</f>
        <v/>
      </c>
    </row>
    <row r="3000" spans="5:15">
      <c r="E3000" s="605"/>
      <c r="F3000" s="566" t="str">
        <f>IFERROR(VLOOKUP(E3000,STAT1!$C$4:$D$8000,2,FALSE),"")</f>
        <v/>
      </c>
      <c r="O3000" s="152" t="str">
        <f>IFERROR(VLOOKUP(N3000,DATA!$K$4:$L$51,2,FALSE),"")</f>
        <v/>
      </c>
    </row>
    <row r="3001" spans="5:15">
      <c r="E3001" s="605"/>
      <c r="F3001" s="566" t="str">
        <f>IFERROR(VLOOKUP(E3001,STAT1!$C$4:$D$8000,2,FALSE),"")</f>
        <v/>
      </c>
      <c r="O3001" s="152" t="str">
        <f>IFERROR(VLOOKUP(N3001,DATA!$K$4:$L$51,2,FALSE),"")</f>
        <v/>
      </c>
    </row>
    <row r="3002" spans="5:15">
      <c r="E3002" s="605"/>
      <c r="F3002" s="566" t="str">
        <f>IFERROR(VLOOKUP(E3002,STAT1!$C$4:$D$8000,2,FALSE),"")</f>
        <v/>
      </c>
      <c r="O3002" s="152" t="str">
        <f>IFERROR(VLOOKUP(N3002,DATA!$K$4:$L$51,2,FALSE),"")</f>
        <v/>
      </c>
    </row>
    <row r="3003" spans="5:15">
      <c r="E3003" s="605"/>
      <c r="F3003" s="566" t="str">
        <f>IFERROR(VLOOKUP(E3003,STAT1!$C$4:$D$8000,2,FALSE),"")</f>
        <v/>
      </c>
      <c r="O3003" s="152" t="str">
        <f>IFERROR(VLOOKUP(N3003,DATA!$K$4:$L$51,2,FALSE),"")</f>
        <v/>
      </c>
    </row>
    <row r="3004" spans="5:15">
      <c r="E3004" s="605"/>
      <c r="F3004" s="566" t="str">
        <f>IFERROR(VLOOKUP(E3004,STAT1!$C$4:$D$8000,2,FALSE),"")</f>
        <v/>
      </c>
      <c r="O3004" s="152" t="str">
        <f>IFERROR(VLOOKUP(N3004,DATA!$K$4:$L$51,2,FALSE),"")</f>
        <v/>
      </c>
    </row>
    <row r="3005" spans="5:15">
      <c r="E3005" s="605"/>
      <c r="F3005" s="566" t="str">
        <f>IFERROR(VLOOKUP(E3005,STAT1!$C$4:$D$8000,2,FALSE),"")</f>
        <v/>
      </c>
      <c r="O3005" s="152" t="str">
        <f>IFERROR(VLOOKUP(N3005,DATA!$K$4:$L$51,2,FALSE),"")</f>
        <v/>
      </c>
    </row>
    <row r="3006" spans="5:15">
      <c r="E3006" s="605"/>
      <c r="F3006" s="566" t="str">
        <f>IFERROR(VLOOKUP(E3006,STAT1!$C$4:$D$8000,2,FALSE),"")</f>
        <v/>
      </c>
      <c r="O3006" s="152" t="str">
        <f>IFERROR(VLOOKUP(N3006,DATA!$K$4:$L$51,2,FALSE),"")</f>
        <v/>
      </c>
    </row>
    <row r="3007" spans="5:15">
      <c r="E3007" s="605"/>
      <c r="F3007" s="566" t="str">
        <f>IFERROR(VLOOKUP(E3007,STAT1!$C$4:$D$8000,2,FALSE),"")</f>
        <v/>
      </c>
      <c r="O3007" s="152" t="str">
        <f>IFERROR(VLOOKUP(N3007,DATA!$K$4:$L$51,2,FALSE),"")</f>
        <v/>
      </c>
    </row>
    <row r="3008" spans="5:15">
      <c r="E3008" s="605"/>
      <c r="F3008" s="566" t="str">
        <f>IFERROR(VLOOKUP(E3008,STAT1!$C$4:$D$8000,2,FALSE),"")</f>
        <v/>
      </c>
      <c r="O3008" s="152" t="str">
        <f>IFERROR(VLOOKUP(N3008,DATA!$K$4:$L$51,2,FALSE),"")</f>
        <v/>
      </c>
    </row>
    <row r="3009" spans="5:15">
      <c r="E3009" s="605"/>
      <c r="F3009" s="566" t="str">
        <f>IFERROR(VLOOKUP(E3009,STAT1!$C$4:$D$8000,2,FALSE),"")</f>
        <v/>
      </c>
      <c r="O3009" s="152" t="str">
        <f>IFERROR(VLOOKUP(N3009,DATA!$K$4:$L$51,2,FALSE),"")</f>
        <v/>
      </c>
    </row>
    <row r="3010" spans="5:15">
      <c r="E3010" s="605"/>
      <c r="F3010" s="566" t="str">
        <f>IFERROR(VLOOKUP(E3010,STAT1!$C$4:$D$8000,2,FALSE),"")</f>
        <v/>
      </c>
      <c r="O3010" s="152" t="str">
        <f>IFERROR(VLOOKUP(N3010,DATA!$K$4:$L$51,2,FALSE),"")</f>
        <v/>
      </c>
    </row>
    <row r="3011" spans="5:15">
      <c r="E3011" s="605"/>
      <c r="F3011" s="566" t="str">
        <f>IFERROR(VLOOKUP(E3011,STAT1!$C$4:$D$8000,2,FALSE),"")</f>
        <v/>
      </c>
      <c r="O3011" s="152" t="str">
        <f>IFERROR(VLOOKUP(N3011,DATA!$K$4:$L$51,2,FALSE),"")</f>
        <v/>
      </c>
    </row>
    <row r="3012" spans="5:15">
      <c r="E3012" s="605"/>
      <c r="F3012" s="566" t="str">
        <f>IFERROR(VLOOKUP(E3012,STAT1!$C$4:$D$8000,2,FALSE),"")</f>
        <v/>
      </c>
      <c r="O3012" s="152" t="str">
        <f>IFERROR(VLOOKUP(N3012,DATA!$K$4:$L$51,2,FALSE),"")</f>
        <v/>
      </c>
    </row>
    <row r="3013" spans="5:15">
      <c r="E3013" s="605"/>
      <c r="F3013" s="566" t="str">
        <f>IFERROR(VLOOKUP(E3013,STAT1!$C$4:$D$8000,2,FALSE),"")</f>
        <v/>
      </c>
      <c r="O3013" s="152" t="str">
        <f>IFERROR(VLOOKUP(N3013,DATA!$K$4:$L$51,2,FALSE),"")</f>
        <v/>
      </c>
    </row>
    <row r="3014" spans="5:15">
      <c r="E3014" s="605"/>
      <c r="F3014" s="566" t="str">
        <f>IFERROR(VLOOKUP(E3014,STAT1!$C$4:$D$8000,2,FALSE),"")</f>
        <v/>
      </c>
      <c r="O3014" s="152" t="str">
        <f>IFERROR(VLOOKUP(N3014,DATA!$K$4:$L$51,2,FALSE),"")</f>
        <v/>
      </c>
    </row>
    <row r="3015" spans="5:15">
      <c r="E3015" s="605"/>
      <c r="F3015" s="566" t="str">
        <f>IFERROR(VLOOKUP(E3015,STAT1!$C$4:$D$8000,2,FALSE),"")</f>
        <v/>
      </c>
      <c r="O3015" s="152" t="str">
        <f>IFERROR(VLOOKUP(N3015,DATA!$K$4:$L$51,2,FALSE),"")</f>
        <v/>
      </c>
    </row>
    <row r="3016" spans="5:15">
      <c r="E3016" s="605"/>
      <c r="F3016" s="566" t="str">
        <f>IFERROR(VLOOKUP(E3016,STAT1!$C$4:$D$8000,2,FALSE),"")</f>
        <v/>
      </c>
      <c r="O3016" s="152" t="str">
        <f>IFERROR(VLOOKUP(N3016,DATA!$K$4:$L$51,2,FALSE),"")</f>
        <v/>
      </c>
    </row>
    <row r="3017" spans="5:15">
      <c r="E3017" s="605"/>
      <c r="F3017" s="566" t="str">
        <f>IFERROR(VLOOKUP(E3017,STAT1!$C$4:$D$8000,2,FALSE),"")</f>
        <v/>
      </c>
      <c r="O3017" s="152" t="str">
        <f>IFERROR(VLOOKUP(N3017,DATA!$K$4:$L$51,2,FALSE),"")</f>
        <v/>
      </c>
    </row>
    <row r="3018" spans="5:15">
      <c r="E3018" s="605"/>
      <c r="F3018" s="566" t="str">
        <f>IFERROR(VLOOKUP(E3018,STAT1!$C$4:$D$8000,2,FALSE),"")</f>
        <v/>
      </c>
      <c r="O3018" s="152" t="str">
        <f>IFERROR(VLOOKUP(N3018,DATA!$K$4:$L$51,2,FALSE),"")</f>
        <v/>
      </c>
    </row>
    <row r="3019" spans="5:15">
      <c r="E3019" s="605"/>
      <c r="F3019" s="566" t="str">
        <f>IFERROR(VLOOKUP(E3019,STAT1!$C$4:$D$8000,2,FALSE),"")</f>
        <v/>
      </c>
      <c r="O3019" s="152" t="str">
        <f>IFERROR(VLOOKUP(N3019,DATA!$K$4:$L$51,2,FALSE),"")</f>
        <v/>
      </c>
    </row>
    <row r="3020" spans="5:15">
      <c r="E3020" s="605"/>
      <c r="F3020" s="566" t="str">
        <f>IFERROR(VLOOKUP(E3020,STAT1!$C$4:$D$8000,2,FALSE),"")</f>
        <v/>
      </c>
      <c r="O3020" s="152" t="str">
        <f>IFERROR(VLOOKUP(N3020,DATA!$K$4:$L$51,2,FALSE),"")</f>
        <v/>
      </c>
    </row>
    <row r="3021" spans="5:15">
      <c r="E3021" s="605"/>
      <c r="F3021" s="566" t="str">
        <f>IFERROR(VLOOKUP(E3021,STAT1!$C$4:$D$8000,2,FALSE),"")</f>
        <v/>
      </c>
      <c r="O3021" s="152" t="str">
        <f>IFERROR(VLOOKUP(N3021,DATA!$K$4:$L$51,2,FALSE),"")</f>
        <v/>
      </c>
    </row>
    <row r="3022" spans="5:15">
      <c r="E3022" s="605"/>
      <c r="F3022" s="566" t="str">
        <f>IFERROR(VLOOKUP(E3022,STAT1!$C$4:$D$8000,2,FALSE),"")</f>
        <v/>
      </c>
      <c r="O3022" s="152" t="str">
        <f>IFERROR(VLOOKUP(N3022,DATA!$K$4:$L$51,2,FALSE),"")</f>
        <v/>
      </c>
    </row>
    <row r="3023" spans="5:15">
      <c r="E3023" s="605"/>
      <c r="F3023" s="566" t="str">
        <f>IFERROR(VLOOKUP(E3023,STAT1!$C$4:$D$8000,2,FALSE),"")</f>
        <v/>
      </c>
      <c r="O3023" s="152" t="str">
        <f>IFERROR(VLOOKUP(N3023,DATA!$K$4:$L$51,2,FALSE),"")</f>
        <v/>
      </c>
    </row>
    <row r="3024" spans="5:15">
      <c r="E3024" s="605"/>
      <c r="F3024" s="566" t="str">
        <f>IFERROR(VLOOKUP(E3024,STAT1!$C$4:$D$8000,2,FALSE),"")</f>
        <v/>
      </c>
      <c r="O3024" s="152" t="str">
        <f>IFERROR(VLOOKUP(N3024,DATA!$K$4:$L$51,2,FALSE),"")</f>
        <v/>
      </c>
    </row>
    <row r="3025" spans="5:15">
      <c r="E3025" s="605"/>
      <c r="F3025" s="566" t="str">
        <f>IFERROR(VLOOKUP(E3025,STAT1!$C$4:$D$8000,2,FALSE),"")</f>
        <v/>
      </c>
      <c r="O3025" s="152" t="str">
        <f>IFERROR(VLOOKUP(N3025,DATA!$K$4:$L$51,2,FALSE),"")</f>
        <v/>
      </c>
    </row>
    <row r="3026" spans="5:15">
      <c r="E3026" s="605"/>
      <c r="F3026" s="566" t="str">
        <f>IFERROR(VLOOKUP(E3026,STAT1!$C$4:$D$8000,2,FALSE),"")</f>
        <v/>
      </c>
      <c r="O3026" s="152" t="str">
        <f>IFERROR(VLOOKUP(N3026,DATA!$K$4:$L$51,2,FALSE),"")</f>
        <v/>
      </c>
    </row>
    <row r="3027" spans="5:15">
      <c r="E3027" s="605"/>
      <c r="F3027" s="566" t="str">
        <f>IFERROR(VLOOKUP(E3027,STAT1!$C$4:$D$8000,2,FALSE),"")</f>
        <v/>
      </c>
      <c r="O3027" s="152" t="str">
        <f>IFERROR(VLOOKUP(N3027,DATA!$K$4:$L$51,2,FALSE),"")</f>
        <v/>
      </c>
    </row>
    <row r="3028" spans="5:15">
      <c r="E3028" s="605"/>
      <c r="F3028" s="566" t="str">
        <f>IFERROR(VLOOKUP(E3028,STAT1!$C$4:$D$8000,2,FALSE),"")</f>
        <v/>
      </c>
      <c r="O3028" s="152" t="str">
        <f>IFERROR(VLOOKUP(N3028,DATA!$K$4:$L$51,2,FALSE),"")</f>
        <v/>
      </c>
    </row>
    <row r="3029" spans="5:15">
      <c r="E3029" s="605"/>
      <c r="F3029" s="566" t="str">
        <f>IFERROR(VLOOKUP(E3029,STAT1!$C$4:$D$8000,2,FALSE),"")</f>
        <v/>
      </c>
      <c r="O3029" s="152" t="str">
        <f>IFERROR(VLOOKUP(N3029,DATA!$K$4:$L$51,2,FALSE),"")</f>
        <v/>
      </c>
    </row>
    <row r="3030" spans="5:15">
      <c r="E3030" s="605"/>
      <c r="F3030" s="566" t="str">
        <f>IFERROR(VLOOKUP(E3030,STAT1!$C$4:$D$8000,2,FALSE),"")</f>
        <v/>
      </c>
      <c r="O3030" s="152" t="str">
        <f>IFERROR(VLOOKUP(N3030,DATA!$K$4:$L$51,2,FALSE),"")</f>
        <v/>
      </c>
    </row>
    <row r="3031" spans="5:15">
      <c r="E3031" s="605"/>
      <c r="F3031" s="566" t="str">
        <f>IFERROR(VLOOKUP(E3031,STAT1!$C$4:$D$8000,2,FALSE),"")</f>
        <v/>
      </c>
      <c r="O3031" s="152" t="str">
        <f>IFERROR(VLOOKUP(N3031,DATA!$K$4:$L$51,2,FALSE),"")</f>
        <v/>
      </c>
    </row>
    <row r="3032" spans="5:15">
      <c r="E3032" s="605"/>
      <c r="F3032" s="566" t="str">
        <f>IFERROR(VLOOKUP(E3032,STAT1!$C$4:$D$8000,2,FALSE),"")</f>
        <v/>
      </c>
      <c r="O3032" s="152" t="str">
        <f>IFERROR(VLOOKUP(N3032,DATA!$K$4:$L$51,2,FALSE),"")</f>
        <v/>
      </c>
    </row>
    <row r="3033" spans="5:15">
      <c r="E3033" s="605"/>
      <c r="F3033" s="566" t="str">
        <f>IFERROR(VLOOKUP(E3033,STAT1!$C$4:$D$8000,2,FALSE),"")</f>
        <v/>
      </c>
      <c r="O3033" s="152" t="str">
        <f>IFERROR(VLOOKUP(N3033,DATA!$K$4:$L$51,2,FALSE),"")</f>
        <v/>
      </c>
    </row>
    <row r="3034" spans="5:15">
      <c r="E3034" s="605"/>
      <c r="F3034" s="566" t="str">
        <f>IFERROR(VLOOKUP(E3034,STAT1!$C$4:$D$8000,2,FALSE),"")</f>
        <v/>
      </c>
      <c r="O3034" s="152" t="str">
        <f>IFERROR(VLOOKUP(N3034,DATA!$K$4:$L$51,2,FALSE),"")</f>
        <v/>
      </c>
    </row>
    <row r="3035" spans="5:15">
      <c r="E3035" s="605"/>
      <c r="F3035" s="566" t="str">
        <f>IFERROR(VLOOKUP(E3035,STAT1!$C$4:$D$8000,2,FALSE),"")</f>
        <v/>
      </c>
      <c r="O3035" s="152" t="str">
        <f>IFERROR(VLOOKUP(N3035,DATA!$K$4:$L$51,2,FALSE),"")</f>
        <v/>
      </c>
    </row>
    <row r="3036" spans="5:15">
      <c r="E3036" s="605"/>
      <c r="F3036" s="566" t="str">
        <f>IFERROR(VLOOKUP(E3036,STAT1!$C$4:$D$8000,2,FALSE),"")</f>
        <v/>
      </c>
      <c r="O3036" s="152" t="str">
        <f>IFERROR(VLOOKUP(N3036,DATA!$K$4:$L$51,2,FALSE),"")</f>
        <v/>
      </c>
    </row>
    <row r="3037" spans="5:15">
      <c r="E3037" s="605"/>
      <c r="F3037" s="566" t="str">
        <f>IFERROR(VLOOKUP(E3037,STAT1!$C$4:$D$8000,2,FALSE),"")</f>
        <v/>
      </c>
      <c r="O3037" s="152" t="str">
        <f>IFERROR(VLOOKUP(N3037,DATA!$K$4:$L$51,2,FALSE),"")</f>
        <v/>
      </c>
    </row>
    <row r="3038" spans="5:15">
      <c r="E3038" s="605"/>
      <c r="F3038" s="566" t="str">
        <f>IFERROR(VLOOKUP(E3038,STAT1!$C$4:$D$8000,2,FALSE),"")</f>
        <v/>
      </c>
      <c r="O3038" s="152" t="str">
        <f>IFERROR(VLOOKUP(N3038,DATA!$K$4:$L$51,2,FALSE),"")</f>
        <v/>
      </c>
    </row>
    <row r="3039" spans="5:15">
      <c r="E3039" s="605"/>
      <c r="F3039" s="566" t="str">
        <f>IFERROR(VLOOKUP(E3039,STAT1!$C$4:$D$8000,2,FALSE),"")</f>
        <v/>
      </c>
      <c r="O3039" s="152" t="str">
        <f>IFERROR(VLOOKUP(N3039,DATA!$K$4:$L$51,2,FALSE),"")</f>
        <v/>
      </c>
    </row>
    <row r="3040" spans="5:15">
      <c r="E3040" s="605"/>
      <c r="F3040" s="566" t="str">
        <f>IFERROR(VLOOKUP(E3040,STAT1!$C$4:$D$8000,2,FALSE),"")</f>
        <v/>
      </c>
      <c r="O3040" s="152" t="str">
        <f>IFERROR(VLOOKUP(N3040,DATA!$K$4:$L$51,2,FALSE),"")</f>
        <v/>
      </c>
    </row>
    <row r="3041" spans="5:15">
      <c r="E3041" s="605"/>
      <c r="F3041" s="566" t="str">
        <f>IFERROR(VLOOKUP(E3041,STAT1!$C$4:$D$8000,2,FALSE),"")</f>
        <v/>
      </c>
      <c r="O3041" s="152" t="str">
        <f>IFERROR(VLOOKUP(N3041,DATA!$K$4:$L$51,2,FALSE),"")</f>
        <v/>
      </c>
    </row>
    <row r="3042" spans="5:15">
      <c r="E3042" s="605"/>
      <c r="F3042" s="566" t="str">
        <f>IFERROR(VLOOKUP(E3042,STAT1!$C$4:$D$8000,2,FALSE),"")</f>
        <v/>
      </c>
      <c r="O3042" s="152" t="str">
        <f>IFERROR(VLOOKUP(N3042,DATA!$K$4:$L$51,2,FALSE),"")</f>
        <v/>
      </c>
    </row>
    <row r="3043" spans="5:15">
      <c r="E3043" s="605"/>
      <c r="F3043" s="566" t="str">
        <f>IFERROR(VLOOKUP(E3043,STAT1!$C$4:$D$8000,2,FALSE),"")</f>
        <v/>
      </c>
      <c r="O3043" s="152" t="str">
        <f>IFERROR(VLOOKUP(N3043,DATA!$K$4:$L$51,2,FALSE),"")</f>
        <v/>
      </c>
    </row>
    <row r="3044" spans="5:15">
      <c r="E3044" s="605"/>
      <c r="F3044" s="566" t="str">
        <f>IFERROR(VLOOKUP(E3044,STAT1!$C$4:$D$8000,2,FALSE),"")</f>
        <v/>
      </c>
      <c r="O3044" s="152" t="str">
        <f>IFERROR(VLOOKUP(N3044,DATA!$K$4:$L$51,2,FALSE),"")</f>
        <v/>
      </c>
    </row>
    <row r="3045" spans="5:15">
      <c r="E3045" s="605"/>
      <c r="F3045" s="566" t="str">
        <f>IFERROR(VLOOKUP(E3045,STAT1!$C$4:$D$8000,2,FALSE),"")</f>
        <v/>
      </c>
      <c r="O3045" s="152" t="str">
        <f>IFERROR(VLOOKUP(N3045,DATA!$K$4:$L$51,2,FALSE),"")</f>
        <v/>
      </c>
    </row>
    <row r="3046" spans="5:15">
      <c r="E3046" s="605"/>
      <c r="F3046" s="566" t="str">
        <f>IFERROR(VLOOKUP(E3046,STAT1!$C$4:$D$8000,2,FALSE),"")</f>
        <v/>
      </c>
      <c r="O3046" s="152" t="str">
        <f>IFERROR(VLOOKUP(N3046,DATA!$K$4:$L$51,2,FALSE),"")</f>
        <v/>
      </c>
    </row>
    <row r="3047" spans="5:15">
      <c r="E3047" s="605"/>
      <c r="F3047" s="566" t="str">
        <f>IFERROR(VLOOKUP(E3047,STAT1!$C$4:$D$8000,2,FALSE),"")</f>
        <v/>
      </c>
      <c r="O3047" s="152" t="str">
        <f>IFERROR(VLOOKUP(N3047,DATA!$K$4:$L$51,2,FALSE),"")</f>
        <v/>
      </c>
    </row>
    <row r="3048" spans="5:15">
      <c r="E3048" s="605"/>
      <c r="F3048" s="566" t="str">
        <f>IFERROR(VLOOKUP(E3048,STAT1!$C$4:$D$8000,2,FALSE),"")</f>
        <v/>
      </c>
      <c r="O3048" s="152" t="str">
        <f>IFERROR(VLOOKUP(N3048,DATA!$K$4:$L$51,2,FALSE),"")</f>
        <v/>
      </c>
    </row>
    <row r="3049" spans="5:15">
      <c r="E3049" s="605"/>
      <c r="F3049" s="566" t="str">
        <f>IFERROR(VLOOKUP(E3049,STAT1!$C$4:$D$8000,2,FALSE),"")</f>
        <v/>
      </c>
      <c r="O3049" s="152" t="str">
        <f>IFERROR(VLOOKUP(N3049,DATA!$K$4:$L$51,2,FALSE),"")</f>
        <v/>
      </c>
    </row>
    <row r="3050" spans="5:15">
      <c r="E3050" s="605"/>
      <c r="F3050" s="566" t="str">
        <f>IFERROR(VLOOKUP(E3050,STAT1!$C$4:$D$8000,2,FALSE),"")</f>
        <v/>
      </c>
      <c r="O3050" s="152" t="str">
        <f>IFERROR(VLOOKUP(N3050,DATA!$K$4:$L$51,2,FALSE),"")</f>
        <v/>
      </c>
    </row>
    <row r="3051" spans="5:15">
      <c r="E3051" s="605"/>
      <c r="F3051" s="566" t="str">
        <f>IFERROR(VLOOKUP(E3051,STAT1!$C$4:$D$8000,2,FALSE),"")</f>
        <v/>
      </c>
      <c r="O3051" s="152" t="str">
        <f>IFERROR(VLOOKUP(N3051,DATA!$K$4:$L$51,2,FALSE),"")</f>
        <v/>
      </c>
    </row>
    <row r="3052" spans="5:15">
      <c r="E3052" s="605"/>
      <c r="F3052" s="566" t="str">
        <f>IFERROR(VLOOKUP(E3052,STAT1!$C$4:$D$8000,2,FALSE),"")</f>
        <v/>
      </c>
      <c r="O3052" s="152" t="str">
        <f>IFERROR(VLOOKUP(N3052,DATA!$K$4:$L$51,2,FALSE),"")</f>
        <v/>
      </c>
    </row>
    <row r="3053" spans="5:15">
      <c r="E3053" s="605"/>
      <c r="F3053" s="566" t="str">
        <f>IFERROR(VLOOKUP(E3053,STAT1!$C$4:$D$8000,2,FALSE),"")</f>
        <v/>
      </c>
      <c r="O3053" s="152" t="str">
        <f>IFERROR(VLOOKUP(N3053,DATA!$K$4:$L$51,2,FALSE),"")</f>
        <v/>
      </c>
    </row>
    <row r="3054" spans="5:15">
      <c r="E3054" s="605"/>
      <c r="F3054" s="566" t="str">
        <f>IFERROR(VLOOKUP(E3054,STAT1!$C$4:$D$8000,2,FALSE),"")</f>
        <v/>
      </c>
      <c r="O3054" s="152" t="str">
        <f>IFERROR(VLOOKUP(N3054,DATA!$K$4:$L$51,2,FALSE),"")</f>
        <v/>
      </c>
    </row>
    <row r="3055" spans="5:15">
      <c r="E3055" s="605"/>
      <c r="F3055" s="566" t="str">
        <f>IFERROR(VLOOKUP(E3055,STAT1!$C$4:$D$8000,2,FALSE),"")</f>
        <v/>
      </c>
      <c r="O3055" s="152" t="str">
        <f>IFERROR(VLOOKUP(N3055,DATA!$K$4:$L$51,2,FALSE),"")</f>
        <v/>
      </c>
    </row>
    <row r="3056" spans="5:15">
      <c r="E3056" s="605"/>
      <c r="F3056" s="566" t="str">
        <f>IFERROR(VLOOKUP(E3056,STAT1!$C$4:$D$8000,2,FALSE),"")</f>
        <v/>
      </c>
      <c r="O3056" s="152" t="str">
        <f>IFERROR(VLOOKUP(N3056,DATA!$K$4:$L$51,2,FALSE),"")</f>
        <v/>
      </c>
    </row>
    <row r="3057" spans="5:15">
      <c r="E3057" s="605"/>
      <c r="F3057" s="566" t="str">
        <f>IFERROR(VLOOKUP(E3057,STAT1!$C$4:$D$8000,2,FALSE),"")</f>
        <v/>
      </c>
      <c r="O3057" s="152" t="str">
        <f>IFERROR(VLOOKUP(N3057,DATA!$K$4:$L$51,2,FALSE),"")</f>
        <v/>
      </c>
    </row>
    <row r="3058" spans="5:15">
      <c r="E3058" s="605"/>
      <c r="F3058" s="566" t="str">
        <f>IFERROR(VLOOKUP(E3058,STAT1!$C$4:$D$8000,2,FALSE),"")</f>
        <v/>
      </c>
      <c r="O3058" s="152" t="str">
        <f>IFERROR(VLOOKUP(N3058,DATA!$K$4:$L$51,2,FALSE),"")</f>
        <v/>
      </c>
    </row>
    <row r="3059" spans="5:15">
      <c r="E3059" s="605"/>
      <c r="F3059" s="566" t="str">
        <f>IFERROR(VLOOKUP(E3059,STAT1!$C$4:$D$8000,2,FALSE),"")</f>
        <v/>
      </c>
      <c r="O3059" s="152" t="str">
        <f>IFERROR(VLOOKUP(N3059,DATA!$K$4:$L$51,2,FALSE),"")</f>
        <v/>
      </c>
    </row>
    <row r="3060" spans="5:15">
      <c r="E3060" s="605"/>
      <c r="F3060" s="566" t="str">
        <f>IFERROR(VLOOKUP(E3060,STAT1!$C$4:$D$8000,2,FALSE),"")</f>
        <v/>
      </c>
      <c r="O3060" s="152" t="str">
        <f>IFERROR(VLOOKUP(N3060,DATA!$K$4:$L$51,2,FALSE),"")</f>
        <v/>
      </c>
    </row>
    <row r="3061" spans="5:15">
      <c r="E3061" s="605"/>
      <c r="F3061" s="566" t="str">
        <f>IFERROR(VLOOKUP(E3061,STAT1!$C$4:$D$8000,2,FALSE),"")</f>
        <v/>
      </c>
      <c r="O3061" s="152" t="str">
        <f>IFERROR(VLOOKUP(N3061,DATA!$K$4:$L$51,2,FALSE),"")</f>
        <v/>
      </c>
    </row>
    <row r="3062" spans="5:15">
      <c r="E3062" s="605"/>
      <c r="F3062" s="566" t="str">
        <f>IFERROR(VLOOKUP(E3062,STAT1!$C$4:$D$8000,2,FALSE),"")</f>
        <v/>
      </c>
      <c r="O3062" s="152" t="str">
        <f>IFERROR(VLOOKUP(N3062,DATA!$K$4:$L$51,2,FALSE),"")</f>
        <v/>
      </c>
    </row>
    <row r="3063" spans="5:15">
      <c r="E3063" s="605"/>
      <c r="F3063" s="566" t="str">
        <f>IFERROR(VLOOKUP(E3063,STAT1!$C$4:$D$8000,2,FALSE),"")</f>
        <v/>
      </c>
      <c r="O3063" s="152" t="str">
        <f>IFERROR(VLOOKUP(N3063,DATA!$K$4:$L$51,2,FALSE),"")</f>
        <v/>
      </c>
    </row>
    <row r="3064" spans="5:15">
      <c r="E3064" s="605"/>
      <c r="F3064" s="566" t="str">
        <f>IFERROR(VLOOKUP(E3064,STAT1!$C$4:$D$8000,2,FALSE),"")</f>
        <v/>
      </c>
      <c r="O3064" s="152" t="str">
        <f>IFERROR(VLOOKUP(N3064,DATA!$K$4:$L$51,2,FALSE),"")</f>
        <v/>
      </c>
    </row>
    <row r="3065" spans="5:15">
      <c r="E3065" s="605"/>
      <c r="F3065" s="566" t="str">
        <f>IFERROR(VLOOKUP(E3065,STAT1!$C$4:$D$8000,2,FALSE),"")</f>
        <v/>
      </c>
      <c r="O3065" s="152" t="str">
        <f>IFERROR(VLOOKUP(N3065,DATA!$K$4:$L$51,2,FALSE),"")</f>
        <v/>
      </c>
    </row>
    <row r="3066" spans="5:15">
      <c r="E3066" s="605"/>
      <c r="F3066" s="566" t="str">
        <f>IFERROR(VLOOKUP(E3066,STAT1!$C$4:$D$8000,2,FALSE),"")</f>
        <v/>
      </c>
      <c r="O3066" s="152" t="str">
        <f>IFERROR(VLOOKUP(N3066,DATA!$K$4:$L$51,2,FALSE),"")</f>
        <v/>
      </c>
    </row>
    <row r="3067" spans="5:15">
      <c r="E3067" s="605"/>
      <c r="F3067" s="566" t="str">
        <f>IFERROR(VLOOKUP(E3067,STAT1!$C$4:$D$8000,2,FALSE),"")</f>
        <v/>
      </c>
      <c r="O3067" s="152" t="str">
        <f>IFERROR(VLOOKUP(N3067,DATA!$K$4:$L$51,2,FALSE),"")</f>
        <v/>
      </c>
    </row>
    <row r="3068" spans="5:15">
      <c r="E3068" s="605"/>
      <c r="F3068" s="566" t="str">
        <f>IFERROR(VLOOKUP(E3068,STAT1!$C$4:$D$8000,2,FALSE),"")</f>
        <v/>
      </c>
      <c r="O3068" s="152" t="str">
        <f>IFERROR(VLOOKUP(N3068,DATA!$K$4:$L$51,2,FALSE),"")</f>
        <v/>
      </c>
    </row>
    <row r="3069" spans="5:15">
      <c r="E3069" s="605"/>
      <c r="F3069" s="566" t="str">
        <f>IFERROR(VLOOKUP(E3069,STAT1!$C$4:$D$8000,2,FALSE),"")</f>
        <v/>
      </c>
      <c r="O3069" s="152" t="str">
        <f>IFERROR(VLOOKUP(N3069,DATA!$K$4:$L$51,2,FALSE),"")</f>
        <v/>
      </c>
    </row>
    <row r="3070" spans="5:15">
      <c r="E3070" s="605"/>
      <c r="F3070" s="566" t="str">
        <f>IFERROR(VLOOKUP(E3070,STAT1!$C$4:$D$8000,2,FALSE),"")</f>
        <v/>
      </c>
      <c r="O3070" s="152" t="str">
        <f>IFERROR(VLOOKUP(N3070,DATA!$K$4:$L$51,2,FALSE),"")</f>
        <v/>
      </c>
    </row>
    <row r="3071" spans="5:15">
      <c r="E3071" s="605"/>
      <c r="F3071" s="566" t="str">
        <f>IFERROR(VLOOKUP(E3071,STAT1!$C$4:$D$8000,2,FALSE),"")</f>
        <v/>
      </c>
      <c r="O3071" s="152" t="str">
        <f>IFERROR(VLOOKUP(N3071,DATA!$K$4:$L$51,2,FALSE),"")</f>
        <v/>
      </c>
    </row>
    <row r="3072" spans="5:15">
      <c r="E3072" s="605"/>
      <c r="F3072" s="566" t="str">
        <f>IFERROR(VLOOKUP(E3072,STAT1!$C$4:$D$8000,2,FALSE),"")</f>
        <v/>
      </c>
      <c r="O3072" s="152" t="str">
        <f>IFERROR(VLOOKUP(N3072,DATA!$K$4:$L$51,2,FALSE),"")</f>
        <v/>
      </c>
    </row>
    <row r="3073" spans="5:15">
      <c r="E3073" s="605"/>
      <c r="F3073" s="566" t="str">
        <f>IFERROR(VLOOKUP(E3073,STAT1!$C$4:$D$8000,2,FALSE),"")</f>
        <v/>
      </c>
      <c r="O3073" s="152" t="str">
        <f>IFERROR(VLOOKUP(N3073,DATA!$K$4:$L$51,2,FALSE),"")</f>
        <v/>
      </c>
    </row>
    <row r="3074" spans="5:15">
      <c r="E3074" s="605"/>
      <c r="F3074" s="566" t="str">
        <f>IFERROR(VLOOKUP(E3074,STAT1!$C$4:$D$8000,2,FALSE),"")</f>
        <v/>
      </c>
      <c r="O3074" s="152" t="str">
        <f>IFERROR(VLOOKUP(N3074,DATA!$K$4:$L$51,2,FALSE),"")</f>
        <v/>
      </c>
    </row>
    <row r="3075" spans="5:15">
      <c r="E3075" s="605"/>
      <c r="F3075" s="566" t="str">
        <f>IFERROR(VLOOKUP(E3075,STAT1!$C$4:$D$8000,2,FALSE),"")</f>
        <v/>
      </c>
      <c r="O3075" s="152" t="str">
        <f>IFERROR(VLOOKUP(N3075,DATA!$K$4:$L$51,2,FALSE),"")</f>
        <v/>
      </c>
    </row>
    <row r="3076" spans="5:15">
      <c r="E3076" s="605"/>
      <c r="F3076" s="566" t="str">
        <f>IFERROR(VLOOKUP(E3076,STAT1!$C$4:$D$8000,2,FALSE),"")</f>
        <v/>
      </c>
      <c r="O3076" s="152" t="str">
        <f>IFERROR(VLOOKUP(N3076,DATA!$K$4:$L$51,2,FALSE),"")</f>
        <v/>
      </c>
    </row>
    <row r="3077" spans="5:15">
      <c r="E3077" s="605"/>
      <c r="F3077" s="566" t="str">
        <f>IFERROR(VLOOKUP(E3077,STAT1!$C$4:$D$8000,2,FALSE),"")</f>
        <v/>
      </c>
      <c r="O3077" s="152" t="str">
        <f>IFERROR(VLOOKUP(N3077,DATA!$K$4:$L$51,2,FALSE),"")</f>
        <v/>
      </c>
    </row>
    <row r="3078" spans="5:15">
      <c r="E3078" s="605"/>
      <c r="F3078" s="566" t="str">
        <f>IFERROR(VLOOKUP(E3078,STAT1!$C$4:$D$8000,2,FALSE),"")</f>
        <v/>
      </c>
      <c r="O3078" s="152" t="str">
        <f>IFERROR(VLOOKUP(N3078,DATA!$K$4:$L$51,2,FALSE),"")</f>
        <v/>
      </c>
    </row>
    <row r="3079" spans="5:15">
      <c r="E3079" s="605"/>
      <c r="F3079" s="566" t="str">
        <f>IFERROR(VLOOKUP(E3079,STAT1!$C$4:$D$8000,2,FALSE),"")</f>
        <v/>
      </c>
      <c r="O3079" s="152" t="str">
        <f>IFERROR(VLOOKUP(N3079,DATA!$K$4:$L$51,2,FALSE),"")</f>
        <v/>
      </c>
    </row>
    <row r="3080" spans="5:15">
      <c r="E3080" s="605"/>
      <c r="F3080" s="566" t="str">
        <f>IFERROR(VLOOKUP(E3080,STAT1!$C$4:$D$8000,2,FALSE),"")</f>
        <v/>
      </c>
      <c r="O3080" s="152" t="str">
        <f>IFERROR(VLOOKUP(N3080,DATA!$K$4:$L$51,2,FALSE),"")</f>
        <v/>
      </c>
    </row>
    <row r="3081" spans="5:15">
      <c r="E3081" s="605"/>
      <c r="F3081" s="566" t="str">
        <f>IFERROR(VLOOKUP(E3081,STAT1!$C$4:$D$8000,2,FALSE),"")</f>
        <v/>
      </c>
      <c r="O3081" s="152" t="str">
        <f>IFERROR(VLOOKUP(N3081,DATA!$K$4:$L$51,2,FALSE),"")</f>
        <v/>
      </c>
    </row>
    <row r="3082" spans="5:15">
      <c r="E3082" s="605"/>
      <c r="F3082" s="566" t="str">
        <f>IFERROR(VLOOKUP(E3082,STAT1!$C$4:$D$8000,2,FALSE),"")</f>
        <v/>
      </c>
      <c r="O3082" s="152" t="str">
        <f>IFERROR(VLOOKUP(N3082,DATA!$K$4:$L$51,2,FALSE),"")</f>
        <v/>
      </c>
    </row>
    <row r="3083" spans="5:15">
      <c r="E3083" s="605"/>
      <c r="F3083" s="566" t="str">
        <f>IFERROR(VLOOKUP(E3083,STAT1!$C$4:$D$8000,2,FALSE),"")</f>
        <v/>
      </c>
      <c r="O3083" s="152" t="str">
        <f>IFERROR(VLOOKUP(N3083,DATA!$K$4:$L$51,2,FALSE),"")</f>
        <v/>
      </c>
    </row>
    <row r="3084" spans="5:15">
      <c r="E3084" s="605"/>
      <c r="F3084" s="566" t="str">
        <f>IFERROR(VLOOKUP(E3084,STAT1!$C$4:$D$8000,2,FALSE),"")</f>
        <v/>
      </c>
      <c r="O3084" s="152" t="str">
        <f>IFERROR(VLOOKUP(N3084,DATA!$K$4:$L$51,2,FALSE),"")</f>
        <v/>
      </c>
    </row>
    <row r="3085" spans="5:15">
      <c r="E3085" s="605"/>
      <c r="F3085" s="566" t="str">
        <f>IFERROR(VLOOKUP(E3085,STAT1!$C$4:$D$8000,2,FALSE),"")</f>
        <v/>
      </c>
      <c r="O3085" s="152" t="str">
        <f>IFERROR(VLOOKUP(N3085,DATA!$K$4:$L$51,2,FALSE),"")</f>
        <v/>
      </c>
    </row>
    <row r="3086" spans="5:15">
      <c r="E3086" s="605"/>
      <c r="F3086" s="566" t="str">
        <f>IFERROR(VLOOKUP(E3086,STAT1!$C$4:$D$8000,2,FALSE),"")</f>
        <v/>
      </c>
      <c r="O3086" s="152" t="str">
        <f>IFERROR(VLOOKUP(N3086,DATA!$K$4:$L$51,2,FALSE),"")</f>
        <v/>
      </c>
    </row>
    <row r="3087" spans="5:15">
      <c r="E3087" s="605"/>
      <c r="F3087" s="566" t="str">
        <f>IFERROR(VLOOKUP(E3087,STAT1!$C$4:$D$8000,2,FALSE),"")</f>
        <v/>
      </c>
      <c r="O3087" s="152" t="str">
        <f>IFERROR(VLOOKUP(N3087,DATA!$K$4:$L$51,2,FALSE),"")</f>
        <v/>
      </c>
    </row>
    <row r="3088" spans="5:15">
      <c r="E3088" s="605"/>
      <c r="F3088" s="566" t="str">
        <f>IFERROR(VLOOKUP(E3088,STAT1!$C$4:$D$8000,2,FALSE),"")</f>
        <v/>
      </c>
      <c r="O3088" s="152" t="str">
        <f>IFERROR(VLOOKUP(N3088,DATA!$K$4:$L$51,2,FALSE),"")</f>
        <v/>
      </c>
    </row>
    <row r="3089" spans="5:15">
      <c r="E3089" s="605"/>
      <c r="F3089" s="566" t="str">
        <f>IFERROR(VLOOKUP(E3089,STAT1!$C$4:$D$8000,2,FALSE),"")</f>
        <v/>
      </c>
      <c r="O3089" s="152" t="str">
        <f>IFERROR(VLOOKUP(N3089,DATA!$K$4:$L$51,2,FALSE),"")</f>
        <v/>
      </c>
    </row>
    <row r="3090" spans="5:15">
      <c r="E3090" s="605"/>
      <c r="F3090" s="566" t="str">
        <f>IFERROR(VLOOKUP(E3090,STAT1!$C$4:$D$8000,2,FALSE),"")</f>
        <v/>
      </c>
      <c r="O3090" s="152" t="str">
        <f>IFERROR(VLOOKUP(N3090,DATA!$K$4:$L$51,2,FALSE),"")</f>
        <v/>
      </c>
    </row>
    <row r="3091" spans="5:15">
      <c r="E3091" s="605"/>
      <c r="F3091" s="566" t="str">
        <f>IFERROR(VLOOKUP(E3091,STAT1!$C$4:$D$8000,2,FALSE),"")</f>
        <v/>
      </c>
      <c r="O3091" s="152" t="str">
        <f>IFERROR(VLOOKUP(N3091,DATA!$K$4:$L$51,2,FALSE),"")</f>
        <v/>
      </c>
    </row>
    <row r="3092" spans="5:15">
      <c r="E3092" s="605"/>
      <c r="F3092" s="566" t="str">
        <f>IFERROR(VLOOKUP(E3092,STAT1!$C$4:$D$8000,2,FALSE),"")</f>
        <v/>
      </c>
      <c r="O3092" s="152" t="str">
        <f>IFERROR(VLOOKUP(N3092,DATA!$K$4:$L$51,2,FALSE),"")</f>
        <v/>
      </c>
    </row>
    <row r="3093" spans="5:15">
      <c r="E3093" s="605"/>
      <c r="F3093" s="566" t="str">
        <f>IFERROR(VLOOKUP(E3093,STAT1!$C$4:$D$8000,2,FALSE),"")</f>
        <v/>
      </c>
      <c r="O3093" s="152" t="str">
        <f>IFERROR(VLOOKUP(N3093,DATA!$K$4:$L$51,2,FALSE),"")</f>
        <v/>
      </c>
    </row>
    <row r="3094" spans="5:15">
      <c r="E3094" s="605"/>
      <c r="F3094" s="566" t="str">
        <f>IFERROR(VLOOKUP(E3094,STAT1!$C$4:$D$8000,2,FALSE),"")</f>
        <v/>
      </c>
      <c r="O3094" s="152" t="str">
        <f>IFERROR(VLOOKUP(N3094,DATA!$K$4:$L$51,2,FALSE),"")</f>
        <v/>
      </c>
    </row>
    <row r="3095" spans="5:15">
      <c r="E3095" s="605"/>
      <c r="F3095" s="566" t="str">
        <f>IFERROR(VLOOKUP(E3095,STAT1!$C$4:$D$8000,2,FALSE),"")</f>
        <v/>
      </c>
      <c r="O3095" s="152" t="str">
        <f>IFERROR(VLOOKUP(N3095,DATA!$K$4:$L$51,2,FALSE),"")</f>
        <v/>
      </c>
    </row>
    <row r="3096" spans="5:15">
      <c r="E3096" s="605"/>
      <c r="F3096" s="566" t="str">
        <f>IFERROR(VLOOKUP(E3096,STAT1!$C$4:$D$8000,2,FALSE),"")</f>
        <v/>
      </c>
      <c r="O3096" s="152" t="str">
        <f>IFERROR(VLOOKUP(N3096,DATA!$K$4:$L$51,2,FALSE),"")</f>
        <v/>
      </c>
    </row>
    <row r="3097" spans="5:15">
      <c r="E3097" s="605"/>
      <c r="F3097" s="566" t="str">
        <f>IFERROR(VLOOKUP(E3097,STAT1!$C$4:$D$8000,2,FALSE),"")</f>
        <v/>
      </c>
      <c r="O3097" s="152" t="str">
        <f>IFERROR(VLOOKUP(N3097,DATA!$K$4:$L$51,2,FALSE),"")</f>
        <v/>
      </c>
    </row>
    <row r="3098" spans="5:15">
      <c r="E3098" s="605"/>
      <c r="F3098" s="566" t="str">
        <f>IFERROR(VLOOKUP(E3098,STAT1!$C$4:$D$8000,2,FALSE),"")</f>
        <v/>
      </c>
      <c r="O3098" s="152" t="str">
        <f>IFERROR(VLOOKUP(N3098,DATA!$K$4:$L$51,2,FALSE),"")</f>
        <v/>
      </c>
    </row>
    <row r="3099" spans="5:15">
      <c r="E3099" s="605"/>
      <c r="F3099" s="566" t="str">
        <f>IFERROR(VLOOKUP(E3099,STAT1!$C$4:$D$8000,2,FALSE),"")</f>
        <v/>
      </c>
      <c r="O3099" s="152" t="str">
        <f>IFERROR(VLOOKUP(N3099,DATA!$K$4:$L$51,2,FALSE),"")</f>
        <v/>
      </c>
    </row>
    <row r="3100" spans="5:15">
      <c r="E3100" s="605"/>
      <c r="F3100" s="566" t="str">
        <f>IFERROR(VLOOKUP(E3100,STAT1!$C$4:$D$8000,2,FALSE),"")</f>
        <v/>
      </c>
      <c r="O3100" s="152" t="str">
        <f>IFERROR(VLOOKUP(N3100,DATA!$K$4:$L$51,2,FALSE),"")</f>
        <v/>
      </c>
    </row>
    <row r="3101" spans="5:15">
      <c r="E3101" s="605"/>
      <c r="F3101" s="566" t="str">
        <f>IFERROR(VLOOKUP(E3101,STAT1!$C$4:$D$8000,2,FALSE),"")</f>
        <v/>
      </c>
      <c r="O3101" s="152" t="str">
        <f>IFERROR(VLOOKUP(N3101,DATA!$K$4:$L$51,2,FALSE),"")</f>
        <v/>
      </c>
    </row>
    <row r="3102" spans="5:15">
      <c r="E3102" s="605"/>
      <c r="F3102" s="566" t="str">
        <f>IFERROR(VLOOKUP(E3102,STAT1!$C$4:$D$8000,2,FALSE),"")</f>
        <v/>
      </c>
      <c r="O3102" s="152" t="str">
        <f>IFERROR(VLOOKUP(N3102,DATA!$K$4:$L$51,2,FALSE),"")</f>
        <v/>
      </c>
    </row>
    <row r="3103" spans="5:15">
      <c r="E3103" s="605"/>
      <c r="F3103" s="566" t="str">
        <f>IFERROR(VLOOKUP(E3103,STAT1!$C$4:$D$8000,2,FALSE),"")</f>
        <v/>
      </c>
      <c r="O3103" s="152" t="str">
        <f>IFERROR(VLOOKUP(N3103,DATA!$K$4:$L$51,2,FALSE),"")</f>
        <v/>
      </c>
    </row>
    <row r="3104" spans="5:15">
      <c r="E3104" s="605"/>
      <c r="F3104" s="566" t="str">
        <f>IFERROR(VLOOKUP(E3104,STAT1!$C$4:$D$8000,2,FALSE),"")</f>
        <v/>
      </c>
      <c r="O3104" s="152" t="str">
        <f>IFERROR(VLOOKUP(N3104,DATA!$K$4:$L$51,2,FALSE),"")</f>
        <v/>
      </c>
    </row>
    <row r="3105" spans="5:15">
      <c r="E3105" s="605"/>
      <c r="F3105" s="566" t="str">
        <f>IFERROR(VLOOKUP(E3105,STAT1!$C$4:$D$8000,2,FALSE),"")</f>
        <v/>
      </c>
      <c r="O3105" s="152" t="str">
        <f>IFERROR(VLOOKUP(N3105,DATA!$K$4:$L$51,2,FALSE),"")</f>
        <v/>
      </c>
    </row>
    <row r="3106" spans="5:15">
      <c r="E3106" s="605"/>
      <c r="F3106" s="566" t="str">
        <f>IFERROR(VLOOKUP(E3106,STAT1!$C$4:$D$8000,2,FALSE),"")</f>
        <v/>
      </c>
      <c r="O3106" s="152" t="str">
        <f>IFERROR(VLOOKUP(N3106,DATA!$K$4:$L$51,2,FALSE),"")</f>
        <v/>
      </c>
    </row>
    <row r="3107" spans="5:15">
      <c r="E3107" s="605"/>
      <c r="F3107" s="566" t="str">
        <f>IFERROR(VLOOKUP(E3107,STAT1!$C$4:$D$8000,2,FALSE),"")</f>
        <v/>
      </c>
      <c r="O3107" s="152" t="str">
        <f>IFERROR(VLOOKUP(N3107,DATA!$K$4:$L$51,2,FALSE),"")</f>
        <v/>
      </c>
    </row>
    <row r="3108" spans="5:15">
      <c r="E3108" s="605"/>
      <c r="F3108" s="566" t="str">
        <f>IFERROR(VLOOKUP(E3108,STAT1!$C$4:$D$8000,2,FALSE),"")</f>
        <v/>
      </c>
      <c r="O3108" s="152" t="str">
        <f>IFERROR(VLOOKUP(N3108,DATA!$K$4:$L$51,2,FALSE),"")</f>
        <v/>
      </c>
    </row>
    <row r="3109" spans="5:15">
      <c r="E3109" s="605"/>
      <c r="F3109" s="566" t="str">
        <f>IFERROR(VLOOKUP(E3109,STAT1!$C$4:$D$8000,2,FALSE),"")</f>
        <v/>
      </c>
      <c r="O3109" s="152" t="str">
        <f>IFERROR(VLOOKUP(N3109,DATA!$K$4:$L$51,2,FALSE),"")</f>
        <v/>
      </c>
    </row>
    <row r="3110" spans="5:15">
      <c r="E3110" s="605"/>
      <c r="F3110" s="566" t="str">
        <f>IFERROR(VLOOKUP(E3110,STAT1!$C$4:$D$8000,2,FALSE),"")</f>
        <v/>
      </c>
      <c r="O3110" s="152" t="str">
        <f>IFERROR(VLOOKUP(N3110,DATA!$K$4:$L$51,2,FALSE),"")</f>
        <v/>
      </c>
    </row>
    <row r="3111" spans="5:15">
      <c r="E3111" s="605"/>
      <c r="F3111" s="566" t="str">
        <f>IFERROR(VLOOKUP(E3111,STAT1!$C$4:$D$8000,2,FALSE),"")</f>
        <v/>
      </c>
      <c r="O3111" s="152" t="str">
        <f>IFERROR(VLOOKUP(N3111,DATA!$K$4:$L$51,2,FALSE),"")</f>
        <v/>
      </c>
    </row>
    <row r="3112" spans="5:15">
      <c r="E3112" s="605"/>
      <c r="F3112" s="566" t="str">
        <f>IFERROR(VLOOKUP(E3112,STAT1!$C$4:$D$8000,2,FALSE),"")</f>
        <v/>
      </c>
      <c r="O3112" s="152" t="str">
        <f>IFERROR(VLOOKUP(N3112,DATA!$K$4:$L$51,2,FALSE),"")</f>
        <v/>
      </c>
    </row>
    <row r="3113" spans="5:15">
      <c r="E3113" s="605"/>
      <c r="F3113" s="566" t="str">
        <f>IFERROR(VLOOKUP(E3113,STAT1!$C$4:$D$8000,2,FALSE),"")</f>
        <v/>
      </c>
      <c r="O3113" s="152" t="str">
        <f>IFERROR(VLOOKUP(N3113,DATA!$K$4:$L$51,2,FALSE),"")</f>
        <v/>
      </c>
    </row>
    <row r="3114" spans="5:15">
      <c r="E3114" s="605"/>
      <c r="F3114" s="566" t="str">
        <f>IFERROR(VLOOKUP(E3114,STAT1!$C$4:$D$8000,2,FALSE),"")</f>
        <v/>
      </c>
      <c r="O3114" s="152" t="str">
        <f>IFERROR(VLOOKUP(N3114,DATA!$K$4:$L$51,2,FALSE),"")</f>
        <v/>
      </c>
    </row>
    <row r="3115" spans="5:15">
      <c r="E3115" s="605"/>
      <c r="F3115" s="566" t="str">
        <f>IFERROR(VLOOKUP(E3115,STAT1!$C$4:$D$8000,2,FALSE),"")</f>
        <v/>
      </c>
      <c r="O3115" s="152" t="str">
        <f>IFERROR(VLOOKUP(N3115,DATA!$K$4:$L$51,2,FALSE),"")</f>
        <v/>
      </c>
    </row>
    <row r="3116" spans="5:15">
      <c r="E3116" s="605"/>
      <c r="F3116" s="566" t="str">
        <f>IFERROR(VLOOKUP(E3116,STAT1!$C$4:$D$8000,2,FALSE),"")</f>
        <v/>
      </c>
      <c r="O3116" s="152" t="str">
        <f>IFERROR(VLOOKUP(N3116,DATA!$K$4:$L$51,2,FALSE),"")</f>
        <v/>
      </c>
    </row>
    <row r="3117" spans="5:15">
      <c r="E3117" s="605"/>
      <c r="F3117" s="566" t="str">
        <f>IFERROR(VLOOKUP(E3117,STAT1!$C$4:$D$8000,2,FALSE),"")</f>
        <v/>
      </c>
      <c r="O3117" s="152" t="str">
        <f>IFERROR(VLOOKUP(N3117,DATA!$K$4:$L$51,2,FALSE),"")</f>
        <v/>
      </c>
    </row>
    <row r="3118" spans="5:15">
      <c r="E3118" s="605"/>
      <c r="F3118" s="566" t="str">
        <f>IFERROR(VLOOKUP(E3118,STAT1!$C$4:$D$8000,2,FALSE),"")</f>
        <v/>
      </c>
      <c r="O3118" s="152" t="str">
        <f>IFERROR(VLOOKUP(N3118,DATA!$K$4:$L$51,2,FALSE),"")</f>
        <v/>
      </c>
    </row>
    <row r="3119" spans="5:15">
      <c r="E3119" s="605"/>
      <c r="F3119" s="566" t="str">
        <f>IFERROR(VLOOKUP(E3119,STAT1!$C$4:$D$8000,2,FALSE),"")</f>
        <v/>
      </c>
      <c r="O3119" s="152" t="str">
        <f>IFERROR(VLOOKUP(N3119,DATA!$K$4:$L$51,2,FALSE),"")</f>
        <v/>
      </c>
    </row>
    <row r="3120" spans="5:15">
      <c r="E3120" s="605"/>
      <c r="F3120" s="566" t="str">
        <f>IFERROR(VLOOKUP(E3120,STAT1!$C$4:$D$8000,2,FALSE),"")</f>
        <v/>
      </c>
      <c r="O3120" s="152" t="str">
        <f>IFERROR(VLOOKUP(N3120,DATA!$K$4:$L$51,2,FALSE),"")</f>
        <v/>
      </c>
    </row>
    <row r="3121" spans="5:15">
      <c r="E3121" s="605"/>
      <c r="F3121" s="566" t="str">
        <f>IFERROR(VLOOKUP(E3121,STAT1!$C$4:$D$8000,2,FALSE),"")</f>
        <v/>
      </c>
      <c r="O3121" s="152" t="str">
        <f>IFERROR(VLOOKUP(N3121,DATA!$K$4:$L$51,2,FALSE),"")</f>
        <v/>
      </c>
    </row>
    <row r="3122" spans="5:15">
      <c r="E3122" s="605"/>
      <c r="F3122" s="566" t="str">
        <f>IFERROR(VLOOKUP(E3122,STAT1!$C$4:$D$8000,2,FALSE),"")</f>
        <v/>
      </c>
      <c r="O3122" s="152" t="str">
        <f>IFERROR(VLOOKUP(N3122,DATA!$K$4:$L$51,2,FALSE),"")</f>
        <v/>
      </c>
    </row>
    <row r="3123" spans="5:15">
      <c r="E3123" s="605"/>
      <c r="F3123" s="566" t="str">
        <f>IFERROR(VLOOKUP(E3123,STAT1!$C$4:$D$8000,2,FALSE),"")</f>
        <v/>
      </c>
      <c r="O3123" s="152" t="str">
        <f>IFERROR(VLOOKUP(N3123,DATA!$K$4:$L$51,2,FALSE),"")</f>
        <v/>
      </c>
    </row>
    <row r="3124" spans="5:15">
      <c r="E3124" s="605"/>
      <c r="F3124" s="566" t="str">
        <f>IFERROR(VLOOKUP(E3124,STAT1!$C$4:$D$8000,2,FALSE),"")</f>
        <v/>
      </c>
      <c r="O3124" s="152" t="str">
        <f>IFERROR(VLOOKUP(N3124,DATA!$K$4:$L$51,2,FALSE),"")</f>
        <v/>
      </c>
    </row>
    <row r="3125" spans="5:15">
      <c r="E3125" s="605"/>
      <c r="F3125" s="566" t="str">
        <f>IFERROR(VLOOKUP(E3125,STAT1!$C$4:$D$8000,2,FALSE),"")</f>
        <v/>
      </c>
      <c r="O3125" s="152" t="str">
        <f>IFERROR(VLOOKUP(N3125,DATA!$K$4:$L$51,2,FALSE),"")</f>
        <v/>
      </c>
    </row>
    <row r="3126" spans="5:15">
      <c r="E3126" s="605"/>
      <c r="F3126" s="566" t="str">
        <f>IFERROR(VLOOKUP(E3126,STAT1!$C$4:$D$8000,2,FALSE),"")</f>
        <v/>
      </c>
      <c r="O3126" s="152" t="str">
        <f>IFERROR(VLOOKUP(N3126,DATA!$K$4:$L$51,2,FALSE),"")</f>
        <v/>
      </c>
    </row>
    <row r="3127" spans="5:15">
      <c r="E3127" s="605"/>
      <c r="F3127" s="566" t="str">
        <f>IFERROR(VLOOKUP(E3127,STAT1!$C$4:$D$8000,2,FALSE),"")</f>
        <v/>
      </c>
      <c r="O3127" s="152" t="str">
        <f>IFERROR(VLOOKUP(N3127,DATA!$K$4:$L$51,2,FALSE),"")</f>
        <v/>
      </c>
    </row>
    <row r="3128" spans="5:15">
      <c r="E3128" s="605"/>
      <c r="F3128" s="566" t="str">
        <f>IFERROR(VLOOKUP(E3128,STAT1!$C$4:$D$8000,2,FALSE),"")</f>
        <v/>
      </c>
      <c r="O3128" s="152" t="str">
        <f>IFERROR(VLOOKUP(N3128,DATA!$K$4:$L$51,2,FALSE),"")</f>
        <v/>
      </c>
    </row>
    <row r="3129" spans="5:15">
      <c r="E3129" s="605"/>
      <c r="F3129" s="566" t="str">
        <f>IFERROR(VLOOKUP(E3129,STAT1!$C$4:$D$8000,2,FALSE),"")</f>
        <v/>
      </c>
      <c r="O3129" s="152" t="str">
        <f>IFERROR(VLOOKUP(N3129,DATA!$K$4:$L$51,2,FALSE),"")</f>
        <v/>
      </c>
    </row>
    <row r="3130" spans="5:15">
      <c r="E3130" s="605"/>
      <c r="F3130" s="566" t="str">
        <f>IFERROR(VLOOKUP(E3130,STAT1!$C$4:$D$8000,2,FALSE),"")</f>
        <v/>
      </c>
      <c r="O3130" s="152" t="str">
        <f>IFERROR(VLOOKUP(N3130,DATA!$K$4:$L$51,2,FALSE),"")</f>
        <v/>
      </c>
    </row>
    <row r="3131" spans="5:15">
      <c r="E3131" s="605"/>
      <c r="F3131" s="566" t="str">
        <f>IFERROR(VLOOKUP(E3131,STAT1!$C$4:$D$8000,2,FALSE),"")</f>
        <v/>
      </c>
      <c r="O3131" s="152" t="str">
        <f>IFERROR(VLOOKUP(N3131,DATA!$K$4:$L$51,2,FALSE),"")</f>
        <v/>
      </c>
    </row>
    <row r="3132" spans="5:15">
      <c r="E3132" s="605"/>
      <c r="F3132" s="566" t="str">
        <f>IFERROR(VLOOKUP(E3132,STAT1!$C$4:$D$8000,2,FALSE),"")</f>
        <v/>
      </c>
      <c r="O3132" s="152" t="str">
        <f>IFERROR(VLOOKUP(N3132,DATA!$K$4:$L$51,2,FALSE),"")</f>
        <v/>
      </c>
    </row>
    <row r="3133" spans="5:15">
      <c r="E3133" s="605"/>
      <c r="F3133" s="566" t="str">
        <f>IFERROR(VLOOKUP(E3133,STAT1!$C$4:$D$8000,2,FALSE),"")</f>
        <v/>
      </c>
      <c r="O3133" s="152" t="str">
        <f>IFERROR(VLOOKUP(N3133,DATA!$K$4:$L$51,2,FALSE),"")</f>
        <v/>
      </c>
    </row>
    <row r="3134" spans="5:15">
      <c r="E3134" s="605"/>
      <c r="F3134" s="566" t="str">
        <f>IFERROR(VLOOKUP(E3134,STAT1!$C$4:$D$8000,2,FALSE),"")</f>
        <v/>
      </c>
      <c r="O3134" s="152" t="str">
        <f>IFERROR(VLOOKUP(N3134,DATA!$K$4:$L$51,2,FALSE),"")</f>
        <v/>
      </c>
    </row>
    <row r="3135" spans="5:15">
      <c r="E3135" s="605"/>
      <c r="F3135" s="566" t="str">
        <f>IFERROR(VLOOKUP(E3135,STAT1!$C$4:$D$8000,2,FALSE),"")</f>
        <v/>
      </c>
      <c r="O3135" s="152" t="str">
        <f>IFERROR(VLOOKUP(N3135,DATA!$K$4:$L$51,2,FALSE),"")</f>
        <v/>
      </c>
    </row>
    <row r="3136" spans="5:15">
      <c r="E3136" s="605"/>
      <c r="F3136" s="566" t="str">
        <f>IFERROR(VLOOKUP(E3136,STAT1!$C$4:$D$8000,2,FALSE),"")</f>
        <v/>
      </c>
      <c r="O3136" s="152" t="str">
        <f>IFERROR(VLOOKUP(N3136,DATA!$K$4:$L$51,2,FALSE),"")</f>
        <v/>
      </c>
    </row>
    <row r="3137" spans="5:15">
      <c r="E3137" s="605"/>
      <c r="F3137" s="566" t="str">
        <f>IFERROR(VLOOKUP(E3137,STAT1!$C$4:$D$8000,2,FALSE),"")</f>
        <v/>
      </c>
      <c r="O3137" s="152" t="str">
        <f>IFERROR(VLOOKUP(N3137,DATA!$K$4:$L$51,2,FALSE),"")</f>
        <v/>
      </c>
    </row>
    <row r="3138" spans="5:15">
      <c r="E3138" s="605"/>
      <c r="F3138" s="566" t="str">
        <f>IFERROR(VLOOKUP(E3138,STAT1!$C$4:$D$8000,2,FALSE),"")</f>
        <v/>
      </c>
      <c r="O3138" s="152" t="str">
        <f>IFERROR(VLOOKUP(N3138,DATA!$K$4:$L$51,2,FALSE),"")</f>
        <v/>
      </c>
    </row>
    <row r="3139" spans="5:15">
      <c r="E3139" s="605"/>
      <c r="F3139" s="566" t="str">
        <f>IFERROR(VLOOKUP(E3139,STAT1!$C$4:$D$8000,2,FALSE),"")</f>
        <v/>
      </c>
      <c r="O3139" s="152" t="str">
        <f>IFERROR(VLOOKUP(N3139,DATA!$K$4:$L$51,2,FALSE),"")</f>
        <v/>
      </c>
    </row>
    <row r="3140" spans="5:15">
      <c r="E3140" s="605"/>
      <c r="F3140" s="566" t="str">
        <f>IFERROR(VLOOKUP(E3140,STAT1!$C$4:$D$8000,2,FALSE),"")</f>
        <v/>
      </c>
      <c r="O3140" s="152" t="str">
        <f>IFERROR(VLOOKUP(N3140,DATA!$K$4:$L$51,2,FALSE),"")</f>
        <v/>
      </c>
    </row>
    <row r="3141" spans="5:15">
      <c r="E3141" s="605"/>
      <c r="F3141" s="566" t="str">
        <f>IFERROR(VLOOKUP(E3141,STAT1!$C$4:$D$8000,2,FALSE),"")</f>
        <v/>
      </c>
      <c r="O3141" s="152" t="str">
        <f>IFERROR(VLOOKUP(N3141,DATA!$K$4:$L$51,2,FALSE),"")</f>
        <v/>
      </c>
    </row>
    <row r="3142" spans="5:15">
      <c r="E3142" s="605"/>
      <c r="F3142" s="566" t="str">
        <f>IFERROR(VLOOKUP(E3142,STAT1!$C$4:$D$8000,2,FALSE),"")</f>
        <v/>
      </c>
      <c r="O3142" s="152" t="str">
        <f>IFERROR(VLOOKUP(N3142,DATA!$K$4:$L$51,2,FALSE),"")</f>
        <v/>
      </c>
    </row>
    <row r="3143" spans="5:15">
      <c r="E3143" s="605"/>
      <c r="F3143" s="566" t="str">
        <f>IFERROR(VLOOKUP(E3143,STAT1!$C$4:$D$8000,2,FALSE),"")</f>
        <v/>
      </c>
      <c r="O3143" s="152" t="str">
        <f>IFERROR(VLOOKUP(N3143,DATA!$K$4:$L$51,2,FALSE),"")</f>
        <v/>
      </c>
    </row>
    <row r="3144" spans="5:15">
      <c r="E3144" s="605"/>
      <c r="F3144" s="566" t="str">
        <f>IFERROR(VLOOKUP(E3144,STAT1!$C$4:$D$8000,2,FALSE),"")</f>
        <v/>
      </c>
      <c r="O3144" s="152" t="str">
        <f>IFERROR(VLOOKUP(N3144,DATA!$K$4:$L$51,2,FALSE),"")</f>
        <v/>
      </c>
    </row>
    <row r="3145" spans="5:15">
      <c r="E3145" s="605"/>
      <c r="F3145" s="566" t="str">
        <f>IFERROR(VLOOKUP(E3145,STAT1!$C$4:$D$8000,2,FALSE),"")</f>
        <v/>
      </c>
      <c r="O3145" s="152" t="str">
        <f>IFERROR(VLOOKUP(N3145,DATA!$K$4:$L$51,2,FALSE),"")</f>
        <v/>
      </c>
    </row>
    <row r="3146" spans="5:15">
      <c r="E3146" s="605"/>
      <c r="F3146" s="566" t="str">
        <f>IFERROR(VLOOKUP(E3146,STAT1!$C$4:$D$8000,2,FALSE),"")</f>
        <v/>
      </c>
      <c r="O3146" s="152" t="str">
        <f>IFERROR(VLOOKUP(N3146,DATA!$K$4:$L$51,2,FALSE),"")</f>
        <v/>
      </c>
    </row>
    <row r="3147" spans="5:15">
      <c r="E3147" s="605"/>
      <c r="F3147" s="566" t="str">
        <f>IFERROR(VLOOKUP(E3147,STAT1!$C$4:$D$8000,2,FALSE),"")</f>
        <v/>
      </c>
      <c r="O3147" s="152" t="str">
        <f>IFERROR(VLOOKUP(N3147,DATA!$K$4:$L$51,2,FALSE),"")</f>
        <v/>
      </c>
    </row>
    <row r="3148" spans="5:15">
      <c r="E3148" s="605"/>
      <c r="F3148" s="566" t="str">
        <f>IFERROR(VLOOKUP(E3148,STAT1!$C$4:$D$8000,2,FALSE),"")</f>
        <v/>
      </c>
      <c r="O3148" s="152" t="str">
        <f>IFERROR(VLOOKUP(N3148,DATA!$K$4:$L$51,2,FALSE),"")</f>
        <v/>
      </c>
    </row>
    <row r="3149" spans="5:15">
      <c r="E3149" s="605"/>
      <c r="F3149" s="566" t="str">
        <f>IFERROR(VLOOKUP(E3149,STAT1!$C$4:$D$8000,2,FALSE),"")</f>
        <v/>
      </c>
      <c r="O3149" s="152" t="str">
        <f>IFERROR(VLOOKUP(N3149,DATA!$K$4:$L$51,2,FALSE),"")</f>
        <v/>
      </c>
    </row>
    <row r="3150" spans="5:15">
      <c r="E3150" s="605"/>
      <c r="F3150" s="566" t="str">
        <f>IFERROR(VLOOKUP(E3150,STAT1!$C$4:$D$8000,2,FALSE),"")</f>
        <v/>
      </c>
      <c r="O3150" s="152" t="str">
        <f>IFERROR(VLOOKUP(N3150,DATA!$K$4:$L$51,2,FALSE),"")</f>
        <v/>
      </c>
    </row>
    <row r="3151" spans="5:15">
      <c r="E3151" s="605"/>
      <c r="H3151" s="615"/>
      <c r="I3151" s="607">
        <f>+IF(OR(E3151=100100,E3151=100200,E3151=110100,E3151=110102,E3151=110103,E3151=110104,E3151=110105,E3151=110200,E3151=110201,E3151=110202,E3151=110203,E3151=110204,E3151=110300),G3151,0)+IF(OR(E3151=100100,E3151=100200,E3151=110100,E3151=110102,E3151=110103,E3151=110104,E3151=110105,E3151=110200,E3151=110201,E3151=110202,E3151=110203,E3151=110204,E3151=110300),H3151*-1,0)</f>
        <v>0</v>
      </c>
      <c r="O3151" s="152" t="str">
        <f>IFERROR(VLOOKUP(N3151,DATA!$K$4:$L$51,2,FALSE),"")</f>
        <v/>
      </c>
    </row>
    <row r="3152" spans="5:15">
      <c r="E3152" s="605"/>
      <c r="I3152" s="607">
        <f>+IF(OR(E3152=100100,E3152=100200,E3152=110100,E3152=110102,E3152=110103,E3152=110104,E3152=110105,E3152=110200,E3152=110201,E3152=110202,E3152=110203,E3152=110204,E3152=110300),G3152,0)+IF(OR(E3152=100100,E3152=100200,E3152=110100,E3152=110102,E3152=110103,E3152=110104,E3152=110105,E3152=110200,E3152=110201,E3152=110202,E3152=110203,E3152=110204,E3152=110300),H3152*-1,0)</f>
        <v>0</v>
      </c>
      <c r="O3152" s="152" t="str">
        <f>IFERROR(VLOOKUP(N3152,DATA!$K$4:$L$51,2,FALSE),"")</f>
        <v/>
      </c>
    </row>
    <row r="3153" spans="5:15">
      <c r="E3153" s="605"/>
      <c r="I3153" s="607">
        <f>+IF(OR(E3153=100100,E3153=100200,E3153=110100,E3153=110102,E3153=110103,E3153=110104,E3153=110105,E3153=110200,E3153=110201,E3153=110202,E3153=110203,E3153=110204,E3153=110300),G3153,0)+IF(OR(E3153=100100,E3153=100200,E3153=110100,E3153=110102,E3153=110103,E3153=110104,E3153=110105,E3153=110200,E3153=110201,E3153=110202,E3153=110203,E3153=110204,E3153=110300),H3153*-1,0)</f>
        <v>0</v>
      </c>
      <c r="O3153" s="152" t="str">
        <f>IFERROR(VLOOKUP(N3153,DATA!$K$4:$L$51,2,FALSE),"")</f>
        <v/>
      </c>
    </row>
    <row r="3154" spans="5:15">
      <c r="E3154" s="605"/>
      <c r="I3154" s="607">
        <f>+IF(OR(E3154=100100,E3154=100200,E3154=110100,E3154=110102,E3154=110103,E3154=110104,E3154=110105,E3154=110200,E3154=110201,E3154=110202,E3154=110203,E3154=110204,E3154=110300),G3154,0)+IF(OR(E3154=100100,E3154=100200,E3154=110100,E3154=110102,E3154=110103,E3154=110104,E3154=110105,E3154=110200,E3154=110201,E3154=110202,E3154=110203,E3154=110204,E3154=110300),H3154*-1,0)</f>
        <v>0</v>
      </c>
      <c r="O3154" s="152" t="str">
        <f>IFERROR(VLOOKUP(N3154,DATA!$K$4:$L$51,2,FALSE),"")</f>
        <v/>
      </c>
    </row>
    <row r="3155" spans="5:15">
      <c r="E3155" s="605"/>
      <c r="I3155" s="607">
        <f t="shared" ref="I3155:I3165" si="241">+IF(OR(E3155=100100,E3155=100200,E3155=110100,E3155=110102,E3155=110103,E3155=110104,E3155=110105,E3155=110200,E3155=110201,E3155=110202,E3155=110203,E3155=110204,E3155=110300),G3155,0)+IF(OR(E3155=100100,E3155=100200,E3155=110100,E3155=110102,E3155=110103,E3155=110104,E3155=110105,E3155=110200,E3155=110201,E3155=110202,E3155=110203,E3155=110204,E3155=110300),H3155*-1,0)</f>
        <v>0</v>
      </c>
      <c r="O3155" s="152" t="str">
        <f>IFERROR(VLOOKUP(N3155,DATA!$K$4:$L$51,2,FALSE),"")</f>
        <v/>
      </c>
    </row>
    <row r="3156" spans="5:15">
      <c r="E3156" s="605"/>
      <c r="I3156" s="607">
        <f t="shared" si="241"/>
        <v>0</v>
      </c>
      <c r="O3156" s="152" t="str">
        <f>IFERROR(VLOOKUP(N3156,DATA!$K$4:$L$51,2,FALSE),"")</f>
        <v/>
      </c>
    </row>
    <row r="3157" spans="5:15">
      <c r="E3157" s="605"/>
      <c r="I3157" s="607">
        <f t="shared" si="241"/>
        <v>0</v>
      </c>
      <c r="O3157" s="152" t="str">
        <f>IFERROR(VLOOKUP(N3157,DATA!$K$4:$L$51,2,FALSE),"")</f>
        <v/>
      </c>
    </row>
    <row r="3158" spans="5:15">
      <c r="E3158" s="605"/>
      <c r="I3158" s="607">
        <f t="shared" si="241"/>
        <v>0</v>
      </c>
      <c r="O3158" s="152" t="str">
        <f>IFERROR(VLOOKUP(N3158,DATA!$K$4:$L$51,2,FALSE),"")</f>
        <v/>
      </c>
    </row>
    <row r="3159" spans="5:15">
      <c r="G3159" s="37"/>
      <c r="H3159" s="37"/>
      <c r="I3159" s="607">
        <f t="shared" si="241"/>
        <v>0</v>
      </c>
      <c r="O3159" s="152" t="str">
        <f>IFERROR(VLOOKUP(N3159,DATA!$K$4:$L$51,2,FALSE),"")</f>
        <v/>
      </c>
    </row>
    <row r="3160" spans="5:15">
      <c r="G3160" s="37"/>
      <c r="H3160" s="37"/>
      <c r="I3160" s="607">
        <f t="shared" si="241"/>
        <v>0</v>
      </c>
      <c r="O3160" s="152" t="str">
        <f>IFERROR(VLOOKUP(N3160,DATA!$K$4:$L$51,2,FALSE),"")</f>
        <v/>
      </c>
    </row>
    <row r="3161" spans="5:15">
      <c r="G3161" s="37"/>
      <c r="H3161" s="37"/>
      <c r="I3161" s="607">
        <f t="shared" si="241"/>
        <v>0</v>
      </c>
      <c r="O3161" s="152" t="str">
        <f>IFERROR(VLOOKUP(N3161,DATA!$K$4:$L$51,2,FALSE),"")</f>
        <v/>
      </c>
    </row>
    <row r="3162" spans="5:15">
      <c r="G3162" s="37"/>
      <c r="H3162" s="37"/>
      <c r="I3162" s="607">
        <f t="shared" si="241"/>
        <v>0</v>
      </c>
      <c r="O3162" s="152" t="str">
        <f>IFERROR(VLOOKUP(N3162,DATA!$K$4:$L$51,2,FALSE),"")</f>
        <v/>
      </c>
    </row>
    <row r="3163" spans="5:15">
      <c r="G3163" s="37"/>
      <c r="H3163" s="37"/>
      <c r="I3163" s="607">
        <f t="shared" si="241"/>
        <v>0</v>
      </c>
      <c r="O3163" s="152" t="str">
        <f>IFERROR(VLOOKUP(N3163,DATA!$K$4:$L$51,2,FALSE),"")</f>
        <v/>
      </c>
    </row>
    <row r="3164" spans="5:15">
      <c r="G3164" s="37"/>
      <c r="H3164" s="37"/>
      <c r="I3164" s="607">
        <f t="shared" si="241"/>
        <v>0</v>
      </c>
      <c r="O3164" s="152" t="str">
        <f>IFERROR(VLOOKUP(N3164,DATA!$K$4:$L$51,2,FALSE),"")</f>
        <v/>
      </c>
    </row>
    <row r="3165" spans="5:15">
      <c r="G3165" s="37"/>
      <c r="H3165" s="37"/>
      <c r="I3165" s="607">
        <f t="shared" si="241"/>
        <v>0</v>
      </c>
      <c r="O3165" s="152" t="str">
        <f>IFERROR(VLOOKUP(N3165,DATA!$K$4:$L$51,2,FALSE),"")</f>
        <v/>
      </c>
    </row>
    <row r="3166" spans="5:15">
      <c r="G3166" s="37"/>
      <c r="H3166" s="37"/>
      <c r="O3166" s="152" t="str">
        <f>IFERROR(VLOOKUP(N3166,DATA!$K$4:$L$51,2,FALSE),"")</f>
        <v/>
      </c>
    </row>
    <row r="3167" spans="5:15">
      <c r="O3167" s="152" t="str">
        <f>IFERROR(VLOOKUP(N3167,DATA!$K$4:$L$51,2,FALSE),"")</f>
        <v/>
      </c>
    </row>
    <row r="3168" spans="5:15">
      <c r="O3168" s="152" t="str">
        <f>IFERROR(VLOOKUP(N3168,DATA!$K$4:$L$51,2,FALSE),"")</f>
        <v/>
      </c>
    </row>
    <row r="3169" spans="15:15">
      <c r="O3169" s="152" t="str">
        <f>IFERROR(VLOOKUP(N3169,DATA!$K$4:$L$51,2,FALSE),"")</f>
        <v/>
      </c>
    </row>
    <row r="3170" spans="15:15">
      <c r="O3170" s="152" t="str">
        <f>IFERROR(VLOOKUP(N3170,DATA!$K$4:$L$51,2,FALSE),"")</f>
        <v/>
      </c>
    </row>
    <row r="3171" spans="15:15">
      <c r="O3171" s="152" t="str">
        <f>IFERROR(VLOOKUP(N3171,DATA!$K$4:$L$51,2,FALSE),"")</f>
        <v/>
      </c>
    </row>
    <row r="3172" spans="15:15">
      <c r="O3172" s="152" t="str">
        <f>IFERROR(VLOOKUP(N3172,DATA!$K$4:$L$51,2,FALSE),"")</f>
        <v/>
      </c>
    </row>
    <row r="3173" spans="15:15">
      <c r="O3173" s="152" t="str">
        <f>IFERROR(VLOOKUP(N3173,DATA!$K$4:$L$51,2,FALSE),"")</f>
        <v/>
      </c>
    </row>
    <row r="3174" spans="15:15">
      <c r="O3174" s="152" t="str">
        <f>IFERROR(VLOOKUP(N3174,DATA!$K$4:$L$51,2,FALSE),"")</f>
        <v/>
      </c>
    </row>
    <row r="3175" spans="15:15">
      <c r="O3175" s="152" t="str">
        <f>IFERROR(VLOOKUP(N3175,DATA!$K$4:$L$51,2,FALSE),"")</f>
        <v/>
      </c>
    </row>
    <row r="3176" spans="15:15">
      <c r="O3176" s="152" t="str">
        <f>IFERROR(VLOOKUP(N3176,DATA!$K$4:$L$51,2,FALSE),"")</f>
        <v/>
      </c>
    </row>
    <row r="3177" spans="15:15">
      <c r="O3177" s="152" t="str">
        <f>IFERROR(VLOOKUP(N3177,DATA!$K$4:$L$51,2,FALSE),"")</f>
        <v/>
      </c>
    </row>
    <row r="3178" spans="15:15">
      <c r="O3178" s="152" t="str">
        <f>IFERROR(VLOOKUP(N3178,DATA!$K$4:$L$51,2,FALSE),"")</f>
        <v/>
      </c>
    </row>
    <row r="3179" spans="15:15">
      <c r="O3179" s="152" t="str">
        <f>IFERROR(VLOOKUP(N3179,DATA!$K$4:$L$51,2,FALSE),"")</f>
        <v/>
      </c>
    </row>
    <row r="3180" spans="15:15">
      <c r="O3180" s="152" t="str">
        <f>IFERROR(VLOOKUP(N3180,DATA!$K$4:$L$51,2,FALSE),"")</f>
        <v/>
      </c>
    </row>
    <row r="3181" spans="15:15">
      <c r="O3181" s="152" t="str">
        <f>IFERROR(VLOOKUP(N3181,DATA!$K$4:$L$51,2,FALSE),"")</f>
        <v/>
      </c>
    </row>
    <row r="3182" spans="15:15">
      <c r="O3182" s="152" t="str">
        <f>IFERROR(VLOOKUP(N3182,DATA!$K$4:$L$51,2,FALSE),"")</f>
        <v/>
      </c>
    </row>
    <row r="3183" spans="15:15">
      <c r="O3183" s="152" t="str">
        <f>IFERROR(VLOOKUP(N3183,DATA!$K$4:$L$51,2,FALSE),"")</f>
        <v/>
      </c>
    </row>
    <row r="3184" spans="15:15">
      <c r="O3184" s="152" t="str">
        <f>IFERROR(VLOOKUP(N3184,DATA!$K$4:$L$51,2,FALSE),"")</f>
        <v/>
      </c>
    </row>
    <row r="3185" spans="15:15">
      <c r="O3185" s="152" t="str">
        <f>IFERROR(VLOOKUP(N3185,DATA!$K$4:$L$51,2,FALSE),"")</f>
        <v/>
      </c>
    </row>
    <row r="3186" spans="15:15">
      <c r="O3186" s="152" t="str">
        <f>IFERROR(VLOOKUP(N3186,DATA!$K$4:$L$51,2,FALSE),"")</f>
        <v/>
      </c>
    </row>
    <row r="3187" spans="15:15">
      <c r="O3187" s="152" t="str">
        <f>IFERROR(VLOOKUP(N3187,DATA!$K$4:$L$51,2,FALSE),"")</f>
        <v/>
      </c>
    </row>
    <row r="3188" spans="15:15">
      <c r="O3188" s="152" t="str">
        <f>IFERROR(VLOOKUP(N3188,DATA!$K$4:$L$51,2,FALSE),"")</f>
        <v/>
      </c>
    </row>
    <row r="3189" spans="15:15">
      <c r="O3189" s="152" t="str">
        <f>IFERROR(VLOOKUP(N3189,DATA!$K$4:$L$51,2,FALSE),"")</f>
        <v/>
      </c>
    </row>
    <row r="3190" spans="15:15">
      <c r="O3190" s="152" t="str">
        <f>IFERROR(VLOOKUP(N3190,DATA!$K$4:$L$51,2,FALSE),"")</f>
        <v/>
      </c>
    </row>
    <row r="3191" spans="15:15">
      <c r="O3191" s="152" t="str">
        <f>IFERROR(VLOOKUP(N3191,DATA!$K$4:$L$51,2,FALSE),"")</f>
        <v/>
      </c>
    </row>
    <row r="3192" spans="15:15">
      <c r="O3192" s="152" t="str">
        <f>IFERROR(VLOOKUP(N3192,DATA!$K$4:$L$51,2,FALSE),"")</f>
        <v/>
      </c>
    </row>
    <row r="3193" spans="15:15">
      <c r="O3193" s="152" t="str">
        <f>IFERROR(VLOOKUP(N3193,DATA!$K$4:$L$51,2,FALSE),"")</f>
        <v/>
      </c>
    </row>
    <row r="3194" spans="15:15">
      <c r="O3194" s="152" t="str">
        <f>IFERROR(VLOOKUP(N3194,DATA!$K$4:$L$51,2,FALSE),"")</f>
        <v/>
      </c>
    </row>
    <row r="3195" spans="15:15">
      <c r="O3195" s="152" t="str">
        <f>IFERROR(VLOOKUP(N3195,DATA!$K$4:$L$51,2,FALSE),"")</f>
        <v/>
      </c>
    </row>
    <row r="3196" spans="15:15">
      <c r="O3196" s="152" t="str">
        <f>IFERROR(VLOOKUP(N3196,DATA!$K$4:$L$51,2,FALSE),"")</f>
        <v/>
      </c>
    </row>
    <row r="3197" spans="15:15">
      <c r="O3197" s="152" t="str">
        <f>IFERROR(VLOOKUP(N3197,DATA!$K$4:$L$51,2,FALSE),"")</f>
        <v/>
      </c>
    </row>
    <row r="3198" spans="15:15">
      <c r="O3198" s="152" t="str">
        <f>IFERROR(VLOOKUP(N3198,DATA!$K$4:$L$51,2,FALSE),"")</f>
        <v/>
      </c>
    </row>
    <row r="3199" spans="15:15">
      <c r="O3199" s="152" t="str">
        <f>IFERROR(VLOOKUP(N3199,DATA!$K$4:$L$51,2,FALSE),"")</f>
        <v/>
      </c>
    </row>
    <row r="3200" spans="15:15">
      <c r="O3200" s="152" t="str">
        <f>IFERROR(VLOOKUP(N3200,DATA!$K$4:$L$51,2,FALSE),"")</f>
        <v/>
      </c>
    </row>
    <row r="3201" spans="15:15">
      <c r="O3201" s="152" t="str">
        <f>IFERROR(VLOOKUP(N3201,DATA!$K$4:$L$51,2,FALSE),"")</f>
        <v/>
      </c>
    </row>
    <row r="3202" spans="15:15">
      <c r="O3202" s="152" t="str">
        <f>IFERROR(VLOOKUP(N3202,DATA!$K$4:$L$51,2,FALSE),"")</f>
        <v/>
      </c>
    </row>
    <row r="3203" spans="15:15">
      <c r="O3203" s="152" t="str">
        <f>IFERROR(VLOOKUP(N3203,DATA!$K$4:$L$51,2,FALSE),"")</f>
        <v/>
      </c>
    </row>
    <row r="3204" spans="15:15">
      <c r="O3204" s="152" t="str">
        <f>IFERROR(VLOOKUP(N3204,DATA!$K$4:$L$51,2,FALSE),"")</f>
        <v/>
      </c>
    </row>
    <row r="3205" spans="15:15">
      <c r="O3205" s="152" t="str">
        <f>IFERROR(VLOOKUP(N3205,DATA!$K$4:$L$51,2,FALSE),"")</f>
        <v/>
      </c>
    </row>
    <row r="3206" spans="15:15">
      <c r="O3206" s="152" t="str">
        <f>IFERROR(VLOOKUP(N3206,DATA!$K$4:$L$51,2,FALSE),"")</f>
        <v/>
      </c>
    </row>
    <row r="3207" spans="15:15">
      <c r="O3207" s="152" t="str">
        <f>IFERROR(VLOOKUP(N3207,DATA!$K$4:$L$51,2,FALSE),"")</f>
        <v/>
      </c>
    </row>
    <row r="3208" spans="15:15">
      <c r="O3208" s="152" t="str">
        <f>IFERROR(VLOOKUP(N3208,DATA!$K$4:$L$51,2,FALSE),"")</f>
        <v/>
      </c>
    </row>
    <row r="3209" spans="15:15">
      <c r="O3209" s="152" t="str">
        <f>IFERROR(VLOOKUP(N3209,DATA!$K$4:$L$51,2,FALSE),"")</f>
        <v/>
      </c>
    </row>
    <row r="3210" spans="15:15">
      <c r="O3210" s="152" t="str">
        <f>IFERROR(VLOOKUP(N3210,DATA!$K$4:$L$51,2,FALSE),"")</f>
        <v/>
      </c>
    </row>
    <row r="3211" spans="15:15">
      <c r="O3211" s="152" t="str">
        <f>IFERROR(VLOOKUP(N3211,DATA!$K$4:$L$51,2,FALSE),"")</f>
        <v/>
      </c>
    </row>
    <row r="3212" spans="15:15">
      <c r="O3212" s="152" t="str">
        <f>IFERROR(VLOOKUP(N3212,DATA!$K$4:$L$51,2,FALSE),"")</f>
        <v/>
      </c>
    </row>
    <row r="3213" spans="15:15">
      <c r="O3213" s="152" t="str">
        <f>IFERROR(VLOOKUP(N3213,DATA!$K$4:$L$51,2,FALSE),"")</f>
        <v/>
      </c>
    </row>
    <row r="3214" spans="15:15">
      <c r="O3214" s="152" t="str">
        <f>IFERROR(VLOOKUP(N3214,DATA!$K$4:$L$51,2,FALSE),"")</f>
        <v/>
      </c>
    </row>
    <row r="3215" spans="15:15">
      <c r="O3215" s="152" t="str">
        <f>IFERROR(VLOOKUP(N3215,DATA!$K$4:$L$51,2,FALSE),"")</f>
        <v/>
      </c>
    </row>
    <row r="3216" spans="15:15">
      <c r="O3216" s="152" t="str">
        <f>IFERROR(VLOOKUP(N3216,DATA!$K$4:$L$51,2,FALSE),"")</f>
        <v/>
      </c>
    </row>
    <row r="3217" spans="15:15">
      <c r="O3217" s="152" t="str">
        <f>IFERROR(VLOOKUP(N3217,DATA!$K$4:$L$51,2,FALSE),"")</f>
        <v/>
      </c>
    </row>
    <row r="3218" spans="15:15">
      <c r="O3218" s="152" t="str">
        <f>IFERROR(VLOOKUP(N3218,DATA!$K$4:$L$51,2,FALSE),"")</f>
        <v/>
      </c>
    </row>
    <row r="3219" spans="15:15">
      <c r="O3219" s="152" t="str">
        <f>IFERROR(VLOOKUP(N3219,DATA!$K$4:$L$51,2,FALSE),"")</f>
        <v/>
      </c>
    </row>
    <row r="3220" spans="15:15">
      <c r="O3220" s="152" t="str">
        <f>IFERROR(VLOOKUP(N3220,DATA!$K$4:$L$51,2,FALSE),"")</f>
        <v/>
      </c>
    </row>
    <row r="3221" spans="15:15">
      <c r="O3221" s="152" t="str">
        <f>IFERROR(VLOOKUP(N3221,DATA!$K$4:$L$51,2,FALSE),"")</f>
        <v/>
      </c>
    </row>
    <row r="3222" spans="15:15">
      <c r="O3222" s="152" t="str">
        <f>IFERROR(VLOOKUP(N3222,DATA!$K$4:$L$51,2,FALSE),"")</f>
        <v/>
      </c>
    </row>
    <row r="3223" spans="15:15">
      <c r="O3223" s="152" t="str">
        <f>IFERROR(VLOOKUP(N3223,DATA!$K$4:$L$51,2,FALSE),"")</f>
        <v/>
      </c>
    </row>
    <row r="3224" spans="15:15">
      <c r="O3224" s="152" t="str">
        <f>IFERROR(VLOOKUP(N3224,DATA!$K$4:$L$51,2,FALSE),"")</f>
        <v/>
      </c>
    </row>
    <row r="3225" spans="15:15">
      <c r="O3225" s="152" t="str">
        <f>IFERROR(VLOOKUP(N3225,DATA!$K$4:$L$51,2,FALSE),"")</f>
        <v/>
      </c>
    </row>
    <row r="3226" spans="15:15">
      <c r="O3226" s="152" t="str">
        <f>IFERROR(VLOOKUP(N3226,DATA!$K$4:$L$51,2,FALSE),"")</f>
        <v/>
      </c>
    </row>
    <row r="3227" spans="15:15">
      <c r="O3227" s="152" t="str">
        <f>IFERROR(VLOOKUP(N3227,DATA!$K$4:$L$51,2,FALSE),"")</f>
        <v/>
      </c>
    </row>
    <row r="3228" spans="15:15">
      <c r="O3228" s="152" t="str">
        <f>IFERROR(VLOOKUP(N3228,DATA!$K$4:$L$51,2,FALSE),"")</f>
        <v/>
      </c>
    </row>
    <row r="3229" spans="15:15">
      <c r="O3229" s="152" t="str">
        <f>IFERROR(VLOOKUP(N3229,DATA!$K$4:$L$51,2,FALSE),"")</f>
        <v/>
      </c>
    </row>
    <row r="3230" spans="15:15">
      <c r="O3230" s="152" t="str">
        <f>IFERROR(VLOOKUP(N3230,DATA!$K$4:$L$51,2,FALSE),"")</f>
        <v/>
      </c>
    </row>
    <row r="3231" spans="15:15">
      <c r="O3231" s="152" t="str">
        <f>IFERROR(VLOOKUP(N3231,DATA!$K$4:$L$51,2,FALSE),"")</f>
        <v/>
      </c>
    </row>
    <row r="3232" spans="15:15">
      <c r="O3232" s="152" t="str">
        <f>IFERROR(VLOOKUP(N3232,DATA!$K$4:$L$51,2,FALSE),"")</f>
        <v/>
      </c>
    </row>
    <row r="3233" spans="15:15">
      <c r="O3233" s="152" t="str">
        <f>IFERROR(VLOOKUP(N3233,DATA!$K$4:$L$51,2,FALSE),"")</f>
        <v/>
      </c>
    </row>
    <row r="3234" spans="15:15">
      <c r="O3234" s="152" t="str">
        <f>IFERROR(VLOOKUP(N3234,DATA!$K$4:$L$51,2,FALSE),"")</f>
        <v/>
      </c>
    </row>
    <row r="3235" spans="15:15">
      <c r="O3235" s="152" t="str">
        <f>IFERROR(VLOOKUP(N3235,DATA!$K$4:$L$51,2,FALSE),"")</f>
        <v/>
      </c>
    </row>
    <row r="3236" spans="15:15">
      <c r="O3236" s="152" t="str">
        <f>IFERROR(VLOOKUP(N3236,DATA!$K$4:$L$51,2,FALSE),"")</f>
        <v/>
      </c>
    </row>
    <row r="3237" spans="15:15">
      <c r="O3237" s="152" t="str">
        <f>IFERROR(VLOOKUP(N3237,DATA!$K$4:$L$51,2,FALSE),"")</f>
        <v/>
      </c>
    </row>
    <row r="3238" spans="15:15">
      <c r="O3238" s="152" t="str">
        <f>IFERROR(VLOOKUP(N3238,DATA!$K$4:$L$51,2,FALSE),"")</f>
        <v/>
      </c>
    </row>
    <row r="3239" spans="15:15">
      <c r="O3239" s="152" t="str">
        <f>IFERROR(VLOOKUP(N3239,DATA!$K$4:$L$51,2,FALSE),"")</f>
        <v/>
      </c>
    </row>
    <row r="3240" spans="15:15">
      <c r="O3240" s="152" t="str">
        <f>IFERROR(VLOOKUP(N3240,DATA!$K$4:$L$51,2,FALSE),"")</f>
        <v/>
      </c>
    </row>
    <row r="3241" spans="15:15">
      <c r="O3241" s="152" t="str">
        <f>IFERROR(VLOOKUP(N3241,DATA!$K$4:$L$51,2,FALSE),"")</f>
        <v/>
      </c>
    </row>
    <row r="3242" spans="15:15">
      <c r="O3242" s="152" t="str">
        <f>IFERROR(VLOOKUP(N3242,DATA!$K$4:$L$51,2,FALSE),"")</f>
        <v/>
      </c>
    </row>
    <row r="3243" spans="15:15">
      <c r="O3243" s="152" t="str">
        <f>IFERROR(VLOOKUP(N3243,DATA!$K$4:$L$51,2,FALSE),"")</f>
        <v/>
      </c>
    </row>
    <row r="3244" spans="15:15">
      <c r="O3244" s="152" t="str">
        <f>IFERROR(VLOOKUP(N3244,DATA!$K$4:$L$51,2,FALSE),"")</f>
        <v/>
      </c>
    </row>
    <row r="3245" spans="15:15">
      <c r="O3245" s="152" t="str">
        <f>IFERROR(VLOOKUP(N3245,DATA!$K$4:$L$51,2,FALSE),"")</f>
        <v/>
      </c>
    </row>
    <row r="3246" spans="15:15">
      <c r="O3246" s="152" t="str">
        <f>IFERROR(VLOOKUP(N3246,DATA!$K$4:$L$51,2,FALSE),"")</f>
        <v/>
      </c>
    </row>
    <row r="3247" spans="15:15">
      <c r="O3247" s="152" t="str">
        <f>IFERROR(VLOOKUP(N3247,DATA!$K$4:$L$51,2,FALSE),"")</f>
        <v/>
      </c>
    </row>
    <row r="3248" spans="15:15">
      <c r="O3248" s="152" t="str">
        <f>IFERROR(VLOOKUP(N3248,DATA!$K$4:$L$51,2,FALSE),"")</f>
        <v/>
      </c>
    </row>
    <row r="3249" spans="15:15">
      <c r="O3249" s="152" t="str">
        <f>IFERROR(VLOOKUP(N3249,DATA!$K$4:$L$51,2,FALSE),"")</f>
        <v/>
      </c>
    </row>
    <row r="3250" spans="15:15">
      <c r="O3250" s="152" t="str">
        <f>IFERROR(VLOOKUP(N3250,DATA!$K$4:$L$51,2,FALSE),"")</f>
        <v/>
      </c>
    </row>
    <row r="3251" spans="15:15">
      <c r="O3251" s="152" t="str">
        <f>IFERROR(VLOOKUP(N3251,DATA!$K$4:$L$51,2,FALSE),"")</f>
        <v/>
      </c>
    </row>
    <row r="3252" spans="15:15">
      <c r="O3252" s="152" t="str">
        <f>IFERROR(VLOOKUP(N3252,DATA!$K$4:$L$51,2,FALSE),"")</f>
        <v/>
      </c>
    </row>
    <row r="3253" spans="15:15">
      <c r="O3253" s="152" t="str">
        <f>IFERROR(VLOOKUP(N3253,DATA!$K$4:$L$51,2,FALSE),"")</f>
        <v/>
      </c>
    </row>
    <row r="3254" spans="15:15">
      <c r="O3254" s="152" t="str">
        <f>IFERROR(VLOOKUP(N3254,DATA!$K$4:$L$51,2,FALSE),"")</f>
        <v/>
      </c>
    </row>
    <row r="3255" spans="15:15">
      <c r="O3255" s="152" t="str">
        <f>IFERROR(VLOOKUP(N3255,DATA!$K$4:$L$51,2,FALSE),"")</f>
        <v/>
      </c>
    </row>
    <row r="3256" spans="15:15">
      <c r="O3256" s="152" t="str">
        <f>IFERROR(VLOOKUP(N3256,DATA!$K$4:$L$51,2,FALSE),"")</f>
        <v/>
      </c>
    </row>
    <row r="3257" spans="15:15">
      <c r="O3257" s="152" t="str">
        <f>IFERROR(VLOOKUP(N3257,DATA!$K$4:$L$51,2,FALSE),"")</f>
        <v/>
      </c>
    </row>
    <row r="3258" spans="15:15">
      <c r="O3258" s="152" t="str">
        <f>IFERROR(VLOOKUP(N3258,DATA!$K$4:$L$51,2,FALSE),"")</f>
        <v/>
      </c>
    </row>
    <row r="3259" spans="15:15">
      <c r="O3259" s="152" t="str">
        <f>IFERROR(VLOOKUP(N3259,DATA!$K$4:$L$51,2,FALSE),"")</f>
        <v/>
      </c>
    </row>
    <row r="3260" spans="15:15">
      <c r="O3260" s="152" t="str">
        <f>IFERROR(VLOOKUP(N3260,DATA!$K$4:$L$51,2,FALSE),"")</f>
        <v/>
      </c>
    </row>
    <row r="3261" spans="15:15">
      <c r="O3261" s="152" t="str">
        <f>IFERROR(VLOOKUP(N3261,DATA!$K$4:$L$51,2,FALSE),"")</f>
        <v/>
      </c>
    </row>
    <row r="3262" spans="15:15">
      <c r="O3262" s="152" t="str">
        <f>IFERROR(VLOOKUP(N3262,DATA!$K$4:$L$51,2,FALSE),"")</f>
        <v/>
      </c>
    </row>
    <row r="3263" spans="15:15">
      <c r="O3263" s="152" t="str">
        <f>IFERROR(VLOOKUP(N3263,DATA!$K$4:$L$51,2,FALSE),"")</f>
        <v/>
      </c>
    </row>
    <row r="3264" spans="15:15">
      <c r="O3264" s="152" t="str">
        <f>IFERROR(VLOOKUP(N3264,DATA!$K$4:$L$51,2,FALSE),"")</f>
        <v/>
      </c>
    </row>
    <row r="3265" spans="15:15">
      <c r="O3265" s="152" t="str">
        <f>IFERROR(VLOOKUP(N3265,DATA!$K$4:$L$51,2,FALSE),"")</f>
        <v/>
      </c>
    </row>
    <row r="3266" spans="15:15">
      <c r="O3266" s="152" t="str">
        <f>IFERROR(VLOOKUP(N3266,DATA!$K$4:$L$51,2,FALSE),"")</f>
        <v/>
      </c>
    </row>
    <row r="3267" spans="15:15">
      <c r="O3267" s="152" t="str">
        <f>IFERROR(VLOOKUP(N3267,DATA!$K$4:$L$51,2,FALSE),"")</f>
        <v/>
      </c>
    </row>
    <row r="3268" spans="15:15">
      <c r="O3268" s="152" t="str">
        <f>IFERROR(VLOOKUP(N3268,DATA!$K$4:$L$51,2,FALSE),"")</f>
        <v/>
      </c>
    </row>
    <row r="3269" spans="15:15">
      <c r="O3269" s="152" t="str">
        <f>IFERROR(VLOOKUP(N3269,DATA!$K$4:$L$51,2,FALSE),"")</f>
        <v/>
      </c>
    </row>
    <row r="3270" spans="15:15">
      <c r="O3270" s="152" t="str">
        <f>IFERROR(VLOOKUP(N3270,DATA!$K$4:$L$51,2,FALSE),"")</f>
        <v/>
      </c>
    </row>
    <row r="3271" spans="15:15">
      <c r="O3271" s="152" t="str">
        <f>IFERROR(VLOOKUP(N3271,DATA!$K$4:$L$51,2,FALSE),"")</f>
        <v/>
      </c>
    </row>
    <row r="3272" spans="15:15">
      <c r="O3272" s="152" t="str">
        <f>IFERROR(VLOOKUP(N3272,DATA!$K$4:$L$51,2,FALSE),"")</f>
        <v/>
      </c>
    </row>
    <row r="3273" spans="15:15">
      <c r="O3273" s="152" t="str">
        <f>IFERROR(VLOOKUP(N3273,DATA!$K$4:$L$51,2,FALSE),"")</f>
        <v/>
      </c>
    </row>
    <row r="3274" spans="15:15">
      <c r="O3274" s="152" t="str">
        <f>IFERROR(VLOOKUP(N3274,DATA!$K$4:$L$51,2,FALSE),"")</f>
        <v/>
      </c>
    </row>
  </sheetData>
  <sheetProtection password="C6BD" sheet="1" objects="1" scenarios="1"/>
  <autoFilter ref="A5:Q3165"/>
  <sortState ref="C6:O2537">
    <sortCondition ref="C6"/>
  </sortState>
  <conditionalFormatting sqref="I3151:I3154 F2181:F3150 I2005:J2092 I2141:J2142 F2005:F2172">
    <cfRule type="expression" dxfId="267" priority="2104">
      <formula>$A2005&lt;&gt;""</formula>
    </cfRule>
  </conditionalFormatting>
  <conditionalFormatting sqref="I3151:I3154 N2014 N2016:N2025 N2027:N2029 N2031:N2039 N2041:N2044 N2046:N2049 N2051:N2053 N2005:N2012 M2222:O2223 M2224:N2225 F2181:F3150 I2005:J2092 M2141:O2142 I2141:J2142 B2005:B2571 O2005:O17633 M2005:M2600 N2055:N17633 F2005:F2172">
    <cfRule type="expression" dxfId="266" priority="2100">
      <formula>$B2005&lt;&gt;""</formula>
    </cfRule>
  </conditionalFormatting>
  <conditionalFormatting sqref="I3151:I3154 N2014 N2016:N2025 N2027:N2029 N2031:N2039 N2041:N2044 N2046:N2049 N2051:N2053 N2005:N2012 E2119:E2120 B2142:D2142 C2153:D2153 C2164:E2166 D2005:E2114 D2171:E2172 C2181:D2186 C2206:D2206 L2222:O2223 L2224:N2225 E2181:E2209 C2272:D2272 C2277:D2277 C2283:D2283 D2493:E2506 F2242:F3150 O2226:O3274 E2211:E3025 D2181:D3025 L2479:L3025 F2181:H3025 D2019:L2020 D2141:O2142 E2124:E2166 D2119:D2166 O2005:P3025 L2005:L2453 I2005:K3025 M2005:M3025 N2055:N3025 F2005:H2172 B2005:C3025">
    <cfRule type="expression" dxfId="265" priority="2099">
      <formula>$C2005&lt;&gt;""</formula>
    </cfRule>
  </conditionalFormatting>
  <conditionalFormatting sqref="J1:K1">
    <cfRule type="expression" dxfId="264" priority="2242">
      <formula>#REF!&lt;&gt;""</formula>
    </cfRule>
  </conditionalFormatting>
  <conditionalFormatting sqref="I3155:I3165">
    <cfRule type="expression" dxfId="263" priority="159">
      <formula>$A3155&lt;&gt;""</formula>
    </cfRule>
  </conditionalFormatting>
  <conditionalFormatting sqref="I3155:I3165">
    <cfRule type="expression" dxfId="262" priority="158">
      <formula>$B3155&lt;&gt;""</formula>
    </cfRule>
  </conditionalFormatting>
  <conditionalFormatting sqref="I3155:I3165">
    <cfRule type="expression" dxfId="261" priority="157">
      <formula>$C3155&lt;&gt;""</formula>
    </cfRule>
  </conditionalFormatting>
  <conditionalFormatting sqref="E101:E105">
    <cfRule type="expression" dxfId="260" priority="112" stopIfTrue="1">
      <formula>$C101&lt;&gt;""</formula>
    </cfRule>
  </conditionalFormatting>
  <conditionalFormatting sqref="E101:E105">
    <cfRule type="expression" dxfId="259" priority="111" stopIfTrue="1">
      <formula>$B101&lt;&gt;""</formula>
    </cfRule>
  </conditionalFormatting>
  <conditionalFormatting sqref="E126:E130">
    <cfRule type="expression" dxfId="258" priority="110" stopIfTrue="1">
      <formula>$C126&lt;&gt;""</formula>
    </cfRule>
  </conditionalFormatting>
  <conditionalFormatting sqref="E126:E130">
    <cfRule type="expression" dxfId="257" priority="109" stopIfTrue="1">
      <formula>$B126&lt;&gt;""</formula>
    </cfRule>
  </conditionalFormatting>
  <conditionalFormatting sqref="E116:E120">
    <cfRule type="expression" dxfId="256" priority="108" stopIfTrue="1">
      <formula>$C116&lt;&gt;""</formula>
    </cfRule>
  </conditionalFormatting>
  <conditionalFormatting sqref="E116:E120">
    <cfRule type="expression" dxfId="255" priority="107" stopIfTrue="1">
      <formula>$B116&lt;&gt;""</formula>
    </cfRule>
  </conditionalFormatting>
  <conditionalFormatting sqref="E141:E145">
    <cfRule type="expression" dxfId="254" priority="106" stopIfTrue="1">
      <formula>$C141&lt;&gt;""</formula>
    </cfRule>
  </conditionalFormatting>
  <conditionalFormatting sqref="E141:E145">
    <cfRule type="expression" dxfId="253" priority="105" stopIfTrue="1">
      <formula>$B141&lt;&gt;""</formula>
    </cfRule>
  </conditionalFormatting>
  <conditionalFormatting sqref="E136:E140">
    <cfRule type="expression" dxfId="252" priority="104" stopIfTrue="1">
      <formula>$C136&lt;&gt;""</formula>
    </cfRule>
  </conditionalFormatting>
  <conditionalFormatting sqref="E136:E140">
    <cfRule type="expression" dxfId="251" priority="103" stopIfTrue="1">
      <formula>$B136&lt;&gt;""</formula>
    </cfRule>
  </conditionalFormatting>
  <conditionalFormatting sqref="E121:E125">
    <cfRule type="expression" dxfId="250" priority="102" stopIfTrue="1">
      <formula>$C121&lt;&gt;""</formula>
    </cfRule>
  </conditionalFormatting>
  <conditionalFormatting sqref="E121:E125">
    <cfRule type="expression" dxfId="249" priority="101" stopIfTrue="1">
      <formula>$B121&lt;&gt;""</formula>
    </cfRule>
  </conditionalFormatting>
  <conditionalFormatting sqref="E131:E135">
    <cfRule type="expression" dxfId="248" priority="100" stopIfTrue="1">
      <formula>$C131&lt;&gt;""</formula>
    </cfRule>
  </conditionalFormatting>
  <conditionalFormatting sqref="E131:E135">
    <cfRule type="expression" dxfId="247" priority="99" stopIfTrue="1">
      <formula>$B131&lt;&gt;""</formula>
    </cfRule>
  </conditionalFormatting>
  <conditionalFormatting sqref="E66:E70">
    <cfRule type="expression" dxfId="246" priority="98" stopIfTrue="1">
      <formula>$C66&lt;&gt;""</formula>
    </cfRule>
  </conditionalFormatting>
  <conditionalFormatting sqref="E66:E70">
    <cfRule type="expression" dxfId="245" priority="97" stopIfTrue="1">
      <formula>$B66&lt;&gt;""</formula>
    </cfRule>
  </conditionalFormatting>
  <conditionalFormatting sqref="E71:E75">
    <cfRule type="expression" dxfId="244" priority="96" stopIfTrue="1">
      <formula>$C71&lt;&gt;""</formula>
    </cfRule>
  </conditionalFormatting>
  <conditionalFormatting sqref="E71:E75">
    <cfRule type="expression" dxfId="243" priority="95" stopIfTrue="1">
      <formula>$B71&lt;&gt;""</formula>
    </cfRule>
  </conditionalFormatting>
  <conditionalFormatting sqref="E76:E80">
    <cfRule type="expression" dxfId="242" priority="94" stopIfTrue="1">
      <formula>$B76&lt;&gt;""</formula>
    </cfRule>
  </conditionalFormatting>
  <conditionalFormatting sqref="E76:E80">
    <cfRule type="expression" dxfId="241" priority="93" stopIfTrue="1">
      <formula>$C76&lt;&gt;""</formula>
    </cfRule>
  </conditionalFormatting>
  <conditionalFormatting sqref="E81:E85">
    <cfRule type="expression" dxfId="240" priority="92" stopIfTrue="1">
      <formula>$B81&lt;&gt;""</formula>
    </cfRule>
  </conditionalFormatting>
  <conditionalFormatting sqref="E81:E85">
    <cfRule type="expression" dxfId="239" priority="91" stopIfTrue="1">
      <formula>$C81&lt;&gt;""</formula>
    </cfRule>
  </conditionalFormatting>
  <conditionalFormatting sqref="E86:E90">
    <cfRule type="expression" dxfId="238" priority="90" stopIfTrue="1">
      <formula>$B86&lt;&gt;""</formula>
    </cfRule>
  </conditionalFormatting>
  <conditionalFormatting sqref="E86:E90">
    <cfRule type="expression" dxfId="237" priority="89" stopIfTrue="1">
      <formula>$C86&lt;&gt;""</formula>
    </cfRule>
  </conditionalFormatting>
  <conditionalFormatting sqref="E91:E95">
    <cfRule type="expression" dxfId="236" priority="88" stopIfTrue="1">
      <formula>$B91&lt;&gt;""</formula>
    </cfRule>
  </conditionalFormatting>
  <conditionalFormatting sqref="E91:E95">
    <cfRule type="expression" dxfId="235" priority="87" stopIfTrue="1">
      <formula>$C91&lt;&gt;""</formula>
    </cfRule>
  </conditionalFormatting>
  <conditionalFormatting sqref="E96:E100">
    <cfRule type="expression" dxfId="234" priority="86" stopIfTrue="1">
      <formula>$B96&lt;&gt;""</formula>
    </cfRule>
  </conditionalFormatting>
  <conditionalFormatting sqref="E96:E100">
    <cfRule type="expression" dxfId="233" priority="85" stopIfTrue="1">
      <formula>$C96&lt;&gt;""</formula>
    </cfRule>
  </conditionalFormatting>
  <conditionalFormatting sqref="E106:E110">
    <cfRule type="expression" dxfId="232" priority="84" stopIfTrue="1">
      <formula>$C106&lt;&gt;""</formula>
    </cfRule>
  </conditionalFormatting>
  <conditionalFormatting sqref="E106:E110">
    <cfRule type="expression" dxfId="231" priority="83" stopIfTrue="1">
      <formula>$B106&lt;&gt;""</formula>
    </cfRule>
  </conditionalFormatting>
  <conditionalFormatting sqref="E111:E115">
    <cfRule type="expression" dxfId="230" priority="82" stopIfTrue="1">
      <formula>$C111&lt;&gt;""</formula>
    </cfRule>
  </conditionalFormatting>
  <conditionalFormatting sqref="E111:E115">
    <cfRule type="expression" dxfId="229" priority="81" stopIfTrue="1">
      <formula>$B111&lt;&gt;""</formula>
    </cfRule>
  </conditionalFormatting>
  <conditionalFormatting sqref="E146:E150">
    <cfRule type="expression" dxfId="228" priority="80" stopIfTrue="1">
      <formula>$C146&lt;&gt;""</formula>
    </cfRule>
  </conditionalFormatting>
  <conditionalFormatting sqref="E146:E150">
    <cfRule type="expression" dxfId="227" priority="79" stopIfTrue="1">
      <formula>$B146&lt;&gt;""</formula>
    </cfRule>
  </conditionalFormatting>
  <conditionalFormatting sqref="E151:E155">
    <cfRule type="expression" dxfId="226" priority="78" stopIfTrue="1">
      <formula>$C151&lt;&gt;""</formula>
    </cfRule>
  </conditionalFormatting>
  <conditionalFormatting sqref="E151:E155">
    <cfRule type="expression" dxfId="225" priority="77" stopIfTrue="1">
      <formula>$B151&lt;&gt;""</formula>
    </cfRule>
  </conditionalFormatting>
  <conditionalFormatting sqref="E156:E160">
    <cfRule type="expression" dxfId="224" priority="76" stopIfTrue="1">
      <formula>$B156&lt;&gt;""</formula>
    </cfRule>
  </conditionalFormatting>
  <conditionalFormatting sqref="E156:E160">
    <cfRule type="expression" dxfId="223" priority="75" stopIfTrue="1">
      <formula>$C156&lt;&gt;""</formula>
    </cfRule>
  </conditionalFormatting>
  <conditionalFormatting sqref="E161:E165">
    <cfRule type="expression" dxfId="222" priority="74" stopIfTrue="1">
      <formula>$B161&lt;&gt;""</formula>
    </cfRule>
  </conditionalFormatting>
  <conditionalFormatting sqref="E161:E165">
    <cfRule type="expression" dxfId="221" priority="73" stopIfTrue="1">
      <formula>$C161&lt;&gt;""</formula>
    </cfRule>
  </conditionalFormatting>
  <conditionalFormatting sqref="E166:E170">
    <cfRule type="expression" dxfId="220" priority="72" stopIfTrue="1">
      <formula>$B166&lt;&gt;""</formula>
    </cfRule>
  </conditionalFormatting>
  <conditionalFormatting sqref="E166:E170">
    <cfRule type="expression" dxfId="219" priority="71" stopIfTrue="1">
      <formula>$C166&lt;&gt;""</formula>
    </cfRule>
  </conditionalFormatting>
  <conditionalFormatting sqref="E171:E175">
    <cfRule type="expression" dxfId="218" priority="70" stopIfTrue="1">
      <formula>$B171&lt;&gt;""</formula>
    </cfRule>
  </conditionalFormatting>
  <conditionalFormatting sqref="E171:E175">
    <cfRule type="expression" dxfId="217" priority="69" stopIfTrue="1">
      <formula>$C171&lt;&gt;""</formula>
    </cfRule>
  </conditionalFormatting>
  <conditionalFormatting sqref="E176:E180">
    <cfRule type="expression" dxfId="216" priority="68" stopIfTrue="1">
      <formula>$C176&lt;&gt;""</formula>
    </cfRule>
  </conditionalFormatting>
  <conditionalFormatting sqref="E176:E180">
    <cfRule type="expression" dxfId="215" priority="67" stopIfTrue="1">
      <formula>$B176&lt;&gt;""</formula>
    </cfRule>
  </conditionalFormatting>
  <conditionalFormatting sqref="E181:E185">
    <cfRule type="expression" dxfId="214" priority="66" stopIfTrue="1">
      <formula>$C181&lt;&gt;""</formula>
    </cfRule>
  </conditionalFormatting>
  <conditionalFormatting sqref="E181:E185">
    <cfRule type="expression" dxfId="213" priority="65" stopIfTrue="1">
      <formula>$B181&lt;&gt;""</formula>
    </cfRule>
  </conditionalFormatting>
  <conditionalFormatting sqref="E186:E190">
    <cfRule type="expression" dxfId="212" priority="64" stopIfTrue="1">
      <formula>$B186&lt;&gt;""</formula>
    </cfRule>
  </conditionalFormatting>
  <conditionalFormatting sqref="E186:E190">
    <cfRule type="expression" dxfId="211" priority="63" stopIfTrue="1">
      <formula>$C186&lt;&gt;""</formula>
    </cfRule>
  </conditionalFormatting>
  <conditionalFormatting sqref="E191:E195">
    <cfRule type="expression" dxfId="210" priority="62" stopIfTrue="1">
      <formula>$B191&lt;&gt;""</formula>
    </cfRule>
  </conditionalFormatting>
  <conditionalFormatting sqref="E191:E195">
    <cfRule type="expression" dxfId="209" priority="61" stopIfTrue="1">
      <formula>$C191&lt;&gt;""</formula>
    </cfRule>
  </conditionalFormatting>
  <conditionalFormatting sqref="E196:E200">
    <cfRule type="expression" dxfId="208" priority="60" stopIfTrue="1">
      <formula>$B196&lt;&gt;""</formula>
    </cfRule>
  </conditionalFormatting>
  <conditionalFormatting sqref="E196:E200">
    <cfRule type="expression" dxfId="207" priority="59" stopIfTrue="1">
      <formula>$C196&lt;&gt;""</formula>
    </cfRule>
  </conditionalFormatting>
  <conditionalFormatting sqref="E201:E205">
    <cfRule type="expression" dxfId="206" priority="58" stopIfTrue="1">
      <formula>$B201&lt;&gt;""</formula>
    </cfRule>
  </conditionalFormatting>
  <conditionalFormatting sqref="E201:E205">
    <cfRule type="expression" dxfId="205" priority="57" stopIfTrue="1">
      <formula>$C201&lt;&gt;""</formula>
    </cfRule>
  </conditionalFormatting>
  <conditionalFormatting sqref="E206:E210">
    <cfRule type="expression" dxfId="204" priority="56" stopIfTrue="1">
      <formula>$C206&lt;&gt;""</formula>
    </cfRule>
  </conditionalFormatting>
  <conditionalFormatting sqref="E206:E210">
    <cfRule type="expression" dxfId="203" priority="55" stopIfTrue="1">
      <formula>$B206&lt;&gt;""</formula>
    </cfRule>
  </conditionalFormatting>
  <conditionalFormatting sqref="E211:E215">
    <cfRule type="expression" dxfId="202" priority="54" stopIfTrue="1">
      <formula>$C211&lt;&gt;""</formula>
    </cfRule>
  </conditionalFormatting>
  <conditionalFormatting sqref="E211:E215">
    <cfRule type="expression" dxfId="201" priority="53" stopIfTrue="1">
      <formula>$B211&lt;&gt;""</formula>
    </cfRule>
  </conditionalFormatting>
  <conditionalFormatting sqref="E216:E220">
    <cfRule type="expression" dxfId="200" priority="52" stopIfTrue="1">
      <formula>$B216&lt;&gt;""</formula>
    </cfRule>
  </conditionalFormatting>
  <conditionalFormatting sqref="E216:E220">
    <cfRule type="expression" dxfId="199" priority="51" stopIfTrue="1">
      <formula>$C216&lt;&gt;""</formula>
    </cfRule>
  </conditionalFormatting>
  <conditionalFormatting sqref="E221:E225">
    <cfRule type="expression" dxfId="198" priority="50" stopIfTrue="1">
      <formula>$B221&lt;&gt;""</formula>
    </cfRule>
  </conditionalFormatting>
  <conditionalFormatting sqref="E221:E225">
    <cfRule type="expression" dxfId="197" priority="49" stopIfTrue="1">
      <formula>$C221&lt;&gt;""</formula>
    </cfRule>
  </conditionalFormatting>
  <conditionalFormatting sqref="E226:E230">
    <cfRule type="expression" dxfId="196" priority="48" stopIfTrue="1">
      <formula>$B226&lt;&gt;""</formula>
    </cfRule>
  </conditionalFormatting>
  <conditionalFormatting sqref="E226:E230">
    <cfRule type="expression" dxfId="195" priority="47" stopIfTrue="1">
      <formula>$C226&lt;&gt;""</formula>
    </cfRule>
  </conditionalFormatting>
  <conditionalFormatting sqref="E231:E235">
    <cfRule type="expression" dxfId="194" priority="46" stopIfTrue="1">
      <formula>$B231&lt;&gt;""</formula>
    </cfRule>
  </conditionalFormatting>
  <conditionalFormatting sqref="E231:E235">
    <cfRule type="expression" dxfId="193" priority="45" stopIfTrue="1">
      <formula>$C231&lt;&gt;""</formula>
    </cfRule>
  </conditionalFormatting>
  <conditionalFormatting sqref="E236:E240">
    <cfRule type="expression" dxfId="192" priority="44" stopIfTrue="1">
      <formula>$C236&lt;&gt;""</formula>
    </cfRule>
  </conditionalFormatting>
  <conditionalFormatting sqref="E236:E240">
    <cfRule type="expression" dxfId="191" priority="43" stopIfTrue="1">
      <formula>$B236&lt;&gt;""</formula>
    </cfRule>
  </conditionalFormatting>
  <conditionalFormatting sqref="E241:E245">
    <cfRule type="expression" dxfId="190" priority="42" stopIfTrue="1">
      <formula>$C241&lt;&gt;""</formula>
    </cfRule>
  </conditionalFormatting>
  <conditionalFormatting sqref="E241:E245">
    <cfRule type="expression" dxfId="189" priority="41" stopIfTrue="1">
      <formula>$B241&lt;&gt;""</formula>
    </cfRule>
  </conditionalFormatting>
  <conditionalFormatting sqref="E246:E250">
    <cfRule type="expression" dxfId="188" priority="40" stopIfTrue="1">
      <formula>$B246&lt;&gt;""</formula>
    </cfRule>
  </conditionalFormatting>
  <conditionalFormatting sqref="E246:E250">
    <cfRule type="expression" dxfId="187" priority="39" stopIfTrue="1">
      <formula>$C246&lt;&gt;""</formula>
    </cfRule>
  </conditionalFormatting>
  <conditionalFormatting sqref="E251:E255">
    <cfRule type="expression" dxfId="186" priority="38" stopIfTrue="1">
      <formula>$B251&lt;&gt;""</formula>
    </cfRule>
  </conditionalFormatting>
  <conditionalFormatting sqref="E251:E255">
    <cfRule type="expression" dxfId="185" priority="37" stopIfTrue="1">
      <formula>$C251&lt;&gt;""</formula>
    </cfRule>
  </conditionalFormatting>
  <conditionalFormatting sqref="E256:E260">
    <cfRule type="expression" dxfId="184" priority="36" stopIfTrue="1">
      <formula>$B256&lt;&gt;""</formula>
    </cfRule>
  </conditionalFormatting>
  <conditionalFormatting sqref="E256:E260">
    <cfRule type="expression" dxfId="183" priority="35" stopIfTrue="1">
      <formula>$C256&lt;&gt;""</formula>
    </cfRule>
  </conditionalFormatting>
  <conditionalFormatting sqref="E261:E265">
    <cfRule type="expression" dxfId="182" priority="34" stopIfTrue="1">
      <formula>$B261&lt;&gt;""</formula>
    </cfRule>
  </conditionalFormatting>
  <conditionalFormatting sqref="E261:E265">
    <cfRule type="expression" dxfId="181" priority="33" stopIfTrue="1">
      <formula>$C261&lt;&gt;""</formula>
    </cfRule>
  </conditionalFormatting>
  <conditionalFormatting sqref="E61:E65">
    <cfRule type="expression" dxfId="180" priority="32" stopIfTrue="1">
      <formula>$C61&lt;&gt;""</formula>
    </cfRule>
  </conditionalFormatting>
  <conditionalFormatting sqref="E61:E65">
    <cfRule type="expression" dxfId="179" priority="31" stopIfTrue="1">
      <formula>$B61&lt;&gt;""</formula>
    </cfRule>
  </conditionalFormatting>
  <conditionalFormatting sqref="F2276:F2277">
    <cfRule type="expression" dxfId="178" priority="30" stopIfTrue="1">
      <formula>$B2276&lt;&gt;""</formula>
    </cfRule>
  </conditionalFormatting>
  <conditionalFormatting sqref="E2276:H2277">
    <cfRule type="expression" dxfId="177" priority="29" stopIfTrue="1">
      <formula>$C2276&lt;&gt;""</formula>
    </cfRule>
  </conditionalFormatting>
  <conditionalFormatting sqref="E2276:H2277">
    <cfRule type="expression" dxfId="176" priority="28" stopIfTrue="1">
      <formula>$B2276&lt;&gt;""</formula>
    </cfRule>
  </conditionalFormatting>
  <conditionalFormatting sqref="H2282">
    <cfRule type="expression" dxfId="175" priority="27" stopIfTrue="1">
      <formula>$C2282&lt;&gt;""</formula>
    </cfRule>
  </conditionalFormatting>
  <conditionalFormatting sqref="H2282">
    <cfRule type="expression" dxfId="174" priority="26" stopIfTrue="1">
      <formula>$B2282&lt;&gt;""</formula>
    </cfRule>
  </conditionalFormatting>
  <conditionalFormatting sqref="G2283">
    <cfRule type="expression" dxfId="173" priority="25" stopIfTrue="1">
      <formula>$C2283&lt;&gt;""</formula>
    </cfRule>
  </conditionalFormatting>
  <conditionalFormatting sqref="G2283">
    <cfRule type="expression" dxfId="172" priority="24" stopIfTrue="1">
      <formula>$B2283&lt;&gt;""</formula>
    </cfRule>
  </conditionalFormatting>
  <conditionalFormatting sqref="G2283">
    <cfRule type="expression" dxfId="171" priority="23" stopIfTrue="1">
      <formula>$C2283&lt;&gt;""</formula>
    </cfRule>
  </conditionalFormatting>
  <conditionalFormatting sqref="G2283">
    <cfRule type="expression" dxfId="170" priority="22" stopIfTrue="1">
      <formula>$B2283&lt;&gt;""</formula>
    </cfRule>
  </conditionalFormatting>
  <conditionalFormatting sqref="G2277">
    <cfRule type="expression" dxfId="169" priority="21" stopIfTrue="1">
      <formula>$C2277&lt;&gt;""</formula>
    </cfRule>
  </conditionalFormatting>
  <conditionalFormatting sqref="G2277">
    <cfRule type="expression" dxfId="168" priority="20" stopIfTrue="1">
      <formula>$B2277&lt;&gt;""</formula>
    </cfRule>
  </conditionalFormatting>
  <conditionalFormatting sqref="G2277">
    <cfRule type="expression" dxfId="167" priority="19" stopIfTrue="1">
      <formula>$C2277&lt;&gt;""</formula>
    </cfRule>
  </conditionalFormatting>
  <conditionalFormatting sqref="G2277">
    <cfRule type="expression" dxfId="166" priority="18" stopIfTrue="1">
      <formula>$B2277&lt;&gt;""</formula>
    </cfRule>
  </conditionalFormatting>
  <conditionalFormatting sqref="H2276">
    <cfRule type="expression" dxfId="165" priority="17" stopIfTrue="1">
      <formula>$C2276&lt;&gt;""</formula>
    </cfRule>
  </conditionalFormatting>
  <conditionalFormatting sqref="H2276">
    <cfRule type="expression" dxfId="164" priority="16" stopIfTrue="1">
      <formula>$B2276&lt;&gt;""</formula>
    </cfRule>
  </conditionalFormatting>
  <conditionalFormatting sqref="H2276">
    <cfRule type="expression" dxfId="163" priority="15" stopIfTrue="1">
      <formula>$C2276&lt;&gt;""</formula>
    </cfRule>
  </conditionalFormatting>
  <conditionalFormatting sqref="H2276">
    <cfRule type="expression" dxfId="162" priority="14" stopIfTrue="1">
      <formula>$B2276&lt;&gt;""</formula>
    </cfRule>
  </conditionalFormatting>
  <conditionalFormatting sqref="C2286:C2453">
    <cfRule type="expression" dxfId="161" priority="13" stopIfTrue="1">
      <formula>$C2286&lt;&gt;""</formula>
    </cfRule>
  </conditionalFormatting>
  <conditionalFormatting sqref="C2286:C2453">
    <cfRule type="expression" dxfId="160" priority="12" stopIfTrue="1">
      <formula>$B2286&lt;&gt;""</formula>
    </cfRule>
  </conditionalFormatting>
  <conditionalFormatting sqref="C2454:C2478">
    <cfRule type="expression" dxfId="159" priority="11" stopIfTrue="1">
      <formula>$C2454&lt;&gt;""</formula>
    </cfRule>
  </conditionalFormatting>
  <conditionalFormatting sqref="C2454:C2478">
    <cfRule type="expression" dxfId="158" priority="10" stopIfTrue="1">
      <formula>$B2454&lt;&gt;""</formula>
    </cfRule>
  </conditionalFormatting>
  <conditionalFormatting sqref="D2454:D2478">
    <cfRule type="expression" dxfId="157" priority="9" stopIfTrue="1">
      <formula>$B2454&lt;&gt;""</formula>
    </cfRule>
  </conditionalFormatting>
  <conditionalFormatting sqref="D2454:D2478">
    <cfRule type="expression" dxfId="156" priority="8" stopIfTrue="1">
      <formula>$C2454&lt;&gt;""</formula>
    </cfRule>
  </conditionalFormatting>
  <conditionalFormatting sqref="D2454:D2478">
    <cfRule type="expression" dxfId="155" priority="7" stopIfTrue="1">
      <formula>$B2454&lt;&gt;""</formula>
    </cfRule>
  </conditionalFormatting>
  <conditionalFormatting sqref="E2454:E2478">
    <cfRule type="expression" dxfId="154" priority="6" stopIfTrue="1">
      <formula>$C2454&lt;&gt;""</formula>
    </cfRule>
  </conditionalFormatting>
  <conditionalFormatting sqref="E2454:E2478">
    <cfRule type="expression" dxfId="153" priority="5" stopIfTrue="1">
      <formula>$B2454&lt;&gt;""</formula>
    </cfRule>
  </conditionalFormatting>
  <conditionalFormatting sqref="C2479:C2488">
    <cfRule type="expression" dxfId="152" priority="4" stopIfTrue="1">
      <formula>$C2479&lt;&gt;""</formula>
    </cfRule>
  </conditionalFormatting>
  <conditionalFormatting sqref="C2479:C2488">
    <cfRule type="expression" dxfId="151" priority="3" stopIfTrue="1">
      <formula>$B2479&lt;&gt;""</formula>
    </cfRule>
  </conditionalFormatting>
  <conditionalFormatting sqref="E2527:E2528">
    <cfRule type="expression" dxfId="150" priority="2" stopIfTrue="1">
      <formula>$C2527&lt;&gt;""</formula>
    </cfRule>
  </conditionalFormatting>
  <conditionalFormatting sqref="E2527:E2528">
    <cfRule type="expression" dxfId="149" priority="1" stopIfTrue="1">
      <formula>$B2527&lt;&gt;""</formula>
    </cfRule>
  </conditionalFormatting>
  <pageMargins left="0.27" right="0.2" top="0.75" bottom="0.75" header="0.3" footer="0.3"/>
  <pageSetup scale="70" fitToHeight="0" orientation="landscape" horizontalDpi="0" verticalDpi="0" r:id="rId1"/>
</worksheet>
</file>

<file path=xl/worksheets/sheet12.xml><?xml version="1.0" encoding="utf-8"?>
<worksheet xmlns="http://schemas.openxmlformats.org/spreadsheetml/2006/main" xmlns:r="http://schemas.openxmlformats.org/officeDocument/2006/relationships">
  <sheetPr>
    <pageSetUpPr fitToPage="1"/>
  </sheetPr>
  <dimension ref="A1:R478"/>
  <sheetViews>
    <sheetView topLeftCell="A415" workbookViewId="0">
      <selection activeCell="G421" sqref="G421"/>
    </sheetView>
  </sheetViews>
  <sheetFormatPr defaultRowHeight="12.75"/>
  <cols>
    <col min="1" max="1" width="3.28515625" style="231" bestFit="1" customWidth="1"/>
    <col min="2" max="2" width="32.5703125" style="231" customWidth="1"/>
    <col min="3" max="3" width="13.85546875" style="231" customWidth="1"/>
    <col min="4" max="4" width="13.140625" style="231" customWidth="1"/>
    <col min="5" max="5" width="13.7109375" style="231" customWidth="1"/>
    <col min="6" max="6" width="8.42578125" style="231" customWidth="1"/>
    <col min="7" max="7" width="11.7109375" style="231" customWidth="1"/>
    <col min="8" max="8" width="13.42578125" style="231" customWidth="1"/>
    <col min="9" max="9" width="12.85546875" style="231" customWidth="1"/>
    <col min="10" max="10" width="12.42578125" style="231" customWidth="1"/>
    <col min="11" max="11" width="13.42578125" style="231" customWidth="1"/>
    <col min="12" max="12" width="12.7109375" style="231" customWidth="1"/>
    <col min="13" max="13" width="13.140625" style="231" customWidth="1"/>
    <col min="14" max="14" width="11.5703125" style="231" bestFit="1" customWidth="1"/>
    <col min="15" max="15" width="36" style="231" bestFit="1" customWidth="1"/>
    <col min="16" max="16" width="14.5703125" style="231" bestFit="1" customWidth="1"/>
    <col min="17" max="17" width="12.7109375" style="231" bestFit="1" customWidth="1"/>
    <col min="18" max="18" width="14.5703125" style="231" bestFit="1" customWidth="1"/>
    <col min="19" max="16384" width="9.140625" style="231"/>
  </cols>
  <sheetData>
    <row r="1" spans="1:14">
      <c r="A1" s="625"/>
      <c r="B1" s="625" t="s">
        <v>1498</v>
      </c>
      <c r="C1" s="625"/>
      <c r="D1" s="626"/>
      <c r="E1" s="626"/>
      <c r="F1" s="626"/>
      <c r="G1" s="626" t="s">
        <v>260</v>
      </c>
      <c r="H1" s="660">
        <f>+H25+H61+H94+H127+H158+H193+H233+H267+H301+H343+H383+H423</f>
        <v>132535051.60610093</v>
      </c>
      <c r="I1" s="660">
        <f t="shared" ref="I1:N1" si="0">+I25+I61+I94+I127+I158+I193+I233+I267+I301+I343+I383+I423</f>
        <v>13166545.166664224</v>
      </c>
      <c r="J1" s="660">
        <f t="shared" si="0"/>
        <v>10340850.643943671</v>
      </c>
      <c r="K1" s="660">
        <f t="shared" si="0"/>
        <v>109027655.79549304</v>
      </c>
      <c r="L1" s="660">
        <f t="shared" si="0"/>
        <v>15925533.698786244</v>
      </c>
      <c r="M1" s="660">
        <f t="shared" si="0"/>
        <v>29092078.865450468</v>
      </c>
      <c r="N1" s="660">
        <f t="shared" si="0"/>
        <v>228</v>
      </c>
    </row>
    <row r="2" spans="1:14">
      <c r="A2" s="627" t="s">
        <v>1499</v>
      </c>
      <c r="B2" s="627"/>
      <c r="C2" s="627"/>
      <c r="D2" s="627"/>
      <c r="E2" s="628"/>
      <c r="F2" s="627"/>
      <c r="G2" s="627"/>
      <c r="H2" s="629">
        <f>+'TT-11(1)'!E54</f>
        <v>132535051.60610096</v>
      </c>
      <c r="I2" s="629"/>
      <c r="J2" s="629"/>
      <c r="K2" s="629"/>
      <c r="L2" s="629"/>
      <c r="M2" s="629"/>
    </row>
    <row r="3" spans="1:14" ht="38.25">
      <c r="A3" s="630" t="s">
        <v>1</v>
      </c>
      <c r="B3" s="630" t="s">
        <v>1356</v>
      </c>
      <c r="C3" s="630" t="s">
        <v>1357</v>
      </c>
      <c r="D3" s="631" t="s">
        <v>1500</v>
      </c>
      <c r="E3" s="630" t="s">
        <v>1501</v>
      </c>
      <c r="F3" s="631" t="s">
        <v>1502</v>
      </c>
      <c r="G3" s="631" t="s">
        <v>1503</v>
      </c>
      <c r="H3" s="632" t="s">
        <v>1504</v>
      </c>
      <c r="I3" s="633" t="s">
        <v>1505</v>
      </c>
      <c r="J3" s="633" t="s">
        <v>1506</v>
      </c>
      <c r="K3" s="633" t="s">
        <v>1507</v>
      </c>
      <c r="L3" s="632" t="s">
        <v>1508</v>
      </c>
      <c r="M3" s="633" t="s">
        <v>1509</v>
      </c>
      <c r="N3" s="231" t="s">
        <v>1876</v>
      </c>
    </row>
    <row r="4" spans="1:14" ht="14.25" customHeight="1">
      <c r="A4" s="494">
        <v>1</v>
      </c>
      <c r="B4" s="634" t="s">
        <v>1510</v>
      </c>
      <c r="C4" s="635" t="s">
        <v>1512</v>
      </c>
      <c r="D4" s="635" t="s">
        <v>1511</v>
      </c>
      <c r="E4" s="636">
        <v>1200000</v>
      </c>
      <c r="F4" s="637">
        <v>24</v>
      </c>
      <c r="G4" s="637">
        <f>+E4/24</f>
        <v>50000</v>
      </c>
      <c r="H4" s="638">
        <f>+G4*F4</f>
        <v>1200000</v>
      </c>
      <c r="I4" s="373">
        <f>+H4*0.1</f>
        <v>120000</v>
      </c>
      <c r="J4" s="373">
        <f>+(H4-I4)*0.1-7000</f>
        <v>101000</v>
      </c>
      <c r="K4" s="638">
        <f>+H4-I4-J4</f>
        <v>979000</v>
      </c>
      <c r="L4" s="373">
        <f>+H4*0.12</f>
        <v>144000</v>
      </c>
      <c r="M4" s="373">
        <f>+I4+L4</f>
        <v>264000</v>
      </c>
      <c r="N4" s="231">
        <f>+IF(J4,1,0)</f>
        <v>1</v>
      </c>
    </row>
    <row r="5" spans="1:14" ht="14.25" customHeight="1">
      <c r="A5" s="494">
        <f>+A4+1</f>
        <v>2</v>
      </c>
      <c r="B5" s="639" t="s">
        <v>1513</v>
      </c>
      <c r="C5" s="640" t="s">
        <v>1515</v>
      </c>
      <c r="D5" s="640" t="s">
        <v>1514</v>
      </c>
      <c r="E5" s="425">
        <v>1200000</v>
      </c>
      <c r="F5" s="637">
        <v>24</v>
      </c>
      <c r="G5" s="637">
        <f t="shared" ref="G5:G24" si="1">+E5/24</f>
        <v>50000</v>
      </c>
      <c r="H5" s="638">
        <f t="shared" ref="H5:H24" si="2">+G5*F5</f>
        <v>1200000</v>
      </c>
      <c r="I5" s="373">
        <f t="shared" ref="I5:I24" si="3">+H5*0.1</f>
        <v>120000</v>
      </c>
      <c r="J5" s="373">
        <f t="shared" ref="J5:J23" si="4">+(H5-I5)*0.1-7000</f>
        <v>101000</v>
      </c>
      <c r="K5" s="638">
        <f t="shared" ref="K5:K24" si="5">+H5-I5-J5</f>
        <v>979000</v>
      </c>
      <c r="L5" s="373">
        <f t="shared" ref="L5:L8" si="6">+H5*0.12</f>
        <v>144000</v>
      </c>
      <c r="M5" s="373">
        <f t="shared" ref="M5:M24" si="7">+I5+L5</f>
        <v>264000</v>
      </c>
      <c r="N5" s="231">
        <f t="shared" ref="N5:N24" si="8">+IF(J5,1,0)</f>
        <v>1</v>
      </c>
    </row>
    <row r="6" spans="1:14">
      <c r="A6" s="494">
        <f t="shared" ref="A6:A24" si="9">+A5+1</f>
        <v>3</v>
      </c>
      <c r="B6" s="641" t="s">
        <v>1516</v>
      </c>
      <c r="C6" s="640" t="s">
        <v>1518</v>
      </c>
      <c r="D6" s="640" t="s">
        <v>1517</v>
      </c>
      <c r="E6" s="642">
        <v>1400000</v>
      </c>
      <c r="F6" s="637">
        <v>24</v>
      </c>
      <c r="G6" s="637">
        <f t="shared" si="1"/>
        <v>58333.333333333336</v>
      </c>
      <c r="H6" s="638">
        <f t="shared" si="2"/>
        <v>1400000</v>
      </c>
      <c r="I6" s="373">
        <f t="shared" si="3"/>
        <v>140000</v>
      </c>
      <c r="J6" s="373">
        <f t="shared" si="4"/>
        <v>119000</v>
      </c>
      <c r="K6" s="638">
        <f t="shared" si="5"/>
        <v>1141000</v>
      </c>
      <c r="L6" s="373">
        <f t="shared" si="6"/>
        <v>168000</v>
      </c>
      <c r="M6" s="373">
        <f t="shared" si="7"/>
        <v>308000</v>
      </c>
      <c r="N6" s="231">
        <f t="shared" si="8"/>
        <v>1</v>
      </c>
    </row>
    <row r="7" spans="1:14">
      <c r="A7" s="494">
        <f t="shared" si="9"/>
        <v>4</v>
      </c>
      <c r="B7" s="639" t="s">
        <v>1519</v>
      </c>
      <c r="C7" s="640" t="s">
        <v>1521</v>
      </c>
      <c r="D7" s="640" t="s">
        <v>1520</v>
      </c>
      <c r="E7" s="642">
        <v>1000000</v>
      </c>
      <c r="F7" s="637">
        <v>24</v>
      </c>
      <c r="G7" s="637">
        <f t="shared" si="1"/>
        <v>41666.666666666664</v>
      </c>
      <c r="H7" s="638">
        <f t="shared" si="2"/>
        <v>1000000</v>
      </c>
      <c r="I7" s="373">
        <f t="shared" si="3"/>
        <v>100000</v>
      </c>
      <c r="J7" s="373">
        <f t="shared" si="4"/>
        <v>83000</v>
      </c>
      <c r="K7" s="638">
        <f t="shared" si="5"/>
        <v>817000</v>
      </c>
      <c r="L7" s="373">
        <f t="shared" si="6"/>
        <v>120000</v>
      </c>
      <c r="M7" s="373">
        <f t="shared" si="7"/>
        <v>220000</v>
      </c>
      <c r="N7" s="231">
        <f t="shared" si="8"/>
        <v>1</v>
      </c>
    </row>
    <row r="8" spans="1:14">
      <c r="A8" s="494">
        <f t="shared" si="9"/>
        <v>5</v>
      </c>
      <c r="B8" s="639" t="s">
        <v>1522</v>
      </c>
      <c r="C8" s="640" t="s">
        <v>1524</v>
      </c>
      <c r="D8" s="643" t="s">
        <v>1523</v>
      </c>
      <c r="E8" s="642">
        <v>600000</v>
      </c>
      <c r="F8" s="637">
        <v>24</v>
      </c>
      <c r="G8" s="637">
        <f t="shared" si="1"/>
        <v>25000</v>
      </c>
      <c r="H8" s="638">
        <f t="shared" si="2"/>
        <v>600000</v>
      </c>
      <c r="I8" s="373">
        <f t="shared" si="3"/>
        <v>60000</v>
      </c>
      <c r="J8" s="373">
        <f t="shared" si="4"/>
        <v>47000</v>
      </c>
      <c r="K8" s="638">
        <f t="shared" si="5"/>
        <v>493000</v>
      </c>
      <c r="L8" s="373">
        <f t="shared" si="6"/>
        <v>72000</v>
      </c>
      <c r="M8" s="373">
        <f t="shared" si="7"/>
        <v>132000</v>
      </c>
      <c r="N8" s="231">
        <f t="shared" si="8"/>
        <v>1</v>
      </c>
    </row>
    <row r="9" spans="1:14">
      <c r="A9" s="494">
        <f t="shared" si="9"/>
        <v>6</v>
      </c>
      <c r="B9" s="644" t="s">
        <v>1525</v>
      </c>
      <c r="C9" s="640" t="s">
        <v>1527</v>
      </c>
      <c r="D9" s="640" t="s">
        <v>1526</v>
      </c>
      <c r="E9" s="642">
        <v>240000</v>
      </c>
      <c r="F9" s="637">
        <v>0</v>
      </c>
      <c r="G9" s="637"/>
      <c r="H9" s="638">
        <f t="shared" si="2"/>
        <v>0</v>
      </c>
      <c r="I9" s="373">
        <f t="shared" si="3"/>
        <v>0</v>
      </c>
      <c r="J9" s="373"/>
      <c r="K9" s="638">
        <f t="shared" si="5"/>
        <v>0</v>
      </c>
      <c r="L9" s="373">
        <f>+E9*0.08</f>
        <v>19200</v>
      </c>
      <c r="M9" s="373">
        <f t="shared" si="7"/>
        <v>19200</v>
      </c>
      <c r="N9" s="231">
        <f t="shared" si="8"/>
        <v>0</v>
      </c>
    </row>
    <row r="10" spans="1:14">
      <c r="A10" s="494">
        <f t="shared" si="9"/>
        <v>7</v>
      </c>
      <c r="B10" s="639" t="s">
        <v>1528</v>
      </c>
      <c r="C10" s="645" t="s">
        <v>1530</v>
      </c>
      <c r="D10" s="640" t="s">
        <v>1529</v>
      </c>
      <c r="E10" s="425">
        <v>350000</v>
      </c>
      <c r="F10" s="637">
        <v>19</v>
      </c>
      <c r="G10" s="637">
        <f t="shared" si="1"/>
        <v>14583.333333333334</v>
      </c>
      <c r="H10" s="638">
        <f t="shared" si="2"/>
        <v>277083.33333333337</v>
      </c>
      <c r="I10" s="373">
        <f>+H10*0.078</f>
        <v>21612.500000000004</v>
      </c>
      <c r="J10" s="373">
        <f t="shared" si="4"/>
        <v>18547.083333333339</v>
      </c>
      <c r="K10" s="638">
        <f t="shared" si="5"/>
        <v>236923.75000000003</v>
      </c>
      <c r="L10" s="373">
        <f>+H10*0.098</f>
        <v>27154.166666666672</v>
      </c>
      <c r="M10" s="373">
        <f t="shared" si="7"/>
        <v>48766.666666666672</v>
      </c>
      <c r="N10" s="231">
        <f t="shared" si="8"/>
        <v>1</v>
      </c>
    </row>
    <row r="11" spans="1:14">
      <c r="A11" s="494">
        <f t="shared" si="9"/>
        <v>8</v>
      </c>
      <c r="B11" s="639" t="s">
        <v>1531</v>
      </c>
      <c r="C11" s="646" t="s">
        <v>1533</v>
      </c>
      <c r="D11" s="376" t="s">
        <v>1532</v>
      </c>
      <c r="E11" s="647">
        <v>400000</v>
      </c>
      <c r="F11" s="637">
        <v>17.62</v>
      </c>
      <c r="G11" s="637">
        <f t="shared" si="1"/>
        <v>16666.666666666668</v>
      </c>
      <c r="H11" s="638">
        <f t="shared" si="2"/>
        <v>293666.66666666669</v>
      </c>
      <c r="I11" s="373">
        <f t="shared" si="3"/>
        <v>29366.666666666672</v>
      </c>
      <c r="J11" s="373">
        <f t="shared" si="4"/>
        <v>19430</v>
      </c>
      <c r="K11" s="638">
        <f t="shared" si="5"/>
        <v>244870</v>
      </c>
      <c r="L11" s="373">
        <f t="shared" ref="L11:L23" si="10">+H11*0.12</f>
        <v>35240</v>
      </c>
      <c r="M11" s="373">
        <f t="shared" si="7"/>
        <v>64606.666666666672</v>
      </c>
      <c r="N11" s="231">
        <f t="shared" si="8"/>
        <v>1</v>
      </c>
    </row>
    <row r="12" spans="1:14">
      <c r="A12" s="494">
        <f t="shared" si="9"/>
        <v>9</v>
      </c>
      <c r="B12" s="639" t="s">
        <v>1534</v>
      </c>
      <c r="C12" s="640" t="s">
        <v>1536</v>
      </c>
      <c r="D12" s="643" t="s">
        <v>1535</v>
      </c>
      <c r="E12" s="648">
        <v>350000</v>
      </c>
      <c r="F12" s="637">
        <v>18</v>
      </c>
      <c r="G12" s="637">
        <f t="shared" si="1"/>
        <v>14583.333333333334</v>
      </c>
      <c r="H12" s="638">
        <f t="shared" si="2"/>
        <v>262500</v>
      </c>
      <c r="I12" s="373">
        <f t="shared" si="3"/>
        <v>26250</v>
      </c>
      <c r="J12" s="373">
        <f t="shared" si="4"/>
        <v>16625</v>
      </c>
      <c r="K12" s="638">
        <f t="shared" si="5"/>
        <v>219625</v>
      </c>
      <c r="L12" s="373">
        <f t="shared" si="10"/>
        <v>31500</v>
      </c>
      <c r="M12" s="373">
        <f t="shared" si="7"/>
        <v>57750</v>
      </c>
      <c r="N12" s="231">
        <f t="shared" si="8"/>
        <v>1</v>
      </c>
    </row>
    <row r="13" spans="1:14">
      <c r="A13" s="494">
        <f t="shared" si="9"/>
        <v>10</v>
      </c>
      <c r="B13" s="649" t="s">
        <v>1537</v>
      </c>
      <c r="C13" s="646" t="s">
        <v>1533</v>
      </c>
      <c r="D13" s="376" t="s">
        <v>1538</v>
      </c>
      <c r="E13" s="647">
        <v>400000</v>
      </c>
      <c r="F13" s="637">
        <v>13.88</v>
      </c>
      <c r="G13" s="637">
        <f t="shared" si="1"/>
        <v>16666.666666666668</v>
      </c>
      <c r="H13" s="638">
        <f t="shared" si="2"/>
        <v>231333.33333333337</v>
      </c>
      <c r="I13" s="373">
        <f t="shared" si="3"/>
        <v>23133.333333333339</v>
      </c>
      <c r="J13" s="373">
        <f t="shared" si="4"/>
        <v>13820.000000000004</v>
      </c>
      <c r="K13" s="638">
        <f t="shared" si="5"/>
        <v>194380.00000000003</v>
      </c>
      <c r="L13" s="373">
        <f t="shared" si="10"/>
        <v>27760.000000000004</v>
      </c>
      <c r="M13" s="373">
        <f t="shared" si="7"/>
        <v>50893.333333333343</v>
      </c>
      <c r="N13" s="231">
        <f t="shared" si="8"/>
        <v>1</v>
      </c>
    </row>
    <row r="14" spans="1:14">
      <c r="A14" s="494">
        <f t="shared" si="9"/>
        <v>11</v>
      </c>
      <c r="B14" s="649" t="s">
        <v>1539</v>
      </c>
      <c r="C14" s="646" t="s">
        <v>1533</v>
      </c>
      <c r="D14" s="376" t="s">
        <v>1540</v>
      </c>
      <c r="E14" s="647">
        <v>400000</v>
      </c>
      <c r="F14" s="637">
        <v>18.62</v>
      </c>
      <c r="G14" s="637">
        <f t="shared" si="1"/>
        <v>16666.666666666668</v>
      </c>
      <c r="H14" s="638">
        <f t="shared" si="2"/>
        <v>310333.33333333337</v>
      </c>
      <c r="I14" s="373">
        <f t="shared" si="3"/>
        <v>31033.333333333339</v>
      </c>
      <c r="J14" s="373">
        <f t="shared" si="4"/>
        <v>20930.000000000007</v>
      </c>
      <c r="K14" s="638">
        <f t="shared" si="5"/>
        <v>258370.00000000006</v>
      </c>
      <c r="L14" s="373">
        <f t="shared" si="10"/>
        <v>37240</v>
      </c>
      <c r="M14" s="373">
        <f t="shared" si="7"/>
        <v>68273.333333333343</v>
      </c>
      <c r="N14" s="231">
        <f t="shared" si="8"/>
        <v>1</v>
      </c>
    </row>
    <row r="15" spans="1:14">
      <c r="A15" s="494">
        <f t="shared" si="9"/>
        <v>12</v>
      </c>
      <c r="B15" s="634" t="s">
        <v>1541</v>
      </c>
      <c r="C15" s="646" t="s">
        <v>1533</v>
      </c>
      <c r="D15" s="650" t="s">
        <v>1542</v>
      </c>
      <c r="E15" s="647">
        <v>400000</v>
      </c>
      <c r="F15" s="637">
        <v>17.8</v>
      </c>
      <c r="G15" s="637">
        <f t="shared" si="1"/>
        <v>16666.666666666668</v>
      </c>
      <c r="H15" s="638">
        <f t="shared" si="2"/>
        <v>296666.66666666669</v>
      </c>
      <c r="I15" s="373">
        <f t="shared" si="3"/>
        <v>29666.666666666672</v>
      </c>
      <c r="J15" s="373">
        <f t="shared" si="4"/>
        <v>19700</v>
      </c>
      <c r="K15" s="638">
        <f t="shared" si="5"/>
        <v>247300</v>
      </c>
      <c r="L15" s="373">
        <f t="shared" si="10"/>
        <v>35600</v>
      </c>
      <c r="M15" s="373">
        <f t="shared" si="7"/>
        <v>65266.666666666672</v>
      </c>
      <c r="N15" s="231">
        <f t="shared" si="8"/>
        <v>1</v>
      </c>
    </row>
    <row r="16" spans="1:14">
      <c r="A16" s="494">
        <f t="shared" si="9"/>
        <v>13</v>
      </c>
      <c r="B16" s="634" t="s">
        <v>1543</v>
      </c>
      <c r="C16" s="646" t="s">
        <v>1533</v>
      </c>
      <c r="D16" s="640" t="s">
        <v>1544</v>
      </c>
      <c r="E16" s="647">
        <v>800000</v>
      </c>
      <c r="F16" s="637">
        <v>24</v>
      </c>
      <c r="G16" s="637">
        <f t="shared" si="1"/>
        <v>33333.333333333336</v>
      </c>
      <c r="H16" s="638">
        <f t="shared" si="2"/>
        <v>800000</v>
      </c>
      <c r="I16" s="373">
        <f t="shared" si="3"/>
        <v>80000</v>
      </c>
      <c r="J16" s="373">
        <f t="shared" si="4"/>
        <v>65000</v>
      </c>
      <c r="K16" s="638">
        <f t="shared" si="5"/>
        <v>655000</v>
      </c>
      <c r="L16" s="373">
        <f t="shared" si="10"/>
        <v>96000</v>
      </c>
      <c r="M16" s="373">
        <f t="shared" si="7"/>
        <v>176000</v>
      </c>
      <c r="N16" s="231">
        <f t="shared" si="8"/>
        <v>1</v>
      </c>
    </row>
    <row r="17" spans="1:14">
      <c r="A17" s="494">
        <f t="shared" si="9"/>
        <v>14</v>
      </c>
      <c r="B17" s="634" t="s">
        <v>1545</v>
      </c>
      <c r="C17" s="646" t="s">
        <v>1533</v>
      </c>
      <c r="D17" s="650" t="s">
        <v>1546</v>
      </c>
      <c r="E17" s="647">
        <v>400000</v>
      </c>
      <c r="F17" s="637">
        <v>18</v>
      </c>
      <c r="G17" s="637">
        <f t="shared" si="1"/>
        <v>16666.666666666668</v>
      </c>
      <c r="H17" s="638">
        <f t="shared" si="2"/>
        <v>300000</v>
      </c>
      <c r="I17" s="373">
        <f t="shared" si="3"/>
        <v>30000</v>
      </c>
      <c r="J17" s="373">
        <f t="shared" si="4"/>
        <v>20000</v>
      </c>
      <c r="K17" s="638">
        <f t="shared" si="5"/>
        <v>250000</v>
      </c>
      <c r="L17" s="373">
        <f t="shared" si="10"/>
        <v>36000</v>
      </c>
      <c r="M17" s="373">
        <f t="shared" si="7"/>
        <v>66000</v>
      </c>
      <c r="N17" s="231">
        <f t="shared" si="8"/>
        <v>1</v>
      </c>
    </row>
    <row r="18" spans="1:14">
      <c r="A18" s="494">
        <f t="shared" si="9"/>
        <v>15</v>
      </c>
      <c r="B18" s="649" t="s">
        <v>1547</v>
      </c>
      <c r="C18" s="640" t="s">
        <v>1533</v>
      </c>
      <c r="D18" s="376" t="s">
        <v>1548</v>
      </c>
      <c r="E18" s="648">
        <v>400000</v>
      </c>
      <c r="F18" s="637">
        <v>21.74</v>
      </c>
      <c r="G18" s="637">
        <f t="shared" si="1"/>
        <v>16666.666666666668</v>
      </c>
      <c r="H18" s="638">
        <f t="shared" si="2"/>
        <v>362333.33333333331</v>
      </c>
      <c r="I18" s="373">
        <f t="shared" si="3"/>
        <v>36233.333333333336</v>
      </c>
      <c r="J18" s="373">
        <f t="shared" si="4"/>
        <v>25610</v>
      </c>
      <c r="K18" s="638">
        <f t="shared" si="5"/>
        <v>300490</v>
      </c>
      <c r="L18" s="373">
        <f t="shared" si="10"/>
        <v>43479.999999999993</v>
      </c>
      <c r="M18" s="373">
        <f t="shared" si="7"/>
        <v>79713.333333333328</v>
      </c>
      <c r="N18" s="231">
        <f t="shared" si="8"/>
        <v>1</v>
      </c>
    </row>
    <row r="19" spans="1:14">
      <c r="A19" s="494">
        <f t="shared" si="9"/>
        <v>16</v>
      </c>
      <c r="B19" s="634" t="s">
        <v>1549</v>
      </c>
      <c r="C19" s="640" t="s">
        <v>1533</v>
      </c>
      <c r="D19" s="651" t="s">
        <v>1550</v>
      </c>
      <c r="E19" s="648">
        <v>520000</v>
      </c>
      <c r="F19" s="637">
        <v>18.100000000000001</v>
      </c>
      <c r="G19" s="637">
        <f t="shared" si="1"/>
        <v>21666.666666666668</v>
      </c>
      <c r="H19" s="638">
        <f t="shared" si="2"/>
        <v>392166.66666666674</v>
      </c>
      <c r="I19" s="373">
        <f t="shared" si="3"/>
        <v>39216.666666666679</v>
      </c>
      <c r="J19" s="373">
        <f t="shared" si="4"/>
        <v>28295.000000000007</v>
      </c>
      <c r="K19" s="638">
        <f t="shared" si="5"/>
        <v>324655.00000000006</v>
      </c>
      <c r="L19" s="373">
        <f t="shared" si="10"/>
        <v>47060.000000000007</v>
      </c>
      <c r="M19" s="373">
        <f t="shared" si="7"/>
        <v>86276.666666666686</v>
      </c>
      <c r="N19" s="231">
        <f t="shared" si="8"/>
        <v>1</v>
      </c>
    </row>
    <row r="20" spans="1:14">
      <c r="A20" s="494">
        <f t="shared" si="9"/>
        <v>17</v>
      </c>
      <c r="B20" s="652" t="s">
        <v>1551</v>
      </c>
      <c r="C20" s="640" t="s">
        <v>1553</v>
      </c>
      <c r="D20" s="653" t="s">
        <v>1552</v>
      </c>
      <c r="E20" s="648">
        <v>400000</v>
      </c>
      <c r="F20" s="637">
        <v>19</v>
      </c>
      <c r="G20" s="637">
        <f t="shared" si="1"/>
        <v>16666.666666666668</v>
      </c>
      <c r="H20" s="638">
        <f t="shared" si="2"/>
        <v>316666.66666666669</v>
      </c>
      <c r="I20" s="373">
        <f t="shared" si="3"/>
        <v>31666.666666666672</v>
      </c>
      <c r="J20" s="373">
        <f t="shared" si="4"/>
        <v>21500</v>
      </c>
      <c r="K20" s="638">
        <f t="shared" si="5"/>
        <v>263500</v>
      </c>
      <c r="L20" s="373">
        <f t="shared" si="10"/>
        <v>38000</v>
      </c>
      <c r="M20" s="373">
        <f t="shared" si="7"/>
        <v>69666.666666666672</v>
      </c>
      <c r="N20" s="231">
        <f t="shared" si="8"/>
        <v>1</v>
      </c>
    </row>
    <row r="21" spans="1:14">
      <c r="A21" s="494">
        <f t="shared" si="9"/>
        <v>18</v>
      </c>
      <c r="B21" s="649" t="s">
        <v>1554</v>
      </c>
      <c r="C21" s="640" t="s">
        <v>1533</v>
      </c>
      <c r="D21" s="640" t="s">
        <v>1555</v>
      </c>
      <c r="E21" s="648">
        <v>350000</v>
      </c>
      <c r="F21" s="637">
        <v>15.4</v>
      </c>
      <c r="G21" s="637">
        <f t="shared" si="1"/>
        <v>14583.333333333334</v>
      </c>
      <c r="H21" s="638">
        <f t="shared" si="2"/>
        <v>224583.33333333334</v>
      </c>
      <c r="I21" s="373">
        <f t="shared" si="3"/>
        <v>22458.333333333336</v>
      </c>
      <c r="J21" s="373">
        <f t="shared" si="4"/>
        <v>13212.5</v>
      </c>
      <c r="K21" s="638">
        <f t="shared" si="5"/>
        <v>188912.5</v>
      </c>
      <c r="L21" s="373">
        <f t="shared" si="10"/>
        <v>26950</v>
      </c>
      <c r="M21" s="373">
        <f t="shared" si="7"/>
        <v>49408.333333333336</v>
      </c>
      <c r="N21" s="231">
        <f t="shared" si="8"/>
        <v>1</v>
      </c>
    </row>
    <row r="22" spans="1:14">
      <c r="A22" s="494">
        <f t="shared" si="9"/>
        <v>19</v>
      </c>
      <c r="B22" s="652" t="s">
        <v>1556</v>
      </c>
      <c r="C22" s="640" t="s">
        <v>1533</v>
      </c>
      <c r="D22" s="653" t="s">
        <v>1557</v>
      </c>
      <c r="E22" s="648">
        <v>350000</v>
      </c>
      <c r="F22" s="637">
        <v>18.96</v>
      </c>
      <c r="G22" s="637">
        <f t="shared" si="1"/>
        <v>14583.333333333334</v>
      </c>
      <c r="H22" s="638">
        <f t="shared" si="2"/>
        <v>276500</v>
      </c>
      <c r="I22" s="373">
        <f t="shared" si="3"/>
        <v>27650</v>
      </c>
      <c r="J22" s="373">
        <f t="shared" si="4"/>
        <v>17885</v>
      </c>
      <c r="K22" s="638">
        <f t="shared" si="5"/>
        <v>230965</v>
      </c>
      <c r="L22" s="373">
        <f t="shared" si="10"/>
        <v>33180</v>
      </c>
      <c r="M22" s="373">
        <f t="shared" si="7"/>
        <v>60830</v>
      </c>
      <c r="N22" s="231">
        <f t="shared" si="8"/>
        <v>1</v>
      </c>
    </row>
    <row r="23" spans="1:14">
      <c r="A23" s="494">
        <f t="shared" si="9"/>
        <v>20</v>
      </c>
      <c r="B23" s="649" t="s">
        <v>1558</v>
      </c>
      <c r="C23" s="640" t="s">
        <v>1533</v>
      </c>
      <c r="D23" s="376" t="s">
        <v>1559</v>
      </c>
      <c r="E23" s="648">
        <v>400000</v>
      </c>
      <c r="F23" s="637">
        <v>28.38</v>
      </c>
      <c r="G23" s="637">
        <f t="shared" si="1"/>
        <v>16666.666666666668</v>
      </c>
      <c r="H23" s="638">
        <f t="shared" si="2"/>
        <v>473000</v>
      </c>
      <c r="I23" s="373">
        <f t="shared" si="3"/>
        <v>47300</v>
      </c>
      <c r="J23" s="373">
        <f t="shared" si="4"/>
        <v>35570</v>
      </c>
      <c r="K23" s="638">
        <f t="shared" si="5"/>
        <v>390130</v>
      </c>
      <c r="L23" s="373">
        <f t="shared" si="10"/>
        <v>56760</v>
      </c>
      <c r="M23" s="373">
        <f t="shared" si="7"/>
        <v>104060</v>
      </c>
      <c r="N23" s="231">
        <f t="shared" si="8"/>
        <v>1</v>
      </c>
    </row>
    <row r="24" spans="1:14">
      <c r="A24" s="494">
        <f t="shared" si="9"/>
        <v>21</v>
      </c>
      <c r="B24" s="634" t="s">
        <v>1560</v>
      </c>
      <c r="C24" s="640" t="s">
        <v>1533</v>
      </c>
      <c r="D24" s="654" t="s">
        <v>1561</v>
      </c>
      <c r="E24" s="648">
        <v>240000</v>
      </c>
      <c r="F24" s="637">
        <v>0</v>
      </c>
      <c r="G24" s="637">
        <f t="shared" si="1"/>
        <v>10000</v>
      </c>
      <c r="H24" s="638">
        <f t="shared" si="2"/>
        <v>0</v>
      </c>
      <c r="I24" s="373">
        <f t="shared" si="3"/>
        <v>0</v>
      </c>
      <c r="J24" s="373"/>
      <c r="K24" s="638">
        <f t="shared" si="5"/>
        <v>0</v>
      </c>
      <c r="L24" s="373">
        <f>+E24*0.08</f>
        <v>19200</v>
      </c>
      <c r="M24" s="373">
        <f t="shared" si="7"/>
        <v>19200</v>
      </c>
      <c r="N24" s="231">
        <f t="shared" si="8"/>
        <v>0</v>
      </c>
    </row>
    <row r="25" spans="1:14">
      <c r="A25" s="933" t="s">
        <v>6</v>
      </c>
      <c r="B25" s="934"/>
      <c r="C25" s="934"/>
      <c r="D25" s="934"/>
      <c r="E25" s="655">
        <f>SUM(E4:E24)</f>
        <v>11800000</v>
      </c>
      <c r="F25" s="656"/>
      <c r="G25" s="656"/>
      <c r="H25" s="655">
        <f t="shared" ref="H25:N25" si="11">SUM(H4:H24)</f>
        <v>10216833.333333332</v>
      </c>
      <c r="I25" s="655">
        <f t="shared" si="11"/>
        <v>1015587.5</v>
      </c>
      <c r="J25" s="655">
        <f t="shared" si="11"/>
        <v>787124.58333333337</v>
      </c>
      <c r="K25" s="655">
        <f t="shared" si="11"/>
        <v>8414121.25</v>
      </c>
      <c r="L25" s="655">
        <f t="shared" si="11"/>
        <v>1258324.1666666667</v>
      </c>
      <c r="M25" s="655">
        <f>SUM(M4:M24)</f>
        <v>2273911.666666667</v>
      </c>
      <c r="N25" s="655">
        <f t="shared" si="11"/>
        <v>19</v>
      </c>
    </row>
    <row r="26" spans="1:14">
      <c r="H26" s="80">
        <f>+H25+480000-10696833.33</f>
        <v>3.3333320170640945E-3</v>
      </c>
    </row>
    <row r="27" spans="1:14">
      <c r="H27" s="23" t="s">
        <v>1562</v>
      </c>
    </row>
    <row r="28" spans="1:14">
      <c r="H28" s="376" t="s">
        <v>1340</v>
      </c>
      <c r="I28" s="376"/>
      <c r="J28" s="376"/>
      <c r="K28" s="657" t="s">
        <v>261</v>
      </c>
      <c r="L28" s="376" t="s">
        <v>262</v>
      </c>
    </row>
    <row r="29" spans="1:14">
      <c r="H29" s="376" t="s">
        <v>1563</v>
      </c>
      <c r="I29" s="376"/>
      <c r="J29" s="658">
        <v>700200</v>
      </c>
      <c r="K29" s="118">
        <f>+L25</f>
        <v>1258324.1666666667</v>
      </c>
      <c r="L29" s="6"/>
    </row>
    <row r="30" spans="1:14">
      <c r="H30" s="376" t="s">
        <v>1563</v>
      </c>
      <c r="I30" s="376"/>
      <c r="J30" s="658">
        <v>310800</v>
      </c>
      <c r="K30" s="6"/>
      <c r="L30" s="118">
        <f>+L25</f>
        <v>1258324.1666666667</v>
      </c>
    </row>
    <row r="31" spans="1:14">
      <c r="H31" s="376" t="s">
        <v>1564</v>
      </c>
      <c r="I31" s="376"/>
      <c r="J31" s="658">
        <v>310800</v>
      </c>
      <c r="K31" s="6"/>
      <c r="L31" s="118">
        <f>+I25</f>
        <v>1015587.5</v>
      </c>
    </row>
    <row r="32" spans="1:14">
      <c r="H32" s="376" t="s">
        <v>1565</v>
      </c>
      <c r="I32" s="376"/>
      <c r="J32" s="658">
        <v>310700</v>
      </c>
      <c r="K32" s="6"/>
      <c r="L32" s="118">
        <f>+J25</f>
        <v>787124.58333333337</v>
      </c>
    </row>
    <row r="33" spans="1:14">
      <c r="H33" s="376" t="s">
        <v>1566</v>
      </c>
      <c r="I33" s="376"/>
      <c r="J33" s="658">
        <v>311000</v>
      </c>
      <c r="K33" s="6"/>
      <c r="L33" s="118">
        <f>+K25</f>
        <v>8414121.25</v>
      </c>
    </row>
    <row r="34" spans="1:14">
      <c r="H34" s="376" t="s">
        <v>2623</v>
      </c>
      <c r="I34" s="376"/>
      <c r="J34" s="658">
        <v>700100</v>
      </c>
      <c r="K34" s="647">
        <f>+L33+L32+L31</f>
        <v>10216833.333333334</v>
      </c>
      <c r="L34" s="376"/>
    </row>
    <row r="39" spans="1:14">
      <c r="A39" s="625"/>
      <c r="B39" s="625" t="s">
        <v>1567</v>
      </c>
      <c r="C39" s="625"/>
      <c r="D39" s="626"/>
      <c r="E39" s="626"/>
      <c r="F39" s="626"/>
      <c r="G39" s="626"/>
      <c r="H39" s="626"/>
      <c r="I39" s="626"/>
      <c r="J39" s="626"/>
      <c r="K39" s="626"/>
      <c r="L39" s="626"/>
      <c r="M39" s="626"/>
    </row>
    <row r="40" spans="1:14">
      <c r="A40" s="627" t="s">
        <v>1499</v>
      </c>
      <c r="B40" s="627"/>
      <c r="C40" s="627"/>
      <c r="D40" s="627"/>
      <c r="E40" s="628"/>
      <c r="F40" s="627"/>
      <c r="G40" s="627"/>
      <c r="H40" s="629"/>
      <c r="I40" s="629"/>
      <c r="J40" s="629"/>
      <c r="K40" s="629"/>
      <c r="L40" s="629"/>
      <c r="M40" s="629"/>
    </row>
    <row r="41" spans="1:14" ht="38.25">
      <c r="A41" s="630" t="s">
        <v>1</v>
      </c>
      <c r="B41" s="630" t="s">
        <v>1356</v>
      </c>
      <c r="C41" s="630" t="s">
        <v>1357</v>
      </c>
      <c r="D41" s="631" t="s">
        <v>1500</v>
      </c>
      <c r="E41" s="630" t="s">
        <v>1501</v>
      </c>
      <c r="F41" s="631" t="s">
        <v>1502</v>
      </c>
      <c r="G41" s="631" t="s">
        <v>1503</v>
      </c>
      <c r="H41" s="632" t="s">
        <v>1504</v>
      </c>
      <c r="I41" s="633" t="s">
        <v>1505</v>
      </c>
      <c r="J41" s="633" t="s">
        <v>1506</v>
      </c>
      <c r="K41" s="633" t="s">
        <v>1507</v>
      </c>
      <c r="L41" s="632" t="s">
        <v>1508</v>
      </c>
      <c r="M41" s="633" t="s">
        <v>1509</v>
      </c>
      <c r="N41" s="231" t="s">
        <v>1876</v>
      </c>
    </row>
    <row r="42" spans="1:14">
      <c r="A42" s="494">
        <v>1</v>
      </c>
      <c r="B42" s="634" t="s">
        <v>1510</v>
      </c>
      <c r="C42" s="635" t="s">
        <v>1512</v>
      </c>
      <c r="D42" s="635" t="s">
        <v>1511</v>
      </c>
      <c r="E42" s="636">
        <v>1200000</v>
      </c>
      <c r="F42" s="637">
        <v>20</v>
      </c>
      <c r="G42" s="637">
        <f>+E42/20</f>
        <v>60000</v>
      </c>
      <c r="H42" s="638">
        <f>+G42*F42</f>
        <v>1200000</v>
      </c>
      <c r="I42" s="373">
        <f>+H42*0.1</f>
        <v>120000</v>
      </c>
      <c r="J42" s="373">
        <f>+(H42-I42)*0.1-7000</f>
        <v>101000</v>
      </c>
      <c r="K42" s="638">
        <f>+H42-I42-J42</f>
        <v>979000</v>
      </c>
      <c r="L42" s="373">
        <f>+H42*0.12</f>
        <v>144000</v>
      </c>
      <c r="M42" s="373">
        <f>+I42+L42</f>
        <v>264000</v>
      </c>
      <c r="N42" s="231">
        <f>+IF(J42,1,0)</f>
        <v>1</v>
      </c>
    </row>
    <row r="43" spans="1:14">
      <c r="A43" s="494">
        <f>+A42+1</f>
        <v>2</v>
      </c>
      <c r="B43" s="639" t="s">
        <v>1513</v>
      </c>
      <c r="C43" s="640" t="s">
        <v>1515</v>
      </c>
      <c r="D43" s="640" t="s">
        <v>1514</v>
      </c>
      <c r="E43" s="425">
        <v>1200000</v>
      </c>
      <c r="F43" s="637">
        <v>20</v>
      </c>
      <c r="G43" s="637">
        <f t="shared" ref="G43:G60" si="12">+E43/20</f>
        <v>60000</v>
      </c>
      <c r="H43" s="638">
        <f t="shared" ref="H43:H60" si="13">+G43*F43</f>
        <v>1200000</v>
      </c>
      <c r="I43" s="373">
        <f t="shared" ref="I43:I60" si="14">+H43*0.1</f>
        <v>120000</v>
      </c>
      <c r="J43" s="373">
        <f t="shared" ref="J43:J45" si="15">+(H43-I43)*0.1-7000</f>
        <v>101000</v>
      </c>
      <c r="K43" s="638">
        <f t="shared" ref="K43:K60" si="16">+H43-I43-J43</f>
        <v>979000</v>
      </c>
      <c r="L43" s="373">
        <f t="shared" ref="L43:L45" si="17">+H43*0.12</f>
        <v>144000</v>
      </c>
      <c r="M43" s="373">
        <f t="shared" ref="M43:M60" si="18">+I43+L43</f>
        <v>264000</v>
      </c>
      <c r="N43" s="231">
        <f t="shared" ref="N43:N60" si="19">+IF(J43,1,0)</f>
        <v>1</v>
      </c>
    </row>
    <row r="44" spans="1:14">
      <c r="A44" s="494">
        <f t="shared" ref="A44:A60" si="20">+A43+1</f>
        <v>3</v>
      </c>
      <c r="B44" s="641" t="s">
        <v>1516</v>
      </c>
      <c r="C44" s="640" t="s">
        <v>1518</v>
      </c>
      <c r="D44" s="640" t="s">
        <v>1517</v>
      </c>
      <c r="E44" s="642">
        <v>1400000</v>
      </c>
      <c r="F44" s="637">
        <v>20</v>
      </c>
      <c r="G44" s="637">
        <f t="shared" si="12"/>
        <v>70000</v>
      </c>
      <c r="H44" s="638">
        <f t="shared" si="13"/>
        <v>1400000</v>
      </c>
      <c r="I44" s="373">
        <f t="shared" si="14"/>
        <v>140000</v>
      </c>
      <c r="J44" s="373">
        <f t="shared" si="15"/>
        <v>119000</v>
      </c>
      <c r="K44" s="638">
        <f t="shared" si="16"/>
        <v>1141000</v>
      </c>
      <c r="L44" s="373">
        <f t="shared" si="17"/>
        <v>168000</v>
      </c>
      <c r="M44" s="373">
        <f t="shared" si="18"/>
        <v>308000</v>
      </c>
      <c r="N44" s="231">
        <f t="shared" si="19"/>
        <v>1</v>
      </c>
    </row>
    <row r="45" spans="1:14">
      <c r="A45" s="494">
        <f t="shared" si="20"/>
        <v>4</v>
      </c>
      <c r="B45" s="639" t="s">
        <v>1519</v>
      </c>
      <c r="C45" s="640" t="s">
        <v>1521</v>
      </c>
      <c r="D45" s="640" t="s">
        <v>1520</v>
      </c>
      <c r="E45" s="642">
        <v>1000000</v>
      </c>
      <c r="F45" s="637">
        <v>20</v>
      </c>
      <c r="G45" s="637">
        <f t="shared" si="12"/>
        <v>50000</v>
      </c>
      <c r="H45" s="638">
        <f t="shared" si="13"/>
        <v>1000000</v>
      </c>
      <c r="I45" s="373">
        <f t="shared" si="14"/>
        <v>100000</v>
      </c>
      <c r="J45" s="373">
        <f t="shared" si="15"/>
        <v>83000</v>
      </c>
      <c r="K45" s="638">
        <f t="shared" si="16"/>
        <v>817000</v>
      </c>
      <c r="L45" s="373">
        <f t="shared" si="17"/>
        <v>120000</v>
      </c>
      <c r="M45" s="373">
        <f t="shared" si="18"/>
        <v>220000</v>
      </c>
      <c r="N45" s="231">
        <f t="shared" si="19"/>
        <v>1</v>
      </c>
    </row>
    <row r="46" spans="1:14">
      <c r="A46" s="494">
        <f t="shared" si="20"/>
        <v>5</v>
      </c>
      <c r="B46" s="644" t="s">
        <v>1525</v>
      </c>
      <c r="C46" s="645" t="s">
        <v>1527</v>
      </c>
      <c r="D46" s="640" t="s">
        <v>1526</v>
      </c>
      <c r="E46" s="642">
        <v>240000</v>
      </c>
      <c r="F46" s="637">
        <v>0</v>
      </c>
      <c r="G46" s="637"/>
      <c r="H46" s="638">
        <f t="shared" si="13"/>
        <v>0</v>
      </c>
      <c r="I46" s="373">
        <f t="shared" si="14"/>
        <v>0</v>
      </c>
      <c r="J46" s="373"/>
      <c r="K46" s="638">
        <f t="shared" si="16"/>
        <v>0</v>
      </c>
      <c r="L46" s="373">
        <f>+E46*0.08</f>
        <v>19200</v>
      </c>
      <c r="M46" s="373">
        <f t="shared" si="18"/>
        <v>19200</v>
      </c>
      <c r="N46" s="231">
        <f t="shared" si="19"/>
        <v>0</v>
      </c>
    </row>
    <row r="47" spans="1:14">
      <c r="A47" s="494">
        <f t="shared" si="20"/>
        <v>6</v>
      </c>
      <c r="B47" s="639" t="s">
        <v>1528</v>
      </c>
      <c r="C47" s="645" t="s">
        <v>1530</v>
      </c>
      <c r="D47" s="640" t="s">
        <v>1529</v>
      </c>
      <c r="E47" s="425">
        <v>350000</v>
      </c>
      <c r="F47" s="637">
        <v>20</v>
      </c>
      <c r="G47" s="637">
        <f t="shared" si="12"/>
        <v>17500</v>
      </c>
      <c r="H47" s="638">
        <f t="shared" si="13"/>
        <v>350000</v>
      </c>
      <c r="I47" s="373">
        <f>+H47*0.078</f>
        <v>27300</v>
      </c>
      <c r="J47" s="373">
        <f t="shared" ref="J47:J59" si="21">+(H47-I47)*0.1-7000</f>
        <v>25270</v>
      </c>
      <c r="K47" s="638">
        <f t="shared" si="16"/>
        <v>297430</v>
      </c>
      <c r="L47" s="373">
        <f>+E47*0.098</f>
        <v>34300</v>
      </c>
      <c r="M47" s="373">
        <f t="shared" si="18"/>
        <v>61600</v>
      </c>
      <c r="N47" s="231">
        <f t="shared" si="19"/>
        <v>1</v>
      </c>
    </row>
    <row r="48" spans="1:14">
      <c r="A48" s="494">
        <f t="shared" si="20"/>
        <v>7</v>
      </c>
      <c r="B48" s="639" t="s">
        <v>1534</v>
      </c>
      <c r="C48" s="640" t="s">
        <v>1536</v>
      </c>
      <c r="D48" s="643" t="s">
        <v>1535</v>
      </c>
      <c r="E48" s="642">
        <v>350000</v>
      </c>
      <c r="F48" s="637">
        <v>23.520000000000003</v>
      </c>
      <c r="G48" s="637">
        <f t="shared" si="12"/>
        <v>17500</v>
      </c>
      <c r="H48" s="638">
        <f t="shared" si="13"/>
        <v>411600.00000000006</v>
      </c>
      <c r="I48" s="373">
        <f t="shared" si="14"/>
        <v>41160.000000000007</v>
      </c>
      <c r="J48" s="373">
        <f t="shared" si="21"/>
        <v>30044.000000000007</v>
      </c>
      <c r="K48" s="638">
        <f t="shared" si="16"/>
        <v>340396.00000000006</v>
      </c>
      <c r="L48" s="373">
        <f t="shared" ref="L48:L59" si="22">+H48*0.12</f>
        <v>49392.000000000007</v>
      </c>
      <c r="M48" s="373">
        <f t="shared" si="18"/>
        <v>90552.000000000015</v>
      </c>
      <c r="N48" s="231">
        <f t="shared" si="19"/>
        <v>1</v>
      </c>
    </row>
    <row r="49" spans="1:14">
      <c r="A49" s="494">
        <f t="shared" si="20"/>
        <v>8</v>
      </c>
      <c r="B49" s="649" t="s">
        <v>1537</v>
      </c>
      <c r="C49" s="646" t="s">
        <v>1533</v>
      </c>
      <c r="D49" s="376" t="s">
        <v>1538</v>
      </c>
      <c r="E49" s="642">
        <v>400000</v>
      </c>
      <c r="F49" s="637">
        <v>22.45</v>
      </c>
      <c r="G49" s="637">
        <f t="shared" si="12"/>
        <v>20000</v>
      </c>
      <c r="H49" s="638">
        <f t="shared" si="13"/>
        <v>449000</v>
      </c>
      <c r="I49" s="373">
        <f t="shared" si="14"/>
        <v>44900</v>
      </c>
      <c r="J49" s="373">
        <f t="shared" si="21"/>
        <v>33410</v>
      </c>
      <c r="K49" s="638">
        <f t="shared" si="16"/>
        <v>370690</v>
      </c>
      <c r="L49" s="373">
        <f t="shared" si="22"/>
        <v>53880</v>
      </c>
      <c r="M49" s="373">
        <f t="shared" si="18"/>
        <v>98780</v>
      </c>
      <c r="N49" s="231">
        <f t="shared" si="19"/>
        <v>1</v>
      </c>
    </row>
    <row r="50" spans="1:14">
      <c r="A50" s="494">
        <f t="shared" si="20"/>
        <v>9</v>
      </c>
      <c r="B50" s="649" t="s">
        <v>1539</v>
      </c>
      <c r="C50" s="646" t="s">
        <v>1533</v>
      </c>
      <c r="D50" s="376" t="s">
        <v>1540</v>
      </c>
      <c r="E50" s="642">
        <v>400000</v>
      </c>
      <c r="F50" s="637">
        <v>23.1</v>
      </c>
      <c r="G50" s="637">
        <f t="shared" si="12"/>
        <v>20000</v>
      </c>
      <c r="H50" s="638">
        <f t="shared" si="13"/>
        <v>462000</v>
      </c>
      <c r="I50" s="373">
        <f t="shared" si="14"/>
        <v>46200</v>
      </c>
      <c r="J50" s="373">
        <f t="shared" si="21"/>
        <v>34580</v>
      </c>
      <c r="K50" s="638">
        <f t="shared" si="16"/>
        <v>381220</v>
      </c>
      <c r="L50" s="373">
        <f t="shared" si="22"/>
        <v>55440</v>
      </c>
      <c r="M50" s="373">
        <f t="shared" si="18"/>
        <v>101640</v>
      </c>
      <c r="N50" s="231">
        <f t="shared" si="19"/>
        <v>1</v>
      </c>
    </row>
    <row r="51" spans="1:14">
      <c r="A51" s="494">
        <f t="shared" si="20"/>
        <v>10</v>
      </c>
      <c r="B51" s="634" t="s">
        <v>1541</v>
      </c>
      <c r="C51" s="646" t="s">
        <v>1533</v>
      </c>
      <c r="D51" s="650" t="s">
        <v>1542</v>
      </c>
      <c r="E51" s="642">
        <v>400000</v>
      </c>
      <c r="F51" s="637">
        <v>20</v>
      </c>
      <c r="G51" s="637">
        <f t="shared" si="12"/>
        <v>20000</v>
      </c>
      <c r="H51" s="638">
        <f t="shared" si="13"/>
        <v>400000</v>
      </c>
      <c r="I51" s="373">
        <f t="shared" si="14"/>
        <v>40000</v>
      </c>
      <c r="J51" s="373">
        <f t="shared" si="21"/>
        <v>29000</v>
      </c>
      <c r="K51" s="638">
        <f t="shared" si="16"/>
        <v>331000</v>
      </c>
      <c r="L51" s="373">
        <f t="shared" si="22"/>
        <v>48000</v>
      </c>
      <c r="M51" s="373">
        <f t="shared" si="18"/>
        <v>88000</v>
      </c>
      <c r="N51" s="231">
        <f t="shared" si="19"/>
        <v>1</v>
      </c>
    </row>
    <row r="52" spans="1:14">
      <c r="A52" s="494">
        <f t="shared" si="20"/>
        <v>11</v>
      </c>
      <c r="B52" s="634" t="s">
        <v>1543</v>
      </c>
      <c r="C52" s="646" t="s">
        <v>1533</v>
      </c>
      <c r="D52" s="640" t="s">
        <v>1544</v>
      </c>
      <c r="E52" s="642">
        <v>800000</v>
      </c>
      <c r="F52" s="637">
        <v>17.5</v>
      </c>
      <c r="G52" s="637">
        <f t="shared" si="12"/>
        <v>40000</v>
      </c>
      <c r="H52" s="638">
        <f t="shared" si="13"/>
        <v>700000</v>
      </c>
      <c r="I52" s="373">
        <f t="shared" si="14"/>
        <v>70000</v>
      </c>
      <c r="J52" s="373">
        <f t="shared" si="21"/>
        <v>56000</v>
      </c>
      <c r="K52" s="638">
        <f t="shared" si="16"/>
        <v>574000</v>
      </c>
      <c r="L52" s="373">
        <f t="shared" si="22"/>
        <v>84000</v>
      </c>
      <c r="M52" s="373">
        <f t="shared" si="18"/>
        <v>154000</v>
      </c>
      <c r="N52" s="231">
        <f t="shared" si="19"/>
        <v>1</v>
      </c>
    </row>
    <row r="53" spans="1:14">
      <c r="A53" s="494">
        <f t="shared" si="20"/>
        <v>12</v>
      </c>
      <c r="B53" s="634" t="s">
        <v>1545</v>
      </c>
      <c r="C53" s="646" t="s">
        <v>1533</v>
      </c>
      <c r="D53" s="650" t="s">
        <v>1546</v>
      </c>
      <c r="E53" s="642">
        <v>400000</v>
      </c>
      <c r="F53" s="637">
        <v>15.92</v>
      </c>
      <c r="G53" s="637">
        <f t="shared" si="12"/>
        <v>20000</v>
      </c>
      <c r="H53" s="638">
        <f t="shared" si="13"/>
        <v>318400</v>
      </c>
      <c r="I53" s="373">
        <f t="shared" si="14"/>
        <v>31840</v>
      </c>
      <c r="J53" s="373">
        <f t="shared" si="21"/>
        <v>21656</v>
      </c>
      <c r="K53" s="638">
        <f t="shared" si="16"/>
        <v>264904</v>
      </c>
      <c r="L53" s="373">
        <f t="shared" si="22"/>
        <v>38208</v>
      </c>
      <c r="M53" s="373">
        <f t="shared" si="18"/>
        <v>70048</v>
      </c>
      <c r="N53" s="231">
        <f t="shared" si="19"/>
        <v>1</v>
      </c>
    </row>
    <row r="54" spans="1:14">
      <c r="A54" s="494">
        <f t="shared" si="20"/>
        <v>13</v>
      </c>
      <c r="B54" s="649" t="s">
        <v>1547</v>
      </c>
      <c r="C54" s="640" t="s">
        <v>1533</v>
      </c>
      <c r="D54" s="376" t="s">
        <v>1548</v>
      </c>
      <c r="E54" s="642">
        <v>400000</v>
      </c>
      <c r="F54" s="637">
        <v>23.21</v>
      </c>
      <c r="G54" s="637">
        <f t="shared" si="12"/>
        <v>20000</v>
      </c>
      <c r="H54" s="638">
        <f t="shared" si="13"/>
        <v>464200</v>
      </c>
      <c r="I54" s="373">
        <f t="shared" si="14"/>
        <v>46420</v>
      </c>
      <c r="J54" s="373">
        <f t="shared" si="21"/>
        <v>34778</v>
      </c>
      <c r="K54" s="638">
        <f t="shared" si="16"/>
        <v>383002</v>
      </c>
      <c r="L54" s="373">
        <f t="shared" si="22"/>
        <v>55704</v>
      </c>
      <c r="M54" s="373">
        <f t="shared" si="18"/>
        <v>102124</v>
      </c>
      <c r="N54" s="231">
        <f t="shared" si="19"/>
        <v>1</v>
      </c>
    </row>
    <row r="55" spans="1:14">
      <c r="A55" s="494">
        <f t="shared" si="20"/>
        <v>14</v>
      </c>
      <c r="B55" s="634" t="s">
        <v>1549</v>
      </c>
      <c r="C55" s="640" t="s">
        <v>1533</v>
      </c>
      <c r="D55" s="651" t="s">
        <v>1550</v>
      </c>
      <c r="E55" s="642">
        <v>520000</v>
      </c>
      <c r="F55" s="637">
        <v>22.94</v>
      </c>
      <c r="G55" s="637">
        <f t="shared" si="12"/>
        <v>26000</v>
      </c>
      <c r="H55" s="638">
        <f t="shared" si="13"/>
        <v>596440</v>
      </c>
      <c r="I55" s="373">
        <f t="shared" si="14"/>
        <v>59644</v>
      </c>
      <c r="J55" s="373">
        <f t="shared" si="21"/>
        <v>46679.600000000006</v>
      </c>
      <c r="K55" s="638">
        <f t="shared" si="16"/>
        <v>490116.4</v>
      </c>
      <c r="L55" s="373">
        <f t="shared" si="22"/>
        <v>71572.800000000003</v>
      </c>
      <c r="M55" s="373">
        <f t="shared" si="18"/>
        <v>131216.79999999999</v>
      </c>
      <c r="N55" s="231">
        <f t="shared" si="19"/>
        <v>1</v>
      </c>
    </row>
    <row r="56" spans="1:14">
      <c r="A56" s="494">
        <f t="shared" si="20"/>
        <v>15</v>
      </c>
      <c r="B56" s="652" t="s">
        <v>1551</v>
      </c>
      <c r="C56" s="640" t="s">
        <v>1553</v>
      </c>
      <c r="D56" s="653" t="s">
        <v>1552</v>
      </c>
      <c r="E56" s="642">
        <v>400000</v>
      </c>
      <c r="F56" s="637">
        <v>22.380000000000003</v>
      </c>
      <c r="G56" s="637">
        <f t="shared" si="12"/>
        <v>20000</v>
      </c>
      <c r="H56" s="638">
        <f t="shared" si="13"/>
        <v>447600.00000000006</v>
      </c>
      <c r="I56" s="373">
        <f t="shared" si="14"/>
        <v>44760.000000000007</v>
      </c>
      <c r="J56" s="373">
        <f t="shared" si="21"/>
        <v>33284.000000000007</v>
      </c>
      <c r="K56" s="638">
        <f t="shared" si="16"/>
        <v>369556.00000000006</v>
      </c>
      <c r="L56" s="373">
        <f t="shared" si="22"/>
        <v>53712.000000000007</v>
      </c>
      <c r="M56" s="373">
        <f t="shared" si="18"/>
        <v>98472.000000000015</v>
      </c>
      <c r="N56" s="231">
        <f t="shared" si="19"/>
        <v>1</v>
      </c>
    </row>
    <row r="57" spans="1:14">
      <c r="A57" s="494">
        <f t="shared" si="20"/>
        <v>16</v>
      </c>
      <c r="B57" s="649" t="s">
        <v>1554</v>
      </c>
      <c r="C57" s="640" t="s">
        <v>1533</v>
      </c>
      <c r="D57" s="640" t="s">
        <v>1555</v>
      </c>
      <c r="E57" s="642">
        <v>350000</v>
      </c>
      <c r="F57" s="637">
        <v>15</v>
      </c>
      <c r="G57" s="637">
        <f t="shared" si="12"/>
        <v>17500</v>
      </c>
      <c r="H57" s="638">
        <f t="shared" si="13"/>
        <v>262500</v>
      </c>
      <c r="I57" s="373">
        <f t="shared" si="14"/>
        <v>26250</v>
      </c>
      <c r="J57" s="373">
        <f t="shared" si="21"/>
        <v>16625</v>
      </c>
      <c r="K57" s="638">
        <f t="shared" si="16"/>
        <v>219625</v>
      </c>
      <c r="L57" s="373">
        <f t="shared" si="22"/>
        <v>31500</v>
      </c>
      <c r="M57" s="373">
        <f t="shared" si="18"/>
        <v>57750</v>
      </c>
      <c r="N57" s="231">
        <f t="shared" si="19"/>
        <v>1</v>
      </c>
    </row>
    <row r="58" spans="1:14">
      <c r="A58" s="494">
        <f t="shared" si="20"/>
        <v>17</v>
      </c>
      <c r="B58" s="652" t="s">
        <v>1556</v>
      </c>
      <c r="C58" s="640" t="s">
        <v>1533</v>
      </c>
      <c r="D58" s="653" t="s">
        <v>1557</v>
      </c>
      <c r="E58" s="642">
        <v>350000</v>
      </c>
      <c r="F58" s="637">
        <v>21.01</v>
      </c>
      <c r="G58" s="637">
        <f t="shared" si="12"/>
        <v>17500</v>
      </c>
      <c r="H58" s="638">
        <f t="shared" si="13"/>
        <v>367675</v>
      </c>
      <c r="I58" s="373">
        <f t="shared" si="14"/>
        <v>36767.5</v>
      </c>
      <c r="J58" s="373">
        <f t="shared" si="21"/>
        <v>26090.75</v>
      </c>
      <c r="K58" s="638">
        <f t="shared" si="16"/>
        <v>304816.75</v>
      </c>
      <c r="L58" s="373">
        <f t="shared" si="22"/>
        <v>44121</v>
      </c>
      <c r="M58" s="373">
        <f t="shared" si="18"/>
        <v>80888.5</v>
      </c>
      <c r="N58" s="231">
        <f t="shared" si="19"/>
        <v>1</v>
      </c>
    </row>
    <row r="59" spans="1:14">
      <c r="A59" s="494">
        <f t="shared" si="20"/>
        <v>18</v>
      </c>
      <c r="B59" s="649" t="s">
        <v>1558</v>
      </c>
      <c r="C59" s="640" t="s">
        <v>1533</v>
      </c>
      <c r="D59" s="376" t="s">
        <v>1559</v>
      </c>
      <c r="E59" s="642">
        <v>400000</v>
      </c>
      <c r="F59" s="637">
        <v>18.739999999999998</v>
      </c>
      <c r="G59" s="637">
        <f t="shared" si="12"/>
        <v>20000</v>
      </c>
      <c r="H59" s="638">
        <f t="shared" si="13"/>
        <v>374799.99999999994</v>
      </c>
      <c r="I59" s="373">
        <f t="shared" si="14"/>
        <v>37479.999999999993</v>
      </c>
      <c r="J59" s="373">
        <f t="shared" si="21"/>
        <v>26731.999999999993</v>
      </c>
      <c r="K59" s="638">
        <f t="shared" si="16"/>
        <v>310587.99999999994</v>
      </c>
      <c r="L59" s="373">
        <f t="shared" si="22"/>
        <v>44975.999999999993</v>
      </c>
      <c r="M59" s="373">
        <f t="shared" si="18"/>
        <v>82455.999999999985</v>
      </c>
      <c r="N59" s="231">
        <f t="shared" si="19"/>
        <v>1</v>
      </c>
    </row>
    <row r="60" spans="1:14">
      <c r="A60" s="494">
        <f t="shared" si="20"/>
        <v>19</v>
      </c>
      <c r="B60" s="634" t="s">
        <v>1560</v>
      </c>
      <c r="C60" s="640" t="s">
        <v>1533</v>
      </c>
      <c r="D60" s="654" t="s">
        <v>1561</v>
      </c>
      <c r="E60" s="642">
        <v>240000</v>
      </c>
      <c r="F60" s="637">
        <v>0</v>
      </c>
      <c r="G60" s="637">
        <f t="shared" si="12"/>
        <v>12000</v>
      </c>
      <c r="H60" s="638">
        <f t="shared" si="13"/>
        <v>0</v>
      </c>
      <c r="I60" s="373">
        <f t="shared" si="14"/>
        <v>0</v>
      </c>
      <c r="J60" s="373"/>
      <c r="K60" s="638">
        <f t="shared" si="16"/>
        <v>0</v>
      </c>
      <c r="L60" s="373">
        <f>+E60*0.08</f>
        <v>19200</v>
      </c>
      <c r="M60" s="373">
        <f t="shared" si="18"/>
        <v>19200</v>
      </c>
      <c r="N60" s="231">
        <f t="shared" si="19"/>
        <v>0</v>
      </c>
    </row>
    <row r="61" spans="1:14">
      <c r="A61" s="932" t="s">
        <v>6</v>
      </c>
      <c r="B61" s="932"/>
      <c r="C61" s="932"/>
      <c r="D61" s="932"/>
      <c r="E61" s="659">
        <f>SUM(E42:E60)</f>
        <v>10800000</v>
      </c>
      <c r="F61" s="492"/>
      <c r="G61" s="492"/>
      <c r="H61" s="659">
        <f t="shared" ref="H61:N61" si="23">SUM(H42:H60)</f>
        <v>10404215</v>
      </c>
      <c r="I61" s="655">
        <f t="shared" si="23"/>
        <v>1032721.5</v>
      </c>
      <c r="J61" s="655">
        <f t="shared" si="23"/>
        <v>818149.35</v>
      </c>
      <c r="K61" s="655">
        <f t="shared" si="23"/>
        <v>8553344.1500000004</v>
      </c>
      <c r="L61" s="655">
        <f t="shared" si="23"/>
        <v>1279205.8</v>
      </c>
      <c r="M61" s="655">
        <f t="shared" si="23"/>
        <v>2311927.2999999998</v>
      </c>
      <c r="N61" s="655">
        <f t="shared" si="23"/>
        <v>17</v>
      </c>
    </row>
    <row r="62" spans="1:14">
      <c r="H62" s="80">
        <f>+H61+480000-10884215</f>
        <v>0</v>
      </c>
    </row>
    <row r="63" spans="1:14">
      <c r="H63" s="23" t="s">
        <v>1562</v>
      </c>
    </row>
    <row r="64" spans="1:14">
      <c r="H64" s="376" t="s">
        <v>1340</v>
      </c>
      <c r="I64" s="376"/>
      <c r="J64" s="376"/>
      <c r="K64" s="657" t="s">
        <v>261</v>
      </c>
      <c r="L64" s="376" t="s">
        <v>262</v>
      </c>
    </row>
    <row r="65" spans="1:14">
      <c r="H65" s="376" t="s">
        <v>1568</v>
      </c>
      <c r="I65" s="376"/>
      <c r="J65" s="658">
        <v>700200</v>
      </c>
      <c r="K65" s="118">
        <f>+L61</f>
        <v>1279205.8</v>
      </c>
      <c r="L65" s="6"/>
    </row>
    <row r="66" spans="1:14">
      <c r="H66" s="376" t="s">
        <v>1568</v>
      </c>
      <c r="I66" s="376"/>
      <c r="J66" s="658">
        <v>310800</v>
      </c>
      <c r="K66" s="6"/>
      <c r="L66" s="118">
        <f>+L61</f>
        <v>1279205.8</v>
      </c>
    </row>
    <row r="67" spans="1:14">
      <c r="H67" s="376" t="s">
        <v>1569</v>
      </c>
      <c r="I67" s="376"/>
      <c r="J67" s="658">
        <v>310800</v>
      </c>
      <c r="K67" s="6"/>
      <c r="L67" s="118">
        <f>+I61</f>
        <v>1032721.5</v>
      </c>
    </row>
    <row r="68" spans="1:14">
      <c r="H68" s="376" t="s">
        <v>1570</v>
      </c>
      <c r="I68" s="376"/>
      <c r="J68" s="658">
        <v>310700</v>
      </c>
      <c r="K68" s="6"/>
      <c r="L68" s="118">
        <f>+J61</f>
        <v>818149.35</v>
      </c>
    </row>
    <row r="69" spans="1:14">
      <c r="H69" s="376" t="s">
        <v>1571</v>
      </c>
      <c r="I69" s="376"/>
      <c r="J69" s="658">
        <v>311000</v>
      </c>
      <c r="K69" s="6"/>
      <c r="L69" s="118">
        <f>+K61</f>
        <v>8553344.1500000004</v>
      </c>
    </row>
    <row r="70" spans="1:14">
      <c r="H70" s="376" t="s">
        <v>2624</v>
      </c>
      <c r="I70" s="376"/>
      <c r="J70" s="658">
        <v>700100</v>
      </c>
      <c r="K70" s="647">
        <f>+L69+L68+L67</f>
        <v>10404215</v>
      </c>
      <c r="L70" s="376"/>
    </row>
    <row r="71" spans="1:14">
      <c r="A71" s="625"/>
      <c r="B71" s="625" t="s">
        <v>1572</v>
      </c>
      <c r="C71" s="625"/>
      <c r="D71" s="626"/>
      <c r="E71" s="626"/>
      <c r="F71" s="626"/>
      <c r="G71" s="626"/>
      <c r="H71" s="626"/>
      <c r="I71" s="626"/>
      <c r="J71" s="626"/>
      <c r="K71" s="626"/>
      <c r="L71" s="626"/>
      <c r="M71" s="626"/>
    </row>
    <row r="72" spans="1:14">
      <c r="A72" s="627" t="s">
        <v>1499</v>
      </c>
      <c r="B72" s="627"/>
      <c r="C72" s="627"/>
      <c r="D72" s="627"/>
      <c r="E72" s="628"/>
      <c r="F72" s="627"/>
      <c r="G72" s="627"/>
      <c r="H72" s="629"/>
      <c r="I72" s="629"/>
      <c r="J72" s="629"/>
      <c r="K72" s="629"/>
      <c r="L72" s="629"/>
      <c r="M72" s="629"/>
    </row>
    <row r="73" spans="1:14" ht="38.25">
      <c r="A73" s="630" t="s">
        <v>1</v>
      </c>
      <c r="B73" s="630" t="s">
        <v>1356</v>
      </c>
      <c r="C73" s="630" t="s">
        <v>1357</v>
      </c>
      <c r="D73" s="631" t="s">
        <v>1500</v>
      </c>
      <c r="E73" s="630" t="s">
        <v>1501</v>
      </c>
      <c r="F73" s="631" t="s">
        <v>1502</v>
      </c>
      <c r="G73" s="631" t="s">
        <v>1503</v>
      </c>
      <c r="H73" s="632" t="s">
        <v>1504</v>
      </c>
      <c r="I73" s="633" t="s">
        <v>1505</v>
      </c>
      <c r="J73" s="633" t="s">
        <v>1506</v>
      </c>
      <c r="K73" s="633" t="s">
        <v>1507</v>
      </c>
      <c r="L73" s="632" t="s">
        <v>1508</v>
      </c>
      <c r="M73" s="633" t="s">
        <v>1509</v>
      </c>
      <c r="N73" s="231" t="s">
        <v>1876</v>
      </c>
    </row>
    <row r="74" spans="1:14">
      <c r="A74" s="494">
        <v>1</v>
      </c>
      <c r="B74" s="634" t="s">
        <v>1510</v>
      </c>
      <c r="C74" s="635" t="s">
        <v>1512</v>
      </c>
      <c r="D74" s="635" t="s">
        <v>1511</v>
      </c>
      <c r="E74" s="636">
        <v>1200000</v>
      </c>
      <c r="F74" s="637">
        <v>22</v>
      </c>
      <c r="G74" s="637">
        <f>+E74/22</f>
        <v>54545.454545454544</v>
      </c>
      <c r="H74" s="638">
        <f>+G74*F74</f>
        <v>1200000</v>
      </c>
      <c r="I74" s="373">
        <f>+H74*0.1</f>
        <v>120000</v>
      </c>
      <c r="J74" s="373">
        <f>+(H74-I74)*0.1-7000</f>
        <v>101000</v>
      </c>
      <c r="K74" s="638">
        <f>+H74-I74-J74</f>
        <v>979000</v>
      </c>
      <c r="L74" s="373">
        <f>+H74*0.12</f>
        <v>144000</v>
      </c>
      <c r="M74" s="373">
        <f>+I74+L74</f>
        <v>264000</v>
      </c>
      <c r="N74" s="231">
        <f>+IF(J74,1,0)</f>
        <v>1</v>
      </c>
    </row>
    <row r="75" spans="1:14">
      <c r="A75" s="494">
        <f>+A74+1</f>
        <v>2</v>
      </c>
      <c r="B75" s="639" t="s">
        <v>1513</v>
      </c>
      <c r="C75" s="640" t="s">
        <v>1515</v>
      </c>
      <c r="D75" s="640" t="s">
        <v>1514</v>
      </c>
      <c r="E75" s="425">
        <v>1200000</v>
      </c>
      <c r="F75" s="637">
        <v>22</v>
      </c>
      <c r="G75" s="637">
        <f t="shared" ref="G75:G93" si="24">+E75/22</f>
        <v>54545.454545454544</v>
      </c>
      <c r="H75" s="638">
        <f t="shared" ref="H75:H93" si="25">+G75*F75</f>
        <v>1200000</v>
      </c>
      <c r="I75" s="373">
        <f t="shared" ref="I75:I93" si="26">+H75*0.1</f>
        <v>120000</v>
      </c>
      <c r="J75" s="373">
        <f t="shared" ref="J75:J93" si="27">+(H75-I75)*0.1-7000</f>
        <v>101000</v>
      </c>
      <c r="K75" s="638">
        <f t="shared" ref="K75:K93" si="28">+H75-I75-J75</f>
        <v>979000</v>
      </c>
      <c r="L75" s="373">
        <f t="shared" ref="L75:L77" si="29">+H75*0.12</f>
        <v>144000</v>
      </c>
      <c r="M75" s="373">
        <f t="shared" ref="M75:M93" si="30">+I75+L75</f>
        <v>264000</v>
      </c>
      <c r="N75" s="231">
        <f t="shared" ref="N75:N93" si="31">+IF(J75,1,0)</f>
        <v>1</v>
      </c>
    </row>
    <row r="76" spans="1:14">
      <c r="A76" s="494">
        <f t="shared" ref="A76:A93" si="32">+A75+1</f>
        <v>3</v>
      </c>
      <c r="B76" s="641" t="s">
        <v>1516</v>
      </c>
      <c r="C76" s="640" t="s">
        <v>1518</v>
      </c>
      <c r="D76" s="640" t="s">
        <v>1517</v>
      </c>
      <c r="E76" s="642">
        <v>1400000</v>
      </c>
      <c r="F76" s="637">
        <v>22</v>
      </c>
      <c r="G76" s="637">
        <f t="shared" si="24"/>
        <v>63636.36363636364</v>
      </c>
      <c r="H76" s="638">
        <f t="shared" si="25"/>
        <v>1400000</v>
      </c>
      <c r="I76" s="373">
        <f t="shared" si="26"/>
        <v>140000</v>
      </c>
      <c r="J76" s="373">
        <f t="shared" si="27"/>
        <v>119000</v>
      </c>
      <c r="K76" s="638">
        <f t="shared" si="28"/>
        <v>1141000</v>
      </c>
      <c r="L76" s="373">
        <f t="shared" si="29"/>
        <v>168000</v>
      </c>
      <c r="M76" s="373">
        <f t="shared" si="30"/>
        <v>308000</v>
      </c>
      <c r="N76" s="231">
        <f t="shared" si="31"/>
        <v>1</v>
      </c>
    </row>
    <row r="77" spans="1:14">
      <c r="A77" s="494">
        <f t="shared" si="32"/>
        <v>4</v>
      </c>
      <c r="B77" s="639" t="s">
        <v>1519</v>
      </c>
      <c r="C77" s="640" t="s">
        <v>1521</v>
      </c>
      <c r="D77" s="640" t="s">
        <v>1520</v>
      </c>
      <c r="E77" s="642">
        <v>1000000</v>
      </c>
      <c r="F77" s="637">
        <v>22</v>
      </c>
      <c r="G77" s="637">
        <f t="shared" si="24"/>
        <v>45454.545454545456</v>
      </c>
      <c r="H77" s="638">
        <f t="shared" si="25"/>
        <v>1000000</v>
      </c>
      <c r="I77" s="373">
        <f t="shared" si="26"/>
        <v>100000</v>
      </c>
      <c r="J77" s="373">
        <f t="shared" si="27"/>
        <v>83000</v>
      </c>
      <c r="K77" s="638">
        <f t="shared" si="28"/>
        <v>817000</v>
      </c>
      <c r="L77" s="373">
        <f t="shared" si="29"/>
        <v>120000</v>
      </c>
      <c r="M77" s="373">
        <f t="shared" si="30"/>
        <v>220000</v>
      </c>
      <c r="N77" s="231">
        <f t="shared" si="31"/>
        <v>1</v>
      </c>
    </row>
    <row r="78" spans="1:14">
      <c r="A78" s="494">
        <f t="shared" si="32"/>
        <v>5</v>
      </c>
      <c r="B78" s="644" t="s">
        <v>1525</v>
      </c>
      <c r="C78" s="645" t="s">
        <v>1527</v>
      </c>
      <c r="D78" s="640" t="s">
        <v>1526</v>
      </c>
      <c r="E78" s="642">
        <v>240000</v>
      </c>
      <c r="F78" s="637">
        <v>0</v>
      </c>
      <c r="G78" s="637"/>
      <c r="H78" s="638">
        <f t="shared" si="25"/>
        <v>0</v>
      </c>
      <c r="I78" s="373">
        <f t="shared" si="26"/>
        <v>0</v>
      </c>
      <c r="J78" s="373"/>
      <c r="K78" s="638">
        <f t="shared" si="28"/>
        <v>0</v>
      </c>
      <c r="L78" s="373">
        <f>+E78*0.08</f>
        <v>19200</v>
      </c>
      <c r="M78" s="373">
        <f t="shared" si="30"/>
        <v>19200</v>
      </c>
      <c r="N78" s="231">
        <f t="shared" si="31"/>
        <v>0</v>
      </c>
    </row>
    <row r="79" spans="1:14">
      <c r="A79" s="494">
        <f t="shared" si="32"/>
        <v>6</v>
      </c>
      <c r="B79" s="639" t="s">
        <v>1528</v>
      </c>
      <c r="C79" s="645" t="s">
        <v>1530</v>
      </c>
      <c r="D79" s="640" t="s">
        <v>1529</v>
      </c>
      <c r="E79" s="425">
        <v>350000</v>
      </c>
      <c r="F79" s="637">
        <v>22</v>
      </c>
      <c r="G79" s="637">
        <f t="shared" si="24"/>
        <v>15909.09090909091</v>
      </c>
      <c r="H79" s="638">
        <f t="shared" si="25"/>
        <v>350000</v>
      </c>
      <c r="I79" s="373">
        <f>+H79*0.078</f>
        <v>27300</v>
      </c>
      <c r="J79" s="373">
        <f t="shared" si="27"/>
        <v>25270</v>
      </c>
      <c r="K79" s="638">
        <f t="shared" si="28"/>
        <v>297430</v>
      </c>
      <c r="L79" s="373">
        <f>+E79*0.098</f>
        <v>34300</v>
      </c>
      <c r="M79" s="373">
        <f t="shared" si="30"/>
        <v>61600</v>
      </c>
      <c r="N79" s="231">
        <f t="shared" si="31"/>
        <v>1</v>
      </c>
    </row>
    <row r="80" spans="1:14">
      <c r="A80" s="494">
        <f t="shared" si="32"/>
        <v>7</v>
      </c>
      <c r="B80" s="639" t="s">
        <v>1531</v>
      </c>
      <c r="C80" s="640" t="s">
        <v>1536</v>
      </c>
      <c r="D80" s="376" t="s">
        <v>1532</v>
      </c>
      <c r="E80" s="642">
        <v>400000</v>
      </c>
      <c r="F80" s="637">
        <v>7.62</v>
      </c>
      <c r="G80" s="637">
        <f t="shared" si="24"/>
        <v>18181.81818181818</v>
      </c>
      <c r="H80" s="638">
        <f t="shared" si="25"/>
        <v>138545.45454545453</v>
      </c>
      <c r="I80" s="373">
        <f t="shared" si="26"/>
        <v>13854.545454545454</v>
      </c>
      <c r="J80" s="373">
        <f t="shared" si="27"/>
        <v>5469.0909090909081</v>
      </c>
      <c r="K80" s="638">
        <f t="shared" si="28"/>
        <v>119221.81818181816</v>
      </c>
      <c r="L80" s="373">
        <f t="shared" ref="L80:L93" si="33">+H80*0.12</f>
        <v>16625.454545454544</v>
      </c>
      <c r="M80" s="373">
        <f t="shared" si="30"/>
        <v>30480</v>
      </c>
      <c r="N80" s="231">
        <f t="shared" si="31"/>
        <v>1</v>
      </c>
    </row>
    <row r="81" spans="1:14">
      <c r="A81" s="494">
        <f t="shared" si="32"/>
        <v>8</v>
      </c>
      <c r="B81" s="639" t="s">
        <v>1534</v>
      </c>
      <c r="C81" s="646" t="s">
        <v>1533</v>
      </c>
      <c r="D81" s="643" t="s">
        <v>1535</v>
      </c>
      <c r="E81" s="642">
        <v>400000</v>
      </c>
      <c r="F81" s="637">
        <v>16.850000000000001</v>
      </c>
      <c r="G81" s="637">
        <f t="shared" si="24"/>
        <v>18181.81818181818</v>
      </c>
      <c r="H81" s="638">
        <f t="shared" si="25"/>
        <v>306363.63636363635</v>
      </c>
      <c r="I81" s="373">
        <f t="shared" si="26"/>
        <v>30636.363636363636</v>
      </c>
      <c r="J81" s="373">
        <f t="shared" si="27"/>
        <v>20572.727272727272</v>
      </c>
      <c r="K81" s="638">
        <f t="shared" si="28"/>
        <v>255154.54545454544</v>
      </c>
      <c r="L81" s="373">
        <f t="shared" si="33"/>
        <v>36763.63636363636</v>
      </c>
      <c r="M81" s="373">
        <f t="shared" si="30"/>
        <v>67400</v>
      </c>
      <c r="N81" s="231">
        <f t="shared" si="31"/>
        <v>1</v>
      </c>
    </row>
    <row r="82" spans="1:14">
      <c r="A82" s="494">
        <f t="shared" si="32"/>
        <v>9</v>
      </c>
      <c r="B82" s="649" t="s">
        <v>1537</v>
      </c>
      <c r="C82" s="646" t="s">
        <v>1533</v>
      </c>
      <c r="D82" s="376" t="s">
        <v>1538</v>
      </c>
      <c r="E82" s="642">
        <v>400000</v>
      </c>
      <c r="F82" s="637">
        <v>22.1</v>
      </c>
      <c r="G82" s="637">
        <f t="shared" si="24"/>
        <v>18181.81818181818</v>
      </c>
      <c r="H82" s="638">
        <f t="shared" si="25"/>
        <v>401818.18181818182</v>
      </c>
      <c r="I82" s="373">
        <f t="shared" si="26"/>
        <v>40181.818181818184</v>
      </c>
      <c r="J82" s="373">
        <f t="shared" si="27"/>
        <v>29163.636363636368</v>
      </c>
      <c r="K82" s="638">
        <f t="shared" si="28"/>
        <v>332472.72727272729</v>
      </c>
      <c r="L82" s="373">
        <f t="shared" si="33"/>
        <v>48218.181818181816</v>
      </c>
      <c r="M82" s="373">
        <f t="shared" si="30"/>
        <v>88400</v>
      </c>
      <c r="N82" s="231">
        <f t="shared" si="31"/>
        <v>1</v>
      </c>
    </row>
    <row r="83" spans="1:14">
      <c r="A83" s="494">
        <f t="shared" si="32"/>
        <v>10</v>
      </c>
      <c r="B83" s="649" t="s">
        <v>1539</v>
      </c>
      <c r="C83" s="646" t="s">
        <v>1533</v>
      </c>
      <c r="D83" s="376" t="s">
        <v>1540</v>
      </c>
      <c r="E83" s="642">
        <v>400000</v>
      </c>
      <c r="F83" s="637">
        <v>22.36</v>
      </c>
      <c r="G83" s="637">
        <f t="shared" si="24"/>
        <v>18181.81818181818</v>
      </c>
      <c r="H83" s="638">
        <f t="shared" si="25"/>
        <v>406545.45454545447</v>
      </c>
      <c r="I83" s="373">
        <f t="shared" si="26"/>
        <v>40654.545454545449</v>
      </c>
      <c r="J83" s="373">
        <f t="shared" si="27"/>
        <v>29589.090909090904</v>
      </c>
      <c r="K83" s="638">
        <f t="shared" si="28"/>
        <v>336301.81818181812</v>
      </c>
      <c r="L83" s="373">
        <f t="shared" si="33"/>
        <v>48785.454545454537</v>
      </c>
      <c r="M83" s="373">
        <f t="shared" si="30"/>
        <v>89439.999999999985</v>
      </c>
      <c r="N83" s="231">
        <f t="shared" si="31"/>
        <v>1</v>
      </c>
    </row>
    <row r="84" spans="1:14">
      <c r="A84" s="494">
        <f t="shared" si="32"/>
        <v>11</v>
      </c>
      <c r="B84" s="634" t="s">
        <v>1541</v>
      </c>
      <c r="C84" s="646" t="s">
        <v>1533</v>
      </c>
      <c r="D84" s="650" t="s">
        <v>1542</v>
      </c>
      <c r="E84" s="642">
        <v>400000</v>
      </c>
      <c r="F84" s="637">
        <v>20.100000000000001</v>
      </c>
      <c r="G84" s="637">
        <f t="shared" si="24"/>
        <v>18181.81818181818</v>
      </c>
      <c r="H84" s="638">
        <f t="shared" si="25"/>
        <v>365454.54545454547</v>
      </c>
      <c r="I84" s="373">
        <f t="shared" si="26"/>
        <v>36545.454545454551</v>
      </c>
      <c r="J84" s="373">
        <f t="shared" si="27"/>
        <v>25890.909090909096</v>
      </c>
      <c r="K84" s="638">
        <f t="shared" si="28"/>
        <v>303018.18181818182</v>
      </c>
      <c r="L84" s="373">
        <f t="shared" si="33"/>
        <v>43854.545454545456</v>
      </c>
      <c r="M84" s="373">
        <f t="shared" si="30"/>
        <v>80400</v>
      </c>
      <c r="N84" s="231">
        <f t="shared" si="31"/>
        <v>1</v>
      </c>
    </row>
    <row r="85" spans="1:14">
      <c r="A85" s="494">
        <f t="shared" si="32"/>
        <v>12</v>
      </c>
      <c r="B85" s="634" t="s">
        <v>1543</v>
      </c>
      <c r="C85" s="646"/>
      <c r="D85" s="640" t="s">
        <v>1544</v>
      </c>
      <c r="E85" s="642">
        <v>800000</v>
      </c>
      <c r="F85" s="637">
        <v>21.11</v>
      </c>
      <c r="G85" s="637">
        <f t="shared" si="24"/>
        <v>36363.63636363636</v>
      </c>
      <c r="H85" s="638">
        <f t="shared" si="25"/>
        <v>767636.36363636353</v>
      </c>
      <c r="I85" s="373">
        <f t="shared" si="26"/>
        <v>76763.636363636353</v>
      </c>
      <c r="J85" s="373">
        <f t="shared" si="27"/>
        <v>62087.272727272721</v>
      </c>
      <c r="K85" s="638">
        <f t="shared" si="28"/>
        <v>628785.45454545447</v>
      </c>
      <c r="L85" s="373">
        <f t="shared" si="33"/>
        <v>92116.363636363618</v>
      </c>
      <c r="M85" s="373">
        <f t="shared" si="30"/>
        <v>168879.99999999997</v>
      </c>
      <c r="N85" s="231">
        <f t="shared" si="31"/>
        <v>1</v>
      </c>
    </row>
    <row r="86" spans="1:14">
      <c r="A86" s="494">
        <f t="shared" si="32"/>
        <v>13</v>
      </c>
      <c r="B86" s="634" t="s">
        <v>1545</v>
      </c>
      <c r="C86" s="646" t="s">
        <v>1533</v>
      </c>
      <c r="D86" s="650" t="s">
        <v>1546</v>
      </c>
      <c r="E86" s="642">
        <v>400000</v>
      </c>
      <c r="F86" s="637">
        <v>17.850000000000001</v>
      </c>
      <c r="G86" s="637">
        <f t="shared" si="24"/>
        <v>18181.81818181818</v>
      </c>
      <c r="H86" s="638">
        <f t="shared" si="25"/>
        <v>324545.45454545453</v>
      </c>
      <c r="I86" s="373">
        <f t="shared" si="26"/>
        <v>32454.545454545456</v>
      </c>
      <c r="J86" s="373">
        <f t="shared" si="27"/>
        <v>22209.090909090908</v>
      </c>
      <c r="K86" s="638">
        <f t="shared" si="28"/>
        <v>269881.81818181818</v>
      </c>
      <c r="L86" s="373">
        <f t="shared" si="33"/>
        <v>38945.454545454544</v>
      </c>
      <c r="M86" s="373">
        <f t="shared" si="30"/>
        <v>71400</v>
      </c>
      <c r="N86" s="231">
        <f t="shared" si="31"/>
        <v>1</v>
      </c>
    </row>
    <row r="87" spans="1:14">
      <c r="A87" s="494">
        <f t="shared" si="32"/>
        <v>14</v>
      </c>
      <c r="B87" s="634" t="s">
        <v>1573</v>
      </c>
      <c r="C87" s="640" t="s">
        <v>1533</v>
      </c>
      <c r="D87" s="376" t="s">
        <v>1916</v>
      </c>
      <c r="E87" s="642">
        <v>400000</v>
      </c>
      <c r="F87" s="637">
        <v>15</v>
      </c>
      <c r="G87" s="637">
        <f t="shared" si="24"/>
        <v>18181.81818181818</v>
      </c>
      <c r="H87" s="638">
        <f t="shared" si="25"/>
        <v>272727.27272727271</v>
      </c>
      <c r="I87" s="373">
        <f t="shared" si="26"/>
        <v>27272.727272727272</v>
      </c>
      <c r="J87" s="373">
        <f t="shared" si="27"/>
        <v>17545.454545454544</v>
      </c>
      <c r="K87" s="638">
        <f t="shared" si="28"/>
        <v>227909.09090909088</v>
      </c>
      <c r="L87" s="373">
        <f t="shared" si="33"/>
        <v>32727.272727272724</v>
      </c>
      <c r="M87" s="373">
        <f t="shared" si="30"/>
        <v>60000</v>
      </c>
      <c r="N87" s="231">
        <f t="shared" si="31"/>
        <v>1</v>
      </c>
    </row>
    <row r="88" spans="1:14">
      <c r="A88" s="494">
        <f t="shared" si="32"/>
        <v>15</v>
      </c>
      <c r="B88" s="649" t="s">
        <v>1547</v>
      </c>
      <c r="C88" s="640" t="s">
        <v>1533</v>
      </c>
      <c r="D88" s="376" t="s">
        <v>1548</v>
      </c>
      <c r="E88" s="642">
        <v>400000</v>
      </c>
      <c r="F88" s="637">
        <v>22.36</v>
      </c>
      <c r="G88" s="637">
        <f t="shared" si="24"/>
        <v>18181.81818181818</v>
      </c>
      <c r="H88" s="638">
        <f t="shared" si="25"/>
        <v>406545.45454545447</v>
      </c>
      <c r="I88" s="373">
        <f t="shared" si="26"/>
        <v>40654.545454545449</v>
      </c>
      <c r="J88" s="373">
        <f t="shared" si="27"/>
        <v>29589.090909090904</v>
      </c>
      <c r="K88" s="638">
        <f t="shared" si="28"/>
        <v>336301.81818181812</v>
      </c>
      <c r="L88" s="373">
        <f t="shared" si="33"/>
        <v>48785.454545454537</v>
      </c>
      <c r="M88" s="373">
        <f t="shared" si="30"/>
        <v>89439.999999999985</v>
      </c>
      <c r="N88" s="231">
        <f t="shared" si="31"/>
        <v>1</v>
      </c>
    </row>
    <row r="89" spans="1:14">
      <c r="A89" s="494">
        <f t="shared" si="32"/>
        <v>16</v>
      </c>
      <c r="B89" s="634" t="s">
        <v>1549</v>
      </c>
      <c r="C89" s="640" t="s">
        <v>1553</v>
      </c>
      <c r="D89" s="651" t="s">
        <v>1550</v>
      </c>
      <c r="E89" s="642">
        <v>520000</v>
      </c>
      <c r="F89" s="637">
        <v>20.88</v>
      </c>
      <c r="G89" s="637">
        <f t="shared" si="24"/>
        <v>23636.363636363636</v>
      </c>
      <c r="H89" s="638">
        <f t="shared" si="25"/>
        <v>493527.27272727271</v>
      </c>
      <c r="I89" s="373">
        <f t="shared" si="26"/>
        <v>49352.727272727272</v>
      </c>
      <c r="J89" s="373">
        <f t="shared" si="27"/>
        <v>37417.454545454544</v>
      </c>
      <c r="K89" s="638">
        <f t="shared" si="28"/>
        <v>406757.09090909088</v>
      </c>
      <c r="L89" s="373">
        <f t="shared" si="33"/>
        <v>59223.272727272721</v>
      </c>
      <c r="M89" s="373">
        <f t="shared" si="30"/>
        <v>108576</v>
      </c>
      <c r="N89" s="231">
        <f t="shared" si="31"/>
        <v>1</v>
      </c>
    </row>
    <row r="90" spans="1:14">
      <c r="A90" s="494">
        <f t="shared" si="32"/>
        <v>17</v>
      </c>
      <c r="B90" s="652" t="s">
        <v>1551</v>
      </c>
      <c r="C90" s="640" t="s">
        <v>1533</v>
      </c>
      <c r="D90" s="653" t="s">
        <v>1552</v>
      </c>
      <c r="E90" s="642">
        <v>400000</v>
      </c>
      <c r="F90" s="637">
        <v>22.5</v>
      </c>
      <c r="G90" s="637">
        <f t="shared" si="24"/>
        <v>18181.81818181818</v>
      </c>
      <c r="H90" s="638">
        <f t="shared" si="25"/>
        <v>409090.90909090906</v>
      </c>
      <c r="I90" s="373">
        <f t="shared" si="26"/>
        <v>40909.090909090912</v>
      </c>
      <c r="J90" s="373">
        <f t="shared" si="27"/>
        <v>29818.181818181816</v>
      </c>
      <c r="K90" s="638">
        <f t="shared" si="28"/>
        <v>338363.63636363629</v>
      </c>
      <c r="L90" s="373">
        <f t="shared" si="33"/>
        <v>49090.909090909088</v>
      </c>
      <c r="M90" s="373">
        <f t="shared" si="30"/>
        <v>90000</v>
      </c>
      <c r="N90" s="231">
        <f t="shared" si="31"/>
        <v>1</v>
      </c>
    </row>
    <row r="91" spans="1:14">
      <c r="A91" s="494">
        <f t="shared" si="32"/>
        <v>18</v>
      </c>
      <c r="B91" s="652" t="s">
        <v>1556</v>
      </c>
      <c r="C91" s="640" t="s">
        <v>1533</v>
      </c>
      <c r="D91" s="653" t="s">
        <v>1557</v>
      </c>
      <c r="E91" s="642">
        <v>400000</v>
      </c>
      <c r="F91" s="637">
        <v>21.7</v>
      </c>
      <c r="G91" s="637">
        <f t="shared" si="24"/>
        <v>18181.81818181818</v>
      </c>
      <c r="H91" s="638">
        <f t="shared" si="25"/>
        <v>394545.45454545447</v>
      </c>
      <c r="I91" s="373">
        <f t="shared" si="26"/>
        <v>39454.545454545449</v>
      </c>
      <c r="J91" s="373">
        <f t="shared" si="27"/>
        <v>28509.090909090904</v>
      </c>
      <c r="K91" s="638">
        <f t="shared" si="28"/>
        <v>326581.81818181812</v>
      </c>
      <c r="L91" s="373">
        <f t="shared" si="33"/>
        <v>47345.454545454537</v>
      </c>
      <c r="M91" s="373">
        <f t="shared" si="30"/>
        <v>86799.999999999985</v>
      </c>
      <c r="N91" s="231">
        <f t="shared" si="31"/>
        <v>1</v>
      </c>
    </row>
    <row r="92" spans="1:14">
      <c r="A92" s="494">
        <f t="shared" si="32"/>
        <v>19</v>
      </c>
      <c r="B92" s="649" t="s">
        <v>1558</v>
      </c>
      <c r="C92" s="640" t="s">
        <v>1533</v>
      </c>
      <c r="D92" s="376" t="s">
        <v>1559</v>
      </c>
      <c r="E92" s="642">
        <v>400000</v>
      </c>
      <c r="F92" s="637">
        <v>18.899999999999999</v>
      </c>
      <c r="G92" s="637">
        <f t="shared" si="24"/>
        <v>18181.81818181818</v>
      </c>
      <c r="H92" s="638">
        <f t="shared" si="25"/>
        <v>343636.36363636359</v>
      </c>
      <c r="I92" s="373">
        <f t="shared" si="26"/>
        <v>34363.63636363636</v>
      </c>
      <c r="J92" s="373">
        <f t="shared" si="27"/>
        <v>23927.272727272724</v>
      </c>
      <c r="K92" s="638">
        <f t="shared" si="28"/>
        <v>285345.45454545453</v>
      </c>
      <c r="L92" s="373">
        <f t="shared" si="33"/>
        <v>41236.363636363632</v>
      </c>
      <c r="M92" s="373">
        <f t="shared" si="30"/>
        <v>75600</v>
      </c>
      <c r="N92" s="231">
        <f t="shared" si="31"/>
        <v>1</v>
      </c>
    </row>
    <row r="93" spans="1:14">
      <c r="A93" s="494">
        <f t="shared" si="32"/>
        <v>20</v>
      </c>
      <c r="B93" s="634" t="s">
        <v>1560</v>
      </c>
      <c r="C93" s="640" t="s">
        <v>1533</v>
      </c>
      <c r="D93" s="654" t="s">
        <v>1561</v>
      </c>
      <c r="E93" s="642">
        <v>400000</v>
      </c>
      <c r="F93" s="637">
        <v>8</v>
      </c>
      <c r="G93" s="637">
        <f t="shared" si="24"/>
        <v>18181.81818181818</v>
      </c>
      <c r="H93" s="638">
        <f t="shared" si="25"/>
        <v>145454.54545454544</v>
      </c>
      <c r="I93" s="373">
        <f t="shared" si="26"/>
        <v>14545.454545454544</v>
      </c>
      <c r="J93" s="373">
        <f t="shared" si="27"/>
        <v>6090.9090909090901</v>
      </c>
      <c r="K93" s="638">
        <f t="shared" si="28"/>
        <v>124818.18181818181</v>
      </c>
      <c r="L93" s="373">
        <f t="shared" si="33"/>
        <v>17454.545454545452</v>
      </c>
      <c r="M93" s="373">
        <f t="shared" si="30"/>
        <v>31999.999999999996</v>
      </c>
      <c r="N93" s="231">
        <f t="shared" si="31"/>
        <v>1</v>
      </c>
    </row>
    <row r="94" spans="1:14">
      <c r="A94" s="932" t="s">
        <v>6</v>
      </c>
      <c r="B94" s="932"/>
      <c r="C94" s="932"/>
      <c r="D94" s="932"/>
      <c r="E94" s="659">
        <f>SUM(E74:E93)</f>
        <v>11510000</v>
      </c>
      <c r="F94" s="659">
        <f t="shared" ref="F94:N94" si="34">SUM(F74:F93)</f>
        <v>367.32999999999993</v>
      </c>
      <c r="G94" s="659">
        <f t="shared" si="34"/>
        <v>512272.72727272724</v>
      </c>
      <c r="H94" s="659">
        <f t="shared" si="34"/>
        <v>10326436.363636361</v>
      </c>
      <c r="I94" s="655">
        <f>SUM(I74:I93)</f>
        <v>1024943.6363636364</v>
      </c>
      <c r="J94" s="655">
        <f t="shared" si="34"/>
        <v>797149.27272727271</v>
      </c>
      <c r="K94" s="655">
        <f t="shared" si="34"/>
        <v>8504343.4545454551</v>
      </c>
      <c r="L94" s="655">
        <f t="shared" si="34"/>
        <v>1250672.3636363638</v>
      </c>
      <c r="M94" s="655">
        <f t="shared" si="34"/>
        <v>2275616</v>
      </c>
      <c r="N94" s="655">
        <f t="shared" si="34"/>
        <v>19</v>
      </c>
    </row>
    <row r="95" spans="1:14">
      <c r="H95" s="80">
        <f>+H94+240000-10566436.33</f>
        <v>3.3636361360549927E-2</v>
      </c>
    </row>
    <row r="96" spans="1:14">
      <c r="H96" s="23" t="s">
        <v>1562</v>
      </c>
    </row>
    <row r="97" spans="1:14">
      <c r="H97" s="376" t="s">
        <v>1340</v>
      </c>
      <c r="I97" s="376"/>
      <c r="J97" s="376"/>
      <c r="K97" s="657" t="s">
        <v>261</v>
      </c>
      <c r="L97" s="376" t="s">
        <v>262</v>
      </c>
    </row>
    <row r="98" spans="1:14">
      <c r="H98" s="376" t="s">
        <v>1574</v>
      </c>
      <c r="I98" s="376"/>
      <c r="J98" s="658">
        <v>700200</v>
      </c>
      <c r="K98" s="118">
        <f>+L94</f>
        <v>1250672.3636363638</v>
      </c>
      <c r="L98" s="6"/>
    </row>
    <row r="99" spans="1:14">
      <c r="H99" s="376" t="s">
        <v>1574</v>
      </c>
      <c r="I99" s="376"/>
      <c r="J99" s="658">
        <v>310800</v>
      </c>
      <c r="K99" s="6"/>
      <c r="L99" s="118">
        <f>+L94</f>
        <v>1250672.3636363638</v>
      </c>
    </row>
    <row r="100" spans="1:14">
      <c r="H100" s="376" t="s">
        <v>1575</v>
      </c>
      <c r="I100" s="376"/>
      <c r="J100" s="658">
        <v>310800</v>
      </c>
      <c r="K100" s="6"/>
      <c r="L100" s="118">
        <f>+I94</f>
        <v>1024943.6363636364</v>
      </c>
    </row>
    <row r="101" spans="1:14">
      <c r="H101" s="376" t="s">
        <v>1576</v>
      </c>
      <c r="I101" s="376"/>
      <c r="J101" s="658">
        <v>310700</v>
      </c>
      <c r="K101" s="6"/>
      <c r="L101" s="118">
        <f>+J94</f>
        <v>797149.27272727271</v>
      </c>
    </row>
    <row r="102" spans="1:14">
      <c r="H102" s="376" t="s">
        <v>1577</v>
      </c>
      <c r="I102" s="376"/>
      <c r="J102" s="658">
        <v>311000</v>
      </c>
      <c r="K102" s="6"/>
      <c r="L102" s="118">
        <f>+K94</f>
        <v>8504343.4545454551</v>
      </c>
    </row>
    <row r="103" spans="1:14">
      <c r="H103" s="376" t="s">
        <v>2625</v>
      </c>
      <c r="I103" s="376"/>
      <c r="J103" s="658">
        <v>700100</v>
      </c>
      <c r="K103" s="647">
        <f>+L102+L101+L100</f>
        <v>10326436.363636365</v>
      </c>
      <c r="L103" s="376"/>
      <c r="M103" s="80"/>
    </row>
    <row r="104" spans="1:14">
      <c r="A104" s="625"/>
      <c r="B104" s="625" t="s">
        <v>1578</v>
      </c>
      <c r="C104" s="625"/>
      <c r="D104" s="626"/>
      <c r="E104" s="626"/>
      <c r="F104" s="626"/>
      <c r="G104" s="626"/>
      <c r="H104" s="660"/>
      <c r="I104" s="626"/>
      <c r="J104" s="626"/>
      <c r="K104" s="626"/>
      <c r="L104" s="626"/>
      <c r="M104" s="626"/>
    </row>
    <row r="105" spans="1:14">
      <c r="A105" s="627" t="s">
        <v>1499</v>
      </c>
      <c r="B105" s="627"/>
      <c r="C105" s="627"/>
      <c r="D105" s="627"/>
      <c r="E105" s="628"/>
      <c r="F105" s="627"/>
      <c r="G105" s="627"/>
      <c r="H105" s="629"/>
      <c r="I105" s="629"/>
      <c r="J105" s="629"/>
      <c r="K105" s="629"/>
      <c r="L105" s="629"/>
      <c r="M105" s="629"/>
    </row>
    <row r="106" spans="1:14" ht="38.25">
      <c r="A106" s="630" t="s">
        <v>1</v>
      </c>
      <c r="B106" s="630" t="s">
        <v>1356</v>
      </c>
      <c r="C106" s="630" t="s">
        <v>1357</v>
      </c>
      <c r="D106" s="631" t="s">
        <v>1500</v>
      </c>
      <c r="E106" s="630" t="s">
        <v>1501</v>
      </c>
      <c r="F106" s="631" t="s">
        <v>1502</v>
      </c>
      <c r="G106" s="631" t="s">
        <v>1503</v>
      </c>
      <c r="H106" s="632" t="s">
        <v>1504</v>
      </c>
      <c r="I106" s="633" t="s">
        <v>1505</v>
      </c>
      <c r="J106" s="633" t="s">
        <v>1506</v>
      </c>
      <c r="K106" s="633" t="s">
        <v>1507</v>
      </c>
      <c r="L106" s="632" t="s">
        <v>1508</v>
      </c>
      <c r="M106" s="633" t="s">
        <v>1509</v>
      </c>
      <c r="N106" s="231" t="s">
        <v>1876</v>
      </c>
    </row>
    <row r="107" spans="1:14">
      <c r="A107" s="494">
        <v>1</v>
      </c>
      <c r="B107" s="634" t="s">
        <v>1510</v>
      </c>
      <c r="C107" s="635" t="s">
        <v>1512</v>
      </c>
      <c r="D107" s="635" t="s">
        <v>1511</v>
      </c>
      <c r="E107" s="636">
        <v>1200000</v>
      </c>
      <c r="F107" s="637">
        <v>24</v>
      </c>
      <c r="G107" s="637">
        <f>+E107/24</f>
        <v>50000</v>
      </c>
      <c r="H107" s="638">
        <f>+G107*F107</f>
        <v>1200000</v>
      </c>
      <c r="I107" s="373">
        <f>+H107*0.1</f>
        <v>120000</v>
      </c>
      <c r="J107" s="373">
        <f>+(H107-I107)*0.1-7000</f>
        <v>101000</v>
      </c>
      <c r="K107" s="638">
        <f>+H107-I107-J107</f>
        <v>979000</v>
      </c>
      <c r="L107" s="373">
        <f>+H107*0.12</f>
        <v>144000</v>
      </c>
      <c r="M107" s="373">
        <f>+I107+L107</f>
        <v>264000</v>
      </c>
      <c r="N107" s="231">
        <f>+IF(J107,1,0)</f>
        <v>1</v>
      </c>
    </row>
    <row r="108" spans="1:14">
      <c r="A108" s="494">
        <f>+A107+1</f>
        <v>2</v>
      </c>
      <c r="B108" s="639" t="s">
        <v>1513</v>
      </c>
      <c r="C108" s="640" t="s">
        <v>1515</v>
      </c>
      <c r="D108" s="640" t="s">
        <v>1514</v>
      </c>
      <c r="E108" s="425">
        <v>1200000</v>
      </c>
      <c r="F108" s="637">
        <v>24</v>
      </c>
      <c r="G108" s="637">
        <f t="shared" ref="G108:G126" si="35">+E108/24</f>
        <v>50000</v>
      </c>
      <c r="H108" s="638">
        <f t="shared" ref="H108:H126" si="36">+G108*F108</f>
        <v>1200000</v>
      </c>
      <c r="I108" s="373">
        <f t="shared" ref="I108:I111" si="37">+H108*0.1</f>
        <v>120000</v>
      </c>
      <c r="J108" s="373">
        <f t="shared" ref="J108:J110" si="38">+(H108-I108)*0.1-7000</f>
        <v>101000</v>
      </c>
      <c r="K108" s="638">
        <f t="shared" ref="K108:K126" si="39">+H108-I108-J108</f>
        <v>979000</v>
      </c>
      <c r="L108" s="373">
        <f t="shared" ref="L108:L110" si="40">+H108*0.12</f>
        <v>144000</v>
      </c>
      <c r="M108" s="373">
        <f t="shared" ref="M108:M126" si="41">+I108+L108</f>
        <v>264000</v>
      </c>
      <c r="N108" s="231">
        <f t="shared" ref="N108:N126" si="42">+IF(J108,1,0)</f>
        <v>1</v>
      </c>
    </row>
    <row r="109" spans="1:14">
      <c r="A109" s="494">
        <f t="shared" ref="A109:A126" si="43">+A108+1</f>
        <v>3</v>
      </c>
      <c r="B109" s="641" t="s">
        <v>1516</v>
      </c>
      <c r="C109" s="640" t="s">
        <v>1518</v>
      </c>
      <c r="D109" s="640" t="s">
        <v>1517</v>
      </c>
      <c r="E109" s="642">
        <v>1400000</v>
      </c>
      <c r="F109" s="637">
        <v>24</v>
      </c>
      <c r="G109" s="637">
        <f t="shared" si="35"/>
        <v>58333.333333333336</v>
      </c>
      <c r="H109" s="638">
        <f t="shared" si="36"/>
        <v>1400000</v>
      </c>
      <c r="I109" s="373">
        <f t="shared" si="37"/>
        <v>140000</v>
      </c>
      <c r="J109" s="373">
        <f t="shared" si="38"/>
        <v>119000</v>
      </c>
      <c r="K109" s="638">
        <f t="shared" si="39"/>
        <v>1141000</v>
      </c>
      <c r="L109" s="373">
        <f t="shared" si="40"/>
        <v>168000</v>
      </c>
      <c r="M109" s="373">
        <f t="shared" si="41"/>
        <v>308000</v>
      </c>
      <c r="N109" s="231">
        <f t="shared" si="42"/>
        <v>1</v>
      </c>
    </row>
    <row r="110" spans="1:14">
      <c r="A110" s="494">
        <f t="shared" si="43"/>
        <v>4</v>
      </c>
      <c r="B110" s="639" t="s">
        <v>1519</v>
      </c>
      <c r="C110" s="640" t="s">
        <v>1521</v>
      </c>
      <c r="D110" s="640" t="s">
        <v>1520</v>
      </c>
      <c r="E110" s="642">
        <v>1000000</v>
      </c>
      <c r="F110" s="637">
        <v>24</v>
      </c>
      <c r="G110" s="637">
        <f t="shared" si="35"/>
        <v>41666.666666666664</v>
      </c>
      <c r="H110" s="638">
        <f t="shared" si="36"/>
        <v>1000000</v>
      </c>
      <c r="I110" s="373">
        <f t="shared" si="37"/>
        <v>100000</v>
      </c>
      <c r="J110" s="373">
        <f t="shared" si="38"/>
        <v>83000</v>
      </c>
      <c r="K110" s="638">
        <f t="shared" si="39"/>
        <v>817000</v>
      </c>
      <c r="L110" s="373">
        <f t="shared" si="40"/>
        <v>120000</v>
      </c>
      <c r="M110" s="373">
        <f t="shared" si="41"/>
        <v>220000</v>
      </c>
      <c r="N110" s="231">
        <f t="shared" si="42"/>
        <v>1</v>
      </c>
    </row>
    <row r="111" spans="1:14">
      <c r="A111" s="494">
        <f t="shared" si="43"/>
        <v>5</v>
      </c>
      <c r="B111" s="644" t="s">
        <v>1525</v>
      </c>
      <c r="C111" s="645" t="s">
        <v>1527</v>
      </c>
      <c r="D111" s="640" t="s">
        <v>1526</v>
      </c>
      <c r="E111" s="642">
        <v>240000</v>
      </c>
      <c r="F111" s="637">
        <v>0</v>
      </c>
      <c r="G111" s="637"/>
      <c r="H111" s="638">
        <f t="shared" si="36"/>
        <v>0</v>
      </c>
      <c r="I111" s="373">
        <f t="shared" si="37"/>
        <v>0</v>
      </c>
      <c r="J111" s="373"/>
      <c r="K111" s="638">
        <f t="shared" si="39"/>
        <v>0</v>
      </c>
      <c r="L111" s="373">
        <f>+E111*0.08</f>
        <v>19200</v>
      </c>
      <c r="M111" s="373">
        <f t="shared" si="41"/>
        <v>19200</v>
      </c>
      <c r="N111" s="231">
        <f t="shared" si="42"/>
        <v>0</v>
      </c>
    </row>
    <row r="112" spans="1:14">
      <c r="A112" s="494">
        <f t="shared" si="43"/>
        <v>6</v>
      </c>
      <c r="B112" s="639" t="s">
        <v>1528</v>
      </c>
      <c r="C112" s="645" t="s">
        <v>1530</v>
      </c>
      <c r="D112" s="640" t="s">
        <v>1529</v>
      </c>
      <c r="E112" s="425">
        <v>350000</v>
      </c>
      <c r="F112" s="637">
        <v>23.7</v>
      </c>
      <c r="G112" s="637">
        <f t="shared" si="35"/>
        <v>14583.333333333334</v>
      </c>
      <c r="H112" s="638">
        <f t="shared" si="36"/>
        <v>345625</v>
      </c>
      <c r="I112" s="373">
        <f>+H112*0.078</f>
        <v>26958.75</v>
      </c>
      <c r="J112" s="373">
        <f>+(H112-I112)*0.1-7000</f>
        <v>24866.625</v>
      </c>
      <c r="K112" s="638">
        <f t="shared" si="39"/>
        <v>293799.625</v>
      </c>
      <c r="L112" s="373">
        <f>+H112*0.078</f>
        <v>26958.75</v>
      </c>
      <c r="M112" s="373">
        <f t="shared" si="41"/>
        <v>53917.5</v>
      </c>
      <c r="N112" s="231">
        <f t="shared" si="42"/>
        <v>1</v>
      </c>
    </row>
    <row r="113" spans="1:14">
      <c r="A113" s="494">
        <f t="shared" si="43"/>
        <v>7</v>
      </c>
      <c r="B113" s="639" t="s">
        <v>1531</v>
      </c>
      <c r="C113" s="640" t="s">
        <v>1536</v>
      </c>
      <c r="D113" s="376" t="s">
        <v>1532</v>
      </c>
      <c r="E113" s="642">
        <v>400000</v>
      </c>
      <c r="F113" s="637">
        <v>0</v>
      </c>
      <c r="G113" s="637">
        <f t="shared" si="35"/>
        <v>16666.666666666668</v>
      </c>
      <c r="H113" s="638">
        <f t="shared" si="36"/>
        <v>0</v>
      </c>
      <c r="I113" s="373">
        <f t="shared" ref="I113:I126" si="44">+H113*0.1</f>
        <v>0</v>
      </c>
      <c r="J113" s="373">
        <v>0</v>
      </c>
      <c r="K113" s="638">
        <f t="shared" si="39"/>
        <v>0</v>
      </c>
      <c r="L113" s="373">
        <f t="shared" ref="L113:L126" si="45">+H113*0.12</f>
        <v>0</v>
      </c>
      <c r="M113" s="373">
        <f t="shared" si="41"/>
        <v>0</v>
      </c>
      <c r="N113" s="231">
        <f t="shared" si="42"/>
        <v>0</v>
      </c>
    </row>
    <row r="114" spans="1:14">
      <c r="A114" s="494">
        <f t="shared" si="43"/>
        <v>8</v>
      </c>
      <c r="B114" s="639" t="s">
        <v>1534</v>
      </c>
      <c r="C114" s="646" t="s">
        <v>1533</v>
      </c>
      <c r="D114" s="643" t="s">
        <v>1535</v>
      </c>
      <c r="E114" s="642">
        <v>400000</v>
      </c>
      <c r="F114" s="637">
        <v>23.61</v>
      </c>
      <c r="G114" s="637">
        <f t="shared" si="35"/>
        <v>16666.666666666668</v>
      </c>
      <c r="H114" s="638">
        <f t="shared" si="36"/>
        <v>393500</v>
      </c>
      <c r="I114" s="373">
        <f t="shared" si="44"/>
        <v>39350</v>
      </c>
      <c r="J114" s="373">
        <f t="shared" ref="J114:J126" si="46">+(H114-I114)*0.1-7000</f>
        <v>28415</v>
      </c>
      <c r="K114" s="638">
        <f t="shared" si="39"/>
        <v>325735</v>
      </c>
      <c r="L114" s="373">
        <f t="shared" si="45"/>
        <v>47220</v>
      </c>
      <c r="M114" s="373">
        <f t="shared" si="41"/>
        <v>86570</v>
      </c>
      <c r="N114" s="231">
        <f t="shared" si="42"/>
        <v>1</v>
      </c>
    </row>
    <row r="115" spans="1:14">
      <c r="A115" s="494">
        <f t="shared" si="43"/>
        <v>9</v>
      </c>
      <c r="B115" s="649" t="s">
        <v>1537</v>
      </c>
      <c r="C115" s="646" t="s">
        <v>1533</v>
      </c>
      <c r="D115" s="376" t="s">
        <v>1538</v>
      </c>
      <c r="E115" s="642">
        <v>400000</v>
      </c>
      <c r="F115" s="637">
        <v>23.51</v>
      </c>
      <c r="G115" s="637">
        <f t="shared" si="35"/>
        <v>16666.666666666668</v>
      </c>
      <c r="H115" s="638">
        <f t="shared" si="36"/>
        <v>391833.33333333337</v>
      </c>
      <c r="I115" s="373">
        <f t="shared" si="44"/>
        <v>39183.333333333336</v>
      </c>
      <c r="J115" s="373">
        <f t="shared" si="46"/>
        <v>28265.000000000007</v>
      </c>
      <c r="K115" s="638">
        <f t="shared" si="39"/>
        <v>324385.00000000006</v>
      </c>
      <c r="L115" s="373">
        <f t="shared" si="45"/>
        <v>47020</v>
      </c>
      <c r="M115" s="373">
        <f t="shared" si="41"/>
        <v>86203.333333333343</v>
      </c>
      <c r="N115" s="231">
        <f t="shared" si="42"/>
        <v>1</v>
      </c>
    </row>
    <row r="116" spans="1:14">
      <c r="A116" s="494">
        <f t="shared" si="43"/>
        <v>10</v>
      </c>
      <c r="B116" s="649" t="s">
        <v>1539</v>
      </c>
      <c r="C116" s="646" t="s">
        <v>1533</v>
      </c>
      <c r="D116" s="376" t="s">
        <v>1540</v>
      </c>
      <c r="E116" s="642">
        <v>400000</v>
      </c>
      <c r="F116" s="637">
        <v>24.64</v>
      </c>
      <c r="G116" s="637">
        <f t="shared" si="35"/>
        <v>16666.666666666668</v>
      </c>
      <c r="H116" s="638">
        <f t="shared" si="36"/>
        <v>410666.66666666669</v>
      </c>
      <c r="I116" s="373">
        <f t="shared" si="44"/>
        <v>41066.666666666672</v>
      </c>
      <c r="J116" s="373">
        <f t="shared" si="46"/>
        <v>29960</v>
      </c>
      <c r="K116" s="638">
        <f t="shared" si="39"/>
        <v>339640</v>
      </c>
      <c r="L116" s="373">
        <f t="shared" si="45"/>
        <v>49280</v>
      </c>
      <c r="M116" s="373">
        <f t="shared" si="41"/>
        <v>90346.666666666672</v>
      </c>
      <c r="N116" s="231">
        <f t="shared" si="42"/>
        <v>1</v>
      </c>
    </row>
    <row r="117" spans="1:14">
      <c r="A117" s="494">
        <f t="shared" si="43"/>
        <v>11</v>
      </c>
      <c r="B117" s="634" t="s">
        <v>1541</v>
      </c>
      <c r="C117" s="646" t="s">
        <v>1533</v>
      </c>
      <c r="D117" s="650" t="s">
        <v>1542</v>
      </c>
      <c r="E117" s="642">
        <v>400000</v>
      </c>
      <c r="F117" s="637">
        <v>21.3</v>
      </c>
      <c r="G117" s="637">
        <f t="shared" si="35"/>
        <v>16666.666666666668</v>
      </c>
      <c r="H117" s="638">
        <f t="shared" si="36"/>
        <v>355000.00000000006</v>
      </c>
      <c r="I117" s="373">
        <f t="shared" si="44"/>
        <v>35500.000000000007</v>
      </c>
      <c r="J117" s="373">
        <f t="shared" si="46"/>
        <v>24950.000000000007</v>
      </c>
      <c r="K117" s="638">
        <f t="shared" si="39"/>
        <v>294550.00000000006</v>
      </c>
      <c r="L117" s="373">
        <f t="shared" si="45"/>
        <v>42600.000000000007</v>
      </c>
      <c r="M117" s="373">
        <f t="shared" si="41"/>
        <v>78100.000000000015</v>
      </c>
      <c r="N117" s="231">
        <f t="shared" si="42"/>
        <v>1</v>
      </c>
    </row>
    <row r="118" spans="1:14">
      <c r="A118" s="494">
        <f t="shared" si="43"/>
        <v>12</v>
      </c>
      <c r="B118" s="634" t="s">
        <v>1543</v>
      </c>
      <c r="C118" s="646" t="s">
        <v>1533</v>
      </c>
      <c r="D118" s="640" t="s">
        <v>1544</v>
      </c>
      <c r="E118" s="642">
        <v>800000</v>
      </c>
      <c r="F118" s="637">
        <v>23</v>
      </c>
      <c r="G118" s="637">
        <f t="shared" si="35"/>
        <v>33333.333333333336</v>
      </c>
      <c r="H118" s="638">
        <f t="shared" si="36"/>
        <v>766666.66666666674</v>
      </c>
      <c r="I118" s="373">
        <f t="shared" si="44"/>
        <v>76666.666666666672</v>
      </c>
      <c r="J118" s="373">
        <f t="shared" si="46"/>
        <v>62000.000000000015</v>
      </c>
      <c r="K118" s="638">
        <f t="shared" si="39"/>
        <v>628000.00000000012</v>
      </c>
      <c r="L118" s="373">
        <f t="shared" si="45"/>
        <v>92000</v>
      </c>
      <c r="M118" s="373">
        <f t="shared" si="41"/>
        <v>168666.66666666669</v>
      </c>
      <c r="N118" s="231">
        <f t="shared" si="42"/>
        <v>1</v>
      </c>
    </row>
    <row r="119" spans="1:14">
      <c r="A119" s="494">
        <f t="shared" si="43"/>
        <v>13</v>
      </c>
      <c r="B119" s="634" t="s">
        <v>1545</v>
      </c>
      <c r="C119" s="646" t="s">
        <v>1533</v>
      </c>
      <c r="D119" s="650" t="s">
        <v>1546</v>
      </c>
      <c r="E119" s="642">
        <v>400000</v>
      </c>
      <c r="F119" s="637">
        <v>22.58</v>
      </c>
      <c r="G119" s="637">
        <f t="shared" si="35"/>
        <v>16666.666666666668</v>
      </c>
      <c r="H119" s="638">
        <f t="shared" si="36"/>
        <v>376333.33333333331</v>
      </c>
      <c r="I119" s="373">
        <f t="shared" si="44"/>
        <v>37633.333333333336</v>
      </c>
      <c r="J119" s="373">
        <f t="shared" si="46"/>
        <v>26870</v>
      </c>
      <c r="K119" s="638">
        <f t="shared" si="39"/>
        <v>311830</v>
      </c>
      <c r="L119" s="373">
        <f t="shared" si="45"/>
        <v>45159.999999999993</v>
      </c>
      <c r="M119" s="373">
        <f t="shared" si="41"/>
        <v>82793.333333333328</v>
      </c>
      <c r="N119" s="231">
        <f t="shared" si="42"/>
        <v>1</v>
      </c>
    </row>
    <row r="120" spans="1:14">
      <c r="A120" s="494">
        <f t="shared" si="43"/>
        <v>14</v>
      </c>
      <c r="B120" s="634" t="s">
        <v>1573</v>
      </c>
      <c r="C120" s="640" t="s">
        <v>1533</v>
      </c>
      <c r="D120" s="376" t="s">
        <v>1916</v>
      </c>
      <c r="E120" s="642">
        <v>400000</v>
      </c>
      <c r="F120" s="637">
        <v>20.260000000000002</v>
      </c>
      <c r="G120" s="637">
        <f t="shared" si="35"/>
        <v>16666.666666666668</v>
      </c>
      <c r="H120" s="638">
        <f t="shared" si="36"/>
        <v>337666.66666666674</v>
      </c>
      <c r="I120" s="373">
        <f t="shared" si="44"/>
        <v>33766.666666666679</v>
      </c>
      <c r="J120" s="373">
        <f t="shared" si="46"/>
        <v>23390.000000000007</v>
      </c>
      <c r="K120" s="638">
        <f t="shared" si="39"/>
        <v>280510.00000000006</v>
      </c>
      <c r="L120" s="373">
        <f t="shared" si="45"/>
        <v>40520.000000000007</v>
      </c>
      <c r="M120" s="373">
        <f t="shared" si="41"/>
        <v>74286.666666666686</v>
      </c>
      <c r="N120" s="231">
        <f t="shared" si="42"/>
        <v>1</v>
      </c>
    </row>
    <row r="121" spans="1:14">
      <c r="A121" s="494">
        <f t="shared" si="43"/>
        <v>15</v>
      </c>
      <c r="B121" s="649" t="s">
        <v>1547</v>
      </c>
      <c r="C121" s="640" t="s">
        <v>1533</v>
      </c>
      <c r="D121" s="376" t="s">
        <v>1548</v>
      </c>
      <c r="E121" s="642">
        <v>400000</v>
      </c>
      <c r="F121" s="637">
        <v>25</v>
      </c>
      <c r="G121" s="637">
        <f t="shared" si="35"/>
        <v>16666.666666666668</v>
      </c>
      <c r="H121" s="638">
        <f t="shared" si="36"/>
        <v>416666.66666666669</v>
      </c>
      <c r="I121" s="373">
        <f t="shared" si="44"/>
        <v>41666.666666666672</v>
      </c>
      <c r="J121" s="373">
        <f t="shared" si="46"/>
        <v>30500</v>
      </c>
      <c r="K121" s="638">
        <f t="shared" si="39"/>
        <v>344500</v>
      </c>
      <c r="L121" s="373">
        <f t="shared" si="45"/>
        <v>50000</v>
      </c>
      <c r="M121" s="373">
        <f t="shared" si="41"/>
        <v>91666.666666666672</v>
      </c>
      <c r="N121" s="231">
        <f t="shared" si="42"/>
        <v>1</v>
      </c>
    </row>
    <row r="122" spans="1:14">
      <c r="A122" s="494">
        <f t="shared" si="43"/>
        <v>16</v>
      </c>
      <c r="B122" s="634" t="s">
        <v>1549</v>
      </c>
      <c r="C122" s="640" t="s">
        <v>1553</v>
      </c>
      <c r="D122" s="651" t="s">
        <v>1550</v>
      </c>
      <c r="E122" s="642">
        <v>520000</v>
      </c>
      <c r="F122" s="637">
        <v>20.76</v>
      </c>
      <c r="G122" s="637">
        <f t="shared" si="35"/>
        <v>21666.666666666668</v>
      </c>
      <c r="H122" s="638">
        <f t="shared" si="36"/>
        <v>449800.00000000006</v>
      </c>
      <c r="I122" s="373">
        <f t="shared" si="44"/>
        <v>44980.000000000007</v>
      </c>
      <c r="J122" s="373">
        <f t="shared" si="46"/>
        <v>33482.000000000007</v>
      </c>
      <c r="K122" s="638">
        <f t="shared" si="39"/>
        <v>371338.00000000006</v>
      </c>
      <c r="L122" s="373">
        <f t="shared" si="45"/>
        <v>53976.000000000007</v>
      </c>
      <c r="M122" s="373">
        <f t="shared" si="41"/>
        <v>98956.000000000015</v>
      </c>
      <c r="N122" s="231">
        <f t="shared" si="42"/>
        <v>1</v>
      </c>
    </row>
    <row r="123" spans="1:14">
      <c r="A123" s="494">
        <f t="shared" si="43"/>
        <v>17</v>
      </c>
      <c r="B123" s="652" t="s">
        <v>1551</v>
      </c>
      <c r="C123" s="640" t="s">
        <v>1533</v>
      </c>
      <c r="D123" s="653" t="s">
        <v>1552</v>
      </c>
      <c r="E123" s="642">
        <v>400000</v>
      </c>
      <c r="F123" s="637">
        <v>24.65</v>
      </c>
      <c r="G123" s="637">
        <f t="shared" si="35"/>
        <v>16666.666666666668</v>
      </c>
      <c r="H123" s="638">
        <f t="shared" si="36"/>
        <v>410833.33333333331</v>
      </c>
      <c r="I123" s="373">
        <f t="shared" si="44"/>
        <v>41083.333333333336</v>
      </c>
      <c r="J123" s="373">
        <f t="shared" si="46"/>
        <v>29975</v>
      </c>
      <c r="K123" s="638">
        <f t="shared" si="39"/>
        <v>339775</v>
      </c>
      <c r="L123" s="373">
        <f t="shared" si="45"/>
        <v>49299.999999999993</v>
      </c>
      <c r="M123" s="373">
        <f t="shared" si="41"/>
        <v>90383.333333333328</v>
      </c>
      <c r="N123" s="231">
        <f t="shared" si="42"/>
        <v>1</v>
      </c>
    </row>
    <row r="124" spans="1:14">
      <c r="A124" s="494">
        <f t="shared" si="43"/>
        <v>18</v>
      </c>
      <c r="B124" s="652" t="s">
        <v>1556</v>
      </c>
      <c r="C124" s="640" t="s">
        <v>1533</v>
      </c>
      <c r="D124" s="653" t="s">
        <v>1557</v>
      </c>
      <c r="E124" s="642">
        <v>400000</v>
      </c>
      <c r="F124" s="637">
        <v>22.8</v>
      </c>
      <c r="G124" s="637">
        <f t="shared" si="35"/>
        <v>16666.666666666668</v>
      </c>
      <c r="H124" s="638">
        <f t="shared" si="36"/>
        <v>380000.00000000006</v>
      </c>
      <c r="I124" s="373">
        <f t="shared" si="44"/>
        <v>38000.000000000007</v>
      </c>
      <c r="J124" s="373">
        <f t="shared" si="46"/>
        <v>27200.000000000007</v>
      </c>
      <c r="K124" s="638">
        <f t="shared" si="39"/>
        <v>314800.00000000006</v>
      </c>
      <c r="L124" s="373">
        <f t="shared" si="45"/>
        <v>45600.000000000007</v>
      </c>
      <c r="M124" s="373">
        <f t="shared" si="41"/>
        <v>83600.000000000015</v>
      </c>
      <c r="N124" s="231">
        <f t="shared" si="42"/>
        <v>1</v>
      </c>
    </row>
    <row r="125" spans="1:14">
      <c r="A125" s="494">
        <f t="shared" si="43"/>
        <v>19</v>
      </c>
      <c r="B125" s="649" t="s">
        <v>1558</v>
      </c>
      <c r="C125" s="640" t="s">
        <v>1533</v>
      </c>
      <c r="D125" s="376" t="s">
        <v>1559</v>
      </c>
      <c r="E125" s="642">
        <v>400000</v>
      </c>
      <c r="F125" s="637">
        <v>22.69</v>
      </c>
      <c r="G125" s="637">
        <f t="shared" si="35"/>
        <v>16666.666666666668</v>
      </c>
      <c r="H125" s="638">
        <f t="shared" si="36"/>
        <v>378166.66666666674</v>
      </c>
      <c r="I125" s="373">
        <f t="shared" si="44"/>
        <v>37816.666666666679</v>
      </c>
      <c r="J125" s="373">
        <f t="shared" si="46"/>
        <v>27035.000000000007</v>
      </c>
      <c r="K125" s="638">
        <f t="shared" si="39"/>
        <v>313315.00000000006</v>
      </c>
      <c r="L125" s="373">
        <f t="shared" si="45"/>
        <v>45380.000000000007</v>
      </c>
      <c r="M125" s="373">
        <f t="shared" si="41"/>
        <v>83196.666666666686</v>
      </c>
      <c r="N125" s="231">
        <f t="shared" si="42"/>
        <v>1</v>
      </c>
    </row>
    <row r="126" spans="1:14">
      <c r="A126" s="494">
        <f t="shared" si="43"/>
        <v>20</v>
      </c>
      <c r="B126" s="634" t="s">
        <v>1560</v>
      </c>
      <c r="C126" s="640" t="s">
        <v>1533</v>
      </c>
      <c r="D126" s="654" t="s">
        <v>1561</v>
      </c>
      <c r="E126" s="642">
        <v>400000</v>
      </c>
      <c r="F126" s="637">
        <v>19.46</v>
      </c>
      <c r="G126" s="637">
        <f t="shared" si="35"/>
        <v>16666.666666666668</v>
      </c>
      <c r="H126" s="638">
        <f t="shared" si="36"/>
        <v>324333.33333333337</v>
      </c>
      <c r="I126" s="373">
        <f t="shared" si="44"/>
        <v>32433.333333333339</v>
      </c>
      <c r="J126" s="373">
        <f t="shared" si="46"/>
        <v>22190.000000000007</v>
      </c>
      <c r="K126" s="638">
        <f t="shared" si="39"/>
        <v>269710.00000000006</v>
      </c>
      <c r="L126" s="373">
        <f t="shared" si="45"/>
        <v>38920</v>
      </c>
      <c r="M126" s="373">
        <f t="shared" si="41"/>
        <v>71353.333333333343</v>
      </c>
      <c r="N126" s="231">
        <f t="shared" si="42"/>
        <v>1</v>
      </c>
    </row>
    <row r="127" spans="1:14">
      <c r="A127" s="932" t="s">
        <v>6</v>
      </c>
      <c r="B127" s="932"/>
      <c r="C127" s="932"/>
      <c r="D127" s="932"/>
      <c r="E127" s="659">
        <f>SUM(E107:E126)</f>
        <v>11510000</v>
      </c>
      <c r="F127" s="659">
        <f t="shared" ref="F127:H127" si="47">SUM(F107:F126)</f>
        <v>413.95999999999992</v>
      </c>
      <c r="G127" s="659">
        <f t="shared" si="47"/>
        <v>469583.33333333349</v>
      </c>
      <c r="H127" s="659">
        <f t="shared" si="47"/>
        <v>10537091.666666668</v>
      </c>
      <c r="I127" s="655">
        <f>SUM(I107:I126)</f>
        <v>1046105.4166666666</v>
      </c>
      <c r="J127" s="655">
        <f t="shared" ref="J127:N127" si="48">SUM(J107:J126)</f>
        <v>823098.625</v>
      </c>
      <c r="K127" s="655">
        <f t="shared" si="48"/>
        <v>8667887.625</v>
      </c>
      <c r="L127" s="655">
        <f t="shared" si="48"/>
        <v>1269134.75</v>
      </c>
      <c r="M127" s="655">
        <f t="shared" si="48"/>
        <v>2315240.166666667</v>
      </c>
      <c r="N127" s="655">
        <f t="shared" si="48"/>
        <v>18</v>
      </c>
    </row>
    <row r="128" spans="1:14">
      <c r="H128" s="80">
        <f>+H127+240000-10777091.67</f>
        <v>-3.3333320170640945E-3</v>
      </c>
    </row>
    <row r="129" spans="1:14">
      <c r="H129" s="23" t="s">
        <v>1562</v>
      </c>
    </row>
    <row r="130" spans="1:14">
      <c r="H130" s="376" t="s">
        <v>1340</v>
      </c>
      <c r="I130" s="376"/>
      <c r="J130" s="376"/>
      <c r="K130" s="657" t="s">
        <v>261</v>
      </c>
      <c r="L130" s="376" t="s">
        <v>262</v>
      </c>
    </row>
    <row r="131" spans="1:14">
      <c r="H131" s="376" t="s">
        <v>1579</v>
      </c>
      <c r="I131" s="376"/>
      <c r="J131" s="658">
        <v>700200</v>
      </c>
      <c r="K131" s="118">
        <f>+L127</f>
        <v>1269134.75</v>
      </c>
      <c r="L131" s="6"/>
    </row>
    <row r="132" spans="1:14">
      <c r="H132" s="376" t="s">
        <v>1579</v>
      </c>
      <c r="I132" s="376"/>
      <c r="J132" s="658">
        <v>310800</v>
      </c>
      <c r="K132" s="6"/>
      <c r="L132" s="118">
        <f>+L127</f>
        <v>1269134.75</v>
      </c>
    </row>
    <row r="133" spans="1:14">
      <c r="H133" s="376" t="s">
        <v>1580</v>
      </c>
      <c r="I133" s="376"/>
      <c r="J133" s="658">
        <v>310800</v>
      </c>
      <c r="K133" s="6"/>
      <c r="L133" s="118">
        <f>+I127</f>
        <v>1046105.4166666666</v>
      </c>
    </row>
    <row r="134" spans="1:14">
      <c r="H134" s="376" t="s">
        <v>1581</v>
      </c>
      <c r="I134" s="376"/>
      <c r="J134" s="658">
        <v>310700</v>
      </c>
      <c r="K134" s="6"/>
      <c r="L134" s="118">
        <f>+J127</f>
        <v>823098.625</v>
      </c>
    </row>
    <row r="135" spans="1:14">
      <c r="H135" s="376" t="s">
        <v>1582</v>
      </c>
      <c r="I135" s="376"/>
      <c r="J135" s="658">
        <v>311000</v>
      </c>
      <c r="K135" s="6"/>
      <c r="L135" s="118">
        <f>+K127</f>
        <v>8667887.625</v>
      </c>
    </row>
    <row r="136" spans="1:14">
      <c r="H136" s="376" t="s">
        <v>2622</v>
      </c>
      <c r="I136" s="376"/>
      <c r="J136" s="658">
        <v>700100</v>
      </c>
      <c r="K136" s="647">
        <f>+L135+L134+L133</f>
        <v>10537091.666666666</v>
      </c>
      <c r="L136" s="376"/>
    </row>
    <row r="138" spans="1:14">
      <c r="A138" s="625"/>
      <c r="B138" s="625" t="s">
        <v>1583</v>
      </c>
      <c r="C138" s="625"/>
      <c r="D138" s="626"/>
      <c r="E138" s="626"/>
      <c r="F138" s="626"/>
      <c r="G138" s="626"/>
      <c r="H138" s="626"/>
      <c r="I138" s="626"/>
      <c r="J138" s="626"/>
      <c r="K138" s="626"/>
      <c r="L138" s="626"/>
      <c r="M138" s="626"/>
    </row>
    <row r="139" spans="1:14">
      <c r="A139" s="627" t="s">
        <v>1499</v>
      </c>
      <c r="B139" s="627"/>
      <c r="C139" s="627"/>
      <c r="D139" s="627"/>
      <c r="E139" s="628"/>
      <c r="F139" s="627"/>
      <c r="G139" s="627"/>
      <c r="H139" s="629"/>
      <c r="I139" s="629"/>
      <c r="J139" s="629"/>
      <c r="K139" s="629"/>
      <c r="L139" s="629"/>
      <c r="M139" s="629"/>
    </row>
    <row r="140" spans="1:14" ht="38.25">
      <c r="A140" s="630" t="s">
        <v>1</v>
      </c>
      <c r="B140" s="630" t="s">
        <v>1356</v>
      </c>
      <c r="C140" s="630" t="s">
        <v>1357</v>
      </c>
      <c r="D140" s="631" t="s">
        <v>1500</v>
      </c>
      <c r="E140" s="630" t="s">
        <v>1501</v>
      </c>
      <c r="F140" s="631" t="s">
        <v>1502</v>
      </c>
      <c r="G140" s="631" t="s">
        <v>1503</v>
      </c>
      <c r="H140" s="632" t="s">
        <v>1504</v>
      </c>
      <c r="I140" s="633" t="s">
        <v>1505</v>
      </c>
      <c r="J140" s="633" t="s">
        <v>1506</v>
      </c>
      <c r="K140" s="633" t="s">
        <v>1507</v>
      </c>
      <c r="L140" s="632" t="s">
        <v>1508</v>
      </c>
      <c r="M140" s="633" t="s">
        <v>1509</v>
      </c>
      <c r="N140" s="231" t="s">
        <v>1876</v>
      </c>
    </row>
    <row r="141" spans="1:14">
      <c r="A141" s="494">
        <v>1</v>
      </c>
      <c r="B141" s="634" t="s">
        <v>1510</v>
      </c>
      <c r="C141" s="635" t="s">
        <v>1512</v>
      </c>
      <c r="D141" s="635" t="s">
        <v>1511</v>
      </c>
      <c r="E141" s="661">
        <v>1200000</v>
      </c>
      <c r="F141" s="382">
        <v>27</v>
      </c>
      <c r="G141" s="637">
        <f>+E141/27</f>
        <v>44444.444444444445</v>
      </c>
      <c r="H141" s="638">
        <f>+G141*F141</f>
        <v>1200000</v>
      </c>
      <c r="I141" s="373">
        <f>+H141*0.1</f>
        <v>120000</v>
      </c>
      <c r="J141" s="373">
        <f>+(H141-I141)*0.1-7000</f>
        <v>101000</v>
      </c>
      <c r="K141" s="638">
        <f>+H141-I141-J141</f>
        <v>979000</v>
      </c>
      <c r="L141" s="373">
        <f>+H141*0.12</f>
        <v>144000</v>
      </c>
      <c r="M141" s="373">
        <f>+I141+L141</f>
        <v>264000</v>
      </c>
      <c r="N141" s="231">
        <f>+IF(J141,1,0)</f>
        <v>1</v>
      </c>
    </row>
    <row r="142" spans="1:14">
      <c r="A142" s="494">
        <f>+A141+1</f>
        <v>2</v>
      </c>
      <c r="B142" s="639" t="s">
        <v>1513</v>
      </c>
      <c r="C142" s="640" t="s">
        <v>1515</v>
      </c>
      <c r="D142" s="640" t="s">
        <v>1514</v>
      </c>
      <c r="E142" s="417">
        <v>1200000</v>
      </c>
      <c r="F142" s="382">
        <v>27</v>
      </c>
      <c r="G142" s="637">
        <f t="shared" ref="G142:G157" si="49">+E142/27</f>
        <v>44444.444444444445</v>
      </c>
      <c r="H142" s="638">
        <f t="shared" ref="H142:H157" si="50">+G142*F142</f>
        <v>1200000</v>
      </c>
      <c r="I142" s="373">
        <f t="shared" ref="I142:I144" si="51">+H142*0.1</f>
        <v>120000</v>
      </c>
      <c r="J142" s="373">
        <f t="shared" ref="J142:J157" si="52">+(H142-I142)*0.1-7000</f>
        <v>101000</v>
      </c>
      <c r="K142" s="638">
        <f t="shared" ref="K142:K157" si="53">+H142-I142-J142</f>
        <v>979000</v>
      </c>
      <c r="L142" s="373">
        <f t="shared" ref="L142:L157" si="54">+H142*0.12</f>
        <v>144000</v>
      </c>
      <c r="M142" s="373">
        <f t="shared" ref="M142:M157" si="55">+I142+L142</f>
        <v>264000</v>
      </c>
      <c r="N142" s="231">
        <f t="shared" ref="N142:N157" si="56">+IF(J142,1,0)</f>
        <v>1</v>
      </c>
    </row>
    <row r="143" spans="1:14">
      <c r="A143" s="494">
        <f t="shared" ref="A143:A157" si="57">+A142+1</f>
        <v>3</v>
      </c>
      <c r="B143" s="641" t="s">
        <v>1516</v>
      </c>
      <c r="C143" s="640" t="s">
        <v>1518</v>
      </c>
      <c r="D143" s="640" t="s">
        <v>1517</v>
      </c>
      <c r="E143" s="662">
        <v>1400000</v>
      </c>
      <c r="F143" s="382">
        <v>27</v>
      </c>
      <c r="G143" s="637">
        <f t="shared" si="49"/>
        <v>51851.851851851854</v>
      </c>
      <c r="H143" s="638">
        <f t="shared" si="50"/>
        <v>1400000</v>
      </c>
      <c r="I143" s="373">
        <f t="shared" si="51"/>
        <v>140000</v>
      </c>
      <c r="J143" s="373">
        <f t="shared" si="52"/>
        <v>119000</v>
      </c>
      <c r="K143" s="638">
        <f t="shared" si="53"/>
        <v>1141000</v>
      </c>
      <c r="L143" s="373">
        <f t="shared" si="54"/>
        <v>168000</v>
      </c>
      <c r="M143" s="373">
        <f t="shared" si="55"/>
        <v>308000</v>
      </c>
      <c r="N143" s="231">
        <f t="shared" si="56"/>
        <v>1</v>
      </c>
    </row>
    <row r="144" spans="1:14">
      <c r="A144" s="494">
        <f t="shared" si="57"/>
        <v>4</v>
      </c>
      <c r="B144" s="639" t="s">
        <v>1519</v>
      </c>
      <c r="C144" s="640" t="s">
        <v>1521</v>
      </c>
      <c r="D144" s="640" t="s">
        <v>1520</v>
      </c>
      <c r="E144" s="662">
        <v>1000000</v>
      </c>
      <c r="F144" s="382">
        <v>27</v>
      </c>
      <c r="G144" s="637">
        <f t="shared" si="49"/>
        <v>37037.037037037036</v>
      </c>
      <c r="H144" s="638">
        <f t="shared" si="50"/>
        <v>1000000</v>
      </c>
      <c r="I144" s="373">
        <f t="shared" si="51"/>
        <v>100000</v>
      </c>
      <c r="J144" s="373">
        <f t="shared" si="52"/>
        <v>83000</v>
      </c>
      <c r="K144" s="638">
        <f t="shared" si="53"/>
        <v>817000</v>
      </c>
      <c r="L144" s="373">
        <f t="shared" si="54"/>
        <v>120000</v>
      </c>
      <c r="M144" s="373">
        <f t="shared" si="55"/>
        <v>220000</v>
      </c>
      <c r="N144" s="231">
        <f t="shared" si="56"/>
        <v>1</v>
      </c>
    </row>
    <row r="145" spans="1:14">
      <c r="A145" s="494">
        <f t="shared" si="57"/>
        <v>5</v>
      </c>
      <c r="B145" s="639" t="s">
        <v>1528</v>
      </c>
      <c r="C145" s="645" t="s">
        <v>1530</v>
      </c>
      <c r="D145" s="640" t="s">
        <v>1529</v>
      </c>
      <c r="E145" s="417">
        <v>350000</v>
      </c>
      <c r="F145" s="382">
        <v>26.5</v>
      </c>
      <c r="G145" s="637">
        <f t="shared" si="49"/>
        <v>12962.962962962964</v>
      </c>
      <c r="H145" s="638">
        <f t="shared" si="50"/>
        <v>343518.51851851854</v>
      </c>
      <c r="I145" s="373">
        <f>+H145*0.078</f>
        <v>26794.444444444445</v>
      </c>
      <c r="J145" s="373">
        <f t="shared" si="52"/>
        <v>24672.407407407412</v>
      </c>
      <c r="K145" s="638">
        <f t="shared" si="53"/>
        <v>292051.66666666669</v>
      </c>
      <c r="L145" s="373">
        <f>+H145*0.098</f>
        <v>33664.814814814818</v>
      </c>
      <c r="M145" s="373">
        <f t="shared" si="55"/>
        <v>60459.259259259263</v>
      </c>
      <c r="N145" s="231">
        <f t="shared" si="56"/>
        <v>1</v>
      </c>
    </row>
    <row r="146" spans="1:14">
      <c r="A146" s="494">
        <f t="shared" si="57"/>
        <v>6</v>
      </c>
      <c r="B146" s="639" t="s">
        <v>1534</v>
      </c>
      <c r="C146" s="640" t="s">
        <v>1536</v>
      </c>
      <c r="D146" s="643" t="s">
        <v>1535</v>
      </c>
      <c r="E146" s="662">
        <v>400000</v>
      </c>
      <c r="F146" s="382">
        <v>24.8</v>
      </c>
      <c r="G146" s="637">
        <f t="shared" si="49"/>
        <v>14814.814814814816</v>
      </c>
      <c r="H146" s="638">
        <f t="shared" si="50"/>
        <v>367407.40740740742</v>
      </c>
      <c r="I146" s="373">
        <f t="shared" ref="I146:I157" si="58">+H146*0.1</f>
        <v>36740.740740740745</v>
      </c>
      <c r="J146" s="373">
        <f t="shared" si="52"/>
        <v>26066.666666666672</v>
      </c>
      <c r="K146" s="638">
        <f t="shared" si="53"/>
        <v>304600</v>
      </c>
      <c r="L146" s="373">
        <f t="shared" si="54"/>
        <v>44088.888888888891</v>
      </c>
      <c r="M146" s="373">
        <f t="shared" si="55"/>
        <v>80829.629629629635</v>
      </c>
      <c r="N146" s="231">
        <f t="shared" si="56"/>
        <v>1</v>
      </c>
    </row>
    <row r="147" spans="1:14">
      <c r="A147" s="494">
        <f t="shared" si="57"/>
        <v>7</v>
      </c>
      <c r="B147" s="649" t="s">
        <v>1537</v>
      </c>
      <c r="C147" s="646" t="s">
        <v>1533</v>
      </c>
      <c r="D147" s="376" t="s">
        <v>1538</v>
      </c>
      <c r="E147" s="662">
        <v>400000</v>
      </c>
      <c r="F147" s="382">
        <v>30.229999999999997</v>
      </c>
      <c r="G147" s="637">
        <f t="shared" si="49"/>
        <v>14814.814814814816</v>
      </c>
      <c r="H147" s="638">
        <f t="shared" si="50"/>
        <v>447851.85185185185</v>
      </c>
      <c r="I147" s="373">
        <f t="shared" si="58"/>
        <v>44785.18518518519</v>
      </c>
      <c r="J147" s="373">
        <f t="shared" si="52"/>
        <v>33306.666666666672</v>
      </c>
      <c r="K147" s="638">
        <f t="shared" si="53"/>
        <v>369760</v>
      </c>
      <c r="L147" s="373">
        <f t="shared" si="54"/>
        <v>53742.222222222219</v>
      </c>
      <c r="M147" s="373">
        <f t="shared" si="55"/>
        <v>98527.407407407416</v>
      </c>
      <c r="N147" s="231">
        <f t="shared" si="56"/>
        <v>1</v>
      </c>
    </row>
    <row r="148" spans="1:14">
      <c r="A148" s="494">
        <f t="shared" si="57"/>
        <v>8</v>
      </c>
      <c r="B148" s="649" t="s">
        <v>1539</v>
      </c>
      <c r="C148" s="646" t="s">
        <v>1533</v>
      </c>
      <c r="D148" s="376" t="s">
        <v>1540</v>
      </c>
      <c r="E148" s="662">
        <v>400000</v>
      </c>
      <c r="F148" s="382">
        <v>27.24</v>
      </c>
      <c r="G148" s="637">
        <f t="shared" si="49"/>
        <v>14814.814814814816</v>
      </c>
      <c r="H148" s="638">
        <f t="shared" si="50"/>
        <v>403555.55555555556</v>
      </c>
      <c r="I148" s="373">
        <f t="shared" si="58"/>
        <v>40355.555555555562</v>
      </c>
      <c r="J148" s="373">
        <f t="shared" si="52"/>
        <v>29320</v>
      </c>
      <c r="K148" s="638">
        <f t="shared" si="53"/>
        <v>333880</v>
      </c>
      <c r="L148" s="373">
        <f t="shared" si="54"/>
        <v>48426.666666666664</v>
      </c>
      <c r="M148" s="373">
        <f t="shared" si="55"/>
        <v>88782.222222222219</v>
      </c>
      <c r="N148" s="231">
        <f t="shared" si="56"/>
        <v>1</v>
      </c>
    </row>
    <row r="149" spans="1:14">
      <c r="A149" s="494">
        <f t="shared" si="57"/>
        <v>9</v>
      </c>
      <c r="B149" s="634" t="s">
        <v>1541</v>
      </c>
      <c r="C149" s="646" t="s">
        <v>1533</v>
      </c>
      <c r="D149" s="650" t="s">
        <v>1542</v>
      </c>
      <c r="E149" s="662">
        <v>400000</v>
      </c>
      <c r="F149" s="382">
        <v>25</v>
      </c>
      <c r="G149" s="637">
        <f t="shared" si="49"/>
        <v>14814.814814814816</v>
      </c>
      <c r="H149" s="638">
        <f t="shared" si="50"/>
        <v>370370.37037037039</v>
      </c>
      <c r="I149" s="373">
        <f t="shared" si="58"/>
        <v>37037.037037037044</v>
      </c>
      <c r="J149" s="373">
        <f t="shared" si="52"/>
        <v>26333.333333333336</v>
      </c>
      <c r="K149" s="638">
        <f t="shared" si="53"/>
        <v>307000.00000000006</v>
      </c>
      <c r="L149" s="373">
        <f t="shared" si="54"/>
        <v>44444.444444444445</v>
      </c>
      <c r="M149" s="373">
        <f t="shared" si="55"/>
        <v>81481.481481481489</v>
      </c>
      <c r="N149" s="231">
        <f t="shared" si="56"/>
        <v>1</v>
      </c>
    </row>
    <row r="150" spans="1:14">
      <c r="A150" s="494">
        <f t="shared" si="57"/>
        <v>10</v>
      </c>
      <c r="B150" s="634" t="s">
        <v>1543</v>
      </c>
      <c r="C150" s="646" t="s">
        <v>1533</v>
      </c>
      <c r="D150" s="640" t="s">
        <v>1544</v>
      </c>
      <c r="E150" s="662">
        <v>800000</v>
      </c>
      <c r="F150" s="382">
        <v>27.67</v>
      </c>
      <c r="G150" s="637">
        <f t="shared" si="49"/>
        <v>29629.629629629631</v>
      </c>
      <c r="H150" s="638">
        <f t="shared" si="50"/>
        <v>819851.85185185191</v>
      </c>
      <c r="I150" s="373">
        <f t="shared" si="58"/>
        <v>81985.185185185197</v>
      </c>
      <c r="J150" s="373">
        <f t="shared" si="52"/>
        <v>66786.666666666672</v>
      </c>
      <c r="K150" s="638">
        <f t="shared" si="53"/>
        <v>671080.00000000012</v>
      </c>
      <c r="L150" s="373">
        <f t="shared" si="54"/>
        <v>98382.222222222219</v>
      </c>
      <c r="M150" s="373">
        <f t="shared" si="55"/>
        <v>180367.40740740742</v>
      </c>
      <c r="N150" s="231">
        <f t="shared" si="56"/>
        <v>1</v>
      </c>
    </row>
    <row r="151" spans="1:14">
      <c r="A151" s="494">
        <f t="shared" si="57"/>
        <v>11</v>
      </c>
      <c r="B151" s="634" t="s">
        <v>1545</v>
      </c>
      <c r="C151" s="646" t="s">
        <v>1533</v>
      </c>
      <c r="D151" s="650" t="s">
        <v>1546</v>
      </c>
      <c r="E151" s="662">
        <v>400000</v>
      </c>
      <c r="F151" s="382">
        <v>27.99</v>
      </c>
      <c r="G151" s="637">
        <f t="shared" si="49"/>
        <v>14814.814814814816</v>
      </c>
      <c r="H151" s="638">
        <f t="shared" si="50"/>
        <v>414666.66666666669</v>
      </c>
      <c r="I151" s="373">
        <f t="shared" si="58"/>
        <v>41466.666666666672</v>
      </c>
      <c r="J151" s="373">
        <f t="shared" si="52"/>
        <v>30320</v>
      </c>
      <c r="K151" s="638">
        <f t="shared" si="53"/>
        <v>342880</v>
      </c>
      <c r="L151" s="373">
        <f t="shared" si="54"/>
        <v>49760</v>
      </c>
      <c r="M151" s="373">
        <f t="shared" si="55"/>
        <v>91226.666666666672</v>
      </c>
      <c r="N151" s="231">
        <f t="shared" si="56"/>
        <v>1</v>
      </c>
    </row>
    <row r="152" spans="1:14">
      <c r="A152" s="494">
        <f t="shared" si="57"/>
        <v>12</v>
      </c>
      <c r="B152" s="649" t="s">
        <v>1547</v>
      </c>
      <c r="C152" s="646" t="s">
        <v>1533</v>
      </c>
      <c r="D152" s="376" t="s">
        <v>1548</v>
      </c>
      <c r="E152" s="662">
        <v>400000</v>
      </c>
      <c r="F152" s="382">
        <v>29.799999999999997</v>
      </c>
      <c r="G152" s="637">
        <f t="shared" si="49"/>
        <v>14814.814814814816</v>
      </c>
      <c r="H152" s="638">
        <f t="shared" si="50"/>
        <v>441481.48148148146</v>
      </c>
      <c r="I152" s="373">
        <f t="shared" si="58"/>
        <v>44148.148148148146</v>
      </c>
      <c r="J152" s="373">
        <f t="shared" si="52"/>
        <v>32733.333333333336</v>
      </c>
      <c r="K152" s="638">
        <f t="shared" si="53"/>
        <v>364600</v>
      </c>
      <c r="L152" s="373">
        <f t="shared" si="54"/>
        <v>52977.777777777774</v>
      </c>
      <c r="M152" s="373">
        <f t="shared" si="55"/>
        <v>97125.925925925927</v>
      </c>
      <c r="N152" s="231">
        <f t="shared" si="56"/>
        <v>1</v>
      </c>
    </row>
    <row r="153" spans="1:14">
      <c r="A153" s="494">
        <f t="shared" si="57"/>
        <v>13</v>
      </c>
      <c r="B153" s="634" t="s">
        <v>1549</v>
      </c>
      <c r="C153" s="640" t="s">
        <v>1533</v>
      </c>
      <c r="D153" s="651" t="s">
        <v>1550</v>
      </c>
      <c r="E153" s="662">
        <v>520000</v>
      </c>
      <c r="F153" s="382">
        <v>22.59</v>
      </c>
      <c r="G153" s="637">
        <f t="shared" si="49"/>
        <v>19259.259259259259</v>
      </c>
      <c r="H153" s="638">
        <f t="shared" si="50"/>
        <v>435066.66666666669</v>
      </c>
      <c r="I153" s="373">
        <f t="shared" si="58"/>
        <v>43506.666666666672</v>
      </c>
      <c r="J153" s="373">
        <f t="shared" si="52"/>
        <v>32156</v>
      </c>
      <c r="K153" s="638">
        <f t="shared" si="53"/>
        <v>359404</v>
      </c>
      <c r="L153" s="373">
        <f t="shared" si="54"/>
        <v>52208</v>
      </c>
      <c r="M153" s="373">
        <f t="shared" si="55"/>
        <v>95714.666666666672</v>
      </c>
      <c r="N153" s="231">
        <f t="shared" si="56"/>
        <v>1</v>
      </c>
    </row>
    <row r="154" spans="1:14">
      <c r="A154" s="494">
        <f t="shared" si="57"/>
        <v>14</v>
      </c>
      <c r="B154" s="652" t="s">
        <v>1551</v>
      </c>
      <c r="C154" s="640" t="s">
        <v>1553</v>
      </c>
      <c r="D154" s="653" t="s">
        <v>1552</v>
      </c>
      <c r="E154" s="662">
        <v>400000</v>
      </c>
      <c r="F154" s="382">
        <v>27</v>
      </c>
      <c r="G154" s="637">
        <f t="shared" si="49"/>
        <v>14814.814814814816</v>
      </c>
      <c r="H154" s="638">
        <f t="shared" si="50"/>
        <v>400000</v>
      </c>
      <c r="I154" s="373">
        <f t="shared" si="58"/>
        <v>40000</v>
      </c>
      <c r="J154" s="373">
        <f t="shared" si="52"/>
        <v>29000</v>
      </c>
      <c r="K154" s="638">
        <f t="shared" si="53"/>
        <v>331000</v>
      </c>
      <c r="L154" s="373">
        <f t="shared" si="54"/>
        <v>48000</v>
      </c>
      <c r="M154" s="373">
        <f t="shared" si="55"/>
        <v>88000</v>
      </c>
      <c r="N154" s="231">
        <f t="shared" si="56"/>
        <v>1</v>
      </c>
    </row>
    <row r="155" spans="1:14">
      <c r="A155" s="494">
        <f t="shared" si="57"/>
        <v>15</v>
      </c>
      <c r="B155" s="652" t="s">
        <v>1556</v>
      </c>
      <c r="C155" s="640" t="s">
        <v>1533</v>
      </c>
      <c r="D155" s="653" t="s">
        <v>1557</v>
      </c>
      <c r="E155" s="662">
        <v>400000</v>
      </c>
      <c r="F155" s="382">
        <v>26.27</v>
      </c>
      <c r="G155" s="637">
        <f t="shared" si="49"/>
        <v>14814.814814814816</v>
      </c>
      <c r="H155" s="638">
        <f t="shared" si="50"/>
        <v>389185.18518518523</v>
      </c>
      <c r="I155" s="373">
        <f t="shared" si="58"/>
        <v>38918.518518518526</v>
      </c>
      <c r="J155" s="373">
        <f t="shared" si="52"/>
        <v>28026.666666666672</v>
      </c>
      <c r="K155" s="638">
        <f t="shared" si="53"/>
        <v>322240</v>
      </c>
      <c r="L155" s="373">
        <f t="shared" si="54"/>
        <v>46702.222222222226</v>
      </c>
      <c r="M155" s="373">
        <f t="shared" si="55"/>
        <v>85620.740740740759</v>
      </c>
      <c r="N155" s="231">
        <f t="shared" si="56"/>
        <v>1</v>
      </c>
    </row>
    <row r="156" spans="1:14">
      <c r="A156" s="494">
        <f t="shared" si="57"/>
        <v>16</v>
      </c>
      <c r="B156" s="649" t="s">
        <v>1558</v>
      </c>
      <c r="C156" s="640" t="s">
        <v>1533</v>
      </c>
      <c r="D156" s="376" t="s">
        <v>1559</v>
      </c>
      <c r="E156" s="662">
        <v>400000</v>
      </c>
      <c r="F156" s="382">
        <v>22.73</v>
      </c>
      <c r="G156" s="637">
        <f t="shared" si="49"/>
        <v>14814.814814814816</v>
      </c>
      <c r="H156" s="638">
        <f t="shared" si="50"/>
        <v>336740.74074074079</v>
      </c>
      <c r="I156" s="373">
        <f t="shared" si="58"/>
        <v>33674.07407407408</v>
      </c>
      <c r="J156" s="373">
        <f t="shared" si="52"/>
        <v>23306.666666666672</v>
      </c>
      <c r="K156" s="638">
        <f t="shared" si="53"/>
        <v>279760</v>
      </c>
      <c r="L156" s="373">
        <f t="shared" si="54"/>
        <v>40408.888888888891</v>
      </c>
      <c r="M156" s="373">
        <f t="shared" si="55"/>
        <v>74082.962962962978</v>
      </c>
      <c r="N156" s="231">
        <f t="shared" si="56"/>
        <v>1</v>
      </c>
    </row>
    <row r="157" spans="1:14">
      <c r="A157" s="494">
        <f t="shared" si="57"/>
        <v>17</v>
      </c>
      <c r="B157" s="634" t="s">
        <v>1560</v>
      </c>
      <c r="C157" s="640" t="s">
        <v>1533</v>
      </c>
      <c r="D157" s="654" t="s">
        <v>1561</v>
      </c>
      <c r="E157" s="662">
        <v>400000</v>
      </c>
      <c r="F157" s="382">
        <v>24.9</v>
      </c>
      <c r="G157" s="637">
        <f t="shared" si="49"/>
        <v>14814.814814814816</v>
      </c>
      <c r="H157" s="638">
        <f t="shared" si="50"/>
        <v>368888.88888888888</v>
      </c>
      <c r="I157" s="373">
        <f t="shared" si="58"/>
        <v>36888.888888888891</v>
      </c>
      <c r="J157" s="373">
        <f t="shared" si="52"/>
        <v>26200</v>
      </c>
      <c r="K157" s="638">
        <f t="shared" si="53"/>
        <v>305800</v>
      </c>
      <c r="L157" s="373">
        <f t="shared" si="54"/>
        <v>44266.666666666664</v>
      </c>
      <c r="M157" s="373">
        <f t="shared" si="55"/>
        <v>81155.555555555562</v>
      </c>
      <c r="N157" s="231">
        <f t="shared" si="56"/>
        <v>1</v>
      </c>
    </row>
    <row r="158" spans="1:14">
      <c r="A158" s="935" t="s">
        <v>6</v>
      </c>
      <c r="B158" s="935"/>
      <c r="C158" s="935"/>
      <c r="D158" s="935"/>
      <c r="E158" s="655">
        <f t="shared" ref="E158:N158" si="59">SUM(E141:E157)</f>
        <v>10470000</v>
      </c>
      <c r="F158" s="655">
        <f t="shared" si="59"/>
        <v>450.71999999999997</v>
      </c>
      <c r="G158" s="655">
        <f t="shared" si="59"/>
        <v>387777.77777777781</v>
      </c>
      <c r="H158" s="655">
        <f t="shared" si="59"/>
        <v>10338585.185185185</v>
      </c>
      <c r="I158" s="655">
        <f t="shared" si="59"/>
        <v>1026301.111111111</v>
      </c>
      <c r="J158" s="655">
        <f t="shared" si="59"/>
        <v>812228.40740740742</v>
      </c>
      <c r="K158" s="655">
        <f t="shared" si="59"/>
        <v>8500055.6666666679</v>
      </c>
      <c r="L158" s="655">
        <f t="shared" si="59"/>
        <v>1233072.8148148151</v>
      </c>
      <c r="M158" s="655">
        <f t="shared" si="59"/>
        <v>2259373.9259259263</v>
      </c>
      <c r="N158" s="655">
        <f t="shared" si="59"/>
        <v>17</v>
      </c>
    </row>
    <row r="159" spans="1:14">
      <c r="H159" s="80"/>
    </row>
    <row r="160" spans="1:14">
      <c r="H160" s="23" t="s">
        <v>1562</v>
      </c>
    </row>
    <row r="161" spans="1:15">
      <c r="H161" s="376" t="s">
        <v>1340</v>
      </c>
      <c r="I161" s="376"/>
      <c r="J161" s="376"/>
      <c r="K161" s="657" t="s">
        <v>261</v>
      </c>
      <c r="L161" s="376" t="s">
        <v>262</v>
      </c>
    </row>
    <row r="162" spans="1:15">
      <c r="H162" s="376" t="s">
        <v>1584</v>
      </c>
      <c r="I162" s="376"/>
      <c r="J162" s="658">
        <v>700200</v>
      </c>
      <c r="K162" s="118">
        <f>+L158</f>
        <v>1233072.8148148151</v>
      </c>
      <c r="L162" s="6"/>
    </row>
    <row r="163" spans="1:15">
      <c r="H163" s="376" t="s">
        <v>1584</v>
      </c>
      <c r="I163" s="376"/>
      <c r="J163" s="658">
        <v>310800</v>
      </c>
      <c r="K163" s="6"/>
      <c r="L163" s="118">
        <f>+L158</f>
        <v>1233072.8148148151</v>
      </c>
    </row>
    <row r="164" spans="1:15">
      <c r="H164" s="376" t="s">
        <v>1585</v>
      </c>
      <c r="I164" s="376"/>
      <c r="J164" s="658">
        <v>310800</v>
      </c>
      <c r="K164" s="6"/>
      <c r="L164" s="118">
        <f>+I158</f>
        <v>1026301.111111111</v>
      </c>
    </row>
    <row r="165" spans="1:15">
      <c r="H165" s="376" t="s">
        <v>1586</v>
      </c>
      <c r="I165" s="376"/>
      <c r="J165" s="658">
        <v>310700</v>
      </c>
      <c r="K165" s="6"/>
      <c r="L165" s="118">
        <f>+J158</f>
        <v>812228.40740740742</v>
      </c>
    </row>
    <row r="166" spans="1:15">
      <c r="H166" s="376" t="s">
        <v>1587</v>
      </c>
      <c r="I166" s="376"/>
      <c r="J166" s="658">
        <v>311000</v>
      </c>
      <c r="K166" s="6"/>
      <c r="L166" s="118">
        <f>+K158</f>
        <v>8500055.6666666679</v>
      </c>
    </row>
    <row r="167" spans="1:15">
      <c r="H167" s="376" t="s">
        <v>2621</v>
      </c>
      <c r="I167" s="376"/>
      <c r="J167" s="658">
        <v>700100</v>
      </c>
      <c r="K167" s="647">
        <f>+L166+L165+L164</f>
        <v>10338585.185185187</v>
      </c>
      <c r="L167" s="376"/>
    </row>
    <row r="171" spans="1:15">
      <c r="A171" s="625"/>
      <c r="B171" s="625" t="s">
        <v>1588</v>
      </c>
      <c r="C171" s="625"/>
      <c r="D171" s="626"/>
      <c r="E171" s="626"/>
      <c r="F171" s="626"/>
      <c r="G171" s="626"/>
      <c r="H171" s="626"/>
      <c r="I171" s="626"/>
      <c r="J171" s="626"/>
      <c r="K171" s="626"/>
      <c r="L171" s="626"/>
      <c r="M171" s="626"/>
    </row>
    <row r="172" spans="1:15">
      <c r="A172" s="627" t="s">
        <v>1499</v>
      </c>
      <c r="B172" s="627"/>
      <c r="C172" s="627"/>
      <c r="D172" s="627"/>
      <c r="E172" s="628"/>
      <c r="F172" s="627"/>
      <c r="G172" s="627"/>
      <c r="H172" s="629"/>
      <c r="I172" s="629"/>
      <c r="J172" s="629"/>
      <c r="K172" s="629"/>
      <c r="L172" s="629"/>
      <c r="M172" s="629"/>
    </row>
    <row r="173" spans="1:15" ht="38.25">
      <c r="A173" s="630" t="s">
        <v>1</v>
      </c>
      <c r="B173" s="630" t="s">
        <v>1356</v>
      </c>
      <c r="C173" s="630" t="s">
        <v>1357</v>
      </c>
      <c r="D173" s="631" t="s">
        <v>1500</v>
      </c>
      <c r="E173" s="630" t="s">
        <v>1501</v>
      </c>
      <c r="F173" s="631" t="s">
        <v>1502</v>
      </c>
      <c r="G173" s="631" t="s">
        <v>1503</v>
      </c>
      <c r="H173" s="632" t="s">
        <v>1504</v>
      </c>
      <c r="I173" s="633" t="s">
        <v>1505</v>
      </c>
      <c r="J173" s="633" t="s">
        <v>1506</v>
      </c>
      <c r="K173" s="633" t="s">
        <v>1507</v>
      </c>
      <c r="L173" s="632" t="s">
        <v>1508</v>
      </c>
      <c r="M173" s="633" t="s">
        <v>1509</v>
      </c>
      <c r="N173" s="231" t="s">
        <v>1876</v>
      </c>
      <c r="O173" s="231">
        <f>1500/0.125/4</f>
        <v>3000</v>
      </c>
    </row>
    <row r="174" spans="1:15">
      <c r="A174" s="494">
        <v>1</v>
      </c>
      <c r="B174" s="634" t="s">
        <v>1510</v>
      </c>
      <c r="C174" s="635" t="s">
        <v>1512</v>
      </c>
      <c r="D174" s="635" t="s">
        <v>1511</v>
      </c>
      <c r="E174" s="661">
        <v>1200000</v>
      </c>
      <c r="F174" s="382">
        <v>24</v>
      </c>
      <c r="G174" s="637">
        <f>+E174/24</f>
        <v>50000</v>
      </c>
      <c r="H174" s="638">
        <f>+G174*F174</f>
        <v>1200000</v>
      </c>
      <c r="I174" s="373">
        <f>+H174*0.1</f>
        <v>120000</v>
      </c>
      <c r="J174" s="373">
        <f>+(H174-I174)*0.1-7000</f>
        <v>101000</v>
      </c>
      <c r="K174" s="638">
        <f>+H174-I174-J174</f>
        <v>979000</v>
      </c>
      <c r="L174" s="373">
        <f>+H174*0.12</f>
        <v>144000</v>
      </c>
      <c r="M174" s="373">
        <f>+I174+L174</f>
        <v>264000</v>
      </c>
      <c r="N174" s="231">
        <f>+IF(J174,1,0)</f>
        <v>1</v>
      </c>
    </row>
    <row r="175" spans="1:15">
      <c r="A175" s="494">
        <f>+A174+1</f>
        <v>2</v>
      </c>
      <c r="B175" s="639" t="s">
        <v>1513</v>
      </c>
      <c r="C175" s="640" t="s">
        <v>1515</v>
      </c>
      <c r="D175" s="640" t="s">
        <v>1514</v>
      </c>
      <c r="E175" s="417">
        <v>1200000</v>
      </c>
      <c r="F175" s="382">
        <v>24</v>
      </c>
      <c r="G175" s="637">
        <f t="shared" ref="G175:G192" si="60">+E175/24</f>
        <v>50000</v>
      </c>
      <c r="H175" s="638">
        <f t="shared" ref="H175:H191" si="61">+G175*F175</f>
        <v>1200000</v>
      </c>
      <c r="I175" s="373">
        <f t="shared" ref="I175:I192" si="62">+H175*0.1</f>
        <v>120000</v>
      </c>
      <c r="J175" s="373">
        <f t="shared" ref="J175:J192" si="63">+(H175-I175)*0.1-7000</f>
        <v>101000</v>
      </c>
      <c r="K175" s="638">
        <f t="shared" ref="K175:K192" si="64">+H175-I175-J175</f>
        <v>979000</v>
      </c>
      <c r="L175" s="373">
        <f t="shared" ref="L175:L177" si="65">+H175*0.12</f>
        <v>144000</v>
      </c>
      <c r="M175" s="373">
        <f t="shared" ref="M175:M192" si="66">+I175+L175</f>
        <v>264000</v>
      </c>
      <c r="N175" s="231">
        <f t="shared" ref="N175:N192" si="67">+IF(J175,1,0)</f>
        <v>1</v>
      </c>
    </row>
    <row r="176" spans="1:15">
      <c r="A176" s="494">
        <f t="shared" ref="A176:A192" si="68">+A175+1</f>
        <v>3</v>
      </c>
      <c r="B176" s="641" t="s">
        <v>1516</v>
      </c>
      <c r="C176" s="640" t="s">
        <v>1518</v>
      </c>
      <c r="D176" s="640" t="s">
        <v>1517</v>
      </c>
      <c r="E176" s="662">
        <v>1400000</v>
      </c>
      <c r="F176" s="382">
        <v>24</v>
      </c>
      <c r="G176" s="637">
        <f t="shared" si="60"/>
        <v>58333.333333333336</v>
      </c>
      <c r="H176" s="638">
        <f t="shared" si="61"/>
        <v>1400000</v>
      </c>
      <c r="I176" s="373">
        <f t="shared" si="62"/>
        <v>140000</v>
      </c>
      <c r="J176" s="373">
        <f t="shared" si="63"/>
        <v>119000</v>
      </c>
      <c r="K176" s="638">
        <f t="shared" si="64"/>
        <v>1141000</v>
      </c>
      <c r="L176" s="373">
        <f t="shared" si="65"/>
        <v>168000</v>
      </c>
      <c r="M176" s="373">
        <f t="shared" si="66"/>
        <v>308000</v>
      </c>
      <c r="N176" s="231">
        <f t="shared" si="67"/>
        <v>1</v>
      </c>
    </row>
    <row r="177" spans="1:14">
      <c r="A177" s="494">
        <f t="shared" si="68"/>
        <v>4</v>
      </c>
      <c r="B177" s="639" t="s">
        <v>1519</v>
      </c>
      <c r="C177" s="640" t="s">
        <v>1521</v>
      </c>
      <c r="D177" s="640" t="s">
        <v>1520</v>
      </c>
      <c r="E177" s="662">
        <v>1000000</v>
      </c>
      <c r="F177" s="382">
        <v>24</v>
      </c>
      <c r="G177" s="637">
        <f t="shared" si="60"/>
        <v>41666.666666666664</v>
      </c>
      <c r="H177" s="638">
        <f t="shared" si="61"/>
        <v>1000000</v>
      </c>
      <c r="I177" s="373">
        <f t="shared" si="62"/>
        <v>100000</v>
      </c>
      <c r="J177" s="373">
        <f t="shared" si="63"/>
        <v>83000</v>
      </c>
      <c r="K177" s="638">
        <f t="shared" si="64"/>
        <v>817000</v>
      </c>
      <c r="L177" s="373">
        <f t="shared" si="65"/>
        <v>120000</v>
      </c>
      <c r="M177" s="373">
        <f t="shared" si="66"/>
        <v>220000</v>
      </c>
      <c r="N177" s="231">
        <f t="shared" si="67"/>
        <v>1</v>
      </c>
    </row>
    <row r="178" spans="1:14">
      <c r="A178" s="494">
        <f t="shared" si="68"/>
        <v>5</v>
      </c>
      <c r="B178" s="639" t="s">
        <v>1528</v>
      </c>
      <c r="C178" s="645" t="s">
        <v>1530</v>
      </c>
      <c r="D178" s="640" t="s">
        <v>1529</v>
      </c>
      <c r="E178" s="417">
        <v>350000</v>
      </c>
      <c r="F178" s="382">
        <v>17.399999999999999</v>
      </c>
      <c r="G178" s="637">
        <f t="shared" si="60"/>
        <v>14583.333333333334</v>
      </c>
      <c r="H178" s="638">
        <f t="shared" si="61"/>
        <v>253750</v>
      </c>
      <c r="I178" s="373">
        <f>+H178*0.078</f>
        <v>19792.5</v>
      </c>
      <c r="J178" s="373">
        <f t="shared" si="63"/>
        <v>16395.75</v>
      </c>
      <c r="K178" s="638">
        <f t="shared" si="64"/>
        <v>217561.75</v>
      </c>
      <c r="L178" s="373">
        <f>+H178*0.098</f>
        <v>24867.5</v>
      </c>
      <c r="M178" s="373">
        <f t="shared" si="66"/>
        <v>44660</v>
      </c>
      <c r="N178" s="231">
        <f t="shared" si="67"/>
        <v>1</v>
      </c>
    </row>
    <row r="179" spans="1:14">
      <c r="A179" s="494">
        <f t="shared" si="68"/>
        <v>6</v>
      </c>
      <c r="B179" s="639" t="s">
        <v>1534</v>
      </c>
      <c r="C179" s="640" t="s">
        <v>1536</v>
      </c>
      <c r="D179" s="643" t="s">
        <v>1535</v>
      </c>
      <c r="E179" s="662">
        <v>400000</v>
      </c>
      <c r="F179" s="382">
        <v>21.79</v>
      </c>
      <c r="G179" s="637">
        <f t="shared" si="60"/>
        <v>16666.666666666668</v>
      </c>
      <c r="H179" s="638">
        <f t="shared" si="61"/>
        <v>363166.66666666669</v>
      </c>
      <c r="I179" s="373">
        <f t="shared" si="62"/>
        <v>36316.666666666672</v>
      </c>
      <c r="J179" s="373">
        <f t="shared" si="63"/>
        <v>25685</v>
      </c>
      <c r="K179" s="638">
        <f t="shared" si="64"/>
        <v>301165</v>
      </c>
      <c r="L179" s="373">
        <f t="shared" ref="L179:L192" si="69">+H179*0.12</f>
        <v>43580</v>
      </c>
      <c r="M179" s="373">
        <f t="shared" si="66"/>
        <v>79896.666666666672</v>
      </c>
      <c r="N179" s="231">
        <f t="shared" si="67"/>
        <v>1</v>
      </c>
    </row>
    <row r="180" spans="1:14">
      <c r="A180" s="494">
        <f t="shared" si="68"/>
        <v>7</v>
      </c>
      <c r="B180" s="649" t="s">
        <v>1537</v>
      </c>
      <c r="C180" s="646" t="s">
        <v>1533</v>
      </c>
      <c r="D180" s="376" t="s">
        <v>1538</v>
      </c>
      <c r="E180" s="662">
        <v>400000</v>
      </c>
      <c r="F180" s="382">
        <v>27.37</v>
      </c>
      <c r="G180" s="637">
        <f t="shared" si="60"/>
        <v>16666.666666666668</v>
      </c>
      <c r="H180" s="638">
        <f t="shared" si="61"/>
        <v>456166.66666666674</v>
      </c>
      <c r="I180" s="373">
        <f t="shared" si="62"/>
        <v>45616.666666666679</v>
      </c>
      <c r="J180" s="373">
        <f t="shared" si="63"/>
        <v>34055.000000000007</v>
      </c>
      <c r="K180" s="638">
        <f t="shared" si="64"/>
        <v>376495.00000000006</v>
      </c>
      <c r="L180" s="373">
        <f t="shared" si="69"/>
        <v>54740.000000000007</v>
      </c>
      <c r="M180" s="373">
        <f t="shared" si="66"/>
        <v>100356.66666666669</v>
      </c>
      <c r="N180" s="231">
        <f t="shared" si="67"/>
        <v>1</v>
      </c>
    </row>
    <row r="181" spans="1:14">
      <c r="A181" s="494">
        <f t="shared" si="68"/>
        <v>8</v>
      </c>
      <c r="B181" s="649" t="s">
        <v>1539</v>
      </c>
      <c r="C181" s="646" t="s">
        <v>1533</v>
      </c>
      <c r="D181" s="376" t="s">
        <v>1540</v>
      </c>
      <c r="E181" s="662">
        <v>400000</v>
      </c>
      <c r="F181" s="382">
        <v>23.44</v>
      </c>
      <c r="G181" s="637">
        <f t="shared" si="60"/>
        <v>16666.666666666668</v>
      </c>
      <c r="H181" s="638">
        <f t="shared" si="61"/>
        <v>390666.66666666674</v>
      </c>
      <c r="I181" s="373">
        <f t="shared" si="62"/>
        <v>39066.666666666679</v>
      </c>
      <c r="J181" s="373">
        <f t="shared" si="63"/>
        <v>28160.000000000007</v>
      </c>
      <c r="K181" s="638">
        <f t="shared" si="64"/>
        <v>323440.00000000006</v>
      </c>
      <c r="L181" s="373">
        <f t="shared" si="69"/>
        <v>46880.000000000007</v>
      </c>
      <c r="M181" s="373">
        <f t="shared" si="66"/>
        <v>85946.666666666686</v>
      </c>
      <c r="N181" s="231">
        <f t="shared" si="67"/>
        <v>1</v>
      </c>
    </row>
    <row r="182" spans="1:14">
      <c r="A182" s="494">
        <f t="shared" si="68"/>
        <v>9</v>
      </c>
      <c r="B182" s="634" t="s">
        <v>1541</v>
      </c>
      <c r="C182" s="646" t="s">
        <v>1533</v>
      </c>
      <c r="D182" s="650" t="s">
        <v>1542</v>
      </c>
      <c r="E182" s="662">
        <v>400000</v>
      </c>
      <c r="F182" s="382">
        <v>8.8800000000000008</v>
      </c>
      <c r="G182" s="637">
        <f t="shared" si="60"/>
        <v>16666.666666666668</v>
      </c>
      <c r="H182" s="638">
        <f t="shared" si="61"/>
        <v>148000.00000000003</v>
      </c>
      <c r="I182" s="373">
        <f t="shared" si="62"/>
        <v>14800.000000000004</v>
      </c>
      <c r="J182" s="373">
        <f t="shared" si="63"/>
        <v>6320.0000000000036</v>
      </c>
      <c r="K182" s="638">
        <f t="shared" si="64"/>
        <v>126880.00000000003</v>
      </c>
      <c r="L182" s="373">
        <f t="shared" si="69"/>
        <v>17760.000000000004</v>
      </c>
      <c r="M182" s="373">
        <f t="shared" si="66"/>
        <v>32560.000000000007</v>
      </c>
      <c r="N182" s="231">
        <f t="shared" si="67"/>
        <v>1</v>
      </c>
    </row>
    <row r="183" spans="1:14">
      <c r="A183" s="494">
        <f t="shared" si="68"/>
        <v>10</v>
      </c>
      <c r="B183" s="634" t="s">
        <v>1543</v>
      </c>
      <c r="C183" s="646" t="s">
        <v>1533</v>
      </c>
      <c r="D183" s="640" t="s">
        <v>1544</v>
      </c>
      <c r="E183" s="662">
        <v>800000</v>
      </c>
      <c r="F183" s="382">
        <v>24.14</v>
      </c>
      <c r="G183" s="637">
        <f t="shared" si="60"/>
        <v>33333.333333333336</v>
      </c>
      <c r="H183" s="638">
        <f t="shared" si="61"/>
        <v>804666.66666666674</v>
      </c>
      <c r="I183" s="373">
        <f t="shared" si="62"/>
        <v>80466.666666666686</v>
      </c>
      <c r="J183" s="373">
        <f t="shared" si="63"/>
        <v>65420</v>
      </c>
      <c r="K183" s="638">
        <f t="shared" si="64"/>
        <v>658780</v>
      </c>
      <c r="L183" s="373">
        <f t="shared" si="69"/>
        <v>96560</v>
      </c>
      <c r="M183" s="373">
        <f t="shared" si="66"/>
        <v>177026.66666666669</v>
      </c>
      <c r="N183" s="231">
        <f t="shared" si="67"/>
        <v>1</v>
      </c>
    </row>
    <row r="184" spans="1:14">
      <c r="A184" s="494">
        <f t="shared" si="68"/>
        <v>11</v>
      </c>
      <c r="B184" s="634" t="s">
        <v>1545</v>
      </c>
      <c r="C184" s="646" t="s">
        <v>1533</v>
      </c>
      <c r="D184" s="650" t="s">
        <v>1546</v>
      </c>
      <c r="E184" s="662">
        <v>400000</v>
      </c>
      <c r="F184" s="382">
        <v>24.61</v>
      </c>
      <c r="G184" s="637">
        <f t="shared" si="60"/>
        <v>16666.666666666668</v>
      </c>
      <c r="H184" s="638">
        <f t="shared" si="61"/>
        <v>410166.66666666669</v>
      </c>
      <c r="I184" s="373">
        <f t="shared" si="62"/>
        <v>41016.666666666672</v>
      </c>
      <c r="J184" s="373">
        <f t="shared" si="63"/>
        <v>29915</v>
      </c>
      <c r="K184" s="638">
        <f t="shared" si="64"/>
        <v>339235</v>
      </c>
      <c r="L184" s="373">
        <f t="shared" si="69"/>
        <v>49220</v>
      </c>
      <c r="M184" s="373">
        <f t="shared" si="66"/>
        <v>90236.666666666672</v>
      </c>
      <c r="N184" s="231">
        <f t="shared" si="67"/>
        <v>1</v>
      </c>
    </row>
    <row r="185" spans="1:14">
      <c r="A185" s="494">
        <f t="shared" si="68"/>
        <v>12</v>
      </c>
      <c r="B185" s="649" t="s">
        <v>1547</v>
      </c>
      <c r="C185" s="640" t="s">
        <v>1533</v>
      </c>
      <c r="D185" s="376" t="s">
        <v>1548</v>
      </c>
      <c r="E185" s="662">
        <v>400000</v>
      </c>
      <c r="F185" s="382">
        <v>24.75</v>
      </c>
      <c r="G185" s="637">
        <f t="shared" si="60"/>
        <v>16666.666666666668</v>
      </c>
      <c r="H185" s="638">
        <f t="shared" si="61"/>
        <v>412500.00000000006</v>
      </c>
      <c r="I185" s="373">
        <f t="shared" si="62"/>
        <v>41250.000000000007</v>
      </c>
      <c r="J185" s="373">
        <f t="shared" si="63"/>
        <v>30125.000000000007</v>
      </c>
      <c r="K185" s="638">
        <f t="shared" si="64"/>
        <v>341125.00000000006</v>
      </c>
      <c r="L185" s="373">
        <f t="shared" si="69"/>
        <v>49500.000000000007</v>
      </c>
      <c r="M185" s="373">
        <f t="shared" si="66"/>
        <v>90750.000000000015</v>
      </c>
      <c r="N185" s="231">
        <f t="shared" si="67"/>
        <v>1</v>
      </c>
    </row>
    <row r="186" spans="1:14">
      <c r="A186" s="494">
        <f t="shared" si="68"/>
        <v>13</v>
      </c>
      <c r="B186" s="634" t="s">
        <v>1549</v>
      </c>
      <c r="C186" s="640" t="s">
        <v>1533</v>
      </c>
      <c r="D186" s="651" t="s">
        <v>1550</v>
      </c>
      <c r="E186" s="662">
        <v>520000</v>
      </c>
      <c r="F186" s="382">
        <v>24.81</v>
      </c>
      <c r="G186" s="637">
        <f t="shared" si="60"/>
        <v>21666.666666666668</v>
      </c>
      <c r="H186" s="638">
        <f t="shared" si="61"/>
        <v>537550</v>
      </c>
      <c r="I186" s="373">
        <f t="shared" si="62"/>
        <v>53755</v>
      </c>
      <c r="J186" s="373">
        <f t="shared" si="63"/>
        <v>41379.5</v>
      </c>
      <c r="K186" s="638">
        <f t="shared" si="64"/>
        <v>442415.5</v>
      </c>
      <c r="L186" s="373">
        <f t="shared" si="69"/>
        <v>64506</v>
      </c>
      <c r="M186" s="373">
        <f t="shared" si="66"/>
        <v>118261</v>
      </c>
      <c r="N186" s="231">
        <f t="shared" si="67"/>
        <v>1</v>
      </c>
    </row>
    <row r="187" spans="1:14">
      <c r="A187" s="494">
        <f t="shared" si="68"/>
        <v>14</v>
      </c>
      <c r="B187" s="652" t="s">
        <v>1551</v>
      </c>
      <c r="C187" s="640" t="s">
        <v>1553</v>
      </c>
      <c r="D187" s="653" t="s">
        <v>1552</v>
      </c>
      <c r="E187" s="662">
        <v>400000</v>
      </c>
      <c r="F187" s="382">
        <v>24</v>
      </c>
      <c r="G187" s="637">
        <f t="shared" si="60"/>
        <v>16666.666666666668</v>
      </c>
      <c r="H187" s="638">
        <f t="shared" si="61"/>
        <v>400000</v>
      </c>
      <c r="I187" s="373">
        <f t="shared" si="62"/>
        <v>40000</v>
      </c>
      <c r="J187" s="373">
        <f t="shared" si="63"/>
        <v>29000</v>
      </c>
      <c r="K187" s="638">
        <f t="shared" si="64"/>
        <v>331000</v>
      </c>
      <c r="L187" s="373">
        <f t="shared" si="69"/>
        <v>48000</v>
      </c>
      <c r="M187" s="373">
        <f t="shared" si="66"/>
        <v>88000</v>
      </c>
      <c r="N187" s="231">
        <f t="shared" si="67"/>
        <v>1</v>
      </c>
    </row>
    <row r="188" spans="1:14">
      <c r="A188" s="494">
        <f t="shared" si="68"/>
        <v>15</v>
      </c>
      <c r="B188" s="652" t="s">
        <v>1589</v>
      </c>
      <c r="C188" s="640" t="s">
        <v>1533</v>
      </c>
      <c r="D188" s="653" t="s">
        <v>1590</v>
      </c>
      <c r="E188" s="662">
        <v>400000</v>
      </c>
      <c r="F188" s="382">
        <v>21.3</v>
      </c>
      <c r="G188" s="637">
        <f t="shared" si="60"/>
        <v>16666.666666666668</v>
      </c>
      <c r="H188" s="638">
        <f t="shared" si="61"/>
        <v>355000.00000000006</v>
      </c>
      <c r="I188" s="373">
        <f t="shared" si="62"/>
        <v>35500.000000000007</v>
      </c>
      <c r="J188" s="373">
        <f t="shared" si="63"/>
        <v>24950.000000000007</v>
      </c>
      <c r="K188" s="638">
        <f t="shared" si="64"/>
        <v>294550.00000000006</v>
      </c>
      <c r="L188" s="373">
        <f t="shared" si="69"/>
        <v>42600.000000000007</v>
      </c>
      <c r="M188" s="373">
        <f t="shared" si="66"/>
        <v>78100.000000000015</v>
      </c>
      <c r="N188" s="231">
        <f t="shared" si="67"/>
        <v>1</v>
      </c>
    </row>
    <row r="189" spans="1:14">
      <c r="A189" s="494">
        <f t="shared" si="68"/>
        <v>16</v>
      </c>
      <c r="B189" s="652" t="s">
        <v>1556</v>
      </c>
      <c r="C189" s="640" t="s">
        <v>1533</v>
      </c>
      <c r="D189" s="653" t="s">
        <v>1557</v>
      </c>
      <c r="E189" s="662">
        <v>400000</v>
      </c>
      <c r="F189" s="382">
        <v>24.44</v>
      </c>
      <c r="G189" s="637">
        <f t="shared" si="60"/>
        <v>16666.666666666668</v>
      </c>
      <c r="H189" s="638">
        <f t="shared" si="61"/>
        <v>407333.33333333337</v>
      </c>
      <c r="I189" s="373">
        <f t="shared" si="62"/>
        <v>40733.333333333343</v>
      </c>
      <c r="J189" s="373">
        <f t="shared" si="63"/>
        <v>29660</v>
      </c>
      <c r="K189" s="638">
        <f t="shared" si="64"/>
        <v>336940</v>
      </c>
      <c r="L189" s="373">
        <f t="shared" si="69"/>
        <v>48880</v>
      </c>
      <c r="M189" s="373">
        <f t="shared" si="66"/>
        <v>89613.333333333343</v>
      </c>
      <c r="N189" s="231">
        <f t="shared" si="67"/>
        <v>1</v>
      </c>
    </row>
    <row r="190" spans="1:14">
      <c r="A190" s="494">
        <f t="shared" si="68"/>
        <v>17</v>
      </c>
      <c r="B190" s="649" t="s">
        <v>1558</v>
      </c>
      <c r="C190" s="640" t="s">
        <v>1533</v>
      </c>
      <c r="D190" s="376" t="s">
        <v>1559</v>
      </c>
      <c r="E190" s="662">
        <v>400000</v>
      </c>
      <c r="F190" s="382">
        <v>23.05</v>
      </c>
      <c r="G190" s="637">
        <f t="shared" si="60"/>
        <v>16666.666666666668</v>
      </c>
      <c r="H190" s="638">
        <f t="shared" si="61"/>
        <v>384166.66666666669</v>
      </c>
      <c r="I190" s="373">
        <f t="shared" si="62"/>
        <v>38416.666666666672</v>
      </c>
      <c r="J190" s="373">
        <f t="shared" si="63"/>
        <v>27575</v>
      </c>
      <c r="K190" s="638">
        <f t="shared" si="64"/>
        <v>318175</v>
      </c>
      <c r="L190" s="373">
        <f t="shared" si="69"/>
        <v>46100</v>
      </c>
      <c r="M190" s="373">
        <f t="shared" si="66"/>
        <v>84516.666666666672</v>
      </c>
      <c r="N190" s="231">
        <f t="shared" si="67"/>
        <v>1</v>
      </c>
    </row>
    <row r="191" spans="1:14">
      <c r="A191" s="494">
        <f t="shared" si="68"/>
        <v>18</v>
      </c>
      <c r="B191" s="649" t="s">
        <v>1591</v>
      </c>
      <c r="C191" s="640" t="s">
        <v>1533</v>
      </c>
      <c r="D191" s="376" t="s">
        <v>1592</v>
      </c>
      <c r="E191" s="662">
        <v>400000</v>
      </c>
      <c r="F191" s="382">
        <v>22.58</v>
      </c>
      <c r="G191" s="637">
        <f t="shared" si="60"/>
        <v>16666.666666666668</v>
      </c>
      <c r="H191" s="638">
        <f t="shared" si="61"/>
        <v>376333.33333333331</v>
      </c>
      <c r="I191" s="373">
        <f t="shared" si="62"/>
        <v>37633.333333333336</v>
      </c>
      <c r="J191" s="373">
        <f t="shared" si="63"/>
        <v>26870</v>
      </c>
      <c r="K191" s="638">
        <f t="shared" si="64"/>
        <v>311830</v>
      </c>
      <c r="L191" s="373">
        <f t="shared" si="69"/>
        <v>45159.999999999993</v>
      </c>
      <c r="M191" s="373">
        <f t="shared" si="66"/>
        <v>82793.333333333328</v>
      </c>
      <c r="N191" s="231">
        <f t="shared" si="67"/>
        <v>1</v>
      </c>
    </row>
    <row r="192" spans="1:14">
      <c r="A192" s="494">
        <f t="shared" si="68"/>
        <v>19</v>
      </c>
      <c r="B192" s="634" t="s">
        <v>1560</v>
      </c>
      <c r="C192" s="640" t="s">
        <v>1533</v>
      </c>
      <c r="D192" s="654" t="s">
        <v>1561</v>
      </c>
      <c r="E192" s="662">
        <v>400000</v>
      </c>
      <c r="F192" s="382">
        <v>24.9</v>
      </c>
      <c r="G192" s="637">
        <f t="shared" si="60"/>
        <v>16666.666666666668</v>
      </c>
      <c r="H192" s="638">
        <v>360166.67</v>
      </c>
      <c r="I192" s="373">
        <f t="shared" si="62"/>
        <v>36016.667000000001</v>
      </c>
      <c r="J192" s="373">
        <f t="shared" si="63"/>
        <v>25415.0003</v>
      </c>
      <c r="K192" s="638">
        <f t="shared" si="64"/>
        <v>298735.00269999995</v>
      </c>
      <c r="L192" s="373">
        <f t="shared" si="69"/>
        <v>43220.000399999997</v>
      </c>
      <c r="M192" s="373">
        <f t="shared" si="66"/>
        <v>79236.667400000006</v>
      </c>
      <c r="N192" s="231">
        <f t="shared" si="67"/>
        <v>1</v>
      </c>
    </row>
    <row r="193" spans="1:15">
      <c r="A193" s="932" t="s">
        <v>6</v>
      </c>
      <c r="B193" s="932"/>
      <c r="C193" s="932"/>
      <c r="D193" s="932"/>
      <c r="E193" s="659">
        <f t="shared" ref="E193:L193" si="70">SUM(E174:E192)</f>
        <v>11270000</v>
      </c>
      <c r="F193" s="659">
        <f t="shared" si="70"/>
        <v>433.46</v>
      </c>
      <c r="G193" s="659">
        <f t="shared" si="70"/>
        <v>469583.33333333349</v>
      </c>
      <c r="H193" s="659">
        <f t="shared" si="70"/>
        <v>10859633.33666667</v>
      </c>
      <c r="I193" s="659">
        <f t="shared" si="70"/>
        <v>1080380.8336666664</v>
      </c>
      <c r="J193" s="659">
        <f t="shared" si="70"/>
        <v>844925.25029999996</v>
      </c>
      <c r="K193" s="659">
        <f t="shared" si="70"/>
        <v>8934327.2526999991</v>
      </c>
      <c r="L193" s="659">
        <f t="shared" si="70"/>
        <v>1297573.5004</v>
      </c>
      <c r="M193" s="659">
        <f>SUM(M174:M192)</f>
        <v>2377954.3340666671</v>
      </c>
      <c r="N193" s="659">
        <f>SUM(N174:N192)</f>
        <v>19</v>
      </c>
    </row>
    <row r="194" spans="1:15">
      <c r="H194" s="80"/>
    </row>
    <row r="195" spans="1:15">
      <c r="H195" s="23" t="s">
        <v>1562</v>
      </c>
    </row>
    <row r="196" spans="1:15">
      <c r="H196" s="376" t="s">
        <v>1340</v>
      </c>
      <c r="I196" s="376"/>
      <c r="J196" s="376"/>
      <c r="K196" s="657" t="s">
        <v>261</v>
      </c>
      <c r="L196" s="376" t="s">
        <v>262</v>
      </c>
    </row>
    <row r="197" spans="1:15">
      <c r="H197" s="376" t="s">
        <v>1593</v>
      </c>
      <c r="I197" s="376"/>
      <c r="J197" s="658">
        <v>700200</v>
      </c>
      <c r="K197" s="118">
        <f>+L193</f>
        <v>1297573.5004</v>
      </c>
      <c r="L197" s="6"/>
    </row>
    <row r="198" spans="1:15">
      <c r="H198" s="376" t="s">
        <v>1593</v>
      </c>
      <c r="I198" s="376"/>
      <c r="J198" s="658">
        <v>310800</v>
      </c>
      <c r="K198" s="6"/>
      <c r="L198" s="118">
        <f>+L193</f>
        <v>1297573.5004</v>
      </c>
    </row>
    <row r="199" spans="1:15">
      <c r="H199" s="376" t="s">
        <v>1594</v>
      </c>
      <c r="I199" s="376"/>
      <c r="J199" s="658">
        <v>310800</v>
      </c>
      <c r="K199" s="6"/>
      <c r="L199" s="118">
        <f>+I193</f>
        <v>1080380.8336666664</v>
      </c>
    </row>
    <row r="200" spans="1:15">
      <c r="H200" s="376" t="s">
        <v>1595</v>
      </c>
      <c r="I200" s="376"/>
      <c r="J200" s="658">
        <v>310700</v>
      </c>
      <c r="K200" s="6"/>
      <c r="L200" s="118">
        <f>+J193</f>
        <v>844925.25029999996</v>
      </c>
    </row>
    <row r="201" spans="1:15">
      <c r="H201" s="376" t="s">
        <v>1596</v>
      </c>
      <c r="I201" s="376"/>
      <c r="J201" s="658">
        <v>311000</v>
      </c>
      <c r="K201" s="6"/>
      <c r="L201" s="118">
        <f>+K193</f>
        <v>8934327.2526999991</v>
      </c>
    </row>
    <row r="202" spans="1:15">
      <c r="H202" s="376" t="s">
        <v>2620</v>
      </c>
      <c r="I202" s="376"/>
      <c r="J202" s="658">
        <v>700100</v>
      </c>
      <c r="K202" s="647">
        <f>+L201+L200+L199</f>
        <v>10859633.336666666</v>
      </c>
      <c r="L202" s="376"/>
      <c r="M202" s="231">
        <f>+L202*3</f>
        <v>0</v>
      </c>
    </row>
    <row r="203" spans="1:15">
      <c r="J203" s="80"/>
      <c r="L203" s="80"/>
      <c r="M203" s="80"/>
    </row>
    <row r="204" spans="1:15">
      <c r="I204" s="80"/>
    </row>
    <row r="205" spans="1:15">
      <c r="H205" s="80"/>
      <c r="I205" s="80"/>
      <c r="J205" s="80"/>
      <c r="K205" s="80"/>
      <c r="L205" s="80"/>
      <c r="M205" s="80"/>
      <c r="N205" s="80"/>
      <c r="O205" s="80"/>
    </row>
    <row r="207" spans="1:15">
      <c r="H207" s="80"/>
    </row>
    <row r="208" spans="1:15">
      <c r="H208" s="80"/>
      <c r="L208" s="80"/>
    </row>
    <row r="209" spans="1:14">
      <c r="L209" s="80"/>
    </row>
    <row r="211" spans="1:14">
      <c r="A211" s="625"/>
      <c r="B211" s="625" t="s">
        <v>1597</v>
      </c>
      <c r="C211" s="625"/>
      <c r="D211" s="626"/>
      <c r="E211" s="626"/>
      <c r="F211" s="626"/>
      <c r="G211" s="626"/>
      <c r="H211" s="626"/>
      <c r="I211" s="626"/>
      <c r="J211" s="626"/>
      <c r="K211" s="626"/>
      <c r="L211" s="626"/>
      <c r="M211" s="626"/>
    </row>
    <row r="212" spans="1:14">
      <c r="A212" s="627" t="s">
        <v>1499</v>
      </c>
      <c r="B212" s="627"/>
      <c r="C212" s="627"/>
      <c r="D212" s="627"/>
      <c r="E212" s="628"/>
      <c r="F212" s="627"/>
      <c r="G212" s="627"/>
      <c r="H212" s="629"/>
      <c r="I212" s="629"/>
      <c r="J212" s="629"/>
      <c r="K212" s="629"/>
      <c r="L212" s="629"/>
      <c r="M212" s="629"/>
    </row>
    <row r="213" spans="1:14" ht="38.25">
      <c r="A213" s="630" t="s">
        <v>1</v>
      </c>
      <c r="B213" s="630" t="s">
        <v>1356</v>
      </c>
      <c r="C213" s="630" t="s">
        <v>1357</v>
      </c>
      <c r="D213" s="631" t="s">
        <v>1500</v>
      </c>
      <c r="E213" s="630" t="s">
        <v>1501</v>
      </c>
      <c r="F213" s="631" t="s">
        <v>1502</v>
      </c>
      <c r="G213" s="631" t="s">
        <v>1503</v>
      </c>
      <c r="H213" s="632" t="s">
        <v>1504</v>
      </c>
      <c r="I213" s="633" t="s">
        <v>1505</v>
      </c>
      <c r="J213" s="633" t="s">
        <v>1506</v>
      </c>
      <c r="K213" s="633" t="s">
        <v>1507</v>
      </c>
      <c r="L213" s="632" t="s">
        <v>1508</v>
      </c>
      <c r="M213" s="633" t="s">
        <v>1509</v>
      </c>
      <c r="N213" s="231" t="s">
        <v>1876</v>
      </c>
    </row>
    <row r="214" spans="1:14">
      <c r="A214" s="494">
        <v>1</v>
      </c>
      <c r="B214" s="634" t="s">
        <v>1510</v>
      </c>
      <c r="C214" s="635" t="s">
        <v>1512</v>
      </c>
      <c r="D214" s="635" t="s">
        <v>1511</v>
      </c>
      <c r="E214" s="661">
        <v>1200000</v>
      </c>
      <c r="F214" s="382">
        <v>21</v>
      </c>
      <c r="G214" s="637">
        <f>+E214/21</f>
        <v>57142.857142857145</v>
      </c>
      <c r="H214" s="638">
        <f>+G214*F214</f>
        <v>1200000</v>
      </c>
      <c r="I214" s="373">
        <f>+H214*0.1</f>
        <v>120000</v>
      </c>
      <c r="J214" s="373">
        <f>+(H214-I214)*0.1-7000</f>
        <v>101000</v>
      </c>
      <c r="K214" s="638">
        <f>+H214-I214-J214</f>
        <v>979000</v>
      </c>
      <c r="L214" s="373">
        <f>+H214*0.12</f>
        <v>144000</v>
      </c>
      <c r="M214" s="373">
        <f>+I214+L214</f>
        <v>264000</v>
      </c>
      <c r="N214" s="231">
        <f>+IF(J214,1,0)</f>
        <v>1</v>
      </c>
    </row>
    <row r="215" spans="1:14">
      <c r="A215" s="494">
        <f>+A214+1</f>
        <v>2</v>
      </c>
      <c r="B215" s="639" t="s">
        <v>1513</v>
      </c>
      <c r="C215" s="640" t="s">
        <v>1515</v>
      </c>
      <c r="D215" s="640" t="s">
        <v>1514</v>
      </c>
      <c r="E215" s="417">
        <v>1200000</v>
      </c>
      <c r="F215" s="382">
        <v>21</v>
      </c>
      <c r="G215" s="637">
        <f t="shared" ref="G215:G232" si="71">+E215/21</f>
        <v>57142.857142857145</v>
      </c>
      <c r="H215" s="638">
        <f t="shared" ref="H215:H232" si="72">+G215*F215</f>
        <v>1200000</v>
      </c>
      <c r="I215" s="373">
        <f t="shared" ref="I215:I217" si="73">+H215*0.1</f>
        <v>120000</v>
      </c>
      <c r="J215" s="373">
        <f t="shared" ref="J215:J232" si="74">+(H215-I215)*0.1-7000</f>
        <v>101000</v>
      </c>
      <c r="K215" s="638">
        <f t="shared" ref="K215:K232" si="75">+H215-I215-J215</f>
        <v>979000</v>
      </c>
      <c r="L215" s="373">
        <f t="shared" ref="L215:L217" si="76">+H215*0.12</f>
        <v>144000</v>
      </c>
      <c r="M215" s="373">
        <f t="shared" ref="M215:M232" si="77">+I215+L215</f>
        <v>264000</v>
      </c>
      <c r="N215" s="231">
        <f t="shared" ref="N215:N232" si="78">+IF(J215,1,0)</f>
        <v>1</v>
      </c>
    </row>
    <row r="216" spans="1:14">
      <c r="A216" s="494">
        <f t="shared" ref="A216:A232" si="79">+A215+1</f>
        <v>3</v>
      </c>
      <c r="B216" s="641" t="s">
        <v>1516</v>
      </c>
      <c r="C216" s="640" t="s">
        <v>1518</v>
      </c>
      <c r="D216" s="640" t="s">
        <v>1517</v>
      </c>
      <c r="E216" s="662">
        <v>1400000</v>
      </c>
      <c r="F216" s="382">
        <v>21</v>
      </c>
      <c r="G216" s="637">
        <f t="shared" si="71"/>
        <v>66666.666666666672</v>
      </c>
      <c r="H216" s="638">
        <f t="shared" si="72"/>
        <v>1400000</v>
      </c>
      <c r="I216" s="373">
        <f t="shared" si="73"/>
        <v>140000</v>
      </c>
      <c r="J216" s="373">
        <f t="shared" si="74"/>
        <v>119000</v>
      </c>
      <c r="K216" s="638">
        <f t="shared" si="75"/>
        <v>1141000</v>
      </c>
      <c r="L216" s="373">
        <f t="shared" si="76"/>
        <v>168000</v>
      </c>
      <c r="M216" s="373">
        <f t="shared" si="77"/>
        <v>308000</v>
      </c>
      <c r="N216" s="231">
        <f t="shared" si="78"/>
        <v>1</v>
      </c>
    </row>
    <row r="217" spans="1:14">
      <c r="A217" s="494">
        <f t="shared" si="79"/>
        <v>4</v>
      </c>
      <c r="B217" s="639" t="s">
        <v>1519</v>
      </c>
      <c r="C217" s="640" t="s">
        <v>1521</v>
      </c>
      <c r="D217" s="640" t="s">
        <v>1520</v>
      </c>
      <c r="E217" s="662">
        <v>1000000</v>
      </c>
      <c r="F217" s="382">
        <v>21</v>
      </c>
      <c r="G217" s="637">
        <f t="shared" si="71"/>
        <v>47619.047619047618</v>
      </c>
      <c r="H217" s="638">
        <f t="shared" si="72"/>
        <v>1000000</v>
      </c>
      <c r="I217" s="373">
        <f t="shared" si="73"/>
        <v>100000</v>
      </c>
      <c r="J217" s="373">
        <f t="shared" si="74"/>
        <v>83000</v>
      </c>
      <c r="K217" s="638">
        <f t="shared" si="75"/>
        <v>817000</v>
      </c>
      <c r="L217" s="373">
        <f t="shared" si="76"/>
        <v>120000</v>
      </c>
      <c r="M217" s="373">
        <f t="shared" si="77"/>
        <v>220000</v>
      </c>
      <c r="N217" s="231">
        <f t="shared" si="78"/>
        <v>1</v>
      </c>
    </row>
    <row r="218" spans="1:14">
      <c r="A218" s="494">
        <f t="shared" si="79"/>
        <v>5</v>
      </c>
      <c r="B218" s="639" t="s">
        <v>1528</v>
      </c>
      <c r="C218" s="645" t="s">
        <v>1530</v>
      </c>
      <c r="D218" s="640" t="s">
        <v>1529</v>
      </c>
      <c r="E218" s="417">
        <v>350000</v>
      </c>
      <c r="F218" s="382">
        <v>9.9600000000000009</v>
      </c>
      <c r="G218" s="637">
        <f t="shared" si="71"/>
        <v>16666.666666666668</v>
      </c>
      <c r="H218" s="638">
        <f t="shared" si="72"/>
        <v>166000.00000000003</v>
      </c>
      <c r="I218" s="373">
        <f>+H218*0.078</f>
        <v>12948.000000000002</v>
      </c>
      <c r="J218" s="373">
        <f t="shared" si="74"/>
        <v>8305.2000000000044</v>
      </c>
      <c r="K218" s="638">
        <f t="shared" si="75"/>
        <v>144746.80000000002</v>
      </c>
      <c r="L218" s="373">
        <f>+H218*0.098</f>
        <v>16268.000000000004</v>
      </c>
      <c r="M218" s="373">
        <f t="shared" si="77"/>
        <v>29216.000000000007</v>
      </c>
      <c r="N218" s="231">
        <f t="shared" si="78"/>
        <v>1</v>
      </c>
    </row>
    <row r="219" spans="1:14">
      <c r="A219" s="494">
        <f t="shared" si="79"/>
        <v>6</v>
      </c>
      <c r="B219" s="639" t="s">
        <v>1534</v>
      </c>
      <c r="C219" s="640" t="s">
        <v>1536</v>
      </c>
      <c r="D219" s="643" t="s">
        <v>1535</v>
      </c>
      <c r="E219" s="662">
        <v>400000</v>
      </c>
      <c r="F219" s="382">
        <v>11.1</v>
      </c>
      <c r="G219" s="637">
        <f t="shared" si="71"/>
        <v>19047.619047619046</v>
      </c>
      <c r="H219" s="638">
        <f t="shared" si="72"/>
        <v>211428.57142857139</v>
      </c>
      <c r="I219" s="373">
        <f t="shared" ref="I219:I232" si="80">+H219*0.1</f>
        <v>21142.857142857141</v>
      </c>
      <c r="J219" s="373">
        <f t="shared" si="74"/>
        <v>12028.571428571428</v>
      </c>
      <c r="K219" s="638">
        <f t="shared" si="75"/>
        <v>178257.14285714284</v>
      </c>
      <c r="L219" s="373">
        <f t="shared" ref="L219:L232" si="81">+H219*0.12</f>
        <v>25371.428571428565</v>
      </c>
      <c r="M219" s="373">
        <f t="shared" si="77"/>
        <v>46514.28571428571</v>
      </c>
      <c r="N219" s="231">
        <f t="shared" si="78"/>
        <v>1</v>
      </c>
    </row>
    <row r="220" spans="1:14">
      <c r="A220" s="494">
        <f t="shared" si="79"/>
        <v>7</v>
      </c>
      <c r="B220" s="649" t="s">
        <v>1537</v>
      </c>
      <c r="C220" s="646" t="s">
        <v>1533</v>
      </c>
      <c r="D220" s="376" t="s">
        <v>1538</v>
      </c>
      <c r="E220" s="662">
        <v>400000</v>
      </c>
      <c r="F220" s="382">
        <v>26.25</v>
      </c>
      <c r="G220" s="637">
        <f t="shared" si="71"/>
        <v>19047.619047619046</v>
      </c>
      <c r="H220" s="638">
        <f t="shared" si="72"/>
        <v>499999.99999999994</v>
      </c>
      <c r="I220" s="373">
        <f t="shared" si="80"/>
        <v>50000</v>
      </c>
      <c r="J220" s="373">
        <f t="shared" si="74"/>
        <v>38000</v>
      </c>
      <c r="K220" s="638">
        <f t="shared" si="75"/>
        <v>411999.99999999994</v>
      </c>
      <c r="L220" s="373">
        <f t="shared" si="81"/>
        <v>59999.999999999993</v>
      </c>
      <c r="M220" s="373">
        <f t="shared" si="77"/>
        <v>110000</v>
      </c>
      <c r="N220" s="231">
        <f t="shared" si="78"/>
        <v>1</v>
      </c>
    </row>
    <row r="221" spans="1:14">
      <c r="A221" s="494">
        <f t="shared" si="79"/>
        <v>8</v>
      </c>
      <c r="B221" s="649" t="s">
        <v>1539</v>
      </c>
      <c r="C221" s="646" t="s">
        <v>1533</v>
      </c>
      <c r="D221" s="376" t="s">
        <v>1540</v>
      </c>
      <c r="E221" s="662">
        <v>400000</v>
      </c>
      <c r="F221" s="382">
        <v>21.17</v>
      </c>
      <c r="G221" s="637">
        <f t="shared" si="71"/>
        <v>19047.619047619046</v>
      </c>
      <c r="H221" s="638">
        <f t="shared" si="72"/>
        <v>403238.09523809521</v>
      </c>
      <c r="I221" s="373">
        <f t="shared" si="80"/>
        <v>40323.809523809527</v>
      </c>
      <c r="J221" s="373">
        <f t="shared" si="74"/>
        <v>29291.428571428572</v>
      </c>
      <c r="K221" s="638">
        <f t="shared" si="75"/>
        <v>333622.8571428571</v>
      </c>
      <c r="L221" s="373">
        <f t="shared" si="81"/>
        <v>48388.57142857142</v>
      </c>
      <c r="M221" s="373">
        <f t="shared" si="77"/>
        <v>88712.380952380947</v>
      </c>
      <c r="N221" s="231">
        <f t="shared" si="78"/>
        <v>1</v>
      </c>
    </row>
    <row r="222" spans="1:14">
      <c r="A222" s="494">
        <f t="shared" si="79"/>
        <v>9</v>
      </c>
      <c r="B222" s="634" t="s">
        <v>1541</v>
      </c>
      <c r="C222" s="646" t="s">
        <v>1533</v>
      </c>
      <c r="D222" s="650" t="s">
        <v>1542</v>
      </c>
      <c r="E222" s="662">
        <v>400000</v>
      </c>
      <c r="F222" s="382">
        <v>16.64</v>
      </c>
      <c r="G222" s="637">
        <f t="shared" si="71"/>
        <v>19047.619047619046</v>
      </c>
      <c r="H222" s="638">
        <f t="shared" si="72"/>
        <v>316952.38095238095</v>
      </c>
      <c r="I222" s="373">
        <f t="shared" si="80"/>
        <v>31695.238095238095</v>
      </c>
      <c r="J222" s="373">
        <f t="shared" si="74"/>
        <v>21525.714285714286</v>
      </c>
      <c r="K222" s="638">
        <f t="shared" si="75"/>
        <v>263731.42857142858</v>
      </c>
      <c r="L222" s="373">
        <f t="shared" si="81"/>
        <v>38034.28571428571</v>
      </c>
      <c r="M222" s="373">
        <f t="shared" si="77"/>
        <v>69729.523809523802</v>
      </c>
      <c r="N222" s="231">
        <f t="shared" si="78"/>
        <v>1</v>
      </c>
    </row>
    <row r="223" spans="1:14">
      <c r="A223" s="494">
        <f t="shared" si="79"/>
        <v>10</v>
      </c>
      <c r="B223" s="634" t="s">
        <v>1598</v>
      </c>
      <c r="C223" s="646" t="s">
        <v>1599</v>
      </c>
      <c r="D223" s="650" t="s">
        <v>1600</v>
      </c>
      <c r="E223" s="662">
        <v>400000</v>
      </c>
      <c r="F223" s="382">
        <v>22</v>
      </c>
      <c r="G223" s="637">
        <f t="shared" si="71"/>
        <v>19047.619047619046</v>
      </c>
      <c r="H223" s="638">
        <f t="shared" si="72"/>
        <v>419047.61904761899</v>
      </c>
      <c r="I223" s="373">
        <f t="shared" si="80"/>
        <v>41904.761904761901</v>
      </c>
      <c r="J223" s="373">
        <f t="shared" si="74"/>
        <v>30714.28571428571</v>
      </c>
      <c r="K223" s="638">
        <f t="shared" si="75"/>
        <v>346428.57142857136</v>
      </c>
      <c r="L223" s="373">
        <f t="shared" si="81"/>
        <v>50285.714285714275</v>
      </c>
      <c r="M223" s="373">
        <f t="shared" si="77"/>
        <v>92190.476190476184</v>
      </c>
      <c r="N223" s="231">
        <f t="shared" si="78"/>
        <v>1</v>
      </c>
    </row>
    <row r="224" spans="1:14">
      <c r="A224" s="494">
        <f t="shared" si="79"/>
        <v>11</v>
      </c>
      <c r="B224" s="634" t="s">
        <v>1543</v>
      </c>
      <c r="C224" s="646" t="s">
        <v>1533</v>
      </c>
      <c r="D224" s="640" t="s">
        <v>1544</v>
      </c>
      <c r="E224" s="662">
        <v>800000</v>
      </c>
      <c r="F224" s="382">
        <v>6.3</v>
      </c>
      <c r="G224" s="637">
        <f t="shared" si="71"/>
        <v>38095.238095238092</v>
      </c>
      <c r="H224" s="638">
        <f t="shared" si="72"/>
        <v>239999.99999999997</v>
      </c>
      <c r="I224" s="373">
        <f t="shared" si="80"/>
        <v>24000</v>
      </c>
      <c r="J224" s="373">
        <f t="shared" si="74"/>
        <v>14600</v>
      </c>
      <c r="K224" s="638">
        <f t="shared" si="75"/>
        <v>201399.99999999997</v>
      </c>
      <c r="L224" s="373">
        <f t="shared" si="81"/>
        <v>28799.999999999996</v>
      </c>
      <c r="M224" s="373">
        <f t="shared" si="77"/>
        <v>52800</v>
      </c>
      <c r="N224" s="231">
        <f t="shared" si="78"/>
        <v>1</v>
      </c>
    </row>
    <row r="225" spans="1:14">
      <c r="A225" s="494">
        <f t="shared" si="79"/>
        <v>12</v>
      </c>
      <c r="B225" s="634" t="s">
        <v>1545</v>
      </c>
      <c r="C225" s="646" t="s">
        <v>1533</v>
      </c>
      <c r="D225" s="650" t="s">
        <v>1546</v>
      </c>
      <c r="E225" s="662">
        <v>400000</v>
      </c>
      <c r="F225" s="382">
        <v>23.06</v>
      </c>
      <c r="G225" s="637">
        <f t="shared" si="71"/>
        <v>19047.619047619046</v>
      </c>
      <c r="H225" s="638">
        <f t="shared" si="72"/>
        <v>439238.09523809515</v>
      </c>
      <c r="I225" s="373">
        <f t="shared" si="80"/>
        <v>43923.809523809519</v>
      </c>
      <c r="J225" s="373">
        <f t="shared" si="74"/>
        <v>32531.428571428565</v>
      </c>
      <c r="K225" s="638">
        <f t="shared" si="75"/>
        <v>362782.85714285704</v>
      </c>
      <c r="L225" s="373">
        <f t="shared" si="81"/>
        <v>52708.571428571413</v>
      </c>
      <c r="M225" s="373">
        <f t="shared" si="77"/>
        <v>96632.380952380932</v>
      </c>
      <c r="N225" s="231">
        <f t="shared" si="78"/>
        <v>1</v>
      </c>
    </row>
    <row r="226" spans="1:14">
      <c r="A226" s="494">
        <f t="shared" si="79"/>
        <v>13</v>
      </c>
      <c r="B226" s="649" t="s">
        <v>1547</v>
      </c>
      <c r="C226" s="640" t="s">
        <v>1533</v>
      </c>
      <c r="D226" s="376" t="s">
        <v>1548</v>
      </c>
      <c r="E226" s="662">
        <v>400000</v>
      </c>
      <c r="F226" s="382">
        <v>24.39</v>
      </c>
      <c r="G226" s="637">
        <f t="shared" si="71"/>
        <v>19047.619047619046</v>
      </c>
      <c r="H226" s="638">
        <f t="shared" si="72"/>
        <v>464571.42857142852</v>
      </c>
      <c r="I226" s="373">
        <f t="shared" si="80"/>
        <v>46457.142857142855</v>
      </c>
      <c r="J226" s="373">
        <f t="shared" si="74"/>
        <v>34811.428571428572</v>
      </c>
      <c r="K226" s="638">
        <f t="shared" si="75"/>
        <v>383302.8571428571</v>
      </c>
      <c r="L226" s="373">
        <f t="shared" si="81"/>
        <v>55748.57142857142</v>
      </c>
      <c r="M226" s="373">
        <f t="shared" si="77"/>
        <v>102205.71428571428</v>
      </c>
      <c r="N226" s="231">
        <f t="shared" si="78"/>
        <v>1</v>
      </c>
    </row>
    <row r="227" spans="1:14">
      <c r="A227" s="494">
        <f t="shared" si="79"/>
        <v>14</v>
      </c>
      <c r="B227" s="634" t="s">
        <v>1549</v>
      </c>
      <c r="C227" s="640" t="s">
        <v>1533</v>
      </c>
      <c r="D227" s="651" t="s">
        <v>1550</v>
      </c>
      <c r="E227" s="662">
        <v>520000</v>
      </c>
      <c r="F227" s="382">
        <v>20.9</v>
      </c>
      <c r="G227" s="637">
        <f t="shared" si="71"/>
        <v>24761.904761904763</v>
      </c>
      <c r="H227" s="638">
        <f t="shared" si="72"/>
        <v>517523.80952380953</v>
      </c>
      <c r="I227" s="373">
        <f t="shared" si="80"/>
        <v>51752.380952380954</v>
      </c>
      <c r="J227" s="373">
        <f t="shared" si="74"/>
        <v>39577.142857142862</v>
      </c>
      <c r="K227" s="638">
        <f t="shared" si="75"/>
        <v>426194.28571428574</v>
      </c>
      <c r="L227" s="373">
        <f t="shared" si="81"/>
        <v>62102.857142857138</v>
      </c>
      <c r="M227" s="373">
        <f t="shared" si="77"/>
        <v>113855.23809523809</v>
      </c>
      <c r="N227" s="231">
        <f t="shared" si="78"/>
        <v>1</v>
      </c>
    </row>
    <row r="228" spans="1:14">
      <c r="A228" s="494">
        <f t="shared" si="79"/>
        <v>15</v>
      </c>
      <c r="B228" s="652" t="s">
        <v>1551</v>
      </c>
      <c r="C228" s="640" t="s">
        <v>1553</v>
      </c>
      <c r="D228" s="653" t="s">
        <v>1552</v>
      </c>
      <c r="E228" s="662">
        <v>400000</v>
      </c>
      <c r="F228" s="382">
        <v>22</v>
      </c>
      <c r="G228" s="637">
        <f t="shared" si="71"/>
        <v>19047.619047619046</v>
      </c>
      <c r="H228" s="638">
        <f t="shared" si="72"/>
        <v>419047.61904761899</v>
      </c>
      <c r="I228" s="373">
        <f t="shared" si="80"/>
        <v>41904.761904761901</v>
      </c>
      <c r="J228" s="373">
        <f t="shared" si="74"/>
        <v>30714.28571428571</v>
      </c>
      <c r="K228" s="638">
        <f t="shared" si="75"/>
        <v>346428.57142857136</v>
      </c>
      <c r="L228" s="373">
        <f t="shared" si="81"/>
        <v>50285.714285714275</v>
      </c>
      <c r="M228" s="373">
        <f t="shared" si="77"/>
        <v>92190.476190476184</v>
      </c>
      <c r="N228" s="231">
        <f t="shared" si="78"/>
        <v>1</v>
      </c>
    </row>
    <row r="229" spans="1:14">
      <c r="A229" s="494">
        <f t="shared" si="79"/>
        <v>16</v>
      </c>
      <c r="B229" s="652" t="s">
        <v>1556</v>
      </c>
      <c r="C229" s="640" t="s">
        <v>1533</v>
      </c>
      <c r="D229" s="653" t="s">
        <v>1557</v>
      </c>
      <c r="E229" s="662">
        <v>400000</v>
      </c>
      <c r="F229" s="382">
        <v>21</v>
      </c>
      <c r="G229" s="637">
        <f t="shared" si="71"/>
        <v>19047.619047619046</v>
      </c>
      <c r="H229" s="638">
        <f t="shared" si="72"/>
        <v>399999.99999999994</v>
      </c>
      <c r="I229" s="373">
        <f t="shared" si="80"/>
        <v>40000</v>
      </c>
      <c r="J229" s="373">
        <f t="shared" si="74"/>
        <v>28999.999999999993</v>
      </c>
      <c r="K229" s="638">
        <f t="shared" si="75"/>
        <v>330999.99999999994</v>
      </c>
      <c r="L229" s="373">
        <f t="shared" si="81"/>
        <v>47999.999999999993</v>
      </c>
      <c r="M229" s="373">
        <f t="shared" si="77"/>
        <v>88000</v>
      </c>
      <c r="N229" s="231">
        <f t="shared" si="78"/>
        <v>1</v>
      </c>
    </row>
    <row r="230" spans="1:14">
      <c r="A230" s="494">
        <f t="shared" si="79"/>
        <v>17</v>
      </c>
      <c r="B230" s="649" t="s">
        <v>1558</v>
      </c>
      <c r="C230" s="640" t="s">
        <v>1533</v>
      </c>
      <c r="D230" s="376" t="s">
        <v>1559</v>
      </c>
      <c r="E230" s="662">
        <v>400000</v>
      </c>
      <c r="F230" s="382">
        <v>19.73</v>
      </c>
      <c r="G230" s="637">
        <f t="shared" si="71"/>
        <v>19047.619047619046</v>
      </c>
      <c r="H230" s="638">
        <f t="shared" si="72"/>
        <v>375809.52380952379</v>
      </c>
      <c r="I230" s="373">
        <f t="shared" si="80"/>
        <v>37580.952380952382</v>
      </c>
      <c r="J230" s="373">
        <f t="shared" si="74"/>
        <v>26822.857142857145</v>
      </c>
      <c r="K230" s="638">
        <f t="shared" si="75"/>
        <v>311405.71428571426</v>
      </c>
      <c r="L230" s="373">
        <f t="shared" si="81"/>
        <v>45097.142857142855</v>
      </c>
      <c r="M230" s="373">
        <f t="shared" si="77"/>
        <v>82678.095238095237</v>
      </c>
      <c r="N230" s="231">
        <f t="shared" si="78"/>
        <v>1</v>
      </c>
    </row>
    <row r="231" spans="1:14">
      <c r="A231" s="494">
        <f t="shared" si="79"/>
        <v>18</v>
      </c>
      <c r="B231" s="649" t="s">
        <v>1591</v>
      </c>
      <c r="C231" s="640" t="s">
        <v>1533</v>
      </c>
      <c r="D231" s="376" t="s">
        <v>1592</v>
      </c>
      <c r="E231" s="662">
        <v>400000</v>
      </c>
      <c r="F231" s="382">
        <v>19</v>
      </c>
      <c r="G231" s="637">
        <f t="shared" si="71"/>
        <v>19047.619047619046</v>
      </c>
      <c r="H231" s="638">
        <f t="shared" si="72"/>
        <v>361904.76190476189</v>
      </c>
      <c r="I231" s="373">
        <f t="shared" si="80"/>
        <v>36190.476190476191</v>
      </c>
      <c r="J231" s="373">
        <f t="shared" si="74"/>
        <v>25571.428571428569</v>
      </c>
      <c r="K231" s="638">
        <f t="shared" si="75"/>
        <v>300142.8571428571</v>
      </c>
      <c r="L231" s="373">
        <f t="shared" si="81"/>
        <v>43428.571428571428</v>
      </c>
      <c r="M231" s="373">
        <f t="shared" si="77"/>
        <v>79619.047619047618</v>
      </c>
      <c r="N231" s="231">
        <f t="shared" si="78"/>
        <v>1</v>
      </c>
    </row>
    <row r="232" spans="1:14">
      <c r="A232" s="494">
        <f t="shared" si="79"/>
        <v>19</v>
      </c>
      <c r="B232" s="634" t="s">
        <v>1560</v>
      </c>
      <c r="C232" s="640" t="s">
        <v>1533</v>
      </c>
      <c r="D232" s="654" t="s">
        <v>1561</v>
      </c>
      <c r="E232" s="662">
        <v>400000</v>
      </c>
      <c r="F232" s="382">
        <v>24.78</v>
      </c>
      <c r="G232" s="637">
        <f t="shared" si="71"/>
        <v>19047.619047619046</v>
      </c>
      <c r="H232" s="638">
        <f t="shared" si="72"/>
        <v>472000</v>
      </c>
      <c r="I232" s="373">
        <f t="shared" si="80"/>
        <v>47200</v>
      </c>
      <c r="J232" s="373">
        <f t="shared" si="74"/>
        <v>35480</v>
      </c>
      <c r="K232" s="638">
        <f t="shared" si="75"/>
        <v>389320</v>
      </c>
      <c r="L232" s="373">
        <f t="shared" si="81"/>
        <v>56640</v>
      </c>
      <c r="M232" s="373">
        <f t="shared" si="77"/>
        <v>103840</v>
      </c>
      <c r="N232" s="231">
        <f t="shared" si="78"/>
        <v>1</v>
      </c>
    </row>
    <row r="233" spans="1:14">
      <c r="A233" s="932" t="s">
        <v>6</v>
      </c>
      <c r="B233" s="932"/>
      <c r="C233" s="932"/>
      <c r="D233" s="932"/>
      <c r="E233" s="659">
        <f t="shared" ref="E233:L233" si="82">SUM(E214:E232)</f>
        <v>11270000</v>
      </c>
      <c r="F233" s="659">
        <f>SUM(F214:F232)</f>
        <v>372.28</v>
      </c>
      <c r="G233" s="659">
        <f t="shared" si="82"/>
        <v>536666.66666666674</v>
      </c>
      <c r="H233" s="659">
        <f>SUM(H214:H232)</f>
        <v>10506761.904761905</v>
      </c>
      <c r="I233" s="659">
        <f t="shared" si="82"/>
        <v>1047024.1904761905</v>
      </c>
      <c r="J233" s="659">
        <f t="shared" si="82"/>
        <v>812973.7714285712</v>
      </c>
      <c r="K233" s="659">
        <f t="shared" si="82"/>
        <v>8646763.9428571425</v>
      </c>
      <c r="L233" s="659">
        <f t="shared" si="82"/>
        <v>1257159.4285714284</v>
      </c>
      <c r="M233" s="659">
        <f>SUM(M214:M232)</f>
        <v>2304183.6190476189</v>
      </c>
      <c r="N233" s="659">
        <f>SUM(N214:N232)</f>
        <v>19</v>
      </c>
    </row>
    <row r="234" spans="1:14">
      <c r="H234" s="80"/>
    </row>
    <row r="235" spans="1:14">
      <c r="H235" s="23" t="s">
        <v>1562</v>
      </c>
    </row>
    <row r="236" spans="1:14">
      <c r="H236" s="376" t="s">
        <v>1340</v>
      </c>
      <c r="I236" s="376"/>
      <c r="J236" s="376"/>
      <c r="K236" s="657" t="s">
        <v>261</v>
      </c>
      <c r="L236" s="376" t="s">
        <v>262</v>
      </c>
    </row>
    <row r="237" spans="1:14">
      <c r="H237" s="376" t="s">
        <v>2618</v>
      </c>
      <c r="I237" s="376"/>
      <c r="J237" s="658">
        <v>700200</v>
      </c>
      <c r="K237" s="118">
        <f>+L233</f>
        <v>1257159.4285714284</v>
      </c>
      <c r="L237" s="6"/>
    </row>
    <row r="238" spans="1:14">
      <c r="H238" s="376" t="s">
        <v>2618</v>
      </c>
      <c r="I238" s="376"/>
      <c r="J238" s="658">
        <v>310800</v>
      </c>
      <c r="K238" s="6"/>
      <c r="L238" s="118">
        <f>+L233</f>
        <v>1257159.4285714284</v>
      </c>
    </row>
    <row r="239" spans="1:14">
      <c r="H239" s="376" t="s">
        <v>1602</v>
      </c>
      <c r="I239" s="376"/>
      <c r="J239" s="658">
        <v>310800</v>
      </c>
      <c r="K239" s="6"/>
      <c r="L239" s="118">
        <f>+I233</f>
        <v>1047024.1904761905</v>
      </c>
    </row>
    <row r="240" spans="1:14">
      <c r="H240" s="376" t="s">
        <v>1603</v>
      </c>
      <c r="I240" s="376"/>
      <c r="J240" s="658">
        <v>310700</v>
      </c>
      <c r="K240" s="6"/>
      <c r="L240" s="118">
        <f>+J233</f>
        <v>812973.7714285712</v>
      </c>
    </row>
    <row r="241" spans="1:14">
      <c r="H241" s="376" t="s">
        <v>1604</v>
      </c>
      <c r="I241" s="376"/>
      <c r="J241" s="658">
        <v>311000</v>
      </c>
      <c r="K241" s="6"/>
      <c r="L241" s="118">
        <f>+K233</f>
        <v>8646763.9428571425</v>
      </c>
    </row>
    <row r="242" spans="1:14">
      <c r="H242" s="376" t="s">
        <v>2619</v>
      </c>
      <c r="I242" s="376"/>
      <c r="J242" s="658">
        <v>700100</v>
      </c>
      <c r="K242" s="647">
        <f>+L241+L240+L239</f>
        <v>10506761.904761905</v>
      </c>
      <c r="L242" s="376"/>
    </row>
    <row r="245" spans="1:14">
      <c r="A245" s="625"/>
      <c r="B245" s="625" t="s">
        <v>1605</v>
      </c>
      <c r="C245" s="625"/>
      <c r="D245" s="626"/>
      <c r="E245" s="626"/>
      <c r="F245" s="626"/>
      <c r="G245" s="626"/>
      <c r="H245" s="626"/>
      <c r="I245" s="626"/>
      <c r="J245" s="626"/>
      <c r="K245" s="626"/>
      <c r="L245" s="626"/>
      <c r="M245" s="626"/>
    </row>
    <row r="246" spans="1:14">
      <c r="A246" s="627" t="s">
        <v>1499</v>
      </c>
      <c r="B246" s="627"/>
      <c r="C246" s="627"/>
      <c r="D246" s="627"/>
      <c r="E246" s="628"/>
      <c r="F246" s="627"/>
      <c r="G246" s="627"/>
      <c r="H246" s="629"/>
      <c r="I246" s="629"/>
      <c r="J246" s="629"/>
      <c r="K246" s="629"/>
      <c r="L246" s="629"/>
      <c r="M246" s="629"/>
    </row>
    <row r="247" spans="1:14" ht="38.25">
      <c r="A247" s="630" t="s">
        <v>1</v>
      </c>
      <c r="B247" s="630" t="s">
        <v>1356</v>
      </c>
      <c r="C247" s="630" t="s">
        <v>1357</v>
      </c>
      <c r="D247" s="631" t="s">
        <v>1500</v>
      </c>
      <c r="E247" s="630" t="s">
        <v>1501</v>
      </c>
      <c r="F247" s="631" t="s">
        <v>1502</v>
      </c>
      <c r="G247" s="631" t="s">
        <v>1503</v>
      </c>
      <c r="H247" s="632" t="s">
        <v>1504</v>
      </c>
      <c r="I247" s="633" t="s">
        <v>1505</v>
      </c>
      <c r="J247" s="633" t="s">
        <v>1506</v>
      </c>
      <c r="K247" s="633" t="s">
        <v>1507</v>
      </c>
      <c r="L247" s="632" t="s">
        <v>1508</v>
      </c>
      <c r="M247" s="633" t="s">
        <v>1509</v>
      </c>
      <c r="N247" s="231" t="s">
        <v>1876</v>
      </c>
    </row>
    <row r="248" spans="1:14">
      <c r="A248" s="494">
        <v>1</v>
      </c>
      <c r="B248" s="634" t="s">
        <v>1510</v>
      </c>
      <c r="C248" s="635" t="s">
        <v>1512</v>
      </c>
      <c r="D248" s="635" t="s">
        <v>1511</v>
      </c>
      <c r="E248" s="661">
        <v>1200000</v>
      </c>
      <c r="F248" s="663">
        <v>24</v>
      </c>
      <c r="G248" s="637">
        <f>+E248/24</f>
        <v>50000</v>
      </c>
      <c r="H248" s="638">
        <f>+G248*F248</f>
        <v>1200000</v>
      </c>
      <c r="I248" s="373">
        <f>+H248*0.1</f>
        <v>120000</v>
      </c>
      <c r="J248" s="373">
        <f>+(H248-I248)*0.1-7000</f>
        <v>101000</v>
      </c>
      <c r="K248" s="638">
        <f>+H248-I248-J248</f>
        <v>979000</v>
      </c>
      <c r="L248" s="373">
        <f>+H248*0.12</f>
        <v>144000</v>
      </c>
      <c r="M248" s="373">
        <f>+I248+L248</f>
        <v>264000</v>
      </c>
      <c r="N248" s="231">
        <f>+IF(J248,1,0)</f>
        <v>1</v>
      </c>
    </row>
    <row r="249" spans="1:14">
      <c r="A249" s="494">
        <f>+A248+1</f>
        <v>2</v>
      </c>
      <c r="B249" s="639" t="s">
        <v>1513</v>
      </c>
      <c r="C249" s="640" t="s">
        <v>1515</v>
      </c>
      <c r="D249" s="640" t="s">
        <v>1514</v>
      </c>
      <c r="E249" s="417">
        <v>1200000</v>
      </c>
      <c r="F249" s="663">
        <v>24</v>
      </c>
      <c r="G249" s="637">
        <f t="shared" ref="G249:G266" si="83">+E249/24</f>
        <v>50000</v>
      </c>
      <c r="H249" s="638">
        <f t="shared" ref="H249:H266" si="84">+G249*F249</f>
        <v>1200000</v>
      </c>
      <c r="I249" s="373">
        <f t="shared" ref="I249:I251" si="85">+H249*0.1</f>
        <v>120000</v>
      </c>
      <c r="J249" s="373">
        <f t="shared" ref="J249:J266" si="86">+(H249-I249)*0.1-7000</f>
        <v>101000</v>
      </c>
      <c r="K249" s="638">
        <f t="shared" ref="K249:K266" si="87">+H249-I249-J249</f>
        <v>979000</v>
      </c>
      <c r="L249" s="373">
        <f t="shared" ref="L249:L251" si="88">+H249*0.12</f>
        <v>144000</v>
      </c>
      <c r="M249" s="373">
        <f t="shared" ref="M249:M266" si="89">+I249+L249</f>
        <v>264000</v>
      </c>
      <c r="N249" s="231">
        <f t="shared" ref="N249:N266" si="90">+IF(J249,1,0)</f>
        <v>1</v>
      </c>
    </row>
    <row r="250" spans="1:14">
      <c r="A250" s="494">
        <f t="shared" ref="A250:A266" si="91">+A249+1</f>
        <v>3</v>
      </c>
      <c r="B250" s="641" t="s">
        <v>1516</v>
      </c>
      <c r="C250" s="640" t="s">
        <v>1518</v>
      </c>
      <c r="D250" s="640" t="s">
        <v>1517</v>
      </c>
      <c r="E250" s="662">
        <v>1400000</v>
      </c>
      <c r="F250" s="663">
        <v>24</v>
      </c>
      <c r="G250" s="637">
        <f t="shared" si="83"/>
        <v>58333.333333333336</v>
      </c>
      <c r="H250" s="638">
        <f t="shared" si="84"/>
        <v>1400000</v>
      </c>
      <c r="I250" s="373">
        <f t="shared" si="85"/>
        <v>140000</v>
      </c>
      <c r="J250" s="373">
        <f t="shared" si="86"/>
        <v>119000</v>
      </c>
      <c r="K250" s="638">
        <f t="shared" si="87"/>
        <v>1141000</v>
      </c>
      <c r="L250" s="373">
        <f t="shared" si="88"/>
        <v>168000</v>
      </c>
      <c r="M250" s="373">
        <f t="shared" si="89"/>
        <v>308000</v>
      </c>
      <c r="N250" s="231">
        <f t="shared" si="90"/>
        <v>1</v>
      </c>
    </row>
    <row r="251" spans="1:14">
      <c r="A251" s="494">
        <f t="shared" si="91"/>
        <v>4</v>
      </c>
      <c r="B251" s="639" t="s">
        <v>1519</v>
      </c>
      <c r="C251" s="640" t="s">
        <v>1521</v>
      </c>
      <c r="D251" s="640" t="s">
        <v>1520</v>
      </c>
      <c r="E251" s="662">
        <v>1000000</v>
      </c>
      <c r="F251" s="663">
        <v>24</v>
      </c>
      <c r="G251" s="637">
        <f t="shared" si="83"/>
        <v>41666.666666666664</v>
      </c>
      <c r="H251" s="638">
        <f t="shared" si="84"/>
        <v>1000000</v>
      </c>
      <c r="I251" s="373">
        <f t="shared" si="85"/>
        <v>100000</v>
      </c>
      <c r="J251" s="373">
        <f t="shared" si="86"/>
        <v>83000</v>
      </c>
      <c r="K251" s="638">
        <f t="shared" si="87"/>
        <v>817000</v>
      </c>
      <c r="L251" s="373">
        <f t="shared" si="88"/>
        <v>120000</v>
      </c>
      <c r="M251" s="373">
        <f t="shared" si="89"/>
        <v>220000</v>
      </c>
      <c r="N251" s="231">
        <f t="shared" si="90"/>
        <v>1</v>
      </c>
    </row>
    <row r="252" spans="1:14">
      <c r="A252" s="494">
        <f t="shared" si="91"/>
        <v>5</v>
      </c>
      <c r="B252" s="639" t="s">
        <v>1528</v>
      </c>
      <c r="C252" s="645" t="s">
        <v>1530</v>
      </c>
      <c r="D252" s="640" t="s">
        <v>1529</v>
      </c>
      <c r="E252" s="417">
        <v>350000</v>
      </c>
      <c r="F252" s="663">
        <v>23.45</v>
      </c>
      <c r="G252" s="637">
        <f t="shared" si="83"/>
        <v>14583.333333333334</v>
      </c>
      <c r="H252" s="638">
        <f t="shared" si="84"/>
        <v>341979.16666666669</v>
      </c>
      <c r="I252" s="373">
        <f>+H252*0.078</f>
        <v>26674.375</v>
      </c>
      <c r="J252" s="373">
        <f t="shared" si="86"/>
        <v>24530.479166666672</v>
      </c>
      <c r="K252" s="638">
        <f t="shared" si="87"/>
        <v>290774.3125</v>
      </c>
      <c r="L252" s="373">
        <f>+H252*0.098</f>
        <v>33513.958333333336</v>
      </c>
      <c r="M252" s="373">
        <f t="shared" si="89"/>
        <v>60188.333333333336</v>
      </c>
      <c r="N252" s="231">
        <f t="shared" si="90"/>
        <v>1</v>
      </c>
    </row>
    <row r="253" spans="1:14">
      <c r="A253" s="494">
        <f t="shared" si="91"/>
        <v>6</v>
      </c>
      <c r="B253" s="639" t="s">
        <v>1534</v>
      </c>
      <c r="C253" s="640" t="s">
        <v>1536</v>
      </c>
      <c r="D253" s="643" t="s">
        <v>1535</v>
      </c>
      <c r="E253" s="662">
        <v>400000</v>
      </c>
      <c r="F253" s="382">
        <v>23.15</v>
      </c>
      <c r="G253" s="637">
        <f t="shared" si="83"/>
        <v>16666.666666666668</v>
      </c>
      <c r="H253" s="638">
        <f t="shared" si="84"/>
        <v>385833.33333333331</v>
      </c>
      <c r="I253" s="373">
        <f t="shared" ref="I253:I266" si="92">+H253*0.1</f>
        <v>38583.333333333336</v>
      </c>
      <c r="J253" s="373">
        <f t="shared" si="86"/>
        <v>27725</v>
      </c>
      <c r="K253" s="638">
        <f t="shared" si="87"/>
        <v>319525</v>
      </c>
      <c r="L253" s="373">
        <f t="shared" ref="L253:L266" si="93">+H253*0.12</f>
        <v>46299.999999999993</v>
      </c>
      <c r="M253" s="373">
        <f t="shared" si="89"/>
        <v>84883.333333333328</v>
      </c>
      <c r="N253" s="231">
        <f t="shared" si="90"/>
        <v>1</v>
      </c>
    </row>
    <row r="254" spans="1:14">
      <c r="A254" s="494">
        <f t="shared" si="91"/>
        <v>7</v>
      </c>
      <c r="B254" s="649" t="s">
        <v>1537</v>
      </c>
      <c r="C254" s="646" t="s">
        <v>1533</v>
      </c>
      <c r="D254" s="376" t="s">
        <v>1538</v>
      </c>
      <c r="E254" s="662">
        <v>400000</v>
      </c>
      <c r="F254" s="382">
        <v>27.88</v>
      </c>
      <c r="G254" s="637">
        <f t="shared" si="83"/>
        <v>16666.666666666668</v>
      </c>
      <c r="H254" s="638">
        <f t="shared" si="84"/>
        <v>464666.66666666669</v>
      </c>
      <c r="I254" s="373">
        <f t="shared" si="92"/>
        <v>46466.666666666672</v>
      </c>
      <c r="J254" s="373">
        <f t="shared" si="86"/>
        <v>34820</v>
      </c>
      <c r="K254" s="638">
        <f t="shared" si="87"/>
        <v>383380</v>
      </c>
      <c r="L254" s="373">
        <f t="shared" si="93"/>
        <v>55760</v>
      </c>
      <c r="M254" s="373">
        <f t="shared" si="89"/>
        <v>102226.66666666667</v>
      </c>
      <c r="N254" s="231">
        <f t="shared" si="90"/>
        <v>1</v>
      </c>
    </row>
    <row r="255" spans="1:14">
      <c r="A255" s="494">
        <f t="shared" si="91"/>
        <v>8</v>
      </c>
      <c r="B255" s="649" t="s">
        <v>1539</v>
      </c>
      <c r="C255" s="646" t="s">
        <v>1533</v>
      </c>
      <c r="D255" s="376" t="s">
        <v>1540</v>
      </c>
      <c r="E255" s="662">
        <v>400000</v>
      </c>
      <c r="F255" s="382">
        <v>26.5</v>
      </c>
      <c r="G255" s="637">
        <f t="shared" si="83"/>
        <v>16666.666666666668</v>
      </c>
      <c r="H255" s="638">
        <f t="shared" si="84"/>
        <v>441666.66666666669</v>
      </c>
      <c r="I255" s="373">
        <f t="shared" si="92"/>
        <v>44166.666666666672</v>
      </c>
      <c r="J255" s="373">
        <f t="shared" si="86"/>
        <v>32750</v>
      </c>
      <c r="K255" s="638">
        <f t="shared" si="87"/>
        <v>364750</v>
      </c>
      <c r="L255" s="373">
        <f t="shared" si="93"/>
        <v>53000</v>
      </c>
      <c r="M255" s="373">
        <f t="shared" si="89"/>
        <v>97166.666666666672</v>
      </c>
      <c r="N255" s="231">
        <f t="shared" si="90"/>
        <v>1</v>
      </c>
    </row>
    <row r="256" spans="1:14">
      <c r="A256" s="494">
        <f t="shared" si="91"/>
        <v>9</v>
      </c>
      <c r="B256" s="634" t="s">
        <v>1541</v>
      </c>
      <c r="C256" s="646" t="s">
        <v>1533</v>
      </c>
      <c r="D256" s="650" t="s">
        <v>1542</v>
      </c>
      <c r="E256" s="662">
        <v>400000</v>
      </c>
      <c r="F256" s="382">
        <v>23</v>
      </c>
      <c r="G256" s="637">
        <f t="shared" si="83"/>
        <v>16666.666666666668</v>
      </c>
      <c r="H256" s="638">
        <f t="shared" si="84"/>
        <v>383333.33333333337</v>
      </c>
      <c r="I256" s="373">
        <f t="shared" si="92"/>
        <v>38333.333333333336</v>
      </c>
      <c r="J256" s="373">
        <f t="shared" si="86"/>
        <v>27500.000000000007</v>
      </c>
      <c r="K256" s="638">
        <f t="shared" si="87"/>
        <v>317500.00000000006</v>
      </c>
      <c r="L256" s="373">
        <f t="shared" si="93"/>
        <v>46000</v>
      </c>
      <c r="M256" s="373">
        <f t="shared" si="89"/>
        <v>84333.333333333343</v>
      </c>
      <c r="N256" s="231">
        <f t="shared" si="90"/>
        <v>1</v>
      </c>
    </row>
    <row r="257" spans="1:14">
      <c r="A257" s="494">
        <f t="shared" si="91"/>
        <v>10</v>
      </c>
      <c r="B257" s="634" t="s">
        <v>1598</v>
      </c>
      <c r="C257" s="646" t="s">
        <v>1599</v>
      </c>
      <c r="D257" s="650" t="s">
        <v>1600</v>
      </c>
      <c r="E257" s="662">
        <v>400000</v>
      </c>
      <c r="F257" s="382">
        <v>20.5</v>
      </c>
      <c r="G257" s="637">
        <f t="shared" si="83"/>
        <v>16666.666666666668</v>
      </c>
      <c r="H257" s="638">
        <f t="shared" si="84"/>
        <v>341666.66666666669</v>
      </c>
      <c r="I257" s="373">
        <f t="shared" si="92"/>
        <v>34166.666666666672</v>
      </c>
      <c r="J257" s="373">
        <f t="shared" si="86"/>
        <v>23750</v>
      </c>
      <c r="K257" s="638">
        <f t="shared" si="87"/>
        <v>283750</v>
      </c>
      <c r="L257" s="373">
        <f t="shared" si="93"/>
        <v>41000</v>
      </c>
      <c r="M257" s="373">
        <f t="shared" si="89"/>
        <v>75166.666666666672</v>
      </c>
      <c r="N257" s="231">
        <f t="shared" si="90"/>
        <v>1</v>
      </c>
    </row>
    <row r="258" spans="1:14">
      <c r="A258" s="494">
        <f t="shared" si="91"/>
        <v>11</v>
      </c>
      <c r="B258" s="634" t="s">
        <v>1543</v>
      </c>
      <c r="C258" s="646" t="s">
        <v>1533</v>
      </c>
      <c r="D258" s="640" t="s">
        <v>1544</v>
      </c>
      <c r="E258" s="662">
        <v>800000</v>
      </c>
      <c r="F258" s="382">
        <v>21.26</v>
      </c>
      <c r="G258" s="637">
        <f t="shared" si="83"/>
        <v>33333.333333333336</v>
      </c>
      <c r="H258" s="638">
        <f t="shared" si="84"/>
        <v>708666.66666666674</v>
      </c>
      <c r="I258" s="373">
        <f t="shared" si="92"/>
        <v>70866.666666666672</v>
      </c>
      <c r="J258" s="373">
        <f t="shared" si="86"/>
        <v>56780.000000000015</v>
      </c>
      <c r="K258" s="638">
        <f t="shared" si="87"/>
        <v>581020.00000000012</v>
      </c>
      <c r="L258" s="373">
        <f t="shared" si="93"/>
        <v>85040</v>
      </c>
      <c r="M258" s="373">
        <f t="shared" si="89"/>
        <v>155906.66666666669</v>
      </c>
      <c r="N258" s="231">
        <f t="shared" si="90"/>
        <v>1</v>
      </c>
    </row>
    <row r="259" spans="1:14">
      <c r="A259" s="494">
        <f t="shared" si="91"/>
        <v>12</v>
      </c>
      <c r="B259" s="634" t="s">
        <v>1545</v>
      </c>
      <c r="C259" s="646" t="s">
        <v>1533</v>
      </c>
      <c r="D259" s="650" t="s">
        <v>1546</v>
      </c>
      <c r="E259" s="662">
        <v>400000</v>
      </c>
      <c r="F259" s="382">
        <v>21.02</v>
      </c>
      <c r="G259" s="637">
        <f t="shared" si="83"/>
        <v>16666.666666666668</v>
      </c>
      <c r="H259" s="638">
        <f t="shared" si="84"/>
        <v>350333.33333333337</v>
      </c>
      <c r="I259" s="373">
        <f t="shared" si="92"/>
        <v>35033.333333333336</v>
      </c>
      <c r="J259" s="373">
        <f t="shared" si="86"/>
        <v>24530.000000000007</v>
      </c>
      <c r="K259" s="638">
        <f t="shared" si="87"/>
        <v>290770.00000000006</v>
      </c>
      <c r="L259" s="373">
        <f t="shared" si="93"/>
        <v>42040</v>
      </c>
      <c r="M259" s="373">
        <f t="shared" si="89"/>
        <v>77073.333333333343</v>
      </c>
      <c r="N259" s="231">
        <f t="shared" si="90"/>
        <v>1</v>
      </c>
    </row>
    <row r="260" spans="1:14">
      <c r="A260" s="494">
        <f t="shared" si="91"/>
        <v>13</v>
      </c>
      <c r="B260" s="649" t="s">
        <v>1547</v>
      </c>
      <c r="C260" s="640" t="s">
        <v>1533</v>
      </c>
      <c r="D260" s="376" t="s">
        <v>1548</v>
      </c>
      <c r="E260" s="662">
        <v>400000</v>
      </c>
      <c r="F260" s="382">
        <v>25.52</v>
      </c>
      <c r="G260" s="637">
        <f t="shared" si="83"/>
        <v>16666.666666666668</v>
      </c>
      <c r="H260" s="638">
        <f t="shared" si="84"/>
        <v>425333.33333333337</v>
      </c>
      <c r="I260" s="373">
        <f t="shared" si="92"/>
        <v>42533.333333333343</v>
      </c>
      <c r="J260" s="373">
        <f t="shared" si="86"/>
        <v>31280</v>
      </c>
      <c r="K260" s="638">
        <f t="shared" si="87"/>
        <v>351520</v>
      </c>
      <c r="L260" s="373">
        <f t="shared" si="93"/>
        <v>51040</v>
      </c>
      <c r="M260" s="373">
        <f t="shared" si="89"/>
        <v>93573.333333333343</v>
      </c>
      <c r="N260" s="231">
        <f t="shared" si="90"/>
        <v>1</v>
      </c>
    </row>
    <row r="261" spans="1:14">
      <c r="A261" s="494">
        <f t="shared" si="91"/>
        <v>14</v>
      </c>
      <c r="B261" s="634" t="s">
        <v>1549</v>
      </c>
      <c r="C261" s="640" t="s">
        <v>1533</v>
      </c>
      <c r="D261" s="651" t="s">
        <v>1550</v>
      </c>
      <c r="E261" s="662">
        <v>520000</v>
      </c>
      <c r="F261" s="382">
        <v>25.86</v>
      </c>
      <c r="G261" s="637">
        <f t="shared" si="83"/>
        <v>21666.666666666668</v>
      </c>
      <c r="H261" s="638">
        <f t="shared" si="84"/>
        <v>560300</v>
      </c>
      <c r="I261" s="373">
        <f t="shared" si="92"/>
        <v>56030</v>
      </c>
      <c r="J261" s="373">
        <f t="shared" si="86"/>
        <v>43427</v>
      </c>
      <c r="K261" s="638">
        <f t="shared" si="87"/>
        <v>460843</v>
      </c>
      <c r="L261" s="373">
        <f t="shared" si="93"/>
        <v>67236</v>
      </c>
      <c r="M261" s="373">
        <f t="shared" si="89"/>
        <v>123266</v>
      </c>
      <c r="N261" s="231">
        <f t="shared" si="90"/>
        <v>1</v>
      </c>
    </row>
    <row r="262" spans="1:14">
      <c r="A262" s="494">
        <f t="shared" si="91"/>
        <v>15</v>
      </c>
      <c r="B262" s="652" t="s">
        <v>1551</v>
      </c>
      <c r="C262" s="640" t="s">
        <v>1553</v>
      </c>
      <c r="D262" s="653" t="s">
        <v>1552</v>
      </c>
      <c r="E262" s="662">
        <v>400000</v>
      </c>
      <c r="F262" s="382">
        <v>24</v>
      </c>
      <c r="G262" s="637">
        <f t="shared" si="83"/>
        <v>16666.666666666668</v>
      </c>
      <c r="H262" s="638">
        <f t="shared" si="84"/>
        <v>400000</v>
      </c>
      <c r="I262" s="373">
        <f t="shared" si="92"/>
        <v>40000</v>
      </c>
      <c r="J262" s="373">
        <f t="shared" si="86"/>
        <v>29000</v>
      </c>
      <c r="K262" s="638">
        <f t="shared" si="87"/>
        <v>331000</v>
      </c>
      <c r="L262" s="373">
        <f t="shared" si="93"/>
        <v>48000</v>
      </c>
      <c r="M262" s="373">
        <f t="shared" si="89"/>
        <v>88000</v>
      </c>
      <c r="N262" s="231">
        <f t="shared" si="90"/>
        <v>1</v>
      </c>
    </row>
    <row r="263" spans="1:14" ht="13.5" customHeight="1">
      <c r="A263" s="494">
        <f t="shared" si="91"/>
        <v>16</v>
      </c>
      <c r="B263" s="652" t="s">
        <v>1556</v>
      </c>
      <c r="C263" s="640" t="s">
        <v>1533</v>
      </c>
      <c r="D263" s="653" t="s">
        <v>1557</v>
      </c>
      <c r="E263" s="662">
        <v>400000</v>
      </c>
      <c r="F263" s="382">
        <v>24.88</v>
      </c>
      <c r="G263" s="637">
        <f t="shared" si="83"/>
        <v>16666.666666666668</v>
      </c>
      <c r="H263" s="638">
        <f t="shared" si="84"/>
        <v>414666.66666666669</v>
      </c>
      <c r="I263" s="373">
        <f t="shared" si="92"/>
        <v>41466.666666666672</v>
      </c>
      <c r="J263" s="373">
        <f t="shared" si="86"/>
        <v>30320</v>
      </c>
      <c r="K263" s="638">
        <f t="shared" si="87"/>
        <v>342880</v>
      </c>
      <c r="L263" s="373">
        <f t="shared" si="93"/>
        <v>49760</v>
      </c>
      <c r="M263" s="373">
        <f t="shared" si="89"/>
        <v>91226.666666666672</v>
      </c>
      <c r="N263" s="231">
        <f t="shared" si="90"/>
        <v>1</v>
      </c>
    </row>
    <row r="264" spans="1:14">
      <c r="A264" s="494">
        <f t="shared" si="91"/>
        <v>17</v>
      </c>
      <c r="B264" s="649" t="s">
        <v>1558</v>
      </c>
      <c r="C264" s="640" t="s">
        <v>1533</v>
      </c>
      <c r="D264" s="376" t="s">
        <v>1559</v>
      </c>
      <c r="E264" s="662">
        <v>400000</v>
      </c>
      <c r="F264" s="382">
        <v>9.9700000000000006</v>
      </c>
      <c r="G264" s="637">
        <f t="shared" si="83"/>
        <v>16666.666666666668</v>
      </c>
      <c r="H264" s="638">
        <f t="shared" si="84"/>
        <v>166166.66666666669</v>
      </c>
      <c r="I264" s="373">
        <f t="shared" si="92"/>
        <v>16616.666666666668</v>
      </c>
      <c r="J264" s="373">
        <f t="shared" si="86"/>
        <v>7955.0000000000036</v>
      </c>
      <c r="K264" s="638">
        <f t="shared" si="87"/>
        <v>141595.00000000003</v>
      </c>
      <c r="L264" s="373">
        <f t="shared" si="93"/>
        <v>19940</v>
      </c>
      <c r="M264" s="373">
        <f t="shared" si="89"/>
        <v>36556.666666666672</v>
      </c>
      <c r="N264" s="231">
        <f t="shared" si="90"/>
        <v>1</v>
      </c>
    </row>
    <row r="265" spans="1:14">
      <c r="A265" s="494">
        <f t="shared" si="91"/>
        <v>18</v>
      </c>
      <c r="B265" s="649" t="s">
        <v>1591</v>
      </c>
      <c r="C265" s="640" t="s">
        <v>1533</v>
      </c>
      <c r="D265" s="376" t="s">
        <v>1592</v>
      </c>
      <c r="E265" s="662">
        <v>400000</v>
      </c>
      <c r="F265" s="382">
        <v>19.14</v>
      </c>
      <c r="G265" s="637">
        <f t="shared" si="83"/>
        <v>16666.666666666668</v>
      </c>
      <c r="H265" s="638">
        <f t="shared" si="84"/>
        <v>319000.00000000006</v>
      </c>
      <c r="I265" s="373">
        <f t="shared" si="92"/>
        <v>31900.000000000007</v>
      </c>
      <c r="J265" s="373">
        <f t="shared" si="86"/>
        <v>21710.000000000007</v>
      </c>
      <c r="K265" s="638">
        <f t="shared" si="87"/>
        <v>265390.00000000006</v>
      </c>
      <c r="L265" s="373">
        <f t="shared" si="93"/>
        <v>38280.000000000007</v>
      </c>
      <c r="M265" s="373">
        <f t="shared" si="89"/>
        <v>70180.000000000015</v>
      </c>
      <c r="N265" s="231">
        <f t="shared" si="90"/>
        <v>1</v>
      </c>
    </row>
    <row r="266" spans="1:14">
      <c r="A266" s="494">
        <f t="shared" si="91"/>
        <v>19</v>
      </c>
      <c r="B266" s="634" t="s">
        <v>1560</v>
      </c>
      <c r="C266" s="640" t="s">
        <v>1533</v>
      </c>
      <c r="D266" s="654" t="s">
        <v>1561</v>
      </c>
      <c r="E266" s="662">
        <v>400000</v>
      </c>
      <c r="F266" s="382">
        <v>23.45</v>
      </c>
      <c r="G266" s="637">
        <f t="shared" si="83"/>
        <v>16666.666666666668</v>
      </c>
      <c r="H266" s="638">
        <f t="shared" si="84"/>
        <v>390833.33333333337</v>
      </c>
      <c r="I266" s="373">
        <f t="shared" si="92"/>
        <v>39083.333333333336</v>
      </c>
      <c r="J266" s="373">
        <f t="shared" si="86"/>
        <v>28175.000000000007</v>
      </c>
      <c r="K266" s="638">
        <f t="shared" si="87"/>
        <v>323575.00000000006</v>
      </c>
      <c r="L266" s="373">
        <f t="shared" si="93"/>
        <v>46900</v>
      </c>
      <c r="M266" s="373">
        <f t="shared" si="89"/>
        <v>85983.333333333343</v>
      </c>
      <c r="N266" s="231">
        <f t="shared" si="90"/>
        <v>1</v>
      </c>
    </row>
    <row r="267" spans="1:14">
      <c r="A267" s="932" t="s">
        <v>6</v>
      </c>
      <c r="B267" s="932"/>
      <c r="C267" s="932"/>
      <c r="D267" s="932"/>
      <c r="E267" s="659">
        <f t="shared" ref="E267" si="94">SUM(E248:E266)</f>
        <v>11270000</v>
      </c>
      <c r="F267" s="659">
        <f>SUM(F248:F266)</f>
        <v>435.58</v>
      </c>
      <c r="G267" s="659">
        <f t="shared" ref="G267" si="95">SUM(G248:G266)</f>
        <v>469583.33333333349</v>
      </c>
      <c r="H267" s="659">
        <f>SUM(H248:H266)</f>
        <v>10894445.833333334</v>
      </c>
      <c r="I267" s="659">
        <f t="shared" ref="I267:N267" si="96">SUM(I248:I266)</f>
        <v>1081921.0416666665</v>
      </c>
      <c r="J267" s="659">
        <f t="shared" si="96"/>
        <v>848252.47916666674</v>
      </c>
      <c r="K267" s="659">
        <f t="shared" si="96"/>
        <v>8964272.3125</v>
      </c>
      <c r="L267" s="659">
        <f t="shared" si="96"/>
        <v>1299809.9583333335</v>
      </c>
      <c r="M267" s="659">
        <f t="shared" si="96"/>
        <v>2381730.9999999995</v>
      </c>
      <c r="N267" s="659">
        <f t="shared" si="96"/>
        <v>19</v>
      </c>
    </row>
    <row r="268" spans="1:14">
      <c r="H268" s="80"/>
    </row>
    <row r="269" spans="1:14">
      <c r="H269" s="23" t="s">
        <v>1562</v>
      </c>
    </row>
    <row r="270" spans="1:14">
      <c r="H270" s="376" t="s">
        <v>1340</v>
      </c>
      <c r="I270" s="376"/>
      <c r="J270" s="376"/>
      <c r="K270" s="657" t="s">
        <v>261</v>
      </c>
      <c r="L270" s="376" t="s">
        <v>262</v>
      </c>
    </row>
    <row r="271" spans="1:14">
      <c r="H271" s="376" t="s">
        <v>1606</v>
      </c>
      <c r="I271" s="376"/>
      <c r="J271" s="658">
        <v>700200</v>
      </c>
      <c r="K271" s="118">
        <f>+L267</f>
        <v>1299809.9583333335</v>
      </c>
      <c r="L271" s="6"/>
    </row>
    <row r="272" spans="1:14">
      <c r="H272" s="376" t="s">
        <v>1606</v>
      </c>
      <c r="I272" s="376"/>
      <c r="J272" s="658">
        <v>310800</v>
      </c>
      <c r="K272" s="6"/>
      <c r="L272" s="118">
        <f>+L267</f>
        <v>1299809.9583333335</v>
      </c>
    </row>
    <row r="273" spans="1:17">
      <c r="H273" s="376" t="s">
        <v>1607</v>
      </c>
      <c r="I273" s="376"/>
      <c r="J273" s="658">
        <v>310800</v>
      </c>
      <c r="K273" s="6"/>
      <c r="L273" s="118">
        <f>+I267</f>
        <v>1081921.0416666665</v>
      </c>
    </row>
    <row r="274" spans="1:17">
      <c r="H274" s="376" t="s">
        <v>1608</v>
      </c>
      <c r="I274" s="376"/>
      <c r="J274" s="658">
        <v>310700</v>
      </c>
      <c r="K274" s="6"/>
      <c r="L274" s="118">
        <f>+J267</f>
        <v>848252.47916666674</v>
      </c>
    </row>
    <row r="275" spans="1:17">
      <c r="H275" s="376" t="s">
        <v>1609</v>
      </c>
      <c r="I275" s="376"/>
      <c r="J275" s="658">
        <v>311000</v>
      </c>
      <c r="K275" s="6"/>
      <c r="L275" s="118">
        <f>+K267</f>
        <v>8964272.3125</v>
      </c>
    </row>
    <row r="276" spans="1:17">
      <c r="H276" s="376" t="s">
        <v>2617</v>
      </c>
      <c r="I276" s="376"/>
      <c r="J276" s="658">
        <v>700100</v>
      </c>
      <c r="K276" s="647">
        <f>+L275+L274+L273</f>
        <v>10894445.833333332</v>
      </c>
      <c r="L276" s="376"/>
    </row>
    <row r="277" spans="1:17">
      <c r="J277" s="80"/>
      <c r="L277" s="80"/>
    </row>
    <row r="278" spans="1:17">
      <c r="I278" s="80"/>
      <c r="J278" s="80"/>
      <c r="L278" s="80"/>
    </row>
    <row r="280" spans="1:17">
      <c r="A280" s="625"/>
      <c r="B280" s="625" t="s">
        <v>1610</v>
      </c>
      <c r="C280" s="625"/>
      <c r="D280" s="626"/>
      <c r="E280" s="626"/>
      <c r="F280" s="626"/>
      <c r="G280" s="626"/>
      <c r="H280" s="626"/>
      <c r="I280" s="626"/>
      <c r="J280" s="626"/>
      <c r="K280" s="626"/>
      <c r="L280" s="626"/>
      <c r="M280" s="626"/>
    </row>
    <row r="281" spans="1:17">
      <c r="A281" s="627" t="s">
        <v>1499</v>
      </c>
      <c r="B281" s="627"/>
      <c r="C281" s="627"/>
      <c r="D281" s="627"/>
      <c r="E281" s="628"/>
      <c r="F281" s="627"/>
      <c r="G281" s="627"/>
      <c r="H281" s="629"/>
      <c r="I281" s="629"/>
      <c r="J281" s="629"/>
      <c r="K281" s="629"/>
      <c r="L281" s="629"/>
      <c r="M281" s="629"/>
    </row>
    <row r="282" spans="1:17" ht="38.25">
      <c r="A282" s="630" t="s">
        <v>1</v>
      </c>
      <c r="B282" s="630" t="s">
        <v>1356</v>
      </c>
      <c r="C282" s="630" t="s">
        <v>1357</v>
      </c>
      <c r="D282" s="631" t="s">
        <v>1500</v>
      </c>
      <c r="E282" s="630" t="s">
        <v>1501</v>
      </c>
      <c r="F282" s="631" t="s">
        <v>1502</v>
      </c>
      <c r="G282" s="631" t="s">
        <v>1503</v>
      </c>
      <c r="H282" s="632" t="s">
        <v>1504</v>
      </c>
      <c r="I282" s="633" t="s">
        <v>1505</v>
      </c>
      <c r="J282" s="633" t="s">
        <v>1506</v>
      </c>
      <c r="K282" s="633" t="s">
        <v>1507</v>
      </c>
      <c r="L282" s="632" t="s">
        <v>1508</v>
      </c>
      <c r="M282" s="633" t="s">
        <v>1509</v>
      </c>
      <c r="N282" s="231" t="s">
        <v>1876</v>
      </c>
    </row>
    <row r="283" spans="1:17">
      <c r="A283" s="494">
        <v>1</v>
      </c>
      <c r="B283" s="634" t="s">
        <v>1510</v>
      </c>
      <c r="C283" s="635" t="s">
        <v>1512</v>
      </c>
      <c r="D283" s="635" t="s">
        <v>1511</v>
      </c>
      <c r="E283" s="661">
        <v>1200000</v>
      </c>
      <c r="F283" s="663">
        <v>26</v>
      </c>
      <c r="G283" s="637">
        <f>+E283/26</f>
        <v>46153.846153846156</v>
      </c>
      <c r="H283" s="638">
        <f>+G283*F283</f>
        <v>1200000</v>
      </c>
      <c r="I283" s="373">
        <f>+H283*0.1</f>
        <v>120000</v>
      </c>
      <c r="J283" s="373">
        <f>+(H283-I283)*0.1-7000</f>
        <v>101000</v>
      </c>
      <c r="K283" s="638">
        <f>+H283-I283-J283</f>
        <v>979000</v>
      </c>
      <c r="L283" s="373">
        <f>+H283*0.12</f>
        <v>144000</v>
      </c>
      <c r="M283" s="373">
        <f>+I283+L283</f>
        <v>264000</v>
      </c>
      <c r="N283" s="231">
        <f>+IF(J283,1,0)</f>
        <v>1</v>
      </c>
      <c r="O283" s="231" t="s">
        <v>1611</v>
      </c>
    </row>
    <row r="284" spans="1:17">
      <c r="A284" s="494">
        <f>+A283+1</f>
        <v>2</v>
      </c>
      <c r="B284" s="639" t="s">
        <v>1513</v>
      </c>
      <c r="C284" s="640" t="s">
        <v>1515</v>
      </c>
      <c r="D284" s="640" t="s">
        <v>1514</v>
      </c>
      <c r="E284" s="417">
        <v>1200000</v>
      </c>
      <c r="F284" s="663">
        <v>26</v>
      </c>
      <c r="G284" s="637">
        <f t="shared" ref="G284:G300" si="97">+E284/26</f>
        <v>46153.846153846156</v>
      </c>
      <c r="H284" s="638">
        <f t="shared" ref="H284:H300" si="98">+G284*F284</f>
        <v>1200000</v>
      </c>
      <c r="I284" s="373">
        <f t="shared" ref="I284:I286" si="99">+H284*0.1</f>
        <v>120000</v>
      </c>
      <c r="J284" s="373">
        <f t="shared" ref="J284:J300" si="100">+(H284-I284)*0.1-7000</f>
        <v>101000</v>
      </c>
      <c r="K284" s="638">
        <f t="shared" ref="K284:K300" si="101">+H284-I284-J284</f>
        <v>979000</v>
      </c>
      <c r="L284" s="373">
        <f t="shared" ref="L284:L286" si="102">+H284*0.12</f>
        <v>144000</v>
      </c>
      <c r="M284" s="373">
        <f t="shared" ref="M284:M300" si="103">+I284+L284</f>
        <v>264000</v>
      </c>
      <c r="N284" s="231">
        <f t="shared" ref="N284:N300" si="104">+IF(J284,1,0)</f>
        <v>1</v>
      </c>
    </row>
    <row r="285" spans="1:17">
      <c r="A285" s="494">
        <f t="shared" ref="A285:A300" si="105">+A284+1</f>
        <v>3</v>
      </c>
      <c r="B285" s="641" t="s">
        <v>1516</v>
      </c>
      <c r="C285" s="640" t="s">
        <v>1518</v>
      </c>
      <c r="D285" s="640" t="s">
        <v>1517</v>
      </c>
      <c r="E285" s="662">
        <v>1400000</v>
      </c>
      <c r="F285" s="663">
        <v>26</v>
      </c>
      <c r="G285" s="637">
        <f t="shared" si="97"/>
        <v>53846.153846153844</v>
      </c>
      <c r="H285" s="638">
        <f t="shared" si="98"/>
        <v>1400000</v>
      </c>
      <c r="I285" s="373">
        <f t="shared" si="99"/>
        <v>140000</v>
      </c>
      <c r="J285" s="373">
        <f t="shared" si="100"/>
        <v>119000</v>
      </c>
      <c r="K285" s="638">
        <f>+H285-I285-J285</f>
        <v>1141000</v>
      </c>
      <c r="L285" s="373">
        <f t="shared" si="102"/>
        <v>168000</v>
      </c>
      <c r="M285" s="373">
        <f t="shared" si="103"/>
        <v>308000</v>
      </c>
      <c r="N285" s="231">
        <f t="shared" si="104"/>
        <v>1</v>
      </c>
      <c r="O285" s="664" t="s">
        <v>1612</v>
      </c>
      <c r="P285" s="231" t="s">
        <v>1613</v>
      </c>
      <c r="Q285" s="231" t="s">
        <v>1614</v>
      </c>
    </row>
    <row r="286" spans="1:17">
      <c r="A286" s="494">
        <f t="shared" si="105"/>
        <v>4</v>
      </c>
      <c r="B286" s="639" t="s">
        <v>1519</v>
      </c>
      <c r="C286" s="640" t="s">
        <v>1521</v>
      </c>
      <c r="D286" s="640" t="s">
        <v>1520</v>
      </c>
      <c r="E286" s="662">
        <v>1000000</v>
      </c>
      <c r="F286" s="663">
        <v>26</v>
      </c>
      <c r="G286" s="637">
        <f t="shared" si="97"/>
        <v>38461.538461538461</v>
      </c>
      <c r="H286" s="638">
        <f t="shared" si="98"/>
        <v>1000000</v>
      </c>
      <c r="I286" s="373">
        <f t="shared" si="99"/>
        <v>100000</v>
      </c>
      <c r="J286" s="373">
        <f t="shared" si="100"/>
        <v>83000</v>
      </c>
      <c r="K286" s="638">
        <f t="shared" si="101"/>
        <v>817000</v>
      </c>
      <c r="L286" s="373">
        <f t="shared" si="102"/>
        <v>120000</v>
      </c>
      <c r="M286" s="373">
        <f t="shared" si="103"/>
        <v>220000</v>
      </c>
      <c r="N286" s="231">
        <f t="shared" si="104"/>
        <v>1</v>
      </c>
      <c r="O286" s="231" t="s">
        <v>1615</v>
      </c>
      <c r="P286" s="80">
        <f>+H254</f>
        <v>464666.66666666669</v>
      </c>
      <c r="Q286" s="80">
        <f>+L254</f>
        <v>55760</v>
      </c>
    </row>
    <row r="287" spans="1:17">
      <c r="A287" s="494">
        <f t="shared" si="105"/>
        <v>5</v>
      </c>
      <c r="B287" s="639" t="s">
        <v>1528</v>
      </c>
      <c r="C287" s="645" t="s">
        <v>1530</v>
      </c>
      <c r="D287" s="640" t="s">
        <v>1529</v>
      </c>
      <c r="E287" s="417">
        <v>350000</v>
      </c>
      <c r="F287" s="663">
        <v>25.75</v>
      </c>
      <c r="G287" s="637">
        <f t="shared" si="97"/>
        <v>13461.538461538461</v>
      </c>
      <c r="H287" s="638">
        <f t="shared" si="98"/>
        <v>346634.61538461538</v>
      </c>
      <c r="I287" s="373">
        <f>+H287*0.078</f>
        <v>27037.5</v>
      </c>
      <c r="J287" s="373">
        <f t="shared" si="100"/>
        <v>24959.711538461539</v>
      </c>
      <c r="K287" s="638">
        <f t="shared" si="101"/>
        <v>294637.40384615381</v>
      </c>
      <c r="L287" s="373">
        <f>+H287*0.098</f>
        <v>33970.192307692305</v>
      </c>
      <c r="M287" s="373">
        <f t="shared" si="103"/>
        <v>61007.692307692305</v>
      </c>
      <c r="N287" s="231">
        <f t="shared" si="104"/>
        <v>1</v>
      </c>
      <c r="O287" s="231" t="s">
        <v>1616</v>
      </c>
      <c r="P287" s="80">
        <f>+H259</f>
        <v>350333.33333333337</v>
      </c>
      <c r="Q287" s="80">
        <f>+L259</f>
        <v>42040</v>
      </c>
    </row>
    <row r="288" spans="1:17">
      <c r="A288" s="494">
        <f t="shared" si="105"/>
        <v>6</v>
      </c>
      <c r="B288" s="639" t="s">
        <v>1534</v>
      </c>
      <c r="C288" s="640" t="s">
        <v>1536</v>
      </c>
      <c r="D288" s="643" t="s">
        <v>1535</v>
      </c>
      <c r="E288" s="662">
        <v>400000</v>
      </c>
      <c r="F288" s="382">
        <v>13.528700000000001</v>
      </c>
      <c r="G288" s="637">
        <f t="shared" si="97"/>
        <v>15384.615384615385</v>
      </c>
      <c r="H288" s="638">
        <f t="shared" si="98"/>
        <v>208133.84615384616</v>
      </c>
      <c r="I288" s="373">
        <f t="shared" ref="I288:I300" si="106">+H288*0.1</f>
        <v>20813.384615384617</v>
      </c>
      <c r="J288" s="373">
        <f t="shared" si="100"/>
        <v>11732.046153846153</v>
      </c>
      <c r="K288" s="638">
        <f t="shared" si="101"/>
        <v>175588.41538461536</v>
      </c>
      <c r="L288" s="373">
        <f t="shared" ref="L288:L300" si="107">+H288*0.12</f>
        <v>24976.061538461538</v>
      </c>
      <c r="M288" s="373">
        <f t="shared" si="103"/>
        <v>45789.446153846155</v>
      </c>
      <c r="N288" s="231">
        <f t="shared" si="104"/>
        <v>1</v>
      </c>
      <c r="O288" s="231" t="s">
        <v>1617</v>
      </c>
      <c r="P288" s="80">
        <f>+H266</f>
        <v>390833.33333333337</v>
      </c>
      <c r="Q288" s="80">
        <f>+L266</f>
        <v>46900</v>
      </c>
    </row>
    <row r="289" spans="1:18">
      <c r="A289" s="494">
        <f t="shared" si="105"/>
        <v>7</v>
      </c>
      <c r="B289" s="649" t="s">
        <v>1537</v>
      </c>
      <c r="C289" s="646" t="s">
        <v>1533</v>
      </c>
      <c r="D289" s="376" t="s">
        <v>1538</v>
      </c>
      <c r="E289" s="662">
        <v>400000</v>
      </c>
      <c r="F289" s="382">
        <v>25.8</v>
      </c>
      <c r="G289" s="637">
        <f t="shared" si="97"/>
        <v>15384.615384615385</v>
      </c>
      <c r="H289" s="638">
        <f t="shared" si="98"/>
        <v>396923.07692307694</v>
      </c>
      <c r="I289" s="373">
        <f t="shared" si="106"/>
        <v>39692.307692307695</v>
      </c>
      <c r="J289" s="373">
        <f t="shared" si="100"/>
        <v>28723.076923076929</v>
      </c>
      <c r="K289" s="638">
        <f t="shared" si="101"/>
        <v>328507.69230769231</v>
      </c>
      <c r="L289" s="373">
        <f t="shared" si="107"/>
        <v>47630.769230769234</v>
      </c>
      <c r="M289" s="373">
        <f t="shared" si="103"/>
        <v>87323.076923076937</v>
      </c>
      <c r="N289" s="231">
        <f t="shared" si="104"/>
        <v>1</v>
      </c>
      <c r="O289" s="231" t="s">
        <v>1618</v>
      </c>
      <c r="P289" s="80">
        <f>+H256</f>
        <v>383333.33333333337</v>
      </c>
      <c r="Q289" s="80">
        <f>+L256</f>
        <v>46000</v>
      </c>
    </row>
    <row r="290" spans="1:18">
      <c r="A290" s="494">
        <f t="shared" si="105"/>
        <v>8</v>
      </c>
      <c r="B290" s="649" t="s">
        <v>1539</v>
      </c>
      <c r="C290" s="646" t="s">
        <v>1533</v>
      </c>
      <c r="D290" s="376" t="s">
        <v>1540</v>
      </c>
      <c r="E290" s="662">
        <v>400000</v>
      </c>
      <c r="F290" s="382">
        <v>28.9</v>
      </c>
      <c r="G290" s="637">
        <f t="shared" si="97"/>
        <v>15384.615384615385</v>
      </c>
      <c r="H290" s="638">
        <f t="shared" si="98"/>
        <v>444615.38461538462</v>
      </c>
      <c r="I290" s="373">
        <f t="shared" si="106"/>
        <v>44461.538461538468</v>
      </c>
      <c r="J290" s="373">
        <f t="shared" si="100"/>
        <v>33015.384615384617</v>
      </c>
      <c r="K290" s="638">
        <f t="shared" si="101"/>
        <v>367138.4615384615</v>
      </c>
      <c r="L290" s="373">
        <f t="shared" si="107"/>
        <v>53353.846153846156</v>
      </c>
      <c r="M290" s="373">
        <f t="shared" si="103"/>
        <v>97815.384615384624</v>
      </c>
      <c r="N290" s="231">
        <f t="shared" si="104"/>
        <v>1</v>
      </c>
      <c r="O290" s="231" t="s">
        <v>1619</v>
      </c>
      <c r="P290" s="80">
        <f>+H263</f>
        <v>414666.66666666669</v>
      </c>
      <c r="Q290" s="80">
        <f>+L263</f>
        <v>49760</v>
      </c>
    </row>
    <row r="291" spans="1:18">
      <c r="A291" s="494">
        <f t="shared" si="105"/>
        <v>9</v>
      </c>
      <c r="B291" s="634" t="s">
        <v>1541</v>
      </c>
      <c r="C291" s="646" t="s">
        <v>1533</v>
      </c>
      <c r="D291" s="650" t="s">
        <v>1542</v>
      </c>
      <c r="E291" s="662">
        <v>400000</v>
      </c>
      <c r="F291" s="382">
        <v>16.68</v>
      </c>
      <c r="G291" s="637">
        <f t="shared" si="97"/>
        <v>15384.615384615385</v>
      </c>
      <c r="H291" s="638">
        <f t="shared" si="98"/>
        <v>256615.38461538462</v>
      </c>
      <c r="I291" s="373">
        <f t="shared" si="106"/>
        <v>25661.538461538465</v>
      </c>
      <c r="J291" s="373">
        <f t="shared" si="100"/>
        <v>16095.384615384617</v>
      </c>
      <c r="K291" s="638">
        <f t="shared" si="101"/>
        <v>214858.46153846153</v>
      </c>
      <c r="L291" s="373">
        <f t="shared" si="107"/>
        <v>30793.846153846152</v>
      </c>
      <c r="M291" s="373">
        <f t="shared" si="103"/>
        <v>56455.384615384617</v>
      </c>
      <c r="N291" s="231">
        <f t="shared" si="104"/>
        <v>1</v>
      </c>
      <c r="P291" s="80">
        <f>SUM(P286:P290)</f>
        <v>2003833.3333333337</v>
      </c>
      <c r="Q291" s="80">
        <f>SUM(Q286:Q290)</f>
        <v>240460</v>
      </c>
      <c r="R291" s="80">
        <f>+Q291+P291</f>
        <v>2244293.333333334</v>
      </c>
    </row>
    <row r="292" spans="1:18">
      <c r="A292" s="494">
        <f t="shared" si="105"/>
        <v>10</v>
      </c>
      <c r="B292" s="634" t="s">
        <v>1598</v>
      </c>
      <c r="C292" s="646" t="s">
        <v>1599</v>
      </c>
      <c r="D292" s="650" t="s">
        <v>1600</v>
      </c>
      <c r="E292" s="662">
        <v>400000</v>
      </c>
      <c r="F292" s="382">
        <v>25</v>
      </c>
      <c r="G292" s="637">
        <f t="shared" si="97"/>
        <v>15384.615384615385</v>
      </c>
      <c r="H292" s="638">
        <f t="shared" si="98"/>
        <v>384615.38461538462</v>
      </c>
      <c r="I292" s="373">
        <f t="shared" si="106"/>
        <v>38461.538461538461</v>
      </c>
      <c r="J292" s="373">
        <f t="shared" si="100"/>
        <v>27615.384615384617</v>
      </c>
      <c r="K292" s="638">
        <f t="shared" si="101"/>
        <v>318538.46153846156</v>
      </c>
      <c r="L292" s="373">
        <f t="shared" si="107"/>
        <v>46153.846153846156</v>
      </c>
      <c r="M292" s="373">
        <f t="shared" si="103"/>
        <v>84615.384615384624</v>
      </c>
      <c r="N292" s="231">
        <f t="shared" si="104"/>
        <v>1</v>
      </c>
    </row>
    <row r="293" spans="1:18">
      <c r="A293" s="494">
        <f t="shared" si="105"/>
        <v>11</v>
      </c>
      <c r="B293" s="634" t="s">
        <v>1543</v>
      </c>
      <c r="C293" s="646" t="s">
        <v>1533</v>
      </c>
      <c r="D293" s="640" t="s">
        <v>1544</v>
      </c>
      <c r="E293" s="662">
        <v>800000</v>
      </c>
      <c r="F293" s="382">
        <v>25.72</v>
      </c>
      <c r="G293" s="637">
        <f t="shared" si="97"/>
        <v>30769.23076923077</v>
      </c>
      <c r="H293" s="638">
        <f t="shared" si="98"/>
        <v>791384.61538461538</v>
      </c>
      <c r="I293" s="373">
        <f t="shared" si="106"/>
        <v>79138.461538461546</v>
      </c>
      <c r="J293" s="373">
        <f t="shared" si="100"/>
        <v>64224.61538461539</v>
      </c>
      <c r="K293" s="638">
        <f t="shared" si="101"/>
        <v>648021.5384615385</v>
      </c>
      <c r="L293" s="373">
        <f t="shared" si="107"/>
        <v>94966.153846153844</v>
      </c>
      <c r="M293" s="373">
        <f t="shared" si="103"/>
        <v>174104.61538461538</v>
      </c>
      <c r="N293" s="231">
        <f t="shared" si="104"/>
        <v>1</v>
      </c>
    </row>
    <row r="294" spans="1:18">
      <c r="A294" s="494">
        <f t="shared" si="105"/>
        <v>12</v>
      </c>
      <c r="B294" s="634" t="s">
        <v>1545</v>
      </c>
      <c r="C294" s="646" t="s">
        <v>1533</v>
      </c>
      <c r="D294" s="650" t="s">
        <v>1546</v>
      </c>
      <c r="E294" s="662">
        <v>400000</v>
      </c>
      <c r="F294" s="382">
        <v>23.14</v>
      </c>
      <c r="G294" s="637">
        <f t="shared" si="97"/>
        <v>15384.615384615385</v>
      </c>
      <c r="H294" s="638">
        <f t="shared" si="98"/>
        <v>356000</v>
      </c>
      <c r="I294" s="373">
        <f t="shared" si="106"/>
        <v>35600</v>
      </c>
      <c r="J294" s="373">
        <f t="shared" si="100"/>
        <v>25040</v>
      </c>
      <c r="K294" s="638">
        <f t="shared" si="101"/>
        <v>295360</v>
      </c>
      <c r="L294" s="373">
        <f t="shared" si="107"/>
        <v>42720</v>
      </c>
      <c r="M294" s="373">
        <f t="shared" si="103"/>
        <v>78320</v>
      </c>
      <c r="N294" s="231">
        <f t="shared" si="104"/>
        <v>1</v>
      </c>
      <c r="O294" s="231" t="s">
        <v>1611</v>
      </c>
    </row>
    <row r="295" spans="1:18">
      <c r="A295" s="494">
        <f t="shared" si="105"/>
        <v>13</v>
      </c>
      <c r="B295" s="649" t="s">
        <v>1547</v>
      </c>
      <c r="C295" s="640" t="s">
        <v>1533</v>
      </c>
      <c r="D295" s="376" t="s">
        <v>1548</v>
      </c>
      <c r="E295" s="662">
        <v>400000</v>
      </c>
      <c r="F295" s="382">
        <v>26.85</v>
      </c>
      <c r="G295" s="637">
        <f t="shared" si="97"/>
        <v>15384.615384615385</v>
      </c>
      <c r="H295" s="638">
        <f t="shared" si="98"/>
        <v>413076.92307692312</v>
      </c>
      <c r="I295" s="373">
        <f t="shared" si="106"/>
        <v>41307.692307692312</v>
      </c>
      <c r="J295" s="373">
        <f t="shared" si="100"/>
        <v>30176.923076923085</v>
      </c>
      <c r="K295" s="638">
        <f t="shared" si="101"/>
        <v>341592.30769230775</v>
      </c>
      <c r="L295" s="373">
        <f t="shared" si="107"/>
        <v>49569.230769230773</v>
      </c>
      <c r="M295" s="373">
        <f t="shared" si="103"/>
        <v>90876.923076923093</v>
      </c>
      <c r="N295" s="231">
        <f t="shared" si="104"/>
        <v>1</v>
      </c>
    </row>
    <row r="296" spans="1:18">
      <c r="A296" s="494">
        <f t="shared" si="105"/>
        <v>14</v>
      </c>
      <c r="B296" s="634" t="s">
        <v>1549</v>
      </c>
      <c r="C296" s="640" t="s">
        <v>1533</v>
      </c>
      <c r="D296" s="651" t="s">
        <v>1550</v>
      </c>
      <c r="E296" s="662">
        <v>520000</v>
      </c>
      <c r="F296" s="382">
        <v>22.71</v>
      </c>
      <c r="G296" s="637">
        <f t="shared" si="97"/>
        <v>20000</v>
      </c>
      <c r="H296" s="638">
        <f t="shared" si="98"/>
        <v>454200</v>
      </c>
      <c r="I296" s="373">
        <f t="shared" si="106"/>
        <v>45420</v>
      </c>
      <c r="J296" s="373">
        <f t="shared" si="100"/>
        <v>33878</v>
      </c>
      <c r="K296" s="638">
        <f t="shared" si="101"/>
        <v>374902</v>
      </c>
      <c r="L296" s="373">
        <f t="shared" si="107"/>
        <v>54504</v>
      </c>
      <c r="M296" s="373">
        <f t="shared" si="103"/>
        <v>99924</v>
      </c>
      <c r="N296" s="231">
        <f t="shared" si="104"/>
        <v>1</v>
      </c>
      <c r="O296" s="664" t="s">
        <v>1620</v>
      </c>
      <c r="P296" s="231" t="s">
        <v>1613</v>
      </c>
      <c r="Q296" s="231" t="s">
        <v>1614</v>
      </c>
    </row>
    <row r="297" spans="1:18">
      <c r="A297" s="494">
        <f t="shared" si="105"/>
        <v>15</v>
      </c>
      <c r="B297" s="652" t="s">
        <v>1551</v>
      </c>
      <c r="C297" s="640" t="s">
        <v>1553</v>
      </c>
      <c r="D297" s="653" t="s">
        <v>1552</v>
      </c>
      <c r="E297" s="662">
        <v>400000</v>
      </c>
      <c r="F297" s="382">
        <v>26</v>
      </c>
      <c r="G297" s="637">
        <f t="shared" si="97"/>
        <v>15384.615384615385</v>
      </c>
      <c r="H297" s="638">
        <f t="shared" si="98"/>
        <v>400000</v>
      </c>
      <c r="I297" s="373">
        <f t="shared" si="106"/>
        <v>40000</v>
      </c>
      <c r="J297" s="373">
        <f t="shared" si="100"/>
        <v>29000</v>
      </c>
      <c r="K297" s="638">
        <f t="shared" si="101"/>
        <v>331000</v>
      </c>
      <c r="L297" s="373">
        <f t="shared" si="107"/>
        <v>48000</v>
      </c>
      <c r="M297" s="373">
        <f t="shared" si="103"/>
        <v>88000</v>
      </c>
      <c r="N297" s="231">
        <f t="shared" si="104"/>
        <v>1</v>
      </c>
      <c r="O297" s="231" t="s">
        <v>1621</v>
      </c>
      <c r="P297" s="80">
        <f>+H253+H219</f>
        <v>597261.90476190473</v>
      </c>
      <c r="Q297" s="80"/>
    </row>
    <row r="298" spans="1:18">
      <c r="A298" s="494">
        <f t="shared" si="105"/>
        <v>16</v>
      </c>
      <c r="B298" s="652" t="s">
        <v>1556</v>
      </c>
      <c r="C298" s="640" t="s">
        <v>1533</v>
      </c>
      <c r="D298" s="653" t="s">
        <v>1557</v>
      </c>
      <c r="E298" s="662">
        <v>400000</v>
      </c>
      <c r="F298" s="382">
        <v>23.78</v>
      </c>
      <c r="G298" s="637">
        <f t="shared" si="97"/>
        <v>15384.615384615385</v>
      </c>
      <c r="H298" s="638">
        <f t="shared" si="98"/>
        <v>365846.15384615387</v>
      </c>
      <c r="I298" s="373">
        <f t="shared" si="106"/>
        <v>36584.61538461539</v>
      </c>
      <c r="J298" s="373">
        <f t="shared" si="100"/>
        <v>25926.153846153851</v>
      </c>
      <c r="K298" s="638">
        <f t="shared" si="101"/>
        <v>303335.38461538462</v>
      </c>
      <c r="L298" s="373">
        <f t="shared" si="107"/>
        <v>43901.538461538461</v>
      </c>
      <c r="M298" s="373">
        <f t="shared" si="103"/>
        <v>80486.153846153844</v>
      </c>
      <c r="N298" s="231">
        <f t="shared" si="104"/>
        <v>1</v>
      </c>
      <c r="O298" s="231" t="s">
        <v>1622</v>
      </c>
      <c r="P298" s="80">
        <f>+H255+H221/2</f>
        <v>643285.71428571432</v>
      </c>
      <c r="Q298" s="80"/>
    </row>
    <row r="299" spans="1:18">
      <c r="A299" s="494">
        <f t="shared" si="105"/>
        <v>17</v>
      </c>
      <c r="B299" s="649" t="s">
        <v>1591</v>
      </c>
      <c r="C299" s="640" t="s">
        <v>1533</v>
      </c>
      <c r="D299" s="376" t="s">
        <v>1592</v>
      </c>
      <c r="E299" s="662">
        <v>400000</v>
      </c>
      <c r="F299" s="382">
        <v>24.8</v>
      </c>
      <c r="G299" s="637">
        <f t="shared" si="97"/>
        <v>15384.615384615385</v>
      </c>
      <c r="H299" s="638">
        <f t="shared" si="98"/>
        <v>381538.46153846156</v>
      </c>
      <c r="I299" s="373">
        <f t="shared" si="106"/>
        <v>38153.846153846156</v>
      </c>
      <c r="J299" s="373">
        <f t="shared" si="100"/>
        <v>27338.461538461539</v>
      </c>
      <c r="K299" s="638">
        <f t="shared" si="101"/>
        <v>316046.15384615381</v>
      </c>
      <c r="L299" s="373">
        <f t="shared" si="107"/>
        <v>45784.615384615383</v>
      </c>
      <c r="M299" s="373">
        <f t="shared" si="103"/>
        <v>83938.461538461532</v>
      </c>
      <c r="N299" s="231">
        <f t="shared" si="104"/>
        <v>1</v>
      </c>
      <c r="O299" s="231" t="s">
        <v>1623</v>
      </c>
      <c r="P299" s="80">
        <f>+H260+H226/2</f>
        <v>657619.04761904757</v>
      </c>
      <c r="Q299" s="80"/>
    </row>
    <row r="300" spans="1:18">
      <c r="A300" s="494">
        <f t="shared" si="105"/>
        <v>18</v>
      </c>
      <c r="B300" s="634" t="s">
        <v>1560</v>
      </c>
      <c r="C300" s="640" t="s">
        <v>1533</v>
      </c>
      <c r="D300" s="654" t="s">
        <v>1561</v>
      </c>
      <c r="E300" s="662">
        <v>400000</v>
      </c>
      <c r="F300" s="382">
        <v>22.1</v>
      </c>
      <c r="G300" s="637">
        <f t="shared" si="97"/>
        <v>15384.615384615385</v>
      </c>
      <c r="H300" s="638">
        <f t="shared" si="98"/>
        <v>340000</v>
      </c>
      <c r="I300" s="373">
        <f t="shared" si="106"/>
        <v>34000</v>
      </c>
      <c r="J300" s="373">
        <f t="shared" si="100"/>
        <v>23600</v>
      </c>
      <c r="K300" s="638">
        <f t="shared" si="101"/>
        <v>282400</v>
      </c>
      <c r="L300" s="373">
        <f t="shared" si="107"/>
        <v>40800</v>
      </c>
      <c r="M300" s="373">
        <f t="shared" si="103"/>
        <v>74800</v>
      </c>
      <c r="N300" s="231">
        <f t="shared" si="104"/>
        <v>1</v>
      </c>
      <c r="O300" s="231" t="s">
        <v>1496</v>
      </c>
      <c r="P300" s="80">
        <f>+H261+H227/2</f>
        <v>819061.90476190473</v>
      </c>
      <c r="Q300" s="80"/>
    </row>
    <row r="301" spans="1:18" s="23" customFormat="1">
      <c r="A301" s="932" t="s">
        <v>6</v>
      </c>
      <c r="B301" s="932"/>
      <c r="C301" s="932"/>
      <c r="D301" s="932"/>
      <c r="E301" s="659">
        <f>SUM(E283:E300)</f>
        <v>10870000</v>
      </c>
      <c r="F301" s="659">
        <f>SUM(F283:F300)</f>
        <v>434.75870000000003</v>
      </c>
      <c r="G301" s="659">
        <f t="shared" ref="G301" si="108">SUM(G283:G300)</f>
        <v>418076.92307692301</v>
      </c>
      <c r="H301" s="659">
        <f>SUM(H283:H300)</f>
        <v>10339583.846153848</v>
      </c>
      <c r="I301" s="659">
        <f t="shared" ref="I301:N301" si="109">SUM(I283:I300)</f>
        <v>1026332.4230769232</v>
      </c>
      <c r="J301" s="659">
        <f t="shared" si="109"/>
        <v>805325.14230769232</v>
      </c>
      <c r="K301" s="659">
        <f t="shared" si="109"/>
        <v>8507926.2807692327</v>
      </c>
      <c r="L301" s="659">
        <f t="shared" si="109"/>
        <v>1233124.1000000001</v>
      </c>
      <c r="M301" s="659">
        <f t="shared" si="109"/>
        <v>2259456.5230769231</v>
      </c>
      <c r="N301" s="659">
        <f t="shared" si="109"/>
        <v>18</v>
      </c>
      <c r="O301" s="23" t="s">
        <v>1624</v>
      </c>
      <c r="P301" s="665">
        <f>+H264+H230</f>
        <v>541976.19047619053</v>
      </c>
      <c r="Q301" s="665"/>
    </row>
    <row r="302" spans="1:18">
      <c r="H302" s="80"/>
      <c r="O302" s="231" t="s">
        <v>1625</v>
      </c>
      <c r="P302" s="80">
        <f>+H265+H231</f>
        <v>680904.76190476189</v>
      </c>
    </row>
    <row r="303" spans="1:18">
      <c r="H303" s="23" t="s">
        <v>1562</v>
      </c>
      <c r="O303" s="231" t="s">
        <v>1615</v>
      </c>
      <c r="P303" s="80">
        <f>+H220</f>
        <v>499999.99999999994</v>
      </c>
    </row>
    <row r="304" spans="1:18">
      <c r="H304" s="376" t="s">
        <v>1340</v>
      </c>
      <c r="I304" s="376"/>
      <c r="J304" s="376"/>
      <c r="K304" s="657" t="s">
        <v>261</v>
      </c>
      <c r="L304" s="376" t="s">
        <v>262</v>
      </c>
      <c r="O304" s="231" t="s">
        <v>1616</v>
      </c>
      <c r="P304" s="80">
        <f>+H259</f>
        <v>350333.33333333337</v>
      </c>
    </row>
    <row r="305" spans="8:16">
      <c r="H305" s="376" t="s">
        <v>1626</v>
      </c>
      <c r="I305" s="376"/>
      <c r="J305" s="658">
        <v>700200</v>
      </c>
      <c r="K305" s="118">
        <f>+L301</f>
        <v>1233124.1000000001</v>
      </c>
      <c r="L305" s="6"/>
      <c r="O305" s="231" t="s">
        <v>1617</v>
      </c>
      <c r="P305" s="80">
        <f>+H266</f>
        <v>390833.33333333337</v>
      </c>
    </row>
    <row r="306" spans="8:16">
      <c r="H306" s="376" t="s">
        <v>1626</v>
      </c>
      <c r="I306" s="376"/>
      <c r="J306" s="658">
        <v>310800</v>
      </c>
      <c r="K306" s="6"/>
      <c r="L306" s="118">
        <f>+L301</f>
        <v>1233124.1000000001</v>
      </c>
      <c r="P306" s="80"/>
    </row>
    <row r="307" spans="8:16">
      <c r="H307" s="376" t="s">
        <v>1627</v>
      </c>
      <c r="I307" s="376"/>
      <c r="J307" s="658">
        <v>310800</v>
      </c>
      <c r="K307" s="6"/>
      <c r="L307" s="118">
        <f>+I301</f>
        <v>1026332.4230769232</v>
      </c>
      <c r="O307" s="231" t="s">
        <v>1618</v>
      </c>
    </row>
    <row r="308" spans="8:16">
      <c r="H308" s="376" t="s">
        <v>1628</v>
      </c>
      <c r="I308" s="376"/>
      <c r="J308" s="658">
        <v>310700</v>
      </c>
      <c r="K308" s="6"/>
      <c r="L308" s="118">
        <f>+J301</f>
        <v>805325.14230769232</v>
      </c>
      <c r="O308" s="231" t="s">
        <v>1619</v>
      </c>
    </row>
    <row r="309" spans="8:16">
      <c r="H309" s="376" t="s">
        <v>1629</v>
      </c>
      <c r="I309" s="376"/>
      <c r="J309" s="658">
        <v>311000</v>
      </c>
      <c r="K309" s="6"/>
      <c r="L309" s="118">
        <f>+K301</f>
        <v>8507926.2807692327</v>
      </c>
      <c r="P309" s="80">
        <f>SUM(P297:P308)</f>
        <v>5181276.1904761903</v>
      </c>
    </row>
    <row r="310" spans="8:16">
      <c r="H310" s="376" t="s">
        <v>1811</v>
      </c>
      <c r="I310" s="376"/>
      <c r="J310" s="658">
        <v>700100</v>
      </c>
      <c r="K310" s="647">
        <f>+L309+L308+L307</f>
        <v>10339583.84615385</v>
      </c>
      <c r="L310" s="376"/>
    </row>
    <row r="313" spans="8:16">
      <c r="H313" s="231" t="s">
        <v>1814</v>
      </c>
      <c r="I313" s="80">
        <f>+H301+H267+H233</f>
        <v>31740791.584249087</v>
      </c>
      <c r="J313" s="230">
        <f>+L301+L267+L233</f>
        <v>3790093.4869047618</v>
      </c>
    </row>
    <row r="314" spans="8:16">
      <c r="H314" s="231" t="s">
        <v>1813</v>
      </c>
      <c r="I314" s="230">
        <v>15254613</v>
      </c>
      <c r="J314" s="230">
        <f>609500*3</f>
        <v>1828500</v>
      </c>
    </row>
    <row r="315" spans="8:16">
      <c r="H315" s="231" t="s">
        <v>1815</v>
      </c>
      <c r="I315" s="80">
        <f>+I313-I314</f>
        <v>16486178.584249087</v>
      </c>
      <c r="J315" s="230">
        <f>+J313-J314</f>
        <v>1961593.4869047618</v>
      </c>
      <c r="K315" s="80">
        <f>+J315+I315</f>
        <v>18447772.071153849</v>
      </c>
    </row>
    <row r="322" spans="1:18">
      <c r="A322" s="625"/>
      <c r="B322" s="625" t="s">
        <v>1975</v>
      </c>
      <c r="C322" s="625"/>
      <c r="D322" s="626"/>
      <c r="E322" s="626"/>
      <c r="F322" s="626"/>
      <c r="G322" s="626"/>
      <c r="H322" s="626"/>
      <c r="I322" s="626"/>
      <c r="J322" s="626"/>
      <c r="K322" s="626"/>
      <c r="L322" s="626"/>
      <c r="M322" s="626"/>
    </row>
    <row r="323" spans="1:18">
      <c r="A323" s="627" t="s">
        <v>1499</v>
      </c>
      <c r="B323" s="627"/>
      <c r="C323" s="627"/>
      <c r="D323" s="627"/>
      <c r="E323" s="628"/>
      <c r="F323" s="627"/>
      <c r="G323" s="627"/>
      <c r="H323" s="629"/>
      <c r="I323" s="629"/>
      <c r="J323" s="629"/>
      <c r="K323" s="629"/>
      <c r="L323" s="629"/>
      <c r="M323" s="629"/>
      <c r="N323" s="231" t="s">
        <v>1876</v>
      </c>
    </row>
    <row r="324" spans="1:18" ht="38.25">
      <c r="A324" s="630" t="s">
        <v>1</v>
      </c>
      <c r="B324" s="630" t="s">
        <v>1356</v>
      </c>
      <c r="C324" s="630" t="s">
        <v>1357</v>
      </c>
      <c r="D324" s="631" t="s">
        <v>1500</v>
      </c>
      <c r="E324" s="630" t="s">
        <v>1501</v>
      </c>
      <c r="F324" s="631" t="s">
        <v>1502</v>
      </c>
      <c r="G324" s="631" t="s">
        <v>1503</v>
      </c>
      <c r="H324" s="632" t="s">
        <v>1504</v>
      </c>
      <c r="I324" s="633" t="s">
        <v>1505</v>
      </c>
      <c r="J324" s="633" t="s">
        <v>1506</v>
      </c>
      <c r="K324" s="633" t="s">
        <v>1507</v>
      </c>
      <c r="L324" s="632" t="s">
        <v>1508</v>
      </c>
      <c r="M324" s="633" t="s">
        <v>1509</v>
      </c>
      <c r="N324" s="231">
        <f t="shared" ref="N324:N342" si="110">+IF(J325,1,0)</f>
        <v>1</v>
      </c>
    </row>
    <row r="325" spans="1:18" ht="15" customHeight="1">
      <c r="A325" s="494">
        <v>1</v>
      </c>
      <c r="B325" s="634" t="s">
        <v>1510</v>
      </c>
      <c r="C325" s="635" t="s">
        <v>1512</v>
      </c>
      <c r="D325" s="635" t="s">
        <v>1511</v>
      </c>
      <c r="E325" s="661">
        <v>1200000</v>
      </c>
      <c r="F325" s="663">
        <v>24</v>
      </c>
      <c r="G325" s="637">
        <f>+E325/24</f>
        <v>50000</v>
      </c>
      <c r="H325" s="638">
        <f>+G325*F325</f>
        <v>1200000</v>
      </c>
      <c r="I325" s="373">
        <f>+H325*0.1</f>
        <v>120000</v>
      </c>
      <c r="J325" s="373">
        <f>+(H325-I325)*0.1-7000</f>
        <v>101000</v>
      </c>
      <c r="K325" s="638">
        <f>+H325-I325-J325</f>
        <v>979000</v>
      </c>
      <c r="L325" s="373">
        <f>+H325*0.12</f>
        <v>144000</v>
      </c>
      <c r="M325" s="373">
        <f>+I325+L325</f>
        <v>264000</v>
      </c>
      <c r="N325" s="231">
        <f t="shared" si="110"/>
        <v>1</v>
      </c>
      <c r="O325" s="199"/>
    </row>
    <row r="326" spans="1:18">
      <c r="A326" s="494">
        <f>+A325+1</f>
        <v>2</v>
      </c>
      <c r="B326" s="639" t="s">
        <v>1513</v>
      </c>
      <c r="C326" s="640" t="s">
        <v>1515</v>
      </c>
      <c r="D326" s="640" t="s">
        <v>1514</v>
      </c>
      <c r="E326" s="417">
        <v>1200000</v>
      </c>
      <c r="F326" s="663">
        <v>24</v>
      </c>
      <c r="G326" s="637">
        <f t="shared" ref="G326:G341" si="111">+E326/24</f>
        <v>50000</v>
      </c>
      <c r="H326" s="638">
        <f t="shared" ref="H326:H341" si="112">+G326*F326</f>
        <v>1200000</v>
      </c>
      <c r="I326" s="373">
        <f t="shared" ref="I326:I328" si="113">+H326*0.1</f>
        <v>120000</v>
      </c>
      <c r="J326" s="373">
        <f t="shared" ref="J326:J341" si="114">+(H326-I326)*0.1-7000</f>
        <v>101000</v>
      </c>
      <c r="K326" s="638">
        <f t="shared" ref="K326" si="115">+H326-I326-J326</f>
        <v>979000</v>
      </c>
      <c r="L326" s="373">
        <f t="shared" ref="L326:L328" si="116">+H326*0.12</f>
        <v>144000</v>
      </c>
      <c r="M326" s="373">
        <f t="shared" ref="M326:M341" si="117">+I326+L326</f>
        <v>264000</v>
      </c>
      <c r="N326" s="231">
        <f t="shared" si="110"/>
        <v>1</v>
      </c>
      <c r="O326" s="199"/>
    </row>
    <row r="327" spans="1:18">
      <c r="A327" s="494">
        <f t="shared" ref="A327:A342" si="118">+A326+1</f>
        <v>3</v>
      </c>
      <c r="B327" s="641" t="s">
        <v>1516</v>
      </c>
      <c r="C327" s="640" t="s">
        <v>1518</v>
      </c>
      <c r="D327" s="640" t="s">
        <v>1517</v>
      </c>
      <c r="E327" s="662">
        <v>1400000</v>
      </c>
      <c r="F327" s="663">
        <v>24</v>
      </c>
      <c r="G327" s="637">
        <f t="shared" si="111"/>
        <v>58333.333333333336</v>
      </c>
      <c r="H327" s="638">
        <f t="shared" si="112"/>
        <v>1400000</v>
      </c>
      <c r="I327" s="373">
        <f t="shared" si="113"/>
        <v>140000</v>
      </c>
      <c r="J327" s="373">
        <f t="shared" si="114"/>
        <v>119000</v>
      </c>
      <c r="K327" s="638">
        <f>+H327-I327-J327</f>
        <v>1141000</v>
      </c>
      <c r="L327" s="373">
        <f t="shared" si="116"/>
        <v>168000</v>
      </c>
      <c r="M327" s="373">
        <f t="shared" si="117"/>
        <v>308000</v>
      </c>
      <c r="N327" s="231">
        <f t="shared" si="110"/>
        <v>1</v>
      </c>
      <c r="O327" s="199"/>
      <c r="P327" s="80"/>
    </row>
    <row r="328" spans="1:18">
      <c r="A328" s="494">
        <f t="shared" si="118"/>
        <v>4</v>
      </c>
      <c r="B328" s="639" t="s">
        <v>1519</v>
      </c>
      <c r="C328" s="640" t="s">
        <v>1521</v>
      </c>
      <c r="D328" s="640" t="s">
        <v>1520</v>
      </c>
      <c r="E328" s="662">
        <v>1000000</v>
      </c>
      <c r="F328" s="663">
        <v>24</v>
      </c>
      <c r="G328" s="637">
        <f t="shared" si="111"/>
        <v>41666.666666666664</v>
      </c>
      <c r="H328" s="638">
        <f t="shared" si="112"/>
        <v>1000000</v>
      </c>
      <c r="I328" s="373">
        <f t="shared" si="113"/>
        <v>100000</v>
      </c>
      <c r="J328" s="373">
        <f t="shared" si="114"/>
        <v>83000</v>
      </c>
      <c r="K328" s="638">
        <f t="shared" ref="K328:K341" si="119">+H328-I328-J328</f>
        <v>817000</v>
      </c>
      <c r="L328" s="373">
        <f t="shared" si="116"/>
        <v>120000</v>
      </c>
      <c r="M328" s="373">
        <f t="shared" si="117"/>
        <v>220000</v>
      </c>
      <c r="N328" s="231">
        <f t="shared" si="110"/>
        <v>1</v>
      </c>
      <c r="O328" s="199"/>
      <c r="P328" s="80"/>
      <c r="Q328" s="80"/>
    </row>
    <row r="329" spans="1:18">
      <c r="A329" s="494">
        <f t="shared" si="118"/>
        <v>5</v>
      </c>
      <c r="B329" s="639" t="s">
        <v>1528</v>
      </c>
      <c r="C329" s="645" t="s">
        <v>1530</v>
      </c>
      <c r="D329" s="640" t="s">
        <v>1529</v>
      </c>
      <c r="E329" s="417">
        <v>400000</v>
      </c>
      <c r="F329" s="663">
        <v>23.91</v>
      </c>
      <c r="G329" s="637">
        <f t="shared" si="111"/>
        <v>16666.666666666668</v>
      </c>
      <c r="H329" s="638">
        <f t="shared" si="112"/>
        <v>398500.00000000006</v>
      </c>
      <c r="I329" s="373">
        <f>+H329*0.078</f>
        <v>31083.000000000004</v>
      </c>
      <c r="J329" s="373">
        <f>+(H329-I329)*0.1-7000</f>
        <v>29741.700000000004</v>
      </c>
      <c r="K329" s="638">
        <f t="shared" si="119"/>
        <v>337675.30000000005</v>
      </c>
      <c r="L329" s="373">
        <f>+H329*0.098</f>
        <v>39053.000000000007</v>
      </c>
      <c r="M329" s="373">
        <f t="shared" si="117"/>
        <v>70136.000000000015</v>
      </c>
      <c r="N329" s="231">
        <f t="shared" si="110"/>
        <v>1</v>
      </c>
      <c r="O329" s="199"/>
      <c r="P329" s="80"/>
      <c r="Q329" s="80"/>
    </row>
    <row r="330" spans="1:18">
      <c r="A330" s="494">
        <f t="shared" si="118"/>
        <v>6</v>
      </c>
      <c r="B330" s="639" t="s">
        <v>1534</v>
      </c>
      <c r="C330" s="640" t="s">
        <v>1536</v>
      </c>
      <c r="D330" s="640" t="s">
        <v>1535</v>
      </c>
      <c r="E330" s="662">
        <v>450000</v>
      </c>
      <c r="F330" s="382">
        <v>22.58</v>
      </c>
      <c r="G330" s="637">
        <f t="shared" si="111"/>
        <v>18750</v>
      </c>
      <c r="H330" s="638">
        <f t="shared" si="112"/>
        <v>423374.99999999994</v>
      </c>
      <c r="I330" s="373">
        <f t="shared" ref="I330:I341" si="120">+H330*0.1</f>
        <v>42337.5</v>
      </c>
      <c r="J330" s="373">
        <f t="shared" si="114"/>
        <v>31103.749999999993</v>
      </c>
      <c r="K330" s="638">
        <f t="shared" si="119"/>
        <v>349933.74999999994</v>
      </c>
      <c r="L330" s="373">
        <f t="shared" ref="L330:L341" si="121">+H330*0.12</f>
        <v>50804.999999999993</v>
      </c>
      <c r="M330" s="373">
        <f t="shared" si="117"/>
        <v>93142.5</v>
      </c>
      <c r="N330" s="231">
        <f t="shared" si="110"/>
        <v>1</v>
      </c>
      <c r="O330" s="199"/>
      <c r="P330" s="80"/>
      <c r="Q330" s="80"/>
    </row>
    <row r="331" spans="1:18">
      <c r="A331" s="494">
        <f t="shared" si="118"/>
        <v>7</v>
      </c>
      <c r="B331" s="649" t="s">
        <v>1537</v>
      </c>
      <c r="C331" s="646" t="s">
        <v>1533</v>
      </c>
      <c r="D331" s="459" t="s">
        <v>1538</v>
      </c>
      <c r="E331" s="662">
        <v>500000</v>
      </c>
      <c r="F331" s="382">
        <v>25</v>
      </c>
      <c r="G331" s="637">
        <f t="shared" si="111"/>
        <v>20833.333333333332</v>
      </c>
      <c r="H331" s="638">
        <f t="shared" si="112"/>
        <v>520833.33333333331</v>
      </c>
      <c r="I331" s="373">
        <f t="shared" si="120"/>
        <v>52083.333333333336</v>
      </c>
      <c r="J331" s="373">
        <f t="shared" si="114"/>
        <v>39875</v>
      </c>
      <c r="K331" s="638">
        <f t="shared" si="119"/>
        <v>428875</v>
      </c>
      <c r="L331" s="373">
        <f t="shared" si="121"/>
        <v>62499.999999999993</v>
      </c>
      <c r="M331" s="373">
        <f t="shared" si="117"/>
        <v>114583.33333333333</v>
      </c>
      <c r="N331" s="231">
        <f t="shared" si="110"/>
        <v>1</v>
      </c>
      <c r="O331" s="199"/>
      <c r="P331" s="80"/>
      <c r="Q331" s="80"/>
    </row>
    <row r="332" spans="1:18">
      <c r="A332" s="494">
        <f t="shared" si="118"/>
        <v>8</v>
      </c>
      <c r="B332" s="649" t="s">
        <v>1539</v>
      </c>
      <c r="C332" s="646" t="s">
        <v>1533</v>
      </c>
      <c r="D332" s="459" t="s">
        <v>1540</v>
      </c>
      <c r="E332" s="662">
        <v>450000</v>
      </c>
      <c r="F332" s="382">
        <v>27.66</v>
      </c>
      <c r="G332" s="637">
        <f t="shared" si="111"/>
        <v>18750</v>
      </c>
      <c r="H332" s="638">
        <f t="shared" si="112"/>
        <v>518625</v>
      </c>
      <c r="I332" s="373">
        <f t="shared" si="120"/>
        <v>51862.5</v>
      </c>
      <c r="J332" s="373">
        <f t="shared" si="114"/>
        <v>39676.25</v>
      </c>
      <c r="K332" s="638">
        <f t="shared" si="119"/>
        <v>427086.25</v>
      </c>
      <c r="L332" s="373">
        <f t="shared" si="121"/>
        <v>62235</v>
      </c>
      <c r="M332" s="373">
        <f t="shared" si="117"/>
        <v>114097.5</v>
      </c>
      <c r="N332" s="231">
        <f t="shared" si="110"/>
        <v>1</v>
      </c>
      <c r="O332" s="199"/>
      <c r="P332" s="80"/>
      <c r="Q332" s="80"/>
    </row>
    <row r="333" spans="1:18">
      <c r="A333" s="494">
        <f t="shared" si="118"/>
        <v>9</v>
      </c>
      <c r="B333" s="634" t="s">
        <v>1541</v>
      </c>
      <c r="C333" s="646" t="s">
        <v>1533</v>
      </c>
      <c r="D333" s="640" t="s">
        <v>1542</v>
      </c>
      <c r="E333" s="662">
        <v>480000</v>
      </c>
      <c r="F333" s="382">
        <v>21.18</v>
      </c>
      <c r="G333" s="637">
        <f t="shared" si="111"/>
        <v>20000</v>
      </c>
      <c r="H333" s="638">
        <f t="shared" si="112"/>
        <v>423600</v>
      </c>
      <c r="I333" s="373">
        <f t="shared" si="120"/>
        <v>42360</v>
      </c>
      <c r="J333" s="373">
        <f t="shared" si="114"/>
        <v>31124</v>
      </c>
      <c r="K333" s="638">
        <f t="shared" si="119"/>
        <v>350116</v>
      </c>
      <c r="L333" s="373">
        <f t="shared" si="121"/>
        <v>50832</v>
      </c>
      <c r="M333" s="373">
        <f t="shared" si="117"/>
        <v>93192</v>
      </c>
      <c r="N333" s="231">
        <f t="shared" si="110"/>
        <v>1</v>
      </c>
      <c r="O333" s="199"/>
      <c r="Q333" s="80"/>
      <c r="R333" s="80"/>
    </row>
    <row r="334" spans="1:18">
      <c r="A334" s="494">
        <f t="shared" si="118"/>
        <v>10</v>
      </c>
      <c r="B334" s="634" t="s">
        <v>1543</v>
      </c>
      <c r="C334" s="646" t="s">
        <v>1533</v>
      </c>
      <c r="D334" s="640" t="s">
        <v>1544</v>
      </c>
      <c r="E334" s="662">
        <v>800000</v>
      </c>
      <c r="F334" s="382">
        <v>25.85</v>
      </c>
      <c r="G334" s="637">
        <f t="shared" si="111"/>
        <v>33333.333333333336</v>
      </c>
      <c r="H334" s="638">
        <f t="shared" si="112"/>
        <v>861666.66666666674</v>
      </c>
      <c r="I334" s="373">
        <f t="shared" si="120"/>
        <v>86166.666666666686</v>
      </c>
      <c r="J334" s="373">
        <f t="shared" si="114"/>
        <v>70550</v>
      </c>
      <c r="K334" s="638">
        <f t="shared" si="119"/>
        <v>704950</v>
      </c>
      <c r="L334" s="373">
        <f t="shared" si="121"/>
        <v>103400</v>
      </c>
      <c r="M334" s="373">
        <f t="shared" si="117"/>
        <v>189566.66666666669</v>
      </c>
      <c r="N334" s="231">
        <f t="shared" si="110"/>
        <v>1</v>
      </c>
      <c r="O334" s="199"/>
    </row>
    <row r="335" spans="1:18">
      <c r="A335" s="494">
        <f t="shared" si="118"/>
        <v>11</v>
      </c>
      <c r="B335" s="634" t="s">
        <v>1545</v>
      </c>
      <c r="C335" s="646" t="s">
        <v>1533</v>
      </c>
      <c r="D335" s="666" t="s">
        <v>1546</v>
      </c>
      <c r="E335" s="662">
        <v>480000</v>
      </c>
      <c r="F335" s="382">
        <v>23.5</v>
      </c>
      <c r="G335" s="637">
        <f t="shared" si="111"/>
        <v>20000</v>
      </c>
      <c r="H335" s="638">
        <f t="shared" si="112"/>
        <v>470000</v>
      </c>
      <c r="I335" s="373">
        <f t="shared" si="120"/>
        <v>47000</v>
      </c>
      <c r="J335" s="373">
        <f t="shared" si="114"/>
        <v>35300</v>
      </c>
      <c r="K335" s="638">
        <f t="shared" si="119"/>
        <v>387700</v>
      </c>
      <c r="L335" s="373">
        <f t="shared" si="121"/>
        <v>56400</v>
      </c>
      <c r="M335" s="373">
        <f t="shared" si="117"/>
        <v>103400</v>
      </c>
      <c r="N335" s="231">
        <f t="shared" si="110"/>
        <v>1</v>
      </c>
      <c r="O335" s="199"/>
    </row>
    <row r="336" spans="1:18">
      <c r="A336" s="494">
        <f t="shared" si="118"/>
        <v>12</v>
      </c>
      <c r="B336" s="649" t="s">
        <v>1547</v>
      </c>
      <c r="C336" s="646" t="s">
        <v>1533</v>
      </c>
      <c r="D336" s="666" t="s">
        <v>1548</v>
      </c>
      <c r="E336" s="662">
        <v>480000</v>
      </c>
      <c r="F336" s="382">
        <v>24.3</v>
      </c>
      <c r="G336" s="637">
        <f t="shared" si="111"/>
        <v>20000</v>
      </c>
      <c r="H336" s="638">
        <f t="shared" si="112"/>
        <v>486000</v>
      </c>
      <c r="I336" s="373">
        <f t="shared" si="120"/>
        <v>48600</v>
      </c>
      <c r="J336" s="373">
        <f t="shared" si="114"/>
        <v>36740</v>
      </c>
      <c r="K336" s="638">
        <f t="shared" si="119"/>
        <v>400660</v>
      </c>
      <c r="L336" s="373">
        <f t="shared" si="121"/>
        <v>58320</v>
      </c>
      <c r="M336" s="373">
        <f t="shared" si="117"/>
        <v>106920</v>
      </c>
      <c r="N336" s="231">
        <f t="shared" si="110"/>
        <v>1</v>
      </c>
      <c r="O336" s="199"/>
    </row>
    <row r="337" spans="1:17">
      <c r="A337" s="494">
        <f t="shared" si="118"/>
        <v>13</v>
      </c>
      <c r="B337" s="634" t="s">
        <v>1549</v>
      </c>
      <c r="C337" s="640" t="s">
        <v>1533</v>
      </c>
      <c r="D337" s="651" t="s">
        <v>1550</v>
      </c>
      <c r="E337" s="662">
        <v>600000</v>
      </c>
      <c r="F337" s="382">
        <v>26</v>
      </c>
      <c r="G337" s="637">
        <f t="shared" si="111"/>
        <v>25000</v>
      </c>
      <c r="H337" s="638">
        <f t="shared" si="112"/>
        <v>650000</v>
      </c>
      <c r="I337" s="373">
        <f t="shared" si="120"/>
        <v>65000</v>
      </c>
      <c r="J337" s="373">
        <f t="shared" si="114"/>
        <v>51500</v>
      </c>
      <c r="K337" s="638">
        <f t="shared" si="119"/>
        <v>533500</v>
      </c>
      <c r="L337" s="373">
        <f t="shared" si="121"/>
        <v>78000</v>
      </c>
      <c r="M337" s="373">
        <f t="shared" si="117"/>
        <v>143000</v>
      </c>
      <c r="N337" s="231">
        <f t="shared" si="110"/>
        <v>1</v>
      </c>
      <c r="O337" s="199"/>
      <c r="P337" s="80"/>
    </row>
    <row r="338" spans="1:17">
      <c r="A338" s="494">
        <f t="shared" si="118"/>
        <v>14</v>
      </c>
      <c r="B338" s="652" t="s">
        <v>1551</v>
      </c>
      <c r="C338" s="640" t="s">
        <v>1553</v>
      </c>
      <c r="D338" s="667" t="s">
        <v>1552</v>
      </c>
      <c r="E338" s="662">
        <v>450000</v>
      </c>
      <c r="F338" s="382">
        <v>24.36</v>
      </c>
      <c r="G338" s="637">
        <f t="shared" si="111"/>
        <v>18750</v>
      </c>
      <c r="H338" s="638">
        <f t="shared" si="112"/>
        <v>456750</v>
      </c>
      <c r="I338" s="373">
        <f t="shared" si="120"/>
        <v>45675</v>
      </c>
      <c r="J338" s="373">
        <f t="shared" si="114"/>
        <v>34107.5</v>
      </c>
      <c r="K338" s="638">
        <f t="shared" si="119"/>
        <v>376967.5</v>
      </c>
      <c r="L338" s="373">
        <f t="shared" si="121"/>
        <v>54810</v>
      </c>
      <c r="M338" s="373">
        <f t="shared" si="117"/>
        <v>100485</v>
      </c>
      <c r="N338" s="231">
        <f t="shared" si="110"/>
        <v>1</v>
      </c>
      <c r="O338" s="199"/>
      <c r="P338" s="80"/>
      <c r="Q338" s="80"/>
    </row>
    <row r="339" spans="1:17">
      <c r="A339" s="494">
        <f t="shared" si="118"/>
        <v>15</v>
      </c>
      <c r="B339" s="652" t="s">
        <v>1556</v>
      </c>
      <c r="C339" s="640" t="s">
        <v>1533</v>
      </c>
      <c r="D339" s="667" t="s">
        <v>1557</v>
      </c>
      <c r="E339" s="662">
        <v>450000</v>
      </c>
      <c r="F339" s="382">
        <v>26.07</v>
      </c>
      <c r="G339" s="637">
        <f t="shared" si="111"/>
        <v>18750</v>
      </c>
      <c r="H339" s="638">
        <f t="shared" si="112"/>
        <v>488812.5</v>
      </c>
      <c r="I339" s="373">
        <f t="shared" si="120"/>
        <v>48881.25</v>
      </c>
      <c r="J339" s="373">
        <f t="shared" si="114"/>
        <v>36993.125</v>
      </c>
      <c r="K339" s="638">
        <f t="shared" si="119"/>
        <v>402938.125</v>
      </c>
      <c r="L339" s="373">
        <f t="shared" si="121"/>
        <v>58657.5</v>
      </c>
      <c r="M339" s="373">
        <f t="shared" si="117"/>
        <v>107538.75</v>
      </c>
      <c r="N339" s="231">
        <f t="shared" si="110"/>
        <v>1</v>
      </c>
      <c r="O339" s="199"/>
      <c r="P339" s="80"/>
      <c r="Q339" s="80"/>
    </row>
    <row r="340" spans="1:17">
      <c r="A340" s="494">
        <f t="shared" si="118"/>
        <v>16</v>
      </c>
      <c r="B340" s="649" t="s">
        <v>1591</v>
      </c>
      <c r="C340" s="640" t="s">
        <v>1533</v>
      </c>
      <c r="D340" s="459" t="s">
        <v>1592</v>
      </c>
      <c r="E340" s="662">
        <v>450000</v>
      </c>
      <c r="F340" s="382">
        <v>24</v>
      </c>
      <c r="G340" s="637">
        <f t="shared" si="111"/>
        <v>18750</v>
      </c>
      <c r="H340" s="638">
        <f t="shared" si="112"/>
        <v>450000</v>
      </c>
      <c r="I340" s="373">
        <f t="shared" si="120"/>
        <v>45000</v>
      </c>
      <c r="J340" s="373">
        <f t="shared" si="114"/>
        <v>33500</v>
      </c>
      <c r="K340" s="638">
        <f t="shared" si="119"/>
        <v>371500</v>
      </c>
      <c r="L340" s="373">
        <f t="shared" si="121"/>
        <v>54000</v>
      </c>
      <c r="M340" s="373">
        <f t="shared" si="117"/>
        <v>99000</v>
      </c>
      <c r="N340" s="231">
        <f t="shared" si="110"/>
        <v>1</v>
      </c>
      <c r="O340" s="199"/>
      <c r="P340" s="80"/>
      <c r="Q340" s="80"/>
    </row>
    <row r="341" spans="1:17">
      <c r="A341" s="494">
        <f t="shared" si="118"/>
        <v>17</v>
      </c>
      <c r="B341" s="634" t="s">
        <v>1560</v>
      </c>
      <c r="C341" s="640" t="s">
        <v>1533</v>
      </c>
      <c r="D341" s="654" t="s">
        <v>1561</v>
      </c>
      <c r="E341" s="662">
        <v>450000</v>
      </c>
      <c r="F341" s="382">
        <v>21.3</v>
      </c>
      <c r="G341" s="637">
        <f t="shared" si="111"/>
        <v>18750</v>
      </c>
      <c r="H341" s="638">
        <f t="shared" si="112"/>
        <v>399375</v>
      </c>
      <c r="I341" s="373">
        <f t="shared" si="120"/>
        <v>39937.5</v>
      </c>
      <c r="J341" s="373">
        <f t="shared" si="114"/>
        <v>28943.75</v>
      </c>
      <c r="K341" s="638">
        <f t="shared" si="119"/>
        <v>330493.75</v>
      </c>
      <c r="L341" s="373">
        <f t="shared" si="121"/>
        <v>47925</v>
      </c>
      <c r="M341" s="373">
        <f t="shared" si="117"/>
        <v>87862.5</v>
      </c>
      <c r="N341" s="231">
        <f t="shared" si="110"/>
        <v>1</v>
      </c>
      <c r="P341" s="80"/>
      <c r="Q341" s="80"/>
    </row>
    <row r="342" spans="1:17">
      <c r="A342" s="494">
        <f t="shared" si="118"/>
        <v>18</v>
      </c>
      <c r="B342" s="634" t="s">
        <v>1976</v>
      </c>
      <c r="C342" s="640" t="s">
        <v>1533</v>
      </c>
      <c r="D342" s="654" t="s">
        <v>2130</v>
      </c>
      <c r="E342" s="662">
        <v>450000</v>
      </c>
      <c r="F342" s="382">
        <v>13.36</v>
      </c>
      <c r="G342" s="637">
        <f t="shared" ref="G342" si="122">+E342/24</f>
        <v>18750</v>
      </c>
      <c r="H342" s="638">
        <f t="shared" ref="H342" si="123">+G342*F342</f>
        <v>250500</v>
      </c>
      <c r="I342" s="373">
        <f t="shared" ref="I342" si="124">+H342*0.1</f>
        <v>25050</v>
      </c>
      <c r="J342" s="373">
        <f t="shared" ref="J342" si="125">+(H342-I342)*0.1-7000</f>
        <v>15545</v>
      </c>
      <c r="K342" s="638">
        <f t="shared" ref="K342" si="126">+H342-I342-J342</f>
        <v>209905</v>
      </c>
      <c r="L342" s="373">
        <f t="shared" ref="L342" si="127">+H342*0.12</f>
        <v>30060</v>
      </c>
      <c r="M342" s="373">
        <f t="shared" ref="M342" si="128">+I342+L342</f>
        <v>55110</v>
      </c>
      <c r="N342" s="231">
        <f t="shared" si="110"/>
        <v>1</v>
      </c>
      <c r="O342" s="23"/>
      <c r="P342" s="665"/>
      <c r="Q342" s="80"/>
    </row>
    <row r="343" spans="1:17" s="23" customFormat="1">
      <c r="A343" s="932" t="s">
        <v>6</v>
      </c>
      <c r="B343" s="932"/>
      <c r="C343" s="932"/>
      <c r="D343" s="932"/>
      <c r="E343" s="659">
        <f t="shared" ref="E343:G343" si="129">SUM(E325:E342)</f>
        <v>11690000</v>
      </c>
      <c r="F343" s="659">
        <f>SUM(F325:F342)</f>
        <v>425.07000000000005</v>
      </c>
      <c r="G343" s="659">
        <f t="shared" si="129"/>
        <v>487083.33333333331</v>
      </c>
      <c r="H343" s="659">
        <f t="shared" ref="H343" si="130">SUM(H325:H342)</f>
        <v>11598037.5</v>
      </c>
      <c r="I343" s="659">
        <f t="shared" ref="I343" si="131">SUM(I325:I342)</f>
        <v>1151036.75</v>
      </c>
      <c r="J343" s="659">
        <f>SUM(J325:J342)</f>
        <v>918700.07499999995</v>
      </c>
      <c r="K343" s="659">
        <f t="shared" ref="K343" si="132">SUM(K325:K342)</f>
        <v>9528300.6750000007</v>
      </c>
      <c r="L343" s="659">
        <f t="shared" ref="L343" si="133">SUM(L325:L342)</f>
        <v>1382997.5</v>
      </c>
      <c r="M343" s="659">
        <f t="shared" ref="M343:N343" si="134">SUM(M325:M342)</f>
        <v>2534034.25</v>
      </c>
      <c r="N343" s="659">
        <f t="shared" si="134"/>
        <v>18</v>
      </c>
      <c r="O343" s="231"/>
      <c r="P343" s="80"/>
      <c r="Q343" s="665"/>
    </row>
    <row r="344" spans="1:17">
      <c r="H344" s="80">
        <f>+'[2]2017.10'!$J$38</f>
        <v>11598037.5</v>
      </c>
      <c r="P344" s="80"/>
    </row>
    <row r="345" spans="1:17">
      <c r="H345" s="23" t="s">
        <v>1562</v>
      </c>
      <c r="P345" s="80"/>
    </row>
    <row r="346" spans="1:17">
      <c r="H346" s="376" t="s">
        <v>1340</v>
      </c>
      <c r="I346" s="376"/>
      <c r="J346" s="376"/>
      <c r="K346" s="657" t="s">
        <v>261</v>
      </c>
      <c r="L346" s="376" t="s">
        <v>262</v>
      </c>
      <c r="P346" s="80"/>
    </row>
    <row r="347" spans="1:17">
      <c r="H347" s="376" t="s">
        <v>1977</v>
      </c>
      <c r="I347" s="376"/>
      <c r="J347" s="658">
        <v>700200</v>
      </c>
      <c r="K347" s="118">
        <f>+L343</f>
        <v>1382997.5</v>
      </c>
      <c r="L347" s="6"/>
      <c r="P347" s="80"/>
    </row>
    <row r="348" spans="1:17">
      <c r="H348" s="376" t="s">
        <v>1977</v>
      </c>
      <c r="I348" s="376"/>
      <c r="J348" s="658">
        <v>310800</v>
      </c>
      <c r="K348" s="6"/>
      <c r="L348" s="118">
        <f>+L343</f>
        <v>1382997.5</v>
      </c>
    </row>
    <row r="349" spans="1:17">
      <c r="H349" s="376" t="s">
        <v>1978</v>
      </c>
      <c r="I349" s="376"/>
      <c r="J349" s="658">
        <v>310800</v>
      </c>
      <c r="K349" s="6"/>
      <c r="L349" s="118">
        <f>+I343</f>
        <v>1151036.75</v>
      </c>
    </row>
    <row r="350" spans="1:17">
      <c r="H350" s="376" t="s">
        <v>1979</v>
      </c>
      <c r="I350" s="376"/>
      <c r="J350" s="658">
        <v>310700</v>
      </c>
      <c r="K350" s="6"/>
      <c r="L350" s="118">
        <f>+J343</f>
        <v>918700.07499999995</v>
      </c>
      <c r="P350" s="80"/>
    </row>
    <row r="351" spans="1:17">
      <c r="H351" s="376" t="s">
        <v>1980</v>
      </c>
      <c r="I351" s="376"/>
      <c r="J351" s="658">
        <v>311000</v>
      </c>
      <c r="K351" s="6"/>
      <c r="L351" s="118">
        <f>+K343</f>
        <v>9528300.6750000007</v>
      </c>
    </row>
    <row r="352" spans="1:17">
      <c r="H352" s="376" t="s">
        <v>1981</v>
      </c>
      <c r="I352" s="376"/>
      <c r="J352" s="658">
        <v>700100</v>
      </c>
      <c r="K352" s="647">
        <f>+L351+L350+L349</f>
        <v>11598037.5</v>
      </c>
      <c r="L352" s="376"/>
    </row>
    <row r="357" spans="1:17">
      <c r="A357" s="625"/>
      <c r="B357" s="625" t="s">
        <v>2150</v>
      </c>
      <c r="C357" s="625"/>
      <c r="D357" s="626"/>
      <c r="E357" s="626"/>
      <c r="F357" s="626"/>
      <c r="G357" s="626"/>
      <c r="H357" s="626"/>
      <c r="I357" s="626"/>
      <c r="J357" s="626"/>
      <c r="K357" s="626"/>
      <c r="L357" s="626"/>
      <c r="M357" s="626"/>
    </row>
    <row r="358" spans="1:17">
      <c r="A358" s="627" t="s">
        <v>1499</v>
      </c>
      <c r="B358" s="627"/>
      <c r="C358" s="627"/>
      <c r="D358" s="627"/>
      <c r="E358" s="628"/>
      <c r="F358" s="627"/>
      <c r="G358" s="627"/>
      <c r="H358" s="629"/>
      <c r="I358" s="629"/>
      <c r="J358" s="629"/>
      <c r="K358" s="629"/>
      <c r="L358" s="629"/>
      <c r="M358" s="629"/>
      <c r="N358" s="231" t="s">
        <v>1876</v>
      </c>
    </row>
    <row r="359" spans="1:17" ht="38.25">
      <c r="A359" s="630" t="s">
        <v>1</v>
      </c>
      <c r="B359" s="630" t="s">
        <v>1356</v>
      </c>
      <c r="C359" s="630" t="s">
        <v>1357</v>
      </c>
      <c r="D359" s="631" t="s">
        <v>1500</v>
      </c>
      <c r="E359" s="630" t="s">
        <v>1501</v>
      </c>
      <c r="F359" s="631" t="s">
        <v>2594</v>
      </c>
      <c r="G359" s="631" t="s">
        <v>1503</v>
      </c>
      <c r="H359" s="632" t="s">
        <v>1504</v>
      </c>
      <c r="I359" s="633" t="s">
        <v>1505</v>
      </c>
      <c r="J359" s="633" t="s">
        <v>1506</v>
      </c>
      <c r="K359" s="633" t="s">
        <v>1507</v>
      </c>
      <c r="L359" s="632" t="s">
        <v>1508</v>
      </c>
      <c r="M359" s="633" t="s">
        <v>1509</v>
      </c>
      <c r="N359" s="231">
        <f t="shared" ref="N359:N382" si="135">+IF(J360,1,0)</f>
        <v>1</v>
      </c>
    </row>
    <row r="360" spans="1:17" ht="15" customHeight="1">
      <c r="A360" s="494">
        <v>1</v>
      </c>
      <c r="B360" s="634" t="s">
        <v>1510</v>
      </c>
      <c r="C360" s="635" t="s">
        <v>1512</v>
      </c>
      <c r="D360" s="635" t="s">
        <v>1511</v>
      </c>
      <c r="E360" s="661">
        <v>1200000</v>
      </c>
      <c r="F360" s="382">
        <v>25</v>
      </c>
      <c r="G360" s="637">
        <f>+E360/25</f>
        <v>48000</v>
      </c>
      <c r="H360" s="638">
        <f>+G360*F360</f>
        <v>1200000</v>
      </c>
      <c r="I360" s="373">
        <f>+H360*0.1</f>
        <v>120000</v>
      </c>
      <c r="J360" s="373">
        <f>+(H360-I360)*0.1-7000</f>
        <v>101000</v>
      </c>
      <c r="K360" s="638">
        <f>+H360-I360-J360</f>
        <v>979000</v>
      </c>
      <c r="L360" s="373">
        <f>+H360*0.12</f>
        <v>144000</v>
      </c>
      <c r="M360" s="373">
        <f>+I360+L360</f>
        <v>264000</v>
      </c>
      <c r="N360" s="231">
        <f t="shared" si="135"/>
        <v>1</v>
      </c>
      <c r="O360" s="199"/>
    </row>
    <row r="361" spans="1:17">
      <c r="A361" s="494">
        <f>+A360+1</f>
        <v>2</v>
      </c>
      <c r="B361" s="639" t="s">
        <v>1513</v>
      </c>
      <c r="C361" s="640" t="s">
        <v>1515</v>
      </c>
      <c r="D361" s="640" t="s">
        <v>1514</v>
      </c>
      <c r="E361" s="417">
        <v>1200000</v>
      </c>
      <c r="F361" s="382">
        <v>25</v>
      </c>
      <c r="G361" s="637">
        <f t="shared" ref="G361:G382" si="136">+E361/25</f>
        <v>48000</v>
      </c>
      <c r="H361" s="638">
        <f t="shared" ref="H361:H382" si="137">+G361*F361</f>
        <v>1200000</v>
      </c>
      <c r="I361" s="373">
        <f t="shared" ref="I361:I363" si="138">+H361*0.1</f>
        <v>120000</v>
      </c>
      <c r="J361" s="373">
        <f t="shared" ref="J361:J363" si="139">+(H361-I361)*0.1-7000</f>
        <v>101000</v>
      </c>
      <c r="K361" s="638">
        <f t="shared" ref="K361" si="140">+H361-I361-J361</f>
        <v>979000</v>
      </c>
      <c r="L361" s="373">
        <f t="shared" ref="L361:L363" si="141">+H361*0.12</f>
        <v>144000</v>
      </c>
      <c r="M361" s="373">
        <f t="shared" ref="M361:M382" si="142">+I361+L361</f>
        <v>264000</v>
      </c>
      <c r="N361" s="231">
        <f t="shared" si="135"/>
        <v>1</v>
      </c>
      <c r="O361" s="199"/>
    </row>
    <row r="362" spans="1:17">
      <c r="A362" s="494">
        <f t="shared" ref="A362:A382" si="143">+A361+1</f>
        <v>3</v>
      </c>
      <c r="B362" s="641" t="s">
        <v>1516</v>
      </c>
      <c r="C362" s="640" t="s">
        <v>1518</v>
      </c>
      <c r="D362" s="640" t="s">
        <v>1517</v>
      </c>
      <c r="E362" s="662">
        <v>1400000</v>
      </c>
      <c r="F362" s="382">
        <v>25</v>
      </c>
      <c r="G362" s="637">
        <f t="shared" si="136"/>
        <v>56000</v>
      </c>
      <c r="H362" s="638">
        <f t="shared" si="137"/>
        <v>1400000</v>
      </c>
      <c r="I362" s="373">
        <f t="shared" si="138"/>
        <v>140000</v>
      </c>
      <c r="J362" s="373">
        <f t="shared" si="139"/>
        <v>119000</v>
      </c>
      <c r="K362" s="638">
        <f>+H362-I362-J362</f>
        <v>1141000</v>
      </c>
      <c r="L362" s="373">
        <f t="shared" si="141"/>
        <v>168000</v>
      </c>
      <c r="M362" s="373">
        <f t="shared" si="142"/>
        <v>308000</v>
      </c>
      <c r="N362" s="231">
        <f t="shared" si="135"/>
        <v>1</v>
      </c>
      <c r="O362" s="199"/>
      <c r="P362" s="80"/>
    </row>
    <row r="363" spans="1:17">
      <c r="A363" s="494">
        <f t="shared" si="143"/>
        <v>4</v>
      </c>
      <c r="B363" s="639" t="s">
        <v>1519</v>
      </c>
      <c r="C363" s="640" t="s">
        <v>1521</v>
      </c>
      <c r="D363" s="640" t="s">
        <v>1520</v>
      </c>
      <c r="E363" s="662">
        <v>1000000</v>
      </c>
      <c r="F363" s="382">
        <v>25</v>
      </c>
      <c r="G363" s="637">
        <f t="shared" si="136"/>
        <v>40000</v>
      </c>
      <c r="H363" s="638">
        <f t="shared" si="137"/>
        <v>1000000</v>
      </c>
      <c r="I363" s="373">
        <f t="shared" si="138"/>
        <v>100000</v>
      </c>
      <c r="J363" s="373">
        <f t="shared" si="139"/>
        <v>83000</v>
      </c>
      <c r="K363" s="638">
        <f t="shared" ref="K363:K382" si="144">+H363-I363-J363</f>
        <v>817000</v>
      </c>
      <c r="L363" s="373">
        <f t="shared" si="141"/>
        <v>120000</v>
      </c>
      <c r="M363" s="373">
        <f t="shared" si="142"/>
        <v>220000</v>
      </c>
      <c r="N363" s="231">
        <f t="shared" si="135"/>
        <v>1</v>
      </c>
      <c r="O363" s="199"/>
      <c r="P363" s="80"/>
      <c r="Q363" s="80"/>
    </row>
    <row r="364" spans="1:17">
      <c r="A364" s="494">
        <f t="shared" si="143"/>
        <v>5</v>
      </c>
      <c r="B364" s="639" t="s">
        <v>1525</v>
      </c>
      <c r="C364" s="640" t="s">
        <v>2159</v>
      </c>
      <c r="D364" s="640" t="s">
        <v>1526</v>
      </c>
      <c r="E364" s="662">
        <v>900000</v>
      </c>
      <c r="F364" s="382">
        <v>25</v>
      </c>
      <c r="G364" s="637">
        <f t="shared" si="136"/>
        <v>36000</v>
      </c>
      <c r="H364" s="638">
        <f t="shared" ref="H364:H366" si="145">+G364*F364</f>
        <v>900000</v>
      </c>
      <c r="I364" s="373">
        <f t="shared" ref="I364:I366" si="146">+H364*0.1</f>
        <v>90000</v>
      </c>
      <c r="J364" s="373">
        <f t="shared" ref="J364:J366" si="147">+(H364-I364)*0.1-7000</f>
        <v>74000</v>
      </c>
      <c r="K364" s="638">
        <f t="shared" ref="K364:K366" si="148">+H364-I364-J364</f>
        <v>736000</v>
      </c>
      <c r="L364" s="373">
        <f t="shared" ref="L364:L366" si="149">+H364*0.12</f>
        <v>108000</v>
      </c>
      <c r="M364" s="373">
        <f t="shared" ref="M364:M366" si="150">+I364+L364</f>
        <v>198000</v>
      </c>
      <c r="N364" s="231">
        <f t="shared" si="135"/>
        <v>1</v>
      </c>
      <c r="O364" s="199"/>
      <c r="P364" s="80"/>
      <c r="Q364" s="80"/>
    </row>
    <row r="365" spans="1:17">
      <c r="A365" s="494">
        <f t="shared" si="143"/>
        <v>6</v>
      </c>
      <c r="B365" s="649" t="s">
        <v>2156</v>
      </c>
      <c r="C365" s="646" t="s">
        <v>2157</v>
      </c>
      <c r="D365" s="459" t="s">
        <v>2158</v>
      </c>
      <c r="E365" s="662">
        <v>500000</v>
      </c>
      <c r="F365" s="382">
        <v>25</v>
      </c>
      <c r="G365" s="637">
        <f t="shared" si="136"/>
        <v>20000</v>
      </c>
      <c r="H365" s="638">
        <f t="shared" si="145"/>
        <v>500000</v>
      </c>
      <c r="I365" s="373">
        <f t="shared" si="146"/>
        <v>50000</v>
      </c>
      <c r="J365" s="373">
        <f t="shared" si="147"/>
        <v>38000</v>
      </c>
      <c r="K365" s="638">
        <f t="shared" si="148"/>
        <v>412000</v>
      </c>
      <c r="L365" s="373">
        <f t="shared" si="149"/>
        <v>60000</v>
      </c>
      <c r="M365" s="373">
        <f t="shared" si="150"/>
        <v>110000</v>
      </c>
      <c r="N365" s="231">
        <f t="shared" si="135"/>
        <v>1</v>
      </c>
      <c r="O365" s="199"/>
      <c r="P365" s="80"/>
      <c r="Q365" s="80"/>
    </row>
    <row r="366" spans="1:17">
      <c r="A366" s="494">
        <f t="shared" si="143"/>
        <v>7</v>
      </c>
      <c r="B366" s="649" t="s">
        <v>2160</v>
      </c>
      <c r="C366" s="646" t="s">
        <v>2161</v>
      </c>
      <c r="D366" s="459" t="s">
        <v>2162</v>
      </c>
      <c r="E366" s="662">
        <v>480000</v>
      </c>
      <c r="F366" s="382">
        <v>20.92</v>
      </c>
      <c r="G366" s="637">
        <f t="shared" si="136"/>
        <v>19200</v>
      </c>
      <c r="H366" s="638">
        <f t="shared" si="145"/>
        <v>401664.00000000006</v>
      </c>
      <c r="I366" s="373">
        <f t="shared" si="146"/>
        <v>40166.400000000009</v>
      </c>
      <c r="J366" s="373">
        <f t="shared" si="147"/>
        <v>29149.760000000002</v>
      </c>
      <c r="K366" s="638">
        <f t="shared" si="148"/>
        <v>332347.84000000003</v>
      </c>
      <c r="L366" s="373">
        <f t="shared" si="149"/>
        <v>48199.680000000008</v>
      </c>
      <c r="M366" s="373">
        <f t="shared" si="150"/>
        <v>88366.080000000016</v>
      </c>
      <c r="N366" s="231">
        <f t="shared" si="135"/>
        <v>1</v>
      </c>
      <c r="O366" s="199"/>
      <c r="P366" s="80"/>
      <c r="Q366" s="80"/>
    </row>
    <row r="367" spans="1:17">
      <c r="A367" s="494">
        <f t="shared" si="143"/>
        <v>8</v>
      </c>
      <c r="B367" s="639" t="s">
        <v>1528</v>
      </c>
      <c r="C367" s="645" t="s">
        <v>1530</v>
      </c>
      <c r="D367" s="640" t="s">
        <v>1529</v>
      </c>
      <c r="E367" s="417">
        <v>400000</v>
      </c>
      <c r="F367" s="382">
        <v>25</v>
      </c>
      <c r="G367" s="637">
        <f t="shared" si="136"/>
        <v>16000</v>
      </c>
      <c r="H367" s="638">
        <f t="shared" si="137"/>
        <v>400000</v>
      </c>
      <c r="I367" s="373">
        <f>+H367*0.078</f>
        <v>31200</v>
      </c>
      <c r="J367" s="373">
        <f>+(H367-I367)*0.1-7000</f>
        <v>29880</v>
      </c>
      <c r="K367" s="638">
        <f t="shared" si="144"/>
        <v>338920</v>
      </c>
      <c r="L367" s="373">
        <f>+H367*0.098</f>
        <v>39200</v>
      </c>
      <c r="M367" s="373">
        <f t="shared" si="142"/>
        <v>70400</v>
      </c>
      <c r="N367" s="231">
        <f t="shared" si="135"/>
        <v>1</v>
      </c>
      <c r="O367" s="199"/>
      <c r="P367" s="80"/>
      <c r="Q367" s="80"/>
    </row>
    <row r="368" spans="1:17">
      <c r="A368" s="494">
        <f t="shared" si="143"/>
        <v>9</v>
      </c>
      <c r="B368" s="639" t="s">
        <v>1534</v>
      </c>
      <c r="C368" s="640" t="s">
        <v>1536</v>
      </c>
      <c r="D368" s="640" t="s">
        <v>1535</v>
      </c>
      <c r="E368" s="662">
        <v>450000</v>
      </c>
      <c r="F368" s="382">
        <v>22.93</v>
      </c>
      <c r="G368" s="637">
        <f t="shared" si="136"/>
        <v>18000</v>
      </c>
      <c r="H368" s="638">
        <f t="shared" si="137"/>
        <v>412740</v>
      </c>
      <c r="I368" s="373">
        <f t="shared" ref="I368:I382" si="151">+H368*0.1</f>
        <v>41274</v>
      </c>
      <c r="J368" s="373">
        <f t="shared" ref="J368:J382" si="152">+(H368-I368)*0.1-7000</f>
        <v>30146.6</v>
      </c>
      <c r="K368" s="638">
        <f t="shared" si="144"/>
        <v>341319.4</v>
      </c>
      <c r="L368" s="373">
        <f t="shared" ref="L368:L382" si="153">+H368*0.12</f>
        <v>49528.799999999996</v>
      </c>
      <c r="M368" s="373">
        <f t="shared" si="142"/>
        <v>90802.799999999988</v>
      </c>
      <c r="N368" s="231">
        <f t="shared" si="135"/>
        <v>1</v>
      </c>
      <c r="O368" s="199"/>
      <c r="P368" s="80"/>
      <c r="Q368" s="80"/>
    </row>
    <row r="369" spans="1:18">
      <c r="A369" s="494">
        <f t="shared" si="143"/>
        <v>10</v>
      </c>
      <c r="B369" s="649" t="s">
        <v>1537</v>
      </c>
      <c r="C369" s="646" t="s">
        <v>1533</v>
      </c>
      <c r="D369" s="459" t="s">
        <v>1538</v>
      </c>
      <c r="E369" s="662">
        <v>500000</v>
      </c>
      <c r="F369" s="382">
        <v>22</v>
      </c>
      <c r="G369" s="637">
        <f t="shared" si="136"/>
        <v>20000</v>
      </c>
      <c r="H369" s="638">
        <f t="shared" si="137"/>
        <v>440000</v>
      </c>
      <c r="I369" s="373">
        <f t="shared" si="151"/>
        <v>44000</v>
      </c>
      <c r="J369" s="373">
        <f t="shared" si="152"/>
        <v>32600</v>
      </c>
      <c r="K369" s="638">
        <f t="shared" si="144"/>
        <v>363400</v>
      </c>
      <c r="L369" s="373">
        <f t="shared" si="153"/>
        <v>52800</v>
      </c>
      <c r="M369" s="373">
        <f t="shared" si="142"/>
        <v>96800</v>
      </c>
      <c r="N369" s="231">
        <f t="shared" si="135"/>
        <v>1</v>
      </c>
      <c r="O369" s="199"/>
      <c r="P369" s="80"/>
      <c r="Q369" s="80"/>
    </row>
    <row r="370" spans="1:18">
      <c r="A370" s="494">
        <f t="shared" si="143"/>
        <v>11</v>
      </c>
      <c r="B370" s="649" t="s">
        <v>1539</v>
      </c>
      <c r="C370" s="646" t="s">
        <v>1533</v>
      </c>
      <c r="D370" s="459" t="s">
        <v>1540</v>
      </c>
      <c r="E370" s="662">
        <v>450000</v>
      </c>
      <c r="F370" s="382">
        <v>25.04</v>
      </c>
      <c r="G370" s="637">
        <f>+E370/25</f>
        <v>18000</v>
      </c>
      <c r="H370" s="638">
        <f>+G370*F370</f>
        <v>450720</v>
      </c>
      <c r="I370" s="373">
        <f>+H370*0.1</f>
        <v>45072</v>
      </c>
      <c r="J370" s="373">
        <f>+(H370-I370)*0.1-7000</f>
        <v>33564.800000000003</v>
      </c>
      <c r="K370" s="638">
        <f>+H370-I370-J370</f>
        <v>372083.20000000001</v>
      </c>
      <c r="L370" s="373">
        <f>+H370*0.12</f>
        <v>54086.400000000001</v>
      </c>
      <c r="M370" s="373">
        <f>+I370+L370</f>
        <v>99158.399999999994</v>
      </c>
      <c r="N370" s="231">
        <f t="shared" si="135"/>
        <v>1</v>
      </c>
      <c r="O370" s="199"/>
      <c r="P370" s="80"/>
      <c r="Q370" s="80"/>
    </row>
    <row r="371" spans="1:18">
      <c r="A371" s="494">
        <f t="shared" si="143"/>
        <v>12</v>
      </c>
      <c r="B371" s="649" t="s">
        <v>2163</v>
      </c>
      <c r="C371" s="646" t="s">
        <v>1533</v>
      </c>
      <c r="D371" s="459" t="s">
        <v>2164</v>
      </c>
      <c r="E371" s="662">
        <v>450000</v>
      </c>
      <c r="F371" s="382">
        <v>14.98</v>
      </c>
      <c r="G371" s="637">
        <f t="shared" si="136"/>
        <v>18000</v>
      </c>
      <c r="H371" s="638">
        <f t="shared" ref="H371" si="154">+G371*F371</f>
        <v>269640</v>
      </c>
      <c r="I371" s="373">
        <f t="shared" ref="I371" si="155">+H371*0.1</f>
        <v>26964</v>
      </c>
      <c r="J371" s="373">
        <f t="shared" ref="J371" si="156">+(H371-I371)*0.1-7000</f>
        <v>17267.600000000002</v>
      </c>
      <c r="K371" s="638">
        <f t="shared" ref="K371" si="157">+H371-I371-J371</f>
        <v>225408.4</v>
      </c>
      <c r="L371" s="373">
        <f t="shared" ref="L371" si="158">+H371*0.12</f>
        <v>32356.799999999999</v>
      </c>
      <c r="M371" s="373">
        <f t="shared" ref="M371" si="159">+I371+L371</f>
        <v>59320.800000000003</v>
      </c>
      <c r="N371" s="231">
        <f t="shared" si="135"/>
        <v>1</v>
      </c>
      <c r="O371" s="199"/>
      <c r="P371" s="80"/>
      <c r="Q371" s="80"/>
    </row>
    <row r="372" spans="1:18">
      <c r="A372" s="494">
        <f t="shared" si="143"/>
        <v>13</v>
      </c>
      <c r="B372" s="634" t="s">
        <v>1541</v>
      </c>
      <c r="C372" s="646" t="s">
        <v>1533</v>
      </c>
      <c r="D372" s="640" t="s">
        <v>1542</v>
      </c>
      <c r="E372" s="662">
        <v>480000</v>
      </c>
      <c r="F372" s="382">
        <v>23.52</v>
      </c>
      <c r="G372" s="637">
        <f t="shared" si="136"/>
        <v>19200</v>
      </c>
      <c r="H372" s="638">
        <f t="shared" si="137"/>
        <v>451584</v>
      </c>
      <c r="I372" s="373">
        <f t="shared" si="151"/>
        <v>45158.400000000001</v>
      </c>
      <c r="J372" s="373">
        <f t="shared" si="152"/>
        <v>33642.559999999998</v>
      </c>
      <c r="K372" s="638">
        <f t="shared" si="144"/>
        <v>372783.04</v>
      </c>
      <c r="L372" s="373">
        <f t="shared" si="153"/>
        <v>54190.079999999994</v>
      </c>
      <c r="M372" s="373">
        <f t="shared" si="142"/>
        <v>99348.479999999996</v>
      </c>
      <c r="N372" s="231">
        <f t="shared" si="135"/>
        <v>1</v>
      </c>
      <c r="O372" s="199"/>
      <c r="Q372" s="80"/>
      <c r="R372" s="80"/>
    </row>
    <row r="373" spans="1:18">
      <c r="A373" s="494">
        <f t="shared" si="143"/>
        <v>14</v>
      </c>
      <c r="B373" s="634" t="s">
        <v>1543</v>
      </c>
      <c r="C373" s="646" t="s">
        <v>1533</v>
      </c>
      <c r="D373" s="640" t="s">
        <v>1544</v>
      </c>
      <c r="E373" s="662">
        <v>800000</v>
      </c>
      <c r="F373" s="382">
        <v>23</v>
      </c>
      <c r="G373" s="637">
        <f t="shared" si="136"/>
        <v>32000</v>
      </c>
      <c r="H373" s="638">
        <f t="shared" si="137"/>
        <v>736000</v>
      </c>
      <c r="I373" s="373">
        <f t="shared" si="151"/>
        <v>73600</v>
      </c>
      <c r="J373" s="373">
        <f t="shared" si="152"/>
        <v>59240</v>
      </c>
      <c r="K373" s="638">
        <f t="shared" si="144"/>
        <v>603160</v>
      </c>
      <c r="L373" s="373">
        <f t="shared" si="153"/>
        <v>88320</v>
      </c>
      <c r="M373" s="373">
        <f t="shared" si="142"/>
        <v>161920</v>
      </c>
      <c r="N373" s="231">
        <f t="shared" si="135"/>
        <v>1</v>
      </c>
      <c r="O373" s="199"/>
    </row>
    <row r="374" spans="1:18">
      <c r="A374" s="494">
        <f t="shared" si="143"/>
        <v>15</v>
      </c>
      <c r="B374" s="634" t="s">
        <v>1545</v>
      </c>
      <c r="C374" s="646" t="s">
        <v>1533</v>
      </c>
      <c r="D374" s="666" t="s">
        <v>1546</v>
      </c>
      <c r="E374" s="662">
        <v>480000</v>
      </c>
      <c r="F374" s="382">
        <v>11</v>
      </c>
      <c r="G374" s="637">
        <f t="shared" si="136"/>
        <v>19200</v>
      </c>
      <c r="H374" s="638">
        <f t="shared" si="137"/>
        <v>211200</v>
      </c>
      <c r="I374" s="373">
        <f t="shared" si="151"/>
        <v>21120</v>
      </c>
      <c r="J374" s="373">
        <f t="shared" si="152"/>
        <v>12008</v>
      </c>
      <c r="K374" s="638">
        <f t="shared" si="144"/>
        <v>178072</v>
      </c>
      <c r="L374" s="373">
        <f t="shared" si="153"/>
        <v>25344</v>
      </c>
      <c r="M374" s="373">
        <f t="shared" si="142"/>
        <v>46464</v>
      </c>
      <c r="N374" s="231">
        <f t="shared" si="135"/>
        <v>1</v>
      </c>
      <c r="O374" s="199"/>
    </row>
    <row r="375" spans="1:18">
      <c r="A375" s="494">
        <f t="shared" si="143"/>
        <v>16</v>
      </c>
      <c r="B375" s="649" t="s">
        <v>1547</v>
      </c>
      <c r="C375" s="646" t="s">
        <v>1533</v>
      </c>
      <c r="D375" s="666" t="s">
        <v>1548</v>
      </c>
      <c r="E375" s="662">
        <v>480000</v>
      </c>
      <c r="F375" s="382">
        <v>23.88</v>
      </c>
      <c r="G375" s="637">
        <f t="shared" si="136"/>
        <v>19200</v>
      </c>
      <c r="H375" s="638">
        <f t="shared" si="137"/>
        <v>458496</v>
      </c>
      <c r="I375" s="373">
        <f t="shared" si="151"/>
        <v>45849.600000000006</v>
      </c>
      <c r="J375" s="373">
        <f t="shared" si="152"/>
        <v>34264.640000000007</v>
      </c>
      <c r="K375" s="638">
        <f t="shared" si="144"/>
        <v>378381.76</v>
      </c>
      <c r="L375" s="373">
        <f t="shared" si="153"/>
        <v>55019.519999999997</v>
      </c>
      <c r="M375" s="373">
        <f t="shared" si="142"/>
        <v>100869.12</v>
      </c>
      <c r="N375" s="231">
        <f t="shared" si="135"/>
        <v>1</v>
      </c>
      <c r="O375" s="199"/>
    </row>
    <row r="376" spans="1:18">
      <c r="A376" s="494">
        <f t="shared" si="143"/>
        <v>17</v>
      </c>
      <c r="B376" s="634" t="s">
        <v>1549</v>
      </c>
      <c r="C376" s="640" t="s">
        <v>1533</v>
      </c>
      <c r="D376" s="651" t="s">
        <v>1550</v>
      </c>
      <c r="E376" s="662">
        <v>600000</v>
      </c>
      <c r="F376" s="382">
        <v>23.49</v>
      </c>
      <c r="G376" s="637">
        <f t="shared" si="136"/>
        <v>24000</v>
      </c>
      <c r="H376" s="638">
        <f t="shared" si="137"/>
        <v>563760</v>
      </c>
      <c r="I376" s="373">
        <f t="shared" si="151"/>
        <v>56376</v>
      </c>
      <c r="J376" s="373">
        <f t="shared" si="152"/>
        <v>43738.400000000001</v>
      </c>
      <c r="K376" s="638">
        <f t="shared" si="144"/>
        <v>463645.6</v>
      </c>
      <c r="L376" s="373">
        <f t="shared" si="153"/>
        <v>67651.199999999997</v>
      </c>
      <c r="M376" s="373">
        <f t="shared" si="142"/>
        <v>124027.2</v>
      </c>
      <c r="N376" s="231">
        <f t="shared" si="135"/>
        <v>1</v>
      </c>
      <c r="O376" s="199"/>
      <c r="P376" s="80"/>
    </row>
    <row r="377" spans="1:18">
      <c r="A377" s="494">
        <f t="shared" si="143"/>
        <v>18</v>
      </c>
      <c r="B377" s="652" t="s">
        <v>1551</v>
      </c>
      <c r="C377" s="640" t="s">
        <v>1553</v>
      </c>
      <c r="D377" s="667" t="s">
        <v>1552</v>
      </c>
      <c r="E377" s="662">
        <v>450000</v>
      </c>
      <c r="F377" s="382">
        <v>25</v>
      </c>
      <c r="G377" s="637">
        <f t="shared" si="136"/>
        <v>18000</v>
      </c>
      <c r="H377" s="638">
        <f t="shared" si="137"/>
        <v>450000</v>
      </c>
      <c r="I377" s="373">
        <f t="shared" si="151"/>
        <v>45000</v>
      </c>
      <c r="J377" s="373">
        <f t="shared" si="152"/>
        <v>33500</v>
      </c>
      <c r="K377" s="638">
        <f t="shared" si="144"/>
        <v>371500</v>
      </c>
      <c r="L377" s="373">
        <f t="shared" si="153"/>
        <v>54000</v>
      </c>
      <c r="M377" s="373">
        <f t="shared" si="142"/>
        <v>99000</v>
      </c>
      <c r="N377" s="231">
        <f t="shared" si="135"/>
        <v>1</v>
      </c>
      <c r="O377" s="199"/>
      <c r="P377" s="80"/>
      <c r="Q377" s="80"/>
    </row>
    <row r="378" spans="1:18">
      <c r="A378" s="494">
        <f t="shared" si="143"/>
        <v>19</v>
      </c>
      <c r="B378" s="652" t="s">
        <v>1556</v>
      </c>
      <c r="C378" s="640" t="s">
        <v>1533</v>
      </c>
      <c r="D378" s="667" t="s">
        <v>1557</v>
      </c>
      <c r="E378" s="662">
        <v>450000</v>
      </c>
      <c r="F378" s="382">
        <v>23.89</v>
      </c>
      <c r="G378" s="637">
        <f t="shared" si="136"/>
        <v>18000</v>
      </c>
      <c r="H378" s="638">
        <f t="shared" si="137"/>
        <v>430020</v>
      </c>
      <c r="I378" s="373">
        <f t="shared" si="151"/>
        <v>43002</v>
      </c>
      <c r="J378" s="373">
        <f t="shared" si="152"/>
        <v>31701.800000000003</v>
      </c>
      <c r="K378" s="638">
        <f t="shared" si="144"/>
        <v>355316.2</v>
      </c>
      <c r="L378" s="373">
        <f t="shared" si="153"/>
        <v>51602.400000000001</v>
      </c>
      <c r="M378" s="373">
        <f t="shared" si="142"/>
        <v>94604.4</v>
      </c>
      <c r="N378" s="231">
        <f t="shared" si="135"/>
        <v>1</v>
      </c>
      <c r="O378" s="199"/>
      <c r="P378" s="80"/>
      <c r="Q378" s="80"/>
    </row>
    <row r="379" spans="1:18">
      <c r="A379" s="494">
        <f t="shared" si="143"/>
        <v>20</v>
      </c>
      <c r="B379" s="649" t="s">
        <v>1558</v>
      </c>
      <c r="C379" s="640" t="s">
        <v>1533</v>
      </c>
      <c r="D379" s="376" t="s">
        <v>1559</v>
      </c>
      <c r="E379" s="662">
        <v>400000</v>
      </c>
      <c r="F379" s="382">
        <v>23.53</v>
      </c>
      <c r="G379" s="637">
        <f t="shared" si="136"/>
        <v>16000</v>
      </c>
      <c r="H379" s="638">
        <f t="shared" si="137"/>
        <v>376480</v>
      </c>
      <c r="I379" s="373">
        <f t="shared" si="151"/>
        <v>37648</v>
      </c>
      <c r="J379" s="373">
        <f t="shared" si="152"/>
        <v>26883.200000000004</v>
      </c>
      <c r="K379" s="638">
        <f t="shared" si="144"/>
        <v>311948.79999999999</v>
      </c>
      <c r="L379" s="373">
        <f t="shared" si="153"/>
        <v>45177.599999999999</v>
      </c>
      <c r="M379" s="373">
        <f t="shared" si="142"/>
        <v>82825.600000000006</v>
      </c>
      <c r="N379" s="231">
        <f t="shared" si="135"/>
        <v>1</v>
      </c>
    </row>
    <row r="380" spans="1:18">
      <c r="A380" s="494">
        <f t="shared" si="143"/>
        <v>21</v>
      </c>
      <c r="B380" s="649" t="s">
        <v>1591</v>
      </c>
      <c r="C380" s="640" t="s">
        <v>1533</v>
      </c>
      <c r="D380" s="459" t="s">
        <v>1592</v>
      </c>
      <c r="E380" s="662">
        <v>450000</v>
      </c>
      <c r="F380" s="382">
        <v>24.54</v>
      </c>
      <c r="G380" s="637">
        <f t="shared" si="136"/>
        <v>18000</v>
      </c>
      <c r="H380" s="638">
        <f t="shared" si="137"/>
        <v>441720</v>
      </c>
      <c r="I380" s="373">
        <f t="shared" si="151"/>
        <v>44172</v>
      </c>
      <c r="J380" s="373">
        <f t="shared" si="152"/>
        <v>32754.800000000003</v>
      </c>
      <c r="K380" s="638">
        <f t="shared" si="144"/>
        <v>364793.2</v>
      </c>
      <c r="L380" s="373">
        <f t="shared" si="153"/>
        <v>53006.400000000001</v>
      </c>
      <c r="M380" s="373">
        <f t="shared" si="142"/>
        <v>97178.4</v>
      </c>
      <c r="N380" s="231">
        <f t="shared" si="135"/>
        <v>1</v>
      </c>
      <c r="O380" s="199"/>
      <c r="P380" s="80"/>
      <c r="Q380" s="80"/>
    </row>
    <row r="381" spans="1:18">
      <c r="A381" s="494">
        <f t="shared" si="143"/>
        <v>22</v>
      </c>
      <c r="B381" s="634" t="s">
        <v>1560</v>
      </c>
      <c r="C381" s="640" t="s">
        <v>1533</v>
      </c>
      <c r="D381" s="654" t="s">
        <v>1561</v>
      </c>
      <c r="E381" s="662">
        <v>450000</v>
      </c>
      <c r="F381" s="382">
        <v>22.62</v>
      </c>
      <c r="G381" s="637">
        <f t="shared" si="136"/>
        <v>18000</v>
      </c>
      <c r="H381" s="638">
        <f t="shared" si="137"/>
        <v>407160</v>
      </c>
      <c r="I381" s="373">
        <f t="shared" si="151"/>
        <v>40716</v>
      </c>
      <c r="J381" s="373">
        <f t="shared" si="152"/>
        <v>29644.400000000001</v>
      </c>
      <c r="K381" s="638">
        <f t="shared" si="144"/>
        <v>336799.6</v>
      </c>
      <c r="L381" s="373">
        <f t="shared" si="153"/>
        <v>48859.199999999997</v>
      </c>
      <c r="M381" s="373">
        <f t="shared" si="142"/>
        <v>89575.2</v>
      </c>
      <c r="N381" s="231">
        <f t="shared" si="135"/>
        <v>1</v>
      </c>
      <c r="P381" s="80"/>
      <c r="Q381" s="80"/>
    </row>
    <row r="382" spans="1:18">
      <c r="A382" s="494">
        <f t="shared" si="143"/>
        <v>23</v>
      </c>
      <c r="B382" s="634" t="s">
        <v>1976</v>
      </c>
      <c r="C382" s="640" t="s">
        <v>1533</v>
      </c>
      <c r="D382" s="654" t="s">
        <v>2130</v>
      </c>
      <c r="E382" s="662">
        <v>450000</v>
      </c>
      <c r="F382" s="382">
        <v>21.66</v>
      </c>
      <c r="G382" s="637">
        <f t="shared" si="136"/>
        <v>18000</v>
      </c>
      <c r="H382" s="638">
        <f t="shared" si="137"/>
        <v>389880</v>
      </c>
      <c r="I382" s="373">
        <f t="shared" si="151"/>
        <v>38988</v>
      </c>
      <c r="J382" s="373">
        <f t="shared" si="152"/>
        <v>28089.200000000004</v>
      </c>
      <c r="K382" s="638">
        <f t="shared" si="144"/>
        <v>322802.8</v>
      </c>
      <c r="L382" s="373">
        <f t="shared" si="153"/>
        <v>46785.599999999999</v>
      </c>
      <c r="M382" s="373">
        <f t="shared" si="142"/>
        <v>85773.6</v>
      </c>
      <c r="N382" s="231">
        <f t="shared" si="135"/>
        <v>1</v>
      </c>
      <c r="O382" s="23"/>
      <c r="P382" s="665"/>
      <c r="Q382" s="80"/>
    </row>
    <row r="383" spans="1:18" s="23" customFormat="1">
      <c r="A383" s="932" t="s">
        <v>6</v>
      </c>
      <c r="B383" s="932"/>
      <c r="C383" s="932"/>
      <c r="D383" s="932"/>
      <c r="E383" s="659">
        <f t="shared" ref="E383" si="160">SUM(E360:E382)</f>
        <v>14420000</v>
      </c>
      <c r="F383" s="659">
        <f>SUM(F360:F382)</f>
        <v>527.00000000000011</v>
      </c>
      <c r="G383" s="659">
        <f t="shared" ref="G383" si="161">SUM(G360:G382)</f>
        <v>576800</v>
      </c>
      <c r="H383" s="659">
        <f t="shared" ref="H383:I383" si="162">SUM(H360:H382)</f>
        <v>13491064</v>
      </c>
      <c r="I383" s="659">
        <f t="shared" si="162"/>
        <v>1340306.3999999999</v>
      </c>
      <c r="J383" s="659">
        <f>SUM(J360:J382)</f>
        <v>1054075.7600000002</v>
      </c>
      <c r="K383" s="659">
        <f t="shared" ref="K383:N383" si="163">SUM(K360:K382)</f>
        <v>11096681.84</v>
      </c>
      <c r="L383" s="659">
        <f t="shared" si="163"/>
        <v>1610127.6800000002</v>
      </c>
      <c r="M383" s="659">
        <f t="shared" si="163"/>
        <v>2950434.0800000005</v>
      </c>
      <c r="N383" s="659">
        <f t="shared" si="163"/>
        <v>23</v>
      </c>
      <c r="O383" s="231"/>
      <c r="P383" s="80"/>
      <c r="Q383" s="665"/>
    </row>
    <row r="384" spans="1:18">
      <c r="H384" s="80">
        <f>+'[2]2017.11'!$J$44</f>
        <v>13491064</v>
      </c>
      <c r="P384" s="80"/>
    </row>
    <row r="385" spans="1:16">
      <c r="H385" s="23" t="s">
        <v>1562</v>
      </c>
      <c r="P385" s="80"/>
    </row>
    <row r="386" spans="1:16">
      <c r="H386" s="376" t="s">
        <v>1340</v>
      </c>
      <c r="I386" s="376"/>
      <c r="J386" s="376"/>
      <c r="K386" s="657" t="s">
        <v>261</v>
      </c>
      <c r="L386" s="376" t="s">
        <v>262</v>
      </c>
      <c r="P386" s="80"/>
    </row>
    <row r="387" spans="1:16">
      <c r="H387" s="376" t="s">
        <v>2151</v>
      </c>
      <c r="I387" s="376"/>
      <c r="J387" s="658">
        <v>700200</v>
      </c>
      <c r="K387" s="118">
        <f>+L383</f>
        <v>1610127.6800000002</v>
      </c>
      <c r="L387" s="6"/>
      <c r="P387" s="80"/>
    </row>
    <row r="388" spans="1:16">
      <c r="H388" s="376" t="s">
        <v>2151</v>
      </c>
      <c r="I388" s="376"/>
      <c r="J388" s="658">
        <v>310800</v>
      </c>
      <c r="K388" s="6"/>
      <c r="L388" s="118">
        <f>+L383</f>
        <v>1610127.6800000002</v>
      </c>
    </row>
    <row r="389" spans="1:16">
      <c r="H389" s="376" t="s">
        <v>2152</v>
      </c>
      <c r="I389" s="376"/>
      <c r="J389" s="658">
        <v>310800</v>
      </c>
      <c r="K389" s="6"/>
      <c r="L389" s="118">
        <f>+I383</f>
        <v>1340306.3999999999</v>
      </c>
    </row>
    <row r="390" spans="1:16">
      <c r="H390" s="376" t="s">
        <v>2153</v>
      </c>
      <c r="I390" s="376"/>
      <c r="J390" s="658">
        <v>310700</v>
      </c>
      <c r="K390" s="6"/>
      <c r="L390" s="118">
        <f>+J383</f>
        <v>1054075.7600000002</v>
      </c>
      <c r="P390" s="80"/>
    </row>
    <row r="391" spans="1:16">
      <c r="H391" s="376" t="s">
        <v>2154</v>
      </c>
      <c r="I391" s="376"/>
      <c r="J391" s="658">
        <v>311000</v>
      </c>
      <c r="K391" s="6"/>
      <c r="L391" s="118">
        <f>+K383</f>
        <v>11096681.84</v>
      </c>
    </row>
    <row r="392" spans="1:16">
      <c r="H392" s="376" t="s">
        <v>2155</v>
      </c>
      <c r="I392" s="376"/>
      <c r="J392" s="658">
        <v>700100</v>
      </c>
      <c r="K392" s="647">
        <f>+L391+L390+L389</f>
        <v>13491064</v>
      </c>
      <c r="L392" s="376"/>
    </row>
    <row r="398" spans="1:16">
      <c r="A398" s="625"/>
      <c r="B398" s="625" t="s">
        <v>2604</v>
      </c>
      <c r="C398" s="625"/>
      <c r="D398" s="626"/>
      <c r="E398" s="626"/>
      <c r="F398" s="626"/>
      <c r="G398" s="626"/>
      <c r="H398" s="626"/>
      <c r="I398" s="626"/>
      <c r="J398" s="626"/>
      <c r="K398" s="626"/>
      <c r="L398" s="626"/>
      <c r="M398" s="626"/>
    </row>
    <row r="399" spans="1:16">
      <c r="A399" s="627" t="s">
        <v>1499</v>
      </c>
      <c r="B399" s="627"/>
      <c r="C399" s="627"/>
      <c r="D399" s="627"/>
      <c r="E399" s="628"/>
      <c r="F399" s="627"/>
      <c r="G399" s="627"/>
      <c r="H399" s="629"/>
      <c r="I399" s="629"/>
      <c r="J399" s="629"/>
      <c r="K399" s="629"/>
      <c r="L399" s="629"/>
      <c r="M399" s="629"/>
      <c r="N399" s="231" t="s">
        <v>1876</v>
      </c>
    </row>
    <row r="400" spans="1:16" ht="38.25">
      <c r="A400" s="630" t="s">
        <v>1</v>
      </c>
      <c r="B400" s="630" t="s">
        <v>1356</v>
      </c>
      <c r="C400" s="630" t="s">
        <v>1357</v>
      </c>
      <c r="D400" s="631" t="s">
        <v>1500</v>
      </c>
      <c r="E400" s="630" t="s">
        <v>1501</v>
      </c>
      <c r="F400" s="631" t="s">
        <v>2594</v>
      </c>
      <c r="G400" s="631" t="s">
        <v>1503</v>
      </c>
      <c r="H400" s="632" t="s">
        <v>1504</v>
      </c>
      <c r="I400" s="633" t="s">
        <v>1505</v>
      </c>
      <c r="J400" s="633" t="s">
        <v>1506</v>
      </c>
      <c r="K400" s="633" t="s">
        <v>1507</v>
      </c>
      <c r="L400" s="632" t="s">
        <v>1508</v>
      </c>
      <c r="M400" s="633" t="s">
        <v>1509</v>
      </c>
      <c r="N400" s="231">
        <f t="shared" ref="N400:N422" si="164">+IF(J401,1,0)</f>
        <v>1</v>
      </c>
    </row>
    <row r="401" spans="1:15">
      <c r="A401" s="494">
        <v>1</v>
      </c>
      <c r="B401" s="634" t="s">
        <v>1510</v>
      </c>
      <c r="C401" s="635" t="s">
        <v>1512</v>
      </c>
      <c r="D401" s="635" t="s">
        <v>1511</v>
      </c>
      <c r="E401" s="661">
        <v>1200000</v>
      </c>
      <c r="F401" s="663">
        <v>22</v>
      </c>
      <c r="G401" s="637">
        <f>+E401/22</f>
        <v>54545.454545454544</v>
      </c>
      <c r="H401" s="638">
        <f>+G401*F401</f>
        <v>1200000</v>
      </c>
      <c r="I401" s="373">
        <f>+H401*0.1</f>
        <v>120000</v>
      </c>
      <c r="J401" s="373">
        <f>+(H401-I401)*0.1-7000</f>
        <v>101000</v>
      </c>
      <c r="K401" s="638">
        <f>+H401-I401-J401</f>
        <v>979000</v>
      </c>
      <c r="L401" s="373">
        <f>+H401*0.12</f>
        <v>144000</v>
      </c>
      <c r="M401" s="373">
        <f>+I401+L401</f>
        <v>264000</v>
      </c>
      <c r="N401" s="231">
        <f t="shared" si="164"/>
        <v>1</v>
      </c>
      <c r="O401" s="80"/>
    </row>
    <row r="402" spans="1:15">
      <c r="A402" s="494">
        <f>+A401+1</f>
        <v>2</v>
      </c>
      <c r="B402" s="639" t="s">
        <v>1513</v>
      </c>
      <c r="C402" s="640" t="s">
        <v>1515</v>
      </c>
      <c r="D402" s="640" t="s">
        <v>1514</v>
      </c>
      <c r="E402" s="417">
        <v>1200000</v>
      </c>
      <c r="F402" s="663">
        <v>22</v>
      </c>
      <c r="G402" s="637">
        <f t="shared" ref="G402:G422" si="165">+E402/22</f>
        <v>54545.454545454544</v>
      </c>
      <c r="H402" s="638">
        <f t="shared" ref="H402:H422" si="166">+G402*F402</f>
        <v>1200000</v>
      </c>
      <c r="I402" s="373">
        <f t="shared" ref="I402:I407" si="167">+H402*0.1</f>
        <v>120000</v>
      </c>
      <c r="J402" s="373">
        <f t="shared" ref="J402:J407" si="168">+(H402-I402)*0.1-7000</f>
        <v>101000</v>
      </c>
      <c r="K402" s="638">
        <f t="shared" ref="K402" si="169">+H402-I402-J402</f>
        <v>979000</v>
      </c>
      <c r="L402" s="373">
        <f t="shared" ref="L402:L407" si="170">+H402*0.12</f>
        <v>144000</v>
      </c>
      <c r="M402" s="373">
        <f t="shared" ref="M402:M409" si="171">+I402+L402</f>
        <v>264000</v>
      </c>
      <c r="N402" s="231">
        <f t="shared" si="164"/>
        <v>1</v>
      </c>
      <c r="O402" s="80"/>
    </row>
    <row r="403" spans="1:15">
      <c r="A403" s="494">
        <f t="shared" ref="A403:A422" si="172">+A402+1</f>
        <v>3</v>
      </c>
      <c r="B403" s="641" t="s">
        <v>1516</v>
      </c>
      <c r="C403" s="640" t="s">
        <v>1518</v>
      </c>
      <c r="D403" s="640" t="s">
        <v>1517</v>
      </c>
      <c r="E403" s="662">
        <v>1400000</v>
      </c>
      <c r="F403" s="663">
        <v>22</v>
      </c>
      <c r="G403" s="637">
        <f t="shared" si="165"/>
        <v>63636.36363636364</v>
      </c>
      <c r="H403" s="638">
        <f t="shared" si="166"/>
        <v>1400000</v>
      </c>
      <c r="I403" s="373">
        <f t="shared" si="167"/>
        <v>140000</v>
      </c>
      <c r="J403" s="373">
        <f t="shared" si="168"/>
        <v>119000</v>
      </c>
      <c r="K403" s="638">
        <f>+H403-I403-J403</f>
        <v>1141000</v>
      </c>
      <c r="L403" s="373">
        <f t="shared" si="170"/>
        <v>168000</v>
      </c>
      <c r="M403" s="373">
        <f t="shared" si="171"/>
        <v>308000</v>
      </c>
      <c r="N403" s="231">
        <f t="shared" si="164"/>
        <v>1</v>
      </c>
      <c r="O403" s="80"/>
    </row>
    <row r="404" spans="1:15">
      <c r="A404" s="494">
        <f t="shared" si="172"/>
        <v>4</v>
      </c>
      <c r="B404" s="639" t="s">
        <v>1519</v>
      </c>
      <c r="C404" s="640" t="s">
        <v>1521</v>
      </c>
      <c r="D404" s="640" t="s">
        <v>1520</v>
      </c>
      <c r="E404" s="662">
        <v>1000000</v>
      </c>
      <c r="F404" s="663">
        <v>22</v>
      </c>
      <c r="G404" s="637">
        <f t="shared" si="165"/>
        <v>45454.545454545456</v>
      </c>
      <c r="H404" s="638">
        <f t="shared" si="166"/>
        <v>1000000</v>
      </c>
      <c r="I404" s="373">
        <f t="shared" si="167"/>
        <v>100000</v>
      </c>
      <c r="J404" s="373">
        <f t="shared" si="168"/>
        <v>83000</v>
      </c>
      <c r="K404" s="638">
        <f t="shared" ref="K404:K409" si="173">+H404-I404-J404</f>
        <v>817000</v>
      </c>
      <c r="L404" s="373">
        <f t="shared" si="170"/>
        <v>120000</v>
      </c>
      <c r="M404" s="373">
        <f t="shared" si="171"/>
        <v>220000</v>
      </c>
      <c r="N404" s="231">
        <f t="shared" si="164"/>
        <v>1</v>
      </c>
      <c r="O404" s="80"/>
    </row>
    <row r="405" spans="1:15">
      <c r="A405" s="494">
        <f t="shared" si="172"/>
        <v>5</v>
      </c>
      <c r="B405" s="639" t="s">
        <v>1525</v>
      </c>
      <c r="C405" s="640" t="s">
        <v>2159</v>
      </c>
      <c r="D405" s="640" t="s">
        <v>1526</v>
      </c>
      <c r="E405" s="662">
        <v>900000</v>
      </c>
      <c r="F405" s="663">
        <v>22</v>
      </c>
      <c r="G405" s="637">
        <f t="shared" si="165"/>
        <v>40909.090909090912</v>
      </c>
      <c r="H405" s="638">
        <f t="shared" si="166"/>
        <v>900000</v>
      </c>
      <c r="I405" s="373">
        <f t="shared" si="167"/>
        <v>90000</v>
      </c>
      <c r="J405" s="373">
        <f t="shared" si="168"/>
        <v>74000</v>
      </c>
      <c r="K405" s="638">
        <f t="shared" si="173"/>
        <v>736000</v>
      </c>
      <c r="L405" s="373">
        <f t="shared" si="170"/>
        <v>108000</v>
      </c>
      <c r="M405" s="373">
        <f t="shared" si="171"/>
        <v>198000</v>
      </c>
      <c r="N405" s="231">
        <f t="shared" si="164"/>
        <v>1</v>
      </c>
      <c r="O405" s="80"/>
    </row>
    <row r="406" spans="1:15">
      <c r="A406" s="494">
        <f t="shared" si="172"/>
        <v>6</v>
      </c>
      <c r="B406" s="649" t="s">
        <v>2156</v>
      </c>
      <c r="C406" s="646" t="s">
        <v>2157</v>
      </c>
      <c r="D406" s="459" t="s">
        <v>2158</v>
      </c>
      <c r="E406" s="662">
        <v>500000</v>
      </c>
      <c r="F406" s="663">
        <v>22</v>
      </c>
      <c r="G406" s="637">
        <f t="shared" si="165"/>
        <v>22727.272727272728</v>
      </c>
      <c r="H406" s="638">
        <f t="shared" si="166"/>
        <v>500000</v>
      </c>
      <c r="I406" s="373">
        <f t="shared" si="167"/>
        <v>50000</v>
      </c>
      <c r="J406" s="373">
        <f t="shared" si="168"/>
        <v>38000</v>
      </c>
      <c r="K406" s="638">
        <f t="shared" si="173"/>
        <v>412000</v>
      </c>
      <c r="L406" s="373">
        <f t="shared" si="170"/>
        <v>60000</v>
      </c>
      <c r="M406" s="373">
        <f t="shared" si="171"/>
        <v>110000</v>
      </c>
      <c r="N406" s="231">
        <f t="shared" si="164"/>
        <v>1</v>
      </c>
      <c r="O406" s="80"/>
    </row>
    <row r="407" spans="1:15">
      <c r="A407" s="494">
        <f t="shared" si="172"/>
        <v>7</v>
      </c>
      <c r="B407" s="649" t="s">
        <v>2160</v>
      </c>
      <c r="C407" s="646" t="s">
        <v>2161</v>
      </c>
      <c r="D407" s="459" t="s">
        <v>2162</v>
      </c>
      <c r="E407" s="662">
        <v>480000</v>
      </c>
      <c r="F407" s="663">
        <v>15.63</v>
      </c>
      <c r="G407" s="637">
        <f t="shared" si="165"/>
        <v>21818.18181818182</v>
      </c>
      <c r="H407" s="638">
        <f t="shared" si="166"/>
        <v>341018.18181818188</v>
      </c>
      <c r="I407" s="373">
        <f t="shared" si="167"/>
        <v>34101.818181818191</v>
      </c>
      <c r="J407" s="373">
        <f t="shared" si="168"/>
        <v>23691.636363636371</v>
      </c>
      <c r="K407" s="638">
        <f t="shared" si="173"/>
        <v>283224.72727272735</v>
      </c>
      <c r="L407" s="373">
        <f t="shared" si="170"/>
        <v>40922.181818181823</v>
      </c>
      <c r="M407" s="373">
        <f t="shared" si="171"/>
        <v>75024.000000000015</v>
      </c>
      <c r="N407" s="231">
        <f t="shared" si="164"/>
        <v>1</v>
      </c>
      <c r="O407" s="80"/>
    </row>
    <row r="408" spans="1:15">
      <c r="A408" s="494">
        <f t="shared" si="172"/>
        <v>8</v>
      </c>
      <c r="B408" s="639" t="s">
        <v>1528</v>
      </c>
      <c r="C408" s="645" t="s">
        <v>1530</v>
      </c>
      <c r="D408" s="640" t="s">
        <v>1529</v>
      </c>
      <c r="E408" s="417">
        <v>400000</v>
      </c>
      <c r="F408" s="382">
        <v>20.88</v>
      </c>
      <c r="G408" s="637">
        <f t="shared" si="165"/>
        <v>18181.81818181818</v>
      </c>
      <c r="H408" s="638">
        <f t="shared" si="166"/>
        <v>379636.36363636359</v>
      </c>
      <c r="I408" s="373">
        <f>+H408*0.078</f>
        <v>29611.63636363636</v>
      </c>
      <c r="J408" s="373">
        <f>+(H408-I408)*0.1-7000</f>
        <v>28002.472727272725</v>
      </c>
      <c r="K408" s="638">
        <f t="shared" si="173"/>
        <v>322022.25454545452</v>
      </c>
      <c r="L408" s="373">
        <f>+H408*0.098</f>
        <v>37204.363636363632</v>
      </c>
      <c r="M408" s="373">
        <f t="shared" si="171"/>
        <v>66816</v>
      </c>
      <c r="N408" s="231">
        <f t="shared" si="164"/>
        <v>1</v>
      </c>
      <c r="O408" s="80"/>
    </row>
    <row r="409" spans="1:15">
      <c r="A409" s="494">
        <f t="shared" si="172"/>
        <v>9</v>
      </c>
      <c r="B409" s="639" t="s">
        <v>1534</v>
      </c>
      <c r="C409" s="640" t="s">
        <v>1536</v>
      </c>
      <c r="D409" s="640" t="s">
        <v>1535</v>
      </c>
      <c r="E409" s="662">
        <v>450000</v>
      </c>
      <c r="F409" s="382">
        <v>19.89</v>
      </c>
      <c r="G409" s="637">
        <f t="shared" si="165"/>
        <v>20454.545454545456</v>
      </c>
      <c r="H409" s="638">
        <f t="shared" si="166"/>
        <v>406840.90909090912</v>
      </c>
      <c r="I409" s="373">
        <f t="shared" ref="I409" si="174">+H409*0.1</f>
        <v>40684.090909090912</v>
      </c>
      <c r="J409" s="373">
        <f t="shared" ref="J409" si="175">+(H409-I409)*0.1-7000</f>
        <v>29615.681818181823</v>
      </c>
      <c r="K409" s="638">
        <f t="shared" si="173"/>
        <v>336541.13636363641</v>
      </c>
      <c r="L409" s="373">
        <f t="shared" ref="L409" si="176">+H409*0.12</f>
        <v>48820.909090909096</v>
      </c>
      <c r="M409" s="373">
        <f t="shared" si="171"/>
        <v>89505</v>
      </c>
      <c r="N409" s="231">
        <f t="shared" si="164"/>
        <v>1</v>
      </c>
      <c r="O409" s="80"/>
    </row>
    <row r="410" spans="1:15">
      <c r="A410" s="494">
        <f t="shared" si="172"/>
        <v>10</v>
      </c>
      <c r="B410" s="649" t="s">
        <v>1539</v>
      </c>
      <c r="C410" s="646" t="s">
        <v>1533</v>
      </c>
      <c r="D410" s="459" t="s">
        <v>1540</v>
      </c>
      <c r="E410" s="662">
        <v>450000</v>
      </c>
      <c r="F410" s="382">
        <v>21.66</v>
      </c>
      <c r="G410" s="637">
        <f t="shared" si="165"/>
        <v>20454.545454545456</v>
      </c>
      <c r="H410" s="638">
        <f t="shared" si="166"/>
        <v>443045.45454545459</v>
      </c>
      <c r="I410" s="373">
        <f>+H410*0.1</f>
        <v>44304.545454545463</v>
      </c>
      <c r="J410" s="373">
        <f>+(H410-I410)*0.1-7000</f>
        <v>32874.090909090912</v>
      </c>
      <c r="K410" s="638">
        <f>+H410-I410-J410</f>
        <v>365866.81818181823</v>
      </c>
      <c r="L410" s="373">
        <f>+H410*0.12</f>
        <v>53165.454545454551</v>
      </c>
      <c r="M410" s="373">
        <f>+I410+L410</f>
        <v>97470.000000000015</v>
      </c>
      <c r="N410" s="231">
        <f t="shared" si="164"/>
        <v>1</v>
      </c>
      <c r="O410" s="80"/>
    </row>
    <row r="411" spans="1:15">
      <c r="A411" s="494">
        <f t="shared" si="172"/>
        <v>11</v>
      </c>
      <c r="B411" s="649" t="s">
        <v>2163</v>
      </c>
      <c r="C411" s="646" t="s">
        <v>1533</v>
      </c>
      <c r="D411" s="459" t="s">
        <v>2164</v>
      </c>
      <c r="E411" s="662">
        <v>450000</v>
      </c>
      <c r="F411" s="382">
        <v>21.15</v>
      </c>
      <c r="G411" s="637">
        <f t="shared" si="165"/>
        <v>20454.545454545456</v>
      </c>
      <c r="H411" s="638">
        <f t="shared" si="166"/>
        <v>432613.63636363635</v>
      </c>
      <c r="I411" s="373">
        <f t="shared" ref="I411:I422" si="177">+H411*0.1</f>
        <v>43261.36363636364</v>
      </c>
      <c r="J411" s="373">
        <f t="shared" ref="J411:J422" si="178">+(H411-I411)*0.1-7000</f>
        <v>31935.227272727272</v>
      </c>
      <c r="K411" s="638">
        <f t="shared" ref="K411:K422" si="179">+H411-I411-J411</f>
        <v>357417.04545454541</v>
      </c>
      <c r="L411" s="373">
        <f t="shared" ref="L411:L422" si="180">+H411*0.12</f>
        <v>51913.63636363636</v>
      </c>
      <c r="M411" s="373">
        <f t="shared" ref="M411:M422" si="181">+I411+L411</f>
        <v>95175</v>
      </c>
      <c r="N411" s="231">
        <f t="shared" si="164"/>
        <v>1</v>
      </c>
      <c r="O411" s="80"/>
    </row>
    <row r="412" spans="1:15">
      <c r="A412" s="494">
        <f t="shared" si="172"/>
        <v>12</v>
      </c>
      <c r="B412" s="634" t="s">
        <v>1541</v>
      </c>
      <c r="C412" s="646" t="s">
        <v>1533</v>
      </c>
      <c r="D412" s="640" t="s">
        <v>1542</v>
      </c>
      <c r="E412" s="662">
        <v>480000</v>
      </c>
      <c r="F412" s="382">
        <v>19.28</v>
      </c>
      <c r="G412" s="637">
        <f t="shared" si="165"/>
        <v>21818.18181818182</v>
      </c>
      <c r="H412" s="638">
        <f t="shared" si="166"/>
        <v>420654.54545454553</v>
      </c>
      <c r="I412" s="373">
        <f t="shared" si="177"/>
        <v>42065.454545454559</v>
      </c>
      <c r="J412" s="373">
        <f t="shared" si="178"/>
        <v>30858.909090909096</v>
      </c>
      <c r="K412" s="638">
        <f t="shared" si="179"/>
        <v>347730.18181818182</v>
      </c>
      <c r="L412" s="373">
        <f t="shared" si="180"/>
        <v>50478.545454545463</v>
      </c>
      <c r="M412" s="373">
        <f t="shared" si="181"/>
        <v>92544.000000000029</v>
      </c>
      <c r="N412" s="231">
        <f t="shared" si="164"/>
        <v>1</v>
      </c>
      <c r="O412" s="80"/>
    </row>
    <row r="413" spans="1:15">
      <c r="A413" s="494">
        <f t="shared" si="172"/>
        <v>13</v>
      </c>
      <c r="B413" s="634" t="s">
        <v>1543</v>
      </c>
      <c r="C413" s="646" t="s">
        <v>1533</v>
      </c>
      <c r="D413" s="640" t="s">
        <v>1544</v>
      </c>
      <c r="E413" s="662">
        <v>800000</v>
      </c>
      <c r="F413" s="382">
        <v>21.04</v>
      </c>
      <c r="G413" s="637">
        <f t="shared" si="165"/>
        <v>36363.63636363636</v>
      </c>
      <c r="H413" s="638">
        <f t="shared" si="166"/>
        <v>765090.90909090894</v>
      </c>
      <c r="I413" s="373">
        <f t="shared" si="177"/>
        <v>76509.090909090897</v>
      </c>
      <c r="J413" s="373">
        <f t="shared" si="178"/>
        <v>61858.181818181809</v>
      </c>
      <c r="K413" s="638">
        <f t="shared" si="179"/>
        <v>626723.63636363624</v>
      </c>
      <c r="L413" s="373">
        <f t="shared" si="180"/>
        <v>91810.909090909074</v>
      </c>
      <c r="M413" s="373">
        <f t="shared" si="181"/>
        <v>168319.99999999997</v>
      </c>
      <c r="N413" s="231">
        <f t="shared" si="164"/>
        <v>1</v>
      </c>
      <c r="O413" s="80"/>
    </row>
    <row r="414" spans="1:15">
      <c r="A414" s="494">
        <f t="shared" si="172"/>
        <v>14</v>
      </c>
      <c r="B414" s="634" t="s">
        <v>1545</v>
      </c>
      <c r="C414" s="646" t="s">
        <v>1533</v>
      </c>
      <c r="D414" s="666" t="s">
        <v>1546</v>
      </c>
      <c r="E414" s="662">
        <v>480000</v>
      </c>
      <c r="F414" s="382">
        <v>14.72</v>
      </c>
      <c r="G414" s="637">
        <f t="shared" si="165"/>
        <v>21818.18181818182</v>
      </c>
      <c r="H414" s="638">
        <f t="shared" si="166"/>
        <v>321163.63636363641</v>
      </c>
      <c r="I414" s="373">
        <f t="shared" si="177"/>
        <v>32116.363636363643</v>
      </c>
      <c r="J414" s="373">
        <f t="shared" si="178"/>
        <v>21904.727272727279</v>
      </c>
      <c r="K414" s="638">
        <f t="shared" si="179"/>
        <v>267142.54545454547</v>
      </c>
      <c r="L414" s="373">
        <f t="shared" si="180"/>
        <v>38539.636363636368</v>
      </c>
      <c r="M414" s="373">
        <f t="shared" si="181"/>
        <v>70656.000000000015</v>
      </c>
      <c r="N414" s="231">
        <f t="shared" si="164"/>
        <v>1</v>
      </c>
      <c r="O414" s="80"/>
    </row>
    <row r="415" spans="1:15">
      <c r="A415" s="494">
        <f t="shared" si="172"/>
        <v>15</v>
      </c>
      <c r="B415" s="649" t="s">
        <v>1547</v>
      </c>
      <c r="C415" s="646" t="s">
        <v>1533</v>
      </c>
      <c r="D415" s="666" t="s">
        <v>1548</v>
      </c>
      <c r="E415" s="662">
        <v>480000</v>
      </c>
      <c r="F415" s="382">
        <v>22.5</v>
      </c>
      <c r="G415" s="637">
        <f t="shared" si="165"/>
        <v>21818.18181818182</v>
      </c>
      <c r="H415" s="638">
        <f t="shared" si="166"/>
        <v>490909.09090909094</v>
      </c>
      <c r="I415" s="373">
        <f t="shared" si="177"/>
        <v>49090.909090909096</v>
      </c>
      <c r="J415" s="373">
        <f t="shared" si="178"/>
        <v>37181.818181818184</v>
      </c>
      <c r="K415" s="638">
        <f t="shared" si="179"/>
        <v>404636.36363636365</v>
      </c>
      <c r="L415" s="373">
        <f t="shared" si="180"/>
        <v>58909.090909090912</v>
      </c>
      <c r="M415" s="373">
        <f t="shared" si="181"/>
        <v>108000</v>
      </c>
      <c r="N415" s="231">
        <f t="shared" si="164"/>
        <v>1</v>
      </c>
      <c r="O415" s="80"/>
    </row>
    <row r="416" spans="1:15">
      <c r="A416" s="494">
        <f t="shared" si="172"/>
        <v>16</v>
      </c>
      <c r="B416" s="634" t="s">
        <v>1549</v>
      </c>
      <c r="C416" s="640" t="s">
        <v>1533</v>
      </c>
      <c r="D416" s="651" t="s">
        <v>1550</v>
      </c>
      <c r="E416" s="662">
        <v>600000</v>
      </c>
      <c r="F416" s="382">
        <v>20</v>
      </c>
      <c r="G416" s="637">
        <f t="shared" si="165"/>
        <v>27272.727272727272</v>
      </c>
      <c r="H416" s="638">
        <f t="shared" si="166"/>
        <v>545454.54545454541</v>
      </c>
      <c r="I416" s="373">
        <f t="shared" si="177"/>
        <v>54545.454545454544</v>
      </c>
      <c r="J416" s="373">
        <f t="shared" si="178"/>
        <v>42090.909090909088</v>
      </c>
      <c r="K416" s="638">
        <f t="shared" si="179"/>
        <v>448818.18181818177</v>
      </c>
      <c r="L416" s="373">
        <f t="shared" si="180"/>
        <v>65454.545454545449</v>
      </c>
      <c r="M416" s="373">
        <f t="shared" si="181"/>
        <v>120000</v>
      </c>
      <c r="N416" s="231">
        <f t="shared" si="164"/>
        <v>1</v>
      </c>
      <c r="O416" s="80"/>
    </row>
    <row r="417" spans="1:15">
      <c r="A417" s="494">
        <f t="shared" si="172"/>
        <v>17</v>
      </c>
      <c r="B417" s="652" t="s">
        <v>1551</v>
      </c>
      <c r="C417" s="640" t="s">
        <v>1553</v>
      </c>
      <c r="D417" s="667" t="s">
        <v>1552</v>
      </c>
      <c r="E417" s="662">
        <v>480000</v>
      </c>
      <c r="F417" s="382">
        <v>20.73</v>
      </c>
      <c r="G417" s="637">
        <f t="shared" si="165"/>
        <v>21818.18181818182</v>
      </c>
      <c r="H417" s="638">
        <f t="shared" si="166"/>
        <v>452290.90909090912</v>
      </c>
      <c r="I417" s="373">
        <f t="shared" si="177"/>
        <v>45229.090909090912</v>
      </c>
      <c r="J417" s="373">
        <f t="shared" si="178"/>
        <v>33706.181818181823</v>
      </c>
      <c r="K417" s="638">
        <f t="shared" si="179"/>
        <v>373355.63636363641</v>
      </c>
      <c r="L417" s="373">
        <f t="shared" si="180"/>
        <v>54274.909090909096</v>
      </c>
      <c r="M417" s="373">
        <f t="shared" si="181"/>
        <v>99504</v>
      </c>
      <c r="N417" s="231">
        <f t="shared" si="164"/>
        <v>1</v>
      </c>
      <c r="O417" s="80"/>
    </row>
    <row r="418" spans="1:15">
      <c r="A418" s="494">
        <f t="shared" si="172"/>
        <v>18</v>
      </c>
      <c r="B418" s="652" t="s">
        <v>1556</v>
      </c>
      <c r="C418" s="640" t="s">
        <v>1533</v>
      </c>
      <c r="D418" s="667" t="s">
        <v>1557</v>
      </c>
      <c r="E418" s="662">
        <v>450000</v>
      </c>
      <c r="F418" s="382">
        <v>9.94</v>
      </c>
      <c r="G418" s="637">
        <f t="shared" si="165"/>
        <v>20454.545454545456</v>
      </c>
      <c r="H418" s="638">
        <f t="shared" si="166"/>
        <v>203318.18181818182</v>
      </c>
      <c r="I418" s="373">
        <f t="shared" si="177"/>
        <v>20331.818181818184</v>
      </c>
      <c r="J418" s="373">
        <f t="shared" si="178"/>
        <v>11298.636363636364</v>
      </c>
      <c r="K418" s="638">
        <f t="shared" si="179"/>
        <v>171687.72727272729</v>
      </c>
      <c r="L418" s="373">
        <f t="shared" si="180"/>
        <v>24398.181818181816</v>
      </c>
      <c r="M418" s="373">
        <f t="shared" si="181"/>
        <v>44730</v>
      </c>
      <c r="N418" s="231">
        <f t="shared" si="164"/>
        <v>1</v>
      </c>
      <c r="O418" s="80"/>
    </row>
    <row r="419" spans="1:15">
      <c r="A419" s="494">
        <f t="shared" si="172"/>
        <v>19</v>
      </c>
      <c r="B419" s="649" t="s">
        <v>1558</v>
      </c>
      <c r="C419" s="640" t="s">
        <v>1533</v>
      </c>
      <c r="D419" s="376" t="s">
        <v>1559</v>
      </c>
      <c r="E419" s="662">
        <v>480000</v>
      </c>
      <c r="F419" s="382">
        <v>21.54</v>
      </c>
      <c r="G419" s="637">
        <f t="shared" si="165"/>
        <v>21818.18181818182</v>
      </c>
      <c r="H419" s="638">
        <f t="shared" si="166"/>
        <v>469963.63636363635</v>
      </c>
      <c r="I419" s="373">
        <f t="shared" si="177"/>
        <v>46996.36363636364</v>
      </c>
      <c r="J419" s="373">
        <f t="shared" si="178"/>
        <v>35296.727272727272</v>
      </c>
      <c r="K419" s="638">
        <f t="shared" si="179"/>
        <v>387670.54545454541</v>
      </c>
      <c r="L419" s="373">
        <f t="shared" si="180"/>
        <v>56395.63636363636</v>
      </c>
      <c r="M419" s="373">
        <f t="shared" si="181"/>
        <v>103392</v>
      </c>
      <c r="N419" s="231">
        <f t="shared" si="164"/>
        <v>1</v>
      </c>
      <c r="O419" s="80"/>
    </row>
    <row r="420" spans="1:15">
      <c r="A420" s="494">
        <f t="shared" si="172"/>
        <v>20</v>
      </c>
      <c r="B420" s="649" t="s">
        <v>1591</v>
      </c>
      <c r="C420" s="640" t="s">
        <v>1533</v>
      </c>
      <c r="D420" s="459" t="s">
        <v>1592</v>
      </c>
      <c r="E420" s="662">
        <v>450000</v>
      </c>
      <c r="F420" s="382">
        <v>21.4</v>
      </c>
      <c r="G420" s="637">
        <f t="shared" si="165"/>
        <v>20454.545454545456</v>
      </c>
      <c r="H420" s="638">
        <f t="shared" si="166"/>
        <v>437727.27272727271</v>
      </c>
      <c r="I420" s="373">
        <f t="shared" si="177"/>
        <v>43772.727272727272</v>
      </c>
      <c r="J420" s="373">
        <f t="shared" si="178"/>
        <v>32395.454545454544</v>
      </c>
      <c r="K420" s="638">
        <f t="shared" si="179"/>
        <v>361559.09090909088</v>
      </c>
      <c r="L420" s="373">
        <f t="shared" si="180"/>
        <v>52527.272727272721</v>
      </c>
      <c r="M420" s="373">
        <f t="shared" si="181"/>
        <v>96300</v>
      </c>
      <c r="N420" s="231">
        <f t="shared" si="164"/>
        <v>1</v>
      </c>
      <c r="O420" s="80"/>
    </row>
    <row r="421" spans="1:15">
      <c r="A421" s="494">
        <f t="shared" si="172"/>
        <v>21</v>
      </c>
      <c r="B421" s="634" t="s">
        <v>1560</v>
      </c>
      <c r="C421" s="640" t="s">
        <v>1533</v>
      </c>
      <c r="D421" s="654" t="s">
        <v>1561</v>
      </c>
      <c r="E421" s="662">
        <v>450000</v>
      </c>
      <c r="F421" s="382">
        <v>15.64</v>
      </c>
      <c r="G421" s="637">
        <f t="shared" si="165"/>
        <v>20454.545454545456</v>
      </c>
      <c r="H421" s="638">
        <f t="shared" si="166"/>
        <v>319909.09090909094</v>
      </c>
      <c r="I421" s="373">
        <f t="shared" si="177"/>
        <v>31990.909090909096</v>
      </c>
      <c r="J421" s="373">
        <f t="shared" si="178"/>
        <v>21791.818181818184</v>
      </c>
      <c r="K421" s="638">
        <f t="shared" si="179"/>
        <v>266126.36363636365</v>
      </c>
      <c r="L421" s="373">
        <f t="shared" si="180"/>
        <v>38389.090909090912</v>
      </c>
      <c r="M421" s="373">
        <f t="shared" si="181"/>
        <v>70380</v>
      </c>
      <c r="N421" s="231">
        <f t="shared" si="164"/>
        <v>1</v>
      </c>
      <c r="O421" s="80"/>
    </row>
    <row r="422" spans="1:15">
      <c r="A422" s="494">
        <f t="shared" si="172"/>
        <v>22</v>
      </c>
      <c r="B422" s="634" t="s">
        <v>1976</v>
      </c>
      <c r="C422" s="640" t="s">
        <v>1533</v>
      </c>
      <c r="D422" s="654" t="s">
        <v>2130</v>
      </c>
      <c r="E422" s="662">
        <v>480000</v>
      </c>
      <c r="F422" s="382">
        <v>18</v>
      </c>
      <c r="G422" s="637">
        <f t="shared" si="165"/>
        <v>21818.18181818182</v>
      </c>
      <c r="H422" s="638">
        <f t="shared" si="166"/>
        <v>392727.27272727276</v>
      </c>
      <c r="I422" s="373">
        <f t="shared" si="177"/>
        <v>39272.727272727279</v>
      </c>
      <c r="J422" s="373">
        <f t="shared" si="178"/>
        <v>28345.454545454551</v>
      </c>
      <c r="K422" s="638">
        <f t="shared" si="179"/>
        <v>325109.09090909094</v>
      </c>
      <c r="L422" s="373">
        <f t="shared" si="180"/>
        <v>47127.272727272728</v>
      </c>
      <c r="M422" s="373">
        <f t="shared" si="181"/>
        <v>86400</v>
      </c>
      <c r="N422" s="231">
        <f t="shared" si="164"/>
        <v>1</v>
      </c>
      <c r="O422" s="80"/>
    </row>
    <row r="423" spans="1:15">
      <c r="A423" s="932" t="s">
        <v>6</v>
      </c>
      <c r="B423" s="932"/>
      <c r="C423" s="932"/>
      <c r="D423" s="932"/>
      <c r="E423" s="659">
        <f t="shared" ref="E423" si="182">SUM(E401:E422)</f>
        <v>14060000</v>
      </c>
      <c r="F423" s="659">
        <f>SUM(F401:F422)</f>
        <v>436</v>
      </c>
      <c r="G423" s="659">
        <f t="shared" ref="G423:I423" si="183">SUM(G401:G422)</f>
        <v>639090.90909090894</v>
      </c>
      <c r="H423" s="659">
        <f t="shared" si="183"/>
        <v>13022363.636363637</v>
      </c>
      <c r="I423" s="659">
        <f t="shared" si="183"/>
        <v>1293884.3636363635</v>
      </c>
      <c r="J423" s="659">
        <f>SUM(J401:J422)</f>
        <v>1018847.9272727275</v>
      </c>
      <c r="K423" s="659">
        <f t="shared" ref="K423:N423" si="184">SUM(K401:K422)</f>
        <v>10709631.345454548</v>
      </c>
      <c r="L423" s="659">
        <f t="shared" si="184"/>
        <v>1554331.6363636365</v>
      </c>
      <c r="M423" s="659">
        <f t="shared" si="184"/>
        <v>2848216</v>
      </c>
      <c r="N423" s="659">
        <f t="shared" si="184"/>
        <v>22</v>
      </c>
      <c r="O423" s="80"/>
    </row>
    <row r="424" spans="1:15">
      <c r="H424" s="80">
        <f>+'[2]2017.12'!$J$39</f>
        <v>13022363.636363635</v>
      </c>
    </row>
    <row r="425" spans="1:15">
      <c r="H425" s="80">
        <f>+H424-H423</f>
        <v>0</v>
      </c>
    </row>
    <row r="426" spans="1:15">
      <c r="H426" s="23" t="s">
        <v>1562</v>
      </c>
    </row>
    <row r="427" spans="1:15">
      <c r="H427" s="376" t="s">
        <v>1340</v>
      </c>
      <c r="I427" s="376"/>
      <c r="J427" s="376"/>
      <c r="K427" s="657" t="s">
        <v>261</v>
      </c>
      <c r="L427" s="376" t="s">
        <v>262</v>
      </c>
    </row>
    <row r="428" spans="1:15">
      <c r="H428" s="376" t="s">
        <v>2605</v>
      </c>
      <c r="I428" s="376"/>
      <c r="J428" s="658">
        <v>700200</v>
      </c>
      <c r="K428" s="118">
        <f>+L423</f>
        <v>1554331.6363636365</v>
      </c>
      <c r="L428" s="6"/>
    </row>
    <row r="429" spans="1:15">
      <c r="H429" s="376" t="s">
        <v>2605</v>
      </c>
      <c r="I429" s="376"/>
      <c r="J429" s="658">
        <v>310800</v>
      </c>
      <c r="K429" s="6"/>
      <c r="L429" s="118">
        <f>+L423</f>
        <v>1554331.6363636365</v>
      </c>
    </row>
    <row r="430" spans="1:15">
      <c r="H430" s="376" t="s">
        <v>2606</v>
      </c>
      <c r="I430" s="376"/>
      <c r="J430" s="658">
        <v>310800</v>
      </c>
      <c r="K430" s="6"/>
      <c r="L430" s="118">
        <f>+I423</f>
        <v>1293884.3636363635</v>
      </c>
    </row>
    <row r="431" spans="1:15">
      <c r="H431" s="376" t="s">
        <v>2607</v>
      </c>
      <c r="I431" s="376"/>
      <c r="J431" s="658">
        <v>310700</v>
      </c>
      <c r="K431" s="6"/>
      <c r="L431" s="118">
        <f>+J423</f>
        <v>1018847.9272727275</v>
      </c>
    </row>
    <row r="432" spans="1:15">
      <c r="H432" s="376" t="s">
        <v>2608</v>
      </c>
      <c r="I432" s="376"/>
      <c r="J432" s="658">
        <v>311000</v>
      </c>
      <c r="K432" s="6"/>
      <c r="L432" s="118">
        <f>+K423</f>
        <v>10709631.345454548</v>
      </c>
    </row>
    <row r="433" spans="2:13">
      <c r="H433" s="376" t="s">
        <v>2609</v>
      </c>
      <c r="I433" s="376"/>
      <c r="J433" s="658">
        <v>700100</v>
      </c>
      <c r="K433" s="647">
        <f>+L432+L431+L430</f>
        <v>13022363.636363639</v>
      </c>
      <c r="L433" s="376"/>
    </row>
    <row r="437" spans="2:13">
      <c r="G437" s="231" t="s">
        <v>2610</v>
      </c>
      <c r="H437" s="80">
        <f>+H25+H61+H94</f>
        <v>30947484.696969695</v>
      </c>
      <c r="I437" s="80">
        <f t="shared" ref="I437:M437" si="185">+I25+I61+I94</f>
        <v>3073252.6363636362</v>
      </c>
      <c r="J437" s="80">
        <f t="shared" si="185"/>
        <v>2402423.2060606061</v>
      </c>
      <c r="K437" s="80">
        <f t="shared" si="185"/>
        <v>25471808.854545452</v>
      </c>
      <c r="L437" s="80">
        <f t="shared" si="185"/>
        <v>3788202.3303030306</v>
      </c>
      <c r="M437" s="80">
        <f t="shared" si="185"/>
        <v>6861454.9666666668</v>
      </c>
    </row>
    <row r="438" spans="2:13">
      <c r="G438" s="231" t="s">
        <v>2611</v>
      </c>
      <c r="H438" s="80">
        <f>+H127+H158+H193</f>
        <v>31735310.18851852</v>
      </c>
      <c r="I438" s="80">
        <f t="shared" ref="I438:M438" si="186">+I127+I158+I193</f>
        <v>3152787.3614444439</v>
      </c>
      <c r="J438" s="80">
        <f t="shared" si="186"/>
        <v>2480252.2827074071</v>
      </c>
      <c r="K438" s="80">
        <f t="shared" si="186"/>
        <v>26102270.544366665</v>
      </c>
      <c r="L438" s="80">
        <f t="shared" si="186"/>
        <v>3799781.0652148155</v>
      </c>
      <c r="M438" s="80">
        <f t="shared" si="186"/>
        <v>6952568.4266592599</v>
      </c>
    </row>
    <row r="439" spans="2:13">
      <c r="G439" s="231" t="s">
        <v>2612</v>
      </c>
      <c r="H439" s="80">
        <f>+H233+H267+H301</f>
        <v>31740791.584249087</v>
      </c>
      <c r="I439" s="80">
        <f t="shared" ref="I439:M439" si="187">+I233+I267+I301</f>
        <v>3155277.6552197803</v>
      </c>
      <c r="J439" s="80">
        <f t="shared" si="187"/>
        <v>2466551.3929029303</v>
      </c>
      <c r="K439" s="80">
        <f t="shared" si="187"/>
        <v>26118962.536126375</v>
      </c>
      <c r="L439" s="80">
        <f t="shared" si="187"/>
        <v>3790093.4869047622</v>
      </c>
      <c r="M439" s="80">
        <f t="shared" si="187"/>
        <v>6945371.1421245411</v>
      </c>
    </row>
    <row r="440" spans="2:13">
      <c r="G440" s="231" t="s">
        <v>2613</v>
      </c>
      <c r="H440" s="80">
        <f>+H423+H383+H343</f>
        <v>38111465.13636364</v>
      </c>
      <c r="I440" s="80">
        <f t="shared" ref="I440:M440" si="188">+I423+I383+I343</f>
        <v>3785227.5136363637</v>
      </c>
      <c r="J440" s="80">
        <f t="shared" si="188"/>
        <v>2991623.7622727277</v>
      </c>
      <c r="K440" s="80">
        <f t="shared" si="188"/>
        <v>31334613.860454548</v>
      </c>
      <c r="L440" s="80">
        <f t="shared" si="188"/>
        <v>4547456.8163636364</v>
      </c>
      <c r="M440" s="80">
        <f t="shared" si="188"/>
        <v>8332684.3300000001</v>
      </c>
    </row>
    <row r="441" spans="2:13">
      <c r="H441" s="80">
        <f>SUM(H437:H440)</f>
        <v>132535051.60610093</v>
      </c>
      <c r="I441" s="80">
        <f t="shared" ref="I441:M441" si="189">SUM(I437:I440)</f>
        <v>13166545.166664224</v>
      </c>
      <c r="J441" s="80">
        <f t="shared" si="189"/>
        <v>10340850.643943671</v>
      </c>
      <c r="K441" s="80">
        <f t="shared" si="189"/>
        <v>109027655.79549304</v>
      </c>
      <c r="L441" s="80">
        <f t="shared" si="189"/>
        <v>15925533.698786246</v>
      </c>
      <c r="M441" s="80">
        <f t="shared" si="189"/>
        <v>29092078.865450464</v>
      </c>
    </row>
    <row r="442" spans="2:13">
      <c r="G442" s="231" t="s">
        <v>2614</v>
      </c>
      <c r="H442" s="230">
        <v>132535051.62</v>
      </c>
      <c r="I442" s="231">
        <v>13166545.18</v>
      </c>
      <c r="J442" s="231">
        <v>10340850.640000001</v>
      </c>
    </row>
    <row r="443" spans="2:13">
      <c r="H443" s="80">
        <f>+H442-H441</f>
        <v>1.3899073004722595E-2</v>
      </c>
      <c r="I443" s="80">
        <f t="shared" ref="I443:J443" si="190">+I442-I441</f>
        <v>1.3335775583982468E-2</v>
      </c>
      <c r="J443" s="80">
        <f t="shared" si="190"/>
        <v>-3.9436705410480499E-3</v>
      </c>
      <c r="K443" s="80"/>
      <c r="L443" s="80"/>
      <c r="M443" s="80"/>
    </row>
    <row r="446" spans="2:13" ht="38.25">
      <c r="H446" s="632" t="s">
        <v>1504</v>
      </c>
      <c r="I446" s="633" t="s">
        <v>1505</v>
      </c>
      <c r="J446" s="633" t="s">
        <v>1506</v>
      </c>
      <c r="K446" s="633" t="s">
        <v>1507</v>
      </c>
      <c r="L446" s="632" t="s">
        <v>1508</v>
      </c>
      <c r="M446" s="633" t="s">
        <v>1509</v>
      </c>
    </row>
    <row r="448" spans="2:13">
      <c r="B448" s="668" t="str">
        <f>+B401</f>
        <v xml:space="preserve">Төмөрхуягийн Энхбат </v>
      </c>
      <c r="H448" s="44">
        <f>+H325+H360+H401</f>
        <v>3600000</v>
      </c>
      <c r="I448" s="80">
        <f t="shared" ref="I448:M448" si="191">+I325+I360+I401</f>
        <v>360000</v>
      </c>
      <c r="J448" s="80">
        <f t="shared" si="191"/>
        <v>303000</v>
      </c>
      <c r="K448" s="80">
        <f t="shared" si="191"/>
        <v>2937000</v>
      </c>
      <c r="L448" s="44">
        <f t="shared" si="191"/>
        <v>432000</v>
      </c>
      <c r="M448" s="80">
        <f t="shared" si="191"/>
        <v>792000</v>
      </c>
    </row>
    <row r="449" spans="2:13">
      <c r="B449" s="668" t="str">
        <f t="shared" ref="B449:B456" si="192">+B402</f>
        <v>Дашдэмбэрэлийн Бахдамдэмбэрэл</v>
      </c>
      <c r="H449" s="44">
        <f t="shared" ref="H449:M451" si="193">+H326+H361+H402</f>
        <v>3600000</v>
      </c>
      <c r="I449" s="80">
        <f t="shared" si="193"/>
        <v>360000</v>
      </c>
      <c r="J449" s="80">
        <f t="shared" si="193"/>
        <v>303000</v>
      </c>
      <c r="K449" s="80">
        <f t="shared" si="193"/>
        <v>2937000</v>
      </c>
      <c r="L449" s="44">
        <f t="shared" si="193"/>
        <v>432000</v>
      </c>
      <c r="M449" s="80">
        <f t="shared" si="193"/>
        <v>792000</v>
      </c>
    </row>
    <row r="450" spans="2:13">
      <c r="B450" s="668" t="str">
        <f t="shared" si="192"/>
        <v xml:space="preserve">Батсуурийн Түмэндэлгэр </v>
      </c>
      <c r="H450" s="44">
        <f t="shared" si="193"/>
        <v>4200000</v>
      </c>
      <c r="I450" s="80">
        <f t="shared" si="193"/>
        <v>420000</v>
      </c>
      <c r="J450" s="80">
        <f t="shared" si="193"/>
        <v>357000</v>
      </c>
      <c r="K450" s="80">
        <f t="shared" si="193"/>
        <v>3423000</v>
      </c>
      <c r="L450" s="44">
        <f t="shared" si="193"/>
        <v>504000</v>
      </c>
      <c r="M450" s="80">
        <f t="shared" si="193"/>
        <v>924000</v>
      </c>
    </row>
    <row r="451" spans="2:13">
      <c r="B451" s="668" t="str">
        <f t="shared" si="192"/>
        <v xml:space="preserve">Баасанжавын Золжаргал </v>
      </c>
      <c r="H451" s="44">
        <f t="shared" si="193"/>
        <v>3000000</v>
      </c>
      <c r="I451" s="80">
        <f t="shared" si="193"/>
        <v>300000</v>
      </c>
      <c r="J451" s="80">
        <f t="shared" si="193"/>
        <v>249000</v>
      </c>
      <c r="K451" s="80">
        <f t="shared" si="193"/>
        <v>2451000</v>
      </c>
      <c r="L451" s="44">
        <f t="shared" si="193"/>
        <v>360000</v>
      </c>
      <c r="M451" s="80">
        <f t="shared" si="193"/>
        <v>660000</v>
      </c>
    </row>
    <row r="452" spans="2:13">
      <c r="B452" s="668" t="str">
        <f t="shared" si="192"/>
        <v xml:space="preserve">Түмэннасангийн Оюунтүлхүүр </v>
      </c>
      <c r="H452" s="44">
        <f>+H364+H405</f>
        <v>1800000</v>
      </c>
      <c r="I452" s="80">
        <f t="shared" ref="I452:M452" si="194">+I364+I405</f>
        <v>180000</v>
      </c>
      <c r="J452" s="80">
        <f t="shared" si="194"/>
        <v>148000</v>
      </c>
      <c r="K452" s="80">
        <f t="shared" si="194"/>
        <v>1472000</v>
      </c>
      <c r="L452" s="44">
        <f t="shared" si="194"/>
        <v>216000</v>
      </c>
      <c r="M452" s="80">
        <f t="shared" si="194"/>
        <v>396000</v>
      </c>
    </row>
    <row r="453" spans="2:13">
      <c r="B453" s="668" t="str">
        <f t="shared" si="192"/>
        <v>Бөхчулууны Балжмаа</v>
      </c>
      <c r="H453" s="44">
        <f>+H365+H406</f>
        <v>1000000</v>
      </c>
      <c r="I453" s="80">
        <f t="shared" ref="I453:M453" si="195">+I365+I406</f>
        <v>100000</v>
      </c>
      <c r="J453" s="80">
        <f t="shared" si="195"/>
        <v>76000</v>
      </c>
      <c r="K453" s="80">
        <f t="shared" si="195"/>
        <v>824000</v>
      </c>
      <c r="L453" s="44">
        <f t="shared" si="195"/>
        <v>120000</v>
      </c>
      <c r="M453" s="80">
        <f t="shared" si="195"/>
        <v>220000</v>
      </c>
    </row>
    <row r="454" spans="2:13">
      <c r="B454" s="668" t="str">
        <f t="shared" si="192"/>
        <v xml:space="preserve">Лхагвагийн Ариунболд </v>
      </c>
      <c r="H454" s="80">
        <f>+H366+H407</f>
        <v>742682.18181818188</v>
      </c>
      <c r="I454" s="80">
        <f t="shared" ref="I454:M454" si="196">+I366+I407</f>
        <v>74268.2181818182</v>
      </c>
      <c r="J454" s="80">
        <f t="shared" si="196"/>
        <v>52841.396363636377</v>
      </c>
      <c r="K454" s="80">
        <f t="shared" si="196"/>
        <v>615572.56727272738</v>
      </c>
      <c r="L454" s="80">
        <f t="shared" si="196"/>
        <v>89121.861818181831</v>
      </c>
      <c r="M454" s="80">
        <f t="shared" si="196"/>
        <v>163390.08000000002</v>
      </c>
    </row>
    <row r="455" spans="2:13">
      <c r="B455" s="668" t="str">
        <f t="shared" si="192"/>
        <v xml:space="preserve">Шаравын Цэцэнпил </v>
      </c>
      <c r="H455" s="80">
        <f>+H329+H367+H408</f>
        <v>1178136.3636363635</v>
      </c>
      <c r="I455" s="80">
        <f t="shared" ref="I455:M455" si="197">+I329+I367+I408</f>
        <v>91894.636363636353</v>
      </c>
      <c r="J455" s="80">
        <f t="shared" si="197"/>
        <v>87624.172727272729</v>
      </c>
      <c r="K455" s="80">
        <f t="shared" si="197"/>
        <v>998617.55454545456</v>
      </c>
      <c r="L455" s="80">
        <f t="shared" si="197"/>
        <v>115457.36363636363</v>
      </c>
      <c r="M455" s="80">
        <f t="shared" si="197"/>
        <v>207352</v>
      </c>
    </row>
    <row r="456" spans="2:13">
      <c r="B456" s="668" t="str">
        <f t="shared" si="192"/>
        <v xml:space="preserve">Цэндсүрэнгийн Амарсанаа </v>
      </c>
      <c r="H456" s="80">
        <f>+H330+H368+H409</f>
        <v>1242955.9090909092</v>
      </c>
      <c r="I456" s="80">
        <f t="shared" ref="I456:M456" si="198">+I330+I368+I409</f>
        <v>124295.59090909091</v>
      </c>
      <c r="J456" s="80">
        <f t="shared" si="198"/>
        <v>90866.031818181815</v>
      </c>
      <c r="K456" s="80">
        <f t="shared" si="198"/>
        <v>1027794.2863636364</v>
      </c>
      <c r="L456" s="80">
        <f t="shared" si="198"/>
        <v>149154.70909090908</v>
      </c>
      <c r="M456" s="80">
        <f t="shared" si="198"/>
        <v>273450.3</v>
      </c>
    </row>
    <row r="457" spans="2:13">
      <c r="B457" s="668" t="str">
        <f>+B369</f>
        <v xml:space="preserve">Чогдонгийн Батжигүүр </v>
      </c>
      <c r="H457" s="80">
        <f>+H331+H369</f>
        <v>960833.33333333326</v>
      </c>
      <c r="I457" s="80">
        <f t="shared" ref="I457:M457" si="199">+I331+I369</f>
        <v>96083.333333333343</v>
      </c>
      <c r="J457" s="80">
        <f t="shared" si="199"/>
        <v>72475</v>
      </c>
      <c r="K457" s="80">
        <f t="shared" si="199"/>
        <v>792275</v>
      </c>
      <c r="L457" s="80">
        <f t="shared" si="199"/>
        <v>115300</v>
      </c>
      <c r="M457" s="80">
        <f t="shared" si="199"/>
        <v>211383.33333333331</v>
      </c>
    </row>
    <row r="458" spans="2:13">
      <c r="B458" s="668" t="str">
        <f t="shared" ref="B458:B470" si="200">+B410</f>
        <v>Чулуунбатын Бат-Эрдэнэ</v>
      </c>
      <c r="H458" s="80">
        <f>+H410+H370+H332</f>
        <v>1412390.4545454546</v>
      </c>
      <c r="I458" s="80">
        <f t="shared" ref="I458:M458" si="201">+I410+I370+I332</f>
        <v>141239.04545454547</v>
      </c>
      <c r="J458" s="80">
        <f t="shared" si="201"/>
        <v>106115.14090909091</v>
      </c>
      <c r="K458" s="80">
        <f t="shared" si="201"/>
        <v>1165036.2681818183</v>
      </c>
      <c r="L458" s="80">
        <f t="shared" si="201"/>
        <v>169486.85454545455</v>
      </c>
      <c r="M458" s="80">
        <f t="shared" si="201"/>
        <v>310725.90000000002</v>
      </c>
    </row>
    <row r="459" spans="2:13">
      <c r="B459" s="668" t="str">
        <f t="shared" si="200"/>
        <v xml:space="preserve">Булганы Буянтогтох </v>
      </c>
      <c r="H459" s="80">
        <f>+H411+H371</f>
        <v>702253.63636363635</v>
      </c>
      <c r="I459" s="80">
        <f t="shared" ref="I459:M459" si="202">+I411+I371</f>
        <v>70225.363636363647</v>
      </c>
      <c r="J459" s="80">
        <f t="shared" si="202"/>
        <v>49202.827272727271</v>
      </c>
      <c r="K459" s="80">
        <f t="shared" si="202"/>
        <v>582825.44545454544</v>
      </c>
      <c r="L459" s="80">
        <f t="shared" si="202"/>
        <v>84270.436363636356</v>
      </c>
      <c r="M459" s="80">
        <f t="shared" si="202"/>
        <v>154495.79999999999</v>
      </c>
    </row>
    <row r="460" spans="2:13">
      <c r="B460" s="668" t="str">
        <f t="shared" si="200"/>
        <v>Нямсүрэнгийн Даариймаа</v>
      </c>
      <c r="H460" s="80">
        <f t="shared" ref="H460:H465" si="203">+H412+H372+H333</f>
        <v>1295838.5454545454</v>
      </c>
      <c r="I460" s="80">
        <f t="shared" ref="I460:M460" si="204">+I412+I372+I333</f>
        <v>129583.85454545455</v>
      </c>
      <c r="J460" s="80">
        <f t="shared" si="204"/>
        <v>95625.469090909086</v>
      </c>
      <c r="K460" s="80">
        <f t="shared" si="204"/>
        <v>1070629.2218181817</v>
      </c>
      <c r="L460" s="80">
        <f t="shared" si="204"/>
        <v>155500.62545454546</v>
      </c>
      <c r="M460" s="80">
        <f t="shared" si="204"/>
        <v>285084.48000000004</v>
      </c>
    </row>
    <row r="461" spans="2:13">
      <c r="B461" s="668" t="str">
        <f t="shared" si="200"/>
        <v xml:space="preserve">Баярмагнайн Лхагвасүрэн </v>
      </c>
      <c r="H461" s="80">
        <f t="shared" si="203"/>
        <v>2362757.5757575757</v>
      </c>
      <c r="I461" s="80">
        <f t="shared" ref="I461:M461" si="205">+I413+I373+I334</f>
        <v>236275.75757575757</v>
      </c>
      <c r="J461" s="80">
        <f t="shared" si="205"/>
        <v>191648.18181818182</v>
      </c>
      <c r="K461" s="80">
        <f t="shared" si="205"/>
        <v>1934833.6363636362</v>
      </c>
      <c r="L461" s="80">
        <f t="shared" si="205"/>
        <v>283530.90909090906</v>
      </c>
      <c r="M461" s="80">
        <f t="shared" si="205"/>
        <v>519806.66666666669</v>
      </c>
    </row>
    <row r="462" spans="2:13">
      <c r="B462" s="668" t="str">
        <f t="shared" si="200"/>
        <v xml:space="preserve">Түвдэндоржийн Мөнхбаатар </v>
      </c>
      <c r="H462" s="80">
        <f t="shared" si="203"/>
        <v>1002363.6363636365</v>
      </c>
      <c r="I462" s="80">
        <f t="shared" ref="I462:M462" si="206">+I414+I374+I335</f>
        <v>100236.36363636365</v>
      </c>
      <c r="J462" s="80">
        <f t="shared" si="206"/>
        <v>69212.727272727279</v>
      </c>
      <c r="K462" s="80">
        <f t="shared" si="206"/>
        <v>832914.54545454541</v>
      </c>
      <c r="L462" s="80">
        <f t="shared" si="206"/>
        <v>120283.63636363637</v>
      </c>
      <c r="M462" s="80">
        <f t="shared" si="206"/>
        <v>220520</v>
      </c>
    </row>
    <row r="463" spans="2:13">
      <c r="B463" s="668" t="str">
        <f t="shared" si="200"/>
        <v xml:space="preserve">Цэрэндондогийн Насанхүү </v>
      </c>
      <c r="H463" s="80">
        <f t="shared" si="203"/>
        <v>1435405.0909090908</v>
      </c>
      <c r="I463" s="80">
        <f t="shared" ref="I463:M463" si="207">+I415+I375+I336</f>
        <v>143540.50909090909</v>
      </c>
      <c r="J463" s="80">
        <f t="shared" si="207"/>
        <v>108186.45818181819</v>
      </c>
      <c r="K463" s="80">
        <f t="shared" si="207"/>
        <v>1183678.1236363635</v>
      </c>
      <c r="L463" s="80">
        <f t="shared" si="207"/>
        <v>172248.6109090909</v>
      </c>
      <c r="M463" s="80">
        <f t="shared" si="207"/>
        <v>315789.12</v>
      </c>
    </row>
    <row r="464" spans="2:13">
      <c r="B464" s="668" t="str">
        <f t="shared" si="200"/>
        <v xml:space="preserve">Дашнямын Нэргүй </v>
      </c>
      <c r="H464" s="80">
        <f t="shared" si="203"/>
        <v>1759214.5454545454</v>
      </c>
      <c r="I464" s="80">
        <f t="shared" ref="I464:M464" si="208">+I416+I376+I337</f>
        <v>175921.45454545453</v>
      </c>
      <c r="J464" s="80">
        <f t="shared" si="208"/>
        <v>137329.30909090908</v>
      </c>
      <c r="K464" s="80">
        <f t="shared" si="208"/>
        <v>1445963.7818181817</v>
      </c>
      <c r="L464" s="80">
        <f t="shared" si="208"/>
        <v>211105.74545454545</v>
      </c>
      <c r="M464" s="80">
        <f t="shared" si="208"/>
        <v>387027.20000000001</v>
      </c>
    </row>
    <row r="465" spans="2:13">
      <c r="B465" s="668" t="str">
        <f t="shared" si="200"/>
        <v xml:space="preserve">Юнгэрэнгийн Оюундэлгэр </v>
      </c>
      <c r="H465" s="80">
        <f t="shared" si="203"/>
        <v>1359040.9090909092</v>
      </c>
      <c r="I465" s="80">
        <f t="shared" ref="I465:M465" si="209">+I417+I377+I338</f>
        <v>135904.09090909091</v>
      </c>
      <c r="J465" s="80">
        <f t="shared" si="209"/>
        <v>101313.68181818182</v>
      </c>
      <c r="K465" s="80">
        <f t="shared" si="209"/>
        <v>1121823.1363636365</v>
      </c>
      <c r="L465" s="80">
        <f t="shared" si="209"/>
        <v>163084.90909090909</v>
      </c>
      <c r="M465" s="80">
        <f t="shared" si="209"/>
        <v>298989</v>
      </c>
    </row>
    <row r="466" spans="2:13">
      <c r="B466" s="668" t="str">
        <f t="shared" si="200"/>
        <v xml:space="preserve">Жаргалын Улаансүх </v>
      </c>
      <c r="H466" s="80">
        <f>+H339+H378+H418</f>
        <v>1122150.6818181819</v>
      </c>
      <c r="I466" s="80">
        <f t="shared" ref="I466:M466" si="210">+I339+I378+I418</f>
        <v>112215.06818181818</v>
      </c>
      <c r="J466" s="80">
        <f t="shared" si="210"/>
        <v>79993.561363636371</v>
      </c>
      <c r="K466" s="80">
        <f t="shared" si="210"/>
        <v>929942.05227272725</v>
      </c>
      <c r="L466" s="80">
        <f t="shared" si="210"/>
        <v>134658.08181818182</v>
      </c>
      <c r="M466" s="80">
        <f t="shared" si="210"/>
        <v>246873.15</v>
      </c>
    </row>
    <row r="467" spans="2:13">
      <c r="B467" s="668" t="str">
        <f t="shared" si="200"/>
        <v>Эрдэнбулганы Цог-Эрдэнэ</v>
      </c>
      <c r="H467" s="80">
        <f>+H419+H379</f>
        <v>846443.63636363635</v>
      </c>
      <c r="I467" s="80">
        <f t="shared" ref="I467:M467" si="211">+I419+I379</f>
        <v>84644.363636363647</v>
      </c>
      <c r="J467" s="80">
        <f t="shared" si="211"/>
        <v>62179.927272727276</v>
      </c>
      <c r="K467" s="80">
        <f t="shared" si="211"/>
        <v>699619.34545454546</v>
      </c>
      <c r="L467" s="80">
        <f t="shared" si="211"/>
        <v>101573.23636363636</v>
      </c>
      <c r="M467" s="80">
        <f t="shared" si="211"/>
        <v>186217.60000000001</v>
      </c>
    </row>
    <row r="468" spans="2:13">
      <c r="B468" s="668" t="str">
        <f t="shared" si="200"/>
        <v xml:space="preserve">Энхбаатарын Цэрэнхүү </v>
      </c>
      <c r="H468" s="80">
        <f>+H420+H380+H340</f>
        <v>1329447.2727272727</v>
      </c>
      <c r="I468" s="80">
        <f t="shared" ref="I468:M468" si="212">+I420+I380+I340</f>
        <v>132944.72727272726</v>
      </c>
      <c r="J468" s="80">
        <f t="shared" si="212"/>
        <v>98650.254545454547</v>
      </c>
      <c r="K468" s="80">
        <f t="shared" si="212"/>
        <v>1097852.290909091</v>
      </c>
      <c r="L468" s="80">
        <f t="shared" si="212"/>
        <v>159533.67272727273</v>
      </c>
      <c r="M468" s="80">
        <f t="shared" si="212"/>
        <v>292478.40000000002</v>
      </c>
    </row>
    <row r="469" spans="2:13">
      <c r="B469" s="668" t="str">
        <f t="shared" si="200"/>
        <v xml:space="preserve">Дашдаваагийн Шинэбаяр </v>
      </c>
      <c r="H469" s="80">
        <f>+H421+H381+H341</f>
        <v>1126444.0909090908</v>
      </c>
      <c r="I469" s="80">
        <f t="shared" ref="I469:M469" si="213">+I421+I381+I341</f>
        <v>112644.40909090909</v>
      </c>
      <c r="J469" s="80">
        <f t="shared" si="213"/>
        <v>80379.968181818185</v>
      </c>
      <c r="K469" s="80">
        <f t="shared" si="213"/>
        <v>933419.71363636362</v>
      </c>
      <c r="L469" s="80">
        <f t="shared" si="213"/>
        <v>135173.29090909089</v>
      </c>
      <c r="M469" s="80">
        <f t="shared" si="213"/>
        <v>247817.7</v>
      </c>
    </row>
    <row r="470" spans="2:13">
      <c r="B470" s="668" t="str">
        <f t="shared" si="200"/>
        <v xml:space="preserve">Хорлоогийн Эрдэнэбилэг </v>
      </c>
      <c r="H470" s="80">
        <f>+H422+H382+H342</f>
        <v>1033107.2727272727</v>
      </c>
      <c r="I470" s="80">
        <f t="shared" ref="I470:M470" si="214">+I422+I382+I342</f>
        <v>103310.72727272728</v>
      </c>
      <c r="J470" s="80">
        <f t="shared" si="214"/>
        <v>71979.654545454556</v>
      </c>
      <c r="K470" s="80">
        <f t="shared" si="214"/>
        <v>857816.89090909087</v>
      </c>
      <c r="L470" s="80">
        <f t="shared" si="214"/>
        <v>123972.87272727273</v>
      </c>
      <c r="M470" s="80">
        <f t="shared" si="214"/>
        <v>227283.6</v>
      </c>
    </row>
    <row r="471" spans="2:13">
      <c r="B471" s="668"/>
    </row>
    <row r="472" spans="2:13">
      <c r="B472" s="668"/>
      <c r="H472" s="80">
        <f>SUM(H448:H471)</f>
        <v>38111465.13636364</v>
      </c>
      <c r="I472" s="80">
        <f t="shared" ref="I472:M472" si="215">SUM(I448:I471)</f>
        <v>3785227.5136363637</v>
      </c>
      <c r="J472" s="80">
        <f t="shared" si="215"/>
        <v>2991623.7622727272</v>
      </c>
      <c r="K472" s="80">
        <f t="shared" si="215"/>
        <v>31334613.860454548</v>
      </c>
      <c r="L472" s="80">
        <f t="shared" si="215"/>
        <v>4547456.8163636373</v>
      </c>
      <c r="M472" s="80">
        <f t="shared" si="215"/>
        <v>8332684.330000001</v>
      </c>
    </row>
    <row r="473" spans="2:13">
      <c r="B473" s="668"/>
    </row>
    <row r="474" spans="2:13">
      <c r="B474" s="668"/>
      <c r="H474" s="80">
        <f>+H440</f>
        <v>38111465.13636364</v>
      </c>
      <c r="I474" s="80">
        <f t="shared" ref="I474:M474" si="216">+I440</f>
        <v>3785227.5136363637</v>
      </c>
      <c r="J474" s="80">
        <f t="shared" si="216"/>
        <v>2991623.7622727277</v>
      </c>
      <c r="K474" s="80">
        <f t="shared" si="216"/>
        <v>31334613.860454548</v>
      </c>
      <c r="L474" s="80">
        <f t="shared" si="216"/>
        <v>4547456.8163636364</v>
      </c>
      <c r="M474" s="80">
        <f t="shared" si="216"/>
        <v>8332684.3300000001</v>
      </c>
    </row>
    <row r="475" spans="2:13">
      <c r="B475" s="668"/>
      <c r="H475" s="80">
        <f>+H474-H472</f>
        <v>0</v>
      </c>
      <c r="I475" s="80">
        <f t="shared" ref="I475:M475" si="217">+I474-I472</f>
        <v>0</v>
      </c>
      <c r="J475" s="80">
        <f t="shared" si="217"/>
        <v>0</v>
      </c>
      <c r="K475" s="80">
        <f t="shared" si="217"/>
        <v>0</v>
      </c>
      <c r="L475" s="80">
        <f t="shared" si="217"/>
        <v>0</v>
      </c>
      <c r="M475" s="80">
        <f t="shared" si="217"/>
        <v>0</v>
      </c>
    </row>
    <row r="476" spans="2:13">
      <c r="B476" s="668"/>
      <c r="G476" s="231" t="s">
        <v>2632</v>
      </c>
      <c r="H476" s="80">
        <f>+SUM(H448:H453)</f>
        <v>17200000</v>
      </c>
      <c r="L476" s="80">
        <f>+SUM(L448:L453)</f>
        <v>2064000</v>
      </c>
    </row>
    <row r="477" spans="2:13">
      <c r="B477" s="668"/>
      <c r="G477" s="231" t="s">
        <v>2633</v>
      </c>
      <c r="H477" s="80">
        <f>1375000+H464</f>
        <v>3134214.5454545454</v>
      </c>
      <c r="L477" s="80">
        <f>+L464</f>
        <v>211105.74545454545</v>
      </c>
    </row>
    <row r="478" spans="2:13">
      <c r="G478" s="231" t="s">
        <v>2634</v>
      </c>
      <c r="H478" s="80">
        <f>+H472-H476-H477</f>
        <v>17777250.590909094</v>
      </c>
      <c r="L478" s="80">
        <f>+L472-L476-L477</f>
        <v>2272351.0709090917</v>
      </c>
    </row>
  </sheetData>
  <sheetProtection password="DFC0" sheet="1" objects="1" scenarios="1"/>
  <mergeCells count="12">
    <mergeCell ref="A423:D423"/>
    <mergeCell ref="A25:D25"/>
    <mergeCell ref="A61:D61"/>
    <mergeCell ref="A94:D94"/>
    <mergeCell ref="A127:D127"/>
    <mergeCell ref="A158:D158"/>
    <mergeCell ref="A383:D383"/>
    <mergeCell ref="A343:D343"/>
    <mergeCell ref="A193:D193"/>
    <mergeCell ref="A233:D233"/>
    <mergeCell ref="A267:D267"/>
    <mergeCell ref="A301:D301"/>
  </mergeCells>
  <pageMargins left="0.7" right="0.7" top="0.75" bottom="0.75" header="0.3" footer="0.3"/>
  <pageSetup scale="46" fitToHeight="0" orientation="landscape" horizontalDpi="0" verticalDpi="0" r:id="rId1"/>
  <ignoredErrors>
    <ignoredError sqref="I178 I218 L218 I287 L287 L408 I408" formula="1"/>
  </ignoredErrors>
</worksheet>
</file>

<file path=xl/worksheets/sheet13.xml><?xml version="1.0" encoding="utf-8"?>
<worksheet xmlns="http://schemas.openxmlformats.org/spreadsheetml/2006/main" xmlns:r="http://schemas.openxmlformats.org/officeDocument/2006/relationships">
  <sheetPr>
    <tabColor rgb="FF00B0F0"/>
  </sheetPr>
  <dimension ref="A1:AV222"/>
  <sheetViews>
    <sheetView workbookViewId="0">
      <pane xSplit="4" ySplit="3" topLeftCell="I131" activePane="bottomRight" state="frozen"/>
      <selection activeCell="W113" sqref="W113"/>
      <selection pane="topRight" activeCell="W113" sqref="W113"/>
      <selection pane="bottomLeft" activeCell="W113" sqref="W113"/>
      <selection pane="bottomRight" activeCell="O138" sqref="O138"/>
    </sheetView>
  </sheetViews>
  <sheetFormatPr defaultRowHeight="12.75" customHeight="1"/>
  <cols>
    <col min="1" max="1" width="5.85546875" style="1" customWidth="1"/>
    <col min="2" max="2" width="3.85546875" style="1" customWidth="1"/>
    <col min="3" max="3" width="7.5703125" style="1" customWidth="1"/>
    <col min="4" max="4" width="36.7109375" style="1" customWidth="1"/>
    <col min="5" max="5" width="8.42578125" style="2" customWidth="1"/>
    <col min="6" max="6" width="12" style="1" bestFit="1" customWidth="1"/>
    <col min="7" max="7" width="11.140625" style="82" bestFit="1" customWidth="1"/>
    <col min="8" max="8" width="17.5703125" style="1" bestFit="1" customWidth="1"/>
    <col min="9" max="9" width="15.42578125" style="1" bestFit="1" customWidth="1"/>
    <col min="10" max="10" width="15" style="1" customWidth="1"/>
    <col min="11" max="11" width="15.140625" style="1" customWidth="1"/>
    <col min="12" max="13" width="14.28515625" style="1" bestFit="1" customWidth="1"/>
    <col min="14" max="14" width="13" style="1" customWidth="1"/>
    <col min="15" max="15" width="12.85546875" style="1" bestFit="1" customWidth="1"/>
    <col min="16" max="17" width="8.85546875" style="1" customWidth="1"/>
    <col min="18" max="19" width="14.28515625" style="1" bestFit="1" customWidth="1"/>
    <col min="20" max="20" width="15.42578125" style="1" customWidth="1"/>
    <col min="21" max="21" width="13" style="1" customWidth="1"/>
    <col min="22" max="22" width="15" style="1" bestFit="1" customWidth="1"/>
    <col min="23" max="23" width="14.28515625" style="1" bestFit="1" customWidth="1"/>
    <col min="24" max="27" width="6.28515625" style="1" customWidth="1"/>
    <col min="28" max="28" width="5.85546875" style="1" customWidth="1"/>
    <col min="29" max="29" width="9.28515625" style="1" hidden="1" customWidth="1"/>
    <col min="30" max="30" width="7.5703125" style="21" hidden="1" customWidth="1"/>
    <col min="31" max="31" width="11.140625" style="21" hidden="1" customWidth="1"/>
    <col min="32" max="32" width="9.140625" style="21" hidden="1" customWidth="1"/>
    <col min="33" max="33" width="14" style="1" hidden="1" customWidth="1"/>
    <col min="34" max="34" width="9.140625" style="1" hidden="1" customWidth="1"/>
    <col min="35" max="35" width="9.140625" style="1"/>
    <col min="36" max="36" width="16.42578125" style="412" bestFit="1" customWidth="1"/>
    <col min="37" max="37" width="15.7109375" style="412" bestFit="1" customWidth="1"/>
    <col min="38" max="39" width="17.28515625" style="412" bestFit="1" customWidth="1"/>
    <col min="40" max="40" width="14.28515625" style="412" bestFit="1" customWidth="1"/>
    <col min="41" max="41" width="14" style="412" bestFit="1" customWidth="1"/>
    <col min="42" max="48" width="9.140625" style="412"/>
    <col min="49" max="16384" width="9.140625" style="1"/>
  </cols>
  <sheetData>
    <row r="1" spans="1:39" ht="12.75" customHeight="1">
      <c r="B1" s="95">
        <f>COUNT(B4:B5966)</f>
        <v>212</v>
      </c>
      <c r="C1" s="261" t="s">
        <v>1338</v>
      </c>
      <c r="E1" s="33"/>
      <c r="F1" s="110" t="s">
        <v>43</v>
      </c>
      <c r="G1" s="306"/>
      <c r="H1" s="112">
        <v>42736</v>
      </c>
      <c r="I1" s="112">
        <v>42825</v>
      </c>
      <c r="K1" s="84">
        <f>+JURNAL!D2</f>
        <v>0</v>
      </c>
      <c r="U1" s="84"/>
      <c r="V1" s="84"/>
      <c r="W1" s="84"/>
    </row>
    <row r="2" spans="1:39" ht="12.75" customHeight="1">
      <c r="B2" s="61" t="s">
        <v>12</v>
      </c>
      <c r="C2" s="62" t="s">
        <v>13</v>
      </c>
      <c r="D2" s="62" t="s">
        <v>13</v>
      </c>
      <c r="E2" s="62" t="s">
        <v>29</v>
      </c>
      <c r="F2" s="63"/>
      <c r="G2" s="307"/>
      <c r="H2" s="936" t="s">
        <v>14</v>
      </c>
      <c r="I2" s="936"/>
      <c r="J2" s="936" t="s">
        <v>34</v>
      </c>
      <c r="K2" s="936"/>
      <c r="L2" s="936" t="s">
        <v>35</v>
      </c>
      <c r="M2" s="936"/>
      <c r="N2" s="936" t="s">
        <v>36</v>
      </c>
      <c r="O2" s="936"/>
      <c r="P2" s="63"/>
      <c r="Q2" s="63"/>
      <c r="R2" s="936" t="s">
        <v>15</v>
      </c>
      <c r="S2" s="936"/>
      <c r="T2" s="936" t="s">
        <v>37</v>
      </c>
      <c r="U2" s="936"/>
      <c r="V2" s="936" t="s">
        <v>38</v>
      </c>
      <c r="W2" s="936"/>
      <c r="X2" s="61" t="s">
        <v>0</v>
      </c>
      <c r="Y2" s="61" t="s">
        <v>0</v>
      </c>
      <c r="Z2" s="61" t="s">
        <v>0</v>
      </c>
      <c r="AA2" s="61"/>
    </row>
    <row r="3" spans="1:39" ht="12.75" customHeight="1">
      <c r="B3" s="61"/>
      <c r="C3" s="62" t="s">
        <v>16</v>
      </c>
      <c r="D3" s="62" t="s">
        <v>27</v>
      </c>
      <c r="E3" s="62" t="s">
        <v>28</v>
      </c>
      <c r="F3" s="64" t="s">
        <v>25</v>
      </c>
      <c r="G3" s="308" t="s">
        <v>26</v>
      </c>
      <c r="H3" s="62" t="s">
        <v>17</v>
      </c>
      <c r="I3" s="62" t="s">
        <v>18</v>
      </c>
      <c r="J3" s="62" t="s">
        <v>17</v>
      </c>
      <c r="K3" s="62" t="s">
        <v>18</v>
      </c>
      <c r="L3" s="62" t="s">
        <v>17</v>
      </c>
      <c r="M3" s="62" t="s">
        <v>18</v>
      </c>
      <c r="N3" s="62" t="s">
        <v>17</v>
      </c>
      <c r="O3" s="62" t="s">
        <v>18</v>
      </c>
      <c r="P3" s="64" t="s">
        <v>25</v>
      </c>
      <c r="Q3" s="64" t="s">
        <v>26</v>
      </c>
      <c r="R3" s="62" t="s">
        <v>17</v>
      </c>
      <c r="S3" s="62" t="s">
        <v>18</v>
      </c>
      <c r="T3" s="62" t="s">
        <v>17</v>
      </c>
      <c r="U3" s="62" t="s">
        <v>18</v>
      </c>
      <c r="V3" s="62" t="s">
        <v>17</v>
      </c>
      <c r="W3" s="62" t="s">
        <v>18</v>
      </c>
      <c r="X3" s="61" t="s">
        <v>287</v>
      </c>
      <c r="Y3" s="65" t="s">
        <v>288</v>
      </c>
      <c r="Z3" s="61" t="s">
        <v>19</v>
      </c>
      <c r="AA3" s="61"/>
    </row>
    <row r="4" spans="1:39" ht="12.75" customHeight="1">
      <c r="A4" s="24"/>
      <c r="B4" s="105">
        <v>1</v>
      </c>
      <c r="C4" s="5">
        <v>100100</v>
      </c>
      <c r="D4" s="119" t="s">
        <v>895</v>
      </c>
      <c r="E4" s="9" t="s">
        <v>32</v>
      </c>
      <c r="F4" s="27"/>
      <c r="G4" s="27"/>
      <c r="H4" s="27">
        <v>239926725.96999997</v>
      </c>
      <c r="I4" s="27">
        <v>0</v>
      </c>
      <c r="J4" s="11">
        <f>+SUMIFS(JURNAL!G:G,JURNAL!E:E,C4,JURNAL!C:C,"&gt;="&amp;$H$1,JURNAL!C:C,"&lt;="&amp;$I$1)</f>
        <v>48434137</v>
      </c>
      <c r="K4" s="11">
        <f>+SUMIFS(JURNAL!H:H,JURNAL!E:E,C4,JURNAL!C:C,"&gt;="&amp;$H$1,JURNAL!C:C,"&lt;="&amp;$I$1)</f>
        <v>62266091.854545452</v>
      </c>
      <c r="L4" s="26">
        <f>+IF((H4+J4)&gt;(I4+K4),(H4+J4)-(I4+K4),0)</f>
        <v>226094771.11545452</v>
      </c>
      <c r="M4" s="27">
        <f t="shared" ref="M4" si="0">+IF((H4+J4)&lt;(I4+K4),(I4+K4)-(H4+J4),0)</f>
        <v>0</v>
      </c>
      <c r="N4" s="11"/>
      <c r="O4" s="183"/>
      <c r="P4" s="11"/>
      <c r="Q4" s="11"/>
      <c r="R4" s="26">
        <f>+IF((L4+N4)&gt;(M4+O4),(L4+N4)-(M4+O4),0)</f>
        <v>226094771.11545452</v>
      </c>
      <c r="S4" s="27">
        <f>+IF((L4+N4)&lt;(M4+O4),(M4+O4)-(L4+N4),0)</f>
        <v>0</v>
      </c>
      <c r="T4" s="11"/>
      <c r="U4" s="11"/>
      <c r="V4" s="26">
        <f>+IF((R4+T4)&gt;(S4+U4),(R4+T4)-(S4+U4),0)</f>
        <v>226094771.11545452</v>
      </c>
      <c r="W4" s="27">
        <f t="shared" ref="W4" si="1">+IF((R4+T4)&lt;(S4+U4),(S4+U4)-(R4+T4),0)</f>
        <v>0</v>
      </c>
      <c r="X4" s="4">
        <v>1101</v>
      </c>
      <c r="Y4" s="4"/>
      <c r="Z4" s="6"/>
      <c r="AA4" s="12">
        <f>+IF(H4+I4+J4+K4+L4+M4+N4+O4+R4+S4+T4+U4+V4+W4,1,0)</f>
        <v>1</v>
      </c>
      <c r="AC4" s="119" t="s">
        <v>895</v>
      </c>
      <c r="AD4" s="21" t="str">
        <f>+RIGHT(AC4,6)</f>
        <v>гө MNT</v>
      </c>
      <c r="AE4" s="80"/>
      <c r="AJ4" s="413"/>
      <c r="AK4" s="413"/>
      <c r="AL4" s="413"/>
      <c r="AM4" s="413"/>
    </row>
    <row r="5" spans="1:39" ht="12.75" customHeight="1">
      <c r="A5" s="24"/>
      <c r="B5" s="105">
        <f>+B4+1</f>
        <v>2</v>
      </c>
      <c r="C5" s="3">
        <v>100200</v>
      </c>
      <c r="D5" s="119" t="s">
        <v>950</v>
      </c>
      <c r="E5" s="9" t="s">
        <v>30</v>
      </c>
      <c r="F5" s="27">
        <v>5645.1</v>
      </c>
      <c r="G5" s="27">
        <v>2489.5300000000002</v>
      </c>
      <c r="H5" s="27">
        <v>14053645.803000001</v>
      </c>
      <c r="I5" s="27">
        <v>0</v>
      </c>
      <c r="J5" s="11">
        <f>+SUMIFS(JURNAL!G:G,JURNAL!E:E,C5,JURNAL!C:C,"&gt;="&amp;$H$1,JURNAL!C:C,"&lt;="&amp;$I$1)</f>
        <v>0</v>
      </c>
      <c r="K5" s="11">
        <f>+SUMIFS(JURNAL!H:H,JURNAL!E:E,C5,JURNAL!C:C,"&gt;="&amp;$H$1,JURNAL!C:C,"&lt;="&amp;$I$1)</f>
        <v>0</v>
      </c>
      <c r="L5" s="26">
        <f t="shared" ref="L5:L68" si="2">+IF((H5+J5)&gt;(I5+K5),(H5+J5)-(I5+K5),0)</f>
        <v>14053645.803000001</v>
      </c>
      <c r="M5" s="27">
        <f t="shared" ref="M5:M68" si="3">+IF((H5+J5)&lt;(I5+K5),(I5+K5)-(H5+J5),0)</f>
        <v>0</v>
      </c>
      <c r="N5" s="11"/>
      <c r="O5" s="27">
        <v>237545.80799999999</v>
      </c>
      <c r="P5" s="11">
        <v>5645.1</v>
      </c>
      <c r="Q5" s="11">
        <v>2447.4499999999998</v>
      </c>
      <c r="R5" s="26">
        <f t="shared" ref="R5:R68" si="4">+IF((L5+N5)&gt;(M5+O5),(L5+N5)-(M5+O5),0)</f>
        <v>13816099.995000001</v>
      </c>
      <c r="S5" s="27">
        <f t="shared" ref="S5:S68" si="5">+IF((L5+N5)&lt;(M5+O5),(M5+O5)-(L5+N5),0)</f>
        <v>0</v>
      </c>
      <c r="T5" s="11"/>
      <c r="U5" s="11"/>
      <c r="V5" s="26">
        <f t="shared" ref="V5:V68" si="6">+IF((R5+T5)&gt;(S5+U5),(R5+T5)-(S5+U5),0)</f>
        <v>13816099.995000001</v>
      </c>
      <c r="W5" s="27">
        <f t="shared" ref="W5:W68" si="7">+IF((R5+T5)&lt;(S5+U5),(S5+U5)-(R5+T5),0)</f>
        <v>0</v>
      </c>
      <c r="X5" s="4">
        <v>1101</v>
      </c>
      <c r="Y5" s="4"/>
      <c r="Z5" s="4"/>
      <c r="AA5" s="12">
        <f t="shared" ref="AA5:AA68" si="8">+IF(H5+I5+J5+K5+L5+M5+N5+O5+R5+S5+T5+U5+V5+W5,1,0)</f>
        <v>1</v>
      </c>
      <c r="AC5" s="119" t="s">
        <v>330</v>
      </c>
      <c r="AD5" s="21" t="str">
        <f>+RIGHT(AC5,8)</f>
        <v>D-100200</v>
      </c>
      <c r="AE5" s="80" t="str">
        <f>+LEFT(AD5,1)</f>
        <v>D</v>
      </c>
      <c r="AF5" s="21" t="str">
        <f>+SUBSTITUTE(AC5,AD5,AE5)</f>
        <v>Касс мөнгө USD</v>
      </c>
      <c r="AJ5" s="413"/>
      <c r="AK5" s="413"/>
      <c r="AL5" s="413"/>
      <c r="AM5" s="413"/>
    </row>
    <row r="6" spans="1:39" ht="12.75" customHeight="1">
      <c r="A6" s="24"/>
      <c r="B6" s="105">
        <f t="shared" ref="B6:B69" si="9">+B5+1</f>
        <v>3</v>
      </c>
      <c r="C6" s="5">
        <v>110100</v>
      </c>
      <c r="D6" s="119" t="s">
        <v>1661</v>
      </c>
      <c r="E6" s="9" t="s">
        <v>32</v>
      </c>
      <c r="F6" s="27"/>
      <c r="G6" s="27"/>
      <c r="H6" s="27">
        <v>108640.0000000298</v>
      </c>
      <c r="I6" s="27">
        <v>0</v>
      </c>
      <c r="J6" s="11">
        <f>+SUMIFS(JURNAL!G:G,JURNAL!E:E,C6,JURNAL!C:C,"&gt;="&amp;$H$1,JURNAL!C:C,"&lt;="&amp;$I$1)</f>
        <v>93264445</v>
      </c>
      <c r="K6" s="11">
        <f>+SUMIFS(JURNAL!H:H,JURNAL!E:E,C6,JURNAL!C:C,"&gt;="&amp;$H$1,JURNAL!C:C,"&lt;="&amp;$I$1)</f>
        <v>93363228</v>
      </c>
      <c r="L6" s="26">
        <f t="shared" si="2"/>
        <v>9857.0000000298023</v>
      </c>
      <c r="M6" s="27">
        <f t="shared" si="3"/>
        <v>0</v>
      </c>
      <c r="N6" s="11"/>
      <c r="O6" s="27"/>
      <c r="P6" s="11">
        <v>0</v>
      </c>
      <c r="Q6" s="11"/>
      <c r="R6" s="26">
        <f t="shared" si="4"/>
        <v>9857.0000000298023</v>
      </c>
      <c r="S6" s="27">
        <f t="shared" si="5"/>
        <v>0</v>
      </c>
      <c r="T6" s="11"/>
      <c r="U6" s="11"/>
      <c r="V6" s="26">
        <f t="shared" si="6"/>
        <v>9857.0000000298023</v>
      </c>
      <c r="W6" s="27">
        <f t="shared" si="7"/>
        <v>0</v>
      </c>
      <c r="X6" s="4">
        <v>1101</v>
      </c>
      <c r="Y6" s="4"/>
      <c r="Z6" s="4"/>
      <c r="AA6" s="12">
        <f t="shared" si="8"/>
        <v>1</v>
      </c>
      <c r="AC6" s="119" t="s">
        <v>888</v>
      </c>
      <c r="AD6" s="21" t="str">
        <f t="shared" ref="AD6:AD42" si="10">+RIGHT(AC6,8)</f>
        <v>0-110100</v>
      </c>
      <c r="AE6" s="80" t="str">
        <f t="shared" ref="AE6:AE42" si="11">+LEFT(AD6,1)</f>
        <v>0</v>
      </c>
      <c r="AF6" s="21" t="str">
        <f t="shared" ref="AF6:AF34" si="12">+SUBSTITUTE(AC6,AD6,AE6)</f>
        <v>Хаан Банк 5024654020</v>
      </c>
      <c r="AJ6" s="413"/>
      <c r="AK6" s="413"/>
      <c r="AL6" s="413"/>
      <c r="AM6" s="413"/>
    </row>
    <row r="7" spans="1:39" ht="12.75" customHeight="1">
      <c r="A7" s="24"/>
      <c r="B7" s="105">
        <f t="shared" si="9"/>
        <v>4</v>
      </c>
      <c r="C7" s="6">
        <v>110102</v>
      </c>
      <c r="D7" s="119" t="s">
        <v>1662</v>
      </c>
      <c r="E7" s="9" t="s">
        <v>32</v>
      </c>
      <c r="F7" s="27"/>
      <c r="G7" s="27"/>
      <c r="H7" s="27">
        <v>32584.129999998957</v>
      </c>
      <c r="I7" s="27">
        <v>0</v>
      </c>
      <c r="J7" s="11">
        <f>+SUMIFS(JURNAL!G:G,JURNAL!E:E,C7,JURNAL!C:C,"&gt;="&amp;$H$1,JURNAL!C:C,"&lt;="&amp;$I$1)</f>
        <v>0</v>
      </c>
      <c r="K7" s="11">
        <f>+SUMIFS(JURNAL!H:H,JURNAL!E:E,C7,JURNAL!C:C,"&gt;="&amp;$H$1,JURNAL!C:C,"&lt;="&amp;$I$1)</f>
        <v>0</v>
      </c>
      <c r="L7" s="26">
        <f t="shared" si="2"/>
        <v>32584.129999998957</v>
      </c>
      <c r="M7" s="27">
        <f t="shared" si="3"/>
        <v>0</v>
      </c>
      <c r="N7" s="11"/>
      <c r="O7" s="27"/>
      <c r="P7" s="11">
        <v>0</v>
      </c>
      <c r="Q7" s="11"/>
      <c r="R7" s="26">
        <f t="shared" si="4"/>
        <v>32584.129999998957</v>
      </c>
      <c r="S7" s="27">
        <f t="shared" si="5"/>
        <v>0</v>
      </c>
      <c r="T7" s="11"/>
      <c r="U7" s="11"/>
      <c r="V7" s="26">
        <f t="shared" si="6"/>
        <v>32584.129999998957</v>
      </c>
      <c r="W7" s="27">
        <f t="shared" si="7"/>
        <v>0</v>
      </c>
      <c r="X7" s="4">
        <v>1101</v>
      </c>
      <c r="Y7" s="4"/>
      <c r="Z7" s="4"/>
      <c r="AA7" s="12">
        <f t="shared" si="8"/>
        <v>1</v>
      </c>
      <c r="AC7" s="119" t="s">
        <v>889</v>
      </c>
      <c r="AD7" s="21" t="str">
        <f t="shared" si="10"/>
        <v>0-110102</v>
      </c>
      <c r="AE7" s="80" t="str">
        <f t="shared" si="11"/>
        <v>0</v>
      </c>
      <c r="AF7" s="21" t="str">
        <f t="shared" si="12"/>
        <v>ХХБ 406094330</v>
      </c>
      <c r="AJ7" s="413"/>
      <c r="AK7" s="413"/>
      <c r="AL7" s="413"/>
      <c r="AM7" s="413"/>
    </row>
    <row r="8" spans="1:39" ht="12.75" customHeight="1">
      <c r="A8" s="24"/>
      <c r="B8" s="105">
        <f t="shared" si="9"/>
        <v>5</v>
      </c>
      <c r="C8" s="6">
        <v>110103</v>
      </c>
      <c r="D8" s="119" t="s">
        <v>1663</v>
      </c>
      <c r="E8" s="9" t="s">
        <v>32</v>
      </c>
      <c r="F8" s="27"/>
      <c r="G8" s="27"/>
      <c r="H8" s="27">
        <v>88499.17</v>
      </c>
      <c r="I8" s="27">
        <v>0</v>
      </c>
      <c r="J8" s="11">
        <f>+SUMIFS(JURNAL!G:G,JURNAL!E:E,C8,JURNAL!C:C,"&gt;="&amp;$H$1,JURNAL!C:C,"&lt;="&amp;$I$1)</f>
        <v>0</v>
      </c>
      <c r="K8" s="11">
        <f>+SUMIFS(JURNAL!H:H,JURNAL!E:E,C8,JURNAL!C:C,"&gt;="&amp;$H$1,JURNAL!C:C,"&lt;="&amp;$I$1)</f>
        <v>0</v>
      </c>
      <c r="L8" s="26">
        <f t="shared" si="2"/>
        <v>88499.17</v>
      </c>
      <c r="M8" s="27">
        <f t="shared" si="3"/>
        <v>0</v>
      </c>
      <c r="N8" s="11"/>
      <c r="O8" s="27"/>
      <c r="P8" s="11">
        <v>0</v>
      </c>
      <c r="Q8" s="11"/>
      <c r="R8" s="26">
        <f t="shared" si="4"/>
        <v>88499.17</v>
      </c>
      <c r="S8" s="27">
        <f t="shared" si="5"/>
        <v>0</v>
      </c>
      <c r="T8" s="11"/>
      <c r="U8" s="11"/>
      <c r="V8" s="26">
        <f t="shared" si="6"/>
        <v>88499.17</v>
      </c>
      <c r="W8" s="27">
        <f t="shared" si="7"/>
        <v>0</v>
      </c>
      <c r="X8" s="4">
        <v>1101</v>
      </c>
      <c r="Y8" s="4"/>
      <c r="Z8" s="4"/>
      <c r="AA8" s="12">
        <f t="shared" si="8"/>
        <v>1</v>
      </c>
      <c r="AC8" s="119" t="s">
        <v>890</v>
      </c>
      <c r="AD8" s="21" t="str">
        <f t="shared" si="10"/>
        <v>9-110103</v>
      </c>
      <c r="AE8" s="80" t="str">
        <f t="shared" si="11"/>
        <v>9</v>
      </c>
      <c r="AF8" s="21" t="str">
        <f t="shared" si="12"/>
        <v>Хас Банк 5000558299</v>
      </c>
      <c r="AJ8" s="413"/>
      <c r="AK8" s="413"/>
      <c r="AL8" s="413"/>
      <c r="AM8" s="413"/>
    </row>
    <row r="9" spans="1:39" ht="12.75" customHeight="1">
      <c r="A9" s="24"/>
      <c r="B9" s="105">
        <f t="shared" si="9"/>
        <v>6</v>
      </c>
      <c r="C9" s="6">
        <v>110104</v>
      </c>
      <c r="D9" s="119" t="s">
        <v>1664</v>
      </c>
      <c r="E9" s="9" t="s">
        <v>32</v>
      </c>
      <c r="F9" s="27"/>
      <c r="G9" s="27"/>
      <c r="H9" s="27">
        <v>27647.96</v>
      </c>
      <c r="I9" s="27">
        <v>0</v>
      </c>
      <c r="J9" s="11">
        <f>+SUMIFS(JURNAL!G:G,JURNAL!E:E,C9,JURNAL!C:C,"&gt;="&amp;$H$1,JURNAL!C:C,"&lt;="&amp;$I$1)</f>
        <v>0</v>
      </c>
      <c r="K9" s="11">
        <f>+SUMIFS(JURNAL!H:H,JURNAL!E:E,C9,JURNAL!C:C,"&gt;="&amp;$H$1,JURNAL!C:C,"&lt;="&amp;$I$1)</f>
        <v>0</v>
      </c>
      <c r="L9" s="26">
        <f t="shared" si="2"/>
        <v>27647.96</v>
      </c>
      <c r="M9" s="27">
        <f t="shared" si="3"/>
        <v>0</v>
      </c>
      <c r="N9" s="11"/>
      <c r="O9" s="27"/>
      <c r="P9" s="11">
        <v>0</v>
      </c>
      <c r="Q9" s="11"/>
      <c r="R9" s="26">
        <f t="shared" si="4"/>
        <v>27647.96</v>
      </c>
      <c r="S9" s="27">
        <f t="shared" si="5"/>
        <v>0</v>
      </c>
      <c r="T9" s="11"/>
      <c r="U9" s="11"/>
      <c r="V9" s="26">
        <f t="shared" si="6"/>
        <v>27647.96</v>
      </c>
      <c r="W9" s="27">
        <f t="shared" si="7"/>
        <v>0</v>
      </c>
      <c r="X9" s="4">
        <v>1101</v>
      </c>
      <c r="Y9" s="4"/>
      <c r="Z9" s="4"/>
      <c r="AA9" s="12">
        <f t="shared" si="8"/>
        <v>1</v>
      </c>
      <c r="AC9" s="119" t="s">
        <v>891</v>
      </c>
      <c r="AD9" s="21" t="str">
        <f t="shared" si="10"/>
        <v>7-110104</v>
      </c>
      <c r="AE9" s="80" t="str">
        <f t="shared" si="11"/>
        <v>7</v>
      </c>
      <c r="AF9" s="21" t="str">
        <f t="shared" si="12"/>
        <v>ХХБ 404052927</v>
      </c>
      <c r="AJ9" s="413"/>
      <c r="AK9" s="413"/>
      <c r="AL9" s="413"/>
      <c r="AM9" s="413"/>
    </row>
    <row r="10" spans="1:39" ht="12.75" customHeight="1">
      <c r="A10" s="24"/>
      <c r="B10" s="105">
        <f t="shared" si="9"/>
        <v>7</v>
      </c>
      <c r="C10" s="6">
        <v>110105</v>
      </c>
      <c r="D10" s="119" t="s">
        <v>1665</v>
      </c>
      <c r="E10" s="9" t="s">
        <v>32</v>
      </c>
      <c r="F10" s="27"/>
      <c r="G10" s="27"/>
      <c r="H10" s="27">
        <v>135889.92000000001</v>
      </c>
      <c r="I10" s="27">
        <v>0</v>
      </c>
      <c r="J10" s="11">
        <f>+SUMIFS(JURNAL!G:G,JURNAL!E:E,C10,JURNAL!C:C,"&gt;="&amp;$H$1,JURNAL!C:C,"&lt;="&amp;$I$1)</f>
        <v>0</v>
      </c>
      <c r="K10" s="11">
        <f>+SUMIFS(JURNAL!H:H,JURNAL!E:E,C10,JURNAL!C:C,"&gt;="&amp;$H$1,JURNAL!C:C,"&lt;="&amp;$I$1)</f>
        <v>0</v>
      </c>
      <c r="L10" s="26">
        <f t="shared" si="2"/>
        <v>135889.92000000001</v>
      </c>
      <c r="M10" s="27">
        <f t="shared" si="3"/>
        <v>0</v>
      </c>
      <c r="N10" s="11"/>
      <c r="O10" s="27"/>
      <c r="P10" s="11">
        <v>0</v>
      </c>
      <c r="Q10" s="11"/>
      <c r="R10" s="26">
        <f t="shared" si="4"/>
        <v>135889.92000000001</v>
      </c>
      <c r="S10" s="27">
        <f t="shared" si="5"/>
        <v>0</v>
      </c>
      <c r="T10" s="11"/>
      <c r="U10" s="11"/>
      <c r="V10" s="26">
        <f t="shared" si="6"/>
        <v>135889.92000000001</v>
      </c>
      <c r="W10" s="27">
        <f t="shared" si="7"/>
        <v>0</v>
      </c>
      <c r="X10" s="4">
        <v>1101</v>
      </c>
      <c r="Y10" s="4"/>
      <c r="Z10" s="4"/>
      <c r="AA10" s="12">
        <f t="shared" si="8"/>
        <v>1</v>
      </c>
      <c r="AC10" s="118" t="s">
        <v>331</v>
      </c>
      <c r="AD10" s="21" t="str">
        <f t="shared" si="10"/>
        <v>г-900100</v>
      </c>
      <c r="AE10" s="80" t="str">
        <f t="shared" si="11"/>
        <v>г</v>
      </c>
      <c r="AF10" s="21" t="str">
        <f t="shared" si="12"/>
        <v>Мөнгөн хөрөнгийн клиринг</v>
      </c>
      <c r="AG10" s="84"/>
      <c r="AJ10" s="413"/>
      <c r="AK10" s="413"/>
      <c r="AL10" s="413"/>
      <c r="AM10" s="413"/>
    </row>
    <row r="11" spans="1:39" ht="12.75" customHeight="1">
      <c r="A11" s="24"/>
      <c r="B11" s="105">
        <f t="shared" si="9"/>
        <v>8</v>
      </c>
      <c r="C11" s="6">
        <v>110200</v>
      </c>
      <c r="D11" s="119" t="s">
        <v>1666</v>
      </c>
      <c r="E11" s="9" t="s">
        <v>30</v>
      </c>
      <c r="F11" s="912">
        <v>7</v>
      </c>
      <c r="G11" s="912">
        <v>2489.5300000000002</v>
      </c>
      <c r="H11" s="27">
        <v>17426.710000000003</v>
      </c>
      <c r="I11" s="27">
        <v>0</v>
      </c>
      <c r="J11" s="11">
        <f>+SUMIFS(JURNAL!G:G,JURNAL!E:E,C11,JURNAL!C:C,"&gt;="&amp;$H$1,JURNAL!C:C,"&lt;="&amp;$I$1)</f>
        <v>0</v>
      </c>
      <c r="K11" s="11">
        <f>+SUMIFS(JURNAL!H:H,JURNAL!E:E,C11,JURNAL!C:C,"&gt;="&amp;$H$1,JURNAL!C:C,"&lt;="&amp;$I$1)</f>
        <v>0</v>
      </c>
      <c r="L11" s="26">
        <f t="shared" si="2"/>
        <v>17426.710000000003</v>
      </c>
      <c r="M11" s="27">
        <f t="shared" si="3"/>
        <v>0</v>
      </c>
      <c r="N11" s="11"/>
      <c r="O11" s="27">
        <v>294.56</v>
      </c>
      <c r="P11" s="11">
        <v>7</v>
      </c>
      <c r="Q11" s="11">
        <v>2447.4499999999998</v>
      </c>
      <c r="R11" s="26">
        <f t="shared" si="4"/>
        <v>17132.150000000001</v>
      </c>
      <c r="S11" s="27">
        <f t="shared" si="5"/>
        <v>0</v>
      </c>
      <c r="T11" s="11"/>
      <c r="U11" s="11"/>
      <c r="V11" s="26">
        <f t="shared" si="6"/>
        <v>17132.150000000001</v>
      </c>
      <c r="W11" s="27">
        <f t="shared" si="7"/>
        <v>0</v>
      </c>
      <c r="X11" s="4">
        <v>1101</v>
      </c>
      <c r="Y11" s="4"/>
      <c r="Z11" s="4"/>
      <c r="AA11" s="12">
        <f t="shared" si="8"/>
        <v>1</v>
      </c>
      <c r="AC11" s="118" t="s">
        <v>893</v>
      </c>
      <c r="AD11" s="21" t="str">
        <f t="shared" si="10"/>
        <v xml:space="preserve"> -120100</v>
      </c>
      <c r="AE11" s="80" t="str">
        <f t="shared" si="11"/>
        <v/>
      </c>
      <c r="AF11" s="21" t="str">
        <f t="shared" si="12"/>
        <v xml:space="preserve">Дансны авлага MNT </v>
      </c>
      <c r="AJ11" s="413"/>
      <c r="AK11" s="413"/>
      <c r="AL11" s="413"/>
      <c r="AM11" s="413"/>
    </row>
    <row r="12" spans="1:39" ht="12.75" customHeight="1">
      <c r="A12" s="24"/>
      <c r="B12" s="105">
        <f t="shared" si="9"/>
        <v>9</v>
      </c>
      <c r="C12" s="6">
        <v>110201</v>
      </c>
      <c r="D12" s="119" t="s">
        <v>1667</v>
      </c>
      <c r="E12" s="9" t="s">
        <v>30</v>
      </c>
      <c r="F12" s="912">
        <v>140</v>
      </c>
      <c r="G12" s="912">
        <v>2489.5300000000002</v>
      </c>
      <c r="H12" s="27">
        <v>348534.2</v>
      </c>
      <c r="I12" s="27">
        <v>0</v>
      </c>
      <c r="J12" s="11">
        <f>+SUMIFS(JURNAL!G:G,JURNAL!E:E,C12,JURNAL!C:C,"&gt;="&amp;$H$1,JURNAL!C:C,"&lt;="&amp;$I$1)</f>
        <v>0</v>
      </c>
      <c r="K12" s="11">
        <f>+SUMIFS(JURNAL!H:H,JURNAL!E:E,C12,JURNAL!C:C,"&gt;="&amp;$H$1,JURNAL!C:C,"&lt;="&amp;$I$1)</f>
        <v>0</v>
      </c>
      <c r="L12" s="26">
        <f t="shared" si="2"/>
        <v>348534.2</v>
      </c>
      <c r="M12" s="27">
        <f t="shared" si="3"/>
        <v>0</v>
      </c>
      <c r="N12" s="11"/>
      <c r="O12" s="27">
        <v>5891.2</v>
      </c>
      <c r="P12" s="11">
        <v>140</v>
      </c>
      <c r="Q12" s="11">
        <v>2447.4499999999998</v>
      </c>
      <c r="R12" s="26">
        <f t="shared" si="4"/>
        <v>342643</v>
      </c>
      <c r="S12" s="27">
        <f t="shared" si="5"/>
        <v>0</v>
      </c>
      <c r="T12" s="11"/>
      <c r="U12" s="11"/>
      <c r="V12" s="26">
        <f t="shared" si="6"/>
        <v>342643</v>
      </c>
      <c r="W12" s="27">
        <f t="shared" si="7"/>
        <v>0</v>
      </c>
      <c r="X12" s="4">
        <v>1101</v>
      </c>
      <c r="Y12" s="4"/>
      <c r="Z12" s="4"/>
      <c r="AA12" s="12">
        <f t="shared" si="8"/>
        <v>1</v>
      </c>
      <c r="AB12" s="82"/>
      <c r="AC12" s="118" t="s">
        <v>894</v>
      </c>
      <c r="AD12" s="21" t="str">
        <f t="shared" si="10"/>
        <v>D-120201</v>
      </c>
      <c r="AE12" s="80" t="str">
        <f t="shared" si="11"/>
        <v>D</v>
      </c>
      <c r="AF12" s="21" t="str">
        <f t="shared" si="12"/>
        <v>Дансны авлага USD</v>
      </c>
      <c r="AJ12" s="413"/>
      <c r="AK12" s="413"/>
      <c r="AL12" s="413"/>
      <c r="AM12" s="413"/>
    </row>
    <row r="13" spans="1:39" ht="12.75" customHeight="1">
      <c r="A13" s="24"/>
      <c r="B13" s="105">
        <f t="shared" si="9"/>
        <v>10</v>
      </c>
      <c r="C13" s="6">
        <v>110202</v>
      </c>
      <c r="D13" s="119" t="s">
        <v>1668</v>
      </c>
      <c r="E13" s="9" t="s">
        <v>30</v>
      </c>
      <c r="F13" s="912">
        <v>43.27</v>
      </c>
      <c r="G13" s="912">
        <v>2489.5300000000002</v>
      </c>
      <c r="H13" s="27">
        <v>107721.96310000002</v>
      </c>
      <c r="I13" s="27">
        <v>0</v>
      </c>
      <c r="J13" s="11">
        <f>+SUMIFS(JURNAL!G:G,JURNAL!E:E,C13,JURNAL!C:C,"&gt;="&amp;$H$1,JURNAL!C:C,"&lt;="&amp;$I$1)</f>
        <v>0</v>
      </c>
      <c r="K13" s="11">
        <f>+SUMIFS(JURNAL!H:H,JURNAL!E:E,C13,JURNAL!C:C,"&gt;="&amp;$H$1,JURNAL!C:C,"&lt;="&amp;$I$1)</f>
        <v>0</v>
      </c>
      <c r="L13" s="26">
        <f t="shared" si="2"/>
        <v>107721.96310000002</v>
      </c>
      <c r="M13" s="27">
        <f t="shared" si="3"/>
        <v>0</v>
      </c>
      <c r="N13" s="11"/>
      <c r="O13" s="27">
        <v>1820.8019999999999</v>
      </c>
      <c r="P13" s="11">
        <v>43.27</v>
      </c>
      <c r="Q13" s="11">
        <v>2447.4499999999998</v>
      </c>
      <c r="R13" s="26">
        <f t="shared" si="4"/>
        <v>105901.16110000003</v>
      </c>
      <c r="S13" s="27">
        <f t="shared" si="5"/>
        <v>0</v>
      </c>
      <c r="T13" s="11"/>
      <c r="U13" s="11"/>
      <c r="V13" s="26">
        <f t="shared" si="6"/>
        <v>105901.16110000003</v>
      </c>
      <c r="W13" s="27">
        <f t="shared" si="7"/>
        <v>0</v>
      </c>
      <c r="X13" s="4">
        <v>1101</v>
      </c>
      <c r="Y13" s="4"/>
      <c r="Z13" s="4"/>
      <c r="AA13" s="12">
        <f t="shared" si="8"/>
        <v>1</v>
      </c>
      <c r="AC13" s="118" t="s">
        <v>332</v>
      </c>
      <c r="AD13" s="21" t="str">
        <f t="shared" si="10"/>
        <v>T-120200</v>
      </c>
      <c r="AE13" s="80" t="str">
        <f t="shared" si="11"/>
        <v>T</v>
      </c>
      <c r="AF13" s="21" t="str">
        <f t="shared" si="12"/>
        <v>Компани хоорондын авлага MNT</v>
      </c>
      <c r="AJ13" s="413"/>
      <c r="AK13" s="413"/>
      <c r="AL13" s="413"/>
      <c r="AM13" s="413"/>
    </row>
    <row r="14" spans="1:39" ht="12.75" customHeight="1">
      <c r="A14" s="24"/>
      <c r="B14" s="105">
        <f t="shared" si="9"/>
        <v>11</v>
      </c>
      <c r="C14" s="6">
        <v>110203</v>
      </c>
      <c r="D14" s="119" t="s">
        <v>1669</v>
      </c>
      <c r="E14" s="9" t="s">
        <v>30</v>
      </c>
      <c r="F14" s="912">
        <v>52.18</v>
      </c>
      <c r="G14" s="912">
        <v>2489.5300000000002</v>
      </c>
      <c r="H14" s="27">
        <v>129903.67540000001</v>
      </c>
      <c r="I14" s="27">
        <v>0</v>
      </c>
      <c r="J14" s="11">
        <f>+SUMIFS(JURNAL!G:G,JURNAL!E:E,C14,JURNAL!C:C,"&gt;="&amp;$H$1,JURNAL!C:C,"&lt;="&amp;$I$1)</f>
        <v>0</v>
      </c>
      <c r="K14" s="11">
        <f>+SUMIFS(JURNAL!H:H,JURNAL!E:E,C14,JURNAL!C:C,"&gt;="&amp;$H$1,JURNAL!C:C,"&lt;="&amp;$I$1)</f>
        <v>0</v>
      </c>
      <c r="L14" s="26">
        <f t="shared" si="2"/>
        <v>129903.67540000001</v>
      </c>
      <c r="M14" s="27">
        <f t="shared" si="3"/>
        <v>0</v>
      </c>
      <c r="N14" s="11"/>
      <c r="O14" s="27">
        <v>2195.7339999999999</v>
      </c>
      <c r="P14" s="11">
        <v>52.18</v>
      </c>
      <c r="Q14" s="11">
        <v>2447.4499999999998</v>
      </c>
      <c r="R14" s="26">
        <f t="shared" si="4"/>
        <v>127707.94140000001</v>
      </c>
      <c r="S14" s="27">
        <f t="shared" si="5"/>
        <v>0</v>
      </c>
      <c r="T14" s="11"/>
      <c r="U14" s="11"/>
      <c r="V14" s="26">
        <f t="shared" si="6"/>
        <v>127707.94140000001</v>
      </c>
      <c r="W14" s="27">
        <f t="shared" si="7"/>
        <v>0</v>
      </c>
      <c r="X14" s="4">
        <v>1101</v>
      </c>
      <c r="Y14" s="4"/>
      <c r="Z14" s="4"/>
      <c r="AA14" s="12">
        <f t="shared" si="8"/>
        <v>1</v>
      </c>
      <c r="AC14" s="118" t="s">
        <v>333</v>
      </c>
      <c r="AD14" s="21" t="str">
        <f t="shared" si="10"/>
        <v>D-120201</v>
      </c>
      <c r="AE14" s="80" t="str">
        <f t="shared" si="11"/>
        <v>D</v>
      </c>
      <c r="AF14" s="21" t="str">
        <f t="shared" si="12"/>
        <v>Компани хоорондын авлага USD</v>
      </c>
      <c r="AJ14" s="413"/>
      <c r="AK14" s="413"/>
      <c r="AL14" s="413"/>
      <c r="AM14" s="413"/>
    </row>
    <row r="15" spans="1:39" ht="12.75" customHeight="1">
      <c r="A15" s="24"/>
      <c r="B15" s="105">
        <f t="shared" si="9"/>
        <v>12</v>
      </c>
      <c r="C15" s="6">
        <v>110204</v>
      </c>
      <c r="D15" s="119" t="s">
        <v>1670</v>
      </c>
      <c r="E15" s="9" t="s">
        <v>30</v>
      </c>
      <c r="F15" s="912">
        <f>20-7.09</f>
        <v>12.91</v>
      </c>
      <c r="G15" s="912">
        <v>2489.5300000000002</v>
      </c>
      <c r="H15" s="27">
        <v>32139.834600000002</v>
      </c>
      <c r="I15" s="27">
        <v>0</v>
      </c>
      <c r="J15" s="11">
        <f>+SUMIFS(JURNAL!G:G,JURNAL!E:E,C15,JURNAL!C:C,"&gt;="&amp;$H$1,JURNAL!C:C,"&lt;="&amp;$I$1)</f>
        <v>0</v>
      </c>
      <c r="K15" s="11">
        <f>+SUMIFS(JURNAL!H:H,JURNAL!E:E,C15,JURNAL!C:C,"&gt;="&amp;$H$1,JURNAL!C:C,"&lt;="&amp;$I$1)</f>
        <v>0</v>
      </c>
      <c r="L15" s="26">
        <f t="shared" si="2"/>
        <v>32139.834600000002</v>
      </c>
      <c r="M15" s="27">
        <f t="shared" si="3"/>
        <v>0</v>
      </c>
      <c r="N15" s="11"/>
      <c r="O15" s="27">
        <v>543.25300000000004</v>
      </c>
      <c r="P15" s="11">
        <v>12.91</v>
      </c>
      <c r="Q15" s="11">
        <v>2447.4499999999998</v>
      </c>
      <c r="R15" s="26">
        <f t="shared" si="4"/>
        <v>31596.581600000001</v>
      </c>
      <c r="S15" s="27">
        <f t="shared" si="5"/>
        <v>0</v>
      </c>
      <c r="T15" s="11"/>
      <c r="U15" s="11"/>
      <c r="V15" s="26">
        <f t="shared" si="6"/>
        <v>31596.581600000001</v>
      </c>
      <c r="W15" s="27">
        <f t="shared" si="7"/>
        <v>0</v>
      </c>
      <c r="X15" s="4">
        <v>1101</v>
      </c>
      <c r="Y15" s="4"/>
      <c r="Z15" s="4"/>
      <c r="AA15" s="12">
        <f t="shared" si="8"/>
        <v>1</v>
      </c>
      <c r="AC15" s="118" t="s">
        <v>334</v>
      </c>
      <c r="AD15" s="21" t="str">
        <f t="shared" si="10"/>
        <v>T-120202</v>
      </c>
      <c r="AE15" s="80" t="str">
        <f t="shared" si="11"/>
        <v>T</v>
      </c>
      <c r="AF15" s="21" t="str">
        <f t="shared" si="12"/>
        <v>Компани хоорондын авлага - Зээлийн хүүгийн авлага MNT</v>
      </c>
      <c r="AJ15" s="413"/>
      <c r="AK15" s="413"/>
      <c r="AL15" s="413"/>
      <c r="AM15" s="413"/>
    </row>
    <row r="16" spans="1:39" ht="12.75" customHeight="1">
      <c r="A16" s="24"/>
      <c r="B16" s="105">
        <f t="shared" si="9"/>
        <v>13</v>
      </c>
      <c r="C16" s="6">
        <v>110300</v>
      </c>
      <c r="D16" s="330" t="s">
        <v>1671</v>
      </c>
      <c r="E16" s="9" t="s">
        <v>31</v>
      </c>
      <c r="F16" s="912">
        <v>250</v>
      </c>
      <c r="G16" s="912"/>
      <c r="H16" s="27">
        <v>10540</v>
      </c>
      <c r="I16" s="27">
        <v>0</v>
      </c>
      <c r="J16" s="11">
        <f>+SUMIFS(JURNAL!G:G,JURNAL!E:E,C16,JURNAL!C:C,"&gt;="&amp;$H$1,JURNAL!C:C,"&lt;="&amp;$I$1)</f>
        <v>0</v>
      </c>
      <c r="K16" s="11">
        <f>+SUMIFS(JURNAL!H:H,JURNAL!E:E,C16,JURNAL!C:C,"&gt;="&amp;$H$1,JURNAL!C:C,"&lt;="&amp;$I$1)</f>
        <v>0</v>
      </c>
      <c r="L16" s="26">
        <f t="shared" si="2"/>
        <v>10540</v>
      </c>
      <c r="M16" s="27">
        <f t="shared" si="3"/>
        <v>0</v>
      </c>
      <c r="N16" s="11"/>
      <c r="O16" s="334"/>
      <c r="P16" s="11">
        <v>250</v>
      </c>
      <c r="Q16" s="11"/>
      <c r="R16" s="26">
        <f t="shared" si="4"/>
        <v>10540</v>
      </c>
      <c r="S16" s="27">
        <f t="shared" si="5"/>
        <v>0</v>
      </c>
      <c r="T16" s="11"/>
      <c r="U16" s="11"/>
      <c r="V16" s="26">
        <f t="shared" si="6"/>
        <v>10540</v>
      </c>
      <c r="W16" s="27">
        <f t="shared" si="7"/>
        <v>0</v>
      </c>
      <c r="X16" s="4">
        <v>1101</v>
      </c>
      <c r="Y16" s="4"/>
      <c r="Z16" s="4"/>
      <c r="AA16" s="12">
        <f t="shared" si="8"/>
        <v>1</v>
      </c>
      <c r="AC16" s="118" t="s">
        <v>335</v>
      </c>
      <c r="AD16" s="21" t="str">
        <f t="shared" si="10"/>
        <v>T-120400</v>
      </c>
      <c r="AE16" s="80" t="str">
        <f t="shared" si="11"/>
        <v>T</v>
      </c>
      <c r="AF16" s="21" t="str">
        <f t="shared" si="12"/>
        <v>Бусад авлага MNT</v>
      </c>
      <c r="AJ16" s="413"/>
      <c r="AK16" s="413"/>
      <c r="AL16" s="413"/>
      <c r="AM16" s="413"/>
    </row>
    <row r="17" spans="1:39" ht="12.75" customHeight="1">
      <c r="A17" s="24"/>
      <c r="B17" s="105">
        <f t="shared" si="9"/>
        <v>14</v>
      </c>
      <c r="C17" s="6">
        <v>900100</v>
      </c>
      <c r="D17" s="118" t="s">
        <v>951</v>
      </c>
      <c r="E17" s="9" t="s">
        <v>32</v>
      </c>
      <c r="F17" s="27"/>
      <c r="G17" s="27"/>
      <c r="H17" s="27">
        <v>0</v>
      </c>
      <c r="I17" s="27">
        <v>0</v>
      </c>
      <c r="J17" s="11">
        <f>+SUMIFS(JURNAL!G:G,JURNAL!E:E,C17,JURNAL!C:C,"&gt;="&amp;$H$1,JURNAL!C:C,"&lt;="&amp;$I$1)</f>
        <v>0</v>
      </c>
      <c r="K17" s="11">
        <f>+SUMIFS(JURNAL!H:H,JURNAL!E:E,C17,JURNAL!C:C,"&gt;="&amp;$H$1,JURNAL!C:C,"&lt;="&amp;$I$1)</f>
        <v>0</v>
      </c>
      <c r="L17" s="26">
        <f t="shared" si="2"/>
        <v>0</v>
      </c>
      <c r="M17" s="27">
        <f t="shared" si="3"/>
        <v>0</v>
      </c>
      <c r="N17" s="11"/>
      <c r="O17" s="334"/>
      <c r="P17" s="11"/>
      <c r="Q17" s="11"/>
      <c r="R17" s="26">
        <f t="shared" si="4"/>
        <v>0</v>
      </c>
      <c r="S17" s="27">
        <f t="shared" si="5"/>
        <v>0</v>
      </c>
      <c r="T17" s="11"/>
      <c r="U17" s="11"/>
      <c r="V17" s="26">
        <f t="shared" si="6"/>
        <v>0</v>
      </c>
      <c r="W17" s="27">
        <f t="shared" si="7"/>
        <v>0</v>
      </c>
      <c r="X17" s="4">
        <v>1101</v>
      </c>
      <c r="Y17" s="4"/>
      <c r="Z17" s="4"/>
      <c r="AA17" s="12">
        <f t="shared" si="8"/>
        <v>0</v>
      </c>
      <c r="AC17" s="118" t="s">
        <v>336</v>
      </c>
      <c r="AD17" s="21" t="str">
        <f t="shared" si="10"/>
        <v>D-120401</v>
      </c>
      <c r="AE17" s="80" t="str">
        <f t="shared" si="11"/>
        <v>D</v>
      </c>
      <c r="AF17" s="21" t="str">
        <f t="shared" si="12"/>
        <v>Бусад авлага USD</v>
      </c>
      <c r="AJ17" s="413"/>
      <c r="AK17" s="413"/>
      <c r="AL17" s="413"/>
      <c r="AM17" s="413"/>
    </row>
    <row r="18" spans="1:39" ht="12.75" customHeight="1">
      <c r="A18" s="24"/>
      <c r="B18" s="105">
        <f t="shared" si="9"/>
        <v>15</v>
      </c>
      <c r="C18" s="6">
        <v>120100</v>
      </c>
      <c r="D18" s="118" t="s">
        <v>952</v>
      </c>
      <c r="E18" s="9" t="s">
        <v>32</v>
      </c>
      <c r="F18" s="27"/>
      <c r="G18" s="27"/>
      <c r="H18" s="27">
        <v>2644403.0000789911</v>
      </c>
      <c r="I18" s="27">
        <v>0</v>
      </c>
      <c r="J18" s="11">
        <f>+SUMIFS(JURNAL!G:G,JURNAL!E:E,C18,JURNAL!C:C,"&gt;="&amp;$H$1,JURNAL!C:C,"&lt;="&amp;$I$1)</f>
        <v>11617700</v>
      </c>
      <c r="K18" s="11">
        <f>+SUMIFS(JURNAL!H:H,JURNAL!E:E,C18,JURNAL!C:C,"&gt;="&amp;$H$1,JURNAL!C:C,"&lt;="&amp;$I$1)</f>
        <v>4517700</v>
      </c>
      <c r="L18" s="26">
        <f t="shared" si="2"/>
        <v>9744403.0000789911</v>
      </c>
      <c r="M18" s="27">
        <f t="shared" si="3"/>
        <v>0</v>
      </c>
      <c r="N18" s="11"/>
      <c r="O18" s="334"/>
      <c r="P18" s="11"/>
      <c r="Q18" s="11"/>
      <c r="R18" s="26">
        <f t="shared" si="4"/>
        <v>9744403.0000789911</v>
      </c>
      <c r="S18" s="27">
        <f t="shared" si="5"/>
        <v>0</v>
      </c>
      <c r="T18" s="11"/>
      <c r="U18" s="11"/>
      <c r="V18" s="26">
        <f t="shared" si="6"/>
        <v>9744403.0000789911</v>
      </c>
      <c r="W18" s="27">
        <f t="shared" si="7"/>
        <v>0</v>
      </c>
      <c r="X18" s="4">
        <v>1102</v>
      </c>
      <c r="Y18" s="4"/>
      <c r="Z18" s="4"/>
      <c r="AA18" s="12">
        <f t="shared" si="8"/>
        <v>1</v>
      </c>
      <c r="AC18" s="118" t="s">
        <v>337</v>
      </c>
      <c r="AD18" s="21" t="str">
        <f t="shared" si="10"/>
        <v>а-120600</v>
      </c>
      <c r="AE18" s="80" t="str">
        <f t="shared" si="11"/>
        <v>а</v>
      </c>
      <c r="AF18" s="21" t="str">
        <f t="shared" si="12"/>
        <v>НӨАТ авлага</v>
      </c>
      <c r="AJ18" s="413"/>
      <c r="AK18" s="413"/>
      <c r="AL18" s="413"/>
      <c r="AM18" s="413"/>
    </row>
    <row r="19" spans="1:39" ht="12.75" customHeight="1">
      <c r="A19" s="24"/>
      <c r="B19" s="105">
        <f t="shared" si="9"/>
        <v>16</v>
      </c>
      <c r="C19" s="6">
        <v>120201</v>
      </c>
      <c r="D19" s="118" t="s">
        <v>953</v>
      </c>
      <c r="E19" s="9" t="s">
        <v>30</v>
      </c>
      <c r="F19" s="27"/>
      <c r="G19" s="27"/>
      <c r="H19" s="27">
        <v>0</v>
      </c>
      <c r="I19" s="27">
        <v>0</v>
      </c>
      <c r="J19" s="11">
        <f>+SUMIFS(JURNAL!G:G,JURNAL!E:E,C19,JURNAL!C:C,"&gt;="&amp;$H$1,JURNAL!C:C,"&lt;="&amp;$I$1)</f>
        <v>0</v>
      </c>
      <c r="K19" s="11">
        <f>+SUMIFS(JURNAL!H:H,JURNAL!E:E,C19,JURNAL!C:C,"&gt;="&amp;$H$1,JURNAL!C:C,"&lt;="&amp;$I$1)</f>
        <v>0</v>
      </c>
      <c r="L19" s="26">
        <f t="shared" si="2"/>
        <v>0</v>
      </c>
      <c r="M19" s="27">
        <f t="shared" si="3"/>
        <v>0</v>
      </c>
      <c r="N19" s="11"/>
      <c r="O19" s="334"/>
      <c r="P19" s="11"/>
      <c r="Q19" s="11"/>
      <c r="R19" s="26">
        <f t="shared" si="4"/>
        <v>0</v>
      </c>
      <c r="S19" s="27">
        <f t="shared" si="5"/>
        <v>0</v>
      </c>
      <c r="T19" s="11"/>
      <c r="U19" s="11"/>
      <c r="V19" s="26">
        <f t="shared" si="6"/>
        <v>0</v>
      </c>
      <c r="W19" s="27">
        <f t="shared" si="7"/>
        <v>0</v>
      </c>
      <c r="X19" s="4">
        <v>1102</v>
      </c>
      <c r="Y19" s="4"/>
      <c r="Z19" s="4"/>
      <c r="AA19" s="12">
        <f t="shared" si="8"/>
        <v>0</v>
      </c>
      <c r="AC19" s="118" t="s">
        <v>338</v>
      </c>
      <c r="AD19" s="21" t="str">
        <f t="shared" si="10"/>
        <v>а-120700</v>
      </c>
      <c r="AE19" s="80" t="str">
        <f t="shared" si="11"/>
        <v>а</v>
      </c>
      <c r="AF19" s="21" t="str">
        <f t="shared" si="12"/>
        <v>ААНОАТ авлага</v>
      </c>
      <c r="AJ19" s="413"/>
      <c r="AK19" s="413"/>
      <c r="AL19" s="413"/>
      <c r="AM19" s="413"/>
    </row>
    <row r="20" spans="1:39" ht="12.75" customHeight="1">
      <c r="A20" s="24"/>
      <c r="B20" s="105">
        <f t="shared" si="9"/>
        <v>17</v>
      </c>
      <c r="C20" s="6">
        <v>120200</v>
      </c>
      <c r="D20" s="118" t="s">
        <v>954</v>
      </c>
      <c r="E20" s="9" t="s">
        <v>32</v>
      </c>
      <c r="F20" s="27"/>
      <c r="G20" s="27"/>
      <c r="H20" s="27">
        <v>0</v>
      </c>
      <c r="I20" s="27">
        <v>0</v>
      </c>
      <c r="J20" s="11">
        <f>+SUMIFS(JURNAL!G:G,JURNAL!E:E,C20,JURNAL!C:C,"&gt;="&amp;$H$1,JURNAL!C:C,"&lt;="&amp;$I$1)</f>
        <v>0</v>
      </c>
      <c r="K20" s="11">
        <f>+SUMIFS(JURNAL!H:H,JURNAL!E:E,C20,JURNAL!C:C,"&gt;="&amp;$H$1,JURNAL!C:C,"&lt;="&amp;$I$1)</f>
        <v>0</v>
      </c>
      <c r="L20" s="26">
        <f t="shared" si="2"/>
        <v>0</v>
      </c>
      <c r="M20" s="27">
        <f t="shared" si="3"/>
        <v>0</v>
      </c>
      <c r="N20" s="11"/>
      <c r="O20" s="334"/>
      <c r="P20" s="11"/>
      <c r="Q20" s="11"/>
      <c r="R20" s="26">
        <f t="shared" si="4"/>
        <v>0</v>
      </c>
      <c r="S20" s="27">
        <f t="shared" si="5"/>
        <v>0</v>
      </c>
      <c r="T20" s="11"/>
      <c r="U20" s="11"/>
      <c r="V20" s="26">
        <f t="shared" si="6"/>
        <v>0</v>
      </c>
      <c r="W20" s="27">
        <f t="shared" si="7"/>
        <v>0</v>
      </c>
      <c r="X20" s="4">
        <v>1102</v>
      </c>
      <c r="Y20" s="4"/>
      <c r="Z20" s="4"/>
      <c r="AA20" s="12">
        <f t="shared" si="8"/>
        <v>0</v>
      </c>
      <c r="AC20" s="118" t="s">
        <v>339</v>
      </c>
      <c r="AD20" s="21" t="str">
        <f t="shared" si="10"/>
        <v>а-120800</v>
      </c>
      <c r="AE20" s="80" t="str">
        <f t="shared" si="11"/>
        <v>а</v>
      </c>
      <c r="AF20" s="21" t="str">
        <f t="shared" si="12"/>
        <v>ХАОАТ авлага</v>
      </c>
      <c r="AJ20" s="413"/>
      <c r="AK20" s="413"/>
      <c r="AL20" s="413"/>
      <c r="AM20" s="413"/>
    </row>
    <row r="21" spans="1:39" ht="12.75" customHeight="1">
      <c r="A21" s="24"/>
      <c r="B21" s="105">
        <f t="shared" si="9"/>
        <v>18</v>
      </c>
      <c r="C21" s="6">
        <v>120201</v>
      </c>
      <c r="D21" s="118" t="s">
        <v>955</v>
      </c>
      <c r="E21" s="9" t="s">
        <v>30</v>
      </c>
      <c r="F21" s="27"/>
      <c r="G21" s="27"/>
      <c r="H21" s="27">
        <v>0</v>
      </c>
      <c r="I21" s="27">
        <v>0</v>
      </c>
      <c r="J21" s="11">
        <f>+SUMIFS(JURNAL!G:G,JURNAL!E:E,C21,JURNAL!C:C,"&gt;="&amp;$H$1,JURNAL!C:C,"&lt;="&amp;$I$1)</f>
        <v>0</v>
      </c>
      <c r="K21" s="11">
        <f>+SUMIFS(JURNAL!H:H,JURNAL!E:E,C21,JURNAL!C:C,"&gt;="&amp;$H$1,JURNAL!C:C,"&lt;="&amp;$I$1)</f>
        <v>0</v>
      </c>
      <c r="L21" s="26">
        <f t="shared" si="2"/>
        <v>0</v>
      </c>
      <c r="M21" s="27">
        <f t="shared" si="3"/>
        <v>0</v>
      </c>
      <c r="N21" s="11"/>
      <c r="O21" s="334"/>
      <c r="P21" s="11"/>
      <c r="Q21" s="11"/>
      <c r="R21" s="26">
        <f t="shared" si="4"/>
        <v>0</v>
      </c>
      <c r="S21" s="27">
        <f t="shared" si="5"/>
        <v>0</v>
      </c>
      <c r="T21" s="11"/>
      <c r="U21" s="11"/>
      <c r="V21" s="26">
        <f t="shared" si="6"/>
        <v>0</v>
      </c>
      <c r="W21" s="27">
        <f t="shared" si="7"/>
        <v>0</v>
      </c>
      <c r="X21" s="4">
        <v>1102</v>
      </c>
      <c r="Y21" s="4"/>
      <c r="Z21" s="4"/>
      <c r="AA21" s="12">
        <f t="shared" si="8"/>
        <v>0</v>
      </c>
      <c r="AC21" s="118" t="s">
        <v>340</v>
      </c>
      <c r="AD21" s="21" t="str">
        <f t="shared" si="10"/>
        <v>а-120900</v>
      </c>
      <c r="AE21" s="80" t="str">
        <f t="shared" si="11"/>
        <v>а</v>
      </c>
      <c r="AF21" s="21" t="str">
        <f t="shared" si="12"/>
        <v>НД-ын байгууллагаас авах авлага</v>
      </c>
      <c r="AJ21" s="413"/>
      <c r="AK21" s="413"/>
      <c r="AL21" s="413"/>
      <c r="AM21" s="413"/>
    </row>
    <row r="22" spans="1:39" ht="12.75" customHeight="1">
      <c r="A22" s="24"/>
      <c r="B22" s="105">
        <f t="shared" si="9"/>
        <v>19</v>
      </c>
      <c r="C22" s="6">
        <v>120202</v>
      </c>
      <c r="D22" s="118" t="s">
        <v>956</v>
      </c>
      <c r="E22" s="9" t="s">
        <v>32</v>
      </c>
      <c r="F22" s="27"/>
      <c r="G22" s="27"/>
      <c r="H22" s="27">
        <v>0</v>
      </c>
      <c r="I22" s="27">
        <v>0</v>
      </c>
      <c r="J22" s="11">
        <f>+SUMIFS(JURNAL!G:G,JURNAL!E:E,C22,JURNAL!C:C,"&gt;="&amp;$H$1,JURNAL!C:C,"&lt;="&amp;$I$1)</f>
        <v>0</v>
      </c>
      <c r="K22" s="11">
        <f>+SUMIFS(JURNAL!H:H,JURNAL!E:E,C22,JURNAL!C:C,"&gt;="&amp;$H$1,JURNAL!C:C,"&lt;="&amp;$I$1)</f>
        <v>0</v>
      </c>
      <c r="L22" s="26">
        <f t="shared" si="2"/>
        <v>0</v>
      </c>
      <c r="M22" s="27">
        <f t="shared" si="3"/>
        <v>0</v>
      </c>
      <c r="N22" s="11"/>
      <c r="O22" s="334"/>
      <c r="P22" s="11"/>
      <c r="Q22" s="11"/>
      <c r="R22" s="26">
        <f t="shared" si="4"/>
        <v>0</v>
      </c>
      <c r="S22" s="27">
        <f t="shared" si="5"/>
        <v>0</v>
      </c>
      <c r="T22" s="11"/>
      <c r="U22" s="11"/>
      <c r="V22" s="26">
        <f t="shared" si="6"/>
        <v>0</v>
      </c>
      <c r="W22" s="27">
        <f t="shared" si="7"/>
        <v>0</v>
      </c>
      <c r="X22" s="4">
        <v>1102</v>
      </c>
      <c r="Y22" s="4"/>
      <c r="Z22" s="4"/>
      <c r="AA22" s="12">
        <f t="shared" si="8"/>
        <v>0</v>
      </c>
      <c r="AC22" s="118" t="s">
        <v>341</v>
      </c>
      <c r="AD22" s="21" t="str">
        <f t="shared" si="10"/>
        <v>а-121000</v>
      </c>
      <c r="AE22" s="80" t="str">
        <f t="shared" si="11"/>
        <v>а</v>
      </c>
      <c r="AF22" s="21" t="str">
        <f t="shared" si="12"/>
        <v>Бусад татварын авлага</v>
      </c>
      <c r="AJ22" s="413"/>
      <c r="AK22" s="413"/>
      <c r="AL22" s="413"/>
      <c r="AM22" s="413"/>
    </row>
    <row r="23" spans="1:39" ht="12.75" customHeight="1">
      <c r="A23" s="24"/>
      <c r="B23" s="105">
        <f t="shared" si="9"/>
        <v>20</v>
      </c>
      <c r="C23" s="6">
        <v>120400</v>
      </c>
      <c r="D23" s="118" t="s">
        <v>549</v>
      </c>
      <c r="E23" s="9" t="s">
        <v>32</v>
      </c>
      <c r="F23" s="27"/>
      <c r="G23" s="27"/>
      <c r="H23" s="27">
        <v>0</v>
      </c>
      <c r="I23" s="27">
        <v>0</v>
      </c>
      <c r="J23" s="11">
        <f>+SUMIFS(JURNAL!G:G,JURNAL!E:E,C23,JURNAL!C:C,"&gt;="&amp;$H$1,JURNAL!C:C,"&lt;="&amp;$I$1)</f>
        <v>0</v>
      </c>
      <c r="K23" s="11">
        <f>+SUMIFS(JURNAL!H:H,JURNAL!E:E,C23,JURNAL!C:C,"&gt;="&amp;$H$1,JURNAL!C:C,"&lt;="&amp;$I$1)</f>
        <v>0</v>
      </c>
      <c r="L23" s="26">
        <f t="shared" si="2"/>
        <v>0</v>
      </c>
      <c r="M23" s="27">
        <f t="shared" si="3"/>
        <v>0</v>
      </c>
      <c r="N23" s="11"/>
      <c r="O23" s="334"/>
      <c r="P23" s="11"/>
      <c r="Q23" s="11"/>
      <c r="R23" s="26">
        <f t="shared" si="4"/>
        <v>0</v>
      </c>
      <c r="S23" s="27">
        <f t="shared" si="5"/>
        <v>0</v>
      </c>
      <c r="T23" s="11"/>
      <c r="U23" s="11"/>
      <c r="V23" s="26">
        <f t="shared" si="6"/>
        <v>0</v>
      </c>
      <c r="W23" s="27">
        <f t="shared" si="7"/>
        <v>0</v>
      </c>
      <c r="X23" s="4">
        <v>1104</v>
      </c>
      <c r="Y23" s="4"/>
      <c r="Z23" s="4"/>
      <c r="AA23" s="12">
        <f t="shared" si="8"/>
        <v>0</v>
      </c>
      <c r="AC23" s="118" t="s">
        <v>342</v>
      </c>
      <c r="AD23" s="21" t="str">
        <f t="shared" si="10"/>
        <v>а-121100</v>
      </c>
      <c r="AE23" s="80" t="str">
        <f t="shared" si="11"/>
        <v>а</v>
      </c>
      <c r="AF23" s="21" t="str">
        <f t="shared" si="12"/>
        <v>Ажилчдаас авах авлага</v>
      </c>
      <c r="AJ23" s="413"/>
      <c r="AK23" s="413"/>
      <c r="AL23" s="413"/>
      <c r="AM23" s="413"/>
    </row>
    <row r="24" spans="1:39" ht="12.75" customHeight="1">
      <c r="A24" s="24"/>
      <c r="B24" s="105">
        <f t="shared" si="9"/>
        <v>21</v>
      </c>
      <c r="C24" s="6">
        <v>120401</v>
      </c>
      <c r="D24" s="118" t="s">
        <v>957</v>
      </c>
      <c r="E24" s="9" t="s">
        <v>30</v>
      </c>
      <c r="F24" s="27"/>
      <c r="G24" s="27"/>
      <c r="H24" s="27">
        <v>0</v>
      </c>
      <c r="I24" s="27">
        <v>0</v>
      </c>
      <c r="J24" s="11">
        <f>+SUMIFS(JURNAL!G:G,JURNAL!E:E,C24,JURNAL!C:C,"&gt;="&amp;$H$1,JURNAL!C:C,"&lt;="&amp;$I$1)</f>
        <v>0</v>
      </c>
      <c r="K24" s="11">
        <f>+SUMIFS(JURNAL!H:H,JURNAL!E:E,C24,JURNAL!C:C,"&gt;="&amp;$H$1,JURNAL!C:C,"&lt;="&amp;$I$1)</f>
        <v>0</v>
      </c>
      <c r="L24" s="26">
        <f t="shared" si="2"/>
        <v>0</v>
      </c>
      <c r="M24" s="27">
        <f t="shared" si="3"/>
        <v>0</v>
      </c>
      <c r="N24" s="11"/>
      <c r="O24" s="334"/>
      <c r="P24" s="11"/>
      <c r="Q24" s="11"/>
      <c r="R24" s="26">
        <f t="shared" si="4"/>
        <v>0</v>
      </c>
      <c r="S24" s="27">
        <f t="shared" si="5"/>
        <v>0</v>
      </c>
      <c r="T24" s="11"/>
      <c r="U24" s="11"/>
      <c r="V24" s="26">
        <f t="shared" si="6"/>
        <v>0</v>
      </c>
      <c r="W24" s="27">
        <f t="shared" si="7"/>
        <v>0</v>
      </c>
      <c r="X24" s="4">
        <v>1104</v>
      </c>
      <c r="Y24" s="4"/>
      <c r="Z24" s="4"/>
      <c r="AA24" s="12">
        <f t="shared" si="8"/>
        <v>0</v>
      </c>
      <c r="AC24" s="118" t="s">
        <v>343</v>
      </c>
      <c r="AD24" s="21" t="str">
        <f t="shared" si="10"/>
        <v xml:space="preserve"> -121200</v>
      </c>
      <c r="AE24" s="80" t="str">
        <f t="shared" si="11"/>
        <v/>
      </c>
      <c r="AF24" s="21" t="str">
        <f t="shared" si="12"/>
        <v xml:space="preserve">Ажилчидын дараа тайлангийн тооцоо </v>
      </c>
      <c r="AJ24" s="413"/>
      <c r="AK24" s="413"/>
      <c r="AL24" s="413"/>
      <c r="AM24" s="413"/>
    </row>
    <row r="25" spans="1:39" ht="12.75" customHeight="1">
      <c r="A25" s="24"/>
      <c r="B25" s="105">
        <f t="shared" si="9"/>
        <v>22</v>
      </c>
      <c r="C25" s="6">
        <v>120600</v>
      </c>
      <c r="D25" s="118" t="s">
        <v>554</v>
      </c>
      <c r="E25" s="9" t="s">
        <v>32</v>
      </c>
      <c r="F25" s="27"/>
      <c r="G25" s="27"/>
      <c r="H25" s="27">
        <v>0</v>
      </c>
      <c r="I25" s="27">
        <v>0</v>
      </c>
      <c r="J25" s="11">
        <f>+SUMIFS(JURNAL!G:G,JURNAL!E:E,C25,JURNAL!C:C,"&gt;="&amp;$H$1,JURNAL!C:C,"&lt;="&amp;$I$1)</f>
        <v>2585067.0367200002</v>
      </c>
      <c r="K25" s="11">
        <f>+SUMIFS(JURNAL!H:H,JURNAL!E:E,C25,JURNAL!C:C,"&gt;="&amp;$H$1,JURNAL!C:C,"&lt;="&amp;$I$1)</f>
        <v>0</v>
      </c>
      <c r="L25" s="26">
        <f t="shared" si="2"/>
        <v>2585067.0367200002</v>
      </c>
      <c r="M25" s="27">
        <f t="shared" si="3"/>
        <v>0</v>
      </c>
      <c r="N25" s="11"/>
      <c r="O25" s="334">
        <v>2585067.0366199999</v>
      </c>
      <c r="P25" s="11"/>
      <c r="Q25" s="11"/>
      <c r="R25" s="26">
        <f t="shared" si="4"/>
        <v>1.000002957880497E-4</v>
      </c>
      <c r="S25" s="27">
        <f t="shared" si="5"/>
        <v>0</v>
      </c>
      <c r="T25" s="11"/>
      <c r="U25" s="11"/>
      <c r="V25" s="26">
        <f t="shared" si="6"/>
        <v>1.000002957880497E-4</v>
      </c>
      <c r="W25" s="27">
        <f t="shared" si="7"/>
        <v>0</v>
      </c>
      <c r="X25" s="4">
        <v>1103</v>
      </c>
      <c r="Y25" s="4"/>
      <c r="Z25" s="4"/>
      <c r="AA25" s="12">
        <f t="shared" si="8"/>
        <v>1</v>
      </c>
      <c r="AC25" s="118" t="s">
        <v>344</v>
      </c>
      <c r="AD25" s="21" t="str">
        <f t="shared" si="10"/>
        <v>T-122000</v>
      </c>
      <c r="AE25" s="80" t="str">
        <f t="shared" si="11"/>
        <v>T</v>
      </c>
      <c r="AF25" s="21" t="str">
        <f t="shared" si="12"/>
        <v>Борлуулалтын авлагын түр тооцоо MNT</v>
      </c>
      <c r="AJ25" s="413"/>
      <c r="AK25" s="413"/>
      <c r="AL25" s="413"/>
      <c r="AM25" s="413"/>
    </row>
    <row r="26" spans="1:39" ht="12.75" customHeight="1">
      <c r="A26" s="24"/>
      <c r="B26" s="105">
        <f t="shared" si="9"/>
        <v>23</v>
      </c>
      <c r="C26" s="6">
        <v>120700</v>
      </c>
      <c r="D26" s="118" t="s">
        <v>559</v>
      </c>
      <c r="E26" s="9" t="s">
        <v>32</v>
      </c>
      <c r="F26" s="27"/>
      <c r="G26" s="27"/>
      <c r="H26" s="27">
        <v>0</v>
      </c>
      <c r="I26" s="27">
        <v>0</v>
      </c>
      <c r="J26" s="11">
        <f>+SUMIFS(JURNAL!G:G,JURNAL!E:E,C26,JURNAL!C:C,"&gt;="&amp;$H$1,JURNAL!C:C,"&lt;="&amp;$I$1)</f>
        <v>0</v>
      </c>
      <c r="K26" s="11">
        <f>+SUMIFS(JURNAL!H:H,JURNAL!E:E,C26,JURNAL!C:C,"&gt;="&amp;$H$1,JURNAL!C:C,"&lt;="&amp;$I$1)</f>
        <v>0</v>
      </c>
      <c r="L26" s="26">
        <f t="shared" si="2"/>
        <v>0</v>
      </c>
      <c r="M26" s="27">
        <f t="shared" si="3"/>
        <v>0</v>
      </c>
      <c r="N26" s="11"/>
      <c r="O26" s="334">
        <v>0</v>
      </c>
      <c r="P26" s="11"/>
      <c r="Q26" s="11"/>
      <c r="R26" s="26">
        <f t="shared" si="4"/>
        <v>0</v>
      </c>
      <c r="S26" s="27">
        <f t="shared" si="5"/>
        <v>0</v>
      </c>
      <c r="T26" s="11"/>
      <c r="U26" s="11"/>
      <c r="V26" s="26">
        <f t="shared" si="6"/>
        <v>0</v>
      </c>
      <c r="W26" s="27">
        <f t="shared" si="7"/>
        <v>0</v>
      </c>
      <c r="X26" s="4">
        <v>1103</v>
      </c>
      <c r="Y26" s="4"/>
      <c r="Z26" s="4"/>
      <c r="AA26" s="12">
        <f t="shared" si="8"/>
        <v>0</v>
      </c>
      <c r="AC26" s="118" t="s">
        <v>345</v>
      </c>
      <c r="AD26" s="21" t="str">
        <f t="shared" si="10"/>
        <v>D-122001</v>
      </c>
      <c r="AE26" s="80" t="str">
        <f t="shared" si="11"/>
        <v>D</v>
      </c>
      <c r="AF26" s="21" t="str">
        <f t="shared" si="12"/>
        <v>Борлуулалтын авлагын түр тооцооUSD</v>
      </c>
      <c r="AJ26" s="413"/>
      <c r="AK26" s="413"/>
      <c r="AL26" s="413"/>
      <c r="AM26" s="413"/>
    </row>
    <row r="27" spans="1:39" ht="12.75" customHeight="1">
      <c r="A27" s="24"/>
      <c r="B27" s="105">
        <f t="shared" si="9"/>
        <v>24</v>
      </c>
      <c r="C27" s="6">
        <v>120800</v>
      </c>
      <c r="D27" s="118" t="s">
        <v>564</v>
      </c>
      <c r="E27" s="9" t="s">
        <v>32</v>
      </c>
      <c r="F27" s="27"/>
      <c r="G27" s="27"/>
      <c r="H27" s="27">
        <v>194165.4299999997</v>
      </c>
      <c r="I27" s="27">
        <v>0</v>
      </c>
      <c r="J27" s="11">
        <f>+SUMIFS(JURNAL!G:G,JURNAL!E:E,C27,JURNAL!C:C,"&gt;="&amp;$H$1,JURNAL!C:C,"&lt;="&amp;$I$1)</f>
        <v>0</v>
      </c>
      <c r="K27" s="11">
        <f>+SUMIFS(JURNAL!H:H,JURNAL!E:E,C27,JURNAL!C:C,"&gt;="&amp;$H$1,JURNAL!C:C,"&lt;="&amp;$I$1)</f>
        <v>0</v>
      </c>
      <c r="L27" s="26">
        <f t="shared" si="2"/>
        <v>194165.4299999997</v>
      </c>
      <c r="M27" s="27">
        <f t="shared" si="3"/>
        <v>0</v>
      </c>
      <c r="N27" s="11"/>
      <c r="O27" s="334">
        <v>194165.4299999997</v>
      </c>
      <c r="P27" s="11"/>
      <c r="Q27" s="11"/>
      <c r="R27" s="26">
        <f t="shared" si="4"/>
        <v>0</v>
      </c>
      <c r="S27" s="27">
        <f t="shared" si="5"/>
        <v>0</v>
      </c>
      <c r="T27" s="11"/>
      <c r="U27" s="11"/>
      <c r="V27" s="26">
        <f t="shared" si="6"/>
        <v>0</v>
      </c>
      <c r="W27" s="27">
        <f t="shared" si="7"/>
        <v>0</v>
      </c>
      <c r="X27" s="4">
        <v>1103</v>
      </c>
      <c r="Y27" s="4"/>
      <c r="Z27" s="4"/>
      <c r="AA27" s="12">
        <f t="shared" si="8"/>
        <v>1</v>
      </c>
      <c r="AC27" s="118" t="s">
        <v>346</v>
      </c>
      <c r="AD27" s="21" t="str">
        <f t="shared" si="10"/>
        <v xml:space="preserve"> -130100</v>
      </c>
      <c r="AE27" s="80" t="str">
        <f t="shared" si="11"/>
        <v/>
      </c>
      <c r="AF27" s="21" t="str">
        <f t="shared" si="12"/>
        <v xml:space="preserve">Богино хугацаат хөрөнгө оруулалт </v>
      </c>
      <c r="AJ27" s="413"/>
      <c r="AK27" s="413"/>
      <c r="AL27" s="413"/>
      <c r="AM27" s="413"/>
    </row>
    <row r="28" spans="1:39" ht="12.75" customHeight="1">
      <c r="A28" s="24"/>
      <c r="B28" s="105">
        <f t="shared" si="9"/>
        <v>25</v>
      </c>
      <c r="C28" s="6">
        <v>120900</v>
      </c>
      <c r="D28" s="118" t="s">
        <v>569</v>
      </c>
      <c r="E28" s="9" t="s">
        <v>32</v>
      </c>
      <c r="F28" s="27"/>
      <c r="G28" s="27"/>
      <c r="H28" s="27">
        <v>391433.69999999925</v>
      </c>
      <c r="I28" s="27">
        <v>0</v>
      </c>
      <c r="J28" s="11">
        <f>+SUMIFS(JURNAL!G:G,JURNAL!E:E,C28,JURNAL!C:C,"&gt;="&amp;$H$1,JURNAL!C:C,"&lt;="&amp;$I$1)</f>
        <v>3000000</v>
      </c>
      <c r="K28" s="11">
        <f>+SUMIFS(JURNAL!H:H,JURNAL!E:E,C28,JURNAL!C:C,"&gt;="&amp;$H$1,JURNAL!C:C,"&lt;="&amp;$I$1)</f>
        <v>0</v>
      </c>
      <c r="L28" s="26">
        <f t="shared" si="2"/>
        <v>3391433.6999999993</v>
      </c>
      <c r="M28" s="27">
        <f t="shared" si="3"/>
        <v>0</v>
      </c>
      <c r="N28" s="11"/>
      <c r="O28" s="334">
        <v>3391433.6999999993</v>
      </c>
      <c r="P28" s="11"/>
      <c r="Q28" s="11"/>
      <c r="R28" s="26">
        <f t="shared" si="4"/>
        <v>0</v>
      </c>
      <c r="S28" s="27">
        <f t="shared" si="5"/>
        <v>0</v>
      </c>
      <c r="T28" s="11"/>
      <c r="U28" s="11"/>
      <c r="V28" s="26">
        <f t="shared" si="6"/>
        <v>0</v>
      </c>
      <c r="W28" s="27">
        <f t="shared" si="7"/>
        <v>0</v>
      </c>
      <c r="X28" s="4">
        <v>1103</v>
      </c>
      <c r="Y28" s="4"/>
      <c r="Z28" s="4"/>
      <c r="AA28" s="12">
        <f t="shared" si="8"/>
        <v>1</v>
      </c>
      <c r="AC28" s="118" t="s">
        <v>347</v>
      </c>
      <c r="AD28" s="21" t="str">
        <f t="shared" si="10"/>
        <v>а-130500</v>
      </c>
      <c r="AE28" s="80" t="str">
        <f t="shared" si="11"/>
        <v>а</v>
      </c>
      <c r="AF28" s="21" t="str">
        <f t="shared" si="12"/>
        <v>БХХО-ын хасалдуулга</v>
      </c>
      <c r="AJ28" s="413"/>
      <c r="AK28" s="413"/>
      <c r="AL28" s="413"/>
      <c r="AM28" s="413"/>
    </row>
    <row r="29" spans="1:39" ht="12.75" customHeight="1">
      <c r="A29" s="24"/>
      <c r="B29" s="105">
        <f t="shared" si="9"/>
        <v>26</v>
      </c>
      <c r="C29" s="6">
        <v>121000</v>
      </c>
      <c r="D29" s="118" t="s">
        <v>574</v>
      </c>
      <c r="E29" s="9" t="s">
        <v>32</v>
      </c>
      <c r="F29" s="27"/>
      <c r="G29" s="27"/>
      <c r="H29" s="27">
        <v>0</v>
      </c>
      <c r="I29" s="27">
        <v>0</v>
      </c>
      <c r="J29" s="11">
        <f>+SUMIFS(JURNAL!G:G,JURNAL!E:E,C29,JURNAL!C:C,"&gt;="&amp;$H$1,JURNAL!C:C,"&lt;="&amp;$I$1)</f>
        <v>0</v>
      </c>
      <c r="K29" s="11">
        <f>+SUMIFS(JURNAL!H:H,JURNAL!E:E,C29,JURNAL!C:C,"&gt;="&amp;$H$1,JURNAL!C:C,"&lt;="&amp;$I$1)</f>
        <v>0</v>
      </c>
      <c r="L29" s="26">
        <f t="shared" si="2"/>
        <v>0</v>
      </c>
      <c r="M29" s="27">
        <f t="shared" si="3"/>
        <v>0</v>
      </c>
      <c r="N29" s="11"/>
      <c r="O29" s="334"/>
      <c r="P29" s="11"/>
      <c r="Q29" s="11"/>
      <c r="R29" s="26">
        <f t="shared" si="4"/>
        <v>0</v>
      </c>
      <c r="S29" s="27">
        <f t="shared" si="5"/>
        <v>0</v>
      </c>
      <c r="T29" s="11"/>
      <c r="U29" s="11"/>
      <c r="V29" s="26">
        <f t="shared" si="6"/>
        <v>0</v>
      </c>
      <c r="W29" s="27">
        <f t="shared" si="7"/>
        <v>0</v>
      </c>
      <c r="X29" s="4">
        <v>1103</v>
      </c>
      <c r="Y29" s="4"/>
      <c r="Z29" s="4"/>
      <c r="AA29" s="12">
        <f t="shared" si="8"/>
        <v>0</v>
      </c>
      <c r="AC29" s="118" t="s">
        <v>348</v>
      </c>
      <c r="AD29" s="21" t="str">
        <f t="shared" si="10"/>
        <v>л-140100</v>
      </c>
      <c r="AE29" s="80" t="str">
        <f t="shared" si="11"/>
        <v>л</v>
      </c>
      <c r="AF29" s="21" t="str">
        <f t="shared" si="12"/>
        <v>Түүхий эд материал</v>
      </c>
      <c r="AJ29" s="413"/>
      <c r="AK29" s="413"/>
      <c r="AL29" s="413"/>
      <c r="AM29" s="413"/>
    </row>
    <row r="30" spans="1:39" ht="12.75" customHeight="1">
      <c r="A30" s="24"/>
      <c r="B30" s="105">
        <f t="shared" si="9"/>
        <v>27</v>
      </c>
      <c r="C30" s="6">
        <v>121100</v>
      </c>
      <c r="D30" s="118" t="s">
        <v>579</v>
      </c>
      <c r="E30" s="9" t="s">
        <v>32</v>
      </c>
      <c r="F30" s="27"/>
      <c r="G30" s="27"/>
      <c r="H30" s="27">
        <v>0</v>
      </c>
      <c r="I30" s="27">
        <v>0</v>
      </c>
      <c r="J30" s="11">
        <f>+SUMIFS(JURNAL!G:G,JURNAL!E:E,C30,JURNAL!C:C,"&gt;="&amp;$H$1,JURNAL!C:C,"&lt;="&amp;$I$1)</f>
        <v>0</v>
      </c>
      <c r="K30" s="11">
        <f>+SUMIFS(JURNAL!H:H,JURNAL!E:E,C30,JURNAL!C:C,"&gt;="&amp;$H$1,JURNAL!C:C,"&lt;="&amp;$I$1)</f>
        <v>0</v>
      </c>
      <c r="L30" s="26">
        <f t="shared" si="2"/>
        <v>0</v>
      </c>
      <c r="M30" s="27">
        <f t="shared" si="3"/>
        <v>0</v>
      </c>
      <c r="N30" s="11"/>
      <c r="O30" s="334"/>
      <c r="P30" s="11"/>
      <c r="Q30" s="11"/>
      <c r="R30" s="26">
        <f t="shared" si="4"/>
        <v>0</v>
      </c>
      <c r="S30" s="27">
        <f t="shared" si="5"/>
        <v>0</v>
      </c>
      <c r="T30" s="11"/>
      <c r="U30" s="11"/>
      <c r="V30" s="26">
        <f t="shared" si="6"/>
        <v>0</v>
      </c>
      <c r="W30" s="27">
        <f t="shared" si="7"/>
        <v>0</v>
      </c>
      <c r="X30" s="4">
        <v>1104</v>
      </c>
      <c r="Y30" s="4"/>
      <c r="Z30" s="4"/>
      <c r="AA30" s="12">
        <f t="shared" si="8"/>
        <v>0</v>
      </c>
      <c r="AC30" s="118" t="s">
        <v>349</v>
      </c>
      <c r="AD30" s="21" t="str">
        <f t="shared" si="10"/>
        <v>/-140200</v>
      </c>
      <c r="AE30" s="80" t="str">
        <f t="shared" si="11"/>
        <v>/</v>
      </c>
      <c r="AF30" s="21" t="str">
        <f t="shared" si="12"/>
        <v>ШМЗардал ХАТААХ ЦЕХ /нарс/</v>
      </c>
      <c r="AJ30" s="413"/>
      <c r="AK30" s="413"/>
      <c r="AL30" s="413"/>
      <c r="AM30" s="413"/>
    </row>
    <row r="31" spans="1:39" ht="12.75" customHeight="1">
      <c r="A31" s="24"/>
      <c r="B31" s="105">
        <f t="shared" si="9"/>
        <v>28</v>
      </c>
      <c r="C31" s="6">
        <v>121200</v>
      </c>
      <c r="D31" s="118" t="s">
        <v>958</v>
      </c>
      <c r="E31" s="9" t="s">
        <v>32</v>
      </c>
      <c r="F31" s="27"/>
      <c r="G31" s="27"/>
      <c r="H31" s="27">
        <v>980000.00623000006</v>
      </c>
      <c r="I31" s="27">
        <v>0</v>
      </c>
      <c r="J31" s="11">
        <f>+SUMIFS(JURNAL!G:G,JURNAL!E:E,C31,JURNAL!C:C,"&gt;="&amp;$H$1,JURNAL!C:C,"&lt;="&amp;$I$1)</f>
        <v>739472</v>
      </c>
      <c r="K31" s="11">
        <f>+SUMIFS(JURNAL!H:H,JURNAL!E:E,C31,JURNAL!C:C,"&gt;="&amp;$H$1,JURNAL!C:C,"&lt;="&amp;$I$1)</f>
        <v>739471.99970000004</v>
      </c>
      <c r="L31" s="26">
        <f t="shared" si="2"/>
        <v>980000.0065299999</v>
      </c>
      <c r="M31" s="27">
        <f t="shared" si="3"/>
        <v>0</v>
      </c>
      <c r="N31" s="11"/>
      <c r="O31" s="334"/>
      <c r="P31" s="11"/>
      <c r="Q31" s="11"/>
      <c r="R31" s="26">
        <f t="shared" si="4"/>
        <v>980000.0065299999</v>
      </c>
      <c r="S31" s="27">
        <f t="shared" si="5"/>
        <v>0</v>
      </c>
      <c r="T31" s="11"/>
      <c r="U31" s="11"/>
      <c r="V31" s="26">
        <f t="shared" si="6"/>
        <v>980000.0065299999</v>
      </c>
      <c r="W31" s="27">
        <f t="shared" si="7"/>
        <v>0</v>
      </c>
      <c r="X31" s="4">
        <v>1104</v>
      </c>
      <c r="Y31" s="4"/>
      <c r="Z31" s="4"/>
      <c r="AA31" s="12">
        <f t="shared" si="8"/>
        <v>1</v>
      </c>
      <c r="AC31" s="118" t="s">
        <v>350</v>
      </c>
      <c r="AD31" s="21" t="str">
        <f t="shared" si="10"/>
        <v>/-140300</v>
      </c>
      <c r="AE31" s="80" t="str">
        <f t="shared" si="11"/>
        <v>/</v>
      </c>
      <c r="AF31" s="21" t="str">
        <f t="shared" si="12"/>
        <v>ШХЗардал ХАТААХ ЦЕХ /нарс/</v>
      </c>
      <c r="AJ31" s="413"/>
      <c r="AK31" s="413"/>
      <c r="AL31" s="413"/>
      <c r="AM31" s="413"/>
    </row>
    <row r="32" spans="1:39" ht="12.75" customHeight="1">
      <c r="A32" s="24"/>
      <c r="B32" s="105">
        <f t="shared" si="9"/>
        <v>29</v>
      </c>
      <c r="C32" s="6">
        <v>122000</v>
      </c>
      <c r="D32" s="118" t="s">
        <v>959</v>
      </c>
      <c r="E32" s="9" t="s">
        <v>32</v>
      </c>
      <c r="F32" s="27"/>
      <c r="G32" s="27"/>
      <c r="H32" s="27">
        <v>0</v>
      </c>
      <c r="I32" s="27">
        <v>0</v>
      </c>
      <c r="J32" s="11">
        <f>+SUMIFS(JURNAL!G:G,JURNAL!E:E,C32,JURNAL!C:C,"&gt;="&amp;$H$1,JURNAL!C:C,"&lt;="&amp;$I$1)</f>
        <v>11722791</v>
      </c>
      <c r="K32" s="11">
        <f>+SUMIFS(JURNAL!H:H,JURNAL!E:E,C32,JURNAL!C:C,"&gt;="&amp;$H$1,JURNAL!C:C,"&lt;="&amp;$I$1)</f>
        <v>0</v>
      </c>
      <c r="L32" s="26">
        <f t="shared" si="2"/>
        <v>11722791</v>
      </c>
      <c r="M32" s="27">
        <f t="shared" si="3"/>
        <v>0</v>
      </c>
      <c r="N32" s="11"/>
      <c r="O32" s="334"/>
      <c r="P32" s="11"/>
      <c r="Q32" s="11"/>
      <c r="R32" s="26">
        <f t="shared" si="4"/>
        <v>11722791</v>
      </c>
      <c r="S32" s="27">
        <f t="shared" si="5"/>
        <v>0</v>
      </c>
      <c r="T32" s="11"/>
      <c r="U32" s="11"/>
      <c r="V32" s="26">
        <f t="shared" si="6"/>
        <v>11722791</v>
      </c>
      <c r="W32" s="27">
        <f t="shared" si="7"/>
        <v>0</v>
      </c>
      <c r="X32" s="4">
        <v>1104</v>
      </c>
      <c r="Y32" s="4"/>
      <c r="Z32" s="4"/>
      <c r="AA32" s="12">
        <f t="shared" si="8"/>
        <v>1</v>
      </c>
      <c r="AC32" s="118" t="s">
        <v>351</v>
      </c>
      <c r="AD32" s="21" t="str">
        <f t="shared" si="10"/>
        <v>/-140400</v>
      </c>
      <c r="AE32" s="80" t="str">
        <f t="shared" si="11"/>
        <v>/</v>
      </c>
      <c r="AF32" s="21" t="str">
        <f t="shared" si="12"/>
        <v>ҮНЗардал ХАТААХ ЦЕХ /нарс/</v>
      </c>
      <c r="AJ32" s="413"/>
      <c r="AK32" s="413"/>
      <c r="AL32" s="413"/>
      <c r="AM32" s="413"/>
    </row>
    <row r="33" spans="1:39" ht="12.75" customHeight="1">
      <c r="A33" s="24"/>
      <c r="B33" s="105">
        <f t="shared" si="9"/>
        <v>30</v>
      </c>
      <c r="C33" s="6">
        <v>122001</v>
      </c>
      <c r="D33" s="118" t="s">
        <v>960</v>
      </c>
      <c r="E33" s="9" t="s">
        <v>30</v>
      </c>
      <c r="F33" s="27"/>
      <c r="G33" s="27"/>
      <c r="H33" s="27">
        <v>0</v>
      </c>
      <c r="I33" s="27">
        <v>0</v>
      </c>
      <c r="J33" s="11">
        <f>+SUMIFS(JURNAL!G:G,JURNAL!E:E,C33,JURNAL!C:C,"&gt;="&amp;$H$1,JURNAL!C:C,"&lt;="&amp;$I$1)</f>
        <v>0</v>
      </c>
      <c r="K33" s="11">
        <f>+SUMIFS(JURNAL!H:H,JURNAL!E:E,C33,JURNAL!C:C,"&gt;="&amp;$H$1,JURNAL!C:C,"&lt;="&amp;$I$1)</f>
        <v>0</v>
      </c>
      <c r="L33" s="26">
        <f t="shared" si="2"/>
        <v>0</v>
      </c>
      <c r="M33" s="27">
        <f t="shared" si="3"/>
        <v>0</v>
      </c>
      <c r="N33" s="11"/>
      <c r="O33" s="334"/>
      <c r="P33" s="11"/>
      <c r="Q33" s="11"/>
      <c r="R33" s="26">
        <f t="shared" si="4"/>
        <v>0</v>
      </c>
      <c r="S33" s="27">
        <f t="shared" si="5"/>
        <v>0</v>
      </c>
      <c r="T33" s="11"/>
      <c r="U33" s="11"/>
      <c r="V33" s="26">
        <f t="shared" si="6"/>
        <v>0</v>
      </c>
      <c r="W33" s="27">
        <f t="shared" si="7"/>
        <v>0</v>
      </c>
      <c r="X33" s="4">
        <v>1104</v>
      </c>
      <c r="Y33" s="4"/>
      <c r="Z33" s="4"/>
      <c r="AA33" s="12">
        <f t="shared" si="8"/>
        <v>0</v>
      </c>
      <c r="AC33" s="118" t="s">
        <v>352</v>
      </c>
      <c r="AD33" s="21" t="str">
        <f t="shared" si="10"/>
        <v>/-140500</v>
      </c>
      <c r="AE33" s="80" t="str">
        <f t="shared" si="11"/>
        <v>/</v>
      </c>
      <c r="AF33" s="21" t="str">
        <f t="shared" si="12"/>
        <v>Нэгтгэл зардал ХАТААХ ЦЕХ /нарс/</v>
      </c>
      <c r="AJ33" s="413"/>
      <c r="AK33" s="413"/>
      <c r="AL33" s="413"/>
      <c r="AM33" s="413"/>
    </row>
    <row r="34" spans="1:39" ht="12.75" customHeight="1">
      <c r="A34" s="24"/>
      <c r="B34" s="105">
        <f t="shared" si="9"/>
        <v>31</v>
      </c>
      <c r="C34" s="6">
        <v>130100</v>
      </c>
      <c r="D34" s="118" t="s">
        <v>588</v>
      </c>
      <c r="E34" s="9" t="s">
        <v>32</v>
      </c>
      <c r="F34" s="27"/>
      <c r="G34" s="27"/>
      <c r="H34" s="27">
        <v>0</v>
      </c>
      <c r="I34" s="27">
        <v>0</v>
      </c>
      <c r="J34" s="11">
        <f>+SUMIFS(JURNAL!G:G,JURNAL!E:E,C34,JURNAL!C:C,"&gt;="&amp;$H$1,JURNAL!C:C,"&lt;="&amp;$I$1)</f>
        <v>0</v>
      </c>
      <c r="K34" s="11">
        <f>+SUMIFS(JURNAL!H:H,JURNAL!E:E,C34,JURNAL!C:C,"&gt;="&amp;$H$1,JURNAL!C:C,"&lt;="&amp;$I$1)</f>
        <v>0</v>
      </c>
      <c r="L34" s="26">
        <f t="shared" si="2"/>
        <v>0</v>
      </c>
      <c r="M34" s="27">
        <f t="shared" si="3"/>
        <v>0</v>
      </c>
      <c r="N34" s="11"/>
      <c r="O34" s="334"/>
      <c r="P34" s="11"/>
      <c r="Q34" s="11"/>
      <c r="R34" s="26">
        <f t="shared" si="4"/>
        <v>0</v>
      </c>
      <c r="S34" s="27">
        <f t="shared" si="5"/>
        <v>0</v>
      </c>
      <c r="T34" s="11"/>
      <c r="U34" s="11"/>
      <c r="V34" s="26">
        <f t="shared" si="6"/>
        <v>0</v>
      </c>
      <c r="W34" s="27">
        <f t="shared" si="7"/>
        <v>0</v>
      </c>
      <c r="X34" s="4">
        <v>1105</v>
      </c>
      <c r="Y34" s="4"/>
      <c r="Z34" s="4"/>
      <c r="AA34" s="12">
        <f t="shared" si="8"/>
        <v>0</v>
      </c>
      <c r="AC34" s="118" t="s">
        <v>353</v>
      </c>
      <c r="AD34" s="21" t="str">
        <f t="shared" si="10"/>
        <v>/-150100</v>
      </c>
      <c r="AE34" s="80" t="str">
        <f t="shared" si="11"/>
        <v>/</v>
      </c>
      <c r="AF34" s="21" t="str">
        <f t="shared" si="12"/>
        <v>Бараа бэлэн бүтээгдэхүүн ХАТААХ ЦЕХ /нарс/</v>
      </c>
      <c r="AJ34" s="413"/>
      <c r="AK34" s="413"/>
      <c r="AL34" s="413"/>
      <c r="AM34" s="413"/>
    </row>
    <row r="35" spans="1:39" ht="12.75" customHeight="1">
      <c r="A35" s="24"/>
      <c r="B35" s="105">
        <f t="shared" si="9"/>
        <v>32</v>
      </c>
      <c r="C35" s="6">
        <v>130500</v>
      </c>
      <c r="D35" s="118" t="s">
        <v>592</v>
      </c>
      <c r="E35" s="9" t="s">
        <v>32</v>
      </c>
      <c r="F35" s="27"/>
      <c r="G35" s="27"/>
      <c r="H35" s="27">
        <v>0</v>
      </c>
      <c r="I35" s="27">
        <v>0</v>
      </c>
      <c r="J35" s="11">
        <f>+SUMIFS(JURNAL!G:G,JURNAL!E:E,C35,JURNAL!C:C,"&gt;="&amp;$H$1,JURNAL!C:C,"&lt;="&amp;$I$1)</f>
        <v>0</v>
      </c>
      <c r="K35" s="11">
        <f>+SUMIFS(JURNAL!H:H,JURNAL!E:E,C35,JURNAL!C:C,"&gt;="&amp;$H$1,JURNAL!C:C,"&lt;="&amp;$I$1)</f>
        <v>0</v>
      </c>
      <c r="L35" s="26">
        <f t="shared" si="2"/>
        <v>0</v>
      </c>
      <c r="M35" s="27">
        <f t="shared" si="3"/>
        <v>0</v>
      </c>
      <c r="N35" s="11"/>
      <c r="O35" s="334"/>
      <c r="P35" s="11"/>
      <c r="Q35" s="11"/>
      <c r="R35" s="26">
        <f t="shared" si="4"/>
        <v>0</v>
      </c>
      <c r="S35" s="27">
        <f t="shared" si="5"/>
        <v>0</v>
      </c>
      <c r="T35" s="11"/>
      <c r="U35" s="11"/>
      <c r="V35" s="26">
        <f t="shared" si="6"/>
        <v>0</v>
      </c>
      <c r="W35" s="27">
        <f t="shared" si="7"/>
        <v>0</v>
      </c>
      <c r="X35" s="4">
        <v>1105</v>
      </c>
      <c r="Y35" s="4"/>
      <c r="Z35" s="4"/>
      <c r="AA35" s="12">
        <f t="shared" si="8"/>
        <v>0</v>
      </c>
      <c r="AC35" s="118"/>
      <c r="AD35" s="231"/>
      <c r="AE35" s="80"/>
      <c r="AF35" s="231"/>
      <c r="AJ35" s="413"/>
      <c r="AK35" s="413"/>
      <c r="AL35" s="413"/>
      <c r="AM35" s="413"/>
    </row>
    <row r="36" spans="1:39" ht="12.75" customHeight="1">
      <c r="A36" s="24"/>
      <c r="B36" s="105">
        <f t="shared" si="9"/>
        <v>33</v>
      </c>
      <c r="C36" s="6">
        <v>140100</v>
      </c>
      <c r="D36" s="118" t="s">
        <v>597</v>
      </c>
      <c r="E36" s="9" t="s">
        <v>32</v>
      </c>
      <c r="F36" s="27"/>
      <c r="G36" s="27"/>
      <c r="H36" s="27">
        <v>481074542.74849999</v>
      </c>
      <c r="I36" s="27">
        <v>0</v>
      </c>
      <c r="J36" s="11">
        <f>+SUMIFS(JURNAL!G:G,JURNAL!E:E,C36,JURNAL!C:C,"&gt;="&amp;$H$1,JURNAL!C:C,"&lt;="&amp;$I$1)</f>
        <v>0</v>
      </c>
      <c r="K36" s="11">
        <f>+SUMIFS(JURNAL!H:H,JURNAL!E:E,C36,JURNAL!C:C,"&gt;="&amp;$H$1,JURNAL!C:C,"&lt;="&amp;$I$1)</f>
        <v>4444726.75</v>
      </c>
      <c r="L36" s="26">
        <f t="shared" si="2"/>
        <v>476629815.99849999</v>
      </c>
      <c r="M36" s="27">
        <f t="shared" si="3"/>
        <v>0</v>
      </c>
      <c r="N36" s="11"/>
      <c r="O36" s="334"/>
      <c r="P36" s="11"/>
      <c r="Q36" s="11"/>
      <c r="R36" s="26">
        <f t="shared" si="4"/>
        <v>476629815.99849999</v>
      </c>
      <c r="S36" s="27">
        <f t="shared" si="5"/>
        <v>0</v>
      </c>
      <c r="T36" s="11"/>
      <c r="U36" s="11"/>
      <c r="V36" s="26">
        <f t="shared" si="6"/>
        <v>476629815.99849999</v>
      </c>
      <c r="W36" s="27">
        <f t="shared" si="7"/>
        <v>0</v>
      </c>
      <c r="X36" s="4">
        <v>1107</v>
      </c>
      <c r="Y36" s="4"/>
      <c r="Z36" s="4"/>
      <c r="AA36" s="12">
        <f t="shared" si="8"/>
        <v>1</v>
      </c>
      <c r="AC36" s="118" t="s">
        <v>354</v>
      </c>
      <c r="AD36" s="21" t="str">
        <f t="shared" si="10"/>
        <v xml:space="preserve"> -160100</v>
      </c>
      <c r="AE36" s="80" t="str">
        <f t="shared" si="11"/>
        <v/>
      </c>
      <c r="AF36" s="21" t="str">
        <f t="shared" ref="AF36:AF72" si="13">+SUBSTITUTE(AC36,AD36,AE36)</f>
        <v xml:space="preserve">Барилгын материал </v>
      </c>
      <c r="AJ36" s="413"/>
      <c r="AK36" s="413"/>
      <c r="AL36" s="413"/>
      <c r="AM36" s="413"/>
    </row>
    <row r="37" spans="1:39" ht="12.75" customHeight="1">
      <c r="A37" s="24"/>
      <c r="B37" s="105">
        <f t="shared" si="9"/>
        <v>34</v>
      </c>
      <c r="C37" s="6">
        <v>140200</v>
      </c>
      <c r="D37" s="118" t="s">
        <v>1672</v>
      </c>
      <c r="E37" s="9" t="s">
        <v>32</v>
      </c>
      <c r="F37" s="27"/>
      <c r="G37" s="27"/>
      <c r="H37" s="27">
        <v>0</v>
      </c>
      <c r="I37" s="27">
        <v>0</v>
      </c>
      <c r="J37" s="11">
        <f>+SUMIFS(JURNAL!G:G,JURNAL!E:E,C37,JURNAL!C:C,"&gt;="&amp;$H$1,JURNAL!C:C,"&lt;="&amp;$I$1)</f>
        <v>0</v>
      </c>
      <c r="K37" s="11">
        <f>+SUMIFS(JURNAL!H:H,JURNAL!E:E,C37,JURNAL!C:C,"&gt;="&amp;$H$1,JURNAL!C:C,"&lt;="&amp;$I$1)</f>
        <v>0</v>
      </c>
      <c r="L37" s="26">
        <f t="shared" si="2"/>
        <v>0</v>
      </c>
      <c r="M37" s="27">
        <f t="shared" si="3"/>
        <v>0</v>
      </c>
      <c r="N37" s="11"/>
      <c r="O37" s="334"/>
      <c r="P37" s="11"/>
      <c r="Q37" s="11"/>
      <c r="R37" s="26">
        <f t="shared" si="4"/>
        <v>0</v>
      </c>
      <c r="S37" s="27">
        <f t="shared" si="5"/>
        <v>0</v>
      </c>
      <c r="T37" s="11"/>
      <c r="U37" s="11"/>
      <c r="V37" s="26">
        <f t="shared" si="6"/>
        <v>0</v>
      </c>
      <c r="W37" s="27">
        <f t="shared" si="7"/>
        <v>0</v>
      </c>
      <c r="X37" s="4">
        <v>1107</v>
      </c>
      <c r="Y37" s="4"/>
      <c r="Z37" s="4"/>
      <c r="AA37" s="12">
        <f t="shared" si="8"/>
        <v>0</v>
      </c>
      <c r="AC37" s="118" t="s">
        <v>355</v>
      </c>
      <c r="AD37" s="21" t="str">
        <f t="shared" si="10"/>
        <v>ж-160200</v>
      </c>
      <c r="AE37" s="80" t="str">
        <f t="shared" si="11"/>
        <v>ж</v>
      </c>
      <c r="AF37" s="21" t="str">
        <f t="shared" si="13"/>
        <v>Агуулахад байгаа материал, хангамж</v>
      </c>
      <c r="AJ37" s="413"/>
      <c r="AK37" s="413"/>
      <c r="AL37" s="413"/>
      <c r="AM37" s="413"/>
    </row>
    <row r="38" spans="1:39" ht="12.75" customHeight="1">
      <c r="A38" s="24"/>
      <c r="B38" s="105">
        <f t="shared" si="9"/>
        <v>35</v>
      </c>
      <c r="C38" s="6">
        <v>140201</v>
      </c>
      <c r="D38" s="118" t="s">
        <v>1673</v>
      </c>
      <c r="E38" s="9" t="s">
        <v>32</v>
      </c>
      <c r="F38" s="27"/>
      <c r="G38" s="27"/>
      <c r="H38" s="27">
        <v>0</v>
      </c>
      <c r="I38" s="27">
        <v>0</v>
      </c>
      <c r="J38" s="11">
        <f>+SUMIFS(JURNAL!G:G,JURNAL!E:E,C38,JURNAL!C:C,"&gt;="&amp;$H$1,JURNAL!C:C,"&lt;="&amp;$I$1)</f>
        <v>190723765.41452003</v>
      </c>
      <c r="K38" s="11">
        <f>+SUMIFS(JURNAL!H:H,JURNAL!E:E,C38,JURNAL!C:C,"&gt;="&amp;$H$1,JURNAL!C:C,"&lt;="&amp;$I$1)</f>
        <v>190723765.41452003</v>
      </c>
      <c r="L38" s="26">
        <f t="shared" si="2"/>
        <v>0</v>
      </c>
      <c r="M38" s="27">
        <f t="shared" si="3"/>
        <v>0</v>
      </c>
      <c r="N38" s="11"/>
      <c r="O38" s="334"/>
      <c r="P38" s="11"/>
      <c r="Q38" s="11"/>
      <c r="R38" s="26">
        <f t="shared" si="4"/>
        <v>0</v>
      </c>
      <c r="S38" s="27">
        <f t="shared" si="5"/>
        <v>0</v>
      </c>
      <c r="T38" s="11"/>
      <c r="U38" s="11"/>
      <c r="V38" s="26">
        <f t="shared" si="6"/>
        <v>0</v>
      </c>
      <c r="W38" s="27">
        <f t="shared" si="7"/>
        <v>0</v>
      </c>
      <c r="X38" s="4">
        <v>1107</v>
      </c>
      <c r="Y38" s="4"/>
      <c r="Z38" s="4"/>
      <c r="AA38" s="12">
        <f t="shared" si="8"/>
        <v>1</v>
      </c>
      <c r="AC38" s="118" t="s">
        <v>356</v>
      </c>
      <c r="AD38" s="21" t="str">
        <f t="shared" si="10"/>
        <v xml:space="preserve"> -160300</v>
      </c>
      <c r="AE38" s="80" t="str">
        <f t="shared" si="11"/>
        <v/>
      </c>
      <c r="AF38" s="21" t="str">
        <f t="shared" si="13"/>
        <v xml:space="preserve">Сэлбэг хэрэгсэл </v>
      </c>
      <c r="AJ38" s="413"/>
      <c r="AK38" s="413"/>
      <c r="AL38" s="413"/>
      <c r="AM38" s="413"/>
    </row>
    <row r="39" spans="1:39" ht="12.75" customHeight="1">
      <c r="A39" s="24"/>
      <c r="B39" s="105">
        <f t="shared" si="9"/>
        <v>36</v>
      </c>
      <c r="C39" s="6">
        <v>140202</v>
      </c>
      <c r="D39" s="118" t="s">
        <v>1674</v>
      </c>
      <c r="E39" s="9" t="s">
        <v>32</v>
      </c>
      <c r="F39" s="27"/>
      <c r="G39" s="27"/>
      <c r="H39" s="27">
        <v>0</v>
      </c>
      <c r="I39" s="27">
        <v>0</v>
      </c>
      <c r="J39" s="11">
        <f>+SUMIFS(JURNAL!G:G,JURNAL!E:E,C39,JURNAL!C:C,"&gt;="&amp;$H$1,JURNAL!C:C,"&lt;="&amp;$I$1)</f>
        <v>0</v>
      </c>
      <c r="K39" s="11">
        <f>+SUMIFS(JURNAL!H:H,JURNAL!E:E,C39,JURNAL!C:C,"&gt;="&amp;$H$1,JURNAL!C:C,"&lt;="&amp;$I$1)</f>
        <v>0</v>
      </c>
      <c r="L39" s="26">
        <f t="shared" si="2"/>
        <v>0</v>
      </c>
      <c r="M39" s="27">
        <f t="shared" si="3"/>
        <v>0</v>
      </c>
      <c r="N39" s="11"/>
      <c r="O39" s="334"/>
      <c r="P39" s="11"/>
      <c r="Q39" s="11"/>
      <c r="R39" s="26">
        <f t="shared" si="4"/>
        <v>0</v>
      </c>
      <c r="S39" s="27">
        <f t="shared" si="5"/>
        <v>0</v>
      </c>
      <c r="T39" s="11"/>
      <c r="U39" s="11"/>
      <c r="V39" s="26">
        <f t="shared" si="6"/>
        <v>0</v>
      </c>
      <c r="W39" s="27">
        <f t="shared" si="7"/>
        <v>0</v>
      </c>
      <c r="X39" s="4">
        <v>1107</v>
      </c>
      <c r="Y39" s="4"/>
      <c r="Z39" s="4"/>
      <c r="AA39" s="12">
        <f t="shared" si="8"/>
        <v>0</v>
      </c>
      <c r="AC39" s="118" t="s">
        <v>357</v>
      </c>
      <c r="AD39" s="21" t="str">
        <f t="shared" si="10"/>
        <v>а-150500</v>
      </c>
      <c r="AE39" s="80" t="str">
        <f t="shared" si="11"/>
        <v>а</v>
      </c>
      <c r="AF39" s="21" t="str">
        <f t="shared" si="13"/>
        <v>Бараа материалын үнэлгээний хасагдуулга</v>
      </c>
      <c r="AJ39" s="413"/>
      <c r="AK39" s="413"/>
      <c r="AL39" s="413"/>
      <c r="AM39" s="413"/>
    </row>
    <row r="40" spans="1:39" ht="12.75" customHeight="1">
      <c r="A40" s="24"/>
      <c r="B40" s="105">
        <f t="shared" si="9"/>
        <v>37</v>
      </c>
      <c r="C40" s="6">
        <v>140300</v>
      </c>
      <c r="D40" s="118" t="s">
        <v>1675</v>
      </c>
      <c r="E40" s="9" t="s">
        <v>32</v>
      </c>
      <c r="F40" s="27"/>
      <c r="G40" s="27"/>
      <c r="H40" s="27">
        <v>0</v>
      </c>
      <c r="I40" s="27">
        <v>0</v>
      </c>
      <c r="J40" s="11">
        <f>+SUMIFS(JURNAL!G:G,JURNAL!E:E,C40,JURNAL!C:C,"&gt;="&amp;$H$1,JURNAL!C:C,"&lt;="&amp;$I$1)</f>
        <v>0</v>
      </c>
      <c r="K40" s="11">
        <f>+SUMIFS(JURNAL!H:H,JURNAL!E:E,C40,JURNAL!C:C,"&gt;="&amp;$H$1,JURNAL!C:C,"&lt;="&amp;$I$1)</f>
        <v>0</v>
      </c>
      <c r="L40" s="26">
        <f t="shared" si="2"/>
        <v>0</v>
      </c>
      <c r="M40" s="27">
        <f t="shared" si="3"/>
        <v>0</v>
      </c>
      <c r="N40" s="11"/>
      <c r="O40" s="334"/>
      <c r="P40" s="11"/>
      <c r="Q40" s="11"/>
      <c r="R40" s="26">
        <f t="shared" si="4"/>
        <v>0</v>
      </c>
      <c r="S40" s="27">
        <f t="shared" si="5"/>
        <v>0</v>
      </c>
      <c r="T40" s="11"/>
      <c r="U40" s="11"/>
      <c r="V40" s="26">
        <f t="shared" si="6"/>
        <v>0</v>
      </c>
      <c r="W40" s="27">
        <f t="shared" si="7"/>
        <v>0</v>
      </c>
      <c r="X40" s="4">
        <v>1107</v>
      </c>
      <c r="Y40" s="4"/>
      <c r="Z40" s="4"/>
      <c r="AA40" s="12">
        <f t="shared" si="8"/>
        <v>0</v>
      </c>
      <c r="AC40" s="118" t="s">
        <v>358</v>
      </c>
      <c r="AD40" s="21" t="str">
        <f t="shared" si="10"/>
        <v>ө-150800</v>
      </c>
      <c r="AE40" s="80" t="str">
        <f t="shared" si="11"/>
        <v>ө</v>
      </c>
      <c r="AF40" s="21" t="str">
        <f t="shared" si="13"/>
        <v>Бусад эргэлтийн хөрөнгө</v>
      </c>
      <c r="AJ40" s="413"/>
      <c r="AK40" s="413"/>
      <c r="AL40" s="413"/>
      <c r="AM40" s="413"/>
    </row>
    <row r="41" spans="1:39" ht="12.75" customHeight="1">
      <c r="A41" s="24"/>
      <c r="B41" s="105">
        <f t="shared" si="9"/>
        <v>38</v>
      </c>
      <c r="C41" s="6">
        <v>140301</v>
      </c>
      <c r="D41" s="118" t="s">
        <v>1676</v>
      </c>
      <c r="E41" s="9" t="s">
        <v>32</v>
      </c>
      <c r="F41" s="27"/>
      <c r="G41" s="27"/>
      <c r="H41" s="27">
        <v>0</v>
      </c>
      <c r="I41" s="27">
        <v>0</v>
      </c>
      <c r="J41" s="11">
        <f>+SUMIFS(JURNAL!G:G,JURNAL!E:E,C41,JURNAL!C:C,"&gt;="&amp;$H$1,JURNAL!C:C,"&lt;="&amp;$I$1)</f>
        <v>0</v>
      </c>
      <c r="K41" s="11">
        <f>+SUMIFS(JURNAL!H:H,JURNAL!E:E,C41,JURNAL!C:C,"&gt;="&amp;$H$1,JURNAL!C:C,"&lt;="&amp;$I$1)</f>
        <v>0</v>
      </c>
      <c r="L41" s="26">
        <f t="shared" si="2"/>
        <v>0</v>
      </c>
      <c r="M41" s="27">
        <f t="shared" si="3"/>
        <v>0</v>
      </c>
      <c r="N41" s="11"/>
      <c r="O41" s="334"/>
      <c r="P41" s="11"/>
      <c r="Q41" s="11"/>
      <c r="R41" s="26">
        <f t="shared" si="4"/>
        <v>0</v>
      </c>
      <c r="S41" s="27">
        <f t="shared" si="5"/>
        <v>0</v>
      </c>
      <c r="T41" s="11"/>
      <c r="U41" s="11"/>
      <c r="V41" s="26">
        <f t="shared" si="6"/>
        <v>0</v>
      </c>
      <c r="W41" s="27">
        <f t="shared" si="7"/>
        <v>0</v>
      </c>
      <c r="X41" s="4">
        <v>1107</v>
      </c>
      <c r="Y41" s="4"/>
      <c r="Z41" s="4"/>
      <c r="AA41" s="12">
        <f t="shared" si="8"/>
        <v>0</v>
      </c>
      <c r="AC41" s="118" t="s">
        <v>359</v>
      </c>
      <c r="AD41" s="21" t="str">
        <f t="shared" si="10"/>
        <v>)-150900</v>
      </c>
      <c r="AE41" s="80" t="str">
        <f t="shared" si="11"/>
        <v>)</v>
      </c>
      <c r="AF41" s="21" t="str">
        <f t="shared" si="13"/>
        <v>Борлуулах зорилгоор эзэмшиж буй эргэлтийн бус хөрөнгө (Борлуулах бүлэг хөрөнгө)</v>
      </c>
      <c r="AJ41" s="413"/>
      <c r="AK41" s="413"/>
      <c r="AL41" s="413"/>
      <c r="AM41" s="413"/>
    </row>
    <row r="42" spans="1:39" ht="12.75" customHeight="1">
      <c r="A42" s="24"/>
      <c r="B42" s="105">
        <f t="shared" si="9"/>
        <v>39</v>
      </c>
      <c r="C42" s="6">
        <v>140302</v>
      </c>
      <c r="D42" s="118" t="s">
        <v>1677</v>
      </c>
      <c r="E42" s="9" t="s">
        <v>32</v>
      </c>
      <c r="F42" s="27"/>
      <c r="G42" s="27"/>
      <c r="H42" s="27">
        <v>0</v>
      </c>
      <c r="I42" s="27">
        <v>0</v>
      </c>
      <c r="J42" s="11">
        <f>+SUMIFS(JURNAL!G:G,JURNAL!E:E,C42,JURNAL!C:C,"&gt;="&amp;$H$1,JURNAL!C:C,"&lt;="&amp;$I$1)</f>
        <v>0</v>
      </c>
      <c r="K42" s="11">
        <f>+SUMIFS(JURNAL!H:H,JURNAL!E:E,C42,JURNAL!C:C,"&gt;="&amp;$H$1,JURNAL!C:C,"&lt;="&amp;$I$1)</f>
        <v>0</v>
      </c>
      <c r="L42" s="26">
        <f t="shared" si="2"/>
        <v>0</v>
      </c>
      <c r="M42" s="27">
        <f t="shared" si="3"/>
        <v>0</v>
      </c>
      <c r="N42" s="11"/>
      <c r="O42" s="334"/>
      <c r="P42" s="11"/>
      <c r="Q42" s="11"/>
      <c r="R42" s="26">
        <f t="shared" si="4"/>
        <v>0</v>
      </c>
      <c r="S42" s="27">
        <f t="shared" si="5"/>
        <v>0</v>
      </c>
      <c r="T42" s="11"/>
      <c r="U42" s="11"/>
      <c r="V42" s="26">
        <f t="shared" si="6"/>
        <v>0</v>
      </c>
      <c r="W42" s="27">
        <f t="shared" si="7"/>
        <v>0</v>
      </c>
      <c r="X42" s="4">
        <v>1107</v>
      </c>
      <c r="Y42" s="4"/>
      <c r="Z42" s="4"/>
      <c r="AA42" s="12">
        <f t="shared" si="8"/>
        <v>0</v>
      </c>
      <c r="AC42" s="118" t="s">
        <v>360</v>
      </c>
      <c r="AD42" s="21" t="str">
        <f t="shared" si="10"/>
        <v>T-180100</v>
      </c>
      <c r="AE42" s="80" t="str">
        <f t="shared" si="11"/>
        <v>T</v>
      </c>
      <c r="AF42" s="21" t="str">
        <f t="shared" si="13"/>
        <v>Урьдчилж төлсөн тооцоо MNT</v>
      </c>
      <c r="AJ42" s="413"/>
      <c r="AK42" s="413"/>
      <c r="AL42" s="413"/>
      <c r="AM42" s="413"/>
    </row>
    <row r="43" spans="1:39" ht="12.75" customHeight="1">
      <c r="A43" s="24"/>
      <c r="B43" s="105">
        <f t="shared" si="9"/>
        <v>40</v>
      </c>
      <c r="C43" s="6">
        <v>140400</v>
      </c>
      <c r="D43" s="118" t="s">
        <v>1678</v>
      </c>
      <c r="E43" s="9" t="s">
        <v>32</v>
      </c>
      <c r="F43" s="27"/>
      <c r="G43" s="27"/>
      <c r="H43" s="27">
        <v>0</v>
      </c>
      <c r="I43" s="27">
        <v>0</v>
      </c>
      <c r="J43" s="11">
        <f>+SUMIFS(JURNAL!G:G,JURNAL!E:E,C43,JURNAL!C:C,"&gt;="&amp;$H$1,JURNAL!C:C,"&lt;="&amp;$I$1)</f>
        <v>0</v>
      </c>
      <c r="K43" s="11">
        <f>+SUMIFS(JURNAL!H:H,JURNAL!E:E,C43,JURNAL!C:C,"&gt;="&amp;$H$1,JURNAL!C:C,"&lt;="&amp;$I$1)</f>
        <v>0</v>
      </c>
      <c r="L43" s="26">
        <f t="shared" si="2"/>
        <v>0</v>
      </c>
      <c r="M43" s="27">
        <f t="shared" si="3"/>
        <v>0</v>
      </c>
      <c r="N43" s="11"/>
      <c r="O43" s="334"/>
      <c r="P43" s="11"/>
      <c r="Q43" s="11"/>
      <c r="R43" s="26">
        <f t="shared" si="4"/>
        <v>0</v>
      </c>
      <c r="S43" s="27">
        <f t="shared" si="5"/>
        <v>0</v>
      </c>
      <c r="T43" s="11"/>
      <c r="U43" s="11"/>
      <c r="V43" s="26">
        <f t="shared" si="6"/>
        <v>0</v>
      </c>
      <c r="W43" s="27">
        <f t="shared" si="7"/>
        <v>0</v>
      </c>
      <c r="X43" s="4">
        <v>1107</v>
      </c>
      <c r="Y43" s="4"/>
      <c r="Z43" s="4"/>
      <c r="AA43" s="12">
        <f t="shared" si="8"/>
        <v>0</v>
      </c>
      <c r="AC43" s="118" t="s">
        <v>361</v>
      </c>
      <c r="AD43" s="21" t="str">
        <f t="shared" ref="AD43:AD86" si="14">+RIGHT(AC43,8)</f>
        <v>D-180101</v>
      </c>
      <c r="AE43" s="80" t="str">
        <f t="shared" ref="AE43:AE86" si="15">+LEFT(AD43,1)</f>
        <v>D</v>
      </c>
      <c r="AF43" s="21" t="str">
        <f t="shared" si="13"/>
        <v>Урьдчилж төлсөн тооцоо USD</v>
      </c>
      <c r="AJ43" s="413"/>
      <c r="AK43" s="413"/>
      <c r="AL43" s="413"/>
      <c r="AM43" s="413"/>
    </row>
    <row r="44" spans="1:39" ht="12.75" customHeight="1">
      <c r="A44" s="24"/>
      <c r="B44" s="105">
        <f t="shared" si="9"/>
        <v>41</v>
      </c>
      <c r="C44" s="6">
        <v>140401</v>
      </c>
      <c r="D44" s="118" t="s">
        <v>1679</v>
      </c>
      <c r="E44" s="9" t="s">
        <v>32</v>
      </c>
      <c r="F44" s="27"/>
      <c r="G44" s="27"/>
      <c r="H44" s="27">
        <v>0</v>
      </c>
      <c r="I44" s="27">
        <v>0</v>
      </c>
      <c r="J44" s="11">
        <f>+SUMIFS(JURNAL!G:G,JURNAL!E:E,C44,JURNAL!C:C,"&gt;="&amp;$H$1,JURNAL!C:C,"&lt;="&amp;$I$1)</f>
        <v>56017962.113272727</v>
      </c>
      <c r="K44" s="11">
        <f>+SUMIFS(JURNAL!H:H,JURNAL!E:E,C44,JURNAL!C:C,"&gt;="&amp;$H$1,JURNAL!C:C,"&lt;="&amp;$I$1)</f>
        <v>56017962.113272727</v>
      </c>
      <c r="L44" s="26">
        <f t="shared" si="2"/>
        <v>0</v>
      </c>
      <c r="M44" s="27">
        <f t="shared" si="3"/>
        <v>0</v>
      </c>
      <c r="N44" s="11"/>
      <c r="O44" s="334"/>
      <c r="P44" s="11"/>
      <c r="Q44" s="11"/>
      <c r="R44" s="26">
        <f t="shared" si="4"/>
        <v>0</v>
      </c>
      <c r="S44" s="27">
        <f t="shared" si="5"/>
        <v>0</v>
      </c>
      <c r="T44" s="11"/>
      <c r="U44" s="11"/>
      <c r="V44" s="26">
        <f t="shared" si="6"/>
        <v>0</v>
      </c>
      <c r="W44" s="27">
        <f t="shared" si="7"/>
        <v>0</v>
      </c>
      <c r="X44" s="4">
        <v>1107</v>
      </c>
      <c r="Y44" s="4"/>
      <c r="Z44" s="4"/>
      <c r="AA44" s="12">
        <f t="shared" si="8"/>
        <v>1</v>
      </c>
      <c r="AC44" s="118" t="s">
        <v>362</v>
      </c>
      <c r="AD44" s="21" t="str">
        <f t="shared" si="14"/>
        <v xml:space="preserve"> -180200</v>
      </c>
      <c r="AE44" s="80" t="str">
        <f t="shared" si="15"/>
        <v/>
      </c>
      <c r="AF44" s="21" t="str">
        <f t="shared" si="13"/>
        <v xml:space="preserve">Урьдчилж төлсөн зардал MNT - Тоног төхөөрөмж </v>
      </c>
      <c r="AJ44" s="413"/>
      <c r="AK44" s="413"/>
      <c r="AL44" s="413"/>
      <c r="AM44" s="413"/>
    </row>
    <row r="45" spans="1:39" ht="12.75" customHeight="1">
      <c r="A45" s="24"/>
      <c r="B45" s="105">
        <f t="shared" si="9"/>
        <v>42</v>
      </c>
      <c r="C45" s="6">
        <v>140402</v>
      </c>
      <c r="D45" s="118" t="s">
        <v>1680</v>
      </c>
      <c r="E45" s="9" t="s">
        <v>32</v>
      </c>
      <c r="F45" s="27"/>
      <c r="G45" s="27"/>
      <c r="H45" s="27">
        <v>0</v>
      </c>
      <c r="I45" s="27">
        <v>0</v>
      </c>
      <c r="J45" s="11">
        <f>+SUMIFS(JURNAL!G:G,JURNAL!E:E,C45,JURNAL!C:C,"&gt;="&amp;$H$1,JURNAL!C:C,"&lt;="&amp;$I$1)</f>
        <v>0</v>
      </c>
      <c r="K45" s="11">
        <f>+SUMIFS(JURNAL!H:H,JURNAL!E:E,C45,JURNAL!C:C,"&gt;="&amp;$H$1,JURNAL!C:C,"&lt;="&amp;$I$1)</f>
        <v>0</v>
      </c>
      <c r="L45" s="26">
        <f t="shared" si="2"/>
        <v>0</v>
      </c>
      <c r="M45" s="27">
        <f t="shared" si="3"/>
        <v>0</v>
      </c>
      <c r="N45" s="11"/>
      <c r="O45" s="334"/>
      <c r="P45" s="11"/>
      <c r="Q45" s="11"/>
      <c r="R45" s="26">
        <f t="shared" si="4"/>
        <v>0</v>
      </c>
      <c r="S45" s="27">
        <f t="shared" si="5"/>
        <v>0</v>
      </c>
      <c r="T45" s="11"/>
      <c r="U45" s="11"/>
      <c r="V45" s="26">
        <f t="shared" si="6"/>
        <v>0</v>
      </c>
      <c r="W45" s="27">
        <f t="shared" si="7"/>
        <v>0</v>
      </c>
      <c r="X45" s="4">
        <v>1107</v>
      </c>
      <c r="Y45" s="4"/>
      <c r="Z45" s="4"/>
      <c r="AA45" s="12">
        <f t="shared" si="8"/>
        <v>0</v>
      </c>
      <c r="AC45" s="118" t="s">
        <v>363</v>
      </c>
      <c r="AD45" s="21" t="str">
        <f t="shared" si="14"/>
        <v>D-180300</v>
      </c>
      <c r="AE45" s="80" t="str">
        <f t="shared" si="15"/>
        <v>D</v>
      </c>
      <c r="AF45" s="21" t="str">
        <f t="shared" si="13"/>
        <v>Урьдчилж төлсөн зардал USD</v>
      </c>
      <c r="AJ45" s="413"/>
      <c r="AK45" s="413"/>
      <c r="AL45" s="413"/>
      <c r="AM45" s="413"/>
    </row>
    <row r="46" spans="1:39" ht="12.75" customHeight="1">
      <c r="A46" s="24"/>
      <c r="B46" s="105">
        <f t="shared" si="9"/>
        <v>43</v>
      </c>
      <c r="C46" s="6">
        <v>140500</v>
      </c>
      <c r="D46" s="118" t="s">
        <v>1681</v>
      </c>
      <c r="E46" s="9" t="s">
        <v>32</v>
      </c>
      <c r="F46" s="27"/>
      <c r="G46" s="27"/>
      <c r="H46" s="27">
        <v>0</v>
      </c>
      <c r="I46" s="27">
        <v>0</v>
      </c>
      <c r="J46" s="11">
        <f>+SUMIFS(JURNAL!G:G,JURNAL!E:E,C46,JURNAL!C:C,"&gt;="&amp;$H$1,JURNAL!C:C,"&lt;="&amp;$I$1)</f>
        <v>0</v>
      </c>
      <c r="K46" s="11">
        <f>+SUMIFS(JURNAL!H:H,JURNAL!E:E,C46,JURNAL!C:C,"&gt;="&amp;$H$1,JURNAL!C:C,"&lt;="&amp;$I$1)</f>
        <v>0</v>
      </c>
      <c r="L46" s="26">
        <f t="shared" si="2"/>
        <v>0</v>
      </c>
      <c r="M46" s="27">
        <f t="shared" si="3"/>
        <v>0</v>
      </c>
      <c r="N46" s="11"/>
      <c r="O46" s="334"/>
      <c r="P46" s="11"/>
      <c r="Q46" s="11"/>
      <c r="R46" s="26">
        <f t="shared" si="4"/>
        <v>0</v>
      </c>
      <c r="S46" s="27">
        <f t="shared" si="5"/>
        <v>0</v>
      </c>
      <c r="T46" s="11"/>
      <c r="U46" s="11"/>
      <c r="V46" s="26">
        <f t="shared" si="6"/>
        <v>0</v>
      </c>
      <c r="W46" s="27">
        <f t="shared" si="7"/>
        <v>0</v>
      </c>
      <c r="X46" s="4">
        <v>1107</v>
      </c>
      <c r="Y46" s="4"/>
      <c r="Z46" s="4"/>
      <c r="AA46" s="12">
        <f t="shared" si="8"/>
        <v>0</v>
      </c>
      <c r="AC46" s="118" t="s">
        <v>364</v>
      </c>
      <c r="AD46" s="21" t="str">
        <f t="shared" si="14"/>
        <v>т-180400</v>
      </c>
      <c r="AE46" s="80" t="str">
        <f t="shared" si="15"/>
        <v>т</v>
      </c>
      <c r="AF46" s="21" t="str">
        <f t="shared" si="13"/>
        <v>Материал татан авалт</v>
      </c>
      <c r="AJ46" s="413"/>
      <c r="AK46" s="413"/>
      <c r="AL46" s="413"/>
      <c r="AM46" s="413"/>
    </row>
    <row r="47" spans="1:39" ht="12.75" customHeight="1">
      <c r="A47" s="24"/>
      <c r="B47" s="105">
        <f t="shared" si="9"/>
        <v>44</v>
      </c>
      <c r="C47" s="6">
        <v>140501</v>
      </c>
      <c r="D47" s="118" t="s">
        <v>1682</v>
      </c>
      <c r="E47" s="9" t="s">
        <v>32</v>
      </c>
      <c r="F47" s="27"/>
      <c r="G47" s="27"/>
      <c r="H47" s="27">
        <v>0</v>
      </c>
      <c r="I47" s="27">
        <v>0</v>
      </c>
      <c r="J47" s="11">
        <f>+SUMIFS(JURNAL!G:G,JURNAL!E:E,C47,JURNAL!C:C,"&gt;="&amp;$H$1,JURNAL!C:C,"&lt;="&amp;$I$1)</f>
        <v>246741727.52779275</v>
      </c>
      <c r="K47" s="11">
        <f>+SUMIFS(JURNAL!H:H,JURNAL!E:E,C47,JURNAL!C:C,"&gt;="&amp;$H$1,JURNAL!C:C,"&lt;="&amp;$I$1)</f>
        <v>246741727.5277929</v>
      </c>
      <c r="L47" s="26">
        <f t="shared" si="2"/>
        <v>0</v>
      </c>
      <c r="M47" s="27">
        <f t="shared" si="3"/>
        <v>0</v>
      </c>
      <c r="N47" s="11"/>
      <c r="O47" s="334"/>
      <c r="P47" s="11"/>
      <c r="Q47" s="11"/>
      <c r="R47" s="26">
        <f t="shared" si="4"/>
        <v>0</v>
      </c>
      <c r="S47" s="27">
        <f t="shared" si="5"/>
        <v>0</v>
      </c>
      <c r="T47" s="11"/>
      <c r="U47" s="11"/>
      <c r="V47" s="26">
        <f t="shared" si="6"/>
        <v>0</v>
      </c>
      <c r="W47" s="27">
        <f t="shared" si="7"/>
        <v>0</v>
      </c>
      <c r="X47" s="4">
        <v>1107</v>
      </c>
      <c r="Y47" s="4"/>
      <c r="Z47" s="4"/>
      <c r="AA47" s="12">
        <f t="shared" si="8"/>
        <v>1</v>
      </c>
      <c r="AC47" s="118" t="s">
        <v>365</v>
      </c>
      <c r="AD47" s="21" t="str">
        <f t="shared" si="14"/>
        <v>т-200100</v>
      </c>
      <c r="AE47" s="80" t="str">
        <f t="shared" si="15"/>
        <v>т</v>
      </c>
      <c r="AF47" s="21" t="str">
        <f t="shared" si="13"/>
        <v>Газрын сайжруулалт</v>
      </c>
      <c r="AJ47" s="413"/>
      <c r="AK47" s="413"/>
      <c r="AL47" s="413"/>
      <c r="AM47" s="413"/>
    </row>
    <row r="48" spans="1:39" ht="12.75" customHeight="1">
      <c r="A48" s="24"/>
      <c r="B48" s="105">
        <f t="shared" si="9"/>
        <v>45</v>
      </c>
      <c r="C48" s="6">
        <v>140502</v>
      </c>
      <c r="D48" s="118" t="s">
        <v>1683</v>
      </c>
      <c r="E48" s="9" t="s">
        <v>32</v>
      </c>
      <c r="F48" s="27"/>
      <c r="G48" s="27"/>
      <c r="H48" s="27">
        <v>0</v>
      </c>
      <c r="I48" s="27">
        <v>0</v>
      </c>
      <c r="J48" s="11">
        <f>+SUMIFS(JURNAL!G:G,JURNAL!E:E,C48,JURNAL!C:C,"&gt;="&amp;$H$1,JURNAL!C:C,"&lt;="&amp;$I$1)</f>
        <v>0</v>
      </c>
      <c r="K48" s="11">
        <f>+SUMIFS(JURNAL!H:H,JURNAL!E:E,C48,JURNAL!C:C,"&gt;="&amp;$H$1,JURNAL!C:C,"&lt;="&amp;$I$1)</f>
        <v>0</v>
      </c>
      <c r="L48" s="26">
        <f t="shared" si="2"/>
        <v>0</v>
      </c>
      <c r="M48" s="27">
        <f t="shared" si="3"/>
        <v>0</v>
      </c>
      <c r="N48" s="11"/>
      <c r="O48" s="334"/>
      <c r="P48" s="11"/>
      <c r="Q48" s="11"/>
      <c r="R48" s="26">
        <f t="shared" si="4"/>
        <v>0</v>
      </c>
      <c r="S48" s="27">
        <f t="shared" si="5"/>
        <v>0</v>
      </c>
      <c r="T48" s="11"/>
      <c r="U48" s="11"/>
      <c r="V48" s="26">
        <f t="shared" si="6"/>
        <v>0</v>
      </c>
      <c r="W48" s="27">
        <f t="shared" si="7"/>
        <v>0</v>
      </c>
      <c r="X48" s="4">
        <v>1107</v>
      </c>
      <c r="Y48" s="4"/>
      <c r="Z48" s="4"/>
      <c r="AA48" s="12">
        <f t="shared" si="8"/>
        <v>0</v>
      </c>
      <c r="AC48" s="118" t="s">
        <v>366</v>
      </c>
      <c r="AD48" s="21" t="str">
        <f t="shared" si="14"/>
        <v>ж-200200</v>
      </c>
      <c r="AE48" s="80" t="str">
        <f t="shared" si="15"/>
        <v>ж</v>
      </c>
      <c r="AF48" s="21" t="str">
        <f t="shared" si="13"/>
        <v>Барилга байгууламж</v>
      </c>
      <c r="AJ48" s="413"/>
      <c r="AK48" s="413"/>
      <c r="AL48" s="413"/>
      <c r="AM48" s="413"/>
    </row>
    <row r="49" spans="1:39" ht="12.75" customHeight="1">
      <c r="A49" s="24"/>
      <c r="B49" s="105">
        <f t="shared" si="9"/>
        <v>46</v>
      </c>
      <c r="C49" s="6">
        <v>141200</v>
      </c>
      <c r="D49" s="118" t="s">
        <v>1684</v>
      </c>
      <c r="E49" s="9" t="s">
        <v>32</v>
      </c>
      <c r="F49" s="27"/>
      <c r="G49" s="27"/>
      <c r="H49" s="27">
        <v>0</v>
      </c>
      <c r="I49" s="27">
        <v>0</v>
      </c>
      <c r="J49" s="11">
        <f>+SUMIFS(JURNAL!G:G,JURNAL!E:E,C49,JURNAL!C:C,"&gt;="&amp;$H$1,JURNAL!C:C,"&lt;="&amp;$I$1)</f>
        <v>0</v>
      </c>
      <c r="K49" s="11">
        <f>+SUMIFS(JURNAL!H:H,JURNAL!E:E,C49,JURNAL!C:C,"&gt;="&amp;$H$1,JURNAL!C:C,"&lt;="&amp;$I$1)</f>
        <v>0</v>
      </c>
      <c r="L49" s="26">
        <f t="shared" si="2"/>
        <v>0</v>
      </c>
      <c r="M49" s="27">
        <f t="shared" si="3"/>
        <v>0</v>
      </c>
      <c r="N49" s="11"/>
      <c r="O49" s="334"/>
      <c r="P49" s="11"/>
      <c r="Q49" s="11"/>
      <c r="R49" s="26">
        <f t="shared" si="4"/>
        <v>0</v>
      </c>
      <c r="S49" s="27">
        <f t="shared" si="5"/>
        <v>0</v>
      </c>
      <c r="T49" s="11"/>
      <c r="U49" s="11"/>
      <c r="V49" s="26">
        <f t="shared" si="6"/>
        <v>0</v>
      </c>
      <c r="W49" s="27">
        <f t="shared" si="7"/>
        <v>0</v>
      </c>
      <c r="X49" s="4">
        <v>1107</v>
      </c>
      <c r="Y49" s="4"/>
      <c r="Z49" s="4"/>
      <c r="AA49" s="12">
        <f t="shared" si="8"/>
        <v>0</v>
      </c>
      <c r="AC49" s="118" t="s">
        <v>367</v>
      </c>
      <c r="AD49" s="21" t="str">
        <f t="shared" si="14"/>
        <v>л-200300</v>
      </c>
      <c r="AE49" s="80" t="str">
        <f t="shared" si="15"/>
        <v>л</v>
      </c>
      <c r="AF49" s="21" t="str">
        <f t="shared" si="13"/>
        <v>Тавилга эд хогшил</v>
      </c>
      <c r="AJ49" s="413"/>
      <c r="AK49" s="413"/>
      <c r="AL49" s="413"/>
      <c r="AM49" s="413"/>
    </row>
    <row r="50" spans="1:39" ht="12.75" customHeight="1">
      <c r="A50" s="24"/>
      <c r="B50" s="105">
        <f t="shared" si="9"/>
        <v>47</v>
      </c>
      <c r="C50" s="6">
        <v>141201</v>
      </c>
      <c r="D50" s="118" t="s">
        <v>2599</v>
      </c>
      <c r="E50" s="9" t="s">
        <v>32</v>
      </c>
      <c r="F50" s="27"/>
      <c r="G50" s="27"/>
      <c r="H50" s="27">
        <v>0</v>
      </c>
      <c r="I50" s="27">
        <v>0</v>
      </c>
      <c r="J50" s="11">
        <f>+SUMIFS(JURNAL!G:G,JURNAL!E:E,C50,JURNAL!C:C,"&gt;="&amp;$H$1,JURNAL!C:C,"&lt;="&amp;$I$1)</f>
        <v>0</v>
      </c>
      <c r="K50" s="11">
        <f>+SUMIFS(JURNAL!H:H,JURNAL!E:E,C50,JURNAL!C:C,"&gt;="&amp;$H$1,JURNAL!C:C,"&lt;="&amp;$I$1)</f>
        <v>0</v>
      </c>
      <c r="L50" s="26">
        <f t="shared" si="2"/>
        <v>0</v>
      </c>
      <c r="M50" s="27">
        <f t="shared" si="3"/>
        <v>0</v>
      </c>
      <c r="N50" s="11"/>
      <c r="O50" s="334"/>
      <c r="P50" s="11"/>
      <c r="Q50" s="11"/>
      <c r="R50" s="26">
        <f t="shared" si="4"/>
        <v>0</v>
      </c>
      <c r="S50" s="27">
        <f t="shared" si="5"/>
        <v>0</v>
      </c>
      <c r="T50" s="11"/>
      <c r="U50" s="11"/>
      <c r="V50" s="26">
        <f t="shared" si="6"/>
        <v>0</v>
      </c>
      <c r="W50" s="27">
        <f t="shared" si="7"/>
        <v>0</v>
      </c>
      <c r="X50" s="4">
        <v>1107</v>
      </c>
      <c r="Y50" s="4"/>
      <c r="Z50" s="4"/>
      <c r="AA50" s="12">
        <f t="shared" si="8"/>
        <v>0</v>
      </c>
      <c r="AC50" s="118" t="s">
        <v>368</v>
      </c>
      <c r="AD50" s="21" t="str">
        <f t="shared" si="14"/>
        <v xml:space="preserve"> -200400</v>
      </c>
      <c r="AE50" s="80" t="str">
        <f t="shared" si="15"/>
        <v/>
      </c>
      <c r="AF50" s="21" t="str">
        <f t="shared" si="13"/>
        <v xml:space="preserve">Машин, тоног төхөөрөмж </v>
      </c>
      <c r="AJ50" s="413"/>
      <c r="AK50" s="413"/>
      <c r="AL50" s="413"/>
      <c r="AM50" s="413"/>
    </row>
    <row r="51" spans="1:39" ht="12.75" customHeight="1">
      <c r="A51" s="24"/>
      <c r="B51" s="105">
        <f t="shared" si="9"/>
        <v>48</v>
      </c>
      <c r="C51" s="6">
        <v>141300</v>
      </c>
      <c r="D51" s="118" t="s">
        <v>1685</v>
      </c>
      <c r="E51" s="9" t="s">
        <v>32</v>
      </c>
      <c r="F51" s="27"/>
      <c r="G51" s="27"/>
      <c r="H51" s="27">
        <v>0</v>
      </c>
      <c r="I51" s="27">
        <v>0</v>
      </c>
      <c r="J51" s="11">
        <f>+SUMIFS(JURNAL!G:G,JURNAL!E:E,C51,JURNAL!C:C,"&gt;="&amp;$H$1,JURNAL!C:C,"&lt;="&amp;$I$1)</f>
        <v>0</v>
      </c>
      <c r="K51" s="11">
        <f>+SUMIFS(JURNAL!H:H,JURNAL!E:E,C51,JURNAL!C:C,"&gt;="&amp;$H$1,JURNAL!C:C,"&lt;="&amp;$I$1)</f>
        <v>0</v>
      </c>
      <c r="L51" s="26">
        <f t="shared" si="2"/>
        <v>0</v>
      </c>
      <c r="M51" s="27">
        <f t="shared" si="3"/>
        <v>0</v>
      </c>
      <c r="N51" s="11"/>
      <c r="O51" s="334"/>
      <c r="P51" s="11"/>
      <c r="Q51" s="11"/>
      <c r="R51" s="26">
        <f t="shared" si="4"/>
        <v>0</v>
      </c>
      <c r="S51" s="27">
        <f t="shared" si="5"/>
        <v>0</v>
      </c>
      <c r="T51" s="11"/>
      <c r="U51" s="11"/>
      <c r="V51" s="26">
        <f t="shared" si="6"/>
        <v>0</v>
      </c>
      <c r="W51" s="27">
        <f t="shared" si="7"/>
        <v>0</v>
      </c>
      <c r="X51" s="4">
        <v>1107</v>
      </c>
      <c r="Y51" s="4"/>
      <c r="Z51" s="4"/>
      <c r="AA51" s="12">
        <f t="shared" si="8"/>
        <v>0</v>
      </c>
      <c r="AC51" s="118" t="s">
        <v>369</v>
      </c>
      <c r="AD51" s="21" t="str">
        <f t="shared" si="14"/>
        <v>л-200500</v>
      </c>
      <c r="AE51" s="80" t="str">
        <f t="shared" si="15"/>
        <v>л</v>
      </c>
      <c r="AF51" s="21" t="str">
        <f t="shared" si="13"/>
        <v>Тээврийн хэрэгсэл</v>
      </c>
      <c r="AJ51" s="413"/>
      <c r="AK51" s="413"/>
      <c r="AL51" s="413"/>
      <c r="AM51" s="413"/>
    </row>
    <row r="52" spans="1:39" ht="12.75" customHeight="1">
      <c r="A52" s="24"/>
      <c r="B52" s="105">
        <f t="shared" si="9"/>
        <v>49</v>
      </c>
      <c r="C52" s="6">
        <v>141301</v>
      </c>
      <c r="D52" s="118" t="s">
        <v>2602</v>
      </c>
      <c r="E52" s="9" t="s">
        <v>32</v>
      </c>
      <c r="F52" s="27"/>
      <c r="G52" s="27"/>
      <c r="H52" s="27">
        <v>0</v>
      </c>
      <c r="I52" s="27">
        <v>0</v>
      </c>
      <c r="J52" s="11">
        <f>+SUMIFS(JURNAL!G:G,JURNAL!E:E,C52,JURNAL!C:C,"&gt;="&amp;$H$1,JURNAL!C:C,"&lt;="&amp;$I$1)</f>
        <v>0</v>
      </c>
      <c r="K52" s="11">
        <f>+SUMIFS(JURNAL!H:H,JURNAL!E:E,C52,JURNAL!C:C,"&gt;="&amp;$H$1,JURNAL!C:C,"&lt;="&amp;$I$1)</f>
        <v>0</v>
      </c>
      <c r="L52" s="26">
        <f t="shared" si="2"/>
        <v>0</v>
      </c>
      <c r="M52" s="27">
        <f t="shared" si="3"/>
        <v>0</v>
      </c>
      <c r="N52" s="11"/>
      <c r="O52" s="334"/>
      <c r="P52" s="11"/>
      <c r="Q52" s="11"/>
      <c r="R52" s="26">
        <f t="shared" si="4"/>
        <v>0</v>
      </c>
      <c r="S52" s="27">
        <f t="shared" si="5"/>
        <v>0</v>
      </c>
      <c r="T52" s="11"/>
      <c r="U52" s="11"/>
      <c r="V52" s="26">
        <f t="shared" si="6"/>
        <v>0</v>
      </c>
      <c r="W52" s="27">
        <f t="shared" si="7"/>
        <v>0</v>
      </c>
      <c r="X52" s="4">
        <v>1107</v>
      </c>
      <c r="Y52" s="4"/>
      <c r="Z52" s="4"/>
      <c r="AA52" s="12">
        <f t="shared" si="8"/>
        <v>0</v>
      </c>
      <c r="AC52" s="118" t="s">
        <v>370</v>
      </c>
      <c r="AD52" s="21" t="str">
        <f t="shared" si="14"/>
        <v>л-201000</v>
      </c>
      <c r="AE52" s="80" t="str">
        <f t="shared" si="15"/>
        <v>л</v>
      </c>
      <c r="AF52" s="21" t="str">
        <f t="shared" si="13"/>
        <v>Компьютер, дагалдах хэрэгсэл</v>
      </c>
      <c r="AJ52" s="413"/>
      <c r="AK52" s="413"/>
      <c r="AL52" s="413"/>
      <c r="AM52" s="413"/>
    </row>
    <row r="53" spans="1:39" ht="12.75" customHeight="1">
      <c r="A53" s="24"/>
      <c r="B53" s="105">
        <f t="shared" si="9"/>
        <v>50</v>
      </c>
      <c r="C53" s="6">
        <v>141400</v>
      </c>
      <c r="D53" s="118" t="s">
        <v>1686</v>
      </c>
      <c r="E53" s="9" t="s">
        <v>32</v>
      </c>
      <c r="F53" s="27"/>
      <c r="G53" s="27"/>
      <c r="H53" s="27">
        <v>0</v>
      </c>
      <c r="I53" s="27">
        <v>0</v>
      </c>
      <c r="J53" s="11">
        <f>+SUMIFS(JURNAL!G:G,JURNAL!E:E,C53,JURNAL!C:C,"&gt;="&amp;$H$1,JURNAL!C:C,"&lt;="&amp;$I$1)</f>
        <v>0</v>
      </c>
      <c r="K53" s="11">
        <f>+SUMIFS(JURNAL!H:H,JURNAL!E:E,C53,JURNAL!C:C,"&gt;="&amp;$H$1,JURNAL!C:C,"&lt;="&amp;$I$1)</f>
        <v>0</v>
      </c>
      <c r="L53" s="26">
        <f t="shared" si="2"/>
        <v>0</v>
      </c>
      <c r="M53" s="27">
        <f t="shared" si="3"/>
        <v>0</v>
      </c>
      <c r="N53" s="11"/>
      <c r="O53" s="334"/>
      <c r="P53" s="11"/>
      <c r="Q53" s="11"/>
      <c r="R53" s="26">
        <f t="shared" si="4"/>
        <v>0</v>
      </c>
      <c r="S53" s="27">
        <f t="shared" si="5"/>
        <v>0</v>
      </c>
      <c r="T53" s="11"/>
      <c r="U53" s="11"/>
      <c r="V53" s="26">
        <f t="shared" si="6"/>
        <v>0</v>
      </c>
      <c r="W53" s="27">
        <f t="shared" si="7"/>
        <v>0</v>
      </c>
      <c r="X53" s="4">
        <v>1107</v>
      </c>
      <c r="Y53" s="4"/>
      <c r="Z53" s="4"/>
      <c r="AA53" s="12">
        <f t="shared" si="8"/>
        <v>0</v>
      </c>
      <c r="AC53" s="118" t="s">
        <v>371</v>
      </c>
      <c r="AD53" s="21" t="str">
        <f t="shared" si="14"/>
        <v xml:space="preserve"> -200201</v>
      </c>
      <c r="AE53" s="80" t="str">
        <f t="shared" si="15"/>
        <v/>
      </c>
      <c r="AF53" s="21" t="str">
        <f t="shared" si="13"/>
        <v xml:space="preserve">Төмөр зам </v>
      </c>
      <c r="AJ53" s="413"/>
      <c r="AK53" s="413"/>
      <c r="AL53" s="413"/>
      <c r="AM53" s="413"/>
    </row>
    <row r="54" spans="1:39" ht="12.75" customHeight="1">
      <c r="A54" s="24"/>
      <c r="B54" s="105">
        <f t="shared" si="9"/>
        <v>51</v>
      </c>
      <c r="C54" s="6">
        <v>141401</v>
      </c>
      <c r="D54" s="118" t="s">
        <v>2600</v>
      </c>
      <c r="E54" s="9" t="s">
        <v>32</v>
      </c>
      <c r="F54" s="27"/>
      <c r="G54" s="27"/>
      <c r="H54" s="27">
        <v>0</v>
      </c>
      <c r="I54" s="27">
        <v>0</v>
      </c>
      <c r="J54" s="11">
        <f>+SUMIFS(JURNAL!G:G,JURNAL!E:E,C54,JURNAL!C:C,"&gt;="&amp;$H$1,JURNAL!C:C,"&lt;="&amp;$I$1)</f>
        <v>0</v>
      </c>
      <c r="K54" s="11">
        <f>+SUMIFS(JURNAL!H:H,JURNAL!E:E,C54,JURNAL!C:C,"&gt;="&amp;$H$1,JURNAL!C:C,"&lt;="&amp;$I$1)</f>
        <v>0</v>
      </c>
      <c r="L54" s="26">
        <f t="shared" si="2"/>
        <v>0</v>
      </c>
      <c r="M54" s="27">
        <f t="shared" si="3"/>
        <v>0</v>
      </c>
      <c r="N54" s="11"/>
      <c r="O54" s="334"/>
      <c r="P54" s="11"/>
      <c r="Q54" s="11"/>
      <c r="R54" s="26">
        <f t="shared" si="4"/>
        <v>0</v>
      </c>
      <c r="S54" s="27">
        <f t="shared" si="5"/>
        <v>0</v>
      </c>
      <c r="T54" s="11"/>
      <c r="U54" s="11"/>
      <c r="V54" s="26">
        <f t="shared" si="6"/>
        <v>0</v>
      </c>
      <c r="W54" s="27">
        <f t="shared" si="7"/>
        <v>0</v>
      </c>
      <c r="X54" s="4">
        <v>1107</v>
      </c>
      <c r="Y54" s="4"/>
      <c r="Z54" s="4"/>
      <c r="AA54" s="12">
        <f t="shared" si="8"/>
        <v>0</v>
      </c>
      <c r="AC54" s="118" t="s">
        <v>372</v>
      </c>
      <c r="AD54" s="21" t="str">
        <f t="shared" si="14"/>
        <v>ө-200600</v>
      </c>
      <c r="AE54" s="80" t="str">
        <f t="shared" si="15"/>
        <v>ө</v>
      </c>
      <c r="AF54" s="21" t="str">
        <f t="shared" si="13"/>
        <v>Бусад үндсэн хөрөнгө</v>
      </c>
      <c r="AJ54" s="413"/>
      <c r="AK54" s="413"/>
      <c r="AL54" s="413"/>
      <c r="AM54" s="413"/>
    </row>
    <row r="55" spans="1:39" ht="12.75" customHeight="1">
      <c r="A55" s="24"/>
      <c r="B55" s="105">
        <f t="shared" si="9"/>
        <v>52</v>
      </c>
      <c r="C55" s="6">
        <v>141500</v>
      </c>
      <c r="D55" s="118" t="s">
        <v>1687</v>
      </c>
      <c r="E55" s="9" t="s">
        <v>32</v>
      </c>
      <c r="F55" s="27"/>
      <c r="G55" s="27"/>
      <c r="H55" s="27">
        <v>0</v>
      </c>
      <c r="I55" s="27">
        <v>0</v>
      </c>
      <c r="J55" s="11">
        <f>+SUMIFS(JURNAL!G:G,JURNAL!E:E,C55,JURNAL!C:C,"&gt;="&amp;$H$1,JURNAL!C:C,"&lt;="&amp;$I$1)</f>
        <v>0</v>
      </c>
      <c r="K55" s="11">
        <f>+SUMIFS(JURNAL!H:H,JURNAL!E:E,C55,JURNAL!C:C,"&gt;="&amp;$H$1,JURNAL!C:C,"&lt;="&amp;$I$1)</f>
        <v>0</v>
      </c>
      <c r="L55" s="26">
        <f t="shared" si="2"/>
        <v>0</v>
      </c>
      <c r="M55" s="27">
        <f t="shared" si="3"/>
        <v>0</v>
      </c>
      <c r="N55" s="11"/>
      <c r="O55" s="334"/>
      <c r="P55" s="11"/>
      <c r="Q55" s="11"/>
      <c r="R55" s="26">
        <f t="shared" si="4"/>
        <v>0</v>
      </c>
      <c r="S55" s="27">
        <f t="shared" si="5"/>
        <v>0</v>
      </c>
      <c r="T55" s="11"/>
      <c r="U55" s="11"/>
      <c r="V55" s="26">
        <f t="shared" si="6"/>
        <v>0</v>
      </c>
      <c r="W55" s="27">
        <f t="shared" si="7"/>
        <v>0</v>
      </c>
      <c r="X55" s="4">
        <v>1107</v>
      </c>
      <c r="Y55" s="4"/>
      <c r="Z55" s="4"/>
      <c r="AA55" s="12">
        <f t="shared" si="8"/>
        <v>0</v>
      </c>
      <c r="AC55" s="118" t="s">
        <v>373</v>
      </c>
      <c r="AD55" s="21" t="str">
        <f t="shared" si="14"/>
        <v>/-200700</v>
      </c>
      <c r="AE55" s="80" t="str">
        <f t="shared" si="15"/>
        <v>/</v>
      </c>
      <c r="AF55" s="21" t="str">
        <f t="shared" si="13"/>
        <v>Дуусаагүй барилга-1 /Кувейт/</v>
      </c>
      <c r="AJ55" s="413"/>
      <c r="AK55" s="413"/>
      <c r="AL55" s="413"/>
      <c r="AM55" s="413"/>
    </row>
    <row r="56" spans="1:39" ht="12.75" customHeight="1">
      <c r="A56" s="24"/>
      <c r="B56" s="105">
        <f t="shared" si="9"/>
        <v>53</v>
      </c>
      <c r="C56" s="6">
        <v>141501</v>
      </c>
      <c r="D56" s="118" t="s">
        <v>2601</v>
      </c>
      <c r="E56" s="9" t="s">
        <v>32</v>
      </c>
      <c r="F56" s="27"/>
      <c r="G56" s="27"/>
      <c r="H56" s="27">
        <v>0</v>
      </c>
      <c r="I56" s="27">
        <v>0</v>
      </c>
      <c r="J56" s="11">
        <f>+SUMIFS(JURNAL!G:G,JURNAL!E:E,C56,JURNAL!C:C,"&gt;="&amp;$H$1,JURNAL!C:C,"&lt;="&amp;$I$1)</f>
        <v>0</v>
      </c>
      <c r="K56" s="11">
        <f>+SUMIFS(JURNAL!H:H,JURNAL!E:E,C56,JURNAL!C:C,"&gt;="&amp;$H$1,JURNAL!C:C,"&lt;="&amp;$I$1)</f>
        <v>0</v>
      </c>
      <c r="L56" s="26">
        <f t="shared" si="2"/>
        <v>0</v>
      </c>
      <c r="M56" s="27">
        <f t="shared" si="3"/>
        <v>0</v>
      </c>
      <c r="N56" s="11"/>
      <c r="O56" s="334"/>
      <c r="P56" s="11"/>
      <c r="Q56" s="11"/>
      <c r="R56" s="26">
        <f t="shared" si="4"/>
        <v>0</v>
      </c>
      <c r="S56" s="27">
        <f t="shared" si="5"/>
        <v>0</v>
      </c>
      <c r="T56" s="11"/>
      <c r="U56" s="11"/>
      <c r="V56" s="26">
        <f t="shared" si="6"/>
        <v>0</v>
      </c>
      <c r="W56" s="27">
        <f t="shared" si="7"/>
        <v>0</v>
      </c>
      <c r="X56" s="4">
        <v>1107</v>
      </c>
      <c r="Y56" s="4"/>
      <c r="Z56" s="4"/>
      <c r="AA56" s="12">
        <f t="shared" si="8"/>
        <v>0</v>
      </c>
      <c r="AC56" s="118" t="s">
        <v>374</v>
      </c>
      <c r="AD56" s="21" t="str">
        <f t="shared" si="14"/>
        <v>л-200800</v>
      </c>
      <c r="AE56" s="80" t="str">
        <f t="shared" si="15"/>
        <v>л</v>
      </c>
      <c r="AF56" s="21" t="str">
        <f t="shared" si="13"/>
        <v>Багаж хэрэгсэл</v>
      </c>
      <c r="AJ56" s="413"/>
      <c r="AK56" s="413"/>
      <c r="AL56" s="413"/>
      <c r="AM56" s="413"/>
    </row>
    <row r="57" spans="1:39" ht="12.75" customHeight="1">
      <c r="A57" s="24"/>
      <c r="B57" s="105">
        <f t="shared" si="9"/>
        <v>54</v>
      </c>
      <c r="C57" s="6">
        <v>150100</v>
      </c>
      <c r="D57" s="118" t="s">
        <v>1688</v>
      </c>
      <c r="E57" s="9" t="s">
        <v>32</v>
      </c>
      <c r="F57" s="27"/>
      <c r="G57" s="27"/>
      <c r="H57" s="27">
        <v>194017896.00639999</v>
      </c>
      <c r="I57" s="27">
        <v>0</v>
      </c>
      <c r="J57" s="11">
        <f>+SUMIFS(JURNAL!G:G,JURNAL!E:E,C57,JURNAL!C:C,"&gt;="&amp;$H$1,JURNAL!C:C,"&lt;="&amp;$I$1)</f>
        <v>0</v>
      </c>
      <c r="K57" s="11">
        <f>+SUMIFS(JURNAL!H:H,JURNAL!E:E,C57,JURNAL!C:C,"&gt;="&amp;$H$1,JURNAL!C:C,"&lt;="&amp;$I$1)</f>
        <v>186279038.66452003</v>
      </c>
      <c r="L57" s="26">
        <f t="shared" si="2"/>
        <v>7738857.3418799639</v>
      </c>
      <c r="M57" s="27">
        <f t="shared" si="3"/>
        <v>0</v>
      </c>
      <c r="N57" s="11"/>
      <c r="O57" s="334"/>
      <c r="P57" s="11"/>
      <c r="Q57" s="11"/>
      <c r="R57" s="26">
        <f t="shared" si="4"/>
        <v>7738857.3418799639</v>
      </c>
      <c r="S57" s="27">
        <f t="shared" si="5"/>
        <v>0</v>
      </c>
      <c r="T57" s="11"/>
      <c r="U57" s="11"/>
      <c r="V57" s="26">
        <f t="shared" si="6"/>
        <v>7738857.3418799639</v>
      </c>
      <c r="W57" s="27">
        <f t="shared" si="7"/>
        <v>0</v>
      </c>
      <c r="X57" s="4">
        <v>1107</v>
      </c>
      <c r="Y57" s="4"/>
      <c r="Z57" s="4"/>
      <c r="AA57" s="12">
        <f>+IF(H57+I57+J57+K57+L57+M57+N57+O57+R57+S57+T57+U57+V57+W57,1,0)</f>
        <v>1</v>
      </c>
      <c r="AC57" s="118" t="s">
        <v>375</v>
      </c>
      <c r="AD57" s="21" t="str">
        <f t="shared" si="14"/>
        <v>ө-200900</v>
      </c>
      <c r="AE57" s="80" t="str">
        <f t="shared" si="15"/>
        <v>ө</v>
      </c>
      <c r="AF57" s="21" t="str">
        <f t="shared" si="13"/>
        <v>Биологийн хөрөнгө</v>
      </c>
      <c r="AJ57" s="413"/>
      <c r="AK57" s="413"/>
      <c r="AL57" s="413"/>
      <c r="AM57" s="413"/>
    </row>
    <row r="58" spans="1:39" ht="12.75" customHeight="1">
      <c r="A58" s="24"/>
      <c r="B58" s="105">
        <f t="shared" si="9"/>
        <v>55</v>
      </c>
      <c r="C58" s="6">
        <v>150101</v>
      </c>
      <c r="D58" s="118" t="s">
        <v>1689</v>
      </c>
      <c r="E58" s="9" t="s">
        <v>32</v>
      </c>
      <c r="F58" s="27"/>
      <c r="G58" s="27"/>
      <c r="H58" s="27">
        <v>107045997.82273898</v>
      </c>
      <c r="I58" s="27">
        <v>0</v>
      </c>
      <c r="J58" s="11">
        <f>+SUMIFS(JURNAL!G:G,JURNAL!E:E,C58,JURNAL!C:C,"&gt;="&amp;$H$1,JURNAL!C:C,"&lt;="&amp;$I$1)</f>
        <v>246741727.5277929</v>
      </c>
      <c r="K58" s="11">
        <f>+SUMIFS(JURNAL!H:H,JURNAL!E:E,C58,JURNAL!C:C,"&gt;="&amp;$H$1,JURNAL!C:C,"&lt;="&amp;$I$1)</f>
        <v>64711364.002043262</v>
      </c>
      <c r="L58" s="26">
        <f t="shared" si="2"/>
        <v>289076361.34848863</v>
      </c>
      <c r="M58" s="27">
        <f t="shared" si="3"/>
        <v>0</v>
      </c>
      <c r="N58" s="11"/>
      <c r="O58" s="334"/>
      <c r="P58" s="11"/>
      <c r="Q58" s="11"/>
      <c r="R58" s="26">
        <f t="shared" si="4"/>
        <v>289076361.34848863</v>
      </c>
      <c r="S58" s="27">
        <f t="shared" si="5"/>
        <v>0</v>
      </c>
      <c r="T58" s="11"/>
      <c r="U58" s="11"/>
      <c r="V58" s="26">
        <f t="shared" si="6"/>
        <v>289076361.34848863</v>
      </c>
      <c r="W58" s="27">
        <f t="shared" si="7"/>
        <v>0</v>
      </c>
      <c r="X58" s="4">
        <v>1107</v>
      </c>
      <c r="Y58" s="4"/>
      <c r="Z58" s="4"/>
      <c r="AA58" s="12">
        <f t="shared" si="8"/>
        <v>1</v>
      </c>
      <c r="AC58" s="118" t="s">
        <v>376</v>
      </c>
      <c r="AD58" s="21" t="str">
        <f t="shared" si="14"/>
        <v>ж-201200</v>
      </c>
      <c r="AE58" s="80" t="str">
        <f t="shared" si="15"/>
        <v>ж</v>
      </c>
      <c r="AF58" s="21" t="str">
        <f t="shared" si="13"/>
        <v>Хуримтлагдсан элэгдэл - Барилга байгууламж</v>
      </c>
      <c r="AJ58" s="413"/>
      <c r="AK58" s="413"/>
      <c r="AL58" s="413"/>
      <c r="AM58" s="413"/>
    </row>
    <row r="59" spans="1:39" ht="12.75" customHeight="1">
      <c r="A59" s="24"/>
      <c r="B59" s="105">
        <f t="shared" si="9"/>
        <v>56</v>
      </c>
      <c r="C59" s="6">
        <v>150102</v>
      </c>
      <c r="D59" s="118" t="s">
        <v>1690</v>
      </c>
      <c r="E59" s="9" t="s">
        <v>32</v>
      </c>
      <c r="F59" s="27"/>
      <c r="G59" s="27"/>
      <c r="H59" s="27">
        <v>0</v>
      </c>
      <c r="I59" s="27">
        <v>0</v>
      </c>
      <c r="J59" s="11">
        <f>+SUMIFS(JURNAL!G:G,JURNAL!E:E,C59,JURNAL!C:C,"&gt;="&amp;$H$1,JURNAL!C:C,"&lt;="&amp;$I$1)</f>
        <v>0</v>
      </c>
      <c r="K59" s="11">
        <f>+SUMIFS(JURNAL!H:H,JURNAL!E:E,C59,JURNAL!C:C,"&gt;="&amp;$H$1,JURNAL!C:C,"&lt;="&amp;$I$1)</f>
        <v>0</v>
      </c>
      <c r="L59" s="26">
        <f t="shared" si="2"/>
        <v>0</v>
      </c>
      <c r="M59" s="27">
        <f t="shared" si="3"/>
        <v>0</v>
      </c>
      <c r="N59" s="11"/>
      <c r="O59" s="334"/>
      <c r="P59" s="11"/>
      <c r="Q59" s="11"/>
      <c r="R59" s="26">
        <f t="shared" si="4"/>
        <v>0</v>
      </c>
      <c r="S59" s="27">
        <f t="shared" si="5"/>
        <v>0</v>
      </c>
      <c r="T59" s="11"/>
      <c r="U59" s="11"/>
      <c r="V59" s="26">
        <f t="shared" si="6"/>
        <v>0</v>
      </c>
      <c r="W59" s="27">
        <f t="shared" si="7"/>
        <v>0</v>
      </c>
      <c r="X59" s="4">
        <v>1107</v>
      </c>
      <c r="Y59" s="4"/>
      <c r="Z59" s="4"/>
      <c r="AA59" s="12">
        <f t="shared" si="8"/>
        <v>0</v>
      </c>
      <c r="AC59" s="118" t="s">
        <v>377</v>
      </c>
      <c r="AD59" s="21" t="str">
        <f t="shared" si="14"/>
        <v>л-201300</v>
      </c>
      <c r="AE59" s="80" t="str">
        <f t="shared" si="15"/>
        <v>л</v>
      </c>
      <c r="AF59" s="21" t="str">
        <f t="shared" si="13"/>
        <v>Хуримтлагдсан элэгдэл - Тавилга эд хогшил</v>
      </c>
      <c r="AJ59" s="413"/>
      <c r="AK59" s="413"/>
      <c r="AL59" s="413"/>
      <c r="AM59" s="413"/>
    </row>
    <row r="60" spans="1:39" ht="12.75" customHeight="1">
      <c r="A60" s="24"/>
      <c r="B60" s="105">
        <f t="shared" si="9"/>
        <v>57</v>
      </c>
      <c r="C60" s="6">
        <v>151100</v>
      </c>
      <c r="D60" s="118" t="s">
        <v>1691</v>
      </c>
      <c r="E60" s="9" t="s">
        <v>32</v>
      </c>
      <c r="F60" s="27"/>
      <c r="G60" s="27"/>
      <c r="H60" s="27">
        <v>0</v>
      </c>
      <c r="I60" s="27">
        <v>0</v>
      </c>
      <c r="J60" s="11">
        <f>+SUMIFS(JURNAL!G:G,JURNAL!E:E,C60,JURNAL!C:C,"&gt;="&amp;$H$1,JURNAL!C:C,"&lt;="&amp;$I$1)</f>
        <v>0</v>
      </c>
      <c r="K60" s="11">
        <f>+SUMIFS(JURNAL!H:H,JURNAL!E:E,C60,JURNAL!C:C,"&gt;="&amp;$H$1,JURNAL!C:C,"&lt;="&amp;$I$1)</f>
        <v>0</v>
      </c>
      <c r="L60" s="26">
        <f t="shared" si="2"/>
        <v>0</v>
      </c>
      <c r="M60" s="27">
        <f t="shared" si="3"/>
        <v>0</v>
      </c>
      <c r="N60" s="11"/>
      <c r="O60" s="334"/>
      <c r="P60" s="11"/>
      <c r="Q60" s="11"/>
      <c r="R60" s="26">
        <f t="shared" si="4"/>
        <v>0</v>
      </c>
      <c r="S60" s="27">
        <f t="shared" si="5"/>
        <v>0</v>
      </c>
      <c r="T60" s="11"/>
      <c r="U60" s="11"/>
      <c r="V60" s="26">
        <f t="shared" si="6"/>
        <v>0</v>
      </c>
      <c r="W60" s="27">
        <f t="shared" si="7"/>
        <v>0</v>
      </c>
      <c r="X60" s="4">
        <v>1107</v>
      </c>
      <c r="Y60" s="4"/>
      <c r="Z60" s="4"/>
      <c r="AA60" s="12">
        <f t="shared" si="8"/>
        <v>0</v>
      </c>
      <c r="AC60" s="118" t="s">
        <v>378</v>
      </c>
      <c r="AD60" s="21" t="str">
        <f t="shared" si="14"/>
        <v>ж-201400</v>
      </c>
      <c r="AE60" s="80" t="str">
        <f t="shared" si="15"/>
        <v>ж</v>
      </c>
      <c r="AF60" s="21" t="str">
        <f t="shared" si="13"/>
        <v>Хуримтлагдсан элэгдэл - Машин тоног төхөөрөмж</v>
      </c>
      <c r="AJ60" s="413"/>
      <c r="AK60" s="413"/>
      <c r="AL60" s="413"/>
      <c r="AM60" s="413"/>
    </row>
    <row r="61" spans="1:39" ht="12.75" customHeight="1">
      <c r="A61" s="24"/>
      <c r="B61" s="105">
        <f t="shared" si="9"/>
        <v>58</v>
      </c>
      <c r="C61" s="6">
        <v>151101</v>
      </c>
      <c r="D61" s="118" t="s">
        <v>1692</v>
      </c>
      <c r="E61" s="9" t="s">
        <v>32</v>
      </c>
      <c r="F61" s="27"/>
      <c r="G61" s="27"/>
      <c r="H61" s="27">
        <v>0</v>
      </c>
      <c r="I61" s="27">
        <v>0</v>
      </c>
      <c r="J61" s="11">
        <f>+SUMIFS(JURNAL!G:G,JURNAL!E:E,C61,JURNAL!C:C,"&gt;="&amp;$H$1,JURNAL!C:C,"&lt;="&amp;$I$1)</f>
        <v>0</v>
      </c>
      <c r="K61" s="11">
        <f>+SUMIFS(JURNAL!H:H,JURNAL!E:E,C61,JURNAL!C:C,"&gt;="&amp;$H$1,JURNAL!C:C,"&lt;="&amp;$I$1)</f>
        <v>0</v>
      </c>
      <c r="L61" s="26">
        <f t="shared" si="2"/>
        <v>0</v>
      </c>
      <c r="M61" s="27">
        <f t="shared" si="3"/>
        <v>0</v>
      </c>
      <c r="N61" s="11"/>
      <c r="O61" s="334"/>
      <c r="P61" s="11"/>
      <c r="Q61" s="11"/>
      <c r="R61" s="26">
        <f t="shared" si="4"/>
        <v>0</v>
      </c>
      <c r="S61" s="27">
        <f t="shared" si="5"/>
        <v>0</v>
      </c>
      <c r="T61" s="11"/>
      <c r="U61" s="11"/>
      <c r="V61" s="26">
        <f t="shared" si="6"/>
        <v>0</v>
      </c>
      <c r="W61" s="27">
        <f t="shared" si="7"/>
        <v>0</v>
      </c>
      <c r="X61" s="4">
        <v>1107</v>
      </c>
      <c r="Y61" s="4"/>
      <c r="Z61" s="4"/>
      <c r="AA61" s="12">
        <f t="shared" si="8"/>
        <v>0</v>
      </c>
      <c r="AC61" s="118" t="s">
        <v>379</v>
      </c>
      <c r="AD61" s="21" t="str">
        <f t="shared" si="14"/>
        <v>л-201500</v>
      </c>
      <c r="AE61" s="80" t="str">
        <f t="shared" si="15"/>
        <v>л</v>
      </c>
      <c r="AF61" s="21" t="str">
        <f t="shared" si="13"/>
        <v>Хуримтлагдсан элэгдэл - Тээврийн хэрэгсэл</v>
      </c>
      <c r="AJ61" s="413"/>
      <c r="AK61" s="413"/>
      <c r="AL61" s="413"/>
      <c r="AM61" s="413"/>
    </row>
    <row r="62" spans="1:39" ht="12.75" customHeight="1">
      <c r="A62" s="24"/>
      <c r="B62" s="105">
        <f t="shared" si="9"/>
        <v>59</v>
      </c>
      <c r="C62" s="6">
        <v>160100</v>
      </c>
      <c r="D62" s="118" t="s">
        <v>961</v>
      </c>
      <c r="E62" s="9" t="s">
        <v>32</v>
      </c>
      <c r="F62" s="27"/>
      <c r="G62" s="27"/>
      <c r="H62" s="27">
        <v>153515785.43000001</v>
      </c>
      <c r="I62" s="27">
        <v>0</v>
      </c>
      <c r="J62" s="11">
        <f>+SUMIFS(JURNAL!G:G,JURNAL!E:E,C62,JURNAL!C:C,"&gt;="&amp;$H$1,JURNAL!C:C,"&lt;="&amp;$I$1)</f>
        <v>3969727.2681999998</v>
      </c>
      <c r="K62" s="11">
        <f>+SUMIFS(JURNAL!H:H,JURNAL!E:E,C62,JURNAL!C:C,"&gt;="&amp;$H$1,JURNAL!C:C,"&lt;="&amp;$I$1)</f>
        <v>0</v>
      </c>
      <c r="L62" s="26">
        <f t="shared" si="2"/>
        <v>157485512.69820002</v>
      </c>
      <c r="M62" s="27">
        <f t="shared" si="3"/>
        <v>0</v>
      </c>
      <c r="N62" s="11"/>
      <c r="O62" s="334"/>
      <c r="P62" s="11"/>
      <c r="Q62" s="11"/>
      <c r="R62" s="26">
        <f t="shared" si="4"/>
        <v>157485512.69820002</v>
      </c>
      <c r="S62" s="27">
        <f t="shared" si="5"/>
        <v>0</v>
      </c>
      <c r="T62" s="11"/>
      <c r="U62" s="11"/>
      <c r="V62" s="26">
        <f t="shared" si="6"/>
        <v>157485512.69820002</v>
      </c>
      <c r="W62" s="27">
        <f t="shared" si="7"/>
        <v>0</v>
      </c>
      <c r="X62" s="4">
        <v>1107</v>
      </c>
      <c r="Y62" s="4"/>
      <c r="Z62" s="4"/>
      <c r="AA62" s="12">
        <f t="shared" si="8"/>
        <v>1</v>
      </c>
      <c r="AC62" s="118" t="s">
        <v>380</v>
      </c>
      <c r="AD62" s="21" t="str">
        <f t="shared" si="14"/>
        <v>ө-201600</v>
      </c>
      <c r="AE62" s="80" t="str">
        <f t="shared" si="15"/>
        <v>ө</v>
      </c>
      <c r="AF62" s="21" t="str">
        <f t="shared" si="13"/>
        <v>Хуримтлагдсан элэгдэл - Бусад үндсэн хөрөнгө</v>
      </c>
      <c r="AJ62" s="413"/>
      <c r="AK62" s="413"/>
      <c r="AL62" s="413"/>
      <c r="AM62" s="413"/>
    </row>
    <row r="63" spans="1:39" ht="12.75" customHeight="1">
      <c r="A63" s="24"/>
      <c r="B63" s="105">
        <f t="shared" si="9"/>
        <v>60</v>
      </c>
      <c r="C63" s="6">
        <v>160200</v>
      </c>
      <c r="D63" s="118" t="s">
        <v>628</v>
      </c>
      <c r="E63" s="9" t="s">
        <v>32</v>
      </c>
      <c r="F63" s="27"/>
      <c r="G63" s="27"/>
      <c r="H63" s="27">
        <v>7217305.0354545452</v>
      </c>
      <c r="I63" s="27">
        <v>0</v>
      </c>
      <c r="J63" s="11">
        <f>+SUMIFS(JURNAL!G:G,JURNAL!E:E,C63,JURNAL!C:C,"&gt;="&amp;$H$1,JURNAL!C:C,"&lt;="&amp;$I$1)</f>
        <v>809520</v>
      </c>
      <c r="K63" s="11">
        <f>+SUMIFS(JURNAL!H:H,JURNAL!E:E,C63,JURNAL!C:C,"&gt;="&amp;$H$1,JURNAL!C:C,"&lt;="&amp;$I$1)</f>
        <v>0</v>
      </c>
      <c r="L63" s="26">
        <f t="shared" si="2"/>
        <v>8026825.0354545452</v>
      </c>
      <c r="M63" s="27">
        <f t="shared" si="3"/>
        <v>0</v>
      </c>
      <c r="N63" s="11"/>
      <c r="O63" s="334"/>
      <c r="P63" s="11"/>
      <c r="Q63" s="11"/>
      <c r="R63" s="26">
        <f t="shared" si="4"/>
        <v>8026825.0354545452</v>
      </c>
      <c r="S63" s="27">
        <f t="shared" si="5"/>
        <v>0</v>
      </c>
      <c r="T63" s="11"/>
      <c r="U63" s="11"/>
      <c r="V63" s="26">
        <f t="shared" si="6"/>
        <v>8026825.0354545452</v>
      </c>
      <c r="W63" s="27">
        <f t="shared" si="7"/>
        <v>0</v>
      </c>
      <c r="X63" s="4">
        <v>1107</v>
      </c>
      <c r="Y63" s="4"/>
      <c r="Z63" s="4"/>
      <c r="AA63" s="12">
        <f t="shared" si="8"/>
        <v>1</v>
      </c>
      <c r="AC63" s="118" t="s">
        <v>381</v>
      </c>
      <c r="AD63" s="21" t="str">
        <f t="shared" si="14"/>
        <v>л-201800</v>
      </c>
      <c r="AE63" s="80" t="str">
        <f t="shared" si="15"/>
        <v>л</v>
      </c>
      <c r="AF63" s="21" t="str">
        <f t="shared" si="13"/>
        <v>Хуримтлагдсан элэгдэл - Багаж хэрэгсэл</v>
      </c>
      <c r="AJ63" s="413"/>
      <c r="AK63" s="413"/>
      <c r="AL63" s="413"/>
      <c r="AM63" s="413"/>
    </row>
    <row r="64" spans="1:39" ht="12.75" customHeight="1">
      <c r="A64" s="24"/>
      <c r="B64" s="105">
        <f t="shared" si="9"/>
        <v>61</v>
      </c>
      <c r="C64" s="6">
        <v>160201</v>
      </c>
      <c r="D64" s="118" t="s">
        <v>1693</v>
      </c>
      <c r="E64" s="9" t="s">
        <v>32</v>
      </c>
      <c r="F64" s="27"/>
      <c r="G64" s="27"/>
      <c r="H64" s="27">
        <v>375918.56594085693</v>
      </c>
      <c r="I64" s="27">
        <v>0</v>
      </c>
      <c r="J64" s="11">
        <f>+SUMIFS(JURNAL!G:G,JURNAL!E:E,C64,JURNAL!C:C,"&gt;="&amp;$H$1,JURNAL!C:C,"&lt;="&amp;$I$1)</f>
        <v>0</v>
      </c>
      <c r="K64" s="11">
        <f>+SUMIFS(JURNAL!H:H,JURNAL!E:E,C64,JURNAL!C:C,"&gt;="&amp;$H$1,JURNAL!C:C,"&lt;="&amp;$I$1)</f>
        <v>0</v>
      </c>
      <c r="L64" s="26">
        <f t="shared" si="2"/>
        <v>375918.56594085693</v>
      </c>
      <c r="M64" s="27">
        <f t="shared" si="3"/>
        <v>0</v>
      </c>
      <c r="N64" s="11"/>
      <c r="O64" s="334"/>
      <c r="P64" s="11"/>
      <c r="Q64" s="11"/>
      <c r="R64" s="26">
        <f t="shared" si="4"/>
        <v>375918.56594085693</v>
      </c>
      <c r="S64" s="27">
        <f t="shared" si="5"/>
        <v>0</v>
      </c>
      <c r="T64" s="11"/>
      <c r="U64" s="11"/>
      <c r="V64" s="26">
        <f t="shared" si="6"/>
        <v>375918.56594085693</v>
      </c>
      <c r="W64" s="27">
        <f t="shared" si="7"/>
        <v>0</v>
      </c>
      <c r="X64" s="4">
        <v>1107</v>
      </c>
      <c r="Y64" s="4"/>
      <c r="Z64" s="4"/>
      <c r="AA64" s="12">
        <f t="shared" si="8"/>
        <v>1</v>
      </c>
      <c r="AC64" s="118" t="s">
        <v>382</v>
      </c>
      <c r="AD64" s="21" t="str">
        <f t="shared" si="14"/>
        <v>л-202000</v>
      </c>
      <c r="AE64" s="80" t="str">
        <f t="shared" si="15"/>
        <v>л</v>
      </c>
      <c r="AF64" s="21" t="str">
        <f t="shared" si="13"/>
        <v>Хуримтлагдсан элэгдэл - Комъпютер, дагалдах хэрэгсэл</v>
      </c>
      <c r="AJ64" s="413"/>
      <c r="AK64" s="413"/>
      <c r="AL64" s="413"/>
      <c r="AM64" s="413"/>
    </row>
    <row r="65" spans="1:39" ht="12.75" customHeight="1">
      <c r="A65" s="24"/>
      <c r="B65" s="105">
        <f t="shared" si="9"/>
        <v>62</v>
      </c>
      <c r="C65" s="6">
        <v>160300</v>
      </c>
      <c r="D65" s="118" t="s">
        <v>962</v>
      </c>
      <c r="E65" s="9" t="s">
        <v>32</v>
      </c>
      <c r="F65" s="27"/>
      <c r="G65" s="27"/>
      <c r="H65" s="27">
        <v>0</v>
      </c>
      <c r="I65" s="27">
        <v>0</v>
      </c>
      <c r="J65" s="11">
        <f>+SUMIFS(JURNAL!G:G,JURNAL!E:E,C65,JURNAL!C:C,"&gt;="&amp;$H$1,JURNAL!C:C,"&lt;="&amp;$I$1)</f>
        <v>0</v>
      </c>
      <c r="K65" s="11">
        <f>+SUMIFS(JURNAL!H:H,JURNAL!E:E,C65,JURNAL!C:C,"&gt;="&amp;$H$1,JURNAL!C:C,"&lt;="&amp;$I$1)</f>
        <v>0</v>
      </c>
      <c r="L65" s="26">
        <f t="shared" si="2"/>
        <v>0</v>
      </c>
      <c r="M65" s="27">
        <f t="shared" si="3"/>
        <v>0</v>
      </c>
      <c r="N65" s="11"/>
      <c r="O65" s="334"/>
      <c r="P65" s="11"/>
      <c r="Q65" s="11"/>
      <c r="R65" s="26">
        <f t="shared" si="4"/>
        <v>0</v>
      </c>
      <c r="S65" s="27">
        <f t="shared" si="5"/>
        <v>0</v>
      </c>
      <c r="T65" s="11"/>
      <c r="U65" s="11"/>
      <c r="V65" s="26">
        <f t="shared" si="6"/>
        <v>0</v>
      </c>
      <c r="W65" s="27">
        <f t="shared" si="7"/>
        <v>0</v>
      </c>
      <c r="X65" s="4">
        <v>1107</v>
      </c>
      <c r="Y65" s="4"/>
      <c r="Z65" s="4"/>
      <c r="AA65" s="12">
        <f t="shared" si="8"/>
        <v>0</v>
      </c>
      <c r="AC65" s="118" t="s">
        <v>383</v>
      </c>
      <c r="AD65" s="21" t="str">
        <f t="shared" si="14"/>
        <v>л-210100</v>
      </c>
      <c r="AE65" s="80" t="str">
        <f t="shared" si="15"/>
        <v>л</v>
      </c>
      <c r="AF65" s="21" t="str">
        <f t="shared" si="13"/>
        <v>Гүдвилл</v>
      </c>
      <c r="AJ65" s="413"/>
      <c r="AK65" s="413"/>
      <c r="AL65" s="413"/>
      <c r="AM65" s="413"/>
    </row>
    <row r="66" spans="1:39" ht="12.75" customHeight="1">
      <c r="A66" s="24"/>
      <c r="B66" s="105">
        <f t="shared" si="9"/>
        <v>63</v>
      </c>
      <c r="C66" s="6">
        <v>150500</v>
      </c>
      <c r="D66" s="118" t="s">
        <v>631</v>
      </c>
      <c r="E66" s="9" t="s">
        <v>32</v>
      </c>
      <c r="F66" s="27"/>
      <c r="G66" s="27"/>
      <c r="H66" s="27">
        <v>0</v>
      </c>
      <c r="I66" s="27">
        <v>0</v>
      </c>
      <c r="J66" s="11">
        <f>+SUMIFS(JURNAL!G:G,JURNAL!E:E,C66,JURNAL!C:C,"&gt;="&amp;$H$1,JURNAL!C:C,"&lt;="&amp;$I$1)</f>
        <v>0</v>
      </c>
      <c r="K66" s="11">
        <f>+SUMIFS(JURNAL!H:H,JURNAL!E:E,C66,JURNAL!C:C,"&gt;="&amp;$H$1,JURNAL!C:C,"&lt;="&amp;$I$1)</f>
        <v>0</v>
      </c>
      <c r="L66" s="26">
        <f t="shared" si="2"/>
        <v>0</v>
      </c>
      <c r="M66" s="27">
        <f t="shared" si="3"/>
        <v>0</v>
      </c>
      <c r="N66" s="11"/>
      <c r="O66" s="334"/>
      <c r="P66" s="11"/>
      <c r="Q66" s="11"/>
      <c r="R66" s="26">
        <f t="shared" si="4"/>
        <v>0</v>
      </c>
      <c r="S66" s="27">
        <f t="shared" si="5"/>
        <v>0</v>
      </c>
      <c r="T66" s="11"/>
      <c r="U66" s="11"/>
      <c r="V66" s="26">
        <f t="shared" si="6"/>
        <v>0</v>
      </c>
      <c r="W66" s="27">
        <f t="shared" si="7"/>
        <v>0</v>
      </c>
      <c r="X66" s="4">
        <v>1107</v>
      </c>
      <c r="Y66" s="4"/>
      <c r="Z66" s="4"/>
      <c r="AA66" s="12">
        <f t="shared" si="8"/>
        <v>0</v>
      </c>
      <c r="AC66" s="118" t="s">
        <v>384</v>
      </c>
      <c r="AD66" s="21" t="str">
        <f t="shared" si="14"/>
        <v>т-210200</v>
      </c>
      <c r="AE66" s="80" t="str">
        <f t="shared" si="15"/>
        <v>т</v>
      </c>
      <c r="AF66" s="21" t="str">
        <f t="shared" si="13"/>
        <v>Патент</v>
      </c>
      <c r="AJ66" s="413"/>
      <c r="AK66" s="413"/>
      <c r="AL66" s="413"/>
      <c r="AM66" s="413"/>
    </row>
    <row r="67" spans="1:39" ht="12.75" customHeight="1">
      <c r="A67" s="24"/>
      <c r="B67" s="105">
        <f t="shared" si="9"/>
        <v>64</v>
      </c>
      <c r="C67" s="6">
        <v>150800</v>
      </c>
      <c r="D67" s="118" t="s">
        <v>637</v>
      </c>
      <c r="E67" s="9" t="s">
        <v>32</v>
      </c>
      <c r="F67" s="27"/>
      <c r="G67" s="27"/>
      <c r="H67" s="27">
        <v>0</v>
      </c>
      <c r="I67" s="27">
        <v>0</v>
      </c>
      <c r="J67" s="11">
        <f>+SUMIFS(JURNAL!G:G,JURNAL!E:E,C67,JURNAL!C:C,"&gt;="&amp;$H$1,JURNAL!C:C,"&lt;="&amp;$I$1)</f>
        <v>0</v>
      </c>
      <c r="K67" s="11">
        <f>+SUMIFS(JURNAL!H:H,JURNAL!E:E,C67,JURNAL!C:C,"&gt;="&amp;$H$1,JURNAL!C:C,"&lt;="&amp;$I$1)</f>
        <v>0</v>
      </c>
      <c r="L67" s="26">
        <f t="shared" si="2"/>
        <v>0</v>
      </c>
      <c r="M67" s="27">
        <f t="shared" si="3"/>
        <v>0</v>
      </c>
      <c r="N67" s="11"/>
      <c r="O67" s="334"/>
      <c r="P67" s="11"/>
      <c r="Q67" s="11"/>
      <c r="R67" s="26">
        <f t="shared" si="4"/>
        <v>0</v>
      </c>
      <c r="S67" s="27">
        <f t="shared" si="5"/>
        <v>0</v>
      </c>
      <c r="T67" s="11"/>
      <c r="U67" s="11"/>
      <c r="V67" s="26">
        <f t="shared" si="6"/>
        <v>0</v>
      </c>
      <c r="W67" s="27">
        <f t="shared" si="7"/>
        <v>0</v>
      </c>
      <c r="X67" s="4">
        <v>1109</v>
      </c>
      <c r="Y67" s="4"/>
      <c r="Z67" s="4"/>
      <c r="AA67" s="12">
        <f t="shared" si="8"/>
        <v>0</v>
      </c>
      <c r="AC67" s="118" t="s">
        <v>385</v>
      </c>
      <c r="AD67" s="21" t="str">
        <f t="shared" si="14"/>
        <v>х-210300</v>
      </c>
      <c r="AE67" s="80" t="str">
        <f t="shared" si="15"/>
        <v>х</v>
      </c>
      <c r="AF67" s="21" t="str">
        <f t="shared" si="13"/>
        <v>Зохиогчийн эрх</v>
      </c>
      <c r="AJ67" s="413"/>
      <c r="AK67" s="413"/>
      <c r="AL67" s="413"/>
      <c r="AM67" s="413"/>
    </row>
    <row r="68" spans="1:39" ht="12.75" customHeight="1">
      <c r="A68" s="24"/>
      <c r="B68" s="105">
        <f t="shared" si="9"/>
        <v>65</v>
      </c>
      <c r="C68" s="6">
        <v>150900</v>
      </c>
      <c r="D68" s="118" t="s">
        <v>643</v>
      </c>
      <c r="E68" s="9" t="s">
        <v>32</v>
      </c>
      <c r="F68" s="27"/>
      <c r="G68" s="27"/>
      <c r="H68" s="27">
        <v>0</v>
      </c>
      <c r="I68" s="27">
        <v>0</v>
      </c>
      <c r="J68" s="11">
        <f>+SUMIFS(JURNAL!G:G,JURNAL!E:E,C68,JURNAL!C:C,"&gt;="&amp;$H$1,JURNAL!C:C,"&lt;="&amp;$I$1)</f>
        <v>0</v>
      </c>
      <c r="K68" s="11">
        <f>+SUMIFS(JURNAL!H:H,JURNAL!E:E,C68,JURNAL!C:C,"&gt;="&amp;$H$1,JURNAL!C:C,"&lt;="&amp;$I$1)</f>
        <v>0</v>
      </c>
      <c r="L68" s="26">
        <f t="shared" si="2"/>
        <v>0</v>
      </c>
      <c r="M68" s="27">
        <f t="shared" si="3"/>
        <v>0</v>
      </c>
      <c r="N68" s="11"/>
      <c r="O68" s="334"/>
      <c r="P68" s="11"/>
      <c r="Q68" s="11"/>
      <c r="R68" s="26">
        <f t="shared" si="4"/>
        <v>0</v>
      </c>
      <c r="S68" s="27">
        <f t="shared" si="5"/>
        <v>0</v>
      </c>
      <c r="T68" s="11"/>
      <c r="U68" s="11"/>
      <c r="V68" s="26">
        <f t="shared" si="6"/>
        <v>0</v>
      </c>
      <c r="W68" s="27">
        <f t="shared" si="7"/>
        <v>0</v>
      </c>
      <c r="X68" s="4">
        <v>1110</v>
      </c>
      <c r="Y68" s="4"/>
      <c r="Z68" s="4"/>
      <c r="AA68" s="12">
        <f t="shared" si="8"/>
        <v>0</v>
      </c>
      <c r="AC68" s="118" t="s">
        <v>386</v>
      </c>
      <c r="AD68" s="21" t="str">
        <f t="shared" si="14"/>
        <v>т-210400</v>
      </c>
      <c r="AE68" s="80" t="str">
        <f t="shared" si="15"/>
        <v>т</v>
      </c>
      <c r="AF68" s="21" t="str">
        <f t="shared" si="13"/>
        <v>Барааны тэмдэгт</v>
      </c>
      <c r="AJ68" s="413"/>
      <c r="AK68" s="413"/>
      <c r="AL68" s="413"/>
      <c r="AM68" s="413"/>
    </row>
    <row r="69" spans="1:39" ht="12.75" customHeight="1">
      <c r="A69" s="24"/>
      <c r="B69" s="105">
        <f t="shared" si="9"/>
        <v>66</v>
      </c>
      <c r="C69" s="6">
        <v>180100</v>
      </c>
      <c r="D69" s="118" t="s">
        <v>648</v>
      </c>
      <c r="E69" s="9" t="s">
        <v>32</v>
      </c>
      <c r="F69" s="27"/>
      <c r="G69" s="27"/>
      <c r="H69" s="27">
        <v>50000000</v>
      </c>
      <c r="I69" s="27">
        <v>0</v>
      </c>
      <c r="J69" s="11">
        <f>+SUMIFS(JURNAL!G:G,JURNAL!E:E,C69,JURNAL!C:C,"&gt;="&amp;$H$1,JURNAL!C:C,"&lt;="&amp;$I$1)</f>
        <v>0</v>
      </c>
      <c r="K69" s="11">
        <f>+SUMIFS(JURNAL!H:H,JURNAL!E:E,C69,JURNAL!C:C,"&gt;="&amp;$H$1,JURNAL!C:C,"&lt;="&amp;$I$1)</f>
        <v>0</v>
      </c>
      <c r="L69" s="26">
        <f t="shared" ref="L69:L132" si="16">+IF((H69+J69)&gt;(I69+K69),(H69+J69)-(I69+K69),0)</f>
        <v>50000000</v>
      </c>
      <c r="M69" s="27">
        <f t="shared" ref="M69:M132" si="17">+IF((H69+J69)&lt;(I69+K69),(I69+K69)-(H69+J69),0)</f>
        <v>0</v>
      </c>
      <c r="N69" s="11"/>
      <c r="O69" s="334"/>
      <c r="P69" s="11"/>
      <c r="Q69" s="11"/>
      <c r="R69" s="26">
        <f t="shared" ref="R69:R132" si="18">+IF((L69+N69)&gt;(M69+O69),(L69+N69)-(M69+O69),0)</f>
        <v>50000000</v>
      </c>
      <c r="S69" s="27">
        <f t="shared" ref="S69:S132" si="19">+IF((L69+N69)&lt;(M69+O69),(M69+O69)-(L69+N69),0)</f>
        <v>0</v>
      </c>
      <c r="T69" s="11"/>
      <c r="U69" s="11"/>
      <c r="V69" s="26">
        <f t="shared" ref="V69:V132" si="20">+IF((R69+T69)&gt;(S69+U69),(R69+T69)-(S69+U69),0)</f>
        <v>50000000</v>
      </c>
      <c r="W69" s="27">
        <f t="shared" ref="W69:W132" si="21">+IF((R69+T69)&lt;(S69+U69),(S69+U69)-(R69+T69),0)</f>
        <v>0</v>
      </c>
      <c r="X69" s="4">
        <v>1108</v>
      </c>
      <c r="Y69" s="4"/>
      <c r="Z69" s="4"/>
      <c r="AA69" s="12">
        <f t="shared" ref="AA69:AA132" si="22">+IF(H69+I69+J69+K69+L69+M69+N69+O69+R69+S69+T69+U69+V69+W69,1,0)</f>
        <v>1</v>
      </c>
      <c r="AC69" s="118" t="s">
        <v>387</v>
      </c>
      <c r="AD69" s="21" t="str">
        <f t="shared" si="14"/>
        <v>ө-210500</v>
      </c>
      <c r="AE69" s="80" t="str">
        <f t="shared" si="15"/>
        <v>ө</v>
      </c>
      <c r="AF69" s="21" t="str">
        <f t="shared" si="13"/>
        <v>Бусад биет бус хөрөнгө</v>
      </c>
      <c r="AJ69" s="413"/>
      <c r="AK69" s="413"/>
      <c r="AL69" s="413"/>
      <c r="AM69" s="413"/>
    </row>
    <row r="70" spans="1:39" ht="12.75" customHeight="1">
      <c r="A70" s="24"/>
      <c r="B70" s="105">
        <f t="shared" ref="B70:B133" si="23">+B69+1</f>
        <v>67</v>
      </c>
      <c r="C70" s="6">
        <v>180101</v>
      </c>
      <c r="D70" s="118" t="s">
        <v>963</v>
      </c>
      <c r="E70" s="9" t="s">
        <v>30</v>
      </c>
      <c r="F70" s="27"/>
      <c r="G70" s="27"/>
      <c r="H70" s="27">
        <v>0.01</v>
      </c>
      <c r="I70" s="27">
        <v>0</v>
      </c>
      <c r="J70" s="11">
        <f>+SUMIFS(JURNAL!G:G,JURNAL!E:E,C70,JURNAL!C:C,"&gt;="&amp;$H$1,JURNAL!C:C,"&lt;="&amp;$I$1)</f>
        <v>0</v>
      </c>
      <c r="K70" s="11">
        <f>+SUMIFS(JURNAL!H:H,JURNAL!E:E,C70,JURNAL!C:C,"&gt;="&amp;$H$1,JURNAL!C:C,"&lt;="&amp;$I$1)</f>
        <v>0</v>
      </c>
      <c r="L70" s="26">
        <f t="shared" si="16"/>
        <v>0.01</v>
      </c>
      <c r="M70" s="27">
        <f t="shared" si="17"/>
        <v>0</v>
      </c>
      <c r="N70" s="11"/>
      <c r="O70" s="334"/>
      <c r="P70" s="11"/>
      <c r="Q70" s="11"/>
      <c r="R70" s="26">
        <f t="shared" si="18"/>
        <v>0.01</v>
      </c>
      <c r="S70" s="27">
        <f t="shared" si="19"/>
        <v>0</v>
      </c>
      <c r="T70" s="11"/>
      <c r="U70" s="11"/>
      <c r="V70" s="26">
        <f t="shared" si="20"/>
        <v>0.01</v>
      </c>
      <c r="W70" s="27">
        <f t="shared" si="21"/>
        <v>0</v>
      </c>
      <c r="X70" s="4">
        <v>1108</v>
      </c>
      <c r="Y70" s="4"/>
      <c r="Z70" s="4"/>
      <c r="AA70" s="12">
        <f t="shared" si="22"/>
        <v>1</v>
      </c>
      <c r="AC70" s="118" t="s">
        <v>388</v>
      </c>
      <c r="AD70" s="21" t="str">
        <f t="shared" si="14"/>
        <v>ж-210600</v>
      </c>
      <c r="AE70" s="80" t="str">
        <f t="shared" si="15"/>
        <v>ж</v>
      </c>
      <c r="AF70" s="21" t="str">
        <f t="shared" si="13"/>
        <v>Программ хангамж</v>
      </c>
      <c r="AJ70" s="413"/>
      <c r="AK70" s="413"/>
      <c r="AL70" s="413"/>
      <c r="AM70" s="413"/>
    </row>
    <row r="71" spans="1:39" ht="12.75" customHeight="1">
      <c r="A71" s="24"/>
      <c r="B71" s="105">
        <f t="shared" si="23"/>
        <v>68</v>
      </c>
      <c r="C71" s="6">
        <v>180200</v>
      </c>
      <c r="D71" s="118" t="s">
        <v>977</v>
      </c>
      <c r="E71" s="9" t="s">
        <v>32</v>
      </c>
      <c r="F71" s="27"/>
      <c r="G71" s="27"/>
      <c r="H71" s="27">
        <v>5.0002336502075195E-4</v>
      </c>
      <c r="I71" s="27">
        <v>0</v>
      </c>
      <c r="J71" s="11">
        <f>+SUMIFS(JURNAL!G:G,JURNAL!E:E,C71,JURNAL!C:C,"&gt;="&amp;$H$1,JURNAL!C:C,"&lt;="&amp;$I$1)</f>
        <v>0</v>
      </c>
      <c r="K71" s="11">
        <f>+SUMIFS(JURNAL!H:H,JURNAL!E:E,C71,JURNAL!C:C,"&gt;="&amp;$H$1,JURNAL!C:C,"&lt;="&amp;$I$1)</f>
        <v>0</v>
      </c>
      <c r="L71" s="26">
        <f t="shared" si="16"/>
        <v>5.0002336502075195E-4</v>
      </c>
      <c r="M71" s="27">
        <f t="shared" si="17"/>
        <v>0</v>
      </c>
      <c r="N71" s="11"/>
      <c r="O71" s="334"/>
      <c r="P71" s="11"/>
      <c r="Q71" s="11"/>
      <c r="R71" s="26">
        <f t="shared" si="18"/>
        <v>5.0002336502075195E-4</v>
      </c>
      <c r="S71" s="27">
        <f t="shared" si="19"/>
        <v>0</v>
      </c>
      <c r="T71" s="11"/>
      <c r="U71" s="11"/>
      <c r="V71" s="26">
        <f t="shared" si="20"/>
        <v>5.0002336502075195E-4</v>
      </c>
      <c r="W71" s="27">
        <f t="shared" si="21"/>
        <v>0</v>
      </c>
      <c r="X71" s="4">
        <v>1108</v>
      </c>
      <c r="Y71" s="4"/>
      <c r="Z71" s="4"/>
      <c r="AA71" s="12">
        <f t="shared" si="22"/>
        <v>1</v>
      </c>
      <c r="AC71" s="118" t="s">
        <v>389</v>
      </c>
      <c r="AD71" s="21" t="str">
        <f t="shared" si="14"/>
        <v>т-210700</v>
      </c>
      <c r="AE71" s="80" t="str">
        <f t="shared" si="15"/>
        <v>т</v>
      </c>
      <c r="AF71" s="21" t="str">
        <f t="shared" si="13"/>
        <v>Түрээсийн сайжруулалт</v>
      </c>
      <c r="AJ71" s="413"/>
      <c r="AK71" s="413"/>
      <c r="AL71" s="413"/>
      <c r="AM71" s="413"/>
    </row>
    <row r="72" spans="1:39" ht="12.75" customHeight="1">
      <c r="A72" s="24"/>
      <c r="B72" s="105">
        <f t="shared" si="23"/>
        <v>69</v>
      </c>
      <c r="C72" s="6">
        <v>180300</v>
      </c>
      <c r="D72" s="118" t="s">
        <v>964</v>
      </c>
      <c r="E72" s="9" t="s">
        <v>30</v>
      </c>
      <c r="F72" s="27"/>
      <c r="G72" s="27"/>
      <c r="H72" s="27">
        <v>0</v>
      </c>
      <c r="I72" s="27">
        <v>0</v>
      </c>
      <c r="J72" s="11">
        <f>+SUMIFS(JURNAL!G:G,JURNAL!E:E,C72,JURNAL!C:C,"&gt;="&amp;$H$1,JURNAL!C:C,"&lt;="&amp;$I$1)</f>
        <v>0</v>
      </c>
      <c r="K72" s="11">
        <f>+SUMIFS(JURNAL!H:H,JURNAL!E:E,C72,JURNAL!C:C,"&gt;="&amp;$H$1,JURNAL!C:C,"&lt;="&amp;$I$1)</f>
        <v>0</v>
      </c>
      <c r="L72" s="26">
        <f t="shared" si="16"/>
        <v>0</v>
      </c>
      <c r="M72" s="27">
        <f t="shared" si="17"/>
        <v>0</v>
      </c>
      <c r="N72" s="11"/>
      <c r="O72" s="334"/>
      <c r="P72" s="11"/>
      <c r="Q72" s="11"/>
      <c r="R72" s="26">
        <f t="shared" si="18"/>
        <v>0</v>
      </c>
      <c r="S72" s="27">
        <f t="shared" si="19"/>
        <v>0</v>
      </c>
      <c r="T72" s="11"/>
      <c r="U72" s="11"/>
      <c r="V72" s="26">
        <f t="shared" si="20"/>
        <v>0</v>
      </c>
      <c r="W72" s="27">
        <f t="shared" si="21"/>
        <v>0</v>
      </c>
      <c r="X72" s="4">
        <v>1108</v>
      </c>
      <c r="Y72" s="4"/>
      <c r="Z72" s="4"/>
      <c r="AA72" s="12">
        <f t="shared" si="22"/>
        <v>0</v>
      </c>
      <c r="AC72" s="118" t="s">
        <v>390</v>
      </c>
      <c r="AD72" s="21" t="str">
        <f t="shared" si="14"/>
        <v>х-211000</v>
      </c>
      <c r="AE72" s="80" t="str">
        <f t="shared" si="15"/>
        <v>х</v>
      </c>
      <c r="AF72" s="21" t="str">
        <f t="shared" si="13"/>
        <v>Газар эзэмших эрх</v>
      </c>
      <c r="AJ72" s="413"/>
      <c r="AK72" s="413"/>
      <c r="AL72" s="413"/>
      <c r="AM72" s="413"/>
    </row>
    <row r="73" spans="1:39" ht="12.75" customHeight="1">
      <c r="A73" s="24"/>
      <c r="B73" s="105">
        <f t="shared" si="23"/>
        <v>70</v>
      </c>
      <c r="C73" s="6">
        <v>180400</v>
      </c>
      <c r="D73" s="118" t="s">
        <v>656</v>
      </c>
      <c r="E73" s="9" t="s">
        <v>32</v>
      </c>
      <c r="F73" s="27"/>
      <c r="G73" s="27"/>
      <c r="H73" s="27">
        <v>0</v>
      </c>
      <c r="I73" s="27">
        <v>0</v>
      </c>
      <c r="J73" s="11">
        <f>+SUMIFS(JURNAL!G:G,JURNAL!E:E,C73,JURNAL!C:C,"&gt;="&amp;$H$1,JURNAL!C:C,"&lt;="&amp;$I$1)</f>
        <v>0</v>
      </c>
      <c r="K73" s="11">
        <f>+SUMIFS(JURNAL!H:H,JURNAL!E:E,C73,JURNAL!C:C,"&gt;="&amp;$H$1,JURNAL!C:C,"&lt;="&amp;$I$1)</f>
        <v>0</v>
      </c>
      <c r="L73" s="26">
        <f t="shared" si="16"/>
        <v>0</v>
      </c>
      <c r="M73" s="27">
        <f t="shared" si="17"/>
        <v>0</v>
      </c>
      <c r="N73" s="11"/>
      <c r="O73" s="334"/>
      <c r="P73" s="11"/>
      <c r="Q73" s="11"/>
      <c r="R73" s="26">
        <f t="shared" si="18"/>
        <v>0</v>
      </c>
      <c r="S73" s="27">
        <f t="shared" si="19"/>
        <v>0</v>
      </c>
      <c r="T73" s="11"/>
      <c r="U73" s="11"/>
      <c r="V73" s="26">
        <f t="shared" si="20"/>
        <v>0</v>
      </c>
      <c r="W73" s="27">
        <f t="shared" si="21"/>
        <v>0</v>
      </c>
      <c r="X73" s="4">
        <v>1108</v>
      </c>
      <c r="Y73" s="4"/>
      <c r="Z73" s="4"/>
      <c r="AA73" s="12">
        <f t="shared" si="22"/>
        <v>0</v>
      </c>
      <c r="AC73" s="118" t="s">
        <v>391</v>
      </c>
      <c r="AD73" s="21" t="str">
        <f t="shared" si="14"/>
        <v>т-220100</v>
      </c>
      <c r="AE73" s="80" t="str">
        <f t="shared" si="15"/>
        <v>т</v>
      </c>
      <c r="AF73" s="21" t="str">
        <f t="shared" ref="AF73:AF131" si="24">+SUBSTITUTE(AC73,AD73,AE73)</f>
        <v>Урт хугацаат хөрөнгө оруулалт</v>
      </c>
      <c r="AJ73" s="413"/>
      <c r="AK73" s="413"/>
      <c r="AL73" s="413"/>
      <c r="AM73" s="413"/>
    </row>
    <row r="74" spans="1:39" ht="12.75" customHeight="1">
      <c r="A74" s="24"/>
      <c r="B74" s="105">
        <f t="shared" si="23"/>
        <v>71</v>
      </c>
      <c r="C74" s="6">
        <v>200100</v>
      </c>
      <c r="D74" s="118" t="s">
        <v>999</v>
      </c>
      <c r="E74" s="9" t="s">
        <v>32</v>
      </c>
      <c r="F74" s="27"/>
      <c r="G74" s="27"/>
      <c r="H74" s="27">
        <v>0</v>
      </c>
      <c r="I74" s="27">
        <v>0</v>
      </c>
      <c r="J74" s="11">
        <f>+SUMIFS(JURNAL!G:G,JURNAL!E:E,C74,JURNAL!C:C,"&gt;="&amp;$H$1,JURNAL!C:C,"&lt;="&amp;$I$1)</f>
        <v>0</v>
      </c>
      <c r="K74" s="11">
        <f>+SUMIFS(JURNAL!H:H,JURNAL!E:E,C74,JURNAL!C:C,"&gt;="&amp;$H$1,JURNAL!C:C,"&lt;="&amp;$I$1)</f>
        <v>0</v>
      </c>
      <c r="L74" s="26">
        <f t="shared" si="16"/>
        <v>0</v>
      </c>
      <c r="M74" s="27">
        <f t="shared" si="17"/>
        <v>0</v>
      </c>
      <c r="N74" s="11"/>
      <c r="O74" s="334"/>
      <c r="P74" s="11"/>
      <c r="Q74" s="11"/>
      <c r="R74" s="26">
        <f t="shared" si="18"/>
        <v>0</v>
      </c>
      <c r="S74" s="27">
        <f t="shared" si="19"/>
        <v>0</v>
      </c>
      <c r="T74" s="11"/>
      <c r="U74" s="11"/>
      <c r="V74" s="26">
        <f t="shared" si="20"/>
        <v>0</v>
      </c>
      <c r="W74" s="27">
        <f t="shared" si="21"/>
        <v>0</v>
      </c>
      <c r="X74" s="4">
        <v>1120</v>
      </c>
      <c r="Y74" s="4"/>
      <c r="Z74" s="4"/>
      <c r="AA74" s="12">
        <f t="shared" si="22"/>
        <v>0</v>
      </c>
      <c r="AC74" s="118" t="s">
        <v>392</v>
      </c>
      <c r="AD74" s="21" t="str">
        <f t="shared" si="14"/>
        <v>а-220200</v>
      </c>
      <c r="AE74" s="80" t="str">
        <f t="shared" si="15"/>
        <v>а</v>
      </c>
      <c r="AF74" s="21" t="str">
        <f t="shared" si="24"/>
        <v>Урт хугацаат компани хоорондын авлага</v>
      </c>
      <c r="AJ74" s="413"/>
      <c r="AK74" s="413"/>
      <c r="AL74" s="413"/>
      <c r="AM74" s="413"/>
    </row>
    <row r="75" spans="1:39" ht="12.75" customHeight="1">
      <c r="A75" s="24"/>
      <c r="B75" s="105">
        <f t="shared" si="23"/>
        <v>72</v>
      </c>
      <c r="C75" s="6">
        <v>200200</v>
      </c>
      <c r="D75" s="118" t="s">
        <v>664</v>
      </c>
      <c r="E75" s="9" t="s">
        <v>32</v>
      </c>
      <c r="F75" s="27"/>
      <c r="G75" s="27"/>
      <c r="H75" s="27">
        <v>1172805331</v>
      </c>
      <c r="I75" s="27">
        <v>0</v>
      </c>
      <c r="J75" s="11">
        <f>+SUMIFS(JURNAL!G:G,JURNAL!E:E,C75,JURNAL!C:C,"&gt;="&amp;$H$1,JURNAL!C:C,"&lt;="&amp;$I$1)</f>
        <v>0</v>
      </c>
      <c r="K75" s="11">
        <f>+SUMIFS(JURNAL!H:H,JURNAL!E:E,C75,JURNAL!C:C,"&gt;="&amp;$H$1,JURNAL!C:C,"&lt;="&amp;$I$1)</f>
        <v>0</v>
      </c>
      <c r="L75" s="26">
        <f t="shared" si="16"/>
        <v>1172805331</v>
      </c>
      <c r="M75" s="27">
        <f t="shared" si="17"/>
        <v>0</v>
      </c>
      <c r="N75" s="11"/>
      <c r="O75" s="334"/>
      <c r="P75" s="11"/>
      <c r="Q75" s="11"/>
      <c r="R75" s="26">
        <f t="shared" si="18"/>
        <v>1172805331</v>
      </c>
      <c r="S75" s="27">
        <f t="shared" si="19"/>
        <v>0</v>
      </c>
      <c r="T75" s="11"/>
      <c r="U75" s="11"/>
      <c r="V75" s="26">
        <f t="shared" si="20"/>
        <v>1172805331</v>
      </c>
      <c r="W75" s="27">
        <f t="shared" si="21"/>
        <v>0</v>
      </c>
      <c r="X75" s="4">
        <v>1120</v>
      </c>
      <c r="Y75" s="4"/>
      <c r="Z75" s="4"/>
      <c r="AA75" s="12">
        <f t="shared" si="22"/>
        <v>1</v>
      </c>
      <c r="AC75" s="118" t="s">
        <v>393</v>
      </c>
      <c r="AD75" s="21" t="str">
        <f t="shared" si="14"/>
        <v>а-220400</v>
      </c>
      <c r="AE75" s="80" t="str">
        <f t="shared" si="15"/>
        <v>а</v>
      </c>
      <c r="AF75" s="21" t="str">
        <f t="shared" si="24"/>
        <v>Урт хугацаат хөрөнгө оруулалтын үнэлгээний хасалдуулга</v>
      </c>
      <c r="AJ75" s="413"/>
      <c r="AK75" s="413"/>
      <c r="AL75" s="413"/>
      <c r="AM75" s="413"/>
    </row>
    <row r="76" spans="1:39" ht="12.75" customHeight="1">
      <c r="A76" s="24"/>
      <c r="B76" s="105">
        <f t="shared" si="23"/>
        <v>73</v>
      </c>
      <c r="C76" s="6">
        <v>200300</v>
      </c>
      <c r="D76" s="118" t="s">
        <v>324</v>
      </c>
      <c r="E76" s="9" t="s">
        <v>32</v>
      </c>
      <c r="F76" s="27"/>
      <c r="G76" s="27"/>
      <c r="H76" s="27">
        <v>8844705.1799999997</v>
      </c>
      <c r="I76" s="27">
        <v>0</v>
      </c>
      <c r="J76" s="11">
        <f>+SUMIFS(JURNAL!G:G,JURNAL!E:E,C76,JURNAL!C:C,"&gt;="&amp;$H$1,JURNAL!C:C,"&lt;="&amp;$I$1)</f>
        <v>0</v>
      </c>
      <c r="K76" s="11">
        <f>+SUMIFS(JURNAL!H:H,JURNAL!E:E,C76,JURNAL!C:C,"&gt;="&amp;$H$1,JURNAL!C:C,"&lt;="&amp;$I$1)</f>
        <v>0</v>
      </c>
      <c r="L76" s="26">
        <f t="shared" si="16"/>
        <v>8844705.1799999997</v>
      </c>
      <c r="M76" s="27">
        <f t="shared" si="17"/>
        <v>0</v>
      </c>
      <c r="N76" s="11"/>
      <c r="O76" s="334"/>
      <c r="P76" s="11"/>
      <c r="Q76" s="11"/>
      <c r="R76" s="26">
        <f t="shared" si="18"/>
        <v>8844705.1799999997</v>
      </c>
      <c r="S76" s="27">
        <f t="shared" si="19"/>
        <v>0</v>
      </c>
      <c r="T76" s="11"/>
      <c r="U76" s="11"/>
      <c r="V76" s="26">
        <f t="shared" si="20"/>
        <v>8844705.1799999997</v>
      </c>
      <c r="W76" s="27">
        <f t="shared" si="21"/>
        <v>0</v>
      </c>
      <c r="X76" s="4">
        <v>1120</v>
      </c>
      <c r="Y76" s="4"/>
      <c r="Z76" s="4"/>
      <c r="AA76" s="12">
        <f t="shared" si="22"/>
        <v>1</v>
      </c>
      <c r="AC76" s="118" t="s">
        <v>394</v>
      </c>
      <c r="AD76" s="21" t="str">
        <f t="shared" si="14"/>
        <v>ө-230100</v>
      </c>
      <c r="AE76" s="80" t="str">
        <f t="shared" si="15"/>
        <v>ө</v>
      </c>
      <c r="AF76" s="21" t="str">
        <f t="shared" si="24"/>
        <v>Хойшлогдсон татварын хөрөнгө</v>
      </c>
      <c r="AJ76" s="413"/>
      <c r="AK76" s="413"/>
      <c r="AL76" s="413"/>
      <c r="AM76" s="413"/>
    </row>
    <row r="77" spans="1:39" ht="12.75" customHeight="1">
      <c r="A77" s="24"/>
      <c r="B77" s="105">
        <f t="shared" si="23"/>
        <v>74</v>
      </c>
      <c r="C77" s="6">
        <v>200400</v>
      </c>
      <c r="D77" s="118" t="s">
        <v>670</v>
      </c>
      <c r="E77" s="9" t="s">
        <v>32</v>
      </c>
      <c r="F77" s="27"/>
      <c r="G77" s="27"/>
      <c r="H77" s="27">
        <v>709587375.44000006</v>
      </c>
      <c r="I77" s="27">
        <v>0</v>
      </c>
      <c r="J77" s="11">
        <f>+SUMIFS(JURNAL!G:G,JURNAL!E:E,C77,JURNAL!C:C,"&gt;="&amp;$H$1,JURNAL!C:C,"&lt;="&amp;$I$1)</f>
        <v>0</v>
      </c>
      <c r="K77" s="11">
        <f>+SUMIFS(JURNAL!H:H,JURNAL!E:E,C77,JURNAL!C:C,"&gt;="&amp;$H$1,JURNAL!C:C,"&lt;="&amp;$I$1)</f>
        <v>0</v>
      </c>
      <c r="L77" s="26">
        <f t="shared" si="16"/>
        <v>709587375.44000006</v>
      </c>
      <c r="M77" s="27">
        <f t="shared" si="17"/>
        <v>0</v>
      </c>
      <c r="N77" s="11"/>
      <c r="O77" s="334"/>
      <c r="P77" s="11"/>
      <c r="Q77" s="11"/>
      <c r="R77" s="26">
        <f t="shared" si="18"/>
        <v>709587375.44000006</v>
      </c>
      <c r="S77" s="27">
        <f t="shared" si="19"/>
        <v>0</v>
      </c>
      <c r="T77" s="11"/>
      <c r="U77" s="11"/>
      <c r="V77" s="26">
        <f t="shared" si="20"/>
        <v>709587375.44000006</v>
      </c>
      <c r="W77" s="27">
        <f t="shared" si="21"/>
        <v>0</v>
      </c>
      <c r="X77" s="4">
        <v>1120</v>
      </c>
      <c r="Y77" s="4"/>
      <c r="Z77" s="4"/>
      <c r="AA77" s="12">
        <f t="shared" si="22"/>
        <v>1</v>
      </c>
      <c r="AC77" s="118" t="s">
        <v>395</v>
      </c>
      <c r="AD77" s="21" t="str">
        <f t="shared" si="14"/>
        <v>ө-230200</v>
      </c>
      <c r="AE77" s="80" t="str">
        <f t="shared" si="15"/>
        <v>ө</v>
      </c>
      <c r="AF77" s="21" t="str">
        <f t="shared" si="24"/>
        <v>Хөрөнгө оруулалтын зориулалттай үл хөдлөх хөрөнгө</v>
      </c>
      <c r="AJ77" s="413"/>
      <c r="AK77" s="413"/>
      <c r="AL77" s="413"/>
      <c r="AM77" s="413"/>
    </row>
    <row r="78" spans="1:39" ht="12.75" customHeight="1">
      <c r="A78" s="24"/>
      <c r="B78" s="105">
        <f t="shared" si="23"/>
        <v>75</v>
      </c>
      <c r="C78" s="6">
        <v>200500</v>
      </c>
      <c r="D78" s="118" t="s">
        <v>674</v>
      </c>
      <c r="E78" s="9" t="s">
        <v>32</v>
      </c>
      <c r="F78" s="27"/>
      <c r="G78" s="27"/>
      <c r="H78" s="27">
        <v>174300000</v>
      </c>
      <c r="I78" s="27">
        <v>0</v>
      </c>
      <c r="J78" s="11">
        <f>+SUMIFS(JURNAL!G:G,JURNAL!E:E,C78,JURNAL!C:C,"&gt;="&amp;$H$1,JURNAL!C:C,"&lt;="&amp;$I$1)</f>
        <v>0</v>
      </c>
      <c r="K78" s="11">
        <f>+SUMIFS(JURNAL!H:H,JURNAL!E:E,C78,JURNAL!C:C,"&gt;="&amp;$H$1,JURNAL!C:C,"&lt;="&amp;$I$1)</f>
        <v>0</v>
      </c>
      <c r="L78" s="26">
        <f t="shared" si="16"/>
        <v>174300000</v>
      </c>
      <c r="M78" s="27">
        <f t="shared" si="17"/>
        <v>0</v>
      </c>
      <c r="N78" s="11"/>
      <c r="O78" s="334"/>
      <c r="P78" s="11"/>
      <c r="Q78" s="11"/>
      <c r="R78" s="26">
        <f t="shared" si="18"/>
        <v>174300000</v>
      </c>
      <c r="S78" s="27">
        <f t="shared" si="19"/>
        <v>0</v>
      </c>
      <c r="T78" s="11"/>
      <c r="U78" s="11"/>
      <c r="V78" s="26">
        <f t="shared" si="20"/>
        <v>174300000</v>
      </c>
      <c r="W78" s="27">
        <f t="shared" si="21"/>
        <v>0</v>
      </c>
      <c r="X78" s="4">
        <v>1120</v>
      </c>
      <c r="Y78" s="4"/>
      <c r="Z78" s="4"/>
      <c r="AA78" s="12">
        <f t="shared" si="22"/>
        <v>1</v>
      </c>
      <c r="AC78" s="118" t="s">
        <v>396</v>
      </c>
      <c r="AD78" s="21" t="str">
        <f t="shared" si="14"/>
        <v>T-310100</v>
      </c>
      <c r="AE78" s="80" t="str">
        <f t="shared" si="15"/>
        <v>T</v>
      </c>
      <c r="AF78" s="21" t="str">
        <f t="shared" si="24"/>
        <v>Дансны өглөг MNT</v>
      </c>
      <c r="AJ78" s="413"/>
      <c r="AK78" s="413"/>
      <c r="AL78" s="413"/>
      <c r="AM78" s="413"/>
    </row>
    <row r="79" spans="1:39" ht="12.75" customHeight="1">
      <c r="A79" s="24"/>
      <c r="B79" s="105">
        <f t="shared" si="23"/>
        <v>76</v>
      </c>
      <c r="C79" s="6">
        <v>201000</v>
      </c>
      <c r="D79" s="118" t="s">
        <v>694</v>
      </c>
      <c r="E79" s="9" t="s">
        <v>32</v>
      </c>
      <c r="F79" s="27"/>
      <c r="G79" s="27"/>
      <c r="H79" s="27">
        <v>17111038.23</v>
      </c>
      <c r="I79" s="27">
        <v>0</v>
      </c>
      <c r="J79" s="11">
        <f>+SUMIFS(JURNAL!G:G,JURNAL!E:E,C79,JURNAL!C:C,"&gt;="&amp;$H$1,JURNAL!C:C,"&lt;="&amp;$I$1)</f>
        <v>0</v>
      </c>
      <c r="K79" s="11">
        <f>+SUMIFS(JURNAL!H:H,JURNAL!E:E,C79,JURNAL!C:C,"&gt;="&amp;$H$1,JURNAL!C:C,"&lt;="&amp;$I$1)</f>
        <v>0</v>
      </c>
      <c r="L79" s="26">
        <f t="shared" si="16"/>
        <v>17111038.23</v>
      </c>
      <c r="M79" s="27">
        <f t="shared" si="17"/>
        <v>0</v>
      </c>
      <c r="N79" s="11"/>
      <c r="O79" s="334"/>
      <c r="P79" s="11"/>
      <c r="Q79" s="11"/>
      <c r="R79" s="26">
        <f t="shared" si="18"/>
        <v>17111038.23</v>
      </c>
      <c r="S79" s="27">
        <f t="shared" si="19"/>
        <v>0</v>
      </c>
      <c r="T79" s="11"/>
      <c r="U79" s="11"/>
      <c r="V79" s="26">
        <f t="shared" si="20"/>
        <v>17111038.23</v>
      </c>
      <c r="W79" s="27">
        <f t="shared" si="21"/>
        <v>0</v>
      </c>
      <c r="X79" s="4">
        <v>1120</v>
      </c>
      <c r="Y79" s="4"/>
      <c r="Z79" s="4"/>
      <c r="AA79" s="12">
        <f t="shared" si="22"/>
        <v>1</v>
      </c>
      <c r="AC79" s="118" t="s">
        <v>397</v>
      </c>
      <c r="AD79" s="21" t="str">
        <f t="shared" si="14"/>
        <v>D-310101</v>
      </c>
      <c r="AE79" s="80" t="str">
        <f t="shared" si="15"/>
        <v>D</v>
      </c>
      <c r="AF79" s="21" t="str">
        <f t="shared" si="24"/>
        <v>Дансны өглөг USD</v>
      </c>
      <c r="AJ79" s="413"/>
      <c r="AK79" s="413"/>
      <c r="AL79" s="413"/>
      <c r="AM79" s="413"/>
    </row>
    <row r="80" spans="1:39" ht="12.75" customHeight="1">
      <c r="A80" s="24"/>
      <c r="B80" s="105">
        <f t="shared" si="23"/>
        <v>77</v>
      </c>
      <c r="C80" s="6">
        <v>200201</v>
      </c>
      <c r="D80" s="118" t="s">
        <v>965</v>
      </c>
      <c r="E80" s="9" t="s">
        <v>32</v>
      </c>
      <c r="F80" s="27"/>
      <c r="G80" s="27"/>
      <c r="H80" s="27">
        <v>0</v>
      </c>
      <c r="I80" s="27">
        <v>0</v>
      </c>
      <c r="J80" s="11">
        <f>+SUMIFS(JURNAL!G:G,JURNAL!E:E,C80,JURNAL!C:C,"&gt;="&amp;$H$1,JURNAL!C:C,"&lt;="&amp;$I$1)</f>
        <v>0</v>
      </c>
      <c r="K80" s="11">
        <f>+SUMIFS(JURNAL!H:H,JURNAL!E:E,C80,JURNAL!C:C,"&gt;="&amp;$H$1,JURNAL!C:C,"&lt;="&amp;$I$1)</f>
        <v>0</v>
      </c>
      <c r="L80" s="26">
        <f t="shared" si="16"/>
        <v>0</v>
      </c>
      <c r="M80" s="27">
        <f t="shared" si="17"/>
        <v>0</v>
      </c>
      <c r="N80" s="11"/>
      <c r="O80" s="334"/>
      <c r="P80" s="11"/>
      <c r="Q80" s="11"/>
      <c r="R80" s="26">
        <f t="shared" si="18"/>
        <v>0</v>
      </c>
      <c r="S80" s="27">
        <f t="shared" si="19"/>
        <v>0</v>
      </c>
      <c r="T80" s="11"/>
      <c r="U80" s="11"/>
      <c r="V80" s="26">
        <f t="shared" si="20"/>
        <v>0</v>
      </c>
      <c r="W80" s="27">
        <f t="shared" si="21"/>
        <v>0</v>
      </c>
      <c r="X80" s="4">
        <v>1120</v>
      </c>
      <c r="Y80" s="4"/>
      <c r="Z80" s="4"/>
      <c r="AA80" s="12">
        <f t="shared" si="22"/>
        <v>0</v>
      </c>
      <c r="AC80" s="118" t="s">
        <v>398</v>
      </c>
      <c r="AD80" s="21" t="str">
        <f t="shared" si="14"/>
        <v xml:space="preserve"> -311700</v>
      </c>
      <c r="AE80" s="80" t="str">
        <f t="shared" si="15"/>
        <v/>
      </c>
      <c r="AF80" s="21" t="str">
        <f t="shared" si="24"/>
        <v xml:space="preserve">Компани хоорондын өглөг - Шинэст Констракшн ХХК </v>
      </c>
      <c r="AJ80" s="413"/>
      <c r="AK80" s="413"/>
      <c r="AL80" s="413"/>
      <c r="AM80" s="413"/>
    </row>
    <row r="81" spans="1:39" ht="12.75" customHeight="1">
      <c r="A81" s="24"/>
      <c r="B81" s="105">
        <f t="shared" si="23"/>
        <v>78</v>
      </c>
      <c r="C81" s="6">
        <v>200600</v>
      </c>
      <c r="D81" s="118" t="s">
        <v>678</v>
      </c>
      <c r="E81" s="9" t="s">
        <v>32</v>
      </c>
      <c r="F81" s="27"/>
      <c r="G81" s="27"/>
      <c r="H81" s="27">
        <v>0</v>
      </c>
      <c r="I81" s="27">
        <v>0</v>
      </c>
      <c r="J81" s="11">
        <f>+SUMIFS(JURNAL!G:G,JURNAL!E:E,C81,JURNAL!C:C,"&gt;="&amp;$H$1,JURNAL!C:C,"&lt;="&amp;$I$1)</f>
        <v>0</v>
      </c>
      <c r="K81" s="11">
        <f>+SUMIFS(JURNAL!H:H,JURNAL!E:E,C81,JURNAL!C:C,"&gt;="&amp;$H$1,JURNAL!C:C,"&lt;="&amp;$I$1)</f>
        <v>0</v>
      </c>
      <c r="L81" s="26">
        <f t="shared" si="16"/>
        <v>0</v>
      </c>
      <c r="M81" s="27">
        <f t="shared" si="17"/>
        <v>0</v>
      </c>
      <c r="N81" s="11"/>
      <c r="O81" s="334"/>
      <c r="P81" s="11"/>
      <c r="Q81" s="11"/>
      <c r="R81" s="26">
        <f t="shared" si="18"/>
        <v>0</v>
      </c>
      <c r="S81" s="27">
        <f t="shared" si="19"/>
        <v>0</v>
      </c>
      <c r="T81" s="11"/>
      <c r="U81" s="11"/>
      <c r="V81" s="26">
        <f t="shared" si="20"/>
        <v>0</v>
      </c>
      <c r="W81" s="27">
        <f t="shared" si="21"/>
        <v>0</v>
      </c>
      <c r="X81" s="4">
        <v>1120</v>
      </c>
      <c r="Y81" s="4"/>
      <c r="Z81" s="4"/>
      <c r="AA81" s="12">
        <f t="shared" si="22"/>
        <v>0</v>
      </c>
      <c r="AC81" s="118" t="s">
        <v>399</v>
      </c>
      <c r="AD81" s="21" t="str">
        <f t="shared" si="14"/>
        <v xml:space="preserve"> -310300</v>
      </c>
      <c r="AE81" s="80" t="str">
        <f t="shared" si="15"/>
        <v/>
      </c>
      <c r="AF81" s="21" t="str">
        <f t="shared" si="24"/>
        <v xml:space="preserve">Ногдол ашгийн өглөг </v>
      </c>
      <c r="AJ81" s="413"/>
      <c r="AK81" s="413"/>
      <c r="AL81" s="413"/>
      <c r="AM81" s="413"/>
    </row>
    <row r="82" spans="1:39" ht="12.75" customHeight="1">
      <c r="A82" s="24"/>
      <c r="B82" s="105">
        <f t="shared" si="23"/>
        <v>79</v>
      </c>
      <c r="C82" s="6">
        <v>200700</v>
      </c>
      <c r="D82" s="118" t="s">
        <v>978</v>
      </c>
      <c r="E82" s="9" t="s">
        <v>32</v>
      </c>
      <c r="F82" s="27"/>
      <c r="G82" s="27"/>
      <c r="H82" s="27">
        <v>0</v>
      </c>
      <c r="I82" s="27">
        <v>0</v>
      </c>
      <c r="J82" s="11">
        <f>+SUMIFS(JURNAL!G:G,JURNAL!E:E,C82,JURNAL!C:C,"&gt;="&amp;$H$1,JURNAL!C:C,"&lt;="&amp;$I$1)</f>
        <v>0</v>
      </c>
      <c r="K82" s="11">
        <f>+SUMIFS(JURNAL!H:H,JURNAL!E:E,C82,JURNAL!C:C,"&gt;="&amp;$H$1,JURNAL!C:C,"&lt;="&amp;$I$1)</f>
        <v>0</v>
      </c>
      <c r="L82" s="26">
        <f t="shared" si="16"/>
        <v>0</v>
      </c>
      <c r="M82" s="27">
        <f t="shared" si="17"/>
        <v>0</v>
      </c>
      <c r="N82" s="11"/>
      <c r="O82" s="334"/>
      <c r="P82" s="11"/>
      <c r="Q82" s="11"/>
      <c r="R82" s="26">
        <f t="shared" si="18"/>
        <v>0</v>
      </c>
      <c r="S82" s="27">
        <f t="shared" si="19"/>
        <v>0</v>
      </c>
      <c r="T82" s="11"/>
      <c r="U82" s="11"/>
      <c r="V82" s="26">
        <f t="shared" si="20"/>
        <v>0</v>
      </c>
      <c r="W82" s="27">
        <f t="shared" si="21"/>
        <v>0</v>
      </c>
      <c r="X82" s="4">
        <v>1128</v>
      </c>
      <c r="Y82" s="4"/>
      <c r="Z82" s="4"/>
      <c r="AA82" s="12">
        <f t="shared" si="22"/>
        <v>0</v>
      </c>
      <c r="AC82" s="118" t="s">
        <v>400</v>
      </c>
      <c r="AD82" s="21" t="str">
        <f t="shared" si="14"/>
        <v>T-310400</v>
      </c>
      <c r="AE82" s="80" t="str">
        <f t="shared" si="15"/>
        <v>T</v>
      </c>
      <c r="AF82" s="21" t="str">
        <f t="shared" si="24"/>
        <v>Банкны богино хугацаат зээл MNT</v>
      </c>
      <c r="AJ82" s="413"/>
      <c r="AK82" s="413"/>
      <c r="AL82" s="413"/>
      <c r="AM82" s="413"/>
    </row>
    <row r="83" spans="1:39" ht="12.75" customHeight="1">
      <c r="A83" s="24"/>
      <c r="B83" s="105">
        <f t="shared" si="23"/>
        <v>80</v>
      </c>
      <c r="C83" s="6">
        <v>200800</v>
      </c>
      <c r="D83" s="118" t="s">
        <v>686</v>
      </c>
      <c r="E83" s="9" t="s">
        <v>32</v>
      </c>
      <c r="F83" s="27"/>
      <c r="G83" s="27"/>
      <c r="H83" s="27">
        <v>0</v>
      </c>
      <c r="I83" s="27">
        <v>0</v>
      </c>
      <c r="J83" s="11">
        <f>+SUMIFS(JURNAL!G:G,JURNAL!E:E,C83,JURNAL!C:C,"&gt;="&amp;$H$1,JURNAL!C:C,"&lt;="&amp;$I$1)</f>
        <v>0</v>
      </c>
      <c r="K83" s="11">
        <f>+SUMIFS(JURNAL!H:H,JURNAL!E:E,C83,JURNAL!C:C,"&gt;="&amp;$H$1,JURNAL!C:C,"&lt;="&amp;$I$1)</f>
        <v>0</v>
      </c>
      <c r="L83" s="26">
        <f t="shared" si="16"/>
        <v>0</v>
      </c>
      <c r="M83" s="27">
        <f t="shared" si="17"/>
        <v>0</v>
      </c>
      <c r="N83" s="11"/>
      <c r="O83" s="334"/>
      <c r="P83" s="11"/>
      <c r="Q83" s="11"/>
      <c r="R83" s="26">
        <f t="shared" si="18"/>
        <v>0</v>
      </c>
      <c r="S83" s="27">
        <f t="shared" si="19"/>
        <v>0</v>
      </c>
      <c r="T83" s="11"/>
      <c r="U83" s="11"/>
      <c r="V83" s="26">
        <f t="shared" si="20"/>
        <v>0</v>
      </c>
      <c r="W83" s="27">
        <f t="shared" si="21"/>
        <v>0</v>
      </c>
      <c r="X83" s="4">
        <v>1127</v>
      </c>
      <c r="Y83" s="4"/>
      <c r="Z83" s="4"/>
      <c r="AA83" s="12">
        <f t="shared" si="22"/>
        <v>0</v>
      </c>
      <c r="AC83" s="118" t="s">
        <v>401</v>
      </c>
      <c r="AD83" s="21" t="str">
        <f t="shared" si="14"/>
        <v>D-310401</v>
      </c>
      <c r="AE83" s="80" t="str">
        <f t="shared" si="15"/>
        <v>D</v>
      </c>
      <c r="AF83" s="21" t="str">
        <f t="shared" si="24"/>
        <v>Банкны богино хугацаат зээл USD</v>
      </c>
      <c r="AJ83" s="413"/>
      <c r="AK83" s="413"/>
      <c r="AL83" s="413"/>
      <c r="AM83" s="413"/>
    </row>
    <row r="84" spans="1:39" ht="12.75" customHeight="1">
      <c r="A84" s="24"/>
      <c r="B84" s="105">
        <f t="shared" si="23"/>
        <v>81</v>
      </c>
      <c r="C84" s="6">
        <v>200900</v>
      </c>
      <c r="D84" s="118" t="s">
        <v>690</v>
      </c>
      <c r="E84" s="9" t="s">
        <v>32</v>
      </c>
      <c r="F84" s="27"/>
      <c r="G84" s="27"/>
      <c r="H84" s="27">
        <v>0</v>
      </c>
      <c r="I84" s="27">
        <v>0</v>
      </c>
      <c r="J84" s="11">
        <f>+SUMIFS(JURNAL!G:G,JURNAL!E:E,C84,JURNAL!C:C,"&gt;="&amp;$H$1,JURNAL!C:C,"&lt;="&amp;$I$1)</f>
        <v>0</v>
      </c>
      <c r="K84" s="11">
        <f>+SUMIFS(JURNAL!H:H,JURNAL!E:E,C84,JURNAL!C:C,"&gt;="&amp;$H$1,JURNAL!C:C,"&lt;="&amp;$I$1)</f>
        <v>0</v>
      </c>
      <c r="L84" s="26">
        <f t="shared" si="16"/>
        <v>0</v>
      </c>
      <c r="M84" s="27">
        <f t="shared" si="17"/>
        <v>0</v>
      </c>
      <c r="N84" s="11"/>
      <c r="O84" s="334"/>
      <c r="P84" s="11"/>
      <c r="Q84" s="11"/>
      <c r="R84" s="26">
        <f t="shared" si="18"/>
        <v>0</v>
      </c>
      <c r="S84" s="27">
        <f t="shared" si="19"/>
        <v>0</v>
      </c>
      <c r="T84" s="11"/>
      <c r="U84" s="11"/>
      <c r="V84" s="26">
        <f t="shared" si="20"/>
        <v>0</v>
      </c>
      <c r="W84" s="27">
        <f t="shared" si="21"/>
        <v>0</v>
      </c>
      <c r="X84" s="4">
        <v>1122</v>
      </c>
      <c r="Y84" s="4"/>
      <c r="Z84" s="4"/>
      <c r="AA84" s="12">
        <f t="shared" si="22"/>
        <v>0</v>
      </c>
      <c r="AB84" s="230"/>
      <c r="AC84" s="231"/>
      <c r="AD84" s="231" t="s">
        <v>1367</v>
      </c>
      <c r="AE84" s="230">
        <v>7737831.0999999996</v>
      </c>
      <c r="AF84" s="231">
        <v>100900000301</v>
      </c>
      <c r="AG84" s="231" t="s">
        <v>1369</v>
      </c>
      <c r="AJ84" s="413"/>
      <c r="AK84" s="413"/>
      <c r="AL84" s="413"/>
      <c r="AM84" s="413"/>
    </row>
    <row r="85" spans="1:39" ht="12.75" customHeight="1">
      <c r="A85" s="24"/>
      <c r="B85" s="105">
        <f t="shared" si="23"/>
        <v>82</v>
      </c>
      <c r="C85" s="6">
        <v>201200</v>
      </c>
      <c r="D85" s="118" t="s">
        <v>979</v>
      </c>
      <c r="E85" s="9" t="s">
        <v>32</v>
      </c>
      <c r="F85" s="27"/>
      <c r="G85" s="27"/>
      <c r="H85" s="27">
        <v>0</v>
      </c>
      <c r="I85" s="27">
        <v>606939167.42999995</v>
      </c>
      <c r="J85" s="11">
        <f>+SUMIFS(JURNAL!G:G,JURNAL!E:E,C85,JURNAL!C:C,"&gt;="&amp;$H$1,JURNAL!C:C,"&lt;="&amp;$I$1)</f>
        <v>0</v>
      </c>
      <c r="K85" s="11">
        <f>+SUMIFS(JURNAL!H:H,JURNAL!E:E,C85,JURNAL!C:C,"&gt;="&amp;$H$1,JURNAL!C:C,"&lt;="&amp;$I$1)</f>
        <v>6661875</v>
      </c>
      <c r="L85" s="26">
        <f t="shared" si="16"/>
        <v>0</v>
      </c>
      <c r="M85" s="27">
        <f t="shared" si="17"/>
        <v>613601042.42999995</v>
      </c>
      <c r="N85" s="11"/>
      <c r="O85" s="334"/>
      <c r="P85" s="11"/>
      <c r="Q85" s="11"/>
      <c r="R85" s="26">
        <f t="shared" si="18"/>
        <v>0</v>
      </c>
      <c r="S85" s="27">
        <f t="shared" si="19"/>
        <v>613601042.42999995</v>
      </c>
      <c r="T85" s="11"/>
      <c r="U85" s="11"/>
      <c r="V85" s="26">
        <f t="shared" si="20"/>
        <v>0</v>
      </c>
      <c r="W85" s="27">
        <f t="shared" si="21"/>
        <v>613601042.42999995</v>
      </c>
      <c r="X85" s="4">
        <v>1121</v>
      </c>
      <c r="Y85" s="4"/>
      <c r="Z85" s="4"/>
      <c r="AA85" s="12">
        <f t="shared" si="22"/>
        <v>1</v>
      </c>
      <c r="AB85" s="230"/>
      <c r="AC85" s="231"/>
      <c r="AD85" s="231" t="s">
        <v>1366</v>
      </c>
      <c r="AE85" s="230">
        <v>1878935.3</v>
      </c>
      <c r="AF85" s="231">
        <v>100900000201</v>
      </c>
      <c r="AG85" s="231" t="s">
        <v>1368</v>
      </c>
      <c r="AJ85" s="413"/>
      <c r="AK85" s="413"/>
      <c r="AL85" s="413"/>
      <c r="AM85" s="413"/>
    </row>
    <row r="86" spans="1:39" ht="12.75" customHeight="1">
      <c r="A86" s="24"/>
      <c r="B86" s="105">
        <f t="shared" si="23"/>
        <v>83</v>
      </c>
      <c r="C86" s="6">
        <v>201300</v>
      </c>
      <c r="D86" s="118" t="s">
        <v>980</v>
      </c>
      <c r="E86" s="9" t="s">
        <v>32</v>
      </c>
      <c r="F86" s="27"/>
      <c r="G86" s="27"/>
      <c r="H86" s="27">
        <v>0</v>
      </c>
      <c r="I86" s="27">
        <v>7092744.9999999991</v>
      </c>
      <c r="J86" s="11">
        <f>+SUMIFS(JURNAL!G:G,JURNAL!E:E,C86,JURNAL!C:C,"&gt;="&amp;$H$1,JURNAL!C:C,"&lt;="&amp;$I$1)</f>
        <v>0</v>
      </c>
      <c r="K86" s="11">
        <f>+SUMIFS(JURNAL!H:H,JURNAL!E:E,C86,JURNAL!C:C,"&gt;="&amp;$H$1,JURNAL!C:C,"&lt;="&amp;$I$1)</f>
        <v>73072.72</v>
      </c>
      <c r="L86" s="26">
        <f t="shared" si="16"/>
        <v>0</v>
      </c>
      <c r="M86" s="27">
        <f t="shared" si="17"/>
        <v>7165817.7199999988</v>
      </c>
      <c r="N86" s="11"/>
      <c r="O86" s="334"/>
      <c r="P86" s="11"/>
      <c r="Q86" s="11"/>
      <c r="R86" s="26">
        <f t="shared" si="18"/>
        <v>0</v>
      </c>
      <c r="S86" s="27">
        <f t="shared" si="19"/>
        <v>7165817.7199999988</v>
      </c>
      <c r="T86" s="11"/>
      <c r="U86" s="11"/>
      <c r="V86" s="26">
        <f t="shared" si="20"/>
        <v>0</v>
      </c>
      <c r="W86" s="27">
        <f t="shared" si="21"/>
        <v>7165817.7199999988</v>
      </c>
      <c r="X86" s="4">
        <v>1121</v>
      </c>
      <c r="Y86" s="4"/>
      <c r="Z86" s="4"/>
      <c r="AA86" s="12">
        <f t="shared" si="22"/>
        <v>1</v>
      </c>
      <c r="AC86" s="118" t="s">
        <v>402</v>
      </c>
      <c r="AD86" s="21" t="str">
        <f t="shared" si="14"/>
        <v>г-310700</v>
      </c>
      <c r="AE86" s="80" t="str">
        <f t="shared" si="15"/>
        <v>г</v>
      </c>
      <c r="AF86" s="21" t="str">
        <f t="shared" si="24"/>
        <v>ХАОАТ өглөг</v>
      </c>
      <c r="AJ86" s="413"/>
      <c r="AK86" s="413"/>
      <c r="AL86" s="413"/>
      <c r="AM86" s="413"/>
    </row>
    <row r="87" spans="1:39" ht="12.75" customHeight="1">
      <c r="A87" s="24"/>
      <c r="B87" s="105">
        <f t="shared" si="23"/>
        <v>84</v>
      </c>
      <c r="C87" s="6">
        <v>201400</v>
      </c>
      <c r="D87" s="118" t="s">
        <v>981</v>
      </c>
      <c r="E87" s="9" t="s">
        <v>32</v>
      </c>
      <c r="F87" s="27"/>
      <c r="G87" s="27"/>
      <c r="H87" s="27">
        <v>0</v>
      </c>
      <c r="I87" s="27">
        <v>440548707.46999997</v>
      </c>
      <c r="J87" s="11">
        <f>+SUMIFS(JURNAL!G:G,JURNAL!E:E,C87,JURNAL!C:C,"&gt;="&amp;$H$1,JURNAL!C:C,"&lt;="&amp;$I$1)</f>
        <v>0</v>
      </c>
      <c r="K87" s="11">
        <f>+SUMIFS(JURNAL!H:H,JURNAL!E:E,C87,JURNAL!C:C,"&gt;="&amp;$H$1,JURNAL!C:C,"&lt;="&amp;$I$1)</f>
        <v>16849030.190000001</v>
      </c>
      <c r="L87" s="26">
        <f t="shared" si="16"/>
        <v>0</v>
      </c>
      <c r="M87" s="27">
        <f t="shared" si="17"/>
        <v>457397737.65999997</v>
      </c>
      <c r="N87" s="11"/>
      <c r="O87" s="334"/>
      <c r="P87" s="11"/>
      <c r="Q87" s="11"/>
      <c r="R87" s="26">
        <f t="shared" si="18"/>
        <v>0</v>
      </c>
      <c r="S87" s="27">
        <f t="shared" si="19"/>
        <v>457397737.65999997</v>
      </c>
      <c r="T87" s="11"/>
      <c r="U87" s="11"/>
      <c r="V87" s="26">
        <f t="shared" si="20"/>
        <v>0</v>
      </c>
      <c r="W87" s="27">
        <f t="shared" si="21"/>
        <v>457397737.65999997</v>
      </c>
      <c r="X87" s="4">
        <v>1121</v>
      </c>
      <c r="Y87" s="4"/>
      <c r="Z87" s="4"/>
      <c r="AA87" s="12">
        <f t="shared" si="22"/>
        <v>1</v>
      </c>
      <c r="AC87" s="118" t="s">
        <v>403</v>
      </c>
      <c r="AD87" s="21" t="str">
        <f t="shared" ref="AD87:AD151" si="25">+RIGHT(AC87,8)</f>
        <v>г-310800</v>
      </c>
      <c r="AE87" s="80" t="str">
        <f t="shared" ref="AE87:AE151" si="26">+LEFT(AD87,1)</f>
        <v>г</v>
      </c>
      <c r="AF87" s="21" t="str">
        <f t="shared" si="24"/>
        <v>НД-ын байгууллагад өгөх өглөг</v>
      </c>
      <c r="AJ87" s="413"/>
      <c r="AK87" s="413"/>
      <c r="AL87" s="413"/>
      <c r="AM87" s="413"/>
    </row>
    <row r="88" spans="1:39" ht="12.75" customHeight="1">
      <c r="A88" s="24"/>
      <c r="B88" s="105">
        <f t="shared" si="23"/>
        <v>85</v>
      </c>
      <c r="C88" s="6">
        <v>201500</v>
      </c>
      <c r="D88" s="118" t="s">
        <v>982</v>
      </c>
      <c r="E88" s="9" t="s">
        <v>32</v>
      </c>
      <c r="F88" s="27"/>
      <c r="G88" s="27"/>
      <c r="H88" s="27">
        <v>0</v>
      </c>
      <c r="I88" s="27">
        <v>42780000</v>
      </c>
      <c r="J88" s="11">
        <f>+SUMIFS(JURNAL!G:G,JURNAL!E:E,C88,JURNAL!C:C,"&gt;="&amp;$H$1,JURNAL!C:C,"&lt;="&amp;$I$1)</f>
        <v>0</v>
      </c>
      <c r="K88" s="11">
        <f>+SUMIFS(JURNAL!H:H,JURNAL!E:E,C88,JURNAL!C:C,"&gt;="&amp;$H$1,JURNAL!C:C,"&lt;="&amp;$I$1)</f>
        <v>4245000</v>
      </c>
      <c r="L88" s="26">
        <f t="shared" si="16"/>
        <v>0</v>
      </c>
      <c r="M88" s="27">
        <f t="shared" si="17"/>
        <v>47025000</v>
      </c>
      <c r="N88" s="11"/>
      <c r="O88" s="334"/>
      <c r="P88" s="11"/>
      <c r="Q88" s="11"/>
      <c r="R88" s="26">
        <f t="shared" si="18"/>
        <v>0</v>
      </c>
      <c r="S88" s="27">
        <f t="shared" si="19"/>
        <v>47025000</v>
      </c>
      <c r="T88" s="11"/>
      <c r="U88" s="11"/>
      <c r="V88" s="26">
        <f t="shared" si="20"/>
        <v>0</v>
      </c>
      <c r="W88" s="27">
        <f t="shared" si="21"/>
        <v>47025000</v>
      </c>
      <c r="X88" s="4">
        <v>1121</v>
      </c>
      <c r="Y88" s="4"/>
      <c r="Z88" s="4"/>
      <c r="AA88" s="12">
        <f t="shared" si="22"/>
        <v>1</v>
      </c>
      <c r="AC88" s="118" t="s">
        <v>404</v>
      </c>
      <c r="AD88" s="21" t="str">
        <f t="shared" si="25"/>
        <v>г-310900</v>
      </c>
      <c r="AE88" s="80" t="str">
        <f t="shared" si="26"/>
        <v>г</v>
      </c>
      <c r="AF88" s="21" t="str">
        <f t="shared" si="24"/>
        <v>Бусад татварын өглөг</v>
      </c>
      <c r="AJ88" s="413"/>
      <c r="AK88" s="413"/>
      <c r="AL88" s="413"/>
      <c r="AM88" s="413"/>
    </row>
    <row r="89" spans="1:39" ht="12.75" customHeight="1">
      <c r="A89" s="24"/>
      <c r="B89" s="105">
        <f t="shared" si="23"/>
        <v>86</v>
      </c>
      <c r="C89" s="6">
        <v>201600</v>
      </c>
      <c r="D89" s="118" t="s">
        <v>983</v>
      </c>
      <c r="E89" s="9" t="s">
        <v>32</v>
      </c>
      <c r="F89" s="27"/>
      <c r="G89" s="27"/>
      <c r="H89" s="27">
        <v>0</v>
      </c>
      <c r="I89" s="27">
        <v>0</v>
      </c>
      <c r="J89" s="11">
        <f>+SUMIFS(JURNAL!G:G,JURNAL!E:E,C89,JURNAL!C:C,"&gt;="&amp;$H$1,JURNAL!C:C,"&lt;="&amp;$I$1)</f>
        <v>0</v>
      </c>
      <c r="K89" s="11">
        <f>+SUMIFS(JURNAL!H:H,JURNAL!E:E,C89,JURNAL!C:C,"&gt;="&amp;$H$1,JURNAL!C:C,"&lt;="&amp;$I$1)</f>
        <v>0</v>
      </c>
      <c r="L89" s="26">
        <f t="shared" si="16"/>
        <v>0</v>
      </c>
      <c r="M89" s="27">
        <f t="shared" si="17"/>
        <v>0</v>
      </c>
      <c r="N89" s="11"/>
      <c r="O89" s="334"/>
      <c r="P89" s="11"/>
      <c r="Q89" s="11"/>
      <c r="R89" s="26">
        <f t="shared" si="18"/>
        <v>0</v>
      </c>
      <c r="S89" s="27">
        <f t="shared" si="19"/>
        <v>0</v>
      </c>
      <c r="T89" s="11"/>
      <c r="U89" s="11"/>
      <c r="V89" s="26">
        <f t="shared" si="20"/>
        <v>0</v>
      </c>
      <c r="W89" s="27">
        <f t="shared" si="21"/>
        <v>0</v>
      </c>
      <c r="X89" s="4">
        <v>1121</v>
      </c>
      <c r="Y89" s="4"/>
      <c r="Z89" s="4"/>
      <c r="AA89" s="12">
        <f t="shared" si="22"/>
        <v>0</v>
      </c>
      <c r="AC89" s="118" t="s">
        <v>405</v>
      </c>
      <c r="AD89" s="21" t="str">
        <f t="shared" si="25"/>
        <v>г-311000</v>
      </c>
      <c r="AE89" s="80" t="str">
        <f t="shared" si="26"/>
        <v>г</v>
      </c>
      <c r="AF89" s="21" t="str">
        <f t="shared" si="24"/>
        <v>Цалингийн өглөг</v>
      </c>
      <c r="AJ89" s="413"/>
      <c r="AK89" s="413"/>
      <c r="AL89" s="413"/>
      <c r="AM89" s="413"/>
    </row>
    <row r="90" spans="1:39" ht="12.75" customHeight="1">
      <c r="A90" s="24"/>
      <c r="B90" s="105">
        <f t="shared" si="23"/>
        <v>87</v>
      </c>
      <c r="C90" s="6">
        <v>201800</v>
      </c>
      <c r="D90" s="118" t="s">
        <v>984</v>
      </c>
      <c r="E90" s="9" t="s">
        <v>32</v>
      </c>
      <c r="F90" s="27"/>
      <c r="G90" s="27"/>
      <c r="H90" s="27">
        <v>0</v>
      </c>
      <c r="I90" s="27">
        <v>0</v>
      </c>
      <c r="J90" s="11">
        <f>+SUMIFS(JURNAL!G:G,JURNAL!E:E,C90,JURNAL!C:C,"&gt;="&amp;$H$1,JURNAL!C:C,"&lt;="&amp;$I$1)</f>
        <v>0</v>
      </c>
      <c r="K90" s="11">
        <f>+SUMIFS(JURNAL!H:H,JURNAL!E:E,C90,JURNAL!C:C,"&gt;="&amp;$H$1,JURNAL!C:C,"&lt;="&amp;$I$1)</f>
        <v>0</v>
      </c>
      <c r="L90" s="26">
        <f t="shared" si="16"/>
        <v>0</v>
      </c>
      <c r="M90" s="27">
        <f t="shared" si="17"/>
        <v>0</v>
      </c>
      <c r="N90" s="11"/>
      <c r="O90" s="334"/>
      <c r="P90" s="11"/>
      <c r="Q90" s="11"/>
      <c r="R90" s="26">
        <f t="shared" si="18"/>
        <v>0</v>
      </c>
      <c r="S90" s="27">
        <f t="shared" si="19"/>
        <v>0</v>
      </c>
      <c r="T90" s="11"/>
      <c r="U90" s="11"/>
      <c r="V90" s="26">
        <f t="shared" si="20"/>
        <v>0</v>
      </c>
      <c r="W90" s="27">
        <f t="shared" si="21"/>
        <v>0</v>
      </c>
      <c r="X90" s="4">
        <v>1121</v>
      </c>
      <c r="Y90" s="4"/>
      <c r="Z90" s="4"/>
      <c r="AA90" s="12">
        <f t="shared" si="22"/>
        <v>0</v>
      </c>
      <c r="AC90" s="118" t="s">
        <v>406</v>
      </c>
      <c r="AD90" s="21" t="str">
        <f t="shared" si="25"/>
        <v xml:space="preserve"> -311100</v>
      </c>
      <c r="AE90" s="80" t="str">
        <f t="shared" si="26"/>
        <v/>
      </c>
      <c r="AF90" s="21" t="str">
        <f t="shared" si="24"/>
        <v xml:space="preserve">Бусад богино хугацаат өглөг </v>
      </c>
      <c r="AJ90" s="413"/>
      <c r="AK90" s="413"/>
      <c r="AL90" s="413"/>
      <c r="AM90" s="413"/>
    </row>
    <row r="91" spans="1:39" ht="12.75" customHeight="1">
      <c r="A91" s="24"/>
      <c r="B91" s="105">
        <f t="shared" si="23"/>
        <v>88</v>
      </c>
      <c r="C91" s="6">
        <v>202000</v>
      </c>
      <c r="D91" s="118" t="s">
        <v>985</v>
      </c>
      <c r="E91" s="9" t="s">
        <v>32</v>
      </c>
      <c r="F91" s="27"/>
      <c r="G91" s="27"/>
      <c r="H91" s="27">
        <v>0</v>
      </c>
      <c r="I91" s="27">
        <v>17078821.600000001</v>
      </c>
      <c r="J91" s="11">
        <f>+SUMIFS(JURNAL!G:G,JURNAL!E:E,C91,JURNAL!C:C,"&gt;="&amp;$H$1,JURNAL!C:C,"&lt;="&amp;$I$1)</f>
        <v>0</v>
      </c>
      <c r="K91" s="11">
        <f>+SUMIFS(JURNAL!H:H,JURNAL!E:E,C91,JURNAL!C:C,"&gt;="&amp;$H$1,JURNAL!C:C,"&lt;="&amp;$I$1)</f>
        <v>534613.19999999995</v>
      </c>
      <c r="L91" s="26">
        <f t="shared" si="16"/>
        <v>0</v>
      </c>
      <c r="M91" s="27">
        <f t="shared" si="17"/>
        <v>17613434.800000001</v>
      </c>
      <c r="N91" s="11"/>
      <c r="O91" s="334"/>
      <c r="P91" s="11"/>
      <c r="Q91" s="11"/>
      <c r="R91" s="26">
        <f t="shared" si="18"/>
        <v>0</v>
      </c>
      <c r="S91" s="27">
        <f t="shared" si="19"/>
        <v>17613434.800000001</v>
      </c>
      <c r="T91" s="11"/>
      <c r="U91" s="11"/>
      <c r="V91" s="26">
        <f t="shared" si="20"/>
        <v>0</v>
      </c>
      <c r="W91" s="27">
        <f t="shared" si="21"/>
        <v>17613434.800000001</v>
      </c>
      <c r="X91" s="4">
        <v>1121</v>
      </c>
      <c r="Y91" s="4"/>
      <c r="Z91" s="4"/>
      <c r="AA91" s="12">
        <f t="shared" si="22"/>
        <v>1</v>
      </c>
      <c r="AC91" s="118" t="s">
        <v>407</v>
      </c>
      <c r="AD91" s="21" t="str">
        <f t="shared" si="25"/>
        <v>г-311200</v>
      </c>
      <c r="AE91" s="80" t="str">
        <f t="shared" si="26"/>
        <v>г</v>
      </c>
      <c r="AF91" s="21" t="str">
        <f t="shared" si="24"/>
        <v>Ажилчдад өгөх өглөг</v>
      </c>
      <c r="AJ91" s="413"/>
      <c r="AK91" s="413"/>
      <c r="AL91" s="413"/>
      <c r="AM91" s="413"/>
    </row>
    <row r="92" spans="1:39" ht="12.75" customHeight="1">
      <c r="A92" s="24"/>
      <c r="B92" s="105">
        <f t="shared" si="23"/>
        <v>89</v>
      </c>
      <c r="C92" s="6">
        <v>210100</v>
      </c>
      <c r="D92" s="118" t="s">
        <v>726</v>
      </c>
      <c r="E92" s="9" t="s">
        <v>32</v>
      </c>
      <c r="F92" s="27"/>
      <c r="G92" s="27"/>
      <c r="H92" s="27">
        <v>0</v>
      </c>
      <c r="I92" s="27">
        <v>0</v>
      </c>
      <c r="J92" s="11">
        <f>+SUMIFS(JURNAL!G:G,JURNAL!E:E,C92,JURNAL!C:C,"&gt;="&amp;$H$1,JURNAL!C:C,"&lt;="&amp;$I$1)</f>
        <v>0</v>
      </c>
      <c r="K92" s="11">
        <f>+SUMIFS(JURNAL!H:H,JURNAL!E:E,C92,JURNAL!C:C,"&gt;="&amp;$H$1,JURNAL!C:C,"&lt;="&amp;$I$1)</f>
        <v>0</v>
      </c>
      <c r="L92" s="26">
        <f t="shared" si="16"/>
        <v>0</v>
      </c>
      <c r="M92" s="27">
        <f t="shared" si="17"/>
        <v>0</v>
      </c>
      <c r="N92" s="11"/>
      <c r="O92" s="334"/>
      <c r="P92" s="11"/>
      <c r="Q92" s="11"/>
      <c r="R92" s="26">
        <f t="shared" si="18"/>
        <v>0</v>
      </c>
      <c r="S92" s="27">
        <f t="shared" si="19"/>
        <v>0</v>
      </c>
      <c r="T92" s="11"/>
      <c r="U92" s="11"/>
      <c r="V92" s="26">
        <f t="shared" si="20"/>
        <v>0</v>
      </c>
      <c r="W92" s="27">
        <f t="shared" si="21"/>
        <v>0</v>
      </c>
      <c r="X92" s="4">
        <v>1127</v>
      </c>
      <c r="Y92" s="4"/>
      <c r="Z92" s="4"/>
      <c r="AA92" s="12">
        <f t="shared" si="22"/>
        <v>0</v>
      </c>
      <c r="AC92" s="118" t="s">
        <v>408</v>
      </c>
      <c r="AD92" s="21" t="str">
        <f t="shared" si="25"/>
        <v>T-311300</v>
      </c>
      <c r="AE92" s="80" t="str">
        <f t="shared" si="26"/>
        <v>T</v>
      </c>
      <c r="AF92" s="21" t="str">
        <f t="shared" si="24"/>
        <v>Хувь хүнд өгөх өглөг MNT</v>
      </c>
      <c r="AJ92" s="413"/>
      <c r="AK92" s="413"/>
      <c r="AL92" s="413"/>
      <c r="AM92" s="413"/>
    </row>
    <row r="93" spans="1:39" ht="12.75" customHeight="1">
      <c r="A93" s="24"/>
      <c r="B93" s="105">
        <f t="shared" si="23"/>
        <v>90</v>
      </c>
      <c r="C93" s="6">
        <v>210200</v>
      </c>
      <c r="D93" s="118" t="s">
        <v>730</v>
      </c>
      <c r="E93" s="9" t="s">
        <v>32</v>
      </c>
      <c r="F93" s="27"/>
      <c r="G93" s="27"/>
      <c r="H93" s="27">
        <v>0</v>
      </c>
      <c r="I93" s="27">
        <v>0</v>
      </c>
      <c r="J93" s="11">
        <f>+SUMIFS(JURNAL!G:G,JURNAL!E:E,C93,JURNAL!C:C,"&gt;="&amp;$H$1,JURNAL!C:C,"&lt;="&amp;$I$1)</f>
        <v>0</v>
      </c>
      <c r="K93" s="11">
        <f>+SUMIFS(JURNAL!H:H,JURNAL!E:E,C93,JURNAL!C:C,"&gt;="&amp;$H$1,JURNAL!C:C,"&lt;="&amp;$I$1)</f>
        <v>0</v>
      </c>
      <c r="L93" s="26">
        <f t="shared" si="16"/>
        <v>0</v>
      </c>
      <c r="M93" s="27">
        <f t="shared" si="17"/>
        <v>0</v>
      </c>
      <c r="N93" s="11"/>
      <c r="O93" s="334"/>
      <c r="P93" s="11"/>
      <c r="Q93" s="11"/>
      <c r="R93" s="26">
        <f t="shared" si="18"/>
        <v>0</v>
      </c>
      <c r="S93" s="27">
        <f t="shared" si="19"/>
        <v>0</v>
      </c>
      <c r="T93" s="11"/>
      <c r="U93" s="11"/>
      <c r="V93" s="26">
        <f t="shared" si="20"/>
        <v>0</v>
      </c>
      <c r="W93" s="27">
        <f t="shared" si="21"/>
        <v>0</v>
      </c>
      <c r="X93" s="4">
        <v>1127</v>
      </c>
      <c r="Y93" s="4"/>
      <c r="Z93" s="4"/>
      <c r="AA93" s="12">
        <f t="shared" si="22"/>
        <v>0</v>
      </c>
      <c r="AC93" s="118" t="s">
        <v>409</v>
      </c>
      <c r="AD93" s="21" t="str">
        <f t="shared" si="25"/>
        <v>D-311301</v>
      </c>
      <c r="AE93" s="80" t="str">
        <f t="shared" si="26"/>
        <v>D</v>
      </c>
      <c r="AF93" s="21" t="str">
        <f t="shared" si="24"/>
        <v>Хувь хүнд өгөх өглөг USD</v>
      </c>
      <c r="AJ93" s="413"/>
      <c r="AK93" s="413"/>
      <c r="AL93" s="413"/>
      <c r="AM93" s="413"/>
    </row>
    <row r="94" spans="1:39" ht="12.75" customHeight="1">
      <c r="A94" s="24"/>
      <c r="B94" s="105">
        <f t="shared" si="23"/>
        <v>91</v>
      </c>
      <c r="C94" s="6">
        <v>210300</v>
      </c>
      <c r="D94" s="118" t="s">
        <v>734</v>
      </c>
      <c r="E94" s="9" t="s">
        <v>32</v>
      </c>
      <c r="F94" s="27"/>
      <c r="G94" s="27"/>
      <c r="H94" s="27">
        <v>0</v>
      </c>
      <c r="I94" s="27">
        <v>0</v>
      </c>
      <c r="J94" s="11">
        <f>+SUMIFS(JURNAL!G:G,JURNAL!E:E,C94,JURNAL!C:C,"&gt;="&amp;$H$1,JURNAL!C:C,"&lt;="&amp;$I$1)</f>
        <v>0</v>
      </c>
      <c r="K94" s="11">
        <f>+SUMIFS(JURNAL!H:H,JURNAL!E:E,C94,JURNAL!C:C,"&gt;="&amp;$H$1,JURNAL!C:C,"&lt;="&amp;$I$1)</f>
        <v>0</v>
      </c>
      <c r="L94" s="26">
        <f t="shared" si="16"/>
        <v>0</v>
      </c>
      <c r="M94" s="27">
        <f t="shared" si="17"/>
        <v>0</v>
      </c>
      <c r="N94" s="11"/>
      <c r="O94" s="334"/>
      <c r="P94" s="11"/>
      <c r="Q94" s="11"/>
      <c r="R94" s="26">
        <f t="shared" si="18"/>
        <v>0</v>
      </c>
      <c r="S94" s="27">
        <f t="shared" si="19"/>
        <v>0</v>
      </c>
      <c r="T94" s="11"/>
      <c r="U94" s="11"/>
      <c r="V94" s="26">
        <f t="shared" si="20"/>
        <v>0</v>
      </c>
      <c r="W94" s="27">
        <f t="shared" si="21"/>
        <v>0</v>
      </c>
      <c r="X94" s="4">
        <v>1127</v>
      </c>
      <c r="Y94" s="4"/>
      <c r="Z94" s="4"/>
      <c r="AA94" s="12">
        <f t="shared" si="22"/>
        <v>0</v>
      </c>
      <c r="AC94" s="118" t="s">
        <v>410</v>
      </c>
      <c r="AD94" s="21" t="str">
        <f t="shared" si="25"/>
        <v>T-311400</v>
      </c>
      <c r="AE94" s="80" t="str">
        <f t="shared" si="26"/>
        <v>T</v>
      </c>
      <c r="AF94" s="21" t="str">
        <f t="shared" si="24"/>
        <v>Çээлийн хүүгийн өглөг MNT</v>
      </c>
      <c r="AJ94" s="413"/>
      <c r="AK94" s="413"/>
      <c r="AL94" s="413"/>
      <c r="AM94" s="413"/>
    </row>
    <row r="95" spans="1:39" ht="12.75" customHeight="1">
      <c r="A95" s="24"/>
      <c r="B95" s="105">
        <f t="shared" si="23"/>
        <v>92</v>
      </c>
      <c r="C95" s="6">
        <v>210400</v>
      </c>
      <c r="D95" s="118" t="s">
        <v>738</v>
      </c>
      <c r="E95" s="9" t="s">
        <v>32</v>
      </c>
      <c r="F95" s="27"/>
      <c r="G95" s="27"/>
      <c r="H95" s="27">
        <v>0</v>
      </c>
      <c r="I95" s="27">
        <v>0</v>
      </c>
      <c r="J95" s="11">
        <f>+SUMIFS(JURNAL!G:G,JURNAL!E:E,C95,JURNAL!C:C,"&gt;="&amp;$H$1,JURNAL!C:C,"&lt;="&amp;$I$1)</f>
        <v>0</v>
      </c>
      <c r="K95" s="11">
        <f>+SUMIFS(JURNAL!H:H,JURNAL!E:E,C95,JURNAL!C:C,"&gt;="&amp;$H$1,JURNAL!C:C,"&lt;="&amp;$I$1)</f>
        <v>0</v>
      </c>
      <c r="L95" s="26">
        <f t="shared" si="16"/>
        <v>0</v>
      </c>
      <c r="M95" s="27">
        <f t="shared" si="17"/>
        <v>0</v>
      </c>
      <c r="N95" s="11"/>
      <c r="O95" s="334"/>
      <c r="P95" s="11"/>
      <c r="Q95" s="11"/>
      <c r="R95" s="26">
        <f t="shared" si="18"/>
        <v>0</v>
      </c>
      <c r="S95" s="27">
        <f t="shared" si="19"/>
        <v>0</v>
      </c>
      <c r="T95" s="11"/>
      <c r="U95" s="11"/>
      <c r="V95" s="26">
        <f t="shared" si="20"/>
        <v>0</v>
      </c>
      <c r="W95" s="27">
        <f t="shared" si="21"/>
        <v>0</v>
      </c>
      <c r="X95" s="4">
        <v>1127</v>
      </c>
      <c r="Y95" s="4"/>
      <c r="Z95" s="4"/>
      <c r="AA95" s="12">
        <f t="shared" si="22"/>
        <v>0</v>
      </c>
      <c r="AC95" s="118" t="s">
        <v>411</v>
      </c>
      <c r="AD95" s="21" t="str">
        <f t="shared" si="25"/>
        <v>D-311401</v>
      </c>
      <c r="AE95" s="80" t="str">
        <f t="shared" si="26"/>
        <v>D</v>
      </c>
      <c r="AF95" s="21" t="str">
        <f t="shared" si="24"/>
        <v>Çээлийн хүүгийн өглөг USD</v>
      </c>
      <c r="AJ95" s="413"/>
      <c r="AK95" s="413"/>
      <c r="AL95" s="413"/>
      <c r="AM95" s="413"/>
    </row>
    <row r="96" spans="1:39" ht="12.75" customHeight="1">
      <c r="A96" s="24"/>
      <c r="B96" s="105">
        <f t="shared" si="23"/>
        <v>93</v>
      </c>
      <c r="C96" s="6">
        <v>210500</v>
      </c>
      <c r="D96" s="118" t="s">
        <v>742</v>
      </c>
      <c r="E96" s="9" t="s">
        <v>32</v>
      </c>
      <c r="F96" s="27"/>
      <c r="G96" s="27"/>
      <c r="H96" s="27">
        <v>0</v>
      </c>
      <c r="I96" s="27">
        <v>0</v>
      </c>
      <c r="J96" s="11">
        <f>+SUMIFS(JURNAL!G:G,JURNAL!E:E,C96,JURNAL!C:C,"&gt;="&amp;$H$1,JURNAL!C:C,"&lt;="&amp;$I$1)</f>
        <v>0</v>
      </c>
      <c r="K96" s="11">
        <f>+SUMIFS(JURNAL!H:H,JURNAL!E:E,C96,JURNAL!C:C,"&gt;="&amp;$H$1,JURNAL!C:C,"&lt;="&amp;$I$1)</f>
        <v>0</v>
      </c>
      <c r="L96" s="26">
        <f t="shared" si="16"/>
        <v>0</v>
      </c>
      <c r="M96" s="27">
        <f t="shared" si="17"/>
        <v>0</v>
      </c>
      <c r="N96" s="11"/>
      <c r="O96" s="334"/>
      <c r="P96" s="11"/>
      <c r="Q96" s="11"/>
      <c r="R96" s="26">
        <f t="shared" si="18"/>
        <v>0</v>
      </c>
      <c r="S96" s="27">
        <f t="shared" si="19"/>
        <v>0</v>
      </c>
      <c r="T96" s="11"/>
      <c r="U96" s="11"/>
      <c r="V96" s="26">
        <f t="shared" si="20"/>
        <v>0</v>
      </c>
      <c r="W96" s="27">
        <f t="shared" si="21"/>
        <v>0</v>
      </c>
      <c r="X96" s="4">
        <v>1127</v>
      </c>
      <c r="Y96" s="4"/>
      <c r="Z96" s="4"/>
      <c r="AA96" s="12">
        <f t="shared" si="22"/>
        <v>0</v>
      </c>
      <c r="AC96" s="118" t="s">
        <v>412</v>
      </c>
      <c r="AD96" s="21" t="str">
        <f t="shared" si="25"/>
        <v>р-311600</v>
      </c>
      <c r="AE96" s="80" t="str">
        <f t="shared" si="26"/>
        <v>р</v>
      </c>
      <c r="AF96" s="21" t="str">
        <f t="shared" si="24"/>
        <v>Борлуулах зорилгоор эзэмшиж буй эргэлтийн бус хөрөнгөд хамаарах өр төлбөр</v>
      </c>
      <c r="AJ96" s="413"/>
      <c r="AK96" s="413"/>
      <c r="AL96" s="413"/>
      <c r="AM96" s="413"/>
    </row>
    <row r="97" spans="1:39" ht="12.75" customHeight="1">
      <c r="A97" s="24"/>
      <c r="B97" s="105">
        <f t="shared" si="23"/>
        <v>94</v>
      </c>
      <c r="C97" s="6">
        <v>210600</v>
      </c>
      <c r="D97" s="118" t="s">
        <v>746</v>
      </c>
      <c r="E97" s="9" t="s">
        <v>32</v>
      </c>
      <c r="F97" s="27"/>
      <c r="G97" s="27"/>
      <c r="H97" s="27">
        <v>0</v>
      </c>
      <c r="I97" s="27">
        <v>0</v>
      </c>
      <c r="J97" s="11">
        <f>+SUMIFS(JURNAL!G:G,JURNAL!E:E,C97,JURNAL!C:C,"&gt;="&amp;$H$1,JURNAL!C:C,"&lt;="&amp;$I$1)</f>
        <v>0</v>
      </c>
      <c r="K97" s="11">
        <f>+SUMIFS(JURNAL!H:H,JURNAL!E:E,C97,JURNAL!C:C,"&gt;="&amp;$H$1,JURNAL!C:C,"&lt;="&amp;$I$1)</f>
        <v>0</v>
      </c>
      <c r="L97" s="26">
        <f t="shared" si="16"/>
        <v>0</v>
      </c>
      <c r="M97" s="27">
        <f t="shared" si="17"/>
        <v>0</v>
      </c>
      <c r="N97" s="11"/>
      <c r="O97" s="334"/>
      <c r="P97" s="11"/>
      <c r="Q97" s="11"/>
      <c r="R97" s="26">
        <f t="shared" si="18"/>
        <v>0</v>
      </c>
      <c r="S97" s="27">
        <f t="shared" si="19"/>
        <v>0</v>
      </c>
      <c r="T97" s="11"/>
      <c r="U97" s="11"/>
      <c r="V97" s="26">
        <f t="shared" si="20"/>
        <v>0</v>
      </c>
      <c r="W97" s="27">
        <f t="shared" si="21"/>
        <v>0</v>
      </c>
      <c r="X97" s="4">
        <v>1127</v>
      </c>
      <c r="Y97" s="4"/>
      <c r="Z97" s="4"/>
      <c r="AA97" s="12">
        <f t="shared" si="22"/>
        <v>0</v>
      </c>
      <c r="AC97" s="118" t="s">
        <v>413</v>
      </c>
      <c r="AD97" s="21" t="str">
        <f t="shared" si="25"/>
        <v>г-312000</v>
      </c>
      <c r="AE97" s="80" t="str">
        <f t="shared" si="26"/>
        <v>г</v>
      </c>
      <c r="AF97" s="21" t="str">
        <f t="shared" si="24"/>
        <v>Баталгаат засварын өглөг</v>
      </c>
      <c r="AJ97" s="413"/>
      <c r="AK97" s="413"/>
      <c r="AL97" s="413"/>
      <c r="AM97" s="413"/>
    </row>
    <row r="98" spans="1:39" ht="12.75" customHeight="1">
      <c r="A98" s="24"/>
      <c r="B98" s="105">
        <f t="shared" si="23"/>
        <v>95</v>
      </c>
      <c r="C98" s="6">
        <v>210700</v>
      </c>
      <c r="D98" s="118" t="s">
        <v>750</v>
      </c>
      <c r="E98" s="9" t="s">
        <v>32</v>
      </c>
      <c r="F98" s="27"/>
      <c r="G98" s="27"/>
      <c r="H98" s="27">
        <v>0</v>
      </c>
      <c r="I98" s="27">
        <v>0</v>
      </c>
      <c r="J98" s="11">
        <f>+SUMIFS(JURNAL!G:G,JURNAL!E:E,C98,JURNAL!C:C,"&gt;="&amp;$H$1,JURNAL!C:C,"&lt;="&amp;$I$1)</f>
        <v>0</v>
      </c>
      <c r="K98" s="11">
        <f>+SUMIFS(JURNAL!H:H,JURNAL!E:E,C98,JURNAL!C:C,"&gt;="&amp;$H$1,JURNAL!C:C,"&lt;="&amp;$I$1)</f>
        <v>0</v>
      </c>
      <c r="L98" s="26">
        <f t="shared" si="16"/>
        <v>0</v>
      </c>
      <c r="M98" s="27">
        <f t="shared" si="17"/>
        <v>0</v>
      </c>
      <c r="N98" s="11"/>
      <c r="O98" s="334"/>
      <c r="P98" s="11"/>
      <c r="Q98" s="11"/>
      <c r="R98" s="26">
        <f t="shared" si="18"/>
        <v>0</v>
      </c>
      <c r="S98" s="27">
        <f t="shared" si="19"/>
        <v>0</v>
      </c>
      <c r="T98" s="11"/>
      <c r="U98" s="11"/>
      <c r="V98" s="26">
        <f t="shared" si="20"/>
        <v>0</v>
      </c>
      <c r="W98" s="27">
        <f t="shared" si="21"/>
        <v>0</v>
      </c>
      <c r="X98" s="4">
        <v>1127</v>
      </c>
      <c r="Y98" s="4"/>
      <c r="Z98" s="4"/>
      <c r="AA98" s="12">
        <f t="shared" si="22"/>
        <v>0</v>
      </c>
      <c r="AC98" s="118" t="s">
        <v>414</v>
      </c>
      <c r="AD98" s="21" t="str">
        <f t="shared" si="25"/>
        <v>T-320100</v>
      </c>
      <c r="AE98" s="80" t="str">
        <f t="shared" si="26"/>
        <v>T</v>
      </c>
      <c r="AF98" s="21" t="str">
        <f t="shared" si="24"/>
        <v>Урьдчилж орсон орлого MNT</v>
      </c>
      <c r="AJ98" s="413"/>
      <c r="AK98" s="413"/>
      <c r="AL98" s="413"/>
      <c r="AM98" s="413"/>
    </row>
    <row r="99" spans="1:39" ht="12.75" customHeight="1">
      <c r="A99" s="24"/>
      <c r="B99" s="105">
        <f t="shared" si="23"/>
        <v>96</v>
      </c>
      <c r="C99" s="6">
        <v>211000</v>
      </c>
      <c r="D99" s="118" t="s">
        <v>660</v>
      </c>
      <c r="E99" s="9" t="s">
        <v>32</v>
      </c>
      <c r="F99" s="27"/>
      <c r="G99" s="27"/>
      <c r="H99" s="27">
        <v>0</v>
      </c>
      <c r="I99" s="27">
        <v>0</v>
      </c>
      <c r="J99" s="11">
        <f>+SUMIFS(JURNAL!G:G,JURNAL!E:E,C99,JURNAL!C:C,"&gt;="&amp;$H$1,JURNAL!C:C,"&lt;="&amp;$I$1)</f>
        <v>0</v>
      </c>
      <c r="K99" s="11">
        <f>+SUMIFS(JURNAL!H:H,JURNAL!E:E,C99,JURNAL!C:C,"&gt;="&amp;$H$1,JURNAL!C:C,"&lt;="&amp;$I$1)</f>
        <v>0</v>
      </c>
      <c r="L99" s="26">
        <f t="shared" si="16"/>
        <v>0</v>
      </c>
      <c r="M99" s="27">
        <f t="shared" si="17"/>
        <v>0</v>
      </c>
      <c r="N99" s="11"/>
      <c r="O99" s="334"/>
      <c r="P99" s="11"/>
      <c r="Q99" s="11"/>
      <c r="R99" s="26">
        <f t="shared" si="18"/>
        <v>0</v>
      </c>
      <c r="S99" s="27">
        <f t="shared" si="19"/>
        <v>0</v>
      </c>
      <c r="T99" s="11"/>
      <c r="U99" s="11"/>
      <c r="V99" s="26">
        <f t="shared" si="20"/>
        <v>0</v>
      </c>
      <c r="W99" s="27">
        <f t="shared" si="21"/>
        <v>0</v>
      </c>
      <c r="X99" s="4">
        <v>1127</v>
      </c>
      <c r="Y99" s="4"/>
      <c r="Z99" s="4"/>
      <c r="AA99" s="12">
        <f t="shared" si="22"/>
        <v>0</v>
      </c>
      <c r="AC99" s="118" t="s">
        <v>415</v>
      </c>
      <c r="AD99" s="21" t="str">
        <f t="shared" si="25"/>
        <v>D-320101</v>
      </c>
      <c r="AE99" s="80" t="str">
        <f t="shared" si="26"/>
        <v>D</v>
      </c>
      <c r="AF99" s="21" t="str">
        <f t="shared" si="24"/>
        <v>Урьдчилж орсон орлого USD</v>
      </c>
      <c r="AJ99" s="413"/>
      <c r="AK99" s="413"/>
      <c r="AL99" s="413"/>
      <c r="AM99" s="413"/>
    </row>
    <row r="100" spans="1:39" ht="12.75" customHeight="1">
      <c r="A100" s="24"/>
      <c r="B100" s="105">
        <f t="shared" si="23"/>
        <v>97</v>
      </c>
      <c r="C100" s="6">
        <v>220100</v>
      </c>
      <c r="D100" s="118" t="s">
        <v>802</v>
      </c>
      <c r="E100" s="9" t="s">
        <v>32</v>
      </c>
      <c r="F100" s="27"/>
      <c r="G100" s="27"/>
      <c r="H100" s="27">
        <v>0</v>
      </c>
      <c r="I100" s="27">
        <v>0</v>
      </c>
      <c r="J100" s="11">
        <f>+SUMIFS(JURNAL!G:G,JURNAL!E:E,C100,JURNAL!C:C,"&gt;="&amp;$H$1,JURNAL!C:C,"&lt;="&amp;$I$1)</f>
        <v>0</v>
      </c>
      <c r="K100" s="11">
        <f>+SUMIFS(JURNAL!H:H,JURNAL!E:E,C100,JURNAL!C:C,"&gt;="&amp;$H$1,JURNAL!C:C,"&lt;="&amp;$I$1)</f>
        <v>0</v>
      </c>
      <c r="L100" s="26">
        <f t="shared" si="16"/>
        <v>0</v>
      </c>
      <c r="M100" s="27">
        <f t="shared" si="17"/>
        <v>0</v>
      </c>
      <c r="N100" s="11"/>
      <c r="O100" s="334"/>
      <c r="P100" s="11"/>
      <c r="Q100" s="11"/>
      <c r="R100" s="26">
        <f t="shared" si="18"/>
        <v>0</v>
      </c>
      <c r="S100" s="27">
        <f t="shared" si="19"/>
        <v>0</v>
      </c>
      <c r="T100" s="11"/>
      <c r="U100" s="11"/>
      <c r="V100" s="26">
        <f t="shared" si="20"/>
        <v>0</v>
      </c>
      <c r="W100" s="27">
        <f t="shared" si="21"/>
        <v>0</v>
      </c>
      <c r="X100" s="4">
        <v>1123</v>
      </c>
      <c r="Y100" s="4"/>
      <c r="Z100" s="4"/>
      <c r="AA100" s="12">
        <f t="shared" si="22"/>
        <v>0</v>
      </c>
      <c r="AC100" s="118" t="s">
        <v>416</v>
      </c>
      <c r="AD100" s="21" t="str">
        <f t="shared" si="25"/>
        <v>/-340100</v>
      </c>
      <c r="AE100" s="80" t="str">
        <f t="shared" si="26"/>
        <v>/</v>
      </c>
      <c r="AF100" s="21" t="str">
        <f t="shared" si="24"/>
        <v>ХО-д өгөх өглөг MNT /ЭНХБАТ/</v>
      </c>
      <c r="AJ100" s="413"/>
      <c r="AK100" s="413"/>
      <c r="AL100" s="413"/>
      <c r="AM100" s="413"/>
    </row>
    <row r="101" spans="1:39" ht="12.75" customHeight="1">
      <c r="A101" s="24"/>
      <c r="B101" s="105">
        <f t="shared" si="23"/>
        <v>98</v>
      </c>
      <c r="C101" s="6">
        <v>220200</v>
      </c>
      <c r="D101" s="118" t="s">
        <v>806</v>
      </c>
      <c r="E101" s="9" t="s">
        <v>32</v>
      </c>
      <c r="F101" s="27"/>
      <c r="G101" s="27"/>
      <c r="H101" s="27">
        <v>0</v>
      </c>
      <c r="I101" s="27">
        <v>0</v>
      </c>
      <c r="J101" s="11">
        <f>+SUMIFS(JURNAL!G:G,JURNAL!E:E,C101,JURNAL!C:C,"&gt;="&amp;$H$1,JURNAL!C:C,"&lt;="&amp;$I$1)</f>
        <v>0</v>
      </c>
      <c r="K101" s="11">
        <f>+SUMIFS(JURNAL!H:H,JURNAL!E:E,C101,JURNAL!C:C,"&gt;="&amp;$H$1,JURNAL!C:C,"&lt;="&amp;$I$1)</f>
        <v>0</v>
      </c>
      <c r="L101" s="26">
        <f t="shared" si="16"/>
        <v>0</v>
      </c>
      <c r="M101" s="27">
        <f t="shared" si="17"/>
        <v>0</v>
      </c>
      <c r="N101" s="11"/>
      <c r="O101" s="334"/>
      <c r="P101" s="11"/>
      <c r="Q101" s="11"/>
      <c r="R101" s="26">
        <f t="shared" si="18"/>
        <v>0</v>
      </c>
      <c r="S101" s="27">
        <f t="shared" si="19"/>
        <v>0</v>
      </c>
      <c r="T101" s="11"/>
      <c r="U101" s="11"/>
      <c r="V101" s="26">
        <f t="shared" si="20"/>
        <v>0</v>
      </c>
      <c r="W101" s="27">
        <f t="shared" si="21"/>
        <v>0</v>
      </c>
      <c r="X101" s="4">
        <v>1123</v>
      </c>
      <c r="Y101" s="4"/>
      <c r="Z101" s="4"/>
      <c r="AA101" s="12">
        <f t="shared" si="22"/>
        <v>0</v>
      </c>
      <c r="AC101" s="118" t="s">
        <v>417</v>
      </c>
      <c r="AD101" s="21" t="str">
        <f t="shared" si="25"/>
        <v>/-350100</v>
      </c>
      <c r="AE101" s="80" t="str">
        <f t="shared" si="26"/>
        <v>/</v>
      </c>
      <c r="AF101" s="21" t="str">
        <f t="shared" si="24"/>
        <v>ХО-д өгөх өглөг USD /БАХДАМДЭМБЭРЭЛ/</v>
      </c>
      <c r="AJ101" s="413"/>
      <c r="AK101" s="413"/>
      <c r="AL101" s="413"/>
      <c r="AM101" s="413"/>
    </row>
    <row r="102" spans="1:39" ht="12.75" customHeight="1">
      <c r="A102" s="24"/>
      <c r="B102" s="105">
        <f t="shared" si="23"/>
        <v>99</v>
      </c>
      <c r="C102" s="6">
        <v>220400</v>
      </c>
      <c r="D102" s="118" t="s">
        <v>810</v>
      </c>
      <c r="E102" s="9" t="s">
        <v>32</v>
      </c>
      <c r="F102" s="27"/>
      <c r="G102" s="27"/>
      <c r="H102" s="27">
        <v>0</v>
      </c>
      <c r="I102" s="27">
        <v>0</v>
      </c>
      <c r="J102" s="11">
        <f>+SUMIFS(JURNAL!G:G,JURNAL!E:E,C102,JURNAL!C:C,"&gt;="&amp;$H$1,JURNAL!C:C,"&lt;="&amp;$I$1)</f>
        <v>0</v>
      </c>
      <c r="K102" s="11">
        <f>+SUMIFS(JURNAL!H:H,JURNAL!E:E,C102,JURNAL!C:C,"&gt;="&amp;$H$1,JURNAL!C:C,"&lt;="&amp;$I$1)</f>
        <v>0</v>
      </c>
      <c r="L102" s="26">
        <f t="shared" si="16"/>
        <v>0</v>
      </c>
      <c r="M102" s="27">
        <f t="shared" si="17"/>
        <v>0</v>
      </c>
      <c r="N102" s="11"/>
      <c r="O102" s="334"/>
      <c r="P102" s="11"/>
      <c r="Q102" s="11"/>
      <c r="R102" s="26">
        <f t="shared" si="18"/>
        <v>0</v>
      </c>
      <c r="S102" s="27">
        <f t="shared" si="19"/>
        <v>0</v>
      </c>
      <c r="T102" s="11"/>
      <c r="U102" s="11"/>
      <c r="V102" s="26">
        <f t="shared" si="20"/>
        <v>0</v>
      </c>
      <c r="W102" s="27">
        <f t="shared" si="21"/>
        <v>0</v>
      </c>
      <c r="X102" s="4">
        <v>1123</v>
      </c>
      <c r="Y102" s="4"/>
      <c r="Z102" s="4"/>
      <c r="AA102" s="12">
        <f t="shared" si="22"/>
        <v>0</v>
      </c>
      <c r="AC102" s="118" t="s">
        <v>418</v>
      </c>
      <c r="AD102" s="21" t="str">
        <f t="shared" si="25"/>
        <v>а-320200</v>
      </c>
      <c r="AE102" s="80" t="str">
        <f t="shared" si="26"/>
        <v>а</v>
      </c>
      <c r="AF102" s="21" t="str">
        <f t="shared" si="24"/>
        <v>Богино хугацаат өглөгийн хасагдуулга</v>
      </c>
      <c r="AJ102" s="413"/>
      <c r="AK102" s="413"/>
      <c r="AL102" s="413"/>
      <c r="AM102" s="413"/>
    </row>
    <row r="103" spans="1:39" ht="12.75" customHeight="1">
      <c r="A103" s="24"/>
      <c r="B103" s="105">
        <f t="shared" si="23"/>
        <v>100</v>
      </c>
      <c r="C103" s="6">
        <v>230100</v>
      </c>
      <c r="D103" s="118" t="s">
        <v>814</v>
      </c>
      <c r="E103" s="9" t="s">
        <v>32</v>
      </c>
      <c r="F103" s="27"/>
      <c r="G103" s="27"/>
      <c r="H103" s="27">
        <v>0</v>
      </c>
      <c r="I103" s="27">
        <v>0</v>
      </c>
      <c r="J103" s="11">
        <f>+SUMIFS(JURNAL!G:G,JURNAL!E:E,C103,JURNAL!C:C,"&gt;="&amp;$H$1,JURNAL!C:C,"&lt;="&amp;$I$1)</f>
        <v>0</v>
      </c>
      <c r="K103" s="11">
        <f>+SUMIFS(JURNAL!H:H,JURNAL!E:E,C103,JURNAL!C:C,"&gt;="&amp;$H$1,JURNAL!C:C,"&lt;="&amp;$I$1)</f>
        <v>0</v>
      </c>
      <c r="L103" s="26">
        <f t="shared" si="16"/>
        <v>0</v>
      </c>
      <c r="M103" s="27">
        <f t="shared" si="17"/>
        <v>0</v>
      </c>
      <c r="N103" s="11"/>
      <c r="O103" s="334"/>
      <c r="P103" s="11"/>
      <c r="Q103" s="11"/>
      <c r="R103" s="26">
        <f t="shared" si="18"/>
        <v>0</v>
      </c>
      <c r="S103" s="27">
        <f t="shared" si="19"/>
        <v>0</v>
      </c>
      <c r="T103" s="11"/>
      <c r="U103" s="11"/>
      <c r="V103" s="26">
        <f t="shared" si="20"/>
        <v>0</v>
      </c>
      <c r="W103" s="27">
        <f t="shared" si="21"/>
        <v>0</v>
      </c>
      <c r="X103" s="4">
        <v>1125</v>
      </c>
      <c r="Y103" s="4"/>
      <c r="Z103" s="4"/>
      <c r="AA103" s="12">
        <f t="shared" si="22"/>
        <v>0</v>
      </c>
      <c r="AC103" s="118" t="s">
        <v>419</v>
      </c>
      <c r="AD103" s="21" t="str">
        <f t="shared" si="25"/>
        <v>T-330200</v>
      </c>
      <c r="AE103" s="80" t="str">
        <f t="shared" si="26"/>
        <v>T</v>
      </c>
      <c r="AF103" s="21" t="str">
        <f t="shared" si="24"/>
        <v>Урт хугацаат зээл MNT</v>
      </c>
      <c r="AJ103" s="413"/>
      <c r="AK103" s="413"/>
      <c r="AL103" s="413"/>
      <c r="AM103" s="413"/>
    </row>
    <row r="104" spans="1:39" ht="12.75" customHeight="1">
      <c r="A104" s="24"/>
      <c r="B104" s="105">
        <f t="shared" si="23"/>
        <v>101</v>
      </c>
      <c r="C104" s="6">
        <v>230200</v>
      </c>
      <c r="D104" s="118" t="s">
        <v>818</v>
      </c>
      <c r="E104" s="9" t="s">
        <v>32</v>
      </c>
      <c r="F104" s="27"/>
      <c r="G104" s="27"/>
      <c r="H104" s="27">
        <v>0</v>
      </c>
      <c r="I104" s="27">
        <v>0</v>
      </c>
      <c r="J104" s="11">
        <f>+SUMIFS(JURNAL!G:G,JURNAL!E:E,C104,JURNAL!C:C,"&gt;="&amp;$H$1,JURNAL!C:C,"&lt;="&amp;$I$1)</f>
        <v>0</v>
      </c>
      <c r="K104" s="11">
        <f>+SUMIFS(JURNAL!H:H,JURNAL!E:E,C104,JURNAL!C:C,"&gt;="&amp;$H$1,JURNAL!C:C,"&lt;="&amp;$I$1)</f>
        <v>0</v>
      </c>
      <c r="L104" s="26">
        <f t="shared" si="16"/>
        <v>0</v>
      </c>
      <c r="M104" s="27">
        <f t="shared" si="17"/>
        <v>0</v>
      </c>
      <c r="N104" s="11"/>
      <c r="O104" s="334"/>
      <c r="P104" s="11"/>
      <c r="Q104" s="11"/>
      <c r="R104" s="26">
        <f t="shared" si="18"/>
        <v>0</v>
      </c>
      <c r="S104" s="27">
        <f t="shared" si="19"/>
        <v>0</v>
      </c>
      <c r="T104" s="11"/>
      <c r="U104" s="11"/>
      <c r="V104" s="26">
        <f t="shared" si="20"/>
        <v>0</v>
      </c>
      <c r="W104" s="27">
        <f t="shared" si="21"/>
        <v>0</v>
      </c>
      <c r="X104" s="4">
        <v>1126</v>
      </c>
      <c r="Y104" s="4"/>
      <c r="Z104" s="4"/>
      <c r="AA104" s="12">
        <f t="shared" si="22"/>
        <v>0</v>
      </c>
      <c r="AC104" s="118" t="s">
        <v>420</v>
      </c>
      <c r="AD104" s="21" t="str">
        <f t="shared" si="25"/>
        <v>D-330201</v>
      </c>
      <c r="AE104" s="80" t="str">
        <f t="shared" si="26"/>
        <v>D</v>
      </c>
      <c r="AF104" s="21" t="str">
        <f t="shared" si="24"/>
        <v>Урт хугацаат зээл USD</v>
      </c>
      <c r="AJ104" s="413"/>
      <c r="AK104" s="413"/>
      <c r="AL104" s="413"/>
      <c r="AM104" s="413"/>
    </row>
    <row r="105" spans="1:39" ht="12.75" customHeight="1">
      <c r="A105" s="24"/>
      <c r="B105" s="105">
        <f t="shared" si="23"/>
        <v>102</v>
      </c>
      <c r="C105" s="6">
        <v>310100</v>
      </c>
      <c r="D105" s="118" t="s">
        <v>511</v>
      </c>
      <c r="E105" s="9" t="s">
        <v>32</v>
      </c>
      <c r="F105" s="27"/>
      <c r="G105" s="27"/>
      <c r="H105" s="27">
        <v>3.9999186992645264E-4</v>
      </c>
      <c r="I105" s="27">
        <v>0</v>
      </c>
      <c r="J105" s="11">
        <f>+SUMIFS(JURNAL!G:G,JURNAL!E:E,C105,JURNAL!C:C,"&gt;="&amp;$H$1,JURNAL!C:C,"&lt;="&amp;$I$1)</f>
        <v>2008043</v>
      </c>
      <c r="K105" s="11">
        <f>+SUMIFS(JURNAL!H:H,JURNAL!E:E,C105,JURNAL!C:C,"&gt;="&amp;$H$1,JURNAL!C:C,"&lt;="&amp;$I$1)</f>
        <v>3288043</v>
      </c>
      <c r="L105" s="26">
        <f t="shared" si="16"/>
        <v>0</v>
      </c>
      <c r="M105" s="27">
        <f t="shared" si="17"/>
        <v>1279999.9996000081</v>
      </c>
      <c r="N105" s="11"/>
      <c r="O105" s="334"/>
      <c r="P105" s="11"/>
      <c r="Q105" s="11"/>
      <c r="R105" s="26">
        <f t="shared" si="18"/>
        <v>0</v>
      </c>
      <c r="S105" s="27">
        <f t="shared" si="19"/>
        <v>1279999.9996000081</v>
      </c>
      <c r="T105" s="11"/>
      <c r="U105" s="11"/>
      <c r="V105" s="26">
        <f t="shared" si="20"/>
        <v>0</v>
      </c>
      <c r="W105" s="27">
        <f t="shared" si="21"/>
        <v>1279999.9996000081</v>
      </c>
      <c r="X105" s="4">
        <v>1201</v>
      </c>
      <c r="Y105" s="4"/>
      <c r="Z105" s="4"/>
      <c r="AA105" s="12">
        <f t="shared" si="22"/>
        <v>1</v>
      </c>
      <c r="AC105" s="118" t="s">
        <v>421</v>
      </c>
      <c r="AD105" s="21" t="str">
        <f t="shared" si="25"/>
        <v>р-330800</v>
      </c>
      <c r="AE105" s="80" t="str">
        <f t="shared" si="26"/>
        <v>р</v>
      </c>
      <c r="AF105" s="21" t="str">
        <f t="shared" si="24"/>
        <v>Хойшлогдсон татварын өр төлбөр</v>
      </c>
      <c r="AJ105" s="413"/>
      <c r="AK105" s="413"/>
      <c r="AL105" s="413"/>
      <c r="AM105" s="413"/>
    </row>
    <row r="106" spans="1:39" ht="12.75" customHeight="1">
      <c r="A106" s="24"/>
      <c r="B106" s="105">
        <f t="shared" si="23"/>
        <v>103</v>
      </c>
      <c r="C106" s="6">
        <v>310101</v>
      </c>
      <c r="D106" s="118" t="s">
        <v>966</v>
      </c>
      <c r="E106" s="9" t="s">
        <v>30</v>
      </c>
      <c r="F106" s="27"/>
      <c r="G106" s="27"/>
      <c r="H106" s="27">
        <v>0</v>
      </c>
      <c r="I106" s="27">
        <v>0</v>
      </c>
      <c r="J106" s="11">
        <f>+SUMIFS(JURNAL!G:G,JURNAL!E:E,C106,JURNAL!C:C,"&gt;="&amp;$H$1,JURNAL!C:C,"&lt;="&amp;$I$1)</f>
        <v>0</v>
      </c>
      <c r="K106" s="11">
        <f>+SUMIFS(JURNAL!H:H,JURNAL!E:E,C106,JURNAL!C:C,"&gt;="&amp;$H$1,JURNAL!C:C,"&lt;="&amp;$I$1)</f>
        <v>0</v>
      </c>
      <c r="L106" s="26">
        <f t="shared" si="16"/>
        <v>0</v>
      </c>
      <c r="M106" s="27">
        <f t="shared" si="17"/>
        <v>0</v>
      </c>
      <c r="N106" s="11"/>
      <c r="O106" s="334"/>
      <c r="P106" s="11"/>
      <c r="Q106" s="11"/>
      <c r="R106" s="26">
        <f t="shared" si="18"/>
        <v>0</v>
      </c>
      <c r="S106" s="27">
        <f t="shared" si="19"/>
        <v>0</v>
      </c>
      <c r="T106" s="11"/>
      <c r="U106" s="11"/>
      <c r="V106" s="26">
        <f t="shared" si="20"/>
        <v>0</v>
      </c>
      <c r="W106" s="27">
        <f t="shared" si="21"/>
        <v>0</v>
      </c>
      <c r="X106" s="4">
        <v>1201</v>
      </c>
      <c r="Y106" s="4"/>
      <c r="Z106" s="4"/>
      <c r="AA106" s="12">
        <f t="shared" si="22"/>
        <v>0</v>
      </c>
      <c r="AC106" s="118" t="s">
        <v>422</v>
      </c>
      <c r="AD106" s="21" t="str">
        <f t="shared" si="25"/>
        <v>ч-410200</v>
      </c>
      <c r="AE106" s="80" t="str">
        <f t="shared" si="26"/>
        <v>ч</v>
      </c>
      <c r="AF106" s="21" t="str">
        <f t="shared" si="24"/>
        <v>Хувийн өмч</v>
      </c>
      <c r="AJ106" s="413"/>
      <c r="AK106" s="413"/>
      <c r="AL106" s="413"/>
      <c r="AM106" s="413"/>
    </row>
    <row r="107" spans="1:39" ht="12.75" customHeight="1">
      <c r="A107" s="24"/>
      <c r="B107" s="105">
        <f t="shared" si="23"/>
        <v>104</v>
      </c>
      <c r="C107" s="6">
        <v>311700</v>
      </c>
      <c r="D107" s="118" t="s">
        <v>967</v>
      </c>
      <c r="E107" s="9" t="s">
        <v>32</v>
      </c>
      <c r="F107" s="27"/>
      <c r="G107" s="27"/>
      <c r="H107" s="27">
        <v>0</v>
      </c>
      <c r="I107" s="27">
        <v>0</v>
      </c>
      <c r="J107" s="11">
        <f>+SUMIFS(JURNAL!G:G,JURNAL!E:E,C107,JURNAL!C:C,"&gt;="&amp;$H$1,JURNAL!C:C,"&lt;="&amp;$I$1)</f>
        <v>0</v>
      </c>
      <c r="K107" s="11">
        <f>+SUMIFS(JURNAL!H:H,JURNAL!E:E,C107,JURNAL!C:C,"&gt;="&amp;$H$1,JURNAL!C:C,"&lt;="&amp;$I$1)</f>
        <v>0</v>
      </c>
      <c r="L107" s="26">
        <f t="shared" si="16"/>
        <v>0</v>
      </c>
      <c r="M107" s="27">
        <f t="shared" si="17"/>
        <v>0</v>
      </c>
      <c r="N107" s="11"/>
      <c r="O107" s="334"/>
      <c r="P107" s="11"/>
      <c r="Q107" s="11"/>
      <c r="R107" s="26">
        <f t="shared" si="18"/>
        <v>0</v>
      </c>
      <c r="S107" s="27">
        <f t="shared" si="19"/>
        <v>0</v>
      </c>
      <c r="T107" s="11"/>
      <c r="U107" s="11"/>
      <c r="V107" s="26">
        <f t="shared" si="20"/>
        <v>0</v>
      </c>
      <c r="W107" s="27">
        <f t="shared" si="21"/>
        <v>0</v>
      </c>
      <c r="X107" s="4">
        <v>1201</v>
      </c>
      <c r="Y107" s="4"/>
      <c r="Z107" s="4"/>
      <c r="AA107" s="12">
        <f t="shared" si="22"/>
        <v>0</v>
      </c>
      <c r="AC107" s="118"/>
      <c r="AD107" s="231"/>
      <c r="AE107" s="80"/>
      <c r="AF107" s="231"/>
      <c r="AJ107" s="413"/>
      <c r="AK107" s="413"/>
      <c r="AL107" s="413"/>
      <c r="AM107" s="413"/>
    </row>
    <row r="108" spans="1:39" ht="12.75" customHeight="1">
      <c r="A108" s="24"/>
      <c r="B108" s="105">
        <f t="shared" si="23"/>
        <v>105</v>
      </c>
      <c r="C108" s="6">
        <v>310300</v>
      </c>
      <c r="D108" s="118" t="s">
        <v>532</v>
      </c>
      <c r="E108" s="9" t="s">
        <v>32</v>
      </c>
      <c r="F108" s="27"/>
      <c r="G108" s="27"/>
      <c r="H108" s="27">
        <v>0</v>
      </c>
      <c r="I108" s="27">
        <v>0</v>
      </c>
      <c r="J108" s="11">
        <f>+SUMIFS(JURNAL!G:G,JURNAL!E:E,C108,JURNAL!C:C,"&gt;="&amp;$H$1,JURNAL!C:C,"&lt;="&amp;$I$1)</f>
        <v>0</v>
      </c>
      <c r="K108" s="11">
        <f>+SUMIFS(JURNAL!H:H,JURNAL!E:E,C108,JURNAL!C:C,"&gt;="&amp;$H$1,JURNAL!C:C,"&lt;="&amp;$I$1)</f>
        <v>0</v>
      </c>
      <c r="L108" s="26">
        <f t="shared" si="16"/>
        <v>0</v>
      </c>
      <c r="M108" s="27">
        <f t="shared" si="17"/>
        <v>0</v>
      </c>
      <c r="N108" s="11"/>
      <c r="O108" s="334"/>
      <c r="P108" s="11"/>
      <c r="Q108" s="11"/>
      <c r="R108" s="26">
        <f t="shared" si="18"/>
        <v>0</v>
      </c>
      <c r="S108" s="27">
        <f t="shared" si="19"/>
        <v>0</v>
      </c>
      <c r="T108" s="11"/>
      <c r="U108" s="11"/>
      <c r="V108" s="26">
        <f t="shared" si="20"/>
        <v>0</v>
      </c>
      <c r="W108" s="27">
        <f t="shared" si="21"/>
        <v>0</v>
      </c>
      <c r="X108" s="4">
        <v>1207</v>
      </c>
      <c r="Y108" s="4"/>
      <c r="Z108" s="4"/>
      <c r="AA108" s="12">
        <f t="shared" si="22"/>
        <v>0</v>
      </c>
      <c r="AC108" s="118" t="s">
        <v>423</v>
      </c>
      <c r="AD108" s="21" t="str">
        <f t="shared" si="25"/>
        <v>ц-420100</v>
      </c>
      <c r="AE108" s="80" t="str">
        <f t="shared" si="26"/>
        <v>ц</v>
      </c>
      <c r="AF108" s="21" t="str">
        <f t="shared" si="24"/>
        <v>Дахин үнэлгээний нөөц</v>
      </c>
      <c r="AJ108" s="413"/>
      <c r="AK108" s="413"/>
      <c r="AL108" s="413"/>
      <c r="AM108" s="413"/>
    </row>
    <row r="109" spans="1:39" ht="12.75" customHeight="1">
      <c r="A109" s="24"/>
      <c r="B109" s="105">
        <f t="shared" si="23"/>
        <v>106</v>
      </c>
      <c r="C109" s="6">
        <v>310400</v>
      </c>
      <c r="D109" s="118" t="s">
        <v>539</v>
      </c>
      <c r="E109" s="9" t="s">
        <v>32</v>
      </c>
      <c r="F109" s="27"/>
      <c r="G109" s="27"/>
      <c r="H109" s="27">
        <v>0</v>
      </c>
      <c r="I109" s="27">
        <v>79882059.000000015</v>
      </c>
      <c r="J109" s="11">
        <f>+SUMIFS(JURNAL!G:G,JURNAL!E:E,C109,JURNAL!C:C,"&gt;="&amp;$H$1,JURNAL!C:C,"&lt;="&amp;$I$1)</f>
        <v>13152902</v>
      </c>
      <c r="K109" s="11">
        <f>+SUMIFS(JURNAL!H:H,JURNAL!E:E,C109,JURNAL!C:C,"&gt;="&amp;$H$1,JURNAL!C:C,"&lt;="&amp;$I$1)</f>
        <v>0</v>
      </c>
      <c r="L109" s="26">
        <f t="shared" si="16"/>
        <v>0</v>
      </c>
      <c r="M109" s="27">
        <f t="shared" si="17"/>
        <v>66729157.000000015</v>
      </c>
      <c r="N109" s="11"/>
      <c r="O109" s="334"/>
      <c r="P109" s="11"/>
      <c r="Q109" s="11"/>
      <c r="R109" s="26">
        <f t="shared" si="18"/>
        <v>0</v>
      </c>
      <c r="S109" s="27">
        <f t="shared" si="19"/>
        <v>66729157.000000015</v>
      </c>
      <c r="T109" s="11"/>
      <c r="U109" s="11"/>
      <c r="V109" s="26">
        <f t="shared" si="20"/>
        <v>0</v>
      </c>
      <c r="W109" s="27">
        <f t="shared" si="21"/>
        <v>66729157.000000015</v>
      </c>
      <c r="X109" s="4">
        <v>1205</v>
      </c>
      <c r="Y109" s="4"/>
      <c r="Z109" s="4"/>
      <c r="AA109" s="12">
        <f t="shared" si="22"/>
        <v>1</v>
      </c>
      <c r="AC109" s="118" t="s">
        <v>424</v>
      </c>
      <c r="AD109" s="21" t="str">
        <f t="shared" si="25"/>
        <v>ц-420200</v>
      </c>
      <c r="AE109" s="80" t="str">
        <f t="shared" si="26"/>
        <v>ц</v>
      </c>
      <c r="AF109" s="21" t="str">
        <f t="shared" si="24"/>
        <v>Гадаад валютын хөрвүүлэлтийн нөөц</v>
      </c>
      <c r="AJ109" s="413"/>
      <c r="AK109" s="413"/>
      <c r="AL109" s="413"/>
      <c r="AM109" s="413"/>
    </row>
    <row r="110" spans="1:39" ht="12.75" customHeight="1">
      <c r="A110" s="24"/>
      <c r="B110" s="105">
        <f t="shared" si="23"/>
        <v>107</v>
      </c>
      <c r="C110" s="6">
        <v>310401</v>
      </c>
      <c r="D110" s="118" t="s">
        <v>968</v>
      </c>
      <c r="E110" s="9" t="s">
        <v>30</v>
      </c>
      <c r="F110" s="27"/>
      <c r="G110" s="27"/>
      <c r="H110" s="27">
        <v>0</v>
      </c>
      <c r="I110" s="27">
        <v>0</v>
      </c>
      <c r="J110" s="11">
        <f>+SUMIFS(JURNAL!G:G,JURNAL!E:E,C110,JURNAL!C:C,"&gt;="&amp;$H$1,JURNAL!C:C,"&lt;="&amp;$I$1)</f>
        <v>0</v>
      </c>
      <c r="K110" s="11">
        <f>+SUMIFS(JURNAL!H:H,JURNAL!E:E,C110,JURNAL!C:C,"&gt;="&amp;$H$1,JURNAL!C:C,"&lt;="&amp;$I$1)</f>
        <v>0</v>
      </c>
      <c r="L110" s="26">
        <f t="shared" si="16"/>
        <v>0</v>
      </c>
      <c r="M110" s="27">
        <f t="shared" si="17"/>
        <v>0</v>
      </c>
      <c r="N110" s="11"/>
      <c r="O110" s="334"/>
      <c r="P110" s="11"/>
      <c r="Q110" s="11"/>
      <c r="R110" s="26">
        <f t="shared" si="18"/>
        <v>0</v>
      </c>
      <c r="S110" s="27">
        <f t="shared" si="19"/>
        <v>0</v>
      </c>
      <c r="T110" s="11"/>
      <c r="U110" s="11"/>
      <c r="V110" s="26">
        <f t="shared" si="20"/>
        <v>0</v>
      </c>
      <c r="W110" s="27">
        <f t="shared" si="21"/>
        <v>0</v>
      </c>
      <c r="X110" s="4">
        <v>1205</v>
      </c>
      <c r="Y110" s="4"/>
      <c r="Z110" s="4"/>
      <c r="AA110" s="12">
        <f t="shared" si="22"/>
        <v>0</v>
      </c>
      <c r="AC110" s="118" t="s">
        <v>425</v>
      </c>
      <c r="AD110" s="21" t="str">
        <f t="shared" si="25"/>
        <v>г-430300</v>
      </c>
      <c r="AE110" s="80" t="str">
        <f t="shared" si="26"/>
        <v>г</v>
      </c>
      <c r="AF110" s="21" t="str">
        <f t="shared" si="24"/>
        <v>Эзэмшигчдийн өмчийн бусад хэсэг</v>
      </c>
      <c r="AJ110" s="413"/>
      <c r="AK110" s="413"/>
      <c r="AL110" s="413"/>
      <c r="AM110" s="413"/>
    </row>
    <row r="111" spans="1:39" ht="12.75" customHeight="1">
      <c r="A111" s="24"/>
      <c r="B111" s="105">
        <f t="shared" si="23"/>
        <v>108</v>
      </c>
      <c r="C111" s="6">
        <v>310500</v>
      </c>
      <c r="D111" s="118" t="s">
        <v>546</v>
      </c>
      <c r="E111" s="9" t="s">
        <v>32</v>
      </c>
      <c r="F111" s="27"/>
      <c r="G111" s="27"/>
      <c r="H111" s="27">
        <v>0</v>
      </c>
      <c r="I111" s="27">
        <v>50666182.486447811</v>
      </c>
      <c r="J111" s="11">
        <f>+SUMIFS(JURNAL!G:G,JURNAL!E:E,C111,JURNAL!C:C,"&gt;="&amp;$H$1,JURNAL!C:C,"&lt;="&amp;$I$1)</f>
        <v>0</v>
      </c>
      <c r="K111" s="11">
        <f>+SUMIFS(JURNAL!H:H,JURNAL!E:E,C111,JURNAL!C:C,"&gt;="&amp;$H$1,JURNAL!C:C,"&lt;="&amp;$I$1)</f>
        <v>9628419.0892947745</v>
      </c>
      <c r="L111" s="26">
        <f t="shared" si="16"/>
        <v>0</v>
      </c>
      <c r="M111" s="27">
        <f t="shared" si="17"/>
        <v>60294601.575742587</v>
      </c>
      <c r="N111" s="11">
        <v>2585067.0366199999</v>
      </c>
      <c r="O111" s="334"/>
      <c r="P111" s="11"/>
      <c r="Q111" s="11"/>
      <c r="R111" s="26">
        <f t="shared" si="18"/>
        <v>0</v>
      </c>
      <c r="S111" s="27">
        <f t="shared" si="19"/>
        <v>57709534.539122589</v>
      </c>
      <c r="T111" s="11"/>
      <c r="U111" s="11"/>
      <c r="V111" s="26">
        <f t="shared" si="20"/>
        <v>0</v>
      </c>
      <c r="W111" s="27">
        <f t="shared" si="21"/>
        <v>57709534.539122589</v>
      </c>
      <c r="X111" s="4">
        <v>1203</v>
      </c>
      <c r="Y111" s="4"/>
      <c r="Z111" s="4"/>
      <c r="AA111" s="12">
        <f t="shared" si="22"/>
        <v>1</v>
      </c>
      <c r="AC111" s="118" t="s">
        <v>426</v>
      </c>
      <c r="AD111" s="21" t="str">
        <f t="shared" si="25"/>
        <v>л-440100</v>
      </c>
      <c r="AE111" s="80" t="str">
        <f t="shared" si="26"/>
        <v>л</v>
      </c>
      <c r="AF111" s="21" t="str">
        <f t="shared" si="24"/>
        <v>Өмнөх үеийн ашиг/алдагдал</v>
      </c>
      <c r="AJ111" s="413"/>
      <c r="AK111" s="413"/>
      <c r="AL111" s="413"/>
      <c r="AM111" s="413"/>
    </row>
    <row r="112" spans="1:39" ht="12.75" customHeight="1">
      <c r="A112" s="24"/>
      <c r="B112" s="105">
        <f t="shared" si="23"/>
        <v>109</v>
      </c>
      <c r="C112" s="6">
        <v>310600</v>
      </c>
      <c r="D112" s="118" t="s">
        <v>551</v>
      </c>
      <c r="E112" s="9" t="s">
        <v>32</v>
      </c>
      <c r="F112" s="27"/>
      <c r="G112" s="27"/>
      <c r="H112" s="27">
        <v>0</v>
      </c>
      <c r="I112" s="27">
        <v>10.391999999992549</v>
      </c>
      <c r="J112" s="11">
        <f>+SUMIFS(JURNAL!G:G,JURNAL!E:E,C112,JURNAL!C:C,"&gt;="&amp;$H$1,JURNAL!C:C,"&lt;="&amp;$I$1)</f>
        <v>0</v>
      </c>
      <c r="K112" s="11">
        <f>+SUMIFS(JURNAL!H:H,JURNAL!E:E,C112,JURNAL!C:C,"&gt;="&amp;$H$1,JURNAL!C:C,"&lt;="&amp;$I$1)</f>
        <v>0</v>
      </c>
      <c r="L112" s="26">
        <f t="shared" si="16"/>
        <v>0</v>
      </c>
      <c r="M112" s="27">
        <f t="shared" si="17"/>
        <v>10.391999999992549</v>
      </c>
      <c r="N112" s="11">
        <v>0</v>
      </c>
      <c r="O112" s="334"/>
      <c r="P112" s="11"/>
      <c r="Q112" s="11"/>
      <c r="R112" s="26">
        <f t="shared" si="18"/>
        <v>0</v>
      </c>
      <c r="S112" s="27">
        <f t="shared" si="19"/>
        <v>10.391999999992549</v>
      </c>
      <c r="T112" s="11"/>
      <c r="U112" s="11"/>
      <c r="V112" s="26">
        <f t="shared" si="20"/>
        <v>0</v>
      </c>
      <c r="W112" s="27">
        <f t="shared" si="21"/>
        <v>10.391999999992549</v>
      </c>
      <c r="X112" s="4">
        <v>1203</v>
      </c>
      <c r="Y112" s="4"/>
      <c r="Z112" s="4"/>
      <c r="AA112" s="12">
        <f t="shared" si="22"/>
        <v>1</v>
      </c>
      <c r="AC112" s="118" t="s">
        <v>427</v>
      </c>
      <c r="AD112" s="21" t="str">
        <f t="shared" si="25"/>
        <v>л-440200</v>
      </c>
      <c r="AE112" s="80" t="str">
        <f t="shared" si="26"/>
        <v>л</v>
      </c>
      <c r="AF112" s="21" t="str">
        <f t="shared" si="24"/>
        <v>Тайлант үеийн ашиг/алдагдал</v>
      </c>
      <c r="AJ112" s="413"/>
      <c r="AK112" s="413"/>
      <c r="AL112" s="413"/>
      <c r="AM112" s="413"/>
    </row>
    <row r="113" spans="1:39" ht="12.75" customHeight="1">
      <c r="A113" s="25"/>
      <c r="B113" s="105">
        <f t="shared" si="23"/>
        <v>110</v>
      </c>
      <c r="C113" s="6">
        <v>310700</v>
      </c>
      <c r="D113" s="118" t="s">
        <v>556</v>
      </c>
      <c r="E113" s="9" t="s">
        <v>32</v>
      </c>
      <c r="F113" s="27"/>
      <c r="G113" s="27"/>
      <c r="H113" s="27">
        <v>0</v>
      </c>
      <c r="I113" s="27">
        <v>0</v>
      </c>
      <c r="J113" s="11">
        <f>+SUMIFS(JURNAL!G:G,JURNAL!E:E,C113,JURNAL!C:C,"&gt;="&amp;$H$1,JURNAL!C:C,"&lt;="&amp;$I$1)</f>
        <v>0</v>
      </c>
      <c r="K113" s="11">
        <f>+SUMIFS(JURNAL!H:H,JURNAL!E:E,C113,JURNAL!C:C,"&gt;="&amp;$H$1,JURNAL!C:C,"&lt;="&amp;$I$1)</f>
        <v>2402423.2060606061</v>
      </c>
      <c r="L113" s="26">
        <f t="shared" si="16"/>
        <v>0</v>
      </c>
      <c r="M113" s="27">
        <f t="shared" si="17"/>
        <v>2402423.2060606061</v>
      </c>
      <c r="N113" s="11">
        <v>194165.4299999997</v>
      </c>
      <c r="O113" s="334"/>
      <c r="P113" s="11"/>
      <c r="Q113" s="11"/>
      <c r="R113" s="26">
        <f t="shared" si="18"/>
        <v>0</v>
      </c>
      <c r="S113" s="27">
        <f t="shared" si="19"/>
        <v>2208257.7760606064</v>
      </c>
      <c r="T113" s="11"/>
      <c r="U113" s="11"/>
      <c r="V113" s="26">
        <f t="shared" si="20"/>
        <v>0</v>
      </c>
      <c r="W113" s="27">
        <f t="shared" si="21"/>
        <v>2208257.7760606064</v>
      </c>
      <c r="X113" s="4">
        <v>1203</v>
      </c>
      <c r="Y113" s="4"/>
      <c r="Z113" s="4"/>
      <c r="AA113" s="12">
        <f t="shared" si="22"/>
        <v>1</v>
      </c>
      <c r="AC113" s="136"/>
      <c r="AD113" s="21" t="str">
        <f t="shared" si="25"/>
        <v/>
      </c>
      <c r="AE113" s="80" t="str">
        <f t="shared" si="26"/>
        <v/>
      </c>
      <c r="AF113" s="21" t="str">
        <f t="shared" si="24"/>
        <v/>
      </c>
      <c r="AJ113" s="413"/>
      <c r="AK113" s="413"/>
      <c r="AL113" s="413"/>
      <c r="AM113" s="413"/>
    </row>
    <row r="114" spans="1:39" ht="12.75" customHeight="1">
      <c r="A114" s="24"/>
      <c r="B114" s="105">
        <f t="shared" si="23"/>
        <v>111</v>
      </c>
      <c r="C114" s="6">
        <v>310800</v>
      </c>
      <c r="D114" s="118" t="s">
        <v>561</v>
      </c>
      <c r="E114" s="9" t="s">
        <v>32</v>
      </c>
      <c r="F114" s="27"/>
      <c r="G114" s="27"/>
      <c r="H114" s="27">
        <v>0</v>
      </c>
      <c r="I114" s="27">
        <v>0</v>
      </c>
      <c r="J114" s="11">
        <f>+SUMIFS(JURNAL!G:G,JURNAL!E:E,C114,JURNAL!C:C,"&gt;="&amp;$H$1,JURNAL!C:C,"&lt;="&amp;$I$1)</f>
        <v>0</v>
      </c>
      <c r="K114" s="11">
        <f>+SUMIFS(JURNAL!H:H,JURNAL!E:E,C114,JURNAL!C:C,"&gt;="&amp;$H$1,JURNAL!C:C,"&lt;="&amp;$I$1)</f>
        <v>6861454.9666666668</v>
      </c>
      <c r="L114" s="26">
        <f t="shared" si="16"/>
        <v>0</v>
      </c>
      <c r="M114" s="27">
        <f t="shared" si="17"/>
        <v>6861454.9666666668</v>
      </c>
      <c r="N114" s="11">
        <v>3391433.6999999993</v>
      </c>
      <c r="O114" s="334"/>
      <c r="P114" s="11"/>
      <c r="Q114" s="11"/>
      <c r="R114" s="26">
        <f t="shared" si="18"/>
        <v>0</v>
      </c>
      <c r="S114" s="27">
        <f t="shared" si="19"/>
        <v>3470021.2666666675</v>
      </c>
      <c r="T114" s="11"/>
      <c r="U114" s="11"/>
      <c r="V114" s="26">
        <f t="shared" si="20"/>
        <v>0</v>
      </c>
      <c r="W114" s="27">
        <f t="shared" si="21"/>
        <v>3470021.2666666675</v>
      </c>
      <c r="X114" s="4">
        <v>1204</v>
      </c>
      <c r="Y114" s="4"/>
      <c r="Z114" s="4"/>
      <c r="AA114" s="12">
        <f t="shared" si="22"/>
        <v>1</v>
      </c>
      <c r="AC114" s="6" t="s">
        <v>428</v>
      </c>
      <c r="AD114" s="21" t="str">
        <f t="shared" si="25"/>
        <v>т-510000</v>
      </c>
      <c r="AE114" s="80" t="str">
        <f t="shared" si="26"/>
        <v>т</v>
      </c>
      <c r="AF114" s="21" t="str">
        <f>+SUBSTITUTE(AC114,AD114,AE114)</f>
        <v>Үндсэн үйл ажиллагааны борлуулалт</v>
      </c>
      <c r="AJ114" s="413"/>
      <c r="AK114" s="413"/>
      <c r="AL114" s="413"/>
      <c r="AM114" s="413"/>
    </row>
    <row r="115" spans="1:39" ht="12.75" customHeight="1">
      <c r="A115" s="24"/>
      <c r="B115" s="105">
        <f t="shared" si="23"/>
        <v>112</v>
      </c>
      <c r="C115" s="6">
        <v>310900</v>
      </c>
      <c r="D115" s="118" t="s">
        <v>566</v>
      </c>
      <c r="E115" s="9" t="s">
        <v>32</v>
      </c>
      <c r="F115" s="27"/>
      <c r="G115" s="27"/>
      <c r="H115" s="27">
        <v>0</v>
      </c>
      <c r="I115" s="27">
        <v>0</v>
      </c>
      <c r="J115" s="11">
        <f>+SUMIFS(JURNAL!G:G,JURNAL!E:E,C115,JURNAL!C:C,"&gt;="&amp;$H$1,JURNAL!C:C,"&lt;="&amp;$I$1)</f>
        <v>0</v>
      </c>
      <c r="K115" s="11">
        <f>+SUMIFS(JURNAL!H:H,JURNAL!E:E,C115,JURNAL!C:C,"&gt;="&amp;$H$1,JURNAL!C:C,"&lt;="&amp;$I$1)</f>
        <v>0</v>
      </c>
      <c r="L115" s="26">
        <f t="shared" si="16"/>
        <v>0</v>
      </c>
      <c r="M115" s="27">
        <f t="shared" si="17"/>
        <v>0</v>
      </c>
      <c r="N115" s="11"/>
      <c r="O115" s="334"/>
      <c r="P115" s="11"/>
      <c r="Q115" s="11"/>
      <c r="R115" s="26">
        <f t="shared" si="18"/>
        <v>0</v>
      </c>
      <c r="S115" s="27">
        <f t="shared" si="19"/>
        <v>0</v>
      </c>
      <c r="T115" s="11"/>
      <c r="U115" s="11"/>
      <c r="V115" s="26">
        <f t="shared" si="20"/>
        <v>0</v>
      </c>
      <c r="W115" s="27">
        <f t="shared" si="21"/>
        <v>0</v>
      </c>
      <c r="X115" s="4">
        <v>1203</v>
      </c>
      <c r="Y115" s="4"/>
      <c r="Z115" s="4"/>
      <c r="AA115" s="12">
        <f t="shared" si="22"/>
        <v>0</v>
      </c>
      <c r="AB115" s="84"/>
      <c r="AC115" s="6" t="s">
        <v>429</v>
      </c>
      <c r="AD115" s="21" t="str">
        <f t="shared" si="25"/>
        <v>о-510100</v>
      </c>
      <c r="AE115" s="80" t="str">
        <f t="shared" si="26"/>
        <v>о</v>
      </c>
      <c r="AF115" s="21" t="str">
        <f t="shared" si="24"/>
        <v>Үзүүлсэн ажил үйлчилгээний орлого</v>
      </c>
      <c r="AJ115" s="413"/>
      <c r="AK115" s="413"/>
      <c r="AL115" s="413"/>
      <c r="AM115" s="413"/>
    </row>
    <row r="116" spans="1:39" ht="12.75" customHeight="1">
      <c r="A116" s="24"/>
      <c r="B116" s="105">
        <f t="shared" si="23"/>
        <v>113</v>
      </c>
      <c r="C116" s="6">
        <v>311000</v>
      </c>
      <c r="D116" s="118" t="s">
        <v>571</v>
      </c>
      <c r="E116" s="9" t="s">
        <v>32</v>
      </c>
      <c r="F116" s="27"/>
      <c r="G116" s="27"/>
      <c r="H116" s="27">
        <v>0</v>
      </c>
      <c r="I116" s="27">
        <v>0</v>
      </c>
      <c r="J116" s="11">
        <f>+SUMIFS(JURNAL!G:G,JURNAL!E:E,C116,JURNAL!C:C,"&gt;="&amp;$H$1,JURNAL!C:C,"&lt;="&amp;$I$1)</f>
        <v>25471808.854545452</v>
      </c>
      <c r="K116" s="11">
        <f>+SUMIFS(JURNAL!H:H,JURNAL!E:E,C116,JURNAL!C:C,"&gt;="&amp;$H$1,JURNAL!C:C,"&lt;="&amp;$I$1)</f>
        <v>25471808.854545452</v>
      </c>
      <c r="L116" s="26">
        <f t="shared" si="16"/>
        <v>0</v>
      </c>
      <c r="M116" s="27">
        <f t="shared" si="17"/>
        <v>0</v>
      </c>
      <c r="N116" s="11"/>
      <c r="O116" s="334"/>
      <c r="P116" s="11"/>
      <c r="Q116" s="11"/>
      <c r="R116" s="26">
        <f t="shared" si="18"/>
        <v>0</v>
      </c>
      <c r="S116" s="27">
        <f t="shared" si="19"/>
        <v>0</v>
      </c>
      <c r="T116" s="11"/>
      <c r="U116" s="11"/>
      <c r="V116" s="26">
        <f t="shared" si="20"/>
        <v>0</v>
      </c>
      <c r="W116" s="27">
        <f t="shared" si="21"/>
        <v>0</v>
      </c>
      <c r="X116" s="4">
        <v>1202</v>
      </c>
      <c r="Y116" s="4"/>
      <c r="Z116" s="4"/>
      <c r="AA116" s="12">
        <f t="shared" si="22"/>
        <v>1</v>
      </c>
      <c r="AC116" s="6" t="s">
        <v>430</v>
      </c>
      <c r="AD116" s="21" t="str">
        <f t="shared" si="25"/>
        <v>т-510200</v>
      </c>
      <c r="AE116" s="80" t="str">
        <f t="shared" si="26"/>
        <v>т</v>
      </c>
      <c r="AF116" s="21" t="str">
        <f t="shared" si="24"/>
        <v>Борлуулалтын хорогдол, буцаалт</v>
      </c>
      <c r="AJ116" s="413"/>
      <c r="AK116" s="413"/>
      <c r="AL116" s="413"/>
      <c r="AM116" s="413"/>
    </row>
    <row r="117" spans="1:39" ht="12.75" customHeight="1">
      <c r="A117" s="24"/>
      <c r="B117" s="105">
        <f t="shared" si="23"/>
        <v>114</v>
      </c>
      <c r="C117" s="6">
        <v>311100</v>
      </c>
      <c r="D117" s="118" t="s">
        <v>576</v>
      </c>
      <c r="E117" s="9" t="s">
        <v>32</v>
      </c>
      <c r="F117" s="27"/>
      <c r="G117" s="27"/>
      <c r="H117" s="27">
        <v>0</v>
      </c>
      <c r="I117" s="27">
        <v>106705368</v>
      </c>
      <c r="J117" s="11">
        <f>+SUMIFS(JURNAL!G:G,JURNAL!E:E,C117,JURNAL!C:C,"&gt;="&amp;$H$1,JURNAL!C:C,"&lt;="&amp;$I$1)</f>
        <v>8349468</v>
      </c>
      <c r="K117" s="11">
        <f>+SUMIFS(JURNAL!H:H,JURNAL!E:E,C117,JURNAL!C:C,"&gt;="&amp;$H$1,JURNAL!C:C,"&lt;="&amp;$I$1)</f>
        <v>0</v>
      </c>
      <c r="L117" s="26">
        <f t="shared" si="16"/>
        <v>0</v>
      </c>
      <c r="M117" s="27">
        <f t="shared" si="17"/>
        <v>98355900</v>
      </c>
      <c r="N117" s="11"/>
      <c r="O117" s="334"/>
      <c r="P117" s="11"/>
      <c r="Q117" s="11"/>
      <c r="R117" s="26">
        <f t="shared" si="18"/>
        <v>0</v>
      </c>
      <c r="S117" s="27">
        <f t="shared" si="19"/>
        <v>98355900</v>
      </c>
      <c r="T117" s="11"/>
      <c r="U117" s="11"/>
      <c r="V117" s="26">
        <f t="shared" si="20"/>
        <v>0</v>
      </c>
      <c r="W117" s="27">
        <f t="shared" si="21"/>
        <v>98355900</v>
      </c>
      <c r="X117" s="4">
        <v>1210</v>
      </c>
      <c r="Y117" s="4"/>
      <c r="Z117" s="4"/>
      <c r="AA117" s="12">
        <f t="shared" si="22"/>
        <v>1</v>
      </c>
      <c r="AC117" s="6" t="s">
        <v>431</v>
      </c>
      <c r="AD117" s="21" t="str">
        <f t="shared" si="25"/>
        <v>т-510300</v>
      </c>
      <c r="AE117" s="80" t="str">
        <f t="shared" si="26"/>
        <v>т</v>
      </c>
      <c r="AF117" s="21" t="str">
        <f t="shared" si="24"/>
        <v>Борлуулалтын хөнгөлөлт</v>
      </c>
      <c r="AJ117" s="413"/>
      <c r="AK117" s="413"/>
      <c r="AL117" s="413"/>
      <c r="AM117" s="413"/>
    </row>
    <row r="118" spans="1:39" ht="12.75" customHeight="1">
      <c r="A118" s="24"/>
      <c r="B118" s="105">
        <f t="shared" si="23"/>
        <v>115</v>
      </c>
      <c r="C118" s="6">
        <v>311200</v>
      </c>
      <c r="D118" s="118" t="s">
        <v>581</v>
      </c>
      <c r="E118" s="9" t="s">
        <v>32</v>
      </c>
      <c r="F118" s="27"/>
      <c r="G118" s="27"/>
      <c r="H118" s="27">
        <v>0</v>
      </c>
      <c r="I118" s="27">
        <v>0</v>
      </c>
      <c r="J118" s="11">
        <f>+SUMIFS(JURNAL!G:G,JURNAL!E:E,C118,JURNAL!C:C,"&gt;="&amp;$H$1,JURNAL!C:C,"&lt;="&amp;$I$1)</f>
        <v>0</v>
      </c>
      <c r="K118" s="11">
        <f>+SUMIFS(JURNAL!H:H,JURNAL!E:E,C118,JURNAL!C:C,"&gt;="&amp;$H$1,JURNAL!C:C,"&lt;="&amp;$I$1)</f>
        <v>0</v>
      </c>
      <c r="L118" s="26">
        <f t="shared" si="16"/>
        <v>0</v>
      </c>
      <c r="M118" s="27">
        <f t="shared" si="17"/>
        <v>0</v>
      </c>
      <c r="N118" s="11"/>
      <c r="O118" s="334"/>
      <c r="P118" s="11"/>
      <c r="Q118" s="11"/>
      <c r="R118" s="26">
        <f t="shared" si="18"/>
        <v>0</v>
      </c>
      <c r="S118" s="27">
        <f t="shared" si="19"/>
        <v>0</v>
      </c>
      <c r="T118" s="11"/>
      <c r="U118" s="11"/>
      <c r="V118" s="26">
        <f t="shared" si="20"/>
        <v>0</v>
      </c>
      <c r="W118" s="27">
        <f t="shared" si="21"/>
        <v>0</v>
      </c>
      <c r="X118" s="4">
        <v>1201</v>
      </c>
      <c r="Y118" s="4"/>
      <c r="Z118" s="4"/>
      <c r="AA118" s="12">
        <f t="shared" si="22"/>
        <v>0</v>
      </c>
      <c r="AC118" s="6" t="s">
        <v>432</v>
      </c>
      <c r="AD118" s="21" t="str">
        <f t="shared" si="25"/>
        <v>т-510400</v>
      </c>
      <c r="AE118" s="80" t="str">
        <f t="shared" si="26"/>
        <v>т</v>
      </c>
      <c r="AF118" s="21" t="str">
        <f t="shared" si="24"/>
        <v>Бусад борлуулалт</v>
      </c>
      <c r="AJ118" s="413"/>
      <c r="AK118" s="413"/>
      <c r="AL118" s="413"/>
      <c r="AM118" s="413"/>
    </row>
    <row r="119" spans="1:39" ht="12.75" customHeight="1">
      <c r="A119" s="24"/>
      <c r="B119" s="105">
        <f t="shared" si="23"/>
        <v>116</v>
      </c>
      <c r="C119" s="6">
        <v>311300</v>
      </c>
      <c r="D119" s="118" t="s">
        <v>586</v>
      </c>
      <c r="E119" s="9" t="s">
        <v>32</v>
      </c>
      <c r="F119" s="27"/>
      <c r="G119" s="27"/>
      <c r="H119" s="27">
        <v>0</v>
      </c>
      <c r="I119" s="27">
        <v>0</v>
      </c>
      <c r="J119" s="11">
        <f>+SUMIFS(JURNAL!G:G,JURNAL!E:E,C119,JURNAL!C:C,"&gt;="&amp;$H$1,JURNAL!C:C,"&lt;="&amp;$I$1)</f>
        <v>0</v>
      </c>
      <c r="K119" s="11">
        <f>+SUMIFS(JURNAL!H:H,JURNAL!E:E,C119,JURNAL!C:C,"&gt;="&amp;$H$1,JURNAL!C:C,"&lt;="&amp;$I$1)</f>
        <v>0</v>
      </c>
      <c r="L119" s="26">
        <f t="shared" si="16"/>
        <v>0</v>
      </c>
      <c r="M119" s="27">
        <f t="shared" si="17"/>
        <v>0</v>
      </c>
      <c r="N119" s="11"/>
      <c r="O119" s="334"/>
      <c r="P119" s="11"/>
      <c r="Q119" s="11"/>
      <c r="R119" s="26">
        <f t="shared" si="18"/>
        <v>0</v>
      </c>
      <c r="S119" s="27">
        <f t="shared" si="19"/>
        <v>0</v>
      </c>
      <c r="T119" s="11"/>
      <c r="U119" s="11"/>
      <c r="V119" s="26">
        <f t="shared" si="20"/>
        <v>0</v>
      </c>
      <c r="W119" s="27">
        <f t="shared" si="21"/>
        <v>0</v>
      </c>
      <c r="X119" s="4">
        <v>1201</v>
      </c>
      <c r="Y119" s="4"/>
      <c r="Z119" s="4"/>
      <c r="AA119" s="12">
        <f t="shared" si="22"/>
        <v>0</v>
      </c>
      <c r="AC119" s="6" t="s">
        <v>433</v>
      </c>
      <c r="AD119" s="21" t="str">
        <f t="shared" si="25"/>
        <v>о-511000</v>
      </c>
      <c r="AE119" s="80" t="str">
        <f t="shared" si="26"/>
        <v>о</v>
      </c>
      <c r="AF119" s="21" t="str">
        <f t="shared" si="24"/>
        <v>Үл хөдлөх хөрөнгө борлуулсны орлого</v>
      </c>
      <c r="AJ119" s="413"/>
      <c r="AK119" s="413"/>
      <c r="AL119" s="413"/>
      <c r="AM119" s="413"/>
    </row>
    <row r="120" spans="1:39" ht="12.75" customHeight="1">
      <c r="A120" s="24"/>
      <c r="B120" s="105">
        <f t="shared" si="23"/>
        <v>117</v>
      </c>
      <c r="C120" s="6">
        <v>311301</v>
      </c>
      <c r="D120" s="118" t="s">
        <v>969</v>
      </c>
      <c r="E120" s="9" t="s">
        <v>30</v>
      </c>
      <c r="F120" s="27"/>
      <c r="G120" s="27"/>
      <c r="H120" s="27">
        <v>0</v>
      </c>
      <c r="I120" s="27">
        <v>0</v>
      </c>
      <c r="J120" s="11">
        <f>+SUMIFS(JURNAL!G:G,JURNAL!E:E,C120,JURNAL!C:C,"&gt;="&amp;$H$1,JURNAL!C:C,"&lt;="&amp;$I$1)</f>
        <v>0</v>
      </c>
      <c r="K120" s="11">
        <f>+SUMIFS(JURNAL!H:H,JURNAL!E:E,C120,JURNAL!C:C,"&gt;="&amp;$H$1,JURNAL!C:C,"&lt;="&amp;$I$1)</f>
        <v>0</v>
      </c>
      <c r="L120" s="26">
        <f t="shared" si="16"/>
        <v>0</v>
      </c>
      <c r="M120" s="27">
        <f t="shared" si="17"/>
        <v>0</v>
      </c>
      <c r="N120" s="11"/>
      <c r="O120" s="334"/>
      <c r="P120" s="11"/>
      <c r="Q120" s="11"/>
      <c r="R120" s="26">
        <f t="shared" si="18"/>
        <v>0</v>
      </c>
      <c r="S120" s="27">
        <f t="shared" si="19"/>
        <v>0</v>
      </c>
      <c r="T120" s="11"/>
      <c r="U120" s="11"/>
      <c r="V120" s="26">
        <f t="shared" si="20"/>
        <v>0</v>
      </c>
      <c r="W120" s="27">
        <f t="shared" si="21"/>
        <v>0</v>
      </c>
      <c r="X120" s="4">
        <v>1201</v>
      </c>
      <c r="Y120" s="4"/>
      <c r="Z120" s="4"/>
      <c r="AA120" s="12">
        <f t="shared" si="22"/>
        <v>0</v>
      </c>
      <c r="AC120" s="6" t="s">
        <v>434</v>
      </c>
      <c r="AD120" s="21" t="str">
        <f t="shared" si="25"/>
        <v>о-511100</v>
      </c>
      <c r="AE120" s="80" t="str">
        <f t="shared" si="26"/>
        <v>о</v>
      </c>
      <c r="AF120" s="21" t="str">
        <f t="shared" si="24"/>
        <v>Хөдлөх хөрөнгө борлуулсны орлого</v>
      </c>
      <c r="AJ120" s="413"/>
      <c r="AK120" s="413"/>
      <c r="AL120" s="413"/>
      <c r="AM120" s="413"/>
    </row>
    <row r="121" spans="1:39" ht="12.75" customHeight="1">
      <c r="A121" s="24"/>
      <c r="B121" s="105">
        <f t="shared" si="23"/>
        <v>118</v>
      </c>
      <c r="C121" s="6">
        <v>311400</v>
      </c>
      <c r="D121" s="118" t="s">
        <v>1000</v>
      </c>
      <c r="E121" s="9" t="s">
        <v>32</v>
      </c>
      <c r="F121" s="27"/>
      <c r="G121" s="27"/>
      <c r="H121" s="27">
        <v>0</v>
      </c>
      <c r="I121" s="27">
        <v>0</v>
      </c>
      <c r="J121" s="11">
        <f>+SUMIFS(JURNAL!G:G,JURNAL!E:E,C121,JURNAL!C:C,"&gt;="&amp;$H$1,JURNAL!C:C,"&lt;="&amp;$I$1)</f>
        <v>0</v>
      </c>
      <c r="K121" s="11">
        <f>+SUMIFS(JURNAL!H:H,JURNAL!E:E,C121,JURNAL!C:C,"&gt;="&amp;$H$1,JURNAL!C:C,"&lt;="&amp;$I$1)</f>
        <v>0</v>
      </c>
      <c r="L121" s="26">
        <f t="shared" si="16"/>
        <v>0</v>
      </c>
      <c r="M121" s="27">
        <f t="shared" si="17"/>
        <v>0</v>
      </c>
      <c r="N121" s="11"/>
      <c r="O121" s="334"/>
      <c r="P121" s="11"/>
      <c r="Q121" s="11"/>
      <c r="R121" s="26">
        <f t="shared" si="18"/>
        <v>0</v>
      </c>
      <c r="S121" s="27">
        <f t="shared" si="19"/>
        <v>0</v>
      </c>
      <c r="T121" s="11"/>
      <c r="U121" s="11"/>
      <c r="V121" s="26">
        <f t="shared" si="20"/>
        <v>0</v>
      </c>
      <c r="W121" s="27">
        <f t="shared" si="21"/>
        <v>0</v>
      </c>
      <c r="X121" s="4">
        <v>1210</v>
      </c>
      <c r="Y121" s="4"/>
      <c r="Z121" s="4"/>
      <c r="AA121" s="12">
        <f t="shared" si="22"/>
        <v>0</v>
      </c>
      <c r="AC121" s="6" t="s">
        <v>435</v>
      </c>
      <c r="AD121" s="21" t="str">
        <f t="shared" si="25"/>
        <v>о-511200</v>
      </c>
      <c r="AE121" s="80" t="str">
        <f t="shared" si="26"/>
        <v>о</v>
      </c>
      <c r="AF121" s="21" t="str">
        <f t="shared" si="24"/>
        <v>Хүүгийн орлого</v>
      </c>
      <c r="AJ121" s="413"/>
      <c r="AK121" s="413"/>
      <c r="AL121" s="413"/>
      <c r="AM121" s="413"/>
    </row>
    <row r="122" spans="1:39" ht="12.75" customHeight="1">
      <c r="A122" s="24"/>
      <c r="B122" s="105">
        <f t="shared" si="23"/>
        <v>119</v>
      </c>
      <c r="C122" s="6">
        <v>311401</v>
      </c>
      <c r="D122" s="118" t="s">
        <v>1001</v>
      </c>
      <c r="E122" s="9" t="s">
        <v>30</v>
      </c>
      <c r="F122" s="27"/>
      <c r="G122" s="27"/>
      <c r="H122" s="27">
        <v>0</v>
      </c>
      <c r="I122" s="27">
        <v>0</v>
      </c>
      <c r="J122" s="11">
        <f>+SUMIFS(JURNAL!G:G,JURNAL!E:E,C122,JURNAL!C:C,"&gt;="&amp;$H$1,JURNAL!C:C,"&lt;="&amp;$I$1)</f>
        <v>0</v>
      </c>
      <c r="K122" s="11">
        <f>+SUMIFS(JURNAL!H:H,JURNAL!E:E,C122,JURNAL!C:C,"&gt;="&amp;$H$1,JURNAL!C:C,"&lt;="&amp;$I$1)</f>
        <v>0</v>
      </c>
      <c r="L122" s="26">
        <f t="shared" si="16"/>
        <v>0</v>
      </c>
      <c r="M122" s="27">
        <f t="shared" si="17"/>
        <v>0</v>
      </c>
      <c r="N122" s="11"/>
      <c r="O122" s="334"/>
      <c r="P122" s="11"/>
      <c r="Q122" s="11"/>
      <c r="R122" s="26">
        <f t="shared" si="18"/>
        <v>0</v>
      </c>
      <c r="S122" s="27">
        <f t="shared" si="19"/>
        <v>0</v>
      </c>
      <c r="T122" s="11"/>
      <c r="U122" s="11"/>
      <c r="V122" s="26">
        <f t="shared" si="20"/>
        <v>0</v>
      </c>
      <c r="W122" s="27">
        <f t="shared" si="21"/>
        <v>0</v>
      </c>
      <c r="X122" s="4">
        <v>1210</v>
      </c>
      <c r="Y122" s="4"/>
      <c r="Z122" s="4"/>
      <c r="AA122" s="12">
        <f t="shared" si="22"/>
        <v>0</v>
      </c>
      <c r="AC122" s="6" t="s">
        <v>436</v>
      </c>
      <c r="AD122" s="21" t="str">
        <f t="shared" si="25"/>
        <v>о-511300</v>
      </c>
      <c r="AE122" s="80" t="str">
        <f t="shared" si="26"/>
        <v>о</v>
      </c>
      <c r="AF122" s="21" t="str">
        <f t="shared" si="24"/>
        <v>Хөрөнгө түрээслүүлсний орлого</v>
      </c>
      <c r="AJ122" s="413"/>
      <c r="AK122" s="413"/>
      <c r="AL122" s="413"/>
      <c r="AM122" s="413"/>
    </row>
    <row r="123" spans="1:39" ht="12.75" customHeight="1">
      <c r="A123" s="24"/>
      <c r="B123" s="105">
        <f t="shared" si="23"/>
        <v>120</v>
      </c>
      <c r="C123" s="6">
        <v>311600</v>
      </c>
      <c r="D123" s="118" t="s">
        <v>594</v>
      </c>
      <c r="E123" s="9" t="s">
        <v>32</v>
      </c>
      <c r="F123" s="27"/>
      <c r="G123" s="27"/>
      <c r="H123" s="27">
        <v>0</v>
      </c>
      <c r="I123" s="27">
        <v>0</v>
      </c>
      <c r="J123" s="11">
        <f>+SUMIFS(JURNAL!G:G,JURNAL!E:E,C123,JURNAL!C:C,"&gt;="&amp;$H$1,JURNAL!C:C,"&lt;="&amp;$I$1)</f>
        <v>0</v>
      </c>
      <c r="K123" s="11">
        <f>+SUMIFS(JURNAL!H:H,JURNAL!E:E,C123,JURNAL!C:C,"&gt;="&amp;$H$1,JURNAL!C:C,"&lt;="&amp;$I$1)</f>
        <v>0</v>
      </c>
      <c r="L123" s="26">
        <f t="shared" si="16"/>
        <v>0</v>
      </c>
      <c r="M123" s="27">
        <f t="shared" si="17"/>
        <v>0</v>
      </c>
      <c r="N123" s="11"/>
      <c r="O123" s="334"/>
      <c r="P123" s="11"/>
      <c r="Q123" s="11"/>
      <c r="R123" s="26">
        <f t="shared" si="18"/>
        <v>0</v>
      </c>
      <c r="S123" s="27">
        <f t="shared" si="19"/>
        <v>0</v>
      </c>
      <c r="T123" s="11"/>
      <c r="U123" s="11"/>
      <c r="V123" s="26">
        <f t="shared" si="20"/>
        <v>0</v>
      </c>
      <c r="W123" s="27">
        <f t="shared" si="21"/>
        <v>0</v>
      </c>
      <c r="X123" s="4">
        <v>1208</v>
      </c>
      <c r="Y123" s="4"/>
      <c r="Z123" s="4"/>
      <c r="AA123" s="12">
        <f t="shared" si="22"/>
        <v>0</v>
      </c>
      <c r="AC123" s="6" t="s">
        <v>437</v>
      </c>
      <c r="AD123" s="21" t="str">
        <f t="shared" si="25"/>
        <v>о-511400</v>
      </c>
      <c r="AE123" s="80" t="str">
        <f t="shared" si="26"/>
        <v>о</v>
      </c>
      <c r="AF123" s="21" t="str">
        <f t="shared" si="24"/>
        <v>Ногдол ашгийн орлого</v>
      </c>
      <c r="AJ123" s="413"/>
      <c r="AK123" s="413"/>
      <c r="AL123" s="413"/>
      <c r="AM123" s="413"/>
    </row>
    <row r="124" spans="1:39" ht="12.75" customHeight="1">
      <c r="A124" s="24"/>
      <c r="B124" s="105">
        <f t="shared" si="23"/>
        <v>121</v>
      </c>
      <c r="C124" s="6">
        <v>312000</v>
      </c>
      <c r="D124" s="118" t="s">
        <v>599</v>
      </c>
      <c r="E124" s="9" t="s">
        <v>32</v>
      </c>
      <c r="F124" s="27"/>
      <c r="G124" s="27"/>
      <c r="H124" s="27">
        <v>0</v>
      </c>
      <c r="I124" s="27">
        <v>0</v>
      </c>
      <c r="J124" s="11">
        <f>+SUMIFS(JURNAL!G:G,JURNAL!E:E,C124,JURNAL!C:C,"&gt;="&amp;$H$1,JURNAL!C:C,"&lt;="&amp;$I$1)</f>
        <v>0</v>
      </c>
      <c r="K124" s="11">
        <f>+SUMIFS(JURNAL!H:H,JURNAL!E:E,C124,JURNAL!C:C,"&gt;="&amp;$H$1,JURNAL!C:C,"&lt;="&amp;$I$1)</f>
        <v>0</v>
      </c>
      <c r="L124" s="26">
        <f t="shared" si="16"/>
        <v>0</v>
      </c>
      <c r="M124" s="27">
        <f t="shared" si="17"/>
        <v>0</v>
      </c>
      <c r="N124" s="11"/>
      <c r="O124" s="334"/>
      <c r="P124" s="11"/>
      <c r="Q124" s="11"/>
      <c r="R124" s="26">
        <f t="shared" si="18"/>
        <v>0</v>
      </c>
      <c r="S124" s="27">
        <f t="shared" si="19"/>
        <v>0</v>
      </c>
      <c r="T124" s="11"/>
      <c r="U124" s="11"/>
      <c r="V124" s="26">
        <f t="shared" si="20"/>
        <v>0</v>
      </c>
      <c r="W124" s="27">
        <f t="shared" si="21"/>
        <v>0</v>
      </c>
      <c r="X124" s="4">
        <v>1210</v>
      </c>
      <c r="Y124" s="4"/>
      <c r="Z124" s="4"/>
      <c r="AA124" s="12">
        <f t="shared" si="22"/>
        <v>0</v>
      </c>
      <c r="AC124" s="6" t="s">
        <v>438</v>
      </c>
      <c r="AD124" s="21" t="str">
        <f t="shared" si="25"/>
        <v>о-511500</v>
      </c>
      <c r="AE124" s="80" t="str">
        <f t="shared" si="26"/>
        <v>о</v>
      </c>
      <c r="AF124" s="21" t="str">
        <f t="shared" si="24"/>
        <v>Эрхийн шимтгэлийн орлого</v>
      </c>
      <c r="AJ124" s="413"/>
      <c r="AK124" s="413"/>
      <c r="AL124" s="413"/>
      <c r="AM124" s="413"/>
    </row>
    <row r="125" spans="1:39" ht="12.75" customHeight="1">
      <c r="A125" s="24"/>
      <c r="B125" s="105">
        <f t="shared" si="23"/>
        <v>122</v>
      </c>
      <c r="C125" s="6">
        <v>320100</v>
      </c>
      <c r="D125" s="118" t="s">
        <v>604</v>
      </c>
      <c r="E125" s="9" t="s">
        <v>32</v>
      </c>
      <c r="F125" s="27"/>
      <c r="G125" s="27"/>
      <c r="H125" s="27">
        <v>0</v>
      </c>
      <c r="I125" s="27">
        <f>115573225+11265736.0357834</f>
        <v>126838961.0357834</v>
      </c>
      <c r="J125" s="11">
        <f>+SUMIFS(JURNAL!G:G,JURNAL!E:E,C125,JURNAL!C:C,"&gt;="&amp;$H$1,JURNAL!C:C,"&lt;="&amp;$I$1)</f>
        <v>105912609.98666491</v>
      </c>
      <c r="K125" s="11">
        <f>+SUMIFS(JURNAL!H:H,JURNAL!E:E,C125,JURNAL!C:C,"&gt;="&amp;$H$1,JURNAL!C:C,"&lt;="&amp;$I$1)</f>
        <v>97221373</v>
      </c>
      <c r="L125" s="26">
        <f t="shared" si="16"/>
        <v>0</v>
      </c>
      <c r="M125" s="27">
        <f t="shared" si="17"/>
        <v>118147724.0491185</v>
      </c>
      <c r="N125" s="11"/>
      <c r="O125" s="334"/>
      <c r="P125" s="11"/>
      <c r="Q125" s="11"/>
      <c r="R125" s="26">
        <f t="shared" si="18"/>
        <v>0</v>
      </c>
      <c r="S125" s="27">
        <f t="shared" si="19"/>
        <v>118147724.0491185</v>
      </c>
      <c r="T125" s="11"/>
      <c r="U125" s="11"/>
      <c r="V125" s="26">
        <f t="shared" si="20"/>
        <v>0</v>
      </c>
      <c r="W125" s="27">
        <f t="shared" si="21"/>
        <v>118147724.0491185</v>
      </c>
      <c r="X125" s="4">
        <v>1211</v>
      </c>
      <c r="Y125" s="4"/>
      <c r="Z125" s="4"/>
      <c r="AA125" s="12">
        <f t="shared" si="22"/>
        <v>1</v>
      </c>
      <c r="AC125" s="6" t="s">
        <v>439</v>
      </c>
      <c r="AD125" s="21" t="str">
        <f t="shared" si="25"/>
        <v>г-610100</v>
      </c>
      <c r="AE125" s="80" t="str">
        <f t="shared" si="26"/>
        <v>г</v>
      </c>
      <c r="AF125" s="21" t="str">
        <f t="shared" si="24"/>
        <v>Борлуулсан барааны өртөг</v>
      </c>
      <c r="AJ125" s="413"/>
      <c r="AK125" s="413"/>
      <c r="AL125" s="413"/>
      <c r="AM125" s="413"/>
    </row>
    <row r="126" spans="1:39" ht="12.75" customHeight="1">
      <c r="A126" s="24"/>
      <c r="B126" s="105">
        <f t="shared" si="23"/>
        <v>123</v>
      </c>
      <c r="C126" s="6">
        <v>320101</v>
      </c>
      <c r="D126" s="118" t="s">
        <v>970</v>
      </c>
      <c r="E126" s="9" t="s">
        <v>30</v>
      </c>
      <c r="F126" s="27"/>
      <c r="G126" s="27"/>
      <c r="H126" s="27">
        <v>0</v>
      </c>
      <c r="I126" s="27">
        <v>0</v>
      </c>
      <c r="J126" s="11">
        <f>+SUMIFS(JURNAL!G:G,JURNAL!E:E,C126,JURNAL!C:C,"&gt;="&amp;$H$1,JURNAL!C:C,"&lt;="&amp;$I$1)</f>
        <v>0</v>
      </c>
      <c r="K126" s="11">
        <f>+SUMIFS(JURNAL!H:H,JURNAL!E:E,C126,JURNAL!C:C,"&gt;="&amp;$H$1,JURNAL!C:C,"&lt;="&amp;$I$1)</f>
        <v>0</v>
      </c>
      <c r="L126" s="26">
        <f t="shared" si="16"/>
        <v>0</v>
      </c>
      <c r="M126" s="27">
        <f t="shared" si="17"/>
        <v>0</v>
      </c>
      <c r="N126" s="11"/>
      <c r="O126" s="334"/>
      <c r="P126" s="11"/>
      <c r="Q126" s="11"/>
      <c r="R126" s="26">
        <f t="shared" si="18"/>
        <v>0</v>
      </c>
      <c r="S126" s="27">
        <f t="shared" si="19"/>
        <v>0</v>
      </c>
      <c r="T126" s="11"/>
      <c r="U126" s="11"/>
      <c r="V126" s="26">
        <f t="shared" si="20"/>
        <v>0</v>
      </c>
      <c r="W126" s="27">
        <f t="shared" si="21"/>
        <v>0</v>
      </c>
      <c r="X126" s="4">
        <v>1211</v>
      </c>
      <c r="Y126" s="4"/>
      <c r="Z126" s="4"/>
      <c r="AA126" s="12">
        <f t="shared" si="22"/>
        <v>0</v>
      </c>
      <c r="AC126" s="6" t="s">
        <v>440</v>
      </c>
      <c r="AD126" s="21" t="str">
        <f t="shared" si="25"/>
        <v>д-610101</v>
      </c>
      <c r="AE126" s="80" t="str">
        <f t="shared" si="26"/>
        <v>д</v>
      </c>
      <c r="AF126" s="21" t="str">
        <f t="shared" si="24"/>
        <v>Борлуулсан барааны өртөг - Бусад</v>
      </c>
      <c r="AJ126" s="413"/>
      <c r="AK126" s="413"/>
      <c r="AL126" s="413"/>
      <c r="AM126" s="413"/>
    </row>
    <row r="127" spans="1:39" ht="12.75" customHeight="1">
      <c r="A127" s="24"/>
      <c r="B127" s="105">
        <f t="shared" si="23"/>
        <v>124</v>
      </c>
      <c r="C127" s="6">
        <v>340100</v>
      </c>
      <c r="D127" s="118" t="s">
        <v>1694</v>
      </c>
      <c r="E127" s="9" t="s">
        <v>32</v>
      </c>
      <c r="F127" s="27"/>
      <c r="G127" s="27"/>
      <c r="H127" s="27">
        <v>0</v>
      </c>
      <c r="I127" s="27">
        <v>0</v>
      </c>
      <c r="J127" s="11">
        <f>+SUMIFS(JURNAL!G:G,JURNAL!E:E,C127,JURNAL!C:C,"&gt;="&amp;$H$1,JURNAL!C:C,"&lt;="&amp;$I$1)</f>
        <v>0</v>
      </c>
      <c r="K127" s="11">
        <f>+SUMIFS(JURNAL!H:H,JURNAL!E:E,C127,JURNAL!C:C,"&gt;="&amp;$H$1,JURNAL!C:C,"&lt;="&amp;$I$1)</f>
        <v>0</v>
      </c>
      <c r="L127" s="26">
        <f t="shared" si="16"/>
        <v>0</v>
      </c>
      <c r="M127" s="27">
        <f t="shared" si="17"/>
        <v>0</v>
      </c>
      <c r="N127" s="11"/>
      <c r="O127" s="334"/>
      <c r="P127" s="11"/>
      <c r="Q127" s="11"/>
      <c r="R127" s="26">
        <f t="shared" si="18"/>
        <v>0</v>
      </c>
      <c r="S127" s="27">
        <f t="shared" si="19"/>
        <v>0</v>
      </c>
      <c r="T127" s="11"/>
      <c r="U127" s="11"/>
      <c r="V127" s="26">
        <f t="shared" si="20"/>
        <v>0</v>
      </c>
      <c r="W127" s="27">
        <f t="shared" si="21"/>
        <v>0</v>
      </c>
      <c r="X127" s="4">
        <v>1210</v>
      </c>
      <c r="Y127" s="4"/>
      <c r="Z127" s="4"/>
      <c r="AA127" s="12">
        <f t="shared" si="22"/>
        <v>0</v>
      </c>
      <c r="AC127" s="6" t="s">
        <v>441</v>
      </c>
      <c r="AD127" s="21" t="str">
        <f t="shared" si="25"/>
        <v>г-610200</v>
      </c>
      <c r="AE127" s="80" t="str">
        <f t="shared" si="26"/>
        <v>г</v>
      </c>
      <c r="AF127" s="21" t="str">
        <f t="shared" si="24"/>
        <v>Үзүүлсэн ажил үйлчилгээний өртөг</v>
      </c>
      <c r="AJ127" s="413"/>
      <c r="AK127" s="413"/>
      <c r="AL127" s="413"/>
      <c r="AM127" s="413"/>
    </row>
    <row r="128" spans="1:39" ht="12.75" customHeight="1">
      <c r="A128" s="24"/>
      <c r="B128" s="105">
        <f t="shared" si="23"/>
        <v>125</v>
      </c>
      <c r="C128" s="6">
        <v>350100</v>
      </c>
      <c r="D128" s="118" t="s">
        <v>1695</v>
      </c>
      <c r="E128" s="9" t="s">
        <v>30</v>
      </c>
      <c r="F128" s="27"/>
      <c r="G128" s="27"/>
      <c r="H128" s="27">
        <v>0</v>
      </c>
      <c r="I128" s="27">
        <v>0</v>
      </c>
      <c r="J128" s="11">
        <f>+SUMIFS(JURNAL!G:G,JURNAL!E:E,C128,JURNAL!C:C,"&gt;="&amp;$H$1,JURNAL!C:C,"&lt;="&amp;$I$1)</f>
        <v>0</v>
      </c>
      <c r="K128" s="11">
        <f>+SUMIFS(JURNAL!H:H,JURNAL!E:E,C128,JURNAL!C:C,"&gt;="&amp;$H$1,JURNAL!C:C,"&lt;="&amp;$I$1)</f>
        <v>0</v>
      </c>
      <c r="L128" s="26">
        <f t="shared" si="16"/>
        <v>0</v>
      </c>
      <c r="M128" s="27">
        <f t="shared" si="17"/>
        <v>0</v>
      </c>
      <c r="N128" s="11"/>
      <c r="O128" s="334"/>
      <c r="P128" s="11"/>
      <c r="Q128" s="11"/>
      <c r="R128" s="26">
        <f t="shared" si="18"/>
        <v>0</v>
      </c>
      <c r="S128" s="27">
        <f t="shared" si="19"/>
        <v>0</v>
      </c>
      <c r="T128" s="11"/>
      <c r="U128" s="11"/>
      <c r="V128" s="26">
        <f t="shared" si="20"/>
        <v>0</v>
      </c>
      <c r="W128" s="27">
        <f t="shared" si="21"/>
        <v>0</v>
      </c>
      <c r="X128" s="4">
        <v>1210</v>
      </c>
      <c r="Y128" s="4"/>
      <c r="Z128" s="4"/>
      <c r="AA128" s="12">
        <f t="shared" si="22"/>
        <v>0</v>
      </c>
      <c r="AC128" s="6" t="s">
        <v>442</v>
      </c>
      <c r="AD128" s="21" t="str">
        <f t="shared" si="25"/>
        <v>г-610300</v>
      </c>
      <c r="AE128" s="80" t="str">
        <f t="shared" si="26"/>
        <v>г</v>
      </c>
      <c r="AF128" s="21" t="str">
        <f t="shared" si="24"/>
        <v>Бусад барааны өртөг</v>
      </c>
      <c r="AJ128" s="413"/>
      <c r="AK128" s="413"/>
      <c r="AL128" s="413"/>
      <c r="AM128" s="413"/>
    </row>
    <row r="129" spans="1:41" ht="12.75" customHeight="1">
      <c r="A129" s="24"/>
      <c r="B129" s="105">
        <f t="shared" si="23"/>
        <v>126</v>
      </c>
      <c r="C129" s="6">
        <v>320200</v>
      </c>
      <c r="D129" s="118" t="s">
        <v>609</v>
      </c>
      <c r="E129" s="9" t="s">
        <v>32</v>
      </c>
      <c r="F129" s="27"/>
      <c r="G129" s="27"/>
      <c r="H129" s="27">
        <v>0</v>
      </c>
      <c r="I129" s="27">
        <v>0</v>
      </c>
      <c r="J129" s="11">
        <f>+SUMIFS(JURNAL!G:G,JURNAL!E:E,C129,JURNAL!C:C,"&gt;="&amp;$H$1,JURNAL!C:C,"&lt;="&amp;$I$1)</f>
        <v>0</v>
      </c>
      <c r="K129" s="11">
        <f>+SUMIFS(JURNAL!H:H,JURNAL!E:E,C129,JURNAL!C:C,"&gt;="&amp;$H$1,JURNAL!C:C,"&lt;="&amp;$I$1)</f>
        <v>0</v>
      </c>
      <c r="L129" s="26">
        <f t="shared" si="16"/>
        <v>0</v>
      </c>
      <c r="M129" s="27">
        <f t="shared" si="17"/>
        <v>0</v>
      </c>
      <c r="N129" s="11"/>
      <c r="O129" s="334"/>
      <c r="P129" s="11"/>
      <c r="Q129" s="11"/>
      <c r="R129" s="26">
        <f t="shared" si="18"/>
        <v>0</v>
      </c>
      <c r="S129" s="27">
        <f t="shared" si="19"/>
        <v>0</v>
      </c>
      <c r="T129" s="11"/>
      <c r="U129" s="11"/>
      <c r="V129" s="26">
        <f t="shared" si="20"/>
        <v>0</v>
      </c>
      <c r="W129" s="27">
        <f t="shared" si="21"/>
        <v>0</v>
      </c>
      <c r="X129" s="4">
        <v>1210</v>
      </c>
      <c r="Y129" s="4"/>
      <c r="Z129" s="4"/>
      <c r="AA129" s="12">
        <f t="shared" si="22"/>
        <v>0</v>
      </c>
      <c r="AC129" s="6" t="s">
        <v>443</v>
      </c>
      <c r="AD129" s="21" t="str">
        <f t="shared" si="25"/>
        <v>л-700100</v>
      </c>
      <c r="AE129" s="80" t="str">
        <f t="shared" si="26"/>
        <v>л</v>
      </c>
      <c r="AF129" s="21" t="str">
        <f t="shared" si="24"/>
        <v>Цалин хөлс, шагнал</v>
      </c>
      <c r="AJ129" s="413"/>
      <c r="AK129" s="413"/>
      <c r="AL129" s="413"/>
      <c r="AM129" s="413"/>
    </row>
    <row r="130" spans="1:41" ht="12.75" customHeight="1">
      <c r="A130" s="24"/>
      <c r="B130" s="105">
        <f t="shared" si="23"/>
        <v>127</v>
      </c>
      <c r="C130" s="6">
        <v>330200</v>
      </c>
      <c r="D130" s="118" t="s">
        <v>614</v>
      </c>
      <c r="E130" s="9" t="s">
        <v>32</v>
      </c>
      <c r="F130" s="27"/>
      <c r="G130" s="27"/>
      <c r="H130" s="27">
        <v>0</v>
      </c>
      <c r="I130" s="27">
        <v>0</v>
      </c>
      <c r="J130" s="11">
        <f>+SUMIFS(JURNAL!G:G,JURNAL!E:E,C130,JURNAL!C:C,"&gt;="&amp;$H$1,JURNAL!C:C,"&lt;="&amp;$I$1)</f>
        <v>0</v>
      </c>
      <c r="K130" s="11">
        <f>+SUMIFS(JURNAL!H:H,JURNAL!E:E,C130,JURNAL!C:C,"&gt;="&amp;$H$1,JURNAL!C:C,"&lt;="&amp;$I$1)</f>
        <v>0</v>
      </c>
      <c r="L130" s="26">
        <f t="shared" si="16"/>
        <v>0</v>
      </c>
      <c r="M130" s="27">
        <f t="shared" si="17"/>
        <v>0</v>
      </c>
      <c r="N130" s="11"/>
      <c r="O130" s="334"/>
      <c r="P130" s="11"/>
      <c r="Q130" s="11"/>
      <c r="R130" s="26">
        <f t="shared" si="18"/>
        <v>0</v>
      </c>
      <c r="S130" s="27">
        <f t="shared" si="19"/>
        <v>0</v>
      </c>
      <c r="T130" s="11"/>
      <c r="U130" s="11"/>
      <c r="V130" s="26">
        <f t="shared" si="20"/>
        <v>0</v>
      </c>
      <c r="W130" s="27">
        <f t="shared" si="21"/>
        <v>0</v>
      </c>
      <c r="X130" s="4">
        <v>1221</v>
      </c>
      <c r="Y130" s="4"/>
      <c r="Z130" s="4"/>
      <c r="AA130" s="12">
        <f t="shared" si="22"/>
        <v>0</v>
      </c>
      <c r="AC130" s="6" t="s">
        <v>444</v>
      </c>
      <c r="AD130" s="21" t="str">
        <f t="shared" si="25"/>
        <v>л-700200</v>
      </c>
      <c r="AE130" s="80" t="str">
        <f t="shared" si="26"/>
        <v>л</v>
      </c>
      <c r="AF130" s="21" t="str">
        <f t="shared" si="24"/>
        <v>НДШимтгэл</v>
      </c>
      <c r="AJ130" s="413"/>
      <c r="AK130" s="413"/>
      <c r="AL130" s="413"/>
      <c r="AM130" s="413"/>
    </row>
    <row r="131" spans="1:41" ht="12.75" customHeight="1">
      <c r="A131" s="24"/>
      <c r="B131" s="105">
        <f t="shared" si="23"/>
        <v>128</v>
      </c>
      <c r="C131" s="6">
        <v>330201</v>
      </c>
      <c r="D131" s="118" t="s">
        <v>971</v>
      </c>
      <c r="E131" s="9" t="s">
        <v>30</v>
      </c>
      <c r="F131" s="27"/>
      <c r="G131" s="27"/>
      <c r="H131" s="27">
        <v>0</v>
      </c>
      <c r="I131" s="27">
        <v>0</v>
      </c>
      <c r="J131" s="11">
        <f>+SUMIFS(JURNAL!G:G,JURNAL!E:E,C131,JURNAL!C:C,"&gt;="&amp;$H$1,JURNAL!C:C,"&lt;="&amp;$I$1)</f>
        <v>0</v>
      </c>
      <c r="K131" s="11">
        <f>+SUMIFS(JURNAL!H:H,JURNAL!E:E,C131,JURNAL!C:C,"&gt;="&amp;$H$1,JURNAL!C:C,"&lt;="&amp;$I$1)</f>
        <v>0</v>
      </c>
      <c r="L131" s="26">
        <f t="shared" si="16"/>
        <v>0</v>
      </c>
      <c r="M131" s="27">
        <f t="shared" si="17"/>
        <v>0</v>
      </c>
      <c r="N131" s="11"/>
      <c r="O131" s="334"/>
      <c r="P131" s="11"/>
      <c r="Q131" s="11"/>
      <c r="R131" s="26">
        <f t="shared" si="18"/>
        <v>0</v>
      </c>
      <c r="S131" s="27">
        <f t="shared" si="19"/>
        <v>0</v>
      </c>
      <c r="T131" s="11"/>
      <c r="U131" s="11"/>
      <c r="V131" s="26">
        <f t="shared" si="20"/>
        <v>0</v>
      </c>
      <c r="W131" s="27">
        <f t="shared" si="21"/>
        <v>0</v>
      </c>
      <c r="X131" s="4">
        <v>1221</v>
      </c>
      <c r="Y131" s="4"/>
      <c r="Z131" s="4"/>
      <c r="AA131" s="12">
        <f t="shared" si="22"/>
        <v>0</v>
      </c>
      <c r="AC131" s="6" t="s">
        <v>445</v>
      </c>
      <c r="AD131" s="21" t="str">
        <f t="shared" si="25"/>
        <v>ч-700700</v>
      </c>
      <c r="AE131" s="80" t="str">
        <f t="shared" si="26"/>
        <v>ч</v>
      </c>
      <c r="AF131" s="21" t="str">
        <f t="shared" si="24"/>
        <v>Цахилгаан эрчим хүч</v>
      </c>
      <c r="AJ131" s="413"/>
      <c r="AK131" s="413"/>
      <c r="AL131" s="413"/>
      <c r="AM131" s="413"/>
    </row>
    <row r="132" spans="1:41" ht="12.75" customHeight="1">
      <c r="A132" s="24"/>
      <c r="B132" s="105">
        <f t="shared" si="23"/>
        <v>129</v>
      </c>
      <c r="C132" s="6">
        <v>330800</v>
      </c>
      <c r="D132" s="118" t="s">
        <v>619</v>
      </c>
      <c r="E132" s="9" t="s">
        <v>32</v>
      </c>
      <c r="F132" s="27"/>
      <c r="G132" s="27"/>
      <c r="H132" s="27">
        <v>0</v>
      </c>
      <c r="I132" s="27">
        <v>0</v>
      </c>
      <c r="J132" s="11">
        <f>+SUMIFS(JURNAL!G:G,JURNAL!E:E,C132,JURNAL!C:C,"&gt;="&amp;$H$1,JURNAL!C:C,"&lt;="&amp;$I$1)</f>
        <v>0</v>
      </c>
      <c r="K132" s="11">
        <f>+SUMIFS(JURNAL!H:H,JURNAL!E:E,C132,JURNAL!C:C,"&gt;="&amp;$H$1,JURNAL!C:C,"&lt;="&amp;$I$1)</f>
        <v>0</v>
      </c>
      <c r="L132" s="26">
        <f t="shared" si="16"/>
        <v>0</v>
      </c>
      <c r="M132" s="27">
        <f t="shared" si="17"/>
        <v>0</v>
      </c>
      <c r="N132" s="11"/>
      <c r="O132" s="334"/>
      <c r="P132" s="11"/>
      <c r="Q132" s="11"/>
      <c r="R132" s="26">
        <f t="shared" si="18"/>
        <v>0</v>
      </c>
      <c r="S132" s="27">
        <f t="shared" si="19"/>
        <v>0</v>
      </c>
      <c r="T132" s="11"/>
      <c r="U132" s="11"/>
      <c r="V132" s="26">
        <f t="shared" si="20"/>
        <v>0</v>
      </c>
      <c r="W132" s="27">
        <f t="shared" si="21"/>
        <v>0</v>
      </c>
      <c r="X132" s="4">
        <v>1223</v>
      </c>
      <c r="Y132" s="4"/>
      <c r="Z132" s="4"/>
      <c r="AA132" s="12">
        <f t="shared" si="22"/>
        <v>0</v>
      </c>
      <c r="AC132" s="6" t="s">
        <v>446</v>
      </c>
      <c r="AD132" s="21" t="str">
        <f t="shared" si="25"/>
        <v>н-700800</v>
      </c>
      <c r="AE132" s="80" t="str">
        <f t="shared" si="26"/>
        <v>н</v>
      </c>
      <c r="AF132" s="21" t="str">
        <f t="shared" ref="AF132:AF189" si="27">+SUBSTITUTE(AC132,AD132,AE132)</f>
        <v>Дулаан</v>
      </c>
      <c r="AJ132" s="413"/>
      <c r="AK132" s="413"/>
      <c r="AL132" s="413"/>
      <c r="AM132" s="413"/>
    </row>
    <row r="133" spans="1:41" ht="12.75" customHeight="1">
      <c r="A133" s="24"/>
      <c r="B133" s="105">
        <f t="shared" si="23"/>
        <v>130</v>
      </c>
      <c r="C133" s="6">
        <v>410200</v>
      </c>
      <c r="D133" s="118" t="s">
        <v>972</v>
      </c>
      <c r="E133" s="9" t="s">
        <v>32</v>
      </c>
      <c r="F133" s="27"/>
      <c r="G133" s="27"/>
      <c r="H133" s="27">
        <v>0</v>
      </c>
      <c r="I133" s="27">
        <v>30701981.399999999</v>
      </c>
      <c r="J133" s="11">
        <f>+SUMIFS(JURNAL!G:G,JURNAL!E:E,C133,JURNAL!C:C,"&gt;="&amp;$H$1,JURNAL!C:C,"&lt;="&amp;$I$1)</f>
        <v>0</v>
      </c>
      <c r="K133" s="11">
        <f>+SUMIFS(JURNAL!H:H,JURNAL!E:E,C133,JURNAL!C:C,"&gt;="&amp;$H$1,JURNAL!C:C,"&lt;="&amp;$I$1)</f>
        <v>0</v>
      </c>
      <c r="L133" s="26">
        <f t="shared" ref="L133:L138" si="28">+IF((H133+J133)&gt;(I133+K133),(H133+J133)-(I133+K133),0)</f>
        <v>0</v>
      </c>
      <c r="M133" s="27">
        <f t="shared" ref="M133:M138" si="29">+IF((H133+J133)&lt;(I133+K133),(I133+K133)-(H133+J133),0)</f>
        <v>30701981.399999999</v>
      </c>
      <c r="N133" s="11"/>
      <c r="O133" s="334"/>
      <c r="P133" s="11"/>
      <c r="Q133" s="11"/>
      <c r="R133" s="26">
        <f t="shared" ref="R133:R138" si="30">+IF((L133+N133)&gt;(M133+O133),(L133+N133)-(M133+O133),0)</f>
        <v>0</v>
      </c>
      <c r="S133" s="27">
        <f t="shared" ref="S133:S138" si="31">+IF((L133+N133)&lt;(M133+O133),(M133+O133)-(L133+N133),0)</f>
        <v>30701981.399999999</v>
      </c>
      <c r="T133" s="11"/>
      <c r="U133" s="11"/>
      <c r="V133" s="26">
        <f t="shared" ref="V133:V138" si="32">+IF((R133+T133)&gt;(S133+U133),(R133+T133)-(S133+U133),0)</f>
        <v>0</v>
      </c>
      <c r="W133" s="27">
        <f t="shared" ref="W133:W138" si="33">+IF((R133+T133)&lt;(S133+U133),(S133+U133)-(R133+T133),0)</f>
        <v>30701981.399999999</v>
      </c>
      <c r="X133" s="4">
        <v>1302</v>
      </c>
      <c r="Y133" s="4"/>
      <c r="Z133" s="4"/>
      <c r="AA133" s="12">
        <f t="shared" ref="AA133:AA196" si="34">+IF(H133+I133+J133+K133+L133+M133+N133+O133+R133+S133+T133+U133+V133+W133,1,0)</f>
        <v>1</v>
      </c>
      <c r="AC133" s="6" t="s">
        <v>447</v>
      </c>
      <c r="AD133" s="21" t="str">
        <f t="shared" si="25"/>
        <v>с-700900</v>
      </c>
      <c r="AE133" s="80" t="str">
        <f t="shared" si="26"/>
        <v>с</v>
      </c>
      <c r="AF133" s="21" t="str">
        <f t="shared" si="27"/>
        <v>Уур, ус</v>
      </c>
      <c r="AJ133" s="413"/>
      <c r="AK133" s="413"/>
      <c r="AL133" s="413"/>
      <c r="AM133" s="413"/>
    </row>
    <row r="134" spans="1:41" ht="12.75" customHeight="1">
      <c r="A134" s="24"/>
      <c r="B134" s="105">
        <f t="shared" ref="B134:B197" si="35">+B133+1</f>
        <v>131</v>
      </c>
      <c r="C134" s="6">
        <v>420100</v>
      </c>
      <c r="D134" s="118" t="s">
        <v>626</v>
      </c>
      <c r="E134" s="9" t="s">
        <v>32</v>
      </c>
      <c r="F134" s="27"/>
      <c r="G134" s="27"/>
      <c r="H134" s="27">
        <v>0</v>
      </c>
      <c r="I134" s="27">
        <v>680931312.63</v>
      </c>
      <c r="J134" s="11">
        <f>+SUMIFS(JURNAL!G:G,JURNAL!E:E,C134,JURNAL!C:C,"&gt;="&amp;$H$1,JURNAL!C:C,"&lt;="&amp;$I$1)</f>
        <v>0</v>
      </c>
      <c r="K134" s="11">
        <f>+SUMIFS(JURNAL!H:H,JURNAL!E:E,C134,JURNAL!C:C,"&gt;="&amp;$H$1,JURNAL!C:C,"&lt;="&amp;$I$1)</f>
        <v>0</v>
      </c>
      <c r="L134" s="26">
        <f t="shared" si="28"/>
        <v>0</v>
      </c>
      <c r="M134" s="27">
        <f t="shared" si="29"/>
        <v>680931312.63</v>
      </c>
      <c r="N134" s="11"/>
      <c r="O134" s="334"/>
      <c r="P134" s="11"/>
      <c r="Q134" s="11"/>
      <c r="R134" s="26">
        <f t="shared" si="30"/>
        <v>0</v>
      </c>
      <c r="S134" s="27">
        <f t="shared" si="31"/>
        <v>680931312.63</v>
      </c>
      <c r="T134" s="11"/>
      <c r="U134" s="11"/>
      <c r="V134" s="26">
        <f t="shared" si="32"/>
        <v>0</v>
      </c>
      <c r="W134" s="27">
        <f t="shared" si="33"/>
        <v>680931312.63</v>
      </c>
      <c r="X134" s="4">
        <v>1310</v>
      </c>
      <c r="Y134" s="4"/>
      <c r="Z134" s="4"/>
      <c r="AA134" s="12">
        <f t="shared" si="34"/>
        <v>1</v>
      </c>
      <c r="AC134" s="6" t="s">
        <v>448</v>
      </c>
      <c r="AD134" s="21" t="str">
        <f t="shared" si="25"/>
        <v>л-701000</v>
      </c>
      <c r="AE134" s="80" t="str">
        <f t="shared" si="26"/>
        <v>л</v>
      </c>
      <c r="AF134" s="21" t="str">
        <f t="shared" si="27"/>
        <v>Сэлбэг хэрэгсэл</v>
      </c>
      <c r="AJ134" s="413"/>
      <c r="AK134" s="413"/>
      <c r="AL134" s="413"/>
      <c r="AM134" s="413"/>
    </row>
    <row r="135" spans="1:41" ht="12.75" customHeight="1">
      <c r="A135" s="24"/>
      <c r="B135" s="105">
        <f t="shared" si="35"/>
        <v>132</v>
      </c>
      <c r="C135" s="6">
        <v>420200</v>
      </c>
      <c r="D135" s="118" t="s">
        <v>180</v>
      </c>
      <c r="E135" s="9" t="s">
        <v>32</v>
      </c>
      <c r="F135" s="27"/>
      <c r="G135" s="27"/>
      <c r="H135" s="27">
        <v>0</v>
      </c>
      <c r="I135" s="27">
        <v>0</v>
      </c>
      <c r="J135" s="11">
        <f>+SUMIFS(JURNAL!G:G,JURNAL!E:E,C135,JURNAL!C:C,"&gt;="&amp;$H$1,JURNAL!C:C,"&lt;="&amp;$I$1)</f>
        <v>0</v>
      </c>
      <c r="K135" s="11">
        <f>+SUMIFS(JURNAL!H:H,JURNAL!E:E,C135,JURNAL!C:C,"&gt;="&amp;$H$1,JURNAL!C:C,"&lt;="&amp;$I$1)</f>
        <v>0</v>
      </c>
      <c r="L135" s="26">
        <f t="shared" si="28"/>
        <v>0</v>
      </c>
      <c r="M135" s="27">
        <f t="shared" si="29"/>
        <v>0</v>
      </c>
      <c r="N135" s="11"/>
      <c r="O135" s="334"/>
      <c r="P135" s="11"/>
      <c r="Q135" s="11"/>
      <c r="R135" s="26">
        <f t="shared" si="30"/>
        <v>0</v>
      </c>
      <c r="S135" s="27">
        <f t="shared" si="31"/>
        <v>0</v>
      </c>
      <c r="T135" s="11"/>
      <c r="U135" s="11"/>
      <c r="V135" s="26">
        <f t="shared" si="32"/>
        <v>0</v>
      </c>
      <c r="W135" s="27">
        <f t="shared" si="33"/>
        <v>0</v>
      </c>
      <c r="X135" s="4">
        <v>1311</v>
      </c>
      <c r="Y135" s="4"/>
      <c r="Z135" s="4"/>
      <c r="AA135" s="12">
        <f t="shared" si="34"/>
        <v>0</v>
      </c>
      <c r="AC135" s="6" t="s">
        <v>449</v>
      </c>
      <c r="AD135" s="21" t="str">
        <f t="shared" si="25"/>
        <v>л-701100</v>
      </c>
      <c r="AE135" s="80" t="str">
        <f t="shared" si="26"/>
        <v>л</v>
      </c>
      <c r="AF135" s="21" t="str">
        <f t="shared" si="27"/>
        <v>Түрээсийн зардал</v>
      </c>
      <c r="AJ135" s="413"/>
      <c r="AK135" s="413"/>
      <c r="AL135" s="413"/>
      <c r="AM135" s="413"/>
    </row>
    <row r="136" spans="1:41" ht="12.75" customHeight="1">
      <c r="A136" s="24"/>
      <c r="B136" s="105">
        <f t="shared" si="35"/>
        <v>133</v>
      </c>
      <c r="C136" s="6">
        <v>430300</v>
      </c>
      <c r="D136" s="118" t="s">
        <v>633</v>
      </c>
      <c r="E136" s="9" t="s">
        <v>32</v>
      </c>
      <c r="F136" s="27"/>
      <c r="G136" s="27"/>
      <c r="H136" s="27">
        <v>0</v>
      </c>
      <c r="I136" s="27">
        <v>106378624.62</v>
      </c>
      <c r="J136" s="11">
        <f>+SUMIFS(JURNAL!G:G,JURNAL!E:E,C136,JURNAL!C:C,"&gt;="&amp;$H$1,JURNAL!C:C,"&lt;="&amp;$I$1)</f>
        <v>0</v>
      </c>
      <c r="K136" s="11">
        <f>+SUMIFS(JURNAL!H:H,JURNAL!E:E,C136,JURNAL!C:C,"&gt;="&amp;$H$1,JURNAL!C:C,"&lt;="&amp;$I$1)</f>
        <v>0</v>
      </c>
      <c r="L136" s="26">
        <f t="shared" si="28"/>
        <v>0</v>
      </c>
      <c r="M136" s="27">
        <f t="shared" si="29"/>
        <v>106378624.62</v>
      </c>
      <c r="N136" s="11"/>
      <c r="O136" s="334"/>
      <c r="P136" s="11"/>
      <c r="Q136" s="11"/>
      <c r="R136" s="26">
        <f t="shared" si="30"/>
        <v>0</v>
      </c>
      <c r="S136" s="27">
        <f t="shared" si="31"/>
        <v>106378624.62</v>
      </c>
      <c r="T136" s="11"/>
      <c r="U136" s="11"/>
      <c r="V136" s="26">
        <f t="shared" si="32"/>
        <v>0</v>
      </c>
      <c r="W136" s="27">
        <f t="shared" si="33"/>
        <v>106378624.62</v>
      </c>
      <c r="X136" s="4">
        <v>1312</v>
      </c>
      <c r="Y136" s="4"/>
      <c r="Z136" s="4"/>
      <c r="AA136" s="12">
        <f t="shared" si="34"/>
        <v>1</v>
      </c>
      <c r="AC136" s="6" t="s">
        <v>450</v>
      </c>
      <c r="AD136" s="21" t="str">
        <f t="shared" si="25"/>
        <v>л-701200</v>
      </c>
      <c r="AE136" s="80" t="str">
        <f t="shared" si="26"/>
        <v>л</v>
      </c>
      <c r="AF136" s="21" t="str">
        <f t="shared" si="27"/>
        <v>Албан томилолтын зардал</v>
      </c>
      <c r="AJ136" s="413"/>
      <c r="AK136" s="413"/>
      <c r="AL136" s="413"/>
      <c r="AM136" s="413"/>
    </row>
    <row r="137" spans="1:41" ht="12.75" customHeight="1">
      <c r="A137" s="24"/>
      <c r="B137" s="105">
        <f t="shared" si="35"/>
        <v>134</v>
      </c>
      <c r="C137" s="6">
        <v>440100</v>
      </c>
      <c r="D137" s="118" t="s">
        <v>639</v>
      </c>
      <c r="E137" s="9" t="s">
        <v>32</v>
      </c>
      <c r="F137" s="27"/>
      <c r="G137" s="27"/>
      <c r="H137" s="27">
        <v>0</v>
      </c>
      <c r="I137" s="27">
        <v>1214027657.6800001</v>
      </c>
      <c r="J137" s="11">
        <f>+SUMIFS(JURNAL!G:G,JURNAL!E:E,C137,JURNAL!C:C,"&gt;="&amp;$H$1,JURNAL!C:C,"&lt;="&amp;$I$1)</f>
        <v>0</v>
      </c>
      <c r="K137" s="11">
        <f>+SUMIFS(JURNAL!H:H,JURNAL!E:E,C137,JURNAL!C:C,"&gt;="&amp;$H$1,JURNAL!C:C,"&lt;="&amp;$I$1)</f>
        <v>0</v>
      </c>
      <c r="L137" s="26">
        <f t="shared" si="28"/>
        <v>0</v>
      </c>
      <c r="M137" s="27">
        <f t="shared" si="29"/>
        <v>1214027657.6800001</v>
      </c>
      <c r="N137" s="11">
        <v>175445801.80316001</v>
      </c>
      <c r="O137" s="334"/>
      <c r="P137" s="11"/>
      <c r="Q137" s="11"/>
      <c r="R137" s="26">
        <f t="shared" si="30"/>
        <v>0</v>
      </c>
      <c r="S137" s="27">
        <f t="shared" si="31"/>
        <v>1038581855.8768401</v>
      </c>
      <c r="T137" s="11"/>
      <c r="U137" s="11"/>
      <c r="V137" s="26">
        <f t="shared" si="32"/>
        <v>0</v>
      </c>
      <c r="W137" s="27">
        <f t="shared" si="33"/>
        <v>1038581855.8768401</v>
      </c>
      <c r="X137" s="4">
        <v>1313</v>
      </c>
      <c r="Y137" s="4"/>
      <c r="Z137" s="4"/>
      <c r="AA137" s="12">
        <f t="shared" si="34"/>
        <v>1</v>
      </c>
      <c r="AC137" s="6" t="s">
        <v>451</v>
      </c>
      <c r="AD137" s="21" t="str">
        <f t="shared" si="25"/>
        <v>л-701300</v>
      </c>
      <c r="AE137" s="80" t="str">
        <f t="shared" si="26"/>
        <v>л</v>
      </c>
      <c r="AF137" s="21" t="str">
        <f t="shared" si="27"/>
        <v>Тээврийн зардал</v>
      </c>
      <c r="AJ137" s="413"/>
      <c r="AK137" s="413"/>
      <c r="AL137" s="413"/>
      <c r="AM137" s="413"/>
    </row>
    <row r="138" spans="1:41" ht="12.75" customHeight="1">
      <c r="A138" s="24"/>
      <c r="B138" s="105">
        <f t="shared" si="35"/>
        <v>135</v>
      </c>
      <c r="C138" s="6">
        <v>440200</v>
      </c>
      <c r="D138" s="118" t="s">
        <v>645</v>
      </c>
      <c r="E138" s="9" t="s">
        <v>32</v>
      </c>
      <c r="F138" s="27"/>
      <c r="G138" s="27"/>
      <c r="H138" s="27">
        <v>175445801.80316001</v>
      </c>
      <c r="I138" s="27">
        <v>0</v>
      </c>
      <c r="J138" s="11">
        <f>+SUMIFS(JURNAL!G:G,JURNAL!E:E,C138,JURNAL!C:C,"&gt;="&amp;$H$1,JURNAL!C:C,"&lt;="&amp;$I$1)</f>
        <v>0</v>
      </c>
      <c r="K138" s="11">
        <f>+SUMIFS(JURNAL!H:H,JURNAL!E:E,C138,JURNAL!C:C,"&gt;="&amp;$H$1,JURNAL!C:C,"&lt;="&amp;$I$1)</f>
        <v>0</v>
      </c>
      <c r="L138" s="26">
        <f t="shared" si="28"/>
        <v>175445801.80316001</v>
      </c>
      <c r="M138" s="27">
        <f t="shared" si="29"/>
        <v>0</v>
      </c>
      <c r="N138" s="11"/>
      <c r="O138" s="334">
        <v>175445801.80316001</v>
      </c>
      <c r="P138" s="11"/>
      <c r="Q138" s="11"/>
      <c r="R138" s="26">
        <f t="shared" si="30"/>
        <v>0</v>
      </c>
      <c r="S138" s="27">
        <f t="shared" si="31"/>
        <v>0</v>
      </c>
      <c r="T138" s="11">
        <v>12027607.1802349</v>
      </c>
      <c r="U138" s="11"/>
      <c r="V138" s="26">
        <f t="shared" si="32"/>
        <v>12027607.1802349</v>
      </c>
      <c r="W138" s="27">
        <f t="shared" si="33"/>
        <v>0</v>
      </c>
      <c r="X138" s="4">
        <v>1314</v>
      </c>
      <c r="Y138" s="4"/>
      <c r="Z138" s="4"/>
      <c r="AA138" s="12">
        <f t="shared" si="34"/>
        <v>1</v>
      </c>
      <c r="AC138" s="6" t="s">
        <v>452</v>
      </c>
      <c r="AD138" s="21" t="str">
        <f t="shared" si="25"/>
        <v>л-701400</v>
      </c>
      <c r="AE138" s="80" t="str">
        <f t="shared" si="26"/>
        <v>л</v>
      </c>
      <c r="AF138" s="21" t="str">
        <f t="shared" si="27"/>
        <v>Засвар үйлчилгээний зардал</v>
      </c>
      <c r="AJ138" s="413"/>
      <c r="AK138" s="413"/>
      <c r="AL138" s="413"/>
      <c r="AM138" s="413"/>
    </row>
    <row r="139" spans="1:41" ht="12.75" customHeight="1">
      <c r="A139" s="24"/>
      <c r="B139" s="105">
        <f t="shared" si="35"/>
        <v>136</v>
      </c>
      <c r="C139" s="135"/>
      <c r="D139" s="136" t="s">
        <v>1003</v>
      </c>
      <c r="E139" s="62" t="s">
        <v>32</v>
      </c>
      <c r="F139" s="28">
        <f t="shared" ref="F139:H139" si="36">+SUM(F4:F138)</f>
        <v>6150.4600000000009</v>
      </c>
      <c r="G139" s="28">
        <f t="shared" si="36"/>
        <v>14937.180000000002</v>
      </c>
      <c r="H139" s="28">
        <f t="shared" si="36"/>
        <v>3510571598.7455034</v>
      </c>
      <c r="I139" s="28">
        <f>+SUM(I4:I138)</f>
        <v>3510571598.7442312</v>
      </c>
      <c r="J139" s="28">
        <f t="shared" ref="J139:Z139" si="37">+SUM(J4:J138)</f>
        <v>1071262873.7295089</v>
      </c>
      <c r="K139" s="28">
        <f t="shared" si="37"/>
        <v>1083042189.5529621</v>
      </c>
      <c r="L139" s="28">
        <f t="shared" si="37"/>
        <v>3517134564.3070078</v>
      </c>
      <c r="M139" s="28">
        <f t="shared" si="37"/>
        <v>3528913880.1291885</v>
      </c>
      <c r="N139" s="28">
        <v>181616467.96978</v>
      </c>
      <c r="O139" s="28">
        <v>181864759.32678002</v>
      </c>
      <c r="P139" s="28">
        <v>6150.4600000000009</v>
      </c>
      <c r="Q139" s="28">
        <v>14684.7</v>
      </c>
      <c r="R139" s="28">
        <f t="shared" si="37"/>
        <v>3335269804.980227</v>
      </c>
      <c r="S139" s="28">
        <f t="shared" si="37"/>
        <v>3347297412.1594081</v>
      </c>
      <c r="T139" s="28">
        <f t="shared" si="37"/>
        <v>12027607.1802349</v>
      </c>
      <c r="U139" s="28">
        <f t="shared" si="37"/>
        <v>0</v>
      </c>
      <c r="V139" s="28">
        <f t="shared" si="37"/>
        <v>3347297412.1604619</v>
      </c>
      <c r="W139" s="28">
        <f t="shared" si="37"/>
        <v>3347297412.1594081</v>
      </c>
      <c r="X139" s="28"/>
      <c r="Y139" s="28">
        <f t="shared" si="37"/>
        <v>0</v>
      </c>
      <c r="Z139" s="28">
        <f t="shared" si="37"/>
        <v>0</v>
      </c>
      <c r="AA139" s="28">
        <f>+SUM(AA4:AA138)</f>
        <v>55</v>
      </c>
      <c r="AC139" s="6" t="s">
        <v>453</v>
      </c>
      <c r="AD139" s="21" t="str">
        <f t="shared" si="25"/>
        <v>л-701500</v>
      </c>
      <c r="AE139" s="80" t="str">
        <f t="shared" si="26"/>
        <v>л</v>
      </c>
      <c r="AF139" s="21" t="str">
        <f t="shared" si="27"/>
        <v>Урсгал засварын зардал</v>
      </c>
      <c r="AJ139" s="413"/>
      <c r="AK139" s="413"/>
      <c r="AL139" s="413"/>
      <c r="AM139" s="413"/>
    </row>
    <row r="140" spans="1:41" ht="12.75" customHeight="1">
      <c r="A140" s="24"/>
      <c r="B140" s="105">
        <f t="shared" si="35"/>
        <v>137</v>
      </c>
      <c r="C140" s="6">
        <v>510000</v>
      </c>
      <c r="D140" s="6" t="s">
        <v>513</v>
      </c>
      <c r="E140" s="9" t="s">
        <v>32</v>
      </c>
      <c r="F140" s="6"/>
      <c r="G140" s="6"/>
      <c r="H140" s="11"/>
      <c r="I140" s="11"/>
      <c r="J140" s="11">
        <f>+SUMIFS(JURNAL!G:G,JURNAL!E:E,C140,JURNAL!C:C,"&gt;="&amp;$H$1,JURNAL!C:C,"&lt;="&amp;$I$1)</f>
        <v>0</v>
      </c>
      <c r="K140" s="11">
        <f>+SUMIFS(JURNAL!H:H,JURNAL!E:E,C140,JURNAL!C:C,"&gt;="&amp;$H$1,JURNAL!C:C,"&lt;="&amp;$I$1)</f>
        <v>96284190.895838708</v>
      </c>
      <c r="L140" s="26">
        <f t="shared" ref="L140" si="38">+IF((H140+J140)&gt;(I140+K140),(H140+J140)-(I140+K140),0)</f>
        <v>0</v>
      </c>
      <c r="M140" s="27">
        <f t="shared" ref="M140" si="39">+IF((H140+J140)&lt;(I140+K140),(I140+K140)-(H140+J140),0)</f>
        <v>96284190.895838708</v>
      </c>
      <c r="N140" s="11"/>
      <c r="O140" s="11"/>
      <c r="P140" s="11"/>
      <c r="Q140" s="11"/>
      <c r="R140" s="26">
        <f t="shared" ref="R140" si="40">+IF((L140+N140)&gt;(M140+O140),(L140+N140)-(M140+O140),0)</f>
        <v>0</v>
      </c>
      <c r="S140" s="27">
        <f t="shared" ref="S140" si="41">+IF((L140+N140)&lt;(M140+O140),(M140+O140)-(L140+N140),0)</f>
        <v>96284190.895838708</v>
      </c>
      <c r="T140" s="11">
        <f t="shared" ref="T140" si="42">+S140</f>
        <v>96284190.895838708</v>
      </c>
      <c r="U140" s="11">
        <f t="shared" ref="U140" si="43">+R140</f>
        <v>0</v>
      </c>
      <c r="V140" s="26">
        <f t="shared" ref="V140" si="44">+IF((R140+T140)&gt;(S140+U140),(R140+T140)-(S140+U140),0)</f>
        <v>0</v>
      </c>
      <c r="W140" s="27">
        <f t="shared" ref="W140" si="45">+IF((R140+T140)&lt;(S140+U140),(S140+U140)-(R140+T140),0)</f>
        <v>0</v>
      </c>
      <c r="X140" s="4">
        <v>5101</v>
      </c>
      <c r="Y140" s="4"/>
      <c r="Z140" s="4"/>
      <c r="AA140" s="12">
        <f t="shared" si="34"/>
        <v>1</v>
      </c>
      <c r="AC140" s="6" t="s">
        <v>454</v>
      </c>
      <c r="AD140" s="21" t="str">
        <f t="shared" si="25"/>
        <v>л-701600</v>
      </c>
      <c r="AE140" s="80" t="str">
        <f t="shared" si="26"/>
        <v>л</v>
      </c>
      <c r="AF140" s="21" t="str">
        <f t="shared" si="27"/>
        <v>Элэгдэл, хорогдлын зардал</v>
      </c>
      <c r="AJ140" s="413"/>
      <c r="AK140" s="413"/>
      <c r="AL140" s="413"/>
      <c r="AM140" s="413"/>
      <c r="AN140" s="414"/>
      <c r="AO140" s="414"/>
    </row>
    <row r="141" spans="1:41" ht="12.75" customHeight="1">
      <c r="A141" s="24"/>
      <c r="B141" s="105">
        <f t="shared" si="35"/>
        <v>138</v>
      </c>
      <c r="C141" s="6">
        <v>510100</v>
      </c>
      <c r="D141" s="6" t="s">
        <v>518</v>
      </c>
      <c r="E141" s="9" t="s">
        <v>32</v>
      </c>
      <c r="F141" s="6"/>
      <c r="G141" s="6"/>
      <c r="H141" s="11"/>
      <c r="I141" s="11"/>
      <c r="J141" s="11">
        <f>+SUMIFS(JURNAL!G:G,JURNAL!E:E,C141,JURNAL!C:C,"&gt;="&amp;$H$1,JURNAL!C:C,"&lt;="&amp;$I$1)</f>
        <v>0</v>
      </c>
      <c r="K141" s="11">
        <f>+SUMIFS(JURNAL!H:H,JURNAL!E:E,C141,JURNAL!C:C,"&gt;="&amp;$H$1,JURNAL!C:C,"&lt;="&amp;$I$1)</f>
        <v>0</v>
      </c>
      <c r="L141" s="26">
        <f t="shared" ref="L141:L204" si="46">+IF((H141+J141)&gt;(I141+K141),(H141+J141)-(I141+K141),0)</f>
        <v>0</v>
      </c>
      <c r="M141" s="27">
        <f t="shared" ref="M141:M204" si="47">+IF((H141+J141)&lt;(I141+K141),(I141+K141)-(H141+J141),0)</f>
        <v>0</v>
      </c>
      <c r="N141" s="11"/>
      <c r="O141" s="11"/>
      <c r="P141" s="11"/>
      <c r="Q141" s="11"/>
      <c r="R141" s="26">
        <f t="shared" ref="R141:R204" si="48">+IF((L141+N141)&gt;(M141+O141),(L141+N141)-(M141+O141),0)</f>
        <v>0</v>
      </c>
      <c r="S141" s="27">
        <f t="shared" ref="S141:S204" si="49">+IF((L141+N141)&lt;(M141+O141),(M141+O141)-(L141+N141),0)</f>
        <v>0</v>
      </c>
      <c r="T141" s="11">
        <f t="shared" ref="T141:T204" si="50">+S141</f>
        <v>0</v>
      </c>
      <c r="U141" s="11">
        <f t="shared" ref="U141:U204" si="51">+R141</f>
        <v>0</v>
      </c>
      <c r="V141" s="26">
        <f t="shared" ref="V141:V204" si="52">+IF((R141+T141)&gt;(S141+U141),(R141+T141)-(S141+U141),0)</f>
        <v>0</v>
      </c>
      <c r="W141" s="27">
        <f t="shared" ref="W141:W204" si="53">+IF((R141+T141)&lt;(S141+U141),(S141+U141)-(R141+T141),0)</f>
        <v>0</v>
      </c>
      <c r="X141" s="4">
        <v>5101</v>
      </c>
      <c r="Y141" s="4"/>
      <c r="Z141" s="4"/>
      <c r="AA141" s="12">
        <f t="shared" si="34"/>
        <v>0</v>
      </c>
      <c r="AC141" s="6" t="s">
        <v>455</v>
      </c>
      <c r="AD141" s="21" t="str">
        <f t="shared" si="25"/>
        <v>л-701700</v>
      </c>
      <c r="AE141" s="80" t="str">
        <f t="shared" si="26"/>
        <v>л</v>
      </c>
      <c r="AF141" s="21" t="str">
        <f t="shared" si="27"/>
        <v>Зар сурталчилгааны зардал</v>
      </c>
      <c r="AJ141" s="413"/>
      <c r="AK141" s="413"/>
      <c r="AL141" s="413"/>
      <c r="AM141" s="413"/>
      <c r="AN141" s="414"/>
      <c r="AO141" s="414"/>
    </row>
    <row r="142" spans="1:41" ht="12.75" customHeight="1">
      <c r="A142" s="24"/>
      <c r="B142" s="105">
        <f t="shared" si="35"/>
        <v>139</v>
      </c>
      <c r="C142" s="6">
        <v>510200</v>
      </c>
      <c r="D142" s="6" t="s">
        <v>523</v>
      </c>
      <c r="E142" s="9" t="s">
        <v>32</v>
      </c>
      <c r="F142" s="6"/>
      <c r="G142" s="6"/>
      <c r="H142" s="11"/>
      <c r="I142" s="11"/>
      <c r="J142" s="11">
        <f>+SUMIFS(JURNAL!G:G,JURNAL!E:E,C142,JURNAL!C:C,"&gt;="&amp;$H$1,JURNAL!C:C,"&lt;="&amp;$I$1)</f>
        <v>0</v>
      </c>
      <c r="K142" s="11">
        <f>+SUMIFS(JURNAL!H:H,JURNAL!E:E,C142,JURNAL!C:C,"&gt;="&amp;$H$1,JURNAL!C:C,"&lt;="&amp;$I$1)</f>
        <v>0</v>
      </c>
      <c r="L142" s="26">
        <f t="shared" si="46"/>
        <v>0</v>
      </c>
      <c r="M142" s="27">
        <f t="shared" si="47"/>
        <v>0</v>
      </c>
      <c r="N142" s="11"/>
      <c r="O142" s="11"/>
      <c r="P142" s="11"/>
      <c r="Q142" s="11"/>
      <c r="R142" s="26">
        <f t="shared" si="48"/>
        <v>0</v>
      </c>
      <c r="S142" s="27">
        <f t="shared" si="49"/>
        <v>0</v>
      </c>
      <c r="T142" s="11">
        <f t="shared" si="50"/>
        <v>0</v>
      </c>
      <c r="U142" s="11">
        <f t="shared" si="51"/>
        <v>0</v>
      </c>
      <c r="V142" s="26">
        <f t="shared" si="52"/>
        <v>0</v>
      </c>
      <c r="W142" s="27">
        <f t="shared" si="53"/>
        <v>0</v>
      </c>
      <c r="X142" s="4">
        <v>5101</v>
      </c>
      <c r="Y142" s="4"/>
      <c r="Z142" s="4"/>
      <c r="AA142" s="12">
        <f t="shared" si="34"/>
        <v>0</v>
      </c>
      <c r="AC142" s="6" t="s">
        <v>456</v>
      </c>
      <c r="AD142" s="21" t="str">
        <f t="shared" si="25"/>
        <v>ж-701800</v>
      </c>
      <c r="AE142" s="80" t="str">
        <f t="shared" si="26"/>
        <v>ж</v>
      </c>
      <c r="AF142" s="21" t="str">
        <f t="shared" si="27"/>
        <v>Шуудан илгээмж</v>
      </c>
      <c r="AJ142" s="413"/>
      <c r="AK142" s="413"/>
      <c r="AL142" s="413"/>
      <c r="AM142" s="413"/>
      <c r="AN142" s="414"/>
      <c r="AO142" s="414"/>
    </row>
    <row r="143" spans="1:41" ht="12.75" customHeight="1">
      <c r="A143" s="24"/>
      <c r="B143" s="105">
        <f t="shared" si="35"/>
        <v>140</v>
      </c>
      <c r="C143" s="6">
        <v>510300</v>
      </c>
      <c r="D143" s="6" t="s">
        <v>528</v>
      </c>
      <c r="E143" s="9" t="s">
        <v>32</v>
      </c>
      <c r="F143" s="6"/>
      <c r="G143" s="6"/>
      <c r="H143" s="11"/>
      <c r="I143" s="11"/>
      <c r="J143" s="11">
        <f>+SUMIFS(JURNAL!G:G,JURNAL!E:E,C143,JURNAL!C:C,"&gt;="&amp;$H$1,JURNAL!C:C,"&lt;="&amp;$I$1)</f>
        <v>0</v>
      </c>
      <c r="K143" s="11">
        <f>+SUMIFS(JURNAL!H:H,JURNAL!E:E,C143,JURNAL!C:C,"&gt;="&amp;$H$1,JURNAL!C:C,"&lt;="&amp;$I$1)</f>
        <v>0</v>
      </c>
      <c r="L143" s="26">
        <f t="shared" si="46"/>
        <v>0</v>
      </c>
      <c r="M143" s="27">
        <f t="shared" si="47"/>
        <v>0</v>
      </c>
      <c r="N143" s="11"/>
      <c r="O143" s="11"/>
      <c r="P143" s="11"/>
      <c r="Q143" s="11"/>
      <c r="R143" s="26">
        <f t="shared" si="48"/>
        <v>0</v>
      </c>
      <c r="S143" s="27">
        <f t="shared" si="49"/>
        <v>0</v>
      </c>
      <c r="T143" s="11">
        <f t="shared" si="50"/>
        <v>0</v>
      </c>
      <c r="U143" s="11">
        <f t="shared" si="51"/>
        <v>0</v>
      </c>
      <c r="V143" s="26">
        <f t="shared" si="52"/>
        <v>0</v>
      </c>
      <c r="W143" s="27">
        <f t="shared" si="53"/>
        <v>0</v>
      </c>
      <c r="X143" s="4">
        <v>5101</v>
      </c>
      <c r="Y143" s="4"/>
      <c r="Z143" s="4"/>
      <c r="AA143" s="12">
        <f t="shared" si="34"/>
        <v>0</v>
      </c>
      <c r="AC143" s="6" t="s">
        <v>457</v>
      </c>
      <c r="AD143" s="21" t="str">
        <f t="shared" si="25"/>
        <v>о-701900</v>
      </c>
      <c r="AE143" s="80" t="str">
        <f t="shared" si="26"/>
        <v>о</v>
      </c>
      <c r="AF143" s="21" t="str">
        <f t="shared" si="27"/>
        <v>Харилцаа холбоо</v>
      </c>
      <c r="AJ143" s="413"/>
      <c r="AK143" s="413"/>
      <c r="AL143" s="413"/>
      <c r="AM143" s="413"/>
      <c r="AN143" s="414"/>
      <c r="AO143" s="414"/>
    </row>
    <row r="144" spans="1:41" ht="12.75" customHeight="1">
      <c r="A144" s="24"/>
      <c r="B144" s="105">
        <f t="shared" si="35"/>
        <v>141</v>
      </c>
      <c r="C144" s="6">
        <v>510400</v>
      </c>
      <c r="D144" s="6" t="s">
        <v>534</v>
      </c>
      <c r="E144" s="9" t="s">
        <v>32</v>
      </c>
      <c r="F144" s="6"/>
      <c r="G144" s="6"/>
      <c r="H144" s="11"/>
      <c r="I144" s="11"/>
      <c r="J144" s="11">
        <f>+SUMIFS(JURNAL!G:G,JURNAL!E:E,C144,JURNAL!C:C,"&gt;="&amp;$H$1,JURNAL!C:C,"&lt;="&amp;$I$1)</f>
        <v>0</v>
      </c>
      <c r="K144" s="11">
        <f>+SUMIFS(JURNAL!H:H,JURNAL!E:E,C144,JURNAL!C:C,"&gt;="&amp;$H$1,JURNAL!C:C,"&lt;="&amp;$I$1)</f>
        <v>0</v>
      </c>
      <c r="L144" s="26">
        <f t="shared" si="46"/>
        <v>0</v>
      </c>
      <c r="M144" s="27">
        <f t="shared" si="47"/>
        <v>0</v>
      </c>
      <c r="N144" s="11"/>
      <c r="O144" s="11"/>
      <c r="P144" s="11"/>
      <c r="Q144" s="11"/>
      <c r="R144" s="26">
        <f t="shared" si="48"/>
        <v>0</v>
      </c>
      <c r="S144" s="27">
        <f t="shared" si="49"/>
        <v>0</v>
      </c>
      <c r="T144" s="11">
        <f t="shared" si="50"/>
        <v>0</v>
      </c>
      <c r="U144" s="11">
        <f t="shared" si="51"/>
        <v>0</v>
      </c>
      <c r="V144" s="26">
        <f t="shared" si="52"/>
        <v>0</v>
      </c>
      <c r="W144" s="27">
        <f t="shared" si="53"/>
        <v>0</v>
      </c>
      <c r="X144" s="4">
        <v>5101</v>
      </c>
      <c r="Y144" s="4"/>
      <c r="Z144" s="4"/>
      <c r="AA144" s="12">
        <f t="shared" si="34"/>
        <v>0</v>
      </c>
      <c r="AC144" s="6" t="s">
        <v>458</v>
      </c>
      <c r="AD144" s="21" t="str">
        <f t="shared" si="25"/>
        <v>н-702000</v>
      </c>
      <c r="AE144" s="80" t="str">
        <f t="shared" si="26"/>
        <v>н</v>
      </c>
      <c r="AF144" s="21" t="str">
        <f t="shared" si="27"/>
        <v>Түлш, шатахуун</v>
      </c>
      <c r="AJ144" s="413"/>
      <c r="AK144" s="413"/>
      <c r="AL144" s="413"/>
      <c r="AM144" s="413"/>
      <c r="AN144" s="414"/>
      <c r="AO144" s="414"/>
    </row>
    <row r="145" spans="1:41" ht="12.75" customHeight="1">
      <c r="A145" s="24"/>
      <c r="B145" s="105">
        <f t="shared" si="35"/>
        <v>142</v>
      </c>
      <c r="C145" s="6">
        <v>511000</v>
      </c>
      <c r="D145" s="6" t="s">
        <v>541</v>
      </c>
      <c r="E145" s="9" t="s">
        <v>32</v>
      </c>
      <c r="F145" s="6"/>
      <c r="G145" s="6"/>
      <c r="H145" s="11"/>
      <c r="I145" s="11"/>
      <c r="J145" s="11">
        <f>+SUMIFS(JURNAL!G:G,JURNAL!E:E,C145,JURNAL!C:C,"&gt;="&amp;$H$1,JURNAL!C:C,"&lt;="&amp;$I$1)</f>
        <v>0</v>
      </c>
      <c r="K145" s="11">
        <f>+SUMIFS(JURNAL!H:H,JURNAL!E:E,C145,JURNAL!C:C,"&gt;="&amp;$H$1,JURNAL!C:C,"&lt;="&amp;$I$1)</f>
        <v>0</v>
      </c>
      <c r="L145" s="26">
        <f t="shared" si="46"/>
        <v>0</v>
      </c>
      <c r="M145" s="27">
        <f t="shared" si="47"/>
        <v>0</v>
      </c>
      <c r="N145" s="11"/>
      <c r="O145" s="11"/>
      <c r="P145" s="11"/>
      <c r="Q145" s="11"/>
      <c r="R145" s="26">
        <f t="shared" si="48"/>
        <v>0</v>
      </c>
      <c r="S145" s="27">
        <f t="shared" si="49"/>
        <v>0</v>
      </c>
      <c r="T145" s="11">
        <f t="shared" si="50"/>
        <v>0</v>
      </c>
      <c r="U145" s="11">
        <f t="shared" si="51"/>
        <v>0</v>
      </c>
      <c r="V145" s="26">
        <f t="shared" si="52"/>
        <v>0</v>
      </c>
      <c r="W145" s="27">
        <f t="shared" si="53"/>
        <v>0</v>
      </c>
      <c r="X145" s="4">
        <v>8402</v>
      </c>
      <c r="Y145" s="4"/>
      <c r="Z145" s="4"/>
      <c r="AA145" s="12">
        <f t="shared" si="34"/>
        <v>0</v>
      </c>
      <c r="AC145" s="6" t="s">
        <v>459</v>
      </c>
      <c r="AD145" s="21" t="str">
        <f t="shared" si="25"/>
        <v>л-702100</v>
      </c>
      <c r="AE145" s="80" t="str">
        <f t="shared" si="26"/>
        <v>л</v>
      </c>
      <c r="AF145" s="21" t="str">
        <f t="shared" si="27"/>
        <v>Тослох материал</v>
      </c>
      <c r="AJ145" s="413"/>
      <c r="AK145" s="413"/>
      <c r="AL145" s="413"/>
      <c r="AM145" s="413"/>
      <c r="AN145" s="414"/>
      <c r="AO145" s="414"/>
    </row>
    <row r="146" spans="1:41" ht="12.75" customHeight="1">
      <c r="A146" s="24"/>
      <c r="B146" s="105">
        <f t="shared" si="35"/>
        <v>143</v>
      </c>
      <c r="C146" s="6">
        <v>511100</v>
      </c>
      <c r="D146" s="6" t="s">
        <v>548</v>
      </c>
      <c r="E146" s="9" t="s">
        <v>32</v>
      </c>
      <c r="F146" s="6"/>
      <c r="G146" s="6"/>
      <c r="H146" s="11"/>
      <c r="I146" s="11"/>
      <c r="J146" s="11">
        <f>+SUMIFS(JURNAL!G:G,JURNAL!E:E,C146,JURNAL!C:C,"&gt;="&amp;$H$1,JURNAL!C:C,"&lt;="&amp;$I$1)</f>
        <v>0</v>
      </c>
      <c r="K146" s="11">
        <f>+SUMIFS(JURNAL!H:H,JURNAL!E:E,C146,JURNAL!C:C,"&gt;="&amp;$H$1,JURNAL!C:C,"&lt;="&amp;$I$1)</f>
        <v>0</v>
      </c>
      <c r="L146" s="26">
        <f t="shared" si="46"/>
        <v>0</v>
      </c>
      <c r="M146" s="27">
        <f t="shared" si="47"/>
        <v>0</v>
      </c>
      <c r="N146" s="11"/>
      <c r="O146" s="11"/>
      <c r="P146" s="11"/>
      <c r="Q146" s="11"/>
      <c r="R146" s="26">
        <f t="shared" si="48"/>
        <v>0</v>
      </c>
      <c r="S146" s="27">
        <f t="shared" si="49"/>
        <v>0</v>
      </c>
      <c r="T146" s="11">
        <f t="shared" si="50"/>
        <v>0</v>
      </c>
      <c r="U146" s="11">
        <f t="shared" si="51"/>
        <v>0</v>
      </c>
      <c r="V146" s="26">
        <f t="shared" si="52"/>
        <v>0</v>
      </c>
      <c r="W146" s="27">
        <f t="shared" si="53"/>
        <v>0</v>
      </c>
      <c r="X146" s="4">
        <v>5111</v>
      </c>
      <c r="Y146" s="4"/>
      <c r="Z146" s="4"/>
      <c r="AA146" s="12">
        <f t="shared" si="34"/>
        <v>0</v>
      </c>
      <c r="AC146" s="6" t="s">
        <v>460</v>
      </c>
      <c r="AD146" s="21" t="str">
        <f t="shared" si="25"/>
        <v>л-702300</v>
      </c>
      <c r="AE146" s="80" t="str">
        <f t="shared" si="26"/>
        <v>л</v>
      </c>
      <c r="AF146" s="21" t="str">
        <f t="shared" si="27"/>
        <v>Шагнал, урамшуулал</v>
      </c>
      <c r="AJ146" s="413"/>
      <c r="AK146" s="413"/>
      <c r="AL146" s="413"/>
      <c r="AM146" s="413"/>
      <c r="AN146" s="414"/>
      <c r="AO146" s="414"/>
    </row>
    <row r="147" spans="1:41" ht="12.75" customHeight="1">
      <c r="A147" s="24"/>
      <c r="B147" s="105">
        <f t="shared" si="35"/>
        <v>144</v>
      </c>
      <c r="C147" s="6">
        <v>511200</v>
      </c>
      <c r="D147" s="6" t="s">
        <v>553</v>
      </c>
      <c r="E147" s="9" t="s">
        <v>32</v>
      </c>
      <c r="F147" s="6"/>
      <c r="G147" s="6"/>
      <c r="H147" s="11"/>
      <c r="I147" s="11"/>
      <c r="J147" s="11">
        <f>+SUMIFS(JURNAL!G:G,JURNAL!E:E,C147,JURNAL!C:C,"&gt;="&amp;$H$1,JURNAL!C:C,"&lt;="&amp;$I$1)</f>
        <v>0</v>
      </c>
      <c r="K147" s="11">
        <f>+SUMIFS(JURNAL!H:H,JURNAL!E:E,C147,JURNAL!C:C,"&gt;="&amp;$H$1,JURNAL!C:C,"&lt;="&amp;$I$1)</f>
        <v>0</v>
      </c>
      <c r="L147" s="26">
        <f t="shared" si="46"/>
        <v>0</v>
      </c>
      <c r="M147" s="27">
        <f t="shared" si="47"/>
        <v>0</v>
      </c>
      <c r="N147" s="11"/>
      <c r="O147" s="11"/>
      <c r="P147" s="11"/>
      <c r="Q147" s="11"/>
      <c r="R147" s="26">
        <f t="shared" si="48"/>
        <v>0</v>
      </c>
      <c r="S147" s="27">
        <f t="shared" si="49"/>
        <v>0</v>
      </c>
      <c r="T147" s="11">
        <f t="shared" si="50"/>
        <v>0</v>
      </c>
      <c r="U147" s="11">
        <f t="shared" si="51"/>
        <v>0</v>
      </c>
      <c r="V147" s="26">
        <f t="shared" si="52"/>
        <v>0</v>
      </c>
      <c r="W147" s="27">
        <f t="shared" si="53"/>
        <v>0</v>
      </c>
      <c r="X147" s="4">
        <v>5112</v>
      </c>
      <c r="Y147" s="4"/>
      <c r="Z147" s="4"/>
      <c r="AA147" s="12">
        <f t="shared" si="34"/>
        <v>0</v>
      </c>
      <c r="AC147" s="6" t="s">
        <v>461</v>
      </c>
      <c r="AD147" s="21" t="str">
        <f t="shared" si="25"/>
        <v>л-702500</v>
      </c>
      <c r="AE147" s="80" t="str">
        <f t="shared" si="26"/>
        <v>л</v>
      </c>
      <c r="AF147" s="21" t="str">
        <f t="shared" si="27"/>
        <v>Зээлийн хүүгийн зардал</v>
      </c>
      <c r="AJ147" s="413"/>
      <c r="AK147" s="413"/>
      <c r="AL147" s="413"/>
      <c r="AM147" s="413"/>
      <c r="AN147" s="414"/>
      <c r="AO147" s="414"/>
    </row>
    <row r="148" spans="1:41" ht="12.75" customHeight="1">
      <c r="A148" s="24"/>
      <c r="B148" s="105">
        <f t="shared" si="35"/>
        <v>145</v>
      </c>
      <c r="C148" s="6">
        <v>511300</v>
      </c>
      <c r="D148" s="6" t="s">
        <v>558</v>
      </c>
      <c r="E148" s="9" t="s">
        <v>32</v>
      </c>
      <c r="F148" s="6"/>
      <c r="G148" s="6"/>
      <c r="H148" s="11"/>
      <c r="I148" s="11"/>
      <c r="J148" s="11">
        <f>+SUMIFS(JURNAL!G:G,JURNAL!E:E,C148,JURNAL!C:C,"&gt;="&amp;$H$1,JURNAL!C:C,"&lt;="&amp;$I$1)</f>
        <v>0</v>
      </c>
      <c r="K148" s="11">
        <f>+SUMIFS(JURNAL!H:H,JURNAL!E:E,C148,JURNAL!C:C,"&gt;="&amp;$H$1,JURNAL!C:C,"&lt;="&amp;$I$1)</f>
        <v>0</v>
      </c>
      <c r="L148" s="26">
        <f t="shared" si="46"/>
        <v>0</v>
      </c>
      <c r="M148" s="27">
        <f t="shared" si="47"/>
        <v>0</v>
      </c>
      <c r="N148" s="11"/>
      <c r="O148" s="11"/>
      <c r="P148" s="11"/>
      <c r="Q148" s="11"/>
      <c r="R148" s="26">
        <f t="shared" si="48"/>
        <v>0</v>
      </c>
      <c r="S148" s="27">
        <f t="shared" si="49"/>
        <v>0</v>
      </c>
      <c r="T148" s="11">
        <f t="shared" si="50"/>
        <v>0</v>
      </c>
      <c r="U148" s="11">
        <f t="shared" si="51"/>
        <v>0</v>
      </c>
      <c r="V148" s="26">
        <f t="shared" si="52"/>
        <v>0</v>
      </c>
      <c r="W148" s="27">
        <f t="shared" si="53"/>
        <v>0</v>
      </c>
      <c r="X148" s="4">
        <v>5113</v>
      </c>
      <c r="Y148" s="4"/>
      <c r="Z148" s="4"/>
      <c r="AA148" s="12">
        <f t="shared" si="34"/>
        <v>0</v>
      </c>
      <c r="AC148" s="6" t="s">
        <v>462</v>
      </c>
      <c r="AD148" s="21" t="str">
        <f t="shared" si="25"/>
        <v>л-702400</v>
      </c>
      <c r="AE148" s="80" t="str">
        <f t="shared" si="26"/>
        <v>л</v>
      </c>
      <c r="AF148" s="21" t="str">
        <f t="shared" si="27"/>
        <v>Захиргааны зардал</v>
      </c>
      <c r="AJ148" s="413"/>
      <c r="AK148" s="413"/>
      <c r="AL148" s="413"/>
      <c r="AM148" s="413"/>
      <c r="AN148" s="414"/>
      <c r="AO148" s="414"/>
    </row>
    <row r="149" spans="1:41" ht="12.75" customHeight="1">
      <c r="A149" s="24"/>
      <c r="B149" s="105">
        <f t="shared" si="35"/>
        <v>146</v>
      </c>
      <c r="C149" s="6">
        <v>511400</v>
      </c>
      <c r="D149" s="6" t="s">
        <v>563</v>
      </c>
      <c r="E149" s="9" t="s">
        <v>32</v>
      </c>
      <c r="F149" s="6"/>
      <c r="G149" s="6"/>
      <c r="H149" s="11"/>
      <c r="I149" s="11"/>
      <c r="J149" s="11">
        <f>+SUMIFS(JURNAL!G:G,JURNAL!E:E,C149,JURNAL!C:C,"&gt;="&amp;$H$1,JURNAL!C:C,"&lt;="&amp;$I$1)</f>
        <v>0</v>
      </c>
      <c r="K149" s="11">
        <f>+SUMIFS(JURNAL!H:H,JURNAL!E:E,C149,JURNAL!C:C,"&gt;="&amp;$H$1,JURNAL!C:C,"&lt;="&amp;$I$1)</f>
        <v>0</v>
      </c>
      <c r="L149" s="26">
        <f t="shared" si="46"/>
        <v>0</v>
      </c>
      <c r="M149" s="27">
        <f t="shared" si="47"/>
        <v>0</v>
      </c>
      <c r="N149" s="11"/>
      <c r="O149" s="11"/>
      <c r="P149" s="11"/>
      <c r="Q149" s="11"/>
      <c r="R149" s="26">
        <f t="shared" si="48"/>
        <v>0</v>
      </c>
      <c r="S149" s="27">
        <f t="shared" si="49"/>
        <v>0</v>
      </c>
      <c r="T149" s="11">
        <f t="shared" si="50"/>
        <v>0</v>
      </c>
      <c r="U149" s="11">
        <f t="shared" si="51"/>
        <v>0</v>
      </c>
      <c r="V149" s="26">
        <f t="shared" si="52"/>
        <v>0</v>
      </c>
      <c r="W149" s="27">
        <f t="shared" si="53"/>
        <v>0</v>
      </c>
      <c r="X149" s="4">
        <v>5114</v>
      </c>
      <c r="Y149" s="4"/>
      <c r="Z149" s="4"/>
      <c r="AA149" s="12">
        <f t="shared" si="34"/>
        <v>0</v>
      </c>
      <c r="AC149" s="6" t="s">
        <v>463</v>
      </c>
      <c r="AD149" s="21" t="str">
        <f t="shared" si="25"/>
        <v>ж-702600</v>
      </c>
      <c r="AE149" s="80" t="str">
        <f t="shared" si="26"/>
        <v>ж</v>
      </c>
      <c r="AF149" s="21" t="str">
        <f t="shared" si="27"/>
        <v>Сайн дурын даатгалын хураамж</v>
      </c>
      <c r="AJ149" s="413"/>
      <c r="AK149" s="413"/>
      <c r="AL149" s="413"/>
      <c r="AM149" s="413"/>
      <c r="AN149" s="414"/>
      <c r="AO149" s="414"/>
    </row>
    <row r="150" spans="1:41" ht="12.75" customHeight="1">
      <c r="A150" s="24"/>
      <c r="B150" s="105">
        <f t="shared" si="35"/>
        <v>147</v>
      </c>
      <c r="C150" s="6">
        <v>511500</v>
      </c>
      <c r="D150" s="6" t="s">
        <v>568</v>
      </c>
      <c r="E150" s="9" t="s">
        <v>32</v>
      </c>
      <c r="F150" s="6"/>
      <c r="G150" s="6"/>
      <c r="H150" s="11"/>
      <c r="I150" s="11"/>
      <c r="J150" s="11">
        <f>+SUMIFS(JURNAL!G:G,JURNAL!E:E,C150,JURNAL!C:C,"&gt;="&amp;$H$1,JURNAL!C:C,"&lt;="&amp;$I$1)</f>
        <v>0</v>
      </c>
      <c r="K150" s="11">
        <f>+SUMIFS(JURNAL!H:H,JURNAL!E:E,C150,JURNAL!C:C,"&gt;="&amp;$H$1,JURNAL!C:C,"&lt;="&amp;$I$1)</f>
        <v>0</v>
      </c>
      <c r="L150" s="26">
        <f t="shared" si="46"/>
        <v>0</v>
      </c>
      <c r="M150" s="27">
        <f t="shared" si="47"/>
        <v>0</v>
      </c>
      <c r="N150" s="11"/>
      <c r="O150" s="11"/>
      <c r="P150" s="11"/>
      <c r="Q150" s="11"/>
      <c r="R150" s="26">
        <f t="shared" si="48"/>
        <v>0</v>
      </c>
      <c r="S150" s="27">
        <f t="shared" si="49"/>
        <v>0</v>
      </c>
      <c r="T150" s="11">
        <f t="shared" si="50"/>
        <v>0</v>
      </c>
      <c r="U150" s="11">
        <f t="shared" si="51"/>
        <v>0</v>
      </c>
      <c r="V150" s="26">
        <f t="shared" si="52"/>
        <v>0</v>
      </c>
      <c r="W150" s="27">
        <f t="shared" si="53"/>
        <v>0</v>
      </c>
      <c r="X150" s="4">
        <v>5115</v>
      </c>
      <c r="Y150" s="4"/>
      <c r="Z150" s="4"/>
      <c r="AA150" s="12">
        <f t="shared" si="34"/>
        <v>0</v>
      </c>
      <c r="AC150" s="6" t="s">
        <v>464</v>
      </c>
      <c r="AD150" s="21" t="str">
        <f t="shared" si="25"/>
        <v>ж-702700</v>
      </c>
      <c r="AE150" s="80" t="str">
        <f t="shared" si="26"/>
        <v>ж</v>
      </c>
      <c r="AF150" s="21" t="str">
        <f t="shared" si="27"/>
        <v>Заавал даатгуулах даатгалын хураамж</v>
      </c>
      <c r="AJ150" s="413"/>
      <c r="AK150" s="413"/>
      <c r="AL150" s="413"/>
      <c r="AM150" s="413"/>
      <c r="AN150" s="414"/>
      <c r="AO150" s="414"/>
    </row>
    <row r="151" spans="1:41" ht="12.75" customHeight="1">
      <c r="A151" s="24"/>
      <c r="B151" s="105">
        <f t="shared" si="35"/>
        <v>148</v>
      </c>
      <c r="C151" s="6">
        <v>610100</v>
      </c>
      <c r="D151" s="6" t="s">
        <v>573</v>
      </c>
      <c r="E151" s="9" t="s">
        <v>32</v>
      </c>
      <c r="F151" s="6"/>
      <c r="G151" s="6"/>
      <c r="H151" s="11"/>
      <c r="I151" s="11"/>
      <c r="J151" s="11">
        <f>+SUMIFS(JURNAL!G:G,JURNAL!E:E,C151,JURNAL!C:C,"&gt;="&amp;$H$1,JURNAL!C:C,"&lt;="&amp;$I$1)</f>
        <v>64711364.002043262</v>
      </c>
      <c r="K151" s="11">
        <f>+SUMIFS(JURNAL!H:H,JURNAL!E:E,C151,JURNAL!C:C,"&gt;="&amp;$H$1,JURNAL!C:C,"&lt;="&amp;$I$1)</f>
        <v>0</v>
      </c>
      <c r="L151" s="26">
        <f t="shared" si="46"/>
        <v>64711364.002043262</v>
      </c>
      <c r="M151" s="27">
        <f t="shared" si="47"/>
        <v>0</v>
      </c>
      <c r="N151" s="11"/>
      <c r="O151" s="11"/>
      <c r="P151" s="11"/>
      <c r="Q151" s="11"/>
      <c r="R151" s="26">
        <f t="shared" si="48"/>
        <v>64711364.002043262</v>
      </c>
      <c r="S151" s="27">
        <f t="shared" si="49"/>
        <v>0</v>
      </c>
      <c r="T151" s="11">
        <f t="shared" si="50"/>
        <v>0</v>
      </c>
      <c r="U151" s="11">
        <f t="shared" si="51"/>
        <v>64711364.002043262</v>
      </c>
      <c r="V151" s="26">
        <f t="shared" si="52"/>
        <v>0</v>
      </c>
      <c r="W151" s="27">
        <f t="shared" si="53"/>
        <v>0</v>
      </c>
      <c r="X151" s="4">
        <v>6101</v>
      </c>
      <c r="Y151" s="4"/>
      <c r="Z151" s="4"/>
      <c r="AA151" s="12">
        <f t="shared" si="34"/>
        <v>1</v>
      </c>
      <c r="AC151" s="6" t="s">
        <v>465</v>
      </c>
      <c r="AD151" s="21" t="str">
        <f t="shared" si="25"/>
        <v>р-702800</v>
      </c>
      <c r="AE151" s="80" t="str">
        <f t="shared" si="26"/>
        <v>р</v>
      </c>
      <c r="AF151" s="21" t="str">
        <f t="shared" si="27"/>
        <v>Аудитын төлбөр</v>
      </c>
      <c r="AJ151" s="413"/>
      <c r="AK151" s="413"/>
      <c r="AL151" s="413"/>
      <c r="AM151" s="413"/>
      <c r="AN151" s="414"/>
      <c r="AO151" s="414"/>
    </row>
    <row r="152" spans="1:41" ht="12.75" customHeight="1">
      <c r="A152" s="24"/>
      <c r="B152" s="105">
        <f t="shared" si="35"/>
        <v>149</v>
      </c>
      <c r="C152" s="6">
        <v>610101</v>
      </c>
      <c r="D152" s="6" t="s">
        <v>973</v>
      </c>
      <c r="E152" s="9" t="s">
        <v>32</v>
      </c>
      <c r="F152" s="6"/>
      <c r="G152" s="6"/>
      <c r="H152" s="11"/>
      <c r="I152" s="11"/>
      <c r="J152" s="11">
        <f>+SUMIFS(JURNAL!G:G,JURNAL!E:E,C152,JURNAL!C:C,"&gt;="&amp;$H$1,JURNAL!C:C,"&lt;="&amp;$I$1)</f>
        <v>0</v>
      </c>
      <c r="K152" s="11">
        <f>+SUMIFS(JURNAL!H:H,JURNAL!E:E,C152,JURNAL!C:C,"&gt;="&amp;$H$1,JURNAL!C:C,"&lt;="&amp;$I$1)</f>
        <v>0</v>
      </c>
      <c r="L152" s="26">
        <f t="shared" si="46"/>
        <v>0</v>
      </c>
      <c r="M152" s="27">
        <f t="shared" si="47"/>
        <v>0</v>
      </c>
      <c r="N152" s="11"/>
      <c r="O152" s="11"/>
      <c r="P152" s="11"/>
      <c r="Q152" s="11"/>
      <c r="R152" s="26">
        <f t="shared" si="48"/>
        <v>0</v>
      </c>
      <c r="S152" s="27">
        <f t="shared" si="49"/>
        <v>0</v>
      </c>
      <c r="T152" s="11">
        <f t="shared" si="50"/>
        <v>0</v>
      </c>
      <c r="U152" s="11">
        <f t="shared" si="51"/>
        <v>0</v>
      </c>
      <c r="V152" s="26">
        <f t="shared" si="52"/>
        <v>0</v>
      </c>
      <c r="W152" s="27">
        <f t="shared" si="53"/>
        <v>0</v>
      </c>
      <c r="X152" s="4">
        <v>6101</v>
      </c>
      <c r="Y152" s="4"/>
      <c r="Z152" s="4"/>
      <c r="AA152" s="12">
        <f t="shared" si="34"/>
        <v>0</v>
      </c>
      <c r="AC152" s="6" t="s">
        <v>466</v>
      </c>
      <c r="AD152" s="21" t="str">
        <f t="shared" ref="AD152:AD189" si="54">+RIGHT(AC152,8)</f>
        <v>с-703300</v>
      </c>
      <c r="AE152" s="80" t="str">
        <f t="shared" ref="AE152:AE189" si="55">+LEFT(AD152,1)</f>
        <v>с</v>
      </c>
      <c r="AF152" s="21" t="str">
        <f t="shared" si="27"/>
        <v>Орчуулгын хөлс</v>
      </c>
      <c r="AJ152" s="413"/>
      <c r="AK152" s="413"/>
      <c r="AL152" s="413"/>
      <c r="AM152" s="413"/>
      <c r="AN152" s="414"/>
      <c r="AO152" s="414"/>
    </row>
    <row r="153" spans="1:41" ht="12.75" customHeight="1">
      <c r="A153" s="24"/>
      <c r="B153" s="105">
        <f t="shared" si="35"/>
        <v>150</v>
      </c>
      <c r="C153" s="6">
        <v>610200</v>
      </c>
      <c r="D153" s="6" t="s">
        <v>578</v>
      </c>
      <c r="E153" s="9" t="s">
        <v>32</v>
      </c>
      <c r="F153" s="6"/>
      <c r="G153" s="6"/>
      <c r="H153" s="11"/>
      <c r="I153" s="11"/>
      <c r="J153" s="11">
        <f>+SUMIFS(JURNAL!G:G,JURNAL!E:E,C153,JURNAL!C:C,"&gt;="&amp;$H$1,JURNAL!C:C,"&lt;="&amp;$I$1)</f>
        <v>0</v>
      </c>
      <c r="K153" s="11">
        <f>+SUMIFS(JURNAL!H:H,JURNAL!E:E,C153,JURNAL!C:C,"&gt;="&amp;$H$1,JURNAL!C:C,"&lt;="&amp;$I$1)</f>
        <v>0</v>
      </c>
      <c r="L153" s="26">
        <f t="shared" si="46"/>
        <v>0</v>
      </c>
      <c r="M153" s="27">
        <f t="shared" si="47"/>
        <v>0</v>
      </c>
      <c r="N153" s="11"/>
      <c r="O153" s="11"/>
      <c r="P153" s="11"/>
      <c r="Q153" s="11"/>
      <c r="R153" s="26">
        <f t="shared" si="48"/>
        <v>0</v>
      </c>
      <c r="S153" s="27">
        <f t="shared" si="49"/>
        <v>0</v>
      </c>
      <c r="T153" s="11">
        <f t="shared" si="50"/>
        <v>0</v>
      </c>
      <c r="U153" s="11">
        <f t="shared" si="51"/>
        <v>0</v>
      </c>
      <c r="V153" s="26">
        <f t="shared" si="52"/>
        <v>0</v>
      </c>
      <c r="W153" s="27">
        <f t="shared" si="53"/>
        <v>0</v>
      </c>
      <c r="X153" s="4">
        <v>6101</v>
      </c>
      <c r="Y153" s="4"/>
      <c r="Z153" s="4"/>
      <c r="AA153" s="12">
        <f t="shared" si="34"/>
        <v>0</v>
      </c>
      <c r="AC153" s="6" t="s">
        <v>467</v>
      </c>
      <c r="AD153" s="21" t="str">
        <f t="shared" si="54"/>
        <v>э-703400</v>
      </c>
      <c r="AE153" s="80" t="str">
        <f t="shared" si="55"/>
        <v>э</v>
      </c>
      <c r="AF153" s="21" t="str">
        <f t="shared" si="27"/>
        <v>Мэргэжлийн байгууллагаар гүйцэтгүүслэн ажил үйлчилгээ</v>
      </c>
      <c r="AJ153" s="413"/>
      <c r="AK153" s="413"/>
      <c r="AL153" s="413"/>
      <c r="AM153" s="413"/>
      <c r="AN153" s="414"/>
      <c r="AO153" s="414"/>
    </row>
    <row r="154" spans="1:41" ht="12.75" customHeight="1">
      <c r="A154" s="24"/>
      <c r="B154" s="105">
        <f t="shared" si="35"/>
        <v>151</v>
      </c>
      <c r="C154" s="6">
        <v>610300</v>
      </c>
      <c r="D154" s="6" t="s">
        <v>583</v>
      </c>
      <c r="E154" s="9" t="s">
        <v>32</v>
      </c>
      <c r="F154" s="6"/>
      <c r="G154" s="6"/>
      <c r="H154" s="11"/>
      <c r="I154" s="11"/>
      <c r="J154" s="11">
        <f>+SUMIFS(JURNAL!G:G,JURNAL!E:E,C154,JURNAL!C:C,"&gt;="&amp;$H$1,JURNAL!C:C,"&lt;="&amp;$I$1)</f>
        <v>0</v>
      </c>
      <c r="K154" s="11">
        <f>+SUMIFS(JURNAL!H:H,JURNAL!E:E,C154,JURNAL!C:C,"&gt;="&amp;$H$1,JURNAL!C:C,"&lt;="&amp;$I$1)</f>
        <v>0</v>
      </c>
      <c r="L154" s="26">
        <f t="shared" si="46"/>
        <v>0</v>
      </c>
      <c r="M154" s="27">
        <f t="shared" si="47"/>
        <v>0</v>
      </c>
      <c r="N154" s="11"/>
      <c r="O154" s="11"/>
      <c r="P154" s="11"/>
      <c r="Q154" s="11"/>
      <c r="R154" s="26">
        <f t="shared" si="48"/>
        <v>0</v>
      </c>
      <c r="S154" s="27">
        <f t="shared" si="49"/>
        <v>0</v>
      </c>
      <c r="T154" s="11">
        <f t="shared" si="50"/>
        <v>0</v>
      </c>
      <c r="U154" s="11">
        <f t="shared" si="51"/>
        <v>0</v>
      </c>
      <c r="V154" s="26">
        <f t="shared" si="52"/>
        <v>0</v>
      </c>
      <c r="W154" s="27">
        <f t="shared" si="53"/>
        <v>0</v>
      </c>
      <c r="X154" s="4">
        <v>6101</v>
      </c>
      <c r="Y154" s="4"/>
      <c r="Z154" s="4"/>
      <c r="AA154" s="12">
        <f t="shared" si="34"/>
        <v>0</v>
      </c>
      <c r="AC154" s="6" t="s">
        <v>468</v>
      </c>
      <c r="AD154" s="21" t="str">
        <f t="shared" si="54"/>
        <v>л-703700</v>
      </c>
      <c r="AE154" s="80" t="str">
        <f t="shared" si="55"/>
        <v>л</v>
      </c>
      <c r="AF154" s="21" t="str">
        <f t="shared" si="27"/>
        <v>Бичиг хэргийн зардал</v>
      </c>
      <c r="AJ154" s="413"/>
      <c r="AK154" s="413"/>
      <c r="AL154" s="413"/>
      <c r="AM154" s="413"/>
      <c r="AN154" s="414"/>
      <c r="AO154" s="414"/>
    </row>
    <row r="155" spans="1:41" ht="12.75" customHeight="1">
      <c r="A155" s="24"/>
      <c r="B155" s="105">
        <f t="shared" si="35"/>
        <v>152</v>
      </c>
      <c r="C155" s="6">
        <v>700100</v>
      </c>
      <c r="D155" s="6" t="s">
        <v>276</v>
      </c>
      <c r="E155" s="9" t="s">
        <v>32</v>
      </c>
      <c r="F155" s="6"/>
      <c r="G155" s="6"/>
      <c r="H155" s="11"/>
      <c r="I155" s="11"/>
      <c r="J155" s="11">
        <f>+SUMIFS(JURNAL!G:G,JURNAL!E:E,C155,JURNAL!C:C,"&gt;="&amp;$H$1,JURNAL!C:C,"&lt;="&amp;$I$1)</f>
        <v>30947484.699999996</v>
      </c>
      <c r="K155" s="11">
        <f>+SUMIFS(JURNAL!H:H,JURNAL!E:E,C155,JURNAL!C:C,"&gt;="&amp;$H$1,JURNAL!C:C,"&lt;="&amp;$I$1)</f>
        <v>15947484.696969697</v>
      </c>
      <c r="L155" s="26">
        <f t="shared" si="46"/>
        <v>15000000.003030298</v>
      </c>
      <c r="M155" s="27">
        <f t="shared" si="47"/>
        <v>0</v>
      </c>
      <c r="N155" s="11"/>
      <c r="O155" s="11"/>
      <c r="P155" s="11"/>
      <c r="Q155" s="11"/>
      <c r="R155" s="26">
        <f t="shared" si="48"/>
        <v>15000000.003030298</v>
      </c>
      <c r="S155" s="27">
        <f t="shared" si="49"/>
        <v>0</v>
      </c>
      <c r="T155" s="11">
        <f t="shared" si="50"/>
        <v>0</v>
      </c>
      <c r="U155" s="11">
        <f t="shared" si="51"/>
        <v>15000000.003030298</v>
      </c>
      <c r="V155" s="26">
        <f t="shared" si="52"/>
        <v>0</v>
      </c>
      <c r="W155" s="27">
        <f t="shared" si="53"/>
        <v>0</v>
      </c>
      <c r="X155" s="4">
        <v>7002</v>
      </c>
      <c r="Y155" s="4"/>
      <c r="Z155" s="4"/>
      <c r="AA155" s="12">
        <f t="shared" si="34"/>
        <v>1</v>
      </c>
      <c r="AC155" s="6" t="s">
        <v>469</v>
      </c>
      <c r="AD155" s="21" t="str">
        <f t="shared" si="54"/>
        <v>л-703800</v>
      </c>
      <c r="AE155" s="80" t="str">
        <f t="shared" si="55"/>
        <v>л</v>
      </c>
      <c r="AF155" s="21" t="str">
        <f t="shared" si="27"/>
        <v>Хоол унааны зардал</v>
      </c>
      <c r="AJ155" s="413"/>
      <c r="AK155" s="413"/>
      <c r="AL155" s="413"/>
      <c r="AM155" s="413"/>
      <c r="AN155" s="414"/>
      <c r="AO155" s="414"/>
    </row>
    <row r="156" spans="1:41" ht="12.75" customHeight="1">
      <c r="A156" s="24"/>
      <c r="B156" s="105">
        <f t="shared" si="35"/>
        <v>153</v>
      </c>
      <c r="C156" s="6">
        <v>700200</v>
      </c>
      <c r="D156" s="6" t="s">
        <v>596</v>
      </c>
      <c r="E156" s="9" t="s">
        <v>32</v>
      </c>
      <c r="F156" s="6"/>
      <c r="G156" s="6"/>
      <c r="H156" s="11"/>
      <c r="I156" s="11"/>
      <c r="J156" s="11">
        <f>+SUMIFS(JURNAL!G:G,JURNAL!E:E,C156,JURNAL!C:C,"&gt;="&amp;$H$1,JURNAL!C:C,"&lt;="&amp;$I$1)</f>
        <v>3788202.3303030306</v>
      </c>
      <c r="K156" s="11">
        <f>+SUMIFS(JURNAL!H:H,JURNAL!E:E,C156,JURNAL!C:C,"&gt;="&amp;$H$1,JURNAL!C:C,"&lt;="&amp;$I$1)</f>
        <v>1930602.3303030303</v>
      </c>
      <c r="L156" s="26">
        <f t="shared" si="46"/>
        <v>1857600.0000000002</v>
      </c>
      <c r="M156" s="27">
        <f t="shared" si="47"/>
        <v>0</v>
      </c>
      <c r="N156" s="11"/>
      <c r="O156" s="11"/>
      <c r="P156" s="11"/>
      <c r="Q156" s="11"/>
      <c r="R156" s="26">
        <f t="shared" si="48"/>
        <v>1857600.0000000002</v>
      </c>
      <c r="S156" s="27">
        <f t="shared" si="49"/>
        <v>0</v>
      </c>
      <c r="T156" s="11">
        <f t="shared" si="50"/>
        <v>0</v>
      </c>
      <c r="U156" s="11">
        <f t="shared" si="51"/>
        <v>1857600.0000000002</v>
      </c>
      <c r="V156" s="26">
        <f t="shared" si="52"/>
        <v>0</v>
      </c>
      <c r="W156" s="27">
        <f t="shared" si="53"/>
        <v>0</v>
      </c>
      <c r="X156" s="4">
        <v>7002</v>
      </c>
      <c r="Y156" s="4"/>
      <c r="Z156" s="4"/>
      <c r="AA156" s="12">
        <f t="shared" si="34"/>
        <v>1</v>
      </c>
      <c r="AC156" s="6" t="s">
        <v>470</v>
      </c>
      <c r="AD156" s="21" t="str">
        <f t="shared" si="54"/>
        <v>р-703900</v>
      </c>
      <c r="AE156" s="80" t="str">
        <f t="shared" si="55"/>
        <v>р</v>
      </c>
      <c r="AF156" s="21" t="str">
        <f t="shared" si="27"/>
        <v>Үл хөдлөхийн татвар</v>
      </c>
      <c r="AJ156" s="413">
        <f>+U189+U180+STAT2!U189</f>
        <v>605741</v>
      </c>
      <c r="AK156" s="413"/>
      <c r="AL156" s="413"/>
      <c r="AM156" s="413"/>
      <c r="AN156" s="414"/>
      <c r="AO156" s="414"/>
    </row>
    <row r="157" spans="1:41" ht="12.75" customHeight="1">
      <c r="A157" s="24"/>
      <c r="B157" s="105">
        <f t="shared" si="35"/>
        <v>154</v>
      </c>
      <c r="C157" s="6">
        <v>700700</v>
      </c>
      <c r="D157" s="6" t="s">
        <v>601</v>
      </c>
      <c r="E157" s="9" t="s">
        <v>32</v>
      </c>
      <c r="F157" s="6"/>
      <c r="G157" s="6"/>
      <c r="H157" s="11"/>
      <c r="I157" s="11"/>
      <c r="J157" s="11">
        <f>+SUMIFS(JURNAL!G:G,JURNAL!E:E,C157,JURNAL!C:C,"&gt;="&amp;$H$1,JURNAL!C:C,"&lt;="&amp;$I$1)</f>
        <v>6634559.5</v>
      </c>
      <c r="K157" s="11">
        <f>+SUMIFS(JURNAL!H:H,JURNAL!E:E,C157,JURNAL!C:C,"&gt;="&amp;$H$1,JURNAL!C:C,"&lt;="&amp;$I$1)</f>
        <v>6302831.5249999994</v>
      </c>
      <c r="L157" s="26">
        <f t="shared" si="46"/>
        <v>331727.97500000056</v>
      </c>
      <c r="M157" s="27">
        <f t="shared" si="47"/>
        <v>0</v>
      </c>
      <c r="N157" s="11"/>
      <c r="O157" s="11"/>
      <c r="P157" s="11"/>
      <c r="Q157" s="11"/>
      <c r="R157" s="26">
        <f t="shared" si="48"/>
        <v>331727.97500000056</v>
      </c>
      <c r="S157" s="27">
        <f t="shared" si="49"/>
        <v>0</v>
      </c>
      <c r="T157" s="11">
        <f t="shared" si="50"/>
        <v>0</v>
      </c>
      <c r="U157" s="11">
        <f t="shared" si="51"/>
        <v>331727.97500000056</v>
      </c>
      <c r="V157" s="26">
        <f t="shared" si="52"/>
        <v>0</v>
      </c>
      <c r="W157" s="27">
        <f t="shared" si="53"/>
        <v>0</v>
      </c>
      <c r="X157" s="4">
        <v>7002</v>
      </c>
      <c r="Y157" s="4"/>
      <c r="Z157" s="4"/>
      <c r="AA157" s="12">
        <f t="shared" si="34"/>
        <v>1</v>
      </c>
      <c r="AC157" s="6" t="s">
        <v>471</v>
      </c>
      <c r="AD157" s="21" t="str">
        <f t="shared" si="54"/>
        <v>р-704000</v>
      </c>
      <c r="AE157" s="80" t="str">
        <f t="shared" si="55"/>
        <v>р</v>
      </c>
      <c r="AF157" s="21" t="str">
        <f t="shared" si="27"/>
        <v>Авто тээвэр, өөрөө явагч хэрэгслийн татвар</v>
      </c>
      <c r="AJ157" s="413"/>
      <c r="AK157" s="413"/>
      <c r="AL157" s="413"/>
      <c r="AM157" s="413"/>
      <c r="AN157" s="414"/>
      <c r="AO157" s="414"/>
    </row>
    <row r="158" spans="1:41" ht="12.75" customHeight="1">
      <c r="A158" s="24"/>
      <c r="B158" s="105">
        <f t="shared" si="35"/>
        <v>155</v>
      </c>
      <c r="C158" s="6">
        <v>700800</v>
      </c>
      <c r="D158" s="6" t="s">
        <v>606</v>
      </c>
      <c r="E158" s="9" t="s">
        <v>32</v>
      </c>
      <c r="F158" s="6"/>
      <c r="G158" s="6"/>
      <c r="H158" s="11"/>
      <c r="I158" s="11"/>
      <c r="J158" s="11">
        <f>+SUMIFS(JURNAL!G:G,JURNAL!E:E,C158,JURNAL!C:C,"&gt;="&amp;$H$1,JURNAL!C:C,"&lt;="&amp;$I$1)</f>
        <v>10330035.280000001</v>
      </c>
      <c r="K158" s="11">
        <f>+SUMIFS(JURNAL!H:H,JURNAL!E:E,C158,JURNAL!C:C,"&gt;="&amp;$H$1,JURNAL!C:C,"&lt;="&amp;$I$1)</f>
        <v>9828509.0709999986</v>
      </c>
      <c r="L158" s="26">
        <f t="shared" si="46"/>
        <v>501526.20900000259</v>
      </c>
      <c r="M158" s="27">
        <f t="shared" si="47"/>
        <v>0</v>
      </c>
      <c r="N158" s="11"/>
      <c r="O158" s="11"/>
      <c r="P158" s="11"/>
      <c r="Q158" s="11"/>
      <c r="R158" s="26">
        <f t="shared" si="48"/>
        <v>501526.20900000259</v>
      </c>
      <c r="S158" s="27">
        <f t="shared" si="49"/>
        <v>0</v>
      </c>
      <c r="T158" s="11">
        <f t="shared" si="50"/>
        <v>0</v>
      </c>
      <c r="U158" s="11">
        <f t="shared" si="51"/>
        <v>501526.20900000259</v>
      </c>
      <c r="V158" s="26">
        <f t="shared" si="52"/>
        <v>0</v>
      </c>
      <c r="W158" s="27">
        <f t="shared" si="53"/>
        <v>0</v>
      </c>
      <c r="X158" s="4">
        <v>7002</v>
      </c>
      <c r="Y158" s="4"/>
      <c r="Z158" s="4"/>
      <c r="AA158" s="12">
        <f t="shared" si="34"/>
        <v>1</v>
      </c>
      <c r="AC158" s="6" t="s">
        <v>472</v>
      </c>
      <c r="AD158" s="21" t="str">
        <f t="shared" si="54"/>
        <v>ж-704100</v>
      </c>
      <c r="AE158" s="80" t="str">
        <f t="shared" si="55"/>
        <v>ж</v>
      </c>
      <c r="AF158" s="21" t="str">
        <f t="shared" si="27"/>
        <v>Газар, байгалийн нөөц ашигласны төлбөр, хураамж</v>
      </c>
      <c r="AJ158" s="413"/>
      <c r="AK158" s="413"/>
      <c r="AL158" s="413"/>
      <c r="AM158" s="413"/>
      <c r="AN158" s="414"/>
      <c r="AO158" s="414"/>
    </row>
    <row r="159" spans="1:41" ht="12.75" customHeight="1">
      <c r="A159" s="24"/>
      <c r="B159" s="105">
        <f t="shared" si="35"/>
        <v>156</v>
      </c>
      <c r="C159" s="6">
        <v>700900</v>
      </c>
      <c r="D159" s="6" t="s">
        <v>611</v>
      </c>
      <c r="E159" s="9" t="s">
        <v>32</v>
      </c>
      <c r="F159" s="6"/>
      <c r="G159" s="6"/>
      <c r="H159" s="11"/>
      <c r="I159" s="11"/>
      <c r="J159" s="11">
        <f>+SUMIFS(JURNAL!G:G,JURNAL!E:E,C159,JURNAL!C:C,"&gt;="&amp;$H$1,JURNAL!C:C,"&lt;="&amp;$I$1)</f>
        <v>1188207</v>
      </c>
      <c r="K159" s="11">
        <f>+SUMIFS(JURNAL!H:H,JURNAL!E:E,C159,JURNAL!C:C,"&gt;="&amp;$H$1,JURNAL!C:C,"&lt;="&amp;$I$1)</f>
        <v>1128796.6499999999</v>
      </c>
      <c r="L159" s="26">
        <f t="shared" si="46"/>
        <v>59410.350000000093</v>
      </c>
      <c r="M159" s="27">
        <f t="shared" si="47"/>
        <v>0</v>
      </c>
      <c r="N159" s="11"/>
      <c r="O159" s="11"/>
      <c r="P159" s="11"/>
      <c r="Q159" s="11"/>
      <c r="R159" s="26">
        <f t="shared" si="48"/>
        <v>59410.350000000093</v>
      </c>
      <c r="S159" s="27">
        <f t="shared" si="49"/>
        <v>0</v>
      </c>
      <c r="T159" s="11">
        <f t="shared" si="50"/>
        <v>0</v>
      </c>
      <c r="U159" s="11">
        <f t="shared" si="51"/>
        <v>59410.350000000093</v>
      </c>
      <c r="V159" s="26">
        <f t="shared" si="52"/>
        <v>0</v>
      </c>
      <c r="W159" s="27">
        <f t="shared" si="53"/>
        <v>0</v>
      </c>
      <c r="X159" s="4">
        <v>7002</v>
      </c>
      <c r="Y159" s="4"/>
      <c r="Z159" s="4"/>
      <c r="AA159" s="12">
        <f t="shared" si="34"/>
        <v>1</v>
      </c>
      <c r="AC159" s="6" t="s">
        <v>473</v>
      </c>
      <c r="AD159" s="21" t="str">
        <f t="shared" si="54"/>
        <v>р-704200</v>
      </c>
      <c r="AE159" s="80" t="str">
        <f t="shared" si="55"/>
        <v>р</v>
      </c>
      <c r="AF159" s="21" t="str">
        <f t="shared" si="27"/>
        <v>Бууны татвар</v>
      </c>
      <c r="AJ159" s="413"/>
      <c r="AK159" s="413"/>
      <c r="AL159" s="413"/>
      <c r="AM159" s="413"/>
      <c r="AN159" s="414"/>
      <c r="AO159" s="414"/>
    </row>
    <row r="160" spans="1:41" ht="12.75" customHeight="1">
      <c r="A160" s="24"/>
      <c r="B160" s="105">
        <f t="shared" si="35"/>
        <v>157</v>
      </c>
      <c r="C160" s="6">
        <v>701000</v>
      </c>
      <c r="D160" s="6" t="s">
        <v>616</v>
      </c>
      <c r="E160" s="9" t="s">
        <v>32</v>
      </c>
      <c r="F160" s="6"/>
      <c r="G160" s="6"/>
      <c r="H160" s="11"/>
      <c r="I160" s="11"/>
      <c r="J160" s="11">
        <f>+SUMIFS(JURNAL!G:G,JURNAL!E:E,C160,JURNAL!C:C,"&gt;="&amp;$H$1,JURNAL!C:C,"&lt;="&amp;$I$1)</f>
        <v>0</v>
      </c>
      <c r="K160" s="11">
        <f>+SUMIFS(JURNAL!H:H,JURNAL!E:E,C160,JURNAL!C:C,"&gt;="&amp;$H$1,JURNAL!C:C,"&lt;="&amp;$I$1)</f>
        <v>0</v>
      </c>
      <c r="L160" s="26">
        <f t="shared" si="46"/>
        <v>0</v>
      </c>
      <c r="M160" s="27">
        <f t="shared" si="47"/>
        <v>0</v>
      </c>
      <c r="N160" s="11"/>
      <c r="O160" s="11"/>
      <c r="P160" s="11"/>
      <c r="Q160" s="11"/>
      <c r="R160" s="26">
        <f t="shared" si="48"/>
        <v>0</v>
      </c>
      <c r="S160" s="27">
        <f t="shared" si="49"/>
        <v>0</v>
      </c>
      <c r="T160" s="11">
        <f t="shared" si="50"/>
        <v>0</v>
      </c>
      <c r="U160" s="11">
        <f t="shared" si="51"/>
        <v>0</v>
      </c>
      <c r="V160" s="26">
        <f t="shared" si="52"/>
        <v>0</v>
      </c>
      <c r="W160" s="27">
        <f t="shared" si="53"/>
        <v>0</v>
      </c>
      <c r="X160" s="4">
        <v>7002</v>
      </c>
      <c r="Y160" s="4"/>
      <c r="Z160" s="4"/>
      <c r="AA160" s="12">
        <f t="shared" si="34"/>
        <v>0</v>
      </c>
      <c r="AC160" s="6" t="s">
        <v>474</v>
      </c>
      <c r="AD160" s="21" t="str">
        <f t="shared" si="54"/>
        <v>л-704300</v>
      </c>
      <c r="AE160" s="80" t="str">
        <f t="shared" si="55"/>
        <v>л</v>
      </c>
      <c r="AF160" s="21" t="str">
        <f t="shared" si="27"/>
        <v>Лицензийн зардал</v>
      </c>
      <c r="AJ160" s="413"/>
      <c r="AK160" s="413"/>
      <c r="AL160" s="413"/>
      <c r="AM160" s="413"/>
      <c r="AN160" s="414"/>
      <c r="AO160" s="414"/>
    </row>
    <row r="161" spans="1:41" ht="12.75" customHeight="1">
      <c r="A161" s="24"/>
      <c r="B161" s="105">
        <f t="shared" si="35"/>
        <v>158</v>
      </c>
      <c r="C161" s="6">
        <v>701100</v>
      </c>
      <c r="D161" s="6" t="s">
        <v>278</v>
      </c>
      <c r="E161" s="9" t="s">
        <v>32</v>
      </c>
      <c r="F161" s="6"/>
      <c r="G161" s="6"/>
      <c r="H161" s="11"/>
      <c r="I161" s="11"/>
      <c r="J161" s="11">
        <f>+SUMIFS(JURNAL!G:G,JURNAL!E:E,C161,JURNAL!C:C,"&gt;="&amp;$H$1,JURNAL!C:C,"&lt;="&amp;$I$1)</f>
        <v>0</v>
      </c>
      <c r="K161" s="11">
        <f>+SUMIFS(JURNAL!H:H,JURNAL!E:E,C161,JURNAL!C:C,"&gt;="&amp;$H$1,JURNAL!C:C,"&lt;="&amp;$I$1)</f>
        <v>0</v>
      </c>
      <c r="L161" s="26">
        <f t="shared" si="46"/>
        <v>0</v>
      </c>
      <c r="M161" s="27">
        <f t="shared" si="47"/>
        <v>0</v>
      </c>
      <c r="N161" s="11"/>
      <c r="O161" s="11"/>
      <c r="P161" s="11"/>
      <c r="Q161" s="11"/>
      <c r="R161" s="26">
        <f t="shared" si="48"/>
        <v>0</v>
      </c>
      <c r="S161" s="27">
        <f t="shared" si="49"/>
        <v>0</v>
      </c>
      <c r="T161" s="11">
        <f t="shared" si="50"/>
        <v>0</v>
      </c>
      <c r="U161" s="11">
        <f t="shared" si="51"/>
        <v>0</v>
      </c>
      <c r="V161" s="26">
        <f t="shared" si="52"/>
        <v>0</v>
      </c>
      <c r="W161" s="27">
        <f t="shared" si="53"/>
        <v>0</v>
      </c>
      <c r="X161" s="4">
        <v>7002</v>
      </c>
      <c r="Y161" s="4"/>
      <c r="Z161" s="4"/>
      <c r="AA161" s="12">
        <f t="shared" si="34"/>
        <v>0</v>
      </c>
      <c r="AC161" s="6" t="s">
        <v>475</v>
      </c>
      <c r="AD161" s="21" t="str">
        <f t="shared" si="54"/>
        <v>а-704400</v>
      </c>
      <c r="AE161" s="80" t="str">
        <f t="shared" si="55"/>
        <v>а</v>
      </c>
      <c r="AF161" s="21" t="str">
        <f t="shared" si="27"/>
        <v>Хэвлэл захиалга</v>
      </c>
      <c r="AJ161" s="413"/>
      <c r="AK161" s="413"/>
      <c r="AL161" s="413"/>
      <c r="AM161" s="413"/>
      <c r="AN161" s="414"/>
      <c r="AO161" s="414"/>
    </row>
    <row r="162" spans="1:41" ht="12.75" customHeight="1">
      <c r="A162" s="24"/>
      <c r="B162" s="105">
        <f t="shared" si="35"/>
        <v>159</v>
      </c>
      <c r="C162" s="6">
        <v>701200</v>
      </c>
      <c r="D162" s="6" t="s">
        <v>279</v>
      </c>
      <c r="E162" s="9" t="s">
        <v>32</v>
      </c>
      <c r="F162" s="6"/>
      <c r="G162" s="6"/>
      <c r="H162" s="11"/>
      <c r="I162" s="11"/>
      <c r="J162" s="11">
        <f>+SUMIFS(JURNAL!G:G,JURNAL!E:E,C162,JURNAL!C:C,"&gt;="&amp;$H$1,JURNAL!C:C,"&lt;="&amp;$I$1)</f>
        <v>0</v>
      </c>
      <c r="K162" s="11">
        <f>+SUMIFS(JURNAL!H:H,JURNAL!E:E,C162,JURNAL!C:C,"&gt;="&amp;$H$1,JURNAL!C:C,"&lt;="&amp;$I$1)</f>
        <v>0</v>
      </c>
      <c r="L162" s="26">
        <f t="shared" si="46"/>
        <v>0</v>
      </c>
      <c r="M162" s="27">
        <f t="shared" si="47"/>
        <v>0</v>
      </c>
      <c r="N162" s="11"/>
      <c r="O162" s="11"/>
      <c r="P162" s="11"/>
      <c r="Q162" s="11"/>
      <c r="R162" s="26">
        <f t="shared" si="48"/>
        <v>0</v>
      </c>
      <c r="S162" s="27">
        <f t="shared" si="49"/>
        <v>0</v>
      </c>
      <c r="T162" s="11">
        <f t="shared" si="50"/>
        <v>0</v>
      </c>
      <c r="U162" s="11">
        <f t="shared" si="51"/>
        <v>0</v>
      </c>
      <c r="V162" s="26">
        <f t="shared" si="52"/>
        <v>0</v>
      </c>
      <c r="W162" s="27">
        <f t="shared" si="53"/>
        <v>0</v>
      </c>
      <c r="X162" s="4">
        <v>7002</v>
      </c>
      <c r="Y162" s="4"/>
      <c r="Z162" s="4"/>
      <c r="AA162" s="12">
        <f t="shared" si="34"/>
        <v>0</v>
      </c>
      <c r="AC162" s="6" t="s">
        <v>476</v>
      </c>
      <c r="AD162" s="21" t="str">
        <f t="shared" si="54"/>
        <v>л-704600</v>
      </c>
      <c r="AE162" s="80" t="str">
        <f t="shared" si="55"/>
        <v>л</v>
      </c>
      <c r="AF162" s="21" t="str">
        <f t="shared" si="27"/>
        <v>Хөдөлмөр хамгаалалын зардал</v>
      </c>
      <c r="AJ162" s="413"/>
      <c r="AK162" s="413"/>
      <c r="AL162" s="413"/>
      <c r="AM162" s="413"/>
      <c r="AN162" s="414"/>
      <c r="AO162" s="414"/>
    </row>
    <row r="163" spans="1:41" ht="12.75" customHeight="1">
      <c r="A163" s="24"/>
      <c r="B163" s="105">
        <f t="shared" si="35"/>
        <v>160</v>
      </c>
      <c r="C163" s="6">
        <v>701300</v>
      </c>
      <c r="D163" s="6" t="s">
        <v>280</v>
      </c>
      <c r="E163" s="9" t="s">
        <v>32</v>
      </c>
      <c r="F163" s="6"/>
      <c r="G163" s="6"/>
      <c r="H163" s="11"/>
      <c r="I163" s="11"/>
      <c r="J163" s="11">
        <f>+SUMIFS(JURNAL!G:G,JURNAL!E:E,C163,JURNAL!C:C,"&gt;="&amp;$H$1,JURNAL!C:C,"&lt;="&amp;$I$1)</f>
        <v>0</v>
      </c>
      <c r="K163" s="11">
        <f>+SUMIFS(JURNAL!H:H,JURNAL!E:E,C163,JURNAL!C:C,"&gt;="&amp;$H$1,JURNAL!C:C,"&lt;="&amp;$I$1)</f>
        <v>0</v>
      </c>
      <c r="L163" s="26">
        <f t="shared" si="46"/>
        <v>0</v>
      </c>
      <c r="M163" s="27">
        <f t="shared" si="47"/>
        <v>0</v>
      </c>
      <c r="N163" s="11"/>
      <c r="O163" s="11"/>
      <c r="P163" s="11"/>
      <c r="Q163" s="11"/>
      <c r="R163" s="26">
        <f t="shared" si="48"/>
        <v>0</v>
      </c>
      <c r="S163" s="27">
        <f t="shared" si="49"/>
        <v>0</v>
      </c>
      <c r="T163" s="11">
        <f t="shared" si="50"/>
        <v>0</v>
      </c>
      <c r="U163" s="11">
        <f t="shared" si="51"/>
        <v>0</v>
      </c>
      <c r="V163" s="26">
        <f t="shared" si="52"/>
        <v>0</v>
      </c>
      <c r="W163" s="27">
        <f t="shared" si="53"/>
        <v>0</v>
      </c>
      <c r="X163" s="4">
        <v>7002</v>
      </c>
      <c r="Y163" s="4"/>
      <c r="Z163" s="4"/>
      <c r="AA163" s="12">
        <f t="shared" si="34"/>
        <v>0</v>
      </c>
      <c r="AC163" s="6" t="s">
        <v>477</v>
      </c>
      <c r="AD163" s="21" t="str">
        <f t="shared" si="54"/>
        <v>э-704700</v>
      </c>
      <c r="AE163" s="80" t="str">
        <f t="shared" si="55"/>
        <v>э</v>
      </c>
      <c r="AF163" s="21" t="str">
        <f t="shared" si="27"/>
        <v>Цэвэрлэгээ</v>
      </c>
      <c r="AJ163" s="413"/>
      <c r="AK163" s="413"/>
      <c r="AL163" s="413"/>
      <c r="AM163" s="413"/>
      <c r="AN163" s="414"/>
      <c r="AO163" s="414"/>
    </row>
    <row r="164" spans="1:41" ht="12.75" customHeight="1">
      <c r="A164" s="24"/>
      <c r="B164" s="105">
        <f t="shared" si="35"/>
        <v>161</v>
      </c>
      <c r="C164" s="6">
        <v>701400</v>
      </c>
      <c r="D164" s="6" t="s">
        <v>277</v>
      </c>
      <c r="E164" s="9" t="s">
        <v>32</v>
      </c>
      <c r="F164" s="6"/>
      <c r="G164" s="6"/>
      <c r="H164" s="11"/>
      <c r="I164" s="11"/>
      <c r="J164" s="11">
        <f>+SUMIFS(JURNAL!G:G,JURNAL!E:E,C164,JURNAL!C:C,"&gt;="&amp;$H$1,JURNAL!C:C,"&lt;="&amp;$I$1)</f>
        <v>0</v>
      </c>
      <c r="K164" s="11">
        <f>+SUMIFS(JURNAL!H:H,JURNAL!E:E,C164,JURNAL!C:C,"&gt;="&amp;$H$1,JURNAL!C:C,"&lt;="&amp;$I$1)</f>
        <v>0</v>
      </c>
      <c r="L164" s="26">
        <f t="shared" si="46"/>
        <v>0</v>
      </c>
      <c r="M164" s="27">
        <f t="shared" si="47"/>
        <v>0</v>
      </c>
      <c r="N164" s="11"/>
      <c r="O164" s="11"/>
      <c r="P164" s="11"/>
      <c r="Q164" s="11"/>
      <c r="R164" s="26">
        <f t="shared" si="48"/>
        <v>0</v>
      </c>
      <c r="S164" s="27">
        <f t="shared" si="49"/>
        <v>0</v>
      </c>
      <c r="T164" s="11">
        <f t="shared" si="50"/>
        <v>0</v>
      </c>
      <c r="U164" s="11">
        <f t="shared" si="51"/>
        <v>0</v>
      </c>
      <c r="V164" s="26">
        <f t="shared" si="52"/>
        <v>0</v>
      </c>
      <c r="W164" s="27">
        <f t="shared" si="53"/>
        <v>0</v>
      </c>
      <c r="X164" s="4">
        <v>7002</v>
      </c>
      <c r="Y164" s="4"/>
      <c r="Z164" s="4"/>
      <c r="AA164" s="12">
        <f t="shared" si="34"/>
        <v>0</v>
      </c>
      <c r="AC164" s="6" t="s">
        <v>478</v>
      </c>
      <c r="AD164" s="21" t="str">
        <f t="shared" si="54"/>
        <v>с-704800</v>
      </c>
      <c r="AE164" s="80" t="str">
        <f t="shared" si="55"/>
        <v>с</v>
      </c>
      <c r="AF164" s="21" t="str">
        <f t="shared" si="27"/>
        <v>Хангамжийн зүйлс</v>
      </c>
      <c r="AJ164" s="413"/>
      <c r="AK164" s="413"/>
      <c r="AL164" s="413"/>
      <c r="AM164" s="413"/>
      <c r="AN164" s="414"/>
      <c r="AO164" s="414"/>
    </row>
    <row r="165" spans="1:41" ht="12.75" customHeight="1">
      <c r="A165" s="24"/>
      <c r="B165" s="105">
        <f t="shared" si="35"/>
        <v>162</v>
      </c>
      <c r="C165" s="6">
        <v>701500</v>
      </c>
      <c r="D165" s="6" t="s">
        <v>635</v>
      </c>
      <c r="E165" s="9" t="s">
        <v>32</v>
      </c>
      <c r="F165" s="6"/>
      <c r="G165" s="6"/>
      <c r="H165" s="11"/>
      <c r="I165" s="11"/>
      <c r="J165" s="11">
        <f>+SUMIFS(JURNAL!G:G,JURNAL!E:E,C165,JURNAL!C:C,"&gt;="&amp;$H$1,JURNAL!C:C,"&lt;="&amp;$I$1)</f>
        <v>343109.37000000005</v>
      </c>
      <c r="K165" s="11">
        <f>+SUMIFS(JURNAL!H:H,JURNAL!E:E,C165,JURNAL!C:C,"&gt;="&amp;$H$1,JURNAL!C:C,"&lt;="&amp;$I$1)</f>
        <v>0</v>
      </c>
      <c r="L165" s="26">
        <f t="shared" si="46"/>
        <v>343109.37000000005</v>
      </c>
      <c r="M165" s="27">
        <f t="shared" si="47"/>
        <v>0</v>
      </c>
      <c r="N165" s="11"/>
      <c r="O165" s="11"/>
      <c r="P165" s="11"/>
      <c r="Q165" s="11"/>
      <c r="R165" s="26">
        <f t="shared" si="48"/>
        <v>343109.37000000005</v>
      </c>
      <c r="S165" s="27">
        <f t="shared" si="49"/>
        <v>0</v>
      </c>
      <c r="T165" s="11">
        <f t="shared" si="50"/>
        <v>0</v>
      </c>
      <c r="U165" s="11">
        <f t="shared" si="51"/>
        <v>343109.37000000005</v>
      </c>
      <c r="V165" s="26">
        <f t="shared" si="52"/>
        <v>0</v>
      </c>
      <c r="W165" s="27">
        <f t="shared" si="53"/>
        <v>0</v>
      </c>
      <c r="X165" s="4">
        <v>7002</v>
      </c>
      <c r="Y165" s="4"/>
      <c r="Z165" s="4"/>
      <c r="AA165" s="12">
        <f t="shared" si="34"/>
        <v>1</v>
      </c>
      <c r="AC165" s="6" t="s">
        <v>479</v>
      </c>
      <c r="AD165" s="21" t="str">
        <f t="shared" si="54"/>
        <v>э-704900</v>
      </c>
      <c r="AE165" s="80" t="str">
        <f t="shared" si="55"/>
        <v>э</v>
      </c>
      <c r="AF165" s="21" t="str">
        <f t="shared" si="27"/>
        <v>Банкны үйлчилгээ</v>
      </c>
      <c r="AJ165" s="413"/>
      <c r="AK165" s="413"/>
      <c r="AL165" s="413"/>
      <c r="AM165" s="413"/>
      <c r="AN165" s="414"/>
      <c r="AO165" s="414"/>
    </row>
    <row r="166" spans="1:41" ht="12.75" customHeight="1">
      <c r="A166" s="24"/>
      <c r="B166" s="105">
        <f t="shared" si="35"/>
        <v>163</v>
      </c>
      <c r="C166" s="6">
        <v>701600</v>
      </c>
      <c r="D166" s="6" t="s">
        <v>641</v>
      </c>
      <c r="E166" s="9" t="s">
        <v>32</v>
      </c>
      <c r="F166" s="6"/>
      <c r="G166" s="6"/>
      <c r="H166" s="11"/>
      <c r="I166" s="11"/>
      <c r="J166" s="11">
        <f>+SUMIFS(JURNAL!G:G,JURNAL!E:E,C166,JURNAL!C:C,"&gt;="&amp;$H$1,JURNAL!C:C,"&lt;="&amp;$I$1)</f>
        <v>28363591.109999999</v>
      </c>
      <c r="K166" s="11">
        <f>+SUMIFS(JURNAL!H:H,JURNAL!E:E,C166,JURNAL!C:C,"&gt;="&amp;$H$1,JURNAL!C:C,"&lt;="&amp;$I$1)</f>
        <v>21179248.940000001</v>
      </c>
      <c r="L166" s="26">
        <f t="shared" si="46"/>
        <v>7184342.1699999981</v>
      </c>
      <c r="M166" s="27">
        <f t="shared" si="47"/>
        <v>0</v>
      </c>
      <c r="N166" s="11"/>
      <c r="O166" s="11"/>
      <c r="P166" s="11"/>
      <c r="Q166" s="11"/>
      <c r="R166" s="26">
        <f t="shared" si="48"/>
        <v>7184342.1699999981</v>
      </c>
      <c r="S166" s="27">
        <f t="shared" si="49"/>
        <v>0</v>
      </c>
      <c r="T166" s="11">
        <f t="shared" si="50"/>
        <v>0</v>
      </c>
      <c r="U166" s="11">
        <f t="shared" si="51"/>
        <v>7184342.1699999981</v>
      </c>
      <c r="V166" s="26">
        <f t="shared" si="52"/>
        <v>0</v>
      </c>
      <c r="W166" s="27">
        <f t="shared" si="53"/>
        <v>0</v>
      </c>
      <c r="X166" s="4">
        <v>7002</v>
      </c>
      <c r="Y166" s="4"/>
      <c r="Z166" s="4"/>
      <c r="AA166" s="12">
        <f t="shared" si="34"/>
        <v>1</v>
      </c>
      <c r="AC166" s="6" t="s">
        <v>480</v>
      </c>
      <c r="AD166" s="21" t="str">
        <f t="shared" si="54"/>
        <v>л-705000</v>
      </c>
      <c r="AE166" s="80" t="str">
        <f t="shared" si="55"/>
        <v>л</v>
      </c>
      <c r="AF166" s="21" t="str">
        <f t="shared" si="27"/>
        <v>Бараа материалын хэвийн хорогдол</v>
      </c>
      <c r="AJ166" s="413"/>
      <c r="AK166" s="413"/>
      <c r="AL166" s="413"/>
      <c r="AM166" s="413"/>
      <c r="AN166" s="414"/>
      <c r="AO166" s="414"/>
    </row>
    <row r="167" spans="1:41" ht="12.75" customHeight="1">
      <c r="A167" s="24"/>
      <c r="B167" s="105">
        <f t="shared" si="35"/>
        <v>164</v>
      </c>
      <c r="C167" s="6">
        <v>701700</v>
      </c>
      <c r="D167" s="6" t="s">
        <v>281</v>
      </c>
      <c r="E167" s="9" t="s">
        <v>32</v>
      </c>
      <c r="F167" s="6"/>
      <c r="G167" s="6"/>
      <c r="H167" s="11"/>
      <c r="I167" s="11"/>
      <c r="J167" s="11">
        <f>+SUMIFS(JURNAL!G:G,JURNAL!E:E,C167,JURNAL!C:C,"&gt;="&amp;$H$1,JURNAL!C:C,"&lt;="&amp;$I$1)</f>
        <v>0</v>
      </c>
      <c r="K167" s="11">
        <f>+SUMIFS(JURNAL!H:H,JURNAL!E:E,C167,JURNAL!C:C,"&gt;="&amp;$H$1,JURNAL!C:C,"&lt;="&amp;$I$1)</f>
        <v>0</v>
      </c>
      <c r="L167" s="26">
        <f t="shared" si="46"/>
        <v>0</v>
      </c>
      <c r="M167" s="27">
        <f t="shared" si="47"/>
        <v>0</v>
      </c>
      <c r="N167" s="11"/>
      <c r="O167" s="11"/>
      <c r="P167" s="11"/>
      <c r="Q167" s="11"/>
      <c r="R167" s="26">
        <f t="shared" si="48"/>
        <v>0</v>
      </c>
      <c r="S167" s="27">
        <f t="shared" si="49"/>
        <v>0</v>
      </c>
      <c r="T167" s="11">
        <f t="shared" si="50"/>
        <v>0</v>
      </c>
      <c r="U167" s="11">
        <f t="shared" si="51"/>
        <v>0</v>
      </c>
      <c r="V167" s="26">
        <f t="shared" si="52"/>
        <v>0</v>
      </c>
      <c r="W167" s="27">
        <f t="shared" si="53"/>
        <v>0</v>
      </c>
      <c r="X167" s="4">
        <v>7001</v>
      </c>
      <c r="Y167" s="4"/>
      <c r="Z167" s="4"/>
      <c r="AA167" s="12">
        <f t="shared" si="34"/>
        <v>0</v>
      </c>
      <c r="AC167" s="6" t="s">
        <v>481</v>
      </c>
      <c r="AD167" s="21" t="str">
        <f t="shared" si="54"/>
        <v>т-705800</v>
      </c>
      <c r="AE167" s="80" t="str">
        <f t="shared" si="55"/>
        <v>т</v>
      </c>
      <c r="AF167" s="21" t="str">
        <f t="shared" si="27"/>
        <v>Харуул хамгаалалт</v>
      </c>
      <c r="AJ167" s="413"/>
      <c r="AK167" s="413"/>
      <c r="AL167" s="413"/>
      <c r="AM167" s="413"/>
      <c r="AN167" s="414"/>
      <c r="AO167" s="414"/>
    </row>
    <row r="168" spans="1:41" ht="12.75" customHeight="1">
      <c r="A168" s="24"/>
      <c r="B168" s="105">
        <f t="shared" si="35"/>
        <v>165</v>
      </c>
      <c r="C168" s="6">
        <v>701800</v>
      </c>
      <c r="D168" s="6" t="s">
        <v>650</v>
      </c>
      <c r="E168" s="9" t="s">
        <v>32</v>
      </c>
      <c r="F168" s="6"/>
      <c r="G168" s="6"/>
      <c r="H168" s="11"/>
      <c r="I168" s="11"/>
      <c r="J168" s="11">
        <f>+SUMIFS(JURNAL!G:G,JURNAL!E:E,C168,JURNAL!C:C,"&gt;="&amp;$H$1,JURNAL!C:C,"&lt;="&amp;$I$1)</f>
        <v>0</v>
      </c>
      <c r="K168" s="11">
        <f>+SUMIFS(JURNAL!H:H,JURNAL!E:E,C168,JURNAL!C:C,"&gt;="&amp;$H$1,JURNAL!C:C,"&lt;="&amp;$I$1)</f>
        <v>0</v>
      </c>
      <c r="L168" s="26">
        <f t="shared" si="46"/>
        <v>0</v>
      </c>
      <c r="M168" s="27">
        <f t="shared" si="47"/>
        <v>0</v>
      </c>
      <c r="N168" s="11"/>
      <c r="O168" s="11"/>
      <c r="P168" s="11"/>
      <c r="Q168" s="11"/>
      <c r="R168" s="26">
        <f t="shared" si="48"/>
        <v>0</v>
      </c>
      <c r="S168" s="27">
        <f t="shared" si="49"/>
        <v>0</v>
      </c>
      <c r="T168" s="11">
        <f t="shared" si="50"/>
        <v>0</v>
      </c>
      <c r="U168" s="11">
        <f t="shared" si="51"/>
        <v>0</v>
      </c>
      <c r="V168" s="26">
        <f t="shared" si="52"/>
        <v>0</v>
      </c>
      <c r="W168" s="27">
        <f t="shared" si="53"/>
        <v>0</v>
      </c>
      <c r="X168" s="4">
        <v>7002</v>
      </c>
      <c r="Y168" s="4"/>
      <c r="Z168" s="4"/>
      <c r="AA168" s="12">
        <f t="shared" si="34"/>
        <v>0</v>
      </c>
      <c r="AC168" s="6" t="s">
        <v>482</v>
      </c>
      <c r="AD168" s="21" t="str">
        <f t="shared" si="54"/>
        <v>л-705900</v>
      </c>
      <c r="AE168" s="80" t="str">
        <f t="shared" si="55"/>
        <v>л</v>
      </c>
      <c r="AF168" s="21" t="str">
        <f t="shared" si="27"/>
        <v>Эрэл хайгуулын зардал, БОНС зардал</v>
      </c>
      <c r="AJ168" s="413"/>
      <c r="AK168" s="413"/>
      <c r="AL168" s="413"/>
      <c r="AM168" s="413"/>
      <c r="AN168" s="414"/>
      <c r="AO168" s="414"/>
    </row>
    <row r="169" spans="1:41" ht="12.75" customHeight="1">
      <c r="A169" s="24"/>
      <c r="B169" s="105">
        <f t="shared" si="35"/>
        <v>166</v>
      </c>
      <c r="C169" s="6">
        <v>701900</v>
      </c>
      <c r="D169" s="6" t="s">
        <v>654</v>
      </c>
      <c r="E169" s="9" t="s">
        <v>32</v>
      </c>
      <c r="F169" s="6"/>
      <c r="G169" s="6"/>
      <c r="H169" s="11"/>
      <c r="I169" s="11"/>
      <c r="J169" s="11">
        <f>+SUMIFS(JURNAL!G:G,JURNAL!E:E,C169,JURNAL!C:C,"&gt;="&amp;$H$1,JURNAL!C:C,"&lt;="&amp;$I$1)</f>
        <v>91563.64</v>
      </c>
      <c r="K169" s="11">
        <f>+SUMIFS(JURNAL!H:H,JURNAL!E:E,C169,JURNAL!C:C,"&gt;="&amp;$H$1,JURNAL!C:C,"&lt;="&amp;$I$1)</f>
        <v>0</v>
      </c>
      <c r="L169" s="26">
        <f t="shared" si="46"/>
        <v>91563.64</v>
      </c>
      <c r="M169" s="27">
        <f t="shared" si="47"/>
        <v>0</v>
      </c>
      <c r="N169" s="11"/>
      <c r="O169" s="11"/>
      <c r="P169" s="11"/>
      <c r="Q169" s="11"/>
      <c r="R169" s="26">
        <f t="shared" si="48"/>
        <v>91563.64</v>
      </c>
      <c r="S169" s="27">
        <f t="shared" si="49"/>
        <v>0</v>
      </c>
      <c r="T169" s="11">
        <f t="shared" si="50"/>
        <v>0</v>
      </c>
      <c r="U169" s="11">
        <f t="shared" si="51"/>
        <v>91563.64</v>
      </c>
      <c r="V169" s="26">
        <f t="shared" si="52"/>
        <v>0</v>
      </c>
      <c r="W169" s="27">
        <f t="shared" si="53"/>
        <v>0</v>
      </c>
      <c r="X169" s="4">
        <v>7002</v>
      </c>
      <c r="Y169" s="4"/>
      <c r="Z169" s="4"/>
      <c r="AA169" s="12">
        <f t="shared" si="34"/>
        <v>1</v>
      </c>
      <c r="AC169" s="6" t="s">
        <v>483</v>
      </c>
      <c r="AD169" s="21" t="str">
        <f t="shared" si="54"/>
        <v>л-706000</v>
      </c>
      <c r="AE169" s="80" t="str">
        <f t="shared" si="55"/>
        <v>л</v>
      </c>
      <c r="AF169" s="21" t="str">
        <f t="shared" si="27"/>
        <v>Бусад зардал</v>
      </c>
      <c r="AJ169" s="413"/>
      <c r="AK169" s="413"/>
      <c r="AL169" s="413"/>
      <c r="AM169" s="413"/>
      <c r="AN169" s="414"/>
      <c r="AO169" s="414"/>
    </row>
    <row r="170" spans="1:41" ht="12.75" customHeight="1">
      <c r="A170" s="24"/>
      <c r="B170" s="105">
        <f t="shared" si="35"/>
        <v>167</v>
      </c>
      <c r="C170" s="6">
        <v>702000</v>
      </c>
      <c r="D170" s="6" t="s">
        <v>658</v>
      </c>
      <c r="E170" s="9" t="s">
        <v>32</v>
      </c>
      <c r="F170" s="6"/>
      <c r="G170" s="6"/>
      <c r="H170" s="11"/>
      <c r="I170" s="11"/>
      <c r="J170" s="11">
        <f>+SUMIFS(JURNAL!G:G,JURNAL!E:E,C170,JURNAL!C:C,"&gt;="&amp;$H$1,JURNAL!C:C,"&lt;="&amp;$I$1)</f>
        <v>1010909.09</v>
      </c>
      <c r="K170" s="11">
        <f>+SUMIFS(JURNAL!H:H,JURNAL!E:E,C170,JURNAL!C:C,"&gt;="&amp;$H$1,JURNAL!C:C,"&lt;="&amp;$I$1)</f>
        <v>0</v>
      </c>
      <c r="L170" s="26">
        <f t="shared" si="46"/>
        <v>1010909.09</v>
      </c>
      <c r="M170" s="27">
        <f t="shared" si="47"/>
        <v>0</v>
      </c>
      <c r="N170" s="11"/>
      <c r="O170" s="11"/>
      <c r="P170" s="11"/>
      <c r="Q170" s="11"/>
      <c r="R170" s="26">
        <f t="shared" si="48"/>
        <v>1010909.09</v>
      </c>
      <c r="S170" s="27">
        <f t="shared" si="49"/>
        <v>0</v>
      </c>
      <c r="T170" s="11">
        <f t="shared" si="50"/>
        <v>0</v>
      </c>
      <c r="U170" s="11">
        <f t="shared" si="51"/>
        <v>1010909.09</v>
      </c>
      <c r="V170" s="26">
        <f t="shared" si="52"/>
        <v>0</v>
      </c>
      <c r="W170" s="27">
        <f t="shared" si="53"/>
        <v>0</v>
      </c>
      <c r="X170" s="4">
        <v>7002</v>
      </c>
      <c r="Y170" s="4"/>
      <c r="Z170" s="4"/>
      <c r="AA170" s="12">
        <f t="shared" si="34"/>
        <v>1</v>
      </c>
      <c r="AC170" s="6" t="s">
        <v>484</v>
      </c>
      <c r="AD170" s="21" t="str">
        <f t="shared" si="54"/>
        <v>о-840000</v>
      </c>
      <c r="AE170" s="80" t="str">
        <f t="shared" si="55"/>
        <v>о</v>
      </c>
      <c r="AF170" s="21" t="str">
        <f t="shared" si="27"/>
        <v>Үндсэн бус үйл ажиллагааны орлого</v>
      </c>
      <c r="AJ170" s="413"/>
      <c r="AK170" s="413"/>
      <c r="AL170" s="413"/>
      <c r="AM170" s="413"/>
      <c r="AN170" s="414"/>
      <c r="AO170" s="414"/>
    </row>
    <row r="171" spans="1:41" ht="12.75" customHeight="1">
      <c r="A171" s="24"/>
      <c r="B171" s="105">
        <f t="shared" si="35"/>
        <v>168</v>
      </c>
      <c r="C171" s="6">
        <v>702100</v>
      </c>
      <c r="D171" s="6" t="s">
        <v>662</v>
      </c>
      <c r="E171" s="9" t="s">
        <v>32</v>
      </c>
      <c r="F171" s="6"/>
      <c r="G171" s="6"/>
      <c r="H171" s="11"/>
      <c r="I171" s="11"/>
      <c r="J171" s="11">
        <f>+SUMIFS(JURNAL!G:G,JURNAL!E:E,C171,JURNAL!C:C,"&gt;="&amp;$H$1,JURNAL!C:C,"&lt;="&amp;$I$1)</f>
        <v>0</v>
      </c>
      <c r="K171" s="11">
        <f>+SUMIFS(JURNAL!H:H,JURNAL!E:E,C171,JURNAL!C:C,"&gt;="&amp;$H$1,JURNAL!C:C,"&lt;="&amp;$I$1)</f>
        <v>0</v>
      </c>
      <c r="L171" s="26">
        <f t="shared" si="46"/>
        <v>0</v>
      </c>
      <c r="M171" s="27">
        <f t="shared" si="47"/>
        <v>0</v>
      </c>
      <c r="N171" s="11"/>
      <c r="O171" s="11"/>
      <c r="P171" s="11"/>
      <c r="Q171" s="11"/>
      <c r="R171" s="26">
        <f t="shared" si="48"/>
        <v>0</v>
      </c>
      <c r="S171" s="27">
        <f t="shared" si="49"/>
        <v>0</v>
      </c>
      <c r="T171" s="11">
        <f t="shared" si="50"/>
        <v>0</v>
      </c>
      <c r="U171" s="11">
        <f t="shared" si="51"/>
        <v>0</v>
      </c>
      <c r="V171" s="26">
        <f t="shared" si="52"/>
        <v>0</v>
      </c>
      <c r="W171" s="27">
        <f t="shared" si="53"/>
        <v>0</v>
      </c>
      <c r="X171" s="4">
        <v>7002</v>
      </c>
      <c r="Y171" s="4"/>
      <c r="Z171" s="4"/>
      <c r="AA171" s="12">
        <f t="shared" si="34"/>
        <v>0</v>
      </c>
      <c r="AC171" s="6" t="s">
        <v>485</v>
      </c>
      <c r="AD171" s="21" t="str">
        <f t="shared" si="54"/>
        <v>г-840100</v>
      </c>
      <c r="AE171" s="80" t="str">
        <f t="shared" si="55"/>
        <v>г</v>
      </c>
      <c r="AF171" s="21" t="str">
        <f t="shared" si="27"/>
        <v>Валютын ханшийн зөрүүнээс үүссэн хэрэгжсэн ашиг</v>
      </c>
      <c r="AJ171" s="413"/>
      <c r="AK171" s="413"/>
      <c r="AL171" s="413"/>
      <c r="AM171" s="413"/>
      <c r="AN171" s="414"/>
      <c r="AO171" s="414"/>
    </row>
    <row r="172" spans="1:41" ht="12.75" customHeight="1">
      <c r="A172" s="24"/>
      <c r="B172" s="105">
        <f t="shared" si="35"/>
        <v>169</v>
      </c>
      <c r="C172" s="6">
        <v>702300</v>
      </c>
      <c r="D172" s="6" t="s">
        <v>666</v>
      </c>
      <c r="E172" s="9" t="s">
        <v>32</v>
      </c>
      <c r="F172" s="6"/>
      <c r="G172" s="6"/>
      <c r="H172" s="11"/>
      <c r="I172" s="11"/>
      <c r="J172" s="11">
        <f>+SUMIFS(JURNAL!G:G,JURNAL!E:E,C172,JURNAL!C:C,"&gt;="&amp;$H$1,JURNAL!C:C,"&lt;="&amp;$I$1)</f>
        <v>0</v>
      </c>
      <c r="K172" s="11">
        <f>+SUMIFS(JURNAL!H:H,JURNAL!E:E,C172,JURNAL!C:C,"&gt;="&amp;$H$1,JURNAL!C:C,"&lt;="&amp;$I$1)</f>
        <v>0</v>
      </c>
      <c r="L172" s="26">
        <f t="shared" si="46"/>
        <v>0</v>
      </c>
      <c r="M172" s="27">
        <f t="shared" si="47"/>
        <v>0</v>
      </c>
      <c r="N172" s="11"/>
      <c r="O172" s="11"/>
      <c r="P172" s="11"/>
      <c r="Q172" s="11"/>
      <c r="R172" s="26">
        <f t="shared" si="48"/>
        <v>0</v>
      </c>
      <c r="S172" s="27">
        <f t="shared" si="49"/>
        <v>0</v>
      </c>
      <c r="T172" s="11">
        <f t="shared" si="50"/>
        <v>0</v>
      </c>
      <c r="U172" s="11">
        <f t="shared" si="51"/>
        <v>0</v>
      </c>
      <c r="V172" s="26">
        <f t="shared" si="52"/>
        <v>0</v>
      </c>
      <c r="W172" s="27">
        <f t="shared" si="53"/>
        <v>0</v>
      </c>
      <c r="X172" s="4">
        <v>7002</v>
      </c>
      <c r="Y172" s="4"/>
      <c r="Z172" s="4"/>
      <c r="AA172" s="12">
        <f t="shared" si="34"/>
        <v>0</v>
      </c>
      <c r="AC172" s="6" t="s">
        <v>486</v>
      </c>
      <c r="AD172" s="21" t="str">
        <f t="shared" si="54"/>
        <v>г-840200</v>
      </c>
      <c r="AE172" s="80" t="str">
        <f t="shared" si="55"/>
        <v>г</v>
      </c>
      <c r="AF172" s="21" t="str">
        <f t="shared" si="27"/>
        <v>Валютын ханшийн зөрүүнээс үүссэн хэрэгжээгүй ашиг</v>
      </c>
      <c r="AJ172" s="413"/>
      <c r="AK172" s="413"/>
      <c r="AL172" s="413"/>
      <c r="AM172" s="413"/>
      <c r="AN172" s="414"/>
      <c r="AO172" s="414"/>
    </row>
    <row r="173" spans="1:41" ht="12.75" customHeight="1">
      <c r="A173" s="24"/>
      <c r="B173" s="105">
        <f t="shared" si="35"/>
        <v>170</v>
      </c>
      <c r="C173" s="6">
        <v>702500</v>
      </c>
      <c r="D173" s="6" t="s">
        <v>283</v>
      </c>
      <c r="E173" s="9" t="s">
        <v>32</v>
      </c>
      <c r="F173" s="6"/>
      <c r="G173" s="6"/>
      <c r="H173" s="11"/>
      <c r="I173" s="11"/>
      <c r="J173" s="11">
        <f>+SUMIFS(JURNAL!G:G,JURNAL!E:E,C173,JURNAL!C:C,"&gt;="&amp;$H$1,JURNAL!C:C,"&lt;="&amp;$I$1)</f>
        <v>9888136</v>
      </c>
      <c r="K173" s="11">
        <f>+SUMIFS(JURNAL!H:H,JURNAL!E:E,C173,JURNAL!C:C,"&gt;="&amp;$H$1,JURNAL!C:C,"&lt;="&amp;$I$1)</f>
        <v>0</v>
      </c>
      <c r="L173" s="26">
        <f t="shared" si="46"/>
        <v>9888136</v>
      </c>
      <c r="M173" s="27">
        <f t="shared" si="47"/>
        <v>0</v>
      </c>
      <c r="N173" s="11"/>
      <c r="O173" s="11"/>
      <c r="P173" s="11"/>
      <c r="Q173" s="11"/>
      <c r="R173" s="26">
        <f t="shared" si="48"/>
        <v>9888136</v>
      </c>
      <c r="S173" s="27">
        <f t="shared" si="49"/>
        <v>0</v>
      </c>
      <c r="T173" s="11">
        <f t="shared" si="50"/>
        <v>0</v>
      </c>
      <c r="U173" s="11">
        <f t="shared" si="51"/>
        <v>9888136</v>
      </c>
      <c r="V173" s="26">
        <f t="shared" si="52"/>
        <v>0</v>
      </c>
      <c r="W173" s="27">
        <f t="shared" si="53"/>
        <v>0</v>
      </c>
      <c r="X173" s="4">
        <v>7002</v>
      </c>
      <c r="Y173" s="4"/>
      <c r="Z173" s="4"/>
      <c r="AA173" s="12">
        <f t="shared" si="34"/>
        <v>1</v>
      </c>
      <c r="AC173" s="6" t="s">
        <v>487</v>
      </c>
      <c r="AD173" s="21" t="str">
        <f t="shared" si="54"/>
        <v>о-840400</v>
      </c>
      <c r="AE173" s="80" t="str">
        <f t="shared" si="55"/>
        <v>о</v>
      </c>
      <c r="AF173" s="21" t="str">
        <f t="shared" si="27"/>
        <v>Хүү торгууль, хөнгөлөлтийн орлого</v>
      </c>
      <c r="AJ173" s="413"/>
      <c r="AK173" s="413"/>
      <c r="AL173" s="413"/>
      <c r="AM173" s="413"/>
      <c r="AN173" s="414"/>
      <c r="AO173" s="414"/>
    </row>
    <row r="174" spans="1:41" ht="12.75" customHeight="1">
      <c r="A174" s="24"/>
      <c r="B174" s="105">
        <f t="shared" si="35"/>
        <v>171</v>
      </c>
      <c r="C174" s="6">
        <v>702400</v>
      </c>
      <c r="D174" s="6" t="s">
        <v>974</v>
      </c>
      <c r="E174" s="9" t="s">
        <v>32</v>
      </c>
      <c r="F174" s="6"/>
      <c r="G174" s="6"/>
      <c r="H174" s="11"/>
      <c r="I174" s="11"/>
      <c r="J174" s="11">
        <f>+SUMIFS(JURNAL!G:G,JURNAL!E:E,C174,JURNAL!C:C,"&gt;="&amp;$H$1,JURNAL!C:C,"&lt;="&amp;$I$1)</f>
        <v>0</v>
      </c>
      <c r="K174" s="11">
        <f>+SUMIFS(JURNAL!H:H,JURNAL!E:E,C174,JURNAL!C:C,"&gt;="&amp;$H$1,JURNAL!C:C,"&lt;="&amp;$I$1)</f>
        <v>0</v>
      </c>
      <c r="L174" s="26">
        <f t="shared" si="46"/>
        <v>0</v>
      </c>
      <c r="M174" s="27">
        <f t="shared" si="47"/>
        <v>0</v>
      </c>
      <c r="N174" s="11"/>
      <c r="O174" s="11"/>
      <c r="P174" s="11"/>
      <c r="Q174" s="11"/>
      <c r="R174" s="26">
        <f t="shared" si="48"/>
        <v>0</v>
      </c>
      <c r="S174" s="27">
        <f t="shared" si="49"/>
        <v>0</v>
      </c>
      <c r="T174" s="11">
        <f t="shared" si="50"/>
        <v>0</v>
      </c>
      <c r="U174" s="11">
        <f t="shared" si="51"/>
        <v>0</v>
      </c>
      <c r="V174" s="26">
        <f t="shared" si="52"/>
        <v>0</v>
      </c>
      <c r="W174" s="27">
        <f t="shared" si="53"/>
        <v>0</v>
      </c>
      <c r="X174" s="4">
        <v>7002</v>
      </c>
      <c r="Y174" s="4"/>
      <c r="Z174" s="4"/>
      <c r="AA174" s="12">
        <f t="shared" si="34"/>
        <v>0</v>
      </c>
      <c r="AC174" s="6" t="s">
        <v>488</v>
      </c>
      <c r="AD174" s="21" t="str">
        <f t="shared" si="54"/>
        <v>о-840500</v>
      </c>
      <c r="AE174" s="80" t="str">
        <f t="shared" si="55"/>
        <v>о</v>
      </c>
      <c r="AF174" s="21" t="str">
        <f t="shared" si="27"/>
        <v>Биет бус хөрөнгө борлуулсны орлого</v>
      </c>
      <c r="AJ174" s="413"/>
      <c r="AK174" s="413"/>
      <c r="AL174" s="413"/>
      <c r="AM174" s="413"/>
      <c r="AN174" s="414"/>
      <c r="AO174" s="414"/>
    </row>
    <row r="175" spans="1:41" ht="12.75" customHeight="1">
      <c r="A175" s="24"/>
      <c r="B175" s="105">
        <f t="shared" si="35"/>
        <v>172</v>
      </c>
      <c r="C175" s="6">
        <v>702600</v>
      </c>
      <c r="D175" s="6" t="s">
        <v>676</v>
      </c>
      <c r="E175" s="9" t="s">
        <v>32</v>
      </c>
      <c r="F175" s="6"/>
      <c r="G175" s="6"/>
      <c r="H175" s="11"/>
      <c r="I175" s="11"/>
      <c r="J175" s="11">
        <f>+SUMIFS(JURNAL!G:G,JURNAL!E:E,C175,JURNAL!C:C,"&gt;="&amp;$H$1,JURNAL!C:C,"&lt;="&amp;$I$1)</f>
        <v>0</v>
      </c>
      <c r="K175" s="11">
        <f>+SUMIFS(JURNAL!H:H,JURNAL!E:E,C175,JURNAL!C:C,"&gt;="&amp;$H$1,JURNAL!C:C,"&lt;="&amp;$I$1)</f>
        <v>0</v>
      </c>
      <c r="L175" s="26">
        <f t="shared" si="46"/>
        <v>0</v>
      </c>
      <c r="M175" s="27">
        <f t="shared" si="47"/>
        <v>0</v>
      </c>
      <c r="N175" s="11"/>
      <c r="O175" s="11"/>
      <c r="P175" s="11"/>
      <c r="Q175" s="11"/>
      <c r="R175" s="26">
        <f t="shared" si="48"/>
        <v>0</v>
      </c>
      <c r="S175" s="27">
        <f t="shared" si="49"/>
        <v>0</v>
      </c>
      <c r="T175" s="11">
        <f t="shared" si="50"/>
        <v>0</v>
      </c>
      <c r="U175" s="11">
        <f t="shared" si="51"/>
        <v>0</v>
      </c>
      <c r="V175" s="26">
        <f t="shared" si="52"/>
        <v>0</v>
      </c>
      <c r="W175" s="27">
        <f t="shared" si="53"/>
        <v>0</v>
      </c>
      <c r="X175" s="4">
        <v>7002</v>
      </c>
      <c r="Y175" s="4"/>
      <c r="Z175" s="4"/>
      <c r="AA175" s="12">
        <f t="shared" si="34"/>
        <v>0</v>
      </c>
      <c r="AC175" s="6" t="s">
        <v>489</v>
      </c>
      <c r="AD175" s="21" t="str">
        <f t="shared" si="54"/>
        <v>о-840800</v>
      </c>
      <c r="AE175" s="80" t="str">
        <f t="shared" si="55"/>
        <v>о</v>
      </c>
      <c r="AF175" s="21" t="str">
        <f t="shared" si="27"/>
        <v>Үндсэн бус үйл ажиллагааны бусад орлого</v>
      </c>
      <c r="AJ175" s="413"/>
      <c r="AK175" s="413"/>
      <c r="AL175" s="413"/>
      <c r="AM175" s="413"/>
      <c r="AN175" s="414"/>
      <c r="AO175" s="414"/>
    </row>
    <row r="176" spans="1:41" ht="12.75" customHeight="1">
      <c r="A176" s="24"/>
      <c r="B176" s="105">
        <f t="shared" si="35"/>
        <v>173</v>
      </c>
      <c r="C176" s="6">
        <v>702700</v>
      </c>
      <c r="D176" s="6" t="s">
        <v>680</v>
      </c>
      <c r="E176" s="9" t="s">
        <v>32</v>
      </c>
      <c r="F176" s="6"/>
      <c r="G176" s="6"/>
      <c r="H176" s="11"/>
      <c r="I176" s="11"/>
      <c r="J176" s="11">
        <f>+SUMIFS(JURNAL!G:G,JURNAL!E:E,C176,JURNAL!C:C,"&gt;="&amp;$H$1,JURNAL!C:C,"&lt;="&amp;$I$1)</f>
        <v>0</v>
      </c>
      <c r="K176" s="11">
        <f>+SUMIFS(JURNAL!H:H,JURNAL!E:E,C176,JURNAL!C:C,"&gt;="&amp;$H$1,JURNAL!C:C,"&lt;="&amp;$I$1)</f>
        <v>0</v>
      </c>
      <c r="L176" s="26">
        <f t="shared" si="46"/>
        <v>0</v>
      </c>
      <c r="M176" s="27">
        <f t="shared" si="47"/>
        <v>0</v>
      </c>
      <c r="N176" s="11"/>
      <c r="O176" s="11"/>
      <c r="P176" s="11"/>
      <c r="Q176" s="11"/>
      <c r="R176" s="26">
        <f t="shared" si="48"/>
        <v>0</v>
      </c>
      <c r="S176" s="27">
        <f t="shared" si="49"/>
        <v>0</v>
      </c>
      <c r="T176" s="11">
        <f t="shared" si="50"/>
        <v>0</v>
      </c>
      <c r="U176" s="11">
        <f t="shared" si="51"/>
        <v>0</v>
      </c>
      <c r="V176" s="26">
        <f t="shared" si="52"/>
        <v>0</v>
      </c>
      <c r="W176" s="27">
        <f t="shared" si="53"/>
        <v>0</v>
      </c>
      <c r="X176" s="4">
        <v>7002</v>
      </c>
      <c r="Y176" s="4"/>
      <c r="Z176" s="4"/>
      <c r="AA176" s="12">
        <f t="shared" si="34"/>
        <v>0</v>
      </c>
      <c r="AC176" s="6" t="s">
        <v>490</v>
      </c>
      <c r="AD176" s="21" t="str">
        <f t="shared" si="54"/>
        <v>о-840900</v>
      </c>
      <c r="AE176" s="80" t="str">
        <f t="shared" si="55"/>
        <v>о</v>
      </c>
      <c r="AF176" s="21" t="str">
        <f t="shared" si="27"/>
        <v>Хөрөнгө оруулалт борлуулсны орлого</v>
      </c>
      <c r="AJ176" s="413"/>
      <c r="AK176" s="413"/>
      <c r="AL176" s="413"/>
      <c r="AM176" s="413"/>
      <c r="AN176" s="414"/>
      <c r="AO176" s="414"/>
    </row>
    <row r="177" spans="1:41" ht="12.75" customHeight="1">
      <c r="A177" s="24"/>
      <c r="B177" s="105">
        <f t="shared" si="35"/>
        <v>174</v>
      </c>
      <c r="C177" s="6">
        <v>702800</v>
      </c>
      <c r="D177" s="6" t="s">
        <v>684</v>
      </c>
      <c r="E177" s="9" t="s">
        <v>32</v>
      </c>
      <c r="F177" s="6"/>
      <c r="G177" s="6"/>
      <c r="H177" s="11"/>
      <c r="I177" s="11"/>
      <c r="J177" s="11">
        <f>+SUMIFS(JURNAL!G:G,JURNAL!E:E,C177,JURNAL!C:C,"&gt;="&amp;$H$1,JURNAL!C:C,"&lt;="&amp;$I$1)</f>
        <v>0</v>
      </c>
      <c r="K177" s="11">
        <f>+SUMIFS(JURNAL!H:H,JURNAL!E:E,C177,JURNAL!C:C,"&gt;="&amp;$H$1,JURNAL!C:C,"&lt;="&amp;$I$1)</f>
        <v>0</v>
      </c>
      <c r="L177" s="26">
        <f t="shared" si="46"/>
        <v>0</v>
      </c>
      <c r="M177" s="27">
        <f t="shared" si="47"/>
        <v>0</v>
      </c>
      <c r="N177" s="11"/>
      <c r="O177" s="11"/>
      <c r="P177" s="11"/>
      <c r="Q177" s="11"/>
      <c r="R177" s="26">
        <f t="shared" si="48"/>
        <v>0</v>
      </c>
      <c r="S177" s="27">
        <f t="shared" si="49"/>
        <v>0</v>
      </c>
      <c r="T177" s="11">
        <f t="shared" si="50"/>
        <v>0</v>
      </c>
      <c r="U177" s="11">
        <f t="shared" si="51"/>
        <v>0</v>
      </c>
      <c r="V177" s="26">
        <f t="shared" si="52"/>
        <v>0</v>
      </c>
      <c r="W177" s="27">
        <f t="shared" si="53"/>
        <v>0</v>
      </c>
      <c r="X177" s="4">
        <v>7002</v>
      </c>
      <c r="Y177" s="4"/>
      <c r="Z177" s="4"/>
      <c r="AA177" s="12">
        <f t="shared" si="34"/>
        <v>0</v>
      </c>
      <c r="AC177" s="6" t="s">
        <v>491</v>
      </c>
      <c r="AD177" s="21" t="str">
        <f t="shared" si="54"/>
        <v>а-870000</v>
      </c>
      <c r="AE177" s="80" t="str">
        <f t="shared" si="55"/>
        <v>а</v>
      </c>
      <c r="AF177" s="21" t="str">
        <f t="shared" si="27"/>
        <v>Үндсэн бус үйл ажиллагааны зарлага</v>
      </c>
      <c r="AJ177" s="413"/>
      <c r="AK177" s="413"/>
      <c r="AL177" s="413"/>
      <c r="AM177" s="413"/>
      <c r="AN177" s="414"/>
      <c r="AO177" s="414"/>
    </row>
    <row r="178" spans="1:41" ht="12.75" customHeight="1">
      <c r="A178" s="24"/>
      <c r="B178" s="105">
        <f t="shared" si="35"/>
        <v>175</v>
      </c>
      <c r="C178" s="6">
        <v>703300</v>
      </c>
      <c r="D178" s="6" t="s">
        <v>688</v>
      </c>
      <c r="E178" s="9" t="s">
        <v>32</v>
      </c>
      <c r="F178" s="6"/>
      <c r="G178" s="6"/>
      <c r="H178" s="11"/>
      <c r="I178" s="11"/>
      <c r="J178" s="11">
        <f>+SUMIFS(JURNAL!G:G,JURNAL!E:E,C178,JURNAL!C:C,"&gt;="&amp;$H$1,JURNAL!C:C,"&lt;="&amp;$I$1)</f>
        <v>0</v>
      </c>
      <c r="K178" s="11">
        <f>+SUMIFS(JURNAL!H:H,JURNAL!E:E,C178,JURNAL!C:C,"&gt;="&amp;$H$1,JURNAL!C:C,"&lt;="&amp;$I$1)</f>
        <v>0</v>
      </c>
      <c r="L178" s="26">
        <f t="shared" si="46"/>
        <v>0</v>
      </c>
      <c r="M178" s="27">
        <f t="shared" si="47"/>
        <v>0</v>
      </c>
      <c r="N178" s="11"/>
      <c r="O178" s="11"/>
      <c r="P178" s="11"/>
      <c r="Q178" s="11"/>
      <c r="R178" s="26">
        <f t="shared" si="48"/>
        <v>0</v>
      </c>
      <c r="S178" s="27">
        <f t="shared" si="49"/>
        <v>0</v>
      </c>
      <c r="T178" s="11">
        <f t="shared" si="50"/>
        <v>0</v>
      </c>
      <c r="U178" s="11">
        <f t="shared" si="51"/>
        <v>0</v>
      </c>
      <c r="V178" s="26">
        <f t="shared" si="52"/>
        <v>0</v>
      </c>
      <c r="W178" s="27">
        <f t="shared" si="53"/>
        <v>0</v>
      </c>
      <c r="X178" s="4">
        <v>7002</v>
      </c>
      <c r="Y178" s="4"/>
      <c r="Z178" s="4"/>
      <c r="AA178" s="12">
        <f t="shared" si="34"/>
        <v>0</v>
      </c>
      <c r="AC178" s="6" t="s">
        <v>492</v>
      </c>
      <c r="AD178" s="21" t="str">
        <f t="shared" si="54"/>
        <v>л-870100</v>
      </c>
      <c r="AE178" s="80" t="str">
        <f t="shared" si="55"/>
        <v>л</v>
      </c>
      <c r="AF178" s="21" t="str">
        <f t="shared" si="27"/>
        <v>Валютын ханшийн зөрүүнээс үүссэн хэрэгжсэн алдагдал</v>
      </c>
      <c r="AJ178" s="413"/>
      <c r="AK178" s="413"/>
      <c r="AL178" s="413"/>
      <c r="AM178" s="413"/>
      <c r="AN178" s="414"/>
      <c r="AO178" s="414"/>
    </row>
    <row r="179" spans="1:41" ht="12.75" customHeight="1">
      <c r="A179" s="24"/>
      <c r="B179" s="105">
        <f t="shared" si="35"/>
        <v>176</v>
      </c>
      <c r="C179" s="6">
        <v>703400</v>
      </c>
      <c r="D179" s="6" t="s">
        <v>975</v>
      </c>
      <c r="E179" s="9" t="s">
        <v>32</v>
      </c>
      <c r="F179" s="6"/>
      <c r="G179" s="6"/>
      <c r="H179" s="11"/>
      <c r="I179" s="11"/>
      <c r="J179" s="11">
        <f>+SUMIFS(JURNAL!G:G,JURNAL!E:E,C179,JURNAL!C:C,"&gt;="&amp;$H$1,JURNAL!C:C,"&lt;="&amp;$I$1)</f>
        <v>0</v>
      </c>
      <c r="K179" s="11">
        <f>+SUMIFS(JURNAL!H:H,JURNAL!E:E,C179,JURNAL!C:C,"&gt;="&amp;$H$1,JURNAL!C:C,"&lt;="&amp;$I$1)</f>
        <v>0</v>
      </c>
      <c r="L179" s="26">
        <f t="shared" si="46"/>
        <v>0</v>
      </c>
      <c r="M179" s="27">
        <f t="shared" si="47"/>
        <v>0</v>
      </c>
      <c r="N179" s="11"/>
      <c r="O179" s="11"/>
      <c r="P179" s="11"/>
      <c r="Q179" s="11"/>
      <c r="R179" s="26">
        <f t="shared" si="48"/>
        <v>0</v>
      </c>
      <c r="S179" s="27">
        <f t="shared" si="49"/>
        <v>0</v>
      </c>
      <c r="T179" s="11">
        <f t="shared" si="50"/>
        <v>0</v>
      </c>
      <c r="U179" s="11">
        <f t="shared" si="51"/>
        <v>0</v>
      </c>
      <c r="V179" s="26">
        <f t="shared" si="52"/>
        <v>0</v>
      </c>
      <c r="W179" s="27">
        <f t="shared" si="53"/>
        <v>0</v>
      </c>
      <c r="X179" s="4">
        <v>7002</v>
      </c>
      <c r="Y179" s="4"/>
      <c r="Z179" s="4"/>
      <c r="AA179" s="12">
        <f t="shared" si="34"/>
        <v>0</v>
      </c>
      <c r="AC179" s="6" t="s">
        <v>493</v>
      </c>
      <c r="AD179" s="21" t="str">
        <f t="shared" si="54"/>
        <v>л-870200</v>
      </c>
      <c r="AE179" s="80" t="str">
        <f t="shared" si="55"/>
        <v>л</v>
      </c>
      <c r="AF179" s="21" t="str">
        <f t="shared" si="27"/>
        <v>Валютын ханшийн зөрүүнээс үүссэн хэрэгжээгүй алдагдал</v>
      </c>
      <c r="AJ179" s="413"/>
      <c r="AK179" s="413"/>
      <c r="AL179" s="413"/>
      <c r="AM179" s="413"/>
      <c r="AN179" s="414"/>
      <c r="AO179" s="414"/>
    </row>
    <row r="180" spans="1:41" ht="12.75" customHeight="1">
      <c r="A180" s="24"/>
      <c r="B180" s="105">
        <f t="shared" si="35"/>
        <v>177</v>
      </c>
      <c r="C180" s="6">
        <v>703700</v>
      </c>
      <c r="D180" s="6" t="s">
        <v>696</v>
      </c>
      <c r="E180" s="9" t="s">
        <v>32</v>
      </c>
      <c r="F180" s="6"/>
      <c r="G180" s="6"/>
      <c r="H180" s="11"/>
      <c r="I180" s="11"/>
      <c r="J180" s="11">
        <f>+SUMIFS(JURNAL!G:G,JURNAL!E:E,C180,JURNAL!C:C,"&gt;="&amp;$H$1,JURNAL!C:C,"&lt;="&amp;$I$1)</f>
        <v>184672.73</v>
      </c>
      <c r="K180" s="11">
        <f>+SUMIFS(JURNAL!H:H,JURNAL!E:E,C180,JURNAL!C:C,"&gt;="&amp;$H$1,JURNAL!C:C,"&lt;="&amp;$I$1)</f>
        <v>0</v>
      </c>
      <c r="L180" s="26">
        <f t="shared" si="46"/>
        <v>184672.73</v>
      </c>
      <c r="M180" s="27">
        <f t="shared" si="47"/>
        <v>0</v>
      </c>
      <c r="N180" s="11"/>
      <c r="O180" s="11"/>
      <c r="P180" s="11"/>
      <c r="Q180" s="11"/>
      <c r="R180" s="26">
        <f t="shared" si="48"/>
        <v>184672.73</v>
      </c>
      <c r="S180" s="27">
        <f t="shared" si="49"/>
        <v>0</v>
      </c>
      <c r="T180" s="11">
        <f t="shared" si="50"/>
        <v>0</v>
      </c>
      <c r="U180" s="11">
        <f t="shared" si="51"/>
        <v>184672.73</v>
      </c>
      <c r="V180" s="26">
        <f t="shared" si="52"/>
        <v>0</v>
      </c>
      <c r="W180" s="27">
        <f t="shared" si="53"/>
        <v>0</v>
      </c>
      <c r="X180" s="4">
        <v>7002</v>
      </c>
      <c r="Y180" s="4"/>
      <c r="Z180" s="4"/>
      <c r="AA180" s="12">
        <f t="shared" si="34"/>
        <v>1</v>
      </c>
      <c r="AC180" s="6" t="s">
        <v>494</v>
      </c>
      <c r="AD180" s="21" t="str">
        <f t="shared" si="54"/>
        <v>л-870300</v>
      </c>
      <c r="AE180" s="80" t="str">
        <f t="shared" si="55"/>
        <v>л</v>
      </c>
      <c r="AF180" s="21" t="str">
        <f t="shared" si="27"/>
        <v>Найдваргүй авлагын зардал</v>
      </c>
      <c r="AJ180" s="413"/>
      <c r="AK180" s="413"/>
      <c r="AL180" s="413"/>
      <c r="AM180" s="413"/>
      <c r="AN180" s="414"/>
      <c r="AO180" s="414"/>
    </row>
    <row r="181" spans="1:41" ht="12.75" customHeight="1">
      <c r="A181" s="24"/>
      <c r="B181" s="105">
        <f t="shared" si="35"/>
        <v>178</v>
      </c>
      <c r="C181" s="6">
        <v>703800</v>
      </c>
      <c r="D181" s="6" t="s">
        <v>700</v>
      </c>
      <c r="E181" s="9" t="s">
        <v>32</v>
      </c>
      <c r="F181" s="6"/>
      <c r="G181" s="6"/>
      <c r="H181" s="11"/>
      <c r="I181" s="11"/>
      <c r="J181" s="11">
        <f>+SUMIFS(JURNAL!G:G,JURNAL!E:E,C181,JURNAL!C:C,"&gt;="&amp;$H$1,JURNAL!C:C,"&lt;="&amp;$I$1)</f>
        <v>0</v>
      </c>
      <c r="K181" s="11">
        <f>+SUMIFS(JURNAL!H:H,JURNAL!E:E,C181,JURNAL!C:C,"&gt;="&amp;$H$1,JURNAL!C:C,"&lt;="&amp;$I$1)</f>
        <v>0</v>
      </c>
      <c r="L181" s="26">
        <f t="shared" si="46"/>
        <v>0</v>
      </c>
      <c r="M181" s="27">
        <f t="shared" si="47"/>
        <v>0</v>
      </c>
      <c r="N181" s="11"/>
      <c r="O181" s="11"/>
      <c r="P181" s="11"/>
      <c r="Q181" s="11"/>
      <c r="R181" s="26">
        <f t="shared" si="48"/>
        <v>0</v>
      </c>
      <c r="S181" s="27">
        <f t="shared" si="49"/>
        <v>0</v>
      </c>
      <c r="T181" s="11">
        <f t="shared" si="50"/>
        <v>0</v>
      </c>
      <c r="U181" s="11">
        <f t="shared" si="51"/>
        <v>0</v>
      </c>
      <c r="V181" s="26">
        <f t="shared" si="52"/>
        <v>0</v>
      </c>
      <c r="W181" s="27">
        <f t="shared" si="53"/>
        <v>0</v>
      </c>
      <c r="X181" s="4">
        <v>7002</v>
      </c>
      <c r="Y181" s="4"/>
      <c r="Z181" s="4"/>
      <c r="AA181" s="12">
        <f t="shared" si="34"/>
        <v>0</v>
      </c>
      <c r="AC181" s="6" t="s">
        <v>495</v>
      </c>
      <c r="AD181" s="21" t="str">
        <f t="shared" si="54"/>
        <v>т-870400</v>
      </c>
      <c r="AE181" s="80" t="str">
        <f t="shared" si="55"/>
        <v>т</v>
      </c>
      <c r="AF181" s="21" t="str">
        <f t="shared" si="27"/>
        <v>Хүү торгууль, хөнгөлөлт</v>
      </c>
      <c r="AJ181" s="413"/>
      <c r="AK181" s="413"/>
      <c r="AL181" s="413"/>
      <c r="AM181" s="413"/>
      <c r="AN181" s="414"/>
      <c r="AO181" s="414"/>
    </row>
    <row r="182" spans="1:41" ht="12.75" customHeight="1">
      <c r="A182" s="24"/>
      <c r="B182" s="105">
        <f t="shared" si="35"/>
        <v>179</v>
      </c>
      <c r="C182" s="6">
        <v>703900</v>
      </c>
      <c r="D182" s="6" t="s">
        <v>704</v>
      </c>
      <c r="E182" s="9" t="s">
        <v>32</v>
      </c>
      <c r="F182" s="6"/>
      <c r="G182" s="6"/>
      <c r="H182" s="11"/>
      <c r="I182" s="11"/>
      <c r="J182" s="11">
        <f>+SUMIFS(JURNAL!G:G,JURNAL!E:E,C182,JURNAL!C:C,"&gt;="&amp;$H$1,JURNAL!C:C,"&lt;="&amp;$I$1)</f>
        <v>0</v>
      </c>
      <c r="K182" s="11">
        <f>+SUMIFS(JURNAL!H:H,JURNAL!E:E,C182,JURNAL!C:C,"&gt;="&amp;$H$1,JURNAL!C:C,"&lt;="&amp;$I$1)</f>
        <v>0</v>
      </c>
      <c r="L182" s="26">
        <f t="shared" si="46"/>
        <v>0</v>
      </c>
      <c r="M182" s="27">
        <f t="shared" si="47"/>
        <v>0</v>
      </c>
      <c r="N182" s="11"/>
      <c r="O182" s="11"/>
      <c r="P182" s="11"/>
      <c r="Q182" s="11"/>
      <c r="R182" s="26">
        <f t="shared" si="48"/>
        <v>0</v>
      </c>
      <c r="S182" s="27">
        <f t="shared" si="49"/>
        <v>0</v>
      </c>
      <c r="T182" s="11">
        <f t="shared" si="50"/>
        <v>0</v>
      </c>
      <c r="U182" s="11">
        <f t="shared" si="51"/>
        <v>0</v>
      </c>
      <c r="V182" s="26">
        <f t="shared" si="52"/>
        <v>0</v>
      </c>
      <c r="W182" s="27">
        <f t="shared" si="53"/>
        <v>0</v>
      </c>
      <c r="X182" s="4">
        <v>7002</v>
      </c>
      <c r="Y182" s="4"/>
      <c r="Z182" s="4"/>
      <c r="AA182" s="12">
        <f t="shared" si="34"/>
        <v>0</v>
      </c>
      <c r="AC182" s="6" t="s">
        <v>496</v>
      </c>
      <c r="AD182" s="21" t="str">
        <f t="shared" si="54"/>
        <v>г-870500</v>
      </c>
      <c r="AE182" s="80" t="str">
        <f t="shared" si="55"/>
        <v>г</v>
      </c>
      <c r="AF182" s="21" t="str">
        <f t="shared" si="27"/>
        <v>Биет бус хөрөнгийн үлдэгдэл өртөг</v>
      </c>
      <c r="AJ182" s="413"/>
      <c r="AK182" s="413"/>
      <c r="AL182" s="413"/>
      <c r="AM182" s="413"/>
      <c r="AN182" s="414"/>
      <c r="AO182" s="414"/>
    </row>
    <row r="183" spans="1:41" ht="12.75" customHeight="1">
      <c r="A183" s="24"/>
      <c r="B183" s="105">
        <f t="shared" si="35"/>
        <v>180</v>
      </c>
      <c r="C183" s="6">
        <v>704000</v>
      </c>
      <c r="D183" s="6" t="s">
        <v>708</v>
      </c>
      <c r="E183" s="9" t="s">
        <v>32</v>
      </c>
      <c r="F183" s="6"/>
      <c r="G183" s="6"/>
      <c r="H183" s="11"/>
      <c r="I183" s="11"/>
      <c r="J183" s="11">
        <f>+SUMIFS(JURNAL!G:G,JURNAL!E:E,C183,JURNAL!C:C,"&gt;="&amp;$H$1,JURNAL!C:C,"&lt;="&amp;$I$1)</f>
        <v>0</v>
      </c>
      <c r="K183" s="11">
        <f>+SUMIFS(JURNAL!H:H,JURNAL!E:E,C183,JURNAL!C:C,"&gt;="&amp;$H$1,JURNAL!C:C,"&lt;="&amp;$I$1)</f>
        <v>0</v>
      </c>
      <c r="L183" s="26">
        <f t="shared" si="46"/>
        <v>0</v>
      </c>
      <c r="M183" s="27">
        <f t="shared" si="47"/>
        <v>0</v>
      </c>
      <c r="N183" s="11"/>
      <c r="O183" s="11"/>
      <c r="P183" s="11"/>
      <c r="Q183" s="11"/>
      <c r="R183" s="26">
        <f t="shared" si="48"/>
        <v>0</v>
      </c>
      <c r="S183" s="27">
        <f t="shared" si="49"/>
        <v>0</v>
      </c>
      <c r="T183" s="11">
        <f t="shared" si="50"/>
        <v>0</v>
      </c>
      <c r="U183" s="11">
        <f t="shared" si="51"/>
        <v>0</v>
      </c>
      <c r="V183" s="26">
        <f t="shared" si="52"/>
        <v>0</v>
      </c>
      <c r="W183" s="27">
        <f t="shared" si="53"/>
        <v>0</v>
      </c>
      <c r="X183" s="4">
        <v>7002</v>
      </c>
      <c r="Y183" s="4"/>
      <c r="Z183" s="4"/>
      <c r="AA183" s="12">
        <f t="shared" si="34"/>
        <v>0</v>
      </c>
      <c r="AC183" s="6" t="s">
        <v>497</v>
      </c>
      <c r="AD183" s="21" t="str">
        <f t="shared" si="54"/>
        <v>л-870700</v>
      </c>
      <c r="AE183" s="80" t="str">
        <f t="shared" si="55"/>
        <v>л</v>
      </c>
      <c r="AF183" s="21" t="str">
        <f t="shared" si="27"/>
        <v>Үндсэн бус үйл ажиллагааны бусад зардал</v>
      </c>
      <c r="AJ183" s="413"/>
      <c r="AK183" s="413"/>
      <c r="AL183" s="413"/>
      <c r="AM183" s="413"/>
      <c r="AN183" s="414"/>
      <c r="AO183" s="414"/>
    </row>
    <row r="184" spans="1:41" ht="12.75" customHeight="1">
      <c r="A184" s="24"/>
      <c r="B184" s="105">
        <f t="shared" si="35"/>
        <v>181</v>
      </c>
      <c r="C184" s="6">
        <v>704100</v>
      </c>
      <c r="D184" s="6" t="s">
        <v>712</v>
      </c>
      <c r="E184" s="9" t="s">
        <v>32</v>
      </c>
      <c r="F184" s="6"/>
      <c r="G184" s="6"/>
      <c r="H184" s="11"/>
      <c r="I184" s="11"/>
      <c r="J184" s="11">
        <f>+SUMIFS(JURNAL!G:G,JURNAL!E:E,C184,JURNAL!C:C,"&gt;="&amp;$H$1,JURNAL!C:C,"&lt;="&amp;$I$1)</f>
        <v>0</v>
      </c>
      <c r="K184" s="11">
        <f>+SUMIFS(JURNAL!H:H,JURNAL!E:E,C184,JURNAL!C:C,"&gt;="&amp;$H$1,JURNAL!C:C,"&lt;="&amp;$I$1)</f>
        <v>0</v>
      </c>
      <c r="L184" s="26">
        <f t="shared" si="46"/>
        <v>0</v>
      </c>
      <c r="M184" s="27">
        <f t="shared" si="47"/>
        <v>0</v>
      </c>
      <c r="N184" s="11"/>
      <c r="O184" s="11"/>
      <c r="P184" s="11"/>
      <c r="Q184" s="11"/>
      <c r="R184" s="26">
        <f t="shared" si="48"/>
        <v>0</v>
      </c>
      <c r="S184" s="27">
        <f t="shared" si="49"/>
        <v>0</v>
      </c>
      <c r="T184" s="11">
        <f t="shared" si="50"/>
        <v>0</v>
      </c>
      <c r="U184" s="11">
        <f t="shared" si="51"/>
        <v>0</v>
      </c>
      <c r="V184" s="26">
        <f t="shared" si="52"/>
        <v>0</v>
      </c>
      <c r="W184" s="27">
        <f t="shared" si="53"/>
        <v>0</v>
      </c>
      <c r="X184" s="4">
        <v>7002</v>
      </c>
      <c r="Y184" s="4"/>
      <c r="Z184" s="4"/>
      <c r="AA184" s="12">
        <f t="shared" si="34"/>
        <v>0</v>
      </c>
      <c r="AC184" s="6" t="s">
        <v>498</v>
      </c>
      <c r="AD184" s="21" t="str">
        <f t="shared" si="54"/>
        <v>л-870800</v>
      </c>
      <c r="AE184" s="80" t="str">
        <f t="shared" si="55"/>
        <v>л</v>
      </c>
      <c r="AF184" s="21" t="str">
        <f t="shared" si="27"/>
        <v>Түрээсийн орлого олохтой холбогдож гарсан зардал</v>
      </c>
      <c r="AJ184" s="413"/>
      <c r="AK184" s="413"/>
      <c r="AL184" s="413"/>
      <c r="AM184" s="413"/>
      <c r="AN184" s="414"/>
      <c r="AO184" s="414"/>
    </row>
    <row r="185" spans="1:41" ht="12.75" customHeight="1">
      <c r="A185" s="24"/>
      <c r="B185" s="105">
        <f t="shared" si="35"/>
        <v>182</v>
      </c>
      <c r="C185" s="6">
        <v>704200</v>
      </c>
      <c r="D185" s="127" t="s">
        <v>716</v>
      </c>
      <c r="E185" s="9" t="s">
        <v>32</v>
      </c>
      <c r="F185" s="6"/>
      <c r="G185" s="6"/>
      <c r="H185" s="11"/>
      <c r="I185" s="11"/>
      <c r="J185" s="11">
        <f>+SUMIFS(JURNAL!G:G,JURNAL!E:E,C185,JURNAL!C:C,"&gt;="&amp;$H$1,JURNAL!C:C,"&lt;="&amp;$I$1)</f>
        <v>0</v>
      </c>
      <c r="K185" s="11">
        <f>+SUMIFS(JURNAL!H:H,JURNAL!E:E,C185,JURNAL!C:C,"&gt;="&amp;$H$1,JURNAL!C:C,"&lt;="&amp;$I$1)</f>
        <v>0</v>
      </c>
      <c r="L185" s="26">
        <f t="shared" si="46"/>
        <v>0</v>
      </c>
      <c r="M185" s="27">
        <f t="shared" si="47"/>
        <v>0</v>
      </c>
      <c r="N185" s="11"/>
      <c r="O185" s="11"/>
      <c r="P185" s="11"/>
      <c r="Q185" s="11"/>
      <c r="R185" s="26">
        <f t="shared" si="48"/>
        <v>0</v>
      </c>
      <c r="S185" s="27">
        <f t="shared" si="49"/>
        <v>0</v>
      </c>
      <c r="T185" s="11">
        <f t="shared" si="50"/>
        <v>0</v>
      </c>
      <c r="U185" s="11">
        <f t="shared" si="51"/>
        <v>0</v>
      </c>
      <c r="V185" s="26">
        <f t="shared" si="52"/>
        <v>0</v>
      </c>
      <c r="W185" s="27">
        <f t="shared" si="53"/>
        <v>0</v>
      </c>
      <c r="X185" s="4">
        <v>7002</v>
      </c>
      <c r="Y185" s="4"/>
      <c r="Z185" s="4"/>
      <c r="AA185" s="12">
        <f t="shared" si="34"/>
        <v>0</v>
      </c>
      <c r="AC185" s="6" t="s">
        <v>499</v>
      </c>
      <c r="AD185" s="21" t="str">
        <f t="shared" si="54"/>
        <v>г-870900</v>
      </c>
      <c r="AE185" s="80" t="str">
        <f t="shared" si="55"/>
        <v>г</v>
      </c>
      <c r="AF185" s="21" t="str">
        <f t="shared" si="27"/>
        <v>Хөрөнгө оруулалтын өртөг</v>
      </c>
      <c r="AJ185" s="413"/>
      <c r="AK185" s="413"/>
      <c r="AL185" s="413"/>
      <c r="AM185" s="413"/>
      <c r="AN185" s="414"/>
      <c r="AO185" s="414"/>
    </row>
    <row r="186" spans="1:41" ht="12.75" customHeight="1">
      <c r="A186" s="24"/>
      <c r="B186" s="105">
        <f t="shared" si="35"/>
        <v>183</v>
      </c>
      <c r="C186" s="6">
        <v>704300</v>
      </c>
      <c r="D186" s="6" t="s">
        <v>720</v>
      </c>
      <c r="E186" s="9" t="s">
        <v>32</v>
      </c>
      <c r="F186" s="6"/>
      <c r="G186" s="6"/>
      <c r="H186" s="11"/>
      <c r="I186" s="11"/>
      <c r="J186" s="11">
        <f>+SUMIFS(JURNAL!G:G,JURNAL!E:E,C186,JURNAL!C:C,"&gt;="&amp;$H$1,JURNAL!C:C,"&lt;="&amp;$I$1)</f>
        <v>0</v>
      </c>
      <c r="K186" s="11">
        <f>+SUMIFS(JURNAL!H:H,JURNAL!E:E,C186,JURNAL!C:C,"&gt;="&amp;$H$1,JURNAL!C:C,"&lt;="&amp;$I$1)</f>
        <v>0</v>
      </c>
      <c r="L186" s="26">
        <f t="shared" si="46"/>
        <v>0</v>
      </c>
      <c r="M186" s="27">
        <f t="shared" si="47"/>
        <v>0</v>
      </c>
      <c r="N186" s="11"/>
      <c r="O186" s="11"/>
      <c r="P186" s="11"/>
      <c r="Q186" s="11"/>
      <c r="R186" s="26">
        <f t="shared" si="48"/>
        <v>0</v>
      </c>
      <c r="S186" s="27">
        <f t="shared" si="49"/>
        <v>0</v>
      </c>
      <c r="T186" s="11">
        <f t="shared" si="50"/>
        <v>0</v>
      </c>
      <c r="U186" s="11">
        <f t="shared" si="51"/>
        <v>0</v>
      </c>
      <c r="V186" s="26">
        <f t="shared" si="52"/>
        <v>0</v>
      </c>
      <c r="W186" s="27">
        <f t="shared" si="53"/>
        <v>0</v>
      </c>
      <c r="X186" s="4">
        <v>7002</v>
      </c>
      <c r="Y186" s="4"/>
      <c r="Z186" s="4"/>
      <c r="AA186" s="12">
        <f t="shared" si="34"/>
        <v>0</v>
      </c>
      <c r="AC186" s="6" t="s">
        <v>500</v>
      </c>
      <c r="AD186" s="21" t="str">
        <f t="shared" si="54"/>
        <v>г-871100</v>
      </c>
      <c r="AE186" s="80" t="str">
        <f t="shared" si="55"/>
        <v>г</v>
      </c>
      <c r="AF186" s="21" t="str">
        <f t="shared" si="27"/>
        <v>Худалдаж борлуулсан хөдлөх хөрөнгийн өртөг</v>
      </c>
      <c r="AJ186" s="413"/>
      <c r="AK186" s="413"/>
      <c r="AL186" s="413"/>
      <c r="AM186" s="413"/>
      <c r="AN186" s="414"/>
      <c r="AO186" s="414"/>
    </row>
    <row r="187" spans="1:41" ht="12.75" customHeight="1">
      <c r="A187" s="24"/>
      <c r="B187" s="105">
        <f t="shared" si="35"/>
        <v>184</v>
      </c>
      <c r="C187" s="6">
        <v>704400</v>
      </c>
      <c r="D187" s="6" t="s">
        <v>724</v>
      </c>
      <c r="E187" s="9" t="s">
        <v>32</v>
      </c>
      <c r="F187" s="6"/>
      <c r="G187" s="6"/>
      <c r="H187" s="11"/>
      <c r="I187" s="11"/>
      <c r="J187" s="11">
        <f>+SUMIFS(JURNAL!G:G,JURNAL!E:E,C187,JURNAL!C:C,"&gt;="&amp;$H$1,JURNAL!C:C,"&lt;="&amp;$I$1)</f>
        <v>0</v>
      </c>
      <c r="K187" s="11">
        <f>+SUMIFS(JURNAL!H:H,JURNAL!E:E,C187,JURNAL!C:C,"&gt;="&amp;$H$1,JURNAL!C:C,"&lt;="&amp;$I$1)</f>
        <v>0</v>
      </c>
      <c r="L187" s="26">
        <f t="shared" si="46"/>
        <v>0</v>
      </c>
      <c r="M187" s="27">
        <f t="shared" si="47"/>
        <v>0</v>
      </c>
      <c r="N187" s="11"/>
      <c r="O187" s="11"/>
      <c r="P187" s="11"/>
      <c r="Q187" s="11"/>
      <c r="R187" s="26">
        <f t="shared" si="48"/>
        <v>0</v>
      </c>
      <c r="S187" s="27">
        <f t="shared" si="49"/>
        <v>0</v>
      </c>
      <c r="T187" s="11">
        <f t="shared" si="50"/>
        <v>0</v>
      </c>
      <c r="U187" s="11">
        <f t="shared" si="51"/>
        <v>0</v>
      </c>
      <c r="V187" s="26">
        <f t="shared" si="52"/>
        <v>0</v>
      </c>
      <c r="W187" s="27">
        <f t="shared" si="53"/>
        <v>0</v>
      </c>
      <c r="X187" s="4">
        <v>7002</v>
      </c>
      <c r="Y187" s="4"/>
      <c r="Z187" s="4"/>
      <c r="AA187" s="12">
        <f t="shared" si="34"/>
        <v>0</v>
      </c>
      <c r="AC187" s="6" t="s">
        <v>501</v>
      </c>
      <c r="AD187" s="21" t="str">
        <f t="shared" si="54"/>
        <v>г-871200</v>
      </c>
      <c r="AE187" s="80" t="str">
        <f t="shared" si="55"/>
        <v>г</v>
      </c>
      <c r="AF187" s="21" t="str">
        <f t="shared" si="27"/>
        <v>Худалдаж борлуулсан үл хөдлөх хөрөнгийн өртөг</v>
      </c>
      <c r="AJ187" s="413"/>
      <c r="AK187" s="413"/>
      <c r="AL187" s="413"/>
      <c r="AM187" s="413"/>
      <c r="AN187" s="414"/>
      <c r="AO187" s="414"/>
    </row>
    <row r="188" spans="1:41" ht="12.75" customHeight="1">
      <c r="A188" s="24"/>
      <c r="B188" s="105">
        <f t="shared" si="35"/>
        <v>185</v>
      </c>
      <c r="C188" s="6">
        <v>704600</v>
      </c>
      <c r="D188" s="6" t="s">
        <v>728</v>
      </c>
      <c r="E188" s="9" t="s">
        <v>32</v>
      </c>
      <c r="F188" s="6"/>
      <c r="G188" s="6"/>
      <c r="H188" s="11"/>
      <c r="I188" s="11"/>
      <c r="J188" s="11">
        <f>+SUMIFS(JURNAL!G:G,JURNAL!E:E,C188,JURNAL!C:C,"&gt;="&amp;$H$1,JURNAL!C:C,"&lt;="&amp;$I$1)</f>
        <v>0</v>
      </c>
      <c r="K188" s="11">
        <f>+SUMIFS(JURNAL!H:H,JURNAL!E:E,C188,JURNAL!C:C,"&gt;="&amp;$H$1,JURNAL!C:C,"&lt;="&amp;$I$1)</f>
        <v>0</v>
      </c>
      <c r="L188" s="26">
        <f t="shared" si="46"/>
        <v>0</v>
      </c>
      <c r="M188" s="27">
        <f t="shared" si="47"/>
        <v>0</v>
      </c>
      <c r="N188" s="11"/>
      <c r="O188" s="11"/>
      <c r="P188" s="11"/>
      <c r="Q188" s="11"/>
      <c r="R188" s="26">
        <f t="shared" si="48"/>
        <v>0</v>
      </c>
      <c r="S188" s="27">
        <f t="shared" si="49"/>
        <v>0</v>
      </c>
      <c r="T188" s="11">
        <f t="shared" si="50"/>
        <v>0</v>
      </c>
      <c r="U188" s="11">
        <f t="shared" si="51"/>
        <v>0</v>
      </c>
      <c r="V188" s="26">
        <f t="shared" si="52"/>
        <v>0</v>
      </c>
      <c r="W188" s="27">
        <f t="shared" si="53"/>
        <v>0</v>
      </c>
      <c r="X188" s="4">
        <v>7002</v>
      </c>
      <c r="Y188" s="4"/>
      <c r="Z188" s="4"/>
      <c r="AA188" s="12">
        <f t="shared" si="34"/>
        <v>0</v>
      </c>
      <c r="AC188" s="6" t="s">
        <v>502</v>
      </c>
      <c r="AD188" s="21" t="str">
        <f t="shared" si="54"/>
        <v>л-910100</v>
      </c>
      <c r="AE188" s="80" t="str">
        <f t="shared" si="55"/>
        <v>л</v>
      </c>
      <c r="AF188" s="21" t="str">
        <f t="shared" si="27"/>
        <v>Татварын зардал</v>
      </c>
      <c r="AJ188" s="413"/>
      <c r="AK188" s="413"/>
      <c r="AL188" s="413"/>
      <c r="AM188" s="413"/>
      <c r="AN188" s="414"/>
      <c r="AO188" s="414"/>
    </row>
    <row r="189" spans="1:41" ht="12.75" customHeight="1">
      <c r="A189" s="24"/>
      <c r="B189" s="105">
        <f t="shared" si="35"/>
        <v>186</v>
      </c>
      <c r="C189" s="6">
        <v>704700</v>
      </c>
      <c r="D189" s="6" t="s">
        <v>732</v>
      </c>
      <c r="E189" s="9" t="s">
        <v>32</v>
      </c>
      <c r="F189" s="6"/>
      <c r="G189" s="6"/>
      <c r="H189" s="11"/>
      <c r="I189" s="11"/>
      <c r="J189" s="11">
        <f>+SUMIFS(JURNAL!G:G,JURNAL!E:E,C189,JURNAL!C:C,"&gt;="&amp;$H$1,JURNAL!C:C,"&lt;="&amp;$I$1)</f>
        <v>249827</v>
      </c>
      <c r="K189" s="11">
        <f>+SUMIFS(JURNAL!H:H,JURNAL!E:E,C189,JURNAL!C:C,"&gt;="&amp;$H$1,JURNAL!C:C,"&lt;="&amp;$I$1)</f>
        <v>0</v>
      </c>
      <c r="L189" s="26">
        <f t="shared" si="46"/>
        <v>249827</v>
      </c>
      <c r="M189" s="27">
        <f t="shared" si="47"/>
        <v>0</v>
      </c>
      <c r="N189" s="11"/>
      <c r="O189" s="11"/>
      <c r="P189" s="11"/>
      <c r="Q189" s="11"/>
      <c r="R189" s="26">
        <f t="shared" si="48"/>
        <v>249827</v>
      </c>
      <c r="S189" s="27">
        <f t="shared" si="49"/>
        <v>0</v>
      </c>
      <c r="T189" s="11">
        <f t="shared" si="50"/>
        <v>0</v>
      </c>
      <c r="U189" s="11">
        <f t="shared" si="51"/>
        <v>249827</v>
      </c>
      <c r="V189" s="26">
        <f t="shared" si="52"/>
        <v>0</v>
      </c>
      <c r="W189" s="27">
        <f t="shared" si="53"/>
        <v>0</v>
      </c>
      <c r="X189" s="4">
        <v>7002</v>
      </c>
      <c r="Y189" s="4"/>
      <c r="Z189" s="4"/>
      <c r="AA189" s="12">
        <f t="shared" si="34"/>
        <v>1</v>
      </c>
      <c r="AC189" s="6" t="s">
        <v>503</v>
      </c>
      <c r="AD189" s="21" t="str">
        <f t="shared" si="54"/>
        <v>с-920100</v>
      </c>
      <c r="AE189" s="80" t="str">
        <f t="shared" si="55"/>
        <v>с</v>
      </c>
      <c r="AF189" s="21" t="str">
        <f t="shared" si="27"/>
        <v>Орлого зардлын нэгдсэн данс</v>
      </c>
      <c r="AJ189" s="413"/>
      <c r="AK189" s="413"/>
      <c r="AL189" s="413"/>
      <c r="AM189" s="413"/>
      <c r="AN189" s="414"/>
      <c r="AO189" s="414"/>
    </row>
    <row r="190" spans="1:41" ht="12.75" customHeight="1">
      <c r="B190" s="105">
        <f t="shared" si="35"/>
        <v>187</v>
      </c>
      <c r="C190" s="6">
        <v>704800</v>
      </c>
      <c r="D190" s="6" t="s">
        <v>736</v>
      </c>
      <c r="E190" s="9" t="s">
        <v>32</v>
      </c>
      <c r="F190" s="6"/>
      <c r="G190" s="6"/>
      <c r="H190" s="11"/>
      <c r="I190" s="11"/>
      <c r="J190" s="11">
        <f>+SUMIFS(JURNAL!G:G,JURNAL!E:E,C190,JURNAL!C:C,"&gt;="&amp;$H$1,JURNAL!C:C,"&lt;="&amp;$I$1)</f>
        <v>0</v>
      </c>
      <c r="K190" s="11">
        <f>+SUMIFS(JURNAL!H:H,JURNAL!E:E,C190,JURNAL!C:C,"&gt;="&amp;$H$1,JURNAL!C:C,"&lt;="&amp;$I$1)</f>
        <v>0</v>
      </c>
      <c r="L190" s="26">
        <f t="shared" si="46"/>
        <v>0</v>
      </c>
      <c r="M190" s="27">
        <f t="shared" si="47"/>
        <v>0</v>
      </c>
      <c r="N190" s="11"/>
      <c r="O190" s="11"/>
      <c r="P190" s="11"/>
      <c r="Q190" s="11"/>
      <c r="R190" s="26">
        <f t="shared" si="48"/>
        <v>0</v>
      </c>
      <c r="S190" s="27">
        <f t="shared" si="49"/>
        <v>0</v>
      </c>
      <c r="T190" s="11">
        <f t="shared" si="50"/>
        <v>0</v>
      </c>
      <c r="U190" s="11">
        <f t="shared" si="51"/>
        <v>0</v>
      </c>
      <c r="V190" s="26">
        <f t="shared" si="52"/>
        <v>0</v>
      </c>
      <c r="W190" s="27">
        <f t="shared" si="53"/>
        <v>0</v>
      </c>
      <c r="X190" s="4">
        <v>7002</v>
      </c>
      <c r="Y190" s="4"/>
      <c r="Z190" s="4"/>
      <c r="AA190" s="12">
        <f t="shared" si="34"/>
        <v>0</v>
      </c>
      <c r="AJ190" s="413"/>
      <c r="AK190" s="413"/>
      <c r="AL190" s="413"/>
      <c r="AM190" s="413"/>
      <c r="AN190" s="414"/>
      <c r="AO190" s="414"/>
    </row>
    <row r="191" spans="1:41" ht="12.75" customHeight="1">
      <c r="B191" s="105">
        <f t="shared" si="35"/>
        <v>188</v>
      </c>
      <c r="C191" s="6">
        <v>704900</v>
      </c>
      <c r="D191" s="6" t="s">
        <v>740</v>
      </c>
      <c r="E191" s="9" t="s">
        <v>32</v>
      </c>
      <c r="F191" s="6"/>
      <c r="G191" s="6"/>
      <c r="H191" s="11"/>
      <c r="I191" s="11"/>
      <c r="J191" s="11">
        <f>+SUMIFS(JURNAL!G:G,JURNAL!E:E,C191,JURNAL!C:C,"&gt;="&amp;$H$1,JURNAL!C:C,"&lt;="&amp;$I$1)</f>
        <v>8900</v>
      </c>
      <c r="K191" s="11">
        <f>+SUMIFS(JURNAL!H:H,JURNAL!E:E,C191,JURNAL!C:C,"&gt;="&amp;$H$1,JURNAL!C:C,"&lt;="&amp;$I$1)</f>
        <v>0</v>
      </c>
      <c r="L191" s="26">
        <f t="shared" si="46"/>
        <v>8900</v>
      </c>
      <c r="M191" s="27">
        <f t="shared" si="47"/>
        <v>0</v>
      </c>
      <c r="N191" s="11"/>
      <c r="O191" s="11"/>
      <c r="P191" s="11"/>
      <c r="Q191" s="11"/>
      <c r="R191" s="26">
        <f t="shared" si="48"/>
        <v>8900</v>
      </c>
      <c r="S191" s="27">
        <f t="shared" si="49"/>
        <v>0</v>
      </c>
      <c r="T191" s="11">
        <f t="shared" si="50"/>
        <v>0</v>
      </c>
      <c r="U191" s="11">
        <f t="shared" si="51"/>
        <v>8900</v>
      </c>
      <c r="V191" s="26">
        <f t="shared" si="52"/>
        <v>0</v>
      </c>
      <c r="W191" s="27">
        <f t="shared" si="53"/>
        <v>0</v>
      </c>
      <c r="X191" s="4">
        <v>7002</v>
      </c>
      <c r="Y191" s="4"/>
      <c r="Z191" s="4"/>
      <c r="AA191" s="12">
        <f t="shared" si="34"/>
        <v>1</v>
      </c>
      <c r="AJ191" s="413"/>
      <c r="AK191" s="413"/>
      <c r="AL191" s="413"/>
      <c r="AM191" s="413"/>
      <c r="AN191" s="414"/>
      <c r="AO191" s="414"/>
    </row>
    <row r="192" spans="1:41" ht="12.75" customHeight="1">
      <c r="B192" s="105">
        <f t="shared" si="35"/>
        <v>189</v>
      </c>
      <c r="C192" s="6">
        <v>705000</v>
      </c>
      <c r="D192" s="6" t="s">
        <v>744</v>
      </c>
      <c r="E192" s="9" t="s">
        <v>32</v>
      </c>
      <c r="F192" s="6"/>
      <c r="G192" s="6"/>
      <c r="H192" s="11"/>
      <c r="I192" s="11"/>
      <c r="J192" s="11">
        <f>+SUMIFS(JURNAL!G:G,JURNAL!E:E,C192,JURNAL!C:C,"&gt;="&amp;$H$1,JURNAL!C:C,"&lt;="&amp;$I$1)</f>
        <v>0</v>
      </c>
      <c r="K192" s="11">
        <f>+SUMIFS(JURNAL!H:H,JURNAL!E:E,C192,JURNAL!C:C,"&gt;="&amp;$H$1,JURNAL!C:C,"&lt;="&amp;$I$1)</f>
        <v>0</v>
      </c>
      <c r="L192" s="26">
        <f t="shared" si="46"/>
        <v>0</v>
      </c>
      <c r="M192" s="27">
        <f t="shared" si="47"/>
        <v>0</v>
      </c>
      <c r="N192" s="11"/>
      <c r="O192" s="11"/>
      <c r="P192" s="11"/>
      <c r="Q192" s="11"/>
      <c r="R192" s="26">
        <f t="shared" si="48"/>
        <v>0</v>
      </c>
      <c r="S192" s="27">
        <f t="shared" si="49"/>
        <v>0</v>
      </c>
      <c r="T192" s="11">
        <f t="shared" si="50"/>
        <v>0</v>
      </c>
      <c r="U192" s="11">
        <f t="shared" si="51"/>
        <v>0</v>
      </c>
      <c r="V192" s="26">
        <f t="shared" si="52"/>
        <v>0</v>
      </c>
      <c r="W192" s="27">
        <f t="shared" si="53"/>
        <v>0</v>
      </c>
      <c r="X192" s="4">
        <v>7002</v>
      </c>
      <c r="Y192" s="4"/>
      <c r="Z192" s="4"/>
      <c r="AA192" s="12">
        <f t="shared" si="34"/>
        <v>0</v>
      </c>
      <c r="AJ192" s="413"/>
      <c r="AK192" s="413"/>
      <c r="AL192" s="413"/>
      <c r="AM192" s="413"/>
      <c r="AN192" s="414"/>
      <c r="AO192" s="414"/>
    </row>
    <row r="193" spans="2:41" ht="12.75" customHeight="1">
      <c r="B193" s="105">
        <f t="shared" si="35"/>
        <v>190</v>
      </c>
      <c r="C193" s="6">
        <v>705800</v>
      </c>
      <c r="D193" s="6" t="s">
        <v>748</v>
      </c>
      <c r="E193" s="9" t="s">
        <v>32</v>
      </c>
      <c r="F193" s="6"/>
      <c r="G193" s="6"/>
      <c r="H193" s="11"/>
      <c r="I193" s="11"/>
      <c r="J193" s="11">
        <f>+SUMIFS(JURNAL!G:G,JURNAL!E:E,C193,JURNAL!C:C,"&gt;="&amp;$H$1,JURNAL!C:C,"&lt;="&amp;$I$1)</f>
        <v>4500000</v>
      </c>
      <c r="K193" s="11">
        <f>+SUMIFS(JURNAL!H:H,JURNAL!E:E,C193,JURNAL!C:C,"&gt;="&amp;$H$1,JURNAL!C:C,"&lt;="&amp;$I$1)</f>
        <v>0</v>
      </c>
      <c r="L193" s="26">
        <f t="shared" si="46"/>
        <v>4500000</v>
      </c>
      <c r="M193" s="27">
        <f t="shared" si="47"/>
        <v>0</v>
      </c>
      <c r="N193" s="11"/>
      <c r="O193" s="11"/>
      <c r="P193" s="11"/>
      <c r="Q193" s="11"/>
      <c r="R193" s="26">
        <f t="shared" si="48"/>
        <v>4500000</v>
      </c>
      <c r="S193" s="27">
        <f t="shared" si="49"/>
        <v>0</v>
      </c>
      <c r="T193" s="11">
        <f t="shared" si="50"/>
        <v>0</v>
      </c>
      <c r="U193" s="11">
        <f t="shared" si="51"/>
        <v>4500000</v>
      </c>
      <c r="V193" s="26">
        <f t="shared" si="52"/>
        <v>0</v>
      </c>
      <c r="W193" s="27">
        <f t="shared" si="53"/>
        <v>0</v>
      </c>
      <c r="X193" s="4">
        <v>7002</v>
      </c>
      <c r="Y193" s="4"/>
      <c r="Z193" s="4"/>
      <c r="AA193" s="12">
        <f t="shared" si="34"/>
        <v>1</v>
      </c>
      <c r="AJ193" s="413"/>
      <c r="AK193" s="413"/>
      <c r="AL193" s="413"/>
      <c r="AM193" s="413"/>
      <c r="AN193" s="414"/>
      <c r="AO193" s="414"/>
    </row>
    <row r="194" spans="2:41" ht="12.75" customHeight="1">
      <c r="B194" s="105">
        <f t="shared" si="35"/>
        <v>191</v>
      </c>
      <c r="C194" s="6">
        <v>705900</v>
      </c>
      <c r="D194" s="6" t="s">
        <v>976</v>
      </c>
      <c r="E194" s="9" t="s">
        <v>32</v>
      </c>
      <c r="F194" s="6"/>
      <c r="G194" s="6"/>
      <c r="H194" s="11"/>
      <c r="I194" s="11"/>
      <c r="J194" s="11">
        <f>+SUMIFS(JURNAL!G:G,JURNAL!E:E,C194,JURNAL!C:C,"&gt;="&amp;$H$1,JURNAL!C:C,"&lt;="&amp;$I$1)</f>
        <v>0</v>
      </c>
      <c r="K194" s="11">
        <f>+SUMIFS(JURNAL!H:H,JURNAL!E:E,C194,JURNAL!C:C,"&gt;="&amp;$H$1,JURNAL!C:C,"&lt;="&amp;$I$1)</f>
        <v>0</v>
      </c>
      <c r="L194" s="26">
        <f t="shared" si="46"/>
        <v>0</v>
      </c>
      <c r="M194" s="27">
        <f t="shared" si="47"/>
        <v>0</v>
      </c>
      <c r="N194" s="11"/>
      <c r="O194" s="11"/>
      <c r="P194" s="11"/>
      <c r="Q194" s="11"/>
      <c r="R194" s="26">
        <f t="shared" si="48"/>
        <v>0</v>
      </c>
      <c r="S194" s="27">
        <f t="shared" si="49"/>
        <v>0</v>
      </c>
      <c r="T194" s="11">
        <f t="shared" si="50"/>
        <v>0</v>
      </c>
      <c r="U194" s="11">
        <f t="shared" si="51"/>
        <v>0</v>
      </c>
      <c r="V194" s="26">
        <f t="shared" si="52"/>
        <v>0</v>
      </c>
      <c r="W194" s="27">
        <f t="shared" si="53"/>
        <v>0</v>
      </c>
      <c r="X194" s="4">
        <v>7002</v>
      </c>
      <c r="Y194" s="4"/>
      <c r="Z194" s="4"/>
      <c r="AA194" s="12">
        <f t="shared" si="34"/>
        <v>0</v>
      </c>
      <c r="AC194" s="21">
        <v>3625167.0589999999</v>
      </c>
      <c r="AJ194" s="413"/>
      <c r="AK194" s="413"/>
      <c r="AL194" s="413"/>
      <c r="AM194" s="413"/>
      <c r="AN194" s="414"/>
      <c r="AO194" s="414"/>
    </row>
    <row r="195" spans="2:41" ht="12.75" customHeight="1">
      <c r="B195" s="105">
        <f t="shared" si="35"/>
        <v>192</v>
      </c>
      <c r="C195" s="6">
        <v>706000</v>
      </c>
      <c r="D195" s="6" t="s">
        <v>756</v>
      </c>
      <c r="E195" s="9" t="s">
        <v>32</v>
      </c>
      <c r="F195" s="6"/>
      <c r="G195" s="6"/>
      <c r="H195" s="11"/>
      <c r="I195" s="11"/>
      <c r="J195" s="11">
        <f>+SUMIFS(JURNAL!G:G,JURNAL!E:E,C195,JURNAL!C:C,"&gt;="&amp;$H$1,JURNAL!C:C,"&lt;="&amp;$I$1)</f>
        <v>2140418.1800000002</v>
      </c>
      <c r="K195" s="11">
        <f>+SUMIFS(JURNAL!H:H,JURNAL!E:E,C195,JURNAL!C:C,"&gt;="&amp;$H$1,JURNAL!C:C,"&lt;="&amp;$I$1)</f>
        <v>0</v>
      </c>
      <c r="L195" s="26">
        <f t="shared" si="46"/>
        <v>2140418.1800000002</v>
      </c>
      <c r="M195" s="27">
        <f t="shared" si="47"/>
        <v>0</v>
      </c>
      <c r="N195" s="11"/>
      <c r="O195" s="11"/>
      <c r="P195" s="11"/>
      <c r="Q195" s="11"/>
      <c r="R195" s="26">
        <f t="shared" si="48"/>
        <v>2140418.1800000002</v>
      </c>
      <c r="S195" s="27">
        <f t="shared" si="49"/>
        <v>0</v>
      </c>
      <c r="T195" s="11">
        <f t="shared" si="50"/>
        <v>0</v>
      </c>
      <c r="U195" s="11">
        <f t="shared" si="51"/>
        <v>2140418.1800000002</v>
      </c>
      <c r="V195" s="26">
        <f t="shared" si="52"/>
        <v>0</v>
      </c>
      <c r="W195" s="27">
        <f t="shared" si="53"/>
        <v>0</v>
      </c>
      <c r="X195" s="4">
        <v>7002</v>
      </c>
      <c r="Y195" s="4"/>
      <c r="Z195" s="4"/>
      <c r="AA195" s="12">
        <f t="shared" si="34"/>
        <v>1</v>
      </c>
      <c r="AJ195" s="413"/>
      <c r="AK195" s="413"/>
      <c r="AL195" s="413"/>
      <c r="AM195" s="413"/>
      <c r="AN195" s="414"/>
      <c r="AO195" s="414"/>
    </row>
    <row r="196" spans="2:41" ht="12.75" customHeight="1">
      <c r="B196" s="105">
        <f t="shared" si="35"/>
        <v>193</v>
      </c>
      <c r="C196" s="6">
        <v>840000</v>
      </c>
      <c r="D196" s="6" t="s">
        <v>822</v>
      </c>
      <c r="E196" s="9" t="s">
        <v>32</v>
      </c>
      <c r="F196" s="6"/>
      <c r="G196" s="6"/>
      <c r="H196" s="11"/>
      <c r="I196" s="11"/>
      <c r="J196" s="11">
        <f>+SUMIFS(JURNAL!G:G,JURNAL!E:E,C196,JURNAL!C:C,"&gt;="&amp;$H$1,JURNAL!C:C,"&lt;="&amp;$I$1)</f>
        <v>0</v>
      </c>
      <c r="K196" s="11">
        <f>+SUMIFS(JURNAL!H:H,JURNAL!E:E,C196,JURNAL!C:C,"&gt;="&amp;$H$1,JURNAL!C:C,"&lt;="&amp;$I$1)</f>
        <v>0</v>
      </c>
      <c r="L196" s="26">
        <f t="shared" si="46"/>
        <v>0</v>
      </c>
      <c r="M196" s="27">
        <f t="shared" si="47"/>
        <v>0</v>
      </c>
      <c r="N196" s="11"/>
      <c r="O196" s="11"/>
      <c r="P196" s="11"/>
      <c r="Q196" s="11"/>
      <c r="R196" s="26">
        <f t="shared" si="48"/>
        <v>0</v>
      </c>
      <c r="S196" s="27">
        <f t="shared" si="49"/>
        <v>0</v>
      </c>
      <c r="T196" s="11">
        <f t="shared" si="50"/>
        <v>0</v>
      </c>
      <c r="U196" s="11">
        <f t="shared" si="51"/>
        <v>0</v>
      </c>
      <c r="V196" s="26">
        <f t="shared" si="52"/>
        <v>0</v>
      </c>
      <c r="W196" s="27">
        <f t="shared" si="53"/>
        <v>0</v>
      </c>
      <c r="X196" s="4">
        <v>8400</v>
      </c>
      <c r="Y196" s="4"/>
      <c r="Z196" s="4"/>
      <c r="AA196" s="12">
        <f t="shared" si="34"/>
        <v>0</v>
      </c>
      <c r="AJ196" s="413"/>
      <c r="AK196" s="413"/>
      <c r="AL196" s="413"/>
      <c r="AM196" s="413"/>
      <c r="AN196" s="414"/>
      <c r="AO196" s="414"/>
    </row>
    <row r="197" spans="2:41" ht="12.75" customHeight="1">
      <c r="B197" s="105">
        <f t="shared" si="35"/>
        <v>194</v>
      </c>
      <c r="C197" s="6">
        <v>840100</v>
      </c>
      <c r="D197" s="6" t="s">
        <v>825</v>
      </c>
      <c r="E197" s="9" t="s">
        <v>32</v>
      </c>
      <c r="F197" s="6"/>
      <c r="G197" s="6"/>
      <c r="H197" s="11"/>
      <c r="I197" s="11"/>
      <c r="J197" s="11">
        <f>+SUMIFS(JURNAL!G:G,JURNAL!E:E,C197,JURNAL!C:C,"&gt;="&amp;$H$1,JURNAL!C:C,"&lt;="&amp;$I$1)</f>
        <v>0</v>
      </c>
      <c r="K197" s="11">
        <f>+SUMIFS(JURNAL!H:H,JURNAL!E:E,C197,JURNAL!C:C,"&gt;="&amp;$H$1,JURNAL!C:C,"&lt;="&amp;$I$1)</f>
        <v>0</v>
      </c>
      <c r="L197" s="26">
        <f t="shared" si="46"/>
        <v>0</v>
      </c>
      <c r="M197" s="27">
        <f t="shared" si="47"/>
        <v>0</v>
      </c>
      <c r="N197" s="11"/>
      <c r="O197" s="11"/>
      <c r="P197" s="11"/>
      <c r="Q197" s="11"/>
      <c r="R197" s="26">
        <f t="shared" si="48"/>
        <v>0</v>
      </c>
      <c r="S197" s="27">
        <f t="shared" si="49"/>
        <v>0</v>
      </c>
      <c r="T197" s="11">
        <f t="shared" si="50"/>
        <v>0</v>
      </c>
      <c r="U197" s="11">
        <f t="shared" si="51"/>
        <v>0</v>
      </c>
      <c r="V197" s="26">
        <f t="shared" si="52"/>
        <v>0</v>
      </c>
      <c r="W197" s="27">
        <f t="shared" si="53"/>
        <v>0</v>
      </c>
      <c r="X197" s="4">
        <v>8401</v>
      </c>
      <c r="Y197" s="4"/>
      <c r="Z197" s="4"/>
      <c r="AA197" s="12">
        <f t="shared" ref="AA197:AA214" si="56">+IF(H197+I197+J197+K197+L197+M197+N197+O197+R197+S197+T197+U197+V197+W197,1,0)</f>
        <v>0</v>
      </c>
      <c r="AJ197" s="413"/>
      <c r="AK197" s="413"/>
      <c r="AL197" s="413"/>
      <c r="AM197" s="413"/>
      <c r="AN197" s="414"/>
      <c r="AO197" s="414"/>
    </row>
    <row r="198" spans="2:41" ht="12.75" customHeight="1">
      <c r="B198" s="105">
        <f t="shared" ref="B198:B215" si="57">+B197+1</f>
        <v>195</v>
      </c>
      <c r="C198" s="6">
        <v>840200</v>
      </c>
      <c r="D198" s="6" t="s">
        <v>828</v>
      </c>
      <c r="E198" s="9" t="s">
        <v>32</v>
      </c>
      <c r="F198" s="6"/>
      <c r="G198" s="6"/>
      <c r="H198" s="11"/>
      <c r="I198" s="11"/>
      <c r="J198" s="11">
        <f>+SUMIFS(JURNAL!G:G,JURNAL!E:E,C198,JURNAL!C:C,"&gt;="&amp;$H$1,JURNAL!C:C,"&lt;="&amp;$I$1)</f>
        <v>0</v>
      </c>
      <c r="K198" s="11">
        <f>+SUMIFS(JURNAL!H:H,JURNAL!E:E,C198,JURNAL!C:C,"&gt;="&amp;$H$1,JURNAL!C:C,"&lt;="&amp;$I$1)</f>
        <v>0</v>
      </c>
      <c r="L198" s="26">
        <f t="shared" si="46"/>
        <v>0</v>
      </c>
      <c r="M198" s="27">
        <f t="shared" si="47"/>
        <v>0</v>
      </c>
      <c r="N198" s="11"/>
      <c r="O198" s="11"/>
      <c r="P198" s="11"/>
      <c r="Q198" s="11"/>
      <c r="R198" s="26">
        <f t="shared" si="48"/>
        <v>0</v>
      </c>
      <c r="S198" s="27">
        <f t="shared" si="49"/>
        <v>0</v>
      </c>
      <c r="T198" s="11">
        <f t="shared" si="50"/>
        <v>0</v>
      </c>
      <c r="U198" s="11">
        <f t="shared" si="51"/>
        <v>0</v>
      </c>
      <c r="V198" s="26">
        <f t="shared" si="52"/>
        <v>0</v>
      </c>
      <c r="W198" s="27">
        <f t="shared" si="53"/>
        <v>0</v>
      </c>
      <c r="X198" s="4">
        <v>8401</v>
      </c>
      <c r="Y198" s="4"/>
      <c r="Z198" s="4"/>
      <c r="AA198" s="12">
        <f t="shared" si="56"/>
        <v>0</v>
      </c>
      <c r="AJ198" s="413"/>
      <c r="AK198" s="413"/>
      <c r="AL198" s="413"/>
      <c r="AM198" s="413"/>
      <c r="AN198" s="414"/>
      <c r="AO198" s="414"/>
    </row>
    <row r="199" spans="2:41" ht="12.75" customHeight="1">
      <c r="B199" s="105">
        <f t="shared" si="57"/>
        <v>196</v>
      </c>
      <c r="C199" s="6">
        <v>840400</v>
      </c>
      <c r="D199" s="6" t="s">
        <v>831</v>
      </c>
      <c r="E199" s="9" t="s">
        <v>32</v>
      </c>
      <c r="F199" s="6"/>
      <c r="G199" s="6"/>
      <c r="H199" s="11"/>
      <c r="I199" s="11"/>
      <c r="J199" s="11">
        <f>+SUMIFS(JURNAL!G:G,JURNAL!E:E,C199,JURNAL!C:C,"&gt;="&amp;$H$1,JURNAL!C:C,"&lt;="&amp;$I$1)</f>
        <v>0</v>
      </c>
      <c r="K199" s="11">
        <f>+SUMIFS(JURNAL!H:H,JURNAL!E:E,C199,JURNAL!C:C,"&gt;="&amp;$H$1,JURNAL!C:C,"&lt;="&amp;$I$1)</f>
        <v>0</v>
      </c>
      <c r="L199" s="26">
        <f t="shared" si="46"/>
        <v>0</v>
      </c>
      <c r="M199" s="27">
        <f t="shared" si="47"/>
        <v>0</v>
      </c>
      <c r="N199" s="11"/>
      <c r="O199" s="11"/>
      <c r="P199" s="11"/>
      <c r="Q199" s="11"/>
      <c r="R199" s="26">
        <f t="shared" si="48"/>
        <v>0</v>
      </c>
      <c r="S199" s="27">
        <f t="shared" si="49"/>
        <v>0</v>
      </c>
      <c r="T199" s="11">
        <f t="shared" si="50"/>
        <v>0</v>
      </c>
      <c r="U199" s="11">
        <f t="shared" si="51"/>
        <v>0</v>
      </c>
      <c r="V199" s="26">
        <f t="shared" si="52"/>
        <v>0</v>
      </c>
      <c r="W199" s="27">
        <f t="shared" si="53"/>
        <v>0</v>
      </c>
      <c r="X199" s="4">
        <v>5112</v>
      </c>
      <c r="Y199" s="4"/>
      <c r="Z199" s="4"/>
      <c r="AA199" s="12">
        <f t="shared" si="56"/>
        <v>0</v>
      </c>
      <c r="AJ199" s="413"/>
      <c r="AK199" s="413"/>
      <c r="AL199" s="413"/>
      <c r="AM199" s="413"/>
      <c r="AN199" s="414"/>
      <c r="AO199" s="414"/>
    </row>
    <row r="200" spans="2:41" ht="12.75" customHeight="1">
      <c r="B200" s="105">
        <f t="shared" si="57"/>
        <v>197</v>
      </c>
      <c r="C200" s="6">
        <v>840500</v>
      </c>
      <c r="D200" s="6" t="s">
        <v>834</v>
      </c>
      <c r="E200" s="9" t="s">
        <v>32</v>
      </c>
      <c r="F200" s="6"/>
      <c r="G200" s="6"/>
      <c r="H200" s="11"/>
      <c r="I200" s="11"/>
      <c r="J200" s="11">
        <f>+SUMIFS(JURNAL!G:G,JURNAL!E:E,C200,JURNAL!C:C,"&gt;="&amp;$H$1,JURNAL!C:C,"&lt;="&amp;$I$1)</f>
        <v>0</v>
      </c>
      <c r="K200" s="11">
        <f>+SUMIFS(JURNAL!H:H,JURNAL!E:E,C200,JURNAL!C:C,"&gt;="&amp;$H$1,JURNAL!C:C,"&lt;="&amp;$I$1)</f>
        <v>0</v>
      </c>
      <c r="L200" s="26">
        <f t="shared" si="46"/>
        <v>0</v>
      </c>
      <c r="M200" s="27">
        <f t="shared" si="47"/>
        <v>0</v>
      </c>
      <c r="N200" s="11"/>
      <c r="O200" s="11"/>
      <c r="P200" s="11"/>
      <c r="Q200" s="11"/>
      <c r="R200" s="26">
        <f t="shared" si="48"/>
        <v>0</v>
      </c>
      <c r="S200" s="27">
        <f t="shared" si="49"/>
        <v>0</v>
      </c>
      <c r="T200" s="11">
        <f t="shared" si="50"/>
        <v>0</v>
      </c>
      <c r="U200" s="11">
        <f t="shared" si="51"/>
        <v>0</v>
      </c>
      <c r="V200" s="26">
        <f t="shared" si="52"/>
        <v>0</v>
      </c>
      <c r="W200" s="27">
        <f t="shared" si="53"/>
        <v>0</v>
      </c>
      <c r="X200" s="4">
        <v>8405</v>
      </c>
      <c r="Y200" s="4"/>
      <c r="Z200" s="4"/>
      <c r="AA200" s="12">
        <f t="shared" si="56"/>
        <v>0</v>
      </c>
      <c r="AJ200" s="413"/>
      <c r="AK200" s="413"/>
      <c r="AL200" s="413"/>
      <c r="AM200" s="413"/>
      <c r="AN200" s="414"/>
      <c r="AO200" s="414"/>
    </row>
    <row r="201" spans="2:41" ht="12.75" customHeight="1">
      <c r="B201" s="105">
        <f t="shared" si="57"/>
        <v>198</v>
      </c>
      <c r="C201" s="6">
        <v>840800</v>
      </c>
      <c r="D201" s="6" t="s">
        <v>840</v>
      </c>
      <c r="E201" s="9" t="s">
        <v>32</v>
      </c>
      <c r="F201" s="6"/>
      <c r="G201" s="6"/>
      <c r="H201" s="11"/>
      <c r="I201" s="11"/>
      <c r="J201" s="11">
        <f>+SUMIFS(JURNAL!G:G,JURNAL!E:E,C201,JURNAL!C:C,"&gt;="&amp;$H$1,JURNAL!C:C,"&lt;="&amp;$I$1)</f>
        <v>0</v>
      </c>
      <c r="K201" s="11">
        <f>+SUMIFS(JURNAL!H:H,JURNAL!E:E,C201,JURNAL!C:C,"&gt;="&amp;$H$1,JURNAL!C:C,"&lt;="&amp;$I$1)</f>
        <v>0</v>
      </c>
      <c r="L201" s="26">
        <f t="shared" si="46"/>
        <v>0</v>
      </c>
      <c r="M201" s="27">
        <f t="shared" si="47"/>
        <v>0</v>
      </c>
      <c r="N201" s="11"/>
      <c r="O201" s="11"/>
      <c r="P201" s="11"/>
      <c r="Q201" s="11"/>
      <c r="R201" s="26">
        <f t="shared" si="48"/>
        <v>0</v>
      </c>
      <c r="S201" s="27">
        <f t="shared" si="49"/>
        <v>0</v>
      </c>
      <c r="T201" s="11">
        <f t="shared" si="50"/>
        <v>0</v>
      </c>
      <c r="U201" s="11">
        <f t="shared" si="51"/>
        <v>0</v>
      </c>
      <c r="V201" s="26">
        <f t="shared" si="52"/>
        <v>0</v>
      </c>
      <c r="W201" s="27">
        <f t="shared" si="53"/>
        <v>0</v>
      </c>
      <c r="X201" s="4">
        <v>8400</v>
      </c>
      <c r="Y201" s="4"/>
      <c r="Z201" s="4"/>
      <c r="AA201" s="12">
        <f t="shared" si="56"/>
        <v>0</v>
      </c>
      <c r="AJ201" s="413"/>
      <c r="AK201" s="413"/>
      <c r="AL201" s="413"/>
      <c r="AM201" s="413"/>
      <c r="AN201" s="414"/>
      <c r="AO201" s="414"/>
    </row>
    <row r="202" spans="2:41" ht="12.75" customHeight="1">
      <c r="B202" s="105">
        <f t="shared" si="57"/>
        <v>199</v>
      </c>
      <c r="C202" s="6">
        <v>840900</v>
      </c>
      <c r="D202" s="6" t="s">
        <v>842</v>
      </c>
      <c r="E202" s="9" t="s">
        <v>32</v>
      </c>
      <c r="F202" s="6"/>
      <c r="G202" s="6"/>
      <c r="H202" s="11"/>
      <c r="I202" s="11"/>
      <c r="J202" s="11">
        <f>+SUMIFS(JURNAL!G:G,JURNAL!E:E,C202,JURNAL!C:C,"&gt;="&amp;$H$1,JURNAL!C:C,"&lt;="&amp;$I$1)</f>
        <v>0</v>
      </c>
      <c r="K202" s="11">
        <f>+SUMIFS(JURNAL!H:H,JURNAL!E:E,C202,JURNAL!C:C,"&gt;="&amp;$H$1,JURNAL!C:C,"&lt;="&amp;$I$1)</f>
        <v>0</v>
      </c>
      <c r="L202" s="26">
        <f t="shared" si="46"/>
        <v>0</v>
      </c>
      <c r="M202" s="27">
        <f t="shared" si="47"/>
        <v>0</v>
      </c>
      <c r="N202" s="11"/>
      <c r="O202" s="11"/>
      <c r="P202" s="11"/>
      <c r="Q202" s="11"/>
      <c r="R202" s="26">
        <f t="shared" si="48"/>
        <v>0</v>
      </c>
      <c r="S202" s="27">
        <f t="shared" si="49"/>
        <v>0</v>
      </c>
      <c r="T202" s="11">
        <f t="shared" si="50"/>
        <v>0</v>
      </c>
      <c r="U202" s="11">
        <f t="shared" si="51"/>
        <v>0</v>
      </c>
      <c r="V202" s="26">
        <f t="shared" si="52"/>
        <v>0</v>
      </c>
      <c r="W202" s="27">
        <f t="shared" si="53"/>
        <v>0</v>
      </c>
      <c r="X202" s="4">
        <v>8409</v>
      </c>
      <c r="Y202" s="4"/>
      <c r="Z202" s="4"/>
      <c r="AA202" s="12">
        <f t="shared" si="56"/>
        <v>0</v>
      </c>
      <c r="AJ202" s="413"/>
      <c r="AK202" s="413"/>
      <c r="AL202" s="413"/>
      <c r="AM202" s="413"/>
      <c r="AN202" s="414"/>
      <c r="AO202" s="414"/>
    </row>
    <row r="203" spans="2:41" ht="12.75" customHeight="1">
      <c r="B203" s="105">
        <f t="shared" si="57"/>
        <v>200</v>
      </c>
      <c r="C203" s="6">
        <v>870000</v>
      </c>
      <c r="D203" s="6" t="s">
        <v>846</v>
      </c>
      <c r="E203" s="9" t="s">
        <v>32</v>
      </c>
      <c r="F203" s="6"/>
      <c r="G203" s="6"/>
      <c r="H203" s="11"/>
      <c r="I203" s="11"/>
      <c r="J203" s="11">
        <f>+SUMIFS(JURNAL!G:G,JURNAL!E:E,C203,JURNAL!C:C,"&gt;="&amp;$H$1,JURNAL!C:C,"&lt;="&amp;$I$1)</f>
        <v>0</v>
      </c>
      <c r="K203" s="11">
        <f>+SUMIFS(JURNAL!H:H,JURNAL!E:E,C203,JURNAL!C:C,"&gt;="&amp;$H$1,JURNAL!C:C,"&lt;="&amp;$I$1)</f>
        <v>0</v>
      </c>
      <c r="L203" s="26">
        <f t="shared" si="46"/>
        <v>0</v>
      </c>
      <c r="M203" s="27">
        <f t="shared" si="47"/>
        <v>0</v>
      </c>
      <c r="N203" s="11"/>
      <c r="O203" s="11"/>
      <c r="P203" s="11"/>
      <c r="Q203" s="11"/>
      <c r="R203" s="26">
        <f t="shared" si="48"/>
        <v>0</v>
      </c>
      <c r="S203" s="27">
        <f t="shared" si="49"/>
        <v>0</v>
      </c>
      <c r="T203" s="11">
        <f t="shared" si="50"/>
        <v>0</v>
      </c>
      <c r="U203" s="11">
        <f t="shared" si="51"/>
        <v>0</v>
      </c>
      <c r="V203" s="26">
        <f t="shared" si="52"/>
        <v>0</v>
      </c>
      <c r="W203" s="27">
        <f t="shared" si="53"/>
        <v>0</v>
      </c>
      <c r="X203" s="4">
        <v>8400</v>
      </c>
      <c r="Y203" s="4"/>
      <c r="Z203" s="4"/>
      <c r="AA203" s="12">
        <f t="shared" si="56"/>
        <v>0</v>
      </c>
      <c r="AJ203" s="413"/>
      <c r="AK203" s="413"/>
      <c r="AL203" s="413"/>
      <c r="AM203" s="413"/>
      <c r="AN203" s="414"/>
      <c r="AO203" s="414"/>
    </row>
    <row r="204" spans="2:41" ht="12.75" customHeight="1">
      <c r="B204" s="105">
        <f t="shared" si="57"/>
        <v>201</v>
      </c>
      <c r="C204" s="6">
        <v>870100</v>
      </c>
      <c r="D204" s="6" t="s">
        <v>849</v>
      </c>
      <c r="E204" s="9" t="s">
        <v>32</v>
      </c>
      <c r="F204" s="6"/>
      <c r="G204" s="6"/>
      <c r="H204" s="11"/>
      <c r="I204" s="11"/>
      <c r="J204" s="11">
        <f>+SUMIFS(JURNAL!G:G,JURNAL!E:E,C204,JURNAL!C:C,"&gt;="&amp;$H$1,JURNAL!C:C,"&lt;="&amp;$I$1)</f>
        <v>0</v>
      </c>
      <c r="K204" s="11">
        <f>+SUMIFS(JURNAL!H:H,JURNAL!E:E,C204,JURNAL!C:C,"&gt;="&amp;$H$1,JURNAL!C:C,"&lt;="&amp;$I$1)</f>
        <v>0</v>
      </c>
      <c r="L204" s="26">
        <f t="shared" si="46"/>
        <v>0</v>
      </c>
      <c r="M204" s="27">
        <f t="shared" si="47"/>
        <v>0</v>
      </c>
      <c r="N204" s="11"/>
      <c r="O204" s="11"/>
      <c r="P204" s="11"/>
      <c r="Q204" s="11"/>
      <c r="R204" s="26">
        <f t="shared" si="48"/>
        <v>0</v>
      </c>
      <c r="S204" s="27">
        <f t="shared" si="49"/>
        <v>0</v>
      </c>
      <c r="T204" s="11">
        <f t="shared" si="50"/>
        <v>0</v>
      </c>
      <c r="U204" s="11">
        <f t="shared" si="51"/>
        <v>0</v>
      </c>
      <c r="V204" s="26">
        <f t="shared" si="52"/>
        <v>0</v>
      </c>
      <c r="W204" s="27">
        <f t="shared" si="53"/>
        <v>0</v>
      </c>
      <c r="X204" s="4">
        <v>8401</v>
      </c>
      <c r="Y204" s="4"/>
      <c r="Z204" s="4"/>
      <c r="AA204" s="12">
        <f t="shared" si="56"/>
        <v>0</v>
      </c>
      <c r="AJ204" s="413"/>
      <c r="AK204" s="413"/>
      <c r="AL204" s="413"/>
      <c r="AM204" s="413"/>
      <c r="AN204" s="414"/>
      <c r="AO204" s="414"/>
    </row>
    <row r="205" spans="2:41" ht="12.75" customHeight="1">
      <c r="B205" s="105">
        <f t="shared" si="57"/>
        <v>202</v>
      </c>
      <c r="C205" s="6">
        <v>870200</v>
      </c>
      <c r="D205" s="6" t="s">
        <v>852</v>
      </c>
      <c r="E205" s="9" t="s">
        <v>32</v>
      </c>
      <c r="F205" s="6"/>
      <c r="G205" s="6"/>
      <c r="H205" s="11"/>
      <c r="I205" s="11"/>
      <c r="J205" s="11">
        <f>+SUMIFS(JURNAL!G:G,JURNAL!E:E,C205,JURNAL!C:C,"&gt;="&amp;$H$1,JURNAL!C:C,"&lt;="&amp;$I$1)</f>
        <v>0</v>
      </c>
      <c r="K205" s="11">
        <f>+SUMIFS(JURNAL!H:H,JURNAL!E:E,C205,JURNAL!C:C,"&gt;="&amp;$H$1,JURNAL!C:C,"&lt;="&amp;$I$1)</f>
        <v>0</v>
      </c>
      <c r="L205" s="26">
        <f t="shared" ref="L205:L215" si="58">+IF((H205+J205)&gt;(I205+K205),(H205+J205)-(I205+K205),0)</f>
        <v>0</v>
      </c>
      <c r="M205" s="27">
        <f t="shared" ref="M205:M215" si="59">+IF((H205+J205)&lt;(I205+K205),(I205+K205)-(H205+J205),0)</f>
        <v>0</v>
      </c>
      <c r="N205" s="11">
        <v>248291.35699999999</v>
      </c>
      <c r="O205" s="11"/>
      <c r="P205" s="11"/>
      <c r="Q205" s="11"/>
      <c r="R205" s="26">
        <f t="shared" ref="R205:R215" si="60">+IF((L205+N205)&gt;(M205+O205),(L205+N205)-(M205+O205),0)</f>
        <v>248291.35699999999</v>
      </c>
      <c r="S205" s="27">
        <f t="shared" ref="S205:S215" si="61">+IF((L205+N205)&lt;(M205+O205),(M205+O205)-(L205+N205),0)</f>
        <v>0</v>
      </c>
      <c r="T205" s="11">
        <f t="shared" ref="T205:T214" si="62">+S205</f>
        <v>0</v>
      </c>
      <c r="U205" s="11">
        <f t="shared" ref="U205:U214" si="63">+R205</f>
        <v>248291.35699999999</v>
      </c>
      <c r="V205" s="26">
        <f t="shared" ref="V205:V215" si="64">+IF((R205+T205)&gt;(S205+U205),(R205+T205)-(S205+U205),0)</f>
        <v>0</v>
      </c>
      <c r="W205" s="27">
        <f t="shared" ref="W205:W215" si="65">+IF((R205+T205)&lt;(S205+U205),(S205+U205)-(R205+T205),0)</f>
        <v>0</v>
      </c>
      <c r="X205" s="4">
        <v>8401</v>
      </c>
      <c r="Y205" s="4"/>
      <c r="Z205" s="4"/>
      <c r="AA205" s="12">
        <f t="shared" si="56"/>
        <v>1</v>
      </c>
      <c r="AJ205" s="413"/>
      <c r="AK205" s="413"/>
      <c r="AL205" s="413"/>
      <c r="AM205" s="413"/>
      <c r="AN205" s="414"/>
      <c r="AO205" s="414"/>
    </row>
    <row r="206" spans="2:41" ht="12.75" customHeight="1">
      <c r="B206" s="105">
        <f t="shared" si="57"/>
        <v>203</v>
      </c>
      <c r="C206" s="6">
        <v>870300</v>
      </c>
      <c r="D206" s="6" t="s">
        <v>282</v>
      </c>
      <c r="E206" s="9" t="s">
        <v>32</v>
      </c>
      <c r="F206" s="6"/>
      <c r="G206" s="6"/>
      <c r="H206" s="11"/>
      <c r="I206" s="11"/>
      <c r="J206" s="11">
        <f>+SUMIFS(JURNAL!G:G,JURNAL!E:E,C206,JURNAL!C:C,"&gt;="&amp;$H$1,JURNAL!C:C,"&lt;="&amp;$I$1)</f>
        <v>0</v>
      </c>
      <c r="K206" s="11">
        <f>+SUMIFS(JURNAL!H:H,JURNAL!E:E,C206,JURNAL!C:C,"&gt;="&amp;$H$1,JURNAL!C:C,"&lt;="&amp;$I$1)</f>
        <v>0</v>
      </c>
      <c r="L206" s="26">
        <f t="shared" si="58"/>
        <v>0</v>
      </c>
      <c r="M206" s="27">
        <f t="shared" si="59"/>
        <v>0</v>
      </c>
      <c r="N206" s="11"/>
      <c r="O206" s="11"/>
      <c r="P206" s="11"/>
      <c r="Q206" s="11"/>
      <c r="R206" s="26">
        <f t="shared" si="60"/>
        <v>0</v>
      </c>
      <c r="S206" s="27">
        <f t="shared" si="61"/>
        <v>0</v>
      </c>
      <c r="T206" s="11">
        <f t="shared" si="62"/>
        <v>0</v>
      </c>
      <c r="U206" s="11">
        <f t="shared" si="63"/>
        <v>0</v>
      </c>
      <c r="V206" s="26">
        <f t="shared" si="64"/>
        <v>0</v>
      </c>
      <c r="W206" s="27">
        <f t="shared" si="65"/>
        <v>0</v>
      </c>
      <c r="X206" s="4">
        <v>7201</v>
      </c>
      <c r="Y206" s="4"/>
      <c r="Z206" s="4"/>
      <c r="AA206" s="12">
        <f t="shared" si="56"/>
        <v>0</v>
      </c>
      <c r="AJ206" s="413"/>
      <c r="AK206" s="413"/>
      <c r="AL206" s="413"/>
      <c r="AM206" s="413"/>
      <c r="AN206" s="414"/>
      <c r="AO206" s="414"/>
    </row>
    <row r="207" spans="2:41" ht="12.75" customHeight="1">
      <c r="B207" s="105">
        <f t="shared" si="57"/>
        <v>204</v>
      </c>
      <c r="C207" s="6">
        <v>870400</v>
      </c>
      <c r="D207" s="6" t="s">
        <v>857</v>
      </c>
      <c r="E207" s="9" t="s">
        <v>32</v>
      </c>
      <c r="F207" s="6"/>
      <c r="G207" s="6"/>
      <c r="H207" s="11"/>
      <c r="I207" s="11"/>
      <c r="J207" s="11">
        <f>+SUMIFS(JURNAL!G:G,JURNAL!E:E,C207,JURNAL!C:C,"&gt;="&amp;$H$1,JURNAL!C:C,"&lt;="&amp;$I$1)</f>
        <v>0</v>
      </c>
      <c r="K207" s="11">
        <f>+SUMIFS(JURNAL!H:H,JURNAL!E:E,C207,JURNAL!C:C,"&gt;="&amp;$H$1,JURNAL!C:C,"&lt;="&amp;$I$1)</f>
        <v>0</v>
      </c>
      <c r="L207" s="26">
        <f t="shared" si="58"/>
        <v>0</v>
      </c>
      <c r="M207" s="27">
        <f t="shared" si="59"/>
        <v>0</v>
      </c>
      <c r="N207" s="11"/>
      <c r="O207" s="11"/>
      <c r="P207" s="11"/>
      <c r="Q207" s="11"/>
      <c r="R207" s="26">
        <f t="shared" si="60"/>
        <v>0</v>
      </c>
      <c r="S207" s="27">
        <f t="shared" si="61"/>
        <v>0</v>
      </c>
      <c r="T207" s="11">
        <f t="shared" si="62"/>
        <v>0</v>
      </c>
      <c r="U207" s="11">
        <f t="shared" si="63"/>
        <v>0</v>
      </c>
      <c r="V207" s="26">
        <f t="shared" si="64"/>
        <v>0</v>
      </c>
      <c r="W207" s="27">
        <f t="shared" si="65"/>
        <v>0</v>
      </c>
      <c r="X207" s="4">
        <v>7201</v>
      </c>
      <c r="Y207" s="4"/>
      <c r="Z207" s="4"/>
      <c r="AA207" s="12">
        <f t="shared" si="56"/>
        <v>0</v>
      </c>
      <c r="AJ207" s="413"/>
      <c r="AK207" s="413"/>
      <c r="AL207" s="413"/>
      <c r="AM207" s="413"/>
      <c r="AN207" s="414"/>
      <c r="AO207" s="414"/>
    </row>
    <row r="208" spans="2:41" ht="12.75" customHeight="1">
      <c r="B208" s="105">
        <f t="shared" si="57"/>
        <v>205</v>
      </c>
      <c r="C208" s="6">
        <v>870500</v>
      </c>
      <c r="D208" s="6" t="s">
        <v>860</v>
      </c>
      <c r="E208" s="9" t="s">
        <v>32</v>
      </c>
      <c r="F208" s="6"/>
      <c r="G208" s="6"/>
      <c r="H208" s="11"/>
      <c r="I208" s="11"/>
      <c r="J208" s="11">
        <f>+SUMIFS(JURNAL!G:G,JURNAL!E:E,C208,JURNAL!C:C,"&gt;="&amp;$H$1,JURNAL!C:C,"&lt;="&amp;$I$1)</f>
        <v>0</v>
      </c>
      <c r="K208" s="11">
        <f>+SUMIFS(JURNAL!H:H,JURNAL!E:E,C208,JURNAL!C:C,"&gt;="&amp;$H$1,JURNAL!C:C,"&lt;="&amp;$I$1)</f>
        <v>0</v>
      </c>
      <c r="L208" s="26">
        <f t="shared" si="58"/>
        <v>0</v>
      </c>
      <c r="M208" s="27">
        <f t="shared" si="59"/>
        <v>0</v>
      </c>
      <c r="N208" s="11"/>
      <c r="O208" s="11"/>
      <c r="P208" s="11"/>
      <c r="Q208" s="11"/>
      <c r="R208" s="26">
        <f t="shared" si="60"/>
        <v>0</v>
      </c>
      <c r="S208" s="27">
        <f t="shared" si="61"/>
        <v>0</v>
      </c>
      <c r="T208" s="11">
        <f t="shared" si="62"/>
        <v>0</v>
      </c>
      <c r="U208" s="11">
        <f t="shared" si="63"/>
        <v>0</v>
      </c>
      <c r="V208" s="26">
        <f t="shared" si="64"/>
        <v>0</v>
      </c>
      <c r="W208" s="27">
        <f t="shared" si="65"/>
        <v>0</v>
      </c>
      <c r="X208" s="4">
        <v>8405</v>
      </c>
      <c r="Y208" s="4"/>
      <c r="Z208" s="4"/>
      <c r="AA208" s="12">
        <f t="shared" si="56"/>
        <v>0</v>
      </c>
      <c r="AJ208" s="413"/>
      <c r="AK208" s="413"/>
      <c r="AL208" s="413"/>
      <c r="AM208" s="413"/>
      <c r="AN208" s="414"/>
      <c r="AO208" s="414"/>
    </row>
    <row r="209" spans="2:41" ht="12.75" customHeight="1">
      <c r="B209" s="105">
        <f t="shared" si="57"/>
        <v>206</v>
      </c>
      <c r="C209" s="6">
        <v>870700</v>
      </c>
      <c r="D209" s="6" t="s">
        <v>863</v>
      </c>
      <c r="E209" s="9" t="s">
        <v>32</v>
      </c>
      <c r="F209" s="6"/>
      <c r="G209" s="6"/>
      <c r="H209" s="11"/>
      <c r="I209" s="11"/>
      <c r="J209" s="11">
        <f>+SUMIFS(JURNAL!G:G,JURNAL!E:E,C209,JURNAL!C:C,"&gt;="&amp;$H$1,JURNAL!C:C,"&lt;="&amp;$I$1)</f>
        <v>0</v>
      </c>
      <c r="K209" s="11">
        <f>+SUMIFS(JURNAL!H:H,JURNAL!E:E,C209,JURNAL!C:C,"&gt;="&amp;$H$1,JURNAL!C:C,"&lt;="&amp;$I$1)</f>
        <v>0</v>
      </c>
      <c r="L209" s="26">
        <f t="shared" si="58"/>
        <v>0</v>
      </c>
      <c r="M209" s="27">
        <f t="shared" si="59"/>
        <v>0</v>
      </c>
      <c r="N209" s="11"/>
      <c r="O209" s="11"/>
      <c r="P209" s="11"/>
      <c r="Q209" s="11"/>
      <c r="R209" s="26">
        <f t="shared" si="60"/>
        <v>0</v>
      </c>
      <c r="S209" s="27">
        <f t="shared" si="61"/>
        <v>0</v>
      </c>
      <c r="T209" s="11">
        <f t="shared" si="62"/>
        <v>0</v>
      </c>
      <c r="U209" s="11">
        <f t="shared" si="63"/>
        <v>0</v>
      </c>
      <c r="V209" s="26">
        <f t="shared" si="64"/>
        <v>0</v>
      </c>
      <c r="W209" s="27">
        <f t="shared" si="65"/>
        <v>0</v>
      </c>
      <c r="X209" s="4">
        <v>8400</v>
      </c>
      <c r="Y209" s="4"/>
      <c r="Z209" s="4"/>
      <c r="AA209" s="12">
        <f t="shared" si="56"/>
        <v>0</v>
      </c>
      <c r="AJ209" s="413"/>
      <c r="AK209" s="413"/>
      <c r="AL209" s="413"/>
      <c r="AM209" s="413"/>
      <c r="AN209" s="414"/>
      <c r="AO209" s="414"/>
    </row>
    <row r="210" spans="2:41" ht="12.75" customHeight="1">
      <c r="B210" s="105">
        <f t="shared" si="57"/>
        <v>207</v>
      </c>
      <c r="C210" s="6">
        <v>870800</v>
      </c>
      <c r="D210" s="6" t="s">
        <v>866</v>
      </c>
      <c r="E210" s="9" t="s">
        <v>32</v>
      </c>
      <c r="F210" s="6"/>
      <c r="G210" s="6"/>
      <c r="H210" s="11"/>
      <c r="I210" s="11"/>
      <c r="J210" s="11">
        <f>+SUMIFS(JURNAL!G:G,JURNAL!E:E,C210,JURNAL!C:C,"&gt;="&amp;$H$1,JURNAL!C:C,"&lt;="&amp;$I$1)</f>
        <v>0</v>
      </c>
      <c r="K210" s="11">
        <f>+SUMIFS(JURNAL!H:H,JURNAL!E:E,C210,JURNAL!C:C,"&gt;="&amp;$H$1,JURNAL!C:C,"&lt;="&amp;$I$1)</f>
        <v>0</v>
      </c>
      <c r="L210" s="26">
        <f t="shared" si="58"/>
        <v>0</v>
      </c>
      <c r="M210" s="27">
        <f t="shared" si="59"/>
        <v>0</v>
      </c>
      <c r="N210" s="11"/>
      <c r="O210" s="11"/>
      <c r="P210" s="11"/>
      <c r="Q210" s="11"/>
      <c r="R210" s="26">
        <f t="shared" si="60"/>
        <v>0</v>
      </c>
      <c r="S210" s="27">
        <f t="shared" si="61"/>
        <v>0</v>
      </c>
      <c r="T210" s="11">
        <f t="shared" si="62"/>
        <v>0</v>
      </c>
      <c r="U210" s="11">
        <f t="shared" si="63"/>
        <v>0</v>
      </c>
      <c r="V210" s="26">
        <f t="shared" si="64"/>
        <v>0</v>
      </c>
      <c r="W210" s="27">
        <f t="shared" si="65"/>
        <v>0</v>
      </c>
      <c r="X210" s="4">
        <v>7202</v>
      </c>
      <c r="Y210" s="4"/>
      <c r="Z210" s="4"/>
      <c r="AA210" s="12">
        <f t="shared" si="56"/>
        <v>0</v>
      </c>
      <c r="AJ210" s="413"/>
      <c r="AK210" s="413"/>
      <c r="AL210" s="413"/>
      <c r="AM210" s="413"/>
      <c r="AN210" s="414"/>
      <c r="AO210" s="414"/>
    </row>
    <row r="211" spans="2:41" ht="12.75" customHeight="1">
      <c r="B211" s="105">
        <f t="shared" si="57"/>
        <v>208</v>
      </c>
      <c r="C211" s="6">
        <v>870900</v>
      </c>
      <c r="D211" s="6" t="s">
        <v>868</v>
      </c>
      <c r="E211" s="9" t="s">
        <v>32</v>
      </c>
      <c r="F211" s="6"/>
      <c r="G211" s="6"/>
      <c r="H211" s="11"/>
      <c r="I211" s="11"/>
      <c r="J211" s="11">
        <f>+SUMIFS(JURNAL!G:G,JURNAL!E:E,C211,JURNAL!C:C,"&gt;="&amp;$H$1,JURNAL!C:C,"&lt;="&amp;$I$1)</f>
        <v>0</v>
      </c>
      <c r="K211" s="11">
        <f>+SUMIFS(JURNAL!H:H,JURNAL!E:E,C211,JURNAL!C:C,"&gt;="&amp;$H$1,JURNAL!C:C,"&lt;="&amp;$I$1)</f>
        <v>0</v>
      </c>
      <c r="L211" s="26">
        <f t="shared" si="58"/>
        <v>0</v>
      </c>
      <c r="M211" s="27">
        <f t="shared" si="59"/>
        <v>0</v>
      </c>
      <c r="N211" s="11"/>
      <c r="O211" s="11"/>
      <c r="P211" s="11"/>
      <c r="Q211" s="11"/>
      <c r="R211" s="26">
        <f t="shared" si="60"/>
        <v>0</v>
      </c>
      <c r="S211" s="27">
        <f t="shared" si="61"/>
        <v>0</v>
      </c>
      <c r="T211" s="11">
        <f t="shared" si="62"/>
        <v>0</v>
      </c>
      <c r="U211" s="11">
        <f t="shared" si="63"/>
        <v>0</v>
      </c>
      <c r="V211" s="26">
        <f t="shared" si="64"/>
        <v>0</v>
      </c>
      <c r="W211" s="27">
        <f t="shared" si="65"/>
        <v>0</v>
      </c>
      <c r="X211" s="4">
        <v>8409</v>
      </c>
      <c r="Y211" s="4"/>
      <c r="Z211" s="4"/>
      <c r="AA211" s="12">
        <f t="shared" si="56"/>
        <v>0</v>
      </c>
      <c r="AJ211" s="413"/>
      <c r="AK211" s="413"/>
      <c r="AL211" s="413"/>
      <c r="AM211" s="413"/>
      <c r="AN211" s="414"/>
      <c r="AO211" s="414"/>
    </row>
    <row r="212" spans="2:41" ht="12.75" customHeight="1">
      <c r="B212" s="105">
        <f t="shared" si="57"/>
        <v>209</v>
      </c>
      <c r="C212" s="6">
        <v>871100</v>
      </c>
      <c r="D212" s="6" t="s">
        <v>871</v>
      </c>
      <c r="E212" s="9" t="s">
        <v>32</v>
      </c>
      <c r="F212" s="6"/>
      <c r="G212" s="6"/>
      <c r="H212" s="11"/>
      <c r="I212" s="11"/>
      <c r="J212" s="11">
        <f>+SUMIFS(JURNAL!G:G,JURNAL!E:E,C212,JURNAL!C:C,"&gt;="&amp;$H$1,JURNAL!C:C,"&lt;="&amp;$I$1)</f>
        <v>0</v>
      </c>
      <c r="K212" s="11">
        <f>+SUMIFS(JURNAL!H:H,JURNAL!E:E,C212,JURNAL!C:C,"&gt;="&amp;$H$1,JURNAL!C:C,"&lt;="&amp;$I$1)</f>
        <v>0</v>
      </c>
      <c r="L212" s="26">
        <f t="shared" si="58"/>
        <v>0</v>
      </c>
      <c r="M212" s="27">
        <f t="shared" si="59"/>
        <v>0</v>
      </c>
      <c r="N212" s="11"/>
      <c r="O212" s="11"/>
      <c r="P212" s="11"/>
      <c r="Q212" s="11"/>
      <c r="R212" s="26">
        <f t="shared" si="60"/>
        <v>0</v>
      </c>
      <c r="S212" s="27">
        <f t="shared" si="61"/>
        <v>0</v>
      </c>
      <c r="T212" s="11">
        <f t="shared" si="62"/>
        <v>0</v>
      </c>
      <c r="U212" s="11">
        <f t="shared" si="63"/>
        <v>0</v>
      </c>
      <c r="V212" s="26">
        <f t="shared" si="64"/>
        <v>0</v>
      </c>
      <c r="W212" s="27">
        <f t="shared" si="65"/>
        <v>0</v>
      </c>
      <c r="X212" s="4">
        <v>7202</v>
      </c>
      <c r="Y212" s="4"/>
      <c r="Z212" s="4"/>
      <c r="AA212" s="12">
        <f t="shared" si="56"/>
        <v>0</v>
      </c>
      <c r="AJ212" s="413"/>
      <c r="AK212" s="413"/>
      <c r="AL212" s="413"/>
      <c r="AM212" s="413"/>
      <c r="AN212" s="414"/>
      <c r="AO212" s="414"/>
    </row>
    <row r="213" spans="2:41" ht="12.75" customHeight="1">
      <c r="B213" s="105">
        <f t="shared" si="57"/>
        <v>210</v>
      </c>
      <c r="C213" s="6">
        <v>871200</v>
      </c>
      <c r="D213" s="6" t="s">
        <v>874</v>
      </c>
      <c r="E213" s="9" t="s">
        <v>32</v>
      </c>
      <c r="F213" s="6"/>
      <c r="G213" s="6"/>
      <c r="H213" s="11"/>
      <c r="I213" s="11"/>
      <c r="J213" s="11">
        <f>+SUMIFS(JURNAL!G:G,JURNAL!E:E,C213,JURNAL!C:C,"&gt;="&amp;$H$1,JURNAL!C:C,"&lt;="&amp;$I$1)</f>
        <v>0</v>
      </c>
      <c r="K213" s="11">
        <f>+SUMIFS(JURNAL!H:H,JURNAL!E:E,C213,JURNAL!C:C,"&gt;="&amp;$H$1,JURNAL!C:C,"&lt;="&amp;$I$1)</f>
        <v>0</v>
      </c>
      <c r="L213" s="26">
        <f t="shared" si="58"/>
        <v>0</v>
      </c>
      <c r="M213" s="27">
        <f t="shared" si="59"/>
        <v>0</v>
      </c>
      <c r="N213" s="11"/>
      <c r="O213" s="11"/>
      <c r="P213" s="11"/>
      <c r="Q213" s="11"/>
      <c r="R213" s="26">
        <f t="shared" si="60"/>
        <v>0</v>
      </c>
      <c r="S213" s="27">
        <f t="shared" si="61"/>
        <v>0</v>
      </c>
      <c r="T213" s="11">
        <f t="shared" si="62"/>
        <v>0</v>
      </c>
      <c r="U213" s="11">
        <f t="shared" si="63"/>
        <v>0</v>
      </c>
      <c r="V213" s="26">
        <f t="shared" si="64"/>
        <v>0</v>
      </c>
      <c r="W213" s="27">
        <f t="shared" si="65"/>
        <v>0</v>
      </c>
      <c r="X213" s="4">
        <v>8402</v>
      </c>
      <c r="Y213" s="4"/>
      <c r="Z213" s="4"/>
      <c r="AA213" s="12">
        <f t="shared" si="56"/>
        <v>0</v>
      </c>
      <c r="AJ213" s="413"/>
      <c r="AK213" s="413"/>
      <c r="AL213" s="413"/>
      <c r="AM213" s="413"/>
      <c r="AN213" s="414"/>
      <c r="AO213" s="414"/>
    </row>
    <row r="214" spans="2:41" ht="12.75" customHeight="1">
      <c r="B214" s="105">
        <f t="shared" si="57"/>
        <v>211</v>
      </c>
      <c r="C214" s="6">
        <v>910100</v>
      </c>
      <c r="D214" s="6" t="s">
        <v>284</v>
      </c>
      <c r="E214" s="9" t="s">
        <v>32</v>
      </c>
      <c r="F214" s="6"/>
      <c r="G214" s="6"/>
      <c r="H214" s="11"/>
      <c r="I214" s="11"/>
      <c r="J214" s="11">
        <f>+SUMIFS(JURNAL!G:G,JURNAL!E:E,C214,JURNAL!C:C,"&gt;="&amp;$H$1,JURNAL!C:C,"&lt;="&amp;$I$1)</f>
        <v>0</v>
      </c>
      <c r="K214" s="11">
        <f>+SUMIFS(JURNAL!H:H,JURNAL!E:E,C214,JURNAL!C:C,"&gt;="&amp;$H$1,JURNAL!C:C,"&lt;="&amp;$I$1)</f>
        <v>0</v>
      </c>
      <c r="L214" s="26">
        <f t="shared" si="58"/>
        <v>0</v>
      </c>
      <c r="M214" s="27">
        <f t="shared" si="59"/>
        <v>0</v>
      </c>
      <c r="N214" s="11"/>
      <c r="O214" s="11"/>
      <c r="P214" s="11"/>
      <c r="Q214" s="11"/>
      <c r="R214" s="26">
        <f t="shared" si="60"/>
        <v>0</v>
      </c>
      <c r="S214" s="27">
        <f t="shared" si="61"/>
        <v>0</v>
      </c>
      <c r="T214" s="11">
        <f t="shared" si="62"/>
        <v>0</v>
      </c>
      <c r="U214" s="11">
        <f t="shared" si="63"/>
        <v>0</v>
      </c>
      <c r="V214" s="26">
        <f t="shared" si="64"/>
        <v>0</v>
      </c>
      <c r="W214" s="27">
        <f t="shared" si="65"/>
        <v>0</v>
      </c>
      <c r="X214" s="4">
        <v>9101</v>
      </c>
      <c r="Y214" s="4"/>
      <c r="Z214" s="4"/>
      <c r="AA214" s="12">
        <f t="shared" si="56"/>
        <v>0</v>
      </c>
      <c r="AJ214" s="413"/>
      <c r="AK214" s="413"/>
      <c r="AL214" s="413"/>
      <c r="AM214" s="413"/>
      <c r="AN214" s="414"/>
      <c r="AO214" s="414"/>
    </row>
    <row r="215" spans="2:41" ht="12.75" customHeight="1">
      <c r="B215" s="105">
        <f t="shared" si="57"/>
        <v>212</v>
      </c>
      <c r="C215" s="6">
        <v>920100</v>
      </c>
      <c r="D215" s="6" t="s">
        <v>880</v>
      </c>
      <c r="E215" s="9" t="s">
        <v>32</v>
      </c>
      <c r="F215" s="6"/>
      <c r="G215" s="6"/>
      <c r="H215" s="11"/>
      <c r="I215" s="11"/>
      <c r="J215" s="11">
        <f>+SUMIFS(JURNAL!G:G,JURNAL!E:E,C215,JURNAL!C:C,"&gt;="&amp;$H$1,JURNAL!C:C,"&lt;="&amp;$I$1)</f>
        <v>0</v>
      </c>
      <c r="K215" s="11">
        <f>+SUMIFS(JURNAL!H:H,JURNAL!E:E,C215,JURNAL!C:C,"&gt;="&amp;$H$1,JURNAL!C:C,"&lt;="&amp;$I$1)</f>
        <v>0</v>
      </c>
      <c r="L215" s="26">
        <f t="shared" si="58"/>
        <v>0</v>
      </c>
      <c r="M215" s="27">
        <f t="shared" si="59"/>
        <v>0</v>
      </c>
      <c r="N215" s="11"/>
      <c r="O215" s="11"/>
      <c r="P215" s="11"/>
      <c r="Q215" s="11"/>
      <c r="R215" s="26">
        <f t="shared" si="60"/>
        <v>0</v>
      </c>
      <c r="S215" s="27">
        <f t="shared" si="61"/>
        <v>0</v>
      </c>
      <c r="T215" s="11">
        <v>12027607.1802349</v>
      </c>
      <c r="U215" s="11">
        <v>12027607.1802349</v>
      </c>
      <c r="V215" s="26">
        <f t="shared" si="64"/>
        <v>0</v>
      </c>
      <c r="W215" s="27">
        <f t="shared" si="65"/>
        <v>0</v>
      </c>
      <c r="X215" s="4"/>
      <c r="Y215" s="4"/>
      <c r="Z215" s="4"/>
      <c r="AA215" s="12">
        <v>1</v>
      </c>
      <c r="AJ215" s="413"/>
      <c r="AK215" s="413"/>
      <c r="AL215" s="413"/>
      <c r="AM215" s="413"/>
      <c r="AN215" s="414"/>
      <c r="AO215" s="414"/>
    </row>
    <row r="216" spans="2:41" ht="12.75" customHeight="1">
      <c r="B216" s="181"/>
      <c r="C216" s="135"/>
      <c r="D216" s="181" t="s">
        <v>39</v>
      </c>
      <c r="E216" s="318"/>
      <c r="F216" s="13">
        <f t="shared" ref="F216:V216" si="66">SUM(F140:F215)</f>
        <v>0</v>
      </c>
      <c r="G216" s="13">
        <f t="shared" si="66"/>
        <v>0</v>
      </c>
      <c r="H216" s="13">
        <f t="shared" si="66"/>
        <v>0</v>
      </c>
      <c r="I216" s="13">
        <f t="shared" si="66"/>
        <v>0</v>
      </c>
      <c r="J216" s="13">
        <f t="shared" si="66"/>
        <v>164380979.93234628</v>
      </c>
      <c r="K216" s="13">
        <f t="shared" si="66"/>
        <v>152601664.10911146</v>
      </c>
      <c r="L216" s="13">
        <f t="shared" si="66"/>
        <v>108063506.71907358</v>
      </c>
      <c r="M216" s="13">
        <f t="shared" si="66"/>
        <v>96284190.895838708</v>
      </c>
      <c r="N216" s="13">
        <v>248291.35699999999</v>
      </c>
      <c r="O216" s="13">
        <v>0</v>
      </c>
      <c r="P216" s="13">
        <v>0</v>
      </c>
      <c r="Q216" s="13">
        <v>0</v>
      </c>
      <c r="R216" s="13">
        <f t="shared" si="66"/>
        <v>108311798.07607357</v>
      </c>
      <c r="S216" s="13">
        <f t="shared" si="66"/>
        <v>96284190.895838708</v>
      </c>
      <c r="T216" s="13">
        <f t="shared" si="66"/>
        <v>108311798.0760736</v>
      </c>
      <c r="U216" s="13">
        <f t="shared" si="66"/>
        <v>120339405.25630847</v>
      </c>
      <c r="V216" s="13">
        <f t="shared" si="66"/>
        <v>0</v>
      </c>
      <c r="W216" s="13">
        <f t="shared" ref="W216" si="67">SUM(W140:W215)</f>
        <v>0</v>
      </c>
      <c r="X216" s="14"/>
      <c r="Y216" s="14"/>
      <c r="Z216" s="14"/>
      <c r="AA216" s="14"/>
      <c r="AJ216" s="413"/>
      <c r="AK216" s="413"/>
      <c r="AL216" s="413"/>
      <c r="AM216" s="413"/>
      <c r="AN216" s="414"/>
      <c r="AO216" s="414"/>
    </row>
    <row r="217" spans="2:41" ht="12.75" customHeight="1">
      <c r="B217" s="29"/>
      <c r="C217" s="29" t="s">
        <v>21</v>
      </c>
      <c r="D217" s="29"/>
      <c r="E217" s="30"/>
      <c r="F217" s="31">
        <f t="shared" ref="F217:V217" si="68">+F216+F139</f>
        <v>6150.4600000000009</v>
      </c>
      <c r="G217" s="31">
        <f t="shared" si="68"/>
        <v>14937.180000000002</v>
      </c>
      <c r="H217" s="31">
        <f t="shared" si="68"/>
        <v>3510571598.7455034</v>
      </c>
      <c r="I217" s="31">
        <f t="shared" si="68"/>
        <v>3510571598.7442312</v>
      </c>
      <c r="J217" s="31">
        <f t="shared" si="68"/>
        <v>1235643853.6618552</v>
      </c>
      <c r="K217" s="31">
        <f t="shared" si="68"/>
        <v>1235643853.6620736</v>
      </c>
      <c r="L217" s="31">
        <f t="shared" si="68"/>
        <v>3625198071.0260816</v>
      </c>
      <c r="M217" s="31">
        <f t="shared" si="68"/>
        <v>3625198071.0250273</v>
      </c>
      <c r="N217" s="31">
        <v>181864759.32677999</v>
      </c>
      <c r="O217" s="31">
        <v>181864759.32678002</v>
      </c>
      <c r="P217" s="31">
        <v>6150.4600000000009</v>
      </c>
      <c r="Q217" s="31">
        <v>14684.7</v>
      </c>
      <c r="R217" s="31">
        <f t="shared" si="68"/>
        <v>3443581603.0563006</v>
      </c>
      <c r="S217" s="31">
        <f t="shared" si="68"/>
        <v>3443581603.0552468</v>
      </c>
      <c r="T217" s="31">
        <f t="shared" si="68"/>
        <v>120339405.2563085</v>
      </c>
      <c r="U217" s="31">
        <f t="shared" si="68"/>
        <v>120339405.25630847</v>
      </c>
      <c r="V217" s="31">
        <f t="shared" si="68"/>
        <v>3347297412.1604619</v>
      </c>
      <c r="W217" s="31">
        <f t="shared" ref="W217" si="69">+W216+W139</f>
        <v>3347297412.1594081</v>
      </c>
      <c r="X217" s="31"/>
      <c r="Y217" s="31"/>
      <c r="Z217" s="31"/>
      <c r="AA217" s="31"/>
      <c r="AJ217" s="413"/>
      <c r="AK217" s="413"/>
      <c r="AL217" s="413"/>
      <c r="AM217" s="413"/>
    </row>
    <row r="218" spans="2:41" ht="12.75" customHeight="1">
      <c r="B218" s="6"/>
      <c r="C218" s="6" t="s">
        <v>22</v>
      </c>
      <c r="D218" s="6"/>
      <c r="E218" s="9"/>
      <c r="F218" s="6"/>
      <c r="G218" s="6"/>
      <c r="H218" s="32"/>
      <c r="I218" s="32"/>
      <c r="J218" s="11">
        <f>+SUMIFS(JURNAL!G:G,JURNAL!E:E,C218,JURNAL!C:C,"&gt;="&amp;$H$1,JURNAL!C:C,"&lt;="&amp;$I$1)</f>
        <v>0</v>
      </c>
      <c r="K218" s="11">
        <f>+SUMIFS(JURNAL!H:H,JURNAL!F:F,D218,JURNAL!D:D,"&gt;="&amp;$H$1,JURNAL!D:D,"&lt;="&amp;$I$1)</f>
        <v>0</v>
      </c>
      <c r="L218" s="11">
        <f>+SUMIFS(JURNAL!I:I,JURNAL!G:G,E218,JURNAL!E:E,"&gt;="&amp;$H$1,JURNAL!E:E,"&lt;="&amp;$I$1)</f>
        <v>0</v>
      </c>
      <c r="M218" s="11">
        <f>+SUMIFS(JURNAL!J:J,JURNAL!H:H,F218,JURNAL!F:F,"&gt;="&amp;$H$1,JURNAL!F:F,"&lt;="&amp;$I$1)</f>
        <v>0</v>
      </c>
      <c r="N218" s="32"/>
      <c r="O218" s="32"/>
      <c r="P218" s="32"/>
      <c r="Q218" s="32"/>
      <c r="R218" s="11">
        <f>+SUMIFS(JURNAL!O:O,JURNAL!M:M,K218,JURNAL!K:K,"&gt;="&amp;$H$1,JURNAL!K:K,"&lt;="&amp;$I$1)</f>
        <v>0</v>
      </c>
      <c r="S218" s="11">
        <f>+SUMIFS(JURNAL!P:P,JURNAL!N:N,L218,JURNAL!L:L,"&gt;="&amp;$H$1,JURNAL!L:L,"&lt;="&amp;$I$1)</f>
        <v>0</v>
      </c>
      <c r="T218" s="11">
        <f>+SUMIFS(JURNAL!Q:Q,JURNAL!O:O,M218,JURNAL!M:M,"&gt;="&amp;$H$1,JURNAL!M:M,"&lt;="&amp;$I$1)</f>
        <v>0</v>
      </c>
      <c r="U218" s="11">
        <f ca="1">+SUMIFS(JURNAL!R:R,JURNAL!P:P,N218,JURNAL!N:N,"&gt;="&amp;$H$1,JURNAL!N:N,"&lt;="&amp;$I$1)</f>
        <v>0</v>
      </c>
      <c r="V218" s="11">
        <f ca="1">+SUMIFS(JURNAL!S:S,JURNAL!Q:Q,O218,JURNAL!O:O,"&gt;="&amp;$H$1,JURNAL!O:O,"&lt;="&amp;$I$1)</f>
        <v>0</v>
      </c>
      <c r="W218" s="11">
        <f ca="1">+SUMIFS(JURNAL!T:T,JURNAL!R:R,P218,JURNAL!P:P,"&gt;="&amp;$H$1,JURNAL!P:P,"&lt;="&amp;$I$1)</f>
        <v>0</v>
      </c>
      <c r="X218" s="11">
        <f ca="1">+SUMIFS(JURNAL!U:U,JURNAL!S:S,Q218,JURNAL!Q:Q,"&gt;="&amp;$H$1,JURNAL!Q:Q,"&lt;="&amp;$I$1)</f>
        <v>0</v>
      </c>
      <c r="Y218" s="11">
        <f ca="1">+SUMIFS(JURNAL!V:V,JURNAL!T:T,R218,JURNAL!R:R,"&gt;="&amp;$H$1,JURNAL!R:R,"&lt;="&amp;$I$1)</f>
        <v>0</v>
      </c>
      <c r="Z218" s="11">
        <f ca="1">+SUMIFS(JURNAL!W:W,JURNAL!U:U,S218,JURNAL!S:S,"&gt;="&amp;$H$1,JURNAL!S:S,"&lt;="&amp;$I$1)</f>
        <v>0</v>
      </c>
      <c r="AA218" s="11">
        <f ca="1">+SUMIFS(JURNAL!X:X,JURNAL!V:V,T218,JURNAL!T:T,"&gt;="&amp;$H$1,JURNAL!T:T,"&lt;="&amp;$I$1)</f>
        <v>0</v>
      </c>
      <c r="AJ218" s="413"/>
      <c r="AK218" s="413"/>
      <c r="AL218" s="413"/>
      <c r="AM218" s="413"/>
    </row>
    <row r="219" spans="2:41" ht="12.75" customHeight="1">
      <c r="B219" s="6"/>
      <c r="C219" s="6" t="s">
        <v>23</v>
      </c>
      <c r="D219" s="6"/>
      <c r="E219" s="9"/>
      <c r="F219" s="6"/>
      <c r="G219" s="6"/>
      <c r="H219" s="32"/>
      <c r="I219" s="32"/>
      <c r="J219" s="11">
        <f>+SUMIFS(JURNAL!G:G,JURNAL!E:E,C219,JURNAL!C:C,"&gt;="&amp;$H$1,JURNAL!C:C,"&lt;="&amp;$I$1)</f>
        <v>0</v>
      </c>
      <c r="K219" s="11">
        <f>+SUMIFS(JURNAL!H:H,JURNAL!F:F,D219,JURNAL!D:D,"&gt;="&amp;$H$1,JURNAL!D:D,"&lt;="&amp;$I$1)</f>
        <v>0</v>
      </c>
      <c r="L219" s="11">
        <f>+SUMIFS(JURNAL!I:I,JURNAL!G:G,E219,JURNAL!E:E,"&gt;="&amp;$H$1,JURNAL!E:E,"&lt;="&amp;$I$1)</f>
        <v>0</v>
      </c>
      <c r="M219" s="11">
        <f>+SUMIFS(JURNAL!J:J,JURNAL!H:H,F219,JURNAL!F:F,"&gt;="&amp;$H$1,JURNAL!F:F,"&lt;="&amp;$I$1)</f>
        <v>0</v>
      </c>
      <c r="N219" s="32"/>
      <c r="O219" s="32"/>
      <c r="P219" s="32"/>
      <c r="Q219" s="32"/>
      <c r="R219" s="11">
        <f>+SUMIFS(JURNAL!O:O,JURNAL!M:M,K219,JURNAL!K:K,"&gt;="&amp;$H$1,JURNAL!K:K,"&lt;="&amp;$I$1)</f>
        <v>0</v>
      </c>
      <c r="S219" s="11">
        <f>+SUMIFS(JURNAL!P:P,JURNAL!N:N,L219,JURNAL!L:L,"&gt;="&amp;$H$1,JURNAL!L:L,"&lt;="&amp;$I$1)</f>
        <v>0</v>
      </c>
      <c r="T219" s="11">
        <f>+SUMIFS(JURNAL!Q:Q,JURNAL!O:O,M219,JURNAL!M:M,"&gt;="&amp;$H$1,JURNAL!M:M,"&lt;="&amp;$I$1)</f>
        <v>0</v>
      </c>
      <c r="U219" s="11">
        <f ca="1">+SUMIFS(JURNAL!R:R,JURNAL!P:P,N219,JURNAL!N:N,"&gt;="&amp;$H$1,JURNAL!N:N,"&lt;="&amp;$I$1)</f>
        <v>0</v>
      </c>
      <c r="V219" s="11">
        <f ca="1">+SUMIFS(JURNAL!S:S,JURNAL!Q:Q,O219,JURNAL!O:O,"&gt;="&amp;$H$1,JURNAL!O:O,"&lt;="&amp;$I$1)</f>
        <v>0</v>
      </c>
      <c r="W219" s="11">
        <f ca="1">+SUMIFS(JURNAL!T:T,JURNAL!R:R,P219,JURNAL!P:P,"&gt;="&amp;$H$1,JURNAL!P:P,"&lt;="&amp;$I$1)</f>
        <v>0</v>
      </c>
      <c r="X219" s="11">
        <f ca="1">+SUMIFS(JURNAL!U:U,JURNAL!S:S,Q219,JURNAL!Q:Q,"&gt;="&amp;$H$1,JURNAL!Q:Q,"&lt;="&amp;$I$1)</f>
        <v>0</v>
      </c>
      <c r="Y219" s="11">
        <f ca="1">+SUMIFS(JURNAL!V:V,JURNAL!T:T,R219,JURNAL!R:R,"&gt;="&amp;$H$1,JURNAL!R:R,"&lt;="&amp;$I$1)</f>
        <v>0</v>
      </c>
      <c r="Z219" s="11">
        <f ca="1">+SUMIFS(JURNAL!W:W,JURNAL!U:U,S219,JURNAL!S:S,"&gt;="&amp;$H$1,JURNAL!S:S,"&lt;="&amp;$I$1)</f>
        <v>0</v>
      </c>
      <c r="AA219" s="11">
        <f ca="1">+SUMIFS(JURNAL!X:X,JURNAL!V:V,T219,JURNAL!T:T,"&gt;="&amp;$H$1,JURNAL!T:T,"&lt;="&amp;$I$1)</f>
        <v>0</v>
      </c>
      <c r="AJ219" s="413"/>
      <c r="AK219" s="413"/>
      <c r="AL219" s="413"/>
      <c r="AM219" s="413"/>
    </row>
    <row r="220" spans="2:41" ht="12.75" customHeight="1">
      <c r="B220" s="6"/>
      <c r="C220" s="6" t="s">
        <v>24</v>
      </c>
      <c r="D220" s="6"/>
      <c r="E220" s="9"/>
      <c r="F220" s="6"/>
      <c r="G220" s="6"/>
      <c r="H220" s="32"/>
      <c r="I220" s="27">
        <f>+I217-H217</f>
        <v>-1.2722015380859375E-3</v>
      </c>
      <c r="J220" s="11">
        <f>+SUMIFS(JURNAL!G:G,JURNAL!E:E,C220,JURNAL!C:C,"&gt;="&amp;$H$1,JURNAL!C:C,"&lt;="&amp;$I$1)</f>
        <v>0</v>
      </c>
      <c r="K220" s="11">
        <f>+SUMIFS(JURNAL!H:H,JURNAL!F:F,D220,JURNAL!D:D,"&gt;="&amp;$H$1,JURNAL!D:D,"&lt;="&amp;$I$1)</f>
        <v>0</v>
      </c>
      <c r="L220" s="11">
        <f>+SUMIFS(JURNAL!I:I,JURNAL!G:G,E220,JURNAL!E:E,"&gt;="&amp;$H$1,JURNAL!E:E,"&lt;="&amp;$I$1)</f>
        <v>0</v>
      </c>
      <c r="M220" s="11">
        <f>+SUMIFS(JURNAL!J:J,JURNAL!H:H,F220,JURNAL!F:F,"&gt;="&amp;$H$1,JURNAL!F:F,"&lt;="&amp;$I$1)</f>
        <v>0</v>
      </c>
      <c r="N220" s="32"/>
      <c r="O220" s="32"/>
      <c r="P220" s="32"/>
      <c r="Q220" s="32"/>
      <c r="R220" s="11">
        <f>+SUMIFS(JURNAL!O:O,JURNAL!M:M,K220,JURNAL!K:K,"&gt;="&amp;$H$1,JURNAL!K:K,"&lt;="&amp;$I$1)</f>
        <v>0</v>
      </c>
      <c r="S220" s="11">
        <f>+SUMIFS(JURNAL!P:P,JURNAL!N:N,L220,JURNAL!L:L,"&gt;="&amp;$H$1,JURNAL!L:L,"&lt;="&amp;$I$1)</f>
        <v>0</v>
      </c>
      <c r="T220" s="11">
        <f>+SUMIFS(JURNAL!Q:Q,JURNAL!O:O,M220,JURNAL!M:M,"&gt;="&amp;$H$1,JURNAL!M:M,"&lt;="&amp;$I$1)</f>
        <v>0</v>
      </c>
      <c r="U220" s="11">
        <f ca="1">+SUMIFS(JURNAL!R:R,JURNAL!P:P,N220,JURNAL!N:N,"&gt;="&amp;$H$1,JURNAL!N:N,"&lt;="&amp;$I$1)</f>
        <v>0</v>
      </c>
      <c r="V220" s="11">
        <f ca="1">+SUMIFS(JURNAL!S:S,JURNAL!Q:Q,O220,JURNAL!O:O,"&gt;="&amp;$H$1,JURNAL!O:O,"&lt;="&amp;$I$1)</f>
        <v>0</v>
      </c>
      <c r="W220" s="11">
        <f ca="1">+SUMIFS(JURNAL!T:T,JURNAL!R:R,P220,JURNAL!P:P,"&gt;="&amp;$H$1,JURNAL!P:P,"&lt;="&amp;$I$1)</f>
        <v>0</v>
      </c>
      <c r="X220" s="11">
        <f ca="1">+SUMIFS(JURNAL!U:U,JURNAL!S:S,Q220,JURNAL!Q:Q,"&gt;="&amp;$H$1,JURNAL!Q:Q,"&lt;="&amp;$I$1)</f>
        <v>0</v>
      </c>
      <c r="Y220" s="11">
        <f ca="1">+SUMIFS(JURNAL!V:V,JURNAL!T:T,R220,JURNAL!R:R,"&gt;="&amp;$H$1,JURNAL!R:R,"&lt;="&amp;$I$1)</f>
        <v>0</v>
      </c>
      <c r="Z220" s="11">
        <f ca="1">+SUMIFS(JURNAL!W:W,JURNAL!U:U,S220,JURNAL!S:S,"&gt;="&amp;$H$1,JURNAL!S:S,"&lt;="&amp;$I$1)</f>
        <v>0</v>
      </c>
      <c r="AA220" s="11">
        <f ca="1">+SUMIFS(JURNAL!X:X,JURNAL!V:V,T220,JURNAL!T:T,"&gt;="&amp;$H$1,JURNAL!T:T,"&lt;="&amp;$I$1)</f>
        <v>0</v>
      </c>
      <c r="AJ220" s="413"/>
      <c r="AK220" s="413"/>
      <c r="AL220" s="413"/>
      <c r="AM220" s="413"/>
    </row>
    <row r="221" spans="2:41" ht="12.75" customHeight="1">
      <c r="B221" s="7"/>
      <c r="C221" s="7"/>
      <c r="D221" s="7"/>
      <c r="E221" s="10"/>
      <c r="F221" s="7"/>
      <c r="G221" s="7"/>
      <c r="H221" s="8"/>
      <c r="I221" s="8"/>
      <c r="V221" s="41">
        <f>+V217-W217</f>
        <v>1.0538101196289063E-3</v>
      </c>
      <c r="X221" s="7"/>
      <c r="Y221" s="7"/>
      <c r="Z221" s="7"/>
      <c r="AA221" s="7"/>
    </row>
    <row r="222" spans="2:41" ht="12.75" customHeight="1">
      <c r="N222" s="41">
        <f>+N217-O217</f>
        <v>0</v>
      </c>
      <c r="R222" s="41">
        <f>+R217-S217</f>
        <v>1.0538101196289063E-3</v>
      </c>
      <c r="T222" s="41">
        <f>+T217-U217</f>
        <v>0</v>
      </c>
      <c r="X222" s="7"/>
      <c r="Y222" s="7"/>
      <c r="Z222" s="7"/>
      <c r="AA222" s="7"/>
    </row>
  </sheetData>
  <sheetProtection password="DFC0" sheet="1" objects="1" scenarios="1"/>
  <autoFilter ref="B3:AA220"/>
  <mergeCells count="7">
    <mergeCell ref="T2:U2"/>
    <mergeCell ref="V2:W2"/>
    <mergeCell ref="H2:I2"/>
    <mergeCell ref="J2:K2"/>
    <mergeCell ref="R2:S2"/>
    <mergeCell ref="L2:M2"/>
    <mergeCell ref="N2:O2"/>
  </mergeCells>
  <conditionalFormatting sqref="B4:B189">
    <cfRule type="expression" dxfId="148" priority="6">
      <formula>$A4&lt;&gt;""</formula>
    </cfRule>
  </conditionalFormatting>
  <conditionalFormatting sqref="B4:B189">
    <cfRule type="expression" dxfId="147" priority="5">
      <formula>$B4&lt;&gt;""</formula>
    </cfRule>
  </conditionalFormatting>
  <conditionalFormatting sqref="B4:B215">
    <cfRule type="expression" dxfId="146" priority="2">
      <formula>$A4&lt;&gt;""</formula>
    </cfRule>
  </conditionalFormatting>
  <conditionalFormatting sqref="B4:B215">
    <cfRule type="expression" dxfId="145" priority="1">
      <formula>$B4&lt;&gt;""</formula>
    </cfRule>
  </conditionalFormatting>
  <pageMargins left="0.7" right="0.7" top="0.75" bottom="0.75" header="0.3" footer="0.3"/>
  <pageSetup orientation="portrait" horizontalDpi="0" verticalDpi="0" r:id="rId1"/>
  <ignoredErrors>
    <ignoredError sqref="J139:AA139"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DATA!$J$4:$J$9</xm:f>
          </x14:formula1>
          <xm:sqref>E4:E188</xm:sqref>
        </x14:dataValidation>
      </x14:dataValidations>
    </ext>
  </extLst>
</worksheet>
</file>

<file path=xl/worksheets/sheet14.xml><?xml version="1.0" encoding="utf-8"?>
<worksheet xmlns="http://schemas.openxmlformats.org/spreadsheetml/2006/main" xmlns:r="http://schemas.openxmlformats.org/officeDocument/2006/relationships">
  <sheetPr>
    <tabColor rgb="FF00B0F0"/>
  </sheetPr>
  <dimension ref="A1:AF222"/>
  <sheetViews>
    <sheetView workbookViewId="0">
      <pane xSplit="5" ySplit="3" topLeftCell="I4" activePane="bottomRight" state="frozen"/>
      <selection activeCell="G113" sqref="G113"/>
      <selection pane="topRight" activeCell="G113" sqref="G113"/>
      <selection pane="bottomLeft" activeCell="G113" sqref="G113"/>
      <selection pane="bottomRight" activeCell="F179" sqref="F179"/>
    </sheetView>
  </sheetViews>
  <sheetFormatPr defaultRowHeight="12.75" customHeight="1"/>
  <cols>
    <col min="1" max="1" width="7" style="1" customWidth="1"/>
    <col min="2" max="2" width="3.85546875" style="1" customWidth="1"/>
    <col min="3" max="3" width="7.7109375" style="1" customWidth="1"/>
    <col min="4" max="4" width="33.5703125" style="1" customWidth="1"/>
    <col min="5" max="5" width="8.42578125" style="2" customWidth="1"/>
    <col min="6" max="6" width="10.28515625" style="1" customWidth="1"/>
    <col min="7" max="7" width="11.140625" style="1" bestFit="1" customWidth="1"/>
    <col min="8" max="9" width="14.7109375" style="1" bestFit="1" customWidth="1"/>
    <col min="10" max="13" width="14.28515625" style="1" bestFit="1" customWidth="1"/>
    <col min="14" max="14" width="12.42578125" style="1" customWidth="1"/>
    <col min="15" max="15" width="14.140625" style="1" customWidth="1"/>
    <col min="16" max="17" width="12.42578125" style="1" customWidth="1"/>
    <col min="18" max="19" width="14.42578125" style="1" bestFit="1" customWidth="1"/>
    <col min="20" max="23" width="14.42578125" style="1" customWidth="1"/>
    <col min="24" max="27" width="6.28515625" style="1" customWidth="1"/>
    <col min="28" max="28" width="9.140625" style="1"/>
    <col min="29" max="29" width="16.42578125" style="1" bestFit="1" customWidth="1"/>
    <col min="30" max="30" width="15.7109375" style="1" bestFit="1" customWidth="1"/>
    <col min="31" max="31" width="16.42578125" style="1" bestFit="1" customWidth="1"/>
    <col min="32" max="32" width="15.7109375" style="1" bestFit="1" customWidth="1"/>
    <col min="33" max="16384" width="9.140625" style="1"/>
  </cols>
  <sheetData>
    <row r="1" spans="1:32" ht="12.75" customHeight="1">
      <c r="B1" s="95">
        <f>COUNT(B4:B5965)</f>
        <v>212</v>
      </c>
      <c r="C1" s="261" t="s">
        <v>1337</v>
      </c>
      <c r="E1" s="33"/>
      <c r="F1" s="110" t="s">
        <v>43</v>
      </c>
      <c r="G1" s="111"/>
      <c r="H1" s="112">
        <v>42826</v>
      </c>
      <c r="I1" s="112">
        <v>42916</v>
      </c>
      <c r="J1" s="82"/>
      <c r="K1" s="41"/>
      <c r="U1" s="84"/>
      <c r="V1" s="84"/>
    </row>
    <row r="2" spans="1:32" ht="12.75" customHeight="1">
      <c r="B2" s="61" t="s">
        <v>12</v>
      </c>
      <c r="C2" s="62" t="s">
        <v>13</v>
      </c>
      <c r="D2" s="62" t="s">
        <v>13</v>
      </c>
      <c r="E2" s="62" t="s">
        <v>29</v>
      </c>
      <c r="F2" s="63"/>
      <c r="G2" s="63"/>
      <c r="H2" s="936" t="s">
        <v>14</v>
      </c>
      <c r="I2" s="936"/>
      <c r="J2" s="936" t="s">
        <v>34</v>
      </c>
      <c r="K2" s="936"/>
      <c r="L2" s="936" t="s">
        <v>35</v>
      </c>
      <c r="M2" s="936"/>
      <c r="N2" s="936" t="s">
        <v>36</v>
      </c>
      <c r="O2" s="936"/>
      <c r="P2" s="63"/>
      <c r="Q2" s="63"/>
      <c r="R2" s="936" t="s">
        <v>15</v>
      </c>
      <c r="S2" s="936"/>
      <c r="T2" s="936" t="s">
        <v>37</v>
      </c>
      <c r="U2" s="936"/>
      <c r="V2" s="936" t="s">
        <v>38</v>
      </c>
      <c r="W2" s="936"/>
      <c r="X2" s="61" t="s">
        <v>0</v>
      </c>
      <c r="Y2" s="61" t="s">
        <v>0</v>
      </c>
      <c r="Z2" s="61" t="s">
        <v>0</v>
      </c>
      <c r="AA2" s="61"/>
    </row>
    <row r="3" spans="1:32" ht="12.75" customHeight="1">
      <c r="B3" s="61"/>
      <c r="C3" s="62" t="s">
        <v>16</v>
      </c>
      <c r="D3" s="62" t="s">
        <v>27</v>
      </c>
      <c r="E3" s="62" t="s">
        <v>28</v>
      </c>
      <c r="F3" s="117" t="s">
        <v>25</v>
      </c>
      <c r="G3" s="117" t="s">
        <v>26</v>
      </c>
      <c r="H3" s="62" t="s">
        <v>17</v>
      </c>
      <c r="I3" s="62" t="s">
        <v>18</v>
      </c>
      <c r="J3" s="62" t="s">
        <v>17</v>
      </c>
      <c r="K3" s="62" t="s">
        <v>18</v>
      </c>
      <c r="L3" s="62" t="s">
        <v>17</v>
      </c>
      <c r="M3" s="62" t="s">
        <v>18</v>
      </c>
      <c r="N3" s="62" t="s">
        <v>17</v>
      </c>
      <c r="O3" s="62" t="s">
        <v>18</v>
      </c>
      <c r="P3" s="117" t="s">
        <v>25</v>
      </c>
      <c r="Q3" s="117" t="s">
        <v>26</v>
      </c>
      <c r="R3" s="62" t="s">
        <v>17</v>
      </c>
      <c r="S3" s="62" t="s">
        <v>18</v>
      </c>
      <c r="T3" s="62" t="s">
        <v>17</v>
      </c>
      <c r="U3" s="62" t="s">
        <v>18</v>
      </c>
      <c r="V3" s="62" t="s">
        <v>17</v>
      </c>
      <c r="W3" s="62" t="s">
        <v>18</v>
      </c>
      <c r="X3" s="61" t="s">
        <v>287</v>
      </c>
      <c r="Y3" s="65" t="s">
        <v>288</v>
      </c>
      <c r="Z3" s="61" t="s">
        <v>19</v>
      </c>
      <c r="AA3" s="61"/>
      <c r="AC3" s="231"/>
      <c r="AD3" s="231"/>
      <c r="AE3" s="231"/>
    </row>
    <row r="4" spans="1:32" ht="12.75" customHeight="1">
      <c r="A4" s="24"/>
      <c r="B4" s="105">
        <v>1</v>
      </c>
      <c r="C4" s="5">
        <v>100100</v>
      </c>
      <c r="D4" s="119" t="s">
        <v>895</v>
      </c>
      <c r="E4" s="9" t="s">
        <v>32</v>
      </c>
      <c r="F4" s="6"/>
      <c r="G4" s="6"/>
      <c r="H4" s="11">
        <f>+STAT1!V4</f>
        <v>226094771.11545452</v>
      </c>
      <c r="I4" s="11">
        <f>+STAT1!W4</f>
        <v>0</v>
      </c>
      <c r="J4" s="11">
        <f>+SUMIFS(JURNAL!G:G,JURNAL!E:E,C4,JURNAL!C:C,"&gt;="&amp;$H$1,JURNAL!C:C,"&lt;="&amp;$I$1)</f>
        <v>69421234</v>
      </c>
      <c r="K4" s="11">
        <f>+SUMIFS(JURNAL!H:H,JURNAL!E:E,C4,JURNAL!C:C,"&gt;="&amp;$H$1,JURNAL!C:C,"&lt;="&amp;$I$1)</f>
        <v>70705647.544366673</v>
      </c>
      <c r="L4" s="26">
        <f>+IF((H4+J4)&gt;(I4+K4),(H4+J4)-(I4+K4),0)</f>
        <v>224810357.5710879</v>
      </c>
      <c r="M4" s="27">
        <f t="shared" ref="M4:M67" si="0">+IF((H4+J4)&lt;(I4+K4),(I4+K4)-(H4+J4),0)</f>
        <v>0</v>
      </c>
      <c r="N4" s="11"/>
      <c r="O4" s="334"/>
      <c r="P4" s="11"/>
      <c r="Q4" s="11"/>
      <c r="R4" s="26">
        <f>+IF((L4+N4)&gt;(M4+O4),(L4+N4)-(M4+O4),0)</f>
        <v>224810357.5710879</v>
      </c>
      <c r="S4" s="27">
        <f>+IF((L4+N4)&lt;(M4+O4),(M4+O4)-(L4+N4),0)</f>
        <v>0</v>
      </c>
      <c r="T4" s="11"/>
      <c r="U4" s="11"/>
      <c r="V4" s="26">
        <f>+IF((R4+T4)&gt;(S4+U4),(R4+T4)-(S4+U4),0)</f>
        <v>224810357.5710879</v>
      </c>
      <c r="W4" s="27">
        <f t="shared" ref="W4:W67" si="1">+IF((R4+T4)&lt;(S4+U4),(S4+U4)-(R4+T4),0)</f>
        <v>0</v>
      </c>
      <c r="X4" s="4">
        <v>1101</v>
      </c>
      <c r="Y4" s="4"/>
      <c r="Z4" s="6"/>
      <c r="AA4" s="12">
        <f>+IF(H4+I4+J4+K4+L4+M4+N4+O4+R4+S4+T4+U4+V4+W4,1,0)</f>
        <v>1</v>
      </c>
      <c r="AC4" s="84"/>
      <c r="AD4" s="84"/>
      <c r="AE4" s="84"/>
      <c r="AF4" s="84"/>
    </row>
    <row r="5" spans="1:32" ht="12.75" customHeight="1">
      <c r="A5" s="24"/>
      <c r="B5" s="105">
        <f>+B4+1</f>
        <v>2</v>
      </c>
      <c r="C5" s="3">
        <v>100200</v>
      </c>
      <c r="D5" s="119" t="s">
        <v>950</v>
      </c>
      <c r="E5" s="9" t="s">
        <v>30</v>
      </c>
      <c r="F5" s="118">
        <v>5645.1</v>
      </c>
      <c r="G5" s="118">
        <v>2489.5300000000002</v>
      </c>
      <c r="H5" s="11">
        <f>+STAT1!V5</f>
        <v>13816099.995000001</v>
      </c>
      <c r="I5" s="11">
        <f>+STAT1!W5</f>
        <v>0</v>
      </c>
      <c r="J5" s="11">
        <f>+SUMIFS(JURNAL!G:G,JURNAL!E:E,C5,JURNAL!C:C,"&gt;="&amp;$H$1,JURNAL!C:C,"&lt;="&amp;$I$1)</f>
        <v>0</v>
      </c>
      <c r="K5" s="11">
        <f>+SUMIFS(JURNAL!H:H,JURNAL!E:E,C5,JURNAL!C:C,"&gt;="&amp;$H$1,JURNAL!C:C,"&lt;="&amp;$I$1)</f>
        <v>0</v>
      </c>
      <c r="L5" s="26">
        <f t="shared" ref="L5:L68" si="2">+IF((H5+J5)&gt;(I5+K5),(H5+J5)-(I5+K5),0)</f>
        <v>13816099.995000001</v>
      </c>
      <c r="M5" s="27">
        <f t="shared" si="0"/>
        <v>0</v>
      </c>
      <c r="N5" s="11"/>
      <c r="O5" s="334"/>
      <c r="P5" s="11"/>
      <c r="Q5" s="11"/>
      <c r="R5" s="26">
        <f t="shared" ref="R5:R68" si="3">+IF((L5+N5)&gt;(M5+O5),(L5+N5)-(M5+O5),0)</f>
        <v>13816099.995000001</v>
      </c>
      <c r="S5" s="27">
        <f t="shared" ref="S5:S68" si="4">+IF((L5+N5)&lt;(M5+O5),(M5+O5)-(L5+N5),0)</f>
        <v>0</v>
      </c>
      <c r="T5" s="11"/>
      <c r="U5" s="11"/>
      <c r="V5" s="26">
        <f t="shared" ref="V5:V68" si="5">+IF((R5+T5)&gt;(S5+U5),(R5+T5)-(S5+U5),0)</f>
        <v>13816099.995000001</v>
      </c>
      <c r="W5" s="27">
        <f t="shared" si="1"/>
        <v>0</v>
      </c>
      <c r="X5" s="4">
        <v>1101</v>
      </c>
      <c r="Y5" s="4"/>
      <c r="Z5" s="4"/>
      <c r="AA5" s="12">
        <f t="shared" ref="AA5:AA68" si="6">+IF(H5+I5+J5+K5+L5+M5+N5+O5+R5+S5+T5+U5+V5+W5,1,0)</f>
        <v>1</v>
      </c>
      <c r="AC5" s="84"/>
      <c r="AD5" s="84"/>
      <c r="AE5" s="84"/>
      <c r="AF5" s="84"/>
    </row>
    <row r="6" spans="1:32" ht="12.75" customHeight="1">
      <c r="A6" s="24"/>
      <c r="B6" s="105">
        <f t="shared" ref="B6:B69" si="7">+B5+1</f>
        <v>3</v>
      </c>
      <c r="C6" s="5">
        <v>110100</v>
      </c>
      <c r="D6" s="119" t="s">
        <v>1661</v>
      </c>
      <c r="E6" s="9" t="s">
        <v>32</v>
      </c>
      <c r="F6" s="6"/>
      <c r="G6" s="6"/>
      <c r="H6" s="11">
        <f>+STAT1!V6</f>
        <v>9857.0000000298023</v>
      </c>
      <c r="I6" s="11">
        <f>+STAT1!W6</f>
        <v>0</v>
      </c>
      <c r="J6" s="11">
        <f>+SUMIFS(JURNAL!G:G,JURNAL!E:E,C6,JURNAL!C:C,"&gt;="&amp;$H$1,JURNAL!C:C,"&lt;="&amp;$I$1)</f>
        <v>53721970</v>
      </c>
      <c r="K6" s="11">
        <f>+SUMIFS(JURNAL!H:H,JURNAL!E:E,C6,JURNAL!C:C,"&gt;="&amp;$H$1,JURNAL!C:C,"&lt;="&amp;$I$1)</f>
        <v>53262725</v>
      </c>
      <c r="L6" s="26">
        <f t="shared" si="2"/>
        <v>469102.0000000298</v>
      </c>
      <c r="M6" s="27">
        <f t="shared" si="0"/>
        <v>0</v>
      </c>
      <c r="N6" s="11"/>
      <c r="O6" s="334"/>
      <c r="P6" s="11"/>
      <c r="Q6" s="11"/>
      <c r="R6" s="26">
        <f t="shared" si="3"/>
        <v>469102.0000000298</v>
      </c>
      <c r="S6" s="27">
        <f t="shared" si="4"/>
        <v>0</v>
      </c>
      <c r="T6" s="11"/>
      <c r="U6" s="11"/>
      <c r="V6" s="26">
        <f t="shared" si="5"/>
        <v>469102.0000000298</v>
      </c>
      <c r="W6" s="27">
        <f t="shared" si="1"/>
        <v>0</v>
      </c>
      <c r="X6" s="4">
        <v>1101</v>
      </c>
      <c r="Y6" s="4"/>
      <c r="Z6" s="4"/>
      <c r="AA6" s="12">
        <f t="shared" si="6"/>
        <v>1</v>
      </c>
      <c r="AC6" s="84"/>
      <c r="AD6" s="84"/>
      <c r="AE6" s="84"/>
      <c r="AF6" s="84"/>
    </row>
    <row r="7" spans="1:32" ht="12.75" customHeight="1">
      <c r="A7" s="24"/>
      <c r="B7" s="105">
        <f t="shared" si="7"/>
        <v>4</v>
      </c>
      <c r="C7" s="6">
        <v>110102</v>
      </c>
      <c r="D7" s="119" t="s">
        <v>1662</v>
      </c>
      <c r="E7" s="9" t="s">
        <v>32</v>
      </c>
      <c r="F7" s="6"/>
      <c r="G7" s="6"/>
      <c r="H7" s="11">
        <f>+STAT1!V7</f>
        <v>32584.129999998957</v>
      </c>
      <c r="I7" s="11">
        <f>+STAT1!W7</f>
        <v>0</v>
      </c>
      <c r="J7" s="11">
        <f>+SUMIFS(JURNAL!G:G,JURNAL!E:E,C7,JURNAL!C:C,"&gt;="&amp;$H$1,JURNAL!C:C,"&lt;="&amp;$I$1)</f>
        <v>0</v>
      </c>
      <c r="K7" s="11">
        <f>+SUMIFS(JURNAL!H:H,JURNAL!E:E,C7,JURNAL!C:C,"&gt;="&amp;$H$1,JURNAL!C:C,"&lt;="&amp;$I$1)</f>
        <v>16000</v>
      </c>
      <c r="L7" s="26">
        <f t="shared" si="2"/>
        <v>16584.129999998957</v>
      </c>
      <c r="M7" s="27">
        <f t="shared" si="0"/>
        <v>0</v>
      </c>
      <c r="N7" s="11"/>
      <c r="O7" s="334"/>
      <c r="P7" s="11"/>
      <c r="Q7" s="11"/>
      <c r="R7" s="26">
        <f t="shared" si="3"/>
        <v>16584.129999998957</v>
      </c>
      <c r="S7" s="27">
        <f t="shared" si="4"/>
        <v>0</v>
      </c>
      <c r="T7" s="11"/>
      <c r="U7" s="11"/>
      <c r="V7" s="26">
        <f t="shared" si="5"/>
        <v>16584.129999998957</v>
      </c>
      <c r="W7" s="27">
        <f t="shared" si="1"/>
        <v>0</v>
      </c>
      <c r="X7" s="4">
        <v>1101</v>
      </c>
      <c r="Y7" s="4"/>
      <c r="Z7" s="4"/>
      <c r="AA7" s="12">
        <f t="shared" si="6"/>
        <v>1</v>
      </c>
      <c r="AC7" s="84"/>
      <c r="AD7" s="84"/>
      <c r="AE7" s="84"/>
      <c r="AF7" s="84"/>
    </row>
    <row r="8" spans="1:32" ht="12.75" customHeight="1">
      <c r="A8" s="24"/>
      <c r="B8" s="105">
        <f t="shared" si="7"/>
        <v>5</v>
      </c>
      <c r="C8" s="6">
        <v>110103</v>
      </c>
      <c r="D8" s="119" t="s">
        <v>1663</v>
      </c>
      <c r="E8" s="9" t="s">
        <v>32</v>
      </c>
      <c r="F8" s="6"/>
      <c r="G8" s="6"/>
      <c r="H8" s="11">
        <f>+STAT1!V8</f>
        <v>88499.17</v>
      </c>
      <c r="I8" s="11">
        <f>+STAT1!W8</f>
        <v>0</v>
      </c>
      <c r="J8" s="11">
        <f>+SUMIFS(JURNAL!G:G,JURNAL!E:E,C8,JURNAL!C:C,"&gt;="&amp;$H$1,JURNAL!C:C,"&lt;="&amp;$I$1)</f>
        <v>0</v>
      </c>
      <c r="K8" s="11">
        <f>+SUMIFS(JURNAL!H:H,JURNAL!E:E,C8,JURNAL!C:C,"&gt;="&amp;$H$1,JURNAL!C:C,"&lt;="&amp;$I$1)</f>
        <v>0</v>
      </c>
      <c r="L8" s="26">
        <f t="shared" si="2"/>
        <v>88499.17</v>
      </c>
      <c r="M8" s="27">
        <f t="shared" si="0"/>
        <v>0</v>
      </c>
      <c r="N8" s="11"/>
      <c r="O8" s="334"/>
      <c r="P8" s="11"/>
      <c r="Q8" s="11"/>
      <c r="R8" s="26">
        <f t="shared" si="3"/>
        <v>88499.17</v>
      </c>
      <c r="S8" s="27">
        <f t="shared" si="4"/>
        <v>0</v>
      </c>
      <c r="T8" s="11"/>
      <c r="U8" s="11"/>
      <c r="V8" s="26">
        <f t="shared" si="5"/>
        <v>88499.17</v>
      </c>
      <c r="W8" s="27">
        <f t="shared" si="1"/>
        <v>0</v>
      </c>
      <c r="X8" s="4">
        <v>1101</v>
      </c>
      <c r="Y8" s="4"/>
      <c r="Z8" s="4"/>
      <c r="AA8" s="12">
        <f t="shared" si="6"/>
        <v>1</v>
      </c>
      <c r="AC8" s="84"/>
      <c r="AD8" s="84"/>
      <c r="AE8" s="84"/>
      <c r="AF8" s="84"/>
    </row>
    <row r="9" spans="1:32" ht="12.75" customHeight="1">
      <c r="A9" s="24"/>
      <c r="B9" s="105">
        <f t="shared" si="7"/>
        <v>6</v>
      </c>
      <c r="C9" s="6">
        <v>110104</v>
      </c>
      <c r="D9" s="119" t="s">
        <v>1664</v>
      </c>
      <c r="E9" s="9" t="s">
        <v>32</v>
      </c>
      <c r="F9" s="6"/>
      <c r="G9" s="6"/>
      <c r="H9" s="11">
        <f>+STAT1!V9</f>
        <v>27647.96</v>
      </c>
      <c r="I9" s="11">
        <f>+STAT1!W9</f>
        <v>0</v>
      </c>
      <c r="J9" s="11">
        <f>+SUMIFS(JURNAL!G:G,JURNAL!E:E,C9,JURNAL!C:C,"&gt;="&amp;$H$1,JURNAL!C:C,"&lt;="&amp;$I$1)</f>
        <v>0</v>
      </c>
      <c r="K9" s="11">
        <f>+SUMIFS(JURNAL!H:H,JURNAL!E:E,C9,JURNAL!C:C,"&gt;="&amp;$H$1,JURNAL!C:C,"&lt;="&amp;$I$1)</f>
        <v>0</v>
      </c>
      <c r="L9" s="26">
        <f t="shared" si="2"/>
        <v>27647.96</v>
      </c>
      <c r="M9" s="27">
        <f t="shared" si="0"/>
        <v>0</v>
      </c>
      <c r="N9" s="11"/>
      <c r="O9" s="334"/>
      <c r="P9" s="11"/>
      <c r="Q9" s="11"/>
      <c r="R9" s="26">
        <f t="shared" si="3"/>
        <v>27647.96</v>
      </c>
      <c r="S9" s="27">
        <f t="shared" si="4"/>
        <v>0</v>
      </c>
      <c r="T9" s="11"/>
      <c r="U9" s="11"/>
      <c r="V9" s="26">
        <f t="shared" si="5"/>
        <v>27647.96</v>
      </c>
      <c r="W9" s="27">
        <f t="shared" si="1"/>
        <v>0</v>
      </c>
      <c r="X9" s="4">
        <v>1101</v>
      </c>
      <c r="Y9" s="4"/>
      <c r="Z9" s="4"/>
      <c r="AA9" s="12">
        <f t="shared" si="6"/>
        <v>1</v>
      </c>
      <c r="AC9" s="84"/>
      <c r="AD9" s="84"/>
      <c r="AE9" s="84"/>
      <c r="AF9" s="84"/>
    </row>
    <row r="10" spans="1:32" ht="12.75" customHeight="1">
      <c r="A10" s="24"/>
      <c r="B10" s="105">
        <f t="shared" si="7"/>
        <v>7</v>
      </c>
      <c r="C10" s="6">
        <v>110105</v>
      </c>
      <c r="D10" s="119" t="s">
        <v>1665</v>
      </c>
      <c r="E10" s="9" t="s">
        <v>32</v>
      </c>
      <c r="F10" s="6"/>
      <c r="G10" s="6"/>
      <c r="H10" s="11">
        <f>+STAT1!V10</f>
        <v>135889.92000000001</v>
      </c>
      <c r="I10" s="11">
        <f>+STAT1!W10</f>
        <v>0</v>
      </c>
      <c r="J10" s="11">
        <f>+SUMIFS(JURNAL!G:G,JURNAL!E:E,C10,JURNAL!C:C,"&gt;="&amp;$H$1,JURNAL!C:C,"&lt;="&amp;$I$1)</f>
        <v>0</v>
      </c>
      <c r="K10" s="11">
        <f>+SUMIFS(JURNAL!H:H,JURNAL!E:E,C10,JURNAL!C:C,"&gt;="&amp;$H$1,JURNAL!C:C,"&lt;="&amp;$I$1)</f>
        <v>0</v>
      </c>
      <c r="L10" s="26">
        <f t="shared" si="2"/>
        <v>135889.92000000001</v>
      </c>
      <c r="M10" s="27">
        <f t="shared" si="0"/>
        <v>0</v>
      </c>
      <c r="N10" s="11"/>
      <c r="O10" s="334"/>
      <c r="P10" s="11"/>
      <c r="Q10" s="11"/>
      <c r="R10" s="26">
        <f t="shared" si="3"/>
        <v>135889.92000000001</v>
      </c>
      <c r="S10" s="27">
        <f t="shared" si="4"/>
        <v>0</v>
      </c>
      <c r="T10" s="11"/>
      <c r="U10" s="11"/>
      <c r="V10" s="26">
        <f t="shared" si="5"/>
        <v>135889.92000000001</v>
      </c>
      <c r="W10" s="27">
        <f t="shared" si="1"/>
        <v>0</v>
      </c>
      <c r="X10" s="4">
        <v>1101</v>
      </c>
      <c r="Y10" s="4"/>
      <c r="Z10" s="4"/>
      <c r="AA10" s="12">
        <f t="shared" si="6"/>
        <v>1</v>
      </c>
      <c r="AC10" s="84"/>
      <c r="AD10" s="84"/>
      <c r="AE10" s="84"/>
      <c r="AF10" s="84"/>
    </row>
    <row r="11" spans="1:32" ht="12.75" customHeight="1">
      <c r="A11" s="24"/>
      <c r="B11" s="105">
        <f t="shared" si="7"/>
        <v>8</v>
      </c>
      <c r="C11" s="6">
        <v>110200</v>
      </c>
      <c r="D11" s="119" t="s">
        <v>1666</v>
      </c>
      <c r="E11" s="9" t="s">
        <v>30</v>
      </c>
      <c r="F11" s="329">
        <v>7</v>
      </c>
      <c r="G11" s="329">
        <v>2489.5300000000002</v>
      </c>
      <c r="H11" s="11">
        <f>+STAT1!V11</f>
        <v>17132.150000000001</v>
      </c>
      <c r="I11" s="11">
        <f>+STAT1!W11</f>
        <v>0</v>
      </c>
      <c r="J11" s="11">
        <f>+SUMIFS(JURNAL!G:G,JURNAL!E:E,C11,JURNAL!C:C,"&gt;="&amp;$H$1,JURNAL!C:C,"&lt;="&amp;$I$1)</f>
        <v>0</v>
      </c>
      <c r="K11" s="11">
        <f>+SUMIFS(JURNAL!H:H,JURNAL!E:E,C11,JURNAL!C:C,"&gt;="&amp;$H$1,JURNAL!C:C,"&lt;="&amp;$I$1)</f>
        <v>0</v>
      </c>
      <c r="L11" s="26">
        <f t="shared" si="2"/>
        <v>17132.150000000001</v>
      </c>
      <c r="M11" s="27">
        <f t="shared" si="0"/>
        <v>0</v>
      </c>
      <c r="N11" s="11"/>
      <c r="O11" s="334">
        <v>683.06000000000131</v>
      </c>
      <c r="P11" s="11">
        <v>7</v>
      </c>
      <c r="Q11" s="11">
        <v>2349.87</v>
      </c>
      <c r="R11" s="26">
        <f t="shared" si="3"/>
        <v>16449.09</v>
      </c>
      <c r="S11" s="27">
        <f t="shared" si="4"/>
        <v>0</v>
      </c>
      <c r="T11" s="11"/>
      <c r="U11" s="11"/>
      <c r="V11" s="26">
        <f t="shared" si="5"/>
        <v>16449.09</v>
      </c>
      <c r="W11" s="27">
        <f t="shared" si="1"/>
        <v>0</v>
      </c>
      <c r="X11" s="4">
        <v>1101</v>
      </c>
      <c r="Y11" s="4"/>
      <c r="Z11" s="4"/>
      <c r="AA11" s="12">
        <f t="shared" si="6"/>
        <v>1</v>
      </c>
      <c r="AC11" s="84"/>
      <c r="AD11" s="84"/>
      <c r="AE11" s="84"/>
      <c r="AF11" s="84"/>
    </row>
    <row r="12" spans="1:32" ht="12.75" customHeight="1">
      <c r="A12" s="24"/>
      <c r="B12" s="105">
        <f t="shared" si="7"/>
        <v>9</v>
      </c>
      <c r="C12" s="6">
        <v>110201</v>
      </c>
      <c r="D12" s="119" t="s">
        <v>1667</v>
      </c>
      <c r="E12" s="9" t="s">
        <v>30</v>
      </c>
      <c r="F12" s="329">
        <v>140</v>
      </c>
      <c r="G12" s="329">
        <v>2489.5300000000002</v>
      </c>
      <c r="H12" s="11">
        <f>+STAT1!V12</f>
        <v>342643</v>
      </c>
      <c r="I12" s="11">
        <f>+STAT1!W12</f>
        <v>0</v>
      </c>
      <c r="J12" s="11">
        <f>+SUMIFS(JURNAL!G:G,JURNAL!E:E,C12,JURNAL!C:C,"&gt;="&amp;$H$1,JURNAL!C:C,"&lt;="&amp;$I$1)</f>
        <v>0</v>
      </c>
      <c r="K12" s="11">
        <f>+SUMIFS(JURNAL!H:H,JURNAL!E:E,C12,JURNAL!C:C,"&gt;="&amp;$H$1,JURNAL!C:C,"&lt;="&amp;$I$1)</f>
        <v>0</v>
      </c>
      <c r="L12" s="26">
        <f t="shared" si="2"/>
        <v>342643</v>
      </c>
      <c r="M12" s="27">
        <f t="shared" si="0"/>
        <v>0</v>
      </c>
      <c r="N12" s="11"/>
      <c r="O12" s="334">
        <v>13661.200000000012</v>
      </c>
      <c r="P12" s="11">
        <v>140</v>
      </c>
      <c r="Q12" s="11">
        <v>2349.87</v>
      </c>
      <c r="R12" s="26">
        <f t="shared" si="3"/>
        <v>328981.8</v>
      </c>
      <c r="S12" s="27">
        <f t="shared" si="4"/>
        <v>0</v>
      </c>
      <c r="T12" s="11"/>
      <c r="U12" s="11"/>
      <c r="V12" s="26">
        <f t="shared" si="5"/>
        <v>328981.8</v>
      </c>
      <c r="W12" s="27">
        <f t="shared" si="1"/>
        <v>0</v>
      </c>
      <c r="X12" s="4">
        <v>1101</v>
      </c>
      <c r="Y12" s="4"/>
      <c r="Z12" s="4"/>
      <c r="AA12" s="12">
        <f t="shared" si="6"/>
        <v>1</v>
      </c>
      <c r="AB12" s="82"/>
      <c r="AC12" s="84"/>
      <c r="AD12" s="84"/>
      <c r="AE12" s="84"/>
      <c r="AF12" s="84"/>
    </row>
    <row r="13" spans="1:32" ht="12.75" customHeight="1">
      <c r="A13" s="24"/>
      <c r="B13" s="105">
        <f t="shared" si="7"/>
        <v>10</v>
      </c>
      <c r="C13" s="6">
        <v>110202</v>
      </c>
      <c r="D13" s="119" t="s">
        <v>1668</v>
      </c>
      <c r="E13" s="9" t="s">
        <v>30</v>
      </c>
      <c r="F13" s="329">
        <v>43.27</v>
      </c>
      <c r="G13" s="329">
        <v>2489.5300000000002</v>
      </c>
      <c r="H13" s="11">
        <f>+STAT1!V13</f>
        <v>105901.16110000003</v>
      </c>
      <c r="I13" s="11">
        <f>+STAT1!W13</f>
        <v>0</v>
      </c>
      <c r="J13" s="11">
        <f>+SUMIFS(JURNAL!G:G,JURNAL!E:E,C13,JURNAL!C:C,"&gt;="&amp;$H$1,JURNAL!C:C,"&lt;="&amp;$I$1)</f>
        <v>0</v>
      </c>
      <c r="K13" s="11">
        <f>+SUMIFS(JURNAL!H:H,JURNAL!E:E,C13,JURNAL!C:C,"&gt;="&amp;$H$1,JURNAL!C:C,"&lt;="&amp;$I$1)</f>
        <v>0</v>
      </c>
      <c r="L13" s="26">
        <f t="shared" si="2"/>
        <v>105901.16110000003</v>
      </c>
      <c r="M13" s="27">
        <f t="shared" si="0"/>
        <v>0</v>
      </c>
      <c r="N13" s="11"/>
      <c r="O13" s="334">
        <v>4222.2862000000168</v>
      </c>
      <c r="P13" s="11">
        <v>43.27</v>
      </c>
      <c r="Q13" s="11">
        <v>2349.87</v>
      </c>
      <c r="R13" s="26">
        <f t="shared" si="3"/>
        <v>101678.87490000001</v>
      </c>
      <c r="S13" s="27">
        <f t="shared" si="4"/>
        <v>0</v>
      </c>
      <c r="T13" s="11"/>
      <c r="U13" s="11"/>
      <c r="V13" s="26">
        <f t="shared" si="5"/>
        <v>101678.87490000001</v>
      </c>
      <c r="W13" s="27">
        <f t="shared" si="1"/>
        <v>0</v>
      </c>
      <c r="X13" s="4">
        <v>1101</v>
      </c>
      <c r="Y13" s="4"/>
      <c r="Z13" s="4"/>
      <c r="AA13" s="12">
        <f t="shared" si="6"/>
        <v>1</v>
      </c>
      <c r="AC13" s="84"/>
      <c r="AD13" s="84"/>
      <c r="AE13" s="84"/>
      <c r="AF13" s="84"/>
    </row>
    <row r="14" spans="1:32" ht="12.75" customHeight="1">
      <c r="A14" s="24"/>
      <c r="B14" s="105">
        <f t="shared" si="7"/>
        <v>11</v>
      </c>
      <c r="C14" s="6">
        <v>110203</v>
      </c>
      <c r="D14" s="119" t="s">
        <v>1669</v>
      </c>
      <c r="E14" s="9" t="s">
        <v>30</v>
      </c>
      <c r="F14" s="329">
        <v>52.18</v>
      </c>
      <c r="G14" s="329">
        <v>2489.5300000000002</v>
      </c>
      <c r="H14" s="11">
        <f>+STAT1!V14</f>
        <v>127707.94140000001</v>
      </c>
      <c r="I14" s="11">
        <f>+STAT1!W14</f>
        <v>0</v>
      </c>
      <c r="J14" s="11">
        <f>+SUMIFS(JURNAL!G:G,JURNAL!E:E,C14,JURNAL!C:C,"&gt;="&amp;$H$1,JURNAL!C:C,"&lt;="&amp;$I$1)</f>
        <v>0</v>
      </c>
      <c r="K14" s="11">
        <f>+SUMIFS(JURNAL!H:H,JURNAL!E:E,C14,JURNAL!C:C,"&gt;="&amp;$H$1,JURNAL!C:C,"&lt;="&amp;$I$1)</f>
        <v>0</v>
      </c>
      <c r="L14" s="26">
        <f t="shared" si="2"/>
        <v>127707.94140000001</v>
      </c>
      <c r="M14" s="27">
        <f t="shared" si="0"/>
        <v>0</v>
      </c>
      <c r="N14" s="11"/>
      <c r="O14" s="334">
        <v>5091.7248000000109</v>
      </c>
      <c r="P14" s="11">
        <v>52.18</v>
      </c>
      <c r="Q14" s="11">
        <v>2349.87</v>
      </c>
      <c r="R14" s="26">
        <f t="shared" si="3"/>
        <v>122616.2166</v>
      </c>
      <c r="S14" s="27">
        <f t="shared" si="4"/>
        <v>0</v>
      </c>
      <c r="T14" s="11"/>
      <c r="U14" s="11"/>
      <c r="V14" s="26">
        <f t="shared" si="5"/>
        <v>122616.2166</v>
      </c>
      <c r="W14" s="27">
        <f t="shared" si="1"/>
        <v>0</v>
      </c>
      <c r="X14" s="4">
        <v>1101</v>
      </c>
      <c r="Y14" s="4"/>
      <c r="Z14" s="4"/>
      <c r="AA14" s="12">
        <f t="shared" si="6"/>
        <v>1</v>
      </c>
      <c r="AC14" s="84"/>
      <c r="AD14" s="84"/>
      <c r="AE14" s="84"/>
      <c r="AF14" s="84"/>
    </row>
    <row r="15" spans="1:32" ht="12.75" customHeight="1">
      <c r="A15" s="24"/>
      <c r="B15" s="105">
        <f t="shared" si="7"/>
        <v>12</v>
      </c>
      <c r="C15" s="6">
        <v>110204</v>
      </c>
      <c r="D15" s="119" t="s">
        <v>1670</v>
      </c>
      <c r="E15" s="9" t="s">
        <v>30</v>
      </c>
      <c r="F15" s="329">
        <f>20-7.09</f>
        <v>12.91</v>
      </c>
      <c r="G15" s="329">
        <v>2489.5300000000002</v>
      </c>
      <c r="H15" s="11">
        <f>+STAT1!V15</f>
        <v>31596.581600000001</v>
      </c>
      <c r="I15" s="11">
        <f>+STAT1!W15</f>
        <v>0</v>
      </c>
      <c r="J15" s="11">
        <f>+SUMIFS(JURNAL!G:G,JURNAL!E:E,C15,JURNAL!C:C,"&gt;="&amp;$H$1,JURNAL!C:C,"&lt;="&amp;$I$1)</f>
        <v>0</v>
      </c>
      <c r="K15" s="11">
        <f>+SUMIFS(JURNAL!H:H,JURNAL!E:E,C15,JURNAL!C:C,"&gt;="&amp;$H$1,JURNAL!C:C,"&lt;="&amp;$I$1)</f>
        <v>5827.6776</v>
      </c>
      <c r="L15" s="26">
        <f t="shared" si="2"/>
        <v>25768.904000000002</v>
      </c>
      <c r="M15" s="27">
        <f t="shared" si="0"/>
        <v>0</v>
      </c>
      <c r="N15" s="11"/>
      <c r="O15" s="334">
        <v>1259.7599000000046</v>
      </c>
      <c r="P15" s="11">
        <v>10.43</v>
      </c>
      <c r="Q15" s="11">
        <v>2349.87</v>
      </c>
      <c r="R15" s="26">
        <f t="shared" si="3"/>
        <v>24509.144099999998</v>
      </c>
      <c r="S15" s="27">
        <f t="shared" si="4"/>
        <v>0</v>
      </c>
      <c r="T15" s="11"/>
      <c r="U15" s="11"/>
      <c r="V15" s="26">
        <f t="shared" si="5"/>
        <v>24509.144099999998</v>
      </c>
      <c r="W15" s="27">
        <f t="shared" si="1"/>
        <v>0</v>
      </c>
      <c r="X15" s="4">
        <v>1101</v>
      </c>
      <c r="Y15" s="4"/>
      <c r="Z15" s="4"/>
      <c r="AA15" s="12">
        <f t="shared" si="6"/>
        <v>1</v>
      </c>
      <c r="AC15" s="84"/>
      <c r="AD15" s="84"/>
      <c r="AE15" s="84"/>
      <c r="AF15" s="84"/>
    </row>
    <row r="16" spans="1:32" ht="12.75" customHeight="1">
      <c r="A16" s="24"/>
      <c r="B16" s="105">
        <f t="shared" si="7"/>
        <v>13</v>
      </c>
      <c r="C16" s="6">
        <v>110300</v>
      </c>
      <c r="D16" s="330" t="s">
        <v>1671</v>
      </c>
      <c r="E16" s="9" t="s">
        <v>31</v>
      </c>
      <c r="F16" s="329">
        <v>250</v>
      </c>
      <c r="G16" s="329"/>
      <c r="H16" s="11">
        <f>+STAT1!V16</f>
        <v>10540</v>
      </c>
      <c r="I16" s="11">
        <f>+STAT1!W16</f>
        <v>0</v>
      </c>
      <c r="J16" s="11">
        <f>+SUMIFS(JURNAL!G:G,JURNAL!E:E,C16,JURNAL!C:C,"&gt;="&amp;$H$1,JURNAL!C:C,"&lt;="&amp;$I$1)</f>
        <v>0</v>
      </c>
      <c r="K16" s="11">
        <f>+SUMIFS(JURNAL!H:H,JURNAL!E:E,C16,JURNAL!C:C,"&gt;="&amp;$H$1,JURNAL!C:C,"&lt;="&amp;$I$1)</f>
        <v>0</v>
      </c>
      <c r="L16" s="26">
        <f t="shared" si="2"/>
        <v>10540</v>
      </c>
      <c r="M16" s="27">
        <f t="shared" si="0"/>
        <v>0</v>
      </c>
      <c r="N16" s="11"/>
      <c r="O16" s="334"/>
      <c r="P16" s="11">
        <v>250</v>
      </c>
      <c r="Q16" s="11">
        <v>42.16</v>
      </c>
      <c r="R16" s="26">
        <f t="shared" si="3"/>
        <v>10540</v>
      </c>
      <c r="S16" s="27">
        <f t="shared" si="4"/>
        <v>0</v>
      </c>
      <c r="T16" s="11"/>
      <c r="U16" s="11"/>
      <c r="V16" s="26">
        <f t="shared" si="5"/>
        <v>10540</v>
      </c>
      <c r="W16" s="27">
        <f t="shared" si="1"/>
        <v>0</v>
      </c>
      <c r="X16" s="4">
        <v>1101</v>
      </c>
      <c r="Y16" s="4"/>
      <c r="Z16" s="4"/>
      <c r="AA16" s="12">
        <f t="shared" si="6"/>
        <v>1</v>
      </c>
      <c r="AC16" s="84"/>
      <c r="AD16" s="84"/>
      <c r="AE16" s="84"/>
      <c r="AF16" s="84"/>
    </row>
    <row r="17" spans="1:32" ht="12.75" customHeight="1">
      <c r="A17" s="24"/>
      <c r="B17" s="105">
        <f t="shared" si="7"/>
        <v>14</v>
      </c>
      <c r="C17" s="6">
        <v>900100</v>
      </c>
      <c r="D17" s="118" t="s">
        <v>951</v>
      </c>
      <c r="E17" s="9" t="s">
        <v>32</v>
      </c>
      <c r="F17" s="6"/>
      <c r="G17" s="6"/>
      <c r="H17" s="11">
        <f>+STAT1!V17</f>
        <v>0</v>
      </c>
      <c r="I17" s="11">
        <f>+STAT1!W17</f>
        <v>0</v>
      </c>
      <c r="J17" s="11">
        <f>+SUMIFS(JURNAL!G:G,JURNAL!E:E,C17,JURNAL!C:C,"&gt;="&amp;$H$1,JURNAL!C:C,"&lt;="&amp;$I$1)</f>
        <v>0</v>
      </c>
      <c r="K17" s="11">
        <f>+SUMIFS(JURNAL!H:H,JURNAL!E:E,C17,JURNAL!C:C,"&gt;="&amp;$H$1,JURNAL!C:C,"&lt;="&amp;$I$1)</f>
        <v>0</v>
      </c>
      <c r="L17" s="26">
        <f t="shared" si="2"/>
        <v>0</v>
      </c>
      <c r="M17" s="27">
        <f t="shared" si="0"/>
        <v>0</v>
      </c>
      <c r="N17" s="11"/>
      <c r="O17" s="334"/>
      <c r="P17" s="11"/>
      <c r="Q17" s="11"/>
      <c r="R17" s="26">
        <f t="shared" si="3"/>
        <v>0</v>
      </c>
      <c r="S17" s="27">
        <f t="shared" si="4"/>
        <v>0</v>
      </c>
      <c r="T17" s="11"/>
      <c r="U17" s="11"/>
      <c r="V17" s="26">
        <f t="shared" si="5"/>
        <v>0</v>
      </c>
      <c r="W17" s="27">
        <f t="shared" si="1"/>
        <v>0</v>
      </c>
      <c r="X17" s="4">
        <v>1101</v>
      </c>
      <c r="Y17" s="4"/>
      <c r="Z17" s="4"/>
      <c r="AA17" s="12">
        <f t="shared" si="6"/>
        <v>0</v>
      </c>
      <c r="AC17" s="84"/>
      <c r="AD17" s="84"/>
      <c r="AE17" s="84"/>
      <c r="AF17" s="84"/>
    </row>
    <row r="18" spans="1:32" ht="12.75" customHeight="1">
      <c r="A18" s="24"/>
      <c r="B18" s="105">
        <f t="shared" si="7"/>
        <v>15</v>
      </c>
      <c r="C18" s="6">
        <v>120100</v>
      </c>
      <c r="D18" s="118" t="s">
        <v>952</v>
      </c>
      <c r="E18" s="9" t="s">
        <v>32</v>
      </c>
      <c r="F18" s="6"/>
      <c r="G18" s="6"/>
      <c r="H18" s="11">
        <f>+STAT1!V18</f>
        <v>9744403.0000789911</v>
      </c>
      <c r="I18" s="11">
        <f>+STAT1!W18</f>
        <v>0</v>
      </c>
      <c r="J18" s="11">
        <f>+SUMIFS(JURNAL!G:G,JURNAL!E:E,C18,JURNAL!C:C,"&gt;="&amp;$H$1,JURNAL!C:C,"&lt;="&amp;$I$1)</f>
        <v>6715400</v>
      </c>
      <c r="K18" s="11">
        <f>+SUMIFS(JURNAL!H:H,JURNAL!E:E,C18,JURNAL!C:C,"&gt;="&amp;$H$1,JURNAL!C:C,"&lt;="&amp;$I$1)</f>
        <v>13815399.998734999</v>
      </c>
      <c r="L18" s="26">
        <f t="shared" si="2"/>
        <v>2644403.0013439916</v>
      </c>
      <c r="M18" s="27">
        <f t="shared" si="0"/>
        <v>0</v>
      </c>
      <c r="N18" s="11"/>
      <c r="O18" s="334"/>
      <c r="P18" s="11"/>
      <c r="Q18" s="11"/>
      <c r="R18" s="26">
        <f t="shared" si="3"/>
        <v>2644403.0013439916</v>
      </c>
      <c r="S18" s="27">
        <f t="shared" si="4"/>
        <v>0</v>
      </c>
      <c r="T18" s="11"/>
      <c r="U18" s="11"/>
      <c r="V18" s="26">
        <f t="shared" si="5"/>
        <v>2644403.0013439916</v>
      </c>
      <c r="W18" s="27">
        <f t="shared" si="1"/>
        <v>0</v>
      </c>
      <c r="X18" s="4">
        <v>1102</v>
      </c>
      <c r="Y18" s="4"/>
      <c r="Z18" s="4"/>
      <c r="AA18" s="12">
        <f t="shared" si="6"/>
        <v>1</v>
      </c>
      <c r="AC18" s="84"/>
      <c r="AD18" s="84"/>
      <c r="AE18" s="84"/>
      <c r="AF18" s="84"/>
    </row>
    <row r="19" spans="1:32" ht="12.75" customHeight="1">
      <c r="A19" s="24"/>
      <c r="B19" s="105">
        <f t="shared" si="7"/>
        <v>16</v>
      </c>
      <c r="C19" s="6">
        <v>120201</v>
      </c>
      <c r="D19" s="118" t="s">
        <v>953</v>
      </c>
      <c r="E19" s="9" t="s">
        <v>30</v>
      </c>
      <c r="F19" s="6"/>
      <c r="G19" s="6"/>
      <c r="H19" s="11">
        <f>+STAT1!V19</f>
        <v>0</v>
      </c>
      <c r="I19" s="11">
        <f>+STAT1!W19</f>
        <v>0</v>
      </c>
      <c r="J19" s="11">
        <f>+SUMIFS(JURNAL!G:G,JURNAL!E:E,C19,JURNAL!C:C,"&gt;="&amp;$H$1,JURNAL!C:C,"&lt;="&amp;$I$1)</f>
        <v>0</v>
      </c>
      <c r="K19" s="11">
        <f>+SUMIFS(JURNAL!H:H,JURNAL!E:E,C19,JURNAL!C:C,"&gt;="&amp;$H$1,JURNAL!C:C,"&lt;="&amp;$I$1)</f>
        <v>0</v>
      </c>
      <c r="L19" s="26">
        <f t="shared" si="2"/>
        <v>0</v>
      </c>
      <c r="M19" s="27">
        <f t="shared" si="0"/>
        <v>0</v>
      </c>
      <c r="N19" s="11"/>
      <c r="O19" s="334"/>
      <c r="P19" s="11"/>
      <c r="Q19" s="11"/>
      <c r="R19" s="26">
        <f t="shared" si="3"/>
        <v>0</v>
      </c>
      <c r="S19" s="27">
        <f t="shared" si="4"/>
        <v>0</v>
      </c>
      <c r="T19" s="11"/>
      <c r="U19" s="11"/>
      <c r="V19" s="26">
        <f t="shared" si="5"/>
        <v>0</v>
      </c>
      <c r="W19" s="27">
        <f t="shared" si="1"/>
        <v>0</v>
      </c>
      <c r="X19" s="4">
        <v>1102</v>
      </c>
      <c r="Y19" s="4"/>
      <c r="Z19" s="4"/>
      <c r="AA19" s="12">
        <f t="shared" si="6"/>
        <v>0</v>
      </c>
      <c r="AC19" s="84"/>
      <c r="AD19" s="84"/>
      <c r="AE19" s="84"/>
      <c r="AF19" s="84"/>
    </row>
    <row r="20" spans="1:32" ht="12.75" customHeight="1">
      <c r="A20" s="24"/>
      <c r="B20" s="105">
        <f t="shared" si="7"/>
        <v>17</v>
      </c>
      <c r="C20" s="6">
        <v>120200</v>
      </c>
      <c r="D20" s="118" t="s">
        <v>954</v>
      </c>
      <c r="E20" s="9" t="s">
        <v>32</v>
      </c>
      <c r="F20" s="6"/>
      <c r="G20" s="6"/>
      <c r="H20" s="11">
        <f>+STAT1!V20</f>
        <v>0</v>
      </c>
      <c r="I20" s="11">
        <f>+STAT1!W20</f>
        <v>0</v>
      </c>
      <c r="J20" s="11">
        <f>+SUMIFS(JURNAL!G:G,JURNAL!E:E,C20,JURNAL!C:C,"&gt;="&amp;$H$1,JURNAL!C:C,"&lt;="&amp;$I$1)</f>
        <v>0</v>
      </c>
      <c r="K20" s="11">
        <f>+SUMIFS(JURNAL!H:H,JURNAL!E:E,C20,JURNAL!C:C,"&gt;="&amp;$H$1,JURNAL!C:C,"&lt;="&amp;$I$1)</f>
        <v>0</v>
      </c>
      <c r="L20" s="26">
        <f t="shared" si="2"/>
        <v>0</v>
      </c>
      <c r="M20" s="27">
        <f t="shared" si="0"/>
        <v>0</v>
      </c>
      <c r="N20" s="11"/>
      <c r="O20" s="334"/>
      <c r="P20" s="11"/>
      <c r="Q20" s="11"/>
      <c r="R20" s="26">
        <f t="shared" si="3"/>
        <v>0</v>
      </c>
      <c r="S20" s="27">
        <f t="shared" si="4"/>
        <v>0</v>
      </c>
      <c r="T20" s="11"/>
      <c r="U20" s="11"/>
      <c r="V20" s="26">
        <f t="shared" si="5"/>
        <v>0</v>
      </c>
      <c r="W20" s="27">
        <f t="shared" si="1"/>
        <v>0</v>
      </c>
      <c r="X20" s="4">
        <v>1102</v>
      </c>
      <c r="Y20" s="4"/>
      <c r="Z20" s="4"/>
      <c r="AA20" s="12">
        <f t="shared" si="6"/>
        <v>0</v>
      </c>
      <c r="AC20" s="84"/>
      <c r="AD20" s="84"/>
      <c r="AE20" s="84"/>
      <c r="AF20" s="84"/>
    </row>
    <row r="21" spans="1:32" ht="12.75" customHeight="1">
      <c r="A21" s="24"/>
      <c r="B21" s="105">
        <f t="shared" si="7"/>
        <v>18</v>
      </c>
      <c r="C21" s="6">
        <v>120201</v>
      </c>
      <c r="D21" s="118" t="s">
        <v>955</v>
      </c>
      <c r="E21" s="9" t="s">
        <v>30</v>
      </c>
      <c r="F21" s="6"/>
      <c r="G21" s="6"/>
      <c r="H21" s="11">
        <f>+STAT1!V21</f>
        <v>0</v>
      </c>
      <c r="I21" s="11">
        <f>+STAT1!W21</f>
        <v>0</v>
      </c>
      <c r="J21" s="11">
        <f>+SUMIFS(JURNAL!G:G,JURNAL!E:E,C21,JURNAL!C:C,"&gt;="&amp;$H$1,JURNAL!C:C,"&lt;="&amp;$I$1)</f>
        <v>0</v>
      </c>
      <c r="K21" s="11">
        <f>+SUMIFS(JURNAL!H:H,JURNAL!E:E,C21,JURNAL!C:C,"&gt;="&amp;$H$1,JURNAL!C:C,"&lt;="&amp;$I$1)</f>
        <v>0</v>
      </c>
      <c r="L21" s="26">
        <f t="shared" si="2"/>
        <v>0</v>
      </c>
      <c r="M21" s="27">
        <f t="shared" si="0"/>
        <v>0</v>
      </c>
      <c r="N21" s="11"/>
      <c r="O21" s="334"/>
      <c r="P21" s="11"/>
      <c r="Q21" s="11"/>
      <c r="R21" s="26">
        <f t="shared" si="3"/>
        <v>0</v>
      </c>
      <c r="S21" s="27">
        <f t="shared" si="4"/>
        <v>0</v>
      </c>
      <c r="T21" s="11"/>
      <c r="U21" s="11"/>
      <c r="V21" s="26">
        <f t="shared" si="5"/>
        <v>0</v>
      </c>
      <c r="W21" s="27">
        <f t="shared" si="1"/>
        <v>0</v>
      </c>
      <c r="X21" s="4">
        <v>1102</v>
      </c>
      <c r="Y21" s="4"/>
      <c r="Z21" s="4"/>
      <c r="AA21" s="12">
        <f t="shared" si="6"/>
        <v>0</v>
      </c>
      <c r="AC21" s="84"/>
      <c r="AD21" s="84"/>
      <c r="AE21" s="84"/>
      <c r="AF21" s="84"/>
    </row>
    <row r="22" spans="1:32" ht="12.75" customHeight="1">
      <c r="A22" s="24"/>
      <c r="B22" s="105">
        <f t="shared" si="7"/>
        <v>19</v>
      </c>
      <c r="C22" s="6">
        <v>120202</v>
      </c>
      <c r="D22" s="118" t="s">
        <v>956</v>
      </c>
      <c r="E22" s="9" t="s">
        <v>32</v>
      </c>
      <c r="F22" s="6"/>
      <c r="G22" s="6"/>
      <c r="H22" s="11">
        <f>+STAT1!V22</f>
        <v>0</v>
      </c>
      <c r="I22" s="11">
        <f>+STAT1!W22</f>
        <v>0</v>
      </c>
      <c r="J22" s="11">
        <f>+SUMIFS(JURNAL!G:G,JURNAL!E:E,C22,JURNAL!C:C,"&gt;="&amp;$H$1,JURNAL!C:C,"&lt;="&amp;$I$1)</f>
        <v>0</v>
      </c>
      <c r="K22" s="11">
        <f>+SUMIFS(JURNAL!H:H,JURNAL!E:E,C22,JURNAL!C:C,"&gt;="&amp;$H$1,JURNAL!C:C,"&lt;="&amp;$I$1)</f>
        <v>0</v>
      </c>
      <c r="L22" s="26">
        <f t="shared" si="2"/>
        <v>0</v>
      </c>
      <c r="M22" s="27">
        <f t="shared" si="0"/>
        <v>0</v>
      </c>
      <c r="N22" s="11"/>
      <c r="O22" s="334"/>
      <c r="P22" s="11"/>
      <c r="Q22" s="11"/>
      <c r="R22" s="26">
        <f t="shared" si="3"/>
        <v>0</v>
      </c>
      <c r="S22" s="27">
        <f t="shared" si="4"/>
        <v>0</v>
      </c>
      <c r="T22" s="11"/>
      <c r="U22" s="11"/>
      <c r="V22" s="26">
        <f t="shared" si="5"/>
        <v>0</v>
      </c>
      <c r="W22" s="27">
        <f t="shared" si="1"/>
        <v>0</v>
      </c>
      <c r="X22" s="4">
        <v>1102</v>
      </c>
      <c r="Y22" s="4"/>
      <c r="Z22" s="4"/>
      <c r="AA22" s="12">
        <f t="shared" si="6"/>
        <v>0</v>
      </c>
      <c r="AC22" s="84"/>
      <c r="AD22" s="84"/>
      <c r="AE22" s="84"/>
      <c r="AF22" s="84"/>
    </row>
    <row r="23" spans="1:32" ht="12.75" customHeight="1">
      <c r="A23" s="24"/>
      <c r="B23" s="105">
        <f t="shared" si="7"/>
        <v>20</v>
      </c>
      <c r="C23" s="6">
        <v>120400</v>
      </c>
      <c r="D23" s="118" t="s">
        <v>549</v>
      </c>
      <c r="E23" s="9" t="s">
        <v>32</v>
      </c>
      <c r="F23" s="6"/>
      <c r="G23" s="6"/>
      <c r="H23" s="11">
        <f>+STAT1!V23</f>
        <v>0</v>
      </c>
      <c r="I23" s="11">
        <f>+STAT1!W23</f>
        <v>0</v>
      </c>
      <c r="J23" s="11">
        <f>+SUMIFS(JURNAL!G:G,JURNAL!E:E,C23,JURNAL!C:C,"&gt;="&amp;$H$1,JURNAL!C:C,"&lt;="&amp;$I$1)</f>
        <v>0</v>
      </c>
      <c r="K23" s="11">
        <f>+SUMIFS(JURNAL!H:H,JURNAL!E:E,C23,JURNAL!C:C,"&gt;="&amp;$H$1,JURNAL!C:C,"&lt;="&amp;$I$1)</f>
        <v>0</v>
      </c>
      <c r="L23" s="26">
        <f t="shared" si="2"/>
        <v>0</v>
      </c>
      <c r="M23" s="27">
        <f t="shared" si="0"/>
        <v>0</v>
      </c>
      <c r="N23" s="11"/>
      <c r="O23" s="334"/>
      <c r="P23" s="11"/>
      <c r="Q23" s="11"/>
      <c r="R23" s="26">
        <f t="shared" si="3"/>
        <v>0</v>
      </c>
      <c r="S23" s="27">
        <f t="shared" si="4"/>
        <v>0</v>
      </c>
      <c r="T23" s="11"/>
      <c r="U23" s="11"/>
      <c r="V23" s="26">
        <f t="shared" si="5"/>
        <v>0</v>
      </c>
      <c r="W23" s="27">
        <f t="shared" si="1"/>
        <v>0</v>
      </c>
      <c r="X23" s="4">
        <v>1104</v>
      </c>
      <c r="Y23" s="4"/>
      <c r="Z23" s="4"/>
      <c r="AA23" s="12">
        <f t="shared" si="6"/>
        <v>0</v>
      </c>
      <c r="AC23" s="84"/>
      <c r="AD23" s="84"/>
      <c r="AE23" s="84"/>
      <c r="AF23" s="84"/>
    </row>
    <row r="24" spans="1:32" ht="12.75" customHeight="1">
      <c r="A24" s="24"/>
      <c r="B24" s="105">
        <f t="shared" si="7"/>
        <v>21</v>
      </c>
      <c r="C24" s="6">
        <v>120401</v>
      </c>
      <c r="D24" s="118" t="s">
        <v>957</v>
      </c>
      <c r="E24" s="9" t="s">
        <v>30</v>
      </c>
      <c r="F24" s="6"/>
      <c r="G24" s="6"/>
      <c r="H24" s="11">
        <f>+STAT1!V24</f>
        <v>0</v>
      </c>
      <c r="I24" s="11">
        <f>+STAT1!W24</f>
        <v>0</v>
      </c>
      <c r="J24" s="11">
        <f>+SUMIFS(JURNAL!G:G,JURNAL!E:E,C24,JURNAL!C:C,"&gt;="&amp;$H$1,JURNAL!C:C,"&lt;="&amp;$I$1)</f>
        <v>0</v>
      </c>
      <c r="K24" s="11">
        <f>+SUMIFS(JURNAL!H:H,JURNAL!E:E,C24,JURNAL!C:C,"&gt;="&amp;$H$1,JURNAL!C:C,"&lt;="&amp;$I$1)</f>
        <v>0</v>
      </c>
      <c r="L24" s="26">
        <f t="shared" si="2"/>
        <v>0</v>
      </c>
      <c r="M24" s="27">
        <f t="shared" si="0"/>
        <v>0</v>
      </c>
      <c r="N24" s="11"/>
      <c r="O24" s="334"/>
      <c r="P24" s="11"/>
      <c r="Q24" s="11"/>
      <c r="R24" s="26">
        <f t="shared" si="3"/>
        <v>0</v>
      </c>
      <c r="S24" s="27">
        <f t="shared" si="4"/>
        <v>0</v>
      </c>
      <c r="T24" s="11"/>
      <c r="U24" s="11"/>
      <c r="V24" s="26">
        <f t="shared" si="5"/>
        <v>0</v>
      </c>
      <c r="W24" s="27">
        <f t="shared" si="1"/>
        <v>0</v>
      </c>
      <c r="X24" s="4">
        <v>1104</v>
      </c>
      <c r="Y24" s="4"/>
      <c r="Z24" s="4"/>
      <c r="AA24" s="12">
        <f t="shared" si="6"/>
        <v>0</v>
      </c>
      <c r="AC24" s="84"/>
      <c r="AD24" s="84"/>
      <c r="AE24" s="84"/>
      <c r="AF24" s="84"/>
    </row>
    <row r="25" spans="1:32" ht="12.75" customHeight="1">
      <c r="A25" s="24"/>
      <c r="B25" s="105">
        <f t="shared" si="7"/>
        <v>22</v>
      </c>
      <c r="C25" s="6">
        <v>120600</v>
      </c>
      <c r="D25" s="118" t="s">
        <v>554</v>
      </c>
      <c r="E25" s="9" t="s">
        <v>32</v>
      </c>
      <c r="F25" s="6"/>
      <c r="G25" s="6"/>
      <c r="H25" s="11">
        <f>+STAT1!V25</f>
        <v>1.000002957880497E-4</v>
      </c>
      <c r="I25" s="11">
        <f>+STAT1!W25</f>
        <v>0</v>
      </c>
      <c r="J25" s="11">
        <f>+SUMIFS(JURNAL!G:G,JURNAL!E:E,C25,JURNAL!C:C,"&gt;="&amp;$H$1,JURNAL!C:C,"&lt;="&amp;$I$1)</f>
        <v>3459614.6147904545</v>
      </c>
      <c r="K25" s="11">
        <f>+SUMIFS(JURNAL!H:H,JURNAL!E:E,C25,JURNAL!C:C,"&gt;="&amp;$H$1,JURNAL!C:C,"&lt;="&amp;$I$1)</f>
        <v>0</v>
      </c>
      <c r="L25" s="26">
        <f t="shared" si="2"/>
        <v>3459614.6148904548</v>
      </c>
      <c r="M25" s="27">
        <f t="shared" si="0"/>
        <v>0</v>
      </c>
      <c r="N25" s="11"/>
      <c r="O25" s="334">
        <v>3459614.61</v>
      </c>
      <c r="P25" s="11"/>
      <c r="Q25" s="11"/>
      <c r="R25" s="26">
        <f t="shared" si="3"/>
        <v>4.8904549330472946E-3</v>
      </c>
      <c r="S25" s="27">
        <f t="shared" si="4"/>
        <v>0</v>
      </c>
      <c r="T25" s="11"/>
      <c r="U25" s="11"/>
      <c r="V25" s="26">
        <f t="shared" si="5"/>
        <v>4.8904549330472946E-3</v>
      </c>
      <c r="W25" s="27">
        <f t="shared" si="1"/>
        <v>0</v>
      </c>
      <c r="X25" s="4">
        <v>1103</v>
      </c>
      <c r="Y25" s="4"/>
      <c r="Z25" s="4"/>
      <c r="AA25" s="12">
        <f t="shared" si="6"/>
        <v>1</v>
      </c>
      <c r="AC25" s="84"/>
      <c r="AD25" s="84"/>
      <c r="AE25" s="84"/>
      <c r="AF25" s="84"/>
    </row>
    <row r="26" spans="1:32" ht="12.75" customHeight="1">
      <c r="A26" s="24"/>
      <c r="B26" s="105">
        <f t="shared" si="7"/>
        <v>23</v>
      </c>
      <c r="C26" s="6">
        <v>120700</v>
      </c>
      <c r="D26" s="118" t="s">
        <v>559</v>
      </c>
      <c r="E26" s="9" t="s">
        <v>32</v>
      </c>
      <c r="F26" s="6"/>
      <c r="G26" s="6"/>
      <c r="H26" s="11">
        <f>+STAT1!V26</f>
        <v>0</v>
      </c>
      <c r="I26" s="11">
        <f>+STAT1!W26</f>
        <v>0</v>
      </c>
      <c r="J26" s="11">
        <f>+SUMIFS(JURNAL!G:G,JURNAL!E:E,C26,JURNAL!C:C,"&gt;="&amp;$H$1,JURNAL!C:C,"&lt;="&amp;$I$1)</f>
        <v>100000</v>
      </c>
      <c r="K26" s="11">
        <f>+SUMIFS(JURNAL!H:H,JURNAL!E:E,C26,JURNAL!C:C,"&gt;="&amp;$H$1,JURNAL!C:C,"&lt;="&amp;$I$1)</f>
        <v>0</v>
      </c>
      <c r="L26" s="26">
        <f t="shared" si="2"/>
        <v>100000</v>
      </c>
      <c r="M26" s="27">
        <f t="shared" si="0"/>
        <v>0</v>
      </c>
      <c r="N26" s="11"/>
      <c r="O26" s="334">
        <v>10.39</v>
      </c>
      <c r="P26" s="11"/>
      <c r="Q26" s="11"/>
      <c r="R26" s="26">
        <f t="shared" si="3"/>
        <v>99989.61</v>
      </c>
      <c r="S26" s="27">
        <f t="shared" si="4"/>
        <v>0</v>
      </c>
      <c r="T26" s="11"/>
      <c r="U26" s="11"/>
      <c r="V26" s="26">
        <f t="shared" si="5"/>
        <v>99989.61</v>
      </c>
      <c r="W26" s="27">
        <f t="shared" si="1"/>
        <v>0</v>
      </c>
      <c r="X26" s="4">
        <v>1103</v>
      </c>
      <c r="Y26" s="4"/>
      <c r="Z26" s="4"/>
      <c r="AA26" s="12">
        <f t="shared" si="6"/>
        <v>1</v>
      </c>
      <c r="AC26" s="84"/>
      <c r="AD26" s="84"/>
      <c r="AE26" s="84"/>
      <c r="AF26" s="84"/>
    </row>
    <row r="27" spans="1:32" ht="12.75" customHeight="1">
      <c r="A27" s="24"/>
      <c r="B27" s="105">
        <f t="shared" si="7"/>
        <v>24</v>
      </c>
      <c r="C27" s="6">
        <v>120800</v>
      </c>
      <c r="D27" s="118" t="s">
        <v>564</v>
      </c>
      <c r="E27" s="9" t="s">
        <v>32</v>
      </c>
      <c r="F27" s="6"/>
      <c r="G27" s="6"/>
      <c r="H27" s="11">
        <f>+STAT1!V27</f>
        <v>0</v>
      </c>
      <c r="I27" s="11">
        <f>+STAT1!W27</f>
        <v>0</v>
      </c>
      <c r="J27" s="11">
        <f>+SUMIFS(JURNAL!G:G,JURNAL!E:E,C27,JURNAL!C:C,"&gt;="&amp;$H$1,JURNAL!C:C,"&lt;="&amp;$I$1)</f>
        <v>3000000</v>
      </c>
      <c r="K27" s="11">
        <f>+SUMIFS(JURNAL!H:H,JURNAL!E:E,C27,JURNAL!C:C,"&gt;="&amp;$H$1,JURNAL!C:C,"&lt;="&amp;$I$1)</f>
        <v>0</v>
      </c>
      <c r="L27" s="26">
        <f t="shared" si="2"/>
        <v>3000000</v>
      </c>
      <c r="M27" s="27">
        <f t="shared" si="0"/>
        <v>0</v>
      </c>
      <c r="N27" s="11"/>
      <c r="O27" s="334">
        <v>3000000</v>
      </c>
      <c r="P27" s="11"/>
      <c r="Q27" s="11"/>
      <c r="R27" s="26">
        <f t="shared" si="3"/>
        <v>0</v>
      </c>
      <c r="S27" s="27">
        <f t="shared" si="4"/>
        <v>0</v>
      </c>
      <c r="T27" s="11"/>
      <c r="U27" s="11"/>
      <c r="V27" s="26">
        <f t="shared" si="5"/>
        <v>0</v>
      </c>
      <c r="W27" s="27">
        <f t="shared" si="1"/>
        <v>0</v>
      </c>
      <c r="X27" s="4">
        <v>1103</v>
      </c>
      <c r="Y27" s="4"/>
      <c r="Z27" s="4"/>
      <c r="AA27" s="12">
        <f t="shared" si="6"/>
        <v>1</v>
      </c>
      <c r="AC27" s="84"/>
      <c r="AD27" s="84"/>
      <c r="AE27" s="84"/>
      <c r="AF27" s="84"/>
    </row>
    <row r="28" spans="1:32" ht="12.75" customHeight="1">
      <c r="A28" s="24"/>
      <c r="B28" s="105">
        <f t="shared" si="7"/>
        <v>25</v>
      </c>
      <c r="C28" s="6">
        <v>120900</v>
      </c>
      <c r="D28" s="118" t="s">
        <v>569</v>
      </c>
      <c r="E28" s="9" t="s">
        <v>32</v>
      </c>
      <c r="F28" s="6"/>
      <c r="G28" s="6"/>
      <c r="H28" s="11">
        <f>+STAT1!V28</f>
        <v>0</v>
      </c>
      <c r="I28" s="11">
        <f>+STAT1!W28</f>
        <v>0</v>
      </c>
      <c r="J28" s="11">
        <f>+SUMIFS(JURNAL!G:G,JURNAL!E:E,C28,JURNAL!C:C,"&gt;="&amp;$H$1,JURNAL!C:C,"&lt;="&amp;$I$1)</f>
        <v>5500000</v>
      </c>
      <c r="K28" s="11">
        <f>+SUMIFS(JURNAL!H:H,JURNAL!E:E,C28,JURNAL!C:C,"&gt;="&amp;$H$1,JURNAL!C:C,"&lt;="&amp;$I$1)</f>
        <v>0</v>
      </c>
      <c r="L28" s="26">
        <f t="shared" si="2"/>
        <v>5500000</v>
      </c>
      <c r="M28" s="27">
        <f t="shared" si="0"/>
        <v>0</v>
      </c>
      <c r="N28" s="11"/>
      <c r="O28" s="334">
        <v>5500000</v>
      </c>
      <c r="P28" s="11"/>
      <c r="Q28" s="11"/>
      <c r="R28" s="26">
        <f t="shared" si="3"/>
        <v>0</v>
      </c>
      <c r="S28" s="27">
        <f t="shared" si="4"/>
        <v>0</v>
      </c>
      <c r="T28" s="11"/>
      <c r="U28" s="11"/>
      <c r="V28" s="26">
        <f t="shared" si="5"/>
        <v>0</v>
      </c>
      <c r="W28" s="27">
        <f t="shared" si="1"/>
        <v>0</v>
      </c>
      <c r="X28" s="4">
        <v>1103</v>
      </c>
      <c r="Y28" s="4"/>
      <c r="Z28" s="4"/>
      <c r="AA28" s="12">
        <f t="shared" si="6"/>
        <v>1</v>
      </c>
      <c r="AC28" s="84"/>
      <c r="AD28" s="84"/>
      <c r="AE28" s="84"/>
      <c r="AF28" s="84"/>
    </row>
    <row r="29" spans="1:32" ht="12.75" customHeight="1">
      <c r="A29" s="24"/>
      <c r="B29" s="105">
        <f t="shared" si="7"/>
        <v>26</v>
      </c>
      <c r="C29" s="6">
        <v>121000</v>
      </c>
      <c r="D29" s="118" t="s">
        <v>574</v>
      </c>
      <c r="E29" s="9" t="s">
        <v>32</v>
      </c>
      <c r="F29" s="6"/>
      <c r="G29" s="6"/>
      <c r="H29" s="11">
        <f>+STAT1!V29</f>
        <v>0</v>
      </c>
      <c r="I29" s="11">
        <f>+STAT1!W29</f>
        <v>0</v>
      </c>
      <c r="J29" s="11">
        <f>+SUMIFS(JURNAL!G:G,JURNAL!E:E,C29,JURNAL!C:C,"&gt;="&amp;$H$1,JURNAL!C:C,"&lt;="&amp;$I$1)</f>
        <v>0</v>
      </c>
      <c r="K29" s="11">
        <f>+SUMIFS(JURNAL!H:H,JURNAL!E:E,C29,JURNAL!C:C,"&gt;="&amp;$H$1,JURNAL!C:C,"&lt;="&amp;$I$1)</f>
        <v>0</v>
      </c>
      <c r="L29" s="26">
        <f t="shared" si="2"/>
        <v>0</v>
      </c>
      <c r="M29" s="27">
        <f t="shared" si="0"/>
        <v>0</v>
      </c>
      <c r="N29" s="11"/>
      <c r="O29" s="334"/>
      <c r="P29" s="11"/>
      <c r="Q29" s="11"/>
      <c r="R29" s="26">
        <f t="shared" si="3"/>
        <v>0</v>
      </c>
      <c r="S29" s="27">
        <f t="shared" si="4"/>
        <v>0</v>
      </c>
      <c r="T29" s="11"/>
      <c r="U29" s="11"/>
      <c r="V29" s="26">
        <f t="shared" si="5"/>
        <v>0</v>
      </c>
      <c r="W29" s="27">
        <f t="shared" si="1"/>
        <v>0</v>
      </c>
      <c r="X29" s="4">
        <v>1103</v>
      </c>
      <c r="Y29" s="4"/>
      <c r="Z29" s="4"/>
      <c r="AA29" s="12">
        <f t="shared" si="6"/>
        <v>0</v>
      </c>
      <c r="AC29" s="84"/>
      <c r="AD29" s="84"/>
      <c r="AE29" s="84"/>
      <c r="AF29" s="84"/>
    </row>
    <row r="30" spans="1:32" ht="12.75" customHeight="1">
      <c r="A30" s="24"/>
      <c r="B30" s="105">
        <f t="shared" si="7"/>
        <v>27</v>
      </c>
      <c r="C30" s="6">
        <v>121100</v>
      </c>
      <c r="D30" s="118" t="s">
        <v>579</v>
      </c>
      <c r="E30" s="9" t="s">
        <v>32</v>
      </c>
      <c r="F30" s="6"/>
      <c r="G30" s="6"/>
      <c r="H30" s="11">
        <f>+STAT1!V30</f>
        <v>0</v>
      </c>
      <c r="I30" s="11">
        <f>+STAT1!W30</f>
        <v>0</v>
      </c>
      <c r="J30" s="11">
        <f>+SUMIFS(JURNAL!G:G,JURNAL!E:E,C30,JURNAL!C:C,"&gt;="&amp;$H$1,JURNAL!C:C,"&lt;="&amp;$I$1)</f>
        <v>0</v>
      </c>
      <c r="K30" s="11">
        <f>+SUMIFS(JURNAL!H:H,JURNAL!E:E,C30,JURNAL!C:C,"&gt;="&amp;$H$1,JURNAL!C:C,"&lt;="&amp;$I$1)</f>
        <v>0</v>
      </c>
      <c r="L30" s="26">
        <f t="shared" si="2"/>
        <v>0</v>
      </c>
      <c r="M30" s="27">
        <f t="shared" si="0"/>
        <v>0</v>
      </c>
      <c r="N30" s="11"/>
      <c r="O30" s="334"/>
      <c r="P30" s="11"/>
      <c r="Q30" s="11"/>
      <c r="R30" s="26">
        <f t="shared" si="3"/>
        <v>0</v>
      </c>
      <c r="S30" s="27">
        <f t="shared" si="4"/>
        <v>0</v>
      </c>
      <c r="T30" s="11"/>
      <c r="U30" s="11"/>
      <c r="V30" s="26">
        <f t="shared" si="5"/>
        <v>0</v>
      </c>
      <c r="W30" s="27">
        <f t="shared" si="1"/>
        <v>0</v>
      </c>
      <c r="X30" s="4">
        <v>1104</v>
      </c>
      <c r="Y30" s="4"/>
      <c r="Z30" s="4"/>
      <c r="AA30" s="12">
        <f t="shared" si="6"/>
        <v>0</v>
      </c>
      <c r="AC30" s="84"/>
      <c r="AD30" s="84"/>
      <c r="AE30" s="84"/>
      <c r="AF30" s="84"/>
    </row>
    <row r="31" spans="1:32" ht="12.75" customHeight="1">
      <c r="A31" s="24"/>
      <c r="B31" s="105">
        <f t="shared" si="7"/>
        <v>28</v>
      </c>
      <c r="C31" s="6">
        <v>121200</v>
      </c>
      <c r="D31" s="118" t="s">
        <v>958</v>
      </c>
      <c r="E31" s="9" t="s">
        <v>32</v>
      </c>
      <c r="F31" s="6"/>
      <c r="G31" s="6"/>
      <c r="H31" s="11">
        <f>+STAT1!V31</f>
        <v>980000.0065299999</v>
      </c>
      <c r="I31" s="11">
        <f>+STAT1!W31</f>
        <v>0</v>
      </c>
      <c r="J31" s="11">
        <f>+SUMIFS(JURNAL!G:G,JURNAL!E:E,C31,JURNAL!C:C,"&gt;="&amp;$H$1,JURNAL!C:C,"&lt;="&amp;$I$1)</f>
        <v>265210</v>
      </c>
      <c r="K31" s="11">
        <f>+SUMIFS(JURNAL!H:H,JURNAL!E:E,C31,JURNAL!C:C,"&gt;="&amp;$H$1,JURNAL!C:C,"&lt;="&amp;$I$1)</f>
        <v>265210.00396</v>
      </c>
      <c r="L31" s="26">
        <f t="shared" si="2"/>
        <v>980000.0025699999</v>
      </c>
      <c r="M31" s="27">
        <f t="shared" si="0"/>
        <v>0</v>
      </c>
      <c r="N31" s="11"/>
      <c r="O31" s="334"/>
      <c r="P31" s="11"/>
      <c r="Q31" s="11"/>
      <c r="R31" s="26">
        <f t="shared" si="3"/>
        <v>980000.0025699999</v>
      </c>
      <c r="S31" s="27">
        <f t="shared" si="4"/>
        <v>0</v>
      </c>
      <c r="T31" s="11"/>
      <c r="U31" s="11"/>
      <c r="V31" s="26">
        <f t="shared" si="5"/>
        <v>980000.0025699999</v>
      </c>
      <c r="W31" s="27">
        <f t="shared" si="1"/>
        <v>0</v>
      </c>
      <c r="X31" s="4">
        <v>1104</v>
      </c>
      <c r="Y31" s="4"/>
      <c r="Z31" s="4"/>
      <c r="AA31" s="12">
        <f t="shared" si="6"/>
        <v>1</v>
      </c>
      <c r="AC31" s="84"/>
      <c r="AD31" s="84"/>
      <c r="AE31" s="84"/>
      <c r="AF31" s="84"/>
    </row>
    <row r="32" spans="1:32" ht="12.75" customHeight="1">
      <c r="A32" s="24"/>
      <c r="B32" s="105">
        <f t="shared" si="7"/>
        <v>29</v>
      </c>
      <c r="C32" s="6">
        <v>122000</v>
      </c>
      <c r="D32" s="118" t="s">
        <v>959</v>
      </c>
      <c r="E32" s="9" t="s">
        <v>32</v>
      </c>
      <c r="F32" s="6"/>
      <c r="G32" s="6"/>
      <c r="H32" s="11">
        <f>+STAT1!V32</f>
        <v>11722791</v>
      </c>
      <c r="I32" s="11">
        <f>+STAT1!W32</f>
        <v>0</v>
      </c>
      <c r="J32" s="11">
        <f>+SUMIFS(JURNAL!G:G,JURNAL!E:E,C32,JURNAL!C:C,"&gt;="&amp;$H$1,JURNAL!C:C,"&lt;="&amp;$I$1)</f>
        <v>484008</v>
      </c>
      <c r="K32" s="11">
        <f>+SUMIFS(JURNAL!H:H,JURNAL!E:E,C32,JURNAL!C:C,"&gt;="&amp;$H$1,JURNAL!C:C,"&lt;="&amp;$I$1)</f>
        <v>7780000</v>
      </c>
      <c r="L32" s="26">
        <f t="shared" si="2"/>
        <v>4426799</v>
      </c>
      <c r="M32" s="27">
        <f t="shared" si="0"/>
        <v>0</v>
      </c>
      <c r="N32" s="11"/>
      <c r="O32" s="334"/>
      <c r="P32" s="11"/>
      <c r="Q32" s="11"/>
      <c r="R32" s="26">
        <f t="shared" si="3"/>
        <v>4426799</v>
      </c>
      <c r="S32" s="27">
        <f t="shared" si="4"/>
        <v>0</v>
      </c>
      <c r="T32" s="11"/>
      <c r="U32" s="11"/>
      <c r="V32" s="26">
        <f t="shared" si="5"/>
        <v>4426799</v>
      </c>
      <c r="W32" s="27">
        <f t="shared" si="1"/>
        <v>0</v>
      </c>
      <c r="X32" s="4">
        <v>1104</v>
      </c>
      <c r="Y32" s="4"/>
      <c r="Z32" s="4"/>
      <c r="AA32" s="12">
        <f t="shared" si="6"/>
        <v>1</v>
      </c>
      <c r="AC32" s="84"/>
      <c r="AD32" s="84"/>
      <c r="AE32" s="84"/>
      <c r="AF32" s="84"/>
    </row>
    <row r="33" spans="1:32" ht="12.75" customHeight="1">
      <c r="A33" s="24"/>
      <c r="B33" s="105">
        <f t="shared" si="7"/>
        <v>30</v>
      </c>
      <c r="C33" s="6">
        <v>122001</v>
      </c>
      <c r="D33" s="118" t="s">
        <v>960</v>
      </c>
      <c r="E33" s="9" t="s">
        <v>30</v>
      </c>
      <c r="F33" s="6"/>
      <c r="G33" s="6"/>
      <c r="H33" s="11">
        <f>+STAT1!V33</f>
        <v>0</v>
      </c>
      <c r="I33" s="11">
        <f>+STAT1!W33</f>
        <v>0</v>
      </c>
      <c r="J33" s="11">
        <f>+SUMIFS(JURNAL!G:G,JURNAL!E:E,C33,JURNAL!C:C,"&gt;="&amp;$H$1,JURNAL!C:C,"&lt;="&amp;$I$1)</f>
        <v>0</v>
      </c>
      <c r="K33" s="11">
        <f>+SUMIFS(JURNAL!H:H,JURNAL!E:E,C33,JURNAL!C:C,"&gt;="&amp;$H$1,JURNAL!C:C,"&lt;="&amp;$I$1)</f>
        <v>0</v>
      </c>
      <c r="L33" s="26">
        <f t="shared" si="2"/>
        <v>0</v>
      </c>
      <c r="M33" s="27">
        <f t="shared" si="0"/>
        <v>0</v>
      </c>
      <c r="N33" s="11"/>
      <c r="O33" s="334"/>
      <c r="P33" s="11"/>
      <c r="Q33" s="11"/>
      <c r="R33" s="26">
        <f t="shared" si="3"/>
        <v>0</v>
      </c>
      <c r="S33" s="27">
        <f t="shared" si="4"/>
        <v>0</v>
      </c>
      <c r="T33" s="11"/>
      <c r="U33" s="11"/>
      <c r="V33" s="26">
        <f t="shared" si="5"/>
        <v>0</v>
      </c>
      <c r="W33" s="27">
        <f t="shared" si="1"/>
        <v>0</v>
      </c>
      <c r="X33" s="4">
        <v>1104</v>
      </c>
      <c r="Y33" s="4"/>
      <c r="Z33" s="4"/>
      <c r="AA33" s="12">
        <f t="shared" si="6"/>
        <v>0</v>
      </c>
      <c r="AC33" s="84"/>
      <c r="AD33" s="84"/>
      <c r="AE33" s="84"/>
      <c r="AF33" s="84"/>
    </row>
    <row r="34" spans="1:32" ht="12.75" customHeight="1">
      <c r="A34" s="24"/>
      <c r="B34" s="105">
        <f t="shared" si="7"/>
        <v>31</v>
      </c>
      <c r="C34" s="6">
        <v>130100</v>
      </c>
      <c r="D34" s="118" t="s">
        <v>588</v>
      </c>
      <c r="E34" s="9" t="s">
        <v>32</v>
      </c>
      <c r="F34" s="6"/>
      <c r="G34" s="6"/>
      <c r="H34" s="11">
        <f>+STAT1!V34</f>
        <v>0</v>
      </c>
      <c r="I34" s="11">
        <f>+STAT1!W34</f>
        <v>0</v>
      </c>
      <c r="J34" s="11">
        <f>+SUMIFS(JURNAL!G:G,JURNAL!E:E,C34,JURNAL!C:C,"&gt;="&amp;$H$1,JURNAL!C:C,"&lt;="&amp;$I$1)</f>
        <v>0</v>
      </c>
      <c r="K34" s="11">
        <f>+SUMIFS(JURNAL!H:H,JURNAL!E:E,C34,JURNAL!C:C,"&gt;="&amp;$H$1,JURNAL!C:C,"&lt;="&amp;$I$1)</f>
        <v>0</v>
      </c>
      <c r="L34" s="26">
        <f t="shared" si="2"/>
        <v>0</v>
      </c>
      <c r="M34" s="27">
        <f t="shared" si="0"/>
        <v>0</v>
      </c>
      <c r="N34" s="11"/>
      <c r="O34" s="334"/>
      <c r="P34" s="11"/>
      <c r="Q34" s="11"/>
      <c r="R34" s="26">
        <f t="shared" si="3"/>
        <v>0</v>
      </c>
      <c r="S34" s="27">
        <f t="shared" si="4"/>
        <v>0</v>
      </c>
      <c r="T34" s="11"/>
      <c r="U34" s="11"/>
      <c r="V34" s="26">
        <f t="shared" si="5"/>
        <v>0</v>
      </c>
      <c r="W34" s="27">
        <f t="shared" si="1"/>
        <v>0</v>
      </c>
      <c r="X34" s="4">
        <v>1105</v>
      </c>
      <c r="Y34" s="4"/>
      <c r="Z34" s="4"/>
      <c r="AA34" s="12">
        <f t="shared" si="6"/>
        <v>0</v>
      </c>
      <c r="AC34" s="84"/>
      <c r="AD34" s="84"/>
      <c r="AE34" s="84"/>
      <c r="AF34" s="84"/>
    </row>
    <row r="35" spans="1:32" ht="12.75" customHeight="1">
      <c r="A35" s="24"/>
      <c r="B35" s="105">
        <f t="shared" si="7"/>
        <v>32</v>
      </c>
      <c r="C35" s="6">
        <v>130500</v>
      </c>
      <c r="D35" s="118" t="s">
        <v>592</v>
      </c>
      <c r="E35" s="9" t="s">
        <v>32</v>
      </c>
      <c r="F35" s="6"/>
      <c r="G35" s="6"/>
      <c r="H35" s="11">
        <f>+STAT1!V35</f>
        <v>0</v>
      </c>
      <c r="I35" s="11">
        <f>+STAT1!W35</f>
        <v>0</v>
      </c>
      <c r="J35" s="11">
        <f>+SUMIFS(JURNAL!G:G,JURNAL!E:E,C35,JURNAL!C:C,"&gt;="&amp;$H$1,JURNAL!C:C,"&lt;="&amp;$I$1)</f>
        <v>0</v>
      </c>
      <c r="K35" s="11">
        <f>+SUMIFS(JURNAL!H:H,JURNAL!E:E,C35,JURNAL!C:C,"&gt;="&amp;$H$1,JURNAL!C:C,"&lt;="&amp;$I$1)</f>
        <v>0</v>
      </c>
      <c r="L35" s="26">
        <f t="shared" si="2"/>
        <v>0</v>
      </c>
      <c r="M35" s="27">
        <f t="shared" si="0"/>
        <v>0</v>
      </c>
      <c r="N35" s="11"/>
      <c r="O35" s="334"/>
      <c r="P35" s="11"/>
      <c r="Q35" s="11"/>
      <c r="R35" s="26">
        <f t="shared" si="3"/>
        <v>0</v>
      </c>
      <c r="S35" s="27">
        <f t="shared" si="4"/>
        <v>0</v>
      </c>
      <c r="T35" s="11"/>
      <c r="U35" s="11"/>
      <c r="V35" s="26">
        <f t="shared" si="5"/>
        <v>0</v>
      </c>
      <c r="W35" s="27">
        <f t="shared" si="1"/>
        <v>0</v>
      </c>
      <c r="X35" s="4">
        <v>1105</v>
      </c>
      <c r="Y35" s="4"/>
      <c r="Z35" s="4"/>
      <c r="AA35" s="12">
        <f t="shared" si="6"/>
        <v>0</v>
      </c>
      <c r="AC35" s="84"/>
      <c r="AD35" s="84"/>
      <c r="AE35" s="84"/>
      <c r="AF35" s="84"/>
    </row>
    <row r="36" spans="1:32" ht="12.75" customHeight="1">
      <c r="A36" s="24"/>
      <c r="B36" s="105">
        <f t="shared" si="7"/>
        <v>33</v>
      </c>
      <c r="C36" s="6">
        <v>140100</v>
      </c>
      <c r="D36" s="118" t="s">
        <v>597</v>
      </c>
      <c r="E36" s="9" t="s">
        <v>32</v>
      </c>
      <c r="F36" s="6"/>
      <c r="G36" s="6"/>
      <c r="H36" s="11">
        <f>+STAT1!V36</f>
        <v>476629815.99849999</v>
      </c>
      <c r="I36" s="11">
        <f>+STAT1!W36</f>
        <v>0</v>
      </c>
      <c r="J36" s="11">
        <f>+SUMIFS(JURNAL!G:G,JURNAL!E:E,C36,JURNAL!C:C,"&gt;="&amp;$H$1,JURNAL!C:C,"&lt;="&amp;$I$1)</f>
        <v>0</v>
      </c>
      <c r="K36" s="11">
        <f>+SUMIFS(JURNAL!H:H,JURNAL!E:E,C36,JURNAL!C:C,"&gt;="&amp;$H$1,JURNAL!C:C,"&lt;="&amp;$I$1)</f>
        <v>288737888.75192773</v>
      </c>
      <c r="L36" s="26">
        <f t="shared" si="2"/>
        <v>187891927.24657226</v>
      </c>
      <c r="M36" s="27">
        <f t="shared" si="0"/>
        <v>0</v>
      </c>
      <c r="N36" s="11"/>
      <c r="O36" s="334"/>
      <c r="P36" s="11"/>
      <c r="Q36" s="11"/>
      <c r="R36" s="26">
        <f t="shared" si="3"/>
        <v>187891927.24657226</v>
      </c>
      <c r="S36" s="27">
        <f t="shared" si="4"/>
        <v>0</v>
      </c>
      <c r="T36" s="11"/>
      <c r="U36" s="11"/>
      <c r="V36" s="26">
        <f t="shared" si="5"/>
        <v>187891927.24657226</v>
      </c>
      <c r="W36" s="27">
        <f t="shared" si="1"/>
        <v>0</v>
      </c>
      <c r="X36" s="4">
        <v>1107</v>
      </c>
      <c r="Y36" s="4"/>
      <c r="Z36" s="4"/>
      <c r="AA36" s="12">
        <f t="shared" si="6"/>
        <v>1</v>
      </c>
      <c r="AC36" s="84"/>
      <c r="AD36" s="84"/>
      <c r="AE36" s="84"/>
      <c r="AF36" s="84"/>
    </row>
    <row r="37" spans="1:32" ht="12.75" customHeight="1">
      <c r="A37" s="24"/>
      <c r="B37" s="105">
        <f t="shared" si="7"/>
        <v>34</v>
      </c>
      <c r="C37" s="6">
        <v>140200</v>
      </c>
      <c r="D37" s="118" t="s">
        <v>1672</v>
      </c>
      <c r="E37" s="9" t="s">
        <v>32</v>
      </c>
      <c r="F37" s="6"/>
      <c r="G37" s="6"/>
      <c r="H37" s="11">
        <f>+STAT1!V37</f>
        <v>0</v>
      </c>
      <c r="I37" s="11">
        <f>+STAT1!W37</f>
        <v>0</v>
      </c>
      <c r="J37" s="11">
        <f>+SUMIFS(JURNAL!G:G,JURNAL!E:E,C37,JURNAL!C:C,"&gt;="&amp;$H$1,JURNAL!C:C,"&lt;="&amp;$I$1)</f>
        <v>285142154.75192773</v>
      </c>
      <c r="K37" s="11">
        <f>+SUMIFS(JURNAL!H:H,JURNAL!E:E,C37,JURNAL!C:C,"&gt;="&amp;$H$1,JURNAL!C:C,"&lt;="&amp;$I$1)</f>
        <v>285142154.75</v>
      </c>
      <c r="L37" s="26">
        <f t="shared" si="2"/>
        <v>1.9277334213256836E-3</v>
      </c>
      <c r="M37" s="27">
        <f t="shared" si="0"/>
        <v>0</v>
      </c>
      <c r="N37" s="11"/>
      <c r="O37" s="334"/>
      <c r="P37" s="11"/>
      <c r="Q37" s="11"/>
      <c r="R37" s="26">
        <f t="shared" si="3"/>
        <v>1.9277334213256836E-3</v>
      </c>
      <c r="S37" s="27">
        <f t="shared" si="4"/>
        <v>0</v>
      </c>
      <c r="T37" s="11"/>
      <c r="U37" s="11"/>
      <c r="V37" s="26">
        <f t="shared" si="5"/>
        <v>1.9277334213256836E-3</v>
      </c>
      <c r="W37" s="27">
        <f t="shared" si="1"/>
        <v>0</v>
      </c>
      <c r="X37" s="4">
        <v>1107</v>
      </c>
      <c r="Y37" s="4"/>
      <c r="Z37" s="4"/>
      <c r="AA37" s="12">
        <f t="shared" si="6"/>
        <v>1</v>
      </c>
      <c r="AC37" s="84"/>
      <c r="AD37" s="84"/>
      <c r="AE37" s="84"/>
      <c r="AF37" s="84"/>
    </row>
    <row r="38" spans="1:32" ht="12.75" customHeight="1">
      <c r="A38" s="24"/>
      <c r="B38" s="105">
        <f t="shared" si="7"/>
        <v>35</v>
      </c>
      <c r="C38" s="6">
        <v>140201</v>
      </c>
      <c r="D38" s="118" t="s">
        <v>1673</v>
      </c>
      <c r="E38" s="9" t="s">
        <v>32</v>
      </c>
      <c r="F38" s="6"/>
      <c r="G38" s="6"/>
      <c r="H38" s="11">
        <f>+STAT1!V38</f>
        <v>0</v>
      </c>
      <c r="I38" s="11">
        <f>+STAT1!W38</f>
        <v>0</v>
      </c>
      <c r="J38" s="11">
        <f>+SUMIFS(JURNAL!G:G,JURNAL!E:E,C38,JURNAL!C:C,"&gt;="&amp;$H$1,JURNAL!C:C,"&lt;="&amp;$I$1)</f>
        <v>131520539.86260495</v>
      </c>
      <c r="K38" s="11">
        <f>+SUMIFS(JURNAL!H:H,JURNAL!E:E,C38,JURNAL!C:C,"&gt;="&amp;$H$1,JURNAL!C:C,"&lt;="&amp;$I$1)</f>
        <v>131520539.86</v>
      </c>
      <c r="L38" s="26">
        <f t="shared" si="2"/>
        <v>2.604946494102478E-3</v>
      </c>
      <c r="M38" s="27">
        <f t="shared" si="0"/>
        <v>0</v>
      </c>
      <c r="N38" s="11"/>
      <c r="O38" s="334"/>
      <c r="P38" s="11"/>
      <c r="Q38" s="11"/>
      <c r="R38" s="26">
        <f t="shared" si="3"/>
        <v>2.604946494102478E-3</v>
      </c>
      <c r="S38" s="27">
        <f t="shared" si="4"/>
        <v>0</v>
      </c>
      <c r="T38" s="11"/>
      <c r="U38" s="11"/>
      <c r="V38" s="26">
        <f t="shared" si="5"/>
        <v>2.604946494102478E-3</v>
      </c>
      <c r="W38" s="27">
        <f t="shared" si="1"/>
        <v>0</v>
      </c>
      <c r="X38" s="4">
        <v>1107</v>
      </c>
      <c r="Y38" s="4"/>
      <c r="Z38" s="4"/>
      <c r="AA38" s="12">
        <f t="shared" si="6"/>
        <v>1</v>
      </c>
      <c r="AC38" s="84"/>
      <c r="AD38" s="84"/>
      <c r="AE38" s="84"/>
      <c r="AF38" s="84"/>
    </row>
    <row r="39" spans="1:32" ht="12.75" customHeight="1">
      <c r="A39" s="24"/>
      <c r="B39" s="105">
        <f t="shared" si="7"/>
        <v>36</v>
      </c>
      <c r="C39" s="6">
        <v>140202</v>
      </c>
      <c r="D39" s="118" t="s">
        <v>1674</v>
      </c>
      <c r="E39" s="9" t="s">
        <v>32</v>
      </c>
      <c r="F39" s="6"/>
      <c r="G39" s="6"/>
      <c r="H39" s="11">
        <f>+STAT1!V39</f>
        <v>0</v>
      </c>
      <c r="I39" s="11">
        <f>+STAT1!W39</f>
        <v>0</v>
      </c>
      <c r="J39" s="11">
        <f>+SUMIFS(JURNAL!G:G,JURNAL!E:E,C39,JURNAL!C:C,"&gt;="&amp;$H$1,JURNAL!C:C,"&lt;="&amp;$I$1)</f>
        <v>0</v>
      </c>
      <c r="K39" s="11">
        <f>+SUMIFS(JURNAL!H:H,JURNAL!E:E,C39,JURNAL!C:C,"&gt;="&amp;$H$1,JURNAL!C:C,"&lt;="&amp;$I$1)</f>
        <v>0</v>
      </c>
      <c r="L39" s="26">
        <f t="shared" si="2"/>
        <v>0</v>
      </c>
      <c r="M39" s="27">
        <f t="shared" si="0"/>
        <v>0</v>
      </c>
      <c r="N39" s="11"/>
      <c r="O39" s="334"/>
      <c r="P39" s="11"/>
      <c r="Q39" s="11"/>
      <c r="R39" s="26">
        <f t="shared" si="3"/>
        <v>0</v>
      </c>
      <c r="S39" s="27">
        <f t="shared" si="4"/>
        <v>0</v>
      </c>
      <c r="T39" s="11"/>
      <c r="U39" s="11"/>
      <c r="V39" s="26">
        <f t="shared" si="5"/>
        <v>0</v>
      </c>
      <c r="W39" s="27">
        <f t="shared" si="1"/>
        <v>0</v>
      </c>
      <c r="X39" s="4">
        <v>1107</v>
      </c>
      <c r="Y39" s="4"/>
      <c r="Z39" s="4"/>
      <c r="AA39" s="12">
        <f t="shared" si="6"/>
        <v>0</v>
      </c>
      <c r="AC39" s="84"/>
      <c r="AD39" s="84"/>
      <c r="AE39" s="84"/>
      <c r="AF39" s="84"/>
    </row>
    <row r="40" spans="1:32" ht="12.75" customHeight="1">
      <c r="A40" s="24"/>
      <c r="B40" s="105">
        <f t="shared" si="7"/>
        <v>37</v>
      </c>
      <c r="C40" s="6">
        <v>140300</v>
      </c>
      <c r="D40" s="118" t="s">
        <v>1675</v>
      </c>
      <c r="E40" s="9" t="s">
        <v>32</v>
      </c>
      <c r="F40" s="6"/>
      <c r="G40" s="6"/>
      <c r="H40" s="11">
        <f>+STAT1!V40</f>
        <v>0</v>
      </c>
      <c r="I40" s="11">
        <f>+STAT1!W40</f>
        <v>0</v>
      </c>
      <c r="J40" s="11">
        <f>+SUMIFS(JURNAL!G:G,JURNAL!E:E,C40,JURNAL!C:C,"&gt;="&amp;$H$1,JURNAL!C:C,"&lt;="&amp;$I$1)</f>
        <v>0</v>
      </c>
      <c r="K40" s="11">
        <f>+SUMIFS(JURNAL!H:H,JURNAL!E:E,C40,JURNAL!C:C,"&gt;="&amp;$H$1,JURNAL!C:C,"&lt;="&amp;$I$1)</f>
        <v>0</v>
      </c>
      <c r="L40" s="26">
        <f t="shared" si="2"/>
        <v>0</v>
      </c>
      <c r="M40" s="27">
        <f t="shared" si="0"/>
        <v>0</v>
      </c>
      <c r="N40" s="11"/>
      <c r="O40" s="334"/>
      <c r="P40" s="11"/>
      <c r="Q40" s="11"/>
      <c r="R40" s="26">
        <f t="shared" si="3"/>
        <v>0</v>
      </c>
      <c r="S40" s="27">
        <f t="shared" si="4"/>
        <v>0</v>
      </c>
      <c r="T40" s="11"/>
      <c r="U40" s="11"/>
      <c r="V40" s="26">
        <f t="shared" si="5"/>
        <v>0</v>
      </c>
      <c r="W40" s="27">
        <f t="shared" si="1"/>
        <v>0</v>
      </c>
      <c r="X40" s="4">
        <v>1107</v>
      </c>
      <c r="Y40" s="4"/>
      <c r="Z40" s="4"/>
      <c r="AA40" s="12">
        <f t="shared" si="6"/>
        <v>0</v>
      </c>
      <c r="AC40" s="84"/>
      <c r="AD40" s="84"/>
      <c r="AE40" s="84"/>
      <c r="AF40" s="84"/>
    </row>
    <row r="41" spans="1:32" ht="12.75" customHeight="1">
      <c r="A41" s="24"/>
      <c r="B41" s="105">
        <f t="shared" si="7"/>
        <v>38</v>
      </c>
      <c r="C41" s="6">
        <v>140301</v>
      </c>
      <c r="D41" s="118" t="s">
        <v>1676</v>
      </c>
      <c r="E41" s="9" t="s">
        <v>32</v>
      </c>
      <c r="F41" s="6"/>
      <c r="G41" s="6"/>
      <c r="H41" s="11">
        <f>+STAT1!V41</f>
        <v>0</v>
      </c>
      <c r="I41" s="11">
        <f>+STAT1!W41</f>
        <v>0</v>
      </c>
      <c r="J41" s="11">
        <f>+SUMIFS(JURNAL!G:G,JURNAL!E:E,C41,JURNAL!C:C,"&gt;="&amp;$H$1,JURNAL!C:C,"&lt;="&amp;$I$1)</f>
        <v>0</v>
      </c>
      <c r="K41" s="11">
        <f>+SUMIFS(JURNAL!H:H,JURNAL!E:E,C41,JURNAL!C:C,"&gt;="&amp;$H$1,JURNAL!C:C,"&lt;="&amp;$I$1)</f>
        <v>0</v>
      </c>
      <c r="L41" s="26">
        <f t="shared" si="2"/>
        <v>0</v>
      </c>
      <c r="M41" s="27">
        <f t="shared" si="0"/>
        <v>0</v>
      </c>
      <c r="N41" s="11"/>
      <c r="O41" s="334"/>
      <c r="P41" s="11"/>
      <c r="Q41" s="11"/>
      <c r="R41" s="26">
        <f t="shared" si="3"/>
        <v>0</v>
      </c>
      <c r="S41" s="27">
        <f t="shared" si="4"/>
        <v>0</v>
      </c>
      <c r="T41" s="11"/>
      <c r="U41" s="11"/>
      <c r="V41" s="26">
        <f t="shared" si="5"/>
        <v>0</v>
      </c>
      <c r="W41" s="27">
        <f t="shared" si="1"/>
        <v>0</v>
      </c>
      <c r="X41" s="4">
        <v>1107</v>
      </c>
      <c r="Y41" s="4"/>
      <c r="Z41" s="4"/>
      <c r="AA41" s="12">
        <f t="shared" si="6"/>
        <v>0</v>
      </c>
      <c r="AC41" s="84"/>
      <c r="AD41" s="84"/>
      <c r="AE41" s="84"/>
      <c r="AF41" s="84"/>
    </row>
    <row r="42" spans="1:32" ht="12.75" customHeight="1">
      <c r="A42" s="24"/>
      <c r="B42" s="105">
        <f t="shared" si="7"/>
        <v>39</v>
      </c>
      <c r="C42" s="6">
        <v>140302</v>
      </c>
      <c r="D42" s="118" t="s">
        <v>1677</v>
      </c>
      <c r="E42" s="9" t="s">
        <v>32</v>
      </c>
      <c r="F42" s="6"/>
      <c r="G42" s="6"/>
      <c r="H42" s="11">
        <f>+STAT1!V42</f>
        <v>0</v>
      </c>
      <c r="I42" s="11">
        <f>+STAT1!W42</f>
        <v>0</v>
      </c>
      <c r="J42" s="11">
        <f>+SUMIFS(JURNAL!G:G,JURNAL!E:E,C42,JURNAL!C:C,"&gt;="&amp;$H$1,JURNAL!C:C,"&lt;="&amp;$I$1)</f>
        <v>0</v>
      </c>
      <c r="K42" s="11">
        <f>+SUMIFS(JURNAL!H:H,JURNAL!E:E,C42,JURNAL!C:C,"&gt;="&amp;$H$1,JURNAL!C:C,"&lt;="&amp;$I$1)</f>
        <v>0</v>
      </c>
      <c r="L42" s="26">
        <f t="shared" si="2"/>
        <v>0</v>
      </c>
      <c r="M42" s="27">
        <f t="shared" si="0"/>
        <v>0</v>
      </c>
      <c r="N42" s="11"/>
      <c r="O42" s="334"/>
      <c r="P42" s="11"/>
      <c r="Q42" s="11"/>
      <c r="R42" s="26">
        <f t="shared" si="3"/>
        <v>0</v>
      </c>
      <c r="S42" s="27">
        <f t="shared" si="4"/>
        <v>0</v>
      </c>
      <c r="T42" s="11"/>
      <c r="U42" s="11"/>
      <c r="V42" s="26">
        <f t="shared" si="5"/>
        <v>0</v>
      </c>
      <c r="W42" s="27">
        <f t="shared" si="1"/>
        <v>0</v>
      </c>
      <c r="X42" s="4">
        <v>1107</v>
      </c>
      <c r="Y42" s="4"/>
      <c r="Z42" s="4"/>
      <c r="AA42" s="12">
        <f t="shared" si="6"/>
        <v>0</v>
      </c>
      <c r="AC42" s="84"/>
      <c r="AD42" s="84"/>
      <c r="AE42" s="84"/>
      <c r="AF42" s="84"/>
    </row>
    <row r="43" spans="1:32" ht="12.75" customHeight="1">
      <c r="A43" s="24"/>
      <c r="B43" s="105">
        <f t="shared" si="7"/>
        <v>40</v>
      </c>
      <c r="C43" s="6">
        <v>140400</v>
      </c>
      <c r="D43" s="118" t="s">
        <v>1678</v>
      </c>
      <c r="E43" s="9" t="s">
        <v>32</v>
      </c>
      <c r="F43" s="6"/>
      <c r="G43" s="6"/>
      <c r="H43" s="11">
        <f>+STAT1!V43</f>
        <v>0</v>
      </c>
      <c r="I43" s="11">
        <f>+STAT1!W43</f>
        <v>0</v>
      </c>
      <c r="J43" s="11">
        <f>+SUMIFS(JURNAL!G:G,JURNAL!E:E,C43,JURNAL!C:C,"&gt;="&amp;$H$1,JURNAL!C:C,"&lt;="&amp;$I$1)</f>
        <v>8089532.2254545456</v>
      </c>
      <c r="K43" s="11">
        <f>+SUMIFS(JURNAL!H:H,JURNAL!E:E,C43,JURNAL!C:C,"&gt;="&amp;$H$1,JURNAL!C:C,"&lt;="&amp;$I$1)</f>
        <v>8089532.2300000004</v>
      </c>
      <c r="L43" s="26">
        <f t="shared" si="2"/>
        <v>0</v>
      </c>
      <c r="M43" s="27">
        <f t="shared" si="0"/>
        <v>4.5454548671841621E-3</v>
      </c>
      <c r="N43" s="11"/>
      <c r="O43" s="334"/>
      <c r="P43" s="11"/>
      <c r="Q43" s="11"/>
      <c r="R43" s="26">
        <f t="shared" si="3"/>
        <v>0</v>
      </c>
      <c r="S43" s="27">
        <f t="shared" si="4"/>
        <v>4.5454548671841621E-3</v>
      </c>
      <c r="T43" s="11"/>
      <c r="U43" s="11"/>
      <c r="V43" s="26">
        <f t="shared" si="5"/>
        <v>0</v>
      </c>
      <c r="W43" s="27">
        <f t="shared" si="1"/>
        <v>4.5454548671841621E-3</v>
      </c>
      <c r="X43" s="4">
        <v>1107</v>
      </c>
      <c r="Y43" s="4"/>
      <c r="Z43" s="4"/>
      <c r="AA43" s="12">
        <f t="shared" si="6"/>
        <v>1</v>
      </c>
      <c r="AC43" s="84"/>
      <c r="AD43" s="84"/>
      <c r="AE43" s="84"/>
      <c r="AF43" s="84"/>
    </row>
    <row r="44" spans="1:32" ht="12.75" customHeight="1">
      <c r="A44" s="24"/>
      <c r="B44" s="105">
        <f t="shared" si="7"/>
        <v>41</v>
      </c>
      <c r="C44" s="6">
        <v>140401</v>
      </c>
      <c r="D44" s="118" t="s">
        <v>1679</v>
      </c>
      <c r="E44" s="9" t="s">
        <v>32</v>
      </c>
      <c r="F44" s="6"/>
      <c r="G44" s="6"/>
      <c r="H44" s="11">
        <f>+STAT1!V44</f>
        <v>0</v>
      </c>
      <c r="I44" s="11">
        <f>+STAT1!W44</f>
        <v>0</v>
      </c>
      <c r="J44" s="11">
        <f>+SUMIFS(JURNAL!G:G,JURNAL!E:E,C44,JURNAL!C:C,"&gt;="&amp;$H$1,JURNAL!C:C,"&lt;="&amp;$I$1)</f>
        <v>47414025.640000001</v>
      </c>
      <c r="K44" s="11">
        <f>+SUMIFS(JURNAL!H:H,JURNAL!E:E,C44,JURNAL!C:C,"&gt;="&amp;$H$1,JURNAL!C:C,"&lt;="&amp;$I$1)</f>
        <v>47414025.640000001</v>
      </c>
      <c r="L44" s="26">
        <f t="shared" si="2"/>
        <v>0</v>
      </c>
      <c r="M44" s="27">
        <f t="shared" si="0"/>
        <v>0</v>
      </c>
      <c r="N44" s="11"/>
      <c r="O44" s="334"/>
      <c r="P44" s="11"/>
      <c r="Q44" s="11"/>
      <c r="R44" s="26">
        <f t="shared" si="3"/>
        <v>0</v>
      </c>
      <c r="S44" s="27">
        <f t="shared" si="4"/>
        <v>0</v>
      </c>
      <c r="T44" s="11"/>
      <c r="U44" s="11"/>
      <c r="V44" s="26">
        <f t="shared" si="5"/>
        <v>0</v>
      </c>
      <c r="W44" s="27">
        <f t="shared" si="1"/>
        <v>0</v>
      </c>
      <c r="X44" s="4">
        <v>1107</v>
      </c>
      <c r="Y44" s="4"/>
      <c r="Z44" s="4"/>
      <c r="AA44" s="12">
        <f t="shared" si="6"/>
        <v>1</v>
      </c>
      <c r="AC44" s="84"/>
      <c r="AD44" s="84"/>
      <c r="AE44" s="84"/>
      <c r="AF44" s="84"/>
    </row>
    <row r="45" spans="1:32" ht="12.75" customHeight="1">
      <c r="A45" s="24"/>
      <c r="B45" s="105">
        <f t="shared" si="7"/>
        <v>42</v>
      </c>
      <c r="C45" s="6">
        <v>140402</v>
      </c>
      <c r="D45" s="118" t="s">
        <v>1680</v>
      </c>
      <c r="E45" s="9" t="s">
        <v>32</v>
      </c>
      <c r="F45" s="6"/>
      <c r="G45" s="6"/>
      <c r="H45" s="11">
        <f>+STAT1!V45</f>
        <v>0</v>
      </c>
      <c r="I45" s="11">
        <f>+STAT1!W45</f>
        <v>0</v>
      </c>
      <c r="J45" s="11">
        <f>+SUMIFS(JURNAL!G:G,JURNAL!E:E,C45,JURNAL!C:C,"&gt;="&amp;$H$1,JURNAL!C:C,"&lt;="&amp;$I$1)</f>
        <v>0</v>
      </c>
      <c r="K45" s="11">
        <f>+SUMIFS(JURNAL!H:H,JURNAL!E:E,C45,JURNAL!C:C,"&gt;="&amp;$H$1,JURNAL!C:C,"&lt;="&amp;$I$1)</f>
        <v>0</v>
      </c>
      <c r="L45" s="26">
        <f t="shared" si="2"/>
        <v>0</v>
      </c>
      <c r="M45" s="27">
        <f t="shared" si="0"/>
        <v>0</v>
      </c>
      <c r="N45" s="11"/>
      <c r="O45" s="334"/>
      <c r="P45" s="11"/>
      <c r="Q45" s="11"/>
      <c r="R45" s="26">
        <f t="shared" si="3"/>
        <v>0</v>
      </c>
      <c r="S45" s="27">
        <f t="shared" si="4"/>
        <v>0</v>
      </c>
      <c r="T45" s="11"/>
      <c r="U45" s="11"/>
      <c r="V45" s="26">
        <f t="shared" si="5"/>
        <v>0</v>
      </c>
      <c r="W45" s="27">
        <f t="shared" si="1"/>
        <v>0</v>
      </c>
      <c r="X45" s="4">
        <v>1107</v>
      </c>
      <c r="Y45" s="4"/>
      <c r="Z45" s="4"/>
      <c r="AA45" s="12">
        <f t="shared" si="6"/>
        <v>0</v>
      </c>
      <c r="AC45" s="84"/>
      <c r="AD45" s="84"/>
      <c r="AE45" s="84"/>
      <c r="AF45" s="84"/>
    </row>
    <row r="46" spans="1:32" ht="12.75" customHeight="1">
      <c r="A46" s="24"/>
      <c r="B46" s="105">
        <f t="shared" si="7"/>
        <v>43</v>
      </c>
      <c r="C46" s="6">
        <v>140500</v>
      </c>
      <c r="D46" s="118" t="s">
        <v>1681</v>
      </c>
      <c r="E46" s="9" t="s">
        <v>32</v>
      </c>
      <c r="F46" s="6"/>
      <c r="G46" s="6"/>
      <c r="H46" s="11">
        <f>+STAT1!V46</f>
        <v>0</v>
      </c>
      <c r="I46" s="11">
        <f>+STAT1!W46</f>
        <v>0</v>
      </c>
      <c r="J46" s="11">
        <f>+SUMIFS(JURNAL!G:G,JURNAL!E:E,C46,JURNAL!C:C,"&gt;="&amp;$H$1,JURNAL!C:C,"&lt;="&amp;$I$1)</f>
        <v>293231686.98000002</v>
      </c>
      <c r="K46" s="11">
        <f>+SUMIFS(JURNAL!H:H,JURNAL!E:E,C46,JURNAL!C:C,"&gt;="&amp;$H$1,JURNAL!C:C,"&lt;="&amp;$I$1)</f>
        <v>293231686.98000002</v>
      </c>
      <c r="L46" s="26">
        <f t="shared" si="2"/>
        <v>0</v>
      </c>
      <c r="M46" s="27">
        <f t="shared" si="0"/>
        <v>0</v>
      </c>
      <c r="N46" s="11"/>
      <c r="O46" s="334"/>
      <c r="P46" s="11"/>
      <c r="Q46" s="11"/>
      <c r="R46" s="26">
        <f t="shared" si="3"/>
        <v>0</v>
      </c>
      <c r="S46" s="27">
        <f t="shared" si="4"/>
        <v>0</v>
      </c>
      <c r="T46" s="11"/>
      <c r="U46" s="11"/>
      <c r="V46" s="26">
        <f t="shared" si="5"/>
        <v>0</v>
      </c>
      <c r="W46" s="27">
        <f t="shared" si="1"/>
        <v>0</v>
      </c>
      <c r="X46" s="4">
        <v>1107</v>
      </c>
      <c r="Y46" s="4"/>
      <c r="Z46" s="4"/>
      <c r="AA46" s="12">
        <f t="shared" si="6"/>
        <v>1</v>
      </c>
      <c r="AC46" s="84"/>
      <c r="AD46" s="84"/>
      <c r="AE46" s="84"/>
      <c r="AF46" s="84"/>
    </row>
    <row r="47" spans="1:32" ht="12.75" customHeight="1">
      <c r="A47" s="24"/>
      <c r="B47" s="105">
        <f t="shared" si="7"/>
        <v>44</v>
      </c>
      <c r="C47" s="6">
        <v>140501</v>
      </c>
      <c r="D47" s="118" t="s">
        <v>1682</v>
      </c>
      <c r="E47" s="9" t="s">
        <v>32</v>
      </c>
      <c r="F47" s="6"/>
      <c r="G47" s="6"/>
      <c r="H47" s="11">
        <f>+STAT1!V47</f>
        <v>0</v>
      </c>
      <c r="I47" s="11">
        <f>+STAT1!W47</f>
        <v>0</v>
      </c>
      <c r="J47" s="11">
        <f>+SUMIFS(JURNAL!G:G,JURNAL!E:E,C47,JURNAL!C:C,"&gt;="&amp;$H$1,JURNAL!C:C,"&lt;="&amp;$I$1)</f>
        <v>178934565.5</v>
      </c>
      <c r="K47" s="11">
        <f>+SUMIFS(JURNAL!H:H,JURNAL!E:E,C47,JURNAL!C:C,"&gt;="&amp;$H$1,JURNAL!C:C,"&lt;="&amp;$I$1)</f>
        <v>178934565.5</v>
      </c>
      <c r="L47" s="26">
        <f t="shared" si="2"/>
        <v>0</v>
      </c>
      <c r="M47" s="27">
        <f t="shared" si="0"/>
        <v>0</v>
      </c>
      <c r="N47" s="11"/>
      <c r="O47" s="334"/>
      <c r="P47" s="11"/>
      <c r="Q47" s="11"/>
      <c r="R47" s="26">
        <f t="shared" si="3"/>
        <v>0</v>
      </c>
      <c r="S47" s="27">
        <f t="shared" si="4"/>
        <v>0</v>
      </c>
      <c r="T47" s="11"/>
      <c r="U47" s="11"/>
      <c r="V47" s="26">
        <f t="shared" si="5"/>
        <v>0</v>
      </c>
      <c r="W47" s="27">
        <f t="shared" si="1"/>
        <v>0</v>
      </c>
      <c r="X47" s="4">
        <v>1107</v>
      </c>
      <c r="Y47" s="4"/>
      <c r="Z47" s="4"/>
      <c r="AA47" s="12">
        <f t="shared" si="6"/>
        <v>1</v>
      </c>
      <c r="AC47" s="84"/>
      <c r="AD47" s="84"/>
      <c r="AE47" s="84"/>
      <c r="AF47" s="84"/>
    </row>
    <row r="48" spans="1:32" ht="12.75" customHeight="1">
      <c r="A48" s="24"/>
      <c r="B48" s="105">
        <f t="shared" si="7"/>
        <v>45</v>
      </c>
      <c r="C48" s="6">
        <v>140502</v>
      </c>
      <c r="D48" s="118" t="s">
        <v>1683</v>
      </c>
      <c r="E48" s="9" t="s">
        <v>32</v>
      </c>
      <c r="F48" s="6"/>
      <c r="G48" s="6"/>
      <c r="H48" s="11">
        <f>+STAT1!V48</f>
        <v>0</v>
      </c>
      <c r="I48" s="11">
        <f>+STAT1!W48</f>
        <v>0</v>
      </c>
      <c r="J48" s="11">
        <f>+SUMIFS(JURNAL!G:G,JURNAL!E:E,C48,JURNAL!C:C,"&gt;="&amp;$H$1,JURNAL!C:C,"&lt;="&amp;$I$1)</f>
        <v>0</v>
      </c>
      <c r="K48" s="11">
        <f>+SUMIFS(JURNAL!H:H,JURNAL!E:E,C48,JURNAL!C:C,"&gt;="&amp;$H$1,JURNAL!C:C,"&lt;="&amp;$I$1)</f>
        <v>0</v>
      </c>
      <c r="L48" s="26">
        <f t="shared" si="2"/>
        <v>0</v>
      </c>
      <c r="M48" s="27">
        <f t="shared" si="0"/>
        <v>0</v>
      </c>
      <c r="N48" s="11"/>
      <c r="O48" s="334"/>
      <c r="P48" s="11"/>
      <c r="Q48" s="11"/>
      <c r="R48" s="26">
        <f t="shared" si="3"/>
        <v>0</v>
      </c>
      <c r="S48" s="27">
        <f t="shared" si="4"/>
        <v>0</v>
      </c>
      <c r="T48" s="11"/>
      <c r="U48" s="11"/>
      <c r="V48" s="26">
        <f t="shared" si="5"/>
        <v>0</v>
      </c>
      <c r="W48" s="27">
        <f t="shared" si="1"/>
        <v>0</v>
      </c>
      <c r="X48" s="4">
        <v>1107</v>
      </c>
      <c r="Y48" s="4"/>
      <c r="Z48" s="4"/>
      <c r="AA48" s="12">
        <f t="shared" si="6"/>
        <v>0</v>
      </c>
      <c r="AC48" s="84"/>
      <c r="AD48" s="84"/>
      <c r="AE48" s="84"/>
      <c r="AF48" s="84"/>
    </row>
    <row r="49" spans="1:32" ht="12.75" customHeight="1">
      <c r="A49" s="24"/>
      <c r="B49" s="105">
        <f t="shared" si="7"/>
        <v>46</v>
      </c>
      <c r="C49" s="6">
        <v>141200</v>
      </c>
      <c r="D49" s="118" t="s">
        <v>1684</v>
      </c>
      <c r="E49" s="9" t="s">
        <v>32</v>
      </c>
      <c r="F49" s="6"/>
      <c r="G49" s="6"/>
      <c r="H49" s="11">
        <f>+STAT1!V49</f>
        <v>0</v>
      </c>
      <c r="I49" s="11">
        <f>+STAT1!W49</f>
        <v>0</v>
      </c>
      <c r="J49" s="11">
        <f>+SUMIFS(JURNAL!G:G,JURNAL!E:E,C49,JURNAL!C:C,"&gt;="&amp;$H$1,JURNAL!C:C,"&lt;="&amp;$I$1)</f>
        <v>0</v>
      </c>
      <c r="K49" s="11">
        <f>+SUMIFS(JURNAL!H:H,JURNAL!E:E,C49,JURNAL!C:C,"&gt;="&amp;$H$1,JURNAL!C:C,"&lt;="&amp;$I$1)</f>
        <v>0</v>
      </c>
      <c r="L49" s="26">
        <f t="shared" si="2"/>
        <v>0</v>
      </c>
      <c r="M49" s="27">
        <f t="shared" si="0"/>
        <v>0</v>
      </c>
      <c r="N49" s="11"/>
      <c r="O49" s="334"/>
      <c r="P49" s="11"/>
      <c r="Q49" s="11"/>
      <c r="R49" s="26">
        <f t="shared" si="3"/>
        <v>0</v>
      </c>
      <c r="S49" s="27">
        <f t="shared" si="4"/>
        <v>0</v>
      </c>
      <c r="T49" s="11"/>
      <c r="U49" s="11"/>
      <c r="V49" s="26">
        <f t="shared" si="5"/>
        <v>0</v>
      </c>
      <c r="W49" s="27">
        <f t="shared" si="1"/>
        <v>0</v>
      </c>
      <c r="X49" s="4">
        <v>1107</v>
      </c>
      <c r="Y49" s="4"/>
      <c r="Z49" s="4"/>
      <c r="AA49" s="12">
        <f t="shared" si="6"/>
        <v>0</v>
      </c>
      <c r="AC49" s="84"/>
      <c r="AD49" s="84"/>
      <c r="AE49" s="84"/>
      <c r="AF49" s="84"/>
    </row>
    <row r="50" spans="1:32" ht="12.75" customHeight="1">
      <c r="A50" s="24"/>
      <c r="B50" s="105">
        <f t="shared" si="7"/>
        <v>47</v>
      </c>
      <c r="C50" s="6">
        <v>141201</v>
      </c>
      <c r="D50" s="118" t="s">
        <v>2599</v>
      </c>
      <c r="E50" s="9" t="s">
        <v>32</v>
      </c>
      <c r="F50" s="6"/>
      <c r="G50" s="6"/>
      <c r="H50" s="11">
        <f>+STAT1!V50</f>
        <v>0</v>
      </c>
      <c r="I50" s="11">
        <f>+STAT1!W50</f>
        <v>0</v>
      </c>
      <c r="J50" s="11">
        <f>+SUMIFS(JURNAL!G:G,JURNAL!E:E,C50,JURNAL!C:C,"&gt;="&amp;$H$1,JURNAL!C:C,"&lt;="&amp;$I$1)</f>
        <v>0</v>
      </c>
      <c r="K50" s="11">
        <f>+SUMIFS(JURNAL!H:H,JURNAL!E:E,C50,JURNAL!C:C,"&gt;="&amp;$H$1,JURNAL!C:C,"&lt;="&amp;$I$1)</f>
        <v>0</v>
      </c>
      <c r="L50" s="26">
        <f t="shared" si="2"/>
        <v>0</v>
      </c>
      <c r="M50" s="27">
        <f t="shared" si="0"/>
        <v>0</v>
      </c>
      <c r="N50" s="11"/>
      <c r="O50" s="334"/>
      <c r="P50" s="11"/>
      <c r="Q50" s="11"/>
      <c r="R50" s="26">
        <f t="shared" si="3"/>
        <v>0</v>
      </c>
      <c r="S50" s="27">
        <f t="shared" si="4"/>
        <v>0</v>
      </c>
      <c r="T50" s="11"/>
      <c r="U50" s="11"/>
      <c r="V50" s="26">
        <f t="shared" si="5"/>
        <v>0</v>
      </c>
      <c r="W50" s="27">
        <f t="shared" si="1"/>
        <v>0</v>
      </c>
      <c r="X50" s="4">
        <v>1107</v>
      </c>
      <c r="Y50" s="4"/>
      <c r="Z50" s="4"/>
      <c r="AA50" s="12">
        <f t="shared" si="6"/>
        <v>0</v>
      </c>
      <c r="AC50" s="84"/>
      <c r="AD50" s="84"/>
      <c r="AE50" s="84"/>
      <c r="AF50" s="84"/>
    </row>
    <row r="51" spans="1:32" ht="12.75" customHeight="1">
      <c r="A51" s="24"/>
      <c r="B51" s="105">
        <f t="shared" si="7"/>
        <v>48</v>
      </c>
      <c r="C51" s="6">
        <v>141300</v>
      </c>
      <c r="D51" s="118" t="s">
        <v>1685</v>
      </c>
      <c r="E51" s="9" t="s">
        <v>32</v>
      </c>
      <c r="F51" s="6"/>
      <c r="G51" s="6"/>
      <c r="H51" s="11">
        <f>+STAT1!V51</f>
        <v>0</v>
      </c>
      <c r="I51" s="11">
        <f>+STAT1!W51</f>
        <v>0</v>
      </c>
      <c r="J51" s="11">
        <f>+SUMIFS(JURNAL!G:G,JURNAL!E:E,C51,JURNAL!C:C,"&gt;="&amp;$H$1,JURNAL!C:C,"&lt;="&amp;$I$1)</f>
        <v>0</v>
      </c>
      <c r="K51" s="11">
        <f>+SUMIFS(JURNAL!H:H,JURNAL!E:E,C51,JURNAL!C:C,"&gt;="&amp;$H$1,JURNAL!C:C,"&lt;="&amp;$I$1)</f>
        <v>0</v>
      </c>
      <c r="L51" s="26">
        <f t="shared" si="2"/>
        <v>0</v>
      </c>
      <c r="M51" s="27">
        <f t="shared" si="0"/>
        <v>0</v>
      </c>
      <c r="N51" s="11"/>
      <c r="O51" s="334"/>
      <c r="P51" s="11"/>
      <c r="Q51" s="11"/>
      <c r="R51" s="26">
        <f t="shared" si="3"/>
        <v>0</v>
      </c>
      <c r="S51" s="27">
        <f t="shared" si="4"/>
        <v>0</v>
      </c>
      <c r="T51" s="11"/>
      <c r="U51" s="11"/>
      <c r="V51" s="26">
        <f t="shared" si="5"/>
        <v>0</v>
      </c>
      <c r="W51" s="27">
        <f t="shared" si="1"/>
        <v>0</v>
      </c>
      <c r="X51" s="4">
        <v>1107</v>
      </c>
      <c r="Y51" s="4"/>
      <c r="Z51" s="4"/>
      <c r="AA51" s="12">
        <f t="shared" si="6"/>
        <v>0</v>
      </c>
      <c r="AC51" s="84"/>
      <c r="AD51" s="84"/>
      <c r="AE51" s="84"/>
      <c r="AF51" s="84"/>
    </row>
    <row r="52" spans="1:32" ht="12.75" customHeight="1">
      <c r="A52" s="24"/>
      <c r="B52" s="105">
        <f t="shared" si="7"/>
        <v>49</v>
      </c>
      <c r="C52" s="6">
        <v>141301</v>
      </c>
      <c r="D52" s="118" t="s">
        <v>2602</v>
      </c>
      <c r="E52" s="9" t="s">
        <v>32</v>
      </c>
      <c r="F52" s="6"/>
      <c r="G52" s="6"/>
      <c r="H52" s="11">
        <f>+STAT1!V52</f>
        <v>0</v>
      </c>
      <c r="I52" s="11">
        <f>+STAT1!W52</f>
        <v>0</v>
      </c>
      <c r="J52" s="11">
        <f>+SUMIFS(JURNAL!G:G,JURNAL!E:E,C52,JURNAL!C:C,"&gt;="&amp;$H$1,JURNAL!C:C,"&lt;="&amp;$I$1)</f>
        <v>0</v>
      </c>
      <c r="K52" s="11">
        <f>+SUMIFS(JURNAL!H:H,JURNAL!E:E,C52,JURNAL!C:C,"&gt;="&amp;$H$1,JURNAL!C:C,"&lt;="&amp;$I$1)</f>
        <v>0</v>
      </c>
      <c r="L52" s="26">
        <f t="shared" si="2"/>
        <v>0</v>
      </c>
      <c r="M52" s="27">
        <f t="shared" si="0"/>
        <v>0</v>
      </c>
      <c r="N52" s="11"/>
      <c r="O52" s="334"/>
      <c r="P52" s="11"/>
      <c r="Q52" s="11"/>
      <c r="R52" s="26">
        <f t="shared" si="3"/>
        <v>0</v>
      </c>
      <c r="S52" s="27">
        <f t="shared" si="4"/>
        <v>0</v>
      </c>
      <c r="T52" s="11"/>
      <c r="U52" s="11"/>
      <c r="V52" s="26">
        <f t="shared" si="5"/>
        <v>0</v>
      </c>
      <c r="W52" s="27">
        <f t="shared" si="1"/>
        <v>0</v>
      </c>
      <c r="X52" s="4">
        <v>1107</v>
      </c>
      <c r="Y52" s="4"/>
      <c r="Z52" s="4"/>
      <c r="AA52" s="12">
        <f t="shared" si="6"/>
        <v>0</v>
      </c>
      <c r="AC52" s="84"/>
      <c r="AD52" s="84"/>
      <c r="AE52" s="84"/>
      <c r="AF52" s="84"/>
    </row>
    <row r="53" spans="1:32" ht="12.75" customHeight="1">
      <c r="A53" s="24"/>
      <c r="B53" s="105">
        <f t="shared" si="7"/>
        <v>50</v>
      </c>
      <c r="C53" s="6">
        <v>141400</v>
      </c>
      <c r="D53" s="118" t="s">
        <v>1686</v>
      </c>
      <c r="E53" s="9" t="s">
        <v>32</v>
      </c>
      <c r="F53" s="6"/>
      <c r="G53" s="6"/>
      <c r="H53" s="11">
        <f>+STAT1!V53</f>
        <v>0</v>
      </c>
      <c r="I53" s="11">
        <f>+STAT1!W53</f>
        <v>0</v>
      </c>
      <c r="J53" s="11">
        <f>+SUMIFS(JURNAL!G:G,JURNAL!E:E,C53,JURNAL!C:C,"&gt;="&amp;$H$1,JURNAL!C:C,"&lt;="&amp;$I$1)</f>
        <v>0</v>
      </c>
      <c r="K53" s="11">
        <f>+SUMIFS(JURNAL!H:H,JURNAL!E:E,C53,JURNAL!C:C,"&gt;="&amp;$H$1,JURNAL!C:C,"&lt;="&amp;$I$1)</f>
        <v>0</v>
      </c>
      <c r="L53" s="26">
        <f t="shared" si="2"/>
        <v>0</v>
      </c>
      <c r="M53" s="27">
        <f t="shared" si="0"/>
        <v>0</v>
      </c>
      <c r="N53" s="11"/>
      <c r="O53" s="334"/>
      <c r="P53" s="11"/>
      <c r="Q53" s="11"/>
      <c r="R53" s="26">
        <f t="shared" si="3"/>
        <v>0</v>
      </c>
      <c r="S53" s="27">
        <f t="shared" si="4"/>
        <v>0</v>
      </c>
      <c r="T53" s="11"/>
      <c r="U53" s="11"/>
      <c r="V53" s="26">
        <f t="shared" si="5"/>
        <v>0</v>
      </c>
      <c r="W53" s="27">
        <f t="shared" si="1"/>
        <v>0</v>
      </c>
      <c r="X53" s="4">
        <v>1107</v>
      </c>
      <c r="Y53" s="4"/>
      <c r="Z53" s="4"/>
      <c r="AA53" s="12">
        <f t="shared" si="6"/>
        <v>0</v>
      </c>
      <c r="AC53" s="84"/>
      <c r="AD53" s="84"/>
      <c r="AE53" s="84"/>
      <c r="AF53" s="84"/>
    </row>
    <row r="54" spans="1:32" ht="12.75" customHeight="1">
      <c r="A54" s="24"/>
      <c r="B54" s="105">
        <f t="shared" si="7"/>
        <v>51</v>
      </c>
      <c r="C54" s="6">
        <v>141401</v>
      </c>
      <c r="D54" s="118" t="s">
        <v>2600</v>
      </c>
      <c r="E54" s="9" t="s">
        <v>32</v>
      </c>
      <c r="F54" s="6"/>
      <c r="G54" s="6"/>
      <c r="H54" s="11">
        <f>+STAT1!V54</f>
        <v>0</v>
      </c>
      <c r="I54" s="11">
        <f>+STAT1!W54</f>
        <v>0</v>
      </c>
      <c r="J54" s="11">
        <f>+SUMIFS(JURNAL!G:G,JURNAL!E:E,C54,JURNAL!C:C,"&gt;="&amp;$H$1,JURNAL!C:C,"&lt;="&amp;$I$1)</f>
        <v>0</v>
      </c>
      <c r="K54" s="11">
        <f>+SUMIFS(JURNAL!H:H,JURNAL!E:E,C54,JURNAL!C:C,"&gt;="&amp;$H$1,JURNAL!C:C,"&lt;="&amp;$I$1)</f>
        <v>0</v>
      </c>
      <c r="L54" s="26">
        <f t="shared" si="2"/>
        <v>0</v>
      </c>
      <c r="M54" s="27">
        <f t="shared" si="0"/>
        <v>0</v>
      </c>
      <c r="N54" s="11"/>
      <c r="O54" s="334"/>
      <c r="P54" s="11"/>
      <c r="Q54" s="11"/>
      <c r="R54" s="26">
        <f t="shared" si="3"/>
        <v>0</v>
      </c>
      <c r="S54" s="27">
        <f t="shared" si="4"/>
        <v>0</v>
      </c>
      <c r="T54" s="11"/>
      <c r="U54" s="11"/>
      <c r="V54" s="26">
        <f t="shared" si="5"/>
        <v>0</v>
      </c>
      <c r="W54" s="27">
        <f t="shared" si="1"/>
        <v>0</v>
      </c>
      <c r="X54" s="4">
        <v>1107</v>
      </c>
      <c r="Y54" s="4"/>
      <c r="Z54" s="4"/>
      <c r="AA54" s="12">
        <f t="shared" si="6"/>
        <v>0</v>
      </c>
      <c r="AC54" s="84"/>
      <c r="AD54" s="84"/>
      <c r="AE54" s="84"/>
      <c r="AF54" s="84"/>
    </row>
    <row r="55" spans="1:32" ht="12.75" customHeight="1">
      <c r="A55" s="24"/>
      <c r="B55" s="105">
        <f t="shared" si="7"/>
        <v>52</v>
      </c>
      <c r="C55" s="6">
        <v>141500</v>
      </c>
      <c r="D55" s="118" t="s">
        <v>1687</v>
      </c>
      <c r="E55" s="9" t="s">
        <v>32</v>
      </c>
      <c r="F55" s="6"/>
      <c r="G55" s="6"/>
      <c r="H55" s="11">
        <f>+STAT1!V55</f>
        <v>0</v>
      </c>
      <c r="I55" s="11">
        <f>+STAT1!W55</f>
        <v>0</v>
      </c>
      <c r="J55" s="11">
        <f>+SUMIFS(JURNAL!G:G,JURNAL!E:E,C55,JURNAL!C:C,"&gt;="&amp;$H$1,JURNAL!C:C,"&lt;="&amp;$I$1)</f>
        <v>0</v>
      </c>
      <c r="K55" s="11">
        <f>+SUMIFS(JURNAL!H:H,JURNAL!E:E,C55,JURNAL!C:C,"&gt;="&amp;$H$1,JURNAL!C:C,"&lt;="&amp;$I$1)</f>
        <v>0</v>
      </c>
      <c r="L55" s="26">
        <f t="shared" si="2"/>
        <v>0</v>
      </c>
      <c r="M55" s="27">
        <f t="shared" si="0"/>
        <v>0</v>
      </c>
      <c r="N55" s="11"/>
      <c r="O55" s="334"/>
      <c r="P55" s="11"/>
      <c r="Q55" s="11"/>
      <c r="R55" s="26">
        <f t="shared" si="3"/>
        <v>0</v>
      </c>
      <c r="S55" s="27">
        <f t="shared" si="4"/>
        <v>0</v>
      </c>
      <c r="T55" s="11"/>
      <c r="U55" s="11"/>
      <c r="V55" s="26">
        <f t="shared" si="5"/>
        <v>0</v>
      </c>
      <c r="W55" s="27">
        <f t="shared" si="1"/>
        <v>0</v>
      </c>
      <c r="X55" s="4">
        <v>1107</v>
      </c>
      <c r="Y55" s="4"/>
      <c r="Z55" s="4"/>
      <c r="AA55" s="12">
        <f t="shared" si="6"/>
        <v>0</v>
      </c>
      <c r="AC55" s="84"/>
      <c r="AD55" s="84"/>
      <c r="AE55" s="84"/>
      <c r="AF55" s="84"/>
    </row>
    <row r="56" spans="1:32" ht="12.75" customHeight="1">
      <c r="A56" s="24"/>
      <c r="B56" s="105">
        <f t="shared" si="7"/>
        <v>53</v>
      </c>
      <c r="C56" s="6">
        <v>141501</v>
      </c>
      <c r="D56" s="118" t="s">
        <v>2601</v>
      </c>
      <c r="E56" s="9" t="s">
        <v>32</v>
      </c>
      <c r="F56" s="6"/>
      <c r="G56" s="6"/>
      <c r="H56" s="11">
        <f>+STAT1!V56</f>
        <v>0</v>
      </c>
      <c r="I56" s="11">
        <f>+STAT1!W56</f>
        <v>0</v>
      </c>
      <c r="J56" s="11">
        <f>+SUMIFS(JURNAL!G:G,JURNAL!E:E,C56,JURNAL!C:C,"&gt;="&amp;$H$1,JURNAL!C:C,"&lt;="&amp;$I$1)</f>
        <v>0</v>
      </c>
      <c r="K56" s="11">
        <f>+SUMIFS(JURNAL!H:H,JURNAL!E:E,C56,JURNAL!C:C,"&gt;="&amp;$H$1,JURNAL!C:C,"&lt;="&amp;$I$1)</f>
        <v>0</v>
      </c>
      <c r="L56" s="26">
        <f t="shared" si="2"/>
        <v>0</v>
      </c>
      <c r="M56" s="27">
        <f t="shared" si="0"/>
        <v>0</v>
      </c>
      <c r="N56" s="11"/>
      <c r="O56" s="334"/>
      <c r="P56" s="11"/>
      <c r="Q56" s="11"/>
      <c r="R56" s="26">
        <f t="shared" si="3"/>
        <v>0</v>
      </c>
      <c r="S56" s="27">
        <f t="shared" si="4"/>
        <v>0</v>
      </c>
      <c r="T56" s="11"/>
      <c r="U56" s="11"/>
      <c r="V56" s="26">
        <f t="shared" si="5"/>
        <v>0</v>
      </c>
      <c r="W56" s="27">
        <f t="shared" si="1"/>
        <v>0</v>
      </c>
      <c r="X56" s="4">
        <v>1107</v>
      </c>
      <c r="Y56" s="4"/>
      <c r="Z56" s="4"/>
      <c r="AA56" s="12">
        <f t="shared" si="6"/>
        <v>0</v>
      </c>
      <c r="AC56" s="84"/>
      <c r="AD56" s="84"/>
      <c r="AE56" s="84"/>
      <c r="AF56" s="84"/>
    </row>
    <row r="57" spans="1:32" ht="12.75" customHeight="1">
      <c r="A57" s="24"/>
      <c r="B57" s="105">
        <f t="shared" si="7"/>
        <v>54</v>
      </c>
      <c r="C57" s="6">
        <v>150100</v>
      </c>
      <c r="D57" s="118" t="s">
        <v>1688</v>
      </c>
      <c r="E57" s="9" t="s">
        <v>32</v>
      </c>
      <c r="F57" s="6"/>
      <c r="G57" s="6"/>
      <c r="H57" s="11">
        <f>+STAT1!V57</f>
        <v>7738857.3418799639</v>
      </c>
      <c r="I57" s="11">
        <f>+STAT1!W57</f>
        <v>0</v>
      </c>
      <c r="J57" s="11">
        <f>+SUMIFS(JURNAL!G:G,JURNAL!E:E,C57,JURNAL!C:C,"&gt;="&amp;$H$1,JURNAL!C:C,"&lt;="&amp;$I$1)</f>
        <v>293231686.98000002</v>
      </c>
      <c r="K57" s="11">
        <f>+SUMIFS(JURNAL!H:H,JURNAL!E:E,C57,JURNAL!C:C,"&gt;="&amp;$H$1,JURNAL!C:C,"&lt;="&amp;$I$1)</f>
        <v>127924805.86260495</v>
      </c>
      <c r="L57" s="26">
        <f t="shared" si="2"/>
        <v>173045738.45927504</v>
      </c>
      <c r="M57" s="27">
        <f t="shared" si="0"/>
        <v>0</v>
      </c>
      <c r="N57" s="11"/>
      <c r="O57" s="334"/>
      <c r="P57" s="11"/>
      <c r="Q57" s="11"/>
      <c r="R57" s="26">
        <f t="shared" si="3"/>
        <v>173045738.45927504</v>
      </c>
      <c r="S57" s="27">
        <f t="shared" si="4"/>
        <v>0</v>
      </c>
      <c r="T57" s="11"/>
      <c r="U57" s="11"/>
      <c r="V57" s="26">
        <f t="shared" si="5"/>
        <v>173045738.45927504</v>
      </c>
      <c r="W57" s="27">
        <f t="shared" si="1"/>
        <v>0</v>
      </c>
      <c r="X57" s="4">
        <v>1107</v>
      </c>
      <c r="Y57" s="4"/>
      <c r="Z57" s="4"/>
      <c r="AA57" s="12">
        <f t="shared" si="6"/>
        <v>1</v>
      </c>
      <c r="AC57" s="84"/>
      <c r="AD57" s="84"/>
      <c r="AE57" s="84"/>
      <c r="AF57" s="84"/>
    </row>
    <row r="58" spans="1:32" ht="12.75" customHeight="1">
      <c r="A58" s="24"/>
      <c r="B58" s="105">
        <f t="shared" si="7"/>
        <v>55</v>
      </c>
      <c r="C58" s="6">
        <v>150101</v>
      </c>
      <c r="D58" s="118" t="s">
        <v>1689</v>
      </c>
      <c r="E58" s="9" t="s">
        <v>32</v>
      </c>
      <c r="F58" s="6"/>
      <c r="G58" s="6"/>
      <c r="H58" s="11">
        <f>+STAT1!V58</f>
        <v>289076361.34848863</v>
      </c>
      <c r="I58" s="11">
        <f>+STAT1!W58</f>
        <v>0</v>
      </c>
      <c r="J58" s="11">
        <f>+SUMIFS(JURNAL!G:G,JURNAL!E:E,C58,JURNAL!C:C,"&gt;="&amp;$H$1,JURNAL!C:C,"&lt;="&amp;$I$1)</f>
        <v>178934565.5</v>
      </c>
      <c r="K58" s="11">
        <f>+SUMIFS(JURNAL!H:H,JURNAL!E:E,C58,JURNAL!C:C,"&gt;="&amp;$H$1,JURNAL!C:C,"&lt;="&amp;$I$1)</f>
        <v>48733270.699951157</v>
      </c>
      <c r="L58" s="26">
        <f t="shared" si="2"/>
        <v>419277656.14853746</v>
      </c>
      <c r="M58" s="27">
        <f t="shared" si="0"/>
        <v>0</v>
      </c>
      <c r="N58" s="11"/>
      <c r="O58" s="334"/>
      <c r="P58" s="11"/>
      <c r="Q58" s="11"/>
      <c r="R58" s="26">
        <f t="shared" si="3"/>
        <v>419277656.14853746</v>
      </c>
      <c r="S58" s="27">
        <f t="shared" si="4"/>
        <v>0</v>
      </c>
      <c r="T58" s="11"/>
      <c r="U58" s="11"/>
      <c r="V58" s="26">
        <f t="shared" si="5"/>
        <v>419277656.14853746</v>
      </c>
      <c r="W58" s="27">
        <f t="shared" si="1"/>
        <v>0</v>
      </c>
      <c r="X58" s="4">
        <v>1107</v>
      </c>
      <c r="Y58" s="4"/>
      <c r="Z58" s="4"/>
      <c r="AA58" s="12">
        <f t="shared" si="6"/>
        <v>1</v>
      </c>
      <c r="AC58" s="84"/>
      <c r="AD58" s="84"/>
      <c r="AE58" s="84"/>
      <c r="AF58" s="84"/>
    </row>
    <row r="59" spans="1:32" ht="12.75" customHeight="1">
      <c r="A59" s="24"/>
      <c r="B59" s="105">
        <f t="shared" si="7"/>
        <v>56</v>
      </c>
      <c r="C59" s="6">
        <v>150102</v>
      </c>
      <c r="D59" s="118" t="s">
        <v>1690</v>
      </c>
      <c r="E59" s="9" t="s">
        <v>32</v>
      </c>
      <c r="F59" s="6"/>
      <c r="G59" s="6"/>
      <c r="H59" s="11">
        <f>+STAT1!V59</f>
        <v>0</v>
      </c>
      <c r="I59" s="11">
        <f>+STAT1!W59</f>
        <v>0</v>
      </c>
      <c r="J59" s="11">
        <f>+SUMIFS(JURNAL!G:G,JURNAL!E:E,C59,JURNAL!C:C,"&gt;="&amp;$H$1,JURNAL!C:C,"&lt;="&amp;$I$1)</f>
        <v>0</v>
      </c>
      <c r="K59" s="11">
        <f>+SUMIFS(JURNAL!H:H,JURNAL!E:E,C59,JURNAL!C:C,"&gt;="&amp;$H$1,JURNAL!C:C,"&lt;="&amp;$I$1)</f>
        <v>0</v>
      </c>
      <c r="L59" s="26">
        <f t="shared" si="2"/>
        <v>0</v>
      </c>
      <c r="M59" s="27">
        <f t="shared" si="0"/>
        <v>0</v>
      </c>
      <c r="N59" s="11"/>
      <c r="O59" s="334"/>
      <c r="P59" s="11"/>
      <c r="Q59" s="11"/>
      <c r="R59" s="26">
        <f t="shared" si="3"/>
        <v>0</v>
      </c>
      <c r="S59" s="27">
        <f t="shared" si="4"/>
        <v>0</v>
      </c>
      <c r="T59" s="11"/>
      <c r="U59" s="11"/>
      <c r="V59" s="26">
        <f t="shared" si="5"/>
        <v>0</v>
      </c>
      <c r="W59" s="27">
        <f t="shared" si="1"/>
        <v>0</v>
      </c>
      <c r="X59" s="4">
        <v>1107</v>
      </c>
      <c r="Y59" s="4"/>
      <c r="Z59" s="4"/>
      <c r="AA59" s="12">
        <f t="shared" si="6"/>
        <v>0</v>
      </c>
      <c r="AC59" s="84"/>
      <c r="AD59" s="84"/>
      <c r="AE59" s="84"/>
      <c r="AF59" s="84"/>
    </row>
    <row r="60" spans="1:32" ht="12.75" customHeight="1">
      <c r="A60" s="24"/>
      <c r="B60" s="105">
        <f t="shared" si="7"/>
        <v>57</v>
      </c>
      <c r="C60" s="6">
        <v>151100</v>
      </c>
      <c r="D60" s="118" t="s">
        <v>1691</v>
      </c>
      <c r="E60" s="9" t="s">
        <v>32</v>
      </c>
      <c r="F60" s="6"/>
      <c r="G60" s="6"/>
      <c r="H60" s="11">
        <f>+STAT1!V60</f>
        <v>0</v>
      </c>
      <c r="I60" s="11">
        <f>+STAT1!W60</f>
        <v>0</v>
      </c>
      <c r="J60" s="11">
        <f>+SUMIFS(JURNAL!G:G,JURNAL!E:E,C60,JURNAL!C:C,"&gt;="&amp;$H$1,JURNAL!C:C,"&lt;="&amp;$I$1)</f>
        <v>0</v>
      </c>
      <c r="K60" s="11">
        <f>+SUMIFS(JURNAL!H:H,JURNAL!E:E,C60,JURNAL!C:C,"&gt;="&amp;$H$1,JURNAL!C:C,"&lt;="&amp;$I$1)</f>
        <v>0</v>
      </c>
      <c r="L60" s="26">
        <f t="shared" si="2"/>
        <v>0</v>
      </c>
      <c r="M60" s="27">
        <f t="shared" si="0"/>
        <v>0</v>
      </c>
      <c r="N60" s="11"/>
      <c r="O60" s="334"/>
      <c r="P60" s="11"/>
      <c r="Q60" s="11"/>
      <c r="R60" s="26">
        <f t="shared" si="3"/>
        <v>0</v>
      </c>
      <c r="S60" s="27">
        <f t="shared" si="4"/>
        <v>0</v>
      </c>
      <c r="T60" s="11"/>
      <c r="U60" s="11"/>
      <c r="V60" s="26">
        <f t="shared" si="5"/>
        <v>0</v>
      </c>
      <c r="W60" s="27">
        <f t="shared" si="1"/>
        <v>0</v>
      </c>
      <c r="X60" s="4">
        <v>1107</v>
      </c>
      <c r="Y60" s="4"/>
      <c r="Z60" s="4"/>
      <c r="AA60" s="12">
        <f t="shared" si="6"/>
        <v>0</v>
      </c>
      <c r="AC60" s="84"/>
      <c r="AD60" s="84"/>
      <c r="AE60" s="84"/>
      <c r="AF60" s="84"/>
    </row>
    <row r="61" spans="1:32" ht="12.75" customHeight="1">
      <c r="A61" s="24"/>
      <c r="B61" s="105">
        <f t="shared" si="7"/>
        <v>58</v>
      </c>
      <c r="C61" s="6">
        <v>151101</v>
      </c>
      <c r="D61" s="118" t="s">
        <v>1692</v>
      </c>
      <c r="E61" s="9" t="s">
        <v>32</v>
      </c>
      <c r="F61" s="6"/>
      <c r="G61" s="6"/>
      <c r="H61" s="11">
        <f>+STAT1!V61</f>
        <v>0</v>
      </c>
      <c r="I61" s="11">
        <f>+STAT1!W61</f>
        <v>0</v>
      </c>
      <c r="J61" s="11">
        <f>+SUMIFS(JURNAL!G:G,JURNAL!E:E,C61,JURNAL!C:C,"&gt;="&amp;$H$1,JURNAL!C:C,"&lt;="&amp;$I$1)</f>
        <v>0</v>
      </c>
      <c r="K61" s="11">
        <f>+SUMIFS(JURNAL!H:H,JURNAL!E:E,C61,JURNAL!C:C,"&gt;="&amp;$H$1,JURNAL!C:C,"&lt;="&amp;$I$1)</f>
        <v>0</v>
      </c>
      <c r="L61" s="26">
        <f t="shared" si="2"/>
        <v>0</v>
      </c>
      <c r="M61" s="27">
        <f t="shared" si="0"/>
        <v>0</v>
      </c>
      <c r="N61" s="11"/>
      <c r="O61" s="334"/>
      <c r="P61" s="11"/>
      <c r="Q61" s="11"/>
      <c r="R61" s="26">
        <f t="shared" si="3"/>
        <v>0</v>
      </c>
      <c r="S61" s="27">
        <f t="shared" si="4"/>
        <v>0</v>
      </c>
      <c r="T61" s="11"/>
      <c r="U61" s="11"/>
      <c r="V61" s="26">
        <f t="shared" si="5"/>
        <v>0</v>
      </c>
      <c r="W61" s="27">
        <f t="shared" si="1"/>
        <v>0</v>
      </c>
      <c r="X61" s="4">
        <v>1107</v>
      </c>
      <c r="Y61" s="4"/>
      <c r="Z61" s="4"/>
      <c r="AA61" s="12">
        <f t="shared" si="6"/>
        <v>0</v>
      </c>
      <c r="AC61" s="84"/>
      <c r="AD61" s="84"/>
      <c r="AE61" s="84"/>
      <c r="AF61" s="84"/>
    </row>
    <row r="62" spans="1:32" ht="12.75" customHeight="1">
      <c r="A62" s="24"/>
      <c r="B62" s="105">
        <f t="shared" si="7"/>
        <v>59</v>
      </c>
      <c r="C62" s="6">
        <v>160100</v>
      </c>
      <c r="D62" s="118" t="s">
        <v>961</v>
      </c>
      <c r="E62" s="9" t="s">
        <v>32</v>
      </c>
      <c r="F62" s="6"/>
      <c r="G62" s="6"/>
      <c r="H62" s="11">
        <f>+STAT1!V62</f>
        <v>157485512.69820002</v>
      </c>
      <c r="I62" s="11">
        <f>+STAT1!W62</f>
        <v>0</v>
      </c>
      <c r="J62" s="11">
        <f>+SUMIFS(JURNAL!G:G,JURNAL!E:E,C62,JURNAL!C:C,"&gt;="&amp;$H$1,JURNAL!C:C,"&lt;="&amp;$I$1)</f>
        <v>12800554.547904545</v>
      </c>
      <c r="K62" s="11">
        <f>+SUMIFS(JURNAL!H:H,JURNAL!E:E,C62,JURNAL!C:C,"&gt;="&amp;$H$1,JURNAL!C:C,"&lt;="&amp;$I$1)</f>
        <v>4020390</v>
      </c>
      <c r="L62" s="26">
        <f t="shared" si="2"/>
        <v>166265677.24610457</v>
      </c>
      <c r="M62" s="27">
        <f t="shared" si="0"/>
        <v>0</v>
      </c>
      <c r="N62" s="11"/>
      <c r="O62" s="334"/>
      <c r="P62" s="11"/>
      <c r="Q62" s="11"/>
      <c r="R62" s="26">
        <f t="shared" si="3"/>
        <v>166265677.24610457</v>
      </c>
      <c r="S62" s="27">
        <f t="shared" si="4"/>
        <v>0</v>
      </c>
      <c r="T62" s="11"/>
      <c r="U62" s="11"/>
      <c r="V62" s="26">
        <f t="shared" si="5"/>
        <v>166265677.24610457</v>
      </c>
      <c r="W62" s="27">
        <f t="shared" si="1"/>
        <v>0</v>
      </c>
      <c r="X62" s="4">
        <v>1107</v>
      </c>
      <c r="Y62" s="4"/>
      <c r="Z62" s="4"/>
      <c r="AA62" s="12">
        <f t="shared" si="6"/>
        <v>1</v>
      </c>
      <c r="AC62" s="84"/>
      <c r="AD62" s="84"/>
      <c r="AE62" s="84"/>
      <c r="AF62" s="84"/>
    </row>
    <row r="63" spans="1:32" ht="12.75" customHeight="1">
      <c r="A63" s="24"/>
      <c r="B63" s="105">
        <f t="shared" si="7"/>
        <v>60</v>
      </c>
      <c r="C63" s="6">
        <v>160200</v>
      </c>
      <c r="D63" s="118" t="s">
        <v>628</v>
      </c>
      <c r="E63" s="9" t="s">
        <v>32</v>
      </c>
      <c r="F63" s="6"/>
      <c r="G63" s="6"/>
      <c r="H63" s="11">
        <f>+STAT1!V63</f>
        <v>8026825.0354545452</v>
      </c>
      <c r="I63" s="11">
        <f>+STAT1!W63</f>
        <v>0</v>
      </c>
      <c r="J63" s="11">
        <f>+SUMIFS(JURNAL!G:G,JURNAL!E:E,C63,JURNAL!C:C,"&gt;="&amp;$H$1,JURNAL!C:C,"&lt;="&amp;$I$1)</f>
        <v>0</v>
      </c>
      <c r="K63" s="11">
        <f>+SUMIFS(JURNAL!H:H,JURNAL!E:E,C63,JURNAL!C:C,"&gt;="&amp;$H$1,JURNAL!C:C,"&lt;="&amp;$I$1)</f>
        <v>986524.54545454541</v>
      </c>
      <c r="L63" s="26">
        <f t="shared" si="2"/>
        <v>7040300.4900000002</v>
      </c>
      <c r="M63" s="27">
        <f t="shared" si="0"/>
        <v>0</v>
      </c>
      <c r="N63" s="11"/>
      <c r="O63" s="334"/>
      <c r="P63" s="11"/>
      <c r="Q63" s="11"/>
      <c r="R63" s="26">
        <f t="shared" si="3"/>
        <v>7040300.4900000002</v>
      </c>
      <c r="S63" s="27">
        <f t="shared" si="4"/>
        <v>0</v>
      </c>
      <c r="T63" s="11"/>
      <c r="U63" s="11"/>
      <c r="V63" s="26">
        <f t="shared" si="5"/>
        <v>7040300.4900000002</v>
      </c>
      <c r="W63" s="27">
        <f t="shared" si="1"/>
        <v>0</v>
      </c>
      <c r="X63" s="4">
        <v>1107</v>
      </c>
      <c r="Y63" s="4"/>
      <c r="Z63" s="4"/>
      <c r="AA63" s="12">
        <f t="shared" si="6"/>
        <v>1</v>
      </c>
      <c r="AC63" s="84"/>
      <c r="AD63" s="84"/>
      <c r="AE63" s="84"/>
      <c r="AF63" s="84"/>
    </row>
    <row r="64" spans="1:32" ht="12.75" customHeight="1">
      <c r="A64" s="24"/>
      <c r="B64" s="105">
        <f t="shared" si="7"/>
        <v>61</v>
      </c>
      <c r="C64" s="6">
        <v>160201</v>
      </c>
      <c r="D64" s="118" t="s">
        <v>1693</v>
      </c>
      <c r="E64" s="9" t="s">
        <v>32</v>
      </c>
      <c r="F64" s="6"/>
      <c r="G64" s="6"/>
      <c r="H64" s="11">
        <f>+STAT1!V64</f>
        <v>375918.56594085693</v>
      </c>
      <c r="I64" s="11">
        <f>+STAT1!W64</f>
        <v>0</v>
      </c>
      <c r="J64" s="11">
        <f>+SUMIFS(JURNAL!G:G,JURNAL!E:E,C64,JURNAL!C:C,"&gt;="&amp;$H$1,JURNAL!C:C,"&lt;="&amp;$I$1)</f>
        <v>0</v>
      </c>
      <c r="K64" s="11">
        <f>+SUMIFS(JURNAL!H:H,JURNAL!E:E,C64,JURNAL!C:C,"&gt;="&amp;$H$1,JURNAL!C:C,"&lt;="&amp;$I$1)</f>
        <v>0</v>
      </c>
      <c r="L64" s="26">
        <f t="shared" si="2"/>
        <v>375918.56594085693</v>
      </c>
      <c r="M64" s="27">
        <f t="shared" si="0"/>
        <v>0</v>
      </c>
      <c r="N64" s="11"/>
      <c r="O64" s="334"/>
      <c r="P64" s="11"/>
      <c r="Q64" s="11"/>
      <c r="R64" s="26">
        <f t="shared" si="3"/>
        <v>375918.56594085693</v>
      </c>
      <c r="S64" s="27">
        <f t="shared" si="4"/>
        <v>0</v>
      </c>
      <c r="T64" s="11"/>
      <c r="U64" s="11"/>
      <c r="V64" s="26">
        <f t="shared" si="5"/>
        <v>375918.56594085693</v>
      </c>
      <c r="W64" s="27">
        <f t="shared" si="1"/>
        <v>0</v>
      </c>
      <c r="X64" s="4">
        <v>1107</v>
      </c>
      <c r="Y64" s="4"/>
      <c r="Z64" s="4"/>
      <c r="AA64" s="12">
        <f t="shared" si="6"/>
        <v>1</v>
      </c>
      <c r="AC64" s="84"/>
      <c r="AD64" s="84"/>
      <c r="AE64" s="84"/>
      <c r="AF64" s="84"/>
    </row>
    <row r="65" spans="1:32" ht="12.75" customHeight="1">
      <c r="A65" s="24"/>
      <c r="B65" s="105">
        <f t="shared" si="7"/>
        <v>62</v>
      </c>
      <c r="C65" s="6">
        <v>160300</v>
      </c>
      <c r="D65" s="118" t="s">
        <v>962</v>
      </c>
      <c r="E65" s="9" t="s">
        <v>32</v>
      </c>
      <c r="F65" s="6"/>
      <c r="G65" s="6"/>
      <c r="H65" s="11">
        <f>+STAT1!V65</f>
        <v>0</v>
      </c>
      <c r="I65" s="11">
        <f>+STAT1!W65</f>
        <v>0</v>
      </c>
      <c r="J65" s="11">
        <f>+SUMIFS(JURNAL!G:G,JURNAL!E:E,C65,JURNAL!C:C,"&gt;="&amp;$H$1,JURNAL!C:C,"&lt;="&amp;$I$1)</f>
        <v>0</v>
      </c>
      <c r="K65" s="11">
        <f>+SUMIFS(JURNAL!H:H,JURNAL!E:E,C65,JURNAL!C:C,"&gt;="&amp;$H$1,JURNAL!C:C,"&lt;="&amp;$I$1)</f>
        <v>0</v>
      </c>
      <c r="L65" s="26">
        <f t="shared" si="2"/>
        <v>0</v>
      </c>
      <c r="M65" s="27">
        <f t="shared" si="0"/>
        <v>0</v>
      </c>
      <c r="N65" s="11"/>
      <c r="O65" s="334"/>
      <c r="P65" s="11"/>
      <c r="Q65" s="11"/>
      <c r="R65" s="26">
        <f t="shared" si="3"/>
        <v>0</v>
      </c>
      <c r="S65" s="27">
        <f t="shared" si="4"/>
        <v>0</v>
      </c>
      <c r="T65" s="11"/>
      <c r="U65" s="11"/>
      <c r="V65" s="26">
        <f t="shared" si="5"/>
        <v>0</v>
      </c>
      <c r="W65" s="27">
        <f t="shared" si="1"/>
        <v>0</v>
      </c>
      <c r="X65" s="4">
        <v>1107</v>
      </c>
      <c r="Y65" s="4"/>
      <c r="Z65" s="4"/>
      <c r="AA65" s="12">
        <f t="shared" si="6"/>
        <v>0</v>
      </c>
      <c r="AC65" s="84"/>
      <c r="AD65" s="84"/>
      <c r="AE65" s="84"/>
      <c r="AF65" s="84"/>
    </row>
    <row r="66" spans="1:32" ht="12.75" customHeight="1">
      <c r="A66" s="24"/>
      <c r="B66" s="105">
        <f t="shared" si="7"/>
        <v>63</v>
      </c>
      <c r="C66" s="6">
        <v>150500</v>
      </c>
      <c r="D66" s="118" t="s">
        <v>631</v>
      </c>
      <c r="E66" s="9" t="s">
        <v>32</v>
      </c>
      <c r="F66" s="6"/>
      <c r="G66" s="6"/>
      <c r="H66" s="11">
        <f>+STAT1!V66</f>
        <v>0</v>
      </c>
      <c r="I66" s="11">
        <f>+STAT1!W66</f>
        <v>0</v>
      </c>
      <c r="J66" s="11">
        <f>+SUMIFS(JURNAL!G:G,JURNAL!E:E,C66,JURNAL!C:C,"&gt;="&amp;$H$1,JURNAL!C:C,"&lt;="&amp;$I$1)</f>
        <v>0</v>
      </c>
      <c r="K66" s="11">
        <f>+SUMIFS(JURNAL!H:H,JURNAL!E:E,C66,JURNAL!C:C,"&gt;="&amp;$H$1,JURNAL!C:C,"&lt;="&amp;$I$1)</f>
        <v>0</v>
      </c>
      <c r="L66" s="26">
        <f t="shared" si="2"/>
        <v>0</v>
      </c>
      <c r="M66" s="27">
        <f t="shared" si="0"/>
        <v>0</v>
      </c>
      <c r="N66" s="11"/>
      <c r="O66" s="334"/>
      <c r="P66" s="11"/>
      <c r="Q66" s="11"/>
      <c r="R66" s="26">
        <f t="shared" si="3"/>
        <v>0</v>
      </c>
      <c r="S66" s="27">
        <f t="shared" si="4"/>
        <v>0</v>
      </c>
      <c r="T66" s="11"/>
      <c r="U66" s="11"/>
      <c r="V66" s="26">
        <f t="shared" si="5"/>
        <v>0</v>
      </c>
      <c r="W66" s="27">
        <f t="shared" si="1"/>
        <v>0</v>
      </c>
      <c r="X66" s="4">
        <v>1107</v>
      </c>
      <c r="Y66" s="4"/>
      <c r="Z66" s="4"/>
      <c r="AA66" s="12">
        <f t="shared" si="6"/>
        <v>0</v>
      </c>
      <c r="AC66" s="84"/>
      <c r="AD66" s="84"/>
      <c r="AE66" s="84"/>
      <c r="AF66" s="84"/>
    </row>
    <row r="67" spans="1:32" ht="12.75" customHeight="1">
      <c r="A67" s="24"/>
      <c r="B67" s="105">
        <f t="shared" si="7"/>
        <v>64</v>
      </c>
      <c r="C67" s="6">
        <v>150800</v>
      </c>
      <c r="D67" s="118" t="s">
        <v>637</v>
      </c>
      <c r="E67" s="9" t="s">
        <v>32</v>
      </c>
      <c r="F67" s="6"/>
      <c r="G67" s="6"/>
      <c r="H67" s="11">
        <f>+STAT1!V67</f>
        <v>0</v>
      </c>
      <c r="I67" s="11">
        <f>+STAT1!W67</f>
        <v>0</v>
      </c>
      <c r="J67" s="11">
        <f>+SUMIFS(JURNAL!G:G,JURNAL!E:E,C67,JURNAL!C:C,"&gt;="&amp;$H$1,JURNAL!C:C,"&lt;="&amp;$I$1)</f>
        <v>0</v>
      </c>
      <c r="K67" s="11">
        <f>+SUMIFS(JURNAL!H:H,JURNAL!E:E,C67,JURNAL!C:C,"&gt;="&amp;$H$1,JURNAL!C:C,"&lt;="&amp;$I$1)</f>
        <v>0</v>
      </c>
      <c r="L67" s="26">
        <f t="shared" si="2"/>
        <v>0</v>
      </c>
      <c r="M67" s="27">
        <f t="shared" si="0"/>
        <v>0</v>
      </c>
      <c r="N67" s="11"/>
      <c r="O67" s="334"/>
      <c r="P67" s="11"/>
      <c r="Q67" s="11"/>
      <c r="R67" s="26">
        <f t="shared" si="3"/>
        <v>0</v>
      </c>
      <c r="S67" s="27">
        <f t="shared" si="4"/>
        <v>0</v>
      </c>
      <c r="T67" s="11"/>
      <c r="U67" s="11"/>
      <c r="V67" s="26">
        <f t="shared" si="5"/>
        <v>0</v>
      </c>
      <c r="W67" s="27">
        <f t="shared" si="1"/>
        <v>0</v>
      </c>
      <c r="X67" s="4">
        <v>1109</v>
      </c>
      <c r="Y67" s="4"/>
      <c r="Z67" s="4"/>
      <c r="AA67" s="12">
        <f t="shared" si="6"/>
        <v>0</v>
      </c>
      <c r="AC67" s="84"/>
      <c r="AD67" s="84"/>
      <c r="AE67" s="84"/>
      <c r="AF67" s="84"/>
    </row>
    <row r="68" spans="1:32" ht="12.75" customHeight="1">
      <c r="A68" s="24"/>
      <c r="B68" s="105">
        <f t="shared" si="7"/>
        <v>65</v>
      </c>
      <c r="C68" s="6">
        <v>150900</v>
      </c>
      <c r="D68" s="118" t="s">
        <v>643</v>
      </c>
      <c r="E68" s="9" t="s">
        <v>32</v>
      </c>
      <c r="F68" s="6"/>
      <c r="G68" s="6"/>
      <c r="H68" s="11">
        <f>+STAT1!V68</f>
        <v>0</v>
      </c>
      <c r="I68" s="11">
        <f>+STAT1!W68</f>
        <v>0</v>
      </c>
      <c r="J68" s="11">
        <f>+SUMIFS(JURNAL!G:G,JURNAL!E:E,C68,JURNAL!C:C,"&gt;="&amp;$H$1,JURNAL!C:C,"&lt;="&amp;$I$1)</f>
        <v>0</v>
      </c>
      <c r="K68" s="11">
        <f>+SUMIFS(JURNAL!H:H,JURNAL!E:E,C68,JURNAL!C:C,"&gt;="&amp;$H$1,JURNAL!C:C,"&lt;="&amp;$I$1)</f>
        <v>0</v>
      </c>
      <c r="L68" s="26">
        <f t="shared" si="2"/>
        <v>0</v>
      </c>
      <c r="M68" s="27">
        <f t="shared" ref="M68:M131" si="8">+IF((H68+J68)&lt;(I68+K68),(I68+K68)-(H68+J68),0)</f>
        <v>0</v>
      </c>
      <c r="N68" s="11"/>
      <c r="O68" s="334"/>
      <c r="P68" s="11"/>
      <c r="Q68" s="11"/>
      <c r="R68" s="26">
        <f t="shared" si="3"/>
        <v>0</v>
      </c>
      <c r="S68" s="27">
        <f t="shared" si="4"/>
        <v>0</v>
      </c>
      <c r="T68" s="11"/>
      <c r="U68" s="11"/>
      <c r="V68" s="26">
        <f t="shared" si="5"/>
        <v>0</v>
      </c>
      <c r="W68" s="27">
        <f t="shared" ref="W68:W131" si="9">+IF((R68+T68)&lt;(S68+U68),(S68+U68)-(R68+T68),0)</f>
        <v>0</v>
      </c>
      <c r="X68" s="4">
        <v>1110</v>
      </c>
      <c r="Y68" s="4"/>
      <c r="Z68" s="4"/>
      <c r="AA68" s="12">
        <f t="shared" si="6"/>
        <v>0</v>
      </c>
      <c r="AC68" s="84"/>
      <c r="AD68" s="84"/>
      <c r="AE68" s="84"/>
      <c r="AF68" s="84"/>
    </row>
    <row r="69" spans="1:32" ht="12.75" customHeight="1">
      <c r="A69" s="24"/>
      <c r="B69" s="105">
        <f t="shared" si="7"/>
        <v>66</v>
      </c>
      <c r="C69" s="6">
        <v>180100</v>
      </c>
      <c r="D69" s="118" t="s">
        <v>648</v>
      </c>
      <c r="E69" s="9" t="s">
        <v>32</v>
      </c>
      <c r="F69" s="6"/>
      <c r="G69" s="6"/>
      <c r="H69" s="11">
        <f>+STAT1!V69</f>
        <v>50000000</v>
      </c>
      <c r="I69" s="11">
        <f>+STAT1!W69</f>
        <v>0</v>
      </c>
      <c r="J69" s="11">
        <f>+SUMIFS(JURNAL!G:G,JURNAL!E:E,C69,JURNAL!C:C,"&gt;="&amp;$H$1,JURNAL!C:C,"&lt;="&amp;$I$1)</f>
        <v>0</v>
      </c>
      <c r="K69" s="11">
        <f>+SUMIFS(JURNAL!H:H,JURNAL!E:E,C69,JURNAL!C:C,"&gt;="&amp;$H$1,JURNAL!C:C,"&lt;="&amp;$I$1)</f>
        <v>0</v>
      </c>
      <c r="L69" s="26">
        <f t="shared" ref="L69:L132" si="10">+IF((H69+J69)&gt;(I69+K69),(H69+J69)-(I69+K69),0)</f>
        <v>50000000</v>
      </c>
      <c r="M69" s="27">
        <f t="shared" si="8"/>
        <v>0</v>
      </c>
      <c r="N69" s="11"/>
      <c r="O69" s="334"/>
      <c r="P69" s="11"/>
      <c r="Q69" s="11"/>
      <c r="R69" s="26">
        <f t="shared" ref="R69:R132" si="11">+IF((L69+N69)&gt;(M69+O69),(L69+N69)-(M69+O69),0)</f>
        <v>50000000</v>
      </c>
      <c r="S69" s="27">
        <f t="shared" ref="S69:S132" si="12">+IF((L69+N69)&lt;(M69+O69),(M69+O69)-(L69+N69),0)</f>
        <v>0</v>
      </c>
      <c r="T69" s="11"/>
      <c r="U69" s="11"/>
      <c r="V69" s="26">
        <f t="shared" ref="V69:V132" si="13">+IF((R69+T69)&gt;(S69+U69),(R69+T69)-(S69+U69),0)</f>
        <v>50000000</v>
      </c>
      <c r="W69" s="27">
        <f t="shared" si="9"/>
        <v>0</v>
      </c>
      <c r="X69" s="4">
        <v>1108</v>
      </c>
      <c r="Y69" s="4"/>
      <c r="Z69" s="4"/>
      <c r="AA69" s="12">
        <f t="shared" ref="AA69:AA132" si="14">+IF(H69+I69+J69+K69+L69+M69+N69+O69+R69+S69+T69+U69+V69+W69,1,0)</f>
        <v>1</v>
      </c>
      <c r="AC69" s="84"/>
      <c r="AD69" s="84"/>
      <c r="AE69" s="84"/>
      <c r="AF69" s="84"/>
    </row>
    <row r="70" spans="1:32" ht="12.75" customHeight="1">
      <c r="A70" s="24"/>
      <c r="B70" s="105">
        <f t="shared" ref="B70:B133" si="15">+B69+1</f>
        <v>67</v>
      </c>
      <c r="C70" s="6">
        <v>180101</v>
      </c>
      <c r="D70" s="118" t="s">
        <v>963</v>
      </c>
      <c r="E70" s="9" t="s">
        <v>30</v>
      </c>
      <c r="F70" s="6"/>
      <c r="G70" s="6"/>
      <c r="H70" s="11">
        <f>+STAT1!V70</f>
        <v>0.01</v>
      </c>
      <c r="I70" s="11">
        <f>+STAT1!W70</f>
        <v>0</v>
      </c>
      <c r="J70" s="11">
        <f>+SUMIFS(JURNAL!G:G,JURNAL!E:E,C70,JURNAL!C:C,"&gt;="&amp;$H$1,JURNAL!C:C,"&lt;="&amp;$I$1)</f>
        <v>0</v>
      </c>
      <c r="K70" s="11">
        <f>+SUMIFS(JURNAL!H:H,JURNAL!E:E,C70,JURNAL!C:C,"&gt;="&amp;$H$1,JURNAL!C:C,"&lt;="&amp;$I$1)</f>
        <v>0</v>
      </c>
      <c r="L70" s="26">
        <f t="shared" si="10"/>
        <v>0.01</v>
      </c>
      <c r="M70" s="27">
        <f t="shared" si="8"/>
        <v>0</v>
      </c>
      <c r="N70" s="11"/>
      <c r="O70" s="334"/>
      <c r="P70" s="11"/>
      <c r="Q70" s="11"/>
      <c r="R70" s="26">
        <f t="shared" si="11"/>
        <v>0.01</v>
      </c>
      <c r="S70" s="27">
        <f t="shared" si="12"/>
        <v>0</v>
      </c>
      <c r="T70" s="11"/>
      <c r="U70" s="11"/>
      <c r="V70" s="26">
        <f t="shared" si="13"/>
        <v>0.01</v>
      </c>
      <c r="W70" s="27">
        <f t="shared" si="9"/>
        <v>0</v>
      </c>
      <c r="X70" s="4">
        <v>1108</v>
      </c>
      <c r="Y70" s="4"/>
      <c r="Z70" s="4"/>
      <c r="AA70" s="12">
        <f t="shared" si="14"/>
        <v>1</v>
      </c>
      <c r="AC70" s="84"/>
      <c r="AD70" s="84"/>
      <c r="AE70" s="84"/>
      <c r="AF70" s="84"/>
    </row>
    <row r="71" spans="1:32" ht="12.75" customHeight="1">
      <c r="A71" s="24"/>
      <c r="B71" s="105">
        <f t="shared" si="15"/>
        <v>68</v>
      </c>
      <c r="C71" s="6">
        <v>180200</v>
      </c>
      <c r="D71" s="118" t="s">
        <v>977</v>
      </c>
      <c r="E71" s="9" t="s">
        <v>32</v>
      </c>
      <c r="F71" s="6"/>
      <c r="G71" s="6"/>
      <c r="H71" s="11">
        <f>+STAT1!V71</f>
        <v>5.0002336502075195E-4</v>
      </c>
      <c r="I71" s="11">
        <f>+STAT1!W71</f>
        <v>0</v>
      </c>
      <c r="J71" s="11">
        <f>+SUMIFS(JURNAL!G:G,JURNAL!E:E,C71,JURNAL!C:C,"&gt;="&amp;$H$1,JURNAL!C:C,"&lt;="&amp;$I$1)</f>
        <v>0</v>
      </c>
      <c r="K71" s="11">
        <f>+SUMIFS(JURNAL!H:H,JURNAL!E:E,C71,JURNAL!C:C,"&gt;="&amp;$H$1,JURNAL!C:C,"&lt;="&amp;$I$1)</f>
        <v>0</v>
      </c>
      <c r="L71" s="26">
        <f t="shared" si="10"/>
        <v>5.0002336502075195E-4</v>
      </c>
      <c r="M71" s="27">
        <f t="shared" si="8"/>
        <v>0</v>
      </c>
      <c r="N71" s="11"/>
      <c r="O71" s="334"/>
      <c r="P71" s="11"/>
      <c r="Q71" s="11"/>
      <c r="R71" s="26">
        <f t="shared" si="11"/>
        <v>5.0002336502075195E-4</v>
      </c>
      <c r="S71" s="27">
        <f t="shared" si="12"/>
        <v>0</v>
      </c>
      <c r="T71" s="11"/>
      <c r="U71" s="11"/>
      <c r="V71" s="26">
        <f t="shared" si="13"/>
        <v>5.0002336502075195E-4</v>
      </c>
      <c r="W71" s="27">
        <f t="shared" si="9"/>
        <v>0</v>
      </c>
      <c r="X71" s="4">
        <v>1108</v>
      </c>
      <c r="Y71" s="4"/>
      <c r="Z71" s="4"/>
      <c r="AA71" s="12">
        <f t="shared" si="14"/>
        <v>1</v>
      </c>
      <c r="AC71" s="84"/>
      <c r="AD71" s="84"/>
      <c r="AE71" s="84"/>
      <c r="AF71" s="84"/>
    </row>
    <row r="72" spans="1:32" ht="12.75" customHeight="1">
      <c r="A72" s="24"/>
      <c r="B72" s="105">
        <f t="shared" si="15"/>
        <v>69</v>
      </c>
      <c r="C72" s="6">
        <v>180300</v>
      </c>
      <c r="D72" s="118" t="s">
        <v>964</v>
      </c>
      <c r="E72" s="9" t="s">
        <v>30</v>
      </c>
      <c r="F72" s="6"/>
      <c r="G72" s="6"/>
      <c r="H72" s="11">
        <f>+STAT1!V72</f>
        <v>0</v>
      </c>
      <c r="I72" s="11">
        <f>+STAT1!W72</f>
        <v>0</v>
      </c>
      <c r="J72" s="11">
        <f>+SUMIFS(JURNAL!G:G,JURNAL!E:E,C72,JURNAL!C:C,"&gt;="&amp;$H$1,JURNAL!C:C,"&lt;="&amp;$I$1)</f>
        <v>0</v>
      </c>
      <c r="K72" s="11">
        <f>+SUMIFS(JURNAL!H:H,JURNAL!E:E,C72,JURNAL!C:C,"&gt;="&amp;$H$1,JURNAL!C:C,"&lt;="&amp;$I$1)</f>
        <v>0</v>
      </c>
      <c r="L72" s="26">
        <f t="shared" si="10"/>
        <v>0</v>
      </c>
      <c r="M72" s="27">
        <f t="shared" si="8"/>
        <v>0</v>
      </c>
      <c r="N72" s="11"/>
      <c r="O72" s="334"/>
      <c r="P72" s="11"/>
      <c r="Q72" s="11"/>
      <c r="R72" s="26">
        <f t="shared" si="11"/>
        <v>0</v>
      </c>
      <c r="S72" s="27">
        <f t="shared" si="12"/>
        <v>0</v>
      </c>
      <c r="T72" s="11"/>
      <c r="U72" s="11"/>
      <c r="V72" s="26">
        <f t="shared" si="13"/>
        <v>0</v>
      </c>
      <c r="W72" s="27">
        <f t="shared" si="9"/>
        <v>0</v>
      </c>
      <c r="X72" s="4">
        <v>1108</v>
      </c>
      <c r="Y72" s="4"/>
      <c r="Z72" s="4"/>
      <c r="AA72" s="12">
        <f t="shared" si="14"/>
        <v>0</v>
      </c>
      <c r="AC72" s="84"/>
      <c r="AD72" s="84"/>
      <c r="AE72" s="84"/>
      <c r="AF72" s="84"/>
    </row>
    <row r="73" spans="1:32" ht="12.75" customHeight="1">
      <c r="A73" s="24"/>
      <c r="B73" s="105">
        <f t="shared" si="15"/>
        <v>70</v>
      </c>
      <c r="C73" s="6">
        <v>180400</v>
      </c>
      <c r="D73" s="118" t="s">
        <v>656</v>
      </c>
      <c r="E73" s="9" t="s">
        <v>32</v>
      </c>
      <c r="F73" s="6"/>
      <c r="G73" s="6"/>
      <c r="H73" s="11">
        <f>+STAT1!V73</f>
        <v>0</v>
      </c>
      <c r="I73" s="11">
        <f>+STAT1!W73</f>
        <v>0</v>
      </c>
      <c r="J73" s="11">
        <f>+SUMIFS(JURNAL!G:G,JURNAL!E:E,C73,JURNAL!C:C,"&gt;="&amp;$H$1,JURNAL!C:C,"&lt;="&amp;$I$1)</f>
        <v>0</v>
      </c>
      <c r="K73" s="11">
        <f>+SUMIFS(JURNAL!H:H,JURNAL!E:E,C73,JURNAL!C:C,"&gt;="&amp;$H$1,JURNAL!C:C,"&lt;="&amp;$I$1)</f>
        <v>0</v>
      </c>
      <c r="L73" s="26">
        <f t="shared" si="10"/>
        <v>0</v>
      </c>
      <c r="M73" s="27">
        <f t="shared" si="8"/>
        <v>0</v>
      </c>
      <c r="N73" s="11"/>
      <c r="O73" s="334"/>
      <c r="P73" s="11"/>
      <c r="Q73" s="11"/>
      <c r="R73" s="26">
        <f t="shared" si="11"/>
        <v>0</v>
      </c>
      <c r="S73" s="27">
        <f t="shared" si="12"/>
        <v>0</v>
      </c>
      <c r="T73" s="11"/>
      <c r="U73" s="11"/>
      <c r="V73" s="26">
        <f t="shared" si="13"/>
        <v>0</v>
      </c>
      <c r="W73" s="27">
        <f t="shared" si="9"/>
        <v>0</v>
      </c>
      <c r="X73" s="4">
        <v>1108</v>
      </c>
      <c r="Y73" s="4"/>
      <c r="Z73" s="4"/>
      <c r="AA73" s="12">
        <f t="shared" si="14"/>
        <v>0</v>
      </c>
      <c r="AC73" s="84"/>
      <c r="AD73" s="84"/>
      <c r="AE73" s="84"/>
      <c r="AF73" s="84"/>
    </row>
    <row r="74" spans="1:32" ht="12.75" customHeight="1">
      <c r="A74" s="24"/>
      <c r="B74" s="105">
        <f t="shared" si="15"/>
        <v>71</v>
      </c>
      <c r="C74" s="6">
        <v>200100</v>
      </c>
      <c r="D74" s="118" t="s">
        <v>999</v>
      </c>
      <c r="E74" s="9" t="s">
        <v>32</v>
      </c>
      <c r="F74" s="6"/>
      <c r="G74" s="6"/>
      <c r="H74" s="11">
        <f>+STAT1!V74</f>
        <v>0</v>
      </c>
      <c r="I74" s="11">
        <f>+STAT1!W74</f>
        <v>0</v>
      </c>
      <c r="J74" s="11">
        <f>+SUMIFS(JURNAL!G:G,JURNAL!E:E,C74,JURNAL!C:C,"&gt;="&amp;$H$1,JURNAL!C:C,"&lt;="&amp;$I$1)</f>
        <v>0</v>
      </c>
      <c r="K74" s="11">
        <f>+SUMIFS(JURNAL!H:H,JURNAL!E:E,C74,JURNAL!C:C,"&gt;="&amp;$H$1,JURNAL!C:C,"&lt;="&amp;$I$1)</f>
        <v>0</v>
      </c>
      <c r="L74" s="26">
        <f t="shared" si="10"/>
        <v>0</v>
      </c>
      <c r="M74" s="27">
        <f t="shared" si="8"/>
        <v>0</v>
      </c>
      <c r="N74" s="11"/>
      <c r="O74" s="334"/>
      <c r="P74" s="11"/>
      <c r="Q74" s="11"/>
      <c r="R74" s="26">
        <f t="shared" si="11"/>
        <v>0</v>
      </c>
      <c r="S74" s="27">
        <f t="shared" si="12"/>
        <v>0</v>
      </c>
      <c r="T74" s="11"/>
      <c r="U74" s="11"/>
      <c r="V74" s="26">
        <f t="shared" si="13"/>
        <v>0</v>
      </c>
      <c r="W74" s="27">
        <f t="shared" si="9"/>
        <v>0</v>
      </c>
      <c r="X74" s="4">
        <v>1120</v>
      </c>
      <c r="Y74" s="4"/>
      <c r="Z74" s="4"/>
      <c r="AA74" s="12">
        <f t="shared" si="14"/>
        <v>0</v>
      </c>
      <c r="AC74" s="84"/>
      <c r="AD74" s="84"/>
      <c r="AE74" s="84"/>
      <c r="AF74" s="84"/>
    </row>
    <row r="75" spans="1:32" ht="12.75" customHeight="1">
      <c r="A75" s="24"/>
      <c r="B75" s="105">
        <f t="shared" si="15"/>
        <v>72</v>
      </c>
      <c r="C75" s="6">
        <v>200200</v>
      </c>
      <c r="D75" s="118" t="s">
        <v>664</v>
      </c>
      <c r="E75" s="9" t="s">
        <v>32</v>
      </c>
      <c r="F75" s="6"/>
      <c r="G75" s="6"/>
      <c r="H75" s="11">
        <f>+STAT1!V75</f>
        <v>1172805331</v>
      </c>
      <c r="I75" s="11">
        <f>+STAT1!W75</f>
        <v>0</v>
      </c>
      <c r="J75" s="11">
        <f>+SUMIFS(JURNAL!G:G,JURNAL!E:E,C75,JURNAL!C:C,"&gt;="&amp;$H$1,JURNAL!C:C,"&lt;="&amp;$I$1)</f>
        <v>0</v>
      </c>
      <c r="K75" s="11">
        <f>+SUMIFS(JURNAL!H:H,JURNAL!E:E,C75,JURNAL!C:C,"&gt;="&amp;$H$1,JURNAL!C:C,"&lt;="&amp;$I$1)</f>
        <v>0</v>
      </c>
      <c r="L75" s="26">
        <f t="shared" si="10"/>
        <v>1172805331</v>
      </c>
      <c r="M75" s="27">
        <f t="shared" si="8"/>
        <v>0</v>
      </c>
      <c r="N75" s="11"/>
      <c r="O75" s="334"/>
      <c r="P75" s="11"/>
      <c r="Q75" s="11"/>
      <c r="R75" s="26">
        <f t="shared" si="11"/>
        <v>1172805331</v>
      </c>
      <c r="S75" s="27">
        <f t="shared" si="12"/>
        <v>0</v>
      </c>
      <c r="T75" s="11"/>
      <c r="U75" s="11"/>
      <c r="V75" s="26">
        <f t="shared" si="13"/>
        <v>1172805331</v>
      </c>
      <c r="W75" s="27">
        <f t="shared" si="9"/>
        <v>0</v>
      </c>
      <c r="X75" s="4">
        <v>1120</v>
      </c>
      <c r="Y75" s="4"/>
      <c r="Z75" s="4"/>
      <c r="AA75" s="12">
        <f t="shared" si="14"/>
        <v>1</v>
      </c>
      <c r="AC75" s="84"/>
      <c r="AD75" s="84"/>
      <c r="AE75" s="84"/>
      <c r="AF75" s="84"/>
    </row>
    <row r="76" spans="1:32" ht="12.75" customHeight="1">
      <c r="A76" s="24"/>
      <c r="B76" s="105">
        <f t="shared" si="15"/>
        <v>73</v>
      </c>
      <c r="C76" s="6">
        <v>200300</v>
      </c>
      <c r="D76" s="118" t="s">
        <v>324</v>
      </c>
      <c r="E76" s="9" t="s">
        <v>32</v>
      </c>
      <c r="F76" s="6"/>
      <c r="G76" s="6"/>
      <c r="H76" s="11">
        <f>+STAT1!V76</f>
        <v>8844705.1799999997</v>
      </c>
      <c r="I76" s="11">
        <f>+STAT1!W76</f>
        <v>0</v>
      </c>
      <c r="J76" s="11">
        <f>+SUMIFS(JURNAL!G:G,JURNAL!E:E,C76,JURNAL!C:C,"&gt;="&amp;$H$1,JURNAL!C:C,"&lt;="&amp;$I$1)</f>
        <v>0</v>
      </c>
      <c r="K76" s="11">
        <f>+SUMIFS(JURNAL!H:H,JURNAL!E:E,C76,JURNAL!C:C,"&gt;="&amp;$H$1,JURNAL!C:C,"&lt;="&amp;$I$1)</f>
        <v>0</v>
      </c>
      <c r="L76" s="26">
        <f t="shared" si="10"/>
        <v>8844705.1799999997</v>
      </c>
      <c r="M76" s="27">
        <f t="shared" si="8"/>
        <v>0</v>
      </c>
      <c r="N76" s="11"/>
      <c r="O76" s="334"/>
      <c r="P76" s="11"/>
      <c r="Q76" s="11"/>
      <c r="R76" s="26">
        <f t="shared" si="11"/>
        <v>8844705.1799999997</v>
      </c>
      <c r="S76" s="27">
        <f t="shared" si="12"/>
        <v>0</v>
      </c>
      <c r="T76" s="11"/>
      <c r="U76" s="11"/>
      <c r="V76" s="26">
        <f t="shared" si="13"/>
        <v>8844705.1799999997</v>
      </c>
      <c r="W76" s="27">
        <f t="shared" si="9"/>
        <v>0</v>
      </c>
      <c r="X76" s="4">
        <v>1120</v>
      </c>
      <c r="Y76" s="4"/>
      <c r="Z76" s="4"/>
      <c r="AA76" s="12">
        <f t="shared" si="14"/>
        <v>1</v>
      </c>
      <c r="AC76" s="84"/>
      <c r="AD76" s="84"/>
      <c r="AE76" s="84"/>
      <c r="AF76" s="84"/>
    </row>
    <row r="77" spans="1:32" ht="12.75" customHeight="1">
      <c r="A77" s="24"/>
      <c r="B77" s="105">
        <f t="shared" si="15"/>
        <v>74</v>
      </c>
      <c r="C77" s="6">
        <v>200400</v>
      </c>
      <c r="D77" s="118" t="s">
        <v>670</v>
      </c>
      <c r="E77" s="9" t="s">
        <v>32</v>
      </c>
      <c r="F77" s="6"/>
      <c r="G77" s="6"/>
      <c r="H77" s="11">
        <f>+STAT1!V77</f>
        <v>709587375.44000006</v>
      </c>
      <c r="I77" s="11">
        <f>+STAT1!W77</f>
        <v>0</v>
      </c>
      <c r="J77" s="11">
        <f>+SUMIFS(JURNAL!G:G,JURNAL!E:E,C77,JURNAL!C:C,"&gt;="&amp;$H$1,JURNAL!C:C,"&lt;="&amp;$I$1)</f>
        <v>0</v>
      </c>
      <c r="K77" s="11">
        <f>+SUMIFS(JURNAL!H:H,JURNAL!E:E,C77,JURNAL!C:C,"&gt;="&amp;$H$1,JURNAL!C:C,"&lt;="&amp;$I$1)</f>
        <v>0</v>
      </c>
      <c r="L77" s="26">
        <f t="shared" si="10"/>
        <v>709587375.44000006</v>
      </c>
      <c r="M77" s="27">
        <f t="shared" si="8"/>
        <v>0</v>
      </c>
      <c r="N77" s="11"/>
      <c r="O77" s="334"/>
      <c r="P77" s="11"/>
      <c r="Q77" s="11"/>
      <c r="R77" s="26">
        <f t="shared" si="11"/>
        <v>709587375.44000006</v>
      </c>
      <c r="S77" s="27">
        <f t="shared" si="12"/>
        <v>0</v>
      </c>
      <c r="T77" s="11"/>
      <c r="U77" s="11"/>
      <c r="V77" s="26">
        <f t="shared" si="13"/>
        <v>709587375.44000006</v>
      </c>
      <c r="W77" s="27">
        <f t="shared" si="9"/>
        <v>0</v>
      </c>
      <c r="X77" s="4">
        <v>1120</v>
      </c>
      <c r="Y77" s="4"/>
      <c r="Z77" s="4"/>
      <c r="AA77" s="12">
        <f t="shared" si="14"/>
        <v>1</v>
      </c>
      <c r="AC77" s="84"/>
      <c r="AD77" s="84"/>
      <c r="AE77" s="84"/>
      <c r="AF77" s="84"/>
    </row>
    <row r="78" spans="1:32" ht="12.75" customHeight="1">
      <c r="A78" s="24"/>
      <c r="B78" s="105">
        <f t="shared" si="15"/>
        <v>75</v>
      </c>
      <c r="C78" s="6">
        <v>200500</v>
      </c>
      <c r="D78" s="118" t="s">
        <v>674</v>
      </c>
      <c r="E78" s="9" t="s">
        <v>32</v>
      </c>
      <c r="F78" s="6"/>
      <c r="G78" s="6"/>
      <c r="H78" s="11">
        <f>+STAT1!V78</f>
        <v>174300000</v>
      </c>
      <c r="I78" s="11">
        <f>+STAT1!W78</f>
        <v>0</v>
      </c>
      <c r="J78" s="11">
        <f>+SUMIFS(JURNAL!G:G,JURNAL!E:E,C78,JURNAL!C:C,"&gt;="&amp;$H$1,JURNAL!C:C,"&lt;="&amp;$I$1)</f>
        <v>0</v>
      </c>
      <c r="K78" s="11">
        <f>+SUMIFS(JURNAL!H:H,JURNAL!E:E,C78,JURNAL!C:C,"&gt;="&amp;$H$1,JURNAL!C:C,"&lt;="&amp;$I$1)</f>
        <v>0</v>
      </c>
      <c r="L78" s="26">
        <f t="shared" si="10"/>
        <v>174300000</v>
      </c>
      <c r="M78" s="27">
        <f t="shared" si="8"/>
        <v>0</v>
      </c>
      <c r="N78" s="11"/>
      <c r="O78" s="334"/>
      <c r="P78" s="11"/>
      <c r="Q78" s="11"/>
      <c r="R78" s="26">
        <f t="shared" si="11"/>
        <v>174300000</v>
      </c>
      <c r="S78" s="27">
        <f t="shared" si="12"/>
        <v>0</v>
      </c>
      <c r="T78" s="11"/>
      <c r="U78" s="11"/>
      <c r="V78" s="26">
        <f t="shared" si="13"/>
        <v>174300000</v>
      </c>
      <c r="W78" s="27">
        <f t="shared" si="9"/>
        <v>0</v>
      </c>
      <c r="X78" s="4">
        <v>1120</v>
      </c>
      <c r="Y78" s="4"/>
      <c r="Z78" s="4"/>
      <c r="AA78" s="12">
        <f t="shared" si="14"/>
        <v>1</v>
      </c>
      <c r="AC78" s="84"/>
      <c r="AD78" s="84"/>
      <c r="AE78" s="84"/>
      <c r="AF78" s="84"/>
    </row>
    <row r="79" spans="1:32" ht="12.75" customHeight="1">
      <c r="A79" s="24"/>
      <c r="B79" s="105">
        <f t="shared" si="15"/>
        <v>76</v>
      </c>
      <c r="C79" s="6">
        <v>201000</v>
      </c>
      <c r="D79" s="118" t="s">
        <v>694</v>
      </c>
      <c r="E79" s="9" t="s">
        <v>32</v>
      </c>
      <c r="F79" s="6"/>
      <c r="G79" s="6"/>
      <c r="H79" s="11">
        <f>+STAT1!V79</f>
        <v>17111038.23</v>
      </c>
      <c r="I79" s="11">
        <f>+STAT1!W79</f>
        <v>0</v>
      </c>
      <c r="J79" s="11">
        <f>+SUMIFS(JURNAL!G:G,JURNAL!E:E,C79,JURNAL!C:C,"&gt;="&amp;$H$1,JURNAL!C:C,"&lt;="&amp;$I$1)</f>
        <v>0</v>
      </c>
      <c r="K79" s="11">
        <f>+SUMIFS(JURNAL!H:H,JURNAL!E:E,C79,JURNAL!C:C,"&gt;="&amp;$H$1,JURNAL!C:C,"&lt;="&amp;$I$1)</f>
        <v>0</v>
      </c>
      <c r="L79" s="26">
        <f t="shared" si="10"/>
        <v>17111038.23</v>
      </c>
      <c r="M79" s="27">
        <f t="shared" si="8"/>
        <v>0</v>
      </c>
      <c r="N79" s="11"/>
      <c r="O79" s="334"/>
      <c r="P79" s="11"/>
      <c r="Q79" s="11"/>
      <c r="R79" s="26">
        <f t="shared" si="11"/>
        <v>17111038.23</v>
      </c>
      <c r="S79" s="27">
        <f t="shared" si="12"/>
        <v>0</v>
      </c>
      <c r="T79" s="11"/>
      <c r="U79" s="11"/>
      <c r="V79" s="26">
        <f t="shared" si="13"/>
        <v>17111038.23</v>
      </c>
      <c r="W79" s="27">
        <f t="shared" si="9"/>
        <v>0</v>
      </c>
      <c r="X79" s="4">
        <v>1120</v>
      </c>
      <c r="Y79" s="4"/>
      <c r="Z79" s="4"/>
      <c r="AA79" s="12">
        <f t="shared" si="14"/>
        <v>1</v>
      </c>
      <c r="AC79" s="84"/>
      <c r="AD79" s="84"/>
      <c r="AE79" s="84"/>
      <c r="AF79" s="84"/>
    </row>
    <row r="80" spans="1:32" ht="12.75" customHeight="1">
      <c r="A80" s="24"/>
      <c r="B80" s="105">
        <f t="shared" si="15"/>
        <v>77</v>
      </c>
      <c r="C80" s="6">
        <v>200201</v>
      </c>
      <c r="D80" s="118" t="s">
        <v>965</v>
      </c>
      <c r="E80" s="9" t="s">
        <v>32</v>
      </c>
      <c r="F80" s="6"/>
      <c r="G80" s="6"/>
      <c r="H80" s="11">
        <f>+STAT1!V80</f>
        <v>0</v>
      </c>
      <c r="I80" s="11">
        <f>+STAT1!W80</f>
        <v>0</v>
      </c>
      <c r="J80" s="11">
        <f>+SUMIFS(JURNAL!G:G,JURNAL!E:E,C80,JURNAL!C:C,"&gt;="&amp;$H$1,JURNAL!C:C,"&lt;="&amp;$I$1)</f>
        <v>0</v>
      </c>
      <c r="K80" s="11">
        <f>+SUMIFS(JURNAL!H:H,JURNAL!E:E,C80,JURNAL!C:C,"&gt;="&amp;$H$1,JURNAL!C:C,"&lt;="&amp;$I$1)</f>
        <v>0</v>
      </c>
      <c r="L80" s="26">
        <f t="shared" si="10"/>
        <v>0</v>
      </c>
      <c r="M80" s="27">
        <f t="shared" si="8"/>
        <v>0</v>
      </c>
      <c r="N80" s="11"/>
      <c r="O80" s="334"/>
      <c r="P80" s="11"/>
      <c r="Q80" s="11"/>
      <c r="R80" s="26">
        <f t="shared" si="11"/>
        <v>0</v>
      </c>
      <c r="S80" s="27">
        <f t="shared" si="12"/>
        <v>0</v>
      </c>
      <c r="T80" s="11"/>
      <c r="U80" s="11"/>
      <c r="V80" s="26">
        <f t="shared" si="13"/>
        <v>0</v>
      </c>
      <c r="W80" s="27">
        <f t="shared" si="9"/>
        <v>0</v>
      </c>
      <c r="X80" s="4">
        <v>1120</v>
      </c>
      <c r="Y80" s="4"/>
      <c r="Z80" s="4"/>
      <c r="AA80" s="12">
        <f t="shared" si="14"/>
        <v>0</v>
      </c>
      <c r="AC80" s="84"/>
      <c r="AD80" s="84"/>
      <c r="AE80" s="84"/>
      <c r="AF80" s="84"/>
    </row>
    <row r="81" spans="1:32" ht="12.75" customHeight="1">
      <c r="A81" s="24"/>
      <c r="B81" s="105">
        <f t="shared" si="15"/>
        <v>78</v>
      </c>
      <c r="C81" s="6">
        <v>200600</v>
      </c>
      <c r="D81" s="118" t="s">
        <v>678</v>
      </c>
      <c r="E81" s="9" t="s">
        <v>32</v>
      </c>
      <c r="F81" s="6"/>
      <c r="G81" s="6"/>
      <c r="H81" s="11">
        <f>+STAT1!V81</f>
        <v>0</v>
      </c>
      <c r="I81" s="11">
        <f>+STAT1!W81</f>
        <v>0</v>
      </c>
      <c r="J81" s="11">
        <f>+SUMIFS(JURNAL!G:G,JURNAL!E:E,C81,JURNAL!C:C,"&gt;="&amp;$H$1,JURNAL!C:C,"&lt;="&amp;$I$1)</f>
        <v>0</v>
      </c>
      <c r="K81" s="11">
        <f>+SUMIFS(JURNAL!H:H,JURNAL!E:E,C81,JURNAL!C:C,"&gt;="&amp;$H$1,JURNAL!C:C,"&lt;="&amp;$I$1)</f>
        <v>0</v>
      </c>
      <c r="L81" s="26">
        <f t="shared" si="10"/>
        <v>0</v>
      </c>
      <c r="M81" s="27">
        <f t="shared" si="8"/>
        <v>0</v>
      </c>
      <c r="N81" s="11"/>
      <c r="O81" s="334"/>
      <c r="P81" s="11"/>
      <c r="Q81" s="11"/>
      <c r="R81" s="26">
        <f t="shared" si="11"/>
        <v>0</v>
      </c>
      <c r="S81" s="27">
        <f t="shared" si="12"/>
        <v>0</v>
      </c>
      <c r="T81" s="11"/>
      <c r="U81" s="11"/>
      <c r="V81" s="26">
        <f t="shared" si="13"/>
        <v>0</v>
      </c>
      <c r="W81" s="27">
        <f t="shared" si="9"/>
        <v>0</v>
      </c>
      <c r="X81" s="4">
        <v>1120</v>
      </c>
      <c r="Y81" s="4"/>
      <c r="Z81" s="4"/>
      <c r="AA81" s="12">
        <f t="shared" si="14"/>
        <v>0</v>
      </c>
      <c r="AC81" s="84"/>
      <c r="AD81" s="84"/>
      <c r="AE81" s="84"/>
      <c r="AF81" s="84"/>
    </row>
    <row r="82" spans="1:32" ht="12.75" customHeight="1">
      <c r="A82" s="24"/>
      <c r="B82" s="105">
        <f t="shared" si="15"/>
        <v>79</v>
      </c>
      <c r="C82" s="6">
        <v>200700</v>
      </c>
      <c r="D82" s="118" t="s">
        <v>978</v>
      </c>
      <c r="E82" s="9" t="s">
        <v>32</v>
      </c>
      <c r="F82" s="6"/>
      <c r="G82" s="6"/>
      <c r="H82" s="11">
        <f>+STAT1!V82</f>
        <v>0</v>
      </c>
      <c r="I82" s="11">
        <f>+STAT1!W82</f>
        <v>0</v>
      </c>
      <c r="J82" s="11">
        <f>+SUMIFS(JURNAL!G:G,JURNAL!E:E,C82,JURNAL!C:C,"&gt;="&amp;$H$1,JURNAL!C:C,"&lt;="&amp;$I$1)</f>
        <v>0</v>
      </c>
      <c r="K82" s="11">
        <f>+SUMIFS(JURNAL!H:H,JURNAL!E:E,C82,JURNAL!C:C,"&gt;="&amp;$H$1,JURNAL!C:C,"&lt;="&amp;$I$1)</f>
        <v>0</v>
      </c>
      <c r="L82" s="26">
        <f t="shared" si="10"/>
        <v>0</v>
      </c>
      <c r="M82" s="27">
        <f t="shared" si="8"/>
        <v>0</v>
      </c>
      <c r="N82" s="11"/>
      <c r="O82" s="334"/>
      <c r="P82" s="11"/>
      <c r="Q82" s="11"/>
      <c r="R82" s="26">
        <f t="shared" si="11"/>
        <v>0</v>
      </c>
      <c r="S82" s="27">
        <f t="shared" si="12"/>
        <v>0</v>
      </c>
      <c r="T82" s="11"/>
      <c r="U82" s="11"/>
      <c r="V82" s="26">
        <f t="shared" si="13"/>
        <v>0</v>
      </c>
      <c r="W82" s="27">
        <f t="shared" si="9"/>
        <v>0</v>
      </c>
      <c r="X82" s="4">
        <v>1128</v>
      </c>
      <c r="Y82" s="4"/>
      <c r="Z82" s="4"/>
      <c r="AA82" s="12">
        <f t="shared" si="14"/>
        <v>0</v>
      </c>
      <c r="AC82" s="84"/>
      <c r="AD82" s="84"/>
      <c r="AE82" s="84"/>
      <c r="AF82" s="84"/>
    </row>
    <row r="83" spans="1:32" ht="12.75" customHeight="1">
      <c r="A83" s="24"/>
      <c r="B83" s="105">
        <f t="shared" si="15"/>
        <v>80</v>
      </c>
      <c r="C83" s="6">
        <v>200800</v>
      </c>
      <c r="D83" s="118" t="s">
        <v>686</v>
      </c>
      <c r="E83" s="9" t="s">
        <v>32</v>
      </c>
      <c r="F83" s="6"/>
      <c r="G83" s="6"/>
      <c r="H83" s="11">
        <f>+STAT1!V83</f>
        <v>0</v>
      </c>
      <c r="I83" s="11">
        <f>+STAT1!W83</f>
        <v>0</v>
      </c>
      <c r="J83" s="11">
        <f>+SUMIFS(JURNAL!G:G,JURNAL!E:E,C83,JURNAL!C:C,"&gt;="&amp;$H$1,JURNAL!C:C,"&lt;="&amp;$I$1)</f>
        <v>0</v>
      </c>
      <c r="K83" s="11">
        <f>+SUMIFS(JURNAL!H:H,JURNAL!E:E,C83,JURNAL!C:C,"&gt;="&amp;$H$1,JURNAL!C:C,"&lt;="&amp;$I$1)</f>
        <v>0</v>
      </c>
      <c r="L83" s="26">
        <f t="shared" si="10"/>
        <v>0</v>
      </c>
      <c r="M83" s="27">
        <f t="shared" si="8"/>
        <v>0</v>
      </c>
      <c r="N83" s="11"/>
      <c r="O83" s="334"/>
      <c r="P83" s="11"/>
      <c r="Q83" s="11"/>
      <c r="R83" s="26">
        <f t="shared" si="11"/>
        <v>0</v>
      </c>
      <c r="S83" s="27">
        <f t="shared" si="12"/>
        <v>0</v>
      </c>
      <c r="T83" s="11"/>
      <c r="U83" s="11"/>
      <c r="V83" s="26">
        <f t="shared" si="13"/>
        <v>0</v>
      </c>
      <c r="W83" s="27">
        <f t="shared" si="9"/>
        <v>0</v>
      </c>
      <c r="X83" s="4">
        <v>1127</v>
      </c>
      <c r="Y83" s="4"/>
      <c r="Z83" s="4"/>
      <c r="AA83" s="12">
        <f t="shared" si="14"/>
        <v>0</v>
      </c>
      <c r="AC83" s="84"/>
      <c r="AD83" s="84"/>
      <c r="AE83" s="84"/>
      <c r="AF83" s="84"/>
    </row>
    <row r="84" spans="1:32" ht="12.75" customHeight="1">
      <c r="A84" s="24"/>
      <c r="B84" s="105">
        <f t="shared" si="15"/>
        <v>81</v>
      </c>
      <c r="C84" s="6">
        <v>200900</v>
      </c>
      <c r="D84" s="118" t="s">
        <v>690</v>
      </c>
      <c r="E84" s="9" t="s">
        <v>32</v>
      </c>
      <c r="F84" s="6"/>
      <c r="G84" s="6"/>
      <c r="H84" s="11">
        <f>+STAT1!V84</f>
        <v>0</v>
      </c>
      <c r="I84" s="11">
        <f>+STAT1!W84</f>
        <v>0</v>
      </c>
      <c r="J84" s="11">
        <f>+SUMIFS(JURNAL!G:G,JURNAL!E:E,C84,JURNAL!C:C,"&gt;="&amp;$H$1,JURNAL!C:C,"&lt;="&amp;$I$1)</f>
        <v>0</v>
      </c>
      <c r="K84" s="11">
        <f>+SUMIFS(JURNAL!H:H,JURNAL!E:E,C84,JURNAL!C:C,"&gt;="&amp;$H$1,JURNAL!C:C,"&lt;="&amp;$I$1)</f>
        <v>0</v>
      </c>
      <c r="L84" s="26">
        <f t="shared" si="10"/>
        <v>0</v>
      </c>
      <c r="M84" s="27">
        <f t="shared" si="8"/>
        <v>0</v>
      </c>
      <c r="N84" s="11"/>
      <c r="O84" s="334"/>
      <c r="P84" s="11"/>
      <c r="Q84" s="11"/>
      <c r="R84" s="26">
        <f t="shared" si="11"/>
        <v>0</v>
      </c>
      <c r="S84" s="27">
        <f t="shared" si="12"/>
        <v>0</v>
      </c>
      <c r="T84" s="11"/>
      <c r="U84" s="11"/>
      <c r="V84" s="26">
        <f t="shared" si="13"/>
        <v>0</v>
      </c>
      <c r="W84" s="27">
        <f t="shared" si="9"/>
        <v>0</v>
      </c>
      <c r="X84" s="4">
        <v>1122</v>
      </c>
      <c r="Y84" s="4"/>
      <c r="Z84" s="4"/>
      <c r="AA84" s="12">
        <f t="shared" si="14"/>
        <v>0</v>
      </c>
      <c r="AB84" s="230"/>
      <c r="AC84" s="84"/>
      <c r="AD84" s="84"/>
      <c r="AE84" s="84"/>
      <c r="AF84" s="84"/>
    </row>
    <row r="85" spans="1:32" ht="12.75" customHeight="1">
      <c r="A85" s="24"/>
      <c r="B85" s="105">
        <f t="shared" si="15"/>
        <v>82</v>
      </c>
      <c r="C85" s="6">
        <v>201200</v>
      </c>
      <c r="D85" s="118" t="s">
        <v>979</v>
      </c>
      <c r="E85" s="9" t="s">
        <v>32</v>
      </c>
      <c r="F85" s="6"/>
      <c r="G85" s="6"/>
      <c r="H85" s="11">
        <f>+STAT1!V85</f>
        <v>0</v>
      </c>
      <c r="I85" s="11">
        <f>+STAT1!W85</f>
        <v>613601042.42999995</v>
      </c>
      <c r="J85" s="11">
        <f>+SUMIFS(JURNAL!G:G,JURNAL!E:E,C85,JURNAL!C:C,"&gt;="&amp;$H$1,JURNAL!C:C,"&lt;="&amp;$I$1)</f>
        <v>0</v>
      </c>
      <c r="K85" s="11">
        <f>+SUMIFS(JURNAL!H:H,JURNAL!E:E,C85,JURNAL!C:C,"&gt;="&amp;$H$1,JURNAL!C:C,"&lt;="&amp;$I$1)</f>
        <v>6661875</v>
      </c>
      <c r="L85" s="26">
        <f t="shared" si="10"/>
        <v>0</v>
      </c>
      <c r="M85" s="27">
        <f t="shared" si="8"/>
        <v>620262917.42999995</v>
      </c>
      <c r="N85" s="11"/>
      <c r="O85" s="334"/>
      <c r="P85" s="11"/>
      <c r="Q85" s="11"/>
      <c r="R85" s="26">
        <f t="shared" si="11"/>
        <v>0</v>
      </c>
      <c r="S85" s="27">
        <f t="shared" si="12"/>
        <v>620262917.42999995</v>
      </c>
      <c r="T85" s="11"/>
      <c r="U85" s="11"/>
      <c r="V85" s="26">
        <f t="shared" si="13"/>
        <v>0</v>
      </c>
      <c r="W85" s="27">
        <f t="shared" si="9"/>
        <v>620262917.42999995</v>
      </c>
      <c r="X85" s="4">
        <v>1121</v>
      </c>
      <c r="Y85" s="4"/>
      <c r="Z85" s="4"/>
      <c r="AA85" s="12">
        <f t="shared" si="14"/>
        <v>1</v>
      </c>
      <c r="AB85" s="230"/>
      <c r="AC85" s="84"/>
      <c r="AD85" s="84"/>
      <c r="AE85" s="84"/>
      <c r="AF85" s="84"/>
    </row>
    <row r="86" spans="1:32" ht="12.75" customHeight="1">
      <c r="A86" s="24"/>
      <c r="B86" s="105">
        <f t="shared" si="15"/>
        <v>83</v>
      </c>
      <c r="C86" s="6">
        <v>201300</v>
      </c>
      <c r="D86" s="118" t="s">
        <v>980</v>
      </c>
      <c r="E86" s="9" t="s">
        <v>32</v>
      </c>
      <c r="F86" s="6"/>
      <c r="G86" s="6"/>
      <c r="H86" s="11">
        <f>+STAT1!V86</f>
        <v>0</v>
      </c>
      <c r="I86" s="11">
        <f>+STAT1!W86</f>
        <v>7165817.7199999988</v>
      </c>
      <c r="J86" s="11">
        <f>+SUMIFS(JURNAL!G:G,JURNAL!E:E,C86,JURNAL!C:C,"&gt;="&amp;$H$1,JURNAL!C:C,"&lt;="&amp;$I$1)</f>
        <v>0</v>
      </c>
      <c r="K86" s="11">
        <f>+SUMIFS(JURNAL!H:H,JURNAL!E:E,C86,JURNAL!C:C,"&gt;="&amp;$H$1,JURNAL!C:C,"&lt;="&amp;$I$1)</f>
        <v>73072.72</v>
      </c>
      <c r="L86" s="26">
        <f t="shared" si="10"/>
        <v>0</v>
      </c>
      <c r="M86" s="27">
        <f t="shared" si="8"/>
        <v>7238890.4399999985</v>
      </c>
      <c r="N86" s="11"/>
      <c r="O86" s="334"/>
      <c r="P86" s="11"/>
      <c r="Q86" s="11"/>
      <c r="R86" s="26">
        <f t="shared" si="11"/>
        <v>0</v>
      </c>
      <c r="S86" s="27">
        <f t="shared" si="12"/>
        <v>7238890.4399999985</v>
      </c>
      <c r="T86" s="11"/>
      <c r="U86" s="11"/>
      <c r="V86" s="26">
        <f t="shared" si="13"/>
        <v>0</v>
      </c>
      <c r="W86" s="27">
        <f t="shared" si="9"/>
        <v>7238890.4399999985</v>
      </c>
      <c r="X86" s="4">
        <v>1121</v>
      </c>
      <c r="Y86" s="4"/>
      <c r="Z86" s="4"/>
      <c r="AA86" s="12">
        <f t="shared" si="14"/>
        <v>1</v>
      </c>
      <c r="AC86" s="84"/>
      <c r="AD86" s="84"/>
      <c r="AE86" s="84"/>
      <c r="AF86" s="84"/>
    </row>
    <row r="87" spans="1:32" ht="12.75" customHeight="1">
      <c r="A87" s="24"/>
      <c r="B87" s="105">
        <f t="shared" si="15"/>
        <v>84</v>
      </c>
      <c r="C87" s="6">
        <v>201400</v>
      </c>
      <c r="D87" s="118" t="s">
        <v>981</v>
      </c>
      <c r="E87" s="9" t="s">
        <v>32</v>
      </c>
      <c r="F87" s="6"/>
      <c r="G87" s="6"/>
      <c r="H87" s="11">
        <f>+STAT1!V87</f>
        <v>0</v>
      </c>
      <c r="I87" s="11">
        <f>+STAT1!W87</f>
        <v>457397737.65999997</v>
      </c>
      <c r="J87" s="11">
        <f>+SUMIFS(JURNAL!G:G,JURNAL!E:E,C87,JURNAL!C:C,"&gt;="&amp;$H$1,JURNAL!C:C,"&lt;="&amp;$I$1)</f>
        <v>0</v>
      </c>
      <c r="K87" s="11">
        <f>+SUMIFS(JURNAL!H:H,JURNAL!E:E,C87,JURNAL!C:C,"&gt;="&amp;$H$1,JURNAL!C:C,"&lt;="&amp;$I$1)</f>
        <v>16634720.9</v>
      </c>
      <c r="L87" s="26">
        <f t="shared" si="10"/>
        <v>0</v>
      </c>
      <c r="M87" s="27">
        <f t="shared" si="8"/>
        <v>474032458.55999994</v>
      </c>
      <c r="N87" s="11"/>
      <c r="O87" s="334"/>
      <c r="P87" s="11"/>
      <c r="Q87" s="11"/>
      <c r="R87" s="26">
        <f t="shared" si="11"/>
        <v>0</v>
      </c>
      <c r="S87" s="27">
        <f t="shared" si="12"/>
        <v>474032458.55999994</v>
      </c>
      <c r="T87" s="11"/>
      <c r="U87" s="11"/>
      <c r="V87" s="26">
        <f t="shared" si="13"/>
        <v>0</v>
      </c>
      <c r="W87" s="27">
        <f t="shared" si="9"/>
        <v>474032458.55999994</v>
      </c>
      <c r="X87" s="4">
        <v>1121</v>
      </c>
      <c r="Y87" s="4"/>
      <c r="Z87" s="4"/>
      <c r="AA87" s="12">
        <f t="shared" si="14"/>
        <v>1</v>
      </c>
      <c r="AC87" s="84"/>
      <c r="AD87" s="84"/>
      <c r="AE87" s="84"/>
      <c r="AF87" s="84"/>
    </row>
    <row r="88" spans="1:32" ht="12.75" customHeight="1">
      <c r="A88" s="24"/>
      <c r="B88" s="105">
        <f t="shared" si="15"/>
        <v>85</v>
      </c>
      <c r="C88" s="6">
        <v>201500</v>
      </c>
      <c r="D88" s="118" t="s">
        <v>982</v>
      </c>
      <c r="E88" s="9" t="s">
        <v>32</v>
      </c>
      <c r="F88" s="6"/>
      <c r="G88" s="6"/>
      <c r="H88" s="11">
        <f>+STAT1!V88</f>
        <v>0</v>
      </c>
      <c r="I88" s="11">
        <f>+STAT1!W88</f>
        <v>47025000</v>
      </c>
      <c r="J88" s="11">
        <f>+SUMIFS(JURNAL!G:G,JURNAL!E:E,C88,JURNAL!C:C,"&gt;="&amp;$H$1,JURNAL!C:C,"&lt;="&amp;$I$1)</f>
        <v>0</v>
      </c>
      <c r="K88" s="11">
        <f>+SUMIFS(JURNAL!H:H,JURNAL!E:E,C88,JURNAL!C:C,"&gt;="&amp;$H$1,JURNAL!C:C,"&lt;="&amp;$I$1)</f>
        <v>4245000</v>
      </c>
      <c r="L88" s="26">
        <f t="shared" si="10"/>
        <v>0</v>
      </c>
      <c r="M88" s="27">
        <f t="shared" si="8"/>
        <v>51270000</v>
      </c>
      <c r="N88" s="11"/>
      <c r="O88" s="334"/>
      <c r="P88" s="11"/>
      <c r="Q88" s="11"/>
      <c r="R88" s="26">
        <f t="shared" si="11"/>
        <v>0</v>
      </c>
      <c r="S88" s="27">
        <f t="shared" si="12"/>
        <v>51270000</v>
      </c>
      <c r="T88" s="11"/>
      <c r="U88" s="11"/>
      <c r="V88" s="26">
        <f t="shared" si="13"/>
        <v>0</v>
      </c>
      <c r="W88" s="27">
        <f t="shared" si="9"/>
        <v>51270000</v>
      </c>
      <c r="X88" s="4">
        <v>1121</v>
      </c>
      <c r="Y88" s="4"/>
      <c r="Z88" s="4"/>
      <c r="AA88" s="12">
        <f t="shared" si="14"/>
        <v>1</v>
      </c>
      <c r="AC88" s="84"/>
      <c r="AD88" s="84"/>
      <c r="AE88" s="84"/>
      <c r="AF88" s="84"/>
    </row>
    <row r="89" spans="1:32" ht="12.75" customHeight="1">
      <c r="A89" s="24"/>
      <c r="B89" s="105">
        <f t="shared" si="15"/>
        <v>86</v>
      </c>
      <c r="C89" s="6">
        <v>201600</v>
      </c>
      <c r="D89" s="118" t="s">
        <v>983</v>
      </c>
      <c r="E89" s="9" t="s">
        <v>32</v>
      </c>
      <c r="F89" s="6"/>
      <c r="G89" s="6"/>
      <c r="H89" s="11">
        <f>+STAT1!V89</f>
        <v>0</v>
      </c>
      <c r="I89" s="11">
        <f>+STAT1!W89</f>
        <v>0</v>
      </c>
      <c r="J89" s="11">
        <f>+SUMIFS(JURNAL!G:G,JURNAL!E:E,C89,JURNAL!C:C,"&gt;="&amp;$H$1,JURNAL!C:C,"&lt;="&amp;$I$1)</f>
        <v>0</v>
      </c>
      <c r="K89" s="11">
        <f>+SUMIFS(JURNAL!H:H,JURNAL!E:E,C89,JURNAL!C:C,"&gt;="&amp;$H$1,JURNAL!C:C,"&lt;="&amp;$I$1)</f>
        <v>0</v>
      </c>
      <c r="L89" s="26">
        <f t="shared" si="10"/>
        <v>0</v>
      </c>
      <c r="M89" s="27">
        <f t="shared" si="8"/>
        <v>0</v>
      </c>
      <c r="N89" s="11"/>
      <c r="O89" s="334"/>
      <c r="P89" s="11"/>
      <c r="Q89" s="11"/>
      <c r="R89" s="26">
        <f t="shared" si="11"/>
        <v>0</v>
      </c>
      <c r="S89" s="27">
        <f t="shared" si="12"/>
        <v>0</v>
      </c>
      <c r="T89" s="11"/>
      <c r="U89" s="11"/>
      <c r="V89" s="26">
        <f t="shared" si="13"/>
        <v>0</v>
      </c>
      <c r="W89" s="27">
        <f t="shared" si="9"/>
        <v>0</v>
      </c>
      <c r="X89" s="4">
        <v>1121</v>
      </c>
      <c r="Y89" s="4"/>
      <c r="Z89" s="4"/>
      <c r="AA89" s="12">
        <f t="shared" si="14"/>
        <v>0</v>
      </c>
      <c r="AC89" s="84"/>
      <c r="AD89" s="84"/>
      <c r="AE89" s="84"/>
      <c r="AF89" s="84"/>
    </row>
    <row r="90" spans="1:32" ht="12.75" customHeight="1">
      <c r="A90" s="24"/>
      <c r="B90" s="105">
        <f t="shared" si="15"/>
        <v>87</v>
      </c>
      <c r="C90" s="6">
        <v>201800</v>
      </c>
      <c r="D90" s="118" t="s">
        <v>984</v>
      </c>
      <c r="E90" s="9" t="s">
        <v>32</v>
      </c>
      <c r="F90" s="6"/>
      <c r="G90" s="6"/>
      <c r="H90" s="11">
        <f>+STAT1!V90</f>
        <v>0</v>
      </c>
      <c r="I90" s="11">
        <f>+STAT1!W90</f>
        <v>0</v>
      </c>
      <c r="J90" s="11">
        <f>+SUMIFS(JURNAL!G:G,JURNAL!E:E,C90,JURNAL!C:C,"&gt;="&amp;$H$1,JURNAL!C:C,"&lt;="&amp;$I$1)</f>
        <v>0</v>
      </c>
      <c r="K90" s="11">
        <f>+SUMIFS(JURNAL!H:H,JURNAL!E:E,C90,JURNAL!C:C,"&gt;="&amp;$H$1,JURNAL!C:C,"&lt;="&amp;$I$1)</f>
        <v>0</v>
      </c>
      <c r="L90" s="26">
        <f t="shared" si="10"/>
        <v>0</v>
      </c>
      <c r="M90" s="27">
        <f t="shared" si="8"/>
        <v>0</v>
      </c>
      <c r="N90" s="11"/>
      <c r="O90" s="334"/>
      <c r="P90" s="11"/>
      <c r="Q90" s="11"/>
      <c r="R90" s="26">
        <f t="shared" si="11"/>
        <v>0</v>
      </c>
      <c r="S90" s="27">
        <f t="shared" si="12"/>
        <v>0</v>
      </c>
      <c r="T90" s="11"/>
      <c r="U90" s="11"/>
      <c r="V90" s="26">
        <f t="shared" si="13"/>
        <v>0</v>
      </c>
      <c r="W90" s="27">
        <f t="shared" si="9"/>
        <v>0</v>
      </c>
      <c r="X90" s="4">
        <v>1121</v>
      </c>
      <c r="Y90" s="4"/>
      <c r="Z90" s="4"/>
      <c r="AA90" s="12">
        <f t="shared" si="14"/>
        <v>0</v>
      </c>
      <c r="AC90" s="84"/>
      <c r="AD90" s="84"/>
      <c r="AE90" s="84"/>
      <c r="AF90" s="84"/>
    </row>
    <row r="91" spans="1:32" ht="12.75" customHeight="1">
      <c r="A91" s="24"/>
      <c r="B91" s="105">
        <f t="shared" si="15"/>
        <v>88</v>
      </c>
      <c r="C91" s="6">
        <v>202000</v>
      </c>
      <c r="D91" s="118" t="s">
        <v>985</v>
      </c>
      <c r="E91" s="9" t="s">
        <v>32</v>
      </c>
      <c r="F91" s="6"/>
      <c r="G91" s="6"/>
      <c r="H91" s="11">
        <f>+STAT1!V91</f>
        <v>0</v>
      </c>
      <c r="I91" s="11">
        <f>+STAT1!W91</f>
        <v>17613434.800000001</v>
      </c>
      <c r="J91" s="11">
        <f>+SUMIFS(JURNAL!G:G,JURNAL!E:E,C91,JURNAL!C:C,"&gt;="&amp;$H$1,JURNAL!C:C,"&lt;="&amp;$I$1)</f>
        <v>0</v>
      </c>
      <c r="K91" s="11">
        <f>+SUMIFS(JURNAL!H:H,JURNAL!E:E,C91,JURNAL!C:C,"&gt;="&amp;$H$1,JURNAL!C:C,"&lt;="&amp;$I$1)</f>
        <v>155939.45000000001</v>
      </c>
      <c r="L91" s="26">
        <f t="shared" si="10"/>
        <v>0</v>
      </c>
      <c r="M91" s="27">
        <f t="shared" si="8"/>
        <v>17769374.25</v>
      </c>
      <c r="N91" s="11"/>
      <c r="O91" s="334"/>
      <c r="P91" s="11"/>
      <c r="Q91" s="11"/>
      <c r="R91" s="26">
        <f t="shared" si="11"/>
        <v>0</v>
      </c>
      <c r="S91" s="27">
        <f t="shared" si="12"/>
        <v>17769374.25</v>
      </c>
      <c r="T91" s="11"/>
      <c r="U91" s="11"/>
      <c r="V91" s="26">
        <f t="shared" si="13"/>
        <v>0</v>
      </c>
      <c r="W91" s="27">
        <f t="shared" si="9"/>
        <v>17769374.25</v>
      </c>
      <c r="X91" s="4">
        <v>1121</v>
      </c>
      <c r="Y91" s="4"/>
      <c r="Z91" s="4"/>
      <c r="AA91" s="12">
        <f t="shared" si="14"/>
        <v>1</v>
      </c>
      <c r="AC91" s="84"/>
      <c r="AD91" s="84"/>
      <c r="AE91" s="84"/>
      <c r="AF91" s="84"/>
    </row>
    <row r="92" spans="1:32" ht="12.75" customHeight="1">
      <c r="A92" s="24"/>
      <c r="B92" s="105">
        <f t="shared" si="15"/>
        <v>89</v>
      </c>
      <c r="C92" s="6">
        <v>210100</v>
      </c>
      <c r="D92" s="118" t="s">
        <v>726</v>
      </c>
      <c r="E92" s="9" t="s">
        <v>32</v>
      </c>
      <c r="F92" s="6"/>
      <c r="G92" s="6"/>
      <c r="H92" s="11">
        <f>+STAT1!V92</f>
        <v>0</v>
      </c>
      <c r="I92" s="11">
        <f>+STAT1!W92</f>
        <v>0</v>
      </c>
      <c r="J92" s="11">
        <f>+SUMIFS(JURNAL!G:G,JURNAL!E:E,C92,JURNAL!C:C,"&gt;="&amp;$H$1,JURNAL!C:C,"&lt;="&amp;$I$1)</f>
        <v>0</v>
      </c>
      <c r="K92" s="11">
        <f>+SUMIFS(JURNAL!H:H,JURNAL!E:E,C92,JURNAL!C:C,"&gt;="&amp;$H$1,JURNAL!C:C,"&lt;="&amp;$I$1)</f>
        <v>0</v>
      </c>
      <c r="L92" s="26">
        <f t="shared" si="10"/>
        <v>0</v>
      </c>
      <c r="M92" s="27">
        <f t="shared" si="8"/>
        <v>0</v>
      </c>
      <c r="N92" s="11"/>
      <c r="O92" s="334"/>
      <c r="P92" s="11"/>
      <c r="Q92" s="11"/>
      <c r="R92" s="26">
        <f t="shared" si="11"/>
        <v>0</v>
      </c>
      <c r="S92" s="27">
        <f t="shared" si="12"/>
        <v>0</v>
      </c>
      <c r="T92" s="11"/>
      <c r="U92" s="11"/>
      <c r="V92" s="26">
        <f t="shared" si="13"/>
        <v>0</v>
      </c>
      <c r="W92" s="27">
        <f t="shared" si="9"/>
        <v>0</v>
      </c>
      <c r="X92" s="4">
        <v>1127</v>
      </c>
      <c r="Y92" s="4"/>
      <c r="Z92" s="4"/>
      <c r="AA92" s="12">
        <f t="shared" si="14"/>
        <v>0</v>
      </c>
      <c r="AC92" s="84"/>
      <c r="AD92" s="84"/>
      <c r="AE92" s="84"/>
      <c r="AF92" s="84"/>
    </row>
    <row r="93" spans="1:32" ht="12.75" customHeight="1">
      <c r="A93" s="24"/>
      <c r="B93" s="105">
        <f t="shared" si="15"/>
        <v>90</v>
      </c>
      <c r="C93" s="6">
        <v>210200</v>
      </c>
      <c r="D93" s="118" t="s">
        <v>730</v>
      </c>
      <c r="E93" s="9" t="s">
        <v>32</v>
      </c>
      <c r="F93" s="6"/>
      <c r="G93" s="6"/>
      <c r="H93" s="11">
        <f>+STAT1!V93</f>
        <v>0</v>
      </c>
      <c r="I93" s="11">
        <f>+STAT1!W93</f>
        <v>0</v>
      </c>
      <c r="J93" s="11">
        <f>+SUMIFS(JURNAL!G:G,JURNAL!E:E,C93,JURNAL!C:C,"&gt;="&amp;$H$1,JURNAL!C:C,"&lt;="&amp;$I$1)</f>
        <v>0</v>
      </c>
      <c r="K93" s="11">
        <f>+SUMIFS(JURNAL!H:H,JURNAL!E:E,C93,JURNAL!C:C,"&gt;="&amp;$H$1,JURNAL!C:C,"&lt;="&amp;$I$1)</f>
        <v>0</v>
      </c>
      <c r="L93" s="26">
        <f t="shared" si="10"/>
        <v>0</v>
      </c>
      <c r="M93" s="27">
        <f t="shared" si="8"/>
        <v>0</v>
      </c>
      <c r="N93" s="11"/>
      <c r="O93" s="334"/>
      <c r="P93" s="11"/>
      <c r="Q93" s="11"/>
      <c r="R93" s="26">
        <f t="shared" si="11"/>
        <v>0</v>
      </c>
      <c r="S93" s="27">
        <f t="shared" si="12"/>
        <v>0</v>
      </c>
      <c r="T93" s="11"/>
      <c r="U93" s="11"/>
      <c r="V93" s="26">
        <f t="shared" si="13"/>
        <v>0</v>
      </c>
      <c r="W93" s="27">
        <f t="shared" si="9"/>
        <v>0</v>
      </c>
      <c r="X93" s="4">
        <v>1127</v>
      </c>
      <c r="Y93" s="4"/>
      <c r="Z93" s="4"/>
      <c r="AA93" s="12">
        <f t="shared" si="14"/>
        <v>0</v>
      </c>
      <c r="AC93" s="84"/>
      <c r="AD93" s="84"/>
      <c r="AE93" s="84"/>
      <c r="AF93" s="84"/>
    </row>
    <row r="94" spans="1:32" ht="12.75" customHeight="1">
      <c r="A94" s="24"/>
      <c r="B94" s="105">
        <f t="shared" si="15"/>
        <v>91</v>
      </c>
      <c r="C94" s="6">
        <v>210300</v>
      </c>
      <c r="D94" s="118" t="s">
        <v>734</v>
      </c>
      <c r="E94" s="9" t="s">
        <v>32</v>
      </c>
      <c r="F94" s="6"/>
      <c r="G94" s="6"/>
      <c r="H94" s="11">
        <f>+STAT1!V94</f>
        <v>0</v>
      </c>
      <c r="I94" s="11">
        <f>+STAT1!W94</f>
        <v>0</v>
      </c>
      <c r="J94" s="11">
        <f>+SUMIFS(JURNAL!G:G,JURNAL!E:E,C94,JURNAL!C:C,"&gt;="&amp;$H$1,JURNAL!C:C,"&lt;="&amp;$I$1)</f>
        <v>0</v>
      </c>
      <c r="K94" s="11">
        <f>+SUMIFS(JURNAL!H:H,JURNAL!E:E,C94,JURNAL!C:C,"&gt;="&amp;$H$1,JURNAL!C:C,"&lt;="&amp;$I$1)</f>
        <v>0</v>
      </c>
      <c r="L94" s="26">
        <f t="shared" si="10"/>
        <v>0</v>
      </c>
      <c r="M94" s="27">
        <f t="shared" si="8"/>
        <v>0</v>
      </c>
      <c r="N94" s="11"/>
      <c r="O94" s="334"/>
      <c r="P94" s="11"/>
      <c r="Q94" s="11"/>
      <c r="R94" s="26">
        <f t="shared" si="11"/>
        <v>0</v>
      </c>
      <c r="S94" s="27">
        <f t="shared" si="12"/>
        <v>0</v>
      </c>
      <c r="T94" s="11"/>
      <c r="U94" s="11"/>
      <c r="V94" s="26">
        <f t="shared" si="13"/>
        <v>0</v>
      </c>
      <c r="W94" s="27">
        <f t="shared" si="9"/>
        <v>0</v>
      </c>
      <c r="X94" s="4">
        <v>1127</v>
      </c>
      <c r="Y94" s="4"/>
      <c r="Z94" s="4"/>
      <c r="AA94" s="12">
        <f t="shared" si="14"/>
        <v>0</v>
      </c>
      <c r="AC94" s="84"/>
      <c r="AD94" s="84"/>
      <c r="AE94" s="84"/>
      <c r="AF94" s="84"/>
    </row>
    <row r="95" spans="1:32" ht="12.75" customHeight="1">
      <c r="A95" s="24"/>
      <c r="B95" s="105">
        <f t="shared" si="15"/>
        <v>92</v>
      </c>
      <c r="C95" s="6">
        <v>210400</v>
      </c>
      <c r="D95" s="118" t="s">
        <v>738</v>
      </c>
      <c r="E95" s="9" t="s">
        <v>32</v>
      </c>
      <c r="F95" s="6"/>
      <c r="G95" s="6"/>
      <c r="H95" s="11">
        <f>+STAT1!V95</f>
        <v>0</v>
      </c>
      <c r="I95" s="11">
        <f>+STAT1!W95</f>
        <v>0</v>
      </c>
      <c r="J95" s="11">
        <f>+SUMIFS(JURNAL!G:G,JURNAL!E:E,C95,JURNAL!C:C,"&gt;="&amp;$H$1,JURNAL!C:C,"&lt;="&amp;$I$1)</f>
        <v>0</v>
      </c>
      <c r="K95" s="11">
        <f>+SUMIFS(JURNAL!H:H,JURNAL!E:E,C95,JURNAL!C:C,"&gt;="&amp;$H$1,JURNAL!C:C,"&lt;="&amp;$I$1)</f>
        <v>0</v>
      </c>
      <c r="L95" s="26">
        <f t="shared" si="10"/>
        <v>0</v>
      </c>
      <c r="M95" s="27">
        <f t="shared" si="8"/>
        <v>0</v>
      </c>
      <c r="N95" s="11"/>
      <c r="O95" s="334"/>
      <c r="P95" s="11"/>
      <c r="Q95" s="11"/>
      <c r="R95" s="26">
        <f t="shared" si="11"/>
        <v>0</v>
      </c>
      <c r="S95" s="27">
        <f t="shared" si="12"/>
        <v>0</v>
      </c>
      <c r="T95" s="11"/>
      <c r="U95" s="11"/>
      <c r="V95" s="26">
        <f t="shared" si="13"/>
        <v>0</v>
      </c>
      <c r="W95" s="27">
        <f t="shared" si="9"/>
        <v>0</v>
      </c>
      <c r="X95" s="4">
        <v>1127</v>
      </c>
      <c r="Y95" s="4"/>
      <c r="Z95" s="4"/>
      <c r="AA95" s="12">
        <f t="shared" si="14"/>
        <v>0</v>
      </c>
      <c r="AC95" s="84"/>
      <c r="AD95" s="84"/>
      <c r="AE95" s="84"/>
      <c r="AF95" s="84"/>
    </row>
    <row r="96" spans="1:32" ht="12.75" customHeight="1">
      <c r="A96" s="24"/>
      <c r="B96" s="105">
        <f t="shared" si="15"/>
        <v>93</v>
      </c>
      <c r="C96" s="6">
        <v>210500</v>
      </c>
      <c r="D96" s="118" t="s">
        <v>742</v>
      </c>
      <c r="E96" s="9" t="s">
        <v>32</v>
      </c>
      <c r="F96" s="6"/>
      <c r="G96" s="6"/>
      <c r="H96" s="11">
        <f>+STAT1!V96</f>
        <v>0</v>
      </c>
      <c r="I96" s="11">
        <f>+STAT1!W96</f>
        <v>0</v>
      </c>
      <c r="J96" s="11">
        <f>+SUMIFS(JURNAL!G:G,JURNAL!E:E,C96,JURNAL!C:C,"&gt;="&amp;$H$1,JURNAL!C:C,"&lt;="&amp;$I$1)</f>
        <v>0</v>
      </c>
      <c r="K96" s="11">
        <f>+SUMIFS(JURNAL!H:H,JURNAL!E:E,C96,JURNAL!C:C,"&gt;="&amp;$H$1,JURNAL!C:C,"&lt;="&amp;$I$1)</f>
        <v>0</v>
      </c>
      <c r="L96" s="26">
        <f t="shared" si="10"/>
        <v>0</v>
      </c>
      <c r="M96" s="27">
        <f t="shared" si="8"/>
        <v>0</v>
      </c>
      <c r="N96" s="11"/>
      <c r="O96" s="334"/>
      <c r="P96" s="11"/>
      <c r="Q96" s="11"/>
      <c r="R96" s="26">
        <f t="shared" si="11"/>
        <v>0</v>
      </c>
      <c r="S96" s="27">
        <f t="shared" si="12"/>
        <v>0</v>
      </c>
      <c r="T96" s="11"/>
      <c r="U96" s="11"/>
      <c r="V96" s="26">
        <f t="shared" si="13"/>
        <v>0</v>
      </c>
      <c r="W96" s="27">
        <f t="shared" si="9"/>
        <v>0</v>
      </c>
      <c r="X96" s="4">
        <v>1127</v>
      </c>
      <c r="Y96" s="4"/>
      <c r="Z96" s="4"/>
      <c r="AA96" s="12">
        <f t="shared" si="14"/>
        <v>0</v>
      </c>
      <c r="AC96" s="84"/>
      <c r="AD96" s="84"/>
      <c r="AE96" s="84"/>
      <c r="AF96" s="84"/>
    </row>
    <row r="97" spans="1:32" ht="12.75" customHeight="1">
      <c r="A97" s="24"/>
      <c r="B97" s="105">
        <f t="shared" si="15"/>
        <v>94</v>
      </c>
      <c r="C97" s="6">
        <v>210600</v>
      </c>
      <c r="D97" s="118" t="s">
        <v>746</v>
      </c>
      <c r="E97" s="9" t="s">
        <v>32</v>
      </c>
      <c r="F97" s="6"/>
      <c r="G97" s="6"/>
      <c r="H97" s="11">
        <f>+STAT1!V97</f>
        <v>0</v>
      </c>
      <c r="I97" s="11">
        <f>+STAT1!W97</f>
        <v>0</v>
      </c>
      <c r="J97" s="11">
        <f>+SUMIFS(JURNAL!G:G,JURNAL!E:E,C97,JURNAL!C:C,"&gt;="&amp;$H$1,JURNAL!C:C,"&lt;="&amp;$I$1)</f>
        <v>0</v>
      </c>
      <c r="K97" s="11">
        <f>+SUMIFS(JURNAL!H:H,JURNAL!E:E,C97,JURNAL!C:C,"&gt;="&amp;$H$1,JURNAL!C:C,"&lt;="&amp;$I$1)</f>
        <v>0</v>
      </c>
      <c r="L97" s="26">
        <f t="shared" si="10"/>
        <v>0</v>
      </c>
      <c r="M97" s="27">
        <f t="shared" si="8"/>
        <v>0</v>
      </c>
      <c r="N97" s="11"/>
      <c r="O97" s="334"/>
      <c r="P97" s="11"/>
      <c r="Q97" s="11"/>
      <c r="R97" s="26">
        <f t="shared" si="11"/>
        <v>0</v>
      </c>
      <c r="S97" s="27">
        <f t="shared" si="12"/>
        <v>0</v>
      </c>
      <c r="T97" s="11"/>
      <c r="U97" s="11"/>
      <c r="V97" s="26">
        <f t="shared" si="13"/>
        <v>0</v>
      </c>
      <c r="W97" s="27">
        <f t="shared" si="9"/>
        <v>0</v>
      </c>
      <c r="X97" s="4">
        <v>1127</v>
      </c>
      <c r="Y97" s="4"/>
      <c r="Z97" s="4"/>
      <c r="AA97" s="12">
        <f t="shared" si="14"/>
        <v>0</v>
      </c>
      <c r="AC97" s="84"/>
      <c r="AD97" s="84"/>
      <c r="AE97" s="84"/>
      <c r="AF97" s="84"/>
    </row>
    <row r="98" spans="1:32" ht="12.75" customHeight="1">
      <c r="A98" s="24"/>
      <c r="B98" s="105">
        <f t="shared" si="15"/>
        <v>95</v>
      </c>
      <c r="C98" s="6">
        <v>210700</v>
      </c>
      <c r="D98" s="118" t="s">
        <v>750</v>
      </c>
      <c r="E98" s="9" t="s">
        <v>32</v>
      </c>
      <c r="F98" s="6"/>
      <c r="G98" s="6"/>
      <c r="H98" s="11">
        <f>+STAT1!V98</f>
        <v>0</v>
      </c>
      <c r="I98" s="11">
        <f>+STAT1!W98</f>
        <v>0</v>
      </c>
      <c r="J98" s="11">
        <f>+SUMIFS(JURNAL!G:G,JURNAL!E:E,C98,JURNAL!C:C,"&gt;="&amp;$H$1,JURNAL!C:C,"&lt;="&amp;$I$1)</f>
        <v>0</v>
      </c>
      <c r="K98" s="11">
        <f>+SUMIFS(JURNAL!H:H,JURNAL!E:E,C98,JURNAL!C:C,"&gt;="&amp;$H$1,JURNAL!C:C,"&lt;="&amp;$I$1)</f>
        <v>0</v>
      </c>
      <c r="L98" s="26">
        <f t="shared" si="10"/>
        <v>0</v>
      </c>
      <c r="M98" s="27">
        <f t="shared" si="8"/>
        <v>0</v>
      </c>
      <c r="N98" s="11"/>
      <c r="O98" s="334"/>
      <c r="P98" s="11"/>
      <c r="Q98" s="11"/>
      <c r="R98" s="26">
        <f t="shared" si="11"/>
        <v>0</v>
      </c>
      <c r="S98" s="27">
        <f t="shared" si="12"/>
        <v>0</v>
      </c>
      <c r="T98" s="11"/>
      <c r="U98" s="11"/>
      <c r="V98" s="26">
        <f t="shared" si="13"/>
        <v>0</v>
      </c>
      <c r="W98" s="27">
        <f t="shared" si="9"/>
        <v>0</v>
      </c>
      <c r="X98" s="4">
        <v>1127</v>
      </c>
      <c r="Y98" s="4"/>
      <c r="Z98" s="4"/>
      <c r="AA98" s="12">
        <f t="shared" si="14"/>
        <v>0</v>
      </c>
      <c r="AC98" s="84"/>
      <c r="AD98" s="84"/>
      <c r="AE98" s="84"/>
      <c r="AF98" s="84"/>
    </row>
    <row r="99" spans="1:32" ht="12.75" customHeight="1">
      <c r="A99" s="24"/>
      <c r="B99" s="105">
        <f t="shared" si="15"/>
        <v>96</v>
      </c>
      <c r="C99" s="6">
        <v>211000</v>
      </c>
      <c r="D99" s="118" t="s">
        <v>660</v>
      </c>
      <c r="E99" s="9" t="s">
        <v>32</v>
      </c>
      <c r="F99" s="6"/>
      <c r="G99" s="6"/>
      <c r="H99" s="11">
        <f>+STAT1!V99</f>
        <v>0</v>
      </c>
      <c r="I99" s="11">
        <f>+STAT1!W99</f>
        <v>0</v>
      </c>
      <c r="J99" s="11">
        <f>+SUMIFS(JURNAL!G:G,JURNAL!E:E,C99,JURNAL!C:C,"&gt;="&amp;$H$1,JURNAL!C:C,"&lt;="&amp;$I$1)</f>
        <v>0</v>
      </c>
      <c r="K99" s="11">
        <f>+SUMIFS(JURNAL!H:H,JURNAL!E:E,C99,JURNAL!C:C,"&gt;="&amp;$H$1,JURNAL!C:C,"&lt;="&amp;$I$1)</f>
        <v>0</v>
      </c>
      <c r="L99" s="26">
        <f t="shared" si="10"/>
        <v>0</v>
      </c>
      <c r="M99" s="27">
        <f t="shared" si="8"/>
        <v>0</v>
      </c>
      <c r="N99" s="11"/>
      <c r="O99" s="334"/>
      <c r="P99" s="11"/>
      <c r="Q99" s="11"/>
      <c r="R99" s="26">
        <f t="shared" si="11"/>
        <v>0</v>
      </c>
      <c r="S99" s="27">
        <f t="shared" si="12"/>
        <v>0</v>
      </c>
      <c r="T99" s="11"/>
      <c r="U99" s="11"/>
      <c r="V99" s="26">
        <f t="shared" si="13"/>
        <v>0</v>
      </c>
      <c r="W99" s="27">
        <f t="shared" si="9"/>
        <v>0</v>
      </c>
      <c r="X99" s="4">
        <v>1127</v>
      </c>
      <c r="Y99" s="4"/>
      <c r="Z99" s="4"/>
      <c r="AA99" s="12">
        <f t="shared" si="14"/>
        <v>0</v>
      </c>
      <c r="AC99" s="84"/>
      <c r="AD99" s="84"/>
      <c r="AE99" s="84"/>
      <c r="AF99" s="84"/>
    </row>
    <row r="100" spans="1:32" ht="12.75" customHeight="1">
      <c r="A100" s="24"/>
      <c r="B100" s="105">
        <f t="shared" si="15"/>
        <v>97</v>
      </c>
      <c r="C100" s="6">
        <v>220100</v>
      </c>
      <c r="D100" s="118" t="s">
        <v>802</v>
      </c>
      <c r="E100" s="9" t="s">
        <v>32</v>
      </c>
      <c r="F100" s="6"/>
      <c r="G100" s="6"/>
      <c r="H100" s="11">
        <f>+STAT1!V100</f>
        <v>0</v>
      </c>
      <c r="I100" s="11">
        <f>+STAT1!W100</f>
        <v>0</v>
      </c>
      <c r="J100" s="11">
        <f>+SUMIFS(JURNAL!G:G,JURNAL!E:E,C100,JURNAL!C:C,"&gt;="&amp;$H$1,JURNAL!C:C,"&lt;="&amp;$I$1)</f>
        <v>0</v>
      </c>
      <c r="K100" s="11">
        <f>+SUMIFS(JURNAL!H:H,JURNAL!E:E,C100,JURNAL!C:C,"&gt;="&amp;$H$1,JURNAL!C:C,"&lt;="&amp;$I$1)</f>
        <v>0</v>
      </c>
      <c r="L100" s="26">
        <f t="shared" si="10"/>
        <v>0</v>
      </c>
      <c r="M100" s="27">
        <f t="shared" si="8"/>
        <v>0</v>
      </c>
      <c r="N100" s="11"/>
      <c r="O100" s="334"/>
      <c r="P100" s="11"/>
      <c r="Q100" s="11"/>
      <c r="R100" s="26">
        <f t="shared" si="11"/>
        <v>0</v>
      </c>
      <c r="S100" s="27">
        <f t="shared" si="12"/>
        <v>0</v>
      </c>
      <c r="T100" s="11"/>
      <c r="U100" s="11"/>
      <c r="V100" s="26">
        <f t="shared" si="13"/>
        <v>0</v>
      </c>
      <c r="W100" s="27">
        <f t="shared" si="9"/>
        <v>0</v>
      </c>
      <c r="X100" s="4">
        <v>1123</v>
      </c>
      <c r="Y100" s="4"/>
      <c r="Z100" s="4"/>
      <c r="AA100" s="12">
        <f t="shared" si="14"/>
        <v>0</v>
      </c>
      <c r="AC100" s="84"/>
      <c r="AD100" s="84"/>
      <c r="AE100" s="84"/>
      <c r="AF100" s="84"/>
    </row>
    <row r="101" spans="1:32" ht="12.75" customHeight="1">
      <c r="A101" s="24"/>
      <c r="B101" s="105">
        <f t="shared" si="15"/>
        <v>98</v>
      </c>
      <c r="C101" s="6">
        <v>220200</v>
      </c>
      <c r="D101" s="118" t="s">
        <v>806</v>
      </c>
      <c r="E101" s="9" t="s">
        <v>32</v>
      </c>
      <c r="F101" s="6"/>
      <c r="G101" s="6"/>
      <c r="H101" s="11">
        <f>+STAT1!V101</f>
        <v>0</v>
      </c>
      <c r="I101" s="11">
        <f>+STAT1!W101</f>
        <v>0</v>
      </c>
      <c r="J101" s="11">
        <f>+SUMIFS(JURNAL!G:G,JURNAL!E:E,C101,JURNAL!C:C,"&gt;="&amp;$H$1,JURNAL!C:C,"&lt;="&amp;$I$1)</f>
        <v>0</v>
      </c>
      <c r="K101" s="11">
        <f>+SUMIFS(JURNAL!H:H,JURNAL!E:E,C101,JURNAL!C:C,"&gt;="&amp;$H$1,JURNAL!C:C,"&lt;="&amp;$I$1)</f>
        <v>0</v>
      </c>
      <c r="L101" s="26">
        <f t="shared" si="10"/>
        <v>0</v>
      </c>
      <c r="M101" s="27">
        <f t="shared" si="8"/>
        <v>0</v>
      </c>
      <c r="N101" s="11"/>
      <c r="O101" s="334"/>
      <c r="P101" s="11"/>
      <c r="Q101" s="11"/>
      <c r="R101" s="26">
        <f t="shared" si="11"/>
        <v>0</v>
      </c>
      <c r="S101" s="27">
        <f t="shared" si="12"/>
        <v>0</v>
      </c>
      <c r="T101" s="11"/>
      <c r="U101" s="11"/>
      <c r="V101" s="26">
        <f t="shared" si="13"/>
        <v>0</v>
      </c>
      <c r="W101" s="27">
        <f t="shared" si="9"/>
        <v>0</v>
      </c>
      <c r="X101" s="4">
        <v>1123</v>
      </c>
      <c r="Y101" s="4"/>
      <c r="Z101" s="4"/>
      <c r="AA101" s="12">
        <f t="shared" si="14"/>
        <v>0</v>
      </c>
      <c r="AC101" s="84"/>
      <c r="AD101" s="84"/>
      <c r="AE101" s="84"/>
      <c r="AF101" s="84"/>
    </row>
    <row r="102" spans="1:32" ht="12.75" customHeight="1">
      <c r="A102" s="24"/>
      <c r="B102" s="105">
        <f t="shared" si="15"/>
        <v>99</v>
      </c>
      <c r="C102" s="6">
        <v>220400</v>
      </c>
      <c r="D102" s="118" t="s">
        <v>810</v>
      </c>
      <c r="E102" s="9" t="s">
        <v>32</v>
      </c>
      <c r="F102" s="6"/>
      <c r="G102" s="6"/>
      <c r="H102" s="11">
        <f>+STAT1!V102</f>
        <v>0</v>
      </c>
      <c r="I102" s="11">
        <f>+STAT1!W102</f>
        <v>0</v>
      </c>
      <c r="J102" s="11">
        <f>+SUMIFS(JURNAL!G:G,JURNAL!E:E,C102,JURNAL!C:C,"&gt;="&amp;$H$1,JURNAL!C:C,"&lt;="&amp;$I$1)</f>
        <v>0</v>
      </c>
      <c r="K102" s="11">
        <f>+SUMIFS(JURNAL!H:H,JURNAL!E:E,C102,JURNAL!C:C,"&gt;="&amp;$H$1,JURNAL!C:C,"&lt;="&amp;$I$1)</f>
        <v>0</v>
      </c>
      <c r="L102" s="26">
        <f t="shared" si="10"/>
        <v>0</v>
      </c>
      <c r="M102" s="27">
        <f t="shared" si="8"/>
        <v>0</v>
      </c>
      <c r="N102" s="11"/>
      <c r="O102" s="334"/>
      <c r="P102" s="11"/>
      <c r="Q102" s="11"/>
      <c r="R102" s="26">
        <f t="shared" si="11"/>
        <v>0</v>
      </c>
      <c r="S102" s="27">
        <f t="shared" si="12"/>
        <v>0</v>
      </c>
      <c r="T102" s="11"/>
      <c r="U102" s="11"/>
      <c r="V102" s="26">
        <f t="shared" si="13"/>
        <v>0</v>
      </c>
      <c r="W102" s="27">
        <f t="shared" si="9"/>
        <v>0</v>
      </c>
      <c r="X102" s="4">
        <v>1123</v>
      </c>
      <c r="Y102" s="4"/>
      <c r="Z102" s="4"/>
      <c r="AA102" s="12">
        <f t="shared" si="14"/>
        <v>0</v>
      </c>
      <c r="AC102" s="84"/>
      <c r="AD102" s="84"/>
      <c r="AE102" s="84"/>
      <c r="AF102" s="84"/>
    </row>
    <row r="103" spans="1:32" ht="12.75" customHeight="1">
      <c r="A103" s="24"/>
      <c r="B103" s="105">
        <f t="shared" si="15"/>
        <v>100</v>
      </c>
      <c r="C103" s="6">
        <v>230100</v>
      </c>
      <c r="D103" s="118" t="s">
        <v>814</v>
      </c>
      <c r="E103" s="9" t="s">
        <v>32</v>
      </c>
      <c r="F103" s="6"/>
      <c r="G103" s="6"/>
      <c r="H103" s="11">
        <f>+STAT1!V103</f>
        <v>0</v>
      </c>
      <c r="I103" s="11">
        <f>+STAT1!W103</f>
        <v>0</v>
      </c>
      <c r="J103" s="11">
        <f>+SUMIFS(JURNAL!G:G,JURNAL!E:E,C103,JURNAL!C:C,"&gt;="&amp;$H$1,JURNAL!C:C,"&lt;="&amp;$I$1)</f>
        <v>0</v>
      </c>
      <c r="K103" s="11">
        <f>+SUMIFS(JURNAL!H:H,JURNAL!E:E,C103,JURNAL!C:C,"&gt;="&amp;$H$1,JURNAL!C:C,"&lt;="&amp;$I$1)</f>
        <v>0</v>
      </c>
      <c r="L103" s="26">
        <f t="shared" si="10"/>
        <v>0</v>
      </c>
      <c r="M103" s="27">
        <f t="shared" si="8"/>
        <v>0</v>
      </c>
      <c r="N103" s="11"/>
      <c r="O103" s="334"/>
      <c r="P103" s="11"/>
      <c r="Q103" s="11"/>
      <c r="R103" s="26">
        <f t="shared" si="11"/>
        <v>0</v>
      </c>
      <c r="S103" s="27">
        <f t="shared" si="12"/>
        <v>0</v>
      </c>
      <c r="T103" s="11"/>
      <c r="U103" s="11"/>
      <c r="V103" s="26">
        <f t="shared" si="13"/>
        <v>0</v>
      </c>
      <c r="W103" s="27">
        <f t="shared" si="9"/>
        <v>0</v>
      </c>
      <c r="X103" s="4">
        <v>1125</v>
      </c>
      <c r="Y103" s="4"/>
      <c r="Z103" s="4"/>
      <c r="AA103" s="12">
        <f t="shared" si="14"/>
        <v>0</v>
      </c>
      <c r="AC103" s="84"/>
      <c r="AD103" s="84"/>
      <c r="AE103" s="84"/>
      <c r="AF103" s="84"/>
    </row>
    <row r="104" spans="1:32" ht="12.75" customHeight="1">
      <c r="A104" s="24"/>
      <c r="B104" s="105">
        <f t="shared" si="15"/>
        <v>101</v>
      </c>
      <c r="C104" s="6">
        <v>230200</v>
      </c>
      <c r="D104" s="118" t="s">
        <v>818</v>
      </c>
      <c r="E104" s="9" t="s">
        <v>32</v>
      </c>
      <c r="F104" s="6"/>
      <c r="G104" s="6"/>
      <c r="H104" s="11">
        <f>+STAT1!V104</f>
        <v>0</v>
      </c>
      <c r="I104" s="11">
        <f>+STAT1!W104</f>
        <v>0</v>
      </c>
      <c r="J104" s="11">
        <f>+SUMIFS(JURNAL!G:G,JURNAL!E:E,C104,JURNAL!C:C,"&gt;="&amp;$H$1,JURNAL!C:C,"&lt;="&amp;$I$1)</f>
        <v>0</v>
      </c>
      <c r="K104" s="11">
        <f>+SUMIFS(JURNAL!H:H,JURNAL!E:E,C104,JURNAL!C:C,"&gt;="&amp;$H$1,JURNAL!C:C,"&lt;="&amp;$I$1)</f>
        <v>0</v>
      </c>
      <c r="L104" s="26">
        <f t="shared" si="10"/>
        <v>0</v>
      </c>
      <c r="M104" s="27">
        <f t="shared" si="8"/>
        <v>0</v>
      </c>
      <c r="N104" s="11"/>
      <c r="O104" s="334"/>
      <c r="P104" s="11"/>
      <c r="Q104" s="11"/>
      <c r="R104" s="26">
        <f t="shared" si="11"/>
        <v>0</v>
      </c>
      <c r="S104" s="27">
        <f t="shared" si="12"/>
        <v>0</v>
      </c>
      <c r="T104" s="11"/>
      <c r="U104" s="11"/>
      <c r="V104" s="26">
        <f t="shared" si="13"/>
        <v>0</v>
      </c>
      <c r="W104" s="27">
        <f t="shared" si="9"/>
        <v>0</v>
      </c>
      <c r="X104" s="4">
        <v>1126</v>
      </c>
      <c r="Y104" s="4"/>
      <c r="Z104" s="4"/>
      <c r="AA104" s="12">
        <f t="shared" si="14"/>
        <v>0</v>
      </c>
      <c r="AC104" s="84"/>
      <c r="AD104" s="84"/>
      <c r="AE104" s="84"/>
      <c r="AF104" s="84"/>
    </row>
    <row r="105" spans="1:32" ht="12.75" customHeight="1">
      <c r="A105" s="24"/>
      <c r="B105" s="105">
        <f t="shared" si="15"/>
        <v>102</v>
      </c>
      <c r="C105" s="6">
        <v>310100</v>
      </c>
      <c r="D105" s="118" t="s">
        <v>511</v>
      </c>
      <c r="E105" s="9" t="s">
        <v>32</v>
      </c>
      <c r="F105" s="6"/>
      <c r="G105" s="6"/>
      <c r="H105" s="11">
        <f>+STAT1!V105</f>
        <v>0</v>
      </c>
      <c r="I105" s="11">
        <f>+STAT1!W105</f>
        <v>1279999.9996000081</v>
      </c>
      <c r="J105" s="11">
        <f>+SUMIFS(JURNAL!G:G,JURNAL!E:E,C105,JURNAL!C:C,"&gt;="&amp;$H$1,JURNAL!C:C,"&lt;="&amp;$I$1)</f>
        <v>1280000</v>
      </c>
      <c r="K105" s="11">
        <f>+SUMIFS(JURNAL!H:H,JURNAL!E:E,C105,JURNAL!C:C,"&gt;="&amp;$H$1,JURNAL!C:C,"&lt;="&amp;$I$1)</f>
        <v>0</v>
      </c>
      <c r="L105" s="26">
        <f t="shared" si="10"/>
        <v>3.9999186992645264E-4</v>
      </c>
      <c r="M105" s="27">
        <f t="shared" si="8"/>
        <v>0</v>
      </c>
      <c r="N105" s="11"/>
      <c r="O105" s="334"/>
      <c r="P105" s="11"/>
      <c r="Q105" s="11"/>
      <c r="R105" s="26">
        <f t="shared" si="11"/>
        <v>3.9999186992645264E-4</v>
      </c>
      <c r="S105" s="27">
        <f t="shared" si="12"/>
        <v>0</v>
      </c>
      <c r="T105" s="11"/>
      <c r="U105" s="11"/>
      <c r="V105" s="26">
        <f t="shared" si="13"/>
        <v>3.9999186992645264E-4</v>
      </c>
      <c r="W105" s="27">
        <f t="shared" si="9"/>
        <v>0</v>
      </c>
      <c r="X105" s="4">
        <v>1201</v>
      </c>
      <c r="Y105" s="4"/>
      <c r="Z105" s="4"/>
      <c r="AA105" s="12">
        <f t="shared" si="14"/>
        <v>1</v>
      </c>
      <c r="AC105" s="84"/>
      <c r="AD105" s="84"/>
      <c r="AE105" s="84"/>
      <c r="AF105" s="84"/>
    </row>
    <row r="106" spans="1:32" ht="12.75" customHeight="1">
      <c r="A106" s="24"/>
      <c r="B106" s="105">
        <f t="shared" si="15"/>
        <v>103</v>
      </c>
      <c r="C106" s="6">
        <v>310101</v>
      </c>
      <c r="D106" s="118" t="s">
        <v>966</v>
      </c>
      <c r="E106" s="9" t="s">
        <v>30</v>
      </c>
      <c r="F106" s="6"/>
      <c r="G106" s="6"/>
      <c r="H106" s="11">
        <f>+STAT1!V106</f>
        <v>0</v>
      </c>
      <c r="I106" s="11">
        <f>+STAT1!W106</f>
        <v>0</v>
      </c>
      <c r="J106" s="11">
        <f>+SUMIFS(JURNAL!G:G,JURNAL!E:E,C106,JURNAL!C:C,"&gt;="&amp;$H$1,JURNAL!C:C,"&lt;="&amp;$I$1)</f>
        <v>0</v>
      </c>
      <c r="K106" s="11">
        <f>+SUMIFS(JURNAL!H:H,JURNAL!E:E,C106,JURNAL!C:C,"&gt;="&amp;$H$1,JURNAL!C:C,"&lt;="&amp;$I$1)</f>
        <v>0</v>
      </c>
      <c r="L106" s="26">
        <f t="shared" si="10"/>
        <v>0</v>
      </c>
      <c r="M106" s="27">
        <f t="shared" si="8"/>
        <v>0</v>
      </c>
      <c r="N106" s="11"/>
      <c r="O106" s="334"/>
      <c r="P106" s="11"/>
      <c r="Q106" s="11"/>
      <c r="R106" s="26">
        <f t="shared" si="11"/>
        <v>0</v>
      </c>
      <c r="S106" s="27">
        <f t="shared" si="12"/>
        <v>0</v>
      </c>
      <c r="T106" s="11"/>
      <c r="U106" s="11"/>
      <c r="V106" s="26">
        <f t="shared" si="13"/>
        <v>0</v>
      </c>
      <c r="W106" s="27">
        <f t="shared" si="9"/>
        <v>0</v>
      </c>
      <c r="X106" s="4">
        <v>1201</v>
      </c>
      <c r="Y106" s="4"/>
      <c r="Z106" s="4"/>
      <c r="AA106" s="12">
        <f t="shared" si="14"/>
        <v>0</v>
      </c>
      <c r="AC106" s="84"/>
      <c r="AD106" s="84"/>
      <c r="AE106" s="84"/>
      <c r="AF106" s="84"/>
    </row>
    <row r="107" spans="1:32" ht="12.75" customHeight="1">
      <c r="A107" s="24"/>
      <c r="B107" s="105">
        <f t="shared" si="15"/>
        <v>104</v>
      </c>
      <c r="C107" s="6">
        <v>311700</v>
      </c>
      <c r="D107" s="118" t="s">
        <v>967</v>
      </c>
      <c r="E107" s="9" t="s">
        <v>32</v>
      </c>
      <c r="F107" s="6"/>
      <c r="G107" s="6"/>
      <c r="H107" s="11">
        <f>+STAT1!V107</f>
        <v>0</v>
      </c>
      <c r="I107" s="11">
        <f>+STAT1!W107</f>
        <v>0</v>
      </c>
      <c r="J107" s="11">
        <f>+SUMIFS(JURNAL!G:G,JURNAL!E:E,C107,JURNAL!C:C,"&gt;="&amp;$H$1,JURNAL!C:C,"&lt;="&amp;$I$1)</f>
        <v>0</v>
      </c>
      <c r="K107" s="11">
        <f>+SUMIFS(JURNAL!H:H,JURNAL!E:E,C107,JURNAL!C:C,"&gt;="&amp;$H$1,JURNAL!C:C,"&lt;="&amp;$I$1)</f>
        <v>0</v>
      </c>
      <c r="L107" s="26">
        <f t="shared" si="10"/>
        <v>0</v>
      </c>
      <c r="M107" s="27">
        <f t="shared" si="8"/>
        <v>0</v>
      </c>
      <c r="N107" s="11"/>
      <c r="O107" s="334"/>
      <c r="P107" s="11"/>
      <c r="Q107" s="11"/>
      <c r="R107" s="26">
        <f t="shared" si="11"/>
        <v>0</v>
      </c>
      <c r="S107" s="27">
        <f t="shared" si="12"/>
        <v>0</v>
      </c>
      <c r="T107" s="11"/>
      <c r="U107" s="11"/>
      <c r="V107" s="26">
        <f t="shared" si="13"/>
        <v>0</v>
      </c>
      <c r="W107" s="27">
        <f t="shared" si="9"/>
        <v>0</v>
      </c>
      <c r="X107" s="4">
        <v>1201</v>
      </c>
      <c r="Y107" s="4"/>
      <c r="Z107" s="4"/>
      <c r="AA107" s="12">
        <f t="shared" si="14"/>
        <v>0</v>
      </c>
      <c r="AC107" s="84"/>
      <c r="AD107" s="84"/>
      <c r="AE107" s="84"/>
      <c r="AF107" s="84"/>
    </row>
    <row r="108" spans="1:32" ht="12.75" customHeight="1">
      <c r="A108" s="24"/>
      <c r="B108" s="105">
        <f t="shared" si="15"/>
        <v>105</v>
      </c>
      <c r="C108" s="6">
        <v>310300</v>
      </c>
      <c r="D108" s="118" t="s">
        <v>532</v>
      </c>
      <c r="E108" s="9" t="s">
        <v>32</v>
      </c>
      <c r="F108" s="6"/>
      <c r="G108" s="6"/>
      <c r="H108" s="11">
        <f>+STAT1!V108</f>
        <v>0</v>
      </c>
      <c r="I108" s="11">
        <f>+STAT1!W108</f>
        <v>0</v>
      </c>
      <c r="J108" s="11">
        <f>+SUMIFS(JURNAL!G:G,JURNAL!E:E,C108,JURNAL!C:C,"&gt;="&amp;$H$1,JURNAL!C:C,"&lt;="&amp;$I$1)</f>
        <v>0</v>
      </c>
      <c r="K108" s="11">
        <f>+SUMIFS(JURNAL!H:H,JURNAL!E:E,C108,JURNAL!C:C,"&gt;="&amp;$H$1,JURNAL!C:C,"&lt;="&amp;$I$1)</f>
        <v>0</v>
      </c>
      <c r="L108" s="26">
        <f t="shared" si="10"/>
        <v>0</v>
      </c>
      <c r="M108" s="27">
        <f t="shared" si="8"/>
        <v>0</v>
      </c>
      <c r="N108" s="11"/>
      <c r="O108" s="334"/>
      <c r="P108" s="11"/>
      <c r="Q108" s="11"/>
      <c r="R108" s="26">
        <f t="shared" si="11"/>
        <v>0</v>
      </c>
      <c r="S108" s="27">
        <f t="shared" si="12"/>
        <v>0</v>
      </c>
      <c r="T108" s="11"/>
      <c r="U108" s="11"/>
      <c r="V108" s="26">
        <f t="shared" si="13"/>
        <v>0</v>
      </c>
      <c r="W108" s="27">
        <f t="shared" si="9"/>
        <v>0</v>
      </c>
      <c r="X108" s="4">
        <v>1207</v>
      </c>
      <c r="Y108" s="4"/>
      <c r="Z108" s="4"/>
      <c r="AA108" s="12">
        <f t="shared" si="14"/>
        <v>0</v>
      </c>
      <c r="AC108" s="84"/>
      <c r="AD108" s="84"/>
      <c r="AE108" s="84"/>
      <c r="AF108" s="84"/>
    </row>
    <row r="109" spans="1:32" ht="12.75" customHeight="1">
      <c r="A109" s="24"/>
      <c r="B109" s="105">
        <f t="shared" si="15"/>
        <v>106</v>
      </c>
      <c r="C109" s="6">
        <v>310400</v>
      </c>
      <c r="D109" s="118" t="s">
        <v>539</v>
      </c>
      <c r="E109" s="9" t="s">
        <v>32</v>
      </c>
      <c r="F109" s="6"/>
      <c r="G109" s="6"/>
      <c r="H109" s="11">
        <f>+STAT1!V109</f>
        <v>0</v>
      </c>
      <c r="I109" s="11">
        <f>+STAT1!W109</f>
        <v>66729157.000000015</v>
      </c>
      <c r="J109" s="11">
        <f>+SUMIFS(JURNAL!G:G,JURNAL!E:E,C109,JURNAL!C:C,"&gt;="&amp;$H$1,JURNAL!C:C,"&lt;="&amp;$I$1)</f>
        <v>13806613.930000002</v>
      </c>
      <c r="K109" s="11">
        <f>+SUMIFS(JURNAL!H:H,JURNAL!E:E,C109,JURNAL!C:C,"&gt;="&amp;$H$1,JURNAL!C:C,"&lt;="&amp;$I$1)</f>
        <v>0</v>
      </c>
      <c r="L109" s="26">
        <f t="shared" si="10"/>
        <v>0</v>
      </c>
      <c r="M109" s="27">
        <f t="shared" si="8"/>
        <v>52922543.070000015</v>
      </c>
      <c r="N109" s="11"/>
      <c r="O109" s="334"/>
      <c r="P109" s="11"/>
      <c r="Q109" s="11"/>
      <c r="R109" s="26">
        <f t="shared" si="11"/>
        <v>0</v>
      </c>
      <c r="S109" s="27">
        <f t="shared" si="12"/>
        <v>52922543.070000015</v>
      </c>
      <c r="T109" s="11"/>
      <c r="U109" s="11"/>
      <c r="V109" s="26">
        <f t="shared" si="13"/>
        <v>0</v>
      </c>
      <c r="W109" s="27">
        <f t="shared" si="9"/>
        <v>52922543.070000015</v>
      </c>
      <c r="X109" s="4">
        <v>1205</v>
      </c>
      <c r="Y109" s="4"/>
      <c r="Z109" s="4"/>
      <c r="AA109" s="12">
        <f t="shared" si="14"/>
        <v>1</v>
      </c>
      <c r="AC109" s="84"/>
      <c r="AD109" s="84"/>
      <c r="AE109" s="84"/>
      <c r="AF109" s="84"/>
    </row>
    <row r="110" spans="1:32" ht="12.75" customHeight="1">
      <c r="A110" s="24"/>
      <c r="B110" s="105">
        <f t="shared" si="15"/>
        <v>107</v>
      </c>
      <c r="C110" s="6">
        <v>310401</v>
      </c>
      <c r="D110" s="118" t="s">
        <v>968</v>
      </c>
      <c r="E110" s="9" t="s">
        <v>30</v>
      </c>
      <c r="F110" s="6"/>
      <c r="G110" s="6"/>
      <c r="H110" s="11">
        <f>+STAT1!V110</f>
        <v>0</v>
      </c>
      <c r="I110" s="11">
        <f>+STAT1!W110</f>
        <v>0</v>
      </c>
      <c r="J110" s="11">
        <f>+SUMIFS(JURNAL!G:G,JURNAL!E:E,C110,JURNAL!C:C,"&gt;="&amp;$H$1,JURNAL!C:C,"&lt;="&amp;$I$1)</f>
        <v>0</v>
      </c>
      <c r="K110" s="11">
        <f>+SUMIFS(JURNAL!H:H,JURNAL!E:E,C110,JURNAL!C:C,"&gt;="&amp;$H$1,JURNAL!C:C,"&lt;="&amp;$I$1)</f>
        <v>0</v>
      </c>
      <c r="L110" s="26">
        <f t="shared" si="10"/>
        <v>0</v>
      </c>
      <c r="M110" s="27">
        <f t="shared" si="8"/>
        <v>0</v>
      </c>
      <c r="N110" s="11"/>
      <c r="O110" s="334"/>
      <c r="P110" s="11"/>
      <c r="Q110" s="11"/>
      <c r="R110" s="26">
        <f t="shared" si="11"/>
        <v>0</v>
      </c>
      <c r="S110" s="27">
        <f t="shared" si="12"/>
        <v>0</v>
      </c>
      <c r="T110" s="11"/>
      <c r="U110" s="11"/>
      <c r="V110" s="26">
        <f t="shared" si="13"/>
        <v>0</v>
      </c>
      <c r="W110" s="27">
        <f t="shared" si="9"/>
        <v>0</v>
      </c>
      <c r="X110" s="4">
        <v>1205</v>
      </c>
      <c r="Y110" s="4"/>
      <c r="Z110" s="4"/>
      <c r="AA110" s="12">
        <f t="shared" si="14"/>
        <v>0</v>
      </c>
      <c r="AC110" s="84"/>
      <c r="AD110" s="84"/>
      <c r="AE110" s="84"/>
      <c r="AF110" s="84"/>
    </row>
    <row r="111" spans="1:32" ht="12.75" customHeight="1">
      <c r="A111" s="24"/>
      <c r="B111" s="105">
        <f t="shared" si="15"/>
        <v>108</v>
      </c>
      <c r="C111" s="6">
        <v>310500</v>
      </c>
      <c r="D111" s="118" t="s">
        <v>546</v>
      </c>
      <c r="E111" s="9" t="s">
        <v>32</v>
      </c>
      <c r="F111" s="6"/>
      <c r="G111" s="6"/>
      <c r="H111" s="11">
        <f>+STAT1!V111</f>
        <v>0</v>
      </c>
      <c r="I111" s="11">
        <f>+STAT1!W111</f>
        <v>57709534.539122589</v>
      </c>
      <c r="J111" s="11">
        <f>+SUMIFS(JURNAL!G:G,JURNAL!E:E,C111,JURNAL!C:C,"&gt;="&amp;$H$1,JURNAL!C:C,"&lt;="&amp;$I$1)</f>
        <v>0</v>
      </c>
      <c r="K111" s="11">
        <f>+SUMIFS(JURNAL!H:H,JURNAL!E:E,C111,JURNAL!C:C,"&gt;="&amp;$H$1,JURNAL!C:C,"&lt;="&amp;$I$1)</f>
        <v>7367071.9970742958</v>
      </c>
      <c r="L111" s="26">
        <f t="shared" si="10"/>
        <v>0</v>
      </c>
      <c r="M111" s="27">
        <f t="shared" si="8"/>
        <v>65076606.536196887</v>
      </c>
      <c r="N111" s="11">
        <v>3459614.61</v>
      </c>
      <c r="O111" s="334"/>
      <c r="P111" s="11"/>
      <c r="Q111" s="11"/>
      <c r="R111" s="26">
        <f t="shared" si="11"/>
        <v>0</v>
      </c>
      <c r="S111" s="27">
        <f t="shared" si="12"/>
        <v>61616991.926196888</v>
      </c>
      <c r="T111" s="11"/>
      <c r="U111" s="11"/>
      <c r="V111" s="26">
        <f t="shared" si="13"/>
        <v>0</v>
      </c>
      <c r="W111" s="27">
        <f t="shared" si="9"/>
        <v>61616991.926196888</v>
      </c>
      <c r="X111" s="4">
        <v>1203</v>
      </c>
      <c r="Y111" s="4"/>
      <c r="Z111" s="4"/>
      <c r="AA111" s="12">
        <f t="shared" si="14"/>
        <v>1</v>
      </c>
      <c r="AC111" s="84"/>
      <c r="AD111" s="84"/>
      <c r="AE111" s="84"/>
      <c r="AF111" s="84"/>
    </row>
    <row r="112" spans="1:32" ht="12.75" customHeight="1">
      <c r="A112" s="25"/>
      <c r="B112" s="105">
        <f t="shared" si="15"/>
        <v>109</v>
      </c>
      <c r="C112" s="6">
        <v>310600</v>
      </c>
      <c r="D112" s="118" t="s">
        <v>551</v>
      </c>
      <c r="E112" s="9" t="s">
        <v>32</v>
      </c>
      <c r="F112" s="6"/>
      <c r="G112" s="6"/>
      <c r="H112" s="11">
        <f>+STAT1!V112</f>
        <v>0</v>
      </c>
      <c r="I112" s="11">
        <f>+STAT1!W112</f>
        <v>10.391999999992549</v>
      </c>
      <c r="J112" s="11">
        <f>+SUMIFS(JURNAL!G:G,JURNAL!E:E,C112,JURNAL!C:C,"&gt;="&amp;$H$1,JURNAL!C:C,"&lt;="&amp;$I$1)</f>
        <v>0</v>
      </c>
      <c r="K112" s="11">
        <f>+SUMIFS(JURNAL!H:H,JURNAL!E:E,C112,JURNAL!C:C,"&gt;="&amp;$H$1,JURNAL!C:C,"&lt;="&amp;$I$1)</f>
        <v>0</v>
      </c>
      <c r="L112" s="26">
        <f t="shared" si="10"/>
        <v>0</v>
      </c>
      <c r="M112" s="27">
        <f t="shared" si="8"/>
        <v>10.391999999992549</v>
      </c>
      <c r="N112" s="11">
        <v>10.39</v>
      </c>
      <c r="O112" s="334"/>
      <c r="P112" s="11"/>
      <c r="Q112" s="11"/>
      <c r="R112" s="26">
        <f t="shared" si="11"/>
        <v>0</v>
      </c>
      <c r="S112" s="27">
        <f t="shared" si="12"/>
        <v>1.999999992548851E-3</v>
      </c>
      <c r="T112" s="11"/>
      <c r="U112" s="11"/>
      <c r="V112" s="26">
        <f t="shared" si="13"/>
        <v>0</v>
      </c>
      <c r="W112" s="27">
        <f t="shared" si="9"/>
        <v>1.999999992548851E-3</v>
      </c>
      <c r="X112" s="4">
        <v>1203</v>
      </c>
      <c r="Y112" s="4"/>
      <c r="Z112" s="4"/>
      <c r="AA112" s="12">
        <f t="shared" si="14"/>
        <v>1</v>
      </c>
      <c r="AC112" s="84"/>
      <c r="AD112" s="84"/>
      <c r="AE112" s="84"/>
      <c r="AF112" s="84"/>
    </row>
    <row r="113" spans="1:32" ht="12.75" customHeight="1">
      <c r="A113" s="24"/>
      <c r="B113" s="105">
        <f t="shared" si="15"/>
        <v>110</v>
      </c>
      <c r="C113" s="6">
        <v>310700</v>
      </c>
      <c r="D113" s="118" t="s">
        <v>556</v>
      </c>
      <c r="E113" s="9" t="s">
        <v>32</v>
      </c>
      <c r="F113" s="6"/>
      <c r="G113" s="11"/>
      <c r="H113" s="11">
        <f>+STAT1!V113</f>
        <v>0</v>
      </c>
      <c r="I113" s="11">
        <f>+STAT1!W113</f>
        <v>2208257.7760606064</v>
      </c>
      <c r="J113" s="11">
        <f>+SUMIFS(JURNAL!G:G,JURNAL!E:E,C113,JURNAL!C:C,"&gt;="&amp;$H$1,JURNAL!C:C,"&lt;="&amp;$I$1)</f>
        <v>0</v>
      </c>
      <c r="K113" s="11">
        <f>+SUMIFS(JURNAL!H:H,JURNAL!E:E,C113,JURNAL!C:C,"&gt;="&amp;$H$1,JURNAL!C:C,"&lt;="&amp;$I$1)</f>
        <v>2480252.2827074071</v>
      </c>
      <c r="L113" s="26">
        <f t="shared" si="10"/>
        <v>0</v>
      </c>
      <c r="M113" s="27">
        <f t="shared" si="8"/>
        <v>4688510.0587680135</v>
      </c>
      <c r="N113" s="11">
        <v>3000000</v>
      </c>
      <c r="O113" s="334"/>
      <c r="P113" s="11"/>
      <c r="Q113" s="11"/>
      <c r="R113" s="26">
        <f t="shared" si="11"/>
        <v>0</v>
      </c>
      <c r="S113" s="27">
        <f t="shared" si="12"/>
        <v>1688510.0587680135</v>
      </c>
      <c r="T113" s="11"/>
      <c r="U113" s="11"/>
      <c r="V113" s="26">
        <f t="shared" si="13"/>
        <v>0</v>
      </c>
      <c r="W113" s="27">
        <f t="shared" si="9"/>
        <v>1688510.0587680135</v>
      </c>
      <c r="X113" s="4">
        <v>1203</v>
      </c>
      <c r="Y113" s="4"/>
      <c r="Z113" s="4"/>
      <c r="AA113" s="12">
        <f t="shared" si="14"/>
        <v>1</v>
      </c>
      <c r="AC113" s="84"/>
      <c r="AD113" s="84"/>
      <c r="AE113" s="84"/>
      <c r="AF113" s="84"/>
    </row>
    <row r="114" spans="1:32" ht="12.75" customHeight="1">
      <c r="A114" s="24"/>
      <c r="B114" s="105">
        <f t="shared" si="15"/>
        <v>111</v>
      </c>
      <c r="C114" s="6">
        <v>310800</v>
      </c>
      <c r="D114" s="118" t="s">
        <v>561</v>
      </c>
      <c r="E114" s="9" t="s">
        <v>32</v>
      </c>
      <c r="F114" s="6"/>
      <c r="G114" s="6"/>
      <c r="H114" s="11">
        <f>+STAT1!V114</f>
        <v>0</v>
      </c>
      <c r="I114" s="11">
        <f>+STAT1!W114</f>
        <v>3470021.2666666675</v>
      </c>
      <c r="J114" s="11">
        <f>+SUMIFS(JURNAL!G:G,JURNAL!E:E,C114,JURNAL!C:C,"&gt;="&amp;$H$1,JURNAL!C:C,"&lt;="&amp;$I$1)</f>
        <v>0</v>
      </c>
      <c r="K114" s="11">
        <f>+SUMIFS(JURNAL!H:H,JURNAL!E:E,C114,JURNAL!C:C,"&gt;="&amp;$H$1,JURNAL!C:C,"&lt;="&amp;$I$1)</f>
        <v>6959909.676659259</v>
      </c>
      <c r="L114" s="26">
        <f t="shared" si="10"/>
        <v>0</v>
      </c>
      <c r="M114" s="27">
        <f t="shared" si="8"/>
        <v>10429930.943325926</v>
      </c>
      <c r="N114" s="11">
        <v>5500000</v>
      </c>
      <c r="O114" s="334"/>
      <c r="P114" s="11"/>
      <c r="Q114" s="11"/>
      <c r="R114" s="26">
        <f t="shared" si="11"/>
        <v>0</v>
      </c>
      <c r="S114" s="27">
        <f t="shared" si="12"/>
        <v>4929930.9433259256</v>
      </c>
      <c r="T114" s="11"/>
      <c r="U114" s="11"/>
      <c r="V114" s="26">
        <f t="shared" si="13"/>
        <v>0</v>
      </c>
      <c r="W114" s="27">
        <f t="shared" si="9"/>
        <v>4929930.9433259256</v>
      </c>
      <c r="X114" s="4">
        <v>1204</v>
      </c>
      <c r="Y114" s="4"/>
      <c r="Z114" s="4"/>
      <c r="AA114" s="12">
        <f t="shared" si="14"/>
        <v>1</v>
      </c>
      <c r="AC114" s="84"/>
      <c r="AD114" s="84"/>
      <c r="AE114" s="84"/>
      <c r="AF114" s="84"/>
    </row>
    <row r="115" spans="1:32" ht="12.75" customHeight="1">
      <c r="A115" s="24"/>
      <c r="B115" s="105">
        <f t="shared" si="15"/>
        <v>112</v>
      </c>
      <c r="C115" s="6">
        <v>310900</v>
      </c>
      <c r="D115" s="118" t="s">
        <v>566</v>
      </c>
      <c r="E115" s="9" t="s">
        <v>32</v>
      </c>
      <c r="F115" s="6"/>
      <c r="G115" s="6"/>
      <c r="H115" s="11">
        <f>+STAT1!V115</f>
        <v>0</v>
      </c>
      <c r="I115" s="11">
        <f>+STAT1!W115</f>
        <v>0</v>
      </c>
      <c r="J115" s="11">
        <f>+SUMIFS(JURNAL!G:G,JURNAL!E:E,C115,JURNAL!C:C,"&gt;="&amp;$H$1,JURNAL!C:C,"&lt;="&amp;$I$1)</f>
        <v>0</v>
      </c>
      <c r="K115" s="11">
        <f>+SUMIFS(JURNAL!H:H,JURNAL!E:E,C115,JURNAL!C:C,"&gt;="&amp;$H$1,JURNAL!C:C,"&lt;="&amp;$I$1)</f>
        <v>0</v>
      </c>
      <c r="L115" s="26">
        <f t="shared" si="10"/>
        <v>0</v>
      </c>
      <c r="M115" s="27">
        <f t="shared" si="8"/>
        <v>0</v>
      </c>
      <c r="N115" s="11"/>
      <c r="O115" s="334"/>
      <c r="P115" s="11"/>
      <c r="Q115" s="11"/>
      <c r="R115" s="26">
        <f t="shared" si="11"/>
        <v>0</v>
      </c>
      <c r="S115" s="27">
        <f t="shared" si="12"/>
        <v>0</v>
      </c>
      <c r="T115" s="11"/>
      <c r="U115" s="11"/>
      <c r="V115" s="26">
        <f t="shared" si="13"/>
        <v>0</v>
      </c>
      <c r="W115" s="27">
        <f t="shared" si="9"/>
        <v>0</v>
      </c>
      <c r="X115" s="4">
        <v>1203</v>
      </c>
      <c r="Y115" s="4"/>
      <c r="Z115" s="4"/>
      <c r="AA115" s="12">
        <f t="shared" si="14"/>
        <v>0</v>
      </c>
      <c r="AB115" s="84"/>
      <c r="AC115" s="84"/>
      <c r="AD115" s="84"/>
      <c r="AE115" s="84"/>
      <c r="AF115" s="84"/>
    </row>
    <row r="116" spans="1:32" ht="12.75" customHeight="1">
      <c r="A116" s="24"/>
      <c r="B116" s="105">
        <f t="shared" si="15"/>
        <v>113</v>
      </c>
      <c r="C116" s="6">
        <v>311000</v>
      </c>
      <c r="D116" s="118" t="s">
        <v>571</v>
      </c>
      <c r="E116" s="9" t="s">
        <v>32</v>
      </c>
      <c r="F116" s="6"/>
      <c r="G116" s="6"/>
      <c r="H116" s="11">
        <f>+STAT1!V116</f>
        <v>0</v>
      </c>
      <c r="I116" s="11">
        <f>+STAT1!W116</f>
        <v>0</v>
      </c>
      <c r="J116" s="11">
        <f>+SUMIFS(JURNAL!G:G,JURNAL!E:E,C116,JURNAL!C:C,"&gt;="&amp;$H$1,JURNAL!C:C,"&lt;="&amp;$I$1)</f>
        <v>26102270.544366665</v>
      </c>
      <c r="K116" s="11">
        <f>+SUMIFS(JURNAL!H:H,JURNAL!E:E,C116,JURNAL!C:C,"&gt;="&amp;$H$1,JURNAL!C:C,"&lt;="&amp;$I$1)</f>
        <v>26102270.544366665</v>
      </c>
      <c r="L116" s="26">
        <f t="shared" si="10"/>
        <v>0</v>
      </c>
      <c r="M116" s="27">
        <f t="shared" si="8"/>
        <v>0</v>
      </c>
      <c r="N116" s="11"/>
      <c r="O116" s="334"/>
      <c r="P116" s="11"/>
      <c r="Q116" s="11"/>
      <c r="R116" s="26">
        <f t="shared" si="11"/>
        <v>0</v>
      </c>
      <c r="S116" s="27">
        <f t="shared" si="12"/>
        <v>0</v>
      </c>
      <c r="T116" s="11"/>
      <c r="U116" s="11"/>
      <c r="V116" s="26">
        <f t="shared" si="13"/>
        <v>0</v>
      </c>
      <c r="W116" s="27">
        <f t="shared" si="9"/>
        <v>0</v>
      </c>
      <c r="X116" s="4">
        <v>1202</v>
      </c>
      <c r="Y116" s="4"/>
      <c r="Z116" s="4"/>
      <c r="AA116" s="12">
        <f t="shared" si="14"/>
        <v>1</v>
      </c>
      <c r="AC116" s="84"/>
      <c r="AD116" s="84"/>
      <c r="AE116" s="84"/>
      <c r="AF116" s="84"/>
    </row>
    <row r="117" spans="1:32" ht="12.75" customHeight="1">
      <c r="A117" s="24"/>
      <c r="B117" s="105">
        <f t="shared" si="15"/>
        <v>114</v>
      </c>
      <c r="C117" s="6">
        <v>311100</v>
      </c>
      <c r="D117" s="118" t="s">
        <v>576</v>
      </c>
      <c r="E117" s="9" t="s">
        <v>32</v>
      </c>
      <c r="F117" s="6"/>
      <c r="G117" s="6"/>
      <c r="H117" s="11">
        <f>+STAT1!V117</f>
        <v>0</v>
      </c>
      <c r="I117" s="11">
        <f>+STAT1!W117</f>
        <v>98355900</v>
      </c>
      <c r="J117" s="11">
        <f>+SUMIFS(JURNAL!G:G,JURNAL!E:E,C117,JURNAL!C:C,"&gt;="&amp;$H$1,JURNAL!C:C,"&lt;="&amp;$I$1)</f>
        <v>8789147</v>
      </c>
      <c r="K117" s="11">
        <f>+SUMIFS(JURNAL!H:H,JURNAL!E:E,C117,JURNAL!C:C,"&gt;="&amp;$H$1,JURNAL!C:C,"&lt;="&amp;$I$1)</f>
        <v>0</v>
      </c>
      <c r="L117" s="26">
        <f t="shared" si="10"/>
        <v>0</v>
      </c>
      <c r="M117" s="27">
        <f t="shared" si="8"/>
        <v>89566753</v>
      </c>
      <c r="N117" s="11"/>
      <c r="O117" s="334"/>
      <c r="P117" s="11"/>
      <c r="Q117" s="11"/>
      <c r="R117" s="26">
        <f t="shared" si="11"/>
        <v>0</v>
      </c>
      <c r="S117" s="27">
        <f t="shared" si="12"/>
        <v>89566753</v>
      </c>
      <c r="T117" s="11"/>
      <c r="U117" s="11"/>
      <c r="V117" s="26">
        <f t="shared" si="13"/>
        <v>0</v>
      </c>
      <c r="W117" s="27">
        <f t="shared" si="9"/>
        <v>89566753</v>
      </c>
      <c r="X117" s="4">
        <v>1210</v>
      </c>
      <c r="Y117" s="4"/>
      <c r="Z117" s="4"/>
      <c r="AA117" s="12">
        <f t="shared" si="14"/>
        <v>1</v>
      </c>
      <c r="AC117" s="84"/>
      <c r="AD117" s="84"/>
      <c r="AE117" s="84"/>
      <c r="AF117" s="84"/>
    </row>
    <row r="118" spans="1:32" ht="12.75" customHeight="1">
      <c r="A118" s="24"/>
      <c r="B118" s="105">
        <f t="shared" si="15"/>
        <v>115</v>
      </c>
      <c r="C118" s="6">
        <v>311200</v>
      </c>
      <c r="D118" s="118" t="s">
        <v>581</v>
      </c>
      <c r="E118" s="9" t="s">
        <v>32</v>
      </c>
      <c r="F118" s="6"/>
      <c r="G118" s="6"/>
      <c r="H118" s="11">
        <f>+STAT1!V118</f>
        <v>0</v>
      </c>
      <c r="I118" s="11">
        <f>+STAT1!W118</f>
        <v>0</v>
      </c>
      <c r="J118" s="11">
        <f>+SUMIFS(JURNAL!G:G,JURNAL!E:E,C118,JURNAL!C:C,"&gt;="&amp;$H$1,JURNAL!C:C,"&lt;="&amp;$I$1)</f>
        <v>0</v>
      </c>
      <c r="K118" s="11">
        <f>+SUMIFS(JURNAL!H:H,JURNAL!E:E,C118,JURNAL!C:C,"&gt;="&amp;$H$1,JURNAL!C:C,"&lt;="&amp;$I$1)</f>
        <v>0</v>
      </c>
      <c r="L118" s="26">
        <f t="shared" si="10"/>
        <v>0</v>
      </c>
      <c r="M118" s="27">
        <f t="shared" si="8"/>
        <v>0</v>
      </c>
      <c r="N118" s="11"/>
      <c r="O118" s="334"/>
      <c r="P118" s="11"/>
      <c r="Q118" s="11"/>
      <c r="R118" s="26">
        <f t="shared" si="11"/>
        <v>0</v>
      </c>
      <c r="S118" s="27">
        <f t="shared" si="12"/>
        <v>0</v>
      </c>
      <c r="T118" s="11"/>
      <c r="U118" s="11"/>
      <c r="V118" s="26">
        <f t="shared" si="13"/>
        <v>0</v>
      </c>
      <c r="W118" s="27">
        <f t="shared" si="9"/>
        <v>0</v>
      </c>
      <c r="X118" s="4">
        <v>1201</v>
      </c>
      <c r="Y118" s="4"/>
      <c r="Z118" s="4"/>
      <c r="AA118" s="12">
        <f t="shared" si="14"/>
        <v>0</v>
      </c>
      <c r="AC118" s="84"/>
      <c r="AD118" s="84"/>
      <c r="AE118" s="84"/>
      <c r="AF118" s="84"/>
    </row>
    <row r="119" spans="1:32" ht="12.75" customHeight="1">
      <c r="A119" s="24"/>
      <c r="B119" s="105">
        <f t="shared" si="15"/>
        <v>116</v>
      </c>
      <c r="C119" s="6">
        <v>311300</v>
      </c>
      <c r="D119" s="118" t="s">
        <v>586</v>
      </c>
      <c r="E119" s="9" t="s">
        <v>32</v>
      </c>
      <c r="F119" s="6"/>
      <c r="G119" s="6"/>
      <c r="H119" s="11">
        <f>+STAT1!V119</f>
        <v>0</v>
      </c>
      <c r="I119" s="11">
        <f>+STAT1!W119</f>
        <v>0</v>
      </c>
      <c r="J119" s="11">
        <f>+SUMIFS(JURNAL!G:G,JURNAL!E:E,C119,JURNAL!C:C,"&gt;="&amp;$H$1,JURNAL!C:C,"&lt;="&amp;$I$1)</f>
        <v>0</v>
      </c>
      <c r="K119" s="11">
        <f>+SUMIFS(JURNAL!H:H,JURNAL!E:E,C119,JURNAL!C:C,"&gt;="&amp;$H$1,JURNAL!C:C,"&lt;="&amp;$I$1)</f>
        <v>0</v>
      </c>
      <c r="L119" s="26">
        <f t="shared" si="10"/>
        <v>0</v>
      </c>
      <c r="M119" s="27">
        <f t="shared" si="8"/>
        <v>0</v>
      </c>
      <c r="N119" s="11"/>
      <c r="O119" s="334"/>
      <c r="P119" s="11"/>
      <c r="Q119" s="11"/>
      <c r="R119" s="26">
        <f t="shared" si="11"/>
        <v>0</v>
      </c>
      <c r="S119" s="27">
        <f t="shared" si="12"/>
        <v>0</v>
      </c>
      <c r="T119" s="11"/>
      <c r="U119" s="11"/>
      <c r="V119" s="26">
        <f t="shared" si="13"/>
        <v>0</v>
      </c>
      <c r="W119" s="27">
        <f t="shared" si="9"/>
        <v>0</v>
      </c>
      <c r="X119" s="4">
        <v>1201</v>
      </c>
      <c r="Y119" s="4"/>
      <c r="Z119" s="4"/>
      <c r="AA119" s="12">
        <f t="shared" si="14"/>
        <v>0</v>
      </c>
      <c r="AC119" s="84"/>
      <c r="AD119" s="84"/>
      <c r="AE119" s="84"/>
      <c r="AF119" s="84"/>
    </row>
    <row r="120" spans="1:32" ht="12.75" customHeight="1">
      <c r="A120" s="24"/>
      <c r="B120" s="105">
        <f t="shared" si="15"/>
        <v>117</v>
      </c>
      <c r="C120" s="6">
        <v>311301</v>
      </c>
      <c r="D120" s="118" t="s">
        <v>969</v>
      </c>
      <c r="E120" s="9" t="s">
        <v>30</v>
      </c>
      <c r="F120" s="6"/>
      <c r="G120" s="6"/>
      <c r="H120" s="11">
        <f>+STAT1!V120</f>
        <v>0</v>
      </c>
      <c r="I120" s="11">
        <f>+STAT1!W120</f>
        <v>0</v>
      </c>
      <c r="J120" s="11">
        <f>+SUMIFS(JURNAL!G:G,JURNAL!E:E,C120,JURNAL!C:C,"&gt;="&amp;$H$1,JURNAL!C:C,"&lt;="&amp;$I$1)</f>
        <v>0</v>
      </c>
      <c r="K120" s="11">
        <f>+SUMIFS(JURNAL!H:H,JURNAL!E:E,C120,JURNAL!C:C,"&gt;="&amp;$H$1,JURNAL!C:C,"&lt;="&amp;$I$1)</f>
        <v>0</v>
      </c>
      <c r="L120" s="26">
        <f t="shared" si="10"/>
        <v>0</v>
      </c>
      <c r="M120" s="27">
        <f t="shared" si="8"/>
        <v>0</v>
      </c>
      <c r="N120" s="11"/>
      <c r="O120" s="334"/>
      <c r="P120" s="11"/>
      <c r="Q120" s="11"/>
      <c r="R120" s="26">
        <f t="shared" si="11"/>
        <v>0</v>
      </c>
      <c r="S120" s="27">
        <f t="shared" si="12"/>
        <v>0</v>
      </c>
      <c r="T120" s="11"/>
      <c r="U120" s="11"/>
      <c r="V120" s="26">
        <f t="shared" si="13"/>
        <v>0</v>
      </c>
      <c r="W120" s="27">
        <f t="shared" si="9"/>
        <v>0</v>
      </c>
      <c r="X120" s="4">
        <v>1201</v>
      </c>
      <c r="Y120" s="4"/>
      <c r="Z120" s="4"/>
      <c r="AA120" s="12">
        <f t="shared" si="14"/>
        <v>0</v>
      </c>
      <c r="AC120" s="84"/>
      <c r="AD120" s="84"/>
      <c r="AE120" s="84"/>
      <c r="AF120" s="84"/>
    </row>
    <row r="121" spans="1:32" ht="12.75" customHeight="1">
      <c r="A121" s="24"/>
      <c r="B121" s="105">
        <f t="shared" si="15"/>
        <v>118</v>
      </c>
      <c r="C121" s="6">
        <v>311400</v>
      </c>
      <c r="D121" s="118" t="s">
        <v>1000</v>
      </c>
      <c r="E121" s="9" t="s">
        <v>32</v>
      </c>
      <c r="F121" s="6"/>
      <c r="G121" s="6"/>
      <c r="H121" s="11">
        <f>+STAT1!V121</f>
        <v>0</v>
      </c>
      <c r="I121" s="11">
        <f>+STAT1!W121</f>
        <v>0</v>
      </c>
      <c r="J121" s="11">
        <f>+SUMIFS(JURNAL!G:G,JURNAL!E:E,C121,JURNAL!C:C,"&gt;="&amp;$H$1,JURNAL!C:C,"&lt;="&amp;$I$1)</f>
        <v>0</v>
      </c>
      <c r="K121" s="11">
        <f>+SUMIFS(JURNAL!H:H,JURNAL!E:E,C121,JURNAL!C:C,"&gt;="&amp;$H$1,JURNAL!C:C,"&lt;="&amp;$I$1)</f>
        <v>0</v>
      </c>
      <c r="L121" s="26">
        <f t="shared" si="10"/>
        <v>0</v>
      </c>
      <c r="M121" s="27">
        <f t="shared" si="8"/>
        <v>0</v>
      </c>
      <c r="N121" s="11"/>
      <c r="O121" s="334"/>
      <c r="P121" s="11"/>
      <c r="Q121" s="11"/>
      <c r="R121" s="26">
        <f t="shared" si="11"/>
        <v>0</v>
      </c>
      <c r="S121" s="27">
        <f t="shared" si="12"/>
        <v>0</v>
      </c>
      <c r="T121" s="11"/>
      <c r="U121" s="11"/>
      <c r="V121" s="26">
        <f t="shared" si="13"/>
        <v>0</v>
      </c>
      <c r="W121" s="27">
        <f t="shared" si="9"/>
        <v>0</v>
      </c>
      <c r="X121" s="4">
        <v>1210</v>
      </c>
      <c r="Y121" s="4"/>
      <c r="Z121" s="4"/>
      <c r="AA121" s="12">
        <f t="shared" si="14"/>
        <v>0</v>
      </c>
      <c r="AC121" s="84"/>
      <c r="AD121" s="84"/>
      <c r="AE121" s="84"/>
      <c r="AF121" s="84"/>
    </row>
    <row r="122" spans="1:32" ht="12.75" customHeight="1">
      <c r="A122" s="24"/>
      <c r="B122" s="105">
        <f t="shared" si="15"/>
        <v>119</v>
      </c>
      <c r="C122" s="6">
        <v>311401</v>
      </c>
      <c r="D122" s="118" t="s">
        <v>1001</v>
      </c>
      <c r="E122" s="9" t="s">
        <v>30</v>
      </c>
      <c r="F122" s="6"/>
      <c r="G122" s="6"/>
      <c r="H122" s="11">
        <f>+STAT1!V122</f>
        <v>0</v>
      </c>
      <c r="I122" s="11">
        <f>+STAT1!W122</f>
        <v>0</v>
      </c>
      <c r="J122" s="11">
        <f>+SUMIFS(JURNAL!G:G,JURNAL!E:E,C122,JURNAL!C:C,"&gt;="&amp;$H$1,JURNAL!C:C,"&lt;="&amp;$I$1)</f>
        <v>0</v>
      </c>
      <c r="K122" s="11">
        <f>+SUMIFS(JURNAL!H:H,JURNAL!E:E,C122,JURNAL!C:C,"&gt;="&amp;$H$1,JURNAL!C:C,"&lt;="&amp;$I$1)</f>
        <v>0</v>
      </c>
      <c r="L122" s="26">
        <f t="shared" si="10"/>
        <v>0</v>
      </c>
      <c r="M122" s="27">
        <f t="shared" si="8"/>
        <v>0</v>
      </c>
      <c r="N122" s="11"/>
      <c r="O122" s="334"/>
      <c r="P122" s="11"/>
      <c r="Q122" s="11"/>
      <c r="R122" s="26">
        <f t="shared" si="11"/>
        <v>0</v>
      </c>
      <c r="S122" s="27">
        <f t="shared" si="12"/>
        <v>0</v>
      </c>
      <c r="T122" s="11"/>
      <c r="U122" s="11"/>
      <c r="V122" s="26">
        <f t="shared" si="13"/>
        <v>0</v>
      </c>
      <c r="W122" s="27">
        <f t="shared" si="9"/>
        <v>0</v>
      </c>
      <c r="X122" s="4">
        <v>1210</v>
      </c>
      <c r="Y122" s="4"/>
      <c r="Z122" s="4"/>
      <c r="AA122" s="12">
        <f t="shared" si="14"/>
        <v>0</v>
      </c>
      <c r="AC122" s="84"/>
      <c r="AD122" s="84"/>
      <c r="AE122" s="84"/>
      <c r="AF122" s="84"/>
    </row>
    <row r="123" spans="1:32" ht="12.75" customHeight="1">
      <c r="A123" s="24"/>
      <c r="B123" s="105">
        <f t="shared" si="15"/>
        <v>120</v>
      </c>
      <c r="C123" s="6">
        <v>311600</v>
      </c>
      <c r="D123" s="118" t="s">
        <v>594</v>
      </c>
      <c r="E123" s="9" t="s">
        <v>32</v>
      </c>
      <c r="F123" s="6"/>
      <c r="G123" s="6"/>
      <c r="H123" s="11">
        <f>+STAT1!V123</f>
        <v>0</v>
      </c>
      <c r="I123" s="11">
        <f>+STAT1!W123</f>
        <v>0</v>
      </c>
      <c r="J123" s="11">
        <f>+SUMIFS(JURNAL!G:G,JURNAL!E:E,C123,JURNAL!C:C,"&gt;="&amp;$H$1,JURNAL!C:C,"&lt;="&amp;$I$1)</f>
        <v>0</v>
      </c>
      <c r="K123" s="11">
        <f>+SUMIFS(JURNAL!H:H,JURNAL!E:E,C123,JURNAL!C:C,"&gt;="&amp;$H$1,JURNAL!C:C,"&lt;="&amp;$I$1)</f>
        <v>0</v>
      </c>
      <c r="L123" s="26">
        <f t="shared" si="10"/>
        <v>0</v>
      </c>
      <c r="M123" s="27">
        <f t="shared" si="8"/>
        <v>0</v>
      </c>
      <c r="N123" s="11"/>
      <c r="O123" s="334"/>
      <c r="P123" s="11"/>
      <c r="Q123" s="11"/>
      <c r="R123" s="26">
        <f t="shared" si="11"/>
        <v>0</v>
      </c>
      <c r="S123" s="27">
        <f t="shared" si="12"/>
        <v>0</v>
      </c>
      <c r="T123" s="11"/>
      <c r="U123" s="11"/>
      <c r="V123" s="26">
        <f t="shared" si="13"/>
        <v>0</v>
      </c>
      <c r="W123" s="27">
        <f t="shared" si="9"/>
        <v>0</v>
      </c>
      <c r="X123" s="4">
        <v>1208</v>
      </c>
      <c r="Y123" s="4"/>
      <c r="Z123" s="4"/>
      <c r="AA123" s="12">
        <f t="shared" si="14"/>
        <v>0</v>
      </c>
      <c r="AC123" s="84"/>
      <c r="AD123" s="84"/>
      <c r="AE123" s="84"/>
      <c r="AF123" s="84"/>
    </row>
    <row r="124" spans="1:32" ht="12.75" customHeight="1">
      <c r="A124" s="24"/>
      <c r="B124" s="105">
        <f t="shared" si="15"/>
        <v>121</v>
      </c>
      <c r="C124" s="6">
        <v>312000</v>
      </c>
      <c r="D124" s="118" t="s">
        <v>599</v>
      </c>
      <c r="E124" s="9" t="s">
        <v>32</v>
      </c>
      <c r="F124" s="6"/>
      <c r="G124" s="6"/>
      <c r="H124" s="11">
        <f>+STAT1!V124</f>
        <v>0</v>
      </c>
      <c r="I124" s="11">
        <f>+STAT1!W124</f>
        <v>0</v>
      </c>
      <c r="J124" s="11">
        <f>+SUMIFS(JURNAL!G:G,JURNAL!E:E,C124,JURNAL!C:C,"&gt;="&amp;$H$1,JURNAL!C:C,"&lt;="&amp;$I$1)</f>
        <v>0</v>
      </c>
      <c r="K124" s="11">
        <f>+SUMIFS(JURNAL!H:H,JURNAL!E:E,C124,JURNAL!C:C,"&gt;="&amp;$H$1,JURNAL!C:C,"&lt;="&amp;$I$1)</f>
        <v>0</v>
      </c>
      <c r="L124" s="26">
        <f t="shared" si="10"/>
        <v>0</v>
      </c>
      <c r="M124" s="27">
        <f t="shared" si="8"/>
        <v>0</v>
      </c>
      <c r="N124" s="11"/>
      <c r="O124" s="334"/>
      <c r="P124" s="11"/>
      <c r="Q124" s="11"/>
      <c r="R124" s="26">
        <f t="shared" si="11"/>
        <v>0</v>
      </c>
      <c r="S124" s="27">
        <f t="shared" si="12"/>
        <v>0</v>
      </c>
      <c r="T124" s="11"/>
      <c r="U124" s="11"/>
      <c r="V124" s="26">
        <f t="shared" si="13"/>
        <v>0</v>
      </c>
      <c r="W124" s="27">
        <f t="shared" si="9"/>
        <v>0</v>
      </c>
      <c r="X124" s="4">
        <v>1210</v>
      </c>
      <c r="Y124" s="4"/>
      <c r="Z124" s="4"/>
      <c r="AA124" s="12">
        <f t="shared" si="14"/>
        <v>0</v>
      </c>
      <c r="AC124" s="84"/>
      <c r="AD124" s="84"/>
      <c r="AE124" s="84"/>
      <c r="AF124" s="84"/>
    </row>
    <row r="125" spans="1:32" ht="12.75" customHeight="1">
      <c r="A125" s="24"/>
      <c r="B125" s="105">
        <f t="shared" si="15"/>
        <v>122</v>
      </c>
      <c r="C125" s="6">
        <v>320100</v>
      </c>
      <c r="D125" s="118" t="s">
        <v>604</v>
      </c>
      <c r="E125" s="9" t="s">
        <v>32</v>
      </c>
      <c r="F125" s="6"/>
      <c r="G125" s="6"/>
      <c r="H125" s="11">
        <f>+STAT1!V125</f>
        <v>0</v>
      </c>
      <c r="I125" s="11">
        <f>+STAT1!W125</f>
        <v>118147724.0491185</v>
      </c>
      <c r="J125" s="11">
        <f>+SUMIFS(JURNAL!G:G,JURNAL!E:E,C125,JURNAL!C:C,"&gt;="&amp;$H$1,JURNAL!C:C,"&lt;="&amp;$I$1)</f>
        <v>88817791.985687256</v>
      </c>
      <c r="K125" s="11">
        <f>+SUMIFS(JURNAL!H:H,JURNAL!E:E,C125,JURNAL!C:C,"&gt;="&amp;$H$1,JURNAL!C:C,"&lt;="&amp;$I$1)</f>
        <v>95447212</v>
      </c>
      <c r="L125" s="26">
        <f t="shared" si="10"/>
        <v>0</v>
      </c>
      <c r="M125" s="27">
        <f t="shared" si="8"/>
        <v>124777144.06343126</v>
      </c>
      <c r="N125" s="11"/>
      <c r="O125" s="334"/>
      <c r="P125" s="11"/>
      <c r="Q125" s="11"/>
      <c r="R125" s="26">
        <f t="shared" si="11"/>
        <v>0</v>
      </c>
      <c r="S125" s="27">
        <f t="shared" si="12"/>
        <v>124777144.06343126</v>
      </c>
      <c r="T125" s="11"/>
      <c r="U125" s="11"/>
      <c r="V125" s="26">
        <f t="shared" si="13"/>
        <v>0</v>
      </c>
      <c r="W125" s="27">
        <f t="shared" si="9"/>
        <v>124777144.06343126</v>
      </c>
      <c r="X125" s="4">
        <v>1211</v>
      </c>
      <c r="Y125" s="4"/>
      <c r="Z125" s="4"/>
      <c r="AA125" s="12">
        <f t="shared" si="14"/>
        <v>1</v>
      </c>
      <c r="AC125" s="84"/>
      <c r="AD125" s="84"/>
      <c r="AE125" s="84"/>
      <c r="AF125" s="84"/>
    </row>
    <row r="126" spans="1:32" ht="12.75" customHeight="1">
      <c r="A126" s="24"/>
      <c r="B126" s="105">
        <f t="shared" si="15"/>
        <v>123</v>
      </c>
      <c r="C126" s="6">
        <v>320101</v>
      </c>
      <c r="D126" s="118" t="s">
        <v>970</v>
      </c>
      <c r="E126" s="9" t="s">
        <v>30</v>
      </c>
      <c r="F126" s="6"/>
      <c r="G126" s="6"/>
      <c r="H126" s="11">
        <f>+STAT1!V126</f>
        <v>0</v>
      </c>
      <c r="I126" s="11">
        <f>+STAT1!W126</f>
        <v>0</v>
      </c>
      <c r="J126" s="11">
        <f>+SUMIFS(JURNAL!G:G,JURNAL!E:E,C126,JURNAL!C:C,"&gt;="&amp;$H$1,JURNAL!C:C,"&lt;="&amp;$I$1)</f>
        <v>0</v>
      </c>
      <c r="K126" s="11">
        <f>+SUMIFS(JURNAL!H:H,JURNAL!E:E,C126,JURNAL!C:C,"&gt;="&amp;$H$1,JURNAL!C:C,"&lt;="&amp;$I$1)</f>
        <v>0</v>
      </c>
      <c r="L126" s="26">
        <f t="shared" si="10"/>
        <v>0</v>
      </c>
      <c r="M126" s="27">
        <f t="shared" si="8"/>
        <v>0</v>
      </c>
      <c r="N126" s="11"/>
      <c r="O126" s="334"/>
      <c r="P126" s="11"/>
      <c r="Q126" s="11"/>
      <c r="R126" s="26">
        <f t="shared" si="11"/>
        <v>0</v>
      </c>
      <c r="S126" s="27">
        <f t="shared" si="12"/>
        <v>0</v>
      </c>
      <c r="T126" s="11"/>
      <c r="U126" s="11"/>
      <c r="V126" s="26">
        <f t="shared" si="13"/>
        <v>0</v>
      </c>
      <c r="W126" s="27">
        <f t="shared" si="9"/>
        <v>0</v>
      </c>
      <c r="X126" s="4">
        <v>1211</v>
      </c>
      <c r="Y126" s="4"/>
      <c r="Z126" s="4"/>
      <c r="AA126" s="12">
        <f t="shared" si="14"/>
        <v>0</v>
      </c>
      <c r="AC126" s="84"/>
      <c r="AD126" s="84"/>
      <c r="AE126" s="84"/>
      <c r="AF126" s="84"/>
    </row>
    <row r="127" spans="1:32" ht="12.75" customHeight="1">
      <c r="A127" s="24"/>
      <c r="B127" s="105">
        <f t="shared" si="15"/>
        <v>124</v>
      </c>
      <c r="C127" s="6">
        <v>340100</v>
      </c>
      <c r="D127" s="118" t="s">
        <v>1694</v>
      </c>
      <c r="E127" s="9" t="s">
        <v>32</v>
      </c>
      <c r="F127" s="6"/>
      <c r="G127" s="6"/>
      <c r="H127" s="11">
        <f>+STAT1!V127</f>
        <v>0</v>
      </c>
      <c r="I127" s="11">
        <f>+STAT1!W127</f>
        <v>0</v>
      </c>
      <c r="J127" s="11">
        <f>+SUMIFS(JURNAL!G:G,JURNAL!E:E,C127,JURNAL!C:C,"&gt;="&amp;$H$1,JURNAL!C:C,"&lt;="&amp;$I$1)</f>
        <v>0</v>
      </c>
      <c r="K127" s="11">
        <f>+SUMIFS(JURNAL!H:H,JURNAL!E:E,C127,JURNAL!C:C,"&gt;="&amp;$H$1,JURNAL!C:C,"&lt;="&amp;$I$1)</f>
        <v>0</v>
      </c>
      <c r="L127" s="26">
        <f t="shared" si="10"/>
        <v>0</v>
      </c>
      <c r="M127" s="27">
        <f t="shared" si="8"/>
        <v>0</v>
      </c>
      <c r="N127" s="11"/>
      <c r="O127" s="334"/>
      <c r="P127" s="11"/>
      <c r="Q127" s="11"/>
      <c r="R127" s="26">
        <f t="shared" si="11"/>
        <v>0</v>
      </c>
      <c r="S127" s="27">
        <f t="shared" si="12"/>
        <v>0</v>
      </c>
      <c r="T127" s="11"/>
      <c r="U127" s="11"/>
      <c r="V127" s="26">
        <f t="shared" si="13"/>
        <v>0</v>
      </c>
      <c r="W127" s="27">
        <f t="shared" si="9"/>
        <v>0</v>
      </c>
      <c r="X127" s="4">
        <v>1210</v>
      </c>
      <c r="Y127" s="4"/>
      <c r="Z127" s="4"/>
      <c r="AA127" s="12">
        <f t="shared" si="14"/>
        <v>0</v>
      </c>
      <c r="AC127" s="84"/>
      <c r="AD127" s="84"/>
      <c r="AE127" s="84"/>
      <c r="AF127" s="84"/>
    </row>
    <row r="128" spans="1:32" ht="12.75" customHeight="1">
      <c r="A128" s="24"/>
      <c r="B128" s="105">
        <f t="shared" si="15"/>
        <v>125</v>
      </c>
      <c r="C128" s="6">
        <v>350100</v>
      </c>
      <c r="D128" s="118" t="s">
        <v>1695</v>
      </c>
      <c r="E128" s="9" t="s">
        <v>30</v>
      </c>
      <c r="F128" s="6"/>
      <c r="G128" s="6"/>
      <c r="H128" s="11">
        <f>+STAT1!V128</f>
        <v>0</v>
      </c>
      <c r="I128" s="11">
        <f>+STAT1!W128</f>
        <v>0</v>
      </c>
      <c r="J128" s="11">
        <f>+SUMIFS(JURNAL!G:G,JURNAL!E:E,C128,JURNAL!C:C,"&gt;="&amp;$H$1,JURNAL!C:C,"&lt;="&amp;$I$1)</f>
        <v>0</v>
      </c>
      <c r="K128" s="11">
        <f>+SUMIFS(JURNAL!H:H,JURNAL!E:E,C128,JURNAL!C:C,"&gt;="&amp;$H$1,JURNAL!C:C,"&lt;="&amp;$I$1)</f>
        <v>0</v>
      </c>
      <c r="L128" s="26">
        <f t="shared" si="10"/>
        <v>0</v>
      </c>
      <c r="M128" s="27">
        <f t="shared" si="8"/>
        <v>0</v>
      </c>
      <c r="N128" s="11"/>
      <c r="O128" s="334"/>
      <c r="P128" s="11"/>
      <c r="Q128" s="11"/>
      <c r="R128" s="26">
        <f t="shared" si="11"/>
        <v>0</v>
      </c>
      <c r="S128" s="27">
        <f t="shared" si="12"/>
        <v>0</v>
      </c>
      <c r="T128" s="11"/>
      <c r="U128" s="11"/>
      <c r="V128" s="26">
        <f t="shared" si="13"/>
        <v>0</v>
      </c>
      <c r="W128" s="27">
        <f t="shared" si="9"/>
        <v>0</v>
      </c>
      <c r="X128" s="4">
        <v>1210</v>
      </c>
      <c r="Y128" s="4"/>
      <c r="Z128" s="4"/>
      <c r="AA128" s="12">
        <f t="shared" si="14"/>
        <v>0</v>
      </c>
      <c r="AC128" s="84"/>
      <c r="AD128" s="84"/>
      <c r="AE128" s="84"/>
      <c r="AF128" s="84"/>
    </row>
    <row r="129" spans="1:32" ht="12.75" customHeight="1">
      <c r="A129" s="24"/>
      <c r="B129" s="105">
        <f t="shared" si="15"/>
        <v>126</v>
      </c>
      <c r="C129" s="6">
        <v>320200</v>
      </c>
      <c r="D129" s="118" t="s">
        <v>609</v>
      </c>
      <c r="E129" s="9" t="s">
        <v>32</v>
      </c>
      <c r="F129" s="6"/>
      <c r="G129" s="6"/>
      <c r="H129" s="11">
        <f>+STAT1!V129</f>
        <v>0</v>
      </c>
      <c r="I129" s="11">
        <f>+STAT1!W129</f>
        <v>0</v>
      </c>
      <c r="J129" s="11">
        <f>+SUMIFS(JURNAL!G:G,JURNAL!E:E,C129,JURNAL!C:C,"&gt;="&amp;$H$1,JURNAL!C:C,"&lt;="&amp;$I$1)</f>
        <v>0</v>
      </c>
      <c r="K129" s="11">
        <f>+SUMIFS(JURNAL!H:H,JURNAL!E:E,C129,JURNAL!C:C,"&gt;="&amp;$H$1,JURNAL!C:C,"&lt;="&amp;$I$1)</f>
        <v>0</v>
      </c>
      <c r="L129" s="26">
        <f t="shared" si="10"/>
        <v>0</v>
      </c>
      <c r="M129" s="27">
        <f t="shared" si="8"/>
        <v>0</v>
      </c>
      <c r="N129" s="11"/>
      <c r="O129" s="334"/>
      <c r="P129" s="11"/>
      <c r="Q129" s="11"/>
      <c r="R129" s="26">
        <f t="shared" si="11"/>
        <v>0</v>
      </c>
      <c r="S129" s="27">
        <f t="shared" si="12"/>
        <v>0</v>
      </c>
      <c r="T129" s="11"/>
      <c r="U129" s="11"/>
      <c r="V129" s="26">
        <f t="shared" si="13"/>
        <v>0</v>
      </c>
      <c r="W129" s="27">
        <f t="shared" si="9"/>
        <v>0</v>
      </c>
      <c r="X129" s="4">
        <v>1210</v>
      </c>
      <c r="Y129" s="4"/>
      <c r="Z129" s="4"/>
      <c r="AA129" s="12">
        <f t="shared" si="14"/>
        <v>0</v>
      </c>
      <c r="AC129" s="84"/>
      <c r="AD129" s="84"/>
      <c r="AE129" s="84"/>
      <c r="AF129" s="84"/>
    </row>
    <row r="130" spans="1:32" ht="12.75" customHeight="1">
      <c r="A130" s="24"/>
      <c r="B130" s="105">
        <f t="shared" si="15"/>
        <v>127</v>
      </c>
      <c r="C130" s="6">
        <v>330200</v>
      </c>
      <c r="D130" s="118" t="s">
        <v>614</v>
      </c>
      <c r="E130" s="9" t="s">
        <v>32</v>
      </c>
      <c r="F130" s="6"/>
      <c r="G130" s="6"/>
      <c r="H130" s="11">
        <f>+STAT1!V130</f>
        <v>0</v>
      </c>
      <c r="I130" s="11">
        <f>+STAT1!W130</f>
        <v>0</v>
      </c>
      <c r="J130" s="11">
        <f>+SUMIFS(JURNAL!G:G,JURNAL!E:E,C130,JURNAL!C:C,"&gt;="&amp;$H$1,JURNAL!C:C,"&lt;="&amp;$I$1)</f>
        <v>0</v>
      </c>
      <c r="K130" s="11">
        <f>+SUMIFS(JURNAL!H:H,JURNAL!E:E,C130,JURNAL!C:C,"&gt;="&amp;$H$1,JURNAL!C:C,"&lt;="&amp;$I$1)</f>
        <v>0</v>
      </c>
      <c r="L130" s="26">
        <f t="shared" si="10"/>
        <v>0</v>
      </c>
      <c r="M130" s="27">
        <f t="shared" si="8"/>
        <v>0</v>
      </c>
      <c r="N130" s="11"/>
      <c r="O130" s="334"/>
      <c r="P130" s="11"/>
      <c r="Q130" s="11"/>
      <c r="R130" s="26">
        <f t="shared" si="11"/>
        <v>0</v>
      </c>
      <c r="S130" s="27">
        <f t="shared" si="12"/>
        <v>0</v>
      </c>
      <c r="T130" s="11"/>
      <c r="U130" s="11"/>
      <c r="V130" s="26">
        <f t="shared" si="13"/>
        <v>0</v>
      </c>
      <c r="W130" s="27">
        <f t="shared" si="9"/>
        <v>0</v>
      </c>
      <c r="X130" s="4">
        <v>1221</v>
      </c>
      <c r="Y130" s="4"/>
      <c r="Z130" s="4"/>
      <c r="AA130" s="12">
        <f t="shared" si="14"/>
        <v>0</v>
      </c>
      <c r="AC130" s="84"/>
      <c r="AD130" s="84"/>
      <c r="AE130" s="84"/>
      <c r="AF130" s="84"/>
    </row>
    <row r="131" spans="1:32" ht="12.75" customHeight="1">
      <c r="A131" s="24"/>
      <c r="B131" s="105">
        <f t="shared" si="15"/>
        <v>128</v>
      </c>
      <c r="C131" s="6">
        <v>330201</v>
      </c>
      <c r="D131" s="118" t="s">
        <v>971</v>
      </c>
      <c r="E131" s="9" t="s">
        <v>30</v>
      </c>
      <c r="F131" s="6"/>
      <c r="G131" s="6"/>
      <c r="H131" s="11">
        <f>+STAT1!V131</f>
        <v>0</v>
      </c>
      <c r="I131" s="11">
        <f>+STAT1!W131</f>
        <v>0</v>
      </c>
      <c r="J131" s="11">
        <f>+SUMIFS(JURNAL!G:G,JURNAL!E:E,C131,JURNAL!C:C,"&gt;="&amp;$H$1,JURNAL!C:C,"&lt;="&amp;$I$1)</f>
        <v>0</v>
      </c>
      <c r="K131" s="11">
        <f>+SUMIFS(JURNAL!H:H,JURNAL!E:E,C131,JURNAL!C:C,"&gt;="&amp;$H$1,JURNAL!C:C,"&lt;="&amp;$I$1)</f>
        <v>0</v>
      </c>
      <c r="L131" s="26">
        <f t="shared" si="10"/>
        <v>0</v>
      </c>
      <c r="M131" s="27">
        <f t="shared" si="8"/>
        <v>0</v>
      </c>
      <c r="N131" s="11"/>
      <c r="O131" s="334"/>
      <c r="P131" s="11"/>
      <c r="Q131" s="11"/>
      <c r="R131" s="26">
        <f t="shared" si="11"/>
        <v>0</v>
      </c>
      <c r="S131" s="27">
        <f t="shared" si="12"/>
        <v>0</v>
      </c>
      <c r="T131" s="11"/>
      <c r="U131" s="11"/>
      <c r="V131" s="26">
        <f t="shared" si="13"/>
        <v>0</v>
      </c>
      <c r="W131" s="27">
        <f t="shared" si="9"/>
        <v>0</v>
      </c>
      <c r="X131" s="4">
        <v>1221</v>
      </c>
      <c r="Y131" s="4"/>
      <c r="Z131" s="4"/>
      <c r="AA131" s="12">
        <f t="shared" si="14"/>
        <v>0</v>
      </c>
      <c r="AC131" s="84"/>
      <c r="AD131" s="84"/>
      <c r="AE131" s="84"/>
      <c r="AF131" s="84"/>
    </row>
    <row r="132" spans="1:32" ht="12.75" customHeight="1">
      <c r="A132" s="24"/>
      <c r="B132" s="105">
        <f t="shared" si="15"/>
        <v>129</v>
      </c>
      <c r="C132" s="6">
        <v>330800</v>
      </c>
      <c r="D132" s="118" t="s">
        <v>619</v>
      </c>
      <c r="E132" s="9" t="s">
        <v>32</v>
      </c>
      <c r="F132" s="6"/>
      <c r="G132" s="6"/>
      <c r="H132" s="11">
        <f>+STAT1!V132</f>
        <v>0</v>
      </c>
      <c r="I132" s="11">
        <f>+STAT1!W132</f>
        <v>0</v>
      </c>
      <c r="J132" s="11">
        <f>+SUMIFS(JURNAL!G:G,JURNAL!E:E,C132,JURNAL!C:C,"&gt;="&amp;$H$1,JURNAL!C:C,"&lt;="&amp;$I$1)</f>
        <v>0</v>
      </c>
      <c r="K132" s="11">
        <f>+SUMIFS(JURNAL!H:H,JURNAL!E:E,C132,JURNAL!C:C,"&gt;="&amp;$H$1,JURNAL!C:C,"&lt;="&amp;$I$1)</f>
        <v>0</v>
      </c>
      <c r="L132" s="26">
        <f t="shared" si="10"/>
        <v>0</v>
      </c>
      <c r="M132" s="27">
        <f t="shared" ref="M132:M138" si="16">+IF((H132+J132)&lt;(I132+K132),(I132+K132)-(H132+J132),0)</f>
        <v>0</v>
      </c>
      <c r="N132" s="11"/>
      <c r="O132" s="334"/>
      <c r="P132" s="11"/>
      <c r="Q132" s="11"/>
      <c r="R132" s="26">
        <f t="shared" si="11"/>
        <v>0</v>
      </c>
      <c r="S132" s="27">
        <f t="shared" si="12"/>
        <v>0</v>
      </c>
      <c r="T132" s="11"/>
      <c r="U132" s="11"/>
      <c r="V132" s="26">
        <f t="shared" si="13"/>
        <v>0</v>
      </c>
      <c r="W132" s="27">
        <f t="shared" ref="W132:W138" si="17">+IF((R132+T132)&lt;(S132+U132),(S132+U132)-(R132+T132),0)</f>
        <v>0</v>
      </c>
      <c r="X132" s="4">
        <v>1223</v>
      </c>
      <c r="Y132" s="4"/>
      <c r="Z132" s="4"/>
      <c r="AA132" s="12">
        <f t="shared" si="14"/>
        <v>0</v>
      </c>
      <c r="AC132" s="84"/>
      <c r="AD132" s="84"/>
      <c r="AE132" s="84"/>
      <c r="AF132" s="84"/>
    </row>
    <row r="133" spans="1:32" ht="12.75" customHeight="1">
      <c r="A133" s="24"/>
      <c r="B133" s="105">
        <f t="shared" si="15"/>
        <v>130</v>
      </c>
      <c r="C133" s="6">
        <v>410200</v>
      </c>
      <c r="D133" s="118" t="s">
        <v>972</v>
      </c>
      <c r="E133" s="9" t="s">
        <v>32</v>
      </c>
      <c r="F133" s="6"/>
      <c r="G133" s="6"/>
      <c r="H133" s="11">
        <f>+STAT1!V133</f>
        <v>0</v>
      </c>
      <c r="I133" s="11">
        <f>+STAT1!W133</f>
        <v>30701981.399999999</v>
      </c>
      <c r="J133" s="11">
        <f>+SUMIFS(JURNAL!G:G,JURNAL!E:E,C133,JURNAL!C:C,"&gt;="&amp;$H$1,JURNAL!C:C,"&lt;="&amp;$I$1)</f>
        <v>0</v>
      </c>
      <c r="K133" s="11">
        <f>+SUMIFS(JURNAL!H:H,JURNAL!E:E,C133,JURNAL!C:C,"&gt;="&amp;$H$1,JURNAL!C:C,"&lt;="&amp;$I$1)</f>
        <v>0</v>
      </c>
      <c r="L133" s="26">
        <f t="shared" ref="L133:L138" si="18">+IF((H133+J133)&gt;(I133+K133),(H133+J133)-(I133+K133),0)</f>
        <v>0</v>
      </c>
      <c r="M133" s="27">
        <f t="shared" si="16"/>
        <v>30701981.399999999</v>
      </c>
      <c r="N133" s="11"/>
      <c r="O133" s="334"/>
      <c r="P133" s="11"/>
      <c r="Q133" s="11"/>
      <c r="R133" s="26">
        <f t="shared" ref="R133:R138" si="19">+IF((L133+N133)&gt;(M133+O133),(L133+N133)-(M133+O133),0)</f>
        <v>0</v>
      </c>
      <c r="S133" s="27">
        <f t="shared" ref="S133:S138" si="20">+IF((L133+N133)&lt;(M133+O133),(M133+O133)-(L133+N133),0)</f>
        <v>30701981.399999999</v>
      </c>
      <c r="T133" s="11"/>
      <c r="U133" s="11"/>
      <c r="V133" s="26">
        <f t="shared" ref="V133:V138" si="21">+IF((R133+T133)&gt;(S133+U133),(R133+T133)-(S133+U133),0)</f>
        <v>0</v>
      </c>
      <c r="W133" s="27">
        <f t="shared" si="17"/>
        <v>30701981.399999999</v>
      </c>
      <c r="X133" s="4">
        <v>1302</v>
      </c>
      <c r="Y133" s="4"/>
      <c r="Z133" s="4"/>
      <c r="AA133" s="12">
        <f t="shared" ref="AA133:AA196" si="22">+IF(H133+I133+J133+K133+L133+M133+N133+O133+R133+S133+T133+U133+V133+W133,1,0)</f>
        <v>1</v>
      </c>
      <c r="AC133" s="84"/>
      <c r="AD133" s="84"/>
      <c r="AE133" s="84"/>
      <c r="AF133" s="84"/>
    </row>
    <row r="134" spans="1:32" ht="12.75" customHeight="1">
      <c r="A134" s="24"/>
      <c r="B134" s="105">
        <f t="shared" ref="B134:B197" si="23">+B133+1</f>
        <v>131</v>
      </c>
      <c r="C134" s="6">
        <v>420100</v>
      </c>
      <c r="D134" s="118" t="s">
        <v>626</v>
      </c>
      <c r="E134" s="9" t="s">
        <v>32</v>
      </c>
      <c r="F134" s="6"/>
      <c r="G134" s="6"/>
      <c r="H134" s="11">
        <f>+STAT1!V134</f>
        <v>0</v>
      </c>
      <c r="I134" s="11">
        <f>+STAT1!W134</f>
        <v>680931312.63</v>
      </c>
      <c r="J134" s="11">
        <f>+SUMIFS(JURNAL!G:G,JURNAL!E:E,C134,JURNAL!C:C,"&gt;="&amp;$H$1,JURNAL!C:C,"&lt;="&amp;$I$1)</f>
        <v>0</v>
      </c>
      <c r="K134" s="11">
        <f>+SUMIFS(JURNAL!H:H,JURNAL!E:E,C134,JURNAL!C:C,"&gt;="&amp;$H$1,JURNAL!C:C,"&lt;="&amp;$I$1)</f>
        <v>0</v>
      </c>
      <c r="L134" s="26">
        <f t="shared" si="18"/>
        <v>0</v>
      </c>
      <c r="M134" s="27">
        <f t="shared" si="16"/>
        <v>680931312.63</v>
      </c>
      <c r="N134" s="11"/>
      <c r="O134" s="334"/>
      <c r="P134" s="11"/>
      <c r="Q134" s="11"/>
      <c r="R134" s="26">
        <f t="shared" si="19"/>
        <v>0</v>
      </c>
      <c r="S134" s="27">
        <f t="shared" si="20"/>
        <v>680931312.63</v>
      </c>
      <c r="T134" s="11"/>
      <c r="U134" s="11"/>
      <c r="V134" s="26">
        <f t="shared" si="21"/>
        <v>0</v>
      </c>
      <c r="W134" s="27">
        <f t="shared" si="17"/>
        <v>680931312.63</v>
      </c>
      <c r="X134" s="4">
        <v>1310</v>
      </c>
      <c r="Y134" s="4"/>
      <c r="Z134" s="4"/>
      <c r="AA134" s="12">
        <f t="shared" si="22"/>
        <v>1</v>
      </c>
      <c r="AC134" s="84"/>
      <c r="AD134" s="84"/>
      <c r="AE134" s="84"/>
      <c r="AF134" s="84"/>
    </row>
    <row r="135" spans="1:32" ht="12.75" customHeight="1">
      <c r="A135" s="24"/>
      <c r="B135" s="105">
        <f t="shared" si="23"/>
        <v>132</v>
      </c>
      <c r="C135" s="6">
        <v>420200</v>
      </c>
      <c r="D135" s="118" t="s">
        <v>180</v>
      </c>
      <c r="E135" s="9" t="s">
        <v>32</v>
      </c>
      <c r="F135" s="6"/>
      <c r="G135" s="6"/>
      <c r="H135" s="11">
        <f>+STAT1!V135</f>
        <v>0</v>
      </c>
      <c r="I135" s="11">
        <f>+STAT1!W135</f>
        <v>0</v>
      </c>
      <c r="J135" s="11">
        <f>+SUMIFS(JURNAL!G:G,JURNAL!E:E,C135,JURNAL!C:C,"&gt;="&amp;$H$1,JURNAL!C:C,"&lt;="&amp;$I$1)</f>
        <v>0</v>
      </c>
      <c r="K135" s="11">
        <f>+SUMIFS(JURNAL!H:H,JURNAL!E:E,C135,JURNAL!C:C,"&gt;="&amp;$H$1,JURNAL!C:C,"&lt;="&amp;$I$1)</f>
        <v>0</v>
      </c>
      <c r="L135" s="26">
        <f t="shared" si="18"/>
        <v>0</v>
      </c>
      <c r="M135" s="27">
        <f t="shared" si="16"/>
        <v>0</v>
      </c>
      <c r="N135" s="11"/>
      <c r="O135" s="334"/>
      <c r="P135" s="11"/>
      <c r="Q135" s="11"/>
      <c r="R135" s="26">
        <f t="shared" si="19"/>
        <v>0</v>
      </c>
      <c r="S135" s="27">
        <f t="shared" si="20"/>
        <v>0</v>
      </c>
      <c r="T135" s="11"/>
      <c r="U135" s="11"/>
      <c r="V135" s="26">
        <f t="shared" si="21"/>
        <v>0</v>
      </c>
      <c r="W135" s="27">
        <f t="shared" si="17"/>
        <v>0</v>
      </c>
      <c r="X135" s="4">
        <v>1311</v>
      </c>
      <c r="Y135" s="4"/>
      <c r="Z135" s="4"/>
      <c r="AA135" s="12">
        <f t="shared" si="22"/>
        <v>0</v>
      </c>
      <c r="AC135" s="84"/>
      <c r="AD135" s="84"/>
      <c r="AE135" s="84"/>
      <c r="AF135" s="84"/>
    </row>
    <row r="136" spans="1:32" ht="12.75" customHeight="1">
      <c r="A136" s="24"/>
      <c r="B136" s="105">
        <f t="shared" si="23"/>
        <v>133</v>
      </c>
      <c r="C136" s="6">
        <v>430300</v>
      </c>
      <c r="D136" s="118" t="s">
        <v>633</v>
      </c>
      <c r="E136" s="9" t="s">
        <v>32</v>
      </c>
      <c r="F136" s="6"/>
      <c r="G136" s="6"/>
      <c r="H136" s="11">
        <f>+STAT1!V136</f>
        <v>0</v>
      </c>
      <c r="I136" s="11">
        <f>+STAT1!W136</f>
        <v>106378624.62</v>
      </c>
      <c r="J136" s="11">
        <f>+SUMIFS(JURNAL!G:G,JURNAL!E:E,C136,JURNAL!C:C,"&gt;="&amp;$H$1,JURNAL!C:C,"&lt;="&amp;$I$1)</f>
        <v>0</v>
      </c>
      <c r="K136" s="11">
        <f>+SUMIFS(JURNAL!H:H,JURNAL!E:E,C136,JURNAL!C:C,"&gt;="&amp;$H$1,JURNAL!C:C,"&lt;="&amp;$I$1)</f>
        <v>0</v>
      </c>
      <c r="L136" s="26">
        <f t="shared" si="18"/>
        <v>0</v>
      </c>
      <c r="M136" s="27">
        <f t="shared" si="16"/>
        <v>106378624.62</v>
      </c>
      <c r="N136" s="11"/>
      <c r="O136" s="334"/>
      <c r="P136" s="11"/>
      <c r="Q136" s="11"/>
      <c r="R136" s="26">
        <f t="shared" si="19"/>
        <v>0</v>
      </c>
      <c r="S136" s="27">
        <f t="shared" si="20"/>
        <v>106378624.62</v>
      </c>
      <c r="T136" s="11"/>
      <c r="U136" s="11"/>
      <c r="V136" s="26">
        <f t="shared" si="21"/>
        <v>0</v>
      </c>
      <c r="W136" s="27">
        <f t="shared" si="17"/>
        <v>106378624.62</v>
      </c>
      <c r="X136" s="4">
        <v>1312</v>
      </c>
      <c r="Y136" s="4"/>
      <c r="Z136" s="4"/>
      <c r="AA136" s="12">
        <f t="shared" si="22"/>
        <v>1</v>
      </c>
      <c r="AC136" s="84"/>
      <c r="AD136" s="84"/>
      <c r="AE136" s="84"/>
      <c r="AF136" s="84"/>
    </row>
    <row r="137" spans="1:32" ht="12.75" customHeight="1">
      <c r="A137" s="24"/>
      <c r="B137" s="105">
        <f t="shared" si="23"/>
        <v>134</v>
      </c>
      <c r="C137" s="6">
        <v>440100</v>
      </c>
      <c r="D137" s="118" t="s">
        <v>639</v>
      </c>
      <c r="E137" s="9" t="s">
        <v>32</v>
      </c>
      <c r="F137" s="6"/>
      <c r="G137" s="6"/>
      <c r="H137" s="11">
        <f>+STAT1!V137</f>
        <v>0</v>
      </c>
      <c r="I137" s="11">
        <f>+STAT1!W137</f>
        <v>1038581855.8768401</v>
      </c>
      <c r="J137" s="11">
        <f>+SUMIFS(JURNAL!G:G,JURNAL!E:E,C137,JURNAL!C:C,"&gt;="&amp;$H$1,JURNAL!C:C,"&lt;="&amp;$I$1)</f>
        <v>0</v>
      </c>
      <c r="K137" s="11">
        <f>+SUMIFS(JURNAL!H:H,JURNAL!E:E,C137,JURNAL!C:C,"&gt;="&amp;$H$1,JURNAL!C:C,"&lt;="&amp;$I$1)</f>
        <v>0</v>
      </c>
      <c r="L137" s="26">
        <f t="shared" si="18"/>
        <v>0</v>
      </c>
      <c r="M137" s="27">
        <f t="shared" si="16"/>
        <v>1038581855.8768401</v>
      </c>
      <c r="N137" s="11"/>
      <c r="O137" s="334"/>
      <c r="P137" s="11"/>
      <c r="Q137" s="11"/>
      <c r="R137" s="26">
        <f t="shared" si="19"/>
        <v>0</v>
      </c>
      <c r="S137" s="27">
        <f t="shared" si="20"/>
        <v>1038581855.8768401</v>
      </c>
      <c r="T137" s="11"/>
      <c r="U137" s="11"/>
      <c r="V137" s="26">
        <f t="shared" si="21"/>
        <v>0</v>
      </c>
      <c r="W137" s="27">
        <f t="shared" si="17"/>
        <v>1038581855.8768401</v>
      </c>
      <c r="X137" s="4">
        <v>1313</v>
      </c>
      <c r="Y137" s="4"/>
      <c r="Z137" s="4"/>
      <c r="AA137" s="12">
        <f t="shared" si="22"/>
        <v>1</v>
      </c>
      <c r="AC137" s="84"/>
      <c r="AD137" s="84"/>
      <c r="AE137" s="84"/>
      <c r="AF137" s="84"/>
    </row>
    <row r="138" spans="1:32" ht="12.75" customHeight="1">
      <c r="A138" s="24"/>
      <c r="B138" s="105">
        <f t="shared" si="23"/>
        <v>135</v>
      </c>
      <c r="C138" s="6">
        <v>440200</v>
      </c>
      <c r="D138" s="118" t="s">
        <v>645</v>
      </c>
      <c r="E138" s="9" t="s">
        <v>32</v>
      </c>
      <c r="F138" s="6"/>
      <c r="G138" s="6"/>
      <c r="H138" s="11">
        <f>+STAT1!V138</f>
        <v>12027607.1802349</v>
      </c>
      <c r="I138" s="11">
        <f>+STAT1!W138</f>
        <v>0</v>
      </c>
      <c r="J138" s="11">
        <f>+SUMIFS(JURNAL!G:G,JURNAL!E:E,C138,JURNAL!C:C,"&gt;="&amp;$H$1,JURNAL!C:C,"&lt;="&amp;$I$1)</f>
        <v>0</v>
      </c>
      <c r="K138" s="11">
        <f>+SUMIFS(JURNAL!H:H,JURNAL!E:E,C138,JURNAL!C:C,"&gt;="&amp;$H$1,JURNAL!C:C,"&lt;="&amp;$I$1)</f>
        <v>0</v>
      </c>
      <c r="L138" s="26">
        <f t="shared" si="18"/>
        <v>12027607.1802349</v>
      </c>
      <c r="M138" s="27">
        <f t="shared" si="16"/>
        <v>0</v>
      </c>
      <c r="N138" s="11"/>
      <c r="O138" s="334"/>
      <c r="P138" s="11"/>
      <c r="Q138" s="11"/>
      <c r="R138" s="26">
        <f t="shared" si="19"/>
        <v>12027607.1802349</v>
      </c>
      <c r="S138" s="27">
        <f t="shared" si="20"/>
        <v>0</v>
      </c>
      <c r="T138" s="11">
        <v>15975865.5936267</v>
      </c>
      <c r="U138" s="11"/>
      <c r="V138" s="26">
        <f t="shared" si="21"/>
        <v>28003472.773861602</v>
      </c>
      <c r="W138" s="27">
        <f t="shared" si="17"/>
        <v>0</v>
      </c>
      <c r="X138" s="4">
        <v>1314</v>
      </c>
      <c r="Y138" s="4"/>
      <c r="Z138" s="4"/>
      <c r="AA138" s="12">
        <f t="shared" si="22"/>
        <v>1</v>
      </c>
      <c r="AC138" s="84"/>
      <c r="AD138" s="84"/>
      <c r="AE138" s="84"/>
      <c r="AF138" s="84"/>
    </row>
    <row r="139" spans="1:32" ht="12.75" customHeight="1">
      <c r="A139" s="24"/>
      <c r="B139" s="105">
        <f t="shared" si="23"/>
        <v>136</v>
      </c>
      <c r="C139" s="135"/>
      <c r="D139" s="136" t="s">
        <v>1003</v>
      </c>
      <c r="E139" s="62" t="s">
        <v>32</v>
      </c>
      <c r="F139" s="28">
        <f t="shared" ref="F139:H139" si="24">+SUM(F4:F138)</f>
        <v>6150.4600000000009</v>
      </c>
      <c r="G139" s="28">
        <f t="shared" si="24"/>
        <v>14937.180000000002</v>
      </c>
      <c r="H139" s="28">
        <f t="shared" si="24"/>
        <v>3347297412.1604619</v>
      </c>
      <c r="I139" s="28">
        <f>+SUM(I4:I138)</f>
        <v>3347297412.1594081</v>
      </c>
      <c r="J139" s="28">
        <f t="shared" ref="J139:AA139" si="25">+SUM(J4:J138)</f>
        <v>1710762572.062736</v>
      </c>
      <c r="K139" s="28">
        <f t="shared" si="25"/>
        <v>1726713519.6154079</v>
      </c>
      <c r="L139" s="28">
        <f t="shared" si="25"/>
        <v>3358677965.7234898</v>
      </c>
      <c r="M139" s="28">
        <f t="shared" si="25"/>
        <v>3374628913.2751079</v>
      </c>
      <c r="N139" s="28">
        <f t="shared" si="25"/>
        <v>11959625</v>
      </c>
      <c r="O139" s="28">
        <f t="shared" si="25"/>
        <v>11984543.0309</v>
      </c>
      <c r="P139" s="28">
        <f t="shared" si="25"/>
        <v>502.88</v>
      </c>
      <c r="Q139" s="28">
        <f t="shared" si="25"/>
        <v>11791.509999999998</v>
      </c>
      <c r="R139" s="28">
        <f t="shared" si="25"/>
        <v>3346693422.6925898</v>
      </c>
      <c r="S139" s="28">
        <f t="shared" si="25"/>
        <v>3362669288.2751079</v>
      </c>
      <c r="T139" s="28">
        <f t="shared" si="25"/>
        <v>15975865.5936267</v>
      </c>
      <c r="U139" s="28">
        <f t="shared" si="25"/>
        <v>0</v>
      </c>
      <c r="V139" s="28">
        <f t="shared" si="25"/>
        <v>3362669288.2862163</v>
      </c>
      <c r="W139" s="28">
        <f t="shared" si="25"/>
        <v>3362669288.2751079</v>
      </c>
      <c r="X139" s="28"/>
      <c r="Y139" s="28">
        <f t="shared" si="25"/>
        <v>0</v>
      </c>
      <c r="Z139" s="28">
        <f t="shared" si="25"/>
        <v>0</v>
      </c>
      <c r="AA139" s="28">
        <f t="shared" si="25"/>
        <v>59</v>
      </c>
      <c r="AC139" s="84"/>
      <c r="AD139" s="84"/>
      <c r="AE139" s="84"/>
      <c r="AF139" s="84"/>
    </row>
    <row r="140" spans="1:32" ht="12.75" customHeight="1">
      <c r="A140" s="24"/>
      <c r="B140" s="105">
        <f t="shared" si="23"/>
        <v>137</v>
      </c>
      <c r="C140" s="6">
        <v>510000</v>
      </c>
      <c r="D140" s="6" t="s">
        <v>513</v>
      </c>
      <c r="E140" s="9" t="s">
        <v>32</v>
      </c>
      <c r="F140" s="6"/>
      <c r="G140" s="6"/>
      <c r="H140" s="11">
        <f>+STAT1!V140</f>
        <v>0</v>
      </c>
      <c r="I140" s="11">
        <f>+STAT1!W140</f>
        <v>0</v>
      </c>
      <c r="J140" s="11">
        <f>+SUMIFS(JURNAL!G:G,JURNAL!E:E,C140,JURNAL!C:C,"&gt;="&amp;$H$1,JURNAL!C:C,"&lt;="&amp;$I$1)</f>
        <v>0</v>
      </c>
      <c r="K140" s="11">
        <f>+SUMIFS(JURNAL!H:H,JURNAL!E:E,C140,JURNAL!C:C,"&gt;="&amp;$H$1,JURNAL!C:C,"&lt;="&amp;$I$1)</f>
        <v>73670719.972442955</v>
      </c>
      <c r="L140" s="26">
        <f t="shared" ref="L140:L203" si="26">+IF((H140+J140)&gt;(I140+K140),(H140+J140)-(I140+K140),0)</f>
        <v>0</v>
      </c>
      <c r="M140" s="27">
        <f t="shared" ref="M140:M203" si="27">+IF((H140+J140)&lt;(I140+K140),(I140+K140)-(H140+J140),0)</f>
        <v>73670719.972442955</v>
      </c>
      <c r="N140" s="11"/>
      <c r="O140" s="11"/>
      <c r="P140" s="11"/>
      <c r="Q140" s="11"/>
      <c r="R140" s="26">
        <f t="shared" ref="R140:R203" si="28">+IF((L140+N140)&gt;(M140+O140),(L140+N140)-(M140+O140),0)</f>
        <v>0</v>
      </c>
      <c r="S140" s="27">
        <f t="shared" ref="S140:S203" si="29">+IF((L140+N140)&lt;(M140+O140),(M140+O140)-(L140+N140),0)</f>
        <v>73670719.972442955</v>
      </c>
      <c r="T140" s="11">
        <f t="shared" ref="T140:T203" si="30">+S140</f>
        <v>73670719.972442955</v>
      </c>
      <c r="U140" s="11">
        <f t="shared" ref="U140:U203" si="31">+R140</f>
        <v>0</v>
      </c>
      <c r="V140" s="26">
        <f t="shared" ref="V140:V203" si="32">+IF((R140+T140)&gt;(S140+U140),(R140+T140)-(S140+U140),0)</f>
        <v>0</v>
      </c>
      <c r="W140" s="27">
        <f t="shared" ref="W140:W203" si="33">+IF((R140+T140)&lt;(S140+U140),(S140+U140)-(R140+T140),0)</f>
        <v>0</v>
      </c>
      <c r="X140" s="4">
        <v>5101</v>
      </c>
      <c r="Y140" s="4"/>
      <c r="Z140" s="4"/>
      <c r="AA140" s="12">
        <f t="shared" si="22"/>
        <v>1</v>
      </c>
      <c r="AC140" s="84"/>
      <c r="AD140" s="84"/>
      <c r="AE140" s="84"/>
      <c r="AF140" s="84"/>
    </row>
    <row r="141" spans="1:32" ht="12.75" customHeight="1">
      <c r="A141" s="24"/>
      <c r="B141" s="105">
        <f t="shared" si="23"/>
        <v>138</v>
      </c>
      <c r="C141" s="6">
        <v>510100</v>
      </c>
      <c r="D141" s="6" t="s">
        <v>518</v>
      </c>
      <c r="E141" s="9" t="s">
        <v>32</v>
      </c>
      <c r="F141" s="6"/>
      <c r="G141" s="6"/>
      <c r="H141" s="11">
        <f>+STAT1!V141</f>
        <v>0</v>
      </c>
      <c r="I141" s="11">
        <f>+STAT1!W141</f>
        <v>0</v>
      </c>
      <c r="J141" s="11">
        <f>+SUMIFS(JURNAL!G:G,JURNAL!E:E,C141,JURNAL!C:C,"&gt;="&amp;$H$1,JURNAL!C:C,"&lt;="&amp;$I$1)</f>
        <v>0</v>
      </c>
      <c r="K141" s="11">
        <f>+SUMIFS(JURNAL!H:H,JURNAL!E:E,C141,JURNAL!C:C,"&gt;="&amp;$H$1,JURNAL!C:C,"&lt;="&amp;$I$1)</f>
        <v>0</v>
      </c>
      <c r="L141" s="26">
        <f t="shared" si="26"/>
        <v>0</v>
      </c>
      <c r="M141" s="27">
        <f t="shared" si="27"/>
        <v>0</v>
      </c>
      <c r="N141" s="11"/>
      <c r="O141" s="11"/>
      <c r="P141" s="11"/>
      <c r="Q141" s="11"/>
      <c r="R141" s="26">
        <f t="shared" si="28"/>
        <v>0</v>
      </c>
      <c r="S141" s="27">
        <f t="shared" si="29"/>
        <v>0</v>
      </c>
      <c r="T141" s="11">
        <f t="shared" si="30"/>
        <v>0</v>
      </c>
      <c r="U141" s="11">
        <f t="shared" si="31"/>
        <v>0</v>
      </c>
      <c r="V141" s="26">
        <f t="shared" si="32"/>
        <v>0</v>
      </c>
      <c r="W141" s="27">
        <f t="shared" si="33"/>
        <v>0</v>
      </c>
      <c r="X141" s="4">
        <v>5101</v>
      </c>
      <c r="Y141" s="4"/>
      <c r="Z141" s="4"/>
      <c r="AA141" s="12">
        <f t="shared" si="22"/>
        <v>0</v>
      </c>
      <c r="AC141" s="84"/>
      <c r="AD141" s="84"/>
      <c r="AE141" s="84"/>
      <c r="AF141" s="84"/>
    </row>
    <row r="142" spans="1:32" ht="12.75" customHeight="1">
      <c r="A142" s="24"/>
      <c r="B142" s="105">
        <f t="shared" si="23"/>
        <v>139</v>
      </c>
      <c r="C142" s="6">
        <v>510200</v>
      </c>
      <c r="D142" s="6" t="s">
        <v>523</v>
      </c>
      <c r="E142" s="9" t="s">
        <v>32</v>
      </c>
      <c r="F142" s="6"/>
      <c r="G142" s="6"/>
      <c r="H142" s="11">
        <f>+STAT1!V142</f>
        <v>0</v>
      </c>
      <c r="I142" s="11">
        <f>+STAT1!W142</f>
        <v>0</v>
      </c>
      <c r="J142" s="11">
        <f>+SUMIFS(JURNAL!G:G,JURNAL!E:E,C142,JURNAL!C:C,"&gt;="&amp;$H$1,JURNAL!C:C,"&lt;="&amp;$I$1)</f>
        <v>0</v>
      </c>
      <c r="K142" s="11">
        <f>+SUMIFS(JURNAL!H:H,JURNAL!E:E,C142,JURNAL!C:C,"&gt;="&amp;$H$1,JURNAL!C:C,"&lt;="&amp;$I$1)</f>
        <v>0</v>
      </c>
      <c r="L142" s="26">
        <f t="shared" si="26"/>
        <v>0</v>
      </c>
      <c r="M142" s="27">
        <f t="shared" si="27"/>
        <v>0</v>
      </c>
      <c r="N142" s="11"/>
      <c r="O142" s="11"/>
      <c r="P142" s="11"/>
      <c r="Q142" s="11"/>
      <c r="R142" s="26">
        <f t="shared" si="28"/>
        <v>0</v>
      </c>
      <c r="S142" s="27">
        <f t="shared" si="29"/>
        <v>0</v>
      </c>
      <c r="T142" s="11">
        <f t="shared" si="30"/>
        <v>0</v>
      </c>
      <c r="U142" s="11">
        <f t="shared" si="31"/>
        <v>0</v>
      </c>
      <c r="V142" s="26">
        <f t="shared" si="32"/>
        <v>0</v>
      </c>
      <c r="W142" s="27">
        <f t="shared" si="33"/>
        <v>0</v>
      </c>
      <c r="X142" s="4">
        <v>5101</v>
      </c>
      <c r="Y142" s="4"/>
      <c r="Z142" s="4"/>
      <c r="AA142" s="12">
        <f t="shared" si="22"/>
        <v>0</v>
      </c>
      <c r="AC142" s="84"/>
      <c r="AD142" s="84"/>
      <c r="AE142" s="84"/>
      <c r="AF142" s="84"/>
    </row>
    <row r="143" spans="1:32" ht="12.75" customHeight="1">
      <c r="A143" s="24"/>
      <c r="B143" s="105">
        <f t="shared" si="23"/>
        <v>140</v>
      </c>
      <c r="C143" s="6">
        <v>510300</v>
      </c>
      <c r="D143" s="6" t="s">
        <v>528</v>
      </c>
      <c r="E143" s="9" t="s">
        <v>32</v>
      </c>
      <c r="F143" s="6"/>
      <c r="G143" s="6"/>
      <c r="H143" s="11">
        <f>+STAT1!V143</f>
        <v>0</v>
      </c>
      <c r="I143" s="11">
        <f>+STAT1!W143</f>
        <v>0</v>
      </c>
      <c r="J143" s="11">
        <f>+SUMIFS(JURNAL!G:G,JURNAL!E:E,C143,JURNAL!C:C,"&gt;="&amp;$H$1,JURNAL!C:C,"&lt;="&amp;$I$1)</f>
        <v>0</v>
      </c>
      <c r="K143" s="11">
        <f>+SUMIFS(JURNAL!H:H,JURNAL!E:E,C143,JURNAL!C:C,"&gt;="&amp;$H$1,JURNAL!C:C,"&lt;="&amp;$I$1)</f>
        <v>0</v>
      </c>
      <c r="L143" s="26">
        <f t="shared" si="26"/>
        <v>0</v>
      </c>
      <c r="M143" s="27">
        <f t="shared" si="27"/>
        <v>0</v>
      </c>
      <c r="N143" s="11"/>
      <c r="O143" s="11"/>
      <c r="P143" s="11"/>
      <c r="Q143" s="11"/>
      <c r="R143" s="26">
        <f t="shared" si="28"/>
        <v>0</v>
      </c>
      <c r="S143" s="27">
        <f t="shared" si="29"/>
        <v>0</v>
      </c>
      <c r="T143" s="11">
        <f t="shared" si="30"/>
        <v>0</v>
      </c>
      <c r="U143" s="11">
        <f t="shared" si="31"/>
        <v>0</v>
      </c>
      <c r="V143" s="26">
        <f t="shared" si="32"/>
        <v>0</v>
      </c>
      <c r="W143" s="27">
        <f t="shared" si="33"/>
        <v>0</v>
      </c>
      <c r="X143" s="4">
        <v>5101</v>
      </c>
      <c r="Y143" s="4"/>
      <c r="Z143" s="4"/>
      <c r="AA143" s="12">
        <f t="shared" si="22"/>
        <v>0</v>
      </c>
      <c r="AC143" s="84"/>
      <c r="AD143" s="84"/>
      <c r="AE143" s="84"/>
      <c r="AF143" s="84"/>
    </row>
    <row r="144" spans="1:32" ht="12.75" customHeight="1">
      <c r="A144" s="24"/>
      <c r="B144" s="105">
        <f t="shared" si="23"/>
        <v>141</v>
      </c>
      <c r="C144" s="6">
        <v>510400</v>
      </c>
      <c r="D144" s="6" t="s">
        <v>534</v>
      </c>
      <c r="E144" s="9" t="s">
        <v>32</v>
      </c>
      <c r="F144" s="6"/>
      <c r="G144" s="6"/>
      <c r="H144" s="11">
        <f>+STAT1!V144</f>
        <v>0</v>
      </c>
      <c r="I144" s="11">
        <f>+STAT1!W144</f>
        <v>0</v>
      </c>
      <c r="J144" s="11">
        <f>+SUMIFS(JURNAL!G:G,JURNAL!E:E,C144,JURNAL!C:C,"&gt;="&amp;$H$1,JURNAL!C:C,"&lt;="&amp;$I$1)</f>
        <v>0</v>
      </c>
      <c r="K144" s="11">
        <f>+SUMIFS(JURNAL!H:H,JURNAL!E:E,C144,JURNAL!C:C,"&gt;="&amp;$H$1,JURNAL!C:C,"&lt;="&amp;$I$1)</f>
        <v>0</v>
      </c>
      <c r="L144" s="26">
        <f t="shared" si="26"/>
        <v>0</v>
      </c>
      <c r="M144" s="27">
        <f t="shared" si="27"/>
        <v>0</v>
      </c>
      <c r="N144" s="11"/>
      <c r="O144" s="11"/>
      <c r="P144" s="11"/>
      <c r="Q144" s="11"/>
      <c r="R144" s="26">
        <f t="shared" si="28"/>
        <v>0</v>
      </c>
      <c r="S144" s="27">
        <f t="shared" si="29"/>
        <v>0</v>
      </c>
      <c r="T144" s="11">
        <f t="shared" si="30"/>
        <v>0</v>
      </c>
      <c r="U144" s="11">
        <f t="shared" si="31"/>
        <v>0</v>
      </c>
      <c r="V144" s="26">
        <f t="shared" si="32"/>
        <v>0</v>
      </c>
      <c r="W144" s="27">
        <f t="shared" si="33"/>
        <v>0</v>
      </c>
      <c r="X144" s="4">
        <v>5101</v>
      </c>
      <c r="Y144" s="4"/>
      <c r="Z144" s="4"/>
      <c r="AA144" s="12">
        <f t="shared" si="22"/>
        <v>0</v>
      </c>
      <c r="AC144" s="84"/>
      <c r="AD144" s="84"/>
      <c r="AE144" s="84"/>
      <c r="AF144" s="84"/>
    </row>
    <row r="145" spans="1:32" ht="12.75" customHeight="1">
      <c r="A145" s="24"/>
      <c r="B145" s="105">
        <f t="shared" si="23"/>
        <v>142</v>
      </c>
      <c r="C145" s="6">
        <v>511000</v>
      </c>
      <c r="D145" s="6" t="s">
        <v>541</v>
      </c>
      <c r="E145" s="9" t="s">
        <v>32</v>
      </c>
      <c r="F145" s="6"/>
      <c r="G145" s="6"/>
      <c r="H145" s="11">
        <f>+STAT1!V145</f>
        <v>0</v>
      </c>
      <c r="I145" s="11">
        <f>+STAT1!W145</f>
        <v>0</v>
      </c>
      <c r="J145" s="11">
        <f>+SUMIFS(JURNAL!G:G,JURNAL!E:E,C145,JURNAL!C:C,"&gt;="&amp;$H$1,JURNAL!C:C,"&lt;="&amp;$I$1)</f>
        <v>0</v>
      </c>
      <c r="K145" s="11">
        <f>+SUMIFS(JURNAL!H:H,JURNAL!E:E,C145,JURNAL!C:C,"&gt;="&amp;$H$1,JURNAL!C:C,"&lt;="&amp;$I$1)</f>
        <v>0</v>
      </c>
      <c r="L145" s="26">
        <f t="shared" si="26"/>
        <v>0</v>
      </c>
      <c r="M145" s="27">
        <f t="shared" si="27"/>
        <v>0</v>
      </c>
      <c r="N145" s="11"/>
      <c r="O145" s="11"/>
      <c r="P145" s="11"/>
      <c r="Q145" s="11"/>
      <c r="R145" s="26">
        <f t="shared" si="28"/>
        <v>0</v>
      </c>
      <c r="S145" s="27">
        <f t="shared" si="29"/>
        <v>0</v>
      </c>
      <c r="T145" s="11">
        <f t="shared" si="30"/>
        <v>0</v>
      </c>
      <c r="U145" s="11">
        <f t="shared" si="31"/>
        <v>0</v>
      </c>
      <c r="V145" s="26">
        <f t="shared" si="32"/>
        <v>0</v>
      </c>
      <c r="W145" s="27">
        <f t="shared" si="33"/>
        <v>0</v>
      </c>
      <c r="X145" s="4">
        <v>8402</v>
      </c>
      <c r="Y145" s="4"/>
      <c r="Z145" s="4"/>
      <c r="AA145" s="12">
        <f t="shared" si="22"/>
        <v>0</v>
      </c>
      <c r="AC145" s="84"/>
      <c r="AD145" s="84"/>
      <c r="AE145" s="84"/>
      <c r="AF145" s="84"/>
    </row>
    <row r="146" spans="1:32" ht="12.75" customHeight="1">
      <c r="A146" s="24"/>
      <c r="B146" s="105">
        <f t="shared" si="23"/>
        <v>143</v>
      </c>
      <c r="C146" s="6">
        <v>511100</v>
      </c>
      <c r="D146" s="6" t="s">
        <v>548</v>
      </c>
      <c r="E146" s="9" t="s">
        <v>32</v>
      </c>
      <c r="F146" s="6"/>
      <c r="G146" s="6"/>
      <c r="H146" s="11">
        <f>+STAT1!V146</f>
        <v>0</v>
      </c>
      <c r="I146" s="11">
        <f>+STAT1!W146</f>
        <v>0</v>
      </c>
      <c r="J146" s="11">
        <f>+SUMIFS(JURNAL!G:G,JURNAL!E:E,C146,JURNAL!C:C,"&gt;="&amp;$H$1,JURNAL!C:C,"&lt;="&amp;$I$1)</f>
        <v>0</v>
      </c>
      <c r="K146" s="11">
        <f>+SUMIFS(JURNAL!H:H,JURNAL!E:E,C146,JURNAL!C:C,"&gt;="&amp;$H$1,JURNAL!C:C,"&lt;="&amp;$I$1)</f>
        <v>0</v>
      </c>
      <c r="L146" s="26">
        <f t="shared" si="26"/>
        <v>0</v>
      </c>
      <c r="M146" s="27">
        <f t="shared" si="27"/>
        <v>0</v>
      </c>
      <c r="N146" s="11"/>
      <c r="O146" s="11"/>
      <c r="P146" s="11"/>
      <c r="Q146" s="11"/>
      <c r="R146" s="26">
        <f t="shared" si="28"/>
        <v>0</v>
      </c>
      <c r="S146" s="27">
        <f t="shared" si="29"/>
        <v>0</v>
      </c>
      <c r="T146" s="11">
        <f t="shared" si="30"/>
        <v>0</v>
      </c>
      <c r="U146" s="11">
        <f t="shared" si="31"/>
        <v>0</v>
      </c>
      <c r="V146" s="26">
        <f t="shared" si="32"/>
        <v>0</v>
      </c>
      <c r="W146" s="27">
        <f t="shared" si="33"/>
        <v>0</v>
      </c>
      <c r="X146" s="4">
        <v>5111</v>
      </c>
      <c r="Y146" s="4"/>
      <c r="Z146" s="4"/>
      <c r="AA146" s="12">
        <f t="shared" si="22"/>
        <v>0</v>
      </c>
      <c r="AC146" s="84"/>
      <c r="AD146" s="84"/>
      <c r="AE146" s="84"/>
      <c r="AF146" s="84"/>
    </row>
    <row r="147" spans="1:32" ht="12.75" customHeight="1">
      <c r="A147" s="24"/>
      <c r="B147" s="105">
        <f t="shared" si="23"/>
        <v>144</v>
      </c>
      <c r="C147" s="6">
        <v>511200</v>
      </c>
      <c r="D147" s="6" t="s">
        <v>553</v>
      </c>
      <c r="E147" s="9" t="s">
        <v>32</v>
      </c>
      <c r="F147" s="6"/>
      <c r="G147" s="6"/>
      <c r="H147" s="11">
        <f>+STAT1!V147</f>
        <v>0</v>
      </c>
      <c r="I147" s="11">
        <f>+STAT1!W147</f>
        <v>0</v>
      </c>
      <c r="J147" s="11">
        <f>+SUMIFS(JURNAL!G:G,JURNAL!E:E,C147,JURNAL!C:C,"&gt;="&amp;$H$1,JURNAL!C:C,"&lt;="&amp;$I$1)</f>
        <v>0</v>
      </c>
      <c r="K147" s="11">
        <f>+SUMIFS(JURNAL!H:H,JURNAL!E:E,C147,JURNAL!C:C,"&gt;="&amp;$H$1,JURNAL!C:C,"&lt;="&amp;$I$1)</f>
        <v>0</v>
      </c>
      <c r="L147" s="26">
        <f t="shared" si="26"/>
        <v>0</v>
      </c>
      <c r="M147" s="27">
        <f t="shared" si="27"/>
        <v>0</v>
      </c>
      <c r="N147" s="11"/>
      <c r="O147" s="11"/>
      <c r="P147" s="11"/>
      <c r="Q147" s="11"/>
      <c r="R147" s="26">
        <f t="shared" si="28"/>
        <v>0</v>
      </c>
      <c r="S147" s="27">
        <f t="shared" si="29"/>
        <v>0</v>
      </c>
      <c r="T147" s="11">
        <f t="shared" si="30"/>
        <v>0</v>
      </c>
      <c r="U147" s="11">
        <f t="shared" si="31"/>
        <v>0</v>
      </c>
      <c r="V147" s="26">
        <f t="shared" si="32"/>
        <v>0</v>
      </c>
      <c r="W147" s="27">
        <f t="shared" si="33"/>
        <v>0</v>
      </c>
      <c r="X147" s="4">
        <v>5112</v>
      </c>
      <c r="Y147" s="4"/>
      <c r="Z147" s="4"/>
      <c r="AA147" s="12">
        <f t="shared" si="22"/>
        <v>0</v>
      </c>
      <c r="AC147" s="84"/>
      <c r="AD147" s="84"/>
      <c r="AE147" s="84"/>
      <c r="AF147" s="84"/>
    </row>
    <row r="148" spans="1:32" ht="12.75" customHeight="1">
      <c r="A148" s="24"/>
      <c r="B148" s="105">
        <f t="shared" si="23"/>
        <v>145</v>
      </c>
      <c r="C148" s="6">
        <v>511300</v>
      </c>
      <c r="D148" s="6" t="s">
        <v>558</v>
      </c>
      <c r="E148" s="9" t="s">
        <v>32</v>
      </c>
      <c r="F148" s="6"/>
      <c r="G148" s="6"/>
      <c r="H148" s="11">
        <f>+STAT1!V148</f>
        <v>0</v>
      </c>
      <c r="I148" s="11">
        <f>+STAT1!W148</f>
        <v>0</v>
      </c>
      <c r="J148" s="11">
        <f>+SUMIFS(JURNAL!G:G,JURNAL!E:E,C148,JURNAL!C:C,"&gt;="&amp;$H$1,JURNAL!C:C,"&lt;="&amp;$I$1)</f>
        <v>0</v>
      </c>
      <c r="K148" s="11">
        <f>+SUMIFS(JURNAL!H:H,JURNAL!E:E,C148,JURNAL!C:C,"&gt;="&amp;$H$1,JURNAL!C:C,"&lt;="&amp;$I$1)</f>
        <v>0</v>
      </c>
      <c r="L148" s="26">
        <f t="shared" si="26"/>
        <v>0</v>
      </c>
      <c r="M148" s="27">
        <f t="shared" si="27"/>
        <v>0</v>
      </c>
      <c r="N148" s="11"/>
      <c r="O148" s="11"/>
      <c r="P148" s="11"/>
      <c r="Q148" s="11"/>
      <c r="R148" s="26">
        <f t="shared" si="28"/>
        <v>0</v>
      </c>
      <c r="S148" s="27">
        <f t="shared" si="29"/>
        <v>0</v>
      </c>
      <c r="T148" s="11">
        <f t="shared" si="30"/>
        <v>0</v>
      </c>
      <c r="U148" s="11">
        <f t="shared" si="31"/>
        <v>0</v>
      </c>
      <c r="V148" s="26">
        <f t="shared" si="32"/>
        <v>0</v>
      </c>
      <c r="W148" s="27">
        <f t="shared" si="33"/>
        <v>0</v>
      </c>
      <c r="X148" s="4">
        <v>5113</v>
      </c>
      <c r="Y148" s="4"/>
      <c r="Z148" s="4"/>
      <c r="AA148" s="12">
        <f t="shared" si="22"/>
        <v>0</v>
      </c>
      <c r="AC148" s="84"/>
      <c r="AD148" s="84"/>
      <c r="AE148" s="84"/>
      <c r="AF148" s="84"/>
    </row>
    <row r="149" spans="1:32" ht="12.75" customHeight="1">
      <c r="A149" s="24"/>
      <c r="B149" s="105">
        <f t="shared" si="23"/>
        <v>146</v>
      </c>
      <c r="C149" s="6">
        <v>511400</v>
      </c>
      <c r="D149" s="6" t="s">
        <v>563</v>
      </c>
      <c r="E149" s="9" t="s">
        <v>32</v>
      </c>
      <c r="F149" s="6"/>
      <c r="G149" s="6"/>
      <c r="H149" s="11">
        <f>+STAT1!V149</f>
        <v>0</v>
      </c>
      <c r="I149" s="11">
        <f>+STAT1!W149</f>
        <v>0</v>
      </c>
      <c r="J149" s="11">
        <f>+SUMIFS(JURNAL!G:G,JURNAL!E:E,C149,JURNAL!C:C,"&gt;="&amp;$H$1,JURNAL!C:C,"&lt;="&amp;$I$1)</f>
        <v>0</v>
      </c>
      <c r="K149" s="11">
        <f>+SUMIFS(JURNAL!H:H,JURNAL!E:E,C149,JURNAL!C:C,"&gt;="&amp;$H$1,JURNAL!C:C,"&lt;="&amp;$I$1)</f>
        <v>0</v>
      </c>
      <c r="L149" s="26">
        <f t="shared" si="26"/>
        <v>0</v>
      </c>
      <c r="M149" s="27">
        <f t="shared" si="27"/>
        <v>0</v>
      </c>
      <c r="N149" s="11"/>
      <c r="O149" s="11"/>
      <c r="P149" s="11"/>
      <c r="Q149" s="11"/>
      <c r="R149" s="26">
        <f t="shared" si="28"/>
        <v>0</v>
      </c>
      <c r="S149" s="27">
        <f t="shared" si="29"/>
        <v>0</v>
      </c>
      <c r="T149" s="11">
        <f t="shared" si="30"/>
        <v>0</v>
      </c>
      <c r="U149" s="11">
        <f t="shared" si="31"/>
        <v>0</v>
      </c>
      <c r="V149" s="26">
        <f t="shared" si="32"/>
        <v>0</v>
      </c>
      <c r="W149" s="27">
        <f t="shared" si="33"/>
        <v>0</v>
      </c>
      <c r="X149" s="4">
        <v>5114</v>
      </c>
      <c r="Y149" s="4"/>
      <c r="Z149" s="4"/>
      <c r="AA149" s="12">
        <f t="shared" si="22"/>
        <v>0</v>
      </c>
      <c r="AC149" s="84"/>
      <c r="AD149" s="84"/>
      <c r="AE149" s="84"/>
      <c r="AF149" s="84"/>
    </row>
    <row r="150" spans="1:32" ht="12.75" customHeight="1">
      <c r="A150" s="24"/>
      <c r="B150" s="105">
        <f t="shared" si="23"/>
        <v>147</v>
      </c>
      <c r="C150" s="6">
        <v>511500</v>
      </c>
      <c r="D150" s="6" t="s">
        <v>568</v>
      </c>
      <c r="E150" s="9" t="s">
        <v>32</v>
      </c>
      <c r="F150" s="6"/>
      <c r="G150" s="6"/>
      <c r="H150" s="11">
        <f>+STAT1!V150</f>
        <v>0</v>
      </c>
      <c r="I150" s="11">
        <f>+STAT1!W150</f>
        <v>0</v>
      </c>
      <c r="J150" s="11">
        <f>+SUMIFS(JURNAL!G:G,JURNAL!E:E,C150,JURNAL!C:C,"&gt;="&amp;$H$1,JURNAL!C:C,"&lt;="&amp;$I$1)</f>
        <v>0</v>
      </c>
      <c r="K150" s="11">
        <f>+SUMIFS(JURNAL!H:H,JURNAL!E:E,C150,JURNAL!C:C,"&gt;="&amp;$H$1,JURNAL!C:C,"&lt;="&amp;$I$1)</f>
        <v>0</v>
      </c>
      <c r="L150" s="26">
        <f t="shared" si="26"/>
        <v>0</v>
      </c>
      <c r="M150" s="27">
        <f t="shared" si="27"/>
        <v>0</v>
      </c>
      <c r="N150" s="11"/>
      <c r="O150" s="11"/>
      <c r="P150" s="11"/>
      <c r="Q150" s="11"/>
      <c r="R150" s="26">
        <f t="shared" si="28"/>
        <v>0</v>
      </c>
      <c r="S150" s="27">
        <f t="shared" si="29"/>
        <v>0</v>
      </c>
      <c r="T150" s="11">
        <f t="shared" si="30"/>
        <v>0</v>
      </c>
      <c r="U150" s="11">
        <f t="shared" si="31"/>
        <v>0</v>
      </c>
      <c r="V150" s="26">
        <f t="shared" si="32"/>
        <v>0</v>
      </c>
      <c r="W150" s="27">
        <f t="shared" si="33"/>
        <v>0</v>
      </c>
      <c r="X150" s="4">
        <v>5115</v>
      </c>
      <c r="Y150" s="4"/>
      <c r="Z150" s="4"/>
      <c r="AA150" s="12">
        <f t="shared" si="22"/>
        <v>0</v>
      </c>
      <c r="AC150" s="84"/>
      <c r="AD150" s="84"/>
      <c r="AE150" s="84"/>
      <c r="AF150" s="84"/>
    </row>
    <row r="151" spans="1:32" ht="12.75" customHeight="1">
      <c r="A151" s="24"/>
      <c r="B151" s="105">
        <f t="shared" si="23"/>
        <v>148</v>
      </c>
      <c r="C151" s="6">
        <v>610100</v>
      </c>
      <c r="D151" s="6" t="s">
        <v>573</v>
      </c>
      <c r="E151" s="9" t="s">
        <v>32</v>
      </c>
      <c r="F151" s="6"/>
      <c r="G151" s="6"/>
      <c r="H151" s="11">
        <f>+STAT1!V151</f>
        <v>0</v>
      </c>
      <c r="I151" s="11">
        <f>+STAT1!W151</f>
        <v>0</v>
      </c>
      <c r="J151" s="11">
        <f>+SUMIFS(JURNAL!G:G,JURNAL!E:E,C151,JURNAL!C:C,"&gt;="&amp;$H$1,JURNAL!C:C,"&lt;="&amp;$I$1)</f>
        <v>48733270.699951157</v>
      </c>
      <c r="K151" s="11">
        <f>+SUMIFS(JURNAL!H:H,JURNAL!E:E,C151,JURNAL!C:C,"&gt;="&amp;$H$1,JURNAL!C:C,"&lt;="&amp;$I$1)</f>
        <v>0</v>
      </c>
      <c r="L151" s="26">
        <f t="shared" si="26"/>
        <v>48733270.699951157</v>
      </c>
      <c r="M151" s="27">
        <f t="shared" si="27"/>
        <v>0</v>
      </c>
      <c r="N151" s="11"/>
      <c r="O151" s="11"/>
      <c r="P151" s="11"/>
      <c r="Q151" s="11"/>
      <c r="R151" s="26">
        <f>+IF((L151+N151)&gt;(M151+O151),(L151+N151)-(M151+O151),0)</f>
        <v>48733270.699951157</v>
      </c>
      <c r="S151" s="27">
        <f t="shared" si="29"/>
        <v>0</v>
      </c>
      <c r="T151" s="11">
        <f t="shared" si="30"/>
        <v>0</v>
      </c>
      <c r="U151" s="11">
        <f>+R151</f>
        <v>48733270.699951157</v>
      </c>
      <c r="V151" s="26">
        <f t="shared" si="32"/>
        <v>0</v>
      </c>
      <c r="W151" s="27">
        <f t="shared" si="33"/>
        <v>0</v>
      </c>
      <c r="X151" s="4">
        <v>6101</v>
      </c>
      <c r="Y151" s="4"/>
      <c r="Z151" s="4"/>
      <c r="AA151" s="12">
        <f t="shared" si="22"/>
        <v>1</v>
      </c>
      <c r="AC151" s="84"/>
      <c r="AD151" s="84"/>
      <c r="AE151" s="84"/>
      <c r="AF151" s="84"/>
    </row>
    <row r="152" spans="1:32" ht="12.75" customHeight="1">
      <c r="A152" s="24"/>
      <c r="B152" s="105">
        <f t="shared" si="23"/>
        <v>149</v>
      </c>
      <c r="C152" s="6">
        <v>610101</v>
      </c>
      <c r="D152" s="6" t="s">
        <v>973</v>
      </c>
      <c r="E152" s="9" t="s">
        <v>32</v>
      </c>
      <c r="F152" s="6"/>
      <c r="G152" s="6"/>
      <c r="H152" s="11">
        <f>+STAT1!V152</f>
        <v>0</v>
      </c>
      <c r="I152" s="11">
        <f>+STAT1!W152</f>
        <v>0</v>
      </c>
      <c r="J152" s="11">
        <f>+SUMIFS(JURNAL!G:G,JURNAL!E:E,C152,JURNAL!C:C,"&gt;="&amp;$H$1,JURNAL!C:C,"&lt;="&amp;$I$1)</f>
        <v>0</v>
      </c>
      <c r="K152" s="11">
        <f>+SUMIFS(JURNAL!H:H,JURNAL!E:E,C152,JURNAL!C:C,"&gt;="&amp;$H$1,JURNAL!C:C,"&lt;="&amp;$I$1)</f>
        <v>0</v>
      </c>
      <c r="L152" s="26">
        <f t="shared" si="26"/>
        <v>0</v>
      </c>
      <c r="M152" s="27">
        <f t="shared" si="27"/>
        <v>0</v>
      </c>
      <c r="N152" s="11"/>
      <c r="O152" s="11"/>
      <c r="P152" s="11"/>
      <c r="Q152" s="11"/>
      <c r="R152" s="26">
        <f t="shared" si="28"/>
        <v>0</v>
      </c>
      <c r="S152" s="27">
        <f t="shared" si="29"/>
        <v>0</v>
      </c>
      <c r="T152" s="11">
        <f t="shared" si="30"/>
        <v>0</v>
      </c>
      <c r="U152" s="11">
        <f t="shared" si="31"/>
        <v>0</v>
      </c>
      <c r="V152" s="26">
        <f t="shared" si="32"/>
        <v>0</v>
      </c>
      <c r="W152" s="27">
        <f t="shared" si="33"/>
        <v>0</v>
      </c>
      <c r="X152" s="4">
        <v>6101</v>
      </c>
      <c r="Y152" s="4"/>
      <c r="Z152" s="4"/>
      <c r="AA152" s="12">
        <f t="shared" si="22"/>
        <v>0</v>
      </c>
      <c r="AC152" s="84"/>
      <c r="AD152" s="84"/>
      <c r="AE152" s="84"/>
      <c r="AF152" s="84"/>
    </row>
    <row r="153" spans="1:32" ht="12.75" customHeight="1">
      <c r="A153" s="24"/>
      <c r="B153" s="105">
        <f t="shared" si="23"/>
        <v>150</v>
      </c>
      <c r="C153" s="6">
        <v>610200</v>
      </c>
      <c r="D153" s="6" t="s">
        <v>578</v>
      </c>
      <c r="E153" s="9" t="s">
        <v>32</v>
      </c>
      <c r="F153" s="6"/>
      <c r="G153" s="6"/>
      <c r="H153" s="11">
        <f>+STAT1!V153</f>
        <v>0</v>
      </c>
      <c r="I153" s="11">
        <f>+STAT1!W153</f>
        <v>0</v>
      </c>
      <c r="J153" s="11">
        <f>+SUMIFS(JURNAL!G:G,JURNAL!E:E,C153,JURNAL!C:C,"&gt;="&amp;$H$1,JURNAL!C:C,"&lt;="&amp;$I$1)</f>
        <v>0</v>
      </c>
      <c r="K153" s="11">
        <f>+SUMIFS(JURNAL!H:H,JURNAL!E:E,C153,JURNAL!C:C,"&gt;="&amp;$H$1,JURNAL!C:C,"&lt;="&amp;$I$1)</f>
        <v>0</v>
      </c>
      <c r="L153" s="26">
        <f t="shared" si="26"/>
        <v>0</v>
      </c>
      <c r="M153" s="27">
        <f t="shared" si="27"/>
        <v>0</v>
      </c>
      <c r="N153" s="11"/>
      <c r="O153" s="11"/>
      <c r="P153" s="11"/>
      <c r="Q153" s="11"/>
      <c r="R153" s="26">
        <f t="shared" si="28"/>
        <v>0</v>
      </c>
      <c r="S153" s="27">
        <f t="shared" si="29"/>
        <v>0</v>
      </c>
      <c r="T153" s="11">
        <f t="shared" si="30"/>
        <v>0</v>
      </c>
      <c r="U153" s="11">
        <f t="shared" si="31"/>
        <v>0</v>
      </c>
      <c r="V153" s="26">
        <f t="shared" si="32"/>
        <v>0</v>
      </c>
      <c r="W153" s="27">
        <f t="shared" si="33"/>
        <v>0</v>
      </c>
      <c r="X153" s="4">
        <v>6101</v>
      </c>
      <c r="Y153" s="4"/>
      <c r="Z153" s="4"/>
      <c r="AA153" s="12">
        <f t="shared" si="22"/>
        <v>0</v>
      </c>
      <c r="AC153" s="84"/>
      <c r="AD153" s="84"/>
      <c r="AE153" s="84"/>
      <c r="AF153" s="84"/>
    </row>
    <row r="154" spans="1:32" ht="12.75" customHeight="1">
      <c r="A154" s="24"/>
      <c r="B154" s="105">
        <f t="shared" si="23"/>
        <v>151</v>
      </c>
      <c r="C154" s="6">
        <v>610300</v>
      </c>
      <c r="D154" s="6" t="s">
        <v>583</v>
      </c>
      <c r="E154" s="9" t="s">
        <v>32</v>
      </c>
      <c r="F154" s="6"/>
      <c r="G154" s="6"/>
      <c r="H154" s="11">
        <f>+STAT1!V154</f>
        <v>0</v>
      </c>
      <c r="I154" s="11">
        <f>+STAT1!W154</f>
        <v>0</v>
      </c>
      <c r="J154" s="11">
        <f>+SUMIFS(JURNAL!G:G,JURNAL!E:E,C154,JURNAL!C:C,"&gt;="&amp;$H$1,JURNAL!C:C,"&lt;="&amp;$I$1)</f>
        <v>0</v>
      </c>
      <c r="K154" s="11">
        <f>+SUMIFS(JURNAL!H:H,JURNAL!E:E,C154,JURNAL!C:C,"&gt;="&amp;$H$1,JURNAL!C:C,"&lt;="&amp;$I$1)</f>
        <v>0</v>
      </c>
      <c r="L154" s="26">
        <f t="shared" si="26"/>
        <v>0</v>
      </c>
      <c r="M154" s="27">
        <f t="shared" si="27"/>
        <v>0</v>
      </c>
      <c r="N154" s="11"/>
      <c r="O154" s="11"/>
      <c r="P154" s="11"/>
      <c r="Q154" s="11"/>
      <c r="R154" s="26">
        <f t="shared" si="28"/>
        <v>0</v>
      </c>
      <c r="S154" s="27">
        <f t="shared" si="29"/>
        <v>0</v>
      </c>
      <c r="T154" s="11">
        <f t="shared" si="30"/>
        <v>0</v>
      </c>
      <c r="U154" s="11">
        <f t="shared" si="31"/>
        <v>0</v>
      </c>
      <c r="V154" s="26">
        <f t="shared" si="32"/>
        <v>0</v>
      </c>
      <c r="W154" s="27">
        <f t="shared" si="33"/>
        <v>0</v>
      </c>
      <c r="X154" s="4">
        <v>6101</v>
      </c>
      <c r="Y154" s="4"/>
      <c r="Z154" s="4"/>
      <c r="AA154" s="12">
        <f t="shared" si="22"/>
        <v>0</v>
      </c>
      <c r="AC154" s="84"/>
      <c r="AD154" s="84"/>
      <c r="AE154" s="84"/>
      <c r="AF154" s="84"/>
    </row>
    <row r="155" spans="1:32" ht="12.75" customHeight="1">
      <c r="A155" s="24"/>
      <c r="B155" s="105">
        <f t="shared" si="23"/>
        <v>152</v>
      </c>
      <c r="C155" s="6">
        <v>700100</v>
      </c>
      <c r="D155" s="6" t="s">
        <v>276</v>
      </c>
      <c r="E155" s="9" t="s">
        <v>32</v>
      </c>
      <c r="F155" s="6"/>
      <c r="G155" s="6"/>
      <c r="H155" s="11">
        <f>+STAT1!V155</f>
        <v>0</v>
      </c>
      <c r="I155" s="11">
        <f>+STAT1!W155</f>
        <v>0</v>
      </c>
      <c r="J155" s="11">
        <f>+SUMIFS(JURNAL!G:G,JURNAL!E:E,C155,JURNAL!C:C,"&gt;="&amp;$H$1,JURNAL!C:C,"&lt;="&amp;$I$1)</f>
        <v>31735310.188518517</v>
      </c>
      <c r="K155" s="11">
        <f>+SUMIFS(JURNAL!H:H,JURNAL!E:E,C155,JURNAL!C:C,"&gt;="&amp;$H$1,JURNAL!C:C,"&lt;="&amp;$I$1)</f>
        <v>20195602</v>
      </c>
      <c r="L155" s="26">
        <f t="shared" si="26"/>
        <v>11539708.188518517</v>
      </c>
      <c r="M155" s="27">
        <f t="shared" si="27"/>
        <v>0</v>
      </c>
      <c r="N155" s="11"/>
      <c r="O155" s="11"/>
      <c r="P155" s="11"/>
      <c r="Q155" s="11"/>
      <c r="R155" s="26">
        <f t="shared" si="28"/>
        <v>11539708.188518517</v>
      </c>
      <c r="S155" s="27">
        <f t="shared" si="29"/>
        <v>0</v>
      </c>
      <c r="T155" s="11">
        <f t="shared" si="30"/>
        <v>0</v>
      </c>
      <c r="U155" s="11">
        <f t="shared" si="31"/>
        <v>11539708.188518517</v>
      </c>
      <c r="V155" s="26">
        <f t="shared" si="32"/>
        <v>0</v>
      </c>
      <c r="W155" s="27">
        <f t="shared" si="33"/>
        <v>0</v>
      </c>
      <c r="X155" s="4">
        <v>7002</v>
      </c>
      <c r="Y155" s="4"/>
      <c r="Z155" s="4"/>
      <c r="AA155" s="12">
        <f t="shared" si="22"/>
        <v>1</v>
      </c>
      <c r="AC155" s="84"/>
      <c r="AD155" s="84"/>
      <c r="AE155" s="84"/>
      <c r="AF155" s="84"/>
    </row>
    <row r="156" spans="1:32" ht="12.75" customHeight="1">
      <c r="A156" s="24"/>
      <c r="B156" s="105">
        <f t="shared" si="23"/>
        <v>153</v>
      </c>
      <c r="C156" s="6">
        <v>700200</v>
      </c>
      <c r="D156" s="6" t="s">
        <v>596</v>
      </c>
      <c r="E156" s="9" t="s">
        <v>32</v>
      </c>
      <c r="F156" s="6"/>
      <c r="G156" s="6"/>
      <c r="H156" s="11">
        <f>+STAT1!V156</f>
        <v>0</v>
      </c>
      <c r="I156" s="11">
        <f>+STAT1!W156</f>
        <v>0</v>
      </c>
      <c r="J156" s="11">
        <f>+SUMIFS(JURNAL!G:G,JURNAL!E:E,C156,JURNAL!C:C,"&gt;="&amp;$H$1,JURNAL!C:C,"&lt;="&amp;$I$1)</f>
        <v>3807122.3152148155</v>
      </c>
      <c r="K156" s="11">
        <f>+SUMIFS(JURNAL!H:H,JURNAL!E:E,C156,JURNAL!C:C,"&gt;="&amp;$H$1,JURNAL!C:C,"&lt;="&amp;$I$1)</f>
        <v>1993754.8152148151</v>
      </c>
      <c r="L156" s="26">
        <f t="shared" si="26"/>
        <v>1813367.5000000005</v>
      </c>
      <c r="M156" s="27">
        <f t="shared" si="27"/>
        <v>0</v>
      </c>
      <c r="N156" s="11"/>
      <c r="O156" s="11"/>
      <c r="P156" s="11"/>
      <c r="Q156" s="11"/>
      <c r="R156" s="26">
        <f t="shared" si="28"/>
        <v>1813367.5000000005</v>
      </c>
      <c r="S156" s="27">
        <f t="shared" si="29"/>
        <v>0</v>
      </c>
      <c r="T156" s="11">
        <f t="shared" si="30"/>
        <v>0</v>
      </c>
      <c r="U156" s="11">
        <f t="shared" si="31"/>
        <v>1813367.5000000005</v>
      </c>
      <c r="V156" s="26">
        <f t="shared" si="32"/>
        <v>0</v>
      </c>
      <c r="W156" s="27">
        <f t="shared" si="33"/>
        <v>0</v>
      </c>
      <c r="X156" s="4">
        <v>7002</v>
      </c>
      <c r="Y156" s="4"/>
      <c r="Z156" s="4"/>
      <c r="AA156" s="12">
        <f t="shared" si="22"/>
        <v>1</v>
      </c>
      <c r="AC156" s="84"/>
      <c r="AD156" s="84"/>
      <c r="AE156" s="84"/>
      <c r="AF156" s="84"/>
    </row>
    <row r="157" spans="1:32" ht="12.75" customHeight="1">
      <c r="A157" s="24"/>
      <c r="B157" s="105">
        <f t="shared" si="23"/>
        <v>154</v>
      </c>
      <c r="C157" s="6">
        <v>700700</v>
      </c>
      <c r="D157" s="6" t="s">
        <v>601</v>
      </c>
      <c r="E157" s="9" t="s">
        <v>32</v>
      </c>
      <c r="F157" s="6"/>
      <c r="G157" s="6"/>
      <c r="H157" s="11">
        <f>+STAT1!V157</f>
        <v>0</v>
      </c>
      <c r="I157" s="11">
        <f>+STAT1!W157</f>
        <v>0</v>
      </c>
      <c r="J157" s="11">
        <f>+SUMIFS(JURNAL!G:G,JURNAL!E:E,C157,JURNAL!C:C,"&gt;="&amp;$H$1,JURNAL!C:C,"&lt;="&amp;$I$1)</f>
        <v>5941840.3499999996</v>
      </c>
      <c r="K157" s="11">
        <f>+SUMIFS(JURNAL!H:H,JURNAL!E:E,C157,JURNAL!C:C,"&gt;="&amp;$H$1,JURNAL!C:C,"&lt;="&amp;$I$1)</f>
        <v>5644748</v>
      </c>
      <c r="L157" s="26">
        <f t="shared" si="26"/>
        <v>297092.34999999963</v>
      </c>
      <c r="M157" s="27">
        <f t="shared" si="27"/>
        <v>0</v>
      </c>
      <c r="N157" s="11"/>
      <c r="O157" s="11"/>
      <c r="P157" s="11"/>
      <c r="Q157" s="11"/>
      <c r="R157" s="26">
        <f t="shared" si="28"/>
        <v>297092.34999999963</v>
      </c>
      <c r="S157" s="27">
        <f t="shared" si="29"/>
        <v>0</v>
      </c>
      <c r="T157" s="11">
        <f t="shared" si="30"/>
        <v>0</v>
      </c>
      <c r="U157" s="11">
        <f t="shared" si="31"/>
        <v>297092.34999999963</v>
      </c>
      <c r="V157" s="26">
        <f t="shared" si="32"/>
        <v>0</v>
      </c>
      <c r="W157" s="27">
        <f t="shared" si="33"/>
        <v>0</v>
      </c>
      <c r="X157" s="4">
        <v>7002</v>
      </c>
      <c r="Y157" s="4"/>
      <c r="Z157" s="4"/>
      <c r="AA157" s="12">
        <f t="shared" si="22"/>
        <v>1</v>
      </c>
      <c r="AC157" s="84"/>
      <c r="AD157" s="84"/>
      <c r="AE157" s="84"/>
      <c r="AF157" s="84"/>
    </row>
    <row r="158" spans="1:32" ht="12.75" customHeight="1">
      <c r="A158" s="24"/>
      <c r="B158" s="105">
        <f t="shared" si="23"/>
        <v>155</v>
      </c>
      <c r="C158" s="6">
        <v>700800</v>
      </c>
      <c r="D158" s="6" t="s">
        <v>606</v>
      </c>
      <c r="E158" s="9" t="s">
        <v>32</v>
      </c>
      <c r="F158" s="6"/>
      <c r="G158" s="6"/>
      <c r="H158" s="11">
        <f>+STAT1!V158</f>
        <v>0</v>
      </c>
      <c r="I158" s="11">
        <f>+STAT1!W158</f>
        <v>0</v>
      </c>
      <c r="J158" s="11">
        <f>+SUMIFS(JURNAL!G:G,JURNAL!E:E,C158,JURNAL!C:C,"&gt;="&amp;$H$1,JURNAL!C:C,"&lt;="&amp;$I$1)</f>
        <v>2839808.23</v>
      </c>
      <c r="K158" s="11">
        <f>+SUMIFS(JURNAL!H:H,JURNAL!E:E,C158,JURNAL!C:C,"&gt;="&amp;$H$1,JURNAL!C:C,"&lt;="&amp;$I$1)</f>
        <v>2697817.6</v>
      </c>
      <c r="L158" s="26">
        <f t="shared" si="26"/>
        <v>141990.62999999989</v>
      </c>
      <c r="M158" s="27">
        <f t="shared" si="27"/>
        <v>0</v>
      </c>
      <c r="N158" s="11"/>
      <c r="O158" s="11"/>
      <c r="P158" s="11"/>
      <c r="Q158" s="11"/>
      <c r="R158" s="26">
        <f t="shared" si="28"/>
        <v>141990.62999999989</v>
      </c>
      <c r="S158" s="27">
        <f t="shared" si="29"/>
        <v>0</v>
      </c>
      <c r="T158" s="11">
        <f t="shared" si="30"/>
        <v>0</v>
      </c>
      <c r="U158" s="11">
        <f t="shared" si="31"/>
        <v>141990.62999999989</v>
      </c>
      <c r="V158" s="26">
        <f t="shared" si="32"/>
        <v>0</v>
      </c>
      <c r="W158" s="27">
        <f t="shared" si="33"/>
        <v>0</v>
      </c>
      <c r="X158" s="4">
        <v>7002</v>
      </c>
      <c r="Y158" s="4"/>
      <c r="Z158" s="4"/>
      <c r="AA158" s="12">
        <f t="shared" si="22"/>
        <v>1</v>
      </c>
      <c r="AC158" s="84"/>
      <c r="AD158" s="84"/>
      <c r="AE158" s="84"/>
      <c r="AF158" s="84"/>
    </row>
    <row r="159" spans="1:32" ht="12.75" customHeight="1">
      <c r="A159" s="24"/>
      <c r="B159" s="105">
        <f t="shared" si="23"/>
        <v>156</v>
      </c>
      <c r="C159" s="6">
        <v>700900</v>
      </c>
      <c r="D159" s="6" t="s">
        <v>611</v>
      </c>
      <c r="E159" s="9" t="s">
        <v>32</v>
      </c>
      <c r="F159" s="6"/>
      <c r="G159" s="6"/>
      <c r="H159" s="11">
        <f>+STAT1!V159</f>
        <v>0</v>
      </c>
      <c r="I159" s="11">
        <f>+STAT1!W159</f>
        <v>0</v>
      </c>
      <c r="J159" s="11">
        <f>+SUMIFS(JURNAL!G:G,JURNAL!E:E,C159,JURNAL!C:C,"&gt;="&amp;$H$1,JURNAL!C:C,"&lt;="&amp;$I$1)</f>
        <v>284172</v>
      </c>
      <c r="K159" s="11">
        <f>+SUMIFS(JURNAL!H:H,JURNAL!E:E,C159,JURNAL!C:C,"&gt;="&amp;$H$1,JURNAL!C:C,"&lt;="&amp;$I$1)</f>
        <v>0</v>
      </c>
      <c r="L159" s="26">
        <f t="shared" si="26"/>
        <v>284172</v>
      </c>
      <c r="M159" s="27">
        <f t="shared" si="27"/>
        <v>0</v>
      </c>
      <c r="N159" s="11"/>
      <c r="O159" s="11"/>
      <c r="P159" s="11"/>
      <c r="Q159" s="11"/>
      <c r="R159" s="26">
        <f t="shared" si="28"/>
        <v>284172</v>
      </c>
      <c r="S159" s="27">
        <f t="shared" si="29"/>
        <v>0</v>
      </c>
      <c r="T159" s="11">
        <f t="shared" si="30"/>
        <v>0</v>
      </c>
      <c r="U159" s="11">
        <f t="shared" si="31"/>
        <v>284172</v>
      </c>
      <c r="V159" s="26">
        <f t="shared" si="32"/>
        <v>0</v>
      </c>
      <c r="W159" s="27">
        <f t="shared" si="33"/>
        <v>0</v>
      </c>
      <c r="X159" s="4">
        <v>7002</v>
      </c>
      <c r="Y159" s="4"/>
      <c r="Z159" s="4"/>
      <c r="AA159" s="12">
        <f t="shared" si="22"/>
        <v>1</v>
      </c>
      <c r="AC159" s="84"/>
      <c r="AD159" s="84"/>
      <c r="AE159" s="84"/>
      <c r="AF159" s="84"/>
    </row>
    <row r="160" spans="1:32" ht="12.75" customHeight="1">
      <c r="A160" s="24"/>
      <c r="B160" s="105">
        <f t="shared" si="23"/>
        <v>157</v>
      </c>
      <c r="C160" s="6">
        <v>701000</v>
      </c>
      <c r="D160" s="6" t="s">
        <v>616</v>
      </c>
      <c r="E160" s="9" t="s">
        <v>32</v>
      </c>
      <c r="F160" s="6"/>
      <c r="G160" s="6"/>
      <c r="H160" s="11">
        <f>+STAT1!V160</f>
        <v>0</v>
      </c>
      <c r="I160" s="11">
        <f>+STAT1!W160</f>
        <v>0</v>
      </c>
      <c r="J160" s="11">
        <f>+SUMIFS(JURNAL!G:G,JURNAL!E:E,C160,JURNAL!C:C,"&gt;="&amp;$H$1,JURNAL!C:C,"&lt;="&amp;$I$1)</f>
        <v>0</v>
      </c>
      <c r="K160" s="11">
        <f>+SUMIFS(JURNAL!H:H,JURNAL!E:E,C160,JURNAL!C:C,"&gt;="&amp;$H$1,JURNAL!C:C,"&lt;="&amp;$I$1)</f>
        <v>0</v>
      </c>
      <c r="L160" s="26">
        <f t="shared" si="26"/>
        <v>0</v>
      </c>
      <c r="M160" s="27">
        <f t="shared" si="27"/>
        <v>0</v>
      </c>
      <c r="N160" s="11"/>
      <c r="O160" s="11"/>
      <c r="P160" s="11"/>
      <c r="Q160" s="11"/>
      <c r="R160" s="26">
        <f t="shared" si="28"/>
        <v>0</v>
      </c>
      <c r="S160" s="27">
        <f t="shared" si="29"/>
        <v>0</v>
      </c>
      <c r="T160" s="11">
        <f t="shared" si="30"/>
        <v>0</v>
      </c>
      <c r="U160" s="11">
        <f t="shared" si="31"/>
        <v>0</v>
      </c>
      <c r="V160" s="26">
        <f t="shared" si="32"/>
        <v>0</v>
      </c>
      <c r="W160" s="27">
        <f t="shared" si="33"/>
        <v>0</v>
      </c>
      <c r="X160" s="4">
        <v>7002</v>
      </c>
      <c r="Y160" s="4"/>
      <c r="Z160" s="4"/>
      <c r="AA160" s="12">
        <f t="shared" si="22"/>
        <v>0</v>
      </c>
      <c r="AC160" s="84"/>
      <c r="AD160" s="84"/>
      <c r="AE160" s="84"/>
      <c r="AF160" s="84"/>
    </row>
    <row r="161" spans="1:32" ht="12.75" customHeight="1">
      <c r="A161" s="24"/>
      <c r="B161" s="105">
        <f t="shared" si="23"/>
        <v>158</v>
      </c>
      <c r="C161" s="6">
        <v>701100</v>
      </c>
      <c r="D161" s="6" t="s">
        <v>278</v>
      </c>
      <c r="E161" s="9" t="s">
        <v>32</v>
      </c>
      <c r="F161" s="6"/>
      <c r="G161" s="6"/>
      <c r="H161" s="11">
        <f>+STAT1!V161</f>
        <v>0</v>
      </c>
      <c r="I161" s="11">
        <f>+STAT1!W161</f>
        <v>0</v>
      </c>
      <c r="J161" s="11">
        <f>+SUMIFS(JURNAL!G:G,JURNAL!E:E,C161,JURNAL!C:C,"&gt;="&amp;$H$1,JURNAL!C:C,"&lt;="&amp;$I$1)</f>
        <v>0</v>
      </c>
      <c r="K161" s="11">
        <f>+SUMIFS(JURNAL!H:H,JURNAL!E:E,C161,JURNAL!C:C,"&gt;="&amp;$H$1,JURNAL!C:C,"&lt;="&amp;$I$1)</f>
        <v>0</v>
      </c>
      <c r="L161" s="26">
        <f t="shared" si="26"/>
        <v>0</v>
      </c>
      <c r="M161" s="27">
        <f t="shared" si="27"/>
        <v>0</v>
      </c>
      <c r="N161" s="11"/>
      <c r="O161" s="11"/>
      <c r="P161" s="11"/>
      <c r="Q161" s="11"/>
      <c r="R161" s="26">
        <f t="shared" si="28"/>
        <v>0</v>
      </c>
      <c r="S161" s="27">
        <f t="shared" si="29"/>
        <v>0</v>
      </c>
      <c r="T161" s="11">
        <f t="shared" si="30"/>
        <v>0</v>
      </c>
      <c r="U161" s="11">
        <f t="shared" si="31"/>
        <v>0</v>
      </c>
      <c r="V161" s="26">
        <f t="shared" si="32"/>
        <v>0</v>
      </c>
      <c r="W161" s="27">
        <f t="shared" si="33"/>
        <v>0</v>
      </c>
      <c r="X161" s="4">
        <v>7002</v>
      </c>
      <c r="Y161" s="4"/>
      <c r="Z161" s="4"/>
      <c r="AA161" s="12">
        <f t="shared" si="22"/>
        <v>0</v>
      </c>
      <c r="AC161" s="84"/>
      <c r="AD161" s="84"/>
      <c r="AE161" s="84"/>
      <c r="AF161" s="84"/>
    </row>
    <row r="162" spans="1:32" ht="12.75" customHeight="1">
      <c r="A162" s="24"/>
      <c r="B162" s="105">
        <f t="shared" si="23"/>
        <v>159</v>
      </c>
      <c r="C162" s="6">
        <v>701200</v>
      </c>
      <c r="D162" s="6" t="s">
        <v>279</v>
      </c>
      <c r="E162" s="9" t="s">
        <v>32</v>
      </c>
      <c r="F162" s="6"/>
      <c r="G162" s="6"/>
      <c r="H162" s="11">
        <f>+STAT1!V162</f>
        <v>0</v>
      </c>
      <c r="I162" s="11">
        <f>+STAT1!W162</f>
        <v>0</v>
      </c>
      <c r="J162" s="11">
        <f>+SUMIFS(JURNAL!G:G,JURNAL!E:E,C162,JURNAL!C:C,"&gt;="&amp;$H$1,JURNAL!C:C,"&lt;="&amp;$I$1)</f>
        <v>0</v>
      </c>
      <c r="K162" s="11">
        <f>+SUMIFS(JURNAL!H:H,JURNAL!E:E,C162,JURNAL!C:C,"&gt;="&amp;$H$1,JURNAL!C:C,"&lt;="&amp;$I$1)</f>
        <v>0</v>
      </c>
      <c r="L162" s="26">
        <f t="shared" si="26"/>
        <v>0</v>
      </c>
      <c r="M162" s="27">
        <f t="shared" si="27"/>
        <v>0</v>
      </c>
      <c r="N162" s="11"/>
      <c r="O162" s="11"/>
      <c r="P162" s="11"/>
      <c r="Q162" s="11"/>
      <c r="R162" s="26">
        <f t="shared" si="28"/>
        <v>0</v>
      </c>
      <c r="S162" s="27">
        <f t="shared" si="29"/>
        <v>0</v>
      </c>
      <c r="T162" s="11">
        <f t="shared" si="30"/>
        <v>0</v>
      </c>
      <c r="U162" s="11">
        <f t="shared" si="31"/>
        <v>0</v>
      </c>
      <c r="V162" s="26">
        <f t="shared" si="32"/>
        <v>0</v>
      </c>
      <c r="W162" s="27">
        <f t="shared" si="33"/>
        <v>0</v>
      </c>
      <c r="X162" s="4">
        <v>7002</v>
      </c>
      <c r="Y162" s="4"/>
      <c r="Z162" s="4"/>
      <c r="AA162" s="12">
        <f t="shared" si="22"/>
        <v>0</v>
      </c>
      <c r="AC162" s="84"/>
      <c r="AD162" s="84"/>
      <c r="AE162" s="84"/>
      <c r="AF162" s="84"/>
    </row>
    <row r="163" spans="1:32" ht="12.75" customHeight="1">
      <c r="A163" s="24"/>
      <c r="B163" s="105">
        <f t="shared" si="23"/>
        <v>160</v>
      </c>
      <c r="C163" s="6">
        <v>701300</v>
      </c>
      <c r="D163" s="6" t="s">
        <v>280</v>
      </c>
      <c r="E163" s="9" t="s">
        <v>32</v>
      </c>
      <c r="F163" s="6"/>
      <c r="G163" s="6"/>
      <c r="H163" s="11">
        <f>+STAT1!V163</f>
        <v>0</v>
      </c>
      <c r="I163" s="11">
        <f>+STAT1!W163</f>
        <v>0</v>
      </c>
      <c r="J163" s="11">
        <f>+SUMIFS(JURNAL!G:G,JURNAL!E:E,C163,JURNAL!C:C,"&gt;="&amp;$H$1,JURNAL!C:C,"&lt;="&amp;$I$1)</f>
        <v>0</v>
      </c>
      <c r="K163" s="11">
        <f>+SUMIFS(JURNAL!H:H,JURNAL!E:E,C163,JURNAL!C:C,"&gt;="&amp;$H$1,JURNAL!C:C,"&lt;="&amp;$I$1)</f>
        <v>0</v>
      </c>
      <c r="L163" s="26">
        <f t="shared" si="26"/>
        <v>0</v>
      </c>
      <c r="M163" s="27">
        <f t="shared" si="27"/>
        <v>0</v>
      </c>
      <c r="N163" s="11"/>
      <c r="O163" s="11"/>
      <c r="P163" s="11"/>
      <c r="Q163" s="11"/>
      <c r="R163" s="26">
        <f t="shared" si="28"/>
        <v>0</v>
      </c>
      <c r="S163" s="27">
        <f t="shared" si="29"/>
        <v>0</v>
      </c>
      <c r="T163" s="11">
        <f t="shared" si="30"/>
        <v>0</v>
      </c>
      <c r="U163" s="11">
        <f t="shared" si="31"/>
        <v>0</v>
      </c>
      <c r="V163" s="26">
        <f t="shared" si="32"/>
        <v>0</v>
      </c>
      <c r="W163" s="27">
        <f t="shared" si="33"/>
        <v>0</v>
      </c>
      <c r="X163" s="4">
        <v>7002</v>
      </c>
      <c r="Y163" s="4"/>
      <c r="Z163" s="4"/>
      <c r="AA163" s="12">
        <f t="shared" si="22"/>
        <v>0</v>
      </c>
      <c r="AC163" s="84"/>
      <c r="AD163" s="84"/>
      <c r="AE163" s="84"/>
      <c r="AF163" s="84"/>
    </row>
    <row r="164" spans="1:32" ht="12.75" customHeight="1">
      <c r="A164" s="24"/>
      <c r="B164" s="105">
        <f t="shared" si="23"/>
        <v>161</v>
      </c>
      <c r="C164" s="6">
        <v>701400</v>
      </c>
      <c r="D164" s="6" t="s">
        <v>277</v>
      </c>
      <c r="E164" s="9" t="s">
        <v>32</v>
      </c>
      <c r="F164" s="6"/>
      <c r="G164" s="6"/>
      <c r="H164" s="11">
        <f>+STAT1!V164</f>
        <v>0</v>
      </c>
      <c r="I164" s="11">
        <f>+STAT1!W164</f>
        <v>0</v>
      </c>
      <c r="J164" s="11">
        <f>+SUMIFS(JURNAL!G:G,JURNAL!E:E,C164,JURNAL!C:C,"&gt;="&amp;$H$1,JURNAL!C:C,"&lt;="&amp;$I$1)</f>
        <v>0</v>
      </c>
      <c r="K164" s="11">
        <f>+SUMIFS(JURNAL!H:H,JURNAL!E:E,C164,JURNAL!C:C,"&gt;="&amp;$H$1,JURNAL!C:C,"&lt;="&amp;$I$1)</f>
        <v>0</v>
      </c>
      <c r="L164" s="26">
        <f t="shared" si="26"/>
        <v>0</v>
      </c>
      <c r="M164" s="27">
        <f t="shared" si="27"/>
        <v>0</v>
      </c>
      <c r="N164" s="11"/>
      <c r="O164" s="11"/>
      <c r="P164" s="11"/>
      <c r="Q164" s="11"/>
      <c r="R164" s="26">
        <f t="shared" si="28"/>
        <v>0</v>
      </c>
      <c r="S164" s="27">
        <f t="shared" si="29"/>
        <v>0</v>
      </c>
      <c r="T164" s="11">
        <f t="shared" si="30"/>
        <v>0</v>
      </c>
      <c r="U164" s="11">
        <f t="shared" si="31"/>
        <v>0</v>
      </c>
      <c r="V164" s="26">
        <f t="shared" si="32"/>
        <v>0</v>
      </c>
      <c r="W164" s="27">
        <f t="shared" si="33"/>
        <v>0</v>
      </c>
      <c r="X164" s="4">
        <v>7002</v>
      </c>
      <c r="Y164" s="4"/>
      <c r="Z164" s="4"/>
      <c r="AA164" s="12">
        <f t="shared" si="22"/>
        <v>0</v>
      </c>
      <c r="AC164" s="84"/>
      <c r="AD164" s="84"/>
      <c r="AE164" s="84"/>
      <c r="AF164" s="84"/>
    </row>
    <row r="165" spans="1:32" ht="12.75" customHeight="1">
      <c r="A165" s="24"/>
      <c r="B165" s="105">
        <f t="shared" si="23"/>
        <v>162</v>
      </c>
      <c r="C165" s="6">
        <v>701500</v>
      </c>
      <c r="D165" s="6" t="s">
        <v>635</v>
      </c>
      <c r="E165" s="9" t="s">
        <v>32</v>
      </c>
      <c r="F165" s="6"/>
      <c r="G165" s="6"/>
      <c r="H165" s="11">
        <f>+STAT1!V165</f>
        <v>0</v>
      </c>
      <c r="I165" s="11">
        <f>+STAT1!W165</f>
        <v>0</v>
      </c>
      <c r="J165" s="11">
        <f>+SUMIFS(JURNAL!G:G,JURNAL!E:E,C165,JURNAL!C:C,"&gt;="&amp;$H$1,JURNAL!C:C,"&lt;="&amp;$I$1)</f>
        <v>140654.53999999998</v>
      </c>
      <c r="K165" s="11">
        <f>+SUMIFS(JURNAL!H:H,JURNAL!E:E,C165,JURNAL!C:C,"&gt;="&amp;$H$1,JURNAL!C:C,"&lt;="&amp;$I$1)</f>
        <v>0</v>
      </c>
      <c r="L165" s="26">
        <f t="shared" si="26"/>
        <v>140654.53999999998</v>
      </c>
      <c r="M165" s="27">
        <f t="shared" si="27"/>
        <v>0</v>
      </c>
      <c r="N165" s="11"/>
      <c r="O165" s="11"/>
      <c r="P165" s="11"/>
      <c r="Q165" s="11"/>
      <c r="R165" s="26">
        <f t="shared" si="28"/>
        <v>140654.53999999998</v>
      </c>
      <c r="S165" s="27">
        <f t="shared" si="29"/>
        <v>0</v>
      </c>
      <c r="T165" s="11">
        <f t="shared" si="30"/>
        <v>0</v>
      </c>
      <c r="U165" s="11">
        <f t="shared" si="31"/>
        <v>140654.53999999998</v>
      </c>
      <c r="V165" s="26">
        <f t="shared" si="32"/>
        <v>0</v>
      </c>
      <c r="W165" s="27">
        <f t="shared" si="33"/>
        <v>0</v>
      </c>
      <c r="X165" s="4">
        <v>7002</v>
      </c>
      <c r="Y165" s="4"/>
      <c r="Z165" s="4"/>
      <c r="AA165" s="12">
        <f t="shared" si="22"/>
        <v>1</v>
      </c>
      <c r="AC165" s="84"/>
      <c r="AD165" s="84"/>
      <c r="AE165" s="84"/>
      <c r="AF165" s="84"/>
    </row>
    <row r="166" spans="1:32" ht="12.75" customHeight="1">
      <c r="A166" s="24"/>
      <c r="B166" s="105">
        <f t="shared" si="23"/>
        <v>163</v>
      </c>
      <c r="C166" s="6">
        <v>701600</v>
      </c>
      <c r="D166" s="6" t="s">
        <v>641</v>
      </c>
      <c r="E166" s="9" t="s">
        <v>32</v>
      </c>
      <c r="F166" s="6"/>
      <c r="G166" s="6"/>
      <c r="H166" s="11">
        <f>+STAT1!V166</f>
        <v>0</v>
      </c>
      <c r="I166" s="11">
        <f>+STAT1!W166</f>
        <v>0</v>
      </c>
      <c r="J166" s="11">
        <f>+SUMIFS(JURNAL!G:G,JURNAL!E:E,C166,JURNAL!C:C,"&gt;="&amp;$H$1,JURNAL!C:C,"&lt;="&amp;$I$1)</f>
        <v>27770608.07</v>
      </c>
      <c r="K166" s="11">
        <f>+SUMIFS(JURNAL!H:H,JURNAL!E:E,C166,JURNAL!C:C,"&gt;="&amp;$H$1,JURNAL!C:C,"&lt;="&amp;$I$1)</f>
        <v>19964720.91</v>
      </c>
      <c r="L166" s="26">
        <f t="shared" si="26"/>
        <v>7805887.1600000001</v>
      </c>
      <c r="M166" s="27">
        <f t="shared" si="27"/>
        <v>0</v>
      </c>
      <c r="N166" s="11"/>
      <c r="O166" s="11"/>
      <c r="P166" s="11"/>
      <c r="Q166" s="11"/>
      <c r="R166" s="26">
        <f t="shared" si="28"/>
        <v>7805887.1600000001</v>
      </c>
      <c r="S166" s="27">
        <f t="shared" si="29"/>
        <v>0</v>
      </c>
      <c r="T166" s="11">
        <f t="shared" si="30"/>
        <v>0</v>
      </c>
      <c r="U166" s="11">
        <f t="shared" si="31"/>
        <v>7805887.1600000001</v>
      </c>
      <c r="V166" s="26">
        <f t="shared" si="32"/>
        <v>0</v>
      </c>
      <c r="W166" s="27">
        <f t="shared" si="33"/>
        <v>0</v>
      </c>
      <c r="X166" s="4">
        <v>7002</v>
      </c>
      <c r="Y166" s="4"/>
      <c r="Z166" s="4"/>
      <c r="AA166" s="12">
        <f t="shared" si="22"/>
        <v>1</v>
      </c>
      <c r="AC166" s="84"/>
      <c r="AD166" s="84"/>
      <c r="AE166" s="84"/>
      <c r="AF166" s="84"/>
    </row>
    <row r="167" spans="1:32" ht="12.75" customHeight="1">
      <c r="A167" s="24"/>
      <c r="B167" s="105">
        <f t="shared" si="23"/>
        <v>164</v>
      </c>
      <c r="C167" s="6">
        <v>701700</v>
      </c>
      <c r="D167" s="6" t="s">
        <v>281</v>
      </c>
      <c r="E167" s="9" t="s">
        <v>32</v>
      </c>
      <c r="F167" s="6"/>
      <c r="G167" s="6"/>
      <c r="H167" s="11">
        <f>+STAT1!V167</f>
        <v>0</v>
      </c>
      <c r="I167" s="11">
        <f>+STAT1!W167</f>
        <v>0</v>
      </c>
      <c r="J167" s="11">
        <f>+SUMIFS(JURNAL!G:G,JURNAL!E:E,C167,JURNAL!C:C,"&gt;="&amp;$H$1,JURNAL!C:C,"&lt;="&amp;$I$1)</f>
        <v>89100</v>
      </c>
      <c r="K167" s="11">
        <f>+SUMIFS(JURNAL!H:H,JURNAL!E:E,C167,JURNAL!C:C,"&gt;="&amp;$H$1,JURNAL!C:C,"&lt;="&amp;$I$1)</f>
        <v>0</v>
      </c>
      <c r="L167" s="26">
        <f t="shared" si="26"/>
        <v>89100</v>
      </c>
      <c r="M167" s="27">
        <f t="shared" si="27"/>
        <v>0</v>
      </c>
      <c r="N167" s="11"/>
      <c r="O167" s="11"/>
      <c r="P167" s="11"/>
      <c r="Q167" s="11"/>
      <c r="R167" s="26">
        <f t="shared" si="28"/>
        <v>89100</v>
      </c>
      <c r="S167" s="27">
        <f t="shared" si="29"/>
        <v>0</v>
      </c>
      <c r="T167" s="11">
        <f t="shared" si="30"/>
        <v>0</v>
      </c>
      <c r="U167" s="11">
        <f t="shared" si="31"/>
        <v>89100</v>
      </c>
      <c r="V167" s="26">
        <f t="shared" si="32"/>
        <v>0</v>
      </c>
      <c r="W167" s="27">
        <f t="shared" si="33"/>
        <v>0</v>
      </c>
      <c r="X167" s="4">
        <v>7001</v>
      </c>
      <c r="Y167" s="4"/>
      <c r="Z167" s="4"/>
      <c r="AA167" s="12">
        <f t="shared" si="22"/>
        <v>1</v>
      </c>
      <c r="AC167" s="84"/>
      <c r="AD167" s="84"/>
      <c r="AE167" s="84"/>
      <c r="AF167" s="84"/>
    </row>
    <row r="168" spans="1:32" ht="12.75" customHeight="1">
      <c r="A168" s="24"/>
      <c r="B168" s="105">
        <f t="shared" si="23"/>
        <v>165</v>
      </c>
      <c r="C168" s="6">
        <v>701800</v>
      </c>
      <c r="D168" s="6" t="s">
        <v>650</v>
      </c>
      <c r="E168" s="9" t="s">
        <v>32</v>
      </c>
      <c r="F168" s="6"/>
      <c r="G168" s="6"/>
      <c r="H168" s="11">
        <f>+STAT1!V168</f>
        <v>0</v>
      </c>
      <c r="I168" s="11">
        <f>+STAT1!W168</f>
        <v>0</v>
      </c>
      <c r="J168" s="11">
        <f>+SUMIFS(JURNAL!G:G,JURNAL!E:E,C168,JURNAL!C:C,"&gt;="&amp;$H$1,JURNAL!C:C,"&lt;="&amp;$I$1)</f>
        <v>0</v>
      </c>
      <c r="K168" s="11">
        <f>+SUMIFS(JURNAL!H:H,JURNAL!E:E,C168,JURNAL!C:C,"&gt;="&amp;$H$1,JURNAL!C:C,"&lt;="&amp;$I$1)</f>
        <v>0</v>
      </c>
      <c r="L168" s="26">
        <f t="shared" si="26"/>
        <v>0</v>
      </c>
      <c r="M168" s="27">
        <f t="shared" si="27"/>
        <v>0</v>
      </c>
      <c r="N168" s="11"/>
      <c r="O168" s="11"/>
      <c r="P168" s="11"/>
      <c r="Q168" s="11"/>
      <c r="R168" s="26">
        <f t="shared" si="28"/>
        <v>0</v>
      </c>
      <c r="S168" s="27">
        <f t="shared" si="29"/>
        <v>0</v>
      </c>
      <c r="T168" s="11">
        <f t="shared" si="30"/>
        <v>0</v>
      </c>
      <c r="U168" s="11">
        <f t="shared" si="31"/>
        <v>0</v>
      </c>
      <c r="V168" s="26">
        <f t="shared" si="32"/>
        <v>0</v>
      </c>
      <c r="W168" s="27">
        <f t="shared" si="33"/>
        <v>0</v>
      </c>
      <c r="X168" s="4">
        <v>7002</v>
      </c>
      <c r="Y168" s="4"/>
      <c r="Z168" s="4"/>
      <c r="AA168" s="12">
        <f t="shared" si="22"/>
        <v>0</v>
      </c>
      <c r="AC168" s="84"/>
      <c r="AD168" s="84"/>
      <c r="AE168" s="84"/>
      <c r="AF168" s="84"/>
    </row>
    <row r="169" spans="1:32" ht="12.75" customHeight="1">
      <c r="A169" s="24"/>
      <c r="B169" s="105">
        <f t="shared" si="23"/>
        <v>166</v>
      </c>
      <c r="C169" s="6">
        <v>701900</v>
      </c>
      <c r="D169" s="6" t="s">
        <v>654</v>
      </c>
      <c r="E169" s="9" t="s">
        <v>32</v>
      </c>
      <c r="F169" s="6"/>
      <c r="G169" s="6"/>
      <c r="H169" s="11">
        <f>+STAT1!V169</f>
        <v>0</v>
      </c>
      <c r="I169" s="11">
        <f>+STAT1!W169</f>
        <v>0</v>
      </c>
      <c r="J169" s="11">
        <f>+SUMIFS(JURNAL!G:G,JURNAL!E:E,C169,JURNAL!C:C,"&gt;="&amp;$H$1,JURNAL!C:C,"&lt;="&amp;$I$1)</f>
        <v>83363.64</v>
      </c>
      <c r="K169" s="11">
        <f>+SUMIFS(JURNAL!H:H,JURNAL!E:E,C169,JURNAL!C:C,"&gt;="&amp;$H$1,JURNAL!C:C,"&lt;="&amp;$I$1)</f>
        <v>0</v>
      </c>
      <c r="L169" s="26">
        <f t="shared" si="26"/>
        <v>83363.64</v>
      </c>
      <c r="M169" s="27">
        <f t="shared" si="27"/>
        <v>0</v>
      </c>
      <c r="N169" s="11"/>
      <c r="O169" s="11"/>
      <c r="P169" s="11"/>
      <c r="Q169" s="11"/>
      <c r="R169" s="26">
        <f t="shared" si="28"/>
        <v>83363.64</v>
      </c>
      <c r="S169" s="27">
        <f t="shared" si="29"/>
        <v>0</v>
      </c>
      <c r="T169" s="11">
        <f t="shared" si="30"/>
        <v>0</v>
      </c>
      <c r="U169" s="11">
        <f t="shared" si="31"/>
        <v>83363.64</v>
      </c>
      <c r="V169" s="26">
        <f t="shared" si="32"/>
        <v>0</v>
      </c>
      <c r="W169" s="27">
        <f t="shared" si="33"/>
        <v>0</v>
      </c>
      <c r="X169" s="4">
        <v>7002</v>
      </c>
      <c r="Y169" s="4"/>
      <c r="Z169" s="4"/>
      <c r="AA169" s="12">
        <f t="shared" si="22"/>
        <v>1</v>
      </c>
      <c r="AC169" s="84"/>
      <c r="AD169" s="84"/>
      <c r="AE169" s="84"/>
      <c r="AF169" s="84"/>
    </row>
    <row r="170" spans="1:32" ht="12.75" customHeight="1">
      <c r="A170" s="24"/>
      <c r="B170" s="105">
        <f t="shared" si="23"/>
        <v>167</v>
      </c>
      <c r="C170" s="6">
        <v>702000</v>
      </c>
      <c r="D170" s="6" t="s">
        <v>658</v>
      </c>
      <c r="E170" s="9" t="s">
        <v>32</v>
      </c>
      <c r="F170" s="6"/>
      <c r="G170" s="6"/>
      <c r="H170" s="11">
        <f>+STAT1!V170</f>
        <v>0</v>
      </c>
      <c r="I170" s="11">
        <f>+STAT1!W170</f>
        <v>0</v>
      </c>
      <c r="J170" s="11">
        <f>+SUMIFS(JURNAL!G:G,JURNAL!E:E,C170,JURNAL!C:C,"&gt;="&amp;$H$1,JURNAL!C:C,"&lt;="&amp;$I$1)</f>
        <v>678726.54</v>
      </c>
      <c r="K170" s="11">
        <f>+SUMIFS(JURNAL!H:H,JURNAL!E:E,C170,JURNAL!C:C,"&gt;="&amp;$H$1,JURNAL!C:C,"&lt;="&amp;$I$1)</f>
        <v>0</v>
      </c>
      <c r="L170" s="26">
        <f t="shared" si="26"/>
        <v>678726.54</v>
      </c>
      <c r="M170" s="27">
        <f t="shared" si="27"/>
        <v>0</v>
      </c>
      <c r="N170" s="11"/>
      <c r="O170" s="11"/>
      <c r="P170" s="11"/>
      <c r="Q170" s="11"/>
      <c r="R170" s="26">
        <f t="shared" si="28"/>
        <v>678726.54</v>
      </c>
      <c r="S170" s="27">
        <f t="shared" si="29"/>
        <v>0</v>
      </c>
      <c r="T170" s="11">
        <f t="shared" si="30"/>
        <v>0</v>
      </c>
      <c r="U170" s="11">
        <f t="shared" si="31"/>
        <v>678726.54</v>
      </c>
      <c r="V170" s="26">
        <f t="shared" si="32"/>
        <v>0</v>
      </c>
      <c r="W170" s="27">
        <f t="shared" si="33"/>
        <v>0</v>
      </c>
      <c r="X170" s="4">
        <v>7002</v>
      </c>
      <c r="Y170" s="4"/>
      <c r="Z170" s="4"/>
      <c r="AA170" s="12">
        <f t="shared" si="22"/>
        <v>1</v>
      </c>
      <c r="AC170" s="84"/>
      <c r="AD170" s="84"/>
      <c r="AE170" s="84"/>
      <c r="AF170" s="84"/>
    </row>
    <row r="171" spans="1:32" ht="12.75" customHeight="1">
      <c r="A171" s="24"/>
      <c r="B171" s="105">
        <f t="shared" si="23"/>
        <v>168</v>
      </c>
      <c r="C171" s="6">
        <v>702100</v>
      </c>
      <c r="D171" s="6" t="s">
        <v>662</v>
      </c>
      <c r="E171" s="9" t="s">
        <v>32</v>
      </c>
      <c r="F171" s="6"/>
      <c r="G171" s="6"/>
      <c r="H171" s="11">
        <f>+STAT1!V171</f>
        <v>0</v>
      </c>
      <c r="I171" s="11">
        <f>+STAT1!W171</f>
        <v>0</v>
      </c>
      <c r="J171" s="11">
        <f>+SUMIFS(JURNAL!G:G,JURNAL!E:E,C171,JURNAL!C:C,"&gt;="&amp;$H$1,JURNAL!C:C,"&lt;="&amp;$I$1)</f>
        <v>0</v>
      </c>
      <c r="K171" s="11">
        <f>+SUMIFS(JURNAL!H:H,JURNAL!E:E,C171,JURNAL!C:C,"&gt;="&amp;$H$1,JURNAL!C:C,"&lt;="&amp;$I$1)</f>
        <v>0</v>
      </c>
      <c r="L171" s="26">
        <f t="shared" si="26"/>
        <v>0</v>
      </c>
      <c r="M171" s="27">
        <f t="shared" si="27"/>
        <v>0</v>
      </c>
      <c r="N171" s="11"/>
      <c r="O171" s="11"/>
      <c r="P171" s="11"/>
      <c r="Q171" s="11"/>
      <c r="R171" s="26">
        <f t="shared" si="28"/>
        <v>0</v>
      </c>
      <c r="S171" s="27">
        <f t="shared" si="29"/>
        <v>0</v>
      </c>
      <c r="T171" s="11">
        <f t="shared" si="30"/>
        <v>0</v>
      </c>
      <c r="U171" s="11">
        <f t="shared" si="31"/>
        <v>0</v>
      </c>
      <c r="V171" s="26">
        <f t="shared" si="32"/>
        <v>0</v>
      </c>
      <c r="W171" s="27">
        <f t="shared" si="33"/>
        <v>0</v>
      </c>
      <c r="X171" s="4">
        <v>7002</v>
      </c>
      <c r="Y171" s="4"/>
      <c r="Z171" s="4"/>
      <c r="AA171" s="12">
        <f t="shared" si="22"/>
        <v>0</v>
      </c>
      <c r="AC171" s="84"/>
      <c r="AD171" s="84"/>
      <c r="AE171" s="84"/>
      <c r="AF171" s="84"/>
    </row>
    <row r="172" spans="1:32" ht="12.75" customHeight="1">
      <c r="A172" s="24"/>
      <c r="B172" s="105">
        <f t="shared" si="23"/>
        <v>169</v>
      </c>
      <c r="C172" s="6">
        <v>702300</v>
      </c>
      <c r="D172" s="6" t="s">
        <v>666</v>
      </c>
      <c r="E172" s="9" t="s">
        <v>32</v>
      </c>
      <c r="F172" s="6"/>
      <c r="G172" s="6"/>
      <c r="H172" s="11">
        <f>+STAT1!V172</f>
        <v>0</v>
      </c>
      <c r="I172" s="11">
        <f>+STAT1!W172</f>
        <v>0</v>
      </c>
      <c r="J172" s="11">
        <f>+SUMIFS(JURNAL!G:G,JURNAL!E:E,C172,JURNAL!C:C,"&gt;="&amp;$H$1,JURNAL!C:C,"&lt;="&amp;$I$1)</f>
        <v>0</v>
      </c>
      <c r="K172" s="11">
        <f>+SUMIFS(JURNAL!H:H,JURNAL!E:E,C172,JURNAL!C:C,"&gt;="&amp;$H$1,JURNAL!C:C,"&lt;="&amp;$I$1)</f>
        <v>0</v>
      </c>
      <c r="L172" s="26">
        <f t="shared" si="26"/>
        <v>0</v>
      </c>
      <c r="M172" s="27">
        <f t="shared" si="27"/>
        <v>0</v>
      </c>
      <c r="N172" s="11"/>
      <c r="O172" s="11"/>
      <c r="P172" s="11"/>
      <c r="Q172" s="11"/>
      <c r="R172" s="26">
        <f t="shared" si="28"/>
        <v>0</v>
      </c>
      <c r="S172" s="27">
        <f t="shared" si="29"/>
        <v>0</v>
      </c>
      <c r="T172" s="11">
        <f t="shared" si="30"/>
        <v>0</v>
      </c>
      <c r="U172" s="11">
        <f t="shared" si="31"/>
        <v>0</v>
      </c>
      <c r="V172" s="26">
        <f t="shared" si="32"/>
        <v>0</v>
      </c>
      <c r="W172" s="27">
        <f t="shared" si="33"/>
        <v>0</v>
      </c>
      <c r="X172" s="4">
        <v>7002</v>
      </c>
      <c r="Y172" s="4"/>
      <c r="Z172" s="4"/>
      <c r="AA172" s="12">
        <f t="shared" si="22"/>
        <v>0</v>
      </c>
      <c r="AC172" s="84"/>
      <c r="AD172" s="84"/>
      <c r="AE172" s="84"/>
      <c r="AF172" s="84"/>
    </row>
    <row r="173" spans="1:32" ht="12.75" customHeight="1">
      <c r="A173" s="24"/>
      <c r="B173" s="105">
        <f t="shared" si="23"/>
        <v>170</v>
      </c>
      <c r="C173" s="6">
        <v>702500</v>
      </c>
      <c r="D173" s="6" t="s">
        <v>283</v>
      </c>
      <c r="E173" s="9" t="s">
        <v>32</v>
      </c>
      <c r="F173" s="6"/>
      <c r="G173" s="6"/>
      <c r="H173" s="11">
        <f>+STAT1!V173</f>
        <v>0</v>
      </c>
      <c r="I173" s="11">
        <f>+STAT1!W173</f>
        <v>0</v>
      </c>
      <c r="J173" s="11">
        <f>+SUMIFS(JURNAL!G:G,JURNAL!E:E,C173,JURNAL!C:C,"&gt;="&amp;$H$1,JURNAL!C:C,"&lt;="&amp;$I$1)</f>
        <v>8361274.0700000003</v>
      </c>
      <c r="K173" s="11">
        <f>+SUMIFS(JURNAL!H:H,JURNAL!E:E,C173,JURNAL!C:C,"&gt;="&amp;$H$1,JURNAL!C:C,"&lt;="&amp;$I$1)</f>
        <v>0</v>
      </c>
      <c r="L173" s="26">
        <f t="shared" si="26"/>
        <v>8361274.0700000003</v>
      </c>
      <c r="M173" s="27">
        <f t="shared" si="27"/>
        <v>0</v>
      </c>
      <c r="N173" s="11"/>
      <c r="O173" s="11"/>
      <c r="P173" s="11"/>
      <c r="Q173" s="11"/>
      <c r="R173" s="26">
        <f t="shared" si="28"/>
        <v>8361274.0700000003</v>
      </c>
      <c r="S173" s="27">
        <f t="shared" si="29"/>
        <v>0</v>
      </c>
      <c r="T173" s="11">
        <f t="shared" si="30"/>
        <v>0</v>
      </c>
      <c r="U173" s="11">
        <f t="shared" si="31"/>
        <v>8361274.0700000003</v>
      </c>
      <c r="V173" s="26">
        <f t="shared" si="32"/>
        <v>0</v>
      </c>
      <c r="W173" s="27">
        <f t="shared" si="33"/>
        <v>0</v>
      </c>
      <c r="X173" s="4">
        <v>7002</v>
      </c>
      <c r="Y173" s="4"/>
      <c r="Z173" s="4"/>
      <c r="AA173" s="12">
        <f t="shared" si="22"/>
        <v>1</v>
      </c>
      <c r="AC173" s="84"/>
      <c r="AD173" s="84"/>
      <c r="AE173" s="84"/>
      <c r="AF173" s="84"/>
    </row>
    <row r="174" spans="1:32" ht="12.75" customHeight="1">
      <c r="A174" s="24"/>
      <c r="B174" s="105">
        <f t="shared" si="23"/>
        <v>171</v>
      </c>
      <c r="C174" s="6">
        <v>702400</v>
      </c>
      <c r="D174" s="6" t="s">
        <v>974</v>
      </c>
      <c r="E174" s="9" t="s">
        <v>32</v>
      </c>
      <c r="F174" s="6"/>
      <c r="G174" s="6"/>
      <c r="H174" s="11">
        <f>+STAT1!V174</f>
        <v>0</v>
      </c>
      <c r="I174" s="11">
        <f>+STAT1!W174</f>
        <v>0</v>
      </c>
      <c r="J174" s="11">
        <f>+SUMIFS(JURNAL!G:G,JURNAL!E:E,C174,JURNAL!C:C,"&gt;="&amp;$H$1,JURNAL!C:C,"&lt;="&amp;$I$1)</f>
        <v>0</v>
      </c>
      <c r="K174" s="11">
        <f>+SUMIFS(JURNAL!H:H,JURNAL!E:E,C174,JURNAL!C:C,"&gt;="&amp;$H$1,JURNAL!C:C,"&lt;="&amp;$I$1)</f>
        <v>0</v>
      </c>
      <c r="L174" s="26">
        <f t="shared" si="26"/>
        <v>0</v>
      </c>
      <c r="M174" s="27">
        <f t="shared" si="27"/>
        <v>0</v>
      </c>
      <c r="N174" s="11"/>
      <c r="O174" s="11"/>
      <c r="P174" s="11"/>
      <c r="Q174" s="11"/>
      <c r="R174" s="26">
        <f t="shared" si="28"/>
        <v>0</v>
      </c>
      <c r="S174" s="27">
        <f t="shared" si="29"/>
        <v>0</v>
      </c>
      <c r="T174" s="11">
        <f t="shared" si="30"/>
        <v>0</v>
      </c>
      <c r="U174" s="11">
        <f t="shared" si="31"/>
        <v>0</v>
      </c>
      <c r="V174" s="26">
        <f t="shared" si="32"/>
        <v>0</v>
      </c>
      <c r="W174" s="27">
        <f t="shared" si="33"/>
        <v>0</v>
      </c>
      <c r="X174" s="4">
        <v>7002</v>
      </c>
      <c r="Y174" s="4"/>
      <c r="Z174" s="4"/>
      <c r="AA174" s="12">
        <f t="shared" si="22"/>
        <v>0</v>
      </c>
      <c r="AC174" s="84"/>
      <c r="AD174" s="84"/>
      <c r="AE174" s="84"/>
      <c r="AF174" s="84"/>
    </row>
    <row r="175" spans="1:32" ht="12.75" customHeight="1">
      <c r="A175" s="24"/>
      <c r="B175" s="105">
        <f t="shared" si="23"/>
        <v>172</v>
      </c>
      <c r="C175" s="6">
        <v>702600</v>
      </c>
      <c r="D175" s="6" t="s">
        <v>676</v>
      </c>
      <c r="E175" s="9" t="s">
        <v>32</v>
      </c>
      <c r="F175" s="6"/>
      <c r="G175" s="6"/>
      <c r="H175" s="11">
        <f>+STAT1!V175</f>
        <v>0</v>
      </c>
      <c r="I175" s="11">
        <f>+STAT1!W175</f>
        <v>0</v>
      </c>
      <c r="J175" s="11">
        <f>+SUMIFS(JURNAL!G:G,JURNAL!E:E,C175,JURNAL!C:C,"&gt;="&amp;$H$1,JURNAL!C:C,"&lt;="&amp;$I$1)</f>
        <v>0</v>
      </c>
      <c r="K175" s="11">
        <f>+SUMIFS(JURNAL!H:H,JURNAL!E:E,C175,JURNAL!C:C,"&gt;="&amp;$H$1,JURNAL!C:C,"&lt;="&amp;$I$1)</f>
        <v>0</v>
      </c>
      <c r="L175" s="26">
        <f t="shared" si="26"/>
        <v>0</v>
      </c>
      <c r="M175" s="27">
        <f t="shared" si="27"/>
        <v>0</v>
      </c>
      <c r="N175" s="11"/>
      <c r="O175" s="11"/>
      <c r="P175" s="11"/>
      <c r="Q175" s="11"/>
      <c r="R175" s="26">
        <f t="shared" si="28"/>
        <v>0</v>
      </c>
      <c r="S175" s="27">
        <f t="shared" si="29"/>
        <v>0</v>
      </c>
      <c r="T175" s="11">
        <f t="shared" si="30"/>
        <v>0</v>
      </c>
      <c r="U175" s="11">
        <f t="shared" si="31"/>
        <v>0</v>
      </c>
      <c r="V175" s="26">
        <f t="shared" si="32"/>
        <v>0</v>
      </c>
      <c r="W175" s="27">
        <f t="shared" si="33"/>
        <v>0</v>
      </c>
      <c r="X175" s="4">
        <v>7002</v>
      </c>
      <c r="Y175" s="4"/>
      <c r="Z175" s="4"/>
      <c r="AA175" s="12">
        <f t="shared" si="22"/>
        <v>0</v>
      </c>
      <c r="AC175" s="84"/>
      <c r="AD175" s="84"/>
      <c r="AE175" s="84"/>
      <c r="AF175" s="84"/>
    </row>
    <row r="176" spans="1:32" ht="12.75" customHeight="1">
      <c r="A176" s="24"/>
      <c r="B176" s="105">
        <f t="shared" si="23"/>
        <v>173</v>
      </c>
      <c r="C176" s="6">
        <v>702700</v>
      </c>
      <c r="D176" s="6" t="s">
        <v>680</v>
      </c>
      <c r="E176" s="9" t="s">
        <v>32</v>
      </c>
      <c r="F176" s="6"/>
      <c r="G176" s="6"/>
      <c r="H176" s="11">
        <f>+STAT1!V176</f>
        <v>0</v>
      </c>
      <c r="I176" s="11">
        <f>+STAT1!W176</f>
        <v>0</v>
      </c>
      <c r="J176" s="11">
        <f>+SUMIFS(JURNAL!G:G,JURNAL!E:E,C176,JURNAL!C:C,"&gt;="&amp;$H$1,JURNAL!C:C,"&lt;="&amp;$I$1)</f>
        <v>0</v>
      </c>
      <c r="K176" s="11">
        <f>+SUMIFS(JURNAL!H:H,JURNAL!E:E,C176,JURNAL!C:C,"&gt;="&amp;$H$1,JURNAL!C:C,"&lt;="&amp;$I$1)</f>
        <v>0</v>
      </c>
      <c r="L176" s="26">
        <f t="shared" si="26"/>
        <v>0</v>
      </c>
      <c r="M176" s="27">
        <f t="shared" si="27"/>
        <v>0</v>
      </c>
      <c r="N176" s="11"/>
      <c r="O176" s="11"/>
      <c r="P176" s="11"/>
      <c r="Q176" s="11"/>
      <c r="R176" s="26">
        <f t="shared" si="28"/>
        <v>0</v>
      </c>
      <c r="S176" s="27">
        <f t="shared" si="29"/>
        <v>0</v>
      </c>
      <c r="T176" s="11">
        <f t="shared" si="30"/>
        <v>0</v>
      </c>
      <c r="U176" s="11">
        <f t="shared" si="31"/>
        <v>0</v>
      </c>
      <c r="V176" s="26">
        <f t="shared" si="32"/>
        <v>0</v>
      </c>
      <c r="W176" s="27">
        <f t="shared" si="33"/>
        <v>0</v>
      </c>
      <c r="X176" s="4">
        <v>7002</v>
      </c>
      <c r="Y176" s="4"/>
      <c r="Z176" s="4"/>
      <c r="AA176" s="12">
        <f t="shared" si="22"/>
        <v>0</v>
      </c>
      <c r="AC176" s="84"/>
      <c r="AD176" s="84"/>
      <c r="AE176" s="84"/>
      <c r="AF176" s="84"/>
    </row>
    <row r="177" spans="1:32" ht="12.75" customHeight="1">
      <c r="A177" s="24"/>
      <c r="B177" s="105">
        <f t="shared" si="23"/>
        <v>174</v>
      </c>
      <c r="C177" s="6">
        <v>702800</v>
      </c>
      <c r="D177" s="6" t="s">
        <v>684</v>
      </c>
      <c r="E177" s="9" t="s">
        <v>32</v>
      </c>
      <c r="F177" s="6"/>
      <c r="G177" s="6"/>
      <c r="H177" s="11">
        <f>+STAT1!V177</f>
        <v>0</v>
      </c>
      <c r="I177" s="11">
        <f>+STAT1!W177</f>
        <v>0</v>
      </c>
      <c r="J177" s="11">
        <f>+SUMIFS(JURNAL!G:G,JURNAL!E:E,C177,JURNAL!C:C,"&gt;="&amp;$H$1,JURNAL!C:C,"&lt;="&amp;$I$1)</f>
        <v>0</v>
      </c>
      <c r="K177" s="11">
        <f>+SUMIFS(JURNAL!H:H,JURNAL!E:E,C177,JURNAL!C:C,"&gt;="&amp;$H$1,JURNAL!C:C,"&lt;="&amp;$I$1)</f>
        <v>0</v>
      </c>
      <c r="L177" s="26">
        <f t="shared" si="26"/>
        <v>0</v>
      </c>
      <c r="M177" s="27">
        <f t="shared" si="27"/>
        <v>0</v>
      </c>
      <c r="N177" s="11"/>
      <c r="O177" s="11"/>
      <c r="P177" s="11"/>
      <c r="Q177" s="11"/>
      <c r="R177" s="26">
        <f t="shared" si="28"/>
        <v>0</v>
      </c>
      <c r="S177" s="27">
        <f t="shared" si="29"/>
        <v>0</v>
      </c>
      <c r="T177" s="11">
        <f t="shared" si="30"/>
        <v>0</v>
      </c>
      <c r="U177" s="11">
        <f t="shared" si="31"/>
        <v>0</v>
      </c>
      <c r="V177" s="26">
        <f t="shared" si="32"/>
        <v>0</v>
      </c>
      <c r="W177" s="27">
        <f t="shared" si="33"/>
        <v>0</v>
      </c>
      <c r="X177" s="4">
        <v>7002</v>
      </c>
      <c r="Y177" s="4"/>
      <c r="Z177" s="4"/>
      <c r="AA177" s="12">
        <f t="shared" si="22"/>
        <v>0</v>
      </c>
      <c r="AC177" s="84"/>
      <c r="AD177" s="84"/>
      <c r="AE177" s="84"/>
      <c r="AF177" s="84"/>
    </row>
    <row r="178" spans="1:32" ht="12.75" customHeight="1">
      <c r="A178" s="24"/>
      <c r="B178" s="105">
        <f t="shared" si="23"/>
        <v>175</v>
      </c>
      <c r="C178" s="6">
        <v>703300</v>
      </c>
      <c r="D178" s="6" t="s">
        <v>688</v>
      </c>
      <c r="E178" s="9" t="s">
        <v>32</v>
      </c>
      <c r="F178" s="6"/>
      <c r="G178" s="6"/>
      <c r="H178" s="11">
        <f>+STAT1!V178</f>
        <v>0</v>
      </c>
      <c r="I178" s="11">
        <f>+STAT1!W178</f>
        <v>0</v>
      </c>
      <c r="J178" s="11">
        <f>+SUMIFS(JURNAL!G:G,JURNAL!E:E,C178,JURNAL!C:C,"&gt;="&amp;$H$1,JURNAL!C:C,"&lt;="&amp;$I$1)</f>
        <v>0</v>
      </c>
      <c r="K178" s="11">
        <f>+SUMIFS(JURNAL!H:H,JURNAL!E:E,C178,JURNAL!C:C,"&gt;="&amp;$H$1,JURNAL!C:C,"&lt;="&amp;$I$1)</f>
        <v>0</v>
      </c>
      <c r="L178" s="26">
        <f t="shared" si="26"/>
        <v>0</v>
      </c>
      <c r="M178" s="27">
        <f t="shared" si="27"/>
        <v>0</v>
      </c>
      <c r="N178" s="11"/>
      <c r="O178" s="11"/>
      <c r="P178" s="11"/>
      <c r="Q178" s="11"/>
      <c r="R178" s="26">
        <f t="shared" si="28"/>
        <v>0</v>
      </c>
      <c r="S178" s="27">
        <f t="shared" si="29"/>
        <v>0</v>
      </c>
      <c r="T178" s="11">
        <f t="shared" si="30"/>
        <v>0</v>
      </c>
      <c r="U178" s="11">
        <f t="shared" si="31"/>
        <v>0</v>
      </c>
      <c r="V178" s="26">
        <f t="shared" si="32"/>
        <v>0</v>
      </c>
      <c r="W178" s="27">
        <f t="shared" si="33"/>
        <v>0</v>
      </c>
      <c r="X178" s="4">
        <v>7002</v>
      </c>
      <c r="Y178" s="4"/>
      <c r="Z178" s="4"/>
      <c r="AA178" s="12">
        <f t="shared" si="22"/>
        <v>0</v>
      </c>
      <c r="AC178" s="84"/>
      <c r="AD178" s="84"/>
      <c r="AE178" s="84"/>
      <c r="AF178" s="84"/>
    </row>
    <row r="179" spans="1:32" ht="12.75" customHeight="1">
      <c r="A179" s="24"/>
      <c r="B179" s="105">
        <f t="shared" si="23"/>
        <v>176</v>
      </c>
      <c r="C179" s="6">
        <v>703400</v>
      </c>
      <c r="D179" s="6" t="s">
        <v>975</v>
      </c>
      <c r="E179" s="9" t="s">
        <v>32</v>
      </c>
      <c r="F179" s="6"/>
      <c r="G179" s="6"/>
      <c r="H179" s="11">
        <f>+STAT1!V179</f>
        <v>0</v>
      </c>
      <c r="I179" s="11">
        <f>+STAT1!W179</f>
        <v>0</v>
      </c>
      <c r="J179" s="11">
        <f>+SUMIFS(JURNAL!G:G,JURNAL!E:E,C179,JURNAL!C:C,"&gt;="&amp;$H$1,JURNAL!C:C,"&lt;="&amp;$I$1)</f>
        <v>0</v>
      </c>
      <c r="K179" s="11">
        <f>+SUMIFS(JURNAL!H:H,JURNAL!E:E,C179,JURNAL!C:C,"&gt;="&amp;$H$1,JURNAL!C:C,"&lt;="&amp;$I$1)</f>
        <v>0</v>
      </c>
      <c r="L179" s="26">
        <f t="shared" si="26"/>
        <v>0</v>
      </c>
      <c r="M179" s="27">
        <f t="shared" si="27"/>
        <v>0</v>
      </c>
      <c r="N179" s="11"/>
      <c r="O179" s="11"/>
      <c r="P179" s="11"/>
      <c r="Q179" s="11"/>
      <c r="R179" s="26">
        <f t="shared" si="28"/>
        <v>0</v>
      </c>
      <c r="S179" s="27">
        <f t="shared" si="29"/>
        <v>0</v>
      </c>
      <c r="T179" s="11">
        <f t="shared" si="30"/>
        <v>0</v>
      </c>
      <c r="U179" s="11">
        <f t="shared" si="31"/>
        <v>0</v>
      </c>
      <c r="V179" s="26">
        <f t="shared" si="32"/>
        <v>0</v>
      </c>
      <c r="W179" s="27">
        <f t="shared" si="33"/>
        <v>0</v>
      </c>
      <c r="X179" s="4">
        <v>7002</v>
      </c>
      <c r="Y179" s="4"/>
      <c r="Z179" s="4"/>
      <c r="AA179" s="12">
        <f t="shared" si="22"/>
        <v>0</v>
      </c>
      <c r="AC179" s="84"/>
      <c r="AD179" s="84"/>
      <c r="AE179" s="84"/>
      <c r="AF179" s="84"/>
    </row>
    <row r="180" spans="1:32" ht="12.75" customHeight="1">
      <c r="A180" s="24"/>
      <c r="B180" s="105">
        <f t="shared" si="23"/>
        <v>177</v>
      </c>
      <c r="C180" s="6">
        <v>703700</v>
      </c>
      <c r="D180" s="6" t="s">
        <v>696</v>
      </c>
      <c r="E180" s="9" t="s">
        <v>32</v>
      </c>
      <c r="F180" s="6"/>
      <c r="G180" s="6"/>
      <c r="H180" s="11">
        <f>+STAT1!V180</f>
        <v>0</v>
      </c>
      <c r="I180" s="11">
        <f>+STAT1!W180</f>
        <v>0</v>
      </c>
      <c r="J180" s="11">
        <f>+SUMIFS(JURNAL!G:G,JURNAL!E:E,C180,JURNAL!C:C,"&gt;="&amp;$H$1,JURNAL!C:C,"&lt;="&amp;$I$1)</f>
        <v>170844.53999999998</v>
      </c>
      <c r="K180" s="11">
        <f>+SUMIFS(JURNAL!H:H,JURNAL!E:E,C180,JURNAL!C:C,"&gt;="&amp;$H$1,JURNAL!C:C,"&lt;="&amp;$I$1)</f>
        <v>0</v>
      </c>
      <c r="L180" s="26">
        <f t="shared" si="26"/>
        <v>170844.53999999998</v>
      </c>
      <c r="M180" s="27">
        <f t="shared" si="27"/>
        <v>0</v>
      </c>
      <c r="N180" s="11"/>
      <c r="O180" s="11"/>
      <c r="P180" s="11"/>
      <c r="Q180" s="11"/>
      <c r="R180" s="26">
        <f t="shared" si="28"/>
        <v>170844.53999999998</v>
      </c>
      <c r="S180" s="27">
        <f t="shared" si="29"/>
        <v>0</v>
      </c>
      <c r="T180" s="11">
        <f t="shared" si="30"/>
        <v>0</v>
      </c>
      <c r="U180" s="11">
        <f t="shared" si="31"/>
        <v>170844.53999999998</v>
      </c>
      <c r="V180" s="26">
        <f t="shared" si="32"/>
        <v>0</v>
      </c>
      <c r="W180" s="27">
        <f t="shared" si="33"/>
        <v>0</v>
      </c>
      <c r="X180" s="4">
        <v>7002</v>
      </c>
      <c r="Y180" s="4"/>
      <c r="Z180" s="4"/>
      <c r="AA180" s="12">
        <f t="shared" si="22"/>
        <v>1</v>
      </c>
      <c r="AC180" s="84"/>
      <c r="AD180" s="84"/>
      <c r="AE180" s="84"/>
      <c r="AF180" s="84"/>
    </row>
    <row r="181" spans="1:32" ht="12.75" customHeight="1">
      <c r="A181" s="24"/>
      <c r="B181" s="105">
        <f t="shared" si="23"/>
        <v>178</v>
      </c>
      <c r="C181" s="6">
        <v>703800</v>
      </c>
      <c r="D181" s="6" t="s">
        <v>700</v>
      </c>
      <c r="E181" s="9" t="s">
        <v>32</v>
      </c>
      <c r="F181" s="6"/>
      <c r="G181" s="6"/>
      <c r="H181" s="11">
        <f>+STAT1!V181</f>
        <v>0</v>
      </c>
      <c r="I181" s="11">
        <f>+STAT1!W181</f>
        <v>0</v>
      </c>
      <c r="J181" s="11">
        <f>+SUMIFS(JURNAL!G:G,JURNAL!E:E,C181,JURNAL!C:C,"&gt;="&amp;$H$1,JURNAL!C:C,"&lt;="&amp;$I$1)</f>
        <v>0</v>
      </c>
      <c r="K181" s="11">
        <f>+SUMIFS(JURNAL!H:H,JURNAL!E:E,C181,JURNAL!C:C,"&gt;="&amp;$H$1,JURNAL!C:C,"&lt;="&amp;$I$1)</f>
        <v>0</v>
      </c>
      <c r="L181" s="26">
        <f t="shared" si="26"/>
        <v>0</v>
      </c>
      <c r="M181" s="27">
        <f t="shared" si="27"/>
        <v>0</v>
      </c>
      <c r="N181" s="11"/>
      <c r="O181" s="11"/>
      <c r="P181" s="11"/>
      <c r="Q181" s="11"/>
      <c r="R181" s="26">
        <f t="shared" si="28"/>
        <v>0</v>
      </c>
      <c r="S181" s="27">
        <f t="shared" si="29"/>
        <v>0</v>
      </c>
      <c r="T181" s="11">
        <f t="shared" si="30"/>
        <v>0</v>
      </c>
      <c r="U181" s="11">
        <f t="shared" si="31"/>
        <v>0</v>
      </c>
      <c r="V181" s="26">
        <f t="shared" si="32"/>
        <v>0</v>
      </c>
      <c r="W181" s="27">
        <f t="shared" si="33"/>
        <v>0</v>
      </c>
      <c r="X181" s="4">
        <v>7002</v>
      </c>
      <c r="Y181" s="4"/>
      <c r="Z181" s="4"/>
      <c r="AA181" s="12">
        <f t="shared" si="22"/>
        <v>0</v>
      </c>
      <c r="AC181" s="84"/>
      <c r="AD181" s="84"/>
      <c r="AE181" s="84"/>
      <c r="AF181" s="84"/>
    </row>
    <row r="182" spans="1:32" ht="12.75" customHeight="1">
      <c r="A182" s="24"/>
      <c r="B182" s="105">
        <f t="shared" si="23"/>
        <v>179</v>
      </c>
      <c r="C182" s="6">
        <v>703900</v>
      </c>
      <c r="D182" s="6" t="s">
        <v>704</v>
      </c>
      <c r="E182" s="9" t="s">
        <v>32</v>
      </c>
      <c r="F182" s="6"/>
      <c r="G182" s="6"/>
      <c r="H182" s="11">
        <f>+STAT1!V182</f>
        <v>0</v>
      </c>
      <c r="I182" s="11">
        <f>+STAT1!W182</f>
        <v>0</v>
      </c>
      <c r="J182" s="11">
        <f>+SUMIFS(JURNAL!G:G,JURNAL!E:E,C182,JURNAL!C:C,"&gt;="&amp;$H$1,JURNAL!C:C,"&lt;="&amp;$I$1)</f>
        <v>2000000</v>
      </c>
      <c r="K182" s="11">
        <f>+SUMIFS(JURNAL!H:H,JURNAL!E:E,C182,JURNAL!C:C,"&gt;="&amp;$H$1,JURNAL!C:C,"&lt;="&amp;$I$1)</f>
        <v>0</v>
      </c>
      <c r="L182" s="26">
        <f t="shared" si="26"/>
        <v>2000000</v>
      </c>
      <c r="M182" s="27">
        <f t="shared" si="27"/>
        <v>0</v>
      </c>
      <c r="N182" s="11"/>
      <c r="O182" s="11"/>
      <c r="P182" s="11"/>
      <c r="Q182" s="11"/>
      <c r="R182" s="26">
        <f t="shared" si="28"/>
        <v>2000000</v>
      </c>
      <c r="S182" s="27">
        <f t="shared" si="29"/>
        <v>0</v>
      </c>
      <c r="T182" s="11">
        <f t="shared" si="30"/>
        <v>0</v>
      </c>
      <c r="U182" s="11">
        <f t="shared" si="31"/>
        <v>2000000</v>
      </c>
      <c r="V182" s="26">
        <f t="shared" si="32"/>
        <v>0</v>
      </c>
      <c r="W182" s="27">
        <f t="shared" si="33"/>
        <v>0</v>
      </c>
      <c r="X182" s="4">
        <v>7002</v>
      </c>
      <c r="Y182" s="4"/>
      <c r="Z182" s="4"/>
      <c r="AA182" s="12">
        <f t="shared" si="22"/>
        <v>1</v>
      </c>
      <c r="AC182" s="84"/>
      <c r="AD182" s="84"/>
      <c r="AE182" s="84"/>
      <c r="AF182" s="84"/>
    </row>
    <row r="183" spans="1:32" ht="12.75" customHeight="1">
      <c r="A183" s="24"/>
      <c r="B183" s="105">
        <f t="shared" si="23"/>
        <v>180</v>
      </c>
      <c r="C183" s="6">
        <v>704000</v>
      </c>
      <c r="D183" s="6" t="s">
        <v>708</v>
      </c>
      <c r="E183" s="9" t="s">
        <v>32</v>
      </c>
      <c r="F183" s="6"/>
      <c r="G183" s="6"/>
      <c r="H183" s="11">
        <f>+STAT1!V183</f>
        <v>0</v>
      </c>
      <c r="I183" s="11">
        <f>+STAT1!W183</f>
        <v>0</v>
      </c>
      <c r="J183" s="11">
        <f>+SUMIFS(JURNAL!G:G,JURNAL!E:E,C183,JURNAL!C:C,"&gt;="&amp;$H$1,JURNAL!C:C,"&lt;="&amp;$I$1)</f>
        <v>0</v>
      </c>
      <c r="K183" s="11">
        <f>+SUMIFS(JURNAL!H:H,JURNAL!E:E,C183,JURNAL!C:C,"&gt;="&amp;$H$1,JURNAL!C:C,"&lt;="&amp;$I$1)</f>
        <v>0</v>
      </c>
      <c r="L183" s="26">
        <f t="shared" si="26"/>
        <v>0</v>
      </c>
      <c r="M183" s="27">
        <f t="shared" si="27"/>
        <v>0</v>
      </c>
      <c r="N183" s="11"/>
      <c r="O183" s="11"/>
      <c r="P183" s="11"/>
      <c r="Q183" s="11"/>
      <c r="R183" s="26">
        <f t="shared" si="28"/>
        <v>0</v>
      </c>
      <c r="S183" s="27">
        <f t="shared" si="29"/>
        <v>0</v>
      </c>
      <c r="T183" s="11">
        <f t="shared" si="30"/>
        <v>0</v>
      </c>
      <c r="U183" s="11">
        <f t="shared" si="31"/>
        <v>0</v>
      </c>
      <c r="V183" s="26">
        <f t="shared" si="32"/>
        <v>0</v>
      </c>
      <c r="W183" s="27">
        <f t="shared" si="33"/>
        <v>0</v>
      </c>
      <c r="X183" s="4">
        <v>7002</v>
      </c>
      <c r="Y183" s="4"/>
      <c r="Z183" s="4"/>
      <c r="AA183" s="12">
        <f t="shared" si="22"/>
        <v>0</v>
      </c>
      <c r="AC183" s="84"/>
      <c r="AD183" s="84"/>
      <c r="AE183" s="84"/>
      <c r="AF183" s="84"/>
    </row>
    <row r="184" spans="1:32" ht="12.75" customHeight="1">
      <c r="A184" s="24"/>
      <c r="B184" s="105">
        <f t="shared" si="23"/>
        <v>181</v>
      </c>
      <c r="C184" s="6">
        <v>704100</v>
      </c>
      <c r="D184" s="6" t="s">
        <v>712</v>
      </c>
      <c r="E184" s="9" t="s">
        <v>32</v>
      </c>
      <c r="F184" s="6"/>
      <c r="G184" s="6"/>
      <c r="H184" s="11">
        <f>+STAT1!V184</f>
        <v>0</v>
      </c>
      <c r="I184" s="11">
        <f>+STAT1!W184</f>
        <v>0</v>
      </c>
      <c r="J184" s="11">
        <f>+SUMIFS(JURNAL!G:G,JURNAL!E:E,C184,JURNAL!C:C,"&gt;="&amp;$H$1,JURNAL!C:C,"&lt;="&amp;$I$1)</f>
        <v>1720000</v>
      </c>
      <c r="K184" s="11">
        <f>+SUMIFS(JURNAL!H:H,JURNAL!E:E,C184,JURNAL!C:C,"&gt;="&amp;$H$1,JURNAL!C:C,"&lt;="&amp;$I$1)</f>
        <v>0</v>
      </c>
      <c r="L184" s="26">
        <f t="shared" si="26"/>
        <v>1720000</v>
      </c>
      <c r="M184" s="27">
        <f t="shared" si="27"/>
        <v>0</v>
      </c>
      <c r="N184" s="11"/>
      <c r="O184" s="11"/>
      <c r="P184" s="11"/>
      <c r="Q184" s="11"/>
      <c r="R184" s="26">
        <f t="shared" si="28"/>
        <v>1720000</v>
      </c>
      <c r="S184" s="27">
        <f t="shared" si="29"/>
        <v>0</v>
      </c>
      <c r="T184" s="11">
        <f t="shared" si="30"/>
        <v>0</v>
      </c>
      <c r="U184" s="11">
        <f t="shared" si="31"/>
        <v>1720000</v>
      </c>
      <c r="V184" s="26">
        <f t="shared" si="32"/>
        <v>0</v>
      </c>
      <c r="W184" s="27">
        <f t="shared" si="33"/>
        <v>0</v>
      </c>
      <c r="X184" s="4">
        <v>7002</v>
      </c>
      <c r="Y184" s="4"/>
      <c r="Z184" s="4"/>
      <c r="AA184" s="12">
        <f t="shared" si="22"/>
        <v>1</v>
      </c>
      <c r="AC184" s="84"/>
      <c r="AD184" s="84"/>
      <c r="AE184" s="84"/>
      <c r="AF184" s="84"/>
    </row>
    <row r="185" spans="1:32" ht="12.75" customHeight="1">
      <c r="A185" s="24"/>
      <c r="B185" s="105">
        <f t="shared" si="23"/>
        <v>182</v>
      </c>
      <c r="C185" s="6">
        <v>704200</v>
      </c>
      <c r="D185" s="127" t="s">
        <v>716</v>
      </c>
      <c r="E185" s="9" t="s">
        <v>32</v>
      </c>
      <c r="F185" s="6"/>
      <c r="G185" s="6"/>
      <c r="H185" s="11">
        <f>+STAT1!V185</f>
        <v>0</v>
      </c>
      <c r="I185" s="11">
        <f>+STAT1!W185</f>
        <v>0</v>
      </c>
      <c r="J185" s="11">
        <f>+SUMIFS(JURNAL!G:G,JURNAL!E:E,C185,JURNAL!C:C,"&gt;="&amp;$H$1,JURNAL!C:C,"&lt;="&amp;$I$1)</f>
        <v>0</v>
      </c>
      <c r="K185" s="11">
        <f>+SUMIFS(JURNAL!H:H,JURNAL!E:E,C185,JURNAL!C:C,"&gt;="&amp;$H$1,JURNAL!C:C,"&lt;="&amp;$I$1)</f>
        <v>0</v>
      </c>
      <c r="L185" s="26">
        <f t="shared" si="26"/>
        <v>0</v>
      </c>
      <c r="M185" s="27">
        <f t="shared" si="27"/>
        <v>0</v>
      </c>
      <c r="N185" s="11"/>
      <c r="O185" s="11"/>
      <c r="P185" s="11"/>
      <c r="Q185" s="11"/>
      <c r="R185" s="26">
        <f t="shared" si="28"/>
        <v>0</v>
      </c>
      <c r="S185" s="27">
        <f t="shared" si="29"/>
        <v>0</v>
      </c>
      <c r="T185" s="11">
        <f t="shared" si="30"/>
        <v>0</v>
      </c>
      <c r="U185" s="11">
        <f t="shared" si="31"/>
        <v>0</v>
      </c>
      <c r="V185" s="26">
        <f t="shared" si="32"/>
        <v>0</v>
      </c>
      <c r="W185" s="27">
        <f t="shared" si="33"/>
        <v>0</v>
      </c>
      <c r="X185" s="4">
        <v>7002</v>
      </c>
      <c r="Y185" s="4"/>
      <c r="Z185" s="4"/>
      <c r="AA185" s="12">
        <f t="shared" si="22"/>
        <v>0</v>
      </c>
      <c r="AC185" s="84"/>
      <c r="AD185" s="84"/>
      <c r="AE185" s="84"/>
      <c r="AF185" s="84"/>
    </row>
    <row r="186" spans="1:32" ht="12.75" customHeight="1">
      <c r="A186" s="24"/>
      <c r="B186" s="105">
        <f t="shared" si="23"/>
        <v>183</v>
      </c>
      <c r="C186" s="6">
        <v>704300</v>
      </c>
      <c r="D186" s="6" t="s">
        <v>720</v>
      </c>
      <c r="E186" s="9" t="s">
        <v>32</v>
      </c>
      <c r="F186" s="6"/>
      <c r="G186" s="6"/>
      <c r="H186" s="11">
        <f>+STAT1!V186</f>
        <v>0</v>
      </c>
      <c r="I186" s="11">
        <f>+STAT1!W186</f>
        <v>0</v>
      </c>
      <c r="J186" s="11">
        <f>+SUMIFS(JURNAL!G:G,JURNAL!E:E,C186,JURNAL!C:C,"&gt;="&amp;$H$1,JURNAL!C:C,"&lt;="&amp;$I$1)</f>
        <v>0</v>
      </c>
      <c r="K186" s="11">
        <f>+SUMIFS(JURNAL!H:H,JURNAL!E:E,C186,JURNAL!C:C,"&gt;="&amp;$H$1,JURNAL!C:C,"&lt;="&amp;$I$1)</f>
        <v>0</v>
      </c>
      <c r="L186" s="26">
        <f t="shared" si="26"/>
        <v>0</v>
      </c>
      <c r="M186" s="27">
        <f t="shared" si="27"/>
        <v>0</v>
      </c>
      <c r="N186" s="11"/>
      <c r="O186" s="11"/>
      <c r="P186" s="11"/>
      <c r="Q186" s="11"/>
      <c r="R186" s="26">
        <f t="shared" si="28"/>
        <v>0</v>
      </c>
      <c r="S186" s="27">
        <f t="shared" si="29"/>
        <v>0</v>
      </c>
      <c r="T186" s="11">
        <f t="shared" si="30"/>
        <v>0</v>
      </c>
      <c r="U186" s="11">
        <f t="shared" si="31"/>
        <v>0</v>
      </c>
      <c r="V186" s="26">
        <f t="shared" si="32"/>
        <v>0</v>
      </c>
      <c r="W186" s="27">
        <f t="shared" si="33"/>
        <v>0</v>
      </c>
      <c r="X186" s="4">
        <v>7002</v>
      </c>
      <c r="Y186" s="4"/>
      <c r="Z186" s="4"/>
      <c r="AA186" s="12">
        <f t="shared" si="22"/>
        <v>0</v>
      </c>
      <c r="AC186" s="84"/>
      <c r="AD186" s="84"/>
      <c r="AE186" s="84"/>
      <c r="AF186" s="84"/>
    </row>
    <row r="187" spans="1:32" ht="12.75" customHeight="1">
      <c r="A187" s="24"/>
      <c r="B187" s="105">
        <f t="shared" si="23"/>
        <v>184</v>
      </c>
      <c r="C187" s="6">
        <v>704400</v>
      </c>
      <c r="D187" s="6" t="s">
        <v>724</v>
      </c>
      <c r="E187" s="9" t="s">
        <v>32</v>
      </c>
      <c r="F187" s="6"/>
      <c r="G187" s="6"/>
      <c r="H187" s="11">
        <f>+STAT1!V187</f>
        <v>0</v>
      </c>
      <c r="I187" s="11">
        <f>+STAT1!W187</f>
        <v>0</v>
      </c>
      <c r="J187" s="11">
        <f>+SUMIFS(JURNAL!G:G,JURNAL!E:E,C187,JURNAL!C:C,"&gt;="&amp;$H$1,JURNAL!C:C,"&lt;="&amp;$I$1)</f>
        <v>0</v>
      </c>
      <c r="K187" s="11">
        <f>+SUMIFS(JURNAL!H:H,JURNAL!E:E,C187,JURNAL!C:C,"&gt;="&amp;$H$1,JURNAL!C:C,"&lt;="&amp;$I$1)</f>
        <v>0</v>
      </c>
      <c r="L187" s="26">
        <f t="shared" si="26"/>
        <v>0</v>
      </c>
      <c r="M187" s="27">
        <f t="shared" si="27"/>
        <v>0</v>
      </c>
      <c r="N187" s="11"/>
      <c r="O187" s="11"/>
      <c r="P187" s="11"/>
      <c r="Q187" s="11"/>
      <c r="R187" s="26">
        <f t="shared" si="28"/>
        <v>0</v>
      </c>
      <c r="S187" s="27">
        <f t="shared" si="29"/>
        <v>0</v>
      </c>
      <c r="T187" s="11">
        <f t="shared" si="30"/>
        <v>0</v>
      </c>
      <c r="U187" s="11">
        <f t="shared" si="31"/>
        <v>0</v>
      </c>
      <c r="V187" s="26">
        <f t="shared" si="32"/>
        <v>0</v>
      </c>
      <c r="W187" s="27">
        <f t="shared" si="33"/>
        <v>0</v>
      </c>
      <c r="X187" s="4">
        <v>7002</v>
      </c>
      <c r="Y187" s="4"/>
      <c r="Z187" s="4"/>
      <c r="AA187" s="12">
        <f t="shared" si="22"/>
        <v>0</v>
      </c>
      <c r="AC187" s="84"/>
      <c r="AD187" s="84"/>
      <c r="AE187" s="84"/>
      <c r="AF187" s="84"/>
    </row>
    <row r="188" spans="1:32" ht="12.75" customHeight="1">
      <c r="A188" s="24"/>
      <c r="B188" s="105">
        <f t="shared" si="23"/>
        <v>185</v>
      </c>
      <c r="C188" s="6">
        <v>704600</v>
      </c>
      <c r="D188" s="6" t="s">
        <v>728</v>
      </c>
      <c r="E188" s="9" t="s">
        <v>32</v>
      </c>
      <c r="F188" s="6"/>
      <c r="G188" s="6"/>
      <c r="H188" s="11">
        <f>+STAT1!V188</f>
        <v>0</v>
      </c>
      <c r="I188" s="11">
        <f>+STAT1!W188</f>
        <v>0</v>
      </c>
      <c r="J188" s="11">
        <f>+SUMIFS(JURNAL!G:G,JURNAL!E:E,C188,JURNAL!C:C,"&gt;="&amp;$H$1,JURNAL!C:C,"&lt;="&amp;$I$1)</f>
        <v>0</v>
      </c>
      <c r="K188" s="11">
        <f>+SUMIFS(JURNAL!H:H,JURNAL!E:E,C188,JURNAL!C:C,"&gt;="&amp;$H$1,JURNAL!C:C,"&lt;="&amp;$I$1)</f>
        <v>0</v>
      </c>
      <c r="L188" s="26">
        <f t="shared" si="26"/>
        <v>0</v>
      </c>
      <c r="M188" s="27">
        <f t="shared" si="27"/>
        <v>0</v>
      </c>
      <c r="N188" s="11"/>
      <c r="O188" s="11"/>
      <c r="P188" s="11"/>
      <c r="Q188" s="11"/>
      <c r="R188" s="26">
        <f t="shared" si="28"/>
        <v>0</v>
      </c>
      <c r="S188" s="27">
        <f t="shared" si="29"/>
        <v>0</v>
      </c>
      <c r="T188" s="11">
        <f t="shared" si="30"/>
        <v>0</v>
      </c>
      <c r="U188" s="11">
        <f t="shared" si="31"/>
        <v>0</v>
      </c>
      <c r="V188" s="26">
        <f t="shared" si="32"/>
        <v>0</v>
      </c>
      <c r="W188" s="27">
        <f t="shared" si="33"/>
        <v>0</v>
      </c>
      <c r="X188" s="4">
        <v>7002</v>
      </c>
      <c r="Y188" s="4"/>
      <c r="Z188" s="4"/>
      <c r="AA188" s="12">
        <f t="shared" si="22"/>
        <v>0</v>
      </c>
      <c r="AC188" s="84"/>
      <c r="AD188" s="84"/>
      <c r="AE188" s="84"/>
      <c r="AF188" s="84"/>
    </row>
    <row r="189" spans="1:32" ht="12.75" customHeight="1">
      <c r="B189" s="105">
        <f t="shared" si="23"/>
        <v>186</v>
      </c>
      <c r="C189" s="6">
        <v>704700</v>
      </c>
      <c r="D189" s="6" t="s">
        <v>732</v>
      </c>
      <c r="E189" s="9" t="s">
        <v>32</v>
      </c>
      <c r="F189" s="6"/>
      <c r="G189" s="6"/>
      <c r="H189" s="11">
        <f>+STAT1!V189</f>
        <v>0</v>
      </c>
      <c r="I189" s="11">
        <f>+STAT1!W189</f>
        <v>0</v>
      </c>
      <c r="J189" s="11">
        <f>+SUMIFS(JURNAL!G:G,JURNAL!E:E,C189,JURNAL!C:C,"&gt;="&amp;$H$1,JURNAL!C:C,"&lt;="&amp;$I$1)</f>
        <v>171241.27</v>
      </c>
      <c r="K189" s="11">
        <f>+SUMIFS(JURNAL!H:H,JURNAL!E:E,C189,JURNAL!C:C,"&gt;="&amp;$H$1,JURNAL!C:C,"&lt;="&amp;$I$1)</f>
        <v>0</v>
      </c>
      <c r="L189" s="26">
        <f t="shared" si="26"/>
        <v>171241.27</v>
      </c>
      <c r="M189" s="27">
        <f t="shared" si="27"/>
        <v>0</v>
      </c>
      <c r="N189" s="11"/>
      <c r="O189" s="11"/>
      <c r="P189" s="11"/>
      <c r="Q189" s="11"/>
      <c r="R189" s="26">
        <f t="shared" si="28"/>
        <v>171241.27</v>
      </c>
      <c r="S189" s="27">
        <f t="shared" si="29"/>
        <v>0</v>
      </c>
      <c r="T189" s="11">
        <f t="shared" si="30"/>
        <v>0</v>
      </c>
      <c r="U189" s="11">
        <f t="shared" si="31"/>
        <v>171241.27</v>
      </c>
      <c r="V189" s="26">
        <f t="shared" si="32"/>
        <v>0</v>
      </c>
      <c r="W189" s="27">
        <f t="shared" si="33"/>
        <v>0</v>
      </c>
      <c r="X189" s="4">
        <v>7002</v>
      </c>
      <c r="Y189" s="4"/>
      <c r="Z189" s="4"/>
      <c r="AA189" s="12">
        <f t="shared" si="22"/>
        <v>1</v>
      </c>
      <c r="AC189" s="84"/>
      <c r="AD189" s="84"/>
      <c r="AE189" s="84"/>
      <c r="AF189" s="84"/>
    </row>
    <row r="190" spans="1:32" ht="12.75" customHeight="1">
      <c r="B190" s="105">
        <f t="shared" si="23"/>
        <v>187</v>
      </c>
      <c r="C190" s="6">
        <v>704800</v>
      </c>
      <c r="D190" s="6" t="s">
        <v>736</v>
      </c>
      <c r="E190" s="9" t="s">
        <v>32</v>
      </c>
      <c r="F190" s="6"/>
      <c r="G190" s="6"/>
      <c r="H190" s="11">
        <f>+STAT1!V190</f>
        <v>0</v>
      </c>
      <c r="I190" s="11">
        <f>+STAT1!W190</f>
        <v>0</v>
      </c>
      <c r="J190" s="11">
        <f>+SUMIFS(JURNAL!G:G,JURNAL!E:E,C190,JURNAL!C:C,"&gt;="&amp;$H$1,JURNAL!C:C,"&lt;="&amp;$I$1)</f>
        <v>0</v>
      </c>
      <c r="K190" s="11">
        <f>+SUMIFS(JURNAL!H:H,JURNAL!E:E,C190,JURNAL!C:C,"&gt;="&amp;$H$1,JURNAL!C:C,"&lt;="&amp;$I$1)</f>
        <v>0</v>
      </c>
      <c r="L190" s="26">
        <f t="shared" si="26"/>
        <v>0</v>
      </c>
      <c r="M190" s="27">
        <f t="shared" si="27"/>
        <v>0</v>
      </c>
      <c r="N190" s="11"/>
      <c r="O190" s="11"/>
      <c r="P190" s="11"/>
      <c r="Q190" s="11"/>
      <c r="R190" s="26">
        <f t="shared" si="28"/>
        <v>0</v>
      </c>
      <c r="S190" s="27">
        <f t="shared" si="29"/>
        <v>0</v>
      </c>
      <c r="T190" s="11">
        <f t="shared" si="30"/>
        <v>0</v>
      </c>
      <c r="U190" s="11">
        <f t="shared" si="31"/>
        <v>0</v>
      </c>
      <c r="V190" s="26">
        <f t="shared" si="32"/>
        <v>0</v>
      </c>
      <c r="W190" s="27">
        <f t="shared" si="33"/>
        <v>0</v>
      </c>
      <c r="X190" s="4">
        <v>7002</v>
      </c>
      <c r="Y190" s="4"/>
      <c r="Z190" s="4"/>
      <c r="AA190" s="12">
        <f t="shared" si="22"/>
        <v>0</v>
      </c>
      <c r="AC190" s="84"/>
      <c r="AD190" s="84"/>
      <c r="AE190" s="84"/>
      <c r="AF190" s="84"/>
    </row>
    <row r="191" spans="1:32" ht="12.75" customHeight="1">
      <c r="B191" s="105">
        <f t="shared" si="23"/>
        <v>188</v>
      </c>
      <c r="C191" s="6">
        <v>704900</v>
      </c>
      <c r="D191" s="6" t="s">
        <v>740</v>
      </c>
      <c r="E191" s="9" t="s">
        <v>32</v>
      </c>
      <c r="F191" s="6"/>
      <c r="G191" s="6"/>
      <c r="H191" s="11">
        <f>+STAT1!V191</f>
        <v>0</v>
      </c>
      <c r="I191" s="11">
        <f>+STAT1!W191</f>
        <v>0</v>
      </c>
      <c r="J191" s="11">
        <f>+SUMIFS(JURNAL!G:G,JURNAL!E:E,C191,JURNAL!C:C,"&gt;="&amp;$H$1,JURNAL!C:C,"&lt;="&amp;$I$1)</f>
        <v>31427.677599999999</v>
      </c>
      <c r="K191" s="11">
        <f>+SUMIFS(JURNAL!H:H,JURNAL!E:E,C191,JURNAL!C:C,"&gt;="&amp;$H$1,JURNAL!C:C,"&lt;="&amp;$I$1)</f>
        <v>0</v>
      </c>
      <c r="L191" s="26">
        <f t="shared" si="26"/>
        <v>31427.677599999999</v>
      </c>
      <c r="M191" s="27">
        <f t="shared" si="27"/>
        <v>0</v>
      </c>
      <c r="N191" s="11"/>
      <c r="O191" s="11"/>
      <c r="P191" s="11"/>
      <c r="Q191" s="11"/>
      <c r="R191" s="26">
        <f t="shared" si="28"/>
        <v>31427.677599999999</v>
      </c>
      <c r="S191" s="27">
        <f t="shared" si="29"/>
        <v>0</v>
      </c>
      <c r="T191" s="11">
        <f t="shared" si="30"/>
        <v>0</v>
      </c>
      <c r="U191" s="11">
        <f t="shared" si="31"/>
        <v>31427.677599999999</v>
      </c>
      <c r="V191" s="26">
        <f t="shared" si="32"/>
        <v>0</v>
      </c>
      <c r="W191" s="27">
        <f t="shared" si="33"/>
        <v>0</v>
      </c>
      <c r="X191" s="4">
        <v>7002</v>
      </c>
      <c r="Y191" s="4"/>
      <c r="Z191" s="4"/>
      <c r="AA191" s="12">
        <f t="shared" si="22"/>
        <v>1</v>
      </c>
      <c r="AC191" s="84"/>
      <c r="AD191" s="84"/>
      <c r="AE191" s="84"/>
      <c r="AF191" s="84"/>
    </row>
    <row r="192" spans="1:32" ht="12.75" customHeight="1">
      <c r="B192" s="105">
        <f t="shared" si="23"/>
        <v>189</v>
      </c>
      <c r="C192" s="6">
        <v>705000</v>
      </c>
      <c r="D192" s="6" t="s">
        <v>744</v>
      </c>
      <c r="E192" s="9" t="s">
        <v>32</v>
      </c>
      <c r="F192" s="6"/>
      <c r="G192" s="6"/>
      <c r="H192" s="11">
        <f>+STAT1!V192</f>
        <v>0</v>
      </c>
      <c r="I192" s="11">
        <f>+STAT1!W192</f>
        <v>0</v>
      </c>
      <c r="J192" s="11">
        <f>+SUMIFS(JURNAL!G:G,JURNAL!E:E,C192,JURNAL!C:C,"&gt;="&amp;$H$1,JURNAL!C:C,"&lt;="&amp;$I$1)</f>
        <v>0</v>
      </c>
      <c r="K192" s="11">
        <f>+SUMIFS(JURNAL!H:H,JURNAL!E:E,C192,JURNAL!C:C,"&gt;="&amp;$H$1,JURNAL!C:C,"&lt;="&amp;$I$1)</f>
        <v>0</v>
      </c>
      <c r="L192" s="26">
        <f t="shared" si="26"/>
        <v>0</v>
      </c>
      <c r="M192" s="27">
        <f t="shared" si="27"/>
        <v>0</v>
      </c>
      <c r="N192" s="11"/>
      <c r="O192" s="11"/>
      <c r="P192" s="11"/>
      <c r="Q192" s="11"/>
      <c r="R192" s="26">
        <f t="shared" si="28"/>
        <v>0</v>
      </c>
      <c r="S192" s="27">
        <f t="shared" si="29"/>
        <v>0</v>
      </c>
      <c r="T192" s="11">
        <f t="shared" si="30"/>
        <v>0</v>
      </c>
      <c r="U192" s="11">
        <f t="shared" si="31"/>
        <v>0</v>
      </c>
      <c r="V192" s="26">
        <f t="shared" si="32"/>
        <v>0</v>
      </c>
      <c r="W192" s="27">
        <f t="shared" si="33"/>
        <v>0</v>
      </c>
      <c r="X192" s="4">
        <v>7002</v>
      </c>
      <c r="Y192" s="4"/>
      <c r="Z192" s="4"/>
      <c r="AA192" s="12">
        <f t="shared" si="22"/>
        <v>0</v>
      </c>
      <c r="AC192" s="84"/>
      <c r="AD192" s="84"/>
      <c r="AE192" s="84"/>
      <c r="AF192" s="84"/>
    </row>
    <row r="193" spans="2:32" ht="12.75" customHeight="1">
      <c r="B193" s="105">
        <f t="shared" si="23"/>
        <v>190</v>
      </c>
      <c r="C193" s="6">
        <v>705800</v>
      </c>
      <c r="D193" s="6" t="s">
        <v>748</v>
      </c>
      <c r="E193" s="9" t="s">
        <v>32</v>
      </c>
      <c r="F193" s="6"/>
      <c r="G193" s="6"/>
      <c r="H193" s="11">
        <f>+STAT1!V193</f>
        <v>0</v>
      </c>
      <c r="I193" s="11">
        <f>+STAT1!W193</f>
        <v>0</v>
      </c>
      <c r="J193" s="11">
        <f>+SUMIFS(JURNAL!G:G,JURNAL!E:E,C193,JURNAL!C:C,"&gt;="&amp;$H$1,JURNAL!C:C,"&lt;="&amp;$I$1)</f>
        <v>4500000</v>
      </c>
      <c r="K193" s="11">
        <f>+SUMIFS(JURNAL!H:H,JURNAL!E:E,C193,JURNAL!C:C,"&gt;="&amp;$H$1,JURNAL!C:C,"&lt;="&amp;$I$1)</f>
        <v>0</v>
      </c>
      <c r="L193" s="26">
        <f t="shared" si="26"/>
        <v>4500000</v>
      </c>
      <c r="M193" s="27">
        <f t="shared" si="27"/>
        <v>0</v>
      </c>
      <c r="N193" s="11"/>
      <c r="O193" s="11"/>
      <c r="P193" s="11"/>
      <c r="Q193" s="11"/>
      <c r="R193" s="26">
        <f t="shared" si="28"/>
        <v>4500000</v>
      </c>
      <c r="S193" s="27">
        <f t="shared" si="29"/>
        <v>0</v>
      </c>
      <c r="T193" s="11">
        <f t="shared" si="30"/>
        <v>0</v>
      </c>
      <c r="U193" s="11">
        <f t="shared" si="31"/>
        <v>4500000</v>
      </c>
      <c r="V193" s="26">
        <f t="shared" si="32"/>
        <v>0</v>
      </c>
      <c r="W193" s="27">
        <f t="shared" si="33"/>
        <v>0</v>
      </c>
      <c r="X193" s="4">
        <v>7002</v>
      </c>
      <c r="Y193" s="4"/>
      <c r="Z193" s="4"/>
      <c r="AA193" s="12">
        <f t="shared" si="22"/>
        <v>1</v>
      </c>
      <c r="AC193" s="84"/>
      <c r="AD193" s="84"/>
      <c r="AE193" s="84"/>
      <c r="AF193" s="84"/>
    </row>
    <row r="194" spans="2:32" ht="12.75" customHeight="1">
      <c r="B194" s="105">
        <f t="shared" si="23"/>
        <v>191</v>
      </c>
      <c r="C194" s="6">
        <v>705900</v>
      </c>
      <c r="D194" s="6" t="s">
        <v>976</v>
      </c>
      <c r="E194" s="9" t="s">
        <v>32</v>
      </c>
      <c r="F194" s="6"/>
      <c r="G194" s="6"/>
      <c r="H194" s="11">
        <f>+STAT1!V194</f>
        <v>0</v>
      </c>
      <c r="I194" s="11">
        <f>+STAT1!W194</f>
        <v>0</v>
      </c>
      <c r="J194" s="11">
        <f>+SUMIFS(JURNAL!G:G,JURNAL!E:E,C194,JURNAL!C:C,"&gt;="&amp;$H$1,JURNAL!C:C,"&lt;="&amp;$I$1)</f>
        <v>0</v>
      </c>
      <c r="K194" s="11">
        <f>+SUMIFS(JURNAL!H:H,JURNAL!E:E,C194,JURNAL!C:C,"&gt;="&amp;$H$1,JURNAL!C:C,"&lt;="&amp;$I$1)</f>
        <v>0</v>
      </c>
      <c r="L194" s="26">
        <f t="shared" si="26"/>
        <v>0</v>
      </c>
      <c r="M194" s="27">
        <f t="shared" si="27"/>
        <v>0</v>
      </c>
      <c r="N194" s="11"/>
      <c r="O194" s="11"/>
      <c r="P194" s="11"/>
      <c r="Q194" s="11"/>
      <c r="R194" s="26">
        <f t="shared" si="28"/>
        <v>0</v>
      </c>
      <c r="S194" s="27">
        <f t="shared" si="29"/>
        <v>0</v>
      </c>
      <c r="T194" s="11">
        <f t="shared" si="30"/>
        <v>0</v>
      </c>
      <c r="U194" s="11">
        <f t="shared" si="31"/>
        <v>0</v>
      </c>
      <c r="V194" s="26">
        <f t="shared" si="32"/>
        <v>0</v>
      </c>
      <c r="W194" s="27">
        <f t="shared" si="33"/>
        <v>0</v>
      </c>
      <c r="X194" s="4">
        <v>7002</v>
      </c>
      <c r="Y194" s="4"/>
      <c r="Z194" s="4"/>
      <c r="AA194" s="12">
        <f t="shared" si="22"/>
        <v>0</v>
      </c>
      <c r="AC194" s="84"/>
      <c r="AD194" s="84"/>
      <c r="AE194" s="84"/>
      <c r="AF194" s="84"/>
    </row>
    <row r="195" spans="2:32" ht="12.75" customHeight="1">
      <c r="B195" s="105">
        <f t="shared" si="23"/>
        <v>192</v>
      </c>
      <c r="C195" s="6">
        <v>706000</v>
      </c>
      <c r="D195" s="6" t="s">
        <v>756</v>
      </c>
      <c r="E195" s="9" t="s">
        <v>32</v>
      </c>
      <c r="F195" s="6"/>
      <c r="G195" s="6"/>
      <c r="H195" s="11">
        <f>+STAT1!V195</f>
        <v>0</v>
      </c>
      <c r="I195" s="11">
        <f>+STAT1!W195</f>
        <v>0</v>
      </c>
      <c r="J195" s="11">
        <f>+SUMIFS(JURNAL!G:G,JURNAL!E:E,C195,JURNAL!C:C,"&gt;="&amp;$H$1,JURNAL!C:C,"&lt;="&amp;$I$1)</f>
        <v>1095910.3700000001</v>
      </c>
      <c r="K195" s="11">
        <f>+SUMIFS(JURNAL!H:H,JURNAL!E:E,C195,JURNAL!C:C,"&gt;="&amp;$H$1,JURNAL!C:C,"&lt;="&amp;$I$1)</f>
        <v>36363.64</v>
      </c>
      <c r="L195" s="26">
        <f t="shared" si="26"/>
        <v>1059546.7300000002</v>
      </c>
      <c r="M195" s="27">
        <f t="shared" si="27"/>
        <v>0</v>
      </c>
      <c r="N195" s="11"/>
      <c r="O195" s="11"/>
      <c r="P195" s="11"/>
      <c r="Q195" s="11"/>
      <c r="R195" s="26">
        <f t="shared" si="28"/>
        <v>1059546.7300000002</v>
      </c>
      <c r="S195" s="27">
        <f t="shared" si="29"/>
        <v>0</v>
      </c>
      <c r="T195" s="11">
        <f t="shared" si="30"/>
        <v>0</v>
      </c>
      <c r="U195" s="11">
        <f t="shared" si="31"/>
        <v>1059546.7300000002</v>
      </c>
      <c r="V195" s="26">
        <f t="shared" si="32"/>
        <v>0</v>
      </c>
      <c r="W195" s="27">
        <f t="shared" si="33"/>
        <v>0</v>
      </c>
      <c r="X195" s="4">
        <v>7002</v>
      </c>
      <c r="Y195" s="4"/>
      <c r="Z195" s="4"/>
      <c r="AA195" s="12">
        <f t="shared" si="22"/>
        <v>1</v>
      </c>
      <c r="AC195" s="84"/>
      <c r="AD195" s="84"/>
      <c r="AE195" s="84"/>
      <c r="AF195" s="84"/>
    </row>
    <row r="196" spans="2:32" ht="12.75" customHeight="1">
      <c r="B196" s="105">
        <f t="shared" si="23"/>
        <v>193</v>
      </c>
      <c r="C196" s="6">
        <v>840000</v>
      </c>
      <c r="D196" s="6" t="s">
        <v>822</v>
      </c>
      <c r="E196" s="9" t="s">
        <v>32</v>
      </c>
      <c r="F196" s="6"/>
      <c r="G196" s="6"/>
      <c r="H196" s="11">
        <f>+STAT1!V196</f>
        <v>0</v>
      </c>
      <c r="I196" s="11">
        <f>+STAT1!W196</f>
        <v>0</v>
      </c>
      <c r="J196" s="11">
        <f>+SUMIFS(JURNAL!G:G,JURNAL!E:E,C196,JURNAL!C:C,"&gt;="&amp;$H$1,JURNAL!C:C,"&lt;="&amp;$I$1)</f>
        <v>0</v>
      </c>
      <c r="K196" s="11">
        <f>+SUMIFS(JURNAL!H:H,JURNAL!E:E,C196,JURNAL!C:C,"&gt;="&amp;$H$1,JURNAL!C:C,"&lt;="&amp;$I$1)</f>
        <v>0</v>
      </c>
      <c r="L196" s="26">
        <f t="shared" si="26"/>
        <v>0</v>
      </c>
      <c r="M196" s="27">
        <f t="shared" si="27"/>
        <v>0</v>
      </c>
      <c r="N196" s="11"/>
      <c r="O196" s="11"/>
      <c r="P196" s="11"/>
      <c r="Q196" s="11"/>
      <c r="R196" s="26">
        <f t="shared" si="28"/>
        <v>0</v>
      </c>
      <c r="S196" s="27">
        <f t="shared" si="29"/>
        <v>0</v>
      </c>
      <c r="T196" s="11">
        <f t="shared" si="30"/>
        <v>0</v>
      </c>
      <c r="U196" s="11">
        <f t="shared" si="31"/>
        <v>0</v>
      </c>
      <c r="V196" s="26">
        <f t="shared" si="32"/>
        <v>0</v>
      </c>
      <c r="W196" s="27">
        <f t="shared" si="33"/>
        <v>0</v>
      </c>
      <c r="X196" s="4">
        <v>8400</v>
      </c>
      <c r="Y196" s="4"/>
      <c r="Z196" s="4"/>
      <c r="AA196" s="12">
        <f t="shared" si="22"/>
        <v>0</v>
      </c>
      <c r="AC196" s="84"/>
      <c r="AD196" s="84"/>
      <c r="AE196" s="84"/>
      <c r="AF196" s="84"/>
    </row>
    <row r="197" spans="2:32" ht="12.75" customHeight="1">
      <c r="B197" s="105">
        <f t="shared" si="23"/>
        <v>194</v>
      </c>
      <c r="C197" s="6">
        <v>840100</v>
      </c>
      <c r="D197" s="6" t="s">
        <v>825</v>
      </c>
      <c r="E197" s="9" t="s">
        <v>32</v>
      </c>
      <c r="F197" s="6"/>
      <c r="G197" s="6"/>
      <c r="H197" s="11">
        <f>+STAT1!V197</f>
        <v>0</v>
      </c>
      <c r="I197" s="11">
        <f>+STAT1!W197</f>
        <v>0</v>
      </c>
      <c r="J197" s="11">
        <f>+SUMIFS(JURNAL!G:G,JURNAL!E:E,C197,JURNAL!C:C,"&gt;="&amp;$H$1,JURNAL!C:C,"&lt;="&amp;$I$1)</f>
        <v>0</v>
      </c>
      <c r="K197" s="11">
        <f>+SUMIFS(JURNAL!H:H,JURNAL!E:E,C197,JURNAL!C:C,"&gt;="&amp;$H$1,JURNAL!C:C,"&lt;="&amp;$I$1)</f>
        <v>0</v>
      </c>
      <c r="L197" s="26">
        <f t="shared" si="26"/>
        <v>0</v>
      </c>
      <c r="M197" s="27">
        <f t="shared" si="27"/>
        <v>0</v>
      </c>
      <c r="N197" s="11"/>
      <c r="O197" s="11"/>
      <c r="P197" s="11"/>
      <c r="Q197" s="11"/>
      <c r="R197" s="26">
        <f t="shared" si="28"/>
        <v>0</v>
      </c>
      <c r="S197" s="27">
        <f t="shared" si="29"/>
        <v>0</v>
      </c>
      <c r="T197" s="11">
        <f t="shared" si="30"/>
        <v>0</v>
      </c>
      <c r="U197" s="11">
        <f t="shared" si="31"/>
        <v>0</v>
      </c>
      <c r="V197" s="26">
        <f t="shared" si="32"/>
        <v>0</v>
      </c>
      <c r="W197" s="27">
        <f t="shared" si="33"/>
        <v>0</v>
      </c>
      <c r="X197" s="4">
        <v>8401</v>
      </c>
      <c r="Y197" s="4"/>
      <c r="Z197" s="4"/>
      <c r="AA197" s="12">
        <f t="shared" ref="AA197:AA214" si="34">+IF(H197+I197+J197+K197+L197+M197+N197+O197+R197+S197+T197+U197+V197+W197,1,0)</f>
        <v>0</v>
      </c>
      <c r="AC197" s="84"/>
      <c r="AD197" s="84"/>
      <c r="AE197" s="84"/>
      <c r="AF197" s="84"/>
    </row>
    <row r="198" spans="2:32" ht="12.75" customHeight="1">
      <c r="B198" s="105">
        <f t="shared" ref="B198:B215" si="35">+B197+1</f>
        <v>195</v>
      </c>
      <c r="C198" s="6">
        <v>840200</v>
      </c>
      <c r="D198" s="6" t="s">
        <v>828</v>
      </c>
      <c r="E198" s="9" t="s">
        <v>32</v>
      </c>
      <c r="F198" s="6"/>
      <c r="G198" s="6"/>
      <c r="H198" s="11">
        <f>+STAT1!V198</f>
        <v>0</v>
      </c>
      <c r="I198" s="11">
        <f>+STAT1!W198</f>
        <v>0</v>
      </c>
      <c r="J198" s="11">
        <f>+SUMIFS(JURNAL!G:G,JURNAL!E:E,C198,JURNAL!C:C,"&gt;="&amp;$H$1,JURNAL!C:C,"&lt;="&amp;$I$1)</f>
        <v>0</v>
      </c>
      <c r="K198" s="11">
        <f>+SUMIFS(JURNAL!H:H,JURNAL!E:E,C198,JURNAL!C:C,"&gt;="&amp;$H$1,JURNAL!C:C,"&lt;="&amp;$I$1)</f>
        <v>0</v>
      </c>
      <c r="L198" s="26">
        <f t="shared" si="26"/>
        <v>0</v>
      </c>
      <c r="M198" s="27">
        <f t="shared" si="27"/>
        <v>0</v>
      </c>
      <c r="N198" s="11"/>
      <c r="O198" s="11"/>
      <c r="P198" s="11"/>
      <c r="Q198" s="11"/>
      <c r="R198" s="26">
        <f t="shared" si="28"/>
        <v>0</v>
      </c>
      <c r="S198" s="27">
        <f t="shared" si="29"/>
        <v>0</v>
      </c>
      <c r="T198" s="11">
        <f t="shared" si="30"/>
        <v>0</v>
      </c>
      <c r="U198" s="11">
        <f t="shared" si="31"/>
        <v>0</v>
      </c>
      <c r="V198" s="26">
        <f t="shared" si="32"/>
        <v>0</v>
      </c>
      <c r="W198" s="27">
        <f t="shared" si="33"/>
        <v>0</v>
      </c>
      <c r="X198" s="4">
        <v>8401</v>
      </c>
      <c r="Y198" s="4"/>
      <c r="Z198" s="4"/>
      <c r="AA198" s="12">
        <f t="shared" si="34"/>
        <v>0</v>
      </c>
      <c r="AC198" s="84"/>
      <c r="AD198" s="84"/>
      <c r="AE198" s="84"/>
      <c r="AF198" s="84"/>
    </row>
    <row r="199" spans="2:32" ht="12.75" customHeight="1">
      <c r="B199" s="105">
        <f t="shared" si="35"/>
        <v>196</v>
      </c>
      <c r="C199" s="6">
        <v>840400</v>
      </c>
      <c r="D199" s="6" t="s">
        <v>831</v>
      </c>
      <c r="E199" s="9" t="s">
        <v>32</v>
      </c>
      <c r="F199" s="6"/>
      <c r="G199" s="6"/>
      <c r="H199" s="11">
        <f>+STAT1!V199</f>
        <v>0</v>
      </c>
      <c r="I199" s="11">
        <f>+STAT1!W199</f>
        <v>0</v>
      </c>
      <c r="J199" s="11">
        <f>+SUMIFS(JURNAL!G:G,JURNAL!E:E,C199,JURNAL!C:C,"&gt;="&amp;$H$1,JURNAL!C:C,"&lt;="&amp;$I$1)</f>
        <v>0</v>
      </c>
      <c r="K199" s="11">
        <f>+SUMIFS(JURNAL!H:H,JURNAL!E:E,C199,JURNAL!C:C,"&gt;="&amp;$H$1,JURNAL!C:C,"&lt;="&amp;$I$1)</f>
        <v>0</v>
      </c>
      <c r="L199" s="26">
        <f t="shared" si="26"/>
        <v>0</v>
      </c>
      <c r="M199" s="27">
        <f t="shared" si="27"/>
        <v>0</v>
      </c>
      <c r="N199" s="11"/>
      <c r="O199" s="11"/>
      <c r="P199" s="11"/>
      <c r="Q199" s="11"/>
      <c r="R199" s="26">
        <f t="shared" si="28"/>
        <v>0</v>
      </c>
      <c r="S199" s="27">
        <f t="shared" si="29"/>
        <v>0</v>
      </c>
      <c r="T199" s="11">
        <f t="shared" si="30"/>
        <v>0</v>
      </c>
      <c r="U199" s="11">
        <f t="shared" si="31"/>
        <v>0</v>
      </c>
      <c r="V199" s="26">
        <f t="shared" si="32"/>
        <v>0</v>
      </c>
      <c r="W199" s="27">
        <f t="shared" si="33"/>
        <v>0</v>
      </c>
      <c r="X199" s="4">
        <v>5112</v>
      </c>
      <c r="Y199" s="4"/>
      <c r="Z199" s="4"/>
      <c r="AA199" s="12">
        <f t="shared" si="34"/>
        <v>0</v>
      </c>
      <c r="AC199" s="84"/>
      <c r="AD199" s="84"/>
      <c r="AE199" s="84"/>
      <c r="AF199" s="84"/>
    </row>
    <row r="200" spans="2:32" ht="12.75" customHeight="1">
      <c r="B200" s="105">
        <f t="shared" si="35"/>
        <v>197</v>
      </c>
      <c r="C200" s="6">
        <v>840500</v>
      </c>
      <c r="D200" s="6" t="s">
        <v>834</v>
      </c>
      <c r="E200" s="9" t="s">
        <v>32</v>
      </c>
      <c r="F200" s="6"/>
      <c r="G200" s="6"/>
      <c r="H200" s="11">
        <f>+STAT1!V200</f>
        <v>0</v>
      </c>
      <c r="I200" s="11">
        <f>+STAT1!W200</f>
        <v>0</v>
      </c>
      <c r="J200" s="11">
        <f>+SUMIFS(JURNAL!G:G,JURNAL!E:E,C200,JURNAL!C:C,"&gt;="&amp;$H$1,JURNAL!C:C,"&lt;="&amp;$I$1)</f>
        <v>0</v>
      </c>
      <c r="K200" s="11">
        <f>+SUMIFS(JURNAL!H:H,JURNAL!E:E,C200,JURNAL!C:C,"&gt;="&amp;$H$1,JURNAL!C:C,"&lt;="&amp;$I$1)</f>
        <v>0</v>
      </c>
      <c r="L200" s="26">
        <f t="shared" si="26"/>
        <v>0</v>
      </c>
      <c r="M200" s="27">
        <f t="shared" si="27"/>
        <v>0</v>
      </c>
      <c r="N200" s="11"/>
      <c r="O200" s="11"/>
      <c r="P200" s="11"/>
      <c r="Q200" s="11"/>
      <c r="R200" s="26">
        <f t="shared" si="28"/>
        <v>0</v>
      </c>
      <c r="S200" s="27">
        <f t="shared" si="29"/>
        <v>0</v>
      </c>
      <c r="T200" s="11">
        <f t="shared" si="30"/>
        <v>0</v>
      </c>
      <c r="U200" s="11">
        <f t="shared" si="31"/>
        <v>0</v>
      </c>
      <c r="V200" s="26">
        <f t="shared" si="32"/>
        <v>0</v>
      </c>
      <c r="W200" s="27">
        <f t="shared" si="33"/>
        <v>0</v>
      </c>
      <c r="X200" s="4">
        <v>8405</v>
      </c>
      <c r="Y200" s="4"/>
      <c r="Z200" s="4"/>
      <c r="AA200" s="12">
        <f t="shared" si="34"/>
        <v>0</v>
      </c>
      <c r="AC200" s="84"/>
      <c r="AD200" s="84"/>
      <c r="AE200" s="84"/>
      <c r="AF200" s="84"/>
    </row>
    <row r="201" spans="2:32" ht="12.75" customHeight="1">
      <c r="B201" s="105">
        <f t="shared" si="35"/>
        <v>198</v>
      </c>
      <c r="C201" s="6">
        <v>840800</v>
      </c>
      <c r="D201" s="6" t="s">
        <v>840</v>
      </c>
      <c r="E201" s="9" t="s">
        <v>32</v>
      </c>
      <c r="F201" s="6"/>
      <c r="G201" s="6"/>
      <c r="H201" s="11">
        <f>+STAT1!V201</f>
        <v>0</v>
      </c>
      <c r="I201" s="11">
        <f>+STAT1!W201</f>
        <v>0</v>
      </c>
      <c r="J201" s="11">
        <f>+SUMIFS(JURNAL!G:G,JURNAL!E:E,C201,JURNAL!C:C,"&gt;="&amp;$H$1,JURNAL!C:C,"&lt;="&amp;$I$1)</f>
        <v>0</v>
      </c>
      <c r="K201" s="11">
        <f>+SUMIFS(JURNAL!H:H,JURNAL!E:E,C201,JURNAL!C:C,"&gt;="&amp;$H$1,JURNAL!C:C,"&lt;="&amp;$I$1)</f>
        <v>0</v>
      </c>
      <c r="L201" s="26">
        <f t="shared" si="26"/>
        <v>0</v>
      </c>
      <c r="M201" s="27">
        <f t="shared" si="27"/>
        <v>0</v>
      </c>
      <c r="N201" s="11"/>
      <c r="O201" s="11"/>
      <c r="P201" s="11"/>
      <c r="Q201" s="11"/>
      <c r="R201" s="26">
        <f t="shared" si="28"/>
        <v>0</v>
      </c>
      <c r="S201" s="27">
        <f t="shared" si="29"/>
        <v>0</v>
      </c>
      <c r="T201" s="11">
        <f t="shared" si="30"/>
        <v>0</v>
      </c>
      <c r="U201" s="11">
        <f t="shared" si="31"/>
        <v>0</v>
      </c>
      <c r="V201" s="26">
        <f t="shared" si="32"/>
        <v>0</v>
      </c>
      <c r="W201" s="27">
        <f t="shared" si="33"/>
        <v>0</v>
      </c>
      <c r="X201" s="4">
        <v>8400</v>
      </c>
      <c r="Y201" s="4"/>
      <c r="Z201" s="4"/>
      <c r="AA201" s="12">
        <f t="shared" si="34"/>
        <v>0</v>
      </c>
      <c r="AC201" s="84"/>
      <c r="AD201" s="84"/>
      <c r="AE201" s="84"/>
      <c r="AF201" s="84"/>
    </row>
    <row r="202" spans="2:32" ht="12.75" customHeight="1">
      <c r="B202" s="105">
        <f t="shared" si="35"/>
        <v>199</v>
      </c>
      <c r="C202" s="6">
        <v>840900</v>
      </c>
      <c r="D202" s="6" t="s">
        <v>842</v>
      </c>
      <c r="E202" s="9" t="s">
        <v>32</v>
      </c>
      <c r="F202" s="6"/>
      <c r="G202" s="6"/>
      <c r="H202" s="11">
        <f>+STAT1!V202</f>
        <v>0</v>
      </c>
      <c r="I202" s="11">
        <f>+STAT1!W202</f>
        <v>0</v>
      </c>
      <c r="J202" s="11">
        <f>+SUMIFS(JURNAL!G:G,JURNAL!E:E,C202,JURNAL!C:C,"&gt;="&amp;$H$1,JURNAL!C:C,"&lt;="&amp;$I$1)</f>
        <v>0</v>
      </c>
      <c r="K202" s="11">
        <f>+SUMIFS(JURNAL!H:H,JURNAL!E:E,C202,JURNAL!C:C,"&gt;="&amp;$H$1,JURNAL!C:C,"&lt;="&amp;$I$1)</f>
        <v>0</v>
      </c>
      <c r="L202" s="26">
        <f t="shared" si="26"/>
        <v>0</v>
      </c>
      <c r="M202" s="27">
        <f t="shared" si="27"/>
        <v>0</v>
      </c>
      <c r="N202" s="11"/>
      <c r="O202" s="11"/>
      <c r="P202" s="11"/>
      <c r="Q202" s="11"/>
      <c r="R202" s="26">
        <f t="shared" si="28"/>
        <v>0</v>
      </c>
      <c r="S202" s="27">
        <f t="shared" si="29"/>
        <v>0</v>
      </c>
      <c r="T202" s="11">
        <f t="shared" si="30"/>
        <v>0</v>
      </c>
      <c r="U202" s="11">
        <f t="shared" si="31"/>
        <v>0</v>
      </c>
      <c r="V202" s="26">
        <f t="shared" si="32"/>
        <v>0</v>
      </c>
      <c r="W202" s="27">
        <f t="shared" si="33"/>
        <v>0</v>
      </c>
      <c r="X202" s="4">
        <v>8409</v>
      </c>
      <c r="Y202" s="4"/>
      <c r="Z202" s="4"/>
      <c r="AA202" s="12">
        <f t="shared" si="34"/>
        <v>0</v>
      </c>
      <c r="AC202" s="84"/>
      <c r="AD202" s="84"/>
      <c r="AE202" s="84"/>
      <c r="AF202" s="84"/>
    </row>
    <row r="203" spans="2:32" ht="12.75" customHeight="1">
      <c r="B203" s="105">
        <f t="shared" si="35"/>
        <v>200</v>
      </c>
      <c r="C203" s="6">
        <v>870000</v>
      </c>
      <c r="D203" s="6" t="s">
        <v>846</v>
      </c>
      <c r="E203" s="9" t="s">
        <v>32</v>
      </c>
      <c r="F203" s="6"/>
      <c r="G203" s="6"/>
      <c r="H203" s="11">
        <f>+STAT1!V203</f>
        <v>0</v>
      </c>
      <c r="I203" s="11">
        <f>+STAT1!W203</f>
        <v>0</v>
      </c>
      <c r="J203" s="11">
        <f>+SUMIFS(JURNAL!G:G,JURNAL!E:E,C203,JURNAL!C:C,"&gt;="&amp;$H$1,JURNAL!C:C,"&lt;="&amp;$I$1)</f>
        <v>0</v>
      </c>
      <c r="K203" s="11">
        <f>+SUMIFS(JURNAL!H:H,JURNAL!E:E,C203,JURNAL!C:C,"&gt;="&amp;$H$1,JURNAL!C:C,"&lt;="&amp;$I$1)</f>
        <v>0</v>
      </c>
      <c r="L203" s="26">
        <f t="shared" si="26"/>
        <v>0</v>
      </c>
      <c r="M203" s="27">
        <f t="shared" si="27"/>
        <v>0</v>
      </c>
      <c r="N203" s="11"/>
      <c r="O203" s="11"/>
      <c r="P203" s="11"/>
      <c r="Q203" s="11"/>
      <c r="R203" s="26">
        <f t="shared" si="28"/>
        <v>0</v>
      </c>
      <c r="S203" s="27">
        <f t="shared" si="29"/>
        <v>0</v>
      </c>
      <c r="T203" s="11">
        <f t="shared" si="30"/>
        <v>0</v>
      </c>
      <c r="U203" s="11">
        <f t="shared" si="31"/>
        <v>0</v>
      </c>
      <c r="V203" s="26">
        <f t="shared" si="32"/>
        <v>0</v>
      </c>
      <c r="W203" s="27">
        <f t="shared" si="33"/>
        <v>0</v>
      </c>
      <c r="X203" s="4">
        <v>8400</v>
      </c>
      <c r="Y203" s="4"/>
      <c r="Z203" s="4"/>
      <c r="AA203" s="12">
        <f t="shared" si="34"/>
        <v>0</v>
      </c>
      <c r="AC203" s="84"/>
      <c r="AD203" s="84"/>
      <c r="AE203" s="84"/>
      <c r="AF203" s="84"/>
    </row>
    <row r="204" spans="2:32" ht="12.75" customHeight="1">
      <c r="B204" s="105">
        <f t="shared" si="35"/>
        <v>201</v>
      </c>
      <c r="C204" s="6">
        <v>870100</v>
      </c>
      <c r="D204" s="6" t="s">
        <v>849</v>
      </c>
      <c r="E204" s="9" t="s">
        <v>32</v>
      </c>
      <c r="F204" s="6"/>
      <c r="G204" s="6"/>
      <c r="H204" s="11">
        <f>+STAT1!V204</f>
        <v>0</v>
      </c>
      <c r="I204" s="11">
        <f>+STAT1!W204</f>
        <v>0</v>
      </c>
      <c r="J204" s="11">
        <f>+SUMIFS(JURNAL!G:G,JURNAL!E:E,C204,JURNAL!C:C,"&gt;="&amp;$H$1,JURNAL!C:C,"&lt;="&amp;$I$1)</f>
        <v>0</v>
      </c>
      <c r="K204" s="11">
        <f>+SUMIFS(JURNAL!H:H,JURNAL!E:E,C204,JURNAL!C:C,"&gt;="&amp;$H$1,JURNAL!C:C,"&lt;="&amp;$I$1)</f>
        <v>0</v>
      </c>
      <c r="L204" s="26">
        <f t="shared" ref="L204:L215" si="36">+IF((H204+J204)&gt;(I204+K204),(H204+J204)-(I204+K204),0)</f>
        <v>0</v>
      </c>
      <c r="M204" s="27">
        <f t="shared" ref="M204:M215" si="37">+IF((H204+J204)&lt;(I204+K204),(I204+K204)-(H204+J204),0)</f>
        <v>0</v>
      </c>
      <c r="N204" s="11"/>
      <c r="O204" s="11"/>
      <c r="P204" s="11"/>
      <c r="Q204" s="11"/>
      <c r="R204" s="26">
        <f t="shared" ref="R204:R215" si="38">+IF((L204+N204)&gt;(M204+O204),(L204+N204)-(M204+O204),0)</f>
        <v>0</v>
      </c>
      <c r="S204" s="27">
        <f t="shared" ref="S204:S215" si="39">+IF((L204+N204)&lt;(M204+O204),(M204+O204)-(L204+N204),0)</f>
        <v>0</v>
      </c>
      <c r="T204" s="11">
        <f t="shared" ref="T204:U214" si="40">+S204</f>
        <v>0</v>
      </c>
      <c r="U204" s="11">
        <f t="shared" ref="U204:U213" si="41">+R204</f>
        <v>0</v>
      </c>
      <c r="V204" s="26">
        <f t="shared" ref="V204:V215" si="42">+IF((R204+T204)&gt;(S204+U204),(R204+T204)-(S204+U204),0)</f>
        <v>0</v>
      </c>
      <c r="W204" s="27">
        <f t="shared" ref="W204:W215" si="43">+IF((R204+T204)&lt;(S204+U204),(S204+U204)-(R204+T204),0)</f>
        <v>0</v>
      </c>
      <c r="X204" s="4">
        <v>8401</v>
      </c>
      <c r="Y204" s="4"/>
      <c r="Z204" s="4"/>
      <c r="AA204" s="12">
        <f t="shared" si="34"/>
        <v>0</v>
      </c>
      <c r="AC204" s="84"/>
      <c r="AD204" s="84"/>
      <c r="AE204" s="84"/>
      <c r="AF204" s="84"/>
    </row>
    <row r="205" spans="2:32" ht="12.75" customHeight="1">
      <c r="B205" s="105">
        <f t="shared" si="35"/>
        <v>202</v>
      </c>
      <c r="C205" s="6">
        <v>870200</v>
      </c>
      <c r="D205" s="6" t="s">
        <v>852</v>
      </c>
      <c r="E205" s="9" t="s">
        <v>32</v>
      </c>
      <c r="F205" s="6"/>
      <c r="G205" s="6"/>
      <c r="H205" s="11">
        <f>+STAT1!V205</f>
        <v>0</v>
      </c>
      <c r="I205" s="11">
        <f>+STAT1!W205</f>
        <v>0</v>
      </c>
      <c r="J205" s="11">
        <f>+SUMIFS(JURNAL!G:G,JURNAL!E:E,C205,JURNAL!C:C,"&gt;="&amp;$H$1,JURNAL!C:C,"&lt;="&amp;$I$1)</f>
        <v>0</v>
      </c>
      <c r="K205" s="11">
        <f>+SUMIFS(JURNAL!H:H,JURNAL!E:E,C205,JURNAL!C:C,"&gt;="&amp;$H$1,JURNAL!C:C,"&lt;="&amp;$I$1)</f>
        <v>0</v>
      </c>
      <c r="L205" s="26">
        <f t="shared" si="36"/>
        <v>0</v>
      </c>
      <c r="M205" s="27">
        <f t="shared" si="37"/>
        <v>0</v>
      </c>
      <c r="N205" s="11">
        <v>24918.03</v>
      </c>
      <c r="O205" s="11"/>
      <c r="P205" s="11"/>
      <c r="Q205" s="11"/>
      <c r="R205" s="26">
        <f t="shared" si="38"/>
        <v>24918.03</v>
      </c>
      <c r="S205" s="27">
        <f t="shared" si="39"/>
        <v>0</v>
      </c>
      <c r="T205" s="11">
        <f t="shared" si="40"/>
        <v>0</v>
      </c>
      <c r="U205" s="11">
        <f t="shared" si="41"/>
        <v>24918.03</v>
      </c>
      <c r="V205" s="26">
        <f t="shared" si="42"/>
        <v>0</v>
      </c>
      <c r="W205" s="27">
        <f t="shared" si="43"/>
        <v>0</v>
      </c>
      <c r="X205" s="4">
        <v>8401</v>
      </c>
      <c r="Y205" s="4"/>
      <c r="Z205" s="4"/>
      <c r="AA205" s="12">
        <f t="shared" si="34"/>
        <v>1</v>
      </c>
      <c r="AC205" s="84"/>
      <c r="AD205" s="84"/>
      <c r="AE205" s="84"/>
      <c r="AF205" s="84"/>
    </row>
    <row r="206" spans="2:32" ht="12.75" customHeight="1">
      <c r="B206" s="105">
        <f t="shared" si="35"/>
        <v>203</v>
      </c>
      <c r="C206" s="6">
        <v>870300</v>
      </c>
      <c r="D206" s="6" t="s">
        <v>282</v>
      </c>
      <c r="E206" s="9" t="s">
        <v>32</v>
      </c>
      <c r="F206" s="6"/>
      <c r="G206" s="6"/>
      <c r="H206" s="11">
        <f>+STAT1!V206</f>
        <v>0</v>
      </c>
      <c r="I206" s="11">
        <f>+STAT1!W206</f>
        <v>0</v>
      </c>
      <c r="J206" s="11">
        <f>+SUMIFS(JURNAL!G:G,JURNAL!E:E,C206,JURNAL!C:C,"&gt;="&amp;$H$1,JURNAL!C:C,"&lt;="&amp;$I$1)</f>
        <v>0</v>
      </c>
      <c r="K206" s="11">
        <f>+SUMIFS(JURNAL!H:H,JURNAL!E:E,C206,JURNAL!C:C,"&gt;="&amp;$H$1,JURNAL!C:C,"&lt;="&amp;$I$1)</f>
        <v>0</v>
      </c>
      <c r="L206" s="26">
        <f t="shared" si="36"/>
        <v>0</v>
      </c>
      <c r="M206" s="27">
        <f t="shared" si="37"/>
        <v>0</v>
      </c>
      <c r="N206" s="11"/>
      <c r="O206" s="11"/>
      <c r="P206" s="11"/>
      <c r="Q206" s="11"/>
      <c r="R206" s="26">
        <f t="shared" si="38"/>
        <v>0</v>
      </c>
      <c r="S206" s="27">
        <f t="shared" si="39"/>
        <v>0</v>
      </c>
      <c r="T206" s="11">
        <f t="shared" si="40"/>
        <v>0</v>
      </c>
      <c r="U206" s="11">
        <f t="shared" si="41"/>
        <v>0</v>
      </c>
      <c r="V206" s="26">
        <f t="shared" si="42"/>
        <v>0</v>
      </c>
      <c r="W206" s="27">
        <f t="shared" si="43"/>
        <v>0</v>
      </c>
      <c r="X206" s="4">
        <v>7201</v>
      </c>
      <c r="Y206" s="4"/>
      <c r="Z206" s="4"/>
      <c r="AA206" s="12">
        <f t="shared" si="34"/>
        <v>0</v>
      </c>
      <c r="AC206" s="84"/>
      <c r="AD206" s="84"/>
      <c r="AE206" s="84"/>
      <c r="AF206" s="84"/>
    </row>
    <row r="207" spans="2:32" ht="12.75" customHeight="1">
      <c r="B207" s="105">
        <f t="shared" si="35"/>
        <v>204</v>
      </c>
      <c r="C207" s="6">
        <v>870400</v>
      </c>
      <c r="D207" s="6" t="s">
        <v>857</v>
      </c>
      <c r="E207" s="9" t="s">
        <v>32</v>
      </c>
      <c r="F207" s="6"/>
      <c r="G207" s="6"/>
      <c r="H207" s="11">
        <f>+STAT1!V207</f>
        <v>0</v>
      </c>
      <c r="I207" s="11">
        <f>+STAT1!W207</f>
        <v>0</v>
      </c>
      <c r="J207" s="11">
        <f>+SUMIFS(JURNAL!G:G,JURNAL!E:E,C207,JURNAL!C:C,"&gt;="&amp;$H$1,JURNAL!C:C,"&lt;="&amp;$I$1)</f>
        <v>0</v>
      </c>
      <c r="K207" s="11">
        <f>+SUMIFS(JURNAL!H:H,JURNAL!E:E,C207,JURNAL!C:C,"&gt;="&amp;$H$1,JURNAL!C:C,"&lt;="&amp;$I$1)</f>
        <v>0</v>
      </c>
      <c r="L207" s="26">
        <f t="shared" si="36"/>
        <v>0</v>
      </c>
      <c r="M207" s="27">
        <f t="shared" si="37"/>
        <v>0</v>
      </c>
      <c r="N207" s="11"/>
      <c r="O207" s="11"/>
      <c r="P207" s="11"/>
      <c r="Q207" s="11"/>
      <c r="R207" s="26">
        <f t="shared" si="38"/>
        <v>0</v>
      </c>
      <c r="S207" s="27">
        <f t="shared" si="39"/>
        <v>0</v>
      </c>
      <c r="T207" s="11">
        <f t="shared" si="40"/>
        <v>0</v>
      </c>
      <c r="U207" s="11">
        <f t="shared" si="41"/>
        <v>0</v>
      </c>
      <c r="V207" s="26">
        <f t="shared" si="42"/>
        <v>0</v>
      </c>
      <c r="W207" s="27">
        <f t="shared" si="43"/>
        <v>0</v>
      </c>
      <c r="X207" s="4">
        <v>7201</v>
      </c>
      <c r="Y207" s="4"/>
      <c r="Z207" s="4"/>
      <c r="AA207" s="12">
        <f t="shared" si="34"/>
        <v>0</v>
      </c>
      <c r="AC207" s="84"/>
      <c r="AD207" s="84"/>
      <c r="AE207" s="84"/>
      <c r="AF207" s="84"/>
    </row>
    <row r="208" spans="2:32" ht="12.75" customHeight="1">
      <c r="B208" s="105">
        <f t="shared" si="35"/>
        <v>205</v>
      </c>
      <c r="C208" s="6">
        <v>870500</v>
      </c>
      <c r="D208" s="6" t="s">
        <v>860</v>
      </c>
      <c r="E208" s="9" t="s">
        <v>32</v>
      </c>
      <c r="F208" s="6"/>
      <c r="G208" s="6"/>
      <c r="H208" s="11">
        <f>+STAT1!V208</f>
        <v>0</v>
      </c>
      <c r="I208" s="11">
        <f>+STAT1!W208</f>
        <v>0</v>
      </c>
      <c r="J208" s="11">
        <f>+SUMIFS(JURNAL!G:G,JURNAL!E:E,C208,JURNAL!C:C,"&gt;="&amp;$H$1,JURNAL!C:C,"&lt;="&amp;$I$1)</f>
        <v>0</v>
      </c>
      <c r="K208" s="11">
        <f>+SUMIFS(JURNAL!H:H,JURNAL!E:E,C208,JURNAL!C:C,"&gt;="&amp;$H$1,JURNAL!C:C,"&lt;="&amp;$I$1)</f>
        <v>0</v>
      </c>
      <c r="L208" s="26">
        <f t="shared" si="36"/>
        <v>0</v>
      </c>
      <c r="M208" s="27">
        <f t="shared" si="37"/>
        <v>0</v>
      </c>
      <c r="N208" s="11"/>
      <c r="O208" s="11"/>
      <c r="P208" s="11"/>
      <c r="Q208" s="11"/>
      <c r="R208" s="26">
        <f t="shared" si="38"/>
        <v>0</v>
      </c>
      <c r="S208" s="27">
        <f t="shared" si="39"/>
        <v>0</v>
      </c>
      <c r="T208" s="11">
        <f t="shared" si="40"/>
        <v>0</v>
      </c>
      <c r="U208" s="11">
        <f t="shared" si="41"/>
        <v>0</v>
      </c>
      <c r="V208" s="26">
        <f t="shared" si="42"/>
        <v>0</v>
      </c>
      <c r="W208" s="27">
        <f t="shared" si="43"/>
        <v>0</v>
      </c>
      <c r="X208" s="4">
        <v>8405</v>
      </c>
      <c r="Y208" s="4"/>
      <c r="Z208" s="4"/>
      <c r="AA208" s="12">
        <f t="shared" si="34"/>
        <v>0</v>
      </c>
      <c r="AC208" s="84"/>
      <c r="AD208" s="84"/>
      <c r="AE208" s="84"/>
      <c r="AF208" s="84"/>
    </row>
    <row r="209" spans="2:32" ht="12.75" customHeight="1">
      <c r="B209" s="105">
        <f t="shared" si="35"/>
        <v>206</v>
      </c>
      <c r="C209" s="6">
        <v>870700</v>
      </c>
      <c r="D209" s="6" t="s">
        <v>863</v>
      </c>
      <c r="E209" s="9" t="s">
        <v>32</v>
      </c>
      <c r="F209" s="6"/>
      <c r="G209" s="6"/>
      <c r="H209" s="11">
        <f>+STAT1!V209</f>
        <v>0</v>
      </c>
      <c r="I209" s="11">
        <f>+STAT1!W209</f>
        <v>0</v>
      </c>
      <c r="J209" s="11">
        <f>+SUMIFS(JURNAL!G:G,JURNAL!E:E,C209,JURNAL!C:C,"&gt;="&amp;$H$1,JURNAL!C:C,"&lt;="&amp;$I$1)</f>
        <v>0</v>
      </c>
      <c r="K209" s="11">
        <f>+SUMIFS(JURNAL!H:H,JURNAL!E:E,C209,JURNAL!C:C,"&gt;="&amp;$H$1,JURNAL!C:C,"&lt;="&amp;$I$1)</f>
        <v>0</v>
      </c>
      <c r="L209" s="26">
        <f t="shared" si="36"/>
        <v>0</v>
      </c>
      <c r="M209" s="27">
        <f t="shared" si="37"/>
        <v>0</v>
      </c>
      <c r="N209" s="11"/>
      <c r="O209" s="11"/>
      <c r="P209" s="11"/>
      <c r="Q209" s="11"/>
      <c r="R209" s="26">
        <f t="shared" si="38"/>
        <v>0</v>
      </c>
      <c r="S209" s="27">
        <f t="shared" si="39"/>
        <v>0</v>
      </c>
      <c r="T209" s="11">
        <f t="shared" si="40"/>
        <v>0</v>
      </c>
      <c r="U209" s="11">
        <f t="shared" si="41"/>
        <v>0</v>
      </c>
      <c r="V209" s="26">
        <f t="shared" si="42"/>
        <v>0</v>
      </c>
      <c r="W209" s="27">
        <f t="shared" si="43"/>
        <v>0</v>
      </c>
      <c r="X209" s="4">
        <v>8400</v>
      </c>
      <c r="Y209" s="4"/>
      <c r="Z209" s="4"/>
      <c r="AA209" s="12">
        <f t="shared" si="34"/>
        <v>0</v>
      </c>
      <c r="AC209" s="84"/>
      <c r="AD209" s="84"/>
      <c r="AE209" s="84"/>
      <c r="AF209" s="84"/>
    </row>
    <row r="210" spans="2:32" ht="12.75" customHeight="1">
      <c r="B210" s="105">
        <f t="shared" si="35"/>
        <v>207</v>
      </c>
      <c r="C210" s="6">
        <v>870800</v>
      </c>
      <c r="D210" s="6" t="s">
        <v>866</v>
      </c>
      <c r="E210" s="9" t="s">
        <v>32</v>
      </c>
      <c r="F210" s="6"/>
      <c r="G210" s="6"/>
      <c r="H210" s="11">
        <f>+STAT1!V210</f>
        <v>0</v>
      </c>
      <c r="I210" s="11">
        <f>+STAT1!W210</f>
        <v>0</v>
      </c>
      <c r="J210" s="11">
        <f>+SUMIFS(JURNAL!G:G,JURNAL!E:E,C210,JURNAL!C:C,"&gt;="&amp;$H$1,JURNAL!C:C,"&lt;="&amp;$I$1)</f>
        <v>0</v>
      </c>
      <c r="K210" s="11">
        <f>+SUMIFS(JURNAL!H:H,JURNAL!E:E,C210,JURNAL!C:C,"&gt;="&amp;$H$1,JURNAL!C:C,"&lt;="&amp;$I$1)</f>
        <v>0</v>
      </c>
      <c r="L210" s="26">
        <f t="shared" si="36"/>
        <v>0</v>
      </c>
      <c r="M210" s="27">
        <f t="shared" si="37"/>
        <v>0</v>
      </c>
      <c r="N210" s="11"/>
      <c r="O210" s="11"/>
      <c r="P210" s="11"/>
      <c r="Q210" s="11"/>
      <c r="R210" s="26">
        <f t="shared" si="38"/>
        <v>0</v>
      </c>
      <c r="S210" s="27">
        <f t="shared" si="39"/>
        <v>0</v>
      </c>
      <c r="T210" s="11">
        <f t="shared" si="40"/>
        <v>0</v>
      </c>
      <c r="U210" s="11">
        <f t="shared" si="41"/>
        <v>0</v>
      </c>
      <c r="V210" s="26">
        <f t="shared" si="42"/>
        <v>0</v>
      </c>
      <c r="W210" s="27">
        <f t="shared" si="43"/>
        <v>0</v>
      </c>
      <c r="X210" s="4">
        <v>7202</v>
      </c>
      <c r="Y210" s="4"/>
      <c r="Z210" s="4"/>
      <c r="AA210" s="12">
        <f t="shared" si="34"/>
        <v>0</v>
      </c>
      <c r="AC210" s="84"/>
      <c r="AD210" s="84"/>
      <c r="AE210" s="84"/>
      <c r="AF210" s="84"/>
    </row>
    <row r="211" spans="2:32" ht="12.75" customHeight="1">
      <c r="B211" s="105">
        <f t="shared" si="35"/>
        <v>208</v>
      </c>
      <c r="C211" s="6">
        <v>870900</v>
      </c>
      <c r="D211" s="6" t="s">
        <v>868</v>
      </c>
      <c r="E211" s="9" t="s">
        <v>32</v>
      </c>
      <c r="F211" s="6"/>
      <c r="G211" s="6"/>
      <c r="H211" s="11">
        <f>+STAT1!V211</f>
        <v>0</v>
      </c>
      <c r="I211" s="11">
        <f>+STAT1!W211</f>
        <v>0</v>
      </c>
      <c r="J211" s="11">
        <f>+SUMIFS(JURNAL!G:G,JURNAL!E:E,C211,JURNAL!C:C,"&gt;="&amp;$H$1,JURNAL!C:C,"&lt;="&amp;$I$1)</f>
        <v>0</v>
      </c>
      <c r="K211" s="11">
        <f>+SUMIFS(JURNAL!H:H,JURNAL!E:E,C211,JURNAL!C:C,"&gt;="&amp;$H$1,JURNAL!C:C,"&lt;="&amp;$I$1)</f>
        <v>0</v>
      </c>
      <c r="L211" s="26">
        <f t="shared" si="36"/>
        <v>0</v>
      </c>
      <c r="M211" s="27">
        <f t="shared" si="37"/>
        <v>0</v>
      </c>
      <c r="N211" s="11"/>
      <c r="O211" s="11"/>
      <c r="P211" s="11"/>
      <c r="Q211" s="11"/>
      <c r="R211" s="26">
        <f t="shared" si="38"/>
        <v>0</v>
      </c>
      <c r="S211" s="27">
        <f t="shared" si="39"/>
        <v>0</v>
      </c>
      <c r="T211" s="11">
        <f t="shared" si="40"/>
        <v>0</v>
      </c>
      <c r="U211" s="11">
        <f t="shared" si="41"/>
        <v>0</v>
      </c>
      <c r="V211" s="26">
        <f t="shared" si="42"/>
        <v>0</v>
      </c>
      <c r="W211" s="27">
        <f t="shared" si="43"/>
        <v>0</v>
      </c>
      <c r="X211" s="4">
        <v>8409</v>
      </c>
      <c r="Y211" s="4"/>
      <c r="Z211" s="4"/>
      <c r="AA211" s="12">
        <f t="shared" si="34"/>
        <v>0</v>
      </c>
      <c r="AC211" s="84"/>
      <c r="AD211" s="84"/>
      <c r="AE211" s="84"/>
      <c r="AF211" s="84"/>
    </row>
    <row r="212" spans="2:32" ht="12.75" customHeight="1">
      <c r="B212" s="105">
        <f t="shared" si="35"/>
        <v>209</v>
      </c>
      <c r="C212" s="6">
        <v>871100</v>
      </c>
      <c r="D212" s="6" t="s">
        <v>871</v>
      </c>
      <c r="E212" s="9" t="s">
        <v>32</v>
      </c>
      <c r="F212" s="6"/>
      <c r="G212" s="6"/>
      <c r="H212" s="11">
        <f>+STAT1!V212</f>
        <v>0</v>
      </c>
      <c r="I212" s="11">
        <f>+STAT1!W212</f>
        <v>0</v>
      </c>
      <c r="J212" s="11">
        <f>+SUMIFS(JURNAL!G:G,JURNAL!E:E,C212,JURNAL!C:C,"&gt;="&amp;$H$1,JURNAL!C:C,"&lt;="&amp;$I$1)</f>
        <v>0</v>
      </c>
      <c r="K212" s="11">
        <f>+SUMIFS(JURNAL!H:H,JURNAL!E:E,C212,JURNAL!C:C,"&gt;="&amp;$H$1,JURNAL!C:C,"&lt;="&amp;$I$1)</f>
        <v>0</v>
      </c>
      <c r="L212" s="26">
        <f t="shared" si="36"/>
        <v>0</v>
      </c>
      <c r="M212" s="27">
        <f t="shared" si="37"/>
        <v>0</v>
      </c>
      <c r="N212" s="11"/>
      <c r="O212" s="11"/>
      <c r="P212" s="11"/>
      <c r="Q212" s="11"/>
      <c r="R212" s="26">
        <f t="shared" si="38"/>
        <v>0</v>
      </c>
      <c r="S212" s="27">
        <f t="shared" si="39"/>
        <v>0</v>
      </c>
      <c r="T212" s="11">
        <f t="shared" si="40"/>
        <v>0</v>
      </c>
      <c r="U212" s="11">
        <f t="shared" si="41"/>
        <v>0</v>
      </c>
      <c r="V212" s="26">
        <f t="shared" si="42"/>
        <v>0</v>
      </c>
      <c r="W212" s="27">
        <f t="shared" si="43"/>
        <v>0</v>
      </c>
      <c r="X212" s="4">
        <v>7202</v>
      </c>
      <c r="Y212" s="4"/>
      <c r="Z212" s="4"/>
      <c r="AA212" s="12">
        <f t="shared" si="34"/>
        <v>0</v>
      </c>
      <c r="AC212" s="84"/>
      <c r="AD212" s="84"/>
      <c r="AE212" s="84"/>
      <c r="AF212" s="84"/>
    </row>
    <row r="213" spans="2:32" ht="12.75" customHeight="1">
      <c r="B213" s="105">
        <f t="shared" si="35"/>
        <v>210</v>
      </c>
      <c r="C213" s="6">
        <v>871200</v>
      </c>
      <c r="D213" s="6" t="s">
        <v>874</v>
      </c>
      <c r="E213" s="9" t="s">
        <v>32</v>
      </c>
      <c r="F213" s="6"/>
      <c r="G213" s="6"/>
      <c r="H213" s="11">
        <f>+STAT1!V213</f>
        <v>0</v>
      </c>
      <c r="I213" s="11">
        <f>+STAT1!W213</f>
        <v>0</v>
      </c>
      <c r="J213" s="11">
        <f>+SUMIFS(JURNAL!G:G,JURNAL!E:E,C213,JURNAL!C:C,"&gt;="&amp;$H$1,JURNAL!C:C,"&lt;="&amp;$I$1)</f>
        <v>0</v>
      </c>
      <c r="K213" s="11">
        <f>+SUMIFS(JURNAL!H:H,JURNAL!E:E,C213,JURNAL!C:C,"&gt;="&amp;$H$1,JURNAL!C:C,"&lt;="&amp;$I$1)</f>
        <v>0</v>
      </c>
      <c r="L213" s="26">
        <f t="shared" si="36"/>
        <v>0</v>
      </c>
      <c r="M213" s="27">
        <f t="shared" si="37"/>
        <v>0</v>
      </c>
      <c r="N213" s="11"/>
      <c r="O213" s="11"/>
      <c r="P213" s="11"/>
      <c r="Q213" s="11"/>
      <c r="R213" s="26">
        <f t="shared" si="38"/>
        <v>0</v>
      </c>
      <c r="S213" s="27">
        <f t="shared" si="39"/>
        <v>0</v>
      </c>
      <c r="T213" s="11">
        <f t="shared" si="40"/>
        <v>0</v>
      </c>
      <c r="U213" s="11">
        <f t="shared" si="41"/>
        <v>0</v>
      </c>
      <c r="V213" s="26">
        <f t="shared" si="42"/>
        <v>0</v>
      </c>
      <c r="W213" s="27">
        <f t="shared" si="43"/>
        <v>0</v>
      </c>
      <c r="X213" s="4">
        <v>8402</v>
      </c>
      <c r="Y213" s="4"/>
      <c r="Z213" s="4"/>
      <c r="AA213" s="12">
        <f t="shared" si="34"/>
        <v>0</v>
      </c>
      <c r="AC213" s="84"/>
      <c r="AD213" s="84"/>
      <c r="AE213" s="84"/>
      <c r="AF213" s="84"/>
    </row>
    <row r="214" spans="2:32" ht="12.75" customHeight="1">
      <c r="B214" s="105">
        <f t="shared" si="35"/>
        <v>211</v>
      </c>
      <c r="C214" s="6">
        <v>910100</v>
      </c>
      <c r="D214" s="6" t="s">
        <v>284</v>
      </c>
      <c r="E214" s="9" t="s">
        <v>32</v>
      </c>
      <c r="F214" s="6"/>
      <c r="G214" s="6"/>
      <c r="H214" s="11">
        <f>+STAT1!V214</f>
        <v>0</v>
      </c>
      <c r="I214" s="11">
        <f>+STAT1!W214</f>
        <v>0</v>
      </c>
      <c r="J214" s="11">
        <f>+SUMIFS(JURNAL!G:G,JURNAL!E:E,C214,JURNAL!C:C,"&gt;="&amp;$H$1,JURNAL!C:C,"&lt;="&amp;$I$1)</f>
        <v>0</v>
      </c>
      <c r="K214" s="11">
        <f>+SUMIFS(JURNAL!H:H,JURNAL!E:E,C214,JURNAL!C:C,"&gt;="&amp;$H$1,JURNAL!C:C,"&lt;="&amp;$I$1)</f>
        <v>0</v>
      </c>
      <c r="L214" s="26">
        <f t="shared" si="36"/>
        <v>0</v>
      </c>
      <c r="M214" s="27">
        <f t="shared" si="37"/>
        <v>0</v>
      </c>
      <c r="N214" s="11"/>
      <c r="O214" s="11"/>
      <c r="P214" s="11"/>
      <c r="Q214" s="11"/>
      <c r="R214" s="26">
        <f t="shared" si="38"/>
        <v>0</v>
      </c>
      <c r="S214" s="27">
        <f t="shared" si="39"/>
        <v>0</v>
      </c>
      <c r="T214" s="11">
        <f t="shared" si="40"/>
        <v>0</v>
      </c>
      <c r="U214" s="11">
        <f t="shared" si="40"/>
        <v>0</v>
      </c>
      <c r="V214" s="26">
        <f t="shared" si="42"/>
        <v>0</v>
      </c>
      <c r="W214" s="27">
        <f t="shared" si="43"/>
        <v>0</v>
      </c>
      <c r="X214" s="4">
        <v>9101</v>
      </c>
      <c r="Y214" s="4"/>
      <c r="Z214" s="4"/>
      <c r="AA214" s="12">
        <f t="shared" si="34"/>
        <v>0</v>
      </c>
      <c r="AC214" s="84"/>
      <c r="AD214" s="84"/>
      <c r="AE214" s="84"/>
      <c r="AF214" s="84"/>
    </row>
    <row r="215" spans="2:32" ht="12.75" customHeight="1">
      <c r="B215" s="105">
        <f t="shared" si="35"/>
        <v>212</v>
      </c>
      <c r="C215" s="6">
        <v>920100</v>
      </c>
      <c r="D215" s="6" t="s">
        <v>880</v>
      </c>
      <c r="E215" s="9" t="s">
        <v>32</v>
      </c>
      <c r="F215" s="6"/>
      <c r="G215" s="6"/>
      <c r="H215" s="11">
        <f>+STAT1!V215</f>
        <v>0</v>
      </c>
      <c r="I215" s="11">
        <f>+STAT1!W215</f>
        <v>0</v>
      </c>
      <c r="J215" s="11">
        <f>+SUMIFS(JURNAL!G:G,JURNAL!E:E,C215,JURNAL!C:C,"&gt;="&amp;$H$1,JURNAL!C:C,"&lt;="&amp;$I$1)</f>
        <v>0</v>
      </c>
      <c r="K215" s="11">
        <f>+SUMIFS(JURNAL!H:H,JURNAL!E:E,C215,JURNAL!C:C,"&gt;="&amp;$H$1,JURNAL!C:C,"&lt;="&amp;$I$1)</f>
        <v>0</v>
      </c>
      <c r="L215" s="26">
        <f t="shared" si="36"/>
        <v>0</v>
      </c>
      <c r="M215" s="27">
        <f t="shared" si="37"/>
        <v>0</v>
      </c>
      <c r="N215" s="11"/>
      <c r="O215" s="11"/>
      <c r="P215" s="11"/>
      <c r="Q215" s="11"/>
      <c r="R215" s="26">
        <f t="shared" si="38"/>
        <v>0</v>
      </c>
      <c r="S215" s="27">
        <f t="shared" si="39"/>
        <v>0</v>
      </c>
      <c r="T215" s="11">
        <v>15975865.5936267</v>
      </c>
      <c r="U215" s="11">
        <v>15975865.5936267</v>
      </c>
      <c r="V215" s="26">
        <f t="shared" si="42"/>
        <v>0</v>
      </c>
      <c r="W215" s="27">
        <f t="shared" si="43"/>
        <v>0</v>
      </c>
      <c r="X215" s="4"/>
      <c r="Y215" s="4"/>
      <c r="Z215" s="4"/>
      <c r="AA215" s="12">
        <v>1</v>
      </c>
      <c r="AC215" s="84"/>
      <c r="AD215" s="84"/>
      <c r="AE215" s="84"/>
      <c r="AF215" s="84"/>
    </row>
    <row r="216" spans="2:32" ht="12.75" customHeight="1">
      <c r="B216" s="181"/>
      <c r="C216" s="135"/>
      <c r="D216" s="181" t="s">
        <v>39</v>
      </c>
      <c r="E216" s="318"/>
      <c r="F216" s="13">
        <f t="shared" ref="F216:W216" si="44">SUM(F140:F215)</f>
        <v>0</v>
      </c>
      <c r="G216" s="13">
        <f t="shared" si="44"/>
        <v>0</v>
      </c>
      <c r="H216" s="13">
        <f t="shared" si="44"/>
        <v>0</v>
      </c>
      <c r="I216" s="13">
        <f t="shared" si="44"/>
        <v>0</v>
      </c>
      <c r="J216" s="13">
        <f t="shared" si="44"/>
        <v>140154674.50128448</v>
      </c>
      <c r="K216" s="13">
        <f t="shared" si="44"/>
        <v>124203726.93765776</v>
      </c>
      <c r="L216" s="13">
        <f t="shared" si="44"/>
        <v>89621667.536069676</v>
      </c>
      <c r="M216" s="13">
        <f t="shared" si="44"/>
        <v>73670719.972442955</v>
      </c>
      <c r="N216" s="13">
        <f t="shared" si="44"/>
        <v>24918.03</v>
      </c>
      <c r="O216" s="13">
        <f t="shared" si="44"/>
        <v>0</v>
      </c>
      <c r="P216" s="13">
        <f t="shared" si="44"/>
        <v>0</v>
      </c>
      <c r="Q216" s="13">
        <f t="shared" si="44"/>
        <v>0</v>
      </c>
      <c r="R216" s="13">
        <f t="shared" si="44"/>
        <v>89646585.566069677</v>
      </c>
      <c r="S216" s="13">
        <f t="shared" si="44"/>
        <v>73670719.972442955</v>
      </c>
      <c r="T216" s="13">
        <f t="shared" si="44"/>
        <v>89646585.566069663</v>
      </c>
      <c r="U216" s="13">
        <f t="shared" si="44"/>
        <v>105622451.15969637</v>
      </c>
      <c r="V216" s="13">
        <f t="shared" si="44"/>
        <v>0</v>
      </c>
      <c r="W216" s="13">
        <f t="shared" si="44"/>
        <v>0</v>
      </c>
      <c r="X216" s="14"/>
      <c r="Y216" s="14"/>
      <c r="Z216" s="14"/>
      <c r="AA216" s="14"/>
      <c r="AC216" s="84"/>
      <c r="AD216" s="84"/>
      <c r="AE216" s="84"/>
      <c r="AF216" s="84"/>
    </row>
    <row r="217" spans="2:32" ht="12.75" customHeight="1">
      <c r="B217" s="29"/>
      <c r="C217" s="29" t="s">
        <v>21</v>
      </c>
      <c r="D217" s="29"/>
      <c r="E217" s="30"/>
      <c r="F217" s="31">
        <f t="shared" ref="F217:W217" si="45">+F216+F139</f>
        <v>6150.4600000000009</v>
      </c>
      <c r="G217" s="31">
        <f t="shared" si="45"/>
        <v>14937.180000000002</v>
      </c>
      <c r="H217" s="31">
        <f t="shared" si="45"/>
        <v>3347297412.1604619</v>
      </c>
      <c r="I217" s="31">
        <f t="shared" si="45"/>
        <v>3347297412.1594081</v>
      </c>
      <c r="J217" s="31">
        <f t="shared" si="45"/>
        <v>1850917246.5640206</v>
      </c>
      <c r="K217" s="31">
        <f t="shared" si="45"/>
        <v>1850917246.5530658</v>
      </c>
      <c r="L217" s="31">
        <f t="shared" si="45"/>
        <v>3448299633.2595596</v>
      </c>
      <c r="M217" s="31">
        <f t="shared" si="45"/>
        <v>3448299633.247551</v>
      </c>
      <c r="N217" s="31">
        <f t="shared" si="45"/>
        <v>11984543.029999999</v>
      </c>
      <c r="O217" s="31">
        <f t="shared" si="45"/>
        <v>11984543.0309</v>
      </c>
      <c r="P217" s="31">
        <f t="shared" si="45"/>
        <v>502.88</v>
      </c>
      <c r="Q217" s="31">
        <f t="shared" si="45"/>
        <v>11791.509999999998</v>
      </c>
      <c r="R217" s="31">
        <f t="shared" si="45"/>
        <v>3436340008.2586594</v>
      </c>
      <c r="S217" s="31">
        <f t="shared" si="45"/>
        <v>3436340008.247551</v>
      </c>
      <c r="T217" s="31">
        <f t="shared" si="45"/>
        <v>105622451.15969637</v>
      </c>
      <c r="U217" s="31">
        <f t="shared" si="45"/>
        <v>105622451.15969637</v>
      </c>
      <c r="V217" s="31">
        <f t="shared" si="45"/>
        <v>3362669288.2862163</v>
      </c>
      <c r="W217" s="31">
        <f t="shared" si="45"/>
        <v>3362669288.2751079</v>
      </c>
      <c r="X217" s="31"/>
      <c r="Y217" s="31"/>
      <c r="Z217" s="31"/>
      <c r="AA217" s="31"/>
      <c r="AC217" s="84"/>
      <c r="AD217" s="84"/>
      <c r="AE217" s="84"/>
      <c r="AF217" s="84"/>
    </row>
    <row r="218" spans="2:32" ht="12.75" customHeight="1">
      <c r="B218" s="6"/>
      <c r="C218" s="6" t="s">
        <v>22</v>
      </c>
      <c r="D218" s="6"/>
      <c r="E218" s="9"/>
      <c r="F218" s="6"/>
      <c r="G218" s="6"/>
      <c r="H218" s="32"/>
      <c r="I218" s="32"/>
      <c r="J218" s="11">
        <f>+SUMIFS(JURNAL!G:G,JURNAL!E:E,C218,JURNAL!C:C,"&gt;="&amp;$H$1,JURNAL!C:C,"&lt;="&amp;$I$1)</f>
        <v>0</v>
      </c>
      <c r="K218" s="11">
        <f>+SUMIFS(JURNAL!H:H,JURNAL!F:F,D218,JURNAL!D:D,"&gt;="&amp;$H$1,JURNAL!D:D,"&lt;="&amp;$I$1)</f>
        <v>0</v>
      </c>
      <c r="L218" s="11">
        <f>+SUMIFS(JURNAL!I:I,JURNAL!G:G,E218,JURNAL!E:E,"&gt;="&amp;$H$1,JURNAL!E:E,"&lt;="&amp;$I$1)</f>
        <v>0</v>
      </c>
      <c r="M218" s="11">
        <f>+SUMIFS(JURNAL!J:J,JURNAL!H:H,F218,JURNAL!F:F,"&gt;="&amp;$H$1,JURNAL!F:F,"&lt;="&amp;$I$1)</f>
        <v>0</v>
      </c>
      <c r="N218" s="11">
        <f>+SUMIFS(JURNAL!K:K,JURNAL!I:I,G218,JURNAL!G:G,"&gt;="&amp;$H$1,JURNAL!G:G,"&lt;="&amp;$I$1)</f>
        <v>0</v>
      </c>
      <c r="O218" s="11">
        <f>+SUMIFS(JURNAL!L:L,JURNAL!J:J,H218,JURNAL!H:H,"&gt;="&amp;$H$1,JURNAL!H:H,"&lt;="&amp;$I$1)</f>
        <v>0</v>
      </c>
      <c r="P218" s="11">
        <f>+SUMIFS(JURNAL!M:M,JURNAL!K:K,I218,JURNAL!I:I,"&gt;="&amp;$H$1,JURNAL!I:I,"&lt;="&amp;$I$1)</f>
        <v>0</v>
      </c>
      <c r="Q218" s="11">
        <f>+SUMIFS(JURNAL!N:N,JURNAL!L:L,J218,JURNAL!J:J,"&gt;="&amp;$H$1,JURNAL!J:J,"&lt;="&amp;$I$1)</f>
        <v>0</v>
      </c>
      <c r="R218" s="11">
        <f>+SUMIFS(JURNAL!O:O,JURNAL!M:M,K218,JURNAL!K:K,"&gt;="&amp;$H$1,JURNAL!K:K,"&lt;="&amp;$I$1)</f>
        <v>0</v>
      </c>
      <c r="S218" s="11">
        <f>+SUMIFS(JURNAL!P:P,JURNAL!N:N,L218,JURNAL!L:L,"&gt;="&amp;$H$1,JURNAL!L:L,"&lt;="&amp;$I$1)</f>
        <v>0</v>
      </c>
      <c r="T218" s="11">
        <f>+SUMIFS(JURNAL!Q:Q,JURNAL!O:O,M218,JURNAL!M:M,"&gt;="&amp;$H$1,JURNAL!M:M,"&lt;="&amp;$I$1)</f>
        <v>0</v>
      </c>
      <c r="U218" s="11">
        <f ca="1">+SUMIFS(JURNAL!R:R,JURNAL!P:P,N218,JURNAL!N:N,"&gt;="&amp;$H$1,JURNAL!N:N,"&lt;="&amp;$I$1)</f>
        <v>0</v>
      </c>
      <c r="V218" s="11">
        <f ca="1">+SUMIFS(JURNAL!S:S,JURNAL!Q:Q,O218,JURNAL!O:O,"&gt;="&amp;$H$1,JURNAL!O:O,"&lt;="&amp;$I$1)</f>
        <v>0</v>
      </c>
      <c r="W218" s="11">
        <f ca="1">+SUMIFS(JURNAL!T:T,JURNAL!R:R,P218,JURNAL!P:P,"&gt;="&amp;$H$1,JURNAL!P:P,"&lt;="&amp;$I$1)</f>
        <v>0</v>
      </c>
      <c r="X218" s="11">
        <f ca="1">+SUMIFS(JURNAL!U:U,JURNAL!S:S,Q218,JURNAL!Q:Q,"&gt;="&amp;$H$1,JURNAL!Q:Q,"&lt;="&amp;$I$1)</f>
        <v>0</v>
      </c>
      <c r="Y218" s="11">
        <f ca="1">+SUMIFS(JURNAL!V:V,JURNAL!T:T,R218,JURNAL!R:R,"&gt;="&amp;$H$1,JURNAL!R:R,"&lt;="&amp;$I$1)</f>
        <v>0</v>
      </c>
      <c r="Z218" s="11">
        <f ca="1">+SUMIFS(JURNAL!W:W,JURNAL!U:U,S218,JURNAL!S:S,"&gt;="&amp;$H$1,JURNAL!S:S,"&lt;="&amp;$I$1)</f>
        <v>0</v>
      </c>
      <c r="AA218" s="11">
        <f ca="1">+SUMIFS(JURNAL!X:X,JURNAL!V:V,T218,JURNAL!T:T,"&gt;="&amp;$H$1,JURNAL!T:T,"&lt;="&amp;$I$1)</f>
        <v>0</v>
      </c>
      <c r="AC218" s="84"/>
      <c r="AD218" s="84"/>
      <c r="AE218" s="84"/>
      <c r="AF218" s="84"/>
    </row>
    <row r="219" spans="2:32" ht="12.75" customHeight="1">
      <c r="B219" s="6"/>
      <c r="C219" s="6" t="s">
        <v>23</v>
      </c>
      <c r="D219" s="6"/>
      <c r="E219" s="9"/>
      <c r="F219" s="6"/>
      <c r="G219" s="6"/>
      <c r="H219" s="32"/>
      <c r="I219" s="32"/>
      <c r="J219" s="11">
        <f>+SUMIFS(JURNAL!G:G,JURNAL!E:E,C219,JURNAL!C:C,"&gt;="&amp;$H$1,JURNAL!C:C,"&lt;="&amp;$I$1)</f>
        <v>0</v>
      </c>
      <c r="K219" s="11">
        <f>+SUMIFS(JURNAL!H:H,JURNAL!F:F,D219,JURNAL!D:D,"&gt;="&amp;$H$1,JURNAL!D:D,"&lt;="&amp;$I$1)</f>
        <v>0</v>
      </c>
      <c r="L219" s="11">
        <f>+SUMIFS(JURNAL!I:I,JURNAL!G:G,E219,JURNAL!E:E,"&gt;="&amp;$H$1,JURNAL!E:E,"&lt;="&amp;$I$1)</f>
        <v>0</v>
      </c>
      <c r="M219" s="11">
        <f>+SUMIFS(JURNAL!J:J,JURNAL!H:H,F219,JURNAL!F:F,"&gt;="&amp;$H$1,JURNAL!F:F,"&lt;="&amp;$I$1)</f>
        <v>0</v>
      </c>
      <c r="N219" s="11">
        <f>+SUMIFS(JURNAL!K:K,JURNAL!I:I,G219,JURNAL!G:G,"&gt;="&amp;$H$1,JURNAL!G:G,"&lt;="&amp;$I$1)</f>
        <v>0</v>
      </c>
      <c r="O219" s="11">
        <f>+SUMIFS(JURNAL!L:L,JURNAL!J:J,H219,JURNAL!H:H,"&gt;="&amp;$H$1,JURNAL!H:H,"&lt;="&amp;$I$1)</f>
        <v>0</v>
      </c>
      <c r="P219" s="11">
        <f>+SUMIFS(JURNAL!M:M,JURNAL!K:K,I219,JURNAL!I:I,"&gt;="&amp;$H$1,JURNAL!I:I,"&lt;="&amp;$I$1)</f>
        <v>0</v>
      </c>
      <c r="Q219" s="11">
        <f>+SUMIFS(JURNAL!N:N,JURNAL!L:L,J219,JURNAL!J:J,"&gt;="&amp;$H$1,JURNAL!J:J,"&lt;="&amp;$I$1)</f>
        <v>0</v>
      </c>
      <c r="R219" s="11">
        <f>+SUMIFS(JURNAL!O:O,JURNAL!M:M,K219,JURNAL!K:K,"&gt;="&amp;$H$1,JURNAL!K:K,"&lt;="&amp;$I$1)</f>
        <v>0</v>
      </c>
      <c r="S219" s="11">
        <f>+SUMIFS(JURNAL!P:P,JURNAL!N:N,L219,JURNAL!L:L,"&gt;="&amp;$H$1,JURNAL!L:L,"&lt;="&amp;$I$1)</f>
        <v>0</v>
      </c>
      <c r="T219" s="11">
        <f>+SUMIFS(JURNAL!Q:Q,JURNAL!O:O,M219,JURNAL!M:M,"&gt;="&amp;$H$1,JURNAL!M:M,"&lt;="&amp;$I$1)</f>
        <v>0</v>
      </c>
      <c r="U219" s="11">
        <f ca="1">+SUMIFS(JURNAL!R:R,JURNAL!P:P,N219,JURNAL!N:N,"&gt;="&amp;$H$1,JURNAL!N:N,"&lt;="&amp;$I$1)</f>
        <v>0</v>
      </c>
      <c r="V219" s="11">
        <f ca="1">+SUMIFS(JURNAL!S:S,JURNAL!Q:Q,O219,JURNAL!O:O,"&gt;="&amp;$H$1,JURNAL!O:O,"&lt;="&amp;$I$1)</f>
        <v>0</v>
      </c>
      <c r="W219" s="11">
        <f ca="1">+SUMIFS(JURNAL!T:T,JURNAL!R:R,P219,JURNAL!P:P,"&gt;="&amp;$H$1,JURNAL!P:P,"&lt;="&amp;$I$1)</f>
        <v>0</v>
      </c>
      <c r="X219" s="11">
        <f ca="1">+SUMIFS(JURNAL!U:U,JURNAL!S:S,Q219,JURNAL!Q:Q,"&gt;="&amp;$H$1,JURNAL!Q:Q,"&lt;="&amp;$I$1)</f>
        <v>0</v>
      </c>
      <c r="Y219" s="11">
        <f ca="1">+SUMIFS(JURNAL!V:V,JURNAL!T:T,R219,JURNAL!R:R,"&gt;="&amp;$H$1,JURNAL!R:R,"&lt;="&amp;$I$1)</f>
        <v>0</v>
      </c>
      <c r="Z219" s="11">
        <f ca="1">+SUMIFS(JURNAL!W:W,JURNAL!U:U,S219,JURNAL!S:S,"&gt;="&amp;$H$1,JURNAL!S:S,"&lt;="&amp;$I$1)</f>
        <v>0</v>
      </c>
      <c r="AA219" s="11">
        <f ca="1">+SUMIFS(JURNAL!X:X,JURNAL!V:V,T219,JURNAL!T:T,"&gt;="&amp;$H$1,JURNAL!T:T,"&lt;="&amp;$I$1)</f>
        <v>0</v>
      </c>
      <c r="AC219" s="84"/>
      <c r="AD219" s="84"/>
      <c r="AE219" s="84"/>
      <c r="AF219" s="84"/>
    </row>
    <row r="220" spans="2:32" ht="12.75" customHeight="1">
      <c r="B220" s="6"/>
      <c r="C220" s="6" t="s">
        <v>24</v>
      </c>
      <c r="D220" s="6"/>
      <c r="E220" s="9"/>
      <c r="F220" s="6"/>
      <c r="G220" s="6"/>
      <c r="H220" s="32"/>
      <c r="I220" s="415">
        <f>+I217-H217</f>
        <v>-1.0538101196289063E-3</v>
      </c>
      <c r="J220" s="11">
        <f>+SUMIFS(JURNAL!G:G,JURNAL!E:E,C220,JURNAL!C:C,"&gt;="&amp;$H$1,JURNAL!C:C,"&lt;="&amp;$I$1)</f>
        <v>0</v>
      </c>
      <c r="K220" s="11">
        <f>+SUMIFS(JURNAL!H:H,JURNAL!F:F,D220,JURNAL!D:D,"&gt;="&amp;$H$1,JURNAL!D:D,"&lt;="&amp;$I$1)</f>
        <v>0</v>
      </c>
      <c r="L220" s="11">
        <f>+SUMIFS(JURNAL!I:I,JURNAL!G:G,E220,JURNAL!E:E,"&gt;="&amp;$H$1,JURNAL!E:E,"&lt;="&amp;$I$1)</f>
        <v>0</v>
      </c>
      <c r="M220" s="11">
        <f>+SUMIFS(JURNAL!J:J,JURNAL!H:H,F220,JURNAL!F:F,"&gt;="&amp;$H$1,JURNAL!F:F,"&lt;="&amp;$I$1)</f>
        <v>0</v>
      </c>
      <c r="N220" s="11">
        <f>+SUMIFS(JURNAL!K:K,JURNAL!I:I,G220,JURNAL!G:G,"&gt;="&amp;$H$1,JURNAL!G:G,"&lt;="&amp;$I$1)</f>
        <v>0</v>
      </c>
      <c r="O220" s="11">
        <f>+SUMIFS(JURNAL!L:L,JURNAL!J:J,H220,JURNAL!H:H,"&gt;="&amp;$H$1,JURNAL!H:H,"&lt;="&amp;$I$1)</f>
        <v>0</v>
      </c>
      <c r="P220" s="11">
        <f>+SUMIFS(JURNAL!M:M,JURNAL!K:K,I220,JURNAL!I:I,"&gt;="&amp;$H$1,JURNAL!I:I,"&lt;="&amp;$I$1)</f>
        <v>0</v>
      </c>
      <c r="Q220" s="11">
        <f>+SUMIFS(JURNAL!N:N,JURNAL!L:L,J220,JURNAL!J:J,"&gt;="&amp;$H$1,JURNAL!J:J,"&lt;="&amp;$I$1)</f>
        <v>0</v>
      </c>
      <c r="R220" s="11">
        <f>+SUMIFS(JURNAL!O:O,JURNAL!M:M,K220,JURNAL!K:K,"&gt;="&amp;$H$1,JURNAL!K:K,"&lt;="&amp;$I$1)</f>
        <v>0</v>
      </c>
      <c r="S220" s="11">
        <f>+SUMIFS(JURNAL!P:P,JURNAL!N:N,L220,JURNAL!L:L,"&gt;="&amp;$H$1,JURNAL!L:L,"&lt;="&amp;$I$1)</f>
        <v>0</v>
      </c>
      <c r="T220" s="11">
        <f>+SUMIFS(JURNAL!Q:Q,JURNAL!O:O,M220,JURNAL!M:M,"&gt;="&amp;$H$1,JURNAL!M:M,"&lt;="&amp;$I$1)</f>
        <v>0</v>
      </c>
      <c r="U220" s="11">
        <f ca="1">+SUMIFS(JURNAL!R:R,JURNAL!P:P,N220,JURNAL!N:N,"&gt;="&amp;$H$1,JURNAL!N:N,"&lt;="&amp;$I$1)</f>
        <v>0</v>
      </c>
      <c r="V220" s="11">
        <f ca="1">+SUMIFS(JURNAL!S:S,JURNAL!Q:Q,O220,JURNAL!O:O,"&gt;="&amp;$H$1,JURNAL!O:O,"&lt;="&amp;$I$1)</f>
        <v>0</v>
      </c>
      <c r="W220" s="11">
        <f ca="1">+SUMIFS(JURNAL!T:T,JURNAL!R:R,P220,JURNAL!P:P,"&gt;="&amp;$H$1,JURNAL!P:P,"&lt;="&amp;$I$1)</f>
        <v>0</v>
      </c>
      <c r="X220" s="11">
        <f ca="1">+SUMIFS(JURNAL!U:U,JURNAL!S:S,Q220,JURNAL!Q:Q,"&gt;="&amp;$H$1,JURNAL!Q:Q,"&lt;="&amp;$I$1)</f>
        <v>0</v>
      </c>
      <c r="Y220" s="11">
        <f ca="1">+SUMIFS(JURNAL!V:V,JURNAL!T:T,R220,JURNAL!R:R,"&gt;="&amp;$H$1,JURNAL!R:R,"&lt;="&amp;$I$1)</f>
        <v>0</v>
      </c>
      <c r="Z220" s="11">
        <f ca="1">+SUMIFS(JURNAL!W:W,JURNAL!U:U,S220,JURNAL!S:S,"&gt;="&amp;$H$1,JURNAL!S:S,"&lt;="&amp;$I$1)</f>
        <v>0</v>
      </c>
      <c r="AA220" s="11">
        <f ca="1">+SUMIFS(JURNAL!X:X,JURNAL!V:V,T220,JURNAL!T:T,"&gt;="&amp;$H$1,JURNAL!T:T,"&lt;="&amp;$I$1)</f>
        <v>0</v>
      </c>
      <c r="AC220" s="84"/>
      <c r="AD220" s="84"/>
      <c r="AE220" s="84"/>
      <c r="AF220" s="84"/>
    </row>
    <row r="221" spans="2:32" ht="12.75" customHeight="1">
      <c r="W221" s="41"/>
    </row>
    <row r="222" spans="2:32" ht="12.75" customHeight="1">
      <c r="T222" s="41">
        <f>+T217-U217</f>
        <v>0</v>
      </c>
      <c r="V222" s="41">
        <f>+V217-W217</f>
        <v>1.11083984375E-2</v>
      </c>
    </row>
  </sheetData>
  <sheetProtection password="DFC0" sheet="1" objects="1" scenarios="1"/>
  <autoFilter ref="A3:AF193"/>
  <mergeCells count="7">
    <mergeCell ref="R2:S2"/>
    <mergeCell ref="T2:U2"/>
    <mergeCell ref="V2:W2"/>
    <mergeCell ref="H2:I2"/>
    <mergeCell ref="J2:K2"/>
    <mergeCell ref="L2:M2"/>
    <mergeCell ref="N2:O2"/>
  </mergeCells>
  <conditionalFormatting sqref="B4:B189">
    <cfRule type="expression" dxfId="144" priority="4">
      <formula>$A4&lt;&gt;""</formula>
    </cfRule>
  </conditionalFormatting>
  <conditionalFormatting sqref="B4:B189">
    <cfRule type="expression" dxfId="143" priority="3">
      <formula>$B4&lt;&gt;""</formula>
    </cfRule>
  </conditionalFormatting>
  <conditionalFormatting sqref="B4:B215">
    <cfRule type="expression" dxfId="142" priority="2">
      <formula>$A4&lt;&gt;""</formula>
    </cfRule>
  </conditionalFormatting>
  <conditionalFormatting sqref="B4:B215">
    <cfRule type="expression" dxfId="141" priority="1">
      <formula>$B4&lt;&gt;""</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DATA!$J$4:$J$9</xm:f>
          </x14:formula1>
          <xm:sqref>E4:E188</xm:sqref>
        </x14:dataValidation>
      </x14:dataValidations>
    </ext>
  </extLst>
</worksheet>
</file>

<file path=xl/worksheets/sheet15.xml><?xml version="1.0" encoding="utf-8"?>
<worksheet xmlns="http://schemas.openxmlformats.org/spreadsheetml/2006/main" xmlns:r="http://schemas.openxmlformats.org/officeDocument/2006/relationships">
  <sheetPr>
    <tabColor rgb="FF00B0F0"/>
  </sheetPr>
  <dimension ref="A1:AJ222"/>
  <sheetViews>
    <sheetView workbookViewId="0">
      <pane xSplit="4" ySplit="3" topLeftCell="G4" activePane="bottomRight" state="frozen"/>
      <selection pane="topRight" activeCell="E1" sqref="E1"/>
      <selection pane="bottomLeft" activeCell="A4" sqref="A4"/>
      <selection pane="bottomRight" activeCell="A31" sqref="A31:XFD31"/>
    </sheetView>
  </sheetViews>
  <sheetFormatPr defaultRowHeight="12.75" customHeight="1"/>
  <cols>
    <col min="1" max="1" width="5.140625" style="1" customWidth="1"/>
    <col min="2" max="2" width="3.85546875" style="1" customWidth="1"/>
    <col min="3" max="3" width="8" style="1" customWidth="1"/>
    <col min="4" max="4" width="34.7109375" style="1" customWidth="1"/>
    <col min="5" max="5" width="8.42578125" style="2" customWidth="1"/>
    <col min="6" max="6" width="8.42578125" style="1" customWidth="1"/>
    <col min="7" max="7" width="8.5703125" style="1" customWidth="1"/>
    <col min="8" max="9" width="14.7109375" style="1" bestFit="1" customWidth="1"/>
    <col min="10" max="10" width="14.28515625" style="1" bestFit="1" customWidth="1"/>
    <col min="11" max="11" width="14" style="1" customWidth="1"/>
    <col min="12" max="13" width="14.28515625" style="1" bestFit="1" customWidth="1"/>
    <col min="14" max="14" width="12.42578125" style="1" customWidth="1"/>
    <col min="15" max="15" width="13.140625" style="1" customWidth="1"/>
    <col min="16" max="16" width="12.42578125" style="82" customWidth="1"/>
    <col min="17" max="17" width="12.42578125" style="1" customWidth="1"/>
    <col min="18" max="19" width="14.42578125" style="1" bestFit="1" customWidth="1"/>
    <col min="20" max="23" width="14.42578125" style="1" customWidth="1"/>
    <col min="24" max="27" width="6.28515625" style="1" customWidth="1"/>
    <col min="28" max="28" width="9.140625" style="1"/>
    <col min="29" max="31" width="15" style="231" bestFit="1" customWidth="1"/>
    <col min="32" max="32" width="14.7109375" style="231" bestFit="1" customWidth="1"/>
    <col min="33" max="33" width="13.28515625" style="231" customWidth="1"/>
    <col min="34" max="34" width="14.5703125" style="231" customWidth="1"/>
    <col min="35" max="35" width="12.85546875" style="1" bestFit="1" customWidth="1"/>
    <col min="36" max="16384" width="9.140625" style="1"/>
  </cols>
  <sheetData>
    <row r="1" spans="1:32" ht="12.75" customHeight="1">
      <c r="B1" s="95">
        <f>COUNT(B4:B5965)</f>
        <v>212</v>
      </c>
      <c r="C1" s="261" t="s">
        <v>1336</v>
      </c>
      <c r="E1" s="33"/>
      <c r="F1" s="110" t="s">
        <v>43</v>
      </c>
      <c r="G1" s="111"/>
      <c r="H1" s="112">
        <v>42917</v>
      </c>
      <c r="I1" s="112">
        <v>43008</v>
      </c>
    </row>
    <row r="2" spans="1:32" ht="12.75" customHeight="1">
      <c r="B2" s="61" t="s">
        <v>12</v>
      </c>
      <c r="C2" s="62" t="s">
        <v>13</v>
      </c>
      <c r="D2" s="62" t="s">
        <v>13</v>
      </c>
      <c r="E2" s="62" t="s">
        <v>29</v>
      </c>
      <c r="F2" s="63"/>
      <c r="G2" s="63"/>
      <c r="H2" s="936" t="s">
        <v>14</v>
      </c>
      <c r="I2" s="936"/>
      <c r="J2" s="936" t="s">
        <v>34</v>
      </c>
      <c r="K2" s="936"/>
      <c r="L2" s="936" t="s">
        <v>35</v>
      </c>
      <c r="M2" s="936"/>
      <c r="N2" s="936" t="s">
        <v>36</v>
      </c>
      <c r="O2" s="936"/>
      <c r="P2" s="307"/>
      <c r="Q2" s="63"/>
      <c r="R2" s="936" t="s">
        <v>15</v>
      </c>
      <c r="S2" s="936"/>
      <c r="T2" s="936" t="s">
        <v>37</v>
      </c>
      <c r="U2" s="936"/>
      <c r="V2" s="936" t="s">
        <v>38</v>
      </c>
      <c r="W2" s="936"/>
      <c r="X2" s="61" t="s">
        <v>0</v>
      </c>
      <c r="Y2" s="61" t="s">
        <v>0</v>
      </c>
      <c r="Z2" s="61" t="s">
        <v>0</v>
      </c>
      <c r="AA2" s="61" t="s">
        <v>0</v>
      </c>
    </row>
    <row r="3" spans="1:32" ht="12.75" customHeight="1">
      <c r="B3" s="61"/>
      <c r="C3" s="62" t="s">
        <v>16</v>
      </c>
      <c r="D3" s="62" t="s">
        <v>27</v>
      </c>
      <c r="E3" s="62" t="s">
        <v>28</v>
      </c>
      <c r="F3" s="117" t="s">
        <v>25</v>
      </c>
      <c r="G3" s="117" t="s">
        <v>26</v>
      </c>
      <c r="H3" s="62" t="s">
        <v>17</v>
      </c>
      <c r="I3" s="62" t="s">
        <v>18</v>
      </c>
      <c r="J3" s="62" t="s">
        <v>17</v>
      </c>
      <c r="K3" s="62" t="s">
        <v>18</v>
      </c>
      <c r="L3" s="62" t="s">
        <v>17</v>
      </c>
      <c r="M3" s="62" t="s">
        <v>18</v>
      </c>
      <c r="N3" s="62" t="s">
        <v>17</v>
      </c>
      <c r="O3" s="62" t="s">
        <v>18</v>
      </c>
      <c r="P3" s="308" t="s">
        <v>25</v>
      </c>
      <c r="Q3" s="117" t="s">
        <v>26</v>
      </c>
      <c r="R3" s="62" t="s">
        <v>17</v>
      </c>
      <c r="S3" s="62" t="s">
        <v>18</v>
      </c>
      <c r="T3" s="62" t="s">
        <v>17</v>
      </c>
      <c r="U3" s="62" t="s">
        <v>18</v>
      </c>
      <c r="V3" s="62" t="s">
        <v>17</v>
      </c>
      <c r="W3" s="62" t="s">
        <v>18</v>
      </c>
      <c r="X3" s="61" t="s">
        <v>287</v>
      </c>
      <c r="Y3" s="65" t="s">
        <v>288</v>
      </c>
      <c r="Z3" s="61" t="s">
        <v>19</v>
      </c>
      <c r="AA3" s="61" t="s">
        <v>20</v>
      </c>
    </row>
    <row r="4" spans="1:32" ht="12.75" customHeight="1">
      <c r="A4" s="24"/>
      <c r="B4" s="105">
        <v>1</v>
      </c>
      <c r="C4" s="5">
        <v>100100</v>
      </c>
      <c r="D4" s="119" t="s">
        <v>895</v>
      </c>
      <c r="E4" s="9" t="s">
        <v>32</v>
      </c>
      <c r="F4" s="6"/>
      <c r="G4" s="6"/>
      <c r="H4" s="11">
        <f>+STAT2!V4</f>
        <v>224810357.5710879</v>
      </c>
      <c r="I4" s="11">
        <f>+STAT2!W4</f>
        <v>0</v>
      </c>
      <c r="J4" s="11">
        <f>+SUMIFS(JURNAL!G:G,JURNAL!E:E,C4,JURNAL!C:C,"&gt;="&amp;$H$1,JURNAL!C:C,"&lt;="&amp;$I$1)</f>
        <v>185538450</v>
      </c>
      <c r="K4" s="11">
        <f>+SUMIFS(JURNAL!H:H,JURNAL!E:E,C4,JURNAL!C:C,"&gt;="&amp;$H$1,JURNAL!C:C,"&lt;="&amp;$I$1)</f>
        <v>57409903.530000001</v>
      </c>
      <c r="L4" s="26">
        <f>+IF((H4+J4)&gt;(I4+K4),(H4+J4)-(I4+K4),0)</f>
        <v>352938904.04108787</v>
      </c>
      <c r="M4" s="27">
        <f t="shared" ref="M4:M67" si="0">+IF((H4+J4)&lt;(I4+K4),(I4+K4)-(H4+J4),0)</f>
        <v>0</v>
      </c>
      <c r="N4" s="11"/>
      <c r="O4" s="183"/>
      <c r="P4" s="27"/>
      <c r="Q4" s="11"/>
      <c r="R4" s="26">
        <f>+IF((L4+N4)&gt;(M4+O4),(L4+N4)-(M4+O4),0)</f>
        <v>352938904.04108787</v>
      </c>
      <c r="S4" s="27">
        <f>+IF((L4+N4)&lt;(M4+O4),(M4+O4)-(L4+N4),0)</f>
        <v>0</v>
      </c>
      <c r="T4" s="11"/>
      <c r="U4" s="11"/>
      <c r="V4" s="417">
        <f>+IF((R4+T4)&gt;(S4+U4),(R4+T4)-(S4+U4),0)</f>
        <v>352938904.04108787</v>
      </c>
      <c r="W4" s="380">
        <f t="shared" ref="W4:W67" si="1">+IF((R4+T4)&lt;(S4+U4),(S4+U4)-(R4+T4),0)</f>
        <v>0</v>
      </c>
      <c r="X4" s="4">
        <v>1101</v>
      </c>
      <c r="Y4" s="4"/>
      <c r="Z4" s="6"/>
      <c r="AA4" s="12">
        <f>+IF(H4+I4+J4+K4+L4+M4+N4+O4+R4+S4+T4+U4+V4+W4,1,0)</f>
        <v>1</v>
      </c>
      <c r="AC4" s="80"/>
      <c r="AD4" s="80"/>
      <c r="AE4" s="80"/>
      <c r="AF4" s="80"/>
    </row>
    <row r="5" spans="1:32" ht="12.75" customHeight="1">
      <c r="A5" s="24"/>
      <c r="B5" s="105">
        <f>+B4+1</f>
        <v>2</v>
      </c>
      <c r="C5" s="3">
        <v>100200</v>
      </c>
      <c r="D5" s="119" t="s">
        <v>950</v>
      </c>
      <c r="E5" s="9" t="s">
        <v>30</v>
      </c>
      <c r="F5" s="118">
        <v>5645.1</v>
      </c>
      <c r="G5" s="118">
        <v>2489.5300000000002</v>
      </c>
      <c r="H5" s="11">
        <f>+STAT2!V5</f>
        <v>13816099.995000001</v>
      </c>
      <c r="I5" s="11">
        <f>+STAT2!W5</f>
        <v>0</v>
      </c>
      <c r="J5" s="11">
        <f>+SUMIFS(JURNAL!G:G,JURNAL!E:E,C5,JURNAL!C:C,"&gt;="&amp;$H$1,JURNAL!C:C,"&lt;="&amp;$I$1)</f>
        <v>0</v>
      </c>
      <c r="K5" s="11">
        <f>+SUMIFS(JURNAL!H:H,JURNAL!E:E,C5,JURNAL!C:C,"&gt;="&amp;$H$1,JURNAL!C:C,"&lt;="&amp;$I$1)</f>
        <v>0</v>
      </c>
      <c r="L5" s="26">
        <f t="shared" ref="L5:L68" si="2">+IF((H5+J5)&gt;(I5+K5),(H5+J5)-(I5+K5),0)</f>
        <v>13816099.995000001</v>
      </c>
      <c r="M5" s="27">
        <f t="shared" si="0"/>
        <v>0</v>
      </c>
      <c r="N5" s="11">
        <f>+P5*Q5-13816100</f>
        <v>95853.792999999598</v>
      </c>
      <c r="O5" s="183"/>
      <c r="P5" s="27">
        <f>+F5</f>
        <v>5645.1</v>
      </c>
      <c r="Q5" s="11">
        <v>2464.4299999999998</v>
      </c>
      <c r="R5" s="26">
        <f t="shared" ref="R5:R68" si="3">+IF((L5+N5)&gt;(M5+O5),(L5+N5)-(M5+O5),0)</f>
        <v>13911953.788000001</v>
      </c>
      <c r="S5" s="27">
        <f t="shared" ref="S5:S68" si="4">+IF((L5+N5)&lt;(M5+O5),(M5+O5)-(L5+N5),0)</f>
        <v>0</v>
      </c>
      <c r="T5" s="11"/>
      <c r="U5" s="11"/>
      <c r="V5" s="417">
        <f t="shared" ref="V5:V68" si="5">+IF((R5+T5)&gt;(S5+U5),(R5+T5)-(S5+U5),0)</f>
        <v>13911953.788000001</v>
      </c>
      <c r="W5" s="380">
        <f t="shared" si="1"/>
        <v>0</v>
      </c>
      <c r="X5" s="4">
        <v>1101</v>
      </c>
      <c r="Y5" s="4"/>
      <c r="Z5" s="4"/>
      <c r="AA5" s="12">
        <f t="shared" ref="AA5:AA68" si="6">+IF(H5+I5+J5+K5+L5+M5+N5+O5+R5+S5+T5+U5+V5+W5,1,0)</f>
        <v>1</v>
      </c>
      <c r="AC5" s="80"/>
      <c r="AD5" s="80"/>
      <c r="AE5" s="80"/>
      <c r="AF5" s="80"/>
    </row>
    <row r="6" spans="1:32" ht="12.75" customHeight="1">
      <c r="A6" s="24"/>
      <c r="B6" s="105">
        <f t="shared" ref="B6:B69" si="7">+B5+1</f>
        <v>3</v>
      </c>
      <c r="C6" s="5">
        <v>110100</v>
      </c>
      <c r="D6" s="119" t="s">
        <v>1661</v>
      </c>
      <c r="E6" s="9" t="s">
        <v>32</v>
      </c>
      <c r="F6" s="6"/>
      <c r="G6" s="6"/>
      <c r="H6" s="11">
        <f>+STAT2!V6</f>
        <v>469102.0000000298</v>
      </c>
      <c r="I6" s="11">
        <f>+STAT2!W6</f>
        <v>0</v>
      </c>
      <c r="J6" s="11">
        <f>+SUMIFS(JURNAL!G:G,JURNAL!E:E,C6,JURNAL!C:C,"&gt;="&amp;$H$1,JURNAL!C:C,"&lt;="&amp;$I$1)</f>
        <v>179744073.76999998</v>
      </c>
      <c r="K6" s="11">
        <f>+SUMIFS(JURNAL!H:H,JURNAL!E:E,C6,JURNAL!C:C,"&gt;="&amp;$H$1,JURNAL!C:C,"&lt;="&amp;$I$1)</f>
        <v>180137856.76999998</v>
      </c>
      <c r="L6" s="26">
        <f t="shared" si="2"/>
        <v>75319.000000029802</v>
      </c>
      <c r="M6" s="27">
        <f t="shared" si="0"/>
        <v>0</v>
      </c>
      <c r="N6" s="11"/>
      <c r="O6" s="183"/>
      <c r="P6" s="27">
        <f t="shared" ref="P6:P21" si="8">+F6</f>
        <v>0</v>
      </c>
      <c r="Q6" s="11"/>
      <c r="R6" s="26">
        <f t="shared" si="3"/>
        <v>75319.000000029802</v>
      </c>
      <c r="S6" s="27">
        <f t="shared" si="4"/>
        <v>0</v>
      </c>
      <c r="T6" s="11"/>
      <c r="U6" s="11"/>
      <c r="V6" s="417">
        <f t="shared" si="5"/>
        <v>75319.000000029802</v>
      </c>
      <c r="W6" s="380">
        <f t="shared" si="1"/>
        <v>0</v>
      </c>
      <c r="X6" s="4">
        <v>1101</v>
      </c>
      <c r="Y6" s="4"/>
      <c r="Z6" s="4"/>
      <c r="AA6" s="12">
        <f t="shared" si="6"/>
        <v>1</v>
      </c>
      <c r="AC6" s="80"/>
      <c r="AD6" s="80"/>
      <c r="AE6" s="80"/>
      <c r="AF6" s="80"/>
    </row>
    <row r="7" spans="1:32" ht="12.75" customHeight="1">
      <c r="A7" s="24"/>
      <c r="B7" s="105">
        <f t="shared" si="7"/>
        <v>4</v>
      </c>
      <c r="C7" s="6">
        <v>110102</v>
      </c>
      <c r="D7" s="119" t="s">
        <v>1662</v>
      </c>
      <c r="E7" s="9" t="s">
        <v>32</v>
      </c>
      <c r="F7" s="6"/>
      <c r="G7" s="6"/>
      <c r="H7" s="11">
        <f>+STAT2!V7</f>
        <v>16584.129999998957</v>
      </c>
      <c r="I7" s="11">
        <f>+STAT2!W7</f>
        <v>0</v>
      </c>
      <c r="J7" s="11">
        <f>+SUMIFS(JURNAL!G:G,JURNAL!E:E,C7,JURNAL!C:C,"&gt;="&amp;$H$1,JURNAL!C:C,"&lt;="&amp;$I$1)</f>
        <v>0</v>
      </c>
      <c r="K7" s="11">
        <f>+SUMIFS(JURNAL!H:H,JURNAL!E:E,C7,JURNAL!C:C,"&gt;="&amp;$H$1,JURNAL!C:C,"&lt;="&amp;$I$1)</f>
        <v>0</v>
      </c>
      <c r="L7" s="26">
        <f t="shared" si="2"/>
        <v>16584.129999998957</v>
      </c>
      <c r="M7" s="27">
        <f t="shared" si="0"/>
        <v>0</v>
      </c>
      <c r="N7" s="11"/>
      <c r="O7" s="183"/>
      <c r="P7" s="27">
        <f t="shared" si="8"/>
        <v>0</v>
      </c>
      <c r="Q7" s="11"/>
      <c r="R7" s="26">
        <f t="shared" si="3"/>
        <v>16584.129999998957</v>
      </c>
      <c r="S7" s="27">
        <f t="shared" si="4"/>
        <v>0</v>
      </c>
      <c r="T7" s="11"/>
      <c r="U7" s="11"/>
      <c r="V7" s="417">
        <f t="shared" si="5"/>
        <v>16584.129999998957</v>
      </c>
      <c r="W7" s="380">
        <f t="shared" si="1"/>
        <v>0</v>
      </c>
      <c r="X7" s="4">
        <v>1101</v>
      </c>
      <c r="Y7" s="4"/>
      <c r="Z7" s="4"/>
      <c r="AA7" s="12">
        <f t="shared" si="6"/>
        <v>1</v>
      </c>
      <c r="AC7" s="80"/>
      <c r="AD7" s="80"/>
      <c r="AE7" s="80"/>
      <c r="AF7" s="80"/>
    </row>
    <row r="8" spans="1:32" ht="12.75" customHeight="1">
      <c r="A8" s="24"/>
      <c r="B8" s="105">
        <f t="shared" si="7"/>
        <v>5</v>
      </c>
      <c r="C8" s="6">
        <v>110103</v>
      </c>
      <c r="D8" s="119" t="s">
        <v>1663</v>
      </c>
      <c r="E8" s="9" t="s">
        <v>32</v>
      </c>
      <c r="F8" s="6"/>
      <c r="G8" s="6"/>
      <c r="H8" s="11">
        <f>+STAT2!V8</f>
        <v>88499.17</v>
      </c>
      <c r="I8" s="11">
        <f>+STAT2!W8</f>
        <v>0</v>
      </c>
      <c r="J8" s="11">
        <f>+SUMIFS(JURNAL!G:G,JURNAL!E:E,C8,JURNAL!C:C,"&gt;="&amp;$H$1,JURNAL!C:C,"&lt;="&amp;$I$1)</f>
        <v>0</v>
      </c>
      <c r="K8" s="11">
        <f>+SUMIFS(JURNAL!H:H,JURNAL!E:E,C8,JURNAL!C:C,"&gt;="&amp;$H$1,JURNAL!C:C,"&lt;="&amp;$I$1)</f>
        <v>0</v>
      </c>
      <c r="L8" s="26">
        <f t="shared" si="2"/>
        <v>88499.17</v>
      </c>
      <c r="M8" s="27">
        <f t="shared" si="0"/>
        <v>0</v>
      </c>
      <c r="N8" s="11"/>
      <c r="O8" s="183"/>
      <c r="P8" s="27">
        <f t="shared" si="8"/>
        <v>0</v>
      </c>
      <c r="Q8" s="11"/>
      <c r="R8" s="26">
        <f t="shared" si="3"/>
        <v>88499.17</v>
      </c>
      <c r="S8" s="27">
        <f t="shared" si="4"/>
        <v>0</v>
      </c>
      <c r="T8" s="11"/>
      <c r="U8" s="11"/>
      <c r="V8" s="417">
        <f t="shared" si="5"/>
        <v>88499.17</v>
      </c>
      <c r="W8" s="380">
        <f t="shared" si="1"/>
        <v>0</v>
      </c>
      <c r="X8" s="4">
        <v>1101</v>
      </c>
      <c r="Y8" s="4"/>
      <c r="Z8" s="4"/>
      <c r="AA8" s="12">
        <f t="shared" si="6"/>
        <v>1</v>
      </c>
      <c r="AC8" s="80"/>
      <c r="AD8" s="80"/>
      <c r="AE8" s="80"/>
      <c r="AF8" s="80"/>
    </row>
    <row r="9" spans="1:32" ht="12.75" customHeight="1">
      <c r="A9" s="24"/>
      <c r="B9" s="105">
        <f t="shared" si="7"/>
        <v>6</v>
      </c>
      <c r="C9" s="6">
        <v>110104</v>
      </c>
      <c r="D9" s="119" t="s">
        <v>1664</v>
      </c>
      <c r="E9" s="9" t="s">
        <v>32</v>
      </c>
      <c r="F9" s="6"/>
      <c r="G9" s="6"/>
      <c r="H9" s="11">
        <f>+STAT2!V9</f>
        <v>27647.96</v>
      </c>
      <c r="I9" s="11">
        <f>+STAT2!W9</f>
        <v>0</v>
      </c>
      <c r="J9" s="11">
        <f>+SUMIFS(JURNAL!G:G,JURNAL!E:E,C9,JURNAL!C:C,"&gt;="&amp;$H$1,JURNAL!C:C,"&lt;="&amp;$I$1)</f>
        <v>0</v>
      </c>
      <c r="K9" s="11">
        <f>+SUMIFS(JURNAL!H:H,JURNAL!E:E,C9,JURNAL!C:C,"&gt;="&amp;$H$1,JURNAL!C:C,"&lt;="&amp;$I$1)</f>
        <v>0</v>
      </c>
      <c r="L9" s="26">
        <f t="shared" si="2"/>
        <v>27647.96</v>
      </c>
      <c r="M9" s="27">
        <f t="shared" si="0"/>
        <v>0</v>
      </c>
      <c r="N9" s="11"/>
      <c r="O9" s="183"/>
      <c r="P9" s="27">
        <f t="shared" si="8"/>
        <v>0</v>
      </c>
      <c r="Q9" s="11"/>
      <c r="R9" s="26">
        <f t="shared" si="3"/>
        <v>27647.96</v>
      </c>
      <c r="S9" s="27">
        <f t="shared" si="4"/>
        <v>0</v>
      </c>
      <c r="T9" s="11"/>
      <c r="U9" s="11"/>
      <c r="V9" s="417">
        <f t="shared" si="5"/>
        <v>27647.96</v>
      </c>
      <c r="W9" s="380">
        <f t="shared" si="1"/>
        <v>0</v>
      </c>
      <c r="X9" s="4">
        <v>1101</v>
      </c>
      <c r="Y9" s="4"/>
      <c r="Z9" s="4"/>
      <c r="AA9" s="12">
        <f t="shared" si="6"/>
        <v>1</v>
      </c>
      <c r="AC9" s="80"/>
      <c r="AD9" s="80"/>
      <c r="AE9" s="80"/>
      <c r="AF9" s="80"/>
    </row>
    <row r="10" spans="1:32" ht="12.75" customHeight="1">
      <c r="A10" s="24"/>
      <c r="B10" s="105">
        <f t="shared" si="7"/>
        <v>7</v>
      </c>
      <c r="C10" s="6">
        <v>110105</v>
      </c>
      <c r="D10" s="119" t="s">
        <v>1665</v>
      </c>
      <c r="E10" s="9" t="s">
        <v>32</v>
      </c>
      <c r="F10" s="6"/>
      <c r="G10" s="6"/>
      <c r="H10" s="11">
        <f>+STAT2!V10</f>
        <v>135889.92000000001</v>
      </c>
      <c r="I10" s="11">
        <f>+STAT2!W10</f>
        <v>0</v>
      </c>
      <c r="J10" s="11">
        <f>+SUMIFS(JURNAL!G:G,JURNAL!E:E,C10,JURNAL!C:C,"&gt;="&amp;$H$1,JURNAL!C:C,"&lt;="&amp;$I$1)</f>
        <v>0</v>
      </c>
      <c r="K10" s="11">
        <f>+SUMIFS(JURNAL!H:H,JURNAL!E:E,C10,JURNAL!C:C,"&gt;="&amp;$H$1,JURNAL!C:C,"&lt;="&amp;$I$1)</f>
        <v>0</v>
      </c>
      <c r="L10" s="26">
        <f t="shared" si="2"/>
        <v>135889.92000000001</v>
      </c>
      <c r="M10" s="27">
        <f t="shared" si="0"/>
        <v>0</v>
      </c>
      <c r="N10" s="11"/>
      <c r="O10" s="183"/>
      <c r="P10" s="27">
        <f t="shared" si="8"/>
        <v>0</v>
      </c>
      <c r="Q10" s="11"/>
      <c r="R10" s="26">
        <f t="shared" si="3"/>
        <v>135889.92000000001</v>
      </c>
      <c r="S10" s="27">
        <f t="shared" si="4"/>
        <v>0</v>
      </c>
      <c r="T10" s="11"/>
      <c r="U10" s="11"/>
      <c r="V10" s="417">
        <f t="shared" si="5"/>
        <v>135889.92000000001</v>
      </c>
      <c r="W10" s="380">
        <f t="shared" si="1"/>
        <v>0</v>
      </c>
      <c r="X10" s="4">
        <v>1101</v>
      </c>
      <c r="Y10" s="4"/>
      <c r="Z10" s="4"/>
      <c r="AA10" s="12">
        <f t="shared" si="6"/>
        <v>1</v>
      </c>
      <c r="AC10" s="80"/>
      <c r="AD10" s="80"/>
      <c r="AE10" s="80"/>
      <c r="AF10" s="80"/>
    </row>
    <row r="11" spans="1:32" ht="12.75" customHeight="1">
      <c r="A11" s="24"/>
      <c r="B11" s="105">
        <f t="shared" si="7"/>
        <v>8</v>
      </c>
      <c r="C11" s="6">
        <v>110200</v>
      </c>
      <c r="D11" s="119" t="s">
        <v>1666</v>
      </c>
      <c r="E11" s="9" t="s">
        <v>30</v>
      </c>
      <c r="F11" s="419">
        <v>7</v>
      </c>
      <c r="G11" s="419">
        <v>2349.87</v>
      </c>
      <c r="H11" s="11">
        <f>+STAT2!V11</f>
        <v>16449.09</v>
      </c>
      <c r="I11" s="11">
        <f>+STAT2!W11</f>
        <v>0</v>
      </c>
      <c r="J11" s="11">
        <f>+SUMIFS(JURNAL!G:G,JURNAL!E:E,C11,JURNAL!C:C,"&gt;="&amp;$H$1,JURNAL!C:C,"&lt;="&amp;$I$1)</f>
        <v>0</v>
      </c>
      <c r="K11" s="11">
        <f>+SUMIFS(JURNAL!H:H,JURNAL!E:E,C11,JURNAL!C:C,"&gt;="&amp;$H$1,JURNAL!C:C,"&lt;="&amp;$I$1)</f>
        <v>0</v>
      </c>
      <c r="L11" s="26">
        <f t="shared" si="2"/>
        <v>16449.09</v>
      </c>
      <c r="M11" s="27">
        <f t="shared" si="0"/>
        <v>0</v>
      </c>
      <c r="N11" s="11">
        <f>+P11*Q11-16449.09</f>
        <v>801.91999999999825</v>
      </c>
      <c r="O11" s="183"/>
      <c r="P11" s="27">
        <f t="shared" si="8"/>
        <v>7</v>
      </c>
      <c r="Q11" s="11">
        <v>2464.4299999999998</v>
      </c>
      <c r="R11" s="26">
        <f t="shared" si="3"/>
        <v>17251.009999999998</v>
      </c>
      <c r="S11" s="27">
        <f t="shared" si="4"/>
        <v>0</v>
      </c>
      <c r="T11" s="11"/>
      <c r="U11" s="11"/>
      <c r="V11" s="417">
        <f t="shared" si="5"/>
        <v>17251.009999999998</v>
      </c>
      <c r="W11" s="380">
        <f t="shared" si="1"/>
        <v>0</v>
      </c>
      <c r="X11" s="4">
        <v>1101</v>
      </c>
      <c r="Y11" s="4"/>
      <c r="Z11" s="4"/>
      <c r="AA11" s="12">
        <f t="shared" si="6"/>
        <v>1</v>
      </c>
      <c r="AC11" s="80"/>
      <c r="AD11" s="80"/>
      <c r="AE11" s="80"/>
      <c r="AF11" s="80"/>
    </row>
    <row r="12" spans="1:32" ht="12.75" customHeight="1">
      <c r="A12" s="24"/>
      <c r="B12" s="105">
        <f t="shared" si="7"/>
        <v>9</v>
      </c>
      <c r="C12" s="6">
        <v>110201</v>
      </c>
      <c r="D12" s="119" t="s">
        <v>1667</v>
      </c>
      <c r="E12" s="9" t="s">
        <v>30</v>
      </c>
      <c r="F12" s="419">
        <v>140</v>
      </c>
      <c r="G12" s="419">
        <v>2349.87</v>
      </c>
      <c r="H12" s="11">
        <f>+STAT2!V12</f>
        <v>328981.8</v>
      </c>
      <c r="I12" s="11">
        <f>+STAT2!W12</f>
        <v>0</v>
      </c>
      <c r="J12" s="11">
        <f>+SUMIFS(JURNAL!G:G,JURNAL!E:E,C12,JURNAL!C:C,"&gt;="&amp;$H$1,JURNAL!C:C,"&lt;="&amp;$I$1)</f>
        <v>0</v>
      </c>
      <c r="K12" s="11">
        <f>+SUMIFS(JURNAL!H:H,JURNAL!E:E,C12,JURNAL!C:C,"&gt;="&amp;$H$1,JURNAL!C:C,"&lt;="&amp;$I$1)</f>
        <v>0</v>
      </c>
      <c r="L12" s="26">
        <f t="shared" si="2"/>
        <v>328981.8</v>
      </c>
      <c r="M12" s="27">
        <f t="shared" si="0"/>
        <v>0</v>
      </c>
      <c r="N12" s="11">
        <v>16038.4</v>
      </c>
      <c r="O12" s="183"/>
      <c r="P12" s="27">
        <f t="shared" si="8"/>
        <v>140</v>
      </c>
      <c r="Q12" s="11">
        <v>2464.4299999999998</v>
      </c>
      <c r="R12" s="26">
        <f t="shared" si="3"/>
        <v>345020.2</v>
      </c>
      <c r="S12" s="27">
        <f t="shared" si="4"/>
        <v>0</v>
      </c>
      <c r="T12" s="11"/>
      <c r="U12" s="11"/>
      <c r="V12" s="417">
        <f t="shared" si="5"/>
        <v>345020.2</v>
      </c>
      <c r="W12" s="380">
        <f t="shared" si="1"/>
        <v>0</v>
      </c>
      <c r="X12" s="4">
        <v>1101</v>
      </c>
      <c r="Y12" s="4"/>
      <c r="Z12" s="4"/>
      <c r="AA12" s="12">
        <f t="shared" si="6"/>
        <v>1</v>
      </c>
      <c r="AC12" s="80"/>
      <c r="AD12" s="80"/>
      <c r="AE12" s="80"/>
      <c r="AF12" s="80"/>
    </row>
    <row r="13" spans="1:32" ht="12.75" customHeight="1">
      <c r="A13" s="24"/>
      <c r="B13" s="105">
        <f t="shared" si="7"/>
        <v>10</v>
      </c>
      <c r="C13" s="6">
        <v>110202</v>
      </c>
      <c r="D13" s="119" t="s">
        <v>1668</v>
      </c>
      <c r="E13" s="9" t="s">
        <v>30</v>
      </c>
      <c r="F13" s="419">
        <v>43.27</v>
      </c>
      <c r="G13" s="419">
        <v>2349.87</v>
      </c>
      <c r="H13" s="11">
        <f>+STAT2!V13</f>
        <v>101678.87490000001</v>
      </c>
      <c r="I13" s="11">
        <f>+STAT2!W13</f>
        <v>0</v>
      </c>
      <c r="J13" s="11">
        <f>+SUMIFS(JURNAL!G:G,JURNAL!E:E,C13,JURNAL!C:C,"&gt;="&amp;$H$1,JURNAL!C:C,"&lt;="&amp;$I$1)</f>
        <v>0</v>
      </c>
      <c r="K13" s="11">
        <f>+SUMIFS(JURNAL!H:H,JURNAL!E:E,C13,JURNAL!C:C,"&gt;="&amp;$H$1,JURNAL!C:C,"&lt;="&amp;$I$1)</f>
        <v>0</v>
      </c>
      <c r="L13" s="26">
        <f t="shared" si="2"/>
        <v>101678.87490000001</v>
      </c>
      <c r="M13" s="27">
        <f t="shared" si="0"/>
        <v>0</v>
      </c>
      <c r="N13" s="11">
        <v>4957.01</v>
      </c>
      <c r="O13" s="183"/>
      <c r="P13" s="27">
        <f t="shared" si="8"/>
        <v>43.27</v>
      </c>
      <c r="Q13" s="11">
        <v>2464.4299999999998</v>
      </c>
      <c r="R13" s="26">
        <f t="shared" si="3"/>
        <v>106635.8849</v>
      </c>
      <c r="S13" s="27">
        <f t="shared" si="4"/>
        <v>0</v>
      </c>
      <c r="T13" s="11"/>
      <c r="U13" s="11"/>
      <c r="V13" s="417">
        <f t="shared" si="5"/>
        <v>106635.8849</v>
      </c>
      <c r="W13" s="380">
        <f t="shared" si="1"/>
        <v>0</v>
      </c>
      <c r="X13" s="4">
        <v>1101</v>
      </c>
      <c r="Y13" s="4"/>
      <c r="Z13" s="4"/>
      <c r="AA13" s="12">
        <f t="shared" si="6"/>
        <v>1</v>
      </c>
      <c r="AC13" s="80"/>
      <c r="AD13" s="80"/>
      <c r="AE13" s="80"/>
      <c r="AF13" s="80"/>
    </row>
    <row r="14" spans="1:32" ht="12.75" customHeight="1">
      <c r="A14" s="24"/>
      <c r="B14" s="105">
        <f t="shared" si="7"/>
        <v>11</v>
      </c>
      <c r="C14" s="6">
        <v>110203</v>
      </c>
      <c r="D14" s="119" t="s">
        <v>1669</v>
      </c>
      <c r="E14" s="9" t="s">
        <v>30</v>
      </c>
      <c r="F14" s="419">
        <v>52.18</v>
      </c>
      <c r="G14" s="419">
        <v>2349.87</v>
      </c>
      <c r="H14" s="11">
        <f>+STAT2!V14</f>
        <v>122616.2166</v>
      </c>
      <c r="I14" s="11">
        <f>+STAT2!W14</f>
        <v>0</v>
      </c>
      <c r="J14" s="11">
        <f>+SUMIFS(JURNAL!G:G,JURNAL!E:E,C14,JURNAL!C:C,"&gt;="&amp;$H$1,JURNAL!C:C,"&lt;="&amp;$I$1)</f>
        <v>0</v>
      </c>
      <c r="K14" s="11">
        <f>+SUMIFS(JURNAL!H:H,JURNAL!E:E,C14,JURNAL!C:C,"&gt;="&amp;$H$1,JURNAL!C:C,"&lt;="&amp;$I$1)</f>
        <v>0</v>
      </c>
      <c r="L14" s="26">
        <f t="shared" si="2"/>
        <v>122616.2166</v>
      </c>
      <c r="M14" s="27">
        <f t="shared" si="0"/>
        <v>0</v>
      </c>
      <c r="N14" s="11">
        <v>5977.74</v>
      </c>
      <c r="O14" s="183"/>
      <c r="P14" s="27">
        <f t="shared" si="8"/>
        <v>52.18</v>
      </c>
      <c r="Q14" s="11">
        <v>2464.4299999999998</v>
      </c>
      <c r="R14" s="26">
        <f t="shared" si="3"/>
        <v>128593.9566</v>
      </c>
      <c r="S14" s="27">
        <f t="shared" si="4"/>
        <v>0</v>
      </c>
      <c r="T14" s="11"/>
      <c r="U14" s="11"/>
      <c r="V14" s="417">
        <f t="shared" si="5"/>
        <v>128593.9566</v>
      </c>
      <c r="W14" s="380">
        <f t="shared" si="1"/>
        <v>0</v>
      </c>
      <c r="X14" s="4">
        <v>1101</v>
      </c>
      <c r="Y14" s="4"/>
      <c r="Z14" s="4"/>
      <c r="AA14" s="12">
        <f t="shared" si="6"/>
        <v>1</v>
      </c>
      <c r="AC14" s="80"/>
      <c r="AD14" s="80"/>
      <c r="AE14" s="80"/>
      <c r="AF14" s="80"/>
    </row>
    <row r="15" spans="1:32" ht="12.75" customHeight="1">
      <c r="A15" s="24"/>
      <c r="B15" s="105">
        <f t="shared" si="7"/>
        <v>12</v>
      </c>
      <c r="C15" s="6">
        <v>110204</v>
      </c>
      <c r="D15" s="119" t="s">
        <v>1670</v>
      </c>
      <c r="E15" s="9" t="s">
        <v>30</v>
      </c>
      <c r="F15" s="419">
        <v>10.43</v>
      </c>
      <c r="G15" s="419">
        <v>2349.87</v>
      </c>
      <c r="H15" s="11">
        <f>+STAT2!V15</f>
        <v>24509.144099999998</v>
      </c>
      <c r="I15" s="11">
        <f>+STAT2!W15</f>
        <v>0</v>
      </c>
      <c r="J15" s="11">
        <f>+SUMIFS(JURNAL!G:G,JURNAL!E:E,C15,JURNAL!C:C,"&gt;="&amp;$H$1,JURNAL!C:C,"&lt;="&amp;$I$1)</f>
        <v>0</v>
      </c>
      <c r="K15" s="11">
        <f>+SUMIFS(JURNAL!H:H,JURNAL!E:E,C15,JURNAL!C:C,"&gt;="&amp;$H$1,JURNAL!C:C,"&lt;="&amp;$I$1)</f>
        <v>0</v>
      </c>
      <c r="L15" s="26">
        <f t="shared" si="2"/>
        <v>24509.144099999998</v>
      </c>
      <c r="M15" s="27">
        <f t="shared" si="0"/>
        <v>0</v>
      </c>
      <c r="N15" s="11">
        <v>7306.65</v>
      </c>
      <c r="O15" s="183"/>
      <c r="P15" s="27">
        <f t="shared" si="8"/>
        <v>10.43</v>
      </c>
      <c r="Q15" s="11">
        <v>2464.4299999999998</v>
      </c>
      <c r="R15" s="26">
        <f t="shared" si="3"/>
        <v>31815.794099999999</v>
      </c>
      <c r="S15" s="27">
        <f t="shared" si="4"/>
        <v>0</v>
      </c>
      <c r="T15" s="11"/>
      <c r="U15" s="11"/>
      <c r="V15" s="417">
        <f t="shared" si="5"/>
        <v>31815.794099999999</v>
      </c>
      <c r="W15" s="380">
        <f t="shared" si="1"/>
        <v>0</v>
      </c>
      <c r="X15" s="4">
        <v>1101</v>
      </c>
      <c r="Y15" s="4"/>
      <c r="Z15" s="4"/>
      <c r="AA15" s="12">
        <f t="shared" si="6"/>
        <v>1</v>
      </c>
      <c r="AC15" s="80"/>
      <c r="AD15" s="80"/>
      <c r="AE15" s="80"/>
      <c r="AF15" s="80"/>
    </row>
    <row r="16" spans="1:32" ht="12.75" customHeight="1">
      <c r="A16" s="24"/>
      <c r="B16" s="105">
        <f t="shared" si="7"/>
        <v>13</v>
      </c>
      <c r="C16" s="6">
        <v>110300</v>
      </c>
      <c r="D16" s="330" t="s">
        <v>1671</v>
      </c>
      <c r="E16" s="9" t="s">
        <v>31</v>
      </c>
      <c r="F16" s="419">
        <v>250</v>
      </c>
      <c r="G16" s="419">
        <v>42.16</v>
      </c>
      <c r="H16" s="11">
        <f>+STAT2!V16</f>
        <v>10540</v>
      </c>
      <c r="I16" s="11">
        <f>+STAT2!W16</f>
        <v>0</v>
      </c>
      <c r="J16" s="11">
        <f>+SUMIFS(JURNAL!G:G,JURNAL!E:E,C16,JURNAL!C:C,"&gt;="&amp;$H$1,JURNAL!C:C,"&lt;="&amp;$I$1)</f>
        <v>0</v>
      </c>
      <c r="K16" s="11">
        <f>+SUMIFS(JURNAL!H:H,JURNAL!E:E,C16,JURNAL!C:C,"&gt;="&amp;$H$1,JURNAL!C:C,"&lt;="&amp;$I$1)</f>
        <v>0</v>
      </c>
      <c r="L16" s="26">
        <f t="shared" si="2"/>
        <v>10540</v>
      </c>
      <c r="M16" s="27">
        <f t="shared" si="0"/>
        <v>0</v>
      </c>
      <c r="N16" s="11">
        <f>250*42.52-10540</f>
        <v>90</v>
      </c>
      <c r="O16" s="183"/>
      <c r="P16" s="27">
        <f t="shared" si="8"/>
        <v>250</v>
      </c>
      <c r="Q16" s="11">
        <v>42.52</v>
      </c>
      <c r="R16" s="26">
        <f t="shared" si="3"/>
        <v>10630</v>
      </c>
      <c r="S16" s="27">
        <f t="shared" si="4"/>
        <v>0</v>
      </c>
      <c r="T16" s="11"/>
      <c r="U16" s="11"/>
      <c r="V16" s="417">
        <f t="shared" si="5"/>
        <v>10630</v>
      </c>
      <c r="W16" s="380">
        <f t="shared" si="1"/>
        <v>0</v>
      </c>
      <c r="X16" s="4">
        <v>1101</v>
      </c>
      <c r="Y16" s="4"/>
      <c r="Z16" s="4"/>
      <c r="AA16" s="12">
        <f t="shared" si="6"/>
        <v>1</v>
      </c>
      <c r="AC16" s="80"/>
      <c r="AD16" s="80"/>
      <c r="AE16" s="80"/>
      <c r="AF16" s="80"/>
    </row>
    <row r="17" spans="1:32" ht="12.75" customHeight="1">
      <c r="A17" s="24"/>
      <c r="B17" s="105">
        <f t="shared" si="7"/>
        <v>14</v>
      </c>
      <c r="C17" s="6">
        <v>900100</v>
      </c>
      <c r="D17" s="118" t="s">
        <v>951</v>
      </c>
      <c r="E17" s="9" t="s">
        <v>32</v>
      </c>
      <c r="F17" s="6"/>
      <c r="G17" s="6"/>
      <c r="H17" s="11">
        <f>+STAT2!V17</f>
        <v>0</v>
      </c>
      <c r="I17" s="11">
        <f>+STAT2!W17</f>
        <v>0</v>
      </c>
      <c r="J17" s="11">
        <f>+SUMIFS(JURNAL!G:G,JURNAL!E:E,C17,JURNAL!C:C,"&gt;="&amp;$H$1,JURNAL!C:C,"&lt;="&amp;$I$1)</f>
        <v>0</v>
      </c>
      <c r="K17" s="11">
        <f>+SUMIFS(JURNAL!H:H,JURNAL!E:E,C17,JURNAL!C:C,"&gt;="&amp;$H$1,JURNAL!C:C,"&lt;="&amp;$I$1)</f>
        <v>0</v>
      </c>
      <c r="L17" s="26">
        <f t="shared" si="2"/>
        <v>0</v>
      </c>
      <c r="M17" s="27">
        <f t="shared" si="0"/>
        <v>0</v>
      </c>
      <c r="N17" s="11"/>
      <c r="O17" s="183"/>
      <c r="P17" s="27">
        <f t="shared" si="8"/>
        <v>0</v>
      </c>
      <c r="Q17" s="11"/>
      <c r="R17" s="26">
        <f t="shared" si="3"/>
        <v>0</v>
      </c>
      <c r="S17" s="27">
        <f t="shared" si="4"/>
        <v>0</v>
      </c>
      <c r="T17" s="11"/>
      <c r="U17" s="11"/>
      <c r="V17" s="417">
        <f t="shared" si="5"/>
        <v>0</v>
      </c>
      <c r="W17" s="380">
        <f t="shared" si="1"/>
        <v>0</v>
      </c>
      <c r="X17" s="4">
        <v>1101</v>
      </c>
      <c r="Y17" s="4"/>
      <c r="Z17" s="4"/>
      <c r="AA17" s="12">
        <f t="shared" si="6"/>
        <v>0</v>
      </c>
      <c r="AC17" s="80"/>
      <c r="AD17" s="80"/>
      <c r="AE17" s="80"/>
      <c r="AF17" s="80"/>
    </row>
    <row r="18" spans="1:32" ht="12.75" customHeight="1">
      <c r="A18" s="24"/>
      <c r="B18" s="105">
        <f t="shared" si="7"/>
        <v>15</v>
      </c>
      <c r="C18" s="6">
        <v>120100</v>
      </c>
      <c r="D18" s="118" t="s">
        <v>952</v>
      </c>
      <c r="E18" s="9" t="s">
        <v>32</v>
      </c>
      <c r="F18" s="6"/>
      <c r="G18" s="6"/>
      <c r="H18" s="11">
        <f>+STAT2!V18</f>
        <v>2644403.0013439916</v>
      </c>
      <c r="I18" s="11">
        <f>+STAT2!W18</f>
        <v>0</v>
      </c>
      <c r="J18" s="11">
        <f>+SUMIFS(JURNAL!G:G,JURNAL!E:E,C18,JURNAL!C:C,"&gt;="&amp;$H$1,JURNAL!C:C,"&lt;="&amp;$I$1)</f>
        <v>9629180</v>
      </c>
      <c r="K18" s="11">
        <f>+SUMIFS(JURNAL!H:H,JURNAL!E:E,C18,JURNAL!C:C,"&gt;="&amp;$H$1,JURNAL!C:C,"&lt;="&amp;$I$1)</f>
        <v>9629179.9991750009</v>
      </c>
      <c r="L18" s="26">
        <f t="shared" si="2"/>
        <v>2644403.0021689907</v>
      </c>
      <c r="M18" s="27">
        <f t="shared" si="0"/>
        <v>0</v>
      </c>
      <c r="N18" s="11"/>
      <c r="O18" s="183"/>
      <c r="P18" s="27">
        <f t="shared" si="8"/>
        <v>0</v>
      </c>
      <c r="Q18" s="11"/>
      <c r="R18" s="26">
        <f t="shared" si="3"/>
        <v>2644403.0021689907</v>
      </c>
      <c r="S18" s="27">
        <f t="shared" si="4"/>
        <v>0</v>
      </c>
      <c r="T18" s="11"/>
      <c r="U18" s="11"/>
      <c r="V18" s="417">
        <f t="shared" si="5"/>
        <v>2644403.0021689907</v>
      </c>
      <c r="W18" s="380">
        <f t="shared" si="1"/>
        <v>0</v>
      </c>
      <c r="X18" s="4">
        <v>1102</v>
      </c>
      <c r="Y18" s="4"/>
      <c r="Z18" s="4"/>
      <c r="AA18" s="12">
        <f t="shared" si="6"/>
        <v>1</v>
      </c>
      <c r="AC18" s="80"/>
      <c r="AD18" s="80"/>
      <c r="AE18" s="80"/>
      <c r="AF18" s="80"/>
    </row>
    <row r="19" spans="1:32" ht="12.75" customHeight="1">
      <c r="A19" s="24"/>
      <c r="B19" s="105">
        <f t="shared" si="7"/>
        <v>16</v>
      </c>
      <c r="C19" s="6">
        <v>120201</v>
      </c>
      <c r="D19" s="118" t="s">
        <v>953</v>
      </c>
      <c r="E19" s="9" t="s">
        <v>30</v>
      </c>
      <c r="F19" s="6"/>
      <c r="G19" s="6"/>
      <c r="H19" s="11">
        <f>+STAT2!V19</f>
        <v>0</v>
      </c>
      <c r="I19" s="11">
        <f>+STAT2!W19</f>
        <v>0</v>
      </c>
      <c r="J19" s="11">
        <f>+SUMIFS(JURNAL!G:G,JURNAL!E:E,C19,JURNAL!C:C,"&gt;="&amp;$H$1,JURNAL!C:C,"&lt;="&amp;$I$1)</f>
        <v>0</v>
      </c>
      <c r="K19" s="11">
        <f>+SUMIFS(JURNAL!H:H,JURNAL!E:E,C19,JURNAL!C:C,"&gt;="&amp;$H$1,JURNAL!C:C,"&lt;="&amp;$I$1)</f>
        <v>0</v>
      </c>
      <c r="L19" s="26">
        <f t="shared" si="2"/>
        <v>0</v>
      </c>
      <c r="M19" s="27">
        <f t="shared" si="0"/>
        <v>0</v>
      </c>
      <c r="N19" s="11"/>
      <c r="O19" s="183"/>
      <c r="P19" s="27">
        <f t="shared" si="8"/>
        <v>0</v>
      </c>
      <c r="Q19" s="11"/>
      <c r="R19" s="26">
        <f t="shared" si="3"/>
        <v>0</v>
      </c>
      <c r="S19" s="27">
        <f t="shared" si="4"/>
        <v>0</v>
      </c>
      <c r="T19" s="11"/>
      <c r="U19" s="11"/>
      <c r="V19" s="417">
        <f t="shared" si="5"/>
        <v>0</v>
      </c>
      <c r="W19" s="380">
        <f t="shared" si="1"/>
        <v>0</v>
      </c>
      <c r="X19" s="4">
        <v>1102</v>
      </c>
      <c r="Y19" s="4"/>
      <c r="Z19" s="4"/>
      <c r="AA19" s="12">
        <f t="shared" si="6"/>
        <v>0</v>
      </c>
      <c r="AC19" s="80"/>
      <c r="AD19" s="80"/>
      <c r="AE19" s="80"/>
      <c r="AF19" s="80"/>
    </row>
    <row r="20" spans="1:32" ht="12.75" customHeight="1">
      <c r="A20" s="24"/>
      <c r="B20" s="105">
        <f t="shared" si="7"/>
        <v>17</v>
      </c>
      <c r="C20" s="6">
        <v>120200</v>
      </c>
      <c r="D20" s="118" t="s">
        <v>954</v>
      </c>
      <c r="E20" s="9" t="s">
        <v>32</v>
      </c>
      <c r="F20" s="6"/>
      <c r="G20" s="6"/>
      <c r="H20" s="11">
        <f>+STAT2!V20</f>
        <v>0</v>
      </c>
      <c r="I20" s="11">
        <f>+STAT2!W20</f>
        <v>0</v>
      </c>
      <c r="J20" s="11">
        <f>+SUMIFS(JURNAL!G:G,JURNAL!E:E,C20,JURNAL!C:C,"&gt;="&amp;$H$1,JURNAL!C:C,"&lt;="&amp;$I$1)</f>
        <v>0</v>
      </c>
      <c r="K20" s="11">
        <f>+SUMIFS(JURNAL!H:H,JURNAL!E:E,C20,JURNAL!C:C,"&gt;="&amp;$H$1,JURNAL!C:C,"&lt;="&amp;$I$1)</f>
        <v>0</v>
      </c>
      <c r="L20" s="26">
        <f t="shared" si="2"/>
        <v>0</v>
      </c>
      <c r="M20" s="27">
        <f t="shared" si="0"/>
        <v>0</v>
      </c>
      <c r="N20" s="11"/>
      <c r="O20" s="183"/>
      <c r="P20" s="27">
        <f t="shared" si="8"/>
        <v>0</v>
      </c>
      <c r="Q20" s="11"/>
      <c r="R20" s="26">
        <f t="shared" si="3"/>
        <v>0</v>
      </c>
      <c r="S20" s="27">
        <f t="shared" si="4"/>
        <v>0</v>
      </c>
      <c r="T20" s="11"/>
      <c r="U20" s="11"/>
      <c r="V20" s="417">
        <f t="shared" si="5"/>
        <v>0</v>
      </c>
      <c r="W20" s="380">
        <f t="shared" si="1"/>
        <v>0</v>
      </c>
      <c r="X20" s="4">
        <v>1102</v>
      </c>
      <c r="Y20" s="4"/>
      <c r="Z20" s="4"/>
      <c r="AA20" s="12">
        <f t="shared" si="6"/>
        <v>0</v>
      </c>
      <c r="AC20" s="80"/>
      <c r="AD20" s="80"/>
      <c r="AE20" s="80"/>
      <c r="AF20" s="80"/>
    </row>
    <row r="21" spans="1:32" ht="12.75" customHeight="1">
      <c r="A21" s="24"/>
      <c r="B21" s="105">
        <f t="shared" si="7"/>
        <v>18</v>
      </c>
      <c r="C21" s="6">
        <v>120201</v>
      </c>
      <c r="D21" s="118" t="s">
        <v>955</v>
      </c>
      <c r="E21" s="9" t="s">
        <v>30</v>
      </c>
      <c r="F21" s="6"/>
      <c r="G21" s="6"/>
      <c r="H21" s="11">
        <f>+STAT2!V21</f>
        <v>0</v>
      </c>
      <c r="I21" s="11">
        <f>+STAT2!W21</f>
        <v>0</v>
      </c>
      <c r="J21" s="11">
        <f>+SUMIFS(JURNAL!G:G,JURNAL!E:E,C21,JURNAL!C:C,"&gt;="&amp;$H$1,JURNAL!C:C,"&lt;="&amp;$I$1)</f>
        <v>0</v>
      </c>
      <c r="K21" s="11">
        <f>+SUMIFS(JURNAL!H:H,JURNAL!E:E,C21,JURNAL!C:C,"&gt;="&amp;$H$1,JURNAL!C:C,"&lt;="&amp;$I$1)</f>
        <v>0</v>
      </c>
      <c r="L21" s="26">
        <f t="shared" si="2"/>
        <v>0</v>
      </c>
      <c r="M21" s="27">
        <f t="shared" si="0"/>
        <v>0</v>
      </c>
      <c r="N21" s="11"/>
      <c r="O21" s="183"/>
      <c r="P21" s="27">
        <f t="shared" si="8"/>
        <v>0</v>
      </c>
      <c r="Q21" s="11"/>
      <c r="R21" s="26">
        <f t="shared" si="3"/>
        <v>0</v>
      </c>
      <c r="S21" s="27">
        <f t="shared" si="4"/>
        <v>0</v>
      </c>
      <c r="T21" s="11"/>
      <c r="U21" s="11"/>
      <c r="V21" s="417">
        <f t="shared" si="5"/>
        <v>0</v>
      </c>
      <c r="W21" s="380">
        <f t="shared" si="1"/>
        <v>0</v>
      </c>
      <c r="X21" s="4">
        <v>1102</v>
      </c>
      <c r="Y21" s="4"/>
      <c r="Z21" s="4"/>
      <c r="AA21" s="12">
        <f t="shared" si="6"/>
        <v>0</v>
      </c>
      <c r="AC21" s="80"/>
      <c r="AD21" s="80"/>
      <c r="AE21" s="80"/>
      <c r="AF21" s="80"/>
    </row>
    <row r="22" spans="1:32" ht="12.75" customHeight="1">
      <c r="A22" s="24"/>
      <c r="B22" s="105">
        <f t="shared" si="7"/>
        <v>19</v>
      </c>
      <c r="C22" s="6">
        <v>120202</v>
      </c>
      <c r="D22" s="118" t="s">
        <v>956</v>
      </c>
      <c r="E22" s="9" t="s">
        <v>32</v>
      </c>
      <c r="F22" s="6"/>
      <c r="G22" s="6"/>
      <c r="H22" s="11">
        <f>+STAT2!V22</f>
        <v>0</v>
      </c>
      <c r="I22" s="11">
        <f>+STAT2!W22</f>
        <v>0</v>
      </c>
      <c r="J22" s="11">
        <f>+SUMIFS(JURNAL!G:G,JURNAL!E:E,C22,JURNAL!C:C,"&gt;="&amp;$H$1,JURNAL!C:C,"&lt;="&amp;$I$1)</f>
        <v>0</v>
      </c>
      <c r="K22" s="11">
        <f>+SUMIFS(JURNAL!H:H,JURNAL!E:E,C22,JURNAL!C:C,"&gt;="&amp;$H$1,JURNAL!C:C,"&lt;="&amp;$I$1)</f>
        <v>0</v>
      </c>
      <c r="L22" s="26">
        <f t="shared" si="2"/>
        <v>0</v>
      </c>
      <c r="M22" s="27">
        <f t="shared" si="0"/>
        <v>0</v>
      </c>
      <c r="N22" s="11"/>
      <c r="O22" s="183"/>
      <c r="P22" s="27"/>
      <c r="Q22" s="11"/>
      <c r="R22" s="26">
        <f t="shared" si="3"/>
        <v>0</v>
      </c>
      <c r="S22" s="27">
        <f t="shared" si="4"/>
        <v>0</v>
      </c>
      <c r="T22" s="11"/>
      <c r="U22" s="11"/>
      <c r="V22" s="417">
        <f t="shared" si="5"/>
        <v>0</v>
      </c>
      <c r="W22" s="380">
        <f t="shared" si="1"/>
        <v>0</v>
      </c>
      <c r="X22" s="4">
        <v>1102</v>
      </c>
      <c r="Y22" s="4"/>
      <c r="Z22" s="4"/>
      <c r="AA22" s="12">
        <f t="shared" si="6"/>
        <v>0</v>
      </c>
      <c r="AC22" s="80"/>
      <c r="AD22" s="80"/>
      <c r="AE22" s="80"/>
      <c r="AF22" s="80"/>
    </row>
    <row r="23" spans="1:32" ht="12.75" customHeight="1">
      <c r="A23" s="24"/>
      <c r="B23" s="105">
        <f t="shared" si="7"/>
        <v>20</v>
      </c>
      <c r="C23" s="6">
        <v>120400</v>
      </c>
      <c r="D23" s="118" t="s">
        <v>549</v>
      </c>
      <c r="E23" s="9" t="s">
        <v>32</v>
      </c>
      <c r="F23" s="6"/>
      <c r="G23" s="6"/>
      <c r="H23" s="11">
        <f>+STAT2!V23</f>
        <v>0</v>
      </c>
      <c r="I23" s="11">
        <f>+STAT2!W23</f>
        <v>0</v>
      </c>
      <c r="J23" s="11">
        <f>+SUMIFS(JURNAL!G:G,JURNAL!E:E,C23,JURNAL!C:C,"&gt;="&amp;$H$1,JURNAL!C:C,"&lt;="&amp;$I$1)</f>
        <v>0</v>
      </c>
      <c r="K23" s="11">
        <f>+SUMIFS(JURNAL!H:H,JURNAL!E:E,C23,JURNAL!C:C,"&gt;="&amp;$H$1,JURNAL!C:C,"&lt;="&amp;$I$1)</f>
        <v>0</v>
      </c>
      <c r="L23" s="26">
        <f t="shared" si="2"/>
        <v>0</v>
      </c>
      <c r="M23" s="27">
        <f t="shared" si="0"/>
        <v>0</v>
      </c>
      <c r="N23" s="11"/>
      <c r="O23" s="183"/>
      <c r="P23" s="27"/>
      <c r="Q23" s="11"/>
      <c r="R23" s="26">
        <f t="shared" si="3"/>
        <v>0</v>
      </c>
      <c r="S23" s="27">
        <f t="shared" si="4"/>
        <v>0</v>
      </c>
      <c r="T23" s="11"/>
      <c r="U23" s="11"/>
      <c r="V23" s="417">
        <f t="shared" si="5"/>
        <v>0</v>
      </c>
      <c r="W23" s="380">
        <f t="shared" si="1"/>
        <v>0</v>
      </c>
      <c r="X23" s="4">
        <v>1104</v>
      </c>
      <c r="Y23" s="4"/>
      <c r="Z23" s="4"/>
      <c r="AA23" s="12">
        <f t="shared" si="6"/>
        <v>0</v>
      </c>
      <c r="AC23" s="80"/>
      <c r="AD23" s="80"/>
      <c r="AE23" s="80"/>
      <c r="AF23" s="80"/>
    </row>
    <row r="24" spans="1:32" ht="12.75" customHeight="1">
      <c r="A24" s="24"/>
      <c r="B24" s="105">
        <f t="shared" si="7"/>
        <v>21</v>
      </c>
      <c r="C24" s="6">
        <v>120401</v>
      </c>
      <c r="D24" s="118" t="s">
        <v>957</v>
      </c>
      <c r="E24" s="9" t="s">
        <v>30</v>
      </c>
      <c r="F24" s="6"/>
      <c r="G24" s="6"/>
      <c r="H24" s="11">
        <f>+STAT2!V24</f>
        <v>0</v>
      </c>
      <c r="I24" s="11">
        <f>+STAT2!W24</f>
        <v>0</v>
      </c>
      <c r="J24" s="11">
        <f>+SUMIFS(JURNAL!G:G,JURNAL!E:E,C24,JURNAL!C:C,"&gt;="&amp;$H$1,JURNAL!C:C,"&lt;="&amp;$I$1)</f>
        <v>0</v>
      </c>
      <c r="K24" s="11">
        <f>+SUMIFS(JURNAL!H:H,JURNAL!E:E,C24,JURNAL!C:C,"&gt;="&amp;$H$1,JURNAL!C:C,"&lt;="&amp;$I$1)</f>
        <v>0</v>
      </c>
      <c r="L24" s="26">
        <f t="shared" si="2"/>
        <v>0</v>
      </c>
      <c r="M24" s="27">
        <f t="shared" si="0"/>
        <v>0</v>
      </c>
      <c r="N24" s="11"/>
      <c r="O24" s="183"/>
      <c r="P24" s="27"/>
      <c r="Q24" s="11"/>
      <c r="R24" s="26">
        <f t="shared" si="3"/>
        <v>0</v>
      </c>
      <c r="S24" s="27">
        <f t="shared" si="4"/>
        <v>0</v>
      </c>
      <c r="T24" s="11"/>
      <c r="U24" s="11"/>
      <c r="V24" s="417">
        <f t="shared" si="5"/>
        <v>0</v>
      </c>
      <c r="W24" s="380">
        <f t="shared" si="1"/>
        <v>0</v>
      </c>
      <c r="X24" s="4">
        <v>1104</v>
      </c>
      <c r="Y24" s="4"/>
      <c r="Z24" s="4"/>
      <c r="AA24" s="12">
        <f t="shared" si="6"/>
        <v>0</v>
      </c>
      <c r="AC24" s="80"/>
      <c r="AD24" s="80"/>
      <c r="AE24" s="80"/>
      <c r="AF24" s="80"/>
    </row>
    <row r="25" spans="1:32" ht="12.75" customHeight="1">
      <c r="A25" s="24"/>
      <c r="B25" s="105">
        <f t="shared" si="7"/>
        <v>22</v>
      </c>
      <c r="C25" s="6">
        <v>120600</v>
      </c>
      <c r="D25" s="118" t="s">
        <v>554</v>
      </c>
      <c r="E25" s="9" t="s">
        <v>32</v>
      </c>
      <c r="F25" s="6"/>
      <c r="G25" s="6"/>
      <c r="H25" s="11">
        <f>+STAT2!V25</f>
        <v>4.8904549330472946E-3</v>
      </c>
      <c r="I25" s="11">
        <f>+STAT2!W25</f>
        <v>0</v>
      </c>
      <c r="J25" s="11">
        <f>+SUMIFS(JURNAL!G:G,JURNAL!E:E,C25,JURNAL!C:C,"&gt;="&amp;$H$1,JURNAL!C:C,"&lt;="&amp;$I$1)</f>
        <v>1414555.1190000002</v>
      </c>
      <c r="K25" s="11">
        <f>+SUMIFS(JURNAL!H:H,JURNAL!E:E,C25,JURNAL!C:C,"&gt;="&amp;$H$1,JURNAL!C:C,"&lt;="&amp;$I$1)</f>
        <v>0</v>
      </c>
      <c r="L25" s="26">
        <f t="shared" si="2"/>
        <v>1414555.1238904551</v>
      </c>
      <c r="M25" s="27">
        <f t="shared" si="0"/>
        <v>0</v>
      </c>
      <c r="N25" s="11"/>
      <c r="O25" s="183">
        <v>1414555.12</v>
      </c>
      <c r="P25" s="27"/>
      <c r="Q25" s="11"/>
      <c r="R25" s="26">
        <f t="shared" si="3"/>
        <v>3.8904550019651651E-3</v>
      </c>
      <c r="S25" s="27">
        <f t="shared" si="4"/>
        <v>0</v>
      </c>
      <c r="T25" s="11"/>
      <c r="U25" s="11"/>
      <c r="V25" s="417">
        <f t="shared" si="5"/>
        <v>3.8904550019651651E-3</v>
      </c>
      <c r="W25" s="380">
        <f t="shared" si="1"/>
        <v>0</v>
      </c>
      <c r="X25" s="4">
        <v>1103</v>
      </c>
      <c r="Y25" s="4"/>
      <c r="Z25" s="4"/>
      <c r="AA25" s="12">
        <f t="shared" si="6"/>
        <v>1</v>
      </c>
      <c r="AC25" s="80"/>
      <c r="AD25" s="80"/>
      <c r="AE25" s="80"/>
      <c r="AF25" s="80"/>
    </row>
    <row r="26" spans="1:32" ht="12.75" customHeight="1">
      <c r="A26" s="24"/>
      <c r="B26" s="105">
        <f t="shared" si="7"/>
        <v>23</v>
      </c>
      <c r="C26" s="6">
        <v>120700</v>
      </c>
      <c r="D26" s="118" t="s">
        <v>559</v>
      </c>
      <c r="E26" s="9" t="s">
        <v>32</v>
      </c>
      <c r="F26" s="6"/>
      <c r="G26" s="6"/>
      <c r="H26" s="11">
        <f>+STAT2!V26</f>
        <v>99989.61</v>
      </c>
      <c r="I26" s="11">
        <f>+STAT2!W26</f>
        <v>0</v>
      </c>
      <c r="J26" s="11">
        <f>+SUMIFS(JURNAL!G:G,JURNAL!E:E,C26,JURNAL!C:C,"&gt;="&amp;$H$1,JURNAL!C:C,"&lt;="&amp;$I$1)</f>
        <v>0</v>
      </c>
      <c r="K26" s="11">
        <f>+SUMIFS(JURNAL!H:H,JURNAL!E:E,C26,JURNAL!C:C,"&gt;="&amp;$H$1,JURNAL!C:C,"&lt;="&amp;$I$1)</f>
        <v>0</v>
      </c>
      <c r="L26" s="26">
        <f t="shared" si="2"/>
        <v>99989.61</v>
      </c>
      <c r="M26" s="27">
        <f t="shared" si="0"/>
        <v>0</v>
      </c>
      <c r="N26" s="11"/>
      <c r="O26" s="183"/>
      <c r="P26" s="27"/>
      <c r="Q26" s="11"/>
      <c r="R26" s="26">
        <f t="shared" si="3"/>
        <v>99989.61</v>
      </c>
      <c r="S26" s="27">
        <f t="shared" si="4"/>
        <v>0</v>
      </c>
      <c r="T26" s="11"/>
      <c r="U26" s="11"/>
      <c r="V26" s="417">
        <f t="shared" si="5"/>
        <v>99989.61</v>
      </c>
      <c r="W26" s="380">
        <f t="shared" si="1"/>
        <v>0</v>
      </c>
      <c r="X26" s="4">
        <v>1103</v>
      </c>
      <c r="Y26" s="4"/>
      <c r="Z26" s="4"/>
      <c r="AA26" s="12">
        <f t="shared" si="6"/>
        <v>1</v>
      </c>
      <c r="AC26" s="80"/>
      <c r="AD26" s="80"/>
      <c r="AE26" s="80"/>
      <c r="AF26" s="80"/>
    </row>
    <row r="27" spans="1:32" ht="12.75" customHeight="1">
      <c r="A27" s="24"/>
      <c r="B27" s="105">
        <f t="shared" si="7"/>
        <v>24</v>
      </c>
      <c r="C27" s="6">
        <v>120800</v>
      </c>
      <c r="D27" s="118" t="s">
        <v>564</v>
      </c>
      <c r="E27" s="9" t="s">
        <v>32</v>
      </c>
      <c r="F27" s="6"/>
      <c r="G27" s="6"/>
      <c r="H27" s="11">
        <f>+STAT2!V27</f>
        <v>0</v>
      </c>
      <c r="I27" s="11">
        <f>+STAT2!W27</f>
        <v>0</v>
      </c>
      <c r="J27" s="11">
        <f>+SUMIFS(JURNAL!G:G,JURNAL!E:E,C27,JURNAL!C:C,"&gt;="&amp;$H$1,JURNAL!C:C,"&lt;="&amp;$I$1)</f>
        <v>0</v>
      </c>
      <c r="K27" s="11">
        <f>+SUMIFS(JURNAL!H:H,JURNAL!E:E,C27,JURNAL!C:C,"&gt;="&amp;$H$1,JURNAL!C:C,"&lt;="&amp;$I$1)</f>
        <v>0</v>
      </c>
      <c r="L27" s="26">
        <f t="shared" si="2"/>
        <v>0</v>
      </c>
      <c r="M27" s="27">
        <f t="shared" si="0"/>
        <v>0</v>
      </c>
      <c r="N27" s="11"/>
      <c r="O27" s="183"/>
      <c r="P27" s="27"/>
      <c r="Q27" s="11"/>
      <c r="R27" s="26">
        <f t="shared" si="3"/>
        <v>0</v>
      </c>
      <c r="S27" s="27">
        <f t="shared" si="4"/>
        <v>0</v>
      </c>
      <c r="T27" s="11"/>
      <c r="U27" s="11"/>
      <c r="V27" s="417">
        <f t="shared" si="5"/>
        <v>0</v>
      </c>
      <c r="W27" s="380">
        <f t="shared" si="1"/>
        <v>0</v>
      </c>
      <c r="X27" s="4">
        <v>1103</v>
      </c>
      <c r="Y27" s="4"/>
      <c r="Z27" s="4"/>
      <c r="AA27" s="12">
        <f t="shared" si="6"/>
        <v>0</v>
      </c>
      <c r="AC27" s="80"/>
      <c r="AD27" s="80"/>
      <c r="AE27" s="80"/>
      <c r="AF27" s="80"/>
    </row>
    <row r="28" spans="1:32" ht="12.75" customHeight="1">
      <c r="A28" s="24"/>
      <c r="B28" s="105">
        <f t="shared" si="7"/>
        <v>25</v>
      </c>
      <c r="C28" s="6">
        <v>120900</v>
      </c>
      <c r="D28" s="118" t="s">
        <v>569</v>
      </c>
      <c r="E28" s="9" t="s">
        <v>32</v>
      </c>
      <c r="F28" s="6"/>
      <c r="G28" s="6"/>
      <c r="H28" s="11">
        <f>+STAT2!V28</f>
        <v>0</v>
      </c>
      <c r="I28" s="11">
        <f>+STAT2!W28</f>
        <v>0</v>
      </c>
      <c r="J28" s="11">
        <f>+SUMIFS(JURNAL!G:G,JURNAL!E:E,C28,JURNAL!C:C,"&gt;="&amp;$H$1,JURNAL!C:C,"&lt;="&amp;$I$1)</f>
        <v>6790000</v>
      </c>
      <c r="K28" s="11">
        <f>+SUMIFS(JURNAL!H:H,JURNAL!E:E,C28,JURNAL!C:C,"&gt;="&amp;$H$1,JURNAL!C:C,"&lt;="&amp;$I$1)</f>
        <v>0</v>
      </c>
      <c r="L28" s="26">
        <f t="shared" si="2"/>
        <v>6790000</v>
      </c>
      <c r="M28" s="27">
        <f t="shared" si="0"/>
        <v>0</v>
      </c>
      <c r="N28" s="11"/>
      <c r="O28" s="183">
        <v>6790000</v>
      </c>
      <c r="P28" s="27"/>
      <c r="Q28" s="11"/>
      <c r="R28" s="26">
        <f t="shared" si="3"/>
        <v>0</v>
      </c>
      <c r="S28" s="27">
        <f t="shared" si="4"/>
        <v>0</v>
      </c>
      <c r="T28" s="11"/>
      <c r="U28" s="11"/>
      <c r="V28" s="417">
        <f t="shared" si="5"/>
        <v>0</v>
      </c>
      <c r="W28" s="380">
        <f t="shared" si="1"/>
        <v>0</v>
      </c>
      <c r="X28" s="4">
        <v>1103</v>
      </c>
      <c r="Y28" s="4"/>
      <c r="Z28" s="4"/>
      <c r="AA28" s="12">
        <f t="shared" si="6"/>
        <v>1</v>
      </c>
      <c r="AC28" s="80"/>
      <c r="AD28" s="80"/>
      <c r="AE28" s="80"/>
      <c r="AF28" s="80"/>
    </row>
    <row r="29" spans="1:32" ht="12.75" customHeight="1">
      <c r="A29" s="24"/>
      <c r="B29" s="105">
        <f t="shared" si="7"/>
        <v>26</v>
      </c>
      <c r="C29" s="6">
        <v>121000</v>
      </c>
      <c r="D29" s="118" t="s">
        <v>574</v>
      </c>
      <c r="E29" s="9" t="s">
        <v>32</v>
      </c>
      <c r="F29" s="6"/>
      <c r="G29" s="6"/>
      <c r="H29" s="11">
        <f>+STAT2!V29</f>
        <v>0</v>
      </c>
      <c r="I29" s="11">
        <f>+STAT2!W29</f>
        <v>0</v>
      </c>
      <c r="J29" s="11">
        <f>+SUMIFS(JURNAL!G:G,JURNAL!E:E,C29,JURNAL!C:C,"&gt;="&amp;$H$1,JURNAL!C:C,"&lt;="&amp;$I$1)</f>
        <v>0</v>
      </c>
      <c r="K29" s="11">
        <f>+SUMIFS(JURNAL!H:H,JURNAL!E:E,C29,JURNAL!C:C,"&gt;="&amp;$H$1,JURNAL!C:C,"&lt;="&amp;$I$1)</f>
        <v>0</v>
      </c>
      <c r="L29" s="26">
        <f t="shared" si="2"/>
        <v>0</v>
      </c>
      <c r="M29" s="27">
        <f t="shared" si="0"/>
        <v>0</v>
      </c>
      <c r="N29" s="11"/>
      <c r="O29" s="183"/>
      <c r="P29" s="27"/>
      <c r="Q29" s="11"/>
      <c r="R29" s="26">
        <f t="shared" si="3"/>
        <v>0</v>
      </c>
      <c r="S29" s="27">
        <f t="shared" si="4"/>
        <v>0</v>
      </c>
      <c r="T29" s="11"/>
      <c r="U29" s="11"/>
      <c r="V29" s="417">
        <f t="shared" si="5"/>
        <v>0</v>
      </c>
      <c r="W29" s="380">
        <f t="shared" si="1"/>
        <v>0</v>
      </c>
      <c r="X29" s="4">
        <v>1103</v>
      </c>
      <c r="Y29" s="4"/>
      <c r="Z29" s="4"/>
      <c r="AA29" s="12">
        <f t="shared" si="6"/>
        <v>0</v>
      </c>
      <c r="AC29" s="80"/>
      <c r="AD29" s="80"/>
      <c r="AE29" s="80"/>
      <c r="AF29" s="80"/>
    </row>
    <row r="30" spans="1:32" ht="12.75" customHeight="1">
      <c r="A30" s="24"/>
      <c r="B30" s="105">
        <f t="shared" si="7"/>
        <v>27</v>
      </c>
      <c r="C30" s="6">
        <v>121100</v>
      </c>
      <c r="D30" s="118" t="s">
        <v>579</v>
      </c>
      <c r="E30" s="9" t="s">
        <v>32</v>
      </c>
      <c r="F30" s="6"/>
      <c r="G30" s="6"/>
      <c r="H30" s="11">
        <f>+STAT2!V30</f>
        <v>0</v>
      </c>
      <c r="I30" s="11">
        <f>+STAT2!W30</f>
        <v>0</v>
      </c>
      <c r="J30" s="11">
        <f>+SUMIFS(JURNAL!G:G,JURNAL!E:E,C30,JURNAL!C:C,"&gt;="&amp;$H$1,JURNAL!C:C,"&lt;="&amp;$I$1)</f>
        <v>0</v>
      </c>
      <c r="K30" s="11">
        <f>+SUMIFS(JURNAL!H:H,JURNAL!E:E,C30,JURNAL!C:C,"&gt;="&amp;$H$1,JURNAL!C:C,"&lt;="&amp;$I$1)</f>
        <v>0</v>
      </c>
      <c r="L30" s="26">
        <f t="shared" si="2"/>
        <v>0</v>
      </c>
      <c r="M30" s="27">
        <f t="shared" si="0"/>
        <v>0</v>
      </c>
      <c r="N30" s="11"/>
      <c r="O30" s="183"/>
      <c r="P30" s="27"/>
      <c r="Q30" s="11"/>
      <c r="R30" s="26">
        <f t="shared" si="3"/>
        <v>0</v>
      </c>
      <c r="S30" s="27">
        <f t="shared" si="4"/>
        <v>0</v>
      </c>
      <c r="T30" s="11"/>
      <c r="U30" s="11"/>
      <c r="V30" s="417">
        <f t="shared" si="5"/>
        <v>0</v>
      </c>
      <c r="W30" s="380">
        <f t="shared" si="1"/>
        <v>0</v>
      </c>
      <c r="X30" s="4">
        <v>1104</v>
      </c>
      <c r="Y30" s="4"/>
      <c r="Z30" s="4"/>
      <c r="AA30" s="12">
        <f t="shared" si="6"/>
        <v>0</v>
      </c>
      <c r="AC30" s="80"/>
      <c r="AD30" s="80"/>
      <c r="AE30" s="80"/>
      <c r="AF30" s="80"/>
    </row>
    <row r="31" spans="1:32" ht="12.75" customHeight="1">
      <c r="A31" s="24"/>
      <c r="B31" s="105">
        <f t="shared" si="7"/>
        <v>28</v>
      </c>
      <c r="C31" s="6">
        <v>121200</v>
      </c>
      <c r="D31" s="118" t="s">
        <v>958</v>
      </c>
      <c r="E31" s="9" t="s">
        <v>32</v>
      </c>
      <c r="F31" s="6"/>
      <c r="G31" s="6"/>
      <c r="H31" s="11">
        <f>+STAT2!V31</f>
        <v>980000.0025699999</v>
      </c>
      <c r="I31" s="11">
        <f>+STAT2!W31</f>
        <v>0</v>
      </c>
      <c r="J31" s="11">
        <f>+SUMIFS(JURNAL!G:G,JURNAL!E:E,C31,JURNAL!C:C,"&gt;="&amp;$H$1,JURNAL!C:C,"&lt;="&amp;$I$1)</f>
        <v>585500</v>
      </c>
      <c r="K31" s="11">
        <f>+SUMIFS(JURNAL!H:H,JURNAL!E:E,C31,JURNAL!C:C,"&gt;="&amp;$H$1,JURNAL!C:C,"&lt;="&amp;$I$1)</f>
        <v>585499.99849999999</v>
      </c>
      <c r="L31" s="26">
        <f t="shared" si="2"/>
        <v>980000.00407000002</v>
      </c>
      <c r="M31" s="27">
        <f t="shared" si="0"/>
        <v>0</v>
      </c>
      <c r="N31" s="11"/>
      <c r="O31" s="183"/>
      <c r="P31" s="27"/>
      <c r="Q31" s="11"/>
      <c r="R31" s="26">
        <f t="shared" si="3"/>
        <v>980000.00407000002</v>
      </c>
      <c r="S31" s="27">
        <f t="shared" si="4"/>
        <v>0</v>
      </c>
      <c r="T31" s="11"/>
      <c r="U31" s="11"/>
      <c r="V31" s="417">
        <f t="shared" si="5"/>
        <v>980000.00407000002</v>
      </c>
      <c r="W31" s="380">
        <f t="shared" si="1"/>
        <v>0</v>
      </c>
      <c r="X31" s="4">
        <v>1104</v>
      </c>
      <c r="Y31" s="4"/>
      <c r="Z31" s="4"/>
      <c r="AA31" s="12">
        <f t="shared" si="6"/>
        <v>1</v>
      </c>
      <c r="AC31" s="80"/>
      <c r="AD31" s="80"/>
      <c r="AE31" s="80"/>
      <c r="AF31" s="80"/>
    </row>
    <row r="32" spans="1:32" ht="12.75" customHeight="1">
      <c r="A32" s="24"/>
      <c r="B32" s="105">
        <f t="shared" si="7"/>
        <v>29</v>
      </c>
      <c r="C32" s="6">
        <v>122000</v>
      </c>
      <c r="D32" s="118" t="s">
        <v>959</v>
      </c>
      <c r="E32" s="9" t="s">
        <v>32</v>
      </c>
      <c r="F32" s="6"/>
      <c r="G32" s="6"/>
      <c r="H32" s="11">
        <f>+STAT2!V32</f>
        <v>4426799</v>
      </c>
      <c r="I32" s="11">
        <f>+STAT2!W32</f>
        <v>0</v>
      </c>
      <c r="J32" s="11">
        <f>+SUMIFS(JURNAL!G:G,JURNAL!E:E,C32,JURNAL!C:C,"&gt;="&amp;$H$1,JURNAL!C:C,"&lt;="&amp;$I$1)</f>
        <v>0</v>
      </c>
      <c r="K32" s="11">
        <f>+SUMIFS(JURNAL!H:H,JURNAL!E:E,C32,JURNAL!C:C,"&gt;="&amp;$H$1,JURNAL!C:C,"&lt;="&amp;$I$1)</f>
        <v>4426791</v>
      </c>
      <c r="L32" s="26">
        <f t="shared" si="2"/>
        <v>8</v>
      </c>
      <c r="M32" s="27">
        <f t="shared" si="0"/>
        <v>0</v>
      </c>
      <c r="N32" s="11"/>
      <c r="O32" s="183"/>
      <c r="P32" s="27"/>
      <c r="Q32" s="11"/>
      <c r="R32" s="26">
        <f t="shared" si="3"/>
        <v>8</v>
      </c>
      <c r="S32" s="27">
        <f t="shared" si="4"/>
        <v>0</v>
      </c>
      <c r="T32" s="11"/>
      <c r="U32" s="11"/>
      <c r="V32" s="417">
        <f t="shared" si="5"/>
        <v>8</v>
      </c>
      <c r="W32" s="380">
        <f t="shared" si="1"/>
        <v>0</v>
      </c>
      <c r="X32" s="4">
        <v>1104</v>
      </c>
      <c r="Y32" s="4"/>
      <c r="Z32" s="4"/>
      <c r="AA32" s="12">
        <f t="shared" si="6"/>
        <v>1</v>
      </c>
      <c r="AC32" s="80"/>
      <c r="AD32" s="80"/>
      <c r="AE32" s="80"/>
      <c r="AF32" s="80"/>
    </row>
    <row r="33" spans="1:32" ht="12.75" customHeight="1">
      <c r="A33" s="24"/>
      <c r="B33" s="105">
        <f t="shared" si="7"/>
        <v>30</v>
      </c>
      <c r="C33" s="6">
        <v>122001</v>
      </c>
      <c r="D33" s="118" t="s">
        <v>960</v>
      </c>
      <c r="E33" s="9" t="s">
        <v>30</v>
      </c>
      <c r="F33" s="6"/>
      <c r="G33" s="6"/>
      <c r="H33" s="11">
        <f>+STAT2!V33</f>
        <v>0</v>
      </c>
      <c r="I33" s="11">
        <f>+STAT2!W33</f>
        <v>0</v>
      </c>
      <c r="J33" s="11">
        <f>+SUMIFS(JURNAL!G:G,JURNAL!E:E,C33,JURNAL!C:C,"&gt;="&amp;$H$1,JURNAL!C:C,"&lt;="&amp;$I$1)</f>
        <v>0</v>
      </c>
      <c r="K33" s="11">
        <f>+SUMIFS(JURNAL!H:H,JURNAL!E:E,C33,JURNAL!C:C,"&gt;="&amp;$H$1,JURNAL!C:C,"&lt;="&amp;$I$1)</f>
        <v>0</v>
      </c>
      <c r="L33" s="26">
        <f t="shared" si="2"/>
        <v>0</v>
      </c>
      <c r="M33" s="27">
        <f t="shared" si="0"/>
        <v>0</v>
      </c>
      <c r="N33" s="11"/>
      <c r="O33" s="183"/>
      <c r="P33" s="27"/>
      <c r="Q33" s="11"/>
      <c r="R33" s="26">
        <f t="shared" si="3"/>
        <v>0</v>
      </c>
      <c r="S33" s="27">
        <f t="shared" si="4"/>
        <v>0</v>
      </c>
      <c r="T33" s="11"/>
      <c r="U33" s="11"/>
      <c r="V33" s="417">
        <f t="shared" si="5"/>
        <v>0</v>
      </c>
      <c r="W33" s="380">
        <f t="shared" si="1"/>
        <v>0</v>
      </c>
      <c r="X33" s="4">
        <v>1104</v>
      </c>
      <c r="Y33" s="4"/>
      <c r="Z33" s="4"/>
      <c r="AA33" s="12">
        <f t="shared" si="6"/>
        <v>0</v>
      </c>
      <c r="AC33" s="80"/>
      <c r="AD33" s="80"/>
      <c r="AE33" s="80"/>
      <c r="AF33" s="80"/>
    </row>
    <row r="34" spans="1:32" ht="12.75" customHeight="1">
      <c r="A34" s="24"/>
      <c r="B34" s="105">
        <f t="shared" si="7"/>
        <v>31</v>
      </c>
      <c r="C34" s="6">
        <v>130100</v>
      </c>
      <c r="D34" s="118" t="s">
        <v>588</v>
      </c>
      <c r="E34" s="9" t="s">
        <v>32</v>
      </c>
      <c r="F34" s="6"/>
      <c r="G34" s="6"/>
      <c r="H34" s="11">
        <f>+STAT2!V34</f>
        <v>0</v>
      </c>
      <c r="I34" s="11">
        <f>+STAT2!W34</f>
        <v>0</v>
      </c>
      <c r="J34" s="11">
        <f>+SUMIFS(JURNAL!G:G,JURNAL!E:E,C34,JURNAL!C:C,"&gt;="&amp;$H$1,JURNAL!C:C,"&lt;="&amp;$I$1)</f>
        <v>0</v>
      </c>
      <c r="K34" s="11">
        <f>+SUMIFS(JURNAL!H:H,JURNAL!E:E,C34,JURNAL!C:C,"&gt;="&amp;$H$1,JURNAL!C:C,"&lt;="&amp;$I$1)</f>
        <v>0</v>
      </c>
      <c r="L34" s="26">
        <f t="shared" si="2"/>
        <v>0</v>
      </c>
      <c r="M34" s="27">
        <f t="shared" si="0"/>
        <v>0</v>
      </c>
      <c r="N34" s="11"/>
      <c r="O34" s="183"/>
      <c r="P34" s="27"/>
      <c r="Q34" s="11"/>
      <c r="R34" s="26">
        <f t="shared" si="3"/>
        <v>0</v>
      </c>
      <c r="S34" s="27">
        <f t="shared" si="4"/>
        <v>0</v>
      </c>
      <c r="T34" s="11"/>
      <c r="U34" s="11"/>
      <c r="V34" s="417">
        <f t="shared" si="5"/>
        <v>0</v>
      </c>
      <c r="W34" s="380">
        <f t="shared" si="1"/>
        <v>0</v>
      </c>
      <c r="X34" s="4">
        <v>1105</v>
      </c>
      <c r="Y34" s="4"/>
      <c r="Z34" s="4"/>
      <c r="AA34" s="12">
        <f t="shared" si="6"/>
        <v>0</v>
      </c>
      <c r="AC34" s="80"/>
      <c r="AD34" s="80"/>
      <c r="AE34" s="80"/>
      <c r="AF34" s="80"/>
    </row>
    <row r="35" spans="1:32" ht="12.75" customHeight="1">
      <c r="A35" s="24"/>
      <c r="B35" s="105">
        <f t="shared" si="7"/>
        <v>32</v>
      </c>
      <c r="C35" s="6">
        <v>130500</v>
      </c>
      <c r="D35" s="118" t="s">
        <v>592</v>
      </c>
      <c r="E35" s="9" t="s">
        <v>32</v>
      </c>
      <c r="F35" s="6"/>
      <c r="G35" s="6"/>
      <c r="H35" s="11">
        <f>+STAT2!V35</f>
        <v>0</v>
      </c>
      <c r="I35" s="11">
        <f>+STAT2!W35</f>
        <v>0</v>
      </c>
      <c r="J35" s="11">
        <f>+SUMIFS(JURNAL!G:G,JURNAL!E:E,C35,JURNAL!C:C,"&gt;="&amp;$H$1,JURNAL!C:C,"&lt;="&amp;$I$1)</f>
        <v>0</v>
      </c>
      <c r="K35" s="11">
        <f>+SUMIFS(JURNAL!H:H,JURNAL!E:E,C35,JURNAL!C:C,"&gt;="&amp;$H$1,JURNAL!C:C,"&lt;="&amp;$I$1)</f>
        <v>0</v>
      </c>
      <c r="L35" s="26">
        <f t="shared" si="2"/>
        <v>0</v>
      </c>
      <c r="M35" s="27">
        <f t="shared" si="0"/>
        <v>0</v>
      </c>
      <c r="N35" s="11"/>
      <c r="O35" s="183"/>
      <c r="P35" s="27"/>
      <c r="Q35" s="11"/>
      <c r="R35" s="26">
        <f t="shared" si="3"/>
        <v>0</v>
      </c>
      <c r="S35" s="27">
        <f t="shared" si="4"/>
        <v>0</v>
      </c>
      <c r="T35" s="11"/>
      <c r="U35" s="11"/>
      <c r="V35" s="417">
        <f t="shared" si="5"/>
        <v>0</v>
      </c>
      <c r="W35" s="380">
        <f t="shared" si="1"/>
        <v>0</v>
      </c>
      <c r="X35" s="4">
        <v>1105</v>
      </c>
      <c r="Y35" s="4"/>
      <c r="Z35" s="4"/>
      <c r="AA35" s="12">
        <f t="shared" si="6"/>
        <v>0</v>
      </c>
      <c r="AC35" s="80"/>
      <c r="AD35" s="80"/>
      <c r="AE35" s="80"/>
      <c r="AF35" s="80"/>
    </row>
    <row r="36" spans="1:32" ht="12.75" customHeight="1">
      <c r="A36" s="24"/>
      <c r="B36" s="105">
        <f t="shared" si="7"/>
        <v>33</v>
      </c>
      <c r="C36" s="6">
        <v>140100</v>
      </c>
      <c r="D36" s="118" t="s">
        <v>597</v>
      </c>
      <c r="E36" s="9" t="s">
        <v>32</v>
      </c>
      <c r="F36" s="6"/>
      <c r="G36" s="6"/>
      <c r="H36" s="11">
        <f>+STAT2!V36</f>
        <v>187891927.24657226</v>
      </c>
      <c r="I36" s="11">
        <f>+STAT2!W36</f>
        <v>0</v>
      </c>
      <c r="J36" s="11">
        <f>+SUMIFS(JURNAL!G:G,JURNAL!E:E,C36,JURNAL!C:C,"&gt;="&amp;$H$1,JURNAL!C:C,"&lt;="&amp;$I$1)</f>
        <v>0</v>
      </c>
      <c r="K36" s="11">
        <f>+SUMIFS(JURNAL!H:H,JURNAL!E:E,C36,JURNAL!C:C,"&gt;="&amp;$H$1,JURNAL!C:C,"&lt;="&amp;$I$1)</f>
        <v>2810665.41</v>
      </c>
      <c r="L36" s="26">
        <f t="shared" si="2"/>
        <v>185081261.83657226</v>
      </c>
      <c r="M36" s="27">
        <f t="shared" si="0"/>
        <v>0</v>
      </c>
      <c r="N36" s="11"/>
      <c r="O36" s="183"/>
      <c r="P36" s="27"/>
      <c r="Q36" s="11"/>
      <c r="R36" s="26">
        <f t="shared" si="3"/>
        <v>185081261.83657226</v>
      </c>
      <c r="S36" s="27">
        <f t="shared" si="4"/>
        <v>0</v>
      </c>
      <c r="T36" s="11"/>
      <c r="U36" s="11"/>
      <c r="V36" s="417">
        <f t="shared" si="5"/>
        <v>185081261.83657226</v>
      </c>
      <c r="W36" s="380">
        <f t="shared" si="1"/>
        <v>0</v>
      </c>
      <c r="X36" s="4">
        <v>1107</v>
      </c>
      <c r="Y36" s="4"/>
      <c r="Z36" s="4"/>
      <c r="AA36" s="12">
        <f t="shared" si="6"/>
        <v>1</v>
      </c>
      <c r="AC36" s="80"/>
      <c r="AD36" s="80"/>
      <c r="AE36" s="80"/>
      <c r="AF36" s="80"/>
    </row>
    <row r="37" spans="1:32" ht="12.75" customHeight="1">
      <c r="A37" s="24"/>
      <c r="B37" s="105">
        <f t="shared" si="7"/>
        <v>34</v>
      </c>
      <c r="C37" s="6">
        <v>140200</v>
      </c>
      <c r="D37" s="118" t="s">
        <v>1672</v>
      </c>
      <c r="E37" s="9" t="s">
        <v>32</v>
      </c>
      <c r="F37" s="6"/>
      <c r="G37" s="6"/>
      <c r="H37" s="11">
        <f>+STAT2!V37</f>
        <v>1.9277334213256836E-3</v>
      </c>
      <c r="I37" s="11">
        <f>+STAT2!W37</f>
        <v>0</v>
      </c>
      <c r="J37" s="11">
        <f>+SUMIFS(JURNAL!G:G,JURNAL!E:E,C37,JURNAL!C:C,"&gt;="&amp;$H$1,JURNAL!C:C,"&lt;="&amp;$I$1)</f>
        <v>0</v>
      </c>
      <c r="K37" s="11">
        <f>+SUMIFS(JURNAL!H:H,JURNAL!E:E,C37,JURNAL!C:C,"&gt;="&amp;$H$1,JURNAL!C:C,"&lt;="&amp;$I$1)</f>
        <v>0</v>
      </c>
      <c r="L37" s="26">
        <f t="shared" si="2"/>
        <v>1.9277334213256836E-3</v>
      </c>
      <c r="M37" s="27">
        <f t="shared" si="0"/>
        <v>0</v>
      </c>
      <c r="N37" s="11"/>
      <c r="O37" s="183"/>
      <c r="P37" s="27"/>
      <c r="Q37" s="11"/>
      <c r="R37" s="26">
        <f t="shared" si="3"/>
        <v>1.9277334213256836E-3</v>
      </c>
      <c r="S37" s="27">
        <f t="shared" si="4"/>
        <v>0</v>
      </c>
      <c r="T37" s="11"/>
      <c r="U37" s="11"/>
      <c r="V37" s="417">
        <f t="shared" si="5"/>
        <v>1.9277334213256836E-3</v>
      </c>
      <c r="W37" s="380">
        <f t="shared" si="1"/>
        <v>0</v>
      </c>
      <c r="X37" s="4">
        <v>1107</v>
      </c>
      <c r="Y37" s="4"/>
      <c r="Z37" s="4"/>
      <c r="AA37" s="12">
        <f t="shared" si="6"/>
        <v>1</v>
      </c>
      <c r="AC37" s="80"/>
      <c r="AD37" s="80"/>
      <c r="AE37" s="80"/>
      <c r="AF37" s="80"/>
    </row>
    <row r="38" spans="1:32" ht="12.75" customHeight="1">
      <c r="A38" s="24"/>
      <c r="B38" s="105">
        <f t="shared" si="7"/>
        <v>35</v>
      </c>
      <c r="C38" s="6">
        <v>140201</v>
      </c>
      <c r="D38" s="118" t="s">
        <v>1673</v>
      </c>
      <c r="E38" s="9" t="s">
        <v>32</v>
      </c>
      <c r="F38" s="6"/>
      <c r="G38" s="6"/>
      <c r="H38" s="11">
        <f>+STAT2!V38</f>
        <v>2.604946494102478E-3</v>
      </c>
      <c r="I38" s="11">
        <f>+STAT2!W38</f>
        <v>0</v>
      </c>
      <c r="J38" s="11">
        <f>+SUMIFS(JURNAL!G:G,JURNAL!E:E,C38,JURNAL!C:C,"&gt;="&amp;$H$1,JURNAL!C:C,"&lt;="&amp;$I$1)</f>
        <v>90207635.430000007</v>
      </c>
      <c r="K38" s="11">
        <f>+SUMIFS(JURNAL!H:H,JURNAL!E:E,C38,JURNAL!C:C,"&gt;="&amp;$H$1,JURNAL!C:C,"&lt;="&amp;$I$1)</f>
        <v>90207635.430000007</v>
      </c>
      <c r="L38" s="26">
        <f t="shared" si="2"/>
        <v>2.604946494102478E-3</v>
      </c>
      <c r="M38" s="27">
        <f t="shared" si="0"/>
        <v>0</v>
      </c>
      <c r="N38" s="11"/>
      <c r="O38" s="183"/>
      <c r="P38" s="27"/>
      <c r="Q38" s="11"/>
      <c r="R38" s="26">
        <f t="shared" si="3"/>
        <v>2.604946494102478E-3</v>
      </c>
      <c r="S38" s="27">
        <f t="shared" si="4"/>
        <v>0</v>
      </c>
      <c r="T38" s="11"/>
      <c r="U38" s="11"/>
      <c r="V38" s="417">
        <f t="shared" si="5"/>
        <v>2.604946494102478E-3</v>
      </c>
      <c r="W38" s="380">
        <f t="shared" si="1"/>
        <v>0</v>
      </c>
      <c r="X38" s="4">
        <v>1107</v>
      </c>
      <c r="Y38" s="4"/>
      <c r="Z38" s="4"/>
      <c r="AA38" s="12">
        <f t="shared" si="6"/>
        <v>1</v>
      </c>
      <c r="AC38" s="80"/>
      <c r="AD38" s="80"/>
      <c r="AE38" s="80"/>
      <c r="AF38" s="80"/>
    </row>
    <row r="39" spans="1:32" ht="12.75" customHeight="1">
      <c r="A39" s="24"/>
      <c r="B39" s="105">
        <f t="shared" si="7"/>
        <v>36</v>
      </c>
      <c r="C39" s="6">
        <v>140202</v>
      </c>
      <c r="D39" s="118" t="s">
        <v>1674</v>
      </c>
      <c r="E39" s="9" t="s">
        <v>32</v>
      </c>
      <c r="F39" s="6"/>
      <c r="G39" s="6"/>
      <c r="H39" s="11">
        <f>+STAT2!V39</f>
        <v>0</v>
      </c>
      <c r="I39" s="11">
        <f>+STAT2!W39</f>
        <v>0</v>
      </c>
      <c r="J39" s="11">
        <f>+SUMIFS(JURNAL!G:G,JURNAL!E:E,C39,JURNAL!C:C,"&gt;="&amp;$H$1,JURNAL!C:C,"&lt;="&amp;$I$1)</f>
        <v>0</v>
      </c>
      <c r="K39" s="11">
        <f>+SUMIFS(JURNAL!H:H,JURNAL!E:E,C39,JURNAL!C:C,"&gt;="&amp;$H$1,JURNAL!C:C,"&lt;="&amp;$I$1)</f>
        <v>0</v>
      </c>
      <c r="L39" s="26">
        <f t="shared" si="2"/>
        <v>0</v>
      </c>
      <c r="M39" s="27">
        <f t="shared" si="0"/>
        <v>0</v>
      </c>
      <c r="N39" s="11"/>
      <c r="O39" s="183"/>
      <c r="P39" s="27"/>
      <c r="Q39" s="11"/>
      <c r="R39" s="26">
        <f t="shared" si="3"/>
        <v>0</v>
      </c>
      <c r="S39" s="27">
        <f t="shared" si="4"/>
        <v>0</v>
      </c>
      <c r="T39" s="11"/>
      <c r="U39" s="11"/>
      <c r="V39" s="417">
        <f t="shared" si="5"/>
        <v>0</v>
      </c>
      <c r="W39" s="380">
        <f t="shared" si="1"/>
        <v>0</v>
      </c>
      <c r="X39" s="4">
        <v>1107</v>
      </c>
      <c r="Y39" s="4"/>
      <c r="Z39" s="4"/>
      <c r="AA39" s="12">
        <f t="shared" si="6"/>
        <v>0</v>
      </c>
      <c r="AC39" s="80"/>
      <c r="AD39" s="80"/>
      <c r="AE39" s="80"/>
      <c r="AF39" s="80"/>
    </row>
    <row r="40" spans="1:32" ht="12.75" customHeight="1">
      <c r="A40" s="24"/>
      <c r="B40" s="105">
        <f t="shared" si="7"/>
        <v>37</v>
      </c>
      <c r="C40" s="6">
        <v>140300</v>
      </c>
      <c r="D40" s="118" t="s">
        <v>1675</v>
      </c>
      <c r="E40" s="9" t="s">
        <v>32</v>
      </c>
      <c r="F40" s="6"/>
      <c r="G40" s="6"/>
      <c r="H40" s="11">
        <f>+STAT2!V40</f>
        <v>0</v>
      </c>
      <c r="I40" s="11">
        <f>+STAT2!W40</f>
        <v>0</v>
      </c>
      <c r="J40" s="11">
        <f>+SUMIFS(JURNAL!G:G,JURNAL!E:E,C40,JURNAL!C:C,"&gt;="&amp;$H$1,JURNAL!C:C,"&lt;="&amp;$I$1)</f>
        <v>0</v>
      </c>
      <c r="K40" s="11">
        <f>+SUMIFS(JURNAL!H:H,JURNAL!E:E,C40,JURNAL!C:C,"&gt;="&amp;$H$1,JURNAL!C:C,"&lt;="&amp;$I$1)</f>
        <v>0</v>
      </c>
      <c r="L40" s="26">
        <f t="shared" si="2"/>
        <v>0</v>
      </c>
      <c r="M40" s="27">
        <f t="shared" si="0"/>
        <v>0</v>
      </c>
      <c r="N40" s="11"/>
      <c r="O40" s="183"/>
      <c r="P40" s="27"/>
      <c r="Q40" s="11"/>
      <c r="R40" s="26">
        <f t="shared" si="3"/>
        <v>0</v>
      </c>
      <c r="S40" s="27">
        <f t="shared" si="4"/>
        <v>0</v>
      </c>
      <c r="T40" s="11"/>
      <c r="U40" s="11"/>
      <c r="V40" s="417">
        <f t="shared" si="5"/>
        <v>0</v>
      </c>
      <c r="W40" s="380">
        <f t="shared" si="1"/>
        <v>0</v>
      </c>
      <c r="X40" s="4">
        <v>1107</v>
      </c>
      <c r="Y40" s="4"/>
      <c r="Z40" s="4"/>
      <c r="AA40" s="12">
        <f t="shared" si="6"/>
        <v>0</v>
      </c>
      <c r="AC40" s="80"/>
      <c r="AD40" s="80"/>
      <c r="AE40" s="80"/>
      <c r="AF40" s="80"/>
    </row>
    <row r="41" spans="1:32" ht="12.75" customHeight="1">
      <c r="A41" s="24"/>
      <c r="B41" s="105">
        <f t="shared" si="7"/>
        <v>38</v>
      </c>
      <c r="C41" s="6">
        <v>140301</v>
      </c>
      <c r="D41" s="118" t="s">
        <v>1676</v>
      </c>
      <c r="E41" s="9" t="s">
        <v>32</v>
      </c>
      <c r="F41" s="6"/>
      <c r="G41" s="6"/>
      <c r="H41" s="11">
        <f>+STAT2!V41</f>
        <v>0</v>
      </c>
      <c r="I41" s="11">
        <f>+STAT2!W41</f>
        <v>0</v>
      </c>
      <c r="J41" s="11">
        <f>+SUMIFS(JURNAL!G:G,JURNAL!E:E,C41,JURNAL!C:C,"&gt;="&amp;$H$1,JURNAL!C:C,"&lt;="&amp;$I$1)</f>
        <v>10072518.800000001</v>
      </c>
      <c r="K41" s="11">
        <f>+SUMIFS(JURNAL!H:H,JURNAL!E:E,C41,JURNAL!C:C,"&gt;="&amp;$H$1,JURNAL!C:C,"&lt;="&amp;$I$1)</f>
        <v>10072518.800000001</v>
      </c>
      <c r="L41" s="26">
        <f t="shared" si="2"/>
        <v>0</v>
      </c>
      <c r="M41" s="27">
        <f t="shared" si="0"/>
        <v>0</v>
      </c>
      <c r="N41" s="11"/>
      <c r="O41" s="183"/>
      <c r="P41" s="27"/>
      <c r="Q41" s="11"/>
      <c r="R41" s="26">
        <f t="shared" si="3"/>
        <v>0</v>
      </c>
      <c r="S41" s="27">
        <f t="shared" si="4"/>
        <v>0</v>
      </c>
      <c r="T41" s="11"/>
      <c r="U41" s="11"/>
      <c r="V41" s="417">
        <f t="shared" si="5"/>
        <v>0</v>
      </c>
      <c r="W41" s="380">
        <f t="shared" si="1"/>
        <v>0</v>
      </c>
      <c r="X41" s="4">
        <v>1107</v>
      </c>
      <c r="Y41" s="4"/>
      <c r="Z41" s="4"/>
      <c r="AA41" s="12">
        <f t="shared" si="6"/>
        <v>1</v>
      </c>
      <c r="AC41" s="80"/>
      <c r="AD41" s="80"/>
      <c r="AE41" s="80"/>
      <c r="AF41" s="80"/>
    </row>
    <row r="42" spans="1:32" ht="12.75" customHeight="1">
      <c r="A42" s="24"/>
      <c r="B42" s="105">
        <f t="shared" si="7"/>
        <v>39</v>
      </c>
      <c r="C42" s="6">
        <v>140302</v>
      </c>
      <c r="D42" s="118" t="s">
        <v>1677</v>
      </c>
      <c r="E42" s="9" t="s">
        <v>32</v>
      </c>
      <c r="F42" s="6"/>
      <c r="G42" s="6"/>
      <c r="H42" s="11">
        <f>+STAT2!V42</f>
        <v>0</v>
      </c>
      <c r="I42" s="11">
        <f>+STAT2!W42</f>
        <v>0</v>
      </c>
      <c r="J42" s="11">
        <f>+SUMIFS(JURNAL!G:G,JURNAL!E:E,C42,JURNAL!C:C,"&gt;="&amp;$H$1,JURNAL!C:C,"&lt;="&amp;$I$1)</f>
        <v>0</v>
      </c>
      <c r="K42" s="11">
        <f>+SUMIFS(JURNAL!H:H,JURNAL!E:E,C42,JURNAL!C:C,"&gt;="&amp;$H$1,JURNAL!C:C,"&lt;="&amp;$I$1)</f>
        <v>0</v>
      </c>
      <c r="L42" s="26">
        <f t="shared" si="2"/>
        <v>0</v>
      </c>
      <c r="M42" s="27">
        <f t="shared" si="0"/>
        <v>0</v>
      </c>
      <c r="N42" s="11"/>
      <c r="O42" s="183"/>
      <c r="P42" s="27"/>
      <c r="Q42" s="11"/>
      <c r="R42" s="26">
        <f t="shared" si="3"/>
        <v>0</v>
      </c>
      <c r="S42" s="27">
        <f t="shared" si="4"/>
        <v>0</v>
      </c>
      <c r="T42" s="11"/>
      <c r="U42" s="11"/>
      <c r="V42" s="417">
        <f t="shared" si="5"/>
        <v>0</v>
      </c>
      <c r="W42" s="380">
        <f t="shared" si="1"/>
        <v>0</v>
      </c>
      <c r="X42" s="4">
        <v>1107</v>
      </c>
      <c r="Y42" s="4"/>
      <c r="Z42" s="4"/>
      <c r="AA42" s="12">
        <f t="shared" si="6"/>
        <v>0</v>
      </c>
      <c r="AC42" s="80"/>
      <c r="AD42" s="80"/>
      <c r="AE42" s="80"/>
      <c r="AF42" s="80"/>
    </row>
    <row r="43" spans="1:32" ht="12.75" customHeight="1">
      <c r="A43" s="24"/>
      <c r="B43" s="105">
        <f t="shared" si="7"/>
        <v>40</v>
      </c>
      <c r="C43" s="6">
        <v>140400</v>
      </c>
      <c r="D43" s="118" t="s">
        <v>1678</v>
      </c>
      <c r="E43" s="9" t="s">
        <v>32</v>
      </c>
      <c r="F43" s="6"/>
      <c r="G43" s="6"/>
      <c r="H43" s="11">
        <f>+STAT2!V43</f>
        <v>0</v>
      </c>
      <c r="I43" s="11">
        <f>+STAT2!W43</f>
        <v>4.5454548671841621E-3</v>
      </c>
      <c r="J43" s="11">
        <f>+SUMIFS(JURNAL!G:G,JURNAL!E:E,C43,JURNAL!C:C,"&gt;="&amp;$H$1,JURNAL!C:C,"&lt;="&amp;$I$1)</f>
        <v>0</v>
      </c>
      <c r="K43" s="11">
        <f>+SUMIFS(JURNAL!H:H,JURNAL!E:E,C43,JURNAL!C:C,"&gt;="&amp;$H$1,JURNAL!C:C,"&lt;="&amp;$I$1)</f>
        <v>0</v>
      </c>
      <c r="L43" s="26">
        <f t="shared" si="2"/>
        <v>0</v>
      </c>
      <c r="M43" s="27">
        <f t="shared" si="0"/>
        <v>4.5454548671841621E-3</v>
      </c>
      <c r="N43" s="11"/>
      <c r="O43" s="183"/>
      <c r="P43" s="27"/>
      <c r="Q43" s="11"/>
      <c r="R43" s="26">
        <f t="shared" si="3"/>
        <v>0</v>
      </c>
      <c r="S43" s="27">
        <f t="shared" si="4"/>
        <v>4.5454548671841621E-3</v>
      </c>
      <c r="T43" s="11"/>
      <c r="U43" s="11"/>
      <c r="V43" s="417">
        <f t="shared" si="5"/>
        <v>0</v>
      </c>
      <c r="W43" s="380">
        <f t="shared" si="1"/>
        <v>4.5454548671841621E-3</v>
      </c>
      <c r="X43" s="4">
        <v>1107</v>
      </c>
      <c r="Y43" s="4"/>
      <c r="Z43" s="4"/>
      <c r="AA43" s="12">
        <f t="shared" si="6"/>
        <v>1</v>
      </c>
      <c r="AC43" s="80"/>
      <c r="AD43" s="80"/>
      <c r="AE43" s="80"/>
      <c r="AF43" s="80"/>
    </row>
    <row r="44" spans="1:32" ht="12.75" customHeight="1">
      <c r="A44" s="24"/>
      <c r="B44" s="105">
        <f t="shared" si="7"/>
        <v>41</v>
      </c>
      <c r="C44" s="6">
        <v>140401</v>
      </c>
      <c r="D44" s="118" t="s">
        <v>1679</v>
      </c>
      <c r="E44" s="9" t="s">
        <v>32</v>
      </c>
      <c r="F44" s="6"/>
      <c r="G44" s="6"/>
      <c r="H44" s="11">
        <f>+STAT2!V44</f>
        <v>0</v>
      </c>
      <c r="I44" s="11">
        <f>+STAT2!W44</f>
        <v>0</v>
      </c>
      <c r="J44" s="11">
        <f>+SUMIFS(JURNAL!G:G,JURNAL!E:E,C44,JURNAL!C:C,"&gt;="&amp;$H$1,JURNAL!C:C,"&lt;="&amp;$I$1)</f>
        <v>25857702.919161137</v>
      </c>
      <c r="K44" s="11">
        <f>+SUMIFS(JURNAL!H:H,JURNAL!E:E,C44,JURNAL!C:C,"&gt;="&amp;$H$1,JURNAL!C:C,"&lt;="&amp;$I$1)</f>
        <v>25857702.920000002</v>
      </c>
      <c r="L44" s="26">
        <f t="shared" si="2"/>
        <v>0</v>
      </c>
      <c r="M44" s="27">
        <f t="shared" si="0"/>
        <v>8.3886459469795227E-4</v>
      </c>
      <c r="N44" s="11"/>
      <c r="O44" s="183"/>
      <c r="P44" s="27"/>
      <c r="Q44" s="11"/>
      <c r="R44" s="26">
        <f t="shared" si="3"/>
        <v>0</v>
      </c>
      <c r="S44" s="27">
        <f t="shared" si="4"/>
        <v>8.3886459469795227E-4</v>
      </c>
      <c r="T44" s="11"/>
      <c r="U44" s="11"/>
      <c r="V44" s="417">
        <f t="shared" si="5"/>
        <v>0</v>
      </c>
      <c r="W44" s="380">
        <f t="shared" si="1"/>
        <v>8.3886459469795227E-4</v>
      </c>
      <c r="X44" s="4">
        <v>1107</v>
      </c>
      <c r="Y44" s="4"/>
      <c r="Z44" s="4"/>
      <c r="AA44" s="12">
        <f t="shared" si="6"/>
        <v>1</v>
      </c>
      <c r="AC44" s="80"/>
      <c r="AD44" s="80"/>
      <c r="AE44" s="80"/>
      <c r="AF44" s="80"/>
    </row>
    <row r="45" spans="1:32" ht="12.75" customHeight="1">
      <c r="A45" s="24"/>
      <c r="B45" s="105">
        <f t="shared" si="7"/>
        <v>42</v>
      </c>
      <c r="C45" s="6">
        <v>140402</v>
      </c>
      <c r="D45" s="118" t="s">
        <v>1680</v>
      </c>
      <c r="E45" s="9" t="s">
        <v>32</v>
      </c>
      <c r="F45" s="6"/>
      <c r="G45" s="6"/>
      <c r="H45" s="11">
        <f>+STAT2!V45</f>
        <v>0</v>
      </c>
      <c r="I45" s="11">
        <f>+STAT2!W45</f>
        <v>0</v>
      </c>
      <c r="J45" s="11">
        <f>+SUMIFS(JURNAL!G:G,JURNAL!E:E,C45,JURNAL!C:C,"&gt;="&amp;$H$1,JURNAL!C:C,"&lt;="&amp;$I$1)</f>
        <v>0</v>
      </c>
      <c r="K45" s="11">
        <f>+SUMIFS(JURNAL!H:H,JURNAL!E:E,C45,JURNAL!C:C,"&gt;="&amp;$H$1,JURNAL!C:C,"&lt;="&amp;$I$1)</f>
        <v>0</v>
      </c>
      <c r="L45" s="26">
        <f t="shared" si="2"/>
        <v>0</v>
      </c>
      <c r="M45" s="27">
        <f t="shared" si="0"/>
        <v>0</v>
      </c>
      <c r="N45" s="11"/>
      <c r="O45" s="183"/>
      <c r="P45" s="27"/>
      <c r="Q45" s="11"/>
      <c r="R45" s="26">
        <f t="shared" si="3"/>
        <v>0</v>
      </c>
      <c r="S45" s="27">
        <f t="shared" si="4"/>
        <v>0</v>
      </c>
      <c r="T45" s="11"/>
      <c r="U45" s="11"/>
      <c r="V45" s="417">
        <f t="shared" si="5"/>
        <v>0</v>
      </c>
      <c r="W45" s="380">
        <f t="shared" si="1"/>
        <v>0</v>
      </c>
      <c r="X45" s="4">
        <v>1107</v>
      </c>
      <c r="Y45" s="4"/>
      <c r="Z45" s="4"/>
      <c r="AA45" s="12">
        <f t="shared" si="6"/>
        <v>0</v>
      </c>
      <c r="AC45" s="80"/>
      <c r="AD45" s="80"/>
      <c r="AE45" s="80"/>
      <c r="AF45" s="80"/>
    </row>
    <row r="46" spans="1:32" ht="12.75" customHeight="1">
      <c r="A46" s="24"/>
      <c r="B46" s="105">
        <f t="shared" si="7"/>
        <v>43</v>
      </c>
      <c r="C46" s="6">
        <v>140500</v>
      </c>
      <c r="D46" s="118" t="s">
        <v>1681</v>
      </c>
      <c r="E46" s="9" t="s">
        <v>32</v>
      </c>
      <c r="F46" s="6"/>
      <c r="G46" s="6"/>
      <c r="H46" s="11">
        <f>+STAT2!V46</f>
        <v>0</v>
      </c>
      <c r="I46" s="11">
        <f>+STAT2!W46</f>
        <v>0</v>
      </c>
      <c r="J46" s="11">
        <f>+SUMIFS(JURNAL!G:G,JURNAL!E:E,C46,JURNAL!C:C,"&gt;="&amp;$H$1,JURNAL!C:C,"&lt;="&amp;$I$1)</f>
        <v>0</v>
      </c>
      <c r="K46" s="11">
        <f>+SUMIFS(JURNAL!H:H,JURNAL!E:E,C46,JURNAL!C:C,"&gt;="&amp;$H$1,JURNAL!C:C,"&lt;="&amp;$I$1)</f>
        <v>0</v>
      </c>
      <c r="L46" s="26">
        <f t="shared" si="2"/>
        <v>0</v>
      </c>
      <c r="M46" s="27">
        <f t="shared" si="0"/>
        <v>0</v>
      </c>
      <c r="N46" s="11"/>
      <c r="O46" s="183"/>
      <c r="P46" s="27"/>
      <c r="Q46" s="11"/>
      <c r="R46" s="26">
        <f t="shared" si="3"/>
        <v>0</v>
      </c>
      <c r="S46" s="27">
        <f t="shared" si="4"/>
        <v>0</v>
      </c>
      <c r="T46" s="11"/>
      <c r="U46" s="11"/>
      <c r="V46" s="417">
        <f t="shared" si="5"/>
        <v>0</v>
      </c>
      <c r="W46" s="380">
        <f t="shared" si="1"/>
        <v>0</v>
      </c>
      <c r="X46" s="4">
        <v>1107</v>
      </c>
      <c r="Y46" s="4"/>
      <c r="Z46" s="4"/>
      <c r="AA46" s="12">
        <f t="shared" si="6"/>
        <v>0</v>
      </c>
      <c r="AC46" s="80"/>
      <c r="AD46" s="80"/>
      <c r="AE46" s="80"/>
      <c r="AF46" s="80"/>
    </row>
    <row r="47" spans="1:32" ht="12.75" customHeight="1">
      <c r="A47" s="24"/>
      <c r="B47" s="105">
        <f t="shared" si="7"/>
        <v>44</v>
      </c>
      <c r="C47" s="6">
        <v>140501</v>
      </c>
      <c r="D47" s="118" t="s">
        <v>1682</v>
      </c>
      <c r="E47" s="9" t="s">
        <v>32</v>
      </c>
      <c r="F47" s="6"/>
      <c r="G47" s="6"/>
      <c r="H47" s="11">
        <f>+STAT2!V47</f>
        <v>0</v>
      </c>
      <c r="I47" s="11">
        <f>+STAT2!W47</f>
        <v>0</v>
      </c>
      <c r="J47" s="11">
        <f>+SUMIFS(JURNAL!G:G,JURNAL!E:E,C47,JURNAL!C:C,"&gt;="&amp;$H$1,JURNAL!C:C,"&lt;="&amp;$I$1)</f>
        <v>126137857.15000001</v>
      </c>
      <c r="K47" s="11">
        <f>+SUMIFS(JURNAL!H:H,JURNAL!E:E,C47,JURNAL!C:C,"&gt;="&amp;$H$1,JURNAL!C:C,"&lt;="&amp;$I$1)</f>
        <v>126137857.15000001</v>
      </c>
      <c r="L47" s="26">
        <f t="shared" si="2"/>
        <v>0</v>
      </c>
      <c r="M47" s="27">
        <f t="shared" si="0"/>
        <v>0</v>
      </c>
      <c r="N47" s="11"/>
      <c r="O47" s="183"/>
      <c r="P47" s="27"/>
      <c r="Q47" s="11"/>
      <c r="R47" s="26">
        <f t="shared" si="3"/>
        <v>0</v>
      </c>
      <c r="S47" s="27">
        <f t="shared" si="4"/>
        <v>0</v>
      </c>
      <c r="T47" s="11"/>
      <c r="U47" s="11"/>
      <c r="V47" s="417">
        <f t="shared" si="5"/>
        <v>0</v>
      </c>
      <c r="W47" s="418">
        <f t="shared" si="1"/>
        <v>0</v>
      </c>
      <c r="X47" s="4">
        <v>1107</v>
      </c>
      <c r="Y47" s="4"/>
      <c r="Z47" s="4"/>
      <c r="AA47" s="12">
        <f t="shared" si="6"/>
        <v>1</v>
      </c>
      <c r="AC47" s="80"/>
      <c r="AD47" s="80"/>
      <c r="AE47" s="80"/>
      <c r="AF47" s="80"/>
    </row>
    <row r="48" spans="1:32" ht="12.75" customHeight="1">
      <c r="A48" s="24"/>
      <c r="B48" s="105">
        <f t="shared" si="7"/>
        <v>45</v>
      </c>
      <c r="C48" s="6">
        <v>140502</v>
      </c>
      <c r="D48" s="118" t="s">
        <v>1683</v>
      </c>
      <c r="E48" s="9" t="s">
        <v>32</v>
      </c>
      <c r="F48" s="6"/>
      <c r="G48" s="6"/>
      <c r="H48" s="11">
        <f>+STAT2!V48</f>
        <v>0</v>
      </c>
      <c r="I48" s="11">
        <f>+STAT2!W48</f>
        <v>0</v>
      </c>
      <c r="J48" s="11">
        <f>+SUMIFS(JURNAL!G:G,JURNAL!E:E,C48,JURNAL!C:C,"&gt;="&amp;$H$1,JURNAL!C:C,"&lt;="&amp;$I$1)</f>
        <v>0</v>
      </c>
      <c r="K48" s="11">
        <f>+SUMIFS(JURNAL!H:H,JURNAL!E:E,C48,JURNAL!C:C,"&gt;="&amp;$H$1,JURNAL!C:C,"&lt;="&amp;$I$1)</f>
        <v>0</v>
      </c>
      <c r="L48" s="26">
        <f t="shared" si="2"/>
        <v>0</v>
      </c>
      <c r="M48" s="27">
        <f t="shared" si="0"/>
        <v>0</v>
      </c>
      <c r="N48" s="11"/>
      <c r="O48" s="183"/>
      <c r="P48" s="27"/>
      <c r="Q48" s="11"/>
      <c r="R48" s="26">
        <f t="shared" si="3"/>
        <v>0</v>
      </c>
      <c r="S48" s="27">
        <f t="shared" si="4"/>
        <v>0</v>
      </c>
      <c r="T48" s="11"/>
      <c r="U48" s="11"/>
      <c r="V48" s="417">
        <f t="shared" si="5"/>
        <v>0</v>
      </c>
      <c r="W48" s="380">
        <f t="shared" si="1"/>
        <v>0</v>
      </c>
      <c r="X48" s="4">
        <v>1107</v>
      </c>
      <c r="Y48" s="4"/>
      <c r="Z48" s="4"/>
      <c r="AA48" s="12">
        <f t="shared" si="6"/>
        <v>0</v>
      </c>
      <c r="AC48" s="80"/>
      <c r="AD48" s="80"/>
      <c r="AE48" s="80"/>
      <c r="AF48" s="80"/>
    </row>
    <row r="49" spans="1:32" ht="12.75" customHeight="1">
      <c r="A49" s="24"/>
      <c r="B49" s="105">
        <f t="shared" si="7"/>
        <v>46</v>
      </c>
      <c r="C49" s="6">
        <v>141200</v>
      </c>
      <c r="D49" s="118" t="s">
        <v>1684</v>
      </c>
      <c r="E49" s="9" t="s">
        <v>32</v>
      </c>
      <c r="F49" s="6"/>
      <c r="G49" s="6"/>
      <c r="H49" s="11">
        <f>+STAT2!V49</f>
        <v>0</v>
      </c>
      <c r="I49" s="11">
        <f>+STAT2!W49</f>
        <v>0</v>
      </c>
      <c r="J49" s="11">
        <f>+SUMIFS(JURNAL!G:G,JURNAL!E:E,C49,JURNAL!C:C,"&gt;="&amp;$H$1,JURNAL!C:C,"&lt;="&amp;$I$1)</f>
        <v>0</v>
      </c>
      <c r="K49" s="11">
        <f>+SUMIFS(JURNAL!H:H,JURNAL!E:E,C49,JURNAL!C:C,"&gt;="&amp;$H$1,JURNAL!C:C,"&lt;="&amp;$I$1)</f>
        <v>0</v>
      </c>
      <c r="L49" s="26">
        <f t="shared" si="2"/>
        <v>0</v>
      </c>
      <c r="M49" s="27">
        <f t="shared" si="0"/>
        <v>0</v>
      </c>
      <c r="N49" s="11"/>
      <c r="O49" s="183"/>
      <c r="P49" s="27"/>
      <c r="Q49" s="11"/>
      <c r="R49" s="26">
        <f t="shared" si="3"/>
        <v>0</v>
      </c>
      <c r="S49" s="27">
        <f t="shared" si="4"/>
        <v>0</v>
      </c>
      <c r="T49" s="11"/>
      <c r="U49" s="11"/>
      <c r="V49" s="417">
        <f t="shared" si="5"/>
        <v>0</v>
      </c>
      <c r="W49" s="380">
        <f t="shared" si="1"/>
        <v>0</v>
      </c>
      <c r="X49" s="4">
        <v>1107</v>
      </c>
      <c r="Y49" s="4"/>
      <c r="Z49" s="4"/>
      <c r="AA49" s="12">
        <f t="shared" si="6"/>
        <v>0</v>
      </c>
      <c r="AC49" s="80"/>
      <c r="AD49" s="80"/>
      <c r="AE49" s="80"/>
      <c r="AF49" s="80"/>
    </row>
    <row r="50" spans="1:32" ht="12.75" customHeight="1">
      <c r="A50" s="24"/>
      <c r="B50" s="105">
        <f t="shared" si="7"/>
        <v>47</v>
      </c>
      <c r="C50" s="6">
        <v>141201</v>
      </c>
      <c r="D50" s="118" t="s">
        <v>2599</v>
      </c>
      <c r="E50" s="9" t="s">
        <v>32</v>
      </c>
      <c r="F50" s="6"/>
      <c r="G50" s="6"/>
      <c r="H50" s="11">
        <f>+STAT2!V50</f>
        <v>0</v>
      </c>
      <c r="I50" s="11">
        <f>+STAT2!W50</f>
        <v>0</v>
      </c>
      <c r="J50" s="11">
        <f>+SUMIFS(JURNAL!G:G,JURNAL!E:E,C50,JURNAL!C:C,"&gt;="&amp;$H$1,JURNAL!C:C,"&lt;="&amp;$I$1)</f>
        <v>53266757.986630484</v>
      </c>
      <c r="K50" s="11">
        <f>+SUMIFS(JURNAL!H:H,JURNAL!E:E,C50,JURNAL!C:C,"&gt;="&amp;$H$1,JURNAL!C:C,"&lt;="&amp;$I$1)</f>
        <v>53266757.986630484</v>
      </c>
      <c r="L50" s="26">
        <f t="shared" si="2"/>
        <v>0</v>
      </c>
      <c r="M50" s="27">
        <f t="shared" si="0"/>
        <v>0</v>
      </c>
      <c r="N50" s="11"/>
      <c r="O50" s="183"/>
      <c r="P50" s="27"/>
      <c r="Q50" s="11"/>
      <c r="R50" s="26">
        <f t="shared" si="3"/>
        <v>0</v>
      </c>
      <c r="S50" s="27">
        <f t="shared" si="4"/>
        <v>0</v>
      </c>
      <c r="T50" s="11"/>
      <c r="U50" s="11"/>
      <c r="V50" s="417">
        <f t="shared" si="5"/>
        <v>0</v>
      </c>
      <c r="W50" s="380">
        <f t="shared" si="1"/>
        <v>0</v>
      </c>
      <c r="X50" s="4">
        <v>1107</v>
      </c>
      <c r="Y50" s="4"/>
      <c r="Z50" s="4"/>
      <c r="AA50" s="12">
        <f t="shared" si="6"/>
        <v>1</v>
      </c>
      <c r="AC50" s="80"/>
      <c r="AD50" s="80"/>
      <c r="AE50" s="80"/>
      <c r="AF50" s="80"/>
    </row>
    <row r="51" spans="1:32" ht="12.75" customHeight="1">
      <c r="A51" s="24"/>
      <c r="B51" s="105">
        <f t="shared" si="7"/>
        <v>48</v>
      </c>
      <c r="C51" s="6">
        <v>141300</v>
      </c>
      <c r="D51" s="118" t="s">
        <v>1685</v>
      </c>
      <c r="E51" s="9" t="s">
        <v>32</v>
      </c>
      <c r="F51" s="6"/>
      <c r="G51" s="6"/>
      <c r="H51" s="11">
        <f>+STAT2!V51</f>
        <v>0</v>
      </c>
      <c r="I51" s="11">
        <f>+STAT2!W51</f>
        <v>0</v>
      </c>
      <c r="J51" s="11">
        <f>+SUMIFS(JURNAL!G:G,JURNAL!E:E,C51,JURNAL!C:C,"&gt;="&amp;$H$1,JURNAL!C:C,"&lt;="&amp;$I$1)</f>
        <v>0</v>
      </c>
      <c r="K51" s="11">
        <f>+SUMIFS(JURNAL!H:H,JURNAL!E:E,C51,JURNAL!C:C,"&gt;="&amp;$H$1,JURNAL!C:C,"&lt;="&amp;$I$1)</f>
        <v>0</v>
      </c>
      <c r="L51" s="26">
        <f t="shared" si="2"/>
        <v>0</v>
      </c>
      <c r="M51" s="27">
        <f t="shared" si="0"/>
        <v>0</v>
      </c>
      <c r="N51" s="11"/>
      <c r="O51" s="183"/>
      <c r="P51" s="27"/>
      <c r="Q51" s="11"/>
      <c r="R51" s="26">
        <f t="shared" si="3"/>
        <v>0</v>
      </c>
      <c r="S51" s="27">
        <f t="shared" si="4"/>
        <v>0</v>
      </c>
      <c r="T51" s="11"/>
      <c r="U51" s="11"/>
      <c r="V51" s="417">
        <f t="shared" si="5"/>
        <v>0</v>
      </c>
      <c r="W51" s="380">
        <f t="shared" si="1"/>
        <v>0</v>
      </c>
      <c r="X51" s="4">
        <v>1107</v>
      </c>
      <c r="Y51" s="4"/>
      <c r="Z51" s="4"/>
      <c r="AA51" s="12">
        <f t="shared" si="6"/>
        <v>0</v>
      </c>
      <c r="AC51" s="80"/>
      <c r="AD51" s="80"/>
      <c r="AE51" s="80"/>
      <c r="AF51" s="80"/>
    </row>
    <row r="52" spans="1:32" ht="12.75" customHeight="1">
      <c r="A52" s="24"/>
      <c r="B52" s="105">
        <f t="shared" si="7"/>
        <v>49</v>
      </c>
      <c r="C52" s="6">
        <v>141301</v>
      </c>
      <c r="D52" s="118" t="s">
        <v>2602</v>
      </c>
      <c r="E52" s="9" t="s">
        <v>32</v>
      </c>
      <c r="F52" s="6"/>
      <c r="G52" s="6"/>
      <c r="H52" s="11">
        <f>+STAT2!V52</f>
        <v>0</v>
      </c>
      <c r="I52" s="11">
        <f>+STAT2!W52</f>
        <v>0</v>
      </c>
      <c r="J52" s="11">
        <f>+SUMIFS(JURNAL!G:G,JURNAL!E:E,C52,JURNAL!C:C,"&gt;="&amp;$H$1,JURNAL!C:C,"&lt;="&amp;$I$1)</f>
        <v>8374235.7999999998</v>
      </c>
      <c r="K52" s="11">
        <f>+SUMIFS(JURNAL!H:H,JURNAL!E:E,C52,JURNAL!C:C,"&gt;="&amp;$H$1,JURNAL!C:C,"&lt;="&amp;$I$1)</f>
        <v>8374235.7999999998</v>
      </c>
      <c r="L52" s="26">
        <f t="shared" si="2"/>
        <v>0</v>
      </c>
      <c r="M52" s="27">
        <f t="shared" si="0"/>
        <v>0</v>
      </c>
      <c r="N52" s="11"/>
      <c r="O52" s="183"/>
      <c r="P52" s="27"/>
      <c r="Q52" s="11"/>
      <c r="R52" s="26">
        <f t="shared" si="3"/>
        <v>0</v>
      </c>
      <c r="S52" s="27">
        <f t="shared" si="4"/>
        <v>0</v>
      </c>
      <c r="T52" s="11"/>
      <c r="U52" s="11"/>
      <c r="V52" s="417">
        <f t="shared" si="5"/>
        <v>0</v>
      </c>
      <c r="W52" s="380">
        <f t="shared" si="1"/>
        <v>0</v>
      </c>
      <c r="X52" s="4">
        <v>1107</v>
      </c>
      <c r="Y52" s="4"/>
      <c r="Z52" s="4"/>
      <c r="AA52" s="12">
        <f t="shared" si="6"/>
        <v>1</v>
      </c>
      <c r="AC52" s="80"/>
      <c r="AD52" s="80"/>
      <c r="AE52" s="80"/>
      <c r="AF52" s="80"/>
    </row>
    <row r="53" spans="1:32" ht="12.75" customHeight="1">
      <c r="A53" s="24"/>
      <c r="B53" s="105">
        <f t="shared" si="7"/>
        <v>50</v>
      </c>
      <c r="C53" s="6">
        <v>141400</v>
      </c>
      <c r="D53" s="118" t="s">
        <v>1686</v>
      </c>
      <c r="E53" s="9" t="s">
        <v>32</v>
      </c>
      <c r="F53" s="6"/>
      <c r="G53" s="6"/>
      <c r="H53" s="11">
        <f>+STAT2!V53</f>
        <v>0</v>
      </c>
      <c r="I53" s="11">
        <f>+STAT2!W53</f>
        <v>0</v>
      </c>
      <c r="J53" s="11">
        <f>+SUMIFS(JURNAL!G:G,JURNAL!E:E,C53,JURNAL!C:C,"&gt;="&amp;$H$1,JURNAL!C:C,"&lt;="&amp;$I$1)</f>
        <v>0</v>
      </c>
      <c r="K53" s="11">
        <f>+SUMIFS(JURNAL!H:H,JURNAL!E:E,C53,JURNAL!C:C,"&gt;="&amp;$H$1,JURNAL!C:C,"&lt;="&amp;$I$1)</f>
        <v>0</v>
      </c>
      <c r="L53" s="26">
        <f t="shared" si="2"/>
        <v>0</v>
      </c>
      <c r="M53" s="27">
        <f t="shared" si="0"/>
        <v>0</v>
      </c>
      <c r="N53" s="11"/>
      <c r="O53" s="183"/>
      <c r="P53" s="27"/>
      <c r="Q53" s="11"/>
      <c r="R53" s="26">
        <f t="shared" si="3"/>
        <v>0</v>
      </c>
      <c r="S53" s="27">
        <f t="shared" si="4"/>
        <v>0</v>
      </c>
      <c r="T53" s="11"/>
      <c r="U53" s="11"/>
      <c r="V53" s="417">
        <f t="shared" si="5"/>
        <v>0</v>
      </c>
      <c r="W53" s="380">
        <f t="shared" si="1"/>
        <v>0</v>
      </c>
      <c r="X53" s="4">
        <v>1107</v>
      </c>
      <c r="Y53" s="4"/>
      <c r="Z53" s="4"/>
      <c r="AA53" s="12">
        <f t="shared" si="6"/>
        <v>0</v>
      </c>
      <c r="AC53" s="80"/>
      <c r="AD53" s="80"/>
      <c r="AE53" s="80"/>
      <c r="AF53" s="80"/>
    </row>
    <row r="54" spans="1:32" ht="12.75" customHeight="1">
      <c r="A54" s="24"/>
      <c r="B54" s="105">
        <f t="shared" si="7"/>
        <v>51</v>
      </c>
      <c r="C54" s="6">
        <v>141401</v>
      </c>
      <c r="D54" s="118" t="s">
        <v>2600</v>
      </c>
      <c r="E54" s="9" t="s">
        <v>32</v>
      </c>
      <c r="F54" s="6"/>
      <c r="G54" s="6"/>
      <c r="H54" s="11">
        <f>+STAT2!V54</f>
        <v>0</v>
      </c>
      <c r="I54" s="11">
        <f>+STAT2!W54</f>
        <v>0</v>
      </c>
      <c r="J54" s="11">
        <f>+SUMIFS(JURNAL!G:G,JURNAL!E:E,C54,JURNAL!C:C,"&gt;="&amp;$H$1,JURNAL!C:C,"&lt;="&amp;$I$1)</f>
        <v>25767698.975869551</v>
      </c>
      <c r="K54" s="11">
        <f>+SUMIFS(JURNAL!H:H,JURNAL!E:E,C54,JURNAL!C:C,"&gt;="&amp;$H$1,JURNAL!C:C,"&lt;="&amp;$I$1)</f>
        <v>25767698.975869551</v>
      </c>
      <c r="L54" s="26">
        <f t="shared" si="2"/>
        <v>0</v>
      </c>
      <c r="M54" s="27">
        <f t="shared" si="0"/>
        <v>0</v>
      </c>
      <c r="N54" s="11"/>
      <c r="O54" s="183"/>
      <c r="P54" s="27"/>
      <c r="Q54" s="11"/>
      <c r="R54" s="26">
        <f t="shared" si="3"/>
        <v>0</v>
      </c>
      <c r="S54" s="27">
        <f t="shared" si="4"/>
        <v>0</v>
      </c>
      <c r="T54" s="11"/>
      <c r="U54" s="11"/>
      <c r="V54" s="417">
        <f t="shared" si="5"/>
        <v>0</v>
      </c>
      <c r="W54" s="380">
        <f t="shared" si="1"/>
        <v>0</v>
      </c>
      <c r="X54" s="4">
        <v>1107</v>
      </c>
      <c r="Y54" s="4"/>
      <c r="Z54" s="4"/>
      <c r="AA54" s="12">
        <f t="shared" si="6"/>
        <v>1</v>
      </c>
      <c r="AC54" s="80"/>
      <c r="AD54" s="80"/>
      <c r="AE54" s="80"/>
      <c r="AF54" s="80"/>
    </row>
    <row r="55" spans="1:32" ht="12.75" customHeight="1">
      <c r="A55" s="24"/>
      <c r="B55" s="105">
        <f t="shared" si="7"/>
        <v>52</v>
      </c>
      <c r="C55" s="6">
        <v>141500</v>
      </c>
      <c r="D55" s="118" t="s">
        <v>1687</v>
      </c>
      <c r="E55" s="9" t="s">
        <v>32</v>
      </c>
      <c r="F55" s="6"/>
      <c r="G55" s="6"/>
      <c r="H55" s="11">
        <f>+STAT2!V55</f>
        <v>0</v>
      </c>
      <c r="I55" s="11">
        <f>+STAT2!W55</f>
        <v>0</v>
      </c>
      <c r="J55" s="11">
        <f>+SUMIFS(JURNAL!G:G,JURNAL!E:E,C55,JURNAL!C:C,"&gt;="&amp;$H$1,JURNAL!C:C,"&lt;="&amp;$I$1)</f>
        <v>0</v>
      </c>
      <c r="K55" s="11">
        <f>+SUMIFS(JURNAL!H:H,JURNAL!E:E,C55,JURNAL!C:C,"&gt;="&amp;$H$1,JURNAL!C:C,"&lt;="&amp;$I$1)</f>
        <v>0</v>
      </c>
      <c r="L55" s="26">
        <f t="shared" si="2"/>
        <v>0</v>
      </c>
      <c r="M55" s="27">
        <f t="shared" si="0"/>
        <v>0</v>
      </c>
      <c r="N55" s="11"/>
      <c r="O55" s="183"/>
      <c r="P55" s="27"/>
      <c r="Q55" s="11"/>
      <c r="R55" s="26">
        <f t="shared" si="3"/>
        <v>0</v>
      </c>
      <c r="S55" s="27">
        <f t="shared" si="4"/>
        <v>0</v>
      </c>
      <c r="T55" s="11"/>
      <c r="U55" s="11"/>
      <c r="V55" s="417">
        <f t="shared" si="5"/>
        <v>0</v>
      </c>
      <c r="W55" s="380">
        <f t="shared" si="1"/>
        <v>0</v>
      </c>
      <c r="X55" s="4">
        <v>1107</v>
      </c>
      <c r="Y55" s="4"/>
      <c r="Z55" s="4"/>
      <c r="AA55" s="12">
        <f t="shared" si="6"/>
        <v>0</v>
      </c>
      <c r="AC55" s="80"/>
      <c r="AD55" s="80"/>
      <c r="AE55" s="80"/>
      <c r="AF55" s="80"/>
    </row>
    <row r="56" spans="1:32" ht="12.75" customHeight="1">
      <c r="A56" s="24"/>
      <c r="B56" s="105">
        <f t="shared" si="7"/>
        <v>53</v>
      </c>
      <c r="C56" s="6">
        <v>141501</v>
      </c>
      <c r="D56" s="118" t="s">
        <v>2601</v>
      </c>
      <c r="E56" s="9" t="s">
        <v>32</v>
      </c>
      <c r="F56" s="6"/>
      <c r="G56" s="6"/>
      <c r="H56" s="11">
        <f>+STAT2!V56</f>
        <v>0</v>
      </c>
      <c r="I56" s="11">
        <f>+STAT2!W56</f>
        <v>0</v>
      </c>
      <c r="J56" s="11">
        <f>+SUMIFS(JURNAL!G:G,JURNAL!E:E,C56,JURNAL!C:C,"&gt;="&amp;$H$1,JURNAL!C:C,"&lt;="&amp;$I$1)</f>
        <v>87408692.762500048</v>
      </c>
      <c r="K56" s="11">
        <f>+SUMIFS(JURNAL!H:H,JURNAL!E:E,C56,JURNAL!C:C,"&gt;="&amp;$H$1,JURNAL!C:C,"&lt;="&amp;$I$1)</f>
        <v>87408692.762500048</v>
      </c>
      <c r="L56" s="26">
        <f t="shared" si="2"/>
        <v>0</v>
      </c>
      <c r="M56" s="27">
        <f t="shared" si="0"/>
        <v>0</v>
      </c>
      <c r="N56" s="11"/>
      <c r="O56" s="183"/>
      <c r="P56" s="27"/>
      <c r="Q56" s="11"/>
      <c r="R56" s="26">
        <f t="shared" si="3"/>
        <v>0</v>
      </c>
      <c r="S56" s="27">
        <f t="shared" si="4"/>
        <v>0</v>
      </c>
      <c r="T56" s="11"/>
      <c r="U56" s="11"/>
      <c r="V56" s="417">
        <f t="shared" si="5"/>
        <v>0</v>
      </c>
      <c r="W56" s="380">
        <f t="shared" si="1"/>
        <v>0</v>
      </c>
      <c r="X56" s="4">
        <v>1107</v>
      </c>
      <c r="Y56" s="4"/>
      <c r="Z56" s="4"/>
      <c r="AA56" s="12">
        <f t="shared" si="6"/>
        <v>1</v>
      </c>
      <c r="AC56" s="80"/>
      <c r="AD56" s="80"/>
      <c r="AE56" s="80"/>
      <c r="AF56" s="80"/>
    </row>
    <row r="57" spans="1:32" ht="12.75" customHeight="1">
      <c r="A57" s="24"/>
      <c r="B57" s="105">
        <f t="shared" si="7"/>
        <v>54</v>
      </c>
      <c r="C57" s="6">
        <v>150100</v>
      </c>
      <c r="D57" s="118" t="s">
        <v>1688</v>
      </c>
      <c r="E57" s="9" t="s">
        <v>32</v>
      </c>
      <c r="F57" s="6"/>
      <c r="G57" s="6"/>
      <c r="H57" s="11">
        <f>+STAT2!V57</f>
        <v>173045738.45927504</v>
      </c>
      <c r="I57" s="11">
        <f>+STAT2!W57</f>
        <v>0</v>
      </c>
      <c r="J57" s="11">
        <f>+SUMIFS(JURNAL!G:G,JURNAL!E:E,C57,JURNAL!C:C,"&gt;="&amp;$H$1,JURNAL!C:C,"&lt;="&amp;$I$1)</f>
        <v>0</v>
      </c>
      <c r="K57" s="11">
        <f>+SUMIFS(JURNAL!H:H,JURNAL!E:E,C57,JURNAL!C:C,"&gt;="&amp;$H$1,JURNAL!C:C,"&lt;="&amp;$I$1)</f>
        <v>87396970.025346071</v>
      </c>
      <c r="L57" s="26">
        <f t="shared" si="2"/>
        <v>85648768.433928967</v>
      </c>
      <c r="M57" s="27">
        <f t="shared" si="0"/>
        <v>0</v>
      </c>
      <c r="N57" s="11"/>
      <c r="O57" s="183"/>
      <c r="P57" s="27"/>
      <c r="Q57" s="11"/>
      <c r="R57" s="26">
        <f t="shared" si="3"/>
        <v>85648768.433928967</v>
      </c>
      <c r="S57" s="27">
        <f t="shared" si="4"/>
        <v>0</v>
      </c>
      <c r="T57" s="11"/>
      <c r="U57" s="11"/>
      <c r="V57" s="417">
        <f t="shared" si="5"/>
        <v>85648768.433928967</v>
      </c>
      <c r="W57" s="418">
        <f t="shared" si="1"/>
        <v>0</v>
      </c>
      <c r="X57" s="4">
        <v>1107</v>
      </c>
      <c r="Y57" s="4"/>
      <c r="Z57" s="4"/>
      <c r="AA57" s="12">
        <f t="shared" si="6"/>
        <v>1</v>
      </c>
      <c r="AC57" s="80"/>
      <c r="AD57" s="80"/>
      <c r="AE57" s="80"/>
      <c r="AF57" s="80"/>
    </row>
    <row r="58" spans="1:32" ht="12.75" customHeight="1">
      <c r="A58" s="24"/>
      <c r="B58" s="105">
        <f t="shared" si="7"/>
        <v>55</v>
      </c>
      <c r="C58" s="6">
        <v>150101</v>
      </c>
      <c r="D58" s="118" t="s">
        <v>1689</v>
      </c>
      <c r="E58" s="9" t="s">
        <v>32</v>
      </c>
      <c r="F58" s="6"/>
      <c r="G58" s="6"/>
      <c r="H58" s="11">
        <f>+STAT2!V58</f>
        <v>419277656.14853746</v>
      </c>
      <c r="I58" s="11">
        <f>+STAT2!W58</f>
        <v>0</v>
      </c>
      <c r="J58" s="11">
        <f>+SUMIFS(JURNAL!G:G,JURNAL!E:E,C58,JURNAL!C:C,"&gt;="&amp;$H$1,JURNAL!C:C,"&lt;="&amp;$I$1)</f>
        <v>126137857.15000001</v>
      </c>
      <c r="K58" s="11">
        <f>+SUMIFS(JURNAL!H:H,JURNAL!E:E,C58,JURNAL!C:C,"&gt;="&amp;$H$1,JURNAL!C:C,"&lt;="&amp;$I$1)</f>
        <v>105105198.29142286</v>
      </c>
      <c r="L58" s="26">
        <f t="shared" si="2"/>
        <v>440310315.00711465</v>
      </c>
      <c r="M58" s="27">
        <f t="shared" si="0"/>
        <v>0</v>
      </c>
      <c r="N58" s="11"/>
      <c r="O58" s="183"/>
      <c r="P58" s="27"/>
      <c r="Q58" s="11"/>
      <c r="R58" s="26">
        <f t="shared" si="3"/>
        <v>440310315.00711465</v>
      </c>
      <c r="S58" s="27">
        <f t="shared" si="4"/>
        <v>0</v>
      </c>
      <c r="T58" s="11"/>
      <c r="U58" s="11"/>
      <c r="V58" s="417">
        <f>+IF((R58+T58)&gt;(S58+U58),(R58+T58)-(S58+U58),0)</f>
        <v>440310315.00711465</v>
      </c>
      <c r="W58" s="418">
        <f t="shared" si="1"/>
        <v>0</v>
      </c>
      <c r="X58" s="4">
        <v>1107</v>
      </c>
      <c r="Y58" s="4"/>
      <c r="Z58" s="4"/>
      <c r="AA58" s="12">
        <f t="shared" si="6"/>
        <v>1</v>
      </c>
      <c r="AC58" s="80"/>
      <c r="AD58" s="80"/>
      <c r="AE58" s="80"/>
      <c r="AF58" s="80"/>
    </row>
    <row r="59" spans="1:32" ht="12.75" customHeight="1">
      <c r="A59" s="24"/>
      <c r="B59" s="105">
        <f t="shared" si="7"/>
        <v>56</v>
      </c>
      <c r="C59" s="6">
        <v>150102</v>
      </c>
      <c r="D59" s="118" t="s">
        <v>1690</v>
      </c>
      <c r="E59" s="9" t="s">
        <v>32</v>
      </c>
      <c r="F59" s="6"/>
      <c r="G59" s="6"/>
      <c r="H59" s="11">
        <f>+STAT2!V59</f>
        <v>0</v>
      </c>
      <c r="I59" s="11">
        <f>+STAT2!W59</f>
        <v>0</v>
      </c>
      <c r="J59" s="11">
        <f>+SUMIFS(JURNAL!G:G,JURNAL!E:E,C59,JURNAL!C:C,"&gt;="&amp;$H$1,JURNAL!C:C,"&lt;="&amp;$I$1)</f>
        <v>0</v>
      </c>
      <c r="K59" s="11">
        <f>+SUMIFS(JURNAL!H:H,JURNAL!E:E,C59,JURNAL!C:C,"&gt;="&amp;$H$1,JURNAL!C:C,"&lt;="&amp;$I$1)</f>
        <v>0</v>
      </c>
      <c r="L59" s="26">
        <f t="shared" si="2"/>
        <v>0</v>
      </c>
      <c r="M59" s="27">
        <f t="shared" si="0"/>
        <v>0</v>
      </c>
      <c r="N59" s="11"/>
      <c r="O59" s="183"/>
      <c r="P59" s="27"/>
      <c r="Q59" s="11"/>
      <c r="R59" s="26">
        <f t="shared" si="3"/>
        <v>0</v>
      </c>
      <c r="S59" s="27">
        <f t="shared" si="4"/>
        <v>0</v>
      </c>
      <c r="T59" s="11"/>
      <c r="U59" s="11"/>
      <c r="V59" s="417">
        <f t="shared" si="5"/>
        <v>0</v>
      </c>
      <c r="W59" s="380">
        <f t="shared" si="1"/>
        <v>0</v>
      </c>
      <c r="X59" s="4">
        <v>1107</v>
      </c>
      <c r="Y59" s="4"/>
      <c r="Z59" s="4"/>
      <c r="AA59" s="12">
        <f t="shared" si="6"/>
        <v>0</v>
      </c>
      <c r="AC59" s="80"/>
      <c r="AD59" s="80"/>
      <c r="AE59" s="80"/>
      <c r="AF59" s="80"/>
    </row>
    <row r="60" spans="1:32" ht="12.75" customHeight="1">
      <c r="A60" s="24"/>
      <c r="B60" s="105">
        <f t="shared" si="7"/>
        <v>57</v>
      </c>
      <c r="C60" s="6">
        <v>151100</v>
      </c>
      <c r="D60" s="118" t="s">
        <v>1691</v>
      </c>
      <c r="E60" s="9" t="s">
        <v>32</v>
      </c>
      <c r="F60" s="6"/>
      <c r="G60" s="6"/>
      <c r="H60" s="11">
        <f>+STAT2!V60</f>
        <v>0</v>
      </c>
      <c r="I60" s="11">
        <f>+STAT2!W60</f>
        <v>0</v>
      </c>
      <c r="J60" s="11">
        <f>+SUMIFS(JURNAL!G:G,JURNAL!E:E,C60,JURNAL!C:C,"&gt;="&amp;$H$1,JURNAL!C:C,"&lt;="&amp;$I$1)</f>
        <v>0</v>
      </c>
      <c r="K60" s="11">
        <f>+SUMIFS(JURNAL!H:H,JURNAL!E:E,C60,JURNAL!C:C,"&gt;="&amp;$H$1,JURNAL!C:C,"&lt;="&amp;$I$1)</f>
        <v>0</v>
      </c>
      <c r="L60" s="26">
        <f t="shared" si="2"/>
        <v>0</v>
      </c>
      <c r="M60" s="27">
        <f t="shared" si="0"/>
        <v>0</v>
      </c>
      <c r="N60" s="11"/>
      <c r="O60" s="183"/>
      <c r="P60" s="27"/>
      <c r="Q60" s="11"/>
      <c r="R60" s="26">
        <f t="shared" si="3"/>
        <v>0</v>
      </c>
      <c r="S60" s="27">
        <f t="shared" si="4"/>
        <v>0</v>
      </c>
      <c r="T60" s="11"/>
      <c r="U60" s="11"/>
      <c r="V60" s="417">
        <f t="shared" si="5"/>
        <v>0</v>
      </c>
      <c r="W60" s="380">
        <f t="shared" si="1"/>
        <v>0</v>
      </c>
      <c r="X60" s="4">
        <v>1107</v>
      </c>
      <c r="Y60" s="4"/>
      <c r="Z60" s="4"/>
      <c r="AA60" s="12">
        <f t="shared" si="6"/>
        <v>0</v>
      </c>
      <c r="AC60" s="80"/>
      <c r="AD60" s="80"/>
      <c r="AE60" s="80"/>
      <c r="AF60" s="80"/>
    </row>
    <row r="61" spans="1:32" ht="12.75" customHeight="1">
      <c r="A61" s="24"/>
      <c r="B61" s="105">
        <f t="shared" si="7"/>
        <v>58</v>
      </c>
      <c r="C61" s="6">
        <v>151101</v>
      </c>
      <c r="D61" s="118" t="s">
        <v>1692</v>
      </c>
      <c r="E61" s="9" t="s">
        <v>32</v>
      </c>
      <c r="F61" s="6"/>
      <c r="G61" s="6"/>
      <c r="H61" s="11">
        <f>+STAT2!V61</f>
        <v>0</v>
      </c>
      <c r="I61" s="11">
        <f>+STAT2!W61</f>
        <v>0</v>
      </c>
      <c r="J61" s="11">
        <f>+SUMIFS(JURNAL!G:G,JURNAL!E:E,C61,JURNAL!C:C,"&gt;="&amp;$H$1,JURNAL!C:C,"&lt;="&amp;$I$1)</f>
        <v>0</v>
      </c>
      <c r="K61" s="11">
        <f>+SUMIFS(JURNAL!H:H,JURNAL!E:E,C61,JURNAL!C:C,"&gt;="&amp;$H$1,JURNAL!C:C,"&lt;="&amp;$I$1)</f>
        <v>0</v>
      </c>
      <c r="L61" s="26">
        <f t="shared" si="2"/>
        <v>0</v>
      </c>
      <c r="M61" s="27">
        <f t="shared" si="0"/>
        <v>0</v>
      </c>
      <c r="N61" s="11"/>
      <c r="O61" s="183"/>
      <c r="P61" s="27"/>
      <c r="Q61" s="11"/>
      <c r="R61" s="26">
        <f t="shared" si="3"/>
        <v>0</v>
      </c>
      <c r="S61" s="27">
        <f t="shared" si="4"/>
        <v>0</v>
      </c>
      <c r="T61" s="11"/>
      <c r="U61" s="11"/>
      <c r="V61" s="417">
        <f t="shared" si="5"/>
        <v>0</v>
      </c>
      <c r="W61" s="380">
        <f t="shared" si="1"/>
        <v>0</v>
      </c>
      <c r="X61" s="4">
        <v>1107</v>
      </c>
      <c r="Y61" s="4"/>
      <c r="Z61" s="4"/>
      <c r="AA61" s="12">
        <f t="shared" si="6"/>
        <v>0</v>
      </c>
      <c r="AC61" s="80"/>
      <c r="AD61" s="80"/>
      <c r="AE61" s="80"/>
      <c r="AF61" s="80"/>
    </row>
    <row r="62" spans="1:32" ht="12.75" customHeight="1">
      <c r="A62" s="24"/>
      <c r="B62" s="105">
        <f t="shared" si="7"/>
        <v>59</v>
      </c>
      <c r="C62" s="6">
        <v>160100</v>
      </c>
      <c r="D62" s="118" t="s">
        <v>961</v>
      </c>
      <c r="E62" s="9" t="s">
        <v>32</v>
      </c>
      <c r="F62" s="6"/>
      <c r="G62" s="6"/>
      <c r="H62" s="11">
        <f>+STAT2!V62</f>
        <v>166265677.24610457</v>
      </c>
      <c r="I62" s="11">
        <f>+STAT2!W62</f>
        <v>0</v>
      </c>
      <c r="J62" s="11">
        <f>+SUMIFS(JURNAL!G:G,JURNAL!E:E,C62,JURNAL!C:C,"&gt;="&amp;$H$1,JURNAL!C:C,"&lt;="&amp;$I$1)</f>
        <v>9190163.6400000006</v>
      </c>
      <c r="K62" s="11">
        <f>+SUMIFS(JURNAL!H:H,JURNAL!E:E,C62,JURNAL!C:C,"&gt;="&amp;$H$1,JURNAL!C:C,"&lt;="&amp;$I$1)</f>
        <v>25795822.553210691</v>
      </c>
      <c r="L62" s="26">
        <f t="shared" si="2"/>
        <v>149660018.33289391</v>
      </c>
      <c r="M62" s="27">
        <f t="shared" si="0"/>
        <v>0</v>
      </c>
      <c r="N62" s="11"/>
      <c r="O62" s="183"/>
      <c r="P62" s="27"/>
      <c r="Q62" s="11"/>
      <c r="R62" s="26">
        <f t="shared" si="3"/>
        <v>149660018.33289391</v>
      </c>
      <c r="S62" s="27">
        <f t="shared" si="4"/>
        <v>0</v>
      </c>
      <c r="T62" s="11"/>
      <c r="U62" s="11"/>
      <c r="V62" s="417">
        <f t="shared" si="5"/>
        <v>149660018.33289391</v>
      </c>
      <c r="W62" s="380">
        <f t="shared" si="1"/>
        <v>0</v>
      </c>
      <c r="X62" s="4">
        <v>1107</v>
      </c>
      <c r="Y62" s="4"/>
      <c r="Z62" s="4"/>
      <c r="AA62" s="12">
        <f t="shared" si="6"/>
        <v>1</v>
      </c>
      <c r="AC62" s="80"/>
      <c r="AD62" s="80"/>
      <c r="AE62" s="80"/>
      <c r="AF62" s="80"/>
    </row>
    <row r="63" spans="1:32" ht="12.75" customHeight="1">
      <c r="A63" s="24"/>
      <c r="B63" s="105">
        <f t="shared" si="7"/>
        <v>60</v>
      </c>
      <c r="C63" s="6">
        <v>160200</v>
      </c>
      <c r="D63" s="118" t="s">
        <v>628</v>
      </c>
      <c r="E63" s="9" t="s">
        <v>32</v>
      </c>
      <c r="F63" s="6"/>
      <c r="G63" s="6"/>
      <c r="H63" s="11">
        <f>+STAT2!V63</f>
        <v>7040300.4900000002</v>
      </c>
      <c r="I63" s="11">
        <f>+STAT2!W63</f>
        <v>0</v>
      </c>
      <c r="J63" s="11">
        <f>+SUMIFS(JURNAL!G:G,JURNAL!E:E,C63,JURNAL!C:C,"&gt;="&amp;$H$1,JURNAL!C:C,"&lt;="&amp;$I$1)</f>
        <v>95909.09</v>
      </c>
      <c r="K63" s="11">
        <f>+SUMIFS(JURNAL!H:H,JURNAL!E:E,C63,JURNAL!C:C,"&gt;="&amp;$H$1,JURNAL!C:C,"&lt;="&amp;$I$1)</f>
        <v>997742.42999999993</v>
      </c>
      <c r="L63" s="26">
        <f t="shared" si="2"/>
        <v>6138467.1500000004</v>
      </c>
      <c r="M63" s="27">
        <f t="shared" si="0"/>
        <v>0</v>
      </c>
      <c r="N63" s="11"/>
      <c r="O63" s="183"/>
      <c r="P63" s="27"/>
      <c r="Q63" s="11"/>
      <c r="R63" s="26">
        <f t="shared" si="3"/>
        <v>6138467.1500000004</v>
      </c>
      <c r="S63" s="27">
        <f t="shared" si="4"/>
        <v>0</v>
      </c>
      <c r="T63" s="11"/>
      <c r="U63" s="11"/>
      <c r="V63" s="417">
        <f t="shared" si="5"/>
        <v>6138467.1500000004</v>
      </c>
      <c r="W63" s="380">
        <f t="shared" si="1"/>
        <v>0</v>
      </c>
      <c r="X63" s="4">
        <v>1107</v>
      </c>
      <c r="Y63" s="4"/>
      <c r="Z63" s="4"/>
      <c r="AA63" s="12">
        <f t="shared" si="6"/>
        <v>1</v>
      </c>
      <c r="AC63" s="80"/>
      <c r="AD63" s="80"/>
      <c r="AE63" s="80"/>
      <c r="AF63" s="80"/>
    </row>
    <row r="64" spans="1:32" ht="12.75" customHeight="1">
      <c r="A64" s="24"/>
      <c r="B64" s="105">
        <f t="shared" si="7"/>
        <v>61</v>
      </c>
      <c r="C64" s="6">
        <v>160201</v>
      </c>
      <c r="D64" s="118" t="s">
        <v>1693</v>
      </c>
      <c r="E64" s="9" t="s">
        <v>32</v>
      </c>
      <c r="F64" s="6"/>
      <c r="G64" s="6"/>
      <c r="H64" s="11">
        <f>+STAT2!V64</f>
        <v>375918.56594085693</v>
      </c>
      <c r="I64" s="11">
        <f>+STAT2!W64</f>
        <v>0</v>
      </c>
      <c r="J64" s="11">
        <f>+SUMIFS(JURNAL!G:G,JURNAL!E:E,C64,JURNAL!C:C,"&gt;="&amp;$H$1,JURNAL!C:C,"&lt;="&amp;$I$1)</f>
        <v>0</v>
      </c>
      <c r="K64" s="11">
        <f>+SUMIFS(JURNAL!H:H,JURNAL!E:E,C64,JURNAL!C:C,"&gt;="&amp;$H$1,JURNAL!C:C,"&lt;="&amp;$I$1)</f>
        <v>0</v>
      </c>
      <c r="L64" s="26">
        <f t="shared" si="2"/>
        <v>375918.56594085693</v>
      </c>
      <c r="M64" s="27">
        <f t="shared" si="0"/>
        <v>0</v>
      </c>
      <c r="N64" s="11"/>
      <c r="O64" s="183"/>
      <c r="P64" s="27"/>
      <c r="Q64" s="11"/>
      <c r="R64" s="26">
        <f t="shared" si="3"/>
        <v>375918.56594085693</v>
      </c>
      <c r="S64" s="27">
        <f t="shared" si="4"/>
        <v>0</v>
      </c>
      <c r="T64" s="11"/>
      <c r="U64" s="11"/>
      <c r="V64" s="417">
        <f>+IF((R64+T64)&gt;(S64+U64),(R64+T64)-(S64+U64),0)</f>
        <v>375918.56594085693</v>
      </c>
      <c r="W64" s="380">
        <f t="shared" si="1"/>
        <v>0</v>
      </c>
      <c r="X64" s="4">
        <v>1107</v>
      </c>
      <c r="Y64" s="4"/>
      <c r="Z64" s="4"/>
      <c r="AA64" s="12">
        <f t="shared" si="6"/>
        <v>1</v>
      </c>
      <c r="AC64" s="80"/>
      <c r="AD64" s="80"/>
      <c r="AE64" s="80"/>
      <c r="AF64" s="80"/>
    </row>
    <row r="65" spans="1:33" ht="12.75" customHeight="1">
      <c r="A65" s="24"/>
      <c r="B65" s="105">
        <f t="shared" si="7"/>
        <v>62</v>
      </c>
      <c r="C65" s="6">
        <v>160300</v>
      </c>
      <c r="D65" s="118" t="s">
        <v>962</v>
      </c>
      <c r="E65" s="9" t="s">
        <v>32</v>
      </c>
      <c r="F65" s="6"/>
      <c r="G65" s="6"/>
      <c r="H65" s="11">
        <f>+STAT2!V65</f>
        <v>0</v>
      </c>
      <c r="I65" s="11">
        <f>+STAT2!W65</f>
        <v>0</v>
      </c>
      <c r="J65" s="11">
        <f>+SUMIFS(JURNAL!G:G,JURNAL!E:E,C65,JURNAL!C:C,"&gt;="&amp;$H$1,JURNAL!C:C,"&lt;="&amp;$I$1)</f>
        <v>0</v>
      </c>
      <c r="K65" s="11">
        <f>+SUMIFS(JURNAL!H:H,JURNAL!E:E,C65,JURNAL!C:C,"&gt;="&amp;$H$1,JURNAL!C:C,"&lt;="&amp;$I$1)</f>
        <v>0</v>
      </c>
      <c r="L65" s="26">
        <f t="shared" si="2"/>
        <v>0</v>
      </c>
      <c r="M65" s="27">
        <f t="shared" si="0"/>
        <v>0</v>
      </c>
      <c r="N65" s="11"/>
      <c r="O65" s="183"/>
      <c r="P65" s="27"/>
      <c r="Q65" s="11"/>
      <c r="R65" s="26">
        <f t="shared" si="3"/>
        <v>0</v>
      </c>
      <c r="S65" s="27">
        <f t="shared" si="4"/>
        <v>0</v>
      </c>
      <c r="T65" s="11"/>
      <c r="U65" s="11"/>
      <c r="V65" s="417">
        <f t="shared" si="5"/>
        <v>0</v>
      </c>
      <c r="W65" s="380">
        <f t="shared" si="1"/>
        <v>0</v>
      </c>
      <c r="X65" s="4">
        <v>1107</v>
      </c>
      <c r="Y65" s="4"/>
      <c r="Z65" s="4"/>
      <c r="AA65" s="12">
        <f t="shared" si="6"/>
        <v>0</v>
      </c>
      <c r="AC65" s="80"/>
      <c r="AD65" s="80"/>
      <c r="AE65" s="80"/>
      <c r="AF65" s="80"/>
    </row>
    <row r="66" spans="1:33" ht="12.75" customHeight="1">
      <c r="A66" s="24"/>
      <c r="B66" s="105">
        <f t="shared" si="7"/>
        <v>63</v>
      </c>
      <c r="C66" s="6">
        <v>150500</v>
      </c>
      <c r="D66" s="118" t="s">
        <v>631</v>
      </c>
      <c r="E66" s="9" t="s">
        <v>32</v>
      </c>
      <c r="F66" s="6"/>
      <c r="G66" s="6"/>
      <c r="H66" s="11">
        <f>+STAT2!V66</f>
        <v>0</v>
      </c>
      <c r="I66" s="11">
        <f>+STAT2!W66</f>
        <v>0</v>
      </c>
      <c r="J66" s="11">
        <f>+SUMIFS(JURNAL!G:G,JURNAL!E:E,C66,JURNAL!C:C,"&gt;="&amp;$H$1,JURNAL!C:C,"&lt;="&amp;$I$1)</f>
        <v>0</v>
      </c>
      <c r="K66" s="11">
        <f>+SUMIFS(JURNAL!H:H,JURNAL!E:E,C66,JURNAL!C:C,"&gt;="&amp;$H$1,JURNAL!C:C,"&lt;="&amp;$I$1)</f>
        <v>0</v>
      </c>
      <c r="L66" s="26">
        <f t="shared" si="2"/>
        <v>0</v>
      </c>
      <c r="M66" s="27">
        <f t="shared" si="0"/>
        <v>0</v>
      </c>
      <c r="N66" s="11"/>
      <c r="O66" s="183"/>
      <c r="P66" s="27"/>
      <c r="Q66" s="11"/>
      <c r="R66" s="26">
        <f t="shared" si="3"/>
        <v>0</v>
      </c>
      <c r="S66" s="27">
        <f t="shared" si="4"/>
        <v>0</v>
      </c>
      <c r="T66" s="11"/>
      <c r="U66" s="11"/>
      <c r="V66" s="417">
        <f t="shared" si="5"/>
        <v>0</v>
      </c>
      <c r="W66" s="380">
        <f t="shared" si="1"/>
        <v>0</v>
      </c>
      <c r="X66" s="4">
        <v>1107</v>
      </c>
      <c r="Y66" s="4"/>
      <c r="Z66" s="4"/>
      <c r="AA66" s="12">
        <f t="shared" si="6"/>
        <v>0</v>
      </c>
      <c r="AC66" s="80"/>
      <c r="AD66" s="80"/>
      <c r="AE66" s="80"/>
      <c r="AF66" s="80"/>
    </row>
    <row r="67" spans="1:33" ht="12.75" customHeight="1">
      <c r="A67" s="24"/>
      <c r="B67" s="105">
        <f t="shared" si="7"/>
        <v>64</v>
      </c>
      <c r="C67" s="6">
        <v>150800</v>
      </c>
      <c r="D67" s="118" t="s">
        <v>637</v>
      </c>
      <c r="E67" s="9" t="s">
        <v>32</v>
      </c>
      <c r="F67" s="6"/>
      <c r="G67" s="6"/>
      <c r="H67" s="11">
        <f>+STAT2!V67</f>
        <v>0</v>
      </c>
      <c r="I67" s="11">
        <f>+STAT2!W67</f>
        <v>0</v>
      </c>
      <c r="J67" s="11">
        <f>+SUMIFS(JURNAL!G:G,JURNAL!E:E,C67,JURNAL!C:C,"&gt;="&amp;$H$1,JURNAL!C:C,"&lt;="&amp;$I$1)</f>
        <v>0</v>
      </c>
      <c r="K67" s="11">
        <f>+SUMIFS(JURNAL!H:H,JURNAL!E:E,C67,JURNAL!C:C,"&gt;="&amp;$H$1,JURNAL!C:C,"&lt;="&amp;$I$1)</f>
        <v>0</v>
      </c>
      <c r="L67" s="26">
        <f t="shared" si="2"/>
        <v>0</v>
      </c>
      <c r="M67" s="27">
        <f t="shared" si="0"/>
        <v>0</v>
      </c>
      <c r="N67" s="11"/>
      <c r="O67" s="183"/>
      <c r="P67" s="27"/>
      <c r="Q67" s="11"/>
      <c r="R67" s="26">
        <f t="shared" si="3"/>
        <v>0</v>
      </c>
      <c r="S67" s="27">
        <f t="shared" si="4"/>
        <v>0</v>
      </c>
      <c r="T67" s="11"/>
      <c r="U67" s="11"/>
      <c r="V67" s="417">
        <f t="shared" si="5"/>
        <v>0</v>
      </c>
      <c r="W67" s="380">
        <f t="shared" si="1"/>
        <v>0</v>
      </c>
      <c r="X67" s="4">
        <v>1109</v>
      </c>
      <c r="Y67" s="4"/>
      <c r="Z67" s="4"/>
      <c r="AA67" s="12">
        <f t="shared" si="6"/>
        <v>0</v>
      </c>
      <c r="AC67" s="80"/>
      <c r="AD67" s="80"/>
      <c r="AE67" s="80"/>
      <c r="AF67" s="80"/>
    </row>
    <row r="68" spans="1:33" ht="12.75" customHeight="1">
      <c r="A68" s="24"/>
      <c r="B68" s="105">
        <f t="shared" si="7"/>
        <v>65</v>
      </c>
      <c r="C68" s="6">
        <v>150900</v>
      </c>
      <c r="D68" s="118" t="s">
        <v>643</v>
      </c>
      <c r="E68" s="9" t="s">
        <v>32</v>
      </c>
      <c r="F68" s="6"/>
      <c r="G68" s="6"/>
      <c r="H68" s="11">
        <f>+STAT2!V68</f>
        <v>0</v>
      </c>
      <c r="I68" s="11">
        <f>+STAT2!W68</f>
        <v>0</v>
      </c>
      <c r="J68" s="11">
        <f>+SUMIFS(JURNAL!G:G,JURNAL!E:E,C68,JURNAL!C:C,"&gt;="&amp;$H$1,JURNAL!C:C,"&lt;="&amp;$I$1)</f>
        <v>0</v>
      </c>
      <c r="K68" s="11">
        <f>+SUMIFS(JURNAL!H:H,JURNAL!E:E,C68,JURNAL!C:C,"&gt;="&amp;$H$1,JURNAL!C:C,"&lt;="&amp;$I$1)</f>
        <v>0</v>
      </c>
      <c r="L68" s="26">
        <f t="shared" si="2"/>
        <v>0</v>
      </c>
      <c r="M68" s="27">
        <f t="shared" ref="M68:M131" si="9">+IF((H68+J68)&lt;(I68+K68),(I68+K68)-(H68+J68),0)</f>
        <v>0</v>
      </c>
      <c r="N68" s="11"/>
      <c r="O68" s="183"/>
      <c r="P68" s="27"/>
      <c r="Q68" s="11"/>
      <c r="R68" s="26">
        <f t="shared" si="3"/>
        <v>0</v>
      </c>
      <c r="S68" s="27">
        <f t="shared" si="4"/>
        <v>0</v>
      </c>
      <c r="T68" s="11"/>
      <c r="U68" s="11"/>
      <c r="V68" s="417">
        <f t="shared" si="5"/>
        <v>0</v>
      </c>
      <c r="W68" s="380">
        <f t="shared" ref="W68:W131" si="10">+IF((R68+T68)&lt;(S68+U68),(S68+U68)-(R68+T68),0)</f>
        <v>0</v>
      </c>
      <c r="X68" s="4">
        <v>1110</v>
      </c>
      <c r="Y68" s="4"/>
      <c r="Z68" s="4"/>
      <c r="AA68" s="12">
        <f t="shared" si="6"/>
        <v>0</v>
      </c>
      <c r="AC68" s="80"/>
      <c r="AD68" s="80"/>
      <c r="AE68" s="80"/>
      <c r="AF68" s="80"/>
    </row>
    <row r="69" spans="1:33" ht="12.75" customHeight="1">
      <c r="A69" s="24"/>
      <c r="B69" s="105">
        <f t="shared" si="7"/>
        <v>66</v>
      </c>
      <c r="C69" s="6">
        <v>180100</v>
      </c>
      <c r="D69" s="118" t="s">
        <v>648</v>
      </c>
      <c r="E69" s="9" t="s">
        <v>32</v>
      </c>
      <c r="F69" s="6"/>
      <c r="G69" s="6"/>
      <c r="H69" s="11">
        <f>+STAT2!V69</f>
        <v>50000000</v>
      </c>
      <c r="I69" s="11">
        <f>+STAT2!W69</f>
        <v>0</v>
      </c>
      <c r="J69" s="11">
        <f>+SUMIFS(JURNAL!G:G,JURNAL!E:E,C69,JURNAL!C:C,"&gt;="&amp;$H$1,JURNAL!C:C,"&lt;="&amp;$I$1)</f>
        <v>0</v>
      </c>
      <c r="K69" s="11">
        <f>+SUMIFS(JURNAL!H:H,JURNAL!E:E,C69,JURNAL!C:C,"&gt;="&amp;$H$1,JURNAL!C:C,"&lt;="&amp;$I$1)</f>
        <v>0</v>
      </c>
      <c r="L69" s="26">
        <f t="shared" ref="L69:L132" si="11">+IF((H69+J69)&gt;(I69+K69),(H69+J69)-(I69+K69),0)</f>
        <v>50000000</v>
      </c>
      <c r="M69" s="27">
        <f t="shared" si="9"/>
        <v>0</v>
      </c>
      <c r="N69" s="11"/>
      <c r="O69" s="183"/>
      <c r="P69" s="27"/>
      <c r="Q69" s="11"/>
      <c r="R69" s="26">
        <f t="shared" ref="R69:R132" si="12">+IF((L69+N69)&gt;(M69+O69),(L69+N69)-(M69+O69),0)</f>
        <v>50000000</v>
      </c>
      <c r="S69" s="27">
        <f t="shared" ref="S69:S132" si="13">+IF((L69+N69)&lt;(M69+O69),(M69+O69)-(L69+N69),0)</f>
        <v>0</v>
      </c>
      <c r="T69" s="11"/>
      <c r="U69" s="11"/>
      <c r="V69" s="417">
        <f t="shared" ref="V69:V132" si="14">+IF((R69+T69)&gt;(S69+U69),(R69+T69)-(S69+U69),0)</f>
        <v>50000000</v>
      </c>
      <c r="W69" s="380">
        <f t="shared" si="10"/>
        <v>0</v>
      </c>
      <c r="X69" s="4">
        <v>1108</v>
      </c>
      <c r="Y69" s="4"/>
      <c r="Z69" s="4"/>
      <c r="AA69" s="12">
        <f t="shared" ref="AA69:AA132" si="15">+IF(H69+I69+J69+K69+L69+M69+N69+O69+R69+S69+T69+U69+V69+W69,1,0)</f>
        <v>1</v>
      </c>
      <c r="AC69" s="80"/>
      <c r="AD69" s="80"/>
      <c r="AE69" s="80"/>
      <c r="AF69" s="80"/>
    </row>
    <row r="70" spans="1:33" ht="12.75" customHeight="1">
      <c r="A70" s="24"/>
      <c r="B70" s="105">
        <f t="shared" ref="B70:B133" si="16">+B69+1</f>
        <v>67</v>
      </c>
      <c r="C70" s="6">
        <v>180101</v>
      </c>
      <c r="D70" s="118" t="s">
        <v>963</v>
      </c>
      <c r="E70" s="9" t="s">
        <v>30</v>
      </c>
      <c r="F70" s="6"/>
      <c r="G70" s="6"/>
      <c r="H70" s="11">
        <f>+STAT2!V70</f>
        <v>0.01</v>
      </c>
      <c r="I70" s="11">
        <f>+STAT2!W70</f>
        <v>0</v>
      </c>
      <c r="J70" s="11">
        <f>+SUMIFS(JURNAL!G:G,JURNAL!E:E,C70,JURNAL!C:C,"&gt;="&amp;$H$1,JURNAL!C:C,"&lt;="&amp;$I$1)</f>
        <v>0</v>
      </c>
      <c r="K70" s="11">
        <f>+SUMIFS(JURNAL!H:H,JURNAL!E:E,C70,JURNAL!C:C,"&gt;="&amp;$H$1,JURNAL!C:C,"&lt;="&amp;$I$1)</f>
        <v>0</v>
      </c>
      <c r="L70" s="26">
        <f t="shared" si="11"/>
        <v>0.01</v>
      </c>
      <c r="M70" s="27">
        <f t="shared" si="9"/>
        <v>0</v>
      </c>
      <c r="N70" s="11"/>
      <c r="O70" s="183"/>
      <c r="P70" s="27"/>
      <c r="Q70" s="11"/>
      <c r="R70" s="26">
        <f t="shared" si="12"/>
        <v>0.01</v>
      </c>
      <c r="S70" s="27">
        <f t="shared" si="13"/>
        <v>0</v>
      </c>
      <c r="T70" s="11"/>
      <c r="U70" s="11"/>
      <c r="V70" s="417">
        <f t="shared" si="14"/>
        <v>0.01</v>
      </c>
      <c r="W70" s="380">
        <f t="shared" si="10"/>
        <v>0</v>
      </c>
      <c r="X70" s="4">
        <v>1108</v>
      </c>
      <c r="Y70" s="4"/>
      <c r="Z70" s="4"/>
      <c r="AA70" s="12">
        <f t="shared" si="15"/>
        <v>1</v>
      </c>
      <c r="AC70" s="80"/>
      <c r="AD70" s="80"/>
      <c r="AE70" s="80"/>
      <c r="AF70" s="80"/>
    </row>
    <row r="71" spans="1:33" ht="12.75" customHeight="1">
      <c r="A71" s="24"/>
      <c r="B71" s="105">
        <f t="shared" si="16"/>
        <v>68</v>
      </c>
      <c r="C71" s="6">
        <v>180200</v>
      </c>
      <c r="D71" s="118" t="s">
        <v>977</v>
      </c>
      <c r="E71" s="9" t="s">
        <v>32</v>
      </c>
      <c r="F71" s="6"/>
      <c r="G71" s="6"/>
      <c r="H71" s="11">
        <f>+STAT2!V71</f>
        <v>5.0002336502075195E-4</v>
      </c>
      <c r="I71" s="11">
        <f>+STAT2!W71</f>
        <v>0</v>
      </c>
      <c r="J71" s="11">
        <f>+SUMIFS(JURNAL!G:G,JURNAL!E:E,C71,JURNAL!C:C,"&gt;="&amp;$H$1,JURNAL!C:C,"&lt;="&amp;$I$1)</f>
        <v>0</v>
      </c>
      <c r="K71" s="11">
        <f>+SUMIFS(JURNAL!H:H,JURNAL!E:E,C71,JURNAL!C:C,"&gt;="&amp;$H$1,JURNAL!C:C,"&lt;="&amp;$I$1)</f>
        <v>0</v>
      </c>
      <c r="L71" s="26">
        <f t="shared" si="11"/>
        <v>5.0002336502075195E-4</v>
      </c>
      <c r="M71" s="27">
        <f t="shared" si="9"/>
        <v>0</v>
      </c>
      <c r="N71" s="11"/>
      <c r="O71" s="183"/>
      <c r="P71" s="27"/>
      <c r="Q71" s="11"/>
      <c r="R71" s="26">
        <f t="shared" si="12"/>
        <v>5.0002336502075195E-4</v>
      </c>
      <c r="S71" s="27">
        <f t="shared" si="13"/>
        <v>0</v>
      </c>
      <c r="T71" s="11"/>
      <c r="U71" s="11"/>
      <c r="V71" s="417">
        <f t="shared" si="14"/>
        <v>5.0002336502075195E-4</v>
      </c>
      <c r="W71" s="380">
        <f t="shared" si="10"/>
        <v>0</v>
      </c>
      <c r="X71" s="4">
        <v>1108</v>
      </c>
      <c r="Y71" s="4"/>
      <c r="Z71" s="4"/>
      <c r="AA71" s="12">
        <f t="shared" si="15"/>
        <v>1</v>
      </c>
      <c r="AC71" s="80"/>
      <c r="AD71" s="80"/>
      <c r="AE71" s="80"/>
      <c r="AF71" s="80"/>
    </row>
    <row r="72" spans="1:33" ht="12.75" customHeight="1">
      <c r="A72" s="24"/>
      <c r="B72" s="105">
        <f t="shared" si="16"/>
        <v>69</v>
      </c>
      <c r="C72" s="6">
        <v>180300</v>
      </c>
      <c r="D72" s="118" t="s">
        <v>964</v>
      </c>
      <c r="E72" s="9" t="s">
        <v>30</v>
      </c>
      <c r="F72" s="6"/>
      <c r="G72" s="6"/>
      <c r="H72" s="11">
        <f>+STAT2!V72</f>
        <v>0</v>
      </c>
      <c r="I72" s="11">
        <f>+STAT2!W72</f>
        <v>0</v>
      </c>
      <c r="J72" s="11">
        <f>+SUMIFS(JURNAL!G:G,JURNAL!E:E,C72,JURNAL!C:C,"&gt;="&amp;$H$1,JURNAL!C:C,"&lt;="&amp;$I$1)</f>
        <v>0</v>
      </c>
      <c r="K72" s="11">
        <f>+SUMIFS(JURNAL!H:H,JURNAL!E:E,C72,JURNAL!C:C,"&gt;="&amp;$H$1,JURNAL!C:C,"&lt;="&amp;$I$1)</f>
        <v>0</v>
      </c>
      <c r="L72" s="26">
        <f t="shared" si="11"/>
        <v>0</v>
      </c>
      <c r="M72" s="27">
        <f t="shared" si="9"/>
        <v>0</v>
      </c>
      <c r="N72" s="11"/>
      <c r="O72" s="183"/>
      <c r="P72" s="27"/>
      <c r="Q72" s="11"/>
      <c r="R72" s="26">
        <f t="shared" si="12"/>
        <v>0</v>
      </c>
      <c r="S72" s="27">
        <f t="shared" si="13"/>
        <v>0</v>
      </c>
      <c r="T72" s="11"/>
      <c r="U72" s="11"/>
      <c r="V72" s="417">
        <f t="shared" si="14"/>
        <v>0</v>
      </c>
      <c r="W72" s="380">
        <f t="shared" si="10"/>
        <v>0</v>
      </c>
      <c r="X72" s="4">
        <v>1108</v>
      </c>
      <c r="Y72" s="4"/>
      <c r="Z72" s="4"/>
      <c r="AA72" s="12">
        <f t="shared" si="15"/>
        <v>0</v>
      </c>
      <c r="AC72" s="80"/>
      <c r="AD72" s="80"/>
      <c r="AE72" s="80"/>
      <c r="AF72" s="80"/>
    </row>
    <row r="73" spans="1:33" ht="12.75" customHeight="1">
      <c r="A73" s="24"/>
      <c r="B73" s="105">
        <f t="shared" si="16"/>
        <v>70</v>
      </c>
      <c r="C73" s="6">
        <v>180400</v>
      </c>
      <c r="D73" s="118" t="s">
        <v>656</v>
      </c>
      <c r="E73" s="9" t="s">
        <v>32</v>
      </c>
      <c r="F73" s="6"/>
      <c r="G73" s="6"/>
      <c r="H73" s="11">
        <f>+STAT2!V73</f>
        <v>0</v>
      </c>
      <c r="I73" s="11">
        <f>+STAT2!W73</f>
        <v>0</v>
      </c>
      <c r="J73" s="11">
        <f>+SUMIFS(JURNAL!G:G,JURNAL!E:E,C73,JURNAL!C:C,"&gt;="&amp;$H$1,JURNAL!C:C,"&lt;="&amp;$I$1)</f>
        <v>0</v>
      </c>
      <c r="K73" s="11">
        <f>+SUMIFS(JURNAL!H:H,JURNAL!E:E,C73,JURNAL!C:C,"&gt;="&amp;$H$1,JURNAL!C:C,"&lt;="&amp;$I$1)</f>
        <v>0</v>
      </c>
      <c r="L73" s="26">
        <f t="shared" si="11"/>
        <v>0</v>
      </c>
      <c r="M73" s="27">
        <f t="shared" si="9"/>
        <v>0</v>
      </c>
      <c r="N73" s="11"/>
      <c r="O73" s="183"/>
      <c r="P73" s="27"/>
      <c r="Q73" s="11"/>
      <c r="R73" s="26">
        <f t="shared" si="12"/>
        <v>0</v>
      </c>
      <c r="S73" s="27">
        <f t="shared" si="13"/>
        <v>0</v>
      </c>
      <c r="T73" s="11"/>
      <c r="U73" s="11"/>
      <c r="V73" s="417">
        <f t="shared" si="14"/>
        <v>0</v>
      </c>
      <c r="W73" s="380">
        <f t="shared" si="10"/>
        <v>0</v>
      </c>
      <c r="X73" s="4">
        <v>1108</v>
      </c>
      <c r="Y73" s="4"/>
      <c r="Z73" s="4"/>
      <c r="AA73" s="12">
        <f t="shared" si="15"/>
        <v>0</v>
      </c>
      <c r="AC73" s="80"/>
      <c r="AD73" s="80"/>
      <c r="AE73" s="80"/>
      <c r="AF73" s="80"/>
    </row>
    <row r="74" spans="1:33" ht="12.75" customHeight="1">
      <c r="A74" s="24"/>
      <c r="B74" s="105">
        <f t="shared" si="16"/>
        <v>71</v>
      </c>
      <c r="C74" s="6">
        <v>200100</v>
      </c>
      <c r="D74" s="118" t="s">
        <v>999</v>
      </c>
      <c r="E74" s="9" t="s">
        <v>32</v>
      </c>
      <c r="F74" s="6"/>
      <c r="G74" s="6"/>
      <c r="H74" s="11">
        <f>+STAT2!V74</f>
        <v>0</v>
      </c>
      <c r="I74" s="11">
        <f>+STAT2!W74</f>
        <v>0</v>
      </c>
      <c r="J74" s="11">
        <f>+SUMIFS(JURNAL!G:G,JURNAL!E:E,C74,JURNAL!C:C,"&gt;="&amp;$H$1,JURNAL!C:C,"&lt;="&amp;$I$1)</f>
        <v>0</v>
      </c>
      <c r="K74" s="11">
        <f>+SUMIFS(JURNAL!H:H,JURNAL!E:E,C74,JURNAL!C:C,"&gt;="&amp;$H$1,JURNAL!C:C,"&lt;="&amp;$I$1)</f>
        <v>0</v>
      </c>
      <c r="L74" s="26">
        <f t="shared" si="11"/>
        <v>0</v>
      </c>
      <c r="M74" s="27">
        <f t="shared" si="9"/>
        <v>0</v>
      </c>
      <c r="N74" s="11"/>
      <c r="O74" s="183"/>
      <c r="P74" s="27"/>
      <c r="Q74" s="11"/>
      <c r="R74" s="26">
        <f t="shared" si="12"/>
        <v>0</v>
      </c>
      <c r="S74" s="27">
        <f t="shared" si="13"/>
        <v>0</v>
      </c>
      <c r="T74" s="11"/>
      <c r="U74" s="11"/>
      <c r="V74" s="417">
        <f t="shared" si="14"/>
        <v>0</v>
      </c>
      <c r="W74" s="380">
        <f t="shared" si="10"/>
        <v>0</v>
      </c>
      <c r="X74" s="4">
        <v>1120</v>
      </c>
      <c r="Y74" s="4"/>
      <c r="Z74" s="4"/>
      <c r="AA74" s="12">
        <f t="shared" si="15"/>
        <v>0</v>
      </c>
      <c r="AC74" s="80"/>
      <c r="AD74" s="80"/>
      <c r="AE74" s="80"/>
      <c r="AF74" s="80"/>
    </row>
    <row r="75" spans="1:33" ht="12.75" customHeight="1">
      <c r="A75" s="24"/>
      <c r="B75" s="105">
        <f t="shared" si="16"/>
        <v>72</v>
      </c>
      <c r="C75" s="6">
        <v>200200</v>
      </c>
      <c r="D75" s="118" t="s">
        <v>664</v>
      </c>
      <c r="E75" s="9" t="s">
        <v>32</v>
      </c>
      <c r="F75" s="6"/>
      <c r="G75" s="6"/>
      <c r="H75" s="11">
        <f>+STAT2!V75</f>
        <v>1172805331</v>
      </c>
      <c r="I75" s="11">
        <f>+STAT2!W75</f>
        <v>0</v>
      </c>
      <c r="J75" s="11">
        <f>+SUMIFS(JURNAL!G:G,JURNAL!E:E,C75,JURNAL!C:C,"&gt;="&amp;$H$1,JURNAL!C:C,"&lt;="&amp;$I$1)</f>
        <v>0</v>
      </c>
      <c r="K75" s="11">
        <f>+SUMIFS(JURNAL!H:H,JURNAL!E:E,C75,JURNAL!C:C,"&gt;="&amp;$H$1,JURNAL!C:C,"&lt;="&amp;$I$1)</f>
        <v>0</v>
      </c>
      <c r="L75" s="26">
        <f t="shared" si="11"/>
        <v>1172805331</v>
      </c>
      <c r="M75" s="27">
        <f t="shared" si="9"/>
        <v>0</v>
      </c>
      <c r="N75" s="11"/>
      <c r="O75" s="183"/>
      <c r="P75" s="27"/>
      <c r="Q75" s="11"/>
      <c r="R75" s="26">
        <f t="shared" si="12"/>
        <v>1172805331</v>
      </c>
      <c r="S75" s="27">
        <f t="shared" si="13"/>
        <v>0</v>
      </c>
      <c r="T75" s="11"/>
      <c r="U75" s="11"/>
      <c r="V75" s="417">
        <f t="shared" si="14"/>
        <v>1172805331</v>
      </c>
      <c r="W75" s="380">
        <f t="shared" si="10"/>
        <v>0</v>
      </c>
      <c r="X75" s="4">
        <v>1120</v>
      </c>
      <c r="Y75" s="4"/>
      <c r="Z75" s="4"/>
      <c r="AA75" s="12">
        <f t="shared" si="15"/>
        <v>1</v>
      </c>
      <c r="AC75" s="80"/>
      <c r="AD75" s="80"/>
      <c r="AE75" s="80"/>
      <c r="AF75" s="80"/>
    </row>
    <row r="76" spans="1:33" ht="12.75" customHeight="1">
      <c r="A76" s="24"/>
      <c r="B76" s="105">
        <f t="shared" si="16"/>
        <v>73</v>
      </c>
      <c r="C76" s="6">
        <v>200300</v>
      </c>
      <c r="D76" s="118" t="s">
        <v>324</v>
      </c>
      <c r="E76" s="9" t="s">
        <v>32</v>
      </c>
      <c r="F76" s="6"/>
      <c r="G76" s="6"/>
      <c r="H76" s="11">
        <f>+STAT2!V76</f>
        <v>8844705.1799999997</v>
      </c>
      <c r="I76" s="11">
        <f>+STAT2!W76</f>
        <v>0</v>
      </c>
      <c r="J76" s="11">
        <f>+SUMIFS(JURNAL!G:G,JURNAL!E:E,C76,JURNAL!C:C,"&gt;="&amp;$H$1,JURNAL!C:C,"&lt;="&amp;$I$1)</f>
        <v>0</v>
      </c>
      <c r="K76" s="11">
        <f>+SUMIFS(JURNAL!H:H,JURNAL!E:E,C76,JURNAL!C:C,"&gt;="&amp;$H$1,JURNAL!C:C,"&lt;="&amp;$I$1)</f>
        <v>0</v>
      </c>
      <c r="L76" s="26">
        <f t="shared" si="11"/>
        <v>8844705.1799999997</v>
      </c>
      <c r="M76" s="27">
        <f t="shared" si="9"/>
        <v>0</v>
      </c>
      <c r="N76" s="11"/>
      <c r="O76" s="183"/>
      <c r="P76" s="27"/>
      <c r="Q76" s="11"/>
      <c r="R76" s="26">
        <f t="shared" si="12"/>
        <v>8844705.1799999997</v>
      </c>
      <c r="S76" s="27">
        <f t="shared" si="13"/>
        <v>0</v>
      </c>
      <c r="T76" s="11"/>
      <c r="U76" s="11"/>
      <c r="V76" s="417">
        <f t="shared" si="14"/>
        <v>8844705.1799999997</v>
      </c>
      <c r="W76" s="380">
        <f t="shared" si="10"/>
        <v>0</v>
      </c>
      <c r="X76" s="4">
        <v>1120</v>
      </c>
      <c r="Y76" s="4"/>
      <c r="Z76" s="4"/>
      <c r="AA76" s="12">
        <f t="shared" si="15"/>
        <v>1</v>
      </c>
      <c r="AC76" s="80"/>
      <c r="AD76" s="80"/>
      <c r="AE76" s="80"/>
      <c r="AF76" s="80"/>
    </row>
    <row r="77" spans="1:33" ht="12.75" customHeight="1">
      <c r="A77" s="24"/>
      <c r="B77" s="105">
        <f t="shared" si="16"/>
        <v>74</v>
      </c>
      <c r="C77" s="6">
        <v>200400</v>
      </c>
      <c r="D77" s="118" t="s">
        <v>670</v>
      </c>
      <c r="E77" s="9" t="s">
        <v>32</v>
      </c>
      <c r="F77" s="6"/>
      <c r="G77" s="6"/>
      <c r="H77" s="11">
        <f>+STAT2!V77</f>
        <v>709587375.44000006</v>
      </c>
      <c r="I77" s="11">
        <f>+STAT2!W77</f>
        <v>0</v>
      </c>
      <c r="J77" s="11">
        <f>+SUMIFS(JURNAL!G:G,JURNAL!E:E,C77,JURNAL!C:C,"&gt;="&amp;$H$1,JURNAL!C:C,"&lt;="&amp;$I$1)</f>
        <v>0</v>
      </c>
      <c r="K77" s="11">
        <f>+SUMIFS(JURNAL!H:H,JURNAL!E:E,C77,JURNAL!C:C,"&gt;="&amp;$H$1,JURNAL!C:C,"&lt;="&amp;$I$1)</f>
        <v>0</v>
      </c>
      <c r="L77" s="26">
        <f t="shared" si="11"/>
        <v>709587375.44000006</v>
      </c>
      <c r="M77" s="27">
        <f t="shared" si="9"/>
        <v>0</v>
      </c>
      <c r="N77" s="11"/>
      <c r="O77" s="183"/>
      <c r="P77" s="27"/>
      <c r="Q77" s="11"/>
      <c r="R77" s="26">
        <f t="shared" si="12"/>
        <v>709587375.44000006</v>
      </c>
      <c r="S77" s="27">
        <f t="shared" si="13"/>
        <v>0</v>
      </c>
      <c r="T77" s="11"/>
      <c r="U77" s="11"/>
      <c r="V77" s="417">
        <f t="shared" si="14"/>
        <v>709587375.44000006</v>
      </c>
      <c r="W77" s="380">
        <f t="shared" si="10"/>
        <v>0</v>
      </c>
      <c r="X77" s="4">
        <v>1120</v>
      </c>
      <c r="Y77" s="4"/>
      <c r="Z77" s="4"/>
      <c r="AA77" s="12">
        <f t="shared" si="15"/>
        <v>1</v>
      </c>
      <c r="AC77" s="80"/>
      <c r="AD77" s="80"/>
      <c r="AE77" s="80"/>
      <c r="AF77" s="80"/>
    </row>
    <row r="78" spans="1:33" ht="12.75" customHeight="1">
      <c r="A78" s="24"/>
      <c r="B78" s="105">
        <f t="shared" si="16"/>
        <v>75</v>
      </c>
      <c r="C78" s="6">
        <v>200500</v>
      </c>
      <c r="D78" s="118" t="s">
        <v>674</v>
      </c>
      <c r="E78" s="9" t="s">
        <v>32</v>
      </c>
      <c r="F78" s="6"/>
      <c r="G78" s="6"/>
      <c r="H78" s="11">
        <f>+STAT2!V78</f>
        <v>174300000</v>
      </c>
      <c r="I78" s="11">
        <f>+STAT2!W78</f>
        <v>0</v>
      </c>
      <c r="J78" s="11">
        <f>+SUMIFS(JURNAL!G:G,JURNAL!E:E,C78,JURNAL!C:C,"&gt;="&amp;$H$1,JURNAL!C:C,"&lt;="&amp;$I$1)</f>
        <v>0</v>
      </c>
      <c r="K78" s="11">
        <f>+SUMIFS(JURNAL!H:H,JURNAL!E:E,C78,JURNAL!C:C,"&gt;="&amp;$H$1,JURNAL!C:C,"&lt;="&amp;$I$1)</f>
        <v>0</v>
      </c>
      <c r="L78" s="26">
        <f t="shared" si="11"/>
        <v>174300000</v>
      </c>
      <c r="M78" s="27">
        <f t="shared" si="9"/>
        <v>0</v>
      </c>
      <c r="N78" s="11"/>
      <c r="O78" s="183"/>
      <c r="P78" s="27"/>
      <c r="Q78" s="11"/>
      <c r="R78" s="26">
        <f t="shared" si="12"/>
        <v>174300000</v>
      </c>
      <c r="S78" s="27">
        <f t="shared" si="13"/>
        <v>0</v>
      </c>
      <c r="T78" s="11"/>
      <c r="U78" s="11"/>
      <c r="V78" s="417">
        <f t="shared" si="14"/>
        <v>174300000</v>
      </c>
      <c r="W78" s="380">
        <f t="shared" si="10"/>
        <v>0</v>
      </c>
      <c r="X78" s="4">
        <v>1120</v>
      </c>
      <c r="Y78" s="4"/>
      <c r="Z78" s="4"/>
      <c r="AA78" s="12">
        <f t="shared" si="15"/>
        <v>1</v>
      </c>
      <c r="AC78" s="80"/>
      <c r="AD78" s="80"/>
      <c r="AE78" s="80"/>
      <c r="AF78" s="80"/>
    </row>
    <row r="79" spans="1:33" ht="12.75" customHeight="1">
      <c r="A79" s="24"/>
      <c r="B79" s="105">
        <f t="shared" si="16"/>
        <v>76</v>
      </c>
      <c r="C79" s="6">
        <v>201000</v>
      </c>
      <c r="D79" s="118" t="s">
        <v>694</v>
      </c>
      <c r="E79" s="9" t="s">
        <v>32</v>
      </c>
      <c r="F79" s="6"/>
      <c r="G79" s="6"/>
      <c r="H79" s="11">
        <f>+STAT2!V79</f>
        <v>17111038.23</v>
      </c>
      <c r="I79" s="11">
        <f>+STAT2!W79</f>
        <v>0</v>
      </c>
      <c r="J79" s="11">
        <f>+SUMIFS(JURNAL!G:G,JURNAL!E:E,C79,JURNAL!C:C,"&gt;="&amp;$H$1,JURNAL!C:C,"&lt;="&amp;$I$1)</f>
        <v>0</v>
      </c>
      <c r="K79" s="11">
        <f>+SUMIFS(JURNAL!H:H,JURNAL!E:E,C79,JURNAL!C:C,"&gt;="&amp;$H$1,JURNAL!C:C,"&lt;="&amp;$I$1)</f>
        <v>0</v>
      </c>
      <c r="L79" s="26">
        <f t="shared" si="11"/>
        <v>17111038.23</v>
      </c>
      <c r="M79" s="27">
        <f t="shared" si="9"/>
        <v>0</v>
      </c>
      <c r="N79" s="11"/>
      <c r="O79" s="183"/>
      <c r="P79" s="27"/>
      <c r="Q79" s="11"/>
      <c r="R79" s="26">
        <f t="shared" si="12"/>
        <v>17111038.23</v>
      </c>
      <c r="S79" s="27">
        <f t="shared" si="13"/>
        <v>0</v>
      </c>
      <c r="T79" s="11"/>
      <c r="U79" s="11"/>
      <c r="V79" s="417">
        <f t="shared" si="14"/>
        <v>17111038.23</v>
      </c>
      <c r="W79" s="380">
        <f t="shared" si="10"/>
        <v>0</v>
      </c>
      <c r="X79" s="4">
        <v>1120</v>
      </c>
      <c r="Y79" s="4"/>
      <c r="Z79" s="4"/>
      <c r="AA79" s="12">
        <f t="shared" si="15"/>
        <v>1</v>
      </c>
      <c r="AC79" s="80"/>
      <c r="AD79" s="80"/>
      <c r="AE79" s="80"/>
      <c r="AF79" s="80"/>
    </row>
    <row r="80" spans="1:33" ht="12.75" customHeight="1">
      <c r="A80" s="24"/>
      <c r="B80" s="105">
        <f t="shared" si="16"/>
        <v>77</v>
      </c>
      <c r="C80" s="6">
        <v>200201</v>
      </c>
      <c r="D80" s="118" t="s">
        <v>965</v>
      </c>
      <c r="E80" s="9" t="s">
        <v>32</v>
      </c>
      <c r="F80" s="6"/>
      <c r="G80" s="6"/>
      <c r="H80" s="11">
        <f>+STAT2!V80</f>
        <v>0</v>
      </c>
      <c r="I80" s="11">
        <f>+STAT2!W80</f>
        <v>0</v>
      </c>
      <c r="J80" s="11">
        <f>+SUMIFS(JURNAL!G:G,JURNAL!E:E,C80,JURNAL!C:C,"&gt;="&amp;$H$1,JURNAL!C:C,"&lt;="&amp;$I$1)</f>
        <v>0</v>
      </c>
      <c r="K80" s="11">
        <f>+SUMIFS(JURNAL!H:H,JURNAL!E:E,C80,JURNAL!C:C,"&gt;="&amp;$H$1,JURNAL!C:C,"&lt;="&amp;$I$1)</f>
        <v>0</v>
      </c>
      <c r="L80" s="26">
        <f t="shared" si="11"/>
        <v>0</v>
      </c>
      <c r="M80" s="27">
        <f t="shared" si="9"/>
        <v>0</v>
      </c>
      <c r="N80" s="11"/>
      <c r="O80" s="183"/>
      <c r="P80" s="27"/>
      <c r="Q80" s="11"/>
      <c r="R80" s="26">
        <f t="shared" si="12"/>
        <v>0</v>
      </c>
      <c r="S80" s="27">
        <f t="shared" si="13"/>
        <v>0</v>
      </c>
      <c r="T80" s="11"/>
      <c r="U80" s="11"/>
      <c r="V80" s="417">
        <f t="shared" si="14"/>
        <v>0</v>
      </c>
      <c r="W80" s="380">
        <f t="shared" si="10"/>
        <v>0</v>
      </c>
      <c r="X80" s="4">
        <v>1120</v>
      </c>
      <c r="Y80" s="4"/>
      <c r="Z80" s="4"/>
      <c r="AA80" s="12">
        <f t="shared" si="15"/>
        <v>0</v>
      </c>
      <c r="AC80" s="80"/>
      <c r="AD80" s="80"/>
      <c r="AE80" s="80"/>
      <c r="AF80" s="80"/>
      <c r="AG80" s="80"/>
    </row>
    <row r="81" spans="1:36" ht="12.75" customHeight="1">
      <c r="A81" s="24"/>
      <c r="B81" s="105">
        <f t="shared" si="16"/>
        <v>78</v>
      </c>
      <c r="C81" s="6">
        <v>200600</v>
      </c>
      <c r="D81" s="118" t="s">
        <v>678</v>
      </c>
      <c r="E81" s="9" t="s">
        <v>32</v>
      </c>
      <c r="F81" s="6"/>
      <c r="G81" s="6"/>
      <c r="H81" s="11">
        <f>+STAT2!V81</f>
        <v>0</v>
      </c>
      <c r="I81" s="11">
        <f>+STAT2!W81</f>
        <v>0</v>
      </c>
      <c r="J81" s="11">
        <f>+SUMIFS(JURNAL!G:G,JURNAL!E:E,C81,JURNAL!C:C,"&gt;="&amp;$H$1,JURNAL!C:C,"&lt;="&amp;$I$1)</f>
        <v>0</v>
      </c>
      <c r="K81" s="11">
        <f>+SUMIFS(JURNAL!H:H,JURNAL!E:E,C81,JURNAL!C:C,"&gt;="&amp;$H$1,JURNAL!C:C,"&lt;="&amp;$I$1)</f>
        <v>0</v>
      </c>
      <c r="L81" s="26">
        <f t="shared" si="11"/>
        <v>0</v>
      </c>
      <c r="M81" s="27">
        <f t="shared" si="9"/>
        <v>0</v>
      </c>
      <c r="N81" s="11"/>
      <c r="O81" s="183"/>
      <c r="P81" s="27"/>
      <c r="Q81" s="11"/>
      <c r="R81" s="26">
        <f t="shared" si="12"/>
        <v>0</v>
      </c>
      <c r="S81" s="27">
        <f t="shared" si="13"/>
        <v>0</v>
      </c>
      <c r="T81" s="11"/>
      <c r="U81" s="11"/>
      <c r="V81" s="417">
        <f t="shared" si="14"/>
        <v>0</v>
      </c>
      <c r="W81" s="380">
        <f t="shared" si="10"/>
        <v>0</v>
      </c>
      <c r="X81" s="4">
        <v>1120</v>
      </c>
      <c r="Y81" s="4"/>
      <c r="Z81" s="4"/>
      <c r="AA81" s="12">
        <f t="shared" si="15"/>
        <v>0</v>
      </c>
      <c r="AC81" s="80"/>
      <c r="AD81" s="80"/>
      <c r="AE81" s="80"/>
      <c r="AF81" s="80"/>
    </row>
    <row r="82" spans="1:36" ht="12.75" customHeight="1">
      <c r="A82" s="24"/>
      <c r="B82" s="105">
        <f t="shared" si="16"/>
        <v>79</v>
      </c>
      <c r="C82" s="6">
        <v>200700</v>
      </c>
      <c r="D82" s="118" t="s">
        <v>978</v>
      </c>
      <c r="E82" s="9" t="s">
        <v>32</v>
      </c>
      <c r="F82" s="6"/>
      <c r="G82" s="6"/>
      <c r="H82" s="11">
        <f>+STAT2!V82</f>
        <v>0</v>
      </c>
      <c r="I82" s="11">
        <f>+STAT2!W82</f>
        <v>0</v>
      </c>
      <c r="J82" s="11">
        <f>+SUMIFS(JURNAL!G:G,JURNAL!E:E,C82,JURNAL!C:C,"&gt;="&amp;$H$1,JURNAL!C:C,"&lt;="&amp;$I$1)</f>
        <v>0</v>
      </c>
      <c r="K82" s="11">
        <f>+SUMIFS(JURNAL!H:H,JURNAL!E:E,C82,JURNAL!C:C,"&gt;="&amp;$H$1,JURNAL!C:C,"&lt;="&amp;$I$1)</f>
        <v>0</v>
      </c>
      <c r="L82" s="26">
        <f t="shared" si="11"/>
        <v>0</v>
      </c>
      <c r="M82" s="27">
        <f t="shared" si="9"/>
        <v>0</v>
      </c>
      <c r="N82" s="11"/>
      <c r="O82" s="183"/>
      <c r="P82" s="27"/>
      <c r="Q82" s="11"/>
      <c r="R82" s="26">
        <f t="shared" si="12"/>
        <v>0</v>
      </c>
      <c r="S82" s="27">
        <f t="shared" si="13"/>
        <v>0</v>
      </c>
      <c r="T82" s="11"/>
      <c r="U82" s="11"/>
      <c r="V82" s="417">
        <f t="shared" si="14"/>
        <v>0</v>
      </c>
      <c r="W82" s="380">
        <f t="shared" si="10"/>
        <v>0</v>
      </c>
      <c r="X82" s="4">
        <v>1128</v>
      </c>
      <c r="Y82" s="4"/>
      <c r="Z82" s="4"/>
      <c r="AA82" s="12">
        <f t="shared" si="15"/>
        <v>0</v>
      </c>
      <c r="AC82" s="80"/>
      <c r="AD82" s="80"/>
      <c r="AE82" s="80"/>
      <c r="AF82" s="80"/>
      <c r="AG82" s="80"/>
      <c r="AH82" s="80"/>
    </row>
    <row r="83" spans="1:36" ht="12.75" customHeight="1">
      <c r="A83" s="24"/>
      <c r="B83" s="105">
        <f t="shared" si="16"/>
        <v>80</v>
      </c>
      <c r="C83" s="6">
        <v>200800</v>
      </c>
      <c r="D83" s="118" t="s">
        <v>686</v>
      </c>
      <c r="E83" s="9" t="s">
        <v>32</v>
      </c>
      <c r="F83" s="6"/>
      <c r="G83" s="6"/>
      <c r="H83" s="11">
        <f>+STAT2!V83</f>
        <v>0</v>
      </c>
      <c r="I83" s="11">
        <f>+STAT2!W83</f>
        <v>0</v>
      </c>
      <c r="J83" s="11">
        <f>+SUMIFS(JURNAL!G:G,JURNAL!E:E,C83,JURNAL!C:C,"&gt;="&amp;$H$1,JURNAL!C:C,"&lt;="&amp;$I$1)</f>
        <v>0</v>
      </c>
      <c r="K83" s="11">
        <f>+SUMIFS(JURNAL!H:H,JURNAL!E:E,C83,JURNAL!C:C,"&gt;="&amp;$H$1,JURNAL!C:C,"&lt;="&amp;$I$1)</f>
        <v>0</v>
      </c>
      <c r="L83" s="26">
        <f t="shared" si="11"/>
        <v>0</v>
      </c>
      <c r="M83" s="27">
        <f t="shared" si="9"/>
        <v>0</v>
      </c>
      <c r="N83" s="11"/>
      <c r="O83" s="183"/>
      <c r="P83" s="27"/>
      <c r="Q83" s="11"/>
      <c r="R83" s="26">
        <f t="shared" si="12"/>
        <v>0</v>
      </c>
      <c r="S83" s="27">
        <f t="shared" si="13"/>
        <v>0</v>
      </c>
      <c r="T83" s="11"/>
      <c r="U83" s="11"/>
      <c r="V83" s="417">
        <f t="shared" si="14"/>
        <v>0</v>
      </c>
      <c r="W83" s="380">
        <f t="shared" si="10"/>
        <v>0</v>
      </c>
      <c r="X83" s="4">
        <v>1127</v>
      </c>
      <c r="Y83" s="4"/>
      <c r="Z83" s="4"/>
      <c r="AA83" s="12">
        <f t="shared" si="15"/>
        <v>0</v>
      </c>
      <c r="AC83" s="80"/>
      <c r="AD83" s="80"/>
      <c r="AE83" s="80"/>
      <c r="AF83" s="80"/>
      <c r="AG83" s="309"/>
      <c r="AI83" s="82"/>
      <c r="AJ83" s="84"/>
    </row>
    <row r="84" spans="1:36" ht="12.75" customHeight="1">
      <c r="A84" s="24"/>
      <c r="B84" s="105">
        <f t="shared" si="16"/>
        <v>81</v>
      </c>
      <c r="C84" s="6">
        <v>200900</v>
      </c>
      <c r="D84" s="118" t="s">
        <v>690</v>
      </c>
      <c r="E84" s="9" t="s">
        <v>32</v>
      </c>
      <c r="F84" s="6"/>
      <c r="G84" s="6"/>
      <c r="H84" s="11">
        <f>+STAT2!V84</f>
        <v>0</v>
      </c>
      <c r="I84" s="11">
        <f>+STAT2!W84</f>
        <v>0</v>
      </c>
      <c r="J84" s="11">
        <f>+SUMIFS(JURNAL!G:G,JURNAL!E:E,C84,JURNAL!C:C,"&gt;="&amp;$H$1,JURNAL!C:C,"&lt;="&amp;$I$1)</f>
        <v>0</v>
      </c>
      <c r="K84" s="11">
        <f>+SUMIFS(JURNAL!H:H,JURNAL!E:E,C84,JURNAL!C:C,"&gt;="&amp;$H$1,JURNAL!C:C,"&lt;="&amp;$I$1)</f>
        <v>0</v>
      </c>
      <c r="L84" s="26">
        <f t="shared" si="11"/>
        <v>0</v>
      </c>
      <c r="M84" s="27">
        <f t="shared" si="9"/>
        <v>0</v>
      </c>
      <c r="N84" s="11"/>
      <c r="O84" s="183"/>
      <c r="P84" s="27"/>
      <c r="Q84" s="11"/>
      <c r="R84" s="26">
        <f t="shared" si="12"/>
        <v>0</v>
      </c>
      <c r="S84" s="27">
        <f t="shared" si="13"/>
        <v>0</v>
      </c>
      <c r="T84" s="11"/>
      <c r="U84" s="11"/>
      <c r="V84" s="417">
        <f t="shared" si="14"/>
        <v>0</v>
      </c>
      <c r="W84" s="380">
        <f t="shared" si="10"/>
        <v>0</v>
      </c>
      <c r="X84" s="4">
        <v>1122</v>
      </c>
      <c r="Y84" s="4"/>
      <c r="Z84" s="4"/>
      <c r="AA84" s="12">
        <f t="shared" si="15"/>
        <v>0</v>
      </c>
      <c r="AC84" s="80"/>
      <c r="AD84" s="80"/>
      <c r="AE84" s="80"/>
      <c r="AF84" s="80"/>
      <c r="AG84" s="309"/>
      <c r="AI84" s="82"/>
    </row>
    <row r="85" spans="1:36" ht="12.75" customHeight="1">
      <c r="A85" s="24"/>
      <c r="B85" s="105">
        <f t="shared" si="16"/>
        <v>82</v>
      </c>
      <c r="C85" s="6">
        <v>201200</v>
      </c>
      <c r="D85" s="118" t="s">
        <v>979</v>
      </c>
      <c r="E85" s="9" t="s">
        <v>32</v>
      </c>
      <c r="F85" s="6"/>
      <c r="G85" s="6"/>
      <c r="H85" s="11">
        <f>+STAT2!V85</f>
        <v>0</v>
      </c>
      <c r="I85" s="11">
        <f>+STAT2!W85</f>
        <v>620262917.42999995</v>
      </c>
      <c r="J85" s="11">
        <f>+SUMIFS(JURNAL!G:G,JURNAL!E:E,C85,JURNAL!C:C,"&gt;="&amp;$H$1,JURNAL!C:C,"&lt;="&amp;$I$1)</f>
        <v>0</v>
      </c>
      <c r="K85" s="11">
        <f>+SUMIFS(JURNAL!H:H,JURNAL!E:E,C85,JURNAL!C:C,"&gt;="&amp;$H$1,JURNAL!C:C,"&lt;="&amp;$I$1)</f>
        <v>6661875</v>
      </c>
      <c r="L85" s="26">
        <f t="shared" si="11"/>
        <v>0</v>
      </c>
      <c r="M85" s="27">
        <f t="shared" si="9"/>
        <v>626924792.42999995</v>
      </c>
      <c r="N85" s="11"/>
      <c r="O85" s="183"/>
      <c r="P85" s="27"/>
      <c r="Q85" s="11"/>
      <c r="R85" s="26">
        <f t="shared" si="12"/>
        <v>0</v>
      </c>
      <c r="S85" s="27">
        <f t="shared" si="13"/>
        <v>626924792.42999995</v>
      </c>
      <c r="T85" s="11"/>
      <c r="U85" s="11"/>
      <c r="V85" s="417">
        <f t="shared" si="14"/>
        <v>0</v>
      </c>
      <c r="W85" s="380">
        <f t="shared" si="10"/>
        <v>626924792.42999995</v>
      </c>
      <c r="X85" s="4">
        <v>1121</v>
      </c>
      <c r="Y85" s="4"/>
      <c r="Z85" s="4"/>
      <c r="AA85" s="12">
        <f t="shared" si="15"/>
        <v>1</v>
      </c>
      <c r="AC85" s="80"/>
      <c r="AD85" s="80"/>
      <c r="AE85" s="80"/>
      <c r="AF85" s="80"/>
    </row>
    <row r="86" spans="1:36" ht="12.75" customHeight="1">
      <c r="A86" s="24"/>
      <c r="B86" s="105">
        <f t="shared" si="16"/>
        <v>83</v>
      </c>
      <c r="C86" s="6">
        <v>201300</v>
      </c>
      <c r="D86" s="118" t="s">
        <v>980</v>
      </c>
      <c r="E86" s="9" t="s">
        <v>32</v>
      </c>
      <c r="F86" s="6"/>
      <c r="G86" s="6"/>
      <c r="H86" s="11">
        <f>+STAT2!V86</f>
        <v>0</v>
      </c>
      <c r="I86" s="11">
        <f>+STAT2!W86</f>
        <v>7238890.4399999985</v>
      </c>
      <c r="J86" s="11">
        <f>+SUMIFS(JURNAL!G:G,JURNAL!E:E,C86,JURNAL!C:C,"&gt;="&amp;$H$1,JURNAL!C:C,"&lt;="&amp;$I$1)</f>
        <v>0</v>
      </c>
      <c r="K86" s="11">
        <f>+SUMIFS(JURNAL!H:H,JURNAL!E:E,C86,JURNAL!C:C,"&gt;="&amp;$H$1,JURNAL!C:C,"&lt;="&amp;$I$1)</f>
        <v>73072.72</v>
      </c>
      <c r="L86" s="26">
        <f t="shared" si="11"/>
        <v>0</v>
      </c>
      <c r="M86" s="27">
        <f t="shared" si="9"/>
        <v>7311963.1599999983</v>
      </c>
      <c r="N86" s="11"/>
      <c r="O86" s="183"/>
      <c r="P86" s="27"/>
      <c r="Q86" s="11"/>
      <c r="R86" s="26">
        <f t="shared" si="12"/>
        <v>0</v>
      </c>
      <c r="S86" s="27">
        <f t="shared" si="13"/>
        <v>7311963.1599999983</v>
      </c>
      <c r="T86" s="11"/>
      <c r="U86" s="11"/>
      <c r="V86" s="417">
        <f t="shared" si="14"/>
        <v>0</v>
      </c>
      <c r="W86" s="380">
        <f t="shared" si="10"/>
        <v>7311963.1599999983</v>
      </c>
      <c r="X86" s="4">
        <v>1121</v>
      </c>
      <c r="Y86" s="4"/>
      <c r="Z86" s="4"/>
      <c r="AA86" s="12">
        <f t="shared" si="15"/>
        <v>1</v>
      </c>
      <c r="AC86" s="80"/>
      <c r="AD86" s="80"/>
      <c r="AE86" s="80"/>
      <c r="AF86" s="80"/>
    </row>
    <row r="87" spans="1:36" ht="12.75" customHeight="1">
      <c r="A87" s="24"/>
      <c r="B87" s="105">
        <f t="shared" si="16"/>
        <v>84</v>
      </c>
      <c r="C87" s="6">
        <v>201400</v>
      </c>
      <c r="D87" s="118" t="s">
        <v>981</v>
      </c>
      <c r="E87" s="9" t="s">
        <v>32</v>
      </c>
      <c r="F87" s="6"/>
      <c r="G87" s="6"/>
      <c r="H87" s="11">
        <f>+STAT2!V87</f>
        <v>0</v>
      </c>
      <c r="I87" s="11">
        <f>+STAT2!W87</f>
        <v>474032458.55999994</v>
      </c>
      <c r="J87" s="11">
        <f>+SUMIFS(JURNAL!G:G,JURNAL!E:E,C87,JURNAL!C:C,"&gt;="&amp;$H$1,JURNAL!C:C,"&lt;="&amp;$I$1)</f>
        <v>0</v>
      </c>
      <c r="K87" s="11">
        <f>+SUMIFS(JURNAL!H:H,JURNAL!E:E,C87,JURNAL!C:C,"&gt;="&amp;$H$1,JURNAL!C:C,"&lt;="&amp;$I$1)</f>
        <v>16634720.9</v>
      </c>
      <c r="L87" s="26">
        <f t="shared" si="11"/>
        <v>0</v>
      </c>
      <c r="M87" s="27">
        <f t="shared" si="9"/>
        <v>490667179.45999992</v>
      </c>
      <c r="N87" s="11"/>
      <c r="O87" s="183"/>
      <c r="P87" s="27"/>
      <c r="Q87" s="11"/>
      <c r="R87" s="26">
        <f t="shared" si="12"/>
        <v>0</v>
      </c>
      <c r="S87" s="27">
        <f t="shared" si="13"/>
        <v>490667179.45999992</v>
      </c>
      <c r="T87" s="11"/>
      <c r="U87" s="11"/>
      <c r="V87" s="417">
        <f t="shared" si="14"/>
        <v>0</v>
      </c>
      <c r="W87" s="380">
        <f t="shared" si="10"/>
        <v>490667179.45999992</v>
      </c>
      <c r="X87" s="4">
        <v>1121</v>
      </c>
      <c r="Y87" s="4"/>
      <c r="Z87" s="4"/>
      <c r="AA87" s="12">
        <f t="shared" si="15"/>
        <v>1</v>
      </c>
      <c r="AC87" s="80"/>
      <c r="AD87" s="80"/>
      <c r="AE87" s="80"/>
      <c r="AF87" s="80"/>
    </row>
    <row r="88" spans="1:36" ht="12.75" customHeight="1">
      <c r="A88" s="24"/>
      <c r="B88" s="105">
        <f t="shared" si="16"/>
        <v>85</v>
      </c>
      <c r="C88" s="6">
        <v>201500</v>
      </c>
      <c r="D88" s="118" t="s">
        <v>982</v>
      </c>
      <c r="E88" s="9" t="s">
        <v>32</v>
      </c>
      <c r="F88" s="6"/>
      <c r="G88" s="6"/>
      <c r="H88" s="11">
        <f>+STAT2!V88</f>
        <v>0</v>
      </c>
      <c r="I88" s="11">
        <f>+STAT2!W88</f>
        <v>51270000</v>
      </c>
      <c r="J88" s="11">
        <f>+SUMIFS(JURNAL!G:G,JURNAL!E:E,C88,JURNAL!C:C,"&gt;="&amp;$H$1,JURNAL!C:C,"&lt;="&amp;$I$1)</f>
        <v>0</v>
      </c>
      <c r="K88" s="11">
        <f>+SUMIFS(JURNAL!H:H,JURNAL!E:E,C88,JURNAL!C:C,"&gt;="&amp;$H$1,JURNAL!C:C,"&lt;="&amp;$I$1)</f>
        <v>4245000</v>
      </c>
      <c r="L88" s="26">
        <f t="shared" si="11"/>
        <v>0</v>
      </c>
      <c r="M88" s="27">
        <f t="shared" si="9"/>
        <v>55515000</v>
      </c>
      <c r="N88" s="11"/>
      <c r="O88" s="183"/>
      <c r="P88" s="27"/>
      <c r="Q88" s="11"/>
      <c r="R88" s="26">
        <f t="shared" si="12"/>
        <v>0</v>
      </c>
      <c r="S88" s="27">
        <f t="shared" si="13"/>
        <v>55515000</v>
      </c>
      <c r="T88" s="11"/>
      <c r="U88" s="11"/>
      <c r="V88" s="417">
        <f t="shared" si="14"/>
        <v>0</v>
      </c>
      <c r="W88" s="380">
        <f t="shared" si="10"/>
        <v>55515000</v>
      </c>
      <c r="X88" s="4">
        <v>1121</v>
      </c>
      <c r="Y88" s="4"/>
      <c r="Z88" s="4"/>
      <c r="AA88" s="12">
        <f t="shared" si="15"/>
        <v>1</v>
      </c>
      <c r="AC88" s="80"/>
      <c r="AD88" s="80"/>
      <c r="AE88" s="80"/>
      <c r="AF88" s="80"/>
    </row>
    <row r="89" spans="1:36" ht="12.75" customHeight="1">
      <c r="A89" s="24"/>
      <c r="B89" s="105">
        <f t="shared" si="16"/>
        <v>86</v>
      </c>
      <c r="C89" s="6">
        <v>201600</v>
      </c>
      <c r="D89" s="118" t="s">
        <v>983</v>
      </c>
      <c r="E89" s="9" t="s">
        <v>32</v>
      </c>
      <c r="F89" s="6"/>
      <c r="G89" s="6"/>
      <c r="H89" s="11">
        <f>+STAT2!V89</f>
        <v>0</v>
      </c>
      <c r="I89" s="11">
        <f>+STAT2!W89</f>
        <v>0</v>
      </c>
      <c r="J89" s="11">
        <f>+SUMIFS(JURNAL!G:G,JURNAL!E:E,C89,JURNAL!C:C,"&gt;="&amp;$H$1,JURNAL!C:C,"&lt;="&amp;$I$1)</f>
        <v>0</v>
      </c>
      <c r="K89" s="11">
        <f>+SUMIFS(JURNAL!H:H,JURNAL!E:E,C89,JURNAL!C:C,"&gt;="&amp;$H$1,JURNAL!C:C,"&lt;="&amp;$I$1)</f>
        <v>0</v>
      </c>
      <c r="L89" s="26">
        <f t="shared" si="11"/>
        <v>0</v>
      </c>
      <c r="M89" s="27">
        <f t="shared" si="9"/>
        <v>0</v>
      </c>
      <c r="N89" s="11"/>
      <c r="O89" s="183"/>
      <c r="P89" s="27"/>
      <c r="Q89" s="11"/>
      <c r="R89" s="26">
        <f t="shared" si="12"/>
        <v>0</v>
      </c>
      <c r="S89" s="27">
        <f t="shared" si="13"/>
        <v>0</v>
      </c>
      <c r="T89" s="11"/>
      <c r="U89" s="11"/>
      <c r="V89" s="417">
        <f t="shared" si="14"/>
        <v>0</v>
      </c>
      <c r="W89" s="380">
        <f t="shared" si="10"/>
        <v>0</v>
      </c>
      <c r="X89" s="4">
        <v>1121</v>
      </c>
      <c r="Y89" s="4"/>
      <c r="Z89" s="4"/>
      <c r="AA89" s="12">
        <f t="shared" si="15"/>
        <v>0</v>
      </c>
      <c r="AC89" s="80"/>
      <c r="AD89" s="80"/>
      <c r="AE89" s="80"/>
      <c r="AF89" s="80"/>
    </row>
    <row r="90" spans="1:36" ht="12.75" customHeight="1">
      <c r="A90" s="24"/>
      <c r="B90" s="105">
        <f t="shared" si="16"/>
        <v>87</v>
      </c>
      <c r="C90" s="6">
        <v>201800</v>
      </c>
      <c r="D90" s="118" t="s">
        <v>984</v>
      </c>
      <c r="E90" s="9" t="s">
        <v>32</v>
      </c>
      <c r="F90" s="6"/>
      <c r="G90" s="6"/>
      <c r="H90" s="11">
        <f>+STAT2!V90</f>
        <v>0</v>
      </c>
      <c r="I90" s="11">
        <f>+STAT2!W90</f>
        <v>0</v>
      </c>
      <c r="J90" s="11">
        <f>+SUMIFS(JURNAL!G:G,JURNAL!E:E,C90,JURNAL!C:C,"&gt;="&amp;$H$1,JURNAL!C:C,"&lt;="&amp;$I$1)</f>
        <v>0</v>
      </c>
      <c r="K90" s="11">
        <f>+SUMIFS(JURNAL!H:H,JURNAL!E:E,C90,JURNAL!C:C,"&gt;="&amp;$H$1,JURNAL!C:C,"&lt;="&amp;$I$1)</f>
        <v>0</v>
      </c>
      <c r="L90" s="26">
        <f t="shared" si="11"/>
        <v>0</v>
      </c>
      <c r="M90" s="27">
        <f t="shared" si="9"/>
        <v>0</v>
      </c>
      <c r="N90" s="11"/>
      <c r="O90" s="183"/>
      <c r="P90" s="27"/>
      <c r="Q90" s="11"/>
      <c r="R90" s="26">
        <f t="shared" si="12"/>
        <v>0</v>
      </c>
      <c r="S90" s="27">
        <f t="shared" si="13"/>
        <v>0</v>
      </c>
      <c r="T90" s="11"/>
      <c r="U90" s="11"/>
      <c r="V90" s="417">
        <f t="shared" si="14"/>
        <v>0</v>
      </c>
      <c r="W90" s="380">
        <f t="shared" si="10"/>
        <v>0</v>
      </c>
      <c r="X90" s="4">
        <v>1121</v>
      </c>
      <c r="Y90" s="4"/>
      <c r="Z90" s="4"/>
      <c r="AA90" s="12">
        <f t="shared" si="15"/>
        <v>0</v>
      </c>
      <c r="AC90" s="80"/>
      <c r="AD90" s="80"/>
      <c r="AE90" s="80"/>
      <c r="AF90" s="80"/>
    </row>
    <row r="91" spans="1:36" ht="12.75" customHeight="1">
      <c r="A91" s="24"/>
      <c r="B91" s="105">
        <f t="shared" si="16"/>
        <v>88</v>
      </c>
      <c r="C91" s="6">
        <v>202000</v>
      </c>
      <c r="D91" s="118" t="s">
        <v>985</v>
      </c>
      <c r="E91" s="9" t="s">
        <v>32</v>
      </c>
      <c r="F91" s="6"/>
      <c r="G91" s="6"/>
      <c r="H91" s="11">
        <f>+STAT2!V91</f>
        <v>0</v>
      </c>
      <c r="I91" s="11">
        <f>+STAT2!W91</f>
        <v>17769374.25</v>
      </c>
      <c r="J91" s="11">
        <f>+SUMIFS(JURNAL!G:G,JURNAL!E:E,C91,JURNAL!C:C,"&gt;="&amp;$H$1,JURNAL!C:C,"&lt;="&amp;$I$1)</f>
        <v>0</v>
      </c>
      <c r="K91" s="11">
        <f>+SUMIFS(JURNAL!H:H,JURNAL!E:E,C91,JURNAL!C:C,"&gt;="&amp;$H$1,JURNAL!C:C,"&lt;="&amp;$I$1)</f>
        <v>186.6</v>
      </c>
      <c r="L91" s="26">
        <f t="shared" si="11"/>
        <v>0</v>
      </c>
      <c r="M91" s="27">
        <f t="shared" si="9"/>
        <v>17769560.850000001</v>
      </c>
      <c r="N91" s="11"/>
      <c r="O91" s="183"/>
      <c r="P91" s="27"/>
      <c r="Q91" s="11"/>
      <c r="R91" s="26">
        <f t="shared" si="12"/>
        <v>0</v>
      </c>
      <c r="S91" s="27">
        <f t="shared" si="13"/>
        <v>17769560.850000001</v>
      </c>
      <c r="T91" s="11"/>
      <c r="U91" s="11"/>
      <c r="V91" s="417">
        <f t="shared" si="14"/>
        <v>0</v>
      </c>
      <c r="W91" s="380">
        <f t="shared" si="10"/>
        <v>17769560.850000001</v>
      </c>
      <c r="X91" s="4">
        <v>1121</v>
      </c>
      <c r="Y91" s="4"/>
      <c r="Z91" s="4"/>
      <c r="AA91" s="12">
        <f t="shared" si="15"/>
        <v>1</v>
      </c>
      <c r="AC91" s="80"/>
      <c r="AD91" s="80"/>
      <c r="AE91" s="80"/>
      <c r="AF91" s="80"/>
    </row>
    <row r="92" spans="1:36" ht="12.75" customHeight="1">
      <c r="A92" s="24"/>
      <c r="B92" s="105">
        <f t="shared" si="16"/>
        <v>89</v>
      </c>
      <c r="C92" s="6">
        <v>210100</v>
      </c>
      <c r="D92" s="118" t="s">
        <v>726</v>
      </c>
      <c r="E92" s="9" t="s">
        <v>32</v>
      </c>
      <c r="F92" s="6"/>
      <c r="G92" s="6"/>
      <c r="H92" s="11">
        <f>+STAT2!V92</f>
        <v>0</v>
      </c>
      <c r="I92" s="11">
        <f>+STAT2!W92</f>
        <v>0</v>
      </c>
      <c r="J92" s="11">
        <f>+SUMIFS(JURNAL!G:G,JURNAL!E:E,C92,JURNAL!C:C,"&gt;="&amp;$H$1,JURNAL!C:C,"&lt;="&amp;$I$1)</f>
        <v>0</v>
      </c>
      <c r="K92" s="11">
        <f>+SUMIFS(JURNAL!H:H,JURNAL!E:E,C92,JURNAL!C:C,"&gt;="&amp;$H$1,JURNAL!C:C,"&lt;="&amp;$I$1)</f>
        <v>0</v>
      </c>
      <c r="L92" s="26">
        <f t="shared" si="11"/>
        <v>0</v>
      </c>
      <c r="M92" s="27">
        <f t="shared" si="9"/>
        <v>0</v>
      </c>
      <c r="N92" s="11"/>
      <c r="O92" s="183"/>
      <c r="P92" s="27"/>
      <c r="Q92" s="11"/>
      <c r="R92" s="26">
        <f t="shared" si="12"/>
        <v>0</v>
      </c>
      <c r="S92" s="27">
        <f t="shared" si="13"/>
        <v>0</v>
      </c>
      <c r="T92" s="11"/>
      <c r="U92" s="11"/>
      <c r="V92" s="417">
        <f t="shared" si="14"/>
        <v>0</v>
      </c>
      <c r="W92" s="380">
        <f t="shared" si="10"/>
        <v>0</v>
      </c>
      <c r="X92" s="4">
        <v>1127</v>
      </c>
      <c r="Y92" s="4"/>
      <c r="Z92" s="4"/>
      <c r="AA92" s="12">
        <f t="shared" si="15"/>
        <v>0</v>
      </c>
      <c r="AC92" s="80"/>
      <c r="AD92" s="80"/>
      <c r="AE92" s="80"/>
      <c r="AF92" s="80"/>
    </row>
    <row r="93" spans="1:36" ht="12.75" customHeight="1">
      <c r="A93" s="24"/>
      <c r="B93" s="105">
        <f t="shared" si="16"/>
        <v>90</v>
      </c>
      <c r="C93" s="6">
        <v>210200</v>
      </c>
      <c r="D93" s="118" t="s">
        <v>730</v>
      </c>
      <c r="E93" s="9" t="s">
        <v>32</v>
      </c>
      <c r="F93" s="6"/>
      <c r="G93" s="6"/>
      <c r="H93" s="11">
        <f>+STAT2!V93</f>
        <v>0</v>
      </c>
      <c r="I93" s="11">
        <f>+STAT2!W93</f>
        <v>0</v>
      </c>
      <c r="J93" s="11">
        <f>+SUMIFS(JURNAL!G:G,JURNAL!E:E,C93,JURNAL!C:C,"&gt;="&amp;$H$1,JURNAL!C:C,"&lt;="&amp;$I$1)</f>
        <v>0</v>
      </c>
      <c r="K93" s="11">
        <f>+SUMIFS(JURNAL!H:H,JURNAL!E:E,C93,JURNAL!C:C,"&gt;="&amp;$H$1,JURNAL!C:C,"&lt;="&amp;$I$1)</f>
        <v>0</v>
      </c>
      <c r="L93" s="26">
        <f t="shared" si="11"/>
        <v>0</v>
      </c>
      <c r="M93" s="27">
        <f t="shared" si="9"/>
        <v>0</v>
      </c>
      <c r="N93" s="11"/>
      <c r="O93" s="183"/>
      <c r="P93" s="27"/>
      <c r="Q93" s="11"/>
      <c r="R93" s="26">
        <f t="shared" si="12"/>
        <v>0</v>
      </c>
      <c r="S93" s="27">
        <f t="shared" si="13"/>
        <v>0</v>
      </c>
      <c r="T93" s="11"/>
      <c r="U93" s="11"/>
      <c r="V93" s="417">
        <f t="shared" si="14"/>
        <v>0</v>
      </c>
      <c r="W93" s="380">
        <f t="shared" si="10"/>
        <v>0</v>
      </c>
      <c r="X93" s="4">
        <v>1127</v>
      </c>
      <c r="Y93" s="4"/>
      <c r="Z93" s="4"/>
      <c r="AA93" s="12">
        <f t="shared" si="15"/>
        <v>0</v>
      </c>
      <c r="AC93" s="80"/>
      <c r="AD93" s="80"/>
      <c r="AE93" s="80"/>
      <c r="AF93" s="80"/>
    </row>
    <row r="94" spans="1:36" ht="12.75" customHeight="1">
      <c r="A94" s="24"/>
      <c r="B94" s="105">
        <f t="shared" si="16"/>
        <v>91</v>
      </c>
      <c r="C94" s="6">
        <v>210300</v>
      </c>
      <c r="D94" s="118" t="s">
        <v>734</v>
      </c>
      <c r="E94" s="9" t="s">
        <v>32</v>
      </c>
      <c r="F94" s="6"/>
      <c r="G94" s="6"/>
      <c r="H94" s="11">
        <f>+STAT2!V94</f>
        <v>0</v>
      </c>
      <c r="I94" s="11">
        <f>+STAT2!W94</f>
        <v>0</v>
      </c>
      <c r="J94" s="11">
        <f>+SUMIFS(JURNAL!G:G,JURNAL!E:E,C94,JURNAL!C:C,"&gt;="&amp;$H$1,JURNAL!C:C,"&lt;="&amp;$I$1)</f>
        <v>0</v>
      </c>
      <c r="K94" s="11">
        <f>+SUMIFS(JURNAL!H:H,JURNAL!E:E,C94,JURNAL!C:C,"&gt;="&amp;$H$1,JURNAL!C:C,"&lt;="&amp;$I$1)</f>
        <v>0</v>
      </c>
      <c r="L94" s="26">
        <f t="shared" si="11"/>
        <v>0</v>
      </c>
      <c r="M94" s="27">
        <f t="shared" si="9"/>
        <v>0</v>
      </c>
      <c r="N94" s="11"/>
      <c r="O94" s="183"/>
      <c r="P94" s="27"/>
      <c r="Q94" s="11"/>
      <c r="R94" s="26">
        <f t="shared" si="12"/>
        <v>0</v>
      </c>
      <c r="S94" s="27">
        <f t="shared" si="13"/>
        <v>0</v>
      </c>
      <c r="T94" s="11"/>
      <c r="U94" s="11"/>
      <c r="V94" s="417">
        <f t="shared" si="14"/>
        <v>0</v>
      </c>
      <c r="W94" s="380">
        <f t="shared" si="10"/>
        <v>0</v>
      </c>
      <c r="X94" s="4">
        <v>1127</v>
      </c>
      <c r="Y94" s="4"/>
      <c r="Z94" s="4"/>
      <c r="AA94" s="12">
        <f t="shared" si="15"/>
        <v>0</v>
      </c>
      <c r="AC94" s="80"/>
      <c r="AD94" s="80"/>
      <c r="AE94" s="80"/>
      <c r="AF94" s="80"/>
    </row>
    <row r="95" spans="1:36" ht="12.75" customHeight="1">
      <c r="A95" s="24"/>
      <c r="B95" s="105">
        <f t="shared" si="16"/>
        <v>92</v>
      </c>
      <c r="C95" s="6">
        <v>210400</v>
      </c>
      <c r="D95" s="118" t="s">
        <v>738</v>
      </c>
      <c r="E95" s="9" t="s">
        <v>32</v>
      </c>
      <c r="F95" s="6"/>
      <c r="G95" s="6"/>
      <c r="H95" s="11">
        <f>+STAT2!V95</f>
        <v>0</v>
      </c>
      <c r="I95" s="11">
        <f>+STAT2!W95</f>
        <v>0</v>
      </c>
      <c r="J95" s="11">
        <f>+SUMIFS(JURNAL!G:G,JURNAL!E:E,C95,JURNAL!C:C,"&gt;="&amp;$H$1,JURNAL!C:C,"&lt;="&amp;$I$1)</f>
        <v>0</v>
      </c>
      <c r="K95" s="11">
        <f>+SUMIFS(JURNAL!H:H,JURNAL!E:E,C95,JURNAL!C:C,"&gt;="&amp;$H$1,JURNAL!C:C,"&lt;="&amp;$I$1)</f>
        <v>0</v>
      </c>
      <c r="L95" s="26">
        <f t="shared" si="11"/>
        <v>0</v>
      </c>
      <c r="M95" s="27">
        <f t="shared" si="9"/>
        <v>0</v>
      </c>
      <c r="N95" s="11"/>
      <c r="O95" s="183"/>
      <c r="P95" s="27"/>
      <c r="Q95" s="11"/>
      <c r="R95" s="26">
        <f t="shared" si="12"/>
        <v>0</v>
      </c>
      <c r="S95" s="27">
        <f t="shared" si="13"/>
        <v>0</v>
      </c>
      <c r="T95" s="11"/>
      <c r="U95" s="11"/>
      <c r="V95" s="417">
        <f t="shared" si="14"/>
        <v>0</v>
      </c>
      <c r="W95" s="380">
        <f t="shared" si="10"/>
        <v>0</v>
      </c>
      <c r="X95" s="4">
        <v>1127</v>
      </c>
      <c r="Y95" s="4"/>
      <c r="Z95" s="4"/>
      <c r="AA95" s="12">
        <f t="shared" si="15"/>
        <v>0</v>
      </c>
      <c r="AC95" s="80"/>
      <c r="AD95" s="80"/>
      <c r="AE95" s="80"/>
      <c r="AF95" s="80"/>
    </row>
    <row r="96" spans="1:36" ht="12.75" customHeight="1">
      <c r="A96" s="24"/>
      <c r="B96" s="105">
        <f t="shared" si="16"/>
        <v>93</v>
      </c>
      <c r="C96" s="6">
        <v>210500</v>
      </c>
      <c r="D96" s="118" t="s">
        <v>742</v>
      </c>
      <c r="E96" s="9" t="s">
        <v>32</v>
      </c>
      <c r="F96" s="6"/>
      <c r="G96" s="6"/>
      <c r="H96" s="11">
        <f>+STAT2!V96</f>
        <v>0</v>
      </c>
      <c r="I96" s="11">
        <f>+STAT2!W96</f>
        <v>0</v>
      </c>
      <c r="J96" s="11">
        <f>+SUMIFS(JURNAL!G:G,JURNAL!E:E,C96,JURNAL!C:C,"&gt;="&amp;$H$1,JURNAL!C:C,"&lt;="&amp;$I$1)</f>
        <v>0</v>
      </c>
      <c r="K96" s="11">
        <f>+SUMIFS(JURNAL!H:H,JURNAL!E:E,C96,JURNAL!C:C,"&gt;="&amp;$H$1,JURNAL!C:C,"&lt;="&amp;$I$1)</f>
        <v>0</v>
      </c>
      <c r="L96" s="26">
        <f t="shared" si="11"/>
        <v>0</v>
      </c>
      <c r="M96" s="27">
        <f t="shared" si="9"/>
        <v>0</v>
      </c>
      <c r="N96" s="11"/>
      <c r="O96" s="183"/>
      <c r="P96" s="27"/>
      <c r="Q96" s="11"/>
      <c r="R96" s="26">
        <f t="shared" si="12"/>
        <v>0</v>
      </c>
      <c r="S96" s="27">
        <f t="shared" si="13"/>
        <v>0</v>
      </c>
      <c r="T96" s="11"/>
      <c r="U96" s="11"/>
      <c r="V96" s="417">
        <f t="shared" si="14"/>
        <v>0</v>
      </c>
      <c r="W96" s="380">
        <f t="shared" si="10"/>
        <v>0</v>
      </c>
      <c r="X96" s="4">
        <v>1127</v>
      </c>
      <c r="Y96" s="4"/>
      <c r="Z96" s="4"/>
      <c r="AA96" s="12">
        <f t="shared" si="15"/>
        <v>0</v>
      </c>
      <c r="AC96" s="80"/>
      <c r="AD96" s="80"/>
      <c r="AE96" s="80"/>
      <c r="AF96" s="80"/>
    </row>
    <row r="97" spans="1:32" ht="12.75" customHeight="1">
      <c r="A97" s="24"/>
      <c r="B97" s="105">
        <f t="shared" si="16"/>
        <v>94</v>
      </c>
      <c r="C97" s="6">
        <v>210600</v>
      </c>
      <c r="D97" s="118" t="s">
        <v>746</v>
      </c>
      <c r="E97" s="9" t="s">
        <v>32</v>
      </c>
      <c r="F97" s="6"/>
      <c r="G97" s="6"/>
      <c r="H97" s="11">
        <f>+STAT2!V97</f>
        <v>0</v>
      </c>
      <c r="I97" s="11">
        <f>+STAT2!W97</f>
        <v>0</v>
      </c>
      <c r="J97" s="11">
        <f>+SUMIFS(JURNAL!G:G,JURNAL!E:E,C97,JURNAL!C:C,"&gt;="&amp;$H$1,JURNAL!C:C,"&lt;="&amp;$I$1)</f>
        <v>0</v>
      </c>
      <c r="K97" s="11">
        <f>+SUMIFS(JURNAL!H:H,JURNAL!E:E,C97,JURNAL!C:C,"&gt;="&amp;$H$1,JURNAL!C:C,"&lt;="&amp;$I$1)</f>
        <v>0</v>
      </c>
      <c r="L97" s="26">
        <f t="shared" si="11"/>
        <v>0</v>
      </c>
      <c r="M97" s="27">
        <f t="shared" si="9"/>
        <v>0</v>
      </c>
      <c r="N97" s="11"/>
      <c r="O97" s="183"/>
      <c r="P97" s="27"/>
      <c r="Q97" s="11"/>
      <c r="R97" s="26">
        <f t="shared" si="12"/>
        <v>0</v>
      </c>
      <c r="S97" s="27">
        <f t="shared" si="13"/>
        <v>0</v>
      </c>
      <c r="T97" s="11"/>
      <c r="U97" s="11"/>
      <c r="V97" s="417">
        <f t="shared" si="14"/>
        <v>0</v>
      </c>
      <c r="W97" s="380">
        <f t="shared" si="10"/>
        <v>0</v>
      </c>
      <c r="X97" s="4">
        <v>1127</v>
      </c>
      <c r="Y97" s="4"/>
      <c r="Z97" s="4"/>
      <c r="AA97" s="12">
        <f t="shared" si="15"/>
        <v>0</v>
      </c>
      <c r="AC97" s="80"/>
      <c r="AD97" s="80"/>
      <c r="AE97" s="80"/>
      <c r="AF97" s="80"/>
    </row>
    <row r="98" spans="1:32" ht="12.75" customHeight="1">
      <c r="A98" s="24"/>
      <c r="B98" s="105">
        <f t="shared" si="16"/>
        <v>95</v>
      </c>
      <c r="C98" s="6">
        <v>210700</v>
      </c>
      <c r="D98" s="118" t="s">
        <v>750</v>
      </c>
      <c r="E98" s="9" t="s">
        <v>32</v>
      </c>
      <c r="F98" s="6"/>
      <c r="G98" s="6"/>
      <c r="H98" s="11">
        <f>+STAT2!V98</f>
        <v>0</v>
      </c>
      <c r="I98" s="11">
        <f>+STAT2!W98</f>
        <v>0</v>
      </c>
      <c r="J98" s="11">
        <f>+SUMIFS(JURNAL!G:G,JURNAL!E:E,C98,JURNAL!C:C,"&gt;="&amp;$H$1,JURNAL!C:C,"&lt;="&amp;$I$1)</f>
        <v>0</v>
      </c>
      <c r="K98" s="11">
        <f>+SUMIFS(JURNAL!H:H,JURNAL!E:E,C98,JURNAL!C:C,"&gt;="&amp;$H$1,JURNAL!C:C,"&lt;="&amp;$I$1)</f>
        <v>0</v>
      </c>
      <c r="L98" s="26">
        <f t="shared" si="11"/>
        <v>0</v>
      </c>
      <c r="M98" s="27">
        <f t="shared" si="9"/>
        <v>0</v>
      </c>
      <c r="N98" s="11"/>
      <c r="O98" s="183"/>
      <c r="P98" s="27"/>
      <c r="Q98" s="11"/>
      <c r="R98" s="26">
        <f t="shared" si="12"/>
        <v>0</v>
      </c>
      <c r="S98" s="27">
        <f t="shared" si="13"/>
        <v>0</v>
      </c>
      <c r="T98" s="11"/>
      <c r="U98" s="11"/>
      <c r="V98" s="417">
        <f t="shared" si="14"/>
        <v>0</v>
      </c>
      <c r="W98" s="380">
        <f t="shared" si="10"/>
        <v>0</v>
      </c>
      <c r="X98" s="4">
        <v>1127</v>
      </c>
      <c r="Y98" s="4"/>
      <c r="Z98" s="4"/>
      <c r="AA98" s="12">
        <f t="shared" si="15"/>
        <v>0</v>
      </c>
      <c r="AC98" s="80"/>
      <c r="AD98" s="80"/>
      <c r="AE98" s="80"/>
      <c r="AF98" s="80"/>
    </row>
    <row r="99" spans="1:32" ht="12.75" customHeight="1">
      <c r="A99" s="24"/>
      <c r="B99" s="105">
        <f t="shared" si="16"/>
        <v>96</v>
      </c>
      <c r="C99" s="6">
        <v>211000</v>
      </c>
      <c r="D99" s="118" t="s">
        <v>660</v>
      </c>
      <c r="E99" s="9" t="s">
        <v>32</v>
      </c>
      <c r="F99" s="6"/>
      <c r="G99" s="6"/>
      <c r="H99" s="11">
        <f>+STAT2!V99</f>
        <v>0</v>
      </c>
      <c r="I99" s="11">
        <f>+STAT2!W99</f>
        <v>0</v>
      </c>
      <c r="J99" s="11">
        <f>+SUMIFS(JURNAL!G:G,JURNAL!E:E,C99,JURNAL!C:C,"&gt;="&amp;$H$1,JURNAL!C:C,"&lt;="&amp;$I$1)</f>
        <v>0</v>
      </c>
      <c r="K99" s="11">
        <f>+SUMIFS(JURNAL!H:H,JURNAL!E:E,C99,JURNAL!C:C,"&gt;="&amp;$H$1,JURNAL!C:C,"&lt;="&amp;$I$1)</f>
        <v>0</v>
      </c>
      <c r="L99" s="26">
        <f t="shared" si="11"/>
        <v>0</v>
      </c>
      <c r="M99" s="27">
        <f t="shared" si="9"/>
        <v>0</v>
      </c>
      <c r="N99" s="11"/>
      <c r="O99" s="183"/>
      <c r="P99" s="27"/>
      <c r="Q99" s="11"/>
      <c r="R99" s="26">
        <f t="shared" si="12"/>
        <v>0</v>
      </c>
      <c r="S99" s="27">
        <f t="shared" si="13"/>
        <v>0</v>
      </c>
      <c r="T99" s="11"/>
      <c r="U99" s="11"/>
      <c r="V99" s="417">
        <f t="shared" si="14"/>
        <v>0</v>
      </c>
      <c r="W99" s="380">
        <f t="shared" si="10"/>
        <v>0</v>
      </c>
      <c r="X99" s="4">
        <v>1127</v>
      </c>
      <c r="Y99" s="4"/>
      <c r="Z99" s="4"/>
      <c r="AA99" s="12">
        <f t="shared" si="15"/>
        <v>0</v>
      </c>
      <c r="AC99" s="80"/>
      <c r="AD99" s="80"/>
      <c r="AE99" s="80"/>
      <c r="AF99" s="80"/>
    </row>
    <row r="100" spans="1:32" ht="12.75" customHeight="1">
      <c r="A100" s="24"/>
      <c r="B100" s="105">
        <f t="shared" si="16"/>
        <v>97</v>
      </c>
      <c r="C100" s="6">
        <v>220100</v>
      </c>
      <c r="D100" s="118" t="s">
        <v>802</v>
      </c>
      <c r="E100" s="9" t="s">
        <v>32</v>
      </c>
      <c r="F100" s="6"/>
      <c r="G100" s="6"/>
      <c r="H100" s="11">
        <f>+STAT2!V100</f>
        <v>0</v>
      </c>
      <c r="I100" s="11">
        <f>+STAT2!W100</f>
        <v>0</v>
      </c>
      <c r="J100" s="11">
        <f>+SUMIFS(JURNAL!G:G,JURNAL!E:E,C100,JURNAL!C:C,"&gt;="&amp;$H$1,JURNAL!C:C,"&lt;="&amp;$I$1)</f>
        <v>0</v>
      </c>
      <c r="K100" s="11">
        <f>+SUMIFS(JURNAL!H:H,JURNAL!E:E,C100,JURNAL!C:C,"&gt;="&amp;$H$1,JURNAL!C:C,"&lt;="&amp;$I$1)</f>
        <v>0</v>
      </c>
      <c r="L100" s="26">
        <f t="shared" si="11"/>
        <v>0</v>
      </c>
      <c r="M100" s="27">
        <f t="shared" si="9"/>
        <v>0</v>
      </c>
      <c r="N100" s="11"/>
      <c r="O100" s="183"/>
      <c r="P100" s="27"/>
      <c r="Q100" s="11"/>
      <c r="R100" s="26">
        <f t="shared" si="12"/>
        <v>0</v>
      </c>
      <c r="S100" s="27">
        <f t="shared" si="13"/>
        <v>0</v>
      </c>
      <c r="T100" s="11"/>
      <c r="U100" s="11"/>
      <c r="V100" s="417">
        <f t="shared" si="14"/>
        <v>0</v>
      </c>
      <c r="W100" s="380">
        <f t="shared" si="10"/>
        <v>0</v>
      </c>
      <c r="X100" s="4">
        <v>1123</v>
      </c>
      <c r="Y100" s="4"/>
      <c r="Z100" s="4"/>
      <c r="AA100" s="12">
        <f t="shared" si="15"/>
        <v>0</v>
      </c>
      <c r="AC100" s="80"/>
      <c r="AD100" s="80"/>
      <c r="AE100" s="80"/>
      <c r="AF100" s="80"/>
    </row>
    <row r="101" spans="1:32" ht="12.75" customHeight="1">
      <c r="A101" s="24"/>
      <c r="B101" s="105">
        <f t="shared" si="16"/>
        <v>98</v>
      </c>
      <c r="C101" s="6">
        <v>220200</v>
      </c>
      <c r="D101" s="118" t="s">
        <v>806</v>
      </c>
      <c r="E101" s="9" t="s">
        <v>32</v>
      </c>
      <c r="F101" s="6"/>
      <c r="G101" s="6"/>
      <c r="H101" s="11">
        <f>+STAT2!V101</f>
        <v>0</v>
      </c>
      <c r="I101" s="11">
        <f>+STAT2!W101</f>
        <v>0</v>
      </c>
      <c r="J101" s="11">
        <f>+SUMIFS(JURNAL!G:G,JURNAL!E:E,C101,JURNAL!C:C,"&gt;="&amp;$H$1,JURNAL!C:C,"&lt;="&amp;$I$1)</f>
        <v>0</v>
      </c>
      <c r="K101" s="11">
        <f>+SUMIFS(JURNAL!H:H,JURNAL!E:E,C101,JURNAL!C:C,"&gt;="&amp;$H$1,JURNAL!C:C,"&lt;="&amp;$I$1)</f>
        <v>0</v>
      </c>
      <c r="L101" s="26">
        <f t="shared" si="11"/>
        <v>0</v>
      </c>
      <c r="M101" s="27">
        <f t="shared" si="9"/>
        <v>0</v>
      </c>
      <c r="N101" s="11"/>
      <c r="O101" s="183"/>
      <c r="P101" s="27"/>
      <c r="Q101" s="11"/>
      <c r="R101" s="26">
        <f t="shared" si="12"/>
        <v>0</v>
      </c>
      <c r="S101" s="27">
        <f t="shared" si="13"/>
        <v>0</v>
      </c>
      <c r="T101" s="11"/>
      <c r="U101" s="11"/>
      <c r="V101" s="417">
        <f t="shared" si="14"/>
        <v>0</v>
      </c>
      <c r="W101" s="380">
        <f t="shared" si="10"/>
        <v>0</v>
      </c>
      <c r="X101" s="4">
        <v>1123</v>
      </c>
      <c r="Y101" s="4"/>
      <c r="Z101" s="4"/>
      <c r="AA101" s="12">
        <f t="shared" si="15"/>
        <v>0</v>
      </c>
      <c r="AC101" s="80"/>
      <c r="AD101" s="80"/>
      <c r="AE101" s="80"/>
      <c r="AF101" s="80"/>
    </row>
    <row r="102" spans="1:32" ht="12.75" customHeight="1">
      <c r="A102" s="24"/>
      <c r="B102" s="105">
        <f t="shared" si="16"/>
        <v>99</v>
      </c>
      <c r="C102" s="6">
        <v>220400</v>
      </c>
      <c r="D102" s="118" t="s">
        <v>810</v>
      </c>
      <c r="E102" s="9" t="s">
        <v>32</v>
      </c>
      <c r="F102" s="6"/>
      <c r="G102" s="6"/>
      <c r="H102" s="11">
        <f>+STAT2!V102</f>
        <v>0</v>
      </c>
      <c r="I102" s="11">
        <f>+STAT2!W102</f>
        <v>0</v>
      </c>
      <c r="J102" s="11">
        <f>+SUMIFS(JURNAL!G:G,JURNAL!E:E,C102,JURNAL!C:C,"&gt;="&amp;$H$1,JURNAL!C:C,"&lt;="&amp;$I$1)</f>
        <v>0</v>
      </c>
      <c r="K102" s="11">
        <f>+SUMIFS(JURNAL!H:H,JURNAL!E:E,C102,JURNAL!C:C,"&gt;="&amp;$H$1,JURNAL!C:C,"&lt;="&amp;$I$1)</f>
        <v>0</v>
      </c>
      <c r="L102" s="26">
        <f t="shared" si="11"/>
        <v>0</v>
      </c>
      <c r="M102" s="27">
        <f t="shared" si="9"/>
        <v>0</v>
      </c>
      <c r="N102" s="11"/>
      <c r="O102" s="183"/>
      <c r="P102" s="27"/>
      <c r="Q102" s="11"/>
      <c r="R102" s="26">
        <f t="shared" si="12"/>
        <v>0</v>
      </c>
      <c r="S102" s="27">
        <f t="shared" si="13"/>
        <v>0</v>
      </c>
      <c r="T102" s="11"/>
      <c r="U102" s="11"/>
      <c r="V102" s="417">
        <f t="shared" si="14"/>
        <v>0</v>
      </c>
      <c r="W102" s="380">
        <f t="shared" si="10"/>
        <v>0</v>
      </c>
      <c r="X102" s="4">
        <v>1123</v>
      </c>
      <c r="Y102" s="4"/>
      <c r="Z102" s="4"/>
      <c r="AA102" s="12">
        <f t="shared" si="15"/>
        <v>0</v>
      </c>
      <c r="AC102" s="80"/>
      <c r="AD102" s="80"/>
      <c r="AE102" s="80"/>
      <c r="AF102" s="80"/>
    </row>
    <row r="103" spans="1:32" ht="12.75" customHeight="1">
      <c r="A103" s="24"/>
      <c r="B103" s="105">
        <f t="shared" si="16"/>
        <v>100</v>
      </c>
      <c r="C103" s="6">
        <v>230100</v>
      </c>
      <c r="D103" s="118" t="s">
        <v>814</v>
      </c>
      <c r="E103" s="9" t="s">
        <v>32</v>
      </c>
      <c r="F103" s="6"/>
      <c r="G103" s="6"/>
      <c r="H103" s="11">
        <f>+STAT2!V103</f>
        <v>0</v>
      </c>
      <c r="I103" s="11">
        <f>+STAT2!W103</f>
        <v>0</v>
      </c>
      <c r="J103" s="11">
        <f>+SUMIFS(JURNAL!G:G,JURNAL!E:E,C103,JURNAL!C:C,"&gt;="&amp;$H$1,JURNAL!C:C,"&lt;="&amp;$I$1)</f>
        <v>0</v>
      </c>
      <c r="K103" s="11">
        <f>+SUMIFS(JURNAL!H:H,JURNAL!E:E,C103,JURNAL!C:C,"&gt;="&amp;$H$1,JURNAL!C:C,"&lt;="&amp;$I$1)</f>
        <v>0</v>
      </c>
      <c r="L103" s="26">
        <f t="shared" si="11"/>
        <v>0</v>
      </c>
      <c r="M103" s="27">
        <f t="shared" si="9"/>
        <v>0</v>
      </c>
      <c r="N103" s="11"/>
      <c r="O103" s="183"/>
      <c r="P103" s="27"/>
      <c r="Q103" s="11"/>
      <c r="R103" s="26">
        <f t="shared" si="12"/>
        <v>0</v>
      </c>
      <c r="S103" s="27">
        <f t="shared" si="13"/>
        <v>0</v>
      </c>
      <c r="T103" s="11"/>
      <c r="U103" s="11"/>
      <c r="V103" s="417">
        <f t="shared" si="14"/>
        <v>0</v>
      </c>
      <c r="W103" s="380">
        <f t="shared" si="10"/>
        <v>0</v>
      </c>
      <c r="X103" s="4">
        <v>1125</v>
      </c>
      <c r="Y103" s="4"/>
      <c r="Z103" s="4"/>
      <c r="AA103" s="12">
        <f t="shared" si="15"/>
        <v>0</v>
      </c>
      <c r="AC103" s="80"/>
      <c r="AD103" s="80"/>
      <c r="AE103" s="80"/>
      <c r="AF103" s="80"/>
    </row>
    <row r="104" spans="1:32" ht="12.75" customHeight="1">
      <c r="A104" s="24"/>
      <c r="B104" s="105">
        <f t="shared" si="16"/>
        <v>101</v>
      </c>
      <c r="C104" s="6">
        <v>230200</v>
      </c>
      <c r="D104" s="118" t="s">
        <v>818</v>
      </c>
      <c r="E104" s="9" t="s">
        <v>32</v>
      </c>
      <c r="F104" s="6"/>
      <c r="G104" s="6"/>
      <c r="H104" s="11">
        <f>+STAT2!V104</f>
        <v>0</v>
      </c>
      <c r="I104" s="11">
        <f>+STAT2!W104</f>
        <v>0</v>
      </c>
      <c r="J104" s="11">
        <f>+SUMIFS(JURNAL!G:G,JURNAL!E:E,C104,JURNAL!C:C,"&gt;="&amp;$H$1,JURNAL!C:C,"&lt;="&amp;$I$1)</f>
        <v>0</v>
      </c>
      <c r="K104" s="11">
        <f>+SUMIFS(JURNAL!H:H,JURNAL!E:E,C104,JURNAL!C:C,"&gt;="&amp;$H$1,JURNAL!C:C,"&lt;="&amp;$I$1)</f>
        <v>0</v>
      </c>
      <c r="L104" s="26">
        <f t="shared" si="11"/>
        <v>0</v>
      </c>
      <c r="M104" s="27">
        <f t="shared" si="9"/>
        <v>0</v>
      </c>
      <c r="N104" s="11"/>
      <c r="O104" s="183"/>
      <c r="P104" s="27"/>
      <c r="Q104" s="11"/>
      <c r="R104" s="26">
        <f t="shared" si="12"/>
        <v>0</v>
      </c>
      <c r="S104" s="27">
        <f t="shared" si="13"/>
        <v>0</v>
      </c>
      <c r="T104" s="11"/>
      <c r="U104" s="11"/>
      <c r="V104" s="417">
        <f t="shared" si="14"/>
        <v>0</v>
      </c>
      <c r="W104" s="380">
        <f t="shared" si="10"/>
        <v>0</v>
      </c>
      <c r="X104" s="4">
        <v>1126</v>
      </c>
      <c r="Y104" s="4"/>
      <c r="Z104" s="4"/>
      <c r="AA104" s="12">
        <f t="shared" si="15"/>
        <v>0</v>
      </c>
      <c r="AC104" s="80"/>
      <c r="AD104" s="80"/>
      <c r="AE104" s="80"/>
      <c r="AF104" s="80"/>
    </row>
    <row r="105" spans="1:32" ht="12.75" customHeight="1">
      <c r="A105" s="24"/>
      <c r="B105" s="105">
        <f t="shared" si="16"/>
        <v>102</v>
      </c>
      <c r="C105" s="6">
        <v>310100</v>
      </c>
      <c r="D105" s="118" t="s">
        <v>511</v>
      </c>
      <c r="E105" s="9" t="s">
        <v>32</v>
      </c>
      <c r="F105" s="6"/>
      <c r="G105" s="6"/>
      <c r="H105" s="11">
        <f>+STAT2!V105</f>
        <v>3.9999186992645264E-4</v>
      </c>
      <c r="I105" s="11">
        <f>+STAT2!W105</f>
        <v>0</v>
      </c>
      <c r="J105" s="11">
        <f>+SUMIFS(JURNAL!G:G,JURNAL!E:E,C105,JURNAL!C:C,"&gt;="&amp;$H$1,JURNAL!C:C,"&lt;="&amp;$I$1)</f>
        <v>0</v>
      </c>
      <c r="K105" s="11">
        <f>+SUMIFS(JURNAL!H:H,JURNAL!E:E,C105,JURNAL!C:C,"&gt;="&amp;$H$1,JURNAL!C:C,"&lt;="&amp;$I$1)</f>
        <v>0</v>
      </c>
      <c r="L105" s="26">
        <f t="shared" si="11"/>
        <v>3.9999186992645264E-4</v>
      </c>
      <c r="M105" s="27">
        <f t="shared" si="9"/>
        <v>0</v>
      </c>
      <c r="N105" s="11"/>
      <c r="O105" s="183"/>
      <c r="P105" s="27"/>
      <c r="Q105" s="11"/>
      <c r="R105" s="26">
        <f t="shared" si="12"/>
        <v>3.9999186992645264E-4</v>
      </c>
      <c r="S105" s="27">
        <f t="shared" si="13"/>
        <v>0</v>
      </c>
      <c r="T105" s="11"/>
      <c r="U105" s="11"/>
      <c r="V105" s="417">
        <f t="shared" si="14"/>
        <v>3.9999186992645264E-4</v>
      </c>
      <c r="W105" s="380">
        <f t="shared" si="10"/>
        <v>0</v>
      </c>
      <c r="X105" s="4">
        <v>1201</v>
      </c>
      <c r="Y105" s="4"/>
      <c r="Z105" s="4"/>
      <c r="AA105" s="12">
        <f t="shared" si="15"/>
        <v>1</v>
      </c>
      <c r="AC105" s="80"/>
      <c r="AD105" s="80"/>
      <c r="AE105" s="80"/>
      <c r="AF105" s="80"/>
    </row>
    <row r="106" spans="1:32" ht="12.75" customHeight="1">
      <c r="A106" s="24"/>
      <c r="B106" s="105">
        <f t="shared" si="16"/>
        <v>103</v>
      </c>
      <c r="C106" s="6">
        <v>310101</v>
      </c>
      <c r="D106" s="118" t="s">
        <v>966</v>
      </c>
      <c r="E106" s="9" t="s">
        <v>30</v>
      </c>
      <c r="F106" s="6"/>
      <c r="G106" s="6"/>
      <c r="H106" s="11">
        <f>+STAT2!V106</f>
        <v>0</v>
      </c>
      <c r="I106" s="11">
        <f>+STAT2!W106</f>
        <v>0</v>
      </c>
      <c r="J106" s="11">
        <f>+SUMIFS(JURNAL!G:G,JURNAL!E:E,C106,JURNAL!C:C,"&gt;="&amp;$H$1,JURNAL!C:C,"&lt;="&amp;$I$1)</f>
        <v>0</v>
      </c>
      <c r="K106" s="11">
        <f>+SUMIFS(JURNAL!H:H,JURNAL!E:E,C106,JURNAL!C:C,"&gt;="&amp;$H$1,JURNAL!C:C,"&lt;="&amp;$I$1)</f>
        <v>0</v>
      </c>
      <c r="L106" s="26">
        <f t="shared" si="11"/>
        <v>0</v>
      </c>
      <c r="M106" s="27">
        <f t="shared" si="9"/>
        <v>0</v>
      </c>
      <c r="N106" s="11"/>
      <c r="O106" s="183"/>
      <c r="P106" s="27"/>
      <c r="Q106" s="11"/>
      <c r="R106" s="26">
        <f t="shared" si="12"/>
        <v>0</v>
      </c>
      <c r="S106" s="27">
        <f t="shared" si="13"/>
        <v>0</v>
      </c>
      <c r="T106" s="11"/>
      <c r="U106" s="11"/>
      <c r="V106" s="417">
        <f t="shared" si="14"/>
        <v>0</v>
      </c>
      <c r="W106" s="380">
        <f t="shared" si="10"/>
        <v>0</v>
      </c>
      <c r="X106" s="4">
        <v>1201</v>
      </c>
      <c r="Y106" s="4"/>
      <c r="Z106" s="4"/>
      <c r="AA106" s="12">
        <f t="shared" si="15"/>
        <v>0</v>
      </c>
      <c r="AC106" s="80"/>
      <c r="AD106" s="80"/>
      <c r="AE106" s="80"/>
      <c r="AF106" s="80"/>
    </row>
    <row r="107" spans="1:32" ht="12.75" customHeight="1">
      <c r="A107" s="24"/>
      <c r="B107" s="105">
        <f t="shared" si="16"/>
        <v>104</v>
      </c>
      <c r="C107" s="6">
        <v>311700</v>
      </c>
      <c r="D107" s="118" t="s">
        <v>967</v>
      </c>
      <c r="E107" s="9" t="s">
        <v>32</v>
      </c>
      <c r="F107" s="6"/>
      <c r="G107" s="6"/>
      <c r="H107" s="11">
        <f>+STAT2!V107</f>
        <v>0</v>
      </c>
      <c r="I107" s="11">
        <f>+STAT2!W107</f>
        <v>0</v>
      </c>
      <c r="J107" s="11">
        <f>+SUMIFS(JURNAL!G:G,JURNAL!E:E,C107,JURNAL!C:C,"&gt;="&amp;$H$1,JURNAL!C:C,"&lt;="&amp;$I$1)</f>
        <v>0</v>
      </c>
      <c r="K107" s="11">
        <f>+SUMIFS(JURNAL!H:H,JURNAL!E:E,C107,JURNAL!C:C,"&gt;="&amp;$H$1,JURNAL!C:C,"&lt;="&amp;$I$1)</f>
        <v>0</v>
      </c>
      <c r="L107" s="26">
        <f t="shared" si="11"/>
        <v>0</v>
      </c>
      <c r="M107" s="27">
        <f t="shared" si="9"/>
        <v>0</v>
      </c>
      <c r="N107" s="11"/>
      <c r="O107" s="183"/>
      <c r="P107" s="27"/>
      <c r="Q107" s="11"/>
      <c r="R107" s="26">
        <f t="shared" si="12"/>
        <v>0</v>
      </c>
      <c r="S107" s="27">
        <f t="shared" si="13"/>
        <v>0</v>
      </c>
      <c r="T107" s="11"/>
      <c r="U107" s="11"/>
      <c r="V107" s="417">
        <f t="shared" si="14"/>
        <v>0</v>
      </c>
      <c r="W107" s="380">
        <f t="shared" si="10"/>
        <v>0</v>
      </c>
      <c r="X107" s="4">
        <v>1201</v>
      </c>
      <c r="Y107" s="4"/>
      <c r="Z107" s="4"/>
      <c r="AA107" s="12">
        <f t="shared" si="15"/>
        <v>0</v>
      </c>
      <c r="AC107" s="80"/>
      <c r="AD107" s="80"/>
      <c r="AE107" s="80"/>
      <c r="AF107" s="80"/>
    </row>
    <row r="108" spans="1:32" ht="12.75" customHeight="1">
      <c r="A108" s="24"/>
      <c r="B108" s="105">
        <f t="shared" si="16"/>
        <v>105</v>
      </c>
      <c r="C108" s="6">
        <v>310300</v>
      </c>
      <c r="D108" s="118" t="s">
        <v>532</v>
      </c>
      <c r="E108" s="9" t="s">
        <v>32</v>
      </c>
      <c r="F108" s="6"/>
      <c r="G108" s="6"/>
      <c r="H108" s="11">
        <f>+STAT2!V108</f>
        <v>0</v>
      </c>
      <c r="I108" s="11">
        <f>+STAT2!W108</f>
        <v>0</v>
      </c>
      <c r="J108" s="11">
        <f>+SUMIFS(JURNAL!G:G,JURNAL!E:E,C108,JURNAL!C:C,"&gt;="&amp;$H$1,JURNAL!C:C,"&lt;="&amp;$I$1)</f>
        <v>0</v>
      </c>
      <c r="K108" s="11">
        <f>+SUMIFS(JURNAL!H:H,JURNAL!E:E,C108,JURNAL!C:C,"&gt;="&amp;$H$1,JURNAL!C:C,"&lt;="&amp;$I$1)</f>
        <v>0</v>
      </c>
      <c r="L108" s="26">
        <f t="shared" si="11"/>
        <v>0</v>
      </c>
      <c r="M108" s="27">
        <f t="shared" si="9"/>
        <v>0</v>
      </c>
      <c r="N108" s="11"/>
      <c r="O108" s="183"/>
      <c r="P108" s="27"/>
      <c r="Q108" s="11"/>
      <c r="R108" s="26">
        <f t="shared" si="12"/>
        <v>0</v>
      </c>
      <c r="S108" s="27">
        <f t="shared" si="13"/>
        <v>0</v>
      </c>
      <c r="T108" s="11"/>
      <c r="U108" s="11"/>
      <c r="V108" s="417">
        <f t="shared" si="14"/>
        <v>0</v>
      </c>
      <c r="W108" s="380">
        <f t="shared" si="10"/>
        <v>0</v>
      </c>
      <c r="X108" s="4">
        <v>1207</v>
      </c>
      <c r="Y108" s="4"/>
      <c r="Z108" s="4"/>
      <c r="AA108" s="12">
        <f t="shared" si="15"/>
        <v>0</v>
      </c>
      <c r="AC108" s="80"/>
      <c r="AD108" s="80"/>
      <c r="AE108" s="80"/>
      <c r="AF108" s="80"/>
    </row>
    <row r="109" spans="1:32" ht="12.75" customHeight="1">
      <c r="A109" s="24"/>
      <c r="B109" s="105">
        <f t="shared" si="16"/>
        <v>106</v>
      </c>
      <c r="C109" s="6">
        <v>310400</v>
      </c>
      <c r="D109" s="118" t="s">
        <v>539</v>
      </c>
      <c r="E109" s="9" t="s">
        <v>32</v>
      </c>
      <c r="F109" s="6"/>
      <c r="G109" s="6"/>
      <c r="H109" s="11">
        <f>+STAT2!V109</f>
        <v>0</v>
      </c>
      <c r="I109" s="11">
        <f>+STAT2!W109</f>
        <v>52922543.070000015</v>
      </c>
      <c r="J109" s="11">
        <f>+SUMIFS(JURNAL!G:G,JURNAL!E:E,C109,JURNAL!C:C,"&gt;="&amp;$H$1,JURNAL!C:C,"&lt;="&amp;$I$1)</f>
        <v>14803340.07</v>
      </c>
      <c r="K109" s="11">
        <f>+SUMIFS(JURNAL!H:H,JURNAL!E:E,C109,JURNAL!C:C,"&gt;="&amp;$H$1,JURNAL!C:C,"&lt;="&amp;$I$1)</f>
        <v>0</v>
      </c>
      <c r="L109" s="26">
        <f t="shared" si="11"/>
        <v>0</v>
      </c>
      <c r="M109" s="27">
        <f t="shared" si="9"/>
        <v>38119203.000000015</v>
      </c>
      <c r="N109" s="11"/>
      <c r="O109" s="183"/>
      <c r="P109" s="27"/>
      <c r="Q109" s="11"/>
      <c r="R109" s="26">
        <f t="shared" si="12"/>
        <v>0</v>
      </c>
      <c r="S109" s="27">
        <f t="shared" si="13"/>
        <v>38119203.000000015</v>
      </c>
      <c r="T109" s="11"/>
      <c r="U109" s="11"/>
      <c r="V109" s="417">
        <f t="shared" si="14"/>
        <v>0</v>
      </c>
      <c r="W109" s="380">
        <f t="shared" si="10"/>
        <v>38119203.000000015</v>
      </c>
      <c r="X109" s="4">
        <v>1205</v>
      </c>
      <c r="Y109" s="4"/>
      <c r="Z109" s="4"/>
      <c r="AA109" s="12">
        <f t="shared" si="15"/>
        <v>1</v>
      </c>
      <c r="AC109" s="80"/>
      <c r="AD109" s="80"/>
      <c r="AE109" s="80"/>
      <c r="AF109" s="80"/>
    </row>
    <row r="110" spans="1:32" ht="12.75" customHeight="1">
      <c r="A110" s="24"/>
      <c r="B110" s="105">
        <f t="shared" si="16"/>
        <v>107</v>
      </c>
      <c r="C110" s="6">
        <v>310401</v>
      </c>
      <c r="D110" s="118" t="s">
        <v>968</v>
      </c>
      <c r="E110" s="9" t="s">
        <v>30</v>
      </c>
      <c r="F110" s="6"/>
      <c r="G110" s="6"/>
      <c r="H110" s="11">
        <f>+STAT2!V110</f>
        <v>0</v>
      </c>
      <c r="I110" s="11">
        <f>+STAT2!W110</f>
        <v>0</v>
      </c>
      <c r="J110" s="11">
        <f>+SUMIFS(JURNAL!G:G,JURNAL!E:E,C110,JURNAL!C:C,"&gt;="&amp;$H$1,JURNAL!C:C,"&lt;="&amp;$I$1)</f>
        <v>0</v>
      </c>
      <c r="K110" s="11">
        <f>+SUMIFS(JURNAL!H:H,JURNAL!E:E,C110,JURNAL!C:C,"&gt;="&amp;$H$1,JURNAL!C:C,"&lt;="&amp;$I$1)</f>
        <v>0</v>
      </c>
      <c r="L110" s="26">
        <f t="shared" si="11"/>
        <v>0</v>
      </c>
      <c r="M110" s="27">
        <f t="shared" si="9"/>
        <v>0</v>
      </c>
      <c r="N110" s="11"/>
      <c r="O110" s="183"/>
      <c r="P110" s="27"/>
      <c r="Q110" s="11"/>
      <c r="R110" s="26">
        <f t="shared" si="12"/>
        <v>0</v>
      </c>
      <c r="S110" s="27">
        <f t="shared" si="13"/>
        <v>0</v>
      </c>
      <c r="T110" s="11"/>
      <c r="U110" s="11"/>
      <c r="V110" s="417">
        <f t="shared" si="14"/>
        <v>0</v>
      </c>
      <c r="W110" s="380">
        <f t="shared" si="10"/>
        <v>0</v>
      </c>
      <c r="X110" s="4">
        <v>1205</v>
      </c>
      <c r="Y110" s="4"/>
      <c r="Z110" s="4"/>
      <c r="AA110" s="12">
        <f t="shared" si="15"/>
        <v>0</v>
      </c>
      <c r="AC110" s="80"/>
      <c r="AD110" s="80"/>
      <c r="AE110" s="80"/>
      <c r="AF110" s="80"/>
    </row>
    <row r="111" spans="1:32" ht="12.75" customHeight="1">
      <c r="A111" s="24"/>
      <c r="B111" s="105">
        <f t="shared" si="16"/>
        <v>108</v>
      </c>
      <c r="C111" s="6">
        <v>310500</v>
      </c>
      <c r="D111" s="118" t="s">
        <v>546</v>
      </c>
      <c r="E111" s="9" t="s">
        <v>32</v>
      </c>
      <c r="F111" s="6"/>
      <c r="G111" s="6"/>
      <c r="H111" s="11">
        <f>+STAT2!V111</f>
        <v>0</v>
      </c>
      <c r="I111" s="11">
        <f>+STAT2!W111</f>
        <v>61616991.926196888</v>
      </c>
      <c r="J111" s="11">
        <f>+SUMIFS(JURNAL!G:G,JURNAL!E:E,C111,JURNAL!C:C,"&gt;="&amp;$H$1,JURNAL!C:C,"&lt;="&amp;$I$1)</f>
        <v>0</v>
      </c>
      <c r="K111" s="11">
        <f>+SUMIFS(JURNAL!H:H,JURNAL!E:E,C111,JURNAL!C:C,"&gt;="&amp;$H$1,JURNAL!C:C,"&lt;="&amp;$I$1)</f>
        <v>18367722.057817724</v>
      </c>
      <c r="L111" s="26">
        <f t="shared" si="11"/>
        <v>0</v>
      </c>
      <c r="M111" s="27">
        <f t="shared" si="9"/>
        <v>79984713.984014615</v>
      </c>
      <c r="N111" s="183">
        <v>1414555.12</v>
      </c>
      <c r="O111" s="183"/>
      <c r="P111" s="27"/>
      <c r="Q111" s="11"/>
      <c r="R111" s="26">
        <f t="shared" si="12"/>
        <v>0</v>
      </c>
      <c r="S111" s="27">
        <f t="shared" si="13"/>
        <v>78570158.864014611</v>
      </c>
      <c r="T111" s="11"/>
      <c r="U111" s="11"/>
      <c r="V111" s="417">
        <f t="shared" si="14"/>
        <v>0</v>
      </c>
      <c r="W111" s="380">
        <f>+IF((R111+T111)&lt;(S111+U111),(S111+U111)-(R111+T111),0)</f>
        <v>78570158.864014611</v>
      </c>
      <c r="X111" s="4">
        <v>1203</v>
      </c>
      <c r="Y111" s="4"/>
      <c r="Z111" s="4"/>
      <c r="AA111" s="12">
        <f t="shared" si="15"/>
        <v>1</v>
      </c>
      <c r="AC111" s="80"/>
      <c r="AD111" s="80"/>
      <c r="AE111" s="80"/>
      <c r="AF111" s="80"/>
    </row>
    <row r="112" spans="1:32" ht="12.75" customHeight="1">
      <c r="A112" s="25"/>
      <c r="B112" s="105">
        <f t="shared" si="16"/>
        <v>109</v>
      </c>
      <c r="C112" s="6">
        <v>310600</v>
      </c>
      <c r="D112" s="118" t="s">
        <v>551</v>
      </c>
      <c r="E112" s="9" t="s">
        <v>32</v>
      </c>
      <c r="F112" s="6"/>
      <c r="G112" s="6"/>
      <c r="H112" s="11">
        <f>+STAT2!V112</f>
        <v>0</v>
      </c>
      <c r="I112" s="11">
        <f>+STAT2!W112</f>
        <v>1.999999992548851E-3</v>
      </c>
      <c r="J112" s="11">
        <f>+SUMIFS(JURNAL!G:G,JURNAL!E:E,C112,JURNAL!C:C,"&gt;="&amp;$H$1,JURNAL!C:C,"&lt;="&amp;$I$1)</f>
        <v>0</v>
      </c>
      <c r="K112" s="11">
        <f>+SUMIFS(JURNAL!H:H,JURNAL!E:E,C112,JURNAL!C:C,"&gt;="&amp;$H$1,JURNAL!C:C,"&lt;="&amp;$I$1)</f>
        <v>0</v>
      </c>
      <c r="L112" s="26">
        <f t="shared" si="11"/>
        <v>0</v>
      </c>
      <c r="M112" s="27">
        <f t="shared" si="9"/>
        <v>1.999999992548851E-3</v>
      </c>
      <c r="N112" s="11"/>
      <c r="O112" s="183"/>
      <c r="P112" s="27"/>
      <c r="Q112" s="11"/>
      <c r="R112" s="26">
        <f t="shared" si="12"/>
        <v>0</v>
      </c>
      <c r="S112" s="27">
        <f t="shared" si="13"/>
        <v>1.999999992548851E-3</v>
      </c>
      <c r="T112" s="11"/>
      <c r="U112" s="11"/>
      <c r="V112" s="417">
        <f t="shared" si="14"/>
        <v>0</v>
      </c>
      <c r="W112" s="380">
        <f t="shared" si="10"/>
        <v>1.999999992548851E-3</v>
      </c>
      <c r="X112" s="4">
        <v>1203</v>
      </c>
      <c r="Y112" s="4"/>
      <c r="Z112" s="4"/>
      <c r="AA112" s="12">
        <f t="shared" si="15"/>
        <v>1</v>
      </c>
      <c r="AC112" s="80"/>
      <c r="AD112" s="80"/>
      <c r="AE112" s="80"/>
      <c r="AF112" s="80"/>
    </row>
    <row r="113" spans="1:32" ht="12.75" customHeight="1">
      <c r="A113" s="24"/>
      <c r="B113" s="105">
        <f t="shared" si="16"/>
        <v>110</v>
      </c>
      <c r="C113" s="6">
        <v>310700</v>
      </c>
      <c r="D113" s="118" t="s">
        <v>556</v>
      </c>
      <c r="E113" s="9" t="s">
        <v>32</v>
      </c>
      <c r="F113" s="6"/>
      <c r="G113" s="6"/>
      <c r="H113" s="11">
        <f>+STAT2!V113</f>
        <v>0</v>
      </c>
      <c r="I113" s="11">
        <f>+STAT2!W113</f>
        <v>1688510.0587680135</v>
      </c>
      <c r="J113" s="11">
        <f>+SUMIFS(JURNAL!G:G,JURNAL!E:E,C113,JURNAL!C:C,"&gt;="&amp;$H$1,JURNAL!C:C,"&lt;="&amp;$I$1)</f>
        <v>0</v>
      </c>
      <c r="K113" s="11">
        <f>+SUMIFS(JURNAL!H:H,JURNAL!E:E,C113,JURNAL!C:C,"&gt;="&amp;$H$1,JURNAL!C:C,"&lt;="&amp;$I$1)</f>
        <v>2465868.0105952378</v>
      </c>
      <c r="L113" s="26">
        <f t="shared" si="11"/>
        <v>0</v>
      </c>
      <c r="M113" s="27">
        <f t="shared" si="9"/>
        <v>4154378.0693632513</v>
      </c>
      <c r="N113" s="11"/>
      <c r="O113" s="183"/>
      <c r="P113" s="27"/>
      <c r="Q113" s="11"/>
      <c r="R113" s="26">
        <f t="shared" si="12"/>
        <v>0</v>
      </c>
      <c r="S113" s="27">
        <f t="shared" si="13"/>
        <v>4154378.0693632513</v>
      </c>
      <c r="T113" s="11"/>
      <c r="U113" s="11"/>
      <c r="V113" s="417">
        <f t="shared" si="14"/>
        <v>0</v>
      </c>
      <c r="W113" s="380">
        <f t="shared" si="10"/>
        <v>4154378.0693632513</v>
      </c>
      <c r="X113" s="4">
        <v>1203</v>
      </c>
      <c r="Y113" s="4"/>
      <c r="Z113" s="4"/>
      <c r="AA113" s="12">
        <f t="shared" si="15"/>
        <v>1</v>
      </c>
      <c r="AC113" s="80"/>
      <c r="AD113" s="80"/>
      <c r="AE113" s="80"/>
      <c r="AF113" s="80"/>
    </row>
    <row r="114" spans="1:32" ht="12.75" customHeight="1">
      <c r="A114" s="24"/>
      <c r="B114" s="105">
        <f t="shared" si="16"/>
        <v>111</v>
      </c>
      <c r="C114" s="6">
        <v>310800</v>
      </c>
      <c r="D114" s="118" t="s">
        <v>561</v>
      </c>
      <c r="E114" s="9" t="s">
        <v>32</v>
      </c>
      <c r="F114" s="6"/>
      <c r="G114" s="6"/>
      <c r="H114" s="11">
        <f>+STAT2!V114</f>
        <v>0</v>
      </c>
      <c r="I114" s="11">
        <f>+STAT2!W114</f>
        <v>4929930.9433259256</v>
      </c>
      <c r="J114" s="11">
        <f>+SUMIFS(JURNAL!G:G,JURNAL!E:E,C114,JURNAL!C:C,"&gt;="&amp;$H$1,JURNAL!C:C,"&lt;="&amp;$I$1)</f>
        <v>428.88</v>
      </c>
      <c r="K114" s="11">
        <f>+SUMIFS(JURNAL!H:H,JURNAL!E:E,C114,JURNAL!C:C,"&gt;="&amp;$H$1,JURNAL!C:C,"&lt;="&amp;$I$1)</f>
        <v>6945371.139047619</v>
      </c>
      <c r="L114" s="26">
        <f t="shared" si="11"/>
        <v>0</v>
      </c>
      <c r="M114" s="27">
        <f t="shared" si="9"/>
        <v>11874873.202373544</v>
      </c>
      <c r="N114" s="183">
        <v>6790000</v>
      </c>
      <c r="O114" s="183"/>
      <c r="P114" s="27"/>
      <c r="Q114" s="11"/>
      <c r="R114" s="26">
        <f t="shared" si="12"/>
        <v>0</v>
      </c>
      <c r="S114" s="27">
        <f t="shared" si="13"/>
        <v>5084873.2023735438</v>
      </c>
      <c r="T114" s="11"/>
      <c r="U114" s="11"/>
      <c r="V114" s="417">
        <f t="shared" si="14"/>
        <v>0</v>
      </c>
      <c r="W114" s="380">
        <f t="shared" si="10"/>
        <v>5084873.2023735438</v>
      </c>
      <c r="X114" s="4">
        <v>1204</v>
      </c>
      <c r="Y114" s="4"/>
      <c r="Z114" s="4"/>
      <c r="AA114" s="12">
        <f t="shared" si="15"/>
        <v>1</v>
      </c>
      <c r="AC114" s="80"/>
      <c r="AD114" s="80"/>
      <c r="AE114" s="80"/>
      <c r="AF114" s="80"/>
    </row>
    <row r="115" spans="1:32" ht="12.75" customHeight="1">
      <c r="A115" s="24"/>
      <c r="B115" s="105">
        <f t="shared" si="16"/>
        <v>112</v>
      </c>
      <c r="C115" s="6">
        <v>310900</v>
      </c>
      <c r="D115" s="118" t="s">
        <v>566</v>
      </c>
      <c r="E115" s="9" t="s">
        <v>32</v>
      </c>
      <c r="F115" s="6"/>
      <c r="G115" s="6"/>
      <c r="H115" s="11">
        <f>+STAT2!V115</f>
        <v>0</v>
      </c>
      <c r="I115" s="11">
        <f>+STAT2!W115</f>
        <v>0</v>
      </c>
      <c r="J115" s="11">
        <f>+SUMIFS(JURNAL!G:G,JURNAL!E:E,C115,JURNAL!C:C,"&gt;="&amp;$H$1,JURNAL!C:C,"&lt;="&amp;$I$1)</f>
        <v>0</v>
      </c>
      <c r="K115" s="11">
        <f>+SUMIFS(JURNAL!H:H,JURNAL!E:E,C115,JURNAL!C:C,"&gt;="&amp;$H$1,JURNAL!C:C,"&lt;="&amp;$I$1)</f>
        <v>0</v>
      </c>
      <c r="L115" s="26">
        <f t="shared" si="11"/>
        <v>0</v>
      </c>
      <c r="M115" s="27">
        <f t="shared" si="9"/>
        <v>0</v>
      </c>
      <c r="N115" s="11"/>
      <c r="O115" s="183"/>
      <c r="P115" s="27"/>
      <c r="Q115" s="11"/>
      <c r="R115" s="26">
        <f t="shared" si="12"/>
        <v>0</v>
      </c>
      <c r="S115" s="27">
        <f t="shared" si="13"/>
        <v>0</v>
      </c>
      <c r="T115" s="11"/>
      <c r="U115" s="11"/>
      <c r="V115" s="417">
        <f t="shared" si="14"/>
        <v>0</v>
      </c>
      <c r="W115" s="380">
        <f t="shared" si="10"/>
        <v>0</v>
      </c>
      <c r="X115" s="4">
        <v>1203</v>
      </c>
      <c r="Y115" s="4"/>
      <c r="Z115" s="4"/>
      <c r="AA115" s="12">
        <f t="shared" si="15"/>
        <v>0</v>
      </c>
      <c r="AC115" s="80"/>
      <c r="AD115" s="80"/>
      <c r="AE115" s="80"/>
      <c r="AF115" s="80"/>
    </row>
    <row r="116" spans="1:32" ht="12.75" customHeight="1">
      <c r="A116" s="24"/>
      <c r="B116" s="105">
        <f t="shared" si="16"/>
        <v>113</v>
      </c>
      <c r="C116" s="6">
        <v>311000</v>
      </c>
      <c r="D116" s="118" t="s">
        <v>571</v>
      </c>
      <c r="E116" s="9" t="s">
        <v>32</v>
      </c>
      <c r="F116" s="6"/>
      <c r="G116" s="6"/>
      <c r="H116" s="11">
        <f>+STAT2!V116</f>
        <v>0</v>
      </c>
      <c r="I116" s="11">
        <f>+STAT2!W116</f>
        <v>0</v>
      </c>
      <c r="J116" s="11">
        <f>+SUMIFS(JURNAL!G:G,JURNAL!E:E,C116,JURNAL!C:C,"&gt;="&amp;$H$1,JURNAL!C:C,"&lt;="&amp;$I$1)</f>
        <v>26118962.530000001</v>
      </c>
      <c r="K116" s="11">
        <f>+SUMIFS(JURNAL!H:H,JURNAL!E:E,C116,JURNAL!C:C,"&gt;="&amp;$H$1,JURNAL!C:C,"&lt;="&amp;$I$1)</f>
        <v>26118962.53535714</v>
      </c>
      <c r="L116" s="26">
        <f t="shared" si="11"/>
        <v>0</v>
      </c>
      <c r="M116" s="27">
        <f t="shared" si="9"/>
        <v>5.3571388125419617E-3</v>
      </c>
      <c r="N116" s="11"/>
      <c r="O116" s="183"/>
      <c r="P116" s="27"/>
      <c r="Q116" s="11"/>
      <c r="R116" s="26">
        <f t="shared" si="12"/>
        <v>0</v>
      </c>
      <c r="S116" s="27">
        <f t="shared" si="13"/>
        <v>5.3571388125419617E-3</v>
      </c>
      <c r="T116" s="11"/>
      <c r="U116" s="11"/>
      <c r="V116" s="417">
        <f t="shared" si="14"/>
        <v>0</v>
      </c>
      <c r="W116" s="380">
        <f t="shared" si="10"/>
        <v>5.3571388125419617E-3</v>
      </c>
      <c r="X116" s="4">
        <v>1202</v>
      </c>
      <c r="Y116" s="4"/>
      <c r="Z116" s="4"/>
      <c r="AA116" s="12">
        <f t="shared" si="15"/>
        <v>1</v>
      </c>
      <c r="AC116" s="80"/>
      <c r="AD116" s="80"/>
      <c r="AE116" s="80"/>
      <c r="AF116" s="80"/>
    </row>
    <row r="117" spans="1:32" ht="12.75" customHeight="1">
      <c r="A117" s="24"/>
      <c r="B117" s="105">
        <f t="shared" si="16"/>
        <v>114</v>
      </c>
      <c r="C117" s="6">
        <v>311100</v>
      </c>
      <c r="D117" s="118" t="s">
        <v>576</v>
      </c>
      <c r="E117" s="9" t="s">
        <v>32</v>
      </c>
      <c r="F117" s="6"/>
      <c r="G117" s="6"/>
      <c r="H117" s="11">
        <f>+STAT2!V117</f>
        <v>0</v>
      </c>
      <c r="I117" s="11">
        <f>+STAT2!W117</f>
        <v>89566753</v>
      </c>
      <c r="J117" s="11">
        <f>+SUMIFS(JURNAL!G:G,JURNAL!E:E,C117,JURNAL!C:C,"&gt;="&amp;$H$1,JURNAL!C:C,"&lt;="&amp;$I$1)</f>
        <v>9052070</v>
      </c>
      <c r="K117" s="11">
        <f>+SUMIFS(JURNAL!H:H,JURNAL!E:E,C117,JURNAL!C:C,"&gt;="&amp;$H$1,JURNAL!C:C,"&lt;="&amp;$I$1)</f>
        <v>0</v>
      </c>
      <c r="L117" s="26">
        <f t="shared" si="11"/>
        <v>0</v>
      </c>
      <c r="M117" s="27">
        <f t="shared" si="9"/>
        <v>80514683</v>
      </c>
      <c r="N117" s="11"/>
      <c r="O117" s="183"/>
      <c r="P117" s="27"/>
      <c r="Q117" s="11"/>
      <c r="R117" s="26">
        <f t="shared" si="12"/>
        <v>0</v>
      </c>
      <c r="S117" s="27">
        <f t="shared" si="13"/>
        <v>80514683</v>
      </c>
      <c r="T117" s="11"/>
      <c r="U117" s="11"/>
      <c r="V117" s="417">
        <f t="shared" si="14"/>
        <v>0</v>
      </c>
      <c r="W117" s="380">
        <f t="shared" si="10"/>
        <v>80514683</v>
      </c>
      <c r="X117" s="4">
        <v>1210</v>
      </c>
      <c r="Y117" s="4"/>
      <c r="Z117" s="4"/>
      <c r="AA117" s="12">
        <f t="shared" si="15"/>
        <v>1</v>
      </c>
      <c r="AC117" s="80"/>
      <c r="AD117" s="80"/>
      <c r="AE117" s="80"/>
      <c r="AF117" s="80"/>
    </row>
    <row r="118" spans="1:32" ht="12.75" customHeight="1">
      <c r="A118" s="24"/>
      <c r="B118" s="105">
        <f t="shared" si="16"/>
        <v>115</v>
      </c>
      <c r="C118" s="6">
        <v>311200</v>
      </c>
      <c r="D118" s="118" t="s">
        <v>581</v>
      </c>
      <c r="E118" s="9" t="s">
        <v>32</v>
      </c>
      <c r="F118" s="6"/>
      <c r="G118" s="6"/>
      <c r="H118" s="11">
        <f>+STAT2!V118</f>
        <v>0</v>
      </c>
      <c r="I118" s="11">
        <f>+STAT2!W118</f>
        <v>0</v>
      </c>
      <c r="J118" s="11">
        <f>+SUMIFS(JURNAL!G:G,JURNAL!E:E,C118,JURNAL!C:C,"&gt;="&amp;$H$1,JURNAL!C:C,"&lt;="&amp;$I$1)</f>
        <v>0</v>
      </c>
      <c r="K118" s="11">
        <f>+SUMIFS(JURNAL!H:H,JURNAL!E:E,C118,JURNAL!C:C,"&gt;="&amp;$H$1,JURNAL!C:C,"&lt;="&amp;$I$1)</f>
        <v>0</v>
      </c>
      <c r="L118" s="26">
        <f t="shared" si="11"/>
        <v>0</v>
      </c>
      <c r="M118" s="27">
        <f t="shared" si="9"/>
        <v>0</v>
      </c>
      <c r="N118" s="11"/>
      <c r="O118" s="183"/>
      <c r="P118" s="27"/>
      <c r="Q118" s="11"/>
      <c r="R118" s="26">
        <f t="shared" si="12"/>
        <v>0</v>
      </c>
      <c r="S118" s="27">
        <f t="shared" si="13"/>
        <v>0</v>
      </c>
      <c r="T118" s="11"/>
      <c r="U118" s="11"/>
      <c r="V118" s="417">
        <f t="shared" si="14"/>
        <v>0</v>
      </c>
      <c r="W118" s="380">
        <f t="shared" si="10"/>
        <v>0</v>
      </c>
      <c r="X118" s="4">
        <v>1201</v>
      </c>
      <c r="Y118" s="4"/>
      <c r="Z118" s="4"/>
      <c r="AA118" s="12">
        <f t="shared" si="15"/>
        <v>0</v>
      </c>
      <c r="AC118" s="80"/>
      <c r="AD118" s="80"/>
      <c r="AE118" s="80"/>
      <c r="AF118" s="80"/>
    </row>
    <row r="119" spans="1:32" ht="12.75" customHeight="1">
      <c r="A119" s="24"/>
      <c r="B119" s="105">
        <f t="shared" si="16"/>
        <v>116</v>
      </c>
      <c r="C119" s="6">
        <v>311300</v>
      </c>
      <c r="D119" s="118" t="s">
        <v>586</v>
      </c>
      <c r="E119" s="9" t="s">
        <v>32</v>
      </c>
      <c r="F119" s="6"/>
      <c r="G119" s="6"/>
      <c r="H119" s="11">
        <f>+STAT2!V119</f>
        <v>0</v>
      </c>
      <c r="I119" s="11">
        <f>+STAT2!W119</f>
        <v>0</v>
      </c>
      <c r="J119" s="11">
        <f>+SUMIFS(JURNAL!G:G,JURNAL!E:E,C119,JURNAL!C:C,"&gt;="&amp;$H$1,JURNAL!C:C,"&lt;="&amp;$I$1)</f>
        <v>0</v>
      </c>
      <c r="K119" s="11">
        <f>+SUMIFS(JURNAL!H:H,JURNAL!E:E,C119,JURNAL!C:C,"&gt;="&amp;$H$1,JURNAL!C:C,"&lt;="&amp;$I$1)</f>
        <v>0</v>
      </c>
      <c r="L119" s="26">
        <f t="shared" si="11"/>
        <v>0</v>
      </c>
      <c r="M119" s="27">
        <f t="shared" si="9"/>
        <v>0</v>
      </c>
      <c r="N119" s="11"/>
      <c r="O119" s="183"/>
      <c r="P119" s="27"/>
      <c r="Q119" s="11"/>
      <c r="R119" s="26">
        <f t="shared" si="12"/>
        <v>0</v>
      </c>
      <c r="S119" s="27">
        <f t="shared" si="13"/>
        <v>0</v>
      </c>
      <c r="T119" s="11"/>
      <c r="U119" s="11"/>
      <c r="V119" s="417">
        <f t="shared" si="14"/>
        <v>0</v>
      </c>
      <c r="W119" s="380">
        <f t="shared" si="10"/>
        <v>0</v>
      </c>
      <c r="X119" s="4">
        <v>1201</v>
      </c>
      <c r="Y119" s="4"/>
      <c r="Z119" s="4"/>
      <c r="AA119" s="12">
        <f t="shared" si="15"/>
        <v>0</v>
      </c>
      <c r="AC119" s="80"/>
      <c r="AD119" s="80"/>
      <c r="AE119" s="80"/>
      <c r="AF119" s="80"/>
    </row>
    <row r="120" spans="1:32" ht="12.75" customHeight="1">
      <c r="A120" s="24"/>
      <c r="B120" s="105">
        <f t="shared" si="16"/>
        <v>117</v>
      </c>
      <c r="C120" s="6">
        <v>311301</v>
      </c>
      <c r="D120" s="118" t="s">
        <v>969</v>
      </c>
      <c r="E120" s="9" t="s">
        <v>30</v>
      </c>
      <c r="F120" s="6"/>
      <c r="G120" s="6"/>
      <c r="H120" s="11">
        <f>+STAT2!V120</f>
        <v>0</v>
      </c>
      <c r="I120" s="11">
        <f>+STAT2!W120</f>
        <v>0</v>
      </c>
      <c r="J120" s="11">
        <f>+SUMIFS(JURNAL!G:G,JURNAL!E:E,C120,JURNAL!C:C,"&gt;="&amp;$H$1,JURNAL!C:C,"&lt;="&amp;$I$1)</f>
        <v>0</v>
      </c>
      <c r="K120" s="11">
        <f>+SUMIFS(JURNAL!H:H,JURNAL!E:E,C120,JURNAL!C:C,"&gt;="&amp;$H$1,JURNAL!C:C,"&lt;="&amp;$I$1)</f>
        <v>0</v>
      </c>
      <c r="L120" s="26">
        <f t="shared" si="11"/>
        <v>0</v>
      </c>
      <c r="M120" s="27">
        <f t="shared" si="9"/>
        <v>0</v>
      </c>
      <c r="N120" s="11"/>
      <c r="O120" s="183"/>
      <c r="P120" s="27"/>
      <c r="Q120" s="11"/>
      <c r="R120" s="26">
        <f t="shared" si="12"/>
        <v>0</v>
      </c>
      <c r="S120" s="27">
        <f t="shared" si="13"/>
        <v>0</v>
      </c>
      <c r="T120" s="11"/>
      <c r="U120" s="11"/>
      <c r="V120" s="417">
        <f t="shared" si="14"/>
        <v>0</v>
      </c>
      <c r="W120" s="380">
        <f t="shared" si="10"/>
        <v>0</v>
      </c>
      <c r="X120" s="4">
        <v>1201</v>
      </c>
      <c r="Y120" s="4"/>
      <c r="Z120" s="4"/>
      <c r="AA120" s="12">
        <f t="shared" si="15"/>
        <v>0</v>
      </c>
      <c r="AC120" s="80"/>
      <c r="AD120" s="80"/>
      <c r="AE120" s="80"/>
      <c r="AF120" s="80"/>
    </row>
    <row r="121" spans="1:32" ht="12.75" customHeight="1">
      <c r="A121" s="24"/>
      <c r="B121" s="105">
        <f t="shared" si="16"/>
        <v>118</v>
      </c>
      <c r="C121" s="6">
        <v>311400</v>
      </c>
      <c r="D121" s="118" t="s">
        <v>1000</v>
      </c>
      <c r="E121" s="9" t="s">
        <v>32</v>
      </c>
      <c r="F121" s="6"/>
      <c r="G121" s="6"/>
      <c r="H121" s="11">
        <f>+STAT2!V121</f>
        <v>0</v>
      </c>
      <c r="I121" s="11">
        <f>+STAT2!W121</f>
        <v>0</v>
      </c>
      <c r="J121" s="11">
        <f>+SUMIFS(JURNAL!G:G,JURNAL!E:E,C121,JURNAL!C:C,"&gt;="&amp;$H$1,JURNAL!C:C,"&lt;="&amp;$I$1)</f>
        <v>0</v>
      </c>
      <c r="K121" s="11">
        <f>+SUMIFS(JURNAL!H:H,JURNAL!E:E,C121,JURNAL!C:C,"&gt;="&amp;$H$1,JURNAL!C:C,"&lt;="&amp;$I$1)</f>
        <v>0</v>
      </c>
      <c r="L121" s="26">
        <f t="shared" si="11"/>
        <v>0</v>
      </c>
      <c r="M121" s="27">
        <f t="shared" si="9"/>
        <v>0</v>
      </c>
      <c r="N121" s="11"/>
      <c r="O121" s="183"/>
      <c r="P121" s="27"/>
      <c r="Q121" s="11"/>
      <c r="R121" s="26">
        <f t="shared" si="12"/>
        <v>0</v>
      </c>
      <c r="S121" s="27">
        <f t="shared" si="13"/>
        <v>0</v>
      </c>
      <c r="T121" s="11"/>
      <c r="U121" s="11"/>
      <c r="V121" s="417">
        <f t="shared" si="14"/>
        <v>0</v>
      </c>
      <c r="W121" s="380">
        <f t="shared" si="10"/>
        <v>0</v>
      </c>
      <c r="X121" s="4">
        <v>1210</v>
      </c>
      <c r="Y121" s="4"/>
      <c r="Z121" s="4"/>
      <c r="AA121" s="12">
        <f t="shared" si="15"/>
        <v>0</v>
      </c>
      <c r="AC121" s="80"/>
      <c r="AD121" s="80"/>
      <c r="AE121" s="80"/>
      <c r="AF121" s="80"/>
    </row>
    <row r="122" spans="1:32" ht="12.75" customHeight="1">
      <c r="A122" s="24"/>
      <c r="B122" s="105">
        <f t="shared" si="16"/>
        <v>119</v>
      </c>
      <c r="C122" s="6">
        <v>311401</v>
      </c>
      <c r="D122" s="118" t="s">
        <v>1001</v>
      </c>
      <c r="E122" s="9" t="s">
        <v>30</v>
      </c>
      <c r="F122" s="6"/>
      <c r="G122" s="6"/>
      <c r="H122" s="11">
        <f>+STAT2!V122</f>
        <v>0</v>
      </c>
      <c r="I122" s="11">
        <f>+STAT2!W122</f>
        <v>0</v>
      </c>
      <c r="J122" s="11">
        <f>+SUMIFS(JURNAL!G:G,JURNAL!E:E,C122,JURNAL!C:C,"&gt;="&amp;$H$1,JURNAL!C:C,"&lt;="&amp;$I$1)</f>
        <v>0</v>
      </c>
      <c r="K122" s="11">
        <f>+SUMIFS(JURNAL!H:H,JURNAL!E:E,C122,JURNAL!C:C,"&gt;="&amp;$H$1,JURNAL!C:C,"&lt;="&amp;$I$1)</f>
        <v>0</v>
      </c>
      <c r="L122" s="26">
        <f t="shared" si="11"/>
        <v>0</v>
      </c>
      <c r="M122" s="27">
        <f t="shared" si="9"/>
        <v>0</v>
      </c>
      <c r="N122" s="11"/>
      <c r="O122" s="183"/>
      <c r="P122" s="27"/>
      <c r="Q122" s="11"/>
      <c r="R122" s="26">
        <f t="shared" si="12"/>
        <v>0</v>
      </c>
      <c r="S122" s="27">
        <f t="shared" si="13"/>
        <v>0</v>
      </c>
      <c r="T122" s="11"/>
      <c r="U122" s="11"/>
      <c r="V122" s="417">
        <f t="shared" si="14"/>
        <v>0</v>
      </c>
      <c r="W122" s="380">
        <f t="shared" si="10"/>
        <v>0</v>
      </c>
      <c r="X122" s="4">
        <v>1210</v>
      </c>
      <c r="Y122" s="4"/>
      <c r="Z122" s="4"/>
      <c r="AA122" s="12">
        <f t="shared" si="15"/>
        <v>0</v>
      </c>
      <c r="AC122" s="80"/>
      <c r="AD122" s="80"/>
      <c r="AE122" s="80"/>
      <c r="AF122" s="80"/>
    </row>
    <row r="123" spans="1:32" ht="12.75" customHeight="1">
      <c r="A123" s="24"/>
      <c r="B123" s="105">
        <f t="shared" si="16"/>
        <v>120</v>
      </c>
      <c r="C123" s="6">
        <v>311600</v>
      </c>
      <c r="D123" s="118" t="s">
        <v>594</v>
      </c>
      <c r="E123" s="9" t="s">
        <v>32</v>
      </c>
      <c r="F123" s="6"/>
      <c r="G123" s="6"/>
      <c r="H123" s="11">
        <f>+STAT2!V123</f>
        <v>0</v>
      </c>
      <c r="I123" s="11">
        <f>+STAT2!W123</f>
        <v>0</v>
      </c>
      <c r="J123" s="11">
        <f>+SUMIFS(JURNAL!G:G,JURNAL!E:E,C123,JURNAL!C:C,"&gt;="&amp;$H$1,JURNAL!C:C,"&lt;="&amp;$I$1)</f>
        <v>0</v>
      </c>
      <c r="K123" s="11">
        <f>+SUMIFS(JURNAL!H:H,JURNAL!E:E,C123,JURNAL!C:C,"&gt;="&amp;$H$1,JURNAL!C:C,"&lt;="&amp;$I$1)</f>
        <v>0</v>
      </c>
      <c r="L123" s="26">
        <f t="shared" si="11"/>
        <v>0</v>
      </c>
      <c r="M123" s="27">
        <f t="shared" si="9"/>
        <v>0</v>
      </c>
      <c r="N123" s="11"/>
      <c r="O123" s="183"/>
      <c r="P123" s="27"/>
      <c r="Q123" s="11"/>
      <c r="R123" s="26">
        <f t="shared" si="12"/>
        <v>0</v>
      </c>
      <c r="S123" s="27">
        <f t="shared" si="13"/>
        <v>0</v>
      </c>
      <c r="T123" s="11"/>
      <c r="U123" s="11"/>
      <c r="V123" s="417">
        <f t="shared" si="14"/>
        <v>0</v>
      </c>
      <c r="W123" s="380">
        <f t="shared" si="10"/>
        <v>0</v>
      </c>
      <c r="X123" s="4">
        <v>1208</v>
      </c>
      <c r="Y123" s="4"/>
      <c r="Z123" s="4"/>
      <c r="AA123" s="12">
        <f t="shared" si="15"/>
        <v>0</v>
      </c>
      <c r="AC123" s="80"/>
      <c r="AD123" s="80"/>
      <c r="AE123" s="80"/>
      <c r="AF123" s="80"/>
    </row>
    <row r="124" spans="1:32" ht="12.75" customHeight="1">
      <c r="A124" s="24"/>
      <c r="B124" s="105">
        <f t="shared" si="16"/>
        <v>121</v>
      </c>
      <c r="C124" s="6">
        <v>312000</v>
      </c>
      <c r="D124" s="118" t="s">
        <v>599</v>
      </c>
      <c r="E124" s="9" t="s">
        <v>32</v>
      </c>
      <c r="F124" s="6"/>
      <c r="G124" s="6"/>
      <c r="H124" s="11">
        <f>+STAT2!V124</f>
        <v>0</v>
      </c>
      <c r="I124" s="11">
        <f>+STAT2!W124</f>
        <v>0</v>
      </c>
      <c r="J124" s="11">
        <f>+SUMIFS(JURNAL!G:G,JURNAL!E:E,C124,JURNAL!C:C,"&gt;="&amp;$H$1,JURNAL!C:C,"&lt;="&amp;$I$1)</f>
        <v>0</v>
      </c>
      <c r="K124" s="11">
        <f>+SUMIFS(JURNAL!H:H,JURNAL!E:E,C124,JURNAL!C:C,"&gt;="&amp;$H$1,JURNAL!C:C,"&lt;="&amp;$I$1)</f>
        <v>0</v>
      </c>
      <c r="L124" s="26">
        <f t="shared" si="11"/>
        <v>0</v>
      </c>
      <c r="M124" s="27">
        <f t="shared" si="9"/>
        <v>0</v>
      </c>
      <c r="N124" s="11"/>
      <c r="O124" s="183"/>
      <c r="P124" s="27"/>
      <c r="Q124" s="11"/>
      <c r="R124" s="26">
        <f t="shared" si="12"/>
        <v>0</v>
      </c>
      <c r="S124" s="27">
        <f t="shared" si="13"/>
        <v>0</v>
      </c>
      <c r="T124" s="11"/>
      <c r="U124" s="11"/>
      <c r="V124" s="417">
        <f t="shared" si="14"/>
        <v>0</v>
      </c>
      <c r="W124" s="380">
        <f t="shared" si="10"/>
        <v>0</v>
      </c>
      <c r="X124" s="4">
        <v>1210</v>
      </c>
      <c r="Y124" s="4"/>
      <c r="Z124" s="4"/>
      <c r="AA124" s="12">
        <f t="shared" si="15"/>
        <v>0</v>
      </c>
      <c r="AC124" s="80"/>
      <c r="AD124" s="80"/>
      <c r="AE124" s="80"/>
      <c r="AF124" s="80"/>
    </row>
    <row r="125" spans="1:32" ht="12.75" customHeight="1">
      <c r="A125" s="24"/>
      <c r="B125" s="105">
        <f t="shared" si="16"/>
        <v>122</v>
      </c>
      <c r="C125" s="6">
        <v>320100</v>
      </c>
      <c r="D125" s="118" t="s">
        <v>604</v>
      </c>
      <c r="E125" s="9" t="s">
        <v>32</v>
      </c>
      <c r="F125" s="6"/>
      <c r="G125" s="6"/>
      <c r="H125" s="11">
        <f>+STAT2!V125</f>
        <v>0</v>
      </c>
      <c r="I125" s="11">
        <f>+STAT2!W125</f>
        <v>124777144.06343126</v>
      </c>
      <c r="J125" s="11">
        <f>+SUMIFS(JURNAL!G:G,JURNAL!E:E,C125,JURNAL!C:C,"&gt;="&amp;$H$1,JURNAL!C:C,"&lt;="&amp;$I$1)</f>
        <v>206471733.73875418</v>
      </c>
      <c r="K125" s="11">
        <f>+SUMIFS(JURNAL!H:H,JURNAL!E:E,C125,JURNAL!C:C,"&gt;="&amp;$H$1,JURNAL!C:C,"&lt;="&amp;$I$1)</f>
        <v>212882523.76999998</v>
      </c>
      <c r="L125" s="26">
        <f t="shared" si="11"/>
        <v>0</v>
      </c>
      <c r="M125" s="27">
        <f t="shared" si="9"/>
        <v>131187934.09467706</v>
      </c>
      <c r="N125" s="11"/>
      <c r="O125" s="183"/>
      <c r="P125" s="27"/>
      <c r="Q125" s="11"/>
      <c r="R125" s="26">
        <f t="shared" si="12"/>
        <v>0</v>
      </c>
      <c r="S125" s="27">
        <f t="shared" si="13"/>
        <v>131187934.09467706</v>
      </c>
      <c r="T125" s="11"/>
      <c r="U125" s="11"/>
      <c r="V125" s="417">
        <f t="shared" si="14"/>
        <v>0</v>
      </c>
      <c r="W125" s="380">
        <f t="shared" si="10"/>
        <v>131187934.09467706</v>
      </c>
      <c r="X125" s="4">
        <v>1211</v>
      </c>
      <c r="Y125" s="4"/>
      <c r="Z125" s="4"/>
      <c r="AA125" s="12">
        <f t="shared" si="15"/>
        <v>1</v>
      </c>
      <c r="AC125" s="80"/>
      <c r="AD125" s="80"/>
      <c r="AE125" s="80"/>
      <c r="AF125" s="80"/>
    </row>
    <row r="126" spans="1:32" ht="12.75" customHeight="1">
      <c r="A126" s="24"/>
      <c r="B126" s="105">
        <f t="shared" si="16"/>
        <v>123</v>
      </c>
      <c r="C126" s="6">
        <v>320101</v>
      </c>
      <c r="D126" s="118" t="s">
        <v>970</v>
      </c>
      <c r="E126" s="9" t="s">
        <v>30</v>
      </c>
      <c r="F126" s="6"/>
      <c r="G126" s="6"/>
      <c r="H126" s="11">
        <f>+STAT2!V126</f>
        <v>0</v>
      </c>
      <c r="I126" s="11">
        <f>+STAT2!W126</f>
        <v>0</v>
      </c>
      <c r="J126" s="11">
        <f>+SUMIFS(JURNAL!G:G,JURNAL!E:E,C126,JURNAL!C:C,"&gt;="&amp;$H$1,JURNAL!C:C,"&lt;="&amp;$I$1)</f>
        <v>0</v>
      </c>
      <c r="K126" s="11">
        <f>+SUMIFS(JURNAL!H:H,JURNAL!E:E,C126,JURNAL!C:C,"&gt;="&amp;$H$1,JURNAL!C:C,"&lt;="&amp;$I$1)</f>
        <v>0</v>
      </c>
      <c r="L126" s="26">
        <f t="shared" si="11"/>
        <v>0</v>
      </c>
      <c r="M126" s="27">
        <f t="shared" si="9"/>
        <v>0</v>
      </c>
      <c r="N126" s="11"/>
      <c r="O126" s="183"/>
      <c r="P126" s="27"/>
      <c r="Q126" s="11"/>
      <c r="R126" s="26">
        <f t="shared" si="12"/>
        <v>0</v>
      </c>
      <c r="S126" s="27">
        <f t="shared" si="13"/>
        <v>0</v>
      </c>
      <c r="T126" s="11"/>
      <c r="U126" s="11"/>
      <c r="V126" s="417">
        <f t="shared" si="14"/>
        <v>0</v>
      </c>
      <c r="W126" s="380">
        <f t="shared" si="10"/>
        <v>0</v>
      </c>
      <c r="X126" s="4">
        <v>1211</v>
      </c>
      <c r="Y126" s="4"/>
      <c r="Z126" s="4"/>
      <c r="AA126" s="12">
        <f t="shared" si="15"/>
        <v>0</v>
      </c>
      <c r="AC126" s="80"/>
      <c r="AD126" s="80"/>
      <c r="AE126" s="80"/>
      <c r="AF126" s="80"/>
    </row>
    <row r="127" spans="1:32" ht="12.75" customHeight="1">
      <c r="A127" s="24"/>
      <c r="B127" s="105">
        <f t="shared" si="16"/>
        <v>124</v>
      </c>
      <c r="C127" s="6">
        <v>340100</v>
      </c>
      <c r="D127" s="118" t="s">
        <v>1694</v>
      </c>
      <c r="E127" s="9" t="s">
        <v>32</v>
      </c>
      <c r="F127" s="6"/>
      <c r="G127" s="6"/>
      <c r="H127" s="11">
        <f>+STAT2!V127</f>
        <v>0</v>
      </c>
      <c r="I127" s="11">
        <f>+STAT2!W127</f>
        <v>0</v>
      </c>
      <c r="J127" s="11">
        <f>+SUMIFS(JURNAL!G:G,JURNAL!E:E,C127,JURNAL!C:C,"&gt;="&amp;$H$1,JURNAL!C:C,"&lt;="&amp;$I$1)</f>
        <v>0</v>
      </c>
      <c r="K127" s="11">
        <f>+SUMIFS(JURNAL!H:H,JURNAL!E:E,C127,JURNAL!C:C,"&gt;="&amp;$H$1,JURNAL!C:C,"&lt;="&amp;$I$1)</f>
        <v>0</v>
      </c>
      <c r="L127" s="26">
        <f t="shared" si="11"/>
        <v>0</v>
      </c>
      <c r="M127" s="27">
        <f t="shared" si="9"/>
        <v>0</v>
      </c>
      <c r="N127" s="11"/>
      <c r="O127" s="183"/>
      <c r="P127" s="27"/>
      <c r="Q127" s="11"/>
      <c r="R127" s="26">
        <f t="shared" si="12"/>
        <v>0</v>
      </c>
      <c r="S127" s="27">
        <f t="shared" si="13"/>
        <v>0</v>
      </c>
      <c r="T127" s="11"/>
      <c r="U127" s="11"/>
      <c r="V127" s="417">
        <f t="shared" si="14"/>
        <v>0</v>
      </c>
      <c r="W127" s="380">
        <f t="shared" si="10"/>
        <v>0</v>
      </c>
      <c r="X127" s="4">
        <v>1210</v>
      </c>
      <c r="Y127" s="4"/>
      <c r="Z127" s="4"/>
      <c r="AA127" s="12">
        <f t="shared" si="15"/>
        <v>0</v>
      </c>
      <c r="AC127" s="80"/>
      <c r="AD127" s="80"/>
      <c r="AE127" s="80"/>
      <c r="AF127" s="80"/>
    </row>
    <row r="128" spans="1:32" ht="12.75" customHeight="1">
      <c r="A128" s="24"/>
      <c r="B128" s="105">
        <f t="shared" si="16"/>
        <v>125</v>
      </c>
      <c r="C128" s="6">
        <v>350100</v>
      </c>
      <c r="D128" s="118" t="s">
        <v>1695</v>
      </c>
      <c r="E128" s="9" t="s">
        <v>30</v>
      </c>
      <c r="F128" s="6"/>
      <c r="G128" s="6"/>
      <c r="H128" s="11">
        <f>+STAT2!V128</f>
        <v>0</v>
      </c>
      <c r="I128" s="11">
        <f>+STAT2!W128</f>
        <v>0</v>
      </c>
      <c r="J128" s="11">
        <f>+SUMIFS(JURNAL!G:G,JURNAL!E:E,C128,JURNAL!C:C,"&gt;="&amp;$H$1,JURNAL!C:C,"&lt;="&amp;$I$1)</f>
        <v>0</v>
      </c>
      <c r="K128" s="11">
        <f>+SUMIFS(JURNAL!H:H,JURNAL!E:E,C128,JURNAL!C:C,"&gt;="&amp;$H$1,JURNAL!C:C,"&lt;="&amp;$I$1)</f>
        <v>0</v>
      </c>
      <c r="L128" s="26">
        <f t="shared" si="11"/>
        <v>0</v>
      </c>
      <c r="M128" s="27">
        <f t="shared" si="9"/>
        <v>0</v>
      </c>
      <c r="N128" s="11"/>
      <c r="O128" s="183"/>
      <c r="P128" s="27"/>
      <c r="Q128" s="11"/>
      <c r="R128" s="26">
        <f t="shared" si="12"/>
        <v>0</v>
      </c>
      <c r="S128" s="27">
        <f t="shared" si="13"/>
        <v>0</v>
      </c>
      <c r="T128" s="11"/>
      <c r="U128" s="11"/>
      <c r="V128" s="417">
        <f t="shared" si="14"/>
        <v>0</v>
      </c>
      <c r="W128" s="380">
        <f t="shared" si="10"/>
        <v>0</v>
      </c>
      <c r="X128" s="4">
        <v>1210</v>
      </c>
      <c r="Y128" s="4"/>
      <c r="Z128" s="4"/>
      <c r="AA128" s="12">
        <f t="shared" si="15"/>
        <v>0</v>
      </c>
      <c r="AC128" s="80"/>
      <c r="AD128" s="80"/>
      <c r="AE128" s="80"/>
      <c r="AF128" s="80"/>
    </row>
    <row r="129" spans="1:34" ht="12.75" customHeight="1">
      <c r="A129" s="24"/>
      <c r="B129" s="105">
        <f t="shared" si="16"/>
        <v>126</v>
      </c>
      <c r="C129" s="6">
        <v>320200</v>
      </c>
      <c r="D129" s="118" t="s">
        <v>609</v>
      </c>
      <c r="E129" s="9" t="s">
        <v>32</v>
      </c>
      <c r="F129" s="6"/>
      <c r="G129" s="6"/>
      <c r="H129" s="11">
        <f>+STAT2!V129</f>
        <v>0</v>
      </c>
      <c r="I129" s="11">
        <f>+STAT2!W129</f>
        <v>0</v>
      </c>
      <c r="J129" s="11">
        <f>+SUMIFS(JURNAL!G:G,JURNAL!E:E,C129,JURNAL!C:C,"&gt;="&amp;$H$1,JURNAL!C:C,"&lt;="&amp;$I$1)</f>
        <v>0</v>
      </c>
      <c r="K129" s="11">
        <f>+SUMIFS(JURNAL!H:H,JURNAL!E:E,C129,JURNAL!C:C,"&gt;="&amp;$H$1,JURNAL!C:C,"&lt;="&amp;$I$1)</f>
        <v>0</v>
      </c>
      <c r="L129" s="26">
        <f t="shared" si="11"/>
        <v>0</v>
      </c>
      <c r="M129" s="27">
        <f t="shared" si="9"/>
        <v>0</v>
      </c>
      <c r="N129" s="11"/>
      <c r="O129" s="183"/>
      <c r="P129" s="27"/>
      <c r="Q129" s="11"/>
      <c r="R129" s="26">
        <f t="shared" si="12"/>
        <v>0</v>
      </c>
      <c r="S129" s="27">
        <f t="shared" si="13"/>
        <v>0</v>
      </c>
      <c r="T129" s="11"/>
      <c r="U129" s="11"/>
      <c r="V129" s="417">
        <f t="shared" si="14"/>
        <v>0</v>
      </c>
      <c r="W129" s="380">
        <f t="shared" si="10"/>
        <v>0</v>
      </c>
      <c r="X129" s="4">
        <v>1210</v>
      </c>
      <c r="Y129" s="4"/>
      <c r="Z129" s="4"/>
      <c r="AA129" s="12">
        <f t="shared" si="15"/>
        <v>0</v>
      </c>
      <c r="AC129" s="80"/>
      <c r="AD129" s="80"/>
      <c r="AE129" s="80"/>
      <c r="AF129" s="80"/>
    </row>
    <row r="130" spans="1:34" ht="12.75" customHeight="1">
      <c r="A130" s="24"/>
      <c r="B130" s="105">
        <f t="shared" si="16"/>
        <v>127</v>
      </c>
      <c r="C130" s="6">
        <v>330200</v>
      </c>
      <c r="D130" s="118" t="s">
        <v>614</v>
      </c>
      <c r="E130" s="9" t="s">
        <v>32</v>
      </c>
      <c r="F130" s="6"/>
      <c r="G130" s="6"/>
      <c r="H130" s="11">
        <f>+STAT2!V130</f>
        <v>0</v>
      </c>
      <c r="I130" s="11">
        <f>+STAT2!W130</f>
        <v>0</v>
      </c>
      <c r="J130" s="11">
        <f>+SUMIFS(JURNAL!G:G,JURNAL!E:E,C130,JURNAL!C:C,"&gt;="&amp;$H$1,JURNAL!C:C,"&lt;="&amp;$I$1)</f>
        <v>0</v>
      </c>
      <c r="K130" s="11">
        <f>+SUMIFS(JURNAL!H:H,JURNAL!E:E,C130,JURNAL!C:C,"&gt;="&amp;$H$1,JURNAL!C:C,"&lt;="&amp;$I$1)</f>
        <v>0</v>
      </c>
      <c r="L130" s="26">
        <f t="shared" si="11"/>
        <v>0</v>
      </c>
      <c r="M130" s="27">
        <f t="shared" si="9"/>
        <v>0</v>
      </c>
      <c r="N130" s="11"/>
      <c r="O130" s="183"/>
      <c r="P130" s="27"/>
      <c r="Q130" s="11"/>
      <c r="R130" s="26">
        <f t="shared" si="12"/>
        <v>0</v>
      </c>
      <c r="S130" s="27">
        <f t="shared" si="13"/>
        <v>0</v>
      </c>
      <c r="T130" s="11"/>
      <c r="U130" s="11"/>
      <c r="V130" s="417">
        <f t="shared" si="14"/>
        <v>0</v>
      </c>
      <c r="W130" s="380">
        <f t="shared" si="10"/>
        <v>0</v>
      </c>
      <c r="X130" s="4">
        <v>1221</v>
      </c>
      <c r="Y130" s="4"/>
      <c r="Z130" s="4"/>
      <c r="AA130" s="12">
        <f t="shared" si="15"/>
        <v>0</v>
      </c>
      <c r="AC130" s="80"/>
      <c r="AD130" s="80"/>
      <c r="AE130" s="80"/>
      <c r="AF130" s="80"/>
    </row>
    <row r="131" spans="1:34" ht="12.75" customHeight="1">
      <c r="A131" s="24"/>
      <c r="B131" s="105">
        <f t="shared" si="16"/>
        <v>128</v>
      </c>
      <c r="C131" s="6">
        <v>330201</v>
      </c>
      <c r="D131" s="118" t="s">
        <v>971</v>
      </c>
      <c r="E131" s="9" t="s">
        <v>30</v>
      </c>
      <c r="F131" s="6"/>
      <c r="G131" s="6"/>
      <c r="H131" s="11">
        <f>+STAT2!V131</f>
        <v>0</v>
      </c>
      <c r="I131" s="11">
        <f>+STAT2!W131</f>
        <v>0</v>
      </c>
      <c r="J131" s="11">
        <f>+SUMIFS(JURNAL!G:G,JURNAL!E:E,C131,JURNAL!C:C,"&gt;="&amp;$H$1,JURNAL!C:C,"&lt;="&amp;$I$1)</f>
        <v>0</v>
      </c>
      <c r="K131" s="11">
        <f>+SUMIFS(JURNAL!H:H,JURNAL!E:E,C131,JURNAL!C:C,"&gt;="&amp;$H$1,JURNAL!C:C,"&lt;="&amp;$I$1)</f>
        <v>0</v>
      </c>
      <c r="L131" s="26">
        <f t="shared" si="11"/>
        <v>0</v>
      </c>
      <c r="M131" s="27">
        <f t="shared" si="9"/>
        <v>0</v>
      </c>
      <c r="N131" s="11"/>
      <c r="O131" s="183"/>
      <c r="P131" s="27"/>
      <c r="Q131" s="11"/>
      <c r="R131" s="26">
        <f t="shared" si="12"/>
        <v>0</v>
      </c>
      <c r="S131" s="27">
        <f t="shared" si="13"/>
        <v>0</v>
      </c>
      <c r="T131" s="11"/>
      <c r="U131" s="11"/>
      <c r="V131" s="417">
        <f t="shared" si="14"/>
        <v>0</v>
      </c>
      <c r="W131" s="380">
        <f t="shared" si="10"/>
        <v>0</v>
      </c>
      <c r="X131" s="4">
        <v>1221</v>
      </c>
      <c r="Y131" s="4"/>
      <c r="Z131" s="4"/>
      <c r="AA131" s="12">
        <f t="shared" si="15"/>
        <v>0</v>
      </c>
      <c r="AC131" s="80"/>
      <c r="AD131" s="80"/>
      <c r="AE131" s="80"/>
      <c r="AF131" s="80"/>
    </row>
    <row r="132" spans="1:34" ht="12.75" customHeight="1">
      <c r="A132" s="24"/>
      <c r="B132" s="105">
        <f t="shared" si="16"/>
        <v>129</v>
      </c>
      <c r="C132" s="6">
        <v>330800</v>
      </c>
      <c r="D132" s="118" t="s">
        <v>619</v>
      </c>
      <c r="E132" s="9" t="s">
        <v>32</v>
      </c>
      <c r="F132" s="6"/>
      <c r="G132" s="6"/>
      <c r="H132" s="11">
        <f>+STAT2!V132</f>
        <v>0</v>
      </c>
      <c r="I132" s="11">
        <f>+STAT2!W132</f>
        <v>0</v>
      </c>
      <c r="J132" s="11">
        <f>+SUMIFS(JURNAL!G:G,JURNAL!E:E,C132,JURNAL!C:C,"&gt;="&amp;$H$1,JURNAL!C:C,"&lt;="&amp;$I$1)</f>
        <v>0</v>
      </c>
      <c r="K132" s="11">
        <f>+SUMIFS(JURNAL!H:H,JURNAL!E:E,C132,JURNAL!C:C,"&gt;="&amp;$H$1,JURNAL!C:C,"&lt;="&amp;$I$1)</f>
        <v>0</v>
      </c>
      <c r="L132" s="26">
        <f t="shared" si="11"/>
        <v>0</v>
      </c>
      <c r="M132" s="27">
        <f t="shared" ref="M132:M138" si="17">+IF((H132+J132)&lt;(I132+K132),(I132+K132)-(H132+J132),0)</f>
        <v>0</v>
      </c>
      <c r="N132" s="11"/>
      <c r="O132" s="183"/>
      <c r="P132" s="27"/>
      <c r="Q132" s="11"/>
      <c r="R132" s="26">
        <f t="shared" si="12"/>
        <v>0</v>
      </c>
      <c r="S132" s="27">
        <f t="shared" si="13"/>
        <v>0</v>
      </c>
      <c r="T132" s="11"/>
      <c r="U132" s="11"/>
      <c r="V132" s="417">
        <f t="shared" si="14"/>
        <v>0</v>
      </c>
      <c r="W132" s="380">
        <f t="shared" ref="W132:W138" si="18">+IF((R132+T132)&lt;(S132+U132),(S132+U132)-(R132+T132),0)</f>
        <v>0</v>
      </c>
      <c r="X132" s="4">
        <v>1223</v>
      </c>
      <c r="Y132" s="4"/>
      <c r="Z132" s="4"/>
      <c r="AA132" s="12">
        <f t="shared" si="15"/>
        <v>0</v>
      </c>
      <c r="AC132" s="80"/>
      <c r="AD132" s="80"/>
      <c r="AE132" s="80"/>
      <c r="AF132" s="80"/>
    </row>
    <row r="133" spans="1:34" ht="12.75" customHeight="1">
      <c r="A133" s="24"/>
      <c r="B133" s="105">
        <f t="shared" si="16"/>
        <v>130</v>
      </c>
      <c r="C133" s="6">
        <v>410200</v>
      </c>
      <c r="D133" s="118" t="s">
        <v>972</v>
      </c>
      <c r="E133" s="9" t="s">
        <v>32</v>
      </c>
      <c r="F133" s="6"/>
      <c r="G133" s="6"/>
      <c r="H133" s="11">
        <f>+STAT2!V133</f>
        <v>0</v>
      </c>
      <c r="I133" s="11">
        <f>+STAT2!W133</f>
        <v>30701981.399999999</v>
      </c>
      <c r="J133" s="11">
        <f>+SUMIFS(JURNAL!G:G,JURNAL!E:E,C133,JURNAL!C:C,"&gt;="&amp;$H$1,JURNAL!C:C,"&lt;="&amp;$I$1)</f>
        <v>0</v>
      </c>
      <c r="K133" s="11">
        <f>+SUMIFS(JURNAL!H:H,JURNAL!E:E,C133,JURNAL!C:C,"&gt;="&amp;$H$1,JURNAL!C:C,"&lt;="&amp;$I$1)</f>
        <v>0</v>
      </c>
      <c r="L133" s="26">
        <f t="shared" ref="L133:L138" si="19">+IF((H133+J133)&gt;(I133+K133),(H133+J133)-(I133+K133),0)</f>
        <v>0</v>
      </c>
      <c r="M133" s="27">
        <f t="shared" si="17"/>
        <v>30701981.399999999</v>
      </c>
      <c r="N133" s="11"/>
      <c r="O133" s="183"/>
      <c r="P133" s="27"/>
      <c r="Q133" s="11"/>
      <c r="R133" s="26">
        <f t="shared" ref="R133:R137" si="20">+IF((L133+N133)&gt;(M133+O133),(L133+N133)-(M133+O133),0)</f>
        <v>0</v>
      </c>
      <c r="S133" s="27">
        <f t="shared" ref="S133:S138" si="21">+IF((L133+N133)&lt;(M133+O133),(M133+O133)-(L133+N133),0)</f>
        <v>30701981.399999999</v>
      </c>
      <c r="T133" s="11"/>
      <c r="U133" s="11"/>
      <c r="V133" s="417">
        <f t="shared" ref="V133:V138" si="22">+IF((R133+T133)&gt;(S133+U133),(R133+T133)-(S133+U133),0)</f>
        <v>0</v>
      </c>
      <c r="W133" s="380">
        <f t="shared" si="18"/>
        <v>30701981.399999999</v>
      </c>
      <c r="X133" s="4">
        <v>1302</v>
      </c>
      <c r="Y133" s="4"/>
      <c r="Z133" s="4"/>
      <c r="AA133" s="12">
        <f t="shared" ref="AA133:AA138" si="23">+IF(H133+I133+J133+K133+L133+M133+N133+O133+R133+S133+T133+U133+V133+W133,1,0)</f>
        <v>1</v>
      </c>
      <c r="AC133" s="80"/>
      <c r="AD133" s="80"/>
      <c r="AE133" s="80"/>
      <c r="AF133" s="80"/>
    </row>
    <row r="134" spans="1:34" ht="12.75" customHeight="1">
      <c r="A134" s="24"/>
      <c r="B134" s="105">
        <f t="shared" ref="B134:B197" si="24">+B133+1</f>
        <v>131</v>
      </c>
      <c r="C134" s="6">
        <v>420100</v>
      </c>
      <c r="D134" s="118" t="s">
        <v>626</v>
      </c>
      <c r="E134" s="9" t="s">
        <v>32</v>
      </c>
      <c r="F134" s="6"/>
      <c r="G134" s="6"/>
      <c r="H134" s="11">
        <f>+STAT2!V134</f>
        <v>0</v>
      </c>
      <c r="I134" s="11">
        <f>+STAT2!W134</f>
        <v>680931312.63</v>
      </c>
      <c r="J134" s="11">
        <f>+SUMIFS(JURNAL!G:G,JURNAL!E:E,C134,JURNAL!C:C,"&gt;="&amp;$H$1,JURNAL!C:C,"&lt;="&amp;$I$1)</f>
        <v>0</v>
      </c>
      <c r="K134" s="11">
        <f>+SUMIFS(JURNAL!H:H,JURNAL!E:E,C134,JURNAL!C:C,"&gt;="&amp;$H$1,JURNAL!C:C,"&lt;="&amp;$I$1)</f>
        <v>0</v>
      </c>
      <c r="L134" s="26">
        <f t="shared" si="19"/>
        <v>0</v>
      </c>
      <c r="M134" s="27">
        <f t="shared" si="17"/>
        <v>680931312.63</v>
      </c>
      <c r="N134" s="11"/>
      <c r="O134" s="183"/>
      <c r="P134" s="27"/>
      <c r="Q134" s="11"/>
      <c r="R134" s="26">
        <f t="shared" si="20"/>
        <v>0</v>
      </c>
      <c r="S134" s="27">
        <f t="shared" si="21"/>
        <v>680931312.63</v>
      </c>
      <c r="T134" s="11"/>
      <c r="U134" s="11"/>
      <c r="V134" s="417">
        <f t="shared" si="22"/>
        <v>0</v>
      </c>
      <c r="W134" s="380">
        <f t="shared" si="18"/>
        <v>680931312.63</v>
      </c>
      <c r="X134" s="4">
        <v>1310</v>
      </c>
      <c r="Y134" s="4"/>
      <c r="Z134" s="4"/>
      <c r="AA134" s="12">
        <f t="shared" si="23"/>
        <v>1</v>
      </c>
      <c r="AC134" s="80"/>
      <c r="AD134" s="80"/>
      <c r="AE134" s="80"/>
      <c r="AF134" s="80"/>
    </row>
    <row r="135" spans="1:34" ht="12.75" customHeight="1">
      <c r="A135" s="24"/>
      <c r="B135" s="105">
        <f t="shared" si="24"/>
        <v>132</v>
      </c>
      <c r="C135" s="6">
        <v>420200</v>
      </c>
      <c r="D135" s="118" t="s">
        <v>180</v>
      </c>
      <c r="E135" s="9" t="s">
        <v>32</v>
      </c>
      <c r="F135" s="6"/>
      <c r="G135" s="6"/>
      <c r="H135" s="11">
        <f>+STAT2!V135</f>
        <v>0</v>
      </c>
      <c r="I135" s="11">
        <f>+STAT2!W135</f>
        <v>0</v>
      </c>
      <c r="J135" s="11">
        <f>+SUMIFS(JURNAL!G:G,JURNAL!E:E,C135,JURNAL!C:C,"&gt;="&amp;$H$1,JURNAL!C:C,"&lt;="&amp;$I$1)</f>
        <v>0</v>
      </c>
      <c r="K135" s="11">
        <f>+SUMIFS(JURNAL!H:H,JURNAL!E:E,C135,JURNAL!C:C,"&gt;="&amp;$H$1,JURNAL!C:C,"&lt;="&amp;$I$1)</f>
        <v>0</v>
      </c>
      <c r="L135" s="26">
        <f t="shared" si="19"/>
        <v>0</v>
      </c>
      <c r="M135" s="27">
        <f t="shared" si="17"/>
        <v>0</v>
      </c>
      <c r="N135" s="11"/>
      <c r="O135" s="183"/>
      <c r="P135" s="27"/>
      <c r="Q135" s="11"/>
      <c r="R135" s="26">
        <f t="shared" si="20"/>
        <v>0</v>
      </c>
      <c r="S135" s="27">
        <f t="shared" si="21"/>
        <v>0</v>
      </c>
      <c r="T135" s="11"/>
      <c r="U135" s="11"/>
      <c r="V135" s="417">
        <f t="shared" si="22"/>
        <v>0</v>
      </c>
      <c r="W135" s="380">
        <f t="shared" si="18"/>
        <v>0</v>
      </c>
      <c r="X135" s="4">
        <v>1311</v>
      </c>
      <c r="Y135" s="4"/>
      <c r="Z135" s="4"/>
      <c r="AA135" s="12">
        <f t="shared" si="23"/>
        <v>0</v>
      </c>
      <c r="AC135" s="80"/>
      <c r="AD135" s="80"/>
      <c r="AE135" s="80"/>
      <c r="AF135" s="80"/>
    </row>
    <row r="136" spans="1:34" ht="12.75" customHeight="1">
      <c r="A136" s="24"/>
      <c r="B136" s="105">
        <f t="shared" si="24"/>
        <v>133</v>
      </c>
      <c r="C136" s="6">
        <v>430300</v>
      </c>
      <c r="D136" s="118" t="s">
        <v>633</v>
      </c>
      <c r="E136" s="9" t="s">
        <v>32</v>
      </c>
      <c r="F136" s="6"/>
      <c r="G136" s="6"/>
      <c r="H136" s="11">
        <f>+STAT2!V136</f>
        <v>0</v>
      </c>
      <c r="I136" s="11">
        <f>+STAT2!W136</f>
        <v>106378624.62</v>
      </c>
      <c r="J136" s="11">
        <f>+SUMIFS(JURNAL!G:G,JURNAL!E:E,C136,JURNAL!C:C,"&gt;="&amp;$H$1,JURNAL!C:C,"&lt;="&amp;$I$1)</f>
        <v>0</v>
      </c>
      <c r="K136" s="11">
        <f>+SUMIFS(JURNAL!H:H,JURNAL!E:E,C136,JURNAL!C:C,"&gt;="&amp;$H$1,JURNAL!C:C,"&lt;="&amp;$I$1)</f>
        <v>0</v>
      </c>
      <c r="L136" s="26">
        <f t="shared" si="19"/>
        <v>0</v>
      </c>
      <c r="M136" s="27">
        <f t="shared" si="17"/>
        <v>106378624.62</v>
      </c>
      <c r="N136" s="11"/>
      <c r="O136" s="183"/>
      <c r="P136" s="27"/>
      <c r="Q136" s="11"/>
      <c r="R136" s="26">
        <f t="shared" si="20"/>
        <v>0</v>
      </c>
      <c r="S136" s="27">
        <f t="shared" si="21"/>
        <v>106378624.62</v>
      </c>
      <c r="T136" s="11"/>
      <c r="U136" s="11"/>
      <c r="V136" s="417">
        <f t="shared" si="22"/>
        <v>0</v>
      </c>
      <c r="W136" s="380">
        <f t="shared" si="18"/>
        <v>106378624.62</v>
      </c>
      <c r="X136" s="4">
        <v>1312</v>
      </c>
      <c r="Y136" s="4"/>
      <c r="Z136" s="4"/>
      <c r="AA136" s="12">
        <f t="shared" si="23"/>
        <v>1</v>
      </c>
      <c r="AC136" s="80"/>
      <c r="AD136" s="80"/>
      <c r="AE136" s="80"/>
      <c r="AF136" s="80"/>
    </row>
    <row r="137" spans="1:34" ht="12.75" customHeight="1">
      <c r="A137" s="24"/>
      <c r="B137" s="105">
        <f t="shared" si="24"/>
        <v>134</v>
      </c>
      <c r="C137" s="6">
        <v>440100</v>
      </c>
      <c r="D137" s="118" t="s">
        <v>639</v>
      </c>
      <c r="E137" s="9" t="s">
        <v>32</v>
      </c>
      <c r="F137" s="6"/>
      <c r="G137" s="6"/>
      <c r="H137" s="11">
        <f>+STAT2!V137</f>
        <v>0</v>
      </c>
      <c r="I137" s="11">
        <f>+STAT2!W137</f>
        <v>1038581855.8768401</v>
      </c>
      <c r="J137" s="11">
        <f>+SUMIFS(JURNAL!G:G,JURNAL!E:E,C137,JURNAL!C:C,"&gt;="&amp;$H$1,JURNAL!C:C,"&lt;="&amp;$I$1)</f>
        <v>0</v>
      </c>
      <c r="K137" s="11">
        <f>+SUMIFS(JURNAL!H:H,JURNAL!E:E,C137,JURNAL!C:C,"&gt;="&amp;$H$1,JURNAL!C:C,"&lt;="&amp;$I$1)</f>
        <v>0</v>
      </c>
      <c r="L137" s="26">
        <f t="shared" si="19"/>
        <v>0</v>
      </c>
      <c r="M137" s="27">
        <f t="shared" si="17"/>
        <v>1038581855.8768401</v>
      </c>
      <c r="N137" s="11"/>
      <c r="O137" s="183"/>
      <c r="P137" s="27"/>
      <c r="Q137" s="11"/>
      <c r="R137" s="26">
        <f t="shared" si="20"/>
        <v>0</v>
      </c>
      <c r="S137" s="27">
        <f t="shared" si="21"/>
        <v>1038581855.8768401</v>
      </c>
      <c r="T137" s="11"/>
      <c r="U137" s="416"/>
      <c r="V137" s="417">
        <f t="shared" si="22"/>
        <v>0</v>
      </c>
      <c r="W137" s="380">
        <f t="shared" si="18"/>
        <v>1038581855.8768401</v>
      </c>
      <c r="X137" s="4">
        <v>1313</v>
      </c>
      <c r="Y137" s="4"/>
      <c r="Z137" s="4"/>
      <c r="AA137" s="12">
        <f t="shared" si="23"/>
        <v>1</v>
      </c>
      <c r="AC137" s="80"/>
      <c r="AD137" s="80"/>
      <c r="AE137" s="80"/>
      <c r="AF137" s="80"/>
    </row>
    <row r="138" spans="1:34" ht="12.75" customHeight="1">
      <c r="A138" s="24"/>
      <c r="B138" s="105">
        <f t="shared" si="24"/>
        <v>135</v>
      </c>
      <c r="C138" s="6">
        <v>440200</v>
      </c>
      <c r="D138" s="118" t="s">
        <v>645</v>
      </c>
      <c r="E138" s="9" t="s">
        <v>32</v>
      </c>
      <c r="F138" s="6"/>
      <c r="G138" s="6"/>
      <c r="H138" s="11">
        <f>+STAT2!V138</f>
        <v>28003472.773861602</v>
      </c>
      <c r="I138" s="11">
        <f>+STAT2!W138</f>
        <v>0</v>
      </c>
      <c r="J138" s="11">
        <f>+SUMIFS(JURNAL!G:G,JURNAL!E:E,C138,JURNAL!C:C,"&gt;="&amp;$H$1,JURNAL!C:C,"&lt;="&amp;$I$1)</f>
        <v>0</v>
      </c>
      <c r="K138" s="11">
        <f>+SUMIFS(JURNAL!H:H,JURNAL!E:E,C138,JURNAL!C:C,"&gt;="&amp;$H$1,JURNAL!C:C,"&lt;="&amp;$I$1)</f>
        <v>0</v>
      </c>
      <c r="L138" s="26">
        <f t="shared" si="19"/>
        <v>28003472.773861602</v>
      </c>
      <c r="M138" s="27">
        <f t="shared" si="17"/>
        <v>0</v>
      </c>
      <c r="N138" s="11"/>
      <c r="O138" s="183"/>
      <c r="P138" s="27"/>
      <c r="Q138" s="11"/>
      <c r="R138" s="26">
        <f>+IF((L138+N138)&gt;(M138+O138),(L138+N138)-(M138+O138),0)</f>
        <v>28003472.773861602</v>
      </c>
      <c r="S138" s="27">
        <f t="shared" si="21"/>
        <v>0</v>
      </c>
      <c r="T138" s="80"/>
      <c r="U138" s="118">
        <v>7012316.7800000003</v>
      </c>
      <c r="V138" s="417">
        <f t="shared" si="22"/>
        <v>20991155.993861601</v>
      </c>
      <c r="W138" s="380">
        <f t="shared" si="18"/>
        <v>0</v>
      </c>
      <c r="X138" s="4">
        <v>1314</v>
      </c>
      <c r="Y138" s="4"/>
      <c r="Z138" s="4"/>
      <c r="AA138" s="12">
        <f t="shared" si="23"/>
        <v>1</v>
      </c>
      <c r="AC138" s="80"/>
      <c r="AD138" s="80"/>
      <c r="AE138" s="80"/>
      <c r="AF138" s="80"/>
    </row>
    <row r="139" spans="1:34" ht="12.75" customHeight="1">
      <c r="A139" s="24"/>
      <c r="B139" s="105">
        <f t="shared" si="24"/>
        <v>136</v>
      </c>
      <c r="C139" s="135"/>
      <c r="D139" s="136" t="s">
        <v>1003</v>
      </c>
      <c r="E139" s="62" t="s">
        <v>32</v>
      </c>
      <c r="F139" s="28">
        <f t="shared" ref="F139:H139" si="25">+SUM(F4:F138)</f>
        <v>6147.9800000000014</v>
      </c>
      <c r="G139" s="28">
        <f t="shared" si="25"/>
        <v>14281.039999999997</v>
      </c>
      <c r="H139" s="28">
        <f t="shared" si="25"/>
        <v>3362669288.2862163</v>
      </c>
      <c r="I139" s="28">
        <f>+SUM(I4:I138)</f>
        <v>3362669288.2751079</v>
      </c>
      <c r="J139" s="28">
        <f t="shared" ref="J139:AA139" si="26">+SUM(J4:J138)</f>
        <v>1202665323.8119154</v>
      </c>
      <c r="K139" s="28">
        <f t="shared" si="26"/>
        <v>1195784032.5654721</v>
      </c>
      <c r="L139" s="28">
        <f t="shared" si="26"/>
        <v>3407499347.0475621</v>
      </c>
      <c r="M139" s="28">
        <f t="shared" si="26"/>
        <v>3400618055.7900095</v>
      </c>
      <c r="N139" s="28">
        <f t="shared" si="26"/>
        <v>8335580.6329999994</v>
      </c>
      <c r="O139" s="28">
        <f t="shared" si="26"/>
        <v>8204555.1200000001</v>
      </c>
      <c r="P139" s="28">
        <f t="shared" si="26"/>
        <v>6147.9800000000014</v>
      </c>
      <c r="Q139" s="28">
        <f t="shared" si="26"/>
        <v>14829.1</v>
      </c>
      <c r="R139" s="28">
        <f t="shared" si="26"/>
        <v>3399425817.4405618</v>
      </c>
      <c r="S139" s="28">
        <f t="shared" si="26"/>
        <v>3392413500.6700096</v>
      </c>
      <c r="T139" s="28">
        <f t="shared" si="26"/>
        <v>0</v>
      </c>
      <c r="U139" s="28">
        <f t="shared" si="26"/>
        <v>7012316.7800000003</v>
      </c>
      <c r="V139" s="28">
        <f t="shared" si="26"/>
        <v>3392413500.660562</v>
      </c>
      <c r="W139" s="28">
        <f t="shared" si="26"/>
        <v>3392413500.6700096</v>
      </c>
      <c r="X139" s="28"/>
      <c r="Y139" s="28">
        <f t="shared" si="26"/>
        <v>0</v>
      </c>
      <c r="Z139" s="28">
        <f t="shared" si="26"/>
        <v>0</v>
      </c>
      <c r="AA139" s="28">
        <f t="shared" si="26"/>
        <v>62</v>
      </c>
    </row>
    <row r="140" spans="1:34" ht="12.75" customHeight="1">
      <c r="A140" s="24"/>
      <c r="B140" s="105">
        <f t="shared" si="24"/>
        <v>137</v>
      </c>
      <c r="C140" s="6">
        <v>510000</v>
      </c>
      <c r="D140" s="6" t="s">
        <v>513</v>
      </c>
      <c r="E140" s="9" t="s">
        <v>32</v>
      </c>
      <c r="F140" s="6"/>
      <c r="G140" s="6"/>
      <c r="H140" s="11">
        <f>+STAT2!V140</f>
        <v>0</v>
      </c>
      <c r="I140" s="11">
        <f>+STAT2!W140</f>
        <v>0</v>
      </c>
      <c r="J140" s="11">
        <f>+SUMIFS(JURNAL!G:G,JURNAL!E:E,C140,JURNAL!C:C,"&gt;="&amp;$H$1,JURNAL!C:C,"&lt;="&amp;$I$1)</f>
        <v>0</v>
      </c>
      <c r="K140" s="11">
        <f>+SUMIFS(JURNAL!H:H,JURNAL!E:E,C140,JURNAL!C:C,"&gt;="&amp;$H$1,JURNAL!C:C,"&lt;="&amp;$I$1)</f>
        <v>72372675.223206282</v>
      </c>
      <c r="L140" s="26">
        <f t="shared" ref="L140:L203" si="27">+IF((H140+J140)&gt;(I140+K140),(H140+J140)-(I140+K140),0)</f>
        <v>0</v>
      </c>
      <c r="M140" s="27">
        <f t="shared" ref="M140:M203" si="28">+IF((H140+J140)&lt;(I140+K140),(I140+K140)-(H140+J140),0)</f>
        <v>72372675.223206282</v>
      </c>
      <c r="N140" s="11"/>
      <c r="O140" s="11"/>
      <c r="P140" s="11"/>
      <c r="Q140" s="11"/>
      <c r="R140" s="26">
        <f t="shared" ref="R140:R203" si="29">+IF((L140+N140)&gt;(M140+O140),(L140+N140)-(M140+O140),0)</f>
        <v>0</v>
      </c>
      <c r="S140" s="27">
        <f t="shared" ref="S140:S203" si="30">+IF((L140+N140)&lt;(M140+O140),(M140+O140)-(L140+N140),0)</f>
        <v>72372675.223206282</v>
      </c>
      <c r="T140" s="11">
        <f t="shared" ref="T140:T203" si="31">+S140</f>
        <v>72372675.223206282</v>
      </c>
      <c r="U140" s="11">
        <f t="shared" ref="U140:U203" si="32">+R140</f>
        <v>0</v>
      </c>
      <c r="V140" s="26">
        <f t="shared" ref="V140:V203" si="33">+IF((R140+T140)&gt;(S140+U140),(R140+T140)-(S140+U140),0)</f>
        <v>0</v>
      </c>
      <c r="W140" s="27">
        <f t="shared" ref="W140:W203" si="34">+IF((R140+T140)&lt;(S140+U140),(S140+U140)-(R140+T140),0)</f>
        <v>0</v>
      </c>
      <c r="X140" s="4">
        <v>5101</v>
      </c>
      <c r="Y140" s="4"/>
      <c r="Z140" s="4"/>
      <c r="AA140" s="12">
        <f t="shared" ref="AA140:AA203" si="35">+IF(H140+I140+J140+K140+L140+M140+N140+O140+R140+S140+T140+U140+V140+W140,1,0)</f>
        <v>1</v>
      </c>
      <c r="AC140" s="568"/>
      <c r="AD140" s="84"/>
      <c r="AE140" s="84"/>
      <c r="AF140" s="84"/>
      <c r="AG140" s="1"/>
      <c r="AH140" s="1"/>
    </row>
    <row r="141" spans="1:34" ht="12.75" customHeight="1">
      <c r="A141" s="24"/>
      <c r="B141" s="105">
        <f t="shared" si="24"/>
        <v>138</v>
      </c>
      <c r="C141" s="6">
        <v>510100</v>
      </c>
      <c r="D141" s="6" t="s">
        <v>518</v>
      </c>
      <c r="E141" s="9" t="s">
        <v>32</v>
      </c>
      <c r="F141" s="6"/>
      <c r="G141" s="6"/>
      <c r="H141" s="11">
        <f>+STAT1!V141</f>
        <v>0</v>
      </c>
      <c r="I141" s="11">
        <f>+STAT1!W141</f>
        <v>0</v>
      </c>
      <c r="J141" s="11">
        <f>+SUMIFS(JURNAL!G:G,JURNAL!E:E,C141,JURNAL!C:C,"&gt;="&amp;$H$1,JURNAL!C:C,"&lt;="&amp;$I$1)</f>
        <v>0</v>
      </c>
      <c r="K141" s="11">
        <f>+SUMIFS(JURNAL!H:H,JURNAL!E:E,C141,JURNAL!C:C,"&gt;="&amp;$H$1,JURNAL!C:C,"&lt;="&amp;$I$1)</f>
        <v>111304545.46000001</v>
      </c>
      <c r="L141" s="26">
        <f t="shared" si="27"/>
        <v>0</v>
      </c>
      <c r="M141" s="27">
        <f t="shared" si="28"/>
        <v>111304545.46000001</v>
      </c>
      <c r="N141" s="11"/>
      <c r="O141" s="11"/>
      <c r="P141" s="11"/>
      <c r="Q141" s="11"/>
      <c r="R141" s="26">
        <f t="shared" si="29"/>
        <v>0</v>
      </c>
      <c r="S141" s="27">
        <f t="shared" si="30"/>
        <v>111304545.46000001</v>
      </c>
      <c r="T141" s="11">
        <f t="shared" si="31"/>
        <v>111304545.46000001</v>
      </c>
      <c r="U141" s="11">
        <f t="shared" si="32"/>
        <v>0</v>
      </c>
      <c r="V141" s="26">
        <f t="shared" si="33"/>
        <v>0</v>
      </c>
      <c r="W141" s="27">
        <f t="shared" si="34"/>
        <v>0</v>
      </c>
      <c r="X141" s="4">
        <v>5101</v>
      </c>
      <c r="Y141" s="4"/>
      <c r="Z141" s="4"/>
      <c r="AA141" s="12">
        <f t="shared" si="35"/>
        <v>1</v>
      </c>
      <c r="AC141" s="568"/>
      <c r="AD141" s="84"/>
      <c r="AE141" s="84"/>
      <c r="AF141" s="84"/>
      <c r="AG141" s="1"/>
      <c r="AH141" s="1"/>
    </row>
    <row r="142" spans="1:34" ht="12.75" customHeight="1">
      <c r="A142" s="24"/>
      <c r="B142" s="105">
        <f t="shared" si="24"/>
        <v>139</v>
      </c>
      <c r="C142" s="6">
        <v>510200</v>
      </c>
      <c r="D142" s="6" t="s">
        <v>523</v>
      </c>
      <c r="E142" s="9" t="s">
        <v>32</v>
      </c>
      <c r="F142" s="6"/>
      <c r="G142" s="6"/>
      <c r="H142" s="11">
        <f>+STAT1!V142</f>
        <v>0</v>
      </c>
      <c r="I142" s="11">
        <f>+STAT1!W142</f>
        <v>0</v>
      </c>
      <c r="J142" s="11">
        <f>+SUMIFS(JURNAL!G:G,JURNAL!E:E,C142,JURNAL!C:C,"&gt;="&amp;$H$1,JURNAL!C:C,"&lt;="&amp;$I$1)</f>
        <v>0</v>
      </c>
      <c r="K142" s="11">
        <f>+SUMIFS(JURNAL!H:H,JURNAL!E:E,C142,JURNAL!C:C,"&gt;="&amp;$H$1,JURNAL!C:C,"&lt;="&amp;$I$1)</f>
        <v>0</v>
      </c>
      <c r="L142" s="26">
        <f t="shared" si="27"/>
        <v>0</v>
      </c>
      <c r="M142" s="27">
        <f t="shared" si="28"/>
        <v>0</v>
      </c>
      <c r="N142" s="11"/>
      <c r="O142" s="11"/>
      <c r="P142" s="11"/>
      <c r="Q142" s="11"/>
      <c r="R142" s="26">
        <f t="shared" si="29"/>
        <v>0</v>
      </c>
      <c r="S142" s="27">
        <f t="shared" si="30"/>
        <v>0</v>
      </c>
      <c r="T142" s="11">
        <f t="shared" si="31"/>
        <v>0</v>
      </c>
      <c r="U142" s="11">
        <f t="shared" si="32"/>
        <v>0</v>
      </c>
      <c r="V142" s="26">
        <f t="shared" si="33"/>
        <v>0</v>
      </c>
      <c r="W142" s="27">
        <f t="shared" si="34"/>
        <v>0</v>
      </c>
      <c r="X142" s="4">
        <v>5101</v>
      </c>
      <c r="Y142" s="4"/>
      <c r="Z142" s="4"/>
      <c r="AA142" s="12">
        <f t="shared" si="35"/>
        <v>0</v>
      </c>
      <c r="AC142" s="568"/>
      <c r="AD142" s="84"/>
      <c r="AE142" s="84"/>
      <c r="AF142" s="84"/>
      <c r="AG142" s="1"/>
      <c r="AH142" s="1"/>
    </row>
    <row r="143" spans="1:34" ht="12.75" customHeight="1">
      <c r="A143" s="24"/>
      <c r="B143" s="105">
        <f t="shared" si="24"/>
        <v>140</v>
      </c>
      <c r="C143" s="6">
        <v>510300</v>
      </c>
      <c r="D143" s="6" t="s">
        <v>528</v>
      </c>
      <c r="E143" s="9" t="s">
        <v>32</v>
      </c>
      <c r="F143" s="6"/>
      <c r="G143" s="6"/>
      <c r="H143" s="11">
        <f>+STAT1!V143</f>
        <v>0</v>
      </c>
      <c r="I143" s="11">
        <f>+STAT1!W143</f>
        <v>0</v>
      </c>
      <c r="J143" s="11">
        <f>+SUMIFS(JURNAL!G:G,JURNAL!E:E,C143,JURNAL!C:C,"&gt;="&amp;$H$1,JURNAL!C:C,"&lt;="&amp;$I$1)</f>
        <v>0</v>
      </c>
      <c r="K143" s="11">
        <f>+SUMIFS(JURNAL!H:H,JURNAL!E:E,C143,JURNAL!C:C,"&gt;="&amp;$H$1,JURNAL!C:C,"&lt;="&amp;$I$1)</f>
        <v>0</v>
      </c>
      <c r="L143" s="26">
        <f t="shared" si="27"/>
        <v>0</v>
      </c>
      <c r="M143" s="27">
        <f t="shared" si="28"/>
        <v>0</v>
      </c>
      <c r="N143" s="11"/>
      <c r="O143" s="11"/>
      <c r="P143" s="11"/>
      <c r="Q143" s="11"/>
      <c r="R143" s="26">
        <f t="shared" si="29"/>
        <v>0</v>
      </c>
      <c r="S143" s="27">
        <f t="shared" si="30"/>
        <v>0</v>
      </c>
      <c r="T143" s="11">
        <f t="shared" si="31"/>
        <v>0</v>
      </c>
      <c r="U143" s="11">
        <f t="shared" si="32"/>
        <v>0</v>
      </c>
      <c r="V143" s="26">
        <f t="shared" si="33"/>
        <v>0</v>
      </c>
      <c r="W143" s="27">
        <f t="shared" si="34"/>
        <v>0</v>
      </c>
      <c r="X143" s="4">
        <v>5101</v>
      </c>
      <c r="Y143" s="4"/>
      <c r="Z143" s="4"/>
      <c r="AA143" s="12">
        <f t="shared" si="35"/>
        <v>0</v>
      </c>
      <c r="AC143" s="568"/>
      <c r="AD143" s="84"/>
      <c r="AE143" s="84"/>
      <c r="AF143" s="84"/>
      <c r="AG143" s="1"/>
      <c r="AH143" s="1"/>
    </row>
    <row r="144" spans="1:34" ht="12.75" customHeight="1">
      <c r="A144" s="24"/>
      <c r="B144" s="105">
        <f t="shared" si="24"/>
        <v>141</v>
      </c>
      <c r="C144" s="6">
        <v>510400</v>
      </c>
      <c r="D144" s="6" t="s">
        <v>534</v>
      </c>
      <c r="E144" s="9" t="s">
        <v>32</v>
      </c>
      <c r="F144" s="6"/>
      <c r="G144" s="6"/>
      <c r="H144" s="11">
        <f>+STAT1!V144</f>
        <v>0</v>
      </c>
      <c r="I144" s="11">
        <f>+STAT1!W144</f>
        <v>0</v>
      </c>
      <c r="J144" s="11">
        <f>+SUMIFS(JURNAL!G:G,JURNAL!E:E,C144,JURNAL!C:C,"&gt;="&amp;$H$1,JURNAL!C:C,"&lt;="&amp;$I$1)</f>
        <v>0</v>
      </c>
      <c r="K144" s="11">
        <f>+SUMIFS(JURNAL!H:H,JURNAL!E:E,C144,JURNAL!C:C,"&gt;="&amp;$H$1,JURNAL!C:C,"&lt;="&amp;$I$1)</f>
        <v>0</v>
      </c>
      <c r="L144" s="26">
        <f t="shared" si="27"/>
        <v>0</v>
      </c>
      <c r="M144" s="27">
        <f t="shared" si="28"/>
        <v>0</v>
      </c>
      <c r="N144" s="11"/>
      <c r="O144" s="11"/>
      <c r="P144" s="11"/>
      <c r="Q144" s="11"/>
      <c r="R144" s="26">
        <f t="shared" si="29"/>
        <v>0</v>
      </c>
      <c r="S144" s="27">
        <f t="shared" si="30"/>
        <v>0</v>
      </c>
      <c r="T144" s="11">
        <f t="shared" si="31"/>
        <v>0</v>
      </c>
      <c r="U144" s="11">
        <f t="shared" si="32"/>
        <v>0</v>
      </c>
      <c r="V144" s="26">
        <f t="shared" si="33"/>
        <v>0</v>
      </c>
      <c r="W144" s="27">
        <f t="shared" si="34"/>
        <v>0</v>
      </c>
      <c r="X144" s="4">
        <v>5101</v>
      </c>
      <c r="Y144" s="4"/>
      <c r="Z144" s="4"/>
      <c r="AA144" s="12">
        <f t="shared" si="35"/>
        <v>0</v>
      </c>
      <c r="AC144" s="568"/>
      <c r="AD144" s="84"/>
      <c r="AE144" s="84"/>
      <c r="AF144" s="84"/>
      <c r="AG144" s="1"/>
      <c r="AH144" s="1"/>
    </row>
    <row r="145" spans="1:34" ht="12.75" customHeight="1">
      <c r="A145" s="24"/>
      <c r="B145" s="105">
        <f t="shared" si="24"/>
        <v>142</v>
      </c>
      <c r="C145" s="6">
        <v>511000</v>
      </c>
      <c r="D145" s="6" t="s">
        <v>541</v>
      </c>
      <c r="E145" s="9" t="s">
        <v>32</v>
      </c>
      <c r="F145" s="6"/>
      <c r="G145" s="6"/>
      <c r="H145" s="11">
        <f>+STAT1!V145</f>
        <v>0</v>
      </c>
      <c r="I145" s="11">
        <f>+STAT1!W145</f>
        <v>0</v>
      </c>
      <c r="J145" s="11">
        <f>+SUMIFS(JURNAL!G:G,JURNAL!E:E,C145,JURNAL!C:C,"&gt;="&amp;$H$1,JURNAL!C:C,"&lt;="&amp;$I$1)</f>
        <v>0</v>
      </c>
      <c r="K145" s="11">
        <f>+SUMIFS(JURNAL!H:H,JURNAL!E:E,C145,JURNAL!C:C,"&gt;="&amp;$H$1,JURNAL!C:C,"&lt;="&amp;$I$1)</f>
        <v>0</v>
      </c>
      <c r="L145" s="26">
        <f t="shared" si="27"/>
        <v>0</v>
      </c>
      <c r="M145" s="27">
        <f t="shared" si="28"/>
        <v>0</v>
      </c>
      <c r="N145" s="11"/>
      <c r="O145" s="11"/>
      <c r="P145" s="11"/>
      <c r="Q145" s="11"/>
      <c r="R145" s="26">
        <f t="shared" si="29"/>
        <v>0</v>
      </c>
      <c r="S145" s="27">
        <f t="shared" si="30"/>
        <v>0</v>
      </c>
      <c r="T145" s="11">
        <f t="shared" si="31"/>
        <v>0</v>
      </c>
      <c r="U145" s="11">
        <f t="shared" si="32"/>
        <v>0</v>
      </c>
      <c r="V145" s="26">
        <f t="shared" si="33"/>
        <v>0</v>
      </c>
      <c r="W145" s="27">
        <f t="shared" si="34"/>
        <v>0</v>
      </c>
      <c r="X145" s="4">
        <v>8402</v>
      </c>
      <c r="Y145" s="4"/>
      <c r="Z145" s="4"/>
      <c r="AA145" s="12">
        <f t="shared" si="35"/>
        <v>0</v>
      </c>
      <c r="AC145" s="568"/>
      <c r="AD145" s="84"/>
      <c r="AE145" s="84"/>
      <c r="AF145" s="84"/>
      <c r="AG145" s="1"/>
      <c r="AH145" s="1"/>
    </row>
    <row r="146" spans="1:34" ht="12.75" customHeight="1">
      <c r="A146" s="24"/>
      <c r="B146" s="105">
        <f t="shared" si="24"/>
        <v>143</v>
      </c>
      <c r="C146" s="6">
        <v>511100</v>
      </c>
      <c r="D146" s="6" t="s">
        <v>548</v>
      </c>
      <c r="E146" s="9" t="s">
        <v>32</v>
      </c>
      <c r="F146" s="6"/>
      <c r="G146" s="6"/>
      <c r="H146" s="11">
        <f>+STAT1!V146</f>
        <v>0</v>
      </c>
      <c r="I146" s="11">
        <f>+STAT1!W146</f>
        <v>0</v>
      </c>
      <c r="J146" s="11">
        <f>+SUMIFS(JURNAL!G:G,JURNAL!E:E,C146,JURNAL!C:C,"&gt;="&amp;$H$1,JURNAL!C:C,"&lt;="&amp;$I$1)</f>
        <v>0</v>
      </c>
      <c r="K146" s="11">
        <f>+SUMIFS(JURNAL!H:H,JURNAL!E:E,C146,JURNAL!C:C,"&gt;="&amp;$H$1,JURNAL!C:C,"&lt;="&amp;$I$1)</f>
        <v>0</v>
      </c>
      <c r="L146" s="26">
        <f t="shared" si="27"/>
        <v>0</v>
      </c>
      <c r="M146" s="27">
        <f t="shared" si="28"/>
        <v>0</v>
      </c>
      <c r="N146" s="11"/>
      <c r="O146" s="11"/>
      <c r="P146" s="11"/>
      <c r="Q146" s="11"/>
      <c r="R146" s="26">
        <f t="shared" si="29"/>
        <v>0</v>
      </c>
      <c r="S146" s="27">
        <f t="shared" si="30"/>
        <v>0</v>
      </c>
      <c r="T146" s="11">
        <f t="shared" si="31"/>
        <v>0</v>
      </c>
      <c r="U146" s="11">
        <f t="shared" si="32"/>
        <v>0</v>
      </c>
      <c r="V146" s="26">
        <f t="shared" si="33"/>
        <v>0</v>
      </c>
      <c r="W146" s="27">
        <f t="shared" si="34"/>
        <v>0</v>
      </c>
      <c r="X146" s="4">
        <v>5111</v>
      </c>
      <c r="Y146" s="4"/>
      <c r="Z146" s="4"/>
      <c r="AA146" s="12">
        <f t="shared" si="35"/>
        <v>0</v>
      </c>
      <c r="AC146" s="568"/>
      <c r="AD146" s="84"/>
      <c r="AE146" s="84"/>
      <c r="AF146" s="84"/>
      <c r="AG146" s="1"/>
      <c r="AH146" s="1"/>
    </row>
    <row r="147" spans="1:34" ht="12.75" customHeight="1">
      <c r="A147" s="24"/>
      <c r="B147" s="105">
        <f t="shared" si="24"/>
        <v>144</v>
      </c>
      <c r="C147" s="6">
        <v>511200</v>
      </c>
      <c r="D147" s="6" t="s">
        <v>553</v>
      </c>
      <c r="E147" s="9" t="s">
        <v>32</v>
      </c>
      <c r="F147" s="6"/>
      <c r="G147" s="6"/>
      <c r="H147" s="11">
        <f>+STAT1!V147</f>
        <v>0</v>
      </c>
      <c r="I147" s="11">
        <f>+STAT1!W147</f>
        <v>0</v>
      </c>
      <c r="J147" s="11">
        <f>+SUMIFS(JURNAL!G:G,JURNAL!E:E,C147,JURNAL!C:C,"&gt;="&amp;$H$1,JURNAL!C:C,"&lt;="&amp;$I$1)</f>
        <v>0</v>
      </c>
      <c r="K147" s="11">
        <f>+SUMIFS(JURNAL!H:H,JURNAL!E:E,C147,JURNAL!C:C,"&gt;="&amp;$H$1,JURNAL!C:C,"&lt;="&amp;$I$1)</f>
        <v>0</v>
      </c>
      <c r="L147" s="26">
        <f t="shared" si="27"/>
        <v>0</v>
      </c>
      <c r="M147" s="27">
        <f t="shared" si="28"/>
        <v>0</v>
      </c>
      <c r="N147" s="11"/>
      <c r="O147" s="11"/>
      <c r="P147" s="11"/>
      <c r="Q147" s="11"/>
      <c r="R147" s="26">
        <f t="shared" si="29"/>
        <v>0</v>
      </c>
      <c r="S147" s="27">
        <f t="shared" si="30"/>
        <v>0</v>
      </c>
      <c r="T147" s="11">
        <f t="shared" si="31"/>
        <v>0</v>
      </c>
      <c r="U147" s="11">
        <f t="shared" si="32"/>
        <v>0</v>
      </c>
      <c r="V147" s="26">
        <f t="shared" si="33"/>
        <v>0</v>
      </c>
      <c r="W147" s="27">
        <f t="shared" si="34"/>
        <v>0</v>
      </c>
      <c r="X147" s="4">
        <v>5112</v>
      </c>
      <c r="Y147" s="4"/>
      <c r="Z147" s="4"/>
      <c r="AA147" s="12">
        <f t="shared" si="35"/>
        <v>0</v>
      </c>
      <c r="AC147" s="568"/>
      <c r="AD147" s="84"/>
      <c r="AE147" s="84"/>
      <c r="AF147" s="84"/>
      <c r="AG147" s="1"/>
      <c r="AH147" s="1"/>
    </row>
    <row r="148" spans="1:34" ht="12.75" customHeight="1">
      <c r="A148" s="24"/>
      <c r="B148" s="105">
        <f t="shared" si="24"/>
        <v>145</v>
      </c>
      <c r="C148" s="6">
        <v>511300</v>
      </c>
      <c r="D148" s="6" t="s">
        <v>558</v>
      </c>
      <c r="E148" s="9" t="s">
        <v>32</v>
      </c>
      <c r="F148" s="6"/>
      <c r="G148" s="6"/>
      <c r="H148" s="11">
        <f>+STAT1!V148</f>
        <v>0</v>
      </c>
      <c r="I148" s="11">
        <f>+STAT1!W148</f>
        <v>0</v>
      </c>
      <c r="J148" s="11">
        <f>+SUMIFS(JURNAL!G:G,JURNAL!E:E,C148,JURNAL!C:C,"&gt;="&amp;$H$1,JURNAL!C:C,"&lt;="&amp;$I$1)</f>
        <v>0</v>
      </c>
      <c r="K148" s="11">
        <f>+SUMIFS(JURNAL!H:H,JURNAL!E:E,C148,JURNAL!C:C,"&gt;="&amp;$H$1,JURNAL!C:C,"&lt;="&amp;$I$1)</f>
        <v>0</v>
      </c>
      <c r="L148" s="26">
        <f t="shared" si="27"/>
        <v>0</v>
      </c>
      <c r="M148" s="27">
        <f t="shared" si="28"/>
        <v>0</v>
      </c>
      <c r="N148" s="11"/>
      <c r="O148" s="11"/>
      <c r="P148" s="11"/>
      <c r="Q148" s="11"/>
      <c r="R148" s="26">
        <f t="shared" si="29"/>
        <v>0</v>
      </c>
      <c r="S148" s="27">
        <f t="shared" si="30"/>
        <v>0</v>
      </c>
      <c r="T148" s="11">
        <f t="shared" si="31"/>
        <v>0</v>
      </c>
      <c r="U148" s="11">
        <f t="shared" si="32"/>
        <v>0</v>
      </c>
      <c r="V148" s="26">
        <f t="shared" si="33"/>
        <v>0</v>
      </c>
      <c r="W148" s="27">
        <f t="shared" si="34"/>
        <v>0</v>
      </c>
      <c r="X148" s="4">
        <v>5113</v>
      </c>
      <c r="Y148" s="4"/>
      <c r="Z148" s="4"/>
      <c r="AA148" s="12">
        <f t="shared" si="35"/>
        <v>0</v>
      </c>
      <c r="AC148" s="568"/>
      <c r="AD148" s="84"/>
      <c r="AE148" s="84"/>
      <c r="AF148" s="84"/>
      <c r="AG148" s="1"/>
      <c r="AH148" s="1"/>
    </row>
    <row r="149" spans="1:34" ht="12.75" customHeight="1">
      <c r="A149" s="24"/>
      <c r="B149" s="105">
        <f t="shared" si="24"/>
        <v>146</v>
      </c>
      <c r="C149" s="6">
        <v>511400</v>
      </c>
      <c r="D149" s="6" t="s">
        <v>563</v>
      </c>
      <c r="E149" s="9" t="s">
        <v>32</v>
      </c>
      <c r="F149" s="6"/>
      <c r="G149" s="6"/>
      <c r="H149" s="11">
        <f>+STAT1!V149</f>
        <v>0</v>
      </c>
      <c r="I149" s="11">
        <f>+STAT1!W149</f>
        <v>0</v>
      </c>
      <c r="J149" s="11">
        <f>+SUMIFS(JURNAL!G:G,JURNAL!E:E,C149,JURNAL!C:C,"&gt;="&amp;$H$1,JURNAL!C:C,"&lt;="&amp;$I$1)</f>
        <v>0</v>
      </c>
      <c r="K149" s="11">
        <f>+SUMIFS(JURNAL!H:H,JURNAL!E:E,C149,JURNAL!C:C,"&gt;="&amp;$H$1,JURNAL!C:C,"&lt;="&amp;$I$1)</f>
        <v>0</v>
      </c>
      <c r="L149" s="26">
        <f t="shared" si="27"/>
        <v>0</v>
      </c>
      <c r="M149" s="27">
        <f t="shared" si="28"/>
        <v>0</v>
      </c>
      <c r="N149" s="11"/>
      <c r="O149" s="11"/>
      <c r="P149" s="11"/>
      <c r="Q149" s="11"/>
      <c r="R149" s="26">
        <f t="shared" si="29"/>
        <v>0</v>
      </c>
      <c r="S149" s="27">
        <f t="shared" si="30"/>
        <v>0</v>
      </c>
      <c r="T149" s="11">
        <f t="shared" si="31"/>
        <v>0</v>
      </c>
      <c r="U149" s="11">
        <f t="shared" si="32"/>
        <v>0</v>
      </c>
      <c r="V149" s="26">
        <f t="shared" si="33"/>
        <v>0</v>
      </c>
      <c r="W149" s="27">
        <f t="shared" si="34"/>
        <v>0</v>
      </c>
      <c r="X149" s="4">
        <v>5114</v>
      </c>
      <c r="Y149" s="4"/>
      <c r="Z149" s="4"/>
      <c r="AA149" s="12">
        <f t="shared" si="35"/>
        <v>0</v>
      </c>
      <c r="AC149" s="568"/>
      <c r="AD149" s="84"/>
      <c r="AE149" s="84"/>
      <c r="AF149" s="84"/>
      <c r="AG149" s="1"/>
      <c r="AH149" s="1"/>
    </row>
    <row r="150" spans="1:34" ht="12.75" customHeight="1">
      <c r="A150" s="24"/>
      <c r="B150" s="105">
        <f t="shared" si="24"/>
        <v>147</v>
      </c>
      <c r="C150" s="6">
        <v>511500</v>
      </c>
      <c r="D150" s="6" t="s">
        <v>568</v>
      </c>
      <c r="E150" s="9" t="s">
        <v>32</v>
      </c>
      <c r="F150" s="6"/>
      <c r="G150" s="6"/>
      <c r="H150" s="11">
        <f>+STAT1!V150</f>
        <v>0</v>
      </c>
      <c r="I150" s="11">
        <f>+STAT1!W150</f>
        <v>0</v>
      </c>
      <c r="J150" s="11">
        <f>+SUMIFS(JURNAL!G:G,JURNAL!E:E,C150,JURNAL!C:C,"&gt;="&amp;$H$1,JURNAL!C:C,"&lt;="&amp;$I$1)</f>
        <v>0</v>
      </c>
      <c r="K150" s="11">
        <f>+SUMIFS(JURNAL!H:H,JURNAL!E:E,C150,JURNAL!C:C,"&gt;="&amp;$H$1,JURNAL!C:C,"&lt;="&amp;$I$1)</f>
        <v>0</v>
      </c>
      <c r="L150" s="26">
        <f t="shared" si="27"/>
        <v>0</v>
      </c>
      <c r="M150" s="27">
        <f t="shared" si="28"/>
        <v>0</v>
      </c>
      <c r="N150" s="11"/>
      <c r="O150" s="11"/>
      <c r="P150" s="11"/>
      <c r="Q150" s="11"/>
      <c r="R150" s="26">
        <f t="shared" si="29"/>
        <v>0</v>
      </c>
      <c r="S150" s="27">
        <f t="shared" si="30"/>
        <v>0</v>
      </c>
      <c r="T150" s="11">
        <f t="shared" si="31"/>
        <v>0</v>
      </c>
      <c r="U150" s="11">
        <f t="shared" si="32"/>
        <v>0</v>
      </c>
      <c r="V150" s="26">
        <f t="shared" si="33"/>
        <v>0</v>
      </c>
      <c r="W150" s="27">
        <f t="shared" si="34"/>
        <v>0</v>
      </c>
      <c r="X150" s="4">
        <v>5115</v>
      </c>
      <c r="Y150" s="4"/>
      <c r="Z150" s="4"/>
      <c r="AA150" s="12">
        <f t="shared" si="35"/>
        <v>0</v>
      </c>
      <c r="AC150" s="568"/>
      <c r="AD150" s="84"/>
      <c r="AE150" s="84"/>
      <c r="AF150" s="84"/>
      <c r="AG150" s="1"/>
      <c r="AH150" s="1"/>
    </row>
    <row r="151" spans="1:34" ht="12.75" customHeight="1">
      <c r="A151" s="24"/>
      <c r="B151" s="105">
        <f t="shared" si="24"/>
        <v>148</v>
      </c>
      <c r="C151" s="6">
        <v>610100</v>
      </c>
      <c r="D151" s="6" t="s">
        <v>573</v>
      </c>
      <c r="E151" s="9" t="s">
        <v>32</v>
      </c>
      <c r="F151" s="6"/>
      <c r="G151" s="6"/>
      <c r="H151" s="11">
        <f>+STAT1!V151</f>
        <v>0</v>
      </c>
      <c r="I151" s="11">
        <f>+STAT1!W151</f>
        <v>0</v>
      </c>
      <c r="J151" s="11">
        <f>+SUMIFS(JURNAL!G:G,JURNAL!E:E,C151,JURNAL!C:C,"&gt;="&amp;$H$1,JURNAL!C:C,"&lt;="&amp;$I$1)</f>
        <v>51838440.304792419</v>
      </c>
      <c r="K151" s="11">
        <f>+SUMIFS(JURNAL!H:H,JURNAL!E:E,C151,JURNAL!C:C,"&gt;="&amp;$H$1,JURNAL!C:C,"&lt;="&amp;$I$1)</f>
        <v>0</v>
      </c>
      <c r="L151" s="26">
        <f t="shared" si="27"/>
        <v>51838440.304792419</v>
      </c>
      <c r="M151" s="27">
        <f t="shared" si="28"/>
        <v>0</v>
      </c>
      <c r="N151" s="11"/>
      <c r="O151" s="11"/>
      <c r="P151" s="11"/>
      <c r="Q151" s="11"/>
      <c r="R151" s="26">
        <f>+IF((L151+N151)&gt;(M151+O151),(L151+N151)-(M151+O151),0)</f>
        <v>51838440.304792419</v>
      </c>
      <c r="S151" s="27">
        <f t="shared" si="30"/>
        <v>0</v>
      </c>
      <c r="T151" s="11">
        <f t="shared" si="31"/>
        <v>0</v>
      </c>
      <c r="U151" s="11">
        <f t="shared" si="32"/>
        <v>51838440.304792419</v>
      </c>
      <c r="V151" s="26">
        <f t="shared" si="33"/>
        <v>0</v>
      </c>
      <c r="W151" s="27">
        <f t="shared" si="34"/>
        <v>0</v>
      </c>
      <c r="X151" s="4">
        <v>6101</v>
      </c>
      <c r="Y151" s="4"/>
      <c r="Z151" s="4"/>
      <c r="AA151" s="12">
        <f t="shared" si="35"/>
        <v>1</v>
      </c>
      <c r="AC151" s="568"/>
      <c r="AD151" s="84"/>
      <c r="AE151" s="84"/>
      <c r="AF151" s="84"/>
      <c r="AG151" s="1"/>
      <c r="AH151" s="1"/>
    </row>
    <row r="152" spans="1:34" ht="12.75" customHeight="1">
      <c r="A152" s="24"/>
      <c r="B152" s="105">
        <f t="shared" si="24"/>
        <v>149</v>
      </c>
      <c r="C152" s="6">
        <v>610101</v>
      </c>
      <c r="D152" s="6" t="s">
        <v>973</v>
      </c>
      <c r="E152" s="9" t="s">
        <v>32</v>
      </c>
      <c r="F152" s="6"/>
      <c r="G152" s="6"/>
      <c r="H152" s="11">
        <f>+STAT1!V152</f>
        <v>0</v>
      </c>
      <c r="I152" s="11">
        <f>+STAT1!W152</f>
        <v>0</v>
      </c>
      <c r="J152" s="11">
        <f>+SUMIFS(JURNAL!G:G,JURNAL!E:E,C152,JURNAL!C:C,"&gt;="&amp;$H$1,JURNAL!C:C,"&lt;="&amp;$I$1)</f>
        <v>87408692.762500048</v>
      </c>
      <c r="K152" s="11">
        <f>+SUMIFS(JURNAL!H:H,JURNAL!E:E,C152,JURNAL!C:C,"&gt;="&amp;$H$1,JURNAL!C:C,"&lt;="&amp;$I$1)</f>
        <v>0</v>
      </c>
      <c r="L152" s="26">
        <f t="shared" si="27"/>
        <v>87408692.762500048</v>
      </c>
      <c r="M152" s="27">
        <f t="shared" si="28"/>
        <v>0</v>
      </c>
      <c r="N152" s="11"/>
      <c r="O152" s="11"/>
      <c r="P152" s="11"/>
      <c r="Q152" s="11"/>
      <c r="R152" s="26">
        <f t="shared" si="29"/>
        <v>87408692.762500048</v>
      </c>
      <c r="S152" s="27">
        <f t="shared" si="30"/>
        <v>0</v>
      </c>
      <c r="T152" s="11">
        <f t="shared" si="31"/>
        <v>0</v>
      </c>
      <c r="U152" s="11">
        <f>+R152</f>
        <v>87408692.762500048</v>
      </c>
      <c r="V152" s="26">
        <f t="shared" si="33"/>
        <v>0</v>
      </c>
      <c r="W152" s="27">
        <f t="shared" si="34"/>
        <v>0</v>
      </c>
      <c r="X152" s="4">
        <v>6101</v>
      </c>
      <c r="Y152" s="4"/>
      <c r="Z152" s="4"/>
      <c r="AA152" s="12">
        <f t="shared" si="35"/>
        <v>1</v>
      </c>
      <c r="AC152" s="568"/>
      <c r="AD152" s="84"/>
      <c r="AE152" s="84"/>
      <c r="AF152" s="84"/>
      <c r="AG152" s="1"/>
      <c r="AH152" s="1"/>
    </row>
    <row r="153" spans="1:34" ht="12.75" customHeight="1">
      <c r="A153" s="24"/>
      <c r="B153" s="105">
        <f t="shared" si="24"/>
        <v>150</v>
      </c>
      <c r="C153" s="6">
        <v>610200</v>
      </c>
      <c r="D153" s="6" t="s">
        <v>578</v>
      </c>
      <c r="E153" s="9" t="s">
        <v>32</v>
      </c>
      <c r="F153" s="6"/>
      <c r="G153" s="6"/>
      <c r="H153" s="11">
        <f>+STAT1!V153</f>
        <v>0</v>
      </c>
      <c r="I153" s="11">
        <f>+STAT1!W153</f>
        <v>0</v>
      </c>
      <c r="J153" s="11">
        <f>+SUMIFS(JURNAL!G:G,JURNAL!E:E,C153,JURNAL!C:C,"&gt;="&amp;$H$1,JURNAL!C:C,"&lt;="&amp;$I$1)</f>
        <v>0</v>
      </c>
      <c r="K153" s="11">
        <f>+SUMIFS(JURNAL!H:H,JURNAL!E:E,C153,JURNAL!C:C,"&gt;="&amp;$H$1,JURNAL!C:C,"&lt;="&amp;$I$1)</f>
        <v>0</v>
      </c>
      <c r="L153" s="26">
        <f t="shared" si="27"/>
        <v>0</v>
      </c>
      <c r="M153" s="27">
        <f t="shared" si="28"/>
        <v>0</v>
      </c>
      <c r="N153" s="11"/>
      <c r="O153" s="11"/>
      <c r="P153" s="11"/>
      <c r="Q153" s="11"/>
      <c r="R153" s="26">
        <f t="shared" si="29"/>
        <v>0</v>
      </c>
      <c r="S153" s="27">
        <f t="shared" si="30"/>
        <v>0</v>
      </c>
      <c r="T153" s="11">
        <f t="shared" si="31"/>
        <v>0</v>
      </c>
      <c r="U153" s="11">
        <f t="shared" si="32"/>
        <v>0</v>
      </c>
      <c r="V153" s="26">
        <f t="shared" si="33"/>
        <v>0</v>
      </c>
      <c r="W153" s="27">
        <f t="shared" si="34"/>
        <v>0</v>
      </c>
      <c r="X153" s="4">
        <v>6101</v>
      </c>
      <c r="Y153" s="4"/>
      <c r="Z153" s="4"/>
      <c r="AA153" s="12">
        <f t="shared" si="35"/>
        <v>0</v>
      </c>
      <c r="AC153" s="568"/>
      <c r="AD153" s="84"/>
      <c r="AE153" s="84"/>
      <c r="AF153" s="84"/>
      <c r="AG153" s="1"/>
      <c r="AH153" s="1"/>
    </row>
    <row r="154" spans="1:34" ht="12.75" customHeight="1">
      <c r="A154" s="24"/>
      <c r="B154" s="105">
        <f t="shared" si="24"/>
        <v>151</v>
      </c>
      <c r="C154" s="6">
        <v>610300</v>
      </c>
      <c r="D154" s="6" t="s">
        <v>583</v>
      </c>
      <c r="E154" s="9" t="s">
        <v>32</v>
      </c>
      <c r="F154" s="6"/>
      <c r="G154" s="6"/>
      <c r="H154" s="11">
        <f>+STAT1!V154</f>
        <v>0</v>
      </c>
      <c r="I154" s="11">
        <f>+STAT1!W154</f>
        <v>0</v>
      </c>
      <c r="J154" s="11">
        <f>+SUMIFS(JURNAL!G:G,JURNAL!E:E,C154,JURNAL!C:C,"&gt;="&amp;$H$1,JURNAL!C:C,"&lt;="&amp;$I$1)</f>
        <v>0</v>
      </c>
      <c r="K154" s="11">
        <f>+SUMIFS(JURNAL!H:H,JURNAL!E:E,C154,JURNAL!C:C,"&gt;="&amp;$H$1,JURNAL!C:C,"&lt;="&amp;$I$1)</f>
        <v>0</v>
      </c>
      <c r="L154" s="26">
        <f t="shared" si="27"/>
        <v>0</v>
      </c>
      <c r="M154" s="27">
        <f t="shared" si="28"/>
        <v>0</v>
      </c>
      <c r="N154" s="11"/>
      <c r="O154" s="11"/>
      <c r="P154" s="11"/>
      <c r="Q154" s="11"/>
      <c r="R154" s="26">
        <f t="shared" si="29"/>
        <v>0</v>
      </c>
      <c r="S154" s="27">
        <f t="shared" si="30"/>
        <v>0</v>
      </c>
      <c r="T154" s="11">
        <f t="shared" si="31"/>
        <v>0</v>
      </c>
      <c r="U154" s="11">
        <f t="shared" si="32"/>
        <v>0</v>
      </c>
      <c r="V154" s="26">
        <f t="shared" si="33"/>
        <v>0</v>
      </c>
      <c r="W154" s="27">
        <f t="shared" si="34"/>
        <v>0</v>
      </c>
      <c r="X154" s="4">
        <v>6101</v>
      </c>
      <c r="Y154" s="4"/>
      <c r="Z154" s="4"/>
      <c r="AA154" s="12">
        <f t="shared" si="35"/>
        <v>0</v>
      </c>
      <c r="AC154" s="568"/>
      <c r="AD154" s="84"/>
      <c r="AE154" s="84"/>
      <c r="AF154" s="84"/>
      <c r="AG154" s="1"/>
      <c r="AH154" s="1"/>
    </row>
    <row r="155" spans="1:34" ht="12.75" customHeight="1">
      <c r="A155" s="24"/>
      <c r="B155" s="105">
        <f t="shared" si="24"/>
        <v>152</v>
      </c>
      <c r="C155" s="6">
        <v>700100</v>
      </c>
      <c r="D155" s="6" t="s">
        <v>276</v>
      </c>
      <c r="E155" s="9" t="s">
        <v>32</v>
      </c>
      <c r="F155" s="6"/>
      <c r="G155" s="6"/>
      <c r="H155" s="11">
        <f>+STAT1!V155</f>
        <v>0</v>
      </c>
      <c r="I155" s="11">
        <f>+STAT1!W155</f>
        <v>0</v>
      </c>
      <c r="J155" s="11">
        <f>+SUMIFS(JURNAL!G:G,JURNAL!E:E,C155,JURNAL!C:C,"&gt;="&amp;$H$1,JURNAL!C:C,"&lt;="&amp;$I$1)</f>
        <v>31740108.204761907</v>
      </c>
      <c r="K155" s="11">
        <f>+SUMIFS(JURNAL!H:H,JURNAL!E:E,C155,JURNAL!C:C,"&gt;="&amp;$H$1,JURNAL!C:C,"&lt;="&amp;$I$1)</f>
        <v>16485495.199999999</v>
      </c>
      <c r="L155" s="26">
        <f t="shared" si="27"/>
        <v>15254613.004761908</v>
      </c>
      <c r="M155" s="27">
        <f t="shared" si="28"/>
        <v>0</v>
      </c>
      <c r="N155" s="11"/>
      <c r="O155" s="11"/>
      <c r="P155" s="11"/>
      <c r="Q155" s="11"/>
      <c r="R155" s="26">
        <f t="shared" si="29"/>
        <v>15254613.004761908</v>
      </c>
      <c r="S155" s="27">
        <f t="shared" si="30"/>
        <v>0</v>
      </c>
      <c r="T155" s="11">
        <f t="shared" si="31"/>
        <v>0</v>
      </c>
      <c r="U155" s="11">
        <f t="shared" si="32"/>
        <v>15254613.004761908</v>
      </c>
      <c r="V155" s="26">
        <f t="shared" si="33"/>
        <v>0</v>
      </c>
      <c r="W155" s="27">
        <f t="shared" si="34"/>
        <v>0</v>
      </c>
      <c r="X155" s="4">
        <v>7002</v>
      </c>
      <c r="Y155" s="4"/>
      <c r="Z155" s="4"/>
      <c r="AA155" s="12">
        <f t="shared" si="35"/>
        <v>1</v>
      </c>
      <c r="AC155" s="568"/>
      <c r="AD155" s="84"/>
      <c r="AE155" s="84"/>
      <c r="AF155" s="84"/>
      <c r="AG155" s="1"/>
      <c r="AH155" s="1"/>
    </row>
    <row r="156" spans="1:34" ht="12.75" customHeight="1">
      <c r="A156" s="24"/>
      <c r="B156" s="105">
        <f t="shared" si="24"/>
        <v>153</v>
      </c>
      <c r="C156" s="6">
        <v>700200</v>
      </c>
      <c r="D156" s="6" t="s">
        <v>596</v>
      </c>
      <c r="E156" s="9" t="s">
        <v>32</v>
      </c>
      <c r="F156" s="6"/>
      <c r="G156" s="6"/>
      <c r="H156" s="11">
        <f>+STAT1!V156</f>
        <v>0</v>
      </c>
      <c r="I156" s="11">
        <f>+STAT1!W156</f>
        <v>0</v>
      </c>
      <c r="J156" s="11">
        <f>+SUMIFS(JURNAL!G:G,JURNAL!E:E,C156,JURNAL!C:C,"&gt;="&amp;$H$1,JURNAL!C:C,"&lt;="&amp;$I$1)</f>
        <v>3790093.4869047622</v>
      </c>
      <c r="K156" s="11">
        <f>+SUMIFS(JURNAL!H:H,JURNAL!E:E,C156,JURNAL!C:C,"&gt;="&amp;$H$1,JURNAL!C:C,"&lt;="&amp;$I$1)</f>
        <v>1961688.2799999998</v>
      </c>
      <c r="L156" s="26">
        <f t="shared" si="27"/>
        <v>1828405.2069047624</v>
      </c>
      <c r="M156" s="27">
        <f t="shared" si="28"/>
        <v>0</v>
      </c>
      <c r="N156" s="11"/>
      <c r="O156" s="11"/>
      <c r="P156" s="11"/>
      <c r="Q156" s="11"/>
      <c r="R156" s="26">
        <f t="shared" si="29"/>
        <v>1828405.2069047624</v>
      </c>
      <c r="S156" s="27">
        <f t="shared" si="30"/>
        <v>0</v>
      </c>
      <c r="T156" s="11">
        <f t="shared" si="31"/>
        <v>0</v>
      </c>
      <c r="U156" s="11">
        <f t="shared" si="32"/>
        <v>1828405.2069047624</v>
      </c>
      <c r="V156" s="26">
        <f t="shared" si="33"/>
        <v>0</v>
      </c>
      <c r="W156" s="27">
        <f t="shared" si="34"/>
        <v>0</v>
      </c>
      <c r="X156" s="4">
        <v>7002</v>
      </c>
      <c r="Y156" s="4"/>
      <c r="Z156" s="4"/>
      <c r="AA156" s="12">
        <f t="shared" si="35"/>
        <v>1</v>
      </c>
      <c r="AC156" s="568"/>
      <c r="AD156" s="84"/>
      <c r="AE156" s="84"/>
      <c r="AF156" s="84"/>
      <c r="AG156" s="1"/>
      <c r="AH156" s="1"/>
    </row>
    <row r="157" spans="1:34" ht="12.75" customHeight="1">
      <c r="A157" s="24"/>
      <c r="B157" s="105">
        <f t="shared" si="24"/>
        <v>154</v>
      </c>
      <c r="C157" s="6">
        <v>700700</v>
      </c>
      <c r="D157" s="6" t="s">
        <v>601</v>
      </c>
      <c r="E157" s="9" t="s">
        <v>32</v>
      </c>
      <c r="F157" s="6"/>
      <c r="G157" s="6"/>
      <c r="H157" s="11">
        <f>+STAT1!V157</f>
        <v>0</v>
      </c>
      <c r="I157" s="11">
        <f>+STAT1!W157</f>
        <v>0</v>
      </c>
      <c r="J157" s="11">
        <f>+SUMIFS(JURNAL!G:G,JURNAL!E:E,C157,JURNAL!C:C,"&gt;="&amp;$H$1,JURNAL!C:C,"&lt;="&amp;$I$1)</f>
        <v>4071278.6999999997</v>
      </c>
      <c r="K157" s="11">
        <f>+SUMIFS(JURNAL!H:H,JURNAL!E:E,C157,JURNAL!C:C,"&gt;="&amp;$H$1,JURNAL!C:C,"&lt;="&amp;$I$1)</f>
        <v>3924914.68</v>
      </c>
      <c r="L157" s="26">
        <f t="shared" si="27"/>
        <v>146364.01999999955</v>
      </c>
      <c r="M157" s="27">
        <f t="shared" si="28"/>
        <v>0</v>
      </c>
      <c r="N157" s="11"/>
      <c r="O157" s="11"/>
      <c r="P157" s="11"/>
      <c r="Q157" s="11"/>
      <c r="R157" s="26">
        <f t="shared" si="29"/>
        <v>146364.01999999955</v>
      </c>
      <c r="S157" s="27">
        <f t="shared" si="30"/>
        <v>0</v>
      </c>
      <c r="T157" s="11">
        <f t="shared" si="31"/>
        <v>0</v>
      </c>
      <c r="U157" s="11">
        <f t="shared" si="32"/>
        <v>146364.01999999955</v>
      </c>
      <c r="V157" s="26">
        <f t="shared" si="33"/>
        <v>0</v>
      </c>
      <c r="W157" s="27">
        <f t="shared" si="34"/>
        <v>0</v>
      </c>
      <c r="X157" s="4">
        <v>7002</v>
      </c>
      <c r="Y157" s="4"/>
      <c r="Z157" s="4"/>
      <c r="AA157" s="12">
        <f t="shared" si="35"/>
        <v>1</v>
      </c>
      <c r="AC157" s="568"/>
      <c r="AD157" s="84"/>
      <c r="AE157" s="84"/>
      <c r="AF157" s="84"/>
      <c r="AG157" s="1"/>
      <c r="AH157" s="1"/>
    </row>
    <row r="158" spans="1:34" ht="12.75" customHeight="1">
      <c r="A158" s="24"/>
      <c r="B158" s="105">
        <f t="shared" si="24"/>
        <v>155</v>
      </c>
      <c r="C158" s="6">
        <v>700800</v>
      </c>
      <c r="D158" s="6" t="s">
        <v>606</v>
      </c>
      <c r="E158" s="9" t="s">
        <v>32</v>
      </c>
      <c r="F158" s="6"/>
      <c r="G158" s="6"/>
      <c r="H158" s="11">
        <f>+STAT1!V158</f>
        <v>0</v>
      </c>
      <c r="I158" s="11">
        <f>+STAT1!W158</f>
        <v>0</v>
      </c>
      <c r="J158" s="11">
        <f>+SUMIFS(JURNAL!G:G,JURNAL!E:E,C158,JURNAL!C:C,"&gt;="&amp;$H$1,JURNAL!C:C,"&lt;="&amp;$I$1)</f>
        <v>0</v>
      </c>
      <c r="K158" s="11">
        <f>+SUMIFS(JURNAL!H:H,JURNAL!E:E,C158,JURNAL!C:C,"&gt;="&amp;$H$1,JURNAL!C:C,"&lt;="&amp;$I$1)</f>
        <v>0</v>
      </c>
      <c r="L158" s="26">
        <f t="shared" si="27"/>
        <v>0</v>
      </c>
      <c r="M158" s="27">
        <f t="shared" si="28"/>
        <v>0</v>
      </c>
      <c r="N158" s="11"/>
      <c r="O158" s="11"/>
      <c r="P158" s="11"/>
      <c r="Q158" s="11"/>
      <c r="R158" s="26">
        <f t="shared" si="29"/>
        <v>0</v>
      </c>
      <c r="S158" s="27">
        <f t="shared" si="30"/>
        <v>0</v>
      </c>
      <c r="T158" s="11">
        <f t="shared" si="31"/>
        <v>0</v>
      </c>
      <c r="U158" s="11">
        <f t="shared" si="32"/>
        <v>0</v>
      </c>
      <c r="V158" s="26">
        <f t="shared" si="33"/>
        <v>0</v>
      </c>
      <c r="W158" s="27">
        <f t="shared" si="34"/>
        <v>0</v>
      </c>
      <c r="X158" s="4">
        <v>7002</v>
      </c>
      <c r="Y158" s="4"/>
      <c r="Z158" s="4"/>
      <c r="AA158" s="12">
        <f t="shared" si="35"/>
        <v>0</v>
      </c>
      <c r="AC158" s="568"/>
      <c r="AD158" s="84"/>
      <c r="AE158" s="84"/>
      <c r="AF158" s="84"/>
      <c r="AG158" s="1"/>
      <c r="AH158" s="1"/>
    </row>
    <row r="159" spans="1:34" ht="12.75" customHeight="1">
      <c r="A159" s="24"/>
      <c r="B159" s="105">
        <f t="shared" si="24"/>
        <v>156</v>
      </c>
      <c r="C159" s="6">
        <v>700900</v>
      </c>
      <c r="D159" s="6" t="s">
        <v>611</v>
      </c>
      <c r="E159" s="9" t="s">
        <v>32</v>
      </c>
      <c r="F159" s="6"/>
      <c r="G159" s="6"/>
      <c r="H159" s="11">
        <f>+STAT1!V159</f>
        <v>0</v>
      </c>
      <c r="I159" s="11">
        <f>+STAT1!W159</f>
        <v>0</v>
      </c>
      <c r="J159" s="11">
        <f>+SUMIFS(JURNAL!G:G,JURNAL!E:E,C159,JURNAL!C:C,"&gt;="&amp;$H$1,JURNAL!C:C,"&lt;="&amp;$I$1)</f>
        <v>304752</v>
      </c>
      <c r="K159" s="11">
        <f>+SUMIFS(JURNAL!H:H,JURNAL!E:E,C159,JURNAL!C:C,"&gt;="&amp;$H$1,JURNAL!C:C,"&lt;="&amp;$I$1)</f>
        <v>283164.40000000002</v>
      </c>
      <c r="L159" s="26">
        <f t="shared" si="27"/>
        <v>21587.599999999977</v>
      </c>
      <c r="M159" s="27">
        <f t="shared" si="28"/>
        <v>0</v>
      </c>
      <c r="N159" s="11"/>
      <c r="O159" s="11"/>
      <c r="P159" s="11"/>
      <c r="Q159" s="11"/>
      <c r="R159" s="26">
        <f t="shared" si="29"/>
        <v>21587.599999999977</v>
      </c>
      <c r="S159" s="27">
        <f t="shared" si="30"/>
        <v>0</v>
      </c>
      <c r="T159" s="11">
        <f t="shared" si="31"/>
        <v>0</v>
      </c>
      <c r="U159" s="11">
        <f t="shared" si="32"/>
        <v>21587.599999999977</v>
      </c>
      <c r="V159" s="26">
        <f t="shared" si="33"/>
        <v>0</v>
      </c>
      <c r="W159" s="27">
        <f t="shared" si="34"/>
        <v>0</v>
      </c>
      <c r="X159" s="4">
        <v>7002</v>
      </c>
      <c r="Y159" s="4"/>
      <c r="Z159" s="4"/>
      <c r="AA159" s="12">
        <f t="shared" si="35"/>
        <v>1</v>
      </c>
      <c r="AC159" s="568"/>
      <c r="AD159" s="84"/>
      <c r="AE159" s="84"/>
      <c r="AF159" s="84"/>
      <c r="AG159" s="1"/>
      <c r="AH159" s="1"/>
    </row>
    <row r="160" spans="1:34" ht="12.75" customHeight="1">
      <c r="A160" s="24"/>
      <c r="B160" s="105">
        <f t="shared" si="24"/>
        <v>157</v>
      </c>
      <c r="C160" s="6">
        <v>701000</v>
      </c>
      <c r="D160" s="6" t="s">
        <v>616</v>
      </c>
      <c r="E160" s="9" t="s">
        <v>32</v>
      </c>
      <c r="F160" s="6"/>
      <c r="G160" s="6"/>
      <c r="H160" s="11">
        <f>+STAT1!V160</f>
        <v>0</v>
      </c>
      <c r="I160" s="11">
        <f>+STAT1!W160</f>
        <v>0</v>
      </c>
      <c r="J160" s="11">
        <f>+SUMIFS(JURNAL!G:G,JURNAL!E:E,C160,JURNAL!C:C,"&gt;="&amp;$H$1,JURNAL!C:C,"&lt;="&amp;$I$1)</f>
        <v>0</v>
      </c>
      <c r="K160" s="11">
        <f>+SUMIFS(JURNAL!H:H,JURNAL!E:E,C160,JURNAL!C:C,"&gt;="&amp;$H$1,JURNAL!C:C,"&lt;="&amp;$I$1)</f>
        <v>0</v>
      </c>
      <c r="L160" s="26">
        <f t="shared" si="27"/>
        <v>0</v>
      </c>
      <c r="M160" s="27">
        <f t="shared" si="28"/>
        <v>0</v>
      </c>
      <c r="N160" s="11"/>
      <c r="O160" s="11"/>
      <c r="P160" s="11"/>
      <c r="Q160" s="11"/>
      <c r="R160" s="26">
        <f t="shared" si="29"/>
        <v>0</v>
      </c>
      <c r="S160" s="27">
        <f t="shared" si="30"/>
        <v>0</v>
      </c>
      <c r="T160" s="11">
        <f t="shared" si="31"/>
        <v>0</v>
      </c>
      <c r="U160" s="11">
        <f t="shared" si="32"/>
        <v>0</v>
      </c>
      <c r="V160" s="26">
        <f t="shared" si="33"/>
        <v>0</v>
      </c>
      <c r="W160" s="27">
        <f t="shared" si="34"/>
        <v>0</v>
      </c>
      <c r="X160" s="4">
        <v>7002</v>
      </c>
      <c r="Y160" s="4"/>
      <c r="Z160" s="4"/>
      <c r="AA160" s="12">
        <f t="shared" si="35"/>
        <v>0</v>
      </c>
      <c r="AC160" s="568"/>
      <c r="AD160" s="84"/>
      <c r="AE160" s="84"/>
      <c r="AF160" s="84"/>
      <c r="AG160" s="1"/>
      <c r="AH160" s="1"/>
    </row>
    <row r="161" spans="1:34" ht="12.75" customHeight="1">
      <c r="A161" s="24"/>
      <c r="B161" s="105">
        <f t="shared" si="24"/>
        <v>158</v>
      </c>
      <c r="C161" s="6">
        <v>701100</v>
      </c>
      <c r="D161" s="6" t="s">
        <v>278</v>
      </c>
      <c r="E161" s="9" t="s">
        <v>32</v>
      </c>
      <c r="F161" s="6"/>
      <c r="G161" s="6"/>
      <c r="H161" s="11">
        <f>+STAT1!V161</f>
        <v>0</v>
      </c>
      <c r="I161" s="11">
        <f>+STAT1!W161</f>
        <v>0</v>
      </c>
      <c r="J161" s="11">
        <f>+SUMIFS(JURNAL!G:G,JURNAL!E:E,C161,JURNAL!C:C,"&gt;="&amp;$H$1,JURNAL!C:C,"&lt;="&amp;$I$1)</f>
        <v>0</v>
      </c>
      <c r="K161" s="11">
        <f>+SUMIFS(JURNAL!H:H,JURNAL!E:E,C161,JURNAL!C:C,"&gt;="&amp;$H$1,JURNAL!C:C,"&lt;="&amp;$I$1)</f>
        <v>0</v>
      </c>
      <c r="L161" s="26">
        <f t="shared" si="27"/>
        <v>0</v>
      </c>
      <c r="M161" s="27">
        <f t="shared" si="28"/>
        <v>0</v>
      </c>
      <c r="N161" s="11"/>
      <c r="O161" s="11"/>
      <c r="P161" s="11"/>
      <c r="Q161" s="11"/>
      <c r="R161" s="26">
        <f t="shared" si="29"/>
        <v>0</v>
      </c>
      <c r="S161" s="27">
        <f t="shared" si="30"/>
        <v>0</v>
      </c>
      <c r="T161" s="11">
        <f t="shared" si="31"/>
        <v>0</v>
      </c>
      <c r="U161" s="11">
        <f t="shared" si="32"/>
        <v>0</v>
      </c>
      <c r="V161" s="26">
        <f t="shared" si="33"/>
        <v>0</v>
      </c>
      <c r="W161" s="27">
        <f t="shared" si="34"/>
        <v>0</v>
      </c>
      <c r="X161" s="4">
        <v>7002</v>
      </c>
      <c r="Y161" s="4"/>
      <c r="Z161" s="4"/>
      <c r="AA161" s="12">
        <f t="shared" si="35"/>
        <v>0</v>
      </c>
      <c r="AC161" s="568"/>
      <c r="AD161" s="84"/>
      <c r="AE161" s="84"/>
      <c r="AF161" s="84"/>
      <c r="AG161" s="1"/>
      <c r="AH161" s="1"/>
    </row>
    <row r="162" spans="1:34" ht="12.75" customHeight="1">
      <c r="A162" s="24"/>
      <c r="B162" s="105">
        <f t="shared" si="24"/>
        <v>159</v>
      </c>
      <c r="C162" s="6">
        <v>701200</v>
      </c>
      <c r="D162" s="6" t="s">
        <v>279</v>
      </c>
      <c r="E162" s="9" t="s">
        <v>32</v>
      </c>
      <c r="F162" s="6"/>
      <c r="G162" s="6"/>
      <c r="H162" s="11">
        <f>+STAT1!V162</f>
        <v>0</v>
      </c>
      <c r="I162" s="11">
        <f>+STAT1!W162</f>
        <v>0</v>
      </c>
      <c r="J162" s="11">
        <f>+SUMIFS(JURNAL!G:G,JURNAL!E:E,C162,JURNAL!C:C,"&gt;="&amp;$H$1,JURNAL!C:C,"&lt;="&amp;$I$1)</f>
        <v>0</v>
      </c>
      <c r="K162" s="11">
        <f>+SUMIFS(JURNAL!H:H,JURNAL!E:E,C162,JURNAL!C:C,"&gt;="&amp;$H$1,JURNAL!C:C,"&lt;="&amp;$I$1)</f>
        <v>0</v>
      </c>
      <c r="L162" s="26">
        <f t="shared" si="27"/>
        <v>0</v>
      </c>
      <c r="M162" s="27">
        <f t="shared" si="28"/>
        <v>0</v>
      </c>
      <c r="N162" s="11"/>
      <c r="O162" s="11"/>
      <c r="P162" s="11"/>
      <c r="Q162" s="11"/>
      <c r="R162" s="26">
        <f t="shared" si="29"/>
        <v>0</v>
      </c>
      <c r="S162" s="27">
        <f t="shared" si="30"/>
        <v>0</v>
      </c>
      <c r="T162" s="11">
        <f t="shared" si="31"/>
        <v>0</v>
      </c>
      <c r="U162" s="11">
        <f t="shared" si="32"/>
        <v>0</v>
      </c>
      <c r="V162" s="26">
        <f t="shared" si="33"/>
        <v>0</v>
      </c>
      <c r="W162" s="27">
        <f t="shared" si="34"/>
        <v>0</v>
      </c>
      <c r="X162" s="4">
        <v>7002</v>
      </c>
      <c r="Y162" s="4"/>
      <c r="Z162" s="4"/>
      <c r="AA162" s="12">
        <f t="shared" si="35"/>
        <v>0</v>
      </c>
      <c r="AC162" s="568"/>
      <c r="AD162" s="84"/>
      <c r="AE162" s="84"/>
      <c r="AF162" s="84"/>
      <c r="AG162" s="1"/>
      <c r="AH162" s="1"/>
    </row>
    <row r="163" spans="1:34" ht="12.75" customHeight="1">
      <c r="A163" s="24"/>
      <c r="B163" s="105">
        <f t="shared" si="24"/>
        <v>160</v>
      </c>
      <c r="C163" s="6">
        <v>701300</v>
      </c>
      <c r="D163" s="6" t="s">
        <v>280</v>
      </c>
      <c r="E163" s="9" t="s">
        <v>32</v>
      </c>
      <c r="F163" s="6"/>
      <c r="G163" s="6"/>
      <c r="H163" s="11">
        <f>+STAT1!V163</f>
        <v>0</v>
      </c>
      <c r="I163" s="11">
        <f>+STAT1!W163</f>
        <v>0</v>
      </c>
      <c r="J163" s="11">
        <f>+SUMIFS(JURNAL!G:G,JURNAL!E:E,C163,JURNAL!C:C,"&gt;="&amp;$H$1,JURNAL!C:C,"&lt;="&amp;$I$1)</f>
        <v>0</v>
      </c>
      <c r="K163" s="11">
        <f>+SUMIFS(JURNAL!H:H,JURNAL!E:E,C163,JURNAL!C:C,"&gt;="&amp;$H$1,JURNAL!C:C,"&lt;="&amp;$I$1)</f>
        <v>0</v>
      </c>
      <c r="L163" s="26">
        <f t="shared" si="27"/>
        <v>0</v>
      </c>
      <c r="M163" s="27">
        <f t="shared" si="28"/>
        <v>0</v>
      </c>
      <c r="N163" s="11"/>
      <c r="O163" s="11"/>
      <c r="P163" s="11"/>
      <c r="Q163" s="11"/>
      <c r="R163" s="26">
        <f t="shared" si="29"/>
        <v>0</v>
      </c>
      <c r="S163" s="27">
        <f t="shared" si="30"/>
        <v>0</v>
      </c>
      <c r="T163" s="11">
        <f t="shared" si="31"/>
        <v>0</v>
      </c>
      <c r="U163" s="11">
        <f t="shared" si="32"/>
        <v>0</v>
      </c>
      <c r="V163" s="26">
        <f t="shared" si="33"/>
        <v>0</v>
      </c>
      <c r="W163" s="27">
        <f t="shared" si="34"/>
        <v>0</v>
      </c>
      <c r="X163" s="4">
        <v>7002</v>
      </c>
      <c r="Y163" s="4"/>
      <c r="Z163" s="4"/>
      <c r="AA163" s="12">
        <f t="shared" si="35"/>
        <v>0</v>
      </c>
      <c r="AC163" s="568"/>
      <c r="AD163" s="84"/>
      <c r="AE163" s="84"/>
      <c r="AF163" s="84"/>
      <c r="AG163" s="1"/>
      <c r="AH163" s="1"/>
    </row>
    <row r="164" spans="1:34" ht="12.75" customHeight="1">
      <c r="A164" s="24"/>
      <c r="B164" s="105">
        <f t="shared" si="24"/>
        <v>161</v>
      </c>
      <c r="C164" s="6">
        <v>701400</v>
      </c>
      <c r="D164" s="6" t="s">
        <v>277</v>
      </c>
      <c r="E164" s="9" t="s">
        <v>32</v>
      </c>
      <c r="F164" s="6"/>
      <c r="G164" s="6"/>
      <c r="H164" s="11">
        <f>+STAT1!V164</f>
        <v>0</v>
      </c>
      <c r="I164" s="11">
        <f>+STAT1!W164</f>
        <v>0</v>
      </c>
      <c r="J164" s="11">
        <f>+SUMIFS(JURNAL!G:G,JURNAL!E:E,C164,JURNAL!C:C,"&gt;="&amp;$H$1,JURNAL!C:C,"&lt;="&amp;$I$1)</f>
        <v>50000</v>
      </c>
      <c r="K164" s="11">
        <f>+SUMIFS(JURNAL!H:H,JURNAL!E:E,C164,JURNAL!C:C,"&gt;="&amp;$H$1,JURNAL!C:C,"&lt;="&amp;$I$1)</f>
        <v>0</v>
      </c>
      <c r="L164" s="26">
        <f t="shared" si="27"/>
        <v>50000</v>
      </c>
      <c r="M164" s="27">
        <f t="shared" si="28"/>
        <v>0</v>
      </c>
      <c r="N164" s="11"/>
      <c r="O164" s="11"/>
      <c r="P164" s="11"/>
      <c r="Q164" s="11"/>
      <c r="R164" s="26">
        <f t="shared" si="29"/>
        <v>50000</v>
      </c>
      <c r="S164" s="27">
        <f t="shared" si="30"/>
        <v>0</v>
      </c>
      <c r="T164" s="11">
        <f t="shared" si="31"/>
        <v>0</v>
      </c>
      <c r="U164" s="11">
        <f t="shared" si="32"/>
        <v>50000</v>
      </c>
      <c r="V164" s="26">
        <f t="shared" si="33"/>
        <v>0</v>
      </c>
      <c r="W164" s="27">
        <f t="shared" si="34"/>
        <v>0</v>
      </c>
      <c r="X164" s="4">
        <v>7002</v>
      </c>
      <c r="Y164" s="4"/>
      <c r="Z164" s="4"/>
      <c r="AA164" s="12">
        <f t="shared" si="35"/>
        <v>1</v>
      </c>
      <c r="AC164" s="568"/>
      <c r="AD164" s="84"/>
      <c r="AE164" s="84"/>
      <c r="AF164" s="84"/>
      <c r="AG164" s="1"/>
      <c r="AH164" s="1"/>
    </row>
    <row r="165" spans="1:34" ht="12.75" customHeight="1">
      <c r="A165" s="24"/>
      <c r="B165" s="105">
        <f t="shared" si="24"/>
        <v>162</v>
      </c>
      <c r="C165" s="6">
        <v>701500</v>
      </c>
      <c r="D165" s="6" t="s">
        <v>635</v>
      </c>
      <c r="E165" s="9" t="s">
        <v>32</v>
      </c>
      <c r="F165" s="6"/>
      <c r="G165" s="6"/>
      <c r="H165" s="11">
        <f>+STAT1!V165</f>
        <v>0</v>
      </c>
      <c r="I165" s="11">
        <f>+STAT1!W165</f>
        <v>0</v>
      </c>
      <c r="J165" s="11">
        <f>+SUMIFS(JURNAL!G:G,JURNAL!E:E,C165,JURNAL!C:C,"&gt;="&amp;$H$1,JURNAL!C:C,"&lt;="&amp;$I$1)</f>
        <v>0</v>
      </c>
      <c r="K165" s="11">
        <f>+SUMIFS(JURNAL!H:H,JURNAL!E:E,C165,JURNAL!C:C,"&gt;="&amp;$H$1,JURNAL!C:C,"&lt;="&amp;$I$1)</f>
        <v>0</v>
      </c>
      <c r="L165" s="26">
        <f t="shared" si="27"/>
        <v>0</v>
      </c>
      <c r="M165" s="27">
        <f t="shared" si="28"/>
        <v>0</v>
      </c>
      <c r="N165" s="11"/>
      <c r="O165" s="11"/>
      <c r="P165" s="11"/>
      <c r="Q165" s="11"/>
      <c r="R165" s="26">
        <f t="shared" si="29"/>
        <v>0</v>
      </c>
      <c r="S165" s="27">
        <f t="shared" si="30"/>
        <v>0</v>
      </c>
      <c r="T165" s="11">
        <f t="shared" si="31"/>
        <v>0</v>
      </c>
      <c r="U165" s="11">
        <f t="shared" si="32"/>
        <v>0</v>
      </c>
      <c r="V165" s="26">
        <f t="shared" si="33"/>
        <v>0</v>
      </c>
      <c r="W165" s="27">
        <f t="shared" si="34"/>
        <v>0</v>
      </c>
      <c r="X165" s="4">
        <v>7002</v>
      </c>
      <c r="Y165" s="4"/>
      <c r="Z165" s="4"/>
      <c r="AA165" s="12">
        <f t="shared" si="35"/>
        <v>0</v>
      </c>
      <c r="AC165" s="568"/>
      <c r="AD165" s="84"/>
      <c r="AE165" s="84"/>
      <c r="AF165" s="84"/>
      <c r="AG165" s="1"/>
      <c r="AH165" s="1"/>
    </row>
    <row r="166" spans="1:34" ht="12.75" customHeight="1">
      <c r="A166" s="24"/>
      <c r="B166" s="105">
        <f t="shared" si="24"/>
        <v>163</v>
      </c>
      <c r="C166" s="6">
        <v>701600</v>
      </c>
      <c r="D166" s="6" t="s">
        <v>641</v>
      </c>
      <c r="E166" s="9" t="s">
        <v>32</v>
      </c>
      <c r="F166" s="6"/>
      <c r="G166" s="6"/>
      <c r="H166" s="11">
        <f>+STAT1!V166</f>
        <v>0</v>
      </c>
      <c r="I166" s="11">
        <f>+STAT1!W166</f>
        <v>0</v>
      </c>
      <c r="J166" s="11">
        <f>+SUMIFS(JURNAL!G:G,JURNAL!E:E,C166,JURNAL!C:C,"&gt;="&amp;$H$1,JURNAL!C:C,"&lt;="&amp;$I$1)</f>
        <v>27614855.220000003</v>
      </c>
      <c r="K166" s="11">
        <f>+SUMIFS(JURNAL!H:H,JURNAL!E:E,C166,JURNAL!C:C,"&gt;="&amp;$H$1,JURNAL!C:C,"&lt;="&amp;$I$1)</f>
        <v>21091939.649999999</v>
      </c>
      <c r="L166" s="26">
        <f t="shared" si="27"/>
        <v>6522915.570000004</v>
      </c>
      <c r="M166" s="27">
        <f t="shared" si="28"/>
        <v>0</v>
      </c>
      <c r="N166" s="11"/>
      <c r="O166" s="11"/>
      <c r="P166" s="11"/>
      <c r="Q166" s="11"/>
      <c r="R166" s="26">
        <f t="shared" si="29"/>
        <v>6522915.570000004</v>
      </c>
      <c r="S166" s="27">
        <f t="shared" si="30"/>
        <v>0</v>
      </c>
      <c r="T166" s="11">
        <f t="shared" si="31"/>
        <v>0</v>
      </c>
      <c r="U166" s="11">
        <f t="shared" si="32"/>
        <v>6522915.570000004</v>
      </c>
      <c r="V166" s="26">
        <f t="shared" si="33"/>
        <v>0</v>
      </c>
      <c r="W166" s="27">
        <f t="shared" si="34"/>
        <v>0</v>
      </c>
      <c r="X166" s="4">
        <v>7002</v>
      </c>
      <c r="Y166" s="4"/>
      <c r="Z166" s="4"/>
      <c r="AA166" s="12">
        <f t="shared" si="35"/>
        <v>1</v>
      </c>
      <c r="AC166" s="568"/>
      <c r="AD166" s="84"/>
      <c r="AE166" s="84"/>
      <c r="AF166" s="84"/>
      <c r="AG166" s="1"/>
      <c r="AH166" s="1"/>
    </row>
    <row r="167" spans="1:34" ht="12.75" customHeight="1">
      <c r="A167" s="24"/>
      <c r="B167" s="105">
        <f t="shared" si="24"/>
        <v>164</v>
      </c>
      <c r="C167" s="6">
        <v>701700</v>
      </c>
      <c r="D167" s="6" t="s">
        <v>281</v>
      </c>
      <c r="E167" s="9" t="s">
        <v>32</v>
      </c>
      <c r="F167" s="6"/>
      <c r="G167" s="6"/>
      <c r="H167" s="11">
        <f>+STAT1!V167</f>
        <v>0</v>
      </c>
      <c r="I167" s="11">
        <f>+STAT1!W167</f>
        <v>0</v>
      </c>
      <c r="J167" s="11">
        <f>+SUMIFS(JURNAL!G:G,JURNAL!E:E,C167,JURNAL!C:C,"&gt;="&amp;$H$1,JURNAL!C:C,"&lt;="&amp;$I$1)</f>
        <v>0</v>
      </c>
      <c r="K167" s="11">
        <f>+SUMIFS(JURNAL!H:H,JURNAL!E:E,C167,JURNAL!C:C,"&gt;="&amp;$H$1,JURNAL!C:C,"&lt;="&amp;$I$1)</f>
        <v>0</v>
      </c>
      <c r="L167" s="26">
        <f t="shared" si="27"/>
        <v>0</v>
      </c>
      <c r="M167" s="27">
        <f t="shared" si="28"/>
        <v>0</v>
      </c>
      <c r="N167" s="11"/>
      <c r="O167" s="11"/>
      <c r="P167" s="11"/>
      <c r="Q167" s="11"/>
      <c r="R167" s="26">
        <f t="shared" si="29"/>
        <v>0</v>
      </c>
      <c r="S167" s="27">
        <f t="shared" si="30"/>
        <v>0</v>
      </c>
      <c r="T167" s="11">
        <f t="shared" si="31"/>
        <v>0</v>
      </c>
      <c r="U167" s="11">
        <f t="shared" si="32"/>
        <v>0</v>
      </c>
      <c r="V167" s="26">
        <f t="shared" si="33"/>
        <v>0</v>
      </c>
      <c r="W167" s="27">
        <f t="shared" si="34"/>
        <v>0</v>
      </c>
      <c r="X167" s="4">
        <v>7001</v>
      </c>
      <c r="Y167" s="4"/>
      <c r="Z167" s="4"/>
      <c r="AA167" s="12">
        <f t="shared" si="35"/>
        <v>0</v>
      </c>
      <c r="AC167" s="568"/>
      <c r="AD167" s="84"/>
      <c r="AE167" s="84"/>
      <c r="AF167" s="84"/>
      <c r="AG167" s="1"/>
      <c r="AH167" s="1"/>
    </row>
    <row r="168" spans="1:34" ht="12.75" customHeight="1">
      <c r="A168" s="24"/>
      <c r="B168" s="105">
        <f t="shared" si="24"/>
        <v>165</v>
      </c>
      <c r="C168" s="6">
        <v>701800</v>
      </c>
      <c r="D168" s="6" t="s">
        <v>650</v>
      </c>
      <c r="E168" s="9" t="s">
        <v>32</v>
      </c>
      <c r="F168" s="6"/>
      <c r="G168" s="6"/>
      <c r="H168" s="11">
        <f>+STAT1!V168</f>
        <v>0</v>
      </c>
      <c r="I168" s="11">
        <f>+STAT1!W168</f>
        <v>0</v>
      </c>
      <c r="J168" s="11">
        <f>+SUMIFS(JURNAL!G:G,JURNAL!E:E,C168,JURNAL!C:C,"&gt;="&amp;$H$1,JURNAL!C:C,"&lt;="&amp;$I$1)</f>
        <v>0</v>
      </c>
      <c r="K168" s="11">
        <f>+SUMIFS(JURNAL!H:H,JURNAL!E:E,C168,JURNAL!C:C,"&gt;="&amp;$H$1,JURNAL!C:C,"&lt;="&amp;$I$1)</f>
        <v>0</v>
      </c>
      <c r="L168" s="26">
        <f t="shared" si="27"/>
        <v>0</v>
      </c>
      <c r="M168" s="27">
        <f t="shared" si="28"/>
        <v>0</v>
      </c>
      <c r="N168" s="11"/>
      <c r="O168" s="11"/>
      <c r="P168" s="11"/>
      <c r="Q168" s="11"/>
      <c r="R168" s="26">
        <f t="shared" si="29"/>
        <v>0</v>
      </c>
      <c r="S168" s="27">
        <f t="shared" si="30"/>
        <v>0</v>
      </c>
      <c r="T168" s="11">
        <f t="shared" si="31"/>
        <v>0</v>
      </c>
      <c r="U168" s="11">
        <f t="shared" si="32"/>
        <v>0</v>
      </c>
      <c r="V168" s="26">
        <f t="shared" si="33"/>
        <v>0</v>
      </c>
      <c r="W168" s="27">
        <f t="shared" si="34"/>
        <v>0</v>
      </c>
      <c r="X168" s="4">
        <v>7002</v>
      </c>
      <c r="Y168" s="4"/>
      <c r="Z168" s="4"/>
      <c r="AA168" s="12">
        <f t="shared" si="35"/>
        <v>0</v>
      </c>
      <c r="AC168" s="568"/>
      <c r="AD168" s="84"/>
      <c r="AE168" s="84"/>
      <c r="AF168" s="84"/>
      <c r="AG168" s="1"/>
      <c r="AH168" s="1"/>
    </row>
    <row r="169" spans="1:34" ht="12.75" customHeight="1">
      <c r="A169" s="24"/>
      <c r="B169" s="105">
        <f t="shared" si="24"/>
        <v>166</v>
      </c>
      <c r="C169" s="6">
        <v>701900</v>
      </c>
      <c r="D169" s="6" t="s">
        <v>654</v>
      </c>
      <c r="E169" s="9" t="s">
        <v>32</v>
      </c>
      <c r="F169" s="6"/>
      <c r="G169" s="6"/>
      <c r="H169" s="11">
        <f>+STAT1!V169</f>
        <v>0</v>
      </c>
      <c r="I169" s="11">
        <f>+STAT1!W169</f>
        <v>0</v>
      </c>
      <c r="J169" s="11">
        <f>+SUMIFS(JURNAL!G:G,JURNAL!E:E,C169,JURNAL!C:C,"&gt;="&amp;$H$1,JURNAL!C:C,"&lt;="&amp;$I$1)</f>
        <v>163249.99</v>
      </c>
      <c r="K169" s="11">
        <f>+SUMIFS(JURNAL!H:H,JURNAL!E:E,C169,JURNAL!C:C,"&gt;="&amp;$H$1,JURNAL!C:C,"&lt;="&amp;$I$1)</f>
        <v>0</v>
      </c>
      <c r="L169" s="26">
        <f t="shared" si="27"/>
        <v>163249.99</v>
      </c>
      <c r="M169" s="27">
        <f t="shared" si="28"/>
        <v>0</v>
      </c>
      <c r="N169" s="11"/>
      <c r="O169" s="11"/>
      <c r="P169" s="11"/>
      <c r="Q169" s="11"/>
      <c r="R169" s="26">
        <f t="shared" si="29"/>
        <v>163249.99</v>
      </c>
      <c r="S169" s="27">
        <f t="shared" si="30"/>
        <v>0</v>
      </c>
      <c r="T169" s="11">
        <f t="shared" si="31"/>
        <v>0</v>
      </c>
      <c r="U169" s="11">
        <f t="shared" si="32"/>
        <v>163249.99</v>
      </c>
      <c r="V169" s="26">
        <f t="shared" si="33"/>
        <v>0</v>
      </c>
      <c r="W169" s="27">
        <f t="shared" si="34"/>
        <v>0</v>
      </c>
      <c r="X169" s="4">
        <v>7002</v>
      </c>
      <c r="Y169" s="4"/>
      <c r="Z169" s="4"/>
      <c r="AA169" s="12">
        <f t="shared" si="35"/>
        <v>1</v>
      </c>
      <c r="AC169" s="568"/>
      <c r="AD169" s="84"/>
      <c r="AE169" s="84"/>
      <c r="AF169" s="84"/>
      <c r="AG169" s="1"/>
      <c r="AH169" s="1"/>
    </row>
    <row r="170" spans="1:34" ht="12.75" customHeight="1">
      <c r="A170" s="24"/>
      <c r="B170" s="105">
        <f t="shared" si="24"/>
        <v>167</v>
      </c>
      <c r="C170" s="6">
        <v>702000</v>
      </c>
      <c r="D170" s="6" t="s">
        <v>658</v>
      </c>
      <c r="E170" s="9" t="s">
        <v>32</v>
      </c>
      <c r="F170" s="6"/>
      <c r="G170" s="6"/>
      <c r="H170" s="11">
        <f>+STAT1!V170</f>
        <v>0</v>
      </c>
      <c r="I170" s="11">
        <f>+STAT1!W170</f>
        <v>0</v>
      </c>
      <c r="J170" s="11">
        <f>+SUMIFS(JURNAL!G:G,JURNAL!E:E,C170,JURNAL!C:C,"&gt;="&amp;$H$1,JURNAL!C:C,"&lt;="&amp;$I$1)</f>
        <v>324475.44</v>
      </c>
      <c r="K170" s="11">
        <f>+SUMIFS(JURNAL!H:H,JURNAL!E:E,C170,JURNAL!C:C,"&gt;="&amp;$H$1,JURNAL!C:C,"&lt;="&amp;$I$1)</f>
        <v>0</v>
      </c>
      <c r="L170" s="26">
        <f t="shared" si="27"/>
        <v>324475.44</v>
      </c>
      <c r="M170" s="27">
        <f t="shared" si="28"/>
        <v>0</v>
      </c>
      <c r="N170" s="11"/>
      <c r="O170" s="11"/>
      <c r="P170" s="11"/>
      <c r="Q170" s="11"/>
      <c r="R170" s="26">
        <f t="shared" si="29"/>
        <v>324475.44</v>
      </c>
      <c r="S170" s="27">
        <f t="shared" si="30"/>
        <v>0</v>
      </c>
      <c r="T170" s="11">
        <f t="shared" si="31"/>
        <v>0</v>
      </c>
      <c r="U170" s="11">
        <f t="shared" si="32"/>
        <v>324475.44</v>
      </c>
      <c r="V170" s="26">
        <f t="shared" si="33"/>
        <v>0</v>
      </c>
      <c r="W170" s="27">
        <f t="shared" si="34"/>
        <v>0</v>
      </c>
      <c r="X170" s="4">
        <v>7002</v>
      </c>
      <c r="Y170" s="4"/>
      <c r="Z170" s="4"/>
      <c r="AA170" s="12">
        <f t="shared" si="35"/>
        <v>1</v>
      </c>
      <c r="AC170" s="568"/>
      <c r="AD170" s="84"/>
      <c r="AE170" s="84"/>
      <c r="AF170" s="84"/>
      <c r="AG170" s="1"/>
      <c r="AH170" s="1"/>
    </row>
    <row r="171" spans="1:34" ht="12.75" customHeight="1">
      <c r="A171" s="24"/>
      <c r="B171" s="105">
        <f t="shared" si="24"/>
        <v>168</v>
      </c>
      <c r="C171" s="6">
        <v>702100</v>
      </c>
      <c r="D171" s="6" t="s">
        <v>662</v>
      </c>
      <c r="E171" s="9" t="s">
        <v>32</v>
      </c>
      <c r="F171" s="6"/>
      <c r="G171" s="6"/>
      <c r="H171" s="11">
        <f>+STAT1!V171</f>
        <v>0</v>
      </c>
      <c r="I171" s="11">
        <f>+STAT1!W171</f>
        <v>0</v>
      </c>
      <c r="J171" s="11">
        <f>+SUMIFS(JURNAL!G:G,JURNAL!E:E,C171,JURNAL!C:C,"&gt;="&amp;$H$1,JURNAL!C:C,"&lt;="&amp;$I$1)</f>
        <v>0</v>
      </c>
      <c r="K171" s="11">
        <f>+SUMIFS(JURNAL!H:H,JURNAL!E:E,C171,JURNAL!C:C,"&gt;="&amp;$H$1,JURNAL!C:C,"&lt;="&amp;$I$1)</f>
        <v>0</v>
      </c>
      <c r="L171" s="26">
        <f t="shared" si="27"/>
        <v>0</v>
      </c>
      <c r="M171" s="27">
        <f t="shared" si="28"/>
        <v>0</v>
      </c>
      <c r="N171" s="11"/>
      <c r="O171" s="11"/>
      <c r="P171" s="11"/>
      <c r="Q171" s="11"/>
      <c r="R171" s="26">
        <f t="shared" si="29"/>
        <v>0</v>
      </c>
      <c r="S171" s="27">
        <f t="shared" si="30"/>
        <v>0</v>
      </c>
      <c r="T171" s="11">
        <f t="shared" si="31"/>
        <v>0</v>
      </c>
      <c r="U171" s="11">
        <f t="shared" si="32"/>
        <v>0</v>
      </c>
      <c r="V171" s="26">
        <f t="shared" si="33"/>
        <v>0</v>
      </c>
      <c r="W171" s="27">
        <f t="shared" si="34"/>
        <v>0</v>
      </c>
      <c r="X171" s="4">
        <v>7002</v>
      </c>
      <c r="Y171" s="4"/>
      <c r="Z171" s="4"/>
      <c r="AA171" s="12">
        <f t="shared" si="35"/>
        <v>0</v>
      </c>
      <c r="AC171" s="568"/>
      <c r="AD171" s="84"/>
      <c r="AE171" s="84"/>
      <c r="AF171" s="84"/>
      <c r="AG171" s="1"/>
      <c r="AH171" s="1"/>
    </row>
    <row r="172" spans="1:34" ht="12.75" customHeight="1">
      <c r="A172" s="24"/>
      <c r="B172" s="105">
        <f t="shared" si="24"/>
        <v>169</v>
      </c>
      <c r="C172" s="6">
        <v>702300</v>
      </c>
      <c r="D172" s="6" t="s">
        <v>666</v>
      </c>
      <c r="E172" s="9" t="s">
        <v>32</v>
      </c>
      <c r="F172" s="6"/>
      <c r="G172" s="6"/>
      <c r="H172" s="11">
        <f>+STAT1!V172</f>
        <v>0</v>
      </c>
      <c r="I172" s="11">
        <f>+STAT1!W172</f>
        <v>0</v>
      </c>
      <c r="J172" s="11">
        <f>+SUMIFS(JURNAL!G:G,JURNAL!E:E,C172,JURNAL!C:C,"&gt;="&amp;$H$1,JURNAL!C:C,"&lt;="&amp;$I$1)</f>
        <v>0</v>
      </c>
      <c r="K172" s="11">
        <f>+SUMIFS(JURNAL!H:H,JURNAL!E:E,C172,JURNAL!C:C,"&gt;="&amp;$H$1,JURNAL!C:C,"&lt;="&amp;$I$1)</f>
        <v>0</v>
      </c>
      <c r="L172" s="26">
        <f t="shared" si="27"/>
        <v>0</v>
      </c>
      <c r="M172" s="27">
        <f t="shared" si="28"/>
        <v>0</v>
      </c>
      <c r="N172" s="11"/>
      <c r="O172" s="11"/>
      <c r="P172" s="11"/>
      <c r="Q172" s="11"/>
      <c r="R172" s="26">
        <f t="shared" si="29"/>
        <v>0</v>
      </c>
      <c r="S172" s="27">
        <f t="shared" si="30"/>
        <v>0</v>
      </c>
      <c r="T172" s="11">
        <f t="shared" si="31"/>
        <v>0</v>
      </c>
      <c r="U172" s="11">
        <f t="shared" si="32"/>
        <v>0</v>
      </c>
      <c r="V172" s="26">
        <f t="shared" si="33"/>
        <v>0</v>
      </c>
      <c r="W172" s="27">
        <f t="shared" si="34"/>
        <v>0</v>
      </c>
      <c r="X172" s="4">
        <v>7002</v>
      </c>
      <c r="Y172" s="4"/>
      <c r="Z172" s="4"/>
      <c r="AA172" s="12">
        <f t="shared" si="35"/>
        <v>0</v>
      </c>
      <c r="AC172" s="568"/>
      <c r="AD172" s="84"/>
      <c r="AE172" s="84"/>
      <c r="AF172" s="84"/>
      <c r="AG172" s="1"/>
      <c r="AH172" s="1"/>
    </row>
    <row r="173" spans="1:34" ht="12.75" customHeight="1">
      <c r="A173" s="24"/>
      <c r="B173" s="105">
        <f t="shared" si="24"/>
        <v>170</v>
      </c>
      <c r="C173" s="6">
        <v>702500</v>
      </c>
      <c r="D173" s="6" t="s">
        <v>283</v>
      </c>
      <c r="E173" s="9" t="s">
        <v>32</v>
      </c>
      <c r="F173" s="6"/>
      <c r="G173" s="6"/>
      <c r="H173" s="11">
        <f>+STAT1!V173</f>
        <v>0</v>
      </c>
      <c r="I173" s="11">
        <f>+STAT1!W173</f>
        <v>0</v>
      </c>
      <c r="J173" s="11">
        <f>+SUMIFS(JURNAL!G:G,JURNAL!E:E,C173,JURNAL!C:C,"&gt;="&amp;$H$1,JURNAL!C:C,"&lt;="&amp;$I$1)</f>
        <v>7525837.6999999993</v>
      </c>
      <c r="K173" s="11">
        <f>+SUMIFS(JURNAL!H:H,JURNAL!E:E,C173,JURNAL!C:C,"&gt;="&amp;$H$1,JURNAL!C:C,"&lt;="&amp;$I$1)</f>
        <v>0</v>
      </c>
      <c r="L173" s="26">
        <f t="shared" si="27"/>
        <v>7525837.6999999993</v>
      </c>
      <c r="M173" s="27">
        <f t="shared" si="28"/>
        <v>0</v>
      </c>
      <c r="N173" s="11"/>
      <c r="O173" s="11"/>
      <c r="P173" s="11"/>
      <c r="Q173" s="11"/>
      <c r="R173" s="26">
        <f t="shared" si="29"/>
        <v>7525837.6999999993</v>
      </c>
      <c r="S173" s="27">
        <f t="shared" si="30"/>
        <v>0</v>
      </c>
      <c r="T173" s="11">
        <f t="shared" si="31"/>
        <v>0</v>
      </c>
      <c r="U173" s="11">
        <f t="shared" si="32"/>
        <v>7525837.6999999993</v>
      </c>
      <c r="V173" s="26">
        <f t="shared" si="33"/>
        <v>0</v>
      </c>
      <c r="W173" s="27">
        <f t="shared" si="34"/>
        <v>0</v>
      </c>
      <c r="X173" s="4">
        <v>7002</v>
      </c>
      <c r="Y173" s="4"/>
      <c r="Z173" s="4"/>
      <c r="AA173" s="12">
        <f t="shared" si="35"/>
        <v>1</v>
      </c>
      <c r="AC173" s="568"/>
      <c r="AD173" s="84"/>
      <c r="AE173" s="84"/>
      <c r="AF173" s="84"/>
      <c r="AG173" s="1"/>
      <c r="AH173" s="1"/>
    </row>
    <row r="174" spans="1:34" ht="12.75" customHeight="1">
      <c r="A174" s="24"/>
      <c r="B174" s="105">
        <f t="shared" si="24"/>
        <v>171</v>
      </c>
      <c r="C174" s="6">
        <v>702400</v>
      </c>
      <c r="D174" s="6" t="s">
        <v>974</v>
      </c>
      <c r="E174" s="9" t="s">
        <v>32</v>
      </c>
      <c r="F174" s="6"/>
      <c r="G174" s="6"/>
      <c r="H174" s="11">
        <f>+STAT1!V174</f>
        <v>0</v>
      </c>
      <c r="I174" s="11">
        <f>+STAT1!W174</f>
        <v>0</v>
      </c>
      <c r="J174" s="11">
        <f>+SUMIFS(JURNAL!G:G,JURNAL!E:E,C174,JURNAL!C:C,"&gt;="&amp;$H$1,JURNAL!C:C,"&lt;="&amp;$I$1)</f>
        <v>0</v>
      </c>
      <c r="K174" s="11">
        <f>+SUMIFS(JURNAL!H:H,JURNAL!E:E,C174,JURNAL!C:C,"&gt;="&amp;$H$1,JURNAL!C:C,"&lt;="&amp;$I$1)</f>
        <v>0</v>
      </c>
      <c r="L174" s="26">
        <f t="shared" si="27"/>
        <v>0</v>
      </c>
      <c r="M174" s="27">
        <f t="shared" si="28"/>
        <v>0</v>
      </c>
      <c r="N174" s="11"/>
      <c r="O174" s="11"/>
      <c r="P174" s="11"/>
      <c r="Q174" s="11"/>
      <c r="R174" s="26">
        <f t="shared" si="29"/>
        <v>0</v>
      </c>
      <c r="S174" s="27">
        <f t="shared" si="30"/>
        <v>0</v>
      </c>
      <c r="T174" s="11">
        <f t="shared" si="31"/>
        <v>0</v>
      </c>
      <c r="U174" s="11">
        <f t="shared" si="32"/>
        <v>0</v>
      </c>
      <c r="V174" s="26">
        <f t="shared" si="33"/>
        <v>0</v>
      </c>
      <c r="W174" s="27">
        <f t="shared" si="34"/>
        <v>0</v>
      </c>
      <c r="X174" s="4">
        <v>7002</v>
      </c>
      <c r="Y174" s="4"/>
      <c r="Z174" s="4"/>
      <c r="AA174" s="12">
        <f t="shared" si="35"/>
        <v>0</v>
      </c>
      <c r="AC174" s="568"/>
      <c r="AD174" s="84"/>
      <c r="AE174" s="84"/>
      <c r="AF174" s="84"/>
      <c r="AG174" s="1"/>
      <c r="AH174" s="1"/>
    </row>
    <row r="175" spans="1:34" ht="12.75" customHeight="1">
      <c r="A175" s="24"/>
      <c r="B175" s="105">
        <f t="shared" si="24"/>
        <v>172</v>
      </c>
      <c r="C175" s="6">
        <v>702600</v>
      </c>
      <c r="D175" s="6" t="s">
        <v>676</v>
      </c>
      <c r="E175" s="9" t="s">
        <v>32</v>
      </c>
      <c r="F175" s="6"/>
      <c r="G175" s="6"/>
      <c r="H175" s="11">
        <f>+STAT1!V175</f>
        <v>0</v>
      </c>
      <c r="I175" s="11">
        <f>+STAT1!W175</f>
        <v>0</v>
      </c>
      <c r="J175" s="11">
        <f>+SUMIFS(JURNAL!G:G,JURNAL!E:E,C175,JURNAL!C:C,"&gt;="&amp;$H$1,JURNAL!C:C,"&lt;="&amp;$I$1)</f>
        <v>0</v>
      </c>
      <c r="K175" s="11">
        <f>+SUMIFS(JURNAL!H:H,JURNAL!E:E,C175,JURNAL!C:C,"&gt;="&amp;$H$1,JURNAL!C:C,"&lt;="&amp;$I$1)</f>
        <v>0</v>
      </c>
      <c r="L175" s="26">
        <f t="shared" si="27"/>
        <v>0</v>
      </c>
      <c r="M175" s="27">
        <f t="shared" si="28"/>
        <v>0</v>
      </c>
      <c r="N175" s="11"/>
      <c r="O175" s="11"/>
      <c r="P175" s="11"/>
      <c r="Q175" s="11"/>
      <c r="R175" s="26">
        <f t="shared" si="29"/>
        <v>0</v>
      </c>
      <c r="S175" s="27">
        <f t="shared" si="30"/>
        <v>0</v>
      </c>
      <c r="T175" s="11">
        <f t="shared" si="31"/>
        <v>0</v>
      </c>
      <c r="U175" s="11">
        <f t="shared" si="32"/>
        <v>0</v>
      </c>
      <c r="V175" s="26">
        <f t="shared" si="33"/>
        <v>0</v>
      </c>
      <c r="W175" s="27">
        <f t="shared" si="34"/>
        <v>0</v>
      </c>
      <c r="X175" s="4">
        <v>7002</v>
      </c>
      <c r="Y175" s="4"/>
      <c r="Z175" s="4"/>
      <c r="AA175" s="12">
        <f t="shared" si="35"/>
        <v>0</v>
      </c>
      <c r="AC175" s="568"/>
      <c r="AD175" s="84"/>
      <c r="AE175" s="84"/>
      <c r="AF175" s="84"/>
      <c r="AG175" s="1"/>
      <c r="AH175" s="1"/>
    </row>
    <row r="176" spans="1:34" ht="12.75" customHeight="1">
      <c r="A176" s="24"/>
      <c r="B176" s="105">
        <f t="shared" si="24"/>
        <v>173</v>
      </c>
      <c r="C176" s="6">
        <v>702700</v>
      </c>
      <c r="D176" s="6" t="s">
        <v>680</v>
      </c>
      <c r="E176" s="9" t="s">
        <v>32</v>
      </c>
      <c r="F176" s="6"/>
      <c r="G176" s="6"/>
      <c r="H176" s="11">
        <f>+STAT1!V176</f>
        <v>0</v>
      </c>
      <c r="I176" s="11">
        <f>+STAT1!W176</f>
        <v>0</v>
      </c>
      <c r="J176" s="11">
        <f>+SUMIFS(JURNAL!G:G,JURNAL!E:E,C176,JURNAL!C:C,"&gt;="&amp;$H$1,JURNAL!C:C,"&lt;="&amp;$I$1)</f>
        <v>0</v>
      </c>
      <c r="K176" s="11">
        <f>+SUMIFS(JURNAL!H:H,JURNAL!E:E,C176,JURNAL!C:C,"&gt;="&amp;$H$1,JURNAL!C:C,"&lt;="&amp;$I$1)</f>
        <v>0</v>
      </c>
      <c r="L176" s="26">
        <f t="shared" si="27"/>
        <v>0</v>
      </c>
      <c r="M176" s="27">
        <f t="shared" si="28"/>
        <v>0</v>
      </c>
      <c r="N176" s="11"/>
      <c r="O176" s="11"/>
      <c r="P176" s="11"/>
      <c r="Q176" s="11"/>
      <c r="R176" s="26">
        <f t="shared" si="29"/>
        <v>0</v>
      </c>
      <c r="S176" s="27">
        <f t="shared" si="30"/>
        <v>0</v>
      </c>
      <c r="T176" s="11">
        <f t="shared" si="31"/>
        <v>0</v>
      </c>
      <c r="U176" s="11">
        <f t="shared" si="32"/>
        <v>0</v>
      </c>
      <c r="V176" s="26">
        <f t="shared" si="33"/>
        <v>0</v>
      </c>
      <c r="W176" s="27">
        <f t="shared" si="34"/>
        <v>0</v>
      </c>
      <c r="X176" s="4">
        <v>7002</v>
      </c>
      <c r="Y176" s="4"/>
      <c r="Z176" s="4"/>
      <c r="AA176" s="12">
        <f t="shared" si="35"/>
        <v>0</v>
      </c>
      <c r="AC176" s="568"/>
      <c r="AD176" s="84"/>
      <c r="AE176" s="84"/>
      <c r="AF176" s="84"/>
      <c r="AG176" s="1"/>
      <c r="AH176" s="1"/>
    </row>
    <row r="177" spans="1:34" ht="12.75" customHeight="1">
      <c r="A177" s="24"/>
      <c r="B177" s="105">
        <f t="shared" si="24"/>
        <v>174</v>
      </c>
      <c r="C177" s="6">
        <v>702800</v>
      </c>
      <c r="D177" s="6" t="s">
        <v>684</v>
      </c>
      <c r="E177" s="9" t="s">
        <v>32</v>
      </c>
      <c r="F177" s="6"/>
      <c r="G177" s="6"/>
      <c r="H177" s="11">
        <f>+STAT1!V177</f>
        <v>0</v>
      </c>
      <c r="I177" s="11">
        <f>+STAT1!W177</f>
        <v>0</v>
      </c>
      <c r="J177" s="11">
        <f>+SUMIFS(JURNAL!G:G,JURNAL!E:E,C177,JURNAL!C:C,"&gt;="&amp;$H$1,JURNAL!C:C,"&lt;="&amp;$I$1)</f>
        <v>0</v>
      </c>
      <c r="K177" s="11">
        <f>+SUMIFS(JURNAL!H:H,JURNAL!E:E,C177,JURNAL!C:C,"&gt;="&amp;$H$1,JURNAL!C:C,"&lt;="&amp;$I$1)</f>
        <v>0</v>
      </c>
      <c r="L177" s="26">
        <f t="shared" si="27"/>
        <v>0</v>
      </c>
      <c r="M177" s="27">
        <f t="shared" si="28"/>
        <v>0</v>
      </c>
      <c r="N177" s="11"/>
      <c r="O177" s="11"/>
      <c r="P177" s="11"/>
      <c r="Q177" s="11"/>
      <c r="R177" s="26">
        <f t="shared" si="29"/>
        <v>0</v>
      </c>
      <c r="S177" s="27">
        <f t="shared" si="30"/>
        <v>0</v>
      </c>
      <c r="T177" s="11">
        <f t="shared" si="31"/>
        <v>0</v>
      </c>
      <c r="U177" s="11">
        <f t="shared" si="32"/>
        <v>0</v>
      </c>
      <c r="V177" s="26">
        <f t="shared" si="33"/>
        <v>0</v>
      </c>
      <c r="W177" s="27">
        <f t="shared" si="34"/>
        <v>0</v>
      </c>
      <c r="X177" s="4">
        <v>7002</v>
      </c>
      <c r="Y177" s="4"/>
      <c r="Z177" s="4"/>
      <c r="AA177" s="12">
        <f t="shared" si="35"/>
        <v>0</v>
      </c>
      <c r="AC177" s="568"/>
      <c r="AD177" s="84"/>
      <c r="AE177" s="84"/>
      <c r="AF177" s="84"/>
      <c r="AG177" s="1"/>
      <c r="AH177" s="1"/>
    </row>
    <row r="178" spans="1:34" ht="12.75" customHeight="1">
      <c r="A178" s="24"/>
      <c r="B178" s="105">
        <f t="shared" si="24"/>
        <v>175</v>
      </c>
      <c r="C178" s="6">
        <v>703300</v>
      </c>
      <c r="D178" s="6" t="s">
        <v>688</v>
      </c>
      <c r="E178" s="9" t="s">
        <v>32</v>
      </c>
      <c r="F178" s="6"/>
      <c r="G178" s="6"/>
      <c r="H178" s="11">
        <f>+STAT1!V178</f>
        <v>0</v>
      </c>
      <c r="I178" s="11">
        <f>+STAT1!W178</f>
        <v>0</v>
      </c>
      <c r="J178" s="11">
        <f>+SUMIFS(JURNAL!G:G,JURNAL!E:E,C178,JURNAL!C:C,"&gt;="&amp;$H$1,JURNAL!C:C,"&lt;="&amp;$I$1)</f>
        <v>0</v>
      </c>
      <c r="K178" s="11">
        <f>+SUMIFS(JURNAL!H:H,JURNAL!E:E,C178,JURNAL!C:C,"&gt;="&amp;$H$1,JURNAL!C:C,"&lt;="&amp;$I$1)</f>
        <v>0</v>
      </c>
      <c r="L178" s="26">
        <f t="shared" si="27"/>
        <v>0</v>
      </c>
      <c r="M178" s="27">
        <f t="shared" si="28"/>
        <v>0</v>
      </c>
      <c r="N178" s="11"/>
      <c r="O178" s="11"/>
      <c r="P178" s="11"/>
      <c r="Q178" s="11"/>
      <c r="R178" s="26">
        <f t="shared" si="29"/>
        <v>0</v>
      </c>
      <c r="S178" s="27">
        <f t="shared" si="30"/>
        <v>0</v>
      </c>
      <c r="T178" s="11">
        <f t="shared" si="31"/>
        <v>0</v>
      </c>
      <c r="U178" s="11">
        <f t="shared" si="32"/>
        <v>0</v>
      </c>
      <c r="V178" s="26">
        <f t="shared" si="33"/>
        <v>0</v>
      </c>
      <c r="W178" s="27">
        <f t="shared" si="34"/>
        <v>0</v>
      </c>
      <c r="X178" s="4">
        <v>7002</v>
      </c>
      <c r="Y178" s="4"/>
      <c r="Z178" s="4"/>
      <c r="AA178" s="12">
        <f t="shared" si="35"/>
        <v>0</v>
      </c>
      <c r="AC178" s="568"/>
      <c r="AD178" s="84"/>
      <c r="AE178" s="84"/>
      <c r="AF178" s="84"/>
      <c r="AG178" s="1"/>
      <c r="AH178" s="1"/>
    </row>
    <row r="179" spans="1:34" ht="12.75" customHeight="1">
      <c r="A179" s="24"/>
      <c r="B179" s="105">
        <f t="shared" si="24"/>
        <v>176</v>
      </c>
      <c r="C179" s="6">
        <v>703400</v>
      </c>
      <c r="D179" s="6" t="s">
        <v>975</v>
      </c>
      <c r="E179" s="9" t="s">
        <v>32</v>
      </c>
      <c r="F179" s="6"/>
      <c r="G179" s="6"/>
      <c r="H179" s="11">
        <f>+STAT1!V179</f>
        <v>0</v>
      </c>
      <c r="I179" s="11">
        <f>+STAT1!W179</f>
        <v>0</v>
      </c>
      <c r="J179" s="11">
        <f>+SUMIFS(JURNAL!G:G,JURNAL!E:E,C179,JURNAL!C:C,"&gt;="&amp;$H$1,JURNAL!C:C,"&lt;="&amp;$I$1)</f>
        <v>0</v>
      </c>
      <c r="K179" s="11">
        <f>+SUMIFS(JURNAL!H:H,JURNAL!E:E,C179,JURNAL!C:C,"&gt;="&amp;$H$1,JURNAL!C:C,"&lt;="&amp;$I$1)</f>
        <v>0</v>
      </c>
      <c r="L179" s="26">
        <f t="shared" si="27"/>
        <v>0</v>
      </c>
      <c r="M179" s="27">
        <f t="shared" si="28"/>
        <v>0</v>
      </c>
      <c r="N179" s="11"/>
      <c r="O179" s="11"/>
      <c r="P179" s="11"/>
      <c r="Q179" s="11"/>
      <c r="R179" s="26">
        <f t="shared" si="29"/>
        <v>0</v>
      </c>
      <c r="S179" s="27">
        <f t="shared" si="30"/>
        <v>0</v>
      </c>
      <c r="T179" s="11">
        <f t="shared" si="31"/>
        <v>0</v>
      </c>
      <c r="U179" s="11">
        <f t="shared" si="32"/>
        <v>0</v>
      </c>
      <c r="V179" s="26">
        <f t="shared" si="33"/>
        <v>0</v>
      </c>
      <c r="W179" s="27">
        <f t="shared" si="34"/>
        <v>0</v>
      </c>
      <c r="X179" s="4">
        <v>7002</v>
      </c>
      <c r="Y179" s="4"/>
      <c r="Z179" s="4"/>
      <c r="AA179" s="12">
        <f t="shared" si="35"/>
        <v>0</v>
      </c>
      <c r="AC179" s="568"/>
      <c r="AD179" s="84"/>
      <c r="AE179" s="84"/>
      <c r="AF179" s="84"/>
      <c r="AG179" s="1"/>
      <c r="AH179" s="1"/>
    </row>
    <row r="180" spans="1:34" ht="12.75" customHeight="1">
      <c r="A180" s="24"/>
      <c r="B180" s="105">
        <f t="shared" si="24"/>
        <v>177</v>
      </c>
      <c r="C180" s="6">
        <v>703700</v>
      </c>
      <c r="D180" s="6" t="s">
        <v>696</v>
      </c>
      <c r="E180" s="9" t="s">
        <v>32</v>
      </c>
      <c r="F180" s="6"/>
      <c r="G180" s="6"/>
      <c r="H180" s="11">
        <f>+STAT1!V180</f>
        <v>0</v>
      </c>
      <c r="I180" s="11">
        <f>+STAT1!W180</f>
        <v>0</v>
      </c>
      <c r="J180" s="11">
        <f>+SUMIFS(JURNAL!G:G,JURNAL!E:E,C180,JURNAL!C:C,"&gt;="&amp;$H$1,JURNAL!C:C,"&lt;="&amp;$I$1)</f>
        <v>0</v>
      </c>
      <c r="K180" s="11">
        <f>+SUMIFS(JURNAL!H:H,JURNAL!E:E,C180,JURNAL!C:C,"&gt;="&amp;$H$1,JURNAL!C:C,"&lt;="&amp;$I$1)</f>
        <v>0</v>
      </c>
      <c r="L180" s="26">
        <f t="shared" si="27"/>
        <v>0</v>
      </c>
      <c r="M180" s="27">
        <f t="shared" si="28"/>
        <v>0</v>
      </c>
      <c r="N180" s="11"/>
      <c r="O180" s="11"/>
      <c r="P180" s="11"/>
      <c r="Q180" s="11"/>
      <c r="R180" s="26">
        <f t="shared" si="29"/>
        <v>0</v>
      </c>
      <c r="S180" s="27">
        <f t="shared" si="30"/>
        <v>0</v>
      </c>
      <c r="T180" s="11">
        <f t="shared" si="31"/>
        <v>0</v>
      </c>
      <c r="U180" s="11">
        <f t="shared" si="32"/>
        <v>0</v>
      </c>
      <c r="V180" s="26">
        <f t="shared" si="33"/>
        <v>0</v>
      </c>
      <c r="W180" s="27">
        <f t="shared" si="34"/>
        <v>0</v>
      </c>
      <c r="X180" s="4">
        <v>7002</v>
      </c>
      <c r="Y180" s="4"/>
      <c r="Z180" s="4"/>
      <c r="AA180" s="12">
        <f t="shared" si="35"/>
        <v>0</v>
      </c>
      <c r="AC180" s="568"/>
      <c r="AD180" s="84"/>
      <c r="AE180" s="84"/>
      <c r="AF180" s="84"/>
      <c r="AG180" s="1"/>
      <c r="AH180" s="1"/>
    </row>
    <row r="181" spans="1:34" ht="12.75" customHeight="1">
      <c r="A181" s="24"/>
      <c r="B181" s="105">
        <f t="shared" si="24"/>
        <v>178</v>
      </c>
      <c r="C181" s="6">
        <v>703800</v>
      </c>
      <c r="D181" s="6" t="s">
        <v>700</v>
      </c>
      <c r="E181" s="9" t="s">
        <v>32</v>
      </c>
      <c r="F181" s="6"/>
      <c r="G181" s="6"/>
      <c r="H181" s="11">
        <f>+STAT1!V181</f>
        <v>0</v>
      </c>
      <c r="I181" s="11">
        <f>+STAT1!W181</f>
        <v>0</v>
      </c>
      <c r="J181" s="11">
        <f>+SUMIFS(JURNAL!G:G,JURNAL!E:E,C181,JURNAL!C:C,"&gt;="&amp;$H$1,JURNAL!C:C,"&lt;="&amp;$I$1)</f>
        <v>0</v>
      </c>
      <c r="K181" s="11">
        <f>+SUMIFS(JURNAL!H:H,JURNAL!E:E,C181,JURNAL!C:C,"&gt;="&amp;$H$1,JURNAL!C:C,"&lt;="&amp;$I$1)</f>
        <v>0</v>
      </c>
      <c r="L181" s="26">
        <f t="shared" si="27"/>
        <v>0</v>
      </c>
      <c r="M181" s="27">
        <f t="shared" si="28"/>
        <v>0</v>
      </c>
      <c r="N181" s="11"/>
      <c r="O181" s="11"/>
      <c r="P181" s="11"/>
      <c r="Q181" s="11"/>
      <c r="R181" s="26">
        <f t="shared" si="29"/>
        <v>0</v>
      </c>
      <c r="S181" s="27">
        <f t="shared" si="30"/>
        <v>0</v>
      </c>
      <c r="T181" s="11">
        <f t="shared" si="31"/>
        <v>0</v>
      </c>
      <c r="U181" s="11">
        <f t="shared" si="32"/>
        <v>0</v>
      </c>
      <c r="V181" s="26">
        <f t="shared" si="33"/>
        <v>0</v>
      </c>
      <c r="W181" s="27">
        <f t="shared" si="34"/>
        <v>0</v>
      </c>
      <c r="X181" s="4">
        <v>7002</v>
      </c>
      <c r="Y181" s="4"/>
      <c r="Z181" s="4"/>
      <c r="AA181" s="12">
        <f t="shared" si="35"/>
        <v>0</v>
      </c>
      <c r="AC181" s="568"/>
      <c r="AD181" s="84"/>
      <c r="AE181" s="84"/>
      <c r="AF181" s="84"/>
      <c r="AG181" s="1"/>
      <c r="AH181" s="1"/>
    </row>
    <row r="182" spans="1:34" ht="12.75" customHeight="1">
      <c r="A182" s="24"/>
      <c r="B182" s="105">
        <f t="shared" si="24"/>
        <v>179</v>
      </c>
      <c r="C182" s="6">
        <v>703900</v>
      </c>
      <c r="D182" s="6" t="s">
        <v>704</v>
      </c>
      <c r="E182" s="9" t="s">
        <v>32</v>
      </c>
      <c r="F182" s="6"/>
      <c r="G182" s="6"/>
      <c r="H182" s="11">
        <f>+STAT1!V182</f>
        <v>0</v>
      </c>
      <c r="I182" s="11">
        <f>+STAT1!W182</f>
        <v>0</v>
      </c>
      <c r="J182" s="11">
        <f>+SUMIFS(JURNAL!G:G,JURNAL!E:E,C182,JURNAL!C:C,"&gt;="&amp;$H$1,JURNAL!C:C,"&lt;="&amp;$I$1)</f>
        <v>0</v>
      </c>
      <c r="K182" s="11">
        <f>+SUMIFS(JURNAL!H:H,JURNAL!E:E,C182,JURNAL!C:C,"&gt;="&amp;$H$1,JURNAL!C:C,"&lt;="&amp;$I$1)</f>
        <v>0</v>
      </c>
      <c r="L182" s="26">
        <f t="shared" si="27"/>
        <v>0</v>
      </c>
      <c r="M182" s="27">
        <f t="shared" si="28"/>
        <v>0</v>
      </c>
      <c r="N182" s="11"/>
      <c r="O182" s="11"/>
      <c r="P182" s="11"/>
      <c r="Q182" s="11"/>
      <c r="R182" s="26">
        <f t="shared" si="29"/>
        <v>0</v>
      </c>
      <c r="S182" s="27">
        <f t="shared" si="30"/>
        <v>0</v>
      </c>
      <c r="T182" s="11">
        <f t="shared" si="31"/>
        <v>0</v>
      </c>
      <c r="U182" s="11">
        <f t="shared" si="32"/>
        <v>0</v>
      </c>
      <c r="V182" s="26">
        <f t="shared" si="33"/>
        <v>0</v>
      </c>
      <c r="W182" s="27">
        <f t="shared" si="34"/>
        <v>0</v>
      </c>
      <c r="X182" s="4">
        <v>7002</v>
      </c>
      <c r="Y182" s="4"/>
      <c r="Z182" s="4"/>
      <c r="AA182" s="12">
        <f t="shared" si="35"/>
        <v>0</v>
      </c>
      <c r="AC182" s="568"/>
      <c r="AD182" s="84"/>
      <c r="AE182" s="84"/>
      <c r="AF182" s="84"/>
      <c r="AG182" s="1"/>
      <c r="AH182" s="1"/>
    </row>
    <row r="183" spans="1:34" ht="12.75" customHeight="1">
      <c r="A183" s="24"/>
      <c r="B183" s="105">
        <f t="shared" si="24"/>
        <v>180</v>
      </c>
      <c r="C183" s="6">
        <v>704000</v>
      </c>
      <c r="D183" s="6" t="s">
        <v>708</v>
      </c>
      <c r="E183" s="9" t="s">
        <v>32</v>
      </c>
      <c r="F183" s="6"/>
      <c r="G183" s="6"/>
      <c r="H183" s="11">
        <f>+STAT1!V183</f>
        <v>0</v>
      </c>
      <c r="I183" s="11">
        <f>+STAT1!W183</f>
        <v>0</v>
      </c>
      <c r="J183" s="11">
        <f>+SUMIFS(JURNAL!G:G,JURNAL!E:E,C183,JURNAL!C:C,"&gt;="&amp;$H$1,JURNAL!C:C,"&lt;="&amp;$I$1)</f>
        <v>0</v>
      </c>
      <c r="K183" s="11">
        <f>+SUMIFS(JURNAL!H:H,JURNAL!E:E,C183,JURNAL!C:C,"&gt;="&amp;$H$1,JURNAL!C:C,"&lt;="&amp;$I$1)</f>
        <v>0</v>
      </c>
      <c r="L183" s="26">
        <f t="shared" si="27"/>
        <v>0</v>
      </c>
      <c r="M183" s="27">
        <f t="shared" si="28"/>
        <v>0</v>
      </c>
      <c r="N183" s="11"/>
      <c r="O183" s="11"/>
      <c r="P183" s="11"/>
      <c r="Q183" s="11"/>
      <c r="R183" s="26">
        <f t="shared" si="29"/>
        <v>0</v>
      </c>
      <c r="S183" s="27">
        <f t="shared" si="30"/>
        <v>0</v>
      </c>
      <c r="T183" s="11">
        <f t="shared" si="31"/>
        <v>0</v>
      </c>
      <c r="U183" s="11">
        <f t="shared" si="32"/>
        <v>0</v>
      </c>
      <c r="V183" s="26">
        <f t="shared" si="33"/>
        <v>0</v>
      </c>
      <c r="W183" s="27">
        <f t="shared" si="34"/>
        <v>0</v>
      </c>
      <c r="X183" s="4">
        <v>7002</v>
      </c>
      <c r="Y183" s="4"/>
      <c r="Z183" s="4"/>
      <c r="AA183" s="12">
        <f t="shared" si="35"/>
        <v>0</v>
      </c>
      <c r="AC183" s="568"/>
      <c r="AD183" s="84"/>
      <c r="AE183" s="84"/>
      <c r="AF183" s="84"/>
      <c r="AG183" s="1"/>
      <c r="AH183" s="1"/>
    </row>
    <row r="184" spans="1:34" ht="12.75" customHeight="1">
      <c r="A184" s="24"/>
      <c r="B184" s="105">
        <f t="shared" si="24"/>
        <v>181</v>
      </c>
      <c r="C184" s="6">
        <v>704100</v>
      </c>
      <c r="D184" s="6" t="s">
        <v>712</v>
      </c>
      <c r="E184" s="9" t="s">
        <v>32</v>
      </c>
      <c r="F184" s="6"/>
      <c r="G184" s="6"/>
      <c r="H184" s="11">
        <f>+STAT1!V184</f>
        <v>0</v>
      </c>
      <c r="I184" s="11">
        <f>+STAT1!W184</f>
        <v>0</v>
      </c>
      <c r="J184" s="11">
        <f>+SUMIFS(JURNAL!G:G,JURNAL!E:E,C184,JURNAL!C:C,"&gt;="&amp;$H$1,JURNAL!C:C,"&lt;="&amp;$I$1)</f>
        <v>0</v>
      </c>
      <c r="K184" s="11">
        <f>+SUMIFS(JURNAL!H:H,JURNAL!E:E,C184,JURNAL!C:C,"&gt;="&amp;$H$1,JURNAL!C:C,"&lt;="&amp;$I$1)</f>
        <v>0</v>
      </c>
      <c r="L184" s="26">
        <f t="shared" si="27"/>
        <v>0</v>
      </c>
      <c r="M184" s="27">
        <f t="shared" si="28"/>
        <v>0</v>
      </c>
      <c r="N184" s="11"/>
      <c r="O184" s="11"/>
      <c r="P184" s="11"/>
      <c r="Q184" s="11"/>
      <c r="R184" s="26">
        <f t="shared" si="29"/>
        <v>0</v>
      </c>
      <c r="S184" s="27">
        <f t="shared" si="30"/>
        <v>0</v>
      </c>
      <c r="T184" s="11">
        <f t="shared" si="31"/>
        <v>0</v>
      </c>
      <c r="U184" s="11">
        <f t="shared" si="32"/>
        <v>0</v>
      </c>
      <c r="V184" s="26">
        <f t="shared" si="33"/>
        <v>0</v>
      </c>
      <c r="W184" s="27">
        <f t="shared" si="34"/>
        <v>0</v>
      </c>
      <c r="X184" s="4">
        <v>7002</v>
      </c>
      <c r="Y184" s="4"/>
      <c r="Z184" s="4"/>
      <c r="AA184" s="12">
        <f t="shared" si="35"/>
        <v>0</v>
      </c>
      <c r="AC184" s="568"/>
      <c r="AD184" s="84"/>
      <c r="AE184" s="84"/>
      <c r="AF184" s="84"/>
      <c r="AG184" s="1"/>
      <c r="AH184" s="1"/>
    </row>
    <row r="185" spans="1:34" ht="12.75" customHeight="1">
      <c r="A185" s="24"/>
      <c r="B185" s="105">
        <f t="shared" si="24"/>
        <v>182</v>
      </c>
      <c r="C185" s="6">
        <v>704200</v>
      </c>
      <c r="D185" s="127" t="s">
        <v>716</v>
      </c>
      <c r="E185" s="9" t="s">
        <v>32</v>
      </c>
      <c r="F185" s="6"/>
      <c r="G185" s="6"/>
      <c r="H185" s="11">
        <f>+STAT1!V185</f>
        <v>0</v>
      </c>
      <c r="I185" s="11">
        <f>+STAT1!W185</f>
        <v>0</v>
      </c>
      <c r="J185" s="11">
        <f>+SUMIFS(JURNAL!G:G,JURNAL!E:E,C185,JURNAL!C:C,"&gt;="&amp;$H$1,JURNAL!C:C,"&lt;="&amp;$I$1)</f>
        <v>733866</v>
      </c>
      <c r="K185" s="11">
        <f>+SUMIFS(JURNAL!H:H,JURNAL!E:E,C185,JURNAL!C:C,"&gt;="&amp;$H$1,JURNAL!C:C,"&lt;="&amp;$I$1)</f>
        <v>0</v>
      </c>
      <c r="L185" s="26">
        <f t="shared" si="27"/>
        <v>733866</v>
      </c>
      <c r="M185" s="27">
        <f t="shared" si="28"/>
        <v>0</v>
      </c>
      <c r="N185" s="11"/>
      <c r="O185" s="11"/>
      <c r="P185" s="11"/>
      <c r="Q185" s="11"/>
      <c r="R185" s="26">
        <f t="shared" si="29"/>
        <v>733866</v>
      </c>
      <c r="S185" s="27">
        <f t="shared" si="30"/>
        <v>0</v>
      </c>
      <c r="T185" s="11">
        <f t="shared" si="31"/>
        <v>0</v>
      </c>
      <c r="U185" s="11">
        <f t="shared" si="32"/>
        <v>733866</v>
      </c>
      <c r="V185" s="26">
        <f t="shared" si="33"/>
        <v>0</v>
      </c>
      <c r="W185" s="27">
        <f t="shared" si="34"/>
        <v>0</v>
      </c>
      <c r="X185" s="4">
        <v>7002</v>
      </c>
      <c r="Y185" s="4"/>
      <c r="Z185" s="4"/>
      <c r="AA185" s="12">
        <f t="shared" si="35"/>
        <v>1</v>
      </c>
      <c r="AC185" s="568"/>
      <c r="AD185" s="84"/>
      <c r="AE185" s="84"/>
      <c r="AF185" s="84"/>
      <c r="AG185" s="1"/>
      <c r="AH185" s="1"/>
    </row>
    <row r="186" spans="1:34" ht="12.75" customHeight="1">
      <c r="A186" s="24"/>
      <c r="B186" s="105">
        <f t="shared" si="24"/>
        <v>183</v>
      </c>
      <c r="C186" s="6">
        <v>704300</v>
      </c>
      <c r="D186" s="6" t="s">
        <v>720</v>
      </c>
      <c r="E186" s="9" t="s">
        <v>32</v>
      </c>
      <c r="F186" s="6"/>
      <c r="G186" s="6"/>
      <c r="H186" s="11">
        <f>+STAT1!V186</f>
        <v>0</v>
      </c>
      <c r="I186" s="11">
        <f>+STAT1!W186</f>
        <v>0</v>
      </c>
      <c r="J186" s="11">
        <f>+SUMIFS(JURNAL!G:G,JURNAL!E:E,C186,JURNAL!C:C,"&gt;="&amp;$H$1,JURNAL!C:C,"&lt;="&amp;$I$1)</f>
        <v>0</v>
      </c>
      <c r="K186" s="11">
        <f>+SUMIFS(JURNAL!H:H,JURNAL!E:E,C186,JURNAL!C:C,"&gt;="&amp;$H$1,JURNAL!C:C,"&lt;="&amp;$I$1)</f>
        <v>0</v>
      </c>
      <c r="L186" s="26">
        <f t="shared" si="27"/>
        <v>0</v>
      </c>
      <c r="M186" s="27">
        <f t="shared" si="28"/>
        <v>0</v>
      </c>
      <c r="N186" s="11"/>
      <c r="O186" s="11"/>
      <c r="P186" s="11"/>
      <c r="Q186" s="11"/>
      <c r="R186" s="26">
        <f t="shared" si="29"/>
        <v>0</v>
      </c>
      <c r="S186" s="27">
        <f t="shared" si="30"/>
        <v>0</v>
      </c>
      <c r="T186" s="11">
        <f t="shared" si="31"/>
        <v>0</v>
      </c>
      <c r="U186" s="11">
        <f t="shared" si="32"/>
        <v>0</v>
      </c>
      <c r="V186" s="26">
        <f t="shared" si="33"/>
        <v>0</v>
      </c>
      <c r="W186" s="27">
        <f t="shared" si="34"/>
        <v>0</v>
      </c>
      <c r="X186" s="4">
        <v>7002</v>
      </c>
      <c r="Y186" s="4"/>
      <c r="Z186" s="4"/>
      <c r="AA186" s="12">
        <f t="shared" si="35"/>
        <v>0</v>
      </c>
      <c r="AC186" s="568"/>
      <c r="AD186" s="84"/>
      <c r="AE186" s="84"/>
      <c r="AF186" s="84"/>
      <c r="AG186" s="1"/>
      <c r="AH186" s="1"/>
    </row>
    <row r="187" spans="1:34" ht="12.75" customHeight="1">
      <c r="A187" s="24"/>
      <c r="B187" s="105">
        <f t="shared" si="24"/>
        <v>184</v>
      </c>
      <c r="C187" s="6">
        <v>704400</v>
      </c>
      <c r="D187" s="6" t="s">
        <v>724</v>
      </c>
      <c r="E187" s="9" t="s">
        <v>32</v>
      </c>
      <c r="F187" s="6"/>
      <c r="G187" s="6"/>
      <c r="H187" s="11">
        <f>+STAT1!V187</f>
        <v>0</v>
      </c>
      <c r="I187" s="11">
        <f>+STAT1!W187</f>
        <v>0</v>
      </c>
      <c r="J187" s="11">
        <f>+SUMIFS(JURNAL!G:G,JURNAL!E:E,C187,JURNAL!C:C,"&gt;="&amp;$H$1,JURNAL!C:C,"&lt;="&amp;$I$1)</f>
        <v>0</v>
      </c>
      <c r="K187" s="11">
        <f>+SUMIFS(JURNAL!H:H,JURNAL!E:E,C187,JURNAL!C:C,"&gt;="&amp;$H$1,JURNAL!C:C,"&lt;="&amp;$I$1)</f>
        <v>0</v>
      </c>
      <c r="L187" s="26">
        <f t="shared" si="27"/>
        <v>0</v>
      </c>
      <c r="M187" s="27">
        <f t="shared" si="28"/>
        <v>0</v>
      </c>
      <c r="N187" s="11"/>
      <c r="O187" s="11"/>
      <c r="P187" s="11"/>
      <c r="Q187" s="11"/>
      <c r="R187" s="26">
        <f t="shared" si="29"/>
        <v>0</v>
      </c>
      <c r="S187" s="27">
        <f t="shared" si="30"/>
        <v>0</v>
      </c>
      <c r="T187" s="11">
        <f t="shared" si="31"/>
        <v>0</v>
      </c>
      <c r="U187" s="11">
        <f t="shared" si="32"/>
        <v>0</v>
      </c>
      <c r="V187" s="26">
        <f t="shared" si="33"/>
        <v>0</v>
      </c>
      <c r="W187" s="27">
        <f t="shared" si="34"/>
        <v>0</v>
      </c>
      <c r="X187" s="4">
        <v>7002</v>
      </c>
      <c r="Y187" s="4"/>
      <c r="Z187" s="4"/>
      <c r="AA187" s="12">
        <f t="shared" si="35"/>
        <v>0</v>
      </c>
      <c r="AC187" s="568"/>
      <c r="AD187" s="84"/>
      <c r="AE187" s="84"/>
      <c r="AF187" s="84"/>
      <c r="AG187" s="1"/>
      <c r="AH187" s="1"/>
    </row>
    <row r="188" spans="1:34" ht="12.75" customHeight="1">
      <c r="A188" s="24"/>
      <c r="B188" s="105">
        <f t="shared" si="24"/>
        <v>185</v>
      </c>
      <c r="C188" s="6">
        <v>704600</v>
      </c>
      <c r="D188" s="6" t="s">
        <v>728</v>
      </c>
      <c r="E188" s="9" t="s">
        <v>32</v>
      </c>
      <c r="F188" s="6"/>
      <c r="G188" s="6"/>
      <c r="H188" s="11">
        <f>+STAT1!V188</f>
        <v>0</v>
      </c>
      <c r="I188" s="11">
        <f>+STAT1!W188</f>
        <v>0</v>
      </c>
      <c r="J188" s="11">
        <f>+SUMIFS(JURNAL!G:G,JURNAL!E:E,C188,JURNAL!C:C,"&gt;="&amp;$H$1,JURNAL!C:C,"&lt;="&amp;$I$1)</f>
        <v>468181.81817999994</v>
      </c>
      <c r="K188" s="11">
        <f>+SUMIFS(JURNAL!H:H,JURNAL!E:E,C188,JURNAL!C:C,"&gt;="&amp;$H$1,JURNAL!C:C,"&lt;="&amp;$I$1)</f>
        <v>0</v>
      </c>
      <c r="L188" s="26">
        <f t="shared" si="27"/>
        <v>468181.81817999994</v>
      </c>
      <c r="M188" s="27">
        <f t="shared" si="28"/>
        <v>0</v>
      </c>
      <c r="N188" s="11"/>
      <c r="O188" s="11"/>
      <c r="P188" s="11"/>
      <c r="Q188" s="11"/>
      <c r="R188" s="26">
        <f t="shared" si="29"/>
        <v>468181.81817999994</v>
      </c>
      <c r="S188" s="27">
        <f t="shared" si="30"/>
        <v>0</v>
      </c>
      <c r="T188" s="11">
        <f t="shared" si="31"/>
        <v>0</v>
      </c>
      <c r="U188" s="11">
        <f t="shared" si="32"/>
        <v>468181.81817999994</v>
      </c>
      <c r="V188" s="26">
        <f t="shared" si="33"/>
        <v>0</v>
      </c>
      <c r="W188" s="27">
        <f t="shared" si="34"/>
        <v>0</v>
      </c>
      <c r="X188" s="4">
        <v>7002</v>
      </c>
      <c r="Y188" s="4"/>
      <c r="Z188" s="4"/>
      <c r="AA188" s="12">
        <f t="shared" si="35"/>
        <v>1</v>
      </c>
      <c r="AC188" s="568"/>
      <c r="AD188" s="84"/>
      <c r="AE188" s="84"/>
      <c r="AF188" s="84"/>
      <c r="AG188" s="1"/>
      <c r="AH188" s="1"/>
    </row>
    <row r="189" spans="1:34" ht="12.75" customHeight="1">
      <c r="B189" s="105">
        <f t="shared" si="24"/>
        <v>186</v>
      </c>
      <c r="C189" s="6">
        <v>704700</v>
      </c>
      <c r="D189" s="6" t="s">
        <v>732</v>
      </c>
      <c r="E189" s="9" t="s">
        <v>32</v>
      </c>
      <c r="F189" s="6"/>
      <c r="G189" s="6"/>
      <c r="H189" s="11">
        <f>+STAT1!V189</f>
        <v>0</v>
      </c>
      <c r="I189" s="11">
        <f>+STAT1!W189</f>
        <v>0</v>
      </c>
      <c r="J189" s="11">
        <f>+SUMIFS(JURNAL!G:G,JURNAL!E:E,C189,JURNAL!C:C,"&gt;="&amp;$H$1,JURNAL!C:C,"&lt;="&amp;$I$1)</f>
        <v>0</v>
      </c>
      <c r="K189" s="11">
        <f>+SUMIFS(JURNAL!H:H,JURNAL!E:E,C189,JURNAL!C:C,"&gt;="&amp;$H$1,JURNAL!C:C,"&lt;="&amp;$I$1)</f>
        <v>0</v>
      </c>
      <c r="L189" s="26">
        <f t="shared" si="27"/>
        <v>0</v>
      </c>
      <c r="M189" s="27">
        <f t="shared" si="28"/>
        <v>0</v>
      </c>
      <c r="N189" s="11"/>
      <c r="O189" s="11"/>
      <c r="P189" s="11"/>
      <c r="Q189" s="11"/>
      <c r="R189" s="26">
        <f t="shared" si="29"/>
        <v>0</v>
      </c>
      <c r="S189" s="27">
        <f t="shared" si="30"/>
        <v>0</v>
      </c>
      <c r="T189" s="11">
        <f t="shared" si="31"/>
        <v>0</v>
      </c>
      <c r="U189" s="11">
        <f t="shared" si="32"/>
        <v>0</v>
      </c>
      <c r="V189" s="26">
        <f t="shared" si="33"/>
        <v>0</v>
      </c>
      <c r="W189" s="27">
        <f t="shared" si="34"/>
        <v>0</v>
      </c>
      <c r="X189" s="4">
        <v>7002</v>
      </c>
      <c r="Y189" s="4"/>
      <c r="Z189" s="4"/>
      <c r="AA189" s="12">
        <f t="shared" si="35"/>
        <v>0</v>
      </c>
      <c r="AC189" s="568"/>
      <c r="AD189" s="84"/>
      <c r="AE189" s="84"/>
      <c r="AF189" s="84"/>
      <c r="AG189" s="1"/>
      <c r="AH189" s="1"/>
    </row>
    <row r="190" spans="1:34" ht="12.75" customHeight="1">
      <c r="B190" s="105">
        <f t="shared" si="24"/>
        <v>187</v>
      </c>
      <c r="C190" s="6">
        <v>704800</v>
      </c>
      <c r="D190" s="6" t="s">
        <v>736</v>
      </c>
      <c r="E190" s="9" t="s">
        <v>32</v>
      </c>
      <c r="F190" s="6"/>
      <c r="G190" s="6"/>
      <c r="H190" s="11">
        <f>+STAT1!V190</f>
        <v>0</v>
      </c>
      <c r="I190" s="11">
        <f>+STAT1!W190</f>
        <v>0</v>
      </c>
      <c r="J190" s="11">
        <f>+SUMIFS(JURNAL!G:G,JURNAL!E:E,C190,JURNAL!C:C,"&gt;="&amp;$H$1,JURNAL!C:C,"&lt;="&amp;$I$1)</f>
        <v>0</v>
      </c>
      <c r="K190" s="11">
        <f>+SUMIFS(JURNAL!H:H,JURNAL!E:E,C190,JURNAL!C:C,"&gt;="&amp;$H$1,JURNAL!C:C,"&lt;="&amp;$I$1)</f>
        <v>0</v>
      </c>
      <c r="L190" s="26">
        <f t="shared" si="27"/>
        <v>0</v>
      </c>
      <c r="M190" s="27">
        <f t="shared" si="28"/>
        <v>0</v>
      </c>
      <c r="N190" s="11"/>
      <c r="O190" s="11"/>
      <c r="P190" s="11"/>
      <c r="Q190" s="11"/>
      <c r="R190" s="26">
        <f t="shared" si="29"/>
        <v>0</v>
      </c>
      <c r="S190" s="27">
        <f t="shared" si="30"/>
        <v>0</v>
      </c>
      <c r="T190" s="11">
        <f t="shared" si="31"/>
        <v>0</v>
      </c>
      <c r="U190" s="11">
        <f t="shared" si="32"/>
        <v>0</v>
      </c>
      <c r="V190" s="26">
        <f t="shared" si="33"/>
        <v>0</v>
      </c>
      <c r="W190" s="27">
        <f t="shared" si="34"/>
        <v>0</v>
      </c>
      <c r="X190" s="4">
        <v>7002</v>
      </c>
      <c r="Y190" s="4"/>
      <c r="Z190" s="4"/>
      <c r="AA190" s="12">
        <f t="shared" si="35"/>
        <v>0</v>
      </c>
      <c r="AC190" s="568"/>
      <c r="AD190" s="84"/>
      <c r="AE190" s="84"/>
      <c r="AF190" s="84"/>
      <c r="AG190" s="1"/>
      <c r="AH190" s="1"/>
    </row>
    <row r="191" spans="1:34" ht="12.75" customHeight="1">
      <c r="B191" s="105">
        <f t="shared" si="24"/>
        <v>188</v>
      </c>
      <c r="C191" s="6">
        <v>704900</v>
      </c>
      <c r="D191" s="6" t="s">
        <v>740</v>
      </c>
      <c r="E191" s="9" t="s">
        <v>32</v>
      </c>
      <c r="F191" s="6"/>
      <c r="G191" s="6"/>
      <c r="H191" s="11">
        <f>+STAT1!V191</f>
        <v>0</v>
      </c>
      <c r="I191" s="11">
        <f>+STAT1!W191</f>
        <v>0</v>
      </c>
      <c r="J191" s="11">
        <f>+SUMIFS(JURNAL!G:G,JURNAL!E:E,C191,JURNAL!C:C,"&gt;="&amp;$H$1,JURNAL!C:C,"&lt;="&amp;$I$1)</f>
        <v>9300</v>
      </c>
      <c r="K191" s="11">
        <f>+SUMIFS(JURNAL!H:H,JURNAL!E:E,C191,JURNAL!C:C,"&gt;="&amp;$H$1,JURNAL!C:C,"&lt;="&amp;$I$1)</f>
        <v>0</v>
      </c>
      <c r="L191" s="26">
        <f t="shared" si="27"/>
        <v>9300</v>
      </c>
      <c r="M191" s="27">
        <f t="shared" si="28"/>
        <v>0</v>
      </c>
      <c r="N191" s="11"/>
      <c r="O191" s="11"/>
      <c r="P191" s="11"/>
      <c r="Q191" s="11"/>
      <c r="R191" s="26">
        <f t="shared" si="29"/>
        <v>9300</v>
      </c>
      <c r="S191" s="27">
        <f t="shared" si="30"/>
        <v>0</v>
      </c>
      <c r="T191" s="11">
        <f t="shared" si="31"/>
        <v>0</v>
      </c>
      <c r="U191" s="11">
        <f t="shared" si="32"/>
        <v>9300</v>
      </c>
      <c r="V191" s="26">
        <f t="shared" si="33"/>
        <v>0</v>
      </c>
      <c r="W191" s="27">
        <f t="shared" si="34"/>
        <v>0</v>
      </c>
      <c r="X191" s="4">
        <v>7002</v>
      </c>
      <c r="Y191" s="4"/>
      <c r="Z191" s="4"/>
      <c r="AA191" s="12">
        <f t="shared" si="35"/>
        <v>1</v>
      </c>
      <c r="AC191" s="568"/>
      <c r="AD191" s="84"/>
      <c r="AE191" s="84"/>
      <c r="AF191" s="84"/>
      <c r="AG191" s="1"/>
      <c r="AH191" s="1"/>
    </row>
    <row r="192" spans="1:34" ht="12.75" customHeight="1">
      <c r="B192" s="105">
        <f t="shared" si="24"/>
        <v>189</v>
      </c>
      <c r="C192" s="6">
        <v>705000</v>
      </c>
      <c r="D192" s="6" t="s">
        <v>744</v>
      </c>
      <c r="E192" s="9" t="s">
        <v>32</v>
      </c>
      <c r="F192" s="6"/>
      <c r="G192" s="6"/>
      <c r="H192" s="11">
        <f>+STAT1!V192</f>
        <v>0</v>
      </c>
      <c r="I192" s="11">
        <f>+STAT1!W192</f>
        <v>0</v>
      </c>
      <c r="J192" s="11">
        <f>+SUMIFS(JURNAL!G:G,JURNAL!E:E,C192,JURNAL!C:C,"&gt;="&amp;$H$1,JURNAL!C:C,"&lt;="&amp;$I$1)</f>
        <v>0</v>
      </c>
      <c r="K192" s="11">
        <f>+SUMIFS(JURNAL!H:H,JURNAL!E:E,C192,JURNAL!C:C,"&gt;="&amp;$H$1,JURNAL!C:C,"&lt;="&amp;$I$1)</f>
        <v>0</v>
      </c>
      <c r="L192" s="26">
        <f t="shared" si="27"/>
        <v>0</v>
      </c>
      <c r="M192" s="27">
        <f t="shared" si="28"/>
        <v>0</v>
      </c>
      <c r="N192" s="11"/>
      <c r="O192" s="11"/>
      <c r="P192" s="11"/>
      <c r="Q192" s="11"/>
      <c r="R192" s="26">
        <f t="shared" si="29"/>
        <v>0</v>
      </c>
      <c r="S192" s="27">
        <f t="shared" si="30"/>
        <v>0</v>
      </c>
      <c r="T192" s="11">
        <f t="shared" si="31"/>
        <v>0</v>
      </c>
      <c r="U192" s="11">
        <f t="shared" si="32"/>
        <v>0</v>
      </c>
      <c r="V192" s="26">
        <f t="shared" si="33"/>
        <v>0</v>
      </c>
      <c r="W192" s="27">
        <f t="shared" si="34"/>
        <v>0</v>
      </c>
      <c r="X192" s="4">
        <v>7002</v>
      </c>
      <c r="Y192" s="4"/>
      <c r="Z192" s="4"/>
      <c r="AA192" s="12">
        <f t="shared" si="35"/>
        <v>0</v>
      </c>
      <c r="AC192" s="568"/>
      <c r="AD192" s="84"/>
      <c r="AE192" s="84"/>
      <c r="AF192" s="84"/>
      <c r="AG192" s="1"/>
      <c r="AH192" s="1"/>
    </row>
    <row r="193" spans="2:34" ht="12.75" customHeight="1">
      <c r="B193" s="105">
        <f t="shared" si="24"/>
        <v>190</v>
      </c>
      <c r="C193" s="6">
        <v>705800</v>
      </c>
      <c r="D193" s="6" t="s">
        <v>748</v>
      </c>
      <c r="E193" s="9" t="s">
        <v>32</v>
      </c>
      <c r="F193" s="6"/>
      <c r="G193" s="6"/>
      <c r="H193" s="11">
        <f>+STAT1!V193</f>
        <v>0</v>
      </c>
      <c r="I193" s="11">
        <f>+STAT1!W193</f>
        <v>0</v>
      </c>
      <c r="J193" s="11">
        <f>+SUMIFS(JURNAL!G:G,JURNAL!E:E,C193,JURNAL!C:C,"&gt;="&amp;$H$1,JURNAL!C:C,"&lt;="&amp;$I$1)</f>
        <v>4500000</v>
      </c>
      <c r="K193" s="11">
        <f>+SUMIFS(JURNAL!H:H,JURNAL!E:E,C193,JURNAL!C:C,"&gt;="&amp;$H$1,JURNAL!C:C,"&lt;="&amp;$I$1)</f>
        <v>0</v>
      </c>
      <c r="L193" s="26">
        <f t="shared" si="27"/>
        <v>4500000</v>
      </c>
      <c r="M193" s="27">
        <f t="shared" si="28"/>
        <v>0</v>
      </c>
      <c r="N193" s="11"/>
      <c r="O193" s="11"/>
      <c r="P193" s="11"/>
      <c r="Q193" s="11"/>
      <c r="R193" s="26">
        <f t="shared" si="29"/>
        <v>4500000</v>
      </c>
      <c r="S193" s="27">
        <f t="shared" si="30"/>
        <v>0</v>
      </c>
      <c r="T193" s="11">
        <f t="shared" si="31"/>
        <v>0</v>
      </c>
      <c r="U193" s="11">
        <f t="shared" si="32"/>
        <v>4500000</v>
      </c>
      <c r="V193" s="26">
        <f t="shared" si="33"/>
        <v>0</v>
      </c>
      <c r="W193" s="27">
        <f t="shared" si="34"/>
        <v>0</v>
      </c>
      <c r="X193" s="4">
        <v>7002</v>
      </c>
      <c r="Y193" s="4"/>
      <c r="Z193" s="4"/>
      <c r="AA193" s="12">
        <f t="shared" si="35"/>
        <v>1</v>
      </c>
      <c r="AC193" s="568"/>
      <c r="AD193" s="84"/>
      <c r="AE193" s="84"/>
      <c r="AF193" s="84"/>
      <c r="AG193" s="1"/>
      <c r="AH193" s="1"/>
    </row>
    <row r="194" spans="2:34" ht="12.75" customHeight="1">
      <c r="B194" s="105">
        <f t="shared" si="24"/>
        <v>191</v>
      </c>
      <c r="C194" s="6">
        <v>705900</v>
      </c>
      <c r="D194" s="6" t="s">
        <v>976</v>
      </c>
      <c r="E194" s="9" t="s">
        <v>32</v>
      </c>
      <c r="F194" s="6"/>
      <c r="G194" s="6"/>
      <c r="H194" s="11">
        <f>+STAT1!V194</f>
        <v>0</v>
      </c>
      <c r="I194" s="11">
        <f>+STAT1!W194</f>
        <v>0</v>
      </c>
      <c r="J194" s="11">
        <f>+SUMIFS(JURNAL!G:G,JURNAL!E:E,C194,JURNAL!C:C,"&gt;="&amp;$H$1,JURNAL!C:C,"&lt;="&amp;$I$1)</f>
        <v>0</v>
      </c>
      <c r="K194" s="11">
        <f>+SUMIFS(JURNAL!H:H,JURNAL!E:E,C194,JURNAL!C:C,"&gt;="&amp;$H$1,JURNAL!C:C,"&lt;="&amp;$I$1)</f>
        <v>0</v>
      </c>
      <c r="L194" s="26">
        <f t="shared" si="27"/>
        <v>0</v>
      </c>
      <c r="M194" s="27">
        <f t="shared" si="28"/>
        <v>0</v>
      </c>
      <c r="N194" s="11"/>
      <c r="O194" s="11"/>
      <c r="P194" s="11"/>
      <c r="Q194" s="11"/>
      <c r="R194" s="26">
        <f t="shared" si="29"/>
        <v>0</v>
      </c>
      <c r="S194" s="27">
        <f t="shared" si="30"/>
        <v>0</v>
      </c>
      <c r="T194" s="11">
        <f t="shared" si="31"/>
        <v>0</v>
      </c>
      <c r="U194" s="11">
        <f t="shared" si="32"/>
        <v>0</v>
      </c>
      <c r="V194" s="26">
        <f t="shared" si="33"/>
        <v>0</v>
      </c>
      <c r="W194" s="27">
        <f t="shared" si="34"/>
        <v>0</v>
      </c>
      <c r="X194" s="4">
        <v>7002</v>
      </c>
      <c r="Y194" s="4"/>
      <c r="Z194" s="4"/>
      <c r="AA194" s="12">
        <f t="shared" si="35"/>
        <v>0</v>
      </c>
      <c r="AC194" s="568"/>
      <c r="AD194" s="84"/>
      <c r="AE194" s="84"/>
      <c r="AF194" s="84"/>
      <c r="AG194" s="1"/>
      <c r="AH194" s="1"/>
    </row>
    <row r="195" spans="2:34" ht="12.75" customHeight="1">
      <c r="B195" s="105">
        <f t="shared" si="24"/>
        <v>192</v>
      </c>
      <c r="C195" s="6">
        <v>706000</v>
      </c>
      <c r="D195" s="6" t="s">
        <v>756</v>
      </c>
      <c r="E195" s="9" t="s">
        <v>32</v>
      </c>
      <c r="F195" s="6"/>
      <c r="G195" s="6"/>
      <c r="H195" s="11">
        <f>+STAT1!V195</f>
        <v>0</v>
      </c>
      <c r="I195" s="11">
        <f>+STAT1!W195</f>
        <v>0</v>
      </c>
      <c r="J195" s="11">
        <f>+SUMIFS(JURNAL!G:G,JURNAL!E:E,C195,JURNAL!C:C,"&gt;="&amp;$H$1,JURNAL!C:C,"&lt;="&amp;$I$1)</f>
        <v>0</v>
      </c>
      <c r="K195" s="11">
        <f>+SUMIFS(JURNAL!H:H,JURNAL!E:E,C195,JURNAL!C:C,"&gt;="&amp;$H$1,JURNAL!C:C,"&lt;="&amp;$I$1)</f>
        <v>0</v>
      </c>
      <c r="L195" s="26">
        <f t="shared" si="27"/>
        <v>0</v>
      </c>
      <c r="M195" s="27">
        <f t="shared" si="28"/>
        <v>0</v>
      </c>
      <c r="N195" s="11"/>
      <c r="O195" s="11"/>
      <c r="P195" s="11"/>
      <c r="Q195" s="11"/>
      <c r="R195" s="26">
        <f t="shared" si="29"/>
        <v>0</v>
      </c>
      <c r="S195" s="27">
        <f t="shared" si="30"/>
        <v>0</v>
      </c>
      <c r="T195" s="11">
        <f t="shared" si="31"/>
        <v>0</v>
      </c>
      <c r="U195" s="11">
        <f t="shared" si="32"/>
        <v>0</v>
      </c>
      <c r="V195" s="26">
        <f t="shared" si="33"/>
        <v>0</v>
      </c>
      <c r="W195" s="27">
        <f t="shared" si="34"/>
        <v>0</v>
      </c>
      <c r="X195" s="4">
        <v>7002</v>
      </c>
      <c r="Y195" s="4"/>
      <c r="Z195" s="4"/>
      <c r="AA195" s="12">
        <f t="shared" si="35"/>
        <v>0</v>
      </c>
      <c r="AC195" s="568"/>
      <c r="AD195" s="84"/>
      <c r="AE195" s="84"/>
      <c r="AF195" s="84"/>
      <c r="AG195" s="1"/>
      <c r="AH195" s="1"/>
    </row>
    <row r="196" spans="2:34" ht="12.75" customHeight="1">
      <c r="B196" s="105">
        <f t="shared" si="24"/>
        <v>193</v>
      </c>
      <c r="C196" s="6">
        <v>840000</v>
      </c>
      <c r="D196" s="6" t="s">
        <v>822</v>
      </c>
      <c r="E196" s="9" t="s">
        <v>32</v>
      </c>
      <c r="F196" s="6"/>
      <c r="G196" s="6"/>
      <c r="H196" s="11">
        <f>+STAT1!V196</f>
        <v>0</v>
      </c>
      <c r="I196" s="11">
        <f>+STAT1!W196</f>
        <v>0</v>
      </c>
      <c r="J196" s="11">
        <f>+SUMIFS(JURNAL!G:G,JURNAL!E:E,C196,JURNAL!C:C,"&gt;="&amp;$H$1,JURNAL!C:C,"&lt;="&amp;$I$1)</f>
        <v>0</v>
      </c>
      <c r="K196" s="11">
        <f>+SUMIFS(JURNAL!H:H,JURNAL!E:E,C196,JURNAL!C:C,"&gt;="&amp;$H$1,JURNAL!C:C,"&lt;="&amp;$I$1)</f>
        <v>0</v>
      </c>
      <c r="L196" s="26">
        <f t="shared" si="27"/>
        <v>0</v>
      </c>
      <c r="M196" s="27">
        <f t="shared" si="28"/>
        <v>0</v>
      </c>
      <c r="N196" s="11"/>
      <c r="O196" s="11"/>
      <c r="P196" s="11"/>
      <c r="Q196" s="11"/>
      <c r="R196" s="26">
        <f t="shared" si="29"/>
        <v>0</v>
      </c>
      <c r="S196" s="27">
        <f t="shared" si="30"/>
        <v>0</v>
      </c>
      <c r="T196" s="11">
        <f t="shared" si="31"/>
        <v>0</v>
      </c>
      <c r="U196" s="11">
        <f t="shared" si="32"/>
        <v>0</v>
      </c>
      <c r="V196" s="26">
        <f t="shared" si="33"/>
        <v>0</v>
      </c>
      <c r="W196" s="27">
        <f t="shared" si="34"/>
        <v>0</v>
      </c>
      <c r="X196" s="4">
        <v>8400</v>
      </c>
      <c r="Y196" s="4"/>
      <c r="Z196" s="4"/>
      <c r="AA196" s="12">
        <f t="shared" si="35"/>
        <v>0</v>
      </c>
      <c r="AC196" s="568"/>
      <c r="AD196" s="84"/>
      <c r="AE196" s="84"/>
      <c r="AF196" s="84"/>
      <c r="AG196" s="1"/>
      <c r="AH196" s="1"/>
    </row>
    <row r="197" spans="2:34" ht="12.75" customHeight="1">
      <c r="B197" s="105">
        <f t="shared" si="24"/>
        <v>194</v>
      </c>
      <c r="C197" s="6">
        <v>840100</v>
      </c>
      <c r="D197" s="6" t="s">
        <v>825</v>
      </c>
      <c r="E197" s="9" t="s">
        <v>32</v>
      </c>
      <c r="F197" s="6"/>
      <c r="G197" s="6"/>
      <c r="H197" s="11">
        <f>+STAT1!V197</f>
        <v>0</v>
      </c>
      <c r="I197" s="11">
        <f>+STAT1!W197</f>
        <v>0</v>
      </c>
      <c r="J197" s="11">
        <f>+SUMIFS(JURNAL!G:G,JURNAL!E:E,C197,JURNAL!C:C,"&gt;="&amp;$H$1,JURNAL!C:C,"&lt;="&amp;$I$1)</f>
        <v>0</v>
      </c>
      <c r="K197" s="11">
        <f>+SUMIFS(JURNAL!H:H,JURNAL!E:E,C197,JURNAL!C:C,"&gt;="&amp;$H$1,JURNAL!C:C,"&lt;="&amp;$I$1)</f>
        <v>0</v>
      </c>
      <c r="L197" s="26">
        <f t="shared" si="27"/>
        <v>0</v>
      </c>
      <c r="M197" s="27">
        <f t="shared" si="28"/>
        <v>0</v>
      </c>
      <c r="N197" s="11"/>
      <c r="O197" s="11"/>
      <c r="P197" s="11"/>
      <c r="Q197" s="11"/>
      <c r="R197" s="26">
        <f t="shared" si="29"/>
        <v>0</v>
      </c>
      <c r="S197" s="27">
        <f t="shared" si="30"/>
        <v>0</v>
      </c>
      <c r="T197" s="11">
        <f t="shared" si="31"/>
        <v>0</v>
      </c>
      <c r="U197" s="11">
        <f t="shared" si="32"/>
        <v>0</v>
      </c>
      <c r="V197" s="26">
        <f t="shared" si="33"/>
        <v>0</v>
      </c>
      <c r="W197" s="27">
        <f t="shared" si="34"/>
        <v>0</v>
      </c>
      <c r="X197" s="4">
        <v>8401</v>
      </c>
      <c r="Y197" s="4"/>
      <c r="Z197" s="4"/>
      <c r="AA197" s="12">
        <f t="shared" si="35"/>
        <v>0</v>
      </c>
      <c r="AC197" s="568"/>
      <c r="AD197" s="84"/>
      <c r="AE197" s="84"/>
      <c r="AF197" s="84"/>
      <c r="AG197" s="1"/>
      <c r="AH197" s="1"/>
    </row>
    <row r="198" spans="2:34" ht="12.75" customHeight="1">
      <c r="B198" s="105">
        <f t="shared" ref="B198:B215" si="36">+B197+1</f>
        <v>195</v>
      </c>
      <c r="C198" s="6">
        <v>840200</v>
      </c>
      <c r="D198" s="6" t="s">
        <v>828</v>
      </c>
      <c r="E198" s="9" t="s">
        <v>32</v>
      </c>
      <c r="F198" s="6"/>
      <c r="G198" s="6"/>
      <c r="H198" s="11">
        <f>+STAT1!V198</f>
        <v>0</v>
      </c>
      <c r="I198" s="11">
        <f>+STAT1!W198</f>
        <v>0</v>
      </c>
      <c r="J198" s="11">
        <f>+SUMIFS(JURNAL!G:G,JURNAL!E:E,C198,JURNAL!C:C,"&gt;="&amp;$H$1,JURNAL!C:C,"&lt;="&amp;$I$1)</f>
        <v>0</v>
      </c>
      <c r="K198" s="11">
        <f>+SUMIFS(JURNAL!H:H,JURNAL!E:E,C198,JURNAL!C:C,"&gt;="&amp;$H$1,JURNAL!C:C,"&lt;="&amp;$I$1)</f>
        <v>0</v>
      </c>
      <c r="L198" s="26">
        <f t="shared" si="27"/>
        <v>0</v>
      </c>
      <c r="M198" s="27">
        <f t="shared" si="28"/>
        <v>0</v>
      </c>
      <c r="N198" s="11"/>
      <c r="O198" s="11">
        <v>131025.51</v>
      </c>
      <c r="P198" s="11"/>
      <c r="Q198" s="11"/>
      <c r="R198" s="26">
        <f t="shared" si="29"/>
        <v>0</v>
      </c>
      <c r="S198" s="27">
        <f t="shared" si="30"/>
        <v>131025.51</v>
      </c>
      <c r="T198" s="11">
        <f t="shared" si="31"/>
        <v>131025.51</v>
      </c>
      <c r="U198" s="11">
        <f t="shared" si="32"/>
        <v>0</v>
      </c>
      <c r="V198" s="26">
        <f t="shared" si="33"/>
        <v>0</v>
      </c>
      <c r="W198" s="27">
        <f t="shared" si="34"/>
        <v>0</v>
      </c>
      <c r="X198" s="4">
        <v>8401</v>
      </c>
      <c r="Y198" s="4"/>
      <c r="Z198" s="4"/>
      <c r="AA198" s="12">
        <f t="shared" si="35"/>
        <v>1</v>
      </c>
      <c r="AC198" s="568"/>
      <c r="AD198" s="84"/>
      <c r="AE198" s="84"/>
      <c r="AF198" s="84"/>
      <c r="AG198" s="1"/>
      <c r="AH198" s="1"/>
    </row>
    <row r="199" spans="2:34" ht="12.75" customHeight="1">
      <c r="B199" s="105">
        <f t="shared" si="36"/>
        <v>196</v>
      </c>
      <c r="C199" s="6">
        <v>840400</v>
      </c>
      <c r="D199" s="6" t="s">
        <v>831</v>
      </c>
      <c r="E199" s="9" t="s">
        <v>32</v>
      </c>
      <c r="F199" s="6"/>
      <c r="G199" s="6"/>
      <c r="H199" s="11">
        <f>+STAT1!V199</f>
        <v>0</v>
      </c>
      <c r="I199" s="11">
        <f>+STAT1!W199</f>
        <v>0</v>
      </c>
      <c r="J199" s="11">
        <f>+SUMIFS(JURNAL!G:G,JURNAL!E:E,C199,JURNAL!C:C,"&gt;="&amp;$H$1,JURNAL!C:C,"&lt;="&amp;$I$1)</f>
        <v>0</v>
      </c>
      <c r="K199" s="11">
        <f>+SUMIFS(JURNAL!H:H,JURNAL!E:E,C199,JURNAL!C:C,"&gt;="&amp;$H$1,JURNAL!C:C,"&lt;="&amp;$I$1)</f>
        <v>0</v>
      </c>
      <c r="L199" s="26">
        <f t="shared" si="27"/>
        <v>0</v>
      </c>
      <c r="M199" s="27">
        <f t="shared" si="28"/>
        <v>0</v>
      </c>
      <c r="N199" s="11"/>
      <c r="O199" s="11"/>
      <c r="P199" s="11"/>
      <c r="Q199" s="11"/>
      <c r="R199" s="26">
        <f t="shared" si="29"/>
        <v>0</v>
      </c>
      <c r="S199" s="27">
        <f t="shared" si="30"/>
        <v>0</v>
      </c>
      <c r="T199" s="11">
        <f t="shared" si="31"/>
        <v>0</v>
      </c>
      <c r="U199" s="11">
        <f t="shared" si="32"/>
        <v>0</v>
      </c>
      <c r="V199" s="26">
        <f t="shared" si="33"/>
        <v>0</v>
      </c>
      <c r="W199" s="27">
        <f t="shared" si="34"/>
        <v>0</v>
      </c>
      <c r="X199" s="4">
        <v>5112</v>
      </c>
      <c r="Y199" s="4"/>
      <c r="Z199" s="4"/>
      <c r="AA199" s="12">
        <f t="shared" si="35"/>
        <v>0</v>
      </c>
      <c r="AC199" s="568"/>
      <c r="AD199" s="84"/>
      <c r="AE199" s="84"/>
      <c r="AF199" s="84"/>
      <c r="AG199" s="1"/>
      <c r="AH199" s="1"/>
    </row>
    <row r="200" spans="2:34" ht="12.75" customHeight="1">
      <c r="B200" s="105">
        <f t="shared" si="36"/>
        <v>197</v>
      </c>
      <c r="C200" s="6">
        <v>840500</v>
      </c>
      <c r="D200" s="6" t="s">
        <v>834</v>
      </c>
      <c r="E200" s="9" t="s">
        <v>32</v>
      </c>
      <c r="F200" s="6"/>
      <c r="G200" s="6"/>
      <c r="H200" s="11">
        <f>+STAT1!V200</f>
        <v>0</v>
      </c>
      <c r="I200" s="11">
        <f>+STAT1!W200</f>
        <v>0</v>
      </c>
      <c r="J200" s="11">
        <f>+SUMIFS(JURNAL!G:G,JURNAL!E:E,C200,JURNAL!C:C,"&gt;="&amp;$H$1,JURNAL!C:C,"&lt;="&amp;$I$1)</f>
        <v>0</v>
      </c>
      <c r="K200" s="11">
        <f>+SUMIFS(JURNAL!H:H,JURNAL!E:E,C200,JURNAL!C:C,"&gt;="&amp;$H$1,JURNAL!C:C,"&lt;="&amp;$I$1)</f>
        <v>0</v>
      </c>
      <c r="L200" s="26">
        <f t="shared" si="27"/>
        <v>0</v>
      </c>
      <c r="M200" s="27">
        <f t="shared" si="28"/>
        <v>0</v>
      </c>
      <c r="N200" s="11"/>
      <c r="O200" s="11"/>
      <c r="P200" s="11"/>
      <c r="Q200" s="11"/>
      <c r="R200" s="26">
        <f t="shared" si="29"/>
        <v>0</v>
      </c>
      <c r="S200" s="27">
        <f t="shared" si="30"/>
        <v>0</v>
      </c>
      <c r="T200" s="11">
        <f t="shared" si="31"/>
        <v>0</v>
      </c>
      <c r="U200" s="11">
        <f t="shared" si="32"/>
        <v>0</v>
      </c>
      <c r="V200" s="26">
        <f t="shared" si="33"/>
        <v>0</v>
      </c>
      <c r="W200" s="27">
        <f t="shared" si="34"/>
        <v>0</v>
      </c>
      <c r="X200" s="4">
        <v>8405</v>
      </c>
      <c r="Y200" s="4"/>
      <c r="Z200" s="4"/>
      <c r="AA200" s="12">
        <f t="shared" si="35"/>
        <v>0</v>
      </c>
      <c r="AC200" s="568"/>
      <c r="AD200" s="84"/>
      <c r="AE200" s="84"/>
      <c r="AF200" s="84"/>
      <c r="AG200" s="1"/>
      <c r="AH200" s="1"/>
    </row>
    <row r="201" spans="2:34" ht="12.75" customHeight="1">
      <c r="B201" s="105">
        <f t="shared" si="36"/>
        <v>198</v>
      </c>
      <c r="C201" s="6">
        <v>840800</v>
      </c>
      <c r="D201" s="6" t="s">
        <v>840</v>
      </c>
      <c r="E201" s="9" t="s">
        <v>32</v>
      </c>
      <c r="F201" s="6"/>
      <c r="G201" s="6"/>
      <c r="H201" s="11">
        <f>+STAT1!V201</f>
        <v>0</v>
      </c>
      <c r="I201" s="11">
        <f>+STAT1!W201</f>
        <v>0</v>
      </c>
      <c r="J201" s="11">
        <f>+SUMIFS(JURNAL!G:G,JURNAL!E:E,C201,JURNAL!C:C,"&gt;="&amp;$H$1,JURNAL!C:C,"&lt;="&amp;$I$1)</f>
        <v>0</v>
      </c>
      <c r="K201" s="11">
        <f>+SUMIFS(JURNAL!H:H,JURNAL!E:E,C201,JURNAL!C:C,"&gt;="&amp;$H$1,JURNAL!C:C,"&lt;="&amp;$I$1)</f>
        <v>0</v>
      </c>
      <c r="L201" s="26">
        <f t="shared" si="27"/>
        <v>0</v>
      </c>
      <c r="M201" s="27">
        <f t="shared" si="28"/>
        <v>0</v>
      </c>
      <c r="N201" s="11"/>
      <c r="O201" s="11"/>
      <c r="P201" s="11"/>
      <c r="Q201" s="11"/>
      <c r="R201" s="26">
        <f t="shared" si="29"/>
        <v>0</v>
      </c>
      <c r="S201" s="27">
        <f t="shared" si="30"/>
        <v>0</v>
      </c>
      <c r="T201" s="11">
        <f t="shared" si="31"/>
        <v>0</v>
      </c>
      <c r="U201" s="11">
        <f t="shared" si="32"/>
        <v>0</v>
      </c>
      <c r="V201" s="26">
        <f t="shared" si="33"/>
        <v>0</v>
      </c>
      <c r="W201" s="27">
        <f t="shared" si="34"/>
        <v>0</v>
      </c>
      <c r="X201" s="4">
        <v>8400</v>
      </c>
      <c r="Y201" s="4"/>
      <c r="Z201" s="4"/>
      <c r="AA201" s="12">
        <f t="shared" si="35"/>
        <v>0</v>
      </c>
      <c r="AC201" s="568"/>
      <c r="AD201" s="84"/>
      <c r="AE201" s="84"/>
      <c r="AF201" s="84"/>
      <c r="AG201" s="1"/>
      <c r="AH201" s="1"/>
    </row>
    <row r="202" spans="2:34" ht="12.75" customHeight="1">
      <c r="B202" s="105">
        <f t="shared" si="36"/>
        <v>199</v>
      </c>
      <c r="C202" s="6">
        <v>840900</v>
      </c>
      <c r="D202" s="6" t="s">
        <v>842</v>
      </c>
      <c r="E202" s="9" t="s">
        <v>32</v>
      </c>
      <c r="F202" s="6"/>
      <c r="G202" s="6"/>
      <c r="H202" s="11">
        <f>+STAT1!V202</f>
        <v>0</v>
      </c>
      <c r="I202" s="11">
        <f>+STAT1!W202</f>
        <v>0</v>
      </c>
      <c r="J202" s="11">
        <f>+SUMIFS(JURNAL!G:G,JURNAL!E:E,C202,JURNAL!C:C,"&gt;="&amp;$H$1,JURNAL!C:C,"&lt;="&amp;$I$1)</f>
        <v>0</v>
      </c>
      <c r="K202" s="11">
        <f>+SUMIFS(JURNAL!H:H,JURNAL!E:E,C202,JURNAL!C:C,"&gt;="&amp;$H$1,JURNAL!C:C,"&lt;="&amp;$I$1)</f>
        <v>0</v>
      </c>
      <c r="L202" s="26">
        <f t="shared" si="27"/>
        <v>0</v>
      </c>
      <c r="M202" s="27">
        <f t="shared" si="28"/>
        <v>0</v>
      </c>
      <c r="N202" s="11"/>
      <c r="O202" s="11"/>
      <c r="P202" s="11"/>
      <c r="Q202" s="11"/>
      <c r="R202" s="26">
        <f t="shared" si="29"/>
        <v>0</v>
      </c>
      <c r="S202" s="27">
        <f t="shared" si="30"/>
        <v>0</v>
      </c>
      <c r="T202" s="11">
        <f t="shared" si="31"/>
        <v>0</v>
      </c>
      <c r="U202" s="11">
        <f t="shared" si="32"/>
        <v>0</v>
      </c>
      <c r="V202" s="26">
        <f t="shared" si="33"/>
        <v>0</v>
      </c>
      <c r="W202" s="27">
        <f t="shared" si="34"/>
        <v>0</v>
      </c>
      <c r="X202" s="4">
        <v>8409</v>
      </c>
      <c r="Y202" s="4"/>
      <c r="Z202" s="4"/>
      <c r="AA202" s="12">
        <f t="shared" si="35"/>
        <v>0</v>
      </c>
      <c r="AC202" s="568"/>
      <c r="AD202" s="84"/>
      <c r="AE202" s="84"/>
      <c r="AF202" s="84"/>
      <c r="AG202" s="1"/>
      <c r="AH202" s="1"/>
    </row>
    <row r="203" spans="2:34" ht="12.75" customHeight="1">
      <c r="B203" s="105">
        <f t="shared" si="36"/>
        <v>200</v>
      </c>
      <c r="C203" s="6">
        <v>870000</v>
      </c>
      <c r="D203" s="6" t="s">
        <v>846</v>
      </c>
      <c r="E203" s="9" t="s">
        <v>32</v>
      </c>
      <c r="F203" s="6"/>
      <c r="G203" s="6"/>
      <c r="H203" s="11">
        <f>+STAT1!V203</f>
        <v>0</v>
      </c>
      <c r="I203" s="11">
        <f>+STAT1!W203</f>
        <v>0</v>
      </c>
      <c r="J203" s="11">
        <f>+SUMIFS(JURNAL!G:G,JURNAL!E:E,C203,JURNAL!C:C,"&gt;="&amp;$H$1,JURNAL!C:C,"&lt;="&amp;$I$1)</f>
        <v>0</v>
      </c>
      <c r="K203" s="11">
        <f>+SUMIFS(JURNAL!H:H,JURNAL!E:E,C203,JURNAL!C:C,"&gt;="&amp;$H$1,JURNAL!C:C,"&lt;="&amp;$I$1)</f>
        <v>0</v>
      </c>
      <c r="L203" s="26">
        <f t="shared" si="27"/>
        <v>0</v>
      </c>
      <c r="M203" s="27">
        <f t="shared" si="28"/>
        <v>0</v>
      </c>
      <c r="N203" s="11"/>
      <c r="O203" s="11"/>
      <c r="P203" s="11"/>
      <c r="Q203" s="11"/>
      <c r="R203" s="26">
        <f t="shared" si="29"/>
        <v>0</v>
      </c>
      <c r="S203" s="27">
        <f t="shared" si="30"/>
        <v>0</v>
      </c>
      <c r="T203" s="11">
        <f t="shared" si="31"/>
        <v>0</v>
      </c>
      <c r="U203" s="11">
        <f t="shared" si="32"/>
        <v>0</v>
      </c>
      <c r="V203" s="26">
        <f t="shared" si="33"/>
        <v>0</v>
      </c>
      <c r="W203" s="27">
        <f t="shared" si="34"/>
        <v>0</v>
      </c>
      <c r="X203" s="4">
        <v>8400</v>
      </c>
      <c r="Y203" s="4"/>
      <c r="Z203" s="4"/>
      <c r="AA203" s="12">
        <f t="shared" si="35"/>
        <v>0</v>
      </c>
      <c r="AC203" s="568"/>
      <c r="AD203" s="84"/>
      <c r="AE203" s="84"/>
      <c r="AF203" s="84"/>
      <c r="AG203" s="1"/>
      <c r="AH203" s="1"/>
    </row>
    <row r="204" spans="2:34" ht="12.75" customHeight="1">
      <c r="B204" s="105">
        <f t="shared" si="36"/>
        <v>201</v>
      </c>
      <c r="C204" s="6">
        <v>870100</v>
      </c>
      <c r="D204" s="6" t="s">
        <v>849</v>
      </c>
      <c r="E204" s="9" t="s">
        <v>32</v>
      </c>
      <c r="F204" s="6"/>
      <c r="G204" s="6"/>
      <c r="H204" s="11">
        <f>+STAT1!V204</f>
        <v>0</v>
      </c>
      <c r="I204" s="11">
        <f>+STAT1!W204</f>
        <v>0</v>
      </c>
      <c r="J204" s="11">
        <f>+SUMIFS(JURNAL!G:G,JURNAL!E:E,C204,JURNAL!C:C,"&gt;="&amp;$H$1,JURNAL!C:C,"&lt;="&amp;$I$1)</f>
        <v>0</v>
      </c>
      <c r="K204" s="11">
        <f>+SUMIFS(JURNAL!H:H,JURNAL!E:E,C204,JURNAL!C:C,"&gt;="&amp;$H$1,JURNAL!C:C,"&lt;="&amp;$I$1)</f>
        <v>0</v>
      </c>
      <c r="L204" s="26">
        <f t="shared" ref="L204:L215" si="37">+IF((H204+J204)&gt;(I204+K204),(H204+J204)-(I204+K204),0)</f>
        <v>0</v>
      </c>
      <c r="M204" s="27">
        <f t="shared" ref="M204:M215" si="38">+IF((H204+J204)&lt;(I204+K204),(I204+K204)-(H204+J204),0)</f>
        <v>0</v>
      </c>
      <c r="N204" s="11"/>
      <c r="O204" s="11"/>
      <c r="P204" s="11"/>
      <c r="Q204" s="11"/>
      <c r="R204" s="26">
        <f t="shared" ref="R204:R215" si="39">+IF((L204+N204)&gt;(M204+O204),(L204+N204)-(M204+O204),0)</f>
        <v>0</v>
      </c>
      <c r="S204" s="27">
        <f t="shared" ref="S204:S215" si="40">+IF((L204+N204)&lt;(M204+O204),(M204+O204)-(L204+N204),0)</f>
        <v>0</v>
      </c>
      <c r="T204" s="11">
        <f t="shared" ref="T204:T214" si="41">+S204</f>
        <v>0</v>
      </c>
      <c r="U204" s="11">
        <f t="shared" ref="U204:U214" si="42">+R204</f>
        <v>0</v>
      </c>
      <c r="V204" s="26">
        <f t="shared" ref="V204:V215" si="43">+IF((R204+T204)&gt;(S204+U204),(R204+T204)-(S204+U204),0)</f>
        <v>0</v>
      </c>
      <c r="W204" s="27">
        <f t="shared" ref="W204:W215" si="44">+IF((R204+T204)&lt;(S204+U204),(S204+U204)-(R204+T204),0)</f>
        <v>0</v>
      </c>
      <c r="X204" s="4">
        <v>8401</v>
      </c>
      <c r="Y204" s="4"/>
      <c r="Z204" s="4"/>
      <c r="AA204" s="12">
        <f t="shared" ref="AA204:AA214" si="45">+IF(H204+I204+J204+K204+L204+M204+N204+O204+R204+S204+T204+U204+V204+W204,1,0)</f>
        <v>0</v>
      </c>
      <c r="AC204" s="568"/>
      <c r="AD204" s="84"/>
      <c r="AE204" s="84"/>
      <c r="AF204" s="84"/>
      <c r="AG204" s="1"/>
      <c r="AH204" s="1"/>
    </row>
    <row r="205" spans="2:34" ht="12.75" customHeight="1">
      <c r="B205" s="105">
        <f t="shared" si="36"/>
        <v>202</v>
      </c>
      <c r="C205" s="6">
        <v>870200</v>
      </c>
      <c r="D205" s="6" t="s">
        <v>852</v>
      </c>
      <c r="E205" s="9" t="s">
        <v>32</v>
      </c>
      <c r="F205" s="6"/>
      <c r="G205" s="6"/>
      <c r="H205" s="11">
        <f>+STAT1!V205</f>
        <v>0</v>
      </c>
      <c r="I205" s="11">
        <f>+STAT1!W205</f>
        <v>0</v>
      </c>
      <c r="J205" s="11">
        <f>+SUMIFS(JURNAL!G:G,JURNAL!E:E,C205,JURNAL!C:C,"&gt;="&amp;$H$1,JURNAL!C:C,"&lt;="&amp;$I$1)</f>
        <v>0</v>
      </c>
      <c r="K205" s="11">
        <f>+SUMIFS(JURNAL!H:H,JURNAL!E:E,C205,JURNAL!C:C,"&gt;="&amp;$H$1,JURNAL!C:C,"&lt;="&amp;$I$1)</f>
        <v>0</v>
      </c>
      <c r="L205" s="26">
        <f t="shared" si="37"/>
        <v>0</v>
      </c>
      <c r="M205" s="27">
        <f t="shared" si="38"/>
        <v>0</v>
      </c>
      <c r="N205" s="11"/>
      <c r="O205" s="11"/>
      <c r="P205" s="11"/>
      <c r="Q205" s="11"/>
      <c r="R205" s="26">
        <f t="shared" si="39"/>
        <v>0</v>
      </c>
      <c r="S205" s="27">
        <f t="shared" si="40"/>
        <v>0</v>
      </c>
      <c r="T205" s="11">
        <f t="shared" si="41"/>
        <v>0</v>
      </c>
      <c r="U205" s="11">
        <f t="shared" si="42"/>
        <v>0</v>
      </c>
      <c r="V205" s="26">
        <f t="shared" si="43"/>
        <v>0</v>
      </c>
      <c r="W205" s="27">
        <f t="shared" si="44"/>
        <v>0</v>
      </c>
      <c r="X205" s="4">
        <v>8401</v>
      </c>
      <c r="Y205" s="4"/>
      <c r="Z205" s="4"/>
      <c r="AA205" s="12">
        <f t="shared" si="45"/>
        <v>0</v>
      </c>
      <c r="AC205" s="568"/>
      <c r="AD205" s="84"/>
      <c r="AE205" s="84"/>
      <c r="AF205" s="84"/>
      <c r="AG205" s="1"/>
      <c r="AH205" s="1"/>
    </row>
    <row r="206" spans="2:34" ht="12.75" customHeight="1">
      <c r="B206" s="105">
        <f t="shared" si="36"/>
        <v>203</v>
      </c>
      <c r="C206" s="6">
        <v>870300</v>
      </c>
      <c r="D206" s="6" t="s">
        <v>282</v>
      </c>
      <c r="E206" s="9" t="s">
        <v>32</v>
      </c>
      <c r="F206" s="6"/>
      <c r="G206" s="6"/>
      <c r="H206" s="11">
        <f>+STAT1!V206</f>
        <v>0</v>
      </c>
      <c r="I206" s="11">
        <f>+STAT1!W206</f>
        <v>0</v>
      </c>
      <c r="J206" s="11">
        <f>+SUMIFS(JURNAL!G:G,JURNAL!E:E,C206,JURNAL!C:C,"&gt;="&amp;$H$1,JURNAL!C:C,"&lt;="&amp;$I$1)</f>
        <v>0</v>
      </c>
      <c r="K206" s="11">
        <f>+SUMIFS(JURNAL!H:H,JURNAL!E:E,C206,JURNAL!C:C,"&gt;="&amp;$H$1,JURNAL!C:C,"&lt;="&amp;$I$1)</f>
        <v>0</v>
      </c>
      <c r="L206" s="26">
        <f t="shared" si="37"/>
        <v>0</v>
      </c>
      <c r="M206" s="27">
        <f t="shared" si="38"/>
        <v>0</v>
      </c>
      <c r="N206" s="11"/>
      <c r="O206" s="11"/>
      <c r="P206" s="11"/>
      <c r="Q206" s="11"/>
      <c r="R206" s="26">
        <f t="shared" si="39"/>
        <v>0</v>
      </c>
      <c r="S206" s="27">
        <f t="shared" si="40"/>
        <v>0</v>
      </c>
      <c r="T206" s="11">
        <f t="shared" si="41"/>
        <v>0</v>
      </c>
      <c r="U206" s="11">
        <f t="shared" si="42"/>
        <v>0</v>
      </c>
      <c r="V206" s="26">
        <f t="shared" si="43"/>
        <v>0</v>
      </c>
      <c r="W206" s="27">
        <f t="shared" si="44"/>
        <v>0</v>
      </c>
      <c r="X206" s="4">
        <v>7201</v>
      </c>
      <c r="Y206" s="4"/>
      <c r="Z206" s="4"/>
      <c r="AA206" s="12">
        <f t="shared" si="45"/>
        <v>0</v>
      </c>
      <c r="AC206" s="568"/>
      <c r="AD206" s="84"/>
      <c r="AE206" s="84"/>
      <c r="AF206" s="84"/>
      <c r="AG206" s="1"/>
      <c r="AH206" s="1"/>
    </row>
    <row r="207" spans="2:34" ht="12.75" customHeight="1">
      <c r="B207" s="105">
        <f t="shared" si="36"/>
        <v>204</v>
      </c>
      <c r="C207" s="6">
        <v>870400</v>
      </c>
      <c r="D207" s="6" t="s">
        <v>857</v>
      </c>
      <c r="E207" s="9" t="s">
        <v>32</v>
      </c>
      <c r="F207" s="6"/>
      <c r="G207" s="6"/>
      <c r="H207" s="11">
        <f>+STAT1!V207</f>
        <v>0</v>
      </c>
      <c r="I207" s="11">
        <f>+STAT1!W207</f>
        <v>0</v>
      </c>
      <c r="J207" s="11">
        <f>+SUMIFS(JURNAL!G:G,JURNAL!E:E,C207,JURNAL!C:C,"&gt;="&amp;$H$1,JURNAL!C:C,"&lt;="&amp;$I$1)</f>
        <v>0</v>
      </c>
      <c r="K207" s="11">
        <f>+SUMIFS(JURNAL!H:H,JURNAL!E:E,C207,JURNAL!C:C,"&gt;="&amp;$H$1,JURNAL!C:C,"&lt;="&amp;$I$1)</f>
        <v>0</v>
      </c>
      <c r="L207" s="26">
        <f t="shared" si="37"/>
        <v>0</v>
      </c>
      <c r="M207" s="27">
        <f t="shared" si="38"/>
        <v>0</v>
      </c>
      <c r="N207" s="11"/>
      <c r="O207" s="11"/>
      <c r="P207" s="11"/>
      <c r="Q207" s="11"/>
      <c r="R207" s="26">
        <f t="shared" si="39"/>
        <v>0</v>
      </c>
      <c r="S207" s="27">
        <f t="shared" si="40"/>
        <v>0</v>
      </c>
      <c r="T207" s="11">
        <f t="shared" si="41"/>
        <v>0</v>
      </c>
      <c r="U207" s="11">
        <f t="shared" si="42"/>
        <v>0</v>
      </c>
      <c r="V207" s="26">
        <f t="shared" si="43"/>
        <v>0</v>
      </c>
      <c r="W207" s="27">
        <f t="shared" si="44"/>
        <v>0</v>
      </c>
      <c r="X207" s="4">
        <v>7201</v>
      </c>
      <c r="Y207" s="4"/>
      <c r="Z207" s="4"/>
      <c r="AA207" s="12">
        <f t="shared" si="45"/>
        <v>0</v>
      </c>
      <c r="AC207" s="568"/>
      <c r="AD207" s="84"/>
      <c r="AE207" s="84"/>
      <c r="AF207" s="84"/>
      <c r="AG207" s="1"/>
      <c r="AH207" s="1"/>
    </row>
    <row r="208" spans="2:34" ht="12.75" customHeight="1">
      <c r="B208" s="105">
        <f t="shared" si="36"/>
        <v>205</v>
      </c>
      <c r="C208" s="6">
        <v>870500</v>
      </c>
      <c r="D208" s="6" t="s">
        <v>860</v>
      </c>
      <c r="E208" s="9" t="s">
        <v>32</v>
      </c>
      <c r="F208" s="6"/>
      <c r="G208" s="6"/>
      <c r="H208" s="11">
        <f>+STAT1!V208</f>
        <v>0</v>
      </c>
      <c r="I208" s="11">
        <f>+STAT1!W208</f>
        <v>0</v>
      </c>
      <c r="J208" s="11">
        <f>+SUMIFS(JURNAL!G:G,JURNAL!E:E,C208,JURNAL!C:C,"&gt;="&amp;$H$1,JURNAL!C:C,"&lt;="&amp;$I$1)</f>
        <v>0</v>
      </c>
      <c r="K208" s="11">
        <f>+SUMIFS(JURNAL!H:H,JURNAL!E:E,C208,JURNAL!C:C,"&gt;="&amp;$H$1,JURNAL!C:C,"&lt;="&amp;$I$1)</f>
        <v>0</v>
      </c>
      <c r="L208" s="26">
        <f t="shared" si="37"/>
        <v>0</v>
      </c>
      <c r="M208" s="27">
        <f t="shared" si="38"/>
        <v>0</v>
      </c>
      <c r="N208" s="11"/>
      <c r="O208" s="11"/>
      <c r="P208" s="11"/>
      <c r="Q208" s="11"/>
      <c r="R208" s="26">
        <f t="shared" si="39"/>
        <v>0</v>
      </c>
      <c r="S208" s="27">
        <f t="shared" si="40"/>
        <v>0</v>
      </c>
      <c r="T208" s="11">
        <f t="shared" si="41"/>
        <v>0</v>
      </c>
      <c r="U208" s="11">
        <f t="shared" si="42"/>
        <v>0</v>
      </c>
      <c r="V208" s="26">
        <f t="shared" si="43"/>
        <v>0</v>
      </c>
      <c r="W208" s="27">
        <f t="shared" si="44"/>
        <v>0</v>
      </c>
      <c r="X208" s="4">
        <v>8405</v>
      </c>
      <c r="Y208" s="4"/>
      <c r="Z208" s="4"/>
      <c r="AA208" s="12">
        <f t="shared" si="45"/>
        <v>0</v>
      </c>
      <c r="AC208" s="568"/>
      <c r="AD208" s="84"/>
      <c r="AE208" s="84"/>
      <c r="AF208" s="84"/>
      <c r="AG208" s="1"/>
      <c r="AH208" s="1"/>
    </row>
    <row r="209" spans="2:34" ht="12.75" customHeight="1">
      <c r="B209" s="105">
        <f t="shared" si="36"/>
        <v>206</v>
      </c>
      <c r="C209" s="6">
        <v>870700</v>
      </c>
      <c r="D209" s="6" t="s">
        <v>863</v>
      </c>
      <c r="E209" s="9" t="s">
        <v>32</v>
      </c>
      <c r="F209" s="6"/>
      <c r="G209" s="6"/>
      <c r="H209" s="11">
        <f>+STAT1!V209</f>
        <v>0</v>
      </c>
      <c r="I209" s="11">
        <f>+STAT1!W209</f>
        <v>0</v>
      </c>
      <c r="J209" s="11">
        <f>+SUMIFS(JURNAL!G:G,JURNAL!E:E,C209,JURNAL!C:C,"&gt;="&amp;$H$1,JURNAL!C:C,"&lt;="&amp;$I$1)</f>
        <v>0</v>
      </c>
      <c r="K209" s="11">
        <f>+SUMIFS(JURNAL!H:H,JURNAL!E:E,C209,JURNAL!C:C,"&gt;="&amp;$H$1,JURNAL!C:C,"&lt;="&amp;$I$1)</f>
        <v>0</v>
      </c>
      <c r="L209" s="26">
        <f t="shared" si="37"/>
        <v>0</v>
      </c>
      <c r="M209" s="27">
        <f t="shared" si="38"/>
        <v>0</v>
      </c>
      <c r="N209" s="11"/>
      <c r="O209" s="11"/>
      <c r="P209" s="11"/>
      <c r="Q209" s="11"/>
      <c r="R209" s="26">
        <f t="shared" si="39"/>
        <v>0</v>
      </c>
      <c r="S209" s="27">
        <f t="shared" si="40"/>
        <v>0</v>
      </c>
      <c r="T209" s="11">
        <f t="shared" si="41"/>
        <v>0</v>
      </c>
      <c r="U209" s="11">
        <f t="shared" si="42"/>
        <v>0</v>
      </c>
      <c r="V209" s="26">
        <f t="shared" si="43"/>
        <v>0</v>
      </c>
      <c r="W209" s="27">
        <f t="shared" si="44"/>
        <v>0</v>
      </c>
      <c r="X209" s="4">
        <v>8400</v>
      </c>
      <c r="Y209" s="4"/>
      <c r="Z209" s="4"/>
      <c r="AA209" s="12">
        <f t="shared" si="45"/>
        <v>0</v>
      </c>
      <c r="AC209" s="568"/>
      <c r="AD209" s="84"/>
      <c r="AE209" s="84"/>
      <c r="AF209" s="84"/>
      <c r="AG209" s="1"/>
      <c r="AH209" s="1"/>
    </row>
    <row r="210" spans="2:34" ht="12.75" customHeight="1">
      <c r="B210" s="105">
        <f t="shared" si="36"/>
        <v>207</v>
      </c>
      <c r="C210" s="6">
        <v>870800</v>
      </c>
      <c r="D210" s="6" t="s">
        <v>866</v>
      </c>
      <c r="E210" s="9" t="s">
        <v>32</v>
      </c>
      <c r="F210" s="6"/>
      <c r="G210" s="6"/>
      <c r="H210" s="11">
        <f>+STAT1!V210</f>
        <v>0</v>
      </c>
      <c r="I210" s="11">
        <f>+STAT1!W210</f>
        <v>0</v>
      </c>
      <c r="J210" s="11">
        <f>+SUMIFS(JURNAL!G:G,JURNAL!E:E,C210,JURNAL!C:C,"&gt;="&amp;$H$1,JURNAL!C:C,"&lt;="&amp;$I$1)</f>
        <v>0</v>
      </c>
      <c r="K210" s="11">
        <f>+SUMIFS(JURNAL!H:H,JURNAL!E:E,C210,JURNAL!C:C,"&gt;="&amp;$H$1,JURNAL!C:C,"&lt;="&amp;$I$1)</f>
        <v>0</v>
      </c>
      <c r="L210" s="26">
        <f t="shared" si="37"/>
        <v>0</v>
      </c>
      <c r="M210" s="27">
        <f t="shared" si="38"/>
        <v>0</v>
      </c>
      <c r="N210" s="11"/>
      <c r="O210" s="11"/>
      <c r="P210" s="11"/>
      <c r="Q210" s="11"/>
      <c r="R210" s="26">
        <f t="shared" si="39"/>
        <v>0</v>
      </c>
      <c r="S210" s="27">
        <f t="shared" si="40"/>
        <v>0</v>
      </c>
      <c r="T210" s="11">
        <f t="shared" si="41"/>
        <v>0</v>
      </c>
      <c r="U210" s="11">
        <f t="shared" si="42"/>
        <v>0</v>
      </c>
      <c r="V210" s="26">
        <f t="shared" si="43"/>
        <v>0</v>
      </c>
      <c r="W210" s="27">
        <f t="shared" si="44"/>
        <v>0</v>
      </c>
      <c r="X210" s="4">
        <v>7202</v>
      </c>
      <c r="Y210" s="4"/>
      <c r="Z210" s="4"/>
      <c r="AA210" s="12">
        <f t="shared" si="45"/>
        <v>0</v>
      </c>
      <c r="AC210" s="568"/>
      <c r="AD210" s="84"/>
      <c r="AE210" s="84"/>
      <c r="AF210" s="84"/>
      <c r="AG210" s="1"/>
      <c r="AH210" s="1"/>
    </row>
    <row r="211" spans="2:34" ht="12.75" customHeight="1">
      <c r="B211" s="105">
        <f t="shared" si="36"/>
        <v>208</v>
      </c>
      <c r="C211" s="6">
        <v>870900</v>
      </c>
      <c r="D211" s="6" t="s">
        <v>868</v>
      </c>
      <c r="E211" s="9" t="s">
        <v>32</v>
      </c>
      <c r="F211" s="6"/>
      <c r="G211" s="6"/>
      <c r="H211" s="11">
        <f>+STAT1!V211</f>
        <v>0</v>
      </c>
      <c r="I211" s="11">
        <f>+STAT1!W211</f>
        <v>0</v>
      </c>
      <c r="J211" s="11">
        <f>+SUMIFS(JURNAL!G:G,JURNAL!E:E,C211,JURNAL!C:C,"&gt;="&amp;$H$1,JURNAL!C:C,"&lt;="&amp;$I$1)</f>
        <v>0</v>
      </c>
      <c r="K211" s="11">
        <f>+SUMIFS(JURNAL!H:H,JURNAL!E:E,C211,JURNAL!C:C,"&gt;="&amp;$H$1,JURNAL!C:C,"&lt;="&amp;$I$1)</f>
        <v>0</v>
      </c>
      <c r="L211" s="26">
        <f t="shared" si="37"/>
        <v>0</v>
      </c>
      <c r="M211" s="27">
        <f t="shared" si="38"/>
        <v>0</v>
      </c>
      <c r="N211" s="11"/>
      <c r="O211" s="11"/>
      <c r="P211" s="11"/>
      <c r="Q211" s="11"/>
      <c r="R211" s="26">
        <f t="shared" si="39"/>
        <v>0</v>
      </c>
      <c r="S211" s="27">
        <f t="shared" si="40"/>
        <v>0</v>
      </c>
      <c r="T211" s="11">
        <f t="shared" si="41"/>
        <v>0</v>
      </c>
      <c r="U211" s="11">
        <f t="shared" si="42"/>
        <v>0</v>
      </c>
      <c r="V211" s="26">
        <f t="shared" si="43"/>
        <v>0</v>
      </c>
      <c r="W211" s="27">
        <f t="shared" si="44"/>
        <v>0</v>
      </c>
      <c r="X211" s="4">
        <v>8409</v>
      </c>
      <c r="Y211" s="4"/>
      <c r="Z211" s="4"/>
      <c r="AA211" s="12">
        <f t="shared" si="45"/>
        <v>0</v>
      </c>
      <c r="AC211" s="568"/>
      <c r="AD211" s="84"/>
      <c r="AE211" s="84"/>
      <c r="AF211" s="84"/>
      <c r="AG211" s="1"/>
      <c r="AH211" s="1"/>
    </row>
    <row r="212" spans="2:34" ht="12.75" customHeight="1">
      <c r="B212" s="105">
        <f t="shared" si="36"/>
        <v>209</v>
      </c>
      <c r="C212" s="6">
        <v>871100</v>
      </c>
      <c r="D212" s="6" t="s">
        <v>871</v>
      </c>
      <c r="E212" s="9" t="s">
        <v>32</v>
      </c>
      <c r="F212" s="6"/>
      <c r="G212" s="6"/>
      <c r="H212" s="11">
        <f>+STAT1!V212</f>
        <v>0</v>
      </c>
      <c r="I212" s="11">
        <f>+STAT1!W212</f>
        <v>0</v>
      </c>
      <c r="J212" s="11">
        <f>+SUMIFS(JURNAL!G:G,JURNAL!E:E,C212,JURNAL!C:C,"&gt;="&amp;$H$1,JURNAL!C:C,"&lt;="&amp;$I$1)</f>
        <v>0</v>
      </c>
      <c r="K212" s="11">
        <f>+SUMIFS(JURNAL!H:H,JURNAL!E:E,C212,JURNAL!C:C,"&gt;="&amp;$H$1,JURNAL!C:C,"&lt;="&amp;$I$1)</f>
        <v>0</v>
      </c>
      <c r="L212" s="26">
        <f t="shared" si="37"/>
        <v>0</v>
      </c>
      <c r="M212" s="27">
        <f t="shared" si="38"/>
        <v>0</v>
      </c>
      <c r="N212" s="11"/>
      <c r="O212" s="11"/>
      <c r="P212" s="11"/>
      <c r="Q212" s="11"/>
      <c r="R212" s="26">
        <f t="shared" si="39"/>
        <v>0</v>
      </c>
      <c r="S212" s="27">
        <f t="shared" si="40"/>
        <v>0</v>
      </c>
      <c r="T212" s="11">
        <f t="shared" si="41"/>
        <v>0</v>
      </c>
      <c r="U212" s="11">
        <f t="shared" si="42"/>
        <v>0</v>
      </c>
      <c r="V212" s="26">
        <f t="shared" si="43"/>
        <v>0</v>
      </c>
      <c r="W212" s="27">
        <f t="shared" si="44"/>
        <v>0</v>
      </c>
      <c r="X212" s="4">
        <v>7202</v>
      </c>
      <c r="Y212" s="4"/>
      <c r="Z212" s="4"/>
      <c r="AA212" s="12">
        <f t="shared" si="45"/>
        <v>0</v>
      </c>
      <c r="AC212" s="568"/>
      <c r="AD212" s="84"/>
      <c r="AE212" s="84"/>
      <c r="AF212" s="84"/>
      <c r="AG212" s="1"/>
      <c r="AH212" s="1"/>
    </row>
    <row r="213" spans="2:34" ht="12.75" customHeight="1">
      <c r="B213" s="105">
        <f t="shared" si="36"/>
        <v>210</v>
      </c>
      <c r="C213" s="6">
        <v>871200</v>
      </c>
      <c r="D213" s="6" t="s">
        <v>874</v>
      </c>
      <c r="E213" s="9" t="s">
        <v>32</v>
      </c>
      <c r="F213" s="6"/>
      <c r="G213" s="6"/>
      <c r="H213" s="11">
        <f>+STAT1!V213</f>
        <v>0</v>
      </c>
      <c r="I213" s="11">
        <f>+STAT1!W213</f>
        <v>0</v>
      </c>
      <c r="J213" s="11">
        <f>+SUMIFS(JURNAL!G:G,JURNAL!E:E,C213,JURNAL!C:C,"&gt;="&amp;$H$1,JURNAL!C:C,"&lt;="&amp;$I$1)</f>
        <v>0</v>
      </c>
      <c r="K213" s="11">
        <f>+SUMIFS(JURNAL!H:H,JURNAL!E:E,C213,JURNAL!C:C,"&gt;="&amp;$H$1,JURNAL!C:C,"&lt;="&amp;$I$1)</f>
        <v>0</v>
      </c>
      <c r="L213" s="26">
        <f t="shared" si="37"/>
        <v>0</v>
      </c>
      <c r="M213" s="27">
        <f t="shared" si="38"/>
        <v>0</v>
      </c>
      <c r="N213" s="11"/>
      <c r="O213" s="11"/>
      <c r="P213" s="11"/>
      <c r="Q213" s="11"/>
      <c r="R213" s="26">
        <f t="shared" si="39"/>
        <v>0</v>
      </c>
      <c r="S213" s="27">
        <f t="shared" si="40"/>
        <v>0</v>
      </c>
      <c r="T213" s="11">
        <f t="shared" si="41"/>
        <v>0</v>
      </c>
      <c r="U213" s="11">
        <f t="shared" si="42"/>
        <v>0</v>
      </c>
      <c r="V213" s="26">
        <f t="shared" si="43"/>
        <v>0</v>
      </c>
      <c r="W213" s="27">
        <f t="shared" si="44"/>
        <v>0</v>
      </c>
      <c r="X213" s="4">
        <v>8402</v>
      </c>
      <c r="Y213" s="4"/>
      <c r="Z213" s="4"/>
      <c r="AA213" s="12">
        <f t="shared" si="45"/>
        <v>0</v>
      </c>
      <c r="AC213" s="568"/>
      <c r="AD213" s="84"/>
      <c r="AE213" s="84"/>
      <c r="AF213" s="84"/>
      <c r="AG213" s="1"/>
      <c r="AH213" s="1"/>
    </row>
    <row r="214" spans="2:34" ht="12.75" customHeight="1">
      <c r="B214" s="105">
        <f t="shared" si="36"/>
        <v>211</v>
      </c>
      <c r="C214" s="6">
        <v>910100</v>
      </c>
      <c r="D214" s="6" t="s">
        <v>284</v>
      </c>
      <c r="E214" s="9" t="s">
        <v>32</v>
      </c>
      <c r="F214" s="6"/>
      <c r="G214" s="6"/>
      <c r="H214" s="11">
        <f>+STAT1!V214</f>
        <v>0</v>
      </c>
      <c r="I214" s="11">
        <f>+STAT1!W214</f>
        <v>0</v>
      </c>
      <c r="J214" s="11">
        <f>+SUMIFS(JURNAL!G:G,JURNAL!E:E,C214,JURNAL!C:C,"&gt;="&amp;$H$1,JURNAL!C:C,"&lt;="&amp;$I$1)</f>
        <v>0</v>
      </c>
      <c r="K214" s="11">
        <f>+SUMIFS(JURNAL!H:H,JURNAL!E:E,C214,JURNAL!C:C,"&gt;="&amp;$H$1,JURNAL!C:C,"&lt;="&amp;$I$1)</f>
        <v>0</v>
      </c>
      <c r="L214" s="26">
        <f t="shared" si="37"/>
        <v>0</v>
      </c>
      <c r="M214" s="27">
        <f t="shared" si="38"/>
        <v>0</v>
      </c>
      <c r="N214" s="11"/>
      <c r="O214" s="11"/>
      <c r="P214" s="11"/>
      <c r="Q214" s="11"/>
      <c r="R214" s="26">
        <f t="shared" si="39"/>
        <v>0</v>
      </c>
      <c r="S214" s="27">
        <f t="shared" si="40"/>
        <v>0</v>
      </c>
      <c r="T214" s="11">
        <f t="shared" si="41"/>
        <v>0</v>
      </c>
      <c r="U214" s="11">
        <f t="shared" si="42"/>
        <v>0</v>
      </c>
      <c r="V214" s="26">
        <f t="shared" si="43"/>
        <v>0</v>
      </c>
      <c r="W214" s="27">
        <f t="shared" si="44"/>
        <v>0</v>
      </c>
      <c r="X214" s="4">
        <v>9101</v>
      </c>
      <c r="Y214" s="4"/>
      <c r="Z214" s="4"/>
      <c r="AA214" s="12">
        <f t="shared" si="45"/>
        <v>0</v>
      </c>
      <c r="AC214" s="568"/>
      <c r="AD214" s="84"/>
      <c r="AE214" s="84"/>
      <c r="AF214" s="84"/>
      <c r="AG214" s="1"/>
      <c r="AH214" s="1"/>
    </row>
    <row r="215" spans="2:34" ht="12.75" customHeight="1">
      <c r="B215" s="105">
        <f t="shared" si="36"/>
        <v>212</v>
      </c>
      <c r="C215" s="6">
        <v>920100</v>
      </c>
      <c r="D215" s="6" t="s">
        <v>880</v>
      </c>
      <c r="E215" s="9" t="s">
        <v>32</v>
      </c>
      <c r="F215" s="6"/>
      <c r="G215" s="6"/>
      <c r="H215" s="11">
        <f>+STAT1!V215</f>
        <v>0</v>
      </c>
      <c r="I215" s="11">
        <f>+STAT1!W215</f>
        <v>0</v>
      </c>
      <c r="J215" s="11">
        <f>+SUMIFS(JURNAL!G:G,JURNAL!E:E,C215,JURNAL!C:C,"&gt;="&amp;$H$1,JURNAL!C:C,"&lt;="&amp;$I$1)</f>
        <v>0</v>
      </c>
      <c r="K215" s="11">
        <f>+SUMIFS(JURNAL!H:H,JURNAL!E:E,C215,JURNAL!C:C,"&gt;="&amp;$H$1,JURNAL!C:C,"&lt;="&amp;$I$1)</f>
        <v>0</v>
      </c>
      <c r="L215" s="26">
        <f t="shared" si="37"/>
        <v>0</v>
      </c>
      <c r="M215" s="27">
        <f t="shared" si="38"/>
        <v>0</v>
      </c>
      <c r="N215" s="11"/>
      <c r="O215" s="11"/>
      <c r="P215" s="11"/>
      <c r="Q215" s="11"/>
      <c r="R215" s="26">
        <f t="shared" si="39"/>
        <v>0</v>
      </c>
      <c r="S215" s="27">
        <f t="shared" si="40"/>
        <v>0</v>
      </c>
      <c r="T215" s="118">
        <v>7012316.7800000003</v>
      </c>
      <c r="U215" s="118">
        <v>7012316.7800000003</v>
      </c>
      <c r="V215" s="26">
        <f t="shared" si="43"/>
        <v>0</v>
      </c>
      <c r="W215" s="27">
        <f t="shared" si="44"/>
        <v>0</v>
      </c>
      <c r="X215" s="4"/>
      <c r="Y215" s="4"/>
      <c r="Z215" s="4"/>
      <c r="AA215" s="12">
        <v>1</v>
      </c>
      <c r="AC215" s="568"/>
      <c r="AD215" s="84"/>
      <c r="AE215" s="84"/>
      <c r="AF215" s="84"/>
      <c r="AG215" s="1"/>
      <c r="AH215" s="1"/>
    </row>
    <row r="216" spans="2:34" ht="12.75" customHeight="1">
      <c r="B216" s="181"/>
      <c r="C216" s="135"/>
      <c r="D216" s="181" t="s">
        <v>39</v>
      </c>
      <c r="E216" s="404"/>
      <c r="F216" s="13">
        <f t="shared" ref="F216:W216" si="46">SUM(F140:F215)</f>
        <v>0</v>
      </c>
      <c r="G216" s="13">
        <f t="shared" si="46"/>
        <v>0</v>
      </c>
      <c r="H216" s="13">
        <f t="shared" si="46"/>
        <v>0</v>
      </c>
      <c r="I216" s="13">
        <f t="shared" si="46"/>
        <v>0</v>
      </c>
      <c r="J216" s="13">
        <f t="shared" si="46"/>
        <v>220543131.62713912</v>
      </c>
      <c r="K216" s="13">
        <f t="shared" si="46"/>
        <v>227424422.8932063</v>
      </c>
      <c r="L216" s="13">
        <f t="shared" si="46"/>
        <v>176795929.41713911</v>
      </c>
      <c r="M216" s="13">
        <f t="shared" si="46"/>
        <v>183677220.68320629</v>
      </c>
      <c r="N216" s="13">
        <f t="shared" si="46"/>
        <v>0</v>
      </c>
      <c r="O216" s="13">
        <f t="shared" si="46"/>
        <v>131025.51</v>
      </c>
      <c r="P216" s="13">
        <f t="shared" si="46"/>
        <v>0</v>
      </c>
      <c r="Q216" s="13">
        <f t="shared" si="46"/>
        <v>0</v>
      </c>
      <c r="R216" s="13">
        <f t="shared" si="46"/>
        <v>176795929.41713911</v>
      </c>
      <c r="S216" s="13">
        <f t="shared" si="46"/>
        <v>183808246.19320628</v>
      </c>
      <c r="T216" s="13">
        <f t="shared" si="46"/>
        <v>190820562.97320628</v>
      </c>
      <c r="U216" s="13">
        <f>SUM(U140:U215)</f>
        <v>183808246.19713911</v>
      </c>
      <c r="V216" s="13">
        <f t="shared" si="46"/>
        <v>0</v>
      </c>
      <c r="W216" s="13">
        <f t="shared" si="46"/>
        <v>0</v>
      </c>
      <c r="X216" s="14"/>
      <c r="Y216" s="14"/>
      <c r="Z216" s="14"/>
      <c r="AA216" s="14"/>
      <c r="AC216" s="568"/>
      <c r="AD216" s="84"/>
      <c r="AE216" s="84"/>
      <c r="AF216" s="84"/>
      <c r="AG216" s="1"/>
      <c r="AH216" s="1"/>
    </row>
    <row r="217" spans="2:34" ht="12.75" customHeight="1">
      <c r="B217" s="29"/>
      <c r="C217" s="29" t="s">
        <v>21</v>
      </c>
      <c r="D217" s="29"/>
      <c r="E217" s="30"/>
      <c r="F217" s="31">
        <f t="shared" ref="F217:W217" si="47">+F216+F139</f>
        <v>6147.9800000000014</v>
      </c>
      <c r="G217" s="31">
        <f t="shared" si="47"/>
        <v>14281.039999999997</v>
      </c>
      <c r="H217" s="31">
        <f t="shared" si="47"/>
        <v>3362669288.2862163</v>
      </c>
      <c r="I217" s="31">
        <f t="shared" si="47"/>
        <v>3362669288.2751079</v>
      </c>
      <c r="J217" s="31">
        <f t="shared" si="47"/>
        <v>1423208455.4390545</v>
      </c>
      <c r="K217" s="31">
        <f t="shared" si="47"/>
        <v>1423208455.4586785</v>
      </c>
      <c r="L217" s="31">
        <f t="shared" si="47"/>
        <v>3584295276.4647012</v>
      </c>
      <c r="M217" s="31">
        <f t="shared" si="47"/>
        <v>3584295276.4732156</v>
      </c>
      <c r="N217" s="31">
        <f t="shared" si="47"/>
        <v>8335580.6329999994</v>
      </c>
      <c r="O217" s="31">
        <f t="shared" si="47"/>
        <v>8335580.6299999999</v>
      </c>
      <c r="P217" s="31">
        <f t="shared" si="47"/>
        <v>6147.9800000000014</v>
      </c>
      <c r="Q217" s="31">
        <f t="shared" si="47"/>
        <v>14829.1</v>
      </c>
      <c r="R217" s="31">
        <f t="shared" si="47"/>
        <v>3576221746.8577008</v>
      </c>
      <c r="S217" s="31">
        <f t="shared" si="47"/>
        <v>3576221746.8632159</v>
      </c>
      <c r="T217" s="31">
        <f t="shared" si="47"/>
        <v>190820562.97320628</v>
      </c>
      <c r="U217" s="31">
        <f t="shared" si="47"/>
        <v>190820562.97713912</v>
      </c>
      <c r="V217" s="31">
        <f t="shared" si="47"/>
        <v>3392413500.660562</v>
      </c>
      <c r="W217" s="31">
        <f t="shared" si="47"/>
        <v>3392413500.6700096</v>
      </c>
      <c r="X217" s="31"/>
      <c r="Y217" s="31"/>
      <c r="Z217" s="31"/>
      <c r="AA217" s="31"/>
      <c r="AC217" s="568"/>
      <c r="AD217" s="84"/>
      <c r="AE217" s="84"/>
      <c r="AF217" s="84"/>
      <c r="AG217" s="1"/>
      <c r="AH217" s="1"/>
    </row>
    <row r="218" spans="2:34" ht="12.75" customHeight="1">
      <c r="B218" s="6"/>
      <c r="C218" s="6" t="s">
        <v>22</v>
      </c>
      <c r="D218" s="6"/>
      <c r="E218" s="9"/>
      <c r="F218" s="6"/>
      <c r="G218" s="6"/>
      <c r="H218" s="32"/>
      <c r="I218" s="32"/>
      <c r="J218" s="11">
        <f>+SUMIFS(JURNAL!G:G,JURNAL!E:E,C218,JURNAL!C:C,"&gt;="&amp;$H$1,JURNAL!C:C,"&lt;="&amp;$I$1)</f>
        <v>0</v>
      </c>
      <c r="K218" s="11">
        <f>+SUMIFS(JURNAL!H:H,JURNAL!F:F,D218,JURNAL!D:D,"&gt;="&amp;$H$1,JURNAL!D:D,"&lt;="&amp;$I$1)</f>
        <v>0</v>
      </c>
      <c r="L218" s="11">
        <f>+SUMIFS(JURNAL!I:I,JURNAL!G:G,E218,JURNAL!E:E,"&gt;="&amp;$H$1,JURNAL!E:E,"&lt;="&amp;$I$1)</f>
        <v>0</v>
      </c>
      <c r="M218" s="11">
        <f>+SUMIFS(JURNAL!J:J,JURNAL!H:H,F218,JURNAL!F:F,"&gt;="&amp;$H$1,JURNAL!F:F,"&lt;="&amp;$I$1)</f>
        <v>0</v>
      </c>
      <c r="N218" s="11">
        <f>+SUMIFS(JURNAL!K:K,JURNAL!I:I,G218,JURNAL!G:G,"&gt;="&amp;$H$1,JURNAL!G:G,"&lt;="&amp;$I$1)</f>
        <v>0</v>
      </c>
      <c r="O218" s="11">
        <f>+SUMIFS(JURNAL!L:L,JURNAL!J:J,H218,JURNAL!H:H,"&gt;="&amp;$H$1,JURNAL!H:H,"&lt;="&amp;$I$1)</f>
        <v>0</v>
      </c>
      <c r="P218" s="11">
        <f>+SUMIFS(JURNAL!M:M,JURNAL!K:K,I218,JURNAL!I:I,"&gt;="&amp;$H$1,JURNAL!I:I,"&lt;="&amp;$I$1)</f>
        <v>0</v>
      </c>
      <c r="Q218" s="11">
        <f>+SUMIFS(JURNAL!N:N,JURNAL!L:L,J218,JURNAL!J:J,"&gt;="&amp;$H$1,JURNAL!J:J,"&lt;="&amp;$I$1)</f>
        <v>0</v>
      </c>
      <c r="R218" s="11">
        <f>+SUMIFS(JURNAL!O:O,JURNAL!M:M,K218,JURNAL!K:K,"&gt;="&amp;$H$1,JURNAL!K:K,"&lt;="&amp;$I$1)</f>
        <v>0</v>
      </c>
      <c r="S218" s="11">
        <f>+SUMIFS(JURNAL!P:P,JURNAL!N:N,L218,JURNAL!L:L,"&gt;="&amp;$H$1,JURNAL!L:L,"&lt;="&amp;$I$1)</f>
        <v>0</v>
      </c>
      <c r="T218" s="11">
        <f>+SUMIFS(JURNAL!Q:Q,JURNAL!O:O,M218,JURNAL!M:M,"&gt;="&amp;$H$1,JURNAL!M:M,"&lt;="&amp;$I$1)</f>
        <v>0</v>
      </c>
      <c r="U218" s="11">
        <f ca="1">+SUMIFS(JURNAL!R:R,JURNAL!P:P,N218,JURNAL!N:N,"&gt;="&amp;$H$1,JURNAL!N:N,"&lt;="&amp;$I$1)</f>
        <v>0</v>
      </c>
      <c r="V218" s="11">
        <f ca="1">+SUMIFS(JURNAL!S:S,JURNAL!Q:Q,O218,JURNAL!O:O,"&gt;="&amp;$H$1,JURNAL!O:O,"&lt;="&amp;$I$1)</f>
        <v>0</v>
      </c>
      <c r="W218" s="11">
        <f ca="1">+SUMIFS(JURNAL!T:T,JURNAL!R:R,P218,JURNAL!P:P,"&gt;="&amp;$H$1,JURNAL!P:P,"&lt;="&amp;$I$1)</f>
        <v>0</v>
      </c>
      <c r="X218" s="11">
        <f ca="1">+SUMIFS(JURNAL!U:U,JURNAL!S:S,Q218,JURNAL!Q:Q,"&gt;="&amp;$H$1,JURNAL!Q:Q,"&lt;="&amp;$I$1)</f>
        <v>0</v>
      </c>
      <c r="Y218" s="11">
        <f ca="1">+SUMIFS(JURNAL!V:V,JURNAL!T:T,R218,JURNAL!R:R,"&gt;="&amp;$H$1,JURNAL!R:R,"&lt;="&amp;$I$1)</f>
        <v>0</v>
      </c>
      <c r="Z218" s="11">
        <f ca="1">+SUMIFS(JURNAL!W:W,JURNAL!U:U,S218,JURNAL!S:S,"&gt;="&amp;$H$1,JURNAL!S:S,"&lt;="&amp;$I$1)</f>
        <v>0</v>
      </c>
      <c r="AA218" s="11">
        <f ca="1">+SUMIFS(JURNAL!X:X,JURNAL!V:V,T218,JURNAL!T:T,"&gt;="&amp;$H$1,JURNAL!T:T,"&lt;="&amp;$I$1)</f>
        <v>0</v>
      </c>
      <c r="AC218" s="84"/>
      <c r="AD218" s="84"/>
      <c r="AE218" s="84"/>
      <c r="AF218" s="84"/>
      <c r="AG218" s="1"/>
      <c r="AH218" s="1"/>
    </row>
    <row r="219" spans="2:34" ht="12.75" customHeight="1">
      <c r="B219" s="6"/>
      <c r="C219" s="6" t="s">
        <v>23</v>
      </c>
      <c r="D219" s="6"/>
      <c r="E219" s="9"/>
      <c r="F219" s="6"/>
      <c r="G219" s="6"/>
      <c r="H219" s="32"/>
      <c r="I219" s="32"/>
      <c r="J219" s="11">
        <f>+SUMIFS(JURNAL!G:G,JURNAL!E:E,C219,JURNAL!C:C,"&gt;="&amp;$H$1,JURNAL!C:C,"&lt;="&amp;$I$1)</f>
        <v>0</v>
      </c>
      <c r="K219" s="11">
        <f>+SUMIFS(JURNAL!H:H,JURNAL!F:F,D219,JURNAL!D:D,"&gt;="&amp;$H$1,JURNAL!D:D,"&lt;="&amp;$I$1)</f>
        <v>0</v>
      </c>
      <c r="L219" s="11">
        <f>+SUMIFS(JURNAL!I:I,JURNAL!G:G,E219,JURNAL!E:E,"&gt;="&amp;$H$1,JURNAL!E:E,"&lt;="&amp;$I$1)</f>
        <v>0</v>
      </c>
      <c r="M219" s="11">
        <f>+SUMIFS(JURNAL!J:J,JURNAL!H:H,F219,JURNAL!F:F,"&gt;="&amp;$H$1,JURNAL!F:F,"&lt;="&amp;$I$1)</f>
        <v>0</v>
      </c>
      <c r="N219" s="11">
        <f>+SUMIFS(JURNAL!K:K,JURNAL!I:I,G219,JURNAL!G:G,"&gt;="&amp;$H$1,JURNAL!G:G,"&lt;="&amp;$I$1)</f>
        <v>0</v>
      </c>
      <c r="O219" s="11">
        <f>+SUMIFS(JURNAL!L:L,JURNAL!J:J,H219,JURNAL!H:H,"&gt;="&amp;$H$1,JURNAL!H:H,"&lt;="&amp;$I$1)</f>
        <v>0</v>
      </c>
      <c r="P219" s="11">
        <f>+SUMIFS(JURNAL!M:M,JURNAL!K:K,I219,JURNAL!I:I,"&gt;="&amp;$H$1,JURNAL!I:I,"&lt;="&amp;$I$1)</f>
        <v>0</v>
      </c>
      <c r="Q219" s="11">
        <f>+SUMIFS(JURNAL!N:N,JURNAL!L:L,J219,JURNAL!J:J,"&gt;="&amp;$H$1,JURNAL!J:J,"&lt;="&amp;$I$1)</f>
        <v>0</v>
      </c>
      <c r="R219" s="11">
        <f>+SUMIFS(JURNAL!O:O,JURNAL!M:M,K219,JURNAL!K:K,"&gt;="&amp;$H$1,JURNAL!K:K,"&lt;="&amp;$I$1)</f>
        <v>0</v>
      </c>
      <c r="S219" s="11">
        <f>+SUMIFS(JURNAL!P:P,JURNAL!N:N,L219,JURNAL!L:L,"&gt;="&amp;$H$1,JURNAL!L:L,"&lt;="&amp;$I$1)</f>
        <v>0</v>
      </c>
      <c r="T219" s="11">
        <f>+SUMIFS(JURNAL!Q:Q,JURNAL!O:O,M219,JURNAL!M:M,"&gt;="&amp;$H$1,JURNAL!M:M,"&lt;="&amp;$I$1)</f>
        <v>0</v>
      </c>
      <c r="U219" s="11">
        <f ca="1">+SUMIFS(JURNAL!R:R,JURNAL!P:P,N219,JURNAL!N:N,"&gt;="&amp;$H$1,JURNAL!N:N,"&lt;="&amp;$I$1)</f>
        <v>0</v>
      </c>
      <c r="V219" s="11">
        <f ca="1">+SUMIFS(JURNAL!S:S,JURNAL!Q:Q,O219,JURNAL!O:O,"&gt;="&amp;$H$1,JURNAL!O:O,"&lt;="&amp;$I$1)</f>
        <v>0</v>
      </c>
      <c r="W219" s="11">
        <f ca="1">+SUMIFS(JURNAL!T:T,JURNAL!R:R,P219,JURNAL!P:P,"&gt;="&amp;$H$1,JURNAL!P:P,"&lt;="&amp;$I$1)</f>
        <v>0</v>
      </c>
      <c r="X219" s="11">
        <f ca="1">+SUMIFS(JURNAL!U:U,JURNAL!S:S,Q219,JURNAL!Q:Q,"&gt;="&amp;$H$1,JURNAL!Q:Q,"&lt;="&amp;$I$1)</f>
        <v>0</v>
      </c>
      <c r="Y219" s="11">
        <f ca="1">+SUMIFS(JURNAL!V:V,JURNAL!T:T,R219,JURNAL!R:R,"&gt;="&amp;$H$1,JURNAL!R:R,"&lt;="&amp;$I$1)</f>
        <v>0</v>
      </c>
      <c r="Z219" s="11">
        <f ca="1">+SUMIFS(JURNAL!W:W,JURNAL!U:U,S219,JURNAL!S:S,"&gt;="&amp;$H$1,JURNAL!S:S,"&lt;="&amp;$I$1)</f>
        <v>0</v>
      </c>
      <c r="AA219" s="11">
        <f ca="1">+SUMIFS(JURNAL!X:X,JURNAL!V:V,T219,JURNAL!T:T,"&gt;="&amp;$H$1,JURNAL!T:T,"&lt;="&amp;$I$1)</f>
        <v>0</v>
      </c>
      <c r="AC219" s="84"/>
      <c r="AD219" s="84"/>
      <c r="AE219" s="84"/>
      <c r="AF219" s="84"/>
      <c r="AG219" s="1"/>
      <c r="AH219" s="1"/>
    </row>
    <row r="220" spans="2:34" ht="12.75" customHeight="1">
      <c r="B220" s="6"/>
      <c r="C220" s="6" t="s">
        <v>24</v>
      </c>
      <c r="D220" s="6"/>
      <c r="E220" s="9"/>
      <c r="F220" s="6"/>
      <c r="G220" s="6"/>
      <c r="H220" s="32"/>
      <c r="I220" s="27">
        <f>+I217-H217</f>
        <v>-1.11083984375E-2</v>
      </c>
      <c r="J220" s="11">
        <f>+SUMIFS(JURNAL!G:G,JURNAL!E:E,C220,JURNAL!C:C,"&gt;="&amp;$H$1,JURNAL!C:C,"&lt;="&amp;$I$1)</f>
        <v>0</v>
      </c>
      <c r="K220" s="11">
        <f>+SUMIFS(JURNAL!H:H,JURNAL!F:F,D220,JURNAL!D:D,"&gt;="&amp;$H$1,JURNAL!D:D,"&lt;="&amp;$I$1)</f>
        <v>0</v>
      </c>
      <c r="L220" s="11">
        <f>+SUMIFS(JURNAL!I:I,JURNAL!G:G,E220,JURNAL!E:E,"&gt;="&amp;$H$1,JURNAL!E:E,"&lt;="&amp;$I$1)</f>
        <v>0</v>
      </c>
      <c r="M220" s="11">
        <f>+SUMIFS(JURNAL!J:J,JURNAL!H:H,F220,JURNAL!F:F,"&gt;="&amp;$H$1,JURNAL!F:F,"&lt;="&amp;$I$1)</f>
        <v>0</v>
      </c>
      <c r="N220" s="11">
        <f>+SUMIFS(JURNAL!K:K,JURNAL!I:I,G220,JURNAL!G:G,"&gt;="&amp;$H$1,JURNAL!G:G,"&lt;="&amp;$I$1)</f>
        <v>0</v>
      </c>
      <c r="O220" s="11">
        <f>+SUMIFS(JURNAL!L:L,JURNAL!J:J,H220,JURNAL!H:H,"&gt;="&amp;$H$1,JURNAL!H:H,"&lt;="&amp;$I$1)</f>
        <v>0</v>
      </c>
      <c r="P220" s="11">
        <f>+SUMIFS(JURNAL!M:M,JURNAL!K:K,I220,JURNAL!I:I,"&gt;="&amp;$H$1,JURNAL!I:I,"&lt;="&amp;$I$1)</f>
        <v>0</v>
      </c>
      <c r="Q220" s="11">
        <f>+SUMIFS(JURNAL!N:N,JURNAL!L:L,J220,JURNAL!J:J,"&gt;="&amp;$H$1,JURNAL!J:J,"&lt;="&amp;$I$1)</f>
        <v>0</v>
      </c>
      <c r="R220" s="11">
        <f>+SUMIFS(JURNAL!O:O,JURNAL!M:M,K220,JURNAL!K:K,"&gt;="&amp;$H$1,JURNAL!K:K,"&lt;="&amp;$I$1)</f>
        <v>0</v>
      </c>
      <c r="S220" s="11">
        <f>+SUMIFS(JURNAL!P:P,JURNAL!N:N,L220,JURNAL!L:L,"&gt;="&amp;$H$1,JURNAL!L:L,"&lt;="&amp;$I$1)</f>
        <v>0</v>
      </c>
      <c r="T220" s="11">
        <f>+SUMIFS(JURNAL!Q:Q,JURNAL!O:O,M220,JURNAL!M:M,"&gt;="&amp;$H$1,JURNAL!M:M,"&lt;="&amp;$I$1)</f>
        <v>0</v>
      </c>
      <c r="U220" s="11">
        <f ca="1">+SUMIFS(JURNAL!R:R,JURNAL!P:P,N220,JURNAL!N:N,"&gt;="&amp;$H$1,JURNAL!N:N,"&lt;="&amp;$I$1)</f>
        <v>0</v>
      </c>
      <c r="V220" s="11">
        <f ca="1">+SUMIFS(JURNAL!S:S,JURNAL!Q:Q,O220,JURNAL!O:O,"&gt;="&amp;$H$1,JURNAL!O:O,"&lt;="&amp;$I$1)</f>
        <v>0</v>
      </c>
      <c r="W220" s="11">
        <f ca="1">+SUMIFS(JURNAL!T:T,JURNAL!R:R,P220,JURNAL!P:P,"&gt;="&amp;$H$1,JURNAL!P:P,"&lt;="&amp;$I$1)</f>
        <v>0</v>
      </c>
      <c r="X220" s="11">
        <f ca="1">+SUMIFS(JURNAL!U:U,JURNAL!S:S,Q220,JURNAL!Q:Q,"&gt;="&amp;$H$1,JURNAL!Q:Q,"&lt;="&amp;$I$1)</f>
        <v>0</v>
      </c>
      <c r="Y220" s="11">
        <f ca="1">+SUMIFS(JURNAL!V:V,JURNAL!T:T,R220,JURNAL!R:R,"&gt;="&amp;$H$1,JURNAL!R:R,"&lt;="&amp;$I$1)</f>
        <v>0</v>
      </c>
      <c r="Z220" s="11">
        <f ca="1">+SUMIFS(JURNAL!W:W,JURNAL!U:U,S220,JURNAL!S:S,"&gt;="&amp;$H$1,JURNAL!S:S,"&lt;="&amp;$I$1)</f>
        <v>0</v>
      </c>
      <c r="AA220" s="11">
        <f ca="1">+SUMIFS(JURNAL!X:X,JURNAL!V:V,T220,JURNAL!T:T,"&gt;="&amp;$H$1,JURNAL!T:T,"&lt;="&amp;$I$1)</f>
        <v>0</v>
      </c>
      <c r="AC220" s="84"/>
      <c r="AD220" s="84"/>
      <c r="AE220" s="84"/>
      <c r="AF220" s="84"/>
      <c r="AG220" s="1"/>
      <c r="AH220" s="1"/>
    </row>
    <row r="222" spans="2:34" ht="12.75" customHeight="1">
      <c r="T222" s="82">
        <f>+T217-U217</f>
        <v>-3.9328336715698242E-3</v>
      </c>
      <c r="V222" s="41">
        <f>+V217-W217</f>
        <v>-9.4475746154785156E-3</v>
      </c>
    </row>
  </sheetData>
  <sheetProtection password="DFC0" sheet="1" objects="1" scenarios="1"/>
  <autoFilter ref="B3:AA220"/>
  <mergeCells count="7">
    <mergeCell ref="R2:S2"/>
    <mergeCell ref="T2:U2"/>
    <mergeCell ref="V2:W2"/>
    <mergeCell ref="H2:I2"/>
    <mergeCell ref="J2:K2"/>
    <mergeCell ref="L2:M2"/>
    <mergeCell ref="N2:O2"/>
  </mergeCells>
  <conditionalFormatting sqref="B4:B189">
    <cfRule type="expression" dxfId="140" priority="8">
      <formula>$A4&lt;&gt;""</formula>
    </cfRule>
  </conditionalFormatting>
  <conditionalFormatting sqref="B4:B189">
    <cfRule type="expression" dxfId="139" priority="7">
      <formula>$B4&lt;&gt;""</formula>
    </cfRule>
  </conditionalFormatting>
  <conditionalFormatting sqref="B4:B215">
    <cfRule type="expression" dxfId="138" priority="6">
      <formula>$A4&lt;&gt;""</formula>
    </cfRule>
  </conditionalFormatting>
  <conditionalFormatting sqref="B4:B215">
    <cfRule type="expression" dxfId="137" priority="5">
      <formula>$B4&lt;&gt;""</formula>
    </cfRule>
  </conditionalFormatting>
  <conditionalFormatting sqref="B140:B189">
    <cfRule type="expression" dxfId="136" priority="4">
      <formula>$A140&lt;&gt;""</formula>
    </cfRule>
  </conditionalFormatting>
  <conditionalFormatting sqref="B140:B189">
    <cfRule type="expression" dxfId="135" priority="3">
      <formula>$B140&lt;&gt;""</formula>
    </cfRule>
  </conditionalFormatting>
  <conditionalFormatting sqref="B140:B215">
    <cfRule type="expression" dxfId="134" priority="2">
      <formula>$A140&lt;&gt;""</formula>
    </cfRule>
  </conditionalFormatting>
  <conditionalFormatting sqref="B140:B215">
    <cfRule type="expression" dxfId="133" priority="1">
      <formula>$B140&lt;&gt;""</formula>
    </cfRule>
  </conditionalFormatting>
  <pageMargins left="0.7" right="0.7" top="0.75" bottom="0.75" header="0.3" footer="0.3"/>
  <pageSetup orientation="portrait" horizontalDpi="0" verticalDpi="0" r:id="rId1"/>
  <ignoredErrors>
    <ignoredError sqref="R139:S139 V139:W139 AA139"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DATA!$J$4:$J$9</xm:f>
          </x14:formula1>
          <xm:sqref>E4:E188</xm:sqref>
        </x14:dataValidation>
      </x14:dataValidations>
    </ext>
  </extLst>
</worksheet>
</file>

<file path=xl/worksheets/sheet16.xml><?xml version="1.0" encoding="utf-8"?>
<worksheet xmlns="http://schemas.openxmlformats.org/spreadsheetml/2006/main" xmlns:r="http://schemas.openxmlformats.org/officeDocument/2006/relationships">
  <sheetPr>
    <tabColor rgb="FF00B0F0"/>
  </sheetPr>
  <dimension ref="A1:AG222"/>
  <sheetViews>
    <sheetView workbookViewId="0">
      <pane xSplit="4" ySplit="4" topLeftCell="E14" activePane="bottomRight" state="frozen"/>
      <selection pane="topRight" activeCell="E1" sqref="E1"/>
      <selection pane="bottomLeft" activeCell="A5" sqref="A5"/>
      <selection pane="bottomRight" activeCell="D142" sqref="D142"/>
    </sheetView>
  </sheetViews>
  <sheetFormatPr defaultRowHeight="12.75" customHeight="1"/>
  <cols>
    <col min="1" max="1" width="5.140625" style="1" customWidth="1"/>
    <col min="2" max="2" width="3.85546875" style="1" customWidth="1"/>
    <col min="3" max="3" width="8" style="1" customWidth="1"/>
    <col min="4" max="4" width="34.7109375" style="1" customWidth="1"/>
    <col min="5" max="5" width="8.42578125" style="2" customWidth="1"/>
    <col min="6" max="6" width="10.7109375" style="1" bestFit="1" customWidth="1"/>
    <col min="7" max="7" width="9" style="1" bestFit="1" customWidth="1"/>
    <col min="8" max="8" width="14.7109375" style="1" bestFit="1" customWidth="1"/>
    <col min="9" max="9" width="16.42578125" style="1" bestFit="1" customWidth="1"/>
    <col min="10" max="10" width="14.28515625" style="1" bestFit="1" customWidth="1"/>
    <col min="11" max="11" width="14" style="1" customWidth="1"/>
    <col min="12" max="13" width="14.28515625" style="1" bestFit="1" customWidth="1"/>
    <col min="14" max="14" width="12.42578125" style="1" customWidth="1"/>
    <col min="15" max="15" width="13.140625" style="1" customWidth="1"/>
    <col min="16" max="16" width="12.42578125" style="82" customWidth="1"/>
    <col min="17" max="17" width="12.42578125" style="1" customWidth="1"/>
    <col min="18" max="19" width="14.42578125" style="1" bestFit="1" customWidth="1"/>
    <col min="20" max="23" width="14.42578125" style="1" customWidth="1"/>
    <col min="24" max="27" width="6.28515625" style="1" customWidth="1"/>
    <col min="28" max="28" width="9.140625" style="1"/>
    <col min="29" max="29" width="15" style="230" bestFit="1" customWidth="1"/>
    <col min="30" max="30" width="14.28515625" style="231" bestFit="1" customWidth="1"/>
    <col min="31" max="31" width="14.5703125" style="231" customWidth="1"/>
    <col min="32" max="32" width="12.85546875" style="1" bestFit="1" customWidth="1"/>
    <col min="33" max="16384" width="9.140625" style="1"/>
  </cols>
  <sheetData>
    <row r="1" spans="1:32" ht="12.75" customHeight="1">
      <c r="B1" s="95">
        <f>COUNT(B4:B5965)</f>
        <v>212</v>
      </c>
      <c r="C1" s="261" t="s">
        <v>1335</v>
      </c>
      <c r="E1" s="33"/>
      <c r="F1" s="110" t="s">
        <v>43</v>
      </c>
      <c r="G1" s="111"/>
      <c r="H1" s="112">
        <v>43009</v>
      </c>
      <c r="I1" s="112">
        <v>43100</v>
      </c>
    </row>
    <row r="2" spans="1:32" ht="12.75" customHeight="1">
      <c r="B2" s="61" t="s">
        <v>12</v>
      </c>
      <c r="C2" s="62" t="s">
        <v>13</v>
      </c>
      <c r="D2" s="62" t="s">
        <v>13</v>
      </c>
      <c r="E2" s="62" t="s">
        <v>29</v>
      </c>
      <c r="F2" s="63"/>
      <c r="G2" s="63"/>
      <c r="H2" s="936" t="s">
        <v>14</v>
      </c>
      <c r="I2" s="936"/>
      <c r="J2" s="936" t="s">
        <v>34</v>
      </c>
      <c r="K2" s="936"/>
      <c r="L2" s="936" t="s">
        <v>35</v>
      </c>
      <c r="M2" s="936"/>
      <c r="N2" s="936" t="s">
        <v>36</v>
      </c>
      <c r="O2" s="936"/>
      <c r="P2" s="307"/>
      <c r="Q2" s="63"/>
      <c r="R2" s="936" t="s">
        <v>15</v>
      </c>
      <c r="S2" s="936"/>
      <c r="T2" s="936" t="s">
        <v>37</v>
      </c>
      <c r="U2" s="936"/>
      <c r="V2" s="936" t="s">
        <v>38</v>
      </c>
      <c r="W2" s="936"/>
      <c r="X2" s="61" t="s">
        <v>0</v>
      </c>
      <c r="Y2" s="61" t="s">
        <v>0</v>
      </c>
      <c r="Z2" s="61" t="s">
        <v>0</v>
      </c>
      <c r="AA2" s="61" t="s">
        <v>0</v>
      </c>
    </row>
    <row r="3" spans="1:32" ht="12.75" customHeight="1">
      <c r="B3" s="61"/>
      <c r="C3" s="62" t="s">
        <v>16</v>
      </c>
      <c r="D3" s="62" t="s">
        <v>27</v>
      </c>
      <c r="E3" s="62" t="s">
        <v>28</v>
      </c>
      <c r="F3" s="117" t="s">
        <v>25</v>
      </c>
      <c r="G3" s="117" t="s">
        <v>26</v>
      </c>
      <c r="H3" s="62" t="s">
        <v>17</v>
      </c>
      <c r="I3" s="62" t="s">
        <v>18</v>
      </c>
      <c r="J3" s="62" t="s">
        <v>17</v>
      </c>
      <c r="K3" s="62" t="s">
        <v>18</v>
      </c>
      <c r="L3" s="62" t="s">
        <v>17</v>
      </c>
      <c r="M3" s="62" t="s">
        <v>18</v>
      </c>
      <c r="N3" s="62" t="s">
        <v>17</v>
      </c>
      <c r="O3" s="62" t="s">
        <v>18</v>
      </c>
      <c r="P3" s="308" t="s">
        <v>25</v>
      </c>
      <c r="Q3" s="117" t="s">
        <v>26</v>
      </c>
      <c r="R3" s="62" t="s">
        <v>17</v>
      </c>
      <c r="S3" s="62" t="s">
        <v>18</v>
      </c>
      <c r="T3" s="62" t="s">
        <v>17</v>
      </c>
      <c r="U3" s="62" t="s">
        <v>18</v>
      </c>
      <c r="V3" s="62" t="s">
        <v>17</v>
      </c>
      <c r="W3" s="62" t="s">
        <v>18</v>
      </c>
      <c r="X3" s="61" t="s">
        <v>287</v>
      </c>
      <c r="Y3" s="65" t="s">
        <v>288</v>
      </c>
      <c r="Z3" s="61" t="s">
        <v>19</v>
      </c>
      <c r="AA3" s="61" t="s">
        <v>20</v>
      </c>
    </row>
    <row r="4" spans="1:32" ht="12.75" customHeight="1">
      <c r="A4" s="24"/>
      <c r="B4" s="105">
        <v>1</v>
      </c>
      <c r="C4" s="5">
        <v>100100</v>
      </c>
      <c r="D4" s="119" t="s">
        <v>895</v>
      </c>
      <c r="E4" s="9" t="s">
        <v>32</v>
      </c>
      <c r="F4" s="6"/>
      <c r="G4" s="6"/>
      <c r="H4" s="11">
        <f>+STAT3!V4</f>
        <v>352938904.04108787</v>
      </c>
      <c r="I4" s="11">
        <f>+STAT3!W4</f>
        <v>0</v>
      </c>
      <c r="J4" s="11">
        <f>+SUMIFS(JURNAL!G:G,JURNAL!E:E,C4,JURNAL!C:C,"&gt;="&amp;$H$1,JURNAL!C:C,"&lt;="&amp;$I$1)</f>
        <v>48056726</v>
      </c>
      <c r="K4" s="11">
        <f>+SUMIFS(JURNAL!H:H,JURNAL!E:E,C4,JURNAL!C:C,"&gt;="&amp;$H$1,JURNAL!C:C,"&lt;="&amp;$I$1)</f>
        <v>111271819.10545455</v>
      </c>
      <c r="L4" s="26">
        <f>+IF((H4+J4)&gt;(I4+K4),(H4+J4)-(I4+K4),0)</f>
        <v>289723810.9356333</v>
      </c>
      <c r="M4" s="27">
        <f t="shared" ref="M4:M67" si="0">+IF((H4+J4)&lt;(I4+K4),(I4+K4)-(H4+J4),0)</f>
        <v>0</v>
      </c>
      <c r="N4" s="11"/>
      <c r="O4" s="183"/>
      <c r="P4" s="27"/>
      <c r="Q4" s="11"/>
      <c r="R4" s="26">
        <f>+IF((L4+N4)&gt;(M4+O4),(L4+N4)-(M4+O4),0)</f>
        <v>289723810.9356333</v>
      </c>
      <c r="S4" s="27">
        <f>+IF((L4+N4)&lt;(M4+O4),(M4+O4)-(L4+N4),0)</f>
        <v>0</v>
      </c>
      <c r="T4" s="11"/>
      <c r="U4" s="11"/>
      <c r="V4" s="417">
        <f>+IF((R4+T4)&gt;(S4+U4),(R4+T4)-(S4+U4),0)</f>
        <v>289723810.9356333</v>
      </c>
      <c r="W4" s="380">
        <f t="shared" ref="W4:W67" si="1">+IF((R4+T4)&lt;(S4+U4),(S4+U4)-(R4+T4),0)</f>
        <v>0</v>
      </c>
      <c r="X4" s="4">
        <v>1101</v>
      </c>
      <c r="Y4" s="4"/>
      <c r="Z4" s="6"/>
      <c r="AA4" s="12">
        <f>+IF(H4+I4+J4+K4+L4+M4+N4+O4+R4+S4+T4+U4+V4+W4,1,0)</f>
        <v>1</v>
      </c>
      <c r="AE4" s="338"/>
      <c r="AF4" s="338"/>
    </row>
    <row r="5" spans="1:32" ht="12.75" customHeight="1">
      <c r="A5" s="24"/>
      <c r="B5" s="105">
        <f>+B4+1</f>
        <v>2</v>
      </c>
      <c r="C5" s="3">
        <v>100200</v>
      </c>
      <c r="D5" s="119" t="s">
        <v>950</v>
      </c>
      <c r="E5" s="9" t="s">
        <v>30</v>
      </c>
      <c r="F5" s="118">
        <f>+STAT3!P5</f>
        <v>5645.1</v>
      </c>
      <c r="G5" s="118">
        <f>+STAT3!Q5</f>
        <v>2464.4299999999998</v>
      </c>
      <c r="H5" s="11">
        <f>+STAT3!V5</f>
        <v>13911953.788000001</v>
      </c>
      <c r="I5" s="11">
        <f>+STAT3!W5</f>
        <v>0</v>
      </c>
      <c r="J5" s="11">
        <f>+SUMIFS(JURNAL!G:G,JURNAL!E:E,C5,JURNAL!C:C,"&gt;="&amp;$H$1,JURNAL!C:C,"&lt;="&amp;$I$1)</f>
        <v>0</v>
      </c>
      <c r="K5" s="11">
        <f>+SUMIFS(JURNAL!H:H,JURNAL!E:E,C5,JURNAL!C:C,"&gt;="&amp;$H$1,JURNAL!C:C,"&lt;="&amp;$I$1)</f>
        <v>0</v>
      </c>
      <c r="L5" s="26">
        <f t="shared" ref="L5:L68" si="2">+IF((H5+J5)&gt;(I5+K5),(H5+J5)-(I5+K5),0)</f>
        <v>13911953.788000001</v>
      </c>
      <c r="M5" s="27">
        <f t="shared" si="0"/>
        <v>0</v>
      </c>
      <c r="N5" s="11"/>
      <c r="O5" s="183">
        <f>13911953.79-2427.13*5645.1</f>
        <v>210562.22699999809</v>
      </c>
      <c r="P5" s="118">
        <f>+F5</f>
        <v>5645.1</v>
      </c>
      <c r="Q5" s="11">
        <v>2427.13</v>
      </c>
      <c r="R5" s="26">
        <f t="shared" ref="R5:R68" si="3">+IF((L5+N5)&gt;(M5+O5),(L5+N5)-(M5+O5),0)</f>
        <v>13701391.561000003</v>
      </c>
      <c r="S5" s="27">
        <f t="shared" ref="S5:S68" si="4">+IF((L5+N5)&lt;(M5+O5),(M5+O5)-(L5+N5),0)</f>
        <v>0</v>
      </c>
      <c r="T5" s="11"/>
      <c r="U5" s="11"/>
      <c r="V5" s="417">
        <f>+IF((R5+T5)&gt;(S5+U5),(R5+T5)-(S5+U5),0)</f>
        <v>13701391.561000003</v>
      </c>
      <c r="W5" s="380">
        <f t="shared" si="1"/>
        <v>0</v>
      </c>
      <c r="X5" s="4">
        <v>1101</v>
      </c>
      <c r="Y5" s="4"/>
      <c r="Z5" s="4"/>
      <c r="AA5" s="12">
        <f t="shared" ref="AA5:AA68" si="5">+IF(H5+I5+J5+K5+L5+M5+N5+O5+R5+S5+T5+U5+V5+W5,1,0)</f>
        <v>1</v>
      </c>
      <c r="AE5" s="338"/>
      <c r="AF5" s="338"/>
    </row>
    <row r="6" spans="1:32" ht="12.75" customHeight="1">
      <c r="A6" s="24"/>
      <c r="B6" s="105">
        <f t="shared" ref="B6:B69" si="6">+B5+1</f>
        <v>3</v>
      </c>
      <c r="C6" s="5">
        <v>110100</v>
      </c>
      <c r="D6" s="119" t="s">
        <v>1661</v>
      </c>
      <c r="E6" s="9" t="s">
        <v>32</v>
      </c>
      <c r="F6" s="118">
        <f>+STAT3!P6</f>
        <v>0</v>
      </c>
      <c r="G6" s="118">
        <f>+STAT3!Q6</f>
        <v>0</v>
      </c>
      <c r="H6" s="11">
        <f>+STAT3!V6</f>
        <v>75319.000000029802</v>
      </c>
      <c r="I6" s="11">
        <f>+STAT3!W6</f>
        <v>0</v>
      </c>
      <c r="J6" s="11">
        <f>+SUMIFS(JURNAL!G:G,JURNAL!E:E,C6,JURNAL!C:C,"&gt;="&amp;$H$1,JURNAL!C:C,"&lt;="&amp;$I$1)</f>
        <v>93345748</v>
      </c>
      <c r="K6" s="11">
        <f>+SUMIFS(JURNAL!H:H,JURNAL!E:E,C6,JURNAL!C:C,"&gt;="&amp;$H$1,JURNAL!C:C,"&lt;="&amp;$I$1)</f>
        <v>93377770</v>
      </c>
      <c r="L6" s="26">
        <f t="shared" si="2"/>
        <v>43297.000000029802</v>
      </c>
      <c r="M6" s="27">
        <f t="shared" si="0"/>
        <v>0</v>
      </c>
      <c r="N6" s="11"/>
      <c r="O6" s="183"/>
      <c r="P6" s="27"/>
      <c r="Q6" s="11"/>
      <c r="R6" s="26">
        <f t="shared" si="3"/>
        <v>43297.000000029802</v>
      </c>
      <c r="S6" s="27">
        <f t="shared" si="4"/>
        <v>0</v>
      </c>
      <c r="T6" s="11"/>
      <c r="U6" s="11"/>
      <c r="V6" s="337">
        <f t="shared" ref="V6:V68" si="7">+IF((R6+T6)&gt;(S6+U6),(R6+T6)-(S6+U6),0)</f>
        <v>43297.000000029802</v>
      </c>
      <c r="W6" s="380">
        <f t="shared" si="1"/>
        <v>0</v>
      </c>
      <c r="X6" s="4">
        <v>1101</v>
      </c>
      <c r="Y6" s="4"/>
      <c r="Z6" s="4"/>
      <c r="AA6" s="12">
        <f t="shared" si="5"/>
        <v>1</v>
      </c>
      <c r="AC6" s="230">
        <v>43297</v>
      </c>
      <c r="AD6" s="80">
        <f>+AC6-V6</f>
        <v>-2.9802322387695313E-8</v>
      </c>
      <c r="AE6" s="338"/>
      <c r="AF6" s="338"/>
    </row>
    <row r="7" spans="1:32" ht="12.75" customHeight="1">
      <c r="A7" s="24"/>
      <c r="B7" s="105">
        <f t="shared" si="6"/>
        <v>4</v>
      </c>
      <c r="C7" s="6">
        <v>110102</v>
      </c>
      <c r="D7" s="119" t="s">
        <v>1662</v>
      </c>
      <c r="E7" s="9" t="s">
        <v>32</v>
      </c>
      <c r="F7" s="118">
        <f>+STAT3!P7</f>
        <v>0</v>
      </c>
      <c r="G7" s="118">
        <f>+STAT3!Q7</f>
        <v>0</v>
      </c>
      <c r="H7" s="11">
        <f>+STAT3!V7</f>
        <v>16584.129999998957</v>
      </c>
      <c r="I7" s="11">
        <f>+STAT3!W7</f>
        <v>0</v>
      </c>
      <c r="J7" s="11">
        <f>+SUMIFS(JURNAL!G:G,JURNAL!E:E,C7,JURNAL!C:C,"&gt;="&amp;$H$1,JURNAL!C:C,"&lt;="&amp;$I$1)</f>
        <v>0</v>
      </c>
      <c r="K7" s="11">
        <f>+SUMIFS(JURNAL!H:H,JURNAL!E:E,C7,JURNAL!C:C,"&gt;="&amp;$H$1,JURNAL!C:C,"&lt;="&amp;$I$1)</f>
        <v>0</v>
      </c>
      <c r="L7" s="26">
        <f t="shared" si="2"/>
        <v>16584.129999998957</v>
      </c>
      <c r="M7" s="27">
        <f t="shared" si="0"/>
        <v>0</v>
      </c>
      <c r="N7" s="11"/>
      <c r="O7" s="183"/>
      <c r="P7" s="27"/>
      <c r="Q7" s="11"/>
      <c r="R7" s="26">
        <f t="shared" si="3"/>
        <v>16584.129999998957</v>
      </c>
      <c r="S7" s="27">
        <f t="shared" si="4"/>
        <v>0</v>
      </c>
      <c r="T7" s="11"/>
      <c r="U7" s="11"/>
      <c r="V7" s="417">
        <f t="shared" si="7"/>
        <v>16584.129999998957</v>
      </c>
      <c r="W7" s="380">
        <f t="shared" si="1"/>
        <v>0</v>
      </c>
      <c r="X7" s="4">
        <v>1101</v>
      </c>
      <c r="Y7" s="4"/>
      <c r="Z7" s="4"/>
      <c r="AA7" s="12">
        <f t="shared" si="5"/>
        <v>1</v>
      </c>
      <c r="AE7" s="338"/>
      <c r="AF7" s="338"/>
    </row>
    <row r="8" spans="1:32" ht="12.75" customHeight="1">
      <c r="A8" s="24"/>
      <c r="B8" s="105">
        <f t="shared" si="6"/>
        <v>5</v>
      </c>
      <c r="C8" s="6">
        <v>110103</v>
      </c>
      <c r="D8" s="119" t="s">
        <v>1663</v>
      </c>
      <c r="E8" s="9" t="s">
        <v>32</v>
      </c>
      <c r="F8" s="118">
        <f>+STAT3!P8</f>
        <v>0</v>
      </c>
      <c r="G8" s="118">
        <f>+STAT3!Q8</f>
        <v>0</v>
      </c>
      <c r="H8" s="11">
        <f>+STAT3!V8</f>
        <v>88499.17</v>
      </c>
      <c r="I8" s="11">
        <f>+STAT3!W8</f>
        <v>0</v>
      </c>
      <c r="J8" s="11">
        <f>+SUMIFS(JURNAL!G:G,JURNAL!E:E,C8,JURNAL!C:C,"&gt;="&amp;$H$1,JURNAL!C:C,"&lt;="&amp;$I$1)</f>
        <v>0</v>
      </c>
      <c r="K8" s="11">
        <f>+SUMIFS(JURNAL!H:H,JURNAL!E:E,C8,JURNAL!C:C,"&gt;="&amp;$H$1,JURNAL!C:C,"&lt;="&amp;$I$1)</f>
        <v>0</v>
      </c>
      <c r="L8" s="26">
        <f t="shared" si="2"/>
        <v>88499.17</v>
      </c>
      <c r="M8" s="27">
        <f t="shared" si="0"/>
        <v>0</v>
      </c>
      <c r="N8" s="11"/>
      <c r="O8" s="183"/>
      <c r="P8" s="27"/>
      <c r="Q8" s="11"/>
      <c r="R8" s="26">
        <f t="shared" si="3"/>
        <v>88499.17</v>
      </c>
      <c r="S8" s="27">
        <f t="shared" si="4"/>
        <v>0</v>
      </c>
      <c r="T8" s="11"/>
      <c r="U8" s="11"/>
      <c r="V8" s="417">
        <f t="shared" si="7"/>
        <v>88499.17</v>
      </c>
      <c r="W8" s="380">
        <f t="shared" si="1"/>
        <v>0</v>
      </c>
      <c r="X8" s="4">
        <v>1101</v>
      </c>
      <c r="Y8" s="4"/>
      <c r="Z8" s="4"/>
      <c r="AA8" s="12">
        <f t="shared" si="5"/>
        <v>1</v>
      </c>
      <c r="AE8" s="338"/>
      <c r="AF8" s="338"/>
    </row>
    <row r="9" spans="1:32" ht="12.75" customHeight="1">
      <c r="A9" s="24"/>
      <c r="B9" s="105">
        <f t="shared" si="6"/>
        <v>6</v>
      </c>
      <c r="C9" s="6">
        <v>110104</v>
      </c>
      <c r="D9" s="119" t="s">
        <v>1664</v>
      </c>
      <c r="E9" s="9" t="s">
        <v>32</v>
      </c>
      <c r="F9" s="118">
        <f>+STAT3!P9</f>
        <v>0</v>
      </c>
      <c r="G9" s="118">
        <f>+STAT3!Q9</f>
        <v>0</v>
      </c>
      <c r="H9" s="11">
        <f>+STAT3!V9</f>
        <v>27647.96</v>
      </c>
      <c r="I9" s="11">
        <f>+STAT3!W9</f>
        <v>0</v>
      </c>
      <c r="J9" s="11">
        <f>+SUMIFS(JURNAL!G:G,JURNAL!E:E,C9,JURNAL!C:C,"&gt;="&amp;$H$1,JURNAL!C:C,"&lt;="&amp;$I$1)</f>
        <v>0</v>
      </c>
      <c r="K9" s="11">
        <f>+SUMIFS(JURNAL!H:H,JURNAL!E:E,C9,JURNAL!C:C,"&gt;="&amp;$H$1,JURNAL!C:C,"&lt;="&amp;$I$1)</f>
        <v>0</v>
      </c>
      <c r="L9" s="26">
        <f t="shared" si="2"/>
        <v>27647.96</v>
      </c>
      <c r="M9" s="27">
        <f t="shared" si="0"/>
        <v>0</v>
      </c>
      <c r="N9" s="11"/>
      <c r="O9" s="183"/>
      <c r="P9" s="27"/>
      <c r="Q9" s="11"/>
      <c r="R9" s="26">
        <f t="shared" si="3"/>
        <v>27647.96</v>
      </c>
      <c r="S9" s="27">
        <f t="shared" si="4"/>
        <v>0</v>
      </c>
      <c r="T9" s="11"/>
      <c r="U9" s="11"/>
      <c r="V9" s="417">
        <f t="shared" si="7"/>
        <v>27647.96</v>
      </c>
      <c r="W9" s="380">
        <f t="shared" si="1"/>
        <v>0</v>
      </c>
      <c r="X9" s="4">
        <v>1101</v>
      </c>
      <c r="Y9" s="4"/>
      <c r="Z9" s="4"/>
      <c r="AA9" s="12">
        <f t="shared" si="5"/>
        <v>1</v>
      </c>
      <c r="AE9" s="338"/>
      <c r="AF9" s="338"/>
    </row>
    <row r="10" spans="1:32" ht="12.75" customHeight="1">
      <c r="A10" s="24"/>
      <c r="B10" s="105">
        <f t="shared" si="6"/>
        <v>7</v>
      </c>
      <c r="C10" s="6">
        <v>110105</v>
      </c>
      <c r="D10" s="119" t="s">
        <v>1665</v>
      </c>
      <c r="E10" s="9" t="s">
        <v>32</v>
      </c>
      <c r="F10" s="118">
        <f>+STAT3!P10</f>
        <v>0</v>
      </c>
      <c r="G10" s="118">
        <f>+STAT3!Q10</f>
        <v>0</v>
      </c>
      <c r="H10" s="11">
        <f>+STAT3!V10</f>
        <v>135889.92000000001</v>
      </c>
      <c r="I10" s="11">
        <f>+STAT3!W10</f>
        <v>0</v>
      </c>
      <c r="J10" s="11">
        <f>+SUMIFS(JURNAL!G:G,JURNAL!E:E,C10,JURNAL!C:C,"&gt;="&amp;$H$1,JURNAL!C:C,"&lt;="&amp;$I$1)</f>
        <v>0</v>
      </c>
      <c r="K10" s="11">
        <f>+SUMIFS(JURNAL!H:H,JURNAL!E:E,C10,JURNAL!C:C,"&gt;="&amp;$H$1,JURNAL!C:C,"&lt;="&amp;$I$1)</f>
        <v>0</v>
      </c>
      <c r="L10" s="26">
        <f t="shared" si="2"/>
        <v>135889.92000000001</v>
      </c>
      <c r="M10" s="27">
        <f t="shared" si="0"/>
        <v>0</v>
      </c>
      <c r="N10" s="11"/>
      <c r="O10" s="183"/>
      <c r="P10" s="27"/>
      <c r="Q10" s="11"/>
      <c r="R10" s="26">
        <f t="shared" si="3"/>
        <v>135889.92000000001</v>
      </c>
      <c r="S10" s="27">
        <f t="shared" si="4"/>
        <v>0</v>
      </c>
      <c r="T10" s="11"/>
      <c r="U10" s="11"/>
      <c r="V10" s="417">
        <f t="shared" si="7"/>
        <v>135889.92000000001</v>
      </c>
      <c r="W10" s="380">
        <f t="shared" si="1"/>
        <v>0</v>
      </c>
      <c r="X10" s="4">
        <v>1101</v>
      </c>
      <c r="Y10" s="4"/>
      <c r="Z10" s="4"/>
      <c r="AA10" s="12">
        <f t="shared" si="5"/>
        <v>1</v>
      </c>
      <c r="AE10" s="338"/>
      <c r="AF10" s="338"/>
    </row>
    <row r="11" spans="1:32" ht="12.75" customHeight="1">
      <c r="A11" s="24"/>
      <c r="B11" s="105">
        <f t="shared" si="6"/>
        <v>8</v>
      </c>
      <c r="C11" s="6">
        <v>110200</v>
      </c>
      <c r="D11" s="119" t="s">
        <v>1666</v>
      </c>
      <c r="E11" s="9" t="s">
        <v>30</v>
      </c>
      <c r="F11" s="118">
        <f>+STAT3!P11</f>
        <v>7</v>
      </c>
      <c r="G11" s="118">
        <f>+STAT3!Q11</f>
        <v>2464.4299999999998</v>
      </c>
      <c r="H11" s="11">
        <f>+STAT3!V11</f>
        <v>17251.009999999998</v>
      </c>
      <c r="I11" s="11">
        <f>+STAT3!W11</f>
        <v>0</v>
      </c>
      <c r="J11" s="11">
        <f>+SUMIFS(JURNAL!G:G,JURNAL!E:E,C11,JURNAL!C:C,"&gt;="&amp;$H$1,JURNAL!C:C,"&lt;="&amp;$I$1)</f>
        <v>0</v>
      </c>
      <c r="K11" s="11">
        <f>+SUMIFS(JURNAL!H:H,JURNAL!E:E,C11,JURNAL!C:C,"&gt;="&amp;$H$1,JURNAL!C:C,"&lt;="&amp;$I$1)</f>
        <v>0</v>
      </c>
      <c r="L11" s="26">
        <f t="shared" si="2"/>
        <v>17251.009999999998</v>
      </c>
      <c r="M11" s="27">
        <f t="shared" si="0"/>
        <v>0</v>
      </c>
      <c r="N11" s="11"/>
      <c r="O11" s="183">
        <f>17251.01-7*2427.13</f>
        <v>261.09999999999854</v>
      </c>
      <c r="P11" s="27">
        <f>+F11</f>
        <v>7</v>
      </c>
      <c r="Q11" s="11">
        <v>2427.13</v>
      </c>
      <c r="R11" s="26">
        <f>+IF((L11+N11)&gt;(M11+O11),(L11+N11)-(M11+O11),0)</f>
        <v>16989.91</v>
      </c>
      <c r="S11" s="27">
        <f t="shared" si="4"/>
        <v>0</v>
      </c>
      <c r="T11" s="11"/>
      <c r="U11" s="11"/>
      <c r="V11" s="417">
        <f t="shared" si="7"/>
        <v>16989.91</v>
      </c>
      <c r="W11" s="380">
        <f t="shared" si="1"/>
        <v>0</v>
      </c>
      <c r="X11" s="4">
        <v>1101</v>
      </c>
      <c r="Y11" s="4"/>
      <c r="Z11" s="4"/>
      <c r="AA11" s="12">
        <f t="shared" si="5"/>
        <v>1</v>
      </c>
      <c r="AE11" s="338"/>
      <c r="AF11" s="338"/>
    </row>
    <row r="12" spans="1:32" ht="12.75" customHeight="1">
      <c r="A12" s="24"/>
      <c r="B12" s="105">
        <f t="shared" si="6"/>
        <v>9</v>
      </c>
      <c r="C12" s="6">
        <v>110201</v>
      </c>
      <c r="D12" s="119" t="s">
        <v>1667</v>
      </c>
      <c r="E12" s="9" t="s">
        <v>30</v>
      </c>
      <c r="F12" s="118">
        <f>+STAT3!P12</f>
        <v>140</v>
      </c>
      <c r="G12" s="118">
        <f>+STAT3!Q12</f>
        <v>2464.4299999999998</v>
      </c>
      <c r="H12" s="11">
        <f>+STAT3!V12</f>
        <v>345020.2</v>
      </c>
      <c r="I12" s="11">
        <f>+STAT3!W12</f>
        <v>0</v>
      </c>
      <c r="J12" s="11">
        <f>+SUMIFS(JURNAL!G:G,JURNAL!E:E,C12,JURNAL!C:C,"&gt;="&amp;$H$1,JURNAL!C:C,"&lt;="&amp;$I$1)</f>
        <v>0</v>
      </c>
      <c r="K12" s="11">
        <f>+SUMIFS(JURNAL!H:H,JURNAL!E:E,C12,JURNAL!C:C,"&gt;="&amp;$H$1,JURNAL!C:C,"&lt;="&amp;$I$1)</f>
        <v>0</v>
      </c>
      <c r="L12" s="26">
        <f t="shared" si="2"/>
        <v>345020.2</v>
      </c>
      <c r="M12" s="27">
        <f t="shared" si="0"/>
        <v>0</v>
      </c>
      <c r="N12" s="11"/>
      <c r="O12" s="183">
        <f>345020.2-140*2427.13</f>
        <v>5222</v>
      </c>
      <c r="P12" s="27">
        <f t="shared" ref="P12:P16" si="8">+F12</f>
        <v>140</v>
      </c>
      <c r="Q12" s="11">
        <v>2427.13</v>
      </c>
      <c r="R12" s="26">
        <f t="shared" si="3"/>
        <v>339798.2</v>
      </c>
      <c r="S12" s="27">
        <f t="shared" si="4"/>
        <v>0</v>
      </c>
      <c r="T12" s="11"/>
      <c r="U12" s="11"/>
      <c r="V12" s="417">
        <f t="shared" si="7"/>
        <v>339798.2</v>
      </c>
      <c r="W12" s="380">
        <f t="shared" si="1"/>
        <v>0</v>
      </c>
      <c r="X12" s="4">
        <v>1101</v>
      </c>
      <c r="Y12" s="4"/>
      <c r="Z12" s="4"/>
      <c r="AA12" s="12">
        <f t="shared" si="5"/>
        <v>1</v>
      </c>
      <c r="AE12" s="338"/>
      <c r="AF12" s="338"/>
    </row>
    <row r="13" spans="1:32" ht="12.75" customHeight="1">
      <c r="A13" s="24"/>
      <c r="B13" s="105">
        <f t="shared" si="6"/>
        <v>10</v>
      </c>
      <c r="C13" s="6">
        <v>110202</v>
      </c>
      <c r="D13" s="119" t="s">
        <v>1668</v>
      </c>
      <c r="E13" s="9" t="s">
        <v>30</v>
      </c>
      <c r="F13" s="118">
        <f>+STAT3!P13</f>
        <v>43.27</v>
      </c>
      <c r="G13" s="118">
        <f>+STAT3!Q13</f>
        <v>2464.4299999999998</v>
      </c>
      <c r="H13" s="11">
        <f>+STAT3!V13</f>
        <v>106635.8849</v>
      </c>
      <c r="I13" s="11">
        <f>+STAT3!W13</f>
        <v>0</v>
      </c>
      <c r="J13" s="11">
        <f>+SUMIFS(JURNAL!G:G,JURNAL!E:E,C13,JURNAL!C:C,"&gt;="&amp;$H$1,JURNAL!C:C,"&lt;="&amp;$I$1)</f>
        <v>0</v>
      </c>
      <c r="K13" s="11">
        <f>+SUMIFS(JURNAL!H:H,JURNAL!E:E,C13,JURNAL!C:C,"&gt;="&amp;$H$1,JURNAL!C:C,"&lt;="&amp;$I$1)</f>
        <v>0</v>
      </c>
      <c r="L13" s="26">
        <f t="shared" si="2"/>
        <v>106635.8849</v>
      </c>
      <c r="M13" s="27">
        <f t="shared" si="0"/>
        <v>0</v>
      </c>
      <c r="N13" s="11"/>
      <c r="O13" s="183">
        <f>106635.88-43.27*2427.13</f>
        <v>1613.9648999999918</v>
      </c>
      <c r="P13" s="27">
        <f t="shared" si="8"/>
        <v>43.27</v>
      </c>
      <c r="Q13" s="11">
        <v>2427.13</v>
      </c>
      <c r="R13" s="26">
        <f t="shared" si="3"/>
        <v>105021.92000000001</v>
      </c>
      <c r="S13" s="27">
        <f t="shared" si="4"/>
        <v>0</v>
      </c>
      <c r="T13" s="11"/>
      <c r="U13" s="11"/>
      <c r="V13" s="417">
        <f t="shared" si="7"/>
        <v>105021.92000000001</v>
      </c>
      <c r="W13" s="380">
        <f t="shared" si="1"/>
        <v>0</v>
      </c>
      <c r="X13" s="4">
        <v>1101</v>
      </c>
      <c r="Y13" s="4"/>
      <c r="Z13" s="4"/>
      <c r="AA13" s="12">
        <f t="shared" si="5"/>
        <v>1</v>
      </c>
      <c r="AE13" s="338"/>
      <c r="AF13" s="338"/>
    </row>
    <row r="14" spans="1:32" ht="12.75" customHeight="1">
      <c r="A14" s="24"/>
      <c r="B14" s="105">
        <f t="shared" si="6"/>
        <v>11</v>
      </c>
      <c r="C14" s="6">
        <v>110203</v>
      </c>
      <c r="D14" s="119" t="s">
        <v>1669</v>
      </c>
      <c r="E14" s="9" t="s">
        <v>30</v>
      </c>
      <c r="F14" s="118">
        <f>+STAT3!P14</f>
        <v>52.18</v>
      </c>
      <c r="G14" s="118">
        <f>+STAT3!Q14</f>
        <v>2464.4299999999998</v>
      </c>
      <c r="H14" s="11">
        <f>+STAT3!V14</f>
        <v>128593.9566</v>
      </c>
      <c r="I14" s="11">
        <f>+STAT3!W14</f>
        <v>0</v>
      </c>
      <c r="J14" s="11">
        <f>+SUMIFS(JURNAL!G:G,JURNAL!E:E,C14,JURNAL!C:C,"&gt;="&amp;$H$1,JURNAL!C:C,"&lt;="&amp;$I$1)</f>
        <v>0</v>
      </c>
      <c r="K14" s="11">
        <f>+SUMIFS(JURNAL!H:H,JURNAL!E:E,C14,JURNAL!C:C,"&gt;="&amp;$H$1,JURNAL!C:C,"&lt;="&amp;$I$1)</f>
        <v>0</v>
      </c>
      <c r="L14" s="26">
        <f t="shared" si="2"/>
        <v>128593.9566</v>
      </c>
      <c r="M14" s="27">
        <f t="shared" si="0"/>
        <v>0</v>
      </c>
      <c r="N14" s="11"/>
      <c r="O14" s="183">
        <f>128593.96-52.18*2427.13</f>
        <v>1946.3166000000056</v>
      </c>
      <c r="P14" s="27">
        <f t="shared" si="8"/>
        <v>52.18</v>
      </c>
      <c r="Q14" s="11">
        <v>2427.13</v>
      </c>
      <c r="R14" s="26">
        <f t="shared" si="3"/>
        <v>126647.64</v>
      </c>
      <c r="S14" s="27">
        <f t="shared" si="4"/>
        <v>0</v>
      </c>
      <c r="T14" s="11"/>
      <c r="U14" s="11"/>
      <c r="V14" s="417">
        <f t="shared" si="7"/>
        <v>126647.64</v>
      </c>
      <c r="W14" s="380">
        <f t="shared" si="1"/>
        <v>0</v>
      </c>
      <c r="X14" s="4">
        <v>1101</v>
      </c>
      <c r="Y14" s="4"/>
      <c r="Z14" s="4"/>
      <c r="AA14" s="12">
        <f t="shared" si="5"/>
        <v>1</v>
      </c>
      <c r="AE14" s="338"/>
      <c r="AF14" s="338"/>
    </row>
    <row r="15" spans="1:32" ht="12.75" customHeight="1">
      <c r="A15" s="24"/>
      <c r="B15" s="105">
        <f t="shared" si="6"/>
        <v>12</v>
      </c>
      <c r="C15" s="6">
        <v>110204</v>
      </c>
      <c r="D15" s="119" t="s">
        <v>1670</v>
      </c>
      <c r="E15" s="9" t="s">
        <v>30</v>
      </c>
      <c r="F15" s="118">
        <f>+STAT3!P15</f>
        <v>10.43</v>
      </c>
      <c r="G15" s="118">
        <f>+STAT3!Q15</f>
        <v>2464.4299999999998</v>
      </c>
      <c r="H15" s="11">
        <f>+STAT3!V15</f>
        <v>31815.794099999999</v>
      </c>
      <c r="I15" s="11">
        <f>+STAT3!W15</f>
        <v>0</v>
      </c>
      <c r="J15" s="11">
        <f>+SUMIFS(JURNAL!G:G,JURNAL!E:E,C15,JURNAL!C:C,"&gt;="&amp;$H$1,JURNAL!C:C,"&lt;="&amp;$I$1)</f>
        <v>0</v>
      </c>
      <c r="K15" s="11">
        <f>+SUMIFS(JURNAL!H:H,JURNAL!E:E,C15,JURNAL!C:C,"&gt;="&amp;$H$1,JURNAL!C:C,"&lt;="&amp;$I$1)</f>
        <v>0</v>
      </c>
      <c r="L15" s="26">
        <f t="shared" si="2"/>
        <v>31815.794099999999</v>
      </c>
      <c r="M15" s="27">
        <f t="shared" si="0"/>
        <v>0</v>
      </c>
      <c r="N15" s="11"/>
      <c r="O15" s="183">
        <f>31815.79-10.43*2427.13</f>
        <v>6500.8241000000016</v>
      </c>
      <c r="P15" s="27">
        <f t="shared" si="8"/>
        <v>10.43</v>
      </c>
      <c r="Q15" s="11">
        <v>2427.13</v>
      </c>
      <c r="R15" s="26">
        <f t="shared" si="3"/>
        <v>25314.969999999998</v>
      </c>
      <c r="S15" s="27">
        <f t="shared" si="4"/>
        <v>0</v>
      </c>
      <c r="T15" s="11"/>
      <c r="U15" s="11"/>
      <c r="V15" s="417">
        <f t="shared" si="7"/>
        <v>25314.969999999998</v>
      </c>
      <c r="W15" s="380">
        <f t="shared" si="1"/>
        <v>0</v>
      </c>
      <c r="X15" s="4">
        <v>1101</v>
      </c>
      <c r="Y15" s="4"/>
      <c r="Z15" s="4"/>
      <c r="AA15" s="12">
        <f t="shared" si="5"/>
        <v>1</v>
      </c>
      <c r="AE15" s="338"/>
      <c r="AF15" s="338"/>
    </row>
    <row r="16" spans="1:32" ht="12.75" customHeight="1">
      <c r="A16" s="24"/>
      <c r="B16" s="105">
        <f t="shared" si="6"/>
        <v>13</v>
      </c>
      <c r="C16" s="6">
        <v>110300</v>
      </c>
      <c r="D16" s="330" t="s">
        <v>1671</v>
      </c>
      <c r="E16" s="9" t="s">
        <v>31</v>
      </c>
      <c r="F16" s="118">
        <f>+STAT3!P16</f>
        <v>250</v>
      </c>
      <c r="G16" s="118">
        <f>+STAT3!Q16</f>
        <v>42.52</v>
      </c>
      <c r="H16" s="11">
        <f>+STAT3!V16</f>
        <v>10630</v>
      </c>
      <c r="I16" s="11">
        <f>+STAT3!W16</f>
        <v>0</v>
      </c>
      <c r="J16" s="11">
        <f>+SUMIFS(JURNAL!G:G,JURNAL!E:E,C16,JURNAL!C:C,"&gt;="&amp;$H$1,JURNAL!C:C,"&lt;="&amp;$I$1)</f>
        <v>0</v>
      </c>
      <c r="K16" s="11">
        <f>+SUMIFS(JURNAL!H:H,JURNAL!E:E,C16,JURNAL!C:C,"&gt;="&amp;$H$1,JURNAL!C:C,"&lt;="&amp;$I$1)</f>
        <v>0</v>
      </c>
      <c r="L16" s="26">
        <f t="shared" si="2"/>
        <v>10630</v>
      </c>
      <c r="M16" s="27">
        <f t="shared" si="0"/>
        <v>0</v>
      </c>
      <c r="N16" s="11"/>
      <c r="O16" s="183">
        <f>10630-250*42.12</f>
        <v>100</v>
      </c>
      <c r="P16" s="27">
        <f t="shared" si="8"/>
        <v>250</v>
      </c>
      <c r="Q16" s="11">
        <v>42.12</v>
      </c>
      <c r="R16" s="26">
        <f t="shared" si="3"/>
        <v>10530</v>
      </c>
      <c r="S16" s="27">
        <f t="shared" si="4"/>
        <v>0</v>
      </c>
      <c r="T16" s="11"/>
      <c r="U16" s="11"/>
      <c r="V16" s="417">
        <f t="shared" si="7"/>
        <v>10530</v>
      </c>
      <c r="W16" s="380">
        <f t="shared" si="1"/>
        <v>0</v>
      </c>
      <c r="X16" s="4">
        <v>1101</v>
      </c>
      <c r="Y16" s="4"/>
      <c r="Z16" s="4"/>
      <c r="AA16" s="12">
        <f t="shared" si="5"/>
        <v>1</v>
      </c>
      <c r="AE16" s="338"/>
      <c r="AF16" s="338"/>
    </row>
    <row r="17" spans="1:32" ht="12.75" customHeight="1">
      <c r="A17" s="24"/>
      <c r="B17" s="105">
        <f t="shared" si="6"/>
        <v>14</v>
      </c>
      <c r="C17" s="6">
        <v>900100</v>
      </c>
      <c r="D17" s="118" t="s">
        <v>951</v>
      </c>
      <c r="E17" s="9" t="s">
        <v>32</v>
      </c>
      <c r="F17" s="6"/>
      <c r="G17" s="118"/>
      <c r="H17" s="11">
        <f>+STAT3!V17</f>
        <v>0</v>
      </c>
      <c r="I17" s="11">
        <f>+STAT3!W17</f>
        <v>0</v>
      </c>
      <c r="J17" s="11">
        <f>+SUMIFS(JURNAL!G:G,JURNAL!E:E,C17,JURNAL!C:C,"&gt;="&amp;$H$1,JURNAL!C:C,"&lt;="&amp;$I$1)</f>
        <v>0</v>
      </c>
      <c r="K17" s="11">
        <f>+SUMIFS(JURNAL!H:H,JURNAL!E:E,C17,JURNAL!C:C,"&gt;="&amp;$H$1,JURNAL!C:C,"&lt;="&amp;$I$1)</f>
        <v>0</v>
      </c>
      <c r="L17" s="26">
        <f t="shared" si="2"/>
        <v>0</v>
      </c>
      <c r="M17" s="27">
        <f t="shared" si="0"/>
        <v>0</v>
      </c>
      <c r="N17" s="11"/>
      <c r="O17" s="183"/>
      <c r="P17" s="27"/>
      <c r="Q17" s="11"/>
      <c r="R17" s="26">
        <f t="shared" si="3"/>
        <v>0</v>
      </c>
      <c r="S17" s="27">
        <f t="shared" si="4"/>
        <v>0</v>
      </c>
      <c r="T17" s="11"/>
      <c r="U17" s="11"/>
      <c r="V17" s="417">
        <f t="shared" si="7"/>
        <v>0</v>
      </c>
      <c r="W17" s="380">
        <f t="shared" si="1"/>
        <v>0</v>
      </c>
      <c r="X17" s="4">
        <v>1101</v>
      </c>
      <c r="Y17" s="4"/>
      <c r="Z17" s="4"/>
      <c r="AA17" s="12">
        <f t="shared" si="5"/>
        <v>0</v>
      </c>
      <c r="AE17" s="338"/>
      <c r="AF17" s="338"/>
    </row>
    <row r="18" spans="1:32" ht="12.75" customHeight="1">
      <c r="A18" s="24"/>
      <c r="B18" s="105">
        <f t="shared" si="6"/>
        <v>15</v>
      </c>
      <c r="C18" s="6">
        <v>120100</v>
      </c>
      <c r="D18" s="118" t="s">
        <v>952</v>
      </c>
      <c r="E18" s="9" t="s">
        <v>32</v>
      </c>
      <c r="F18" s="6"/>
      <c r="G18" s="6"/>
      <c r="H18" s="11">
        <f>+STAT3!V18</f>
        <v>2644403.0021689907</v>
      </c>
      <c r="I18" s="11">
        <f>+STAT3!W18</f>
        <v>0</v>
      </c>
      <c r="J18" s="11">
        <f>+SUMIFS(JURNAL!G:G,JURNAL!E:E,C18,JURNAL!C:C,"&gt;="&amp;$H$1,JURNAL!C:C,"&lt;="&amp;$I$1)</f>
        <v>1082400</v>
      </c>
      <c r="K18" s="11">
        <f>+SUMIFS(JURNAL!H:H,JURNAL!E:E,C18,JURNAL!C:C,"&gt;="&amp;$H$1,JURNAL!C:C,"&lt;="&amp;$I$1)</f>
        <v>1082400</v>
      </c>
      <c r="L18" s="26">
        <f t="shared" si="2"/>
        <v>2644403.0021689907</v>
      </c>
      <c r="M18" s="27">
        <f t="shared" si="0"/>
        <v>0</v>
      </c>
      <c r="N18" s="11"/>
      <c r="O18" s="183"/>
      <c r="P18" s="27"/>
      <c r="Q18" s="11"/>
      <c r="R18" s="26">
        <f t="shared" si="3"/>
        <v>2644403.0021689907</v>
      </c>
      <c r="S18" s="27">
        <f t="shared" si="4"/>
        <v>0</v>
      </c>
      <c r="T18" s="11"/>
      <c r="U18" s="11"/>
      <c r="V18" s="337">
        <f t="shared" si="7"/>
        <v>2644403.0021689907</v>
      </c>
      <c r="W18" s="380">
        <f t="shared" si="1"/>
        <v>0</v>
      </c>
      <c r="X18" s="4">
        <v>1102</v>
      </c>
      <c r="Y18" s="4"/>
      <c r="Z18" s="4"/>
      <c r="AA18" s="12">
        <f t="shared" si="5"/>
        <v>1</v>
      </c>
      <c r="AE18" s="338"/>
      <c r="AF18" s="338"/>
    </row>
    <row r="19" spans="1:32" ht="12.75" customHeight="1">
      <c r="A19" s="24"/>
      <c r="B19" s="105">
        <f t="shared" si="6"/>
        <v>16</v>
      </c>
      <c r="C19" s="6">
        <v>120201</v>
      </c>
      <c r="D19" s="118" t="s">
        <v>953</v>
      </c>
      <c r="E19" s="9" t="s">
        <v>30</v>
      </c>
      <c r="F19" s="6"/>
      <c r="G19" s="6"/>
      <c r="H19" s="11">
        <f>+STAT3!V19</f>
        <v>0</v>
      </c>
      <c r="I19" s="11">
        <f>+STAT3!W19</f>
        <v>0</v>
      </c>
      <c r="J19" s="11">
        <f>+SUMIFS(JURNAL!G:G,JURNAL!E:E,C19,JURNAL!C:C,"&gt;="&amp;$H$1,JURNAL!C:C,"&lt;="&amp;$I$1)</f>
        <v>0</v>
      </c>
      <c r="K19" s="11">
        <f>+SUMIFS(JURNAL!H:H,JURNAL!E:E,C19,JURNAL!C:C,"&gt;="&amp;$H$1,JURNAL!C:C,"&lt;="&amp;$I$1)</f>
        <v>0</v>
      </c>
      <c r="L19" s="26">
        <f t="shared" si="2"/>
        <v>0</v>
      </c>
      <c r="M19" s="27">
        <f t="shared" si="0"/>
        <v>0</v>
      </c>
      <c r="N19" s="11"/>
      <c r="O19" s="183"/>
      <c r="P19" s="27"/>
      <c r="Q19" s="11"/>
      <c r="R19" s="26">
        <f t="shared" si="3"/>
        <v>0</v>
      </c>
      <c r="S19" s="27">
        <f t="shared" si="4"/>
        <v>0</v>
      </c>
      <c r="T19" s="11"/>
      <c r="U19" s="11"/>
      <c r="V19" s="417">
        <f t="shared" si="7"/>
        <v>0</v>
      </c>
      <c r="W19" s="380">
        <f t="shared" si="1"/>
        <v>0</v>
      </c>
      <c r="X19" s="4">
        <v>1102</v>
      </c>
      <c r="Y19" s="4"/>
      <c r="Z19" s="4"/>
      <c r="AA19" s="12">
        <f t="shared" si="5"/>
        <v>0</v>
      </c>
      <c r="AE19" s="338"/>
      <c r="AF19" s="338"/>
    </row>
    <row r="20" spans="1:32" ht="12.75" customHeight="1">
      <c r="A20" s="24"/>
      <c r="B20" s="105">
        <f t="shared" si="6"/>
        <v>17</v>
      </c>
      <c r="C20" s="6">
        <v>120200</v>
      </c>
      <c r="D20" s="118" t="s">
        <v>954</v>
      </c>
      <c r="E20" s="9" t="s">
        <v>32</v>
      </c>
      <c r="F20" s="6"/>
      <c r="G20" s="6"/>
      <c r="H20" s="11">
        <f>+STAT3!V20</f>
        <v>0</v>
      </c>
      <c r="I20" s="11">
        <f>+STAT3!W20</f>
        <v>0</v>
      </c>
      <c r="J20" s="11">
        <f>+SUMIFS(JURNAL!G:G,JURNAL!E:E,C20,JURNAL!C:C,"&gt;="&amp;$H$1,JURNAL!C:C,"&lt;="&amp;$I$1)</f>
        <v>0</v>
      </c>
      <c r="K20" s="11">
        <f>+SUMIFS(JURNAL!H:H,JURNAL!E:E,C20,JURNAL!C:C,"&gt;="&amp;$H$1,JURNAL!C:C,"&lt;="&amp;$I$1)</f>
        <v>0</v>
      </c>
      <c r="L20" s="26">
        <f t="shared" si="2"/>
        <v>0</v>
      </c>
      <c r="M20" s="27">
        <f t="shared" si="0"/>
        <v>0</v>
      </c>
      <c r="N20" s="11"/>
      <c r="O20" s="183"/>
      <c r="P20" s="27"/>
      <c r="Q20" s="11"/>
      <c r="R20" s="26">
        <f t="shared" si="3"/>
        <v>0</v>
      </c>
      <c r="S20" s="27">
        <f t="shared" si="4"/>
        <v>0</v>
      </c>
      <c r="T20" s="11"/>
      <c r="U20" s="11"/>
      <c r="V20" s="417">
        <f t="shared" si="7"/>
        <v>0</v>
      </c>
      <c r="W20" s="380">
        <f t="shared" si="1"/>
        <v>0</v>
      </c>
      <c r="X20" s="4">
        <v>1102</v>
      </c>
      <c r="Y20" s="4"/>
      <c r="Z20" s="4"/>
      <c r="AA20" s="12">
        <f t="shared" si="5"/>
        <v>0</v>
      </c>
      <c r="AE20" s="338"/>
      <c r="AF20" s="338"/>
    </row>
    <row r="21" spans="1:32" ht="12.75" customHeight="1">
      <c r="A21" s="24"/>
      <c r="B21" s="105">
        <f t="shared" si="6"/>
        <v>18</v>
      </c>
      <c r="C21" s="6">
        <v>120201</v>
      </c>
      <c r="D21" s="118" t="s">
        <v>955</v>
      </c>
      <c r="E21" s="9" t="s">
        <v>30</v>
      </c>
      <c r="F21" s="6"/>
      <c r="G21" s="6"/>
      <c r="H21" s="11">
        <f>+STAT3!V21</f>
        <v>0</v>
      </c>
      <c r="I21" s="11">
        <f>+STAT3!W21</f>
        <v>0</v>
      </c>
      <c r="J21" s="11">
        <f>+SUMIFS(JURNAL!G:G,JURNAL!E:E,C21,JURNAL!C:C,"&gt;="&amp;$H$1,JURNAL!C:C,"&lt;="&amp;$I$1)</f>
        <v>0</v>
      </c>
      <c r="K21" s="11">
        <f>+SUMIFS(JURNAL!H:H,JURNAL!E:E,C21,JURNAL!C:C,"&gt;="&amp;$H$1,JURNAL!C:C,"&lt;="&amp;$I$1)</f>
        <v>0</v>
      </c>
      <c r="L21" s="26">
        <f t="shared" si="2"/>
        <v>0</v>
      </c>
      <c r="M21" s="27">
        <f t="shared" si="0"/>
        <v>0</v>
      </c>
      <c r="N21" s="11"/>
      <c r="O21" s="183"/>
      <c r="P21" s="27"/>
      <c r="Q21" s="11"/>
      <c r="R21" s="26">
        <f t="shared" si="3"/>
        <v>0</v>
      </c>
      <c r="S21" s="27">
        <f t="shared" si="4"/>
        <v>0</v>
      </c>
      <c r="T21" s="11"/>
      <c r="U21" s="11"/>
      <c r="V21" s="417">
        <f t="shared" si="7"/>
        <v>0</v>
      </c>
      <c r="W21" s="380">
        <f t="shared" si="1"/>
        <v>0</v>
      </c>
      <c r="X21" s="4">
        <v>1102</v>
      </c>
      <c r="Y21" s="4"/>
      <c r="Z21" s="4"/>
      <c r="AA21" s="12">
        <f t="shared" si="5"/>
        <v>0</v>
      </c>
      <c r="AE21" s="338"/>
      <c r="AF21" s="338"/>
    </row>
    <row r="22" spans="1:32" ht="12.75" customHeight="1">
      <c r="A22" s="24"/>
      <c r="B22" s="105">
        <f t="shared" si="6"/>
        <v>19</v>
      </c>
      <c r="C22" s="6">
        <v>120202</v>
      </c>
      <c r="D22" s="118" t="s">
        <v>956</v>
      </c>
      <c r="E22" s="9" t="s">
        <v>32</v>
      </c>
      <c r="F22" s="6"/>
      <c r="G22" s="6"/>
      <c r="H22" s="11">
        <f>+STAT3!V22</f>
        <v>0</v>
      </c>
      <c r="I22" s="11">
        <f>+STAT3!W22</f>
        <v>0</v>
      </c>
      <c r="J22" s="11">
        <f>+SUMIFS(JURNAL!G:G,JURNAL!E:E,C22,JURNAL!C:C,"&gt;="&amp;$H$1,JURNAL!C:C,"&lt;="&amp;$I$1)</f>
        <v>0</v>
      </c>
      <c r="K22" s="11">
        <f>+SUMIFS(JURNAL!H:H,JURNAL!E:E,C22,JURNAL!C:C,"&gt;="&amp;$H$1,JURNAL!C:C,"&lt;="&amp;$I$1)</f>
        <v>0</v>
      </c>
      <c r="L22" s="26">
        <f t="shared" si="2"/>
        <v>0</v>
      </c>
      <c r="M22" s="27">
        <f t="shared" si="0"/>
        <v>0</v>
      </c>
      <c r="N22" s="11"/>
      <c r="O22" s="183"/>
      <c r="P22" s="27"/>
      <c r="Q22" s="11"/>
      <c r="R22" s="26">
        <f t="shared" si="3"/>
        <v>0</v>
      </c>
      <c r="S22" s="27">
        <f t="shared" si="4"/>
        <v>0</v>
      </c>
      <c r="T22" s="11"/>
      <c r="U22" s="11"/>
      <c r="V22" s="417">
        <f t="shared" si="7"/>
        <v>0</v>
      </c>
      <c r="W22" s="380">
        <f t="shared" si="1"/>
        <v>0</v>
      </c>
      <c r="X22" s="4">
        <v>1102</v>
      </c>
      <c r="Y22" s="4"/>
      <c r="Z22" s="4"/>
      <c r="AA22" s="12">
        <f t="shared" si="5"/>
        <v>0</v>
      </c>
      <c r="AE22" s="338"/>
      <c r="AF22" s="338"/>
    </row>
    <row r="23" spans="1:32" ht="12.75" customHeight="1">
      <c r="A23" s="24"/>
      <c r="B23" s="105">
        <f t="shared" si="6"/>
        <v>20</v>
      </c>
      <c r="C23" s="6">
        <v>120400</v>
      </c>
      <c r="D23" s="118" t="s">
        <v>549</v>
      </c>
      <c r="E23" s="9" t="s">
        <v>32</v>
      </c>
      <c r="F23" s="6"/>
      <c r="G23" s="6"/>
      <c r="H23" s="11">
        <f>+STAT3!V23</f>
        <v>0</v>
      </c>
      <c r="I23" s="11">
        <f>+STAT3!W23</f>
        <v>0</v>
      </c>
      <c r="J23" s="11">
        <f>+SUMIFS(JURNAL!G:G,JURNAL!E:E,C23,JURNAL!C:C,"&gt;="&amp;$H$1,JURNAL!C:C,"&lt;="&amp;$I$1)</f>
        <v>0</v>
      </c>
      <c r="K23" s="11">
        <f>+SUMIFS(JURNAL!H:H,JURNAL!E:E,C23,JURNAL!C:C,"&gt;="&amp;$H$1,JURNAL!C:C,"&lt;="&amp;$I$1)</f>
        <v>0</v>
      </c>
      <c r="L23" s="26">
        <f t="shared" si="2"/>
        <v>0</v>
      </c>
      <c r="M23" s="27">
        <f t="shared" si="0"/>
        <v>0</v>
      </c>
      <c r="N23" s="11"/>
      <c r="O23" s="183"/>
      <c r="P23" s="27"/>
      <c r="Q23" s="11"/>
      <c r="R23" s="26">
        <f t="shared" si="3"/>
        <v>0</v>
      </c>
      <c r="S23" s="27">
        <f t="shared" si="4"/>
        <v>0</v>
      </c>
      <c r="T23" s="11"/>
      <c r="U23" s="11"/>
      <c r="V23" s="417">
        <f t="shared" si="7"/>
        <v>0</v>
      </c>
      <c r="W23" s="380">
        <f t="shared" si="1"/>
        <v>0</v>
      </c>
      <c r="X23" s="4">
        <v>1104</v>
      </c>
      <c r="Y23" s="4"/>
      <c r="Z23" s="4"/>
      <c r="AA23" s="12">
        <f t="shared" si="5"/>
        <v>0</v>
      </c>
      <c r="AE23" s="338"/>
      <c r="AF23" s="338"/>
    </row>
    <row r="24" spans="1:32" ht="12.75" customHeight="1">
      <c r="A24" s="24"/>
      <c r="B24" s="105">
        <f t="shared" si="6"/>
        <v>21</v>
      </c>
      <c r="C24" s="6">
        <v>120401</v>
      </c>
      <c r="D24" s="118" t="s">
        <v>957</v>
      </c>
      <c r="E24" s="9" t="s">
        <v>30</v>
      </c>
      <c r="F24" s="6"/>
      <c r="G24" s="6"/>
      <c r="H24" s="11">
        <f>+STAT3!V24</f>
        <v>0</v>
      </c>
      <c r="I24" s="11">
        <f>+STAT3!W24</f>
        <v>0</v>
      </c>
      <c r="J24" s="11">
        <f>+SUMIFS(JURNAL!G:G,JURNAL!E:E,C24,JURNAL!C:C,"&gt;="&amp;$H$1,JURNAL!C:C,"&lt;="&amp;$I$1)</f>
        <v>0</v>
      </c>
      <c r="K24" s="11">
        <f>+SUMIFS(JURNAL!H:H,JURNAL!E:E,C24,JURNAL!C:C,"&gt;="&amp;$H$1,JURNAL!C:C,"&lt;="&amp;$I$1)</f>
        <v>0</v>
      </c>
      <c r="L24" s="26">
        <f t="shared" si="2"/>
        <v>0</v>
      </c>
      <c r="M24" s="27">
        <f t="shared" si="0"/>
        <v>0</v>
      </c>
      <c r="N24" s="11"/>
      <c r="O24" s="183"/>
      <c r="P24" s="27"/>
      <c r="Q24" s="11"/>
      <c r="R24" s="26">
        <f t="shared" si="3"/>
        <v>0</v>
      </c>
      <c r="S24" s="27">
        <f t="shared" si="4"/>
        <v>0</v>
      </c>
      <c r="T24" s="11"/>
      <c r="U24" s="11"/>
      <c r="V24" s="417">
        <f t="shared" si="7"/>
        <v>0</v>
      </c>
      <c r="W24" s="380">
        <f t="shared" si="1"/>
        <v>0</v>
      </c>
      <c r="X24" s="4">
        <v>1104</v>
      </c>
      <c r="Y24" s="4"/>
      <c r="Z24" s="4"/>
      <c r="AA24" s="12">
        <f t="shared" si="5"/>
        <v>0</v>
      </c>
      <c r="AE24" s="338"/>
      <c r="AF24" s="338"/>
    </row>
    <row r="25" spans="1:32" ht="12.75" customHeight="1">
      <c r="A25" s="24"/>
      <c r="B25" s="105">
        <f t="shared" si="6"/>
        <v>22</v>
      </c>
      <c r="C25" s="6">
        <v>120600</v>
      </c>
      <c r="D25" s="118" t="s">
        <v>554</v>
      </c>
      <c r="E25" s="9" t="s">
        <v>32</v>
      </c>
      <c r="F25" s="6"/>
      <c r="G25" s="6"/>
      <c r="H25" s="11">
        <f>+STAT3!V25</f>
        <v>3.8904550019651651E-3</v>
      </c>
      <c r="I25" s="11">
        <f>+STAT3!W25</f>
        <v>0</v>
      </c>
      <c r="J25" s="11">
        <f>+SUMIFS(JURNAL!G:G,JURNAL!E:E,C25,JURNAL!C:C,"&gt;="&amp;$H$1,JURNAL!C:C,"&lt;="&amp;$I$1)</f>
        <v>18771213.399090908</v>
      </c>
      <c r="K25" s="11">
        <f>+SUMIFS(JURNAL!H:H,JURNAL!E:E,C25,JURNAL!C:C,"&gt;="&amp;$H$1,JURNAL!C:C,"&lt;="&amp;$I$1)</f>
        <v>0</v>
      </c>
      <c r="L25" s="26">
        <f t="shared" si="2"/>
        <v>18771213.402981363</v>
      </c>
      <c r="M25" s="27">
        <f t="shared" si="0"/>
        <v>0</v>
      </c>
      <c r="N25" s="11"/>
      <c r="O25" s="27">
        <v>18771213.402981363</v>
      </c>
      <c r="P25" s="27"/>
      <c r="Q25" s="11"/>
      <c r="R25" s="26">
        <f t="shared" si="3"/>
        <v>0</v>
      </c>
      <c r="S25" s="27">
        <f t="shared" si="4"/>
        <v>0</v>
      </c>
      <c r="T25" s="11"/>
      <c r="U25" s="11"/>
      <c r="V25" s="417">
        <f t="shared" si="7"/>
        <v>0</v>
      </c>
      <c r="W25" s="380">
        <f t="shared" si="1"/>
        <v>0</v>
      </c>
      <c r="X25" s="4">
        <v>1103</v>
      </c>
      <c r="Y25" s="4"/>
      <c r="Z25" s="4"/>
      <c r="AA25" s="12">
        <f t="shared" si="5"/>
        <v>1</v>
      </c>
      <c r="AE25" s="338"/>
      <c r="AF25" s="338"/>
    </row>
    <row r="26" spans="1:32" ht="12.75" customHeight="1">
      <c r="A26" s="24"/>
      <c r="B26" s="105">
        <f t="shared" si="6"/>
        <v>23</v>
      </c>
      <c r="C26" s="6">
        <v>120700</v>
      </c>
      <c r="D26" s="118" t="s">
        <v>559</v>
      </c>
      <c r="E26" s="9" t="s">
        <v>32</v>
      </c>
      <c r="F26" s="6"/>
      <c r="G26" s="6"/>
      <c r="H26" s="11">
        <f>+STAT3!V26</f>
        <v>99989.61</v>
      </c>
      <c r="I26" s="11">
        <f>+STAT3!W26</f>
        <v>0</v>
      </c>
      <c r="J26" s="11">
        <f>+SUMIFS(JURNAL!G:G,JURNAL!E:E,C26,JURNAL!C:C,"&gt;="&amp;$H$1,JURNAL!C:C,"&lt;="&amp;$I$1)</f>
        <v>0</v>
      </c>
      <c r="K26" s="11">
        <f>+SUMIFS(JURNAL!H:H,JURNAL!E:E,C26,JURNAL!C:C,"&gt;="&amp;$H$1,JURNAL!C:C,"&lt;="&amp;$I$1)</f>
        <v>0</v>
      </c>
      <c r="L26" s="26">
        <f t="shared" si="2"/>
        <v>99989.61</v>
      </c>
      <c r="M26" s="27">
        <f t="shared" si="0"/>
        <v>0</v>
      </c>
      <c r="N26" s="11"/>
      <c r="O26" s="183"/>
      <c r="P26" s="27"/>
      <c r="Q26" s="11"/>
      <c r="R26" s="26">
        <f t="shared" si="3"/>
        <v>99989.61</v>
      </c>
      <c r="S26" s="27">
        <f t="shared" si="4"/>
        <v>0</v>
      </c>
      <c r="T26" s="11"/>
      <c r="U26" s="11"/>
      <c r="V26" s="337">
        <f t="shared" si="7"/>
        <v>99989.61</v>
      </c>
      <c r="W26" s="380">
        <f t="shared" si="1"/>
        <v>0</v>
      </c>
      <c r="X26" s="4">
        <v>1103</v>
      </c>
      <c r="Y26" s="4"/>
      <c r="Z26" s="4"/>
      <c r="AA26" s="12">
        <f t="shared" si="5"/>
        <v>1</v>
      </c>
      <c r="AE26" s="338"/>
      <c r="AF26" s="338"/>
    </row>
    <row r="27" spans="1:32" ht="12.75" customHeight="1">
      <c r="A27" s="24"/>
      <c r="B27" s="105">
        <f t="shared" si="6"/>
        <v>24</v>
      </c>
      <c r="C27" s="6">
        <v>120800</v>
      </c>
      <c r="D27" s="118" t="s">
        <v>564</v>
      </c>
      <c r="E27" s="9" t="s">
        <v>32</v>
      </c>
      <c r="F27" s="6"/>
      <c r="G27" s="6"/>
      <c r="H27" s="11">
        <f>+STAT3!V27</f>
        <v>0</v>
      </c>
      <c r="I27" s="11">
        <f>+STAT3!W27</f>
        <v>0</v>
      </c>
      <c r="J27" s="11">
        <f>+SUMIFS(JURNAL!G:G,JURNAL!E:E,C27,JURNAL!C:C,"&gt;="&amp;$H$1,JURNAL!C:C,"&lt;="&amp;$I$1)</f>
        <v>7200000</v>
      </c>
      <c r="K27" s="11">
        <f>+SUMIFS(JURNAL!H:H,JURNAL!E:E,C27,JURNAL!C:C,"&gt;="&amp;$H$1,JURNAL!C:C,"&lt;="&amp;$I$1)</f>
        <v>0</v>
      </c>
      <c r="L27" s="26">
        <f t="shared" si="2"/>
        <v>7200000</v>
      </c>
      <c r="M27" s="27">
        <f t="shared" si="0"/>
        <v>0</v>
      </c>
      <c r="N27" s="11"/>
      <c r="O27" s="118">
        <v>7146001.831635979</v>
      </c>
      <c r="P27" s="27"/>
      <c r="Q27" s="11"/>
      <c r="R27" s="26">
        <f t="shared" si="3"/>
        <v>53998.168364020996</v>
      </c>
      <c r="S27" s="27">
        <f t="shared" si="4"/>
        <v>0</v>
      </c>
      <c r="T27" s="11"/>
      <c r="U27" s="11"/>
      <c r="V27" s="337">
        <f t="shared" si="7"/>
        <v>53998.168364020996</v>
      </c>
      <c r="W27" s="380">
        <f t="shared" si="1"/>
        <v>0</v>
      </c>
      <c r="X27" s="4">
        <v>1103</v>
      </c>
      <c r="Y27" s="4"/>
      <c r="Z27" s="4"/>
      <c r="AA27" s="12">
        <f t="shared" si="5"/>
        <v>1</v>
      </c>
      <c r="AC27" s="230">
        <f>+'TT-11'!F61</f>
        <v>53998.156056325883</v>
      </c>
      <c r="AD27" s="80">
        <f>+V27-AC27</f>
        <v>1.2307695113122463E-2</v>
      </c>
      <c r="AE27" s="338"/>
      <c r="AF27" s="338"/>
    </row>
    <row r="28" spans="1:32" ht="12.75" customHeight="1">
      <c r="A28" s="24"/>
      <c r="B28" s="105">
        <f t="shared" si="6"/>
        <v>25</v>
      </c>
      <c r="C28" s="6">
        <v>120900</v>
      </c>
      <c r="D28" s="118" t="s">
        <v>569</v>
      </c>
      <c r="E28" s="9" t="s">
        <v>32</v>
      </c>
      <c r="F28" s="6"/>
      <c r="G28" s="6"/>
      <c r="H28" s="11">
        <f>+STAT3!V28</f>
        <v>0</v>
      </c>
      <c r="I28" s="11">
        <f>+STAT3!W28</f>
        <v>0</v>
      </c>
      <c r="J28" s="11">
        <f>+SUMIFS(JURNAL!G:G,JURNAL!E:E,C28,JURNAL!C:C,"&gt;="&amp;$H$1,JURNAL!C:C,"&lt;="&amp;$I$1)</f>
        <v>13500000</v>
      </c>
      <c r="K28" s="11">
        <f>+SUMIFS(JURNAL!H:H,JURNAL!E:E,C28,JURNAL!C:C,"&gt;="&amp;$H$1,JURNAL!C:C,"&lt;="&amp;$I$1)</f>
        <v>0</v>
      </c>
      <c r="L28" s="26">
        <f t="shared" si="2"/>
        <v>13500000</v>
      </c>
      <c r="M28" s="27">
        <f t="shared" si="0"/>
        <v>0</v>
      </c>
      <c r="N28" s="11"/>
      <c r="O28" s="27">
        <v>13417557.532373544</v>
      </c>
      <c r="P28" s="27"/>
      <c r="Q28" s="11"/>
      <c r="R28" s="26">
        <f t="shared" si="3"/>
        <v>82442.467626456171</v>
      </c>
      <c r="S28" s="27">
        <f t="shared" si="4"/>
        <v>0</v>
      </c>
      <c r="T28" s="11"/>
      <c r="U28" s="11"/>
      <c r="V28" s="337">
        <f t="shared" si="7"/>
        <v>82442.467626456171</v>
      </c>
      <c r="W28" s="380">
        <f t="shared" si="1"/>
        <v>0</v>
      </c>
      <c r="X28" s="4">
        <v>1103</v>
      </c>
      <c r="Y28" s="4"/>
      <c r="Z28" s="4"/>
      <c r="AA28" s="12">
        <f t="shared" si="5"/>
        <v>1</v>
      </c>
      <c r="AC28" s="230">
        <v>82442.460000000006</v>
      </c>
      <c r="AD28" s="80">
        <f>+V28-AC28</f>
        <v>7.6264561648713425E-3</v>
      </c>
      <c r="AE28" s="338"/>
      <c r="AF28" s="338"/>
    </row>
    <row r="29" spans="1:32" ht="12.75" customHeight="1">
      <c r="A29" s="24"/>
      <c r="B29" s="105">
        <f t="shared" si="6"/>
        <v>26</v>
      </c>
      <c r="C29" s="6">
        <v>121000</v>
      </c>
      <c r="D29" s="118" t="s">
        <v>574</v>
      </c>
      <c r="E29" s="9" t="s">
        <v>32</v>
      </c>
      <c r="F29" s="6"/>
      <c r="G29" s="6"/>
      <c r="H29" s="11">
        <f>+STAT3!V29</f>
        <v>0</v>
      </c>
      <c r="I29" s="11">
        <f>+STAT3!W29</f>
        <v>0</v>
      </c>
      <c r="J29" s="11">
        <f>+SUMIFS(JURNAL!G:G,JURNAL!E:E,C29,JURNAL!C:C,"&gt;="&amp;$H$1,JURNAL!C:C,"&lt;="&amp;$I$1)</f>
        <v>0</v>
      </c>
      <c r="K29" s="11">
        <f>+SUMIFS(JURNAL!H:H,JURNAL!E:E,C29,JURNAL!C:C,"&gt;="&amp;$H$1,JURNAL!C:C,"&lt;="&amp;$I$1)</f>
        <v>0</v>
      </c>
      <c r="L29" s="26">
        <f t="shared" si="2"/>
        <v>0</v>
      </c>
      <c r="M29" s="27">
        <f t="shared" si="0"/>
        <v>0</v>
      </c>
      <c r="N29" s="11"/>
      <c r="O29" s="183"/>
      <c r="P29" s="27"/>
      <c r="Q29" s="11"/>
      <c r="R29" s="26">
        <f t="shared" si="3"/>
        <v>0</v>
      </c>
      <c r="S29" s="27">
        <f t="shared" si="4"/>
        <v>0</v>
      </c>
      <c r="T29" s="11"/>
      <c r="U29" s="11"/>
      <c r="V29" s="417">
        <f t="shared" si="7"/>
        <v>0</v>
      </c>
      <c r="W29" s="380">
        <f t="shared" si="1"/>
        <v>0</v>
      </c>
      <c r="X29" s="4">
        <v>1103</v>
      </c>
      <c r="Y29" s="4"/>
      <c r="Z29" s="4"/>
      <c r="AA29" s="12">
        <f t="shared" si="5"/>
        <v>0</v>
      </c>
      <c r="AE29" s="338"/>
      <c r="AF29" s="338"/>
    </row>
    <row r="30" spans="1:32" ht="12.75" customHeight="1">
      <c r="A30" s="24"/>
      <c r="B30" s="105">
        <f t="shared" si="6"/>
        <v>27</v>
      </c>
      <c r="C30" s="6">
        <v>121100</v>
      </c>
      <c r="D30" s="118" t="s">
        <v>579</v>
      </c>
      <c r="E30" s="9" t="s">
        <v>32</v>
      </c>
      <c r="F30" s="6"/>
      <c r="G30" s="6"/>
      <c r="H30" s="11">
        <f>+STAT3!V30</f>
        <v>0</v>
      </c>
      <c r="I30" s="11">
        <f>+STAT3!W30</f>
        <v>0</v>
      </c>
      <c r="J30" s="11">
        <f>+SUMIFS(JURNAL!G:G,JURNAL!E:E,C30,JURNAL!C:C,"&gt;="&amp;$H$1,JURNAL!C:C,"&lt;="&amp;$I$1)</f>
        <v>0</v>
      </c>
      <c r="K30" s="11">
        <f>+SUMIFS(JURNAL!H:H,JURNAL!E:E,C30,JURNAL!C:C,"&gt;="&amp;$H$1,JURNAL!C:C,"&lt;="&amp;$I$1)</f>
        <v>0</v>
      </c>
      <c r="L30" s="26">
        <f t="shared" si="2"/>
        <v>0</v>
      </c>
      <c r="M30" s="27">
        <f t="shared" si="0"/>
        <v>0</v>
      </c>
      <c r="N30" s="11"/>
      <c r="O30" s="183"/>
      <c r="P30" s="27"/>
      <c r="Q30" s="11"/>
      <c r="R30" s="26">
        <f t="shared" si="3"/>
        <v>0</v>
      </c>
      <c r="S30" s="27">
        <f t="shared" si="4"/>
        <v>0</v>
      </c>
      <c r="T30" s="11"/>
      <c r="U30" s="11"/>
      <c r="V30" s="417">
        <f t="shared" si="7"/>
        <v>0</v>
      </c>
      <c r="W30" s="380">
        <f t="shared" si="1"/>
        <v>0</v>
      </c>
      <c r="X30" s="4">
        <v>1104</v>
      </c>
      <c r="Y30" s="4"/>
      <c r="Z30" s="4"/>
      <c r="AA30" s="12">
        <f t="shared" si="5"/>
        <v>0</v>
      </c>
      <c r="AE30" s="338"/>
      <c r="AF30" s="338"/>
    </row>
    <row r="31" spans="1:32" ht="12.75" customHeight="1">
      <c r="A31" s="24"/>
      <c r="B31" s="105">
        <f t="shared" si="6"/>
        <v>28</v>
      </c>
      <c r="C31" s="6">
        <v>121200</v>
      </c>
      <c r="D31" s="118" t="s">
        <v>958</v>
      </c>
      <c r="E31" s="9" t="s">
        <v>32</v>
      </c>
      <c r="F31" s="6"/>
      <c r="G31" s="6"/>
      <c r="H31" s="11">
        <f>+STAT3!V31</f>
        <v>980000.00407000002</v>
      </c>
      <c r="I31" s="11">
        <f>+STAT3!W31</f>
        <v>0</v>
      </c>
      <c r="J31" s="11">
        <f>+SUMIFS(JURNAL!G:G,JURNAL!E:E,C31,JURNAL!C:C,"&gt;="&amp;$H$1,JURNAL!C:C,"&lt;="&amp;$I$1)</f>
        <v>0</v>
      </c>
      <c r="K31" s="11">
        <f>+SUMIFS(JURNAL!H:H,JURNAL!E:E,C31,JURNAL!C:C,"&gt;="&amp;$H$1,JURNAL!C:C,"&lt;="&amp;$I$1)</f>
        <v>0</v>
      </c>
      <c r="L31" s="26">
        <f t="shared" si="2"/>
        <v>980000.00407000002</v>
      </c>
      <c r="M31" s="27">
        <f t="shared" si="0"/>
        <v>0</v>
      </c>
      <c r="N31" s="11"/>
      <c r="O31" s="183"/>
      <c r="P31" s="27"/>
      <c r="Q31" s="11"/>
      <c r="R31" s="26">
        <f t="shared" si="3"/>
        <v>980000.00407000002</v>
      </c>
      <c r="S31" s="27">
        <f t="shared" si="4"/>
        <v>0</v>
      </c>
      <c r="T31" s="11"/>
      <c r="U31" s="11"/>
      <c r="V31" s="337">
        <f t="shared" si="7"/>
        <v>980000.00407000002</v>
      </c>
      <c r="W31" s="380">
        <f t="shared" si="1"/>
        <v>0</v>
      </c>
      <c r="X31" s="4">
        <v>1104</v>
      </c>
      <c r="Y31" s="4"/>
      <c r="Z31" s="4"/>
      <c r="AA31" s="12">
        <f t="shared" si="5"/>
        <v>1</v>
      </c>
      <c r="AE31" s="338"/>
      <c r="AF31" s="338"/>
    </row>
    <row r="32" spans="1:32" ht="12.75" customHeight="1">
      <c r="A32" s="24"/>
      <c r="B32" s="105">
        <f t="shared" si="6"/>
        <v>29</v>
      </c>
      <c r="C32" s="6">
        <v>122000</v>
      </c>
      <c r="D32" s="118" t="s">
        <v>959</v>
      </c>
      <c r="E32" s="9" t="s">
        <v>32</v>
      </c>
      <c r="F32" s="6"/>
      <c r="G32" s="6"/>
      <c r="H32" s="11">
        <f>+STAT3!V32</f>
        <v>8</v>
      </c>
      <c r="I32" s="11">
        <f>+STAT3!W32</f>
        <v>0</v>
      </c>
      <c r="J32" s="11">
        <f>+SUMIFS(JURNAL!G:G,JURNAL!E:E,C32,JURNAL!C:C,"&gt;="&amp;$H$1,JURNAL!C:C,"&lt;="&amp;$I$1)</f>
        <v>22020300</v>
      </c>
      <c r="K32" s="11">
        <f>+SUMIFS(JURNAL!H:H,JURNAL!E:E,C32,JURNAL!C:C,"&gt;="&amp;$H$1,JURNAL!C:C,"&lt;="&amp;$I$1)</f>
        <v>22020300</v>
      </c>
      <c r="L32" s="26">
        <f t="shared" si="2"/>
        <v>8</v>
      </c>
      <c r="M32" s="27">
        <f t="shared" si="0"/>
        <v>0</v>
      </c>
      <c r="N32" s="11"/>
      <c r="O32" s="183"/>
      <c r="P32" s="27"/>
      <c r="Q32" s="11"/>
      <c r="R32" s="26">
        <f t="shared" si="3"/>
        <v>8</v>
      </c>
      <c r="S32" s="27">
        <f t="shared" si="4"/>
        <v>0</v>
      </c>
      <c r="T32" s="11"/>
      <c r="U32" s="11"/>
      <c r="V32" s="417">
        <f t="shared" si="7"/>
        <v>8</v>
      </c>
      <c r="W32" s="380">
        <f t="shared" si="1"/>
        <v>0</v>
      </c>
      <c r="X32" s="4">
        <v>1104</v>
      </c>
      <c r="Y32" s="4"/>
      <c r="Z32" s="4"/>
      <c r="AA32" s="12">
        <f t="shared" si="5"/>
        <v>1</v>
      </c>
      <c r="AE32" s="338"/>
      <c r="AF32" s="338"/>
    </row>
    <row r="33" spans="1:32" ht="12.75" customHeight="1">
      <c r="A33" s="24"/>
      <c r="B33" s="105">
        <f t="shared" si="6"/>
        <v>30</v>
      </c>
      <c r="C33" s="6">
        <v>122001</v>
      </c>
      <c r="D33" s="118" t="s">
        <v>960</v>
      </c>
      <c r="E33" s="9" t="s">
        <v>30</v>
      </c>
      <c r="F33" s="6"/>
      <c r="G33" s="6"/>
      <c r="H33" s="11">
        <f>+STAT3!V33</f>
        <v>0</v>
      </c>
      <c r="I33" s="11">
        <f>+STAT3!W33</f>
        <v>0</v>
      </c>
      <c r="J33" s="11">
        <f>+SUMIFS(JURNAL!G:G,JURNAL!E:E,C33,JURNAL!C:C,"&gt;="&amp;$H$1,JURNAL!C:C,"&lt;="&amp;$I$1)</f>
        <v>0</v>
      </c>
      <c r="K33" s="11">
        <f>+SUMIFS(JURNAL!H:H,JURNAL!E:E,C33,JURNAL!C:C,"&gt;="&amp;$H$1,JURNAL!C:C,"&lt;="&amp;$I$1)</f>
        <v>0</v>
      </c>
      <c r="L33" s="26">
        <f t="shared" si="2"/>
        <v>0</v>
      </c>
      <c r="M33" s="27">
        <f t="shared" si="0"/>
        <v>0</v>
      </c>
      <c r="N33" s="11"/>
      <c r="O33" s="183"/>
      <c r="P33" s="27"/>
      <c r="Q33" s="11"/>
      <c r="R33" s="26">
        <f t="shared" si="3"/>
        <v>0</v>
      </c>
      <c r="S33" s="27">
        <f t="shared" si="4"/>
        <v>0</v>
      </c>
      <c r="T33" s="11"/>
      <c r="U33" s="11"/>
      <c r="V33" s="417">
        <f t="shared" si="7"/>
        <v>0</v>
      </c>
      <c r="W33" s="380">
        <f t="shared" si="1"/>
        <v>0</v>
      </c>
      <c r="X33" s="4">
        <v>1104</v>
      </c>
      <c r="Y33" s="4"/>
      <c r="Z33" s="4"/>
      <c r="AA33" s="12">
        <f t="shared" si="5"/>
        <v>0</v>
      </c>
      <c r="AE33" s="338"/>
      <c r="AF33" s="338"/>
    </row>
    <row r="34" spans="1:32" ht="12.75" customHeight="1">
      <c r="A34" s="24"/>
      <c r="B34" s="105">
        <f t="shared" si="6"/>
        <v>31</v>
      </c>
      <c r="C34" s="6">
        <v>130100</v>
      </c>
      <c r="D34" s="118" t="s">
        <v>588</v>
      </c>
      <c r="E34" s="9" t="s">
        <v>32</v>
      </c>
      <c r="F34" s="6"/>
      <c r="G34" s="6"/>
      <c r="H34" s="11">
        <f>+STAT3!V34</f>
        <v>0</v>
      </c>
      <c r="I34" s="11">
        <f>+STAT3!W34</f>
        <v>0</v>
      </c>
      <c r="J34" s="11">
        <f>+SUMIFS(JURNAL!G:G,JURNAL!E:E,C34,JURNAL!C:C,"&gt;="&amp;$H$1,JURNAL!C:C,"&lt;="&amp;$I$1)</f>
        <v>0</v>
      </c>
      <c r="K34" s="11">
        <f>+SUMIFS(JURNAL!H:H,JURNAL!E:E,C34,JURNAL!C:C,"&gt;="&amp;$H$1,JURNAL!C:C,"&lt;="&amp;$I$1)</f>
        <v>0</v>
      </c>
      <c r="L34" s="26">
        <f t="shared" si="2"/>
        <v>0</v>
      </c>
      <c r="M34" s="27">
        <f t="shared" si="0"/>
        <v>0</v>
      </c>
      <c r="N34" s="11"/>
      <c r="O34" s="183"/>
      <c r="P34" s="27"/>
      <c r="Q34" s="11"/>
      <c r="R34" s="26">
        <f t="shared" si="3"/>
        <v>0</v>
      </c>
      <c r="S34" s="27">
        <f t="shared" si="4"/>
        <v>0</v>
      </c>
      <c r="T34" s="11"/>
      <c r="U34" s="11"/>
      <c r="V34" s="417">
        <f t="shared" si="7"/>
        <v>0</v>
      </c>
      <c r="W34" s="380">
        <f t="shared" si="1"/>
        <v>0</v>
      </c>
      <c r="X34" s="4">
        <v>1105</v>
      </c>
      <c r="Y34" s="4"/>
      <c r="Z34" s="4"/>
      <c r="AA34" s="12">
        <f t="shared" si="5"/>
        <v>0</v>
      </c>
      <c r="AE34" s="338"/>
      <c r="AF34" s="338"/>
    </row>
    <row r="35" spans="1:32" ht="12.75" customHeight="1">
      <c r="A35" s="24"/>
      <c r="B35" s="105">
        <f t="shared" si="6"/>
        <v>32</v>
      </c>
      <c r="C35" s="6">
        <v>130500</v>
      </c>
      <c r="D35" s="118" t="s">
        <v>592</v>
      </c>
      <c r="E35" s="9" t="s">
        <v>32</v>
      </c>
      <c r="F35" s="6"/>
      <c r="G35" s="6"/>
      <c r="H35" s="11">
        <f>+STAT3!V35</f>
        <v>0</v>
      </c>
      <c r="I35" s="11">
        <f>+STAT3!W35</f>
        <v>0</v>
      </c>
      <c r="J35" s="11">
        <f>+SUMIFS(JURNAL!G:G,JURNAL!E:E,C35,JURNAL!C:C,"&gt;="&amp;$H$1,JURNAL!C:C,"&lt;="&amp;$I$1)</f>
        <v>0</v>
      </c>
      <c r="K35" s="11">
        <f>+SUMIFS(JURNAL!H:H,JURNAL!E:E,C35,JURNAL!C:C,"&gt;="&amp;$H$1,JURNAL!C:C,"&lt;="&amp;$I$1)</f>
        <v>0</v>
      </c>
      <c r="L35" s="26">
        <f t="shared" si="2"/>
        <v>0</v>
      </c>
      <c r="M35" s="27">
        <f t="shared" si="0"/>
        <v>0</v>
      </c>
      <c r="N35" s="11"/>
      <c r="O35" s="183"/>
      <c r="P35" s="27"/>
      <c r="Q35" s="11"/>
      <c r="R35" s="26">
        <f t="shared" si="3"/>
        <v>0</v>
      </c>
      <c r="S35" s="27">
        <f t="shared" si="4"/>
        <v>0</v>
      </c>
      <c r="T35" s="11"/>
      <c r="U35" s="11"/>
      <c r="V35" s="417">
        <f t="shared" si="7"/>
        <v>0</v>
      </c>
      <c r="W35" s="380">
        <f t="shared" si="1"/>
        <v>0</v>
      </c>
      <c r="X35" s="4">
        <v>1105</v>
      </c>
      <c r="Y35" s="4"/>
      <c r="Z35" s="4"/>
      <c r="AA35" s="12">
        <f t="shared" si="5"/>
        <v>0</v>
      </c>
      <c r="AE35" s="338"/>
      <c r="AF35" s="338"/>
    </row>
    <row r="36" spans="1:32" ht="12.75" customHeight="1">
      <c r="A36" s="24"/>
      <c r="B36" s="105">
        <f t="shared" si="6"/>
        <v>33</v>
      </c>
      <c r="C36" s="6">
        <v>140100</v>
      </c>
      <c r="D36" s="118" t="s">
        <v>597</v>
      </c>
      <c r="E36" s="9" t="s">
        <v>32</v>
      </c>
      <c r="F36" s="6"/>
      <c r="G36" s="6"/>
      <c r="H36" s="11">
        <f>+STAT3!V36</f>
        <v>185081261.83657226</v>
      </c>
      <c r="I36" s="11">
        <f>+STAT3!W36</f>
        <v>0</v>
      </c>
      <c r="J36" s="11">
        <f>+SUMIFS(JURNAL!G:G,JURNAL!E:E,C36,JURNAL!C:C,"&gt;="&amp;$H$1,JURNAL!C:C,"&lt;="&amp;$I$1)</f>
        <v>0</v>
      </c>
      <c r="K36" s="11">
        <f>+SUMIFS(JURNAL!H:H,JURNAL!E:E,C36,JURNAL!C:C,"&gt;="&amp;$H$1,JURNAL!C:C,"&lt;="&amp;$I$1)</f>
        <v>37821085.057334527</v>
      </c>
      <c r="L36" s="26">
        <f t="shared" si="2"/>
        <v>147260176.77923775</v>
      </c>
      <c r="M36" s="27">
        <f t="shared" si="0"/>
        <v>0</v>
      </c>
      <c r="N36" s="11"/>
      <c r="O36" s="183"/>
      <c r="P36" s="27"/>
      <c r="Q36" s="11"/>
      <c r="R36" s="26">
        <f t="shared" si="3"/>
        <v>147260176.77923775</v>
      </c>
      <c r="S36" s="27">
        <f t="shared" si="4"/>
        <v>0</v>
      </c>
      <c r="T36" s="11"/>
      <c r="U36" s="11"/>
      <c r="V36" s="337">
        <f t="shared" si="7"/>
        <v>147260176.77923775</v>
      </c>
      <c r="W36" s="380">
        <f t="shared" si="1"/>
        <v>0</v>
      </c>
      <c r="X36" s="4">
        <v>1107</v>
      </c>
      <c r="Y36" s="4"/>
      <c r="Z36" s="4"/>
      <c r="AA36" s="12">
        <f t="shared" si="5"/>
        <v>1</v>
      </c>
      <c r="AE36" s="338"/>
      <c r="AF36" s="338"/>
    </row>
    <row r="37" spans="1:32" ht="12.75" customHeight="1">
      <c r="A37" s="24"/>
      <c r="B37" s="105">
        <f t="shared" si="6"/>
        <v>34</v>
      </c>
      <c r="C37" s="6">
        <v>140200</v>
      </c>
      <c r="D37" s="118" t="s">
        <v>1672</v>
      </c>
      <c r="E37" s="9" t="s">
        <v>32</v>
      </c>
      <c r="F37" s="6"/>
      <c r="G37" s="6"/>
      <c r="H37" s="11">
        <f>+STAT3!V37</f>
        <v>1.9277334213256836E-3</v>
      </c>
      <c r="I37" s="11">
        <f>+STAT3!W37</f>
        <v>0</v>
      </c>
      <c r="J37" s="11">
        <f>+SUMIFS(JURNAL!G:G,JURNAL!E:E,C37,JURNAL!C:C,"&gt;="&amp;$H$1,JURNAL!C:C,"&lt;="&amp;$I$1)</f>
        <v>37821085.057334527</v>
      </c>
      <c r="K37" s="11">
        <f>+SUMIFS(JURNAL!H:H,JURNAL!E:E,C37,JURNAL!C:C,"&gt;="&amp;$H$1,JURNAL!C:C,"&lt;="&amp;$I$1)</f>
        <v>37821085.057334527</v>
      </c>
      <c r="L37" s="26">
        <f t="shared" si="2"/>
        <v>1.9277334213256836E-3</v>
      </c>
      <c r="M37" s="27">
        <f t="shared" si="0"/>
        <v>0</v>
      </c>
      <c r="N37" s="11"/>
      <c r="O37" s="183"/>
      <c r="P37" s="27"/>
      <c r="Q37" s="11"/>
      <c r="R37" s="26">
        <f t="shared" si="3"/>
        <v>1.9277334213256836E-3</v>
      </c>
      <c r="S37" s="27">
        <f t="shared" si="4"/>
        <v>0</v>
      </c>
      <c r="T37" s="11"/>
      <c r="U37" s="11"/>
      <c r="V37" s="417">
        <f t="shared" si="7"/>
        <v>1.9277334213256836E-3</v>
      </c>
      <c r="W37" s="380">
        <f t="shared" si="1"/>
        <v>0</v>
      </c>
      <c r="X37" s="4">
        <v>1107</v>
      </c>
      <c r="Y37" s="4"/>
      <c r="Z37" s="4"/>
      <c r="AA37" s="12">
        <f t="shared" si="5"/>
        <v>1</v>
      </c>
      <c r="AE37" s="338"/>
      <c r="AF37" s="338"/>
    </row>
    <row r="38" spans="1:32" ht="12.75" customHeight="1">
      <c r="A38" s="24"/>
      <c r="B38" s="105">
        <f t="shared" si="6"/>
        <v>35</v>
      </c>
      <c r="C38" s="6">
        <v>140201</v>
      </c>
      <c r="D38" s="118" t="s">
        <v>1673</v>
      </c>
      <c r="E38" s="9" t="s">
        <v>32</v>
      </c>
      <c r="F38" s="6"/>
      <c r="G38" s="6"/>
      <c r="H38" s="11">
        <f>+STAT3!V38</f>
        <v>2.604946494102478E-3</v>
      </c>
      <c r="I38" s="11">
        <f>+STAT3!W38</f>
        <v>0</v>
      </c>
      <c r="J38" s="11">
        <f>+SUMIFS(JURNAL!G:G,JURNAL!E:E,C38,JURNAL!C:C,"&gt;="&amp;$H$1,JURNAL!C:C,"&lt;="&amp;$I$1)</f>
        <v>82838103.02927506</v>
      </c>
      <c r="K38" s="11">
        <f>+SUMIFS(JURNAL!H:H,JURNAL!E:E,C38,JURNAL!C:C,"&gt;="&amp;$H$1,JURNAL!C:C,"&lt;="&amp;$I$1)</f>
        <v>82838103.02927506</v>
      </c>
      <c r="L38" s="26">
        <f t="shared" si="2"/>
        <v>2.604946494102478E-3</v>
      </c>
      <c r="M38" s="27">
        <f t="shared" si="0"/>
        <v>0</v>
      </c>
      <c r="N38" s="11"/>
      <c r="O38" s="183"/>
      <c r="P38" s="27"/>
      <c r="Q38" s="11"/>
      <c r="R38" s="26">
        <f t="shared" si="3"/>
        <v>2.604946494102478E-3</v>
      </c>
      <c r="S38" s="27">
        <f t="shared" si="4"/>
        <v>0</v>
      </c>
      <c r="T38" s="11"/>
      <c r="U38" s="11"/>
      <c r="V38" s="417">
        <f t="shared" si="7"/>
        <v>2.604946494102478E-3</v>
      </c>
      <c r="W38" s="380">
        <f t="shared" si="1"/>
        <v>0</v>
      </c>
      <c r="X38" s="4">
        <v>1107</v>
      </c>
      <c r="Y38" s="4"/>
      <c r="Z38" s="4"/>
      <c r="AA38" s="12">
        <f t="shared" si="5"/>
        <v>1</v>
      </c>
      <c r="AE38" s="338"/>
      <c r="AF38" s="338"/>
    </row>
    <row r="39" spans="1:32" ht="12.75" customHeight="1">
      <c r="A39" s="24"/>
      <c r="B39" s="105">
        <f t="shared" si="6"/>
        <v>36</v>
      </c>
      <c r="C39" s="6">
        <v>140202</v>
      </c>
      <c r="D39" s="118" t="s">
        <v>1674</v>
      </c>
      <c r="E39" s="9" t="s">
        <v>32</v>
      </c>
      <c r="F39" s="6"/>
      <c r="G39" s="6"/>
      <c r="H39" s="11">
        <f>+STAT3!V39</f>
        <v>0</v>
      </c>
      <c r="I39" s="11">
        <f>+STAT3!W39</f>
        <v>0</v>
      </c>
      <c r="J39" s="11">
        <f>+SUMIFS(JURNAL!G:G,JURNAL!E:E,C39,JURNAL!C:C,"&gt;="&amp;$H$1,JURNAL!C:C,"&lt;="&amp;$I$1)</f>
        <v>0</v>
      </c>
      <c r="K39" s="11">
        <f>+SUMIFS(JURNAL!H:H,JURNAL!E:E,C39,JURNAL!C:C,"&gt;="&amp;$H$1,JURNAL!C:C,"&lt;="&amp;$I$1)</f>
        <v>0</v>
      </c>
      <c r="L39" s="26">
        <f t="shared" si="2"/>
        <v>0</v>
      </c>
      <c r="M39" s="27">
        <f t="shared" si="0"/>
        <v>0</v>
      </c>
      <c r="N39" s="11"/>
      <c r="O39" s="183"/>
      <c r="P39" s="27"/>
      <c r="Q39" s="11"/>
      <c r="R39" s="26">
        <f t="shared" si="3"/>
        <v>0</v>
      </c>
      <c r="S39" s="27">
        <f t="shared" si="4"/>
        <v>0</v>
      </c>
      <c r="T39" s="11"/>
      <c r="U39" s="11"/>
      <c r="V39" s="417">
        <f t="shared" si="7"/>
        <v>0</v>
      </c>
      <c r="W39" s="380">
        <f t="shared" si="1"/>
        <v>0</v>
      </c>
      <c r="X39" s="4">
        <v>1107</v>
      </c>
      <c r="Y39" s="4"/>
      <c r="Z39" s="4"/>
      <c r="AA39" s="12">
        <f t="shared" si="5"/>
        <v>0</v>
      </c>
      <c r="AE39" s="338"/>
      <c r="AF39" s="338"/>
    </row>
    <row r="40" spans="1:32" ht="12.75" customHeight="1">
      <c r="A40" s="24"/>
      <c r="B40" s="105">
        <f t="shared" si="6"/>
        <v>37</v>
      </c>
      <c r="C40" s="6">
        <v>140300</v>
      </c>
      <c r="D40" s="118" t="s">
        <v>1675</v>
      </c>
      <c r="E40" s="9" t="s">
        <v>32</v>
      </c>
      <c r="F40" s="6"/>
      <c r="G40" s="6"/>
      <c r="H40" s="11">
        <f>+STAT3!V40</f>
        <v>0</v>
      </c>
      <c r="I40" s="11">
        <f>+STAT3!W40</f>
        <v>0</v>
      </c>
      <c r="J40" s="11">
        <f>+SUMIFS(JURNAL!G:G,JURNAL!E:E,C40,JURNAL!C:C,"&gt;="&amp;$H$1,JURNAL!C:C,"&lt;="&amp;$I$1)</f>
        <v>0</v>
      </c>
      <c r="K40" s="11">
        <f>+SUMIFS(JURNAL!H:H,JURNAL!E:E,C40,JURNAL!C:C,"&gt;="&amp;$H$1,JURNAL!C:C,"&lt;="&amp;$I$1)</f>
        <v>0</v>
      </c>
      <c r="L40" s="26">
        <f t="shared" si="2"/>
        <v>0</v>
      </c>
      <c r="M40" s="27">
        <f t="shared" si="0"/>
        <v>0</v>
      </c>
      <c r="N40" s="11"/>
      <c r="O40" s="183"/>
      <c r="P40" s="27"/>
      <c r="Q40" s="11"/>
      <c r="R40" s="26">
        <f t="shared" si="3"/>
        <v>0</v>
      </c>
      <c r="S40" s="27">
        <f t="shared" si="4"/>
        <v>0</v>
      </c>
      <c r="T40" s="11"/>
      <c r="U40" s="11"/>
      <c r="V40" s="417">
        <f t="shared" si="7"/>
        <v>0</v>
      </c>
      <c r="W40" s="380">
        <f t="shared" si="1"/>
        <v>0</v>
      </c>
      <c r="X40" s="4">
        <v>1107</v>
      </c>
      <c r="Y40" s="4"/>
      <c r="Z40" s="4"/>
      <c r="AA40" s="12">
        <f t="shared" si="5"/>
        <v>0</v>
      </c>
      <c r="AE40" s="338"/>
      <c r="AF40" s="338"/>
    </row>
    <row r="41" spans="1:32" ht="12.75" customHeight="1">
      <c r="A41" s="24"/>
      <c r="B41" s="105">
        <f t="shared" si="6"/>
        <v>38</v>
      </c>
      <c r="C41" s="6">
        <v>140301</v>
      </c>
      <c r="D41" s="118" t="s">
        <v>1676</v>
      </c>
      <c r="E41" s="9" t="s">
        <v>32</v>
      </c>
      <c r="F41" s="6"/>
      <c r="G41" s="6"/>
      <c r="H41" s="11">
        <f>+STAT3!V41</f>
        <v>0</v>
      </c>
      <c r="I41" s="11">
        <f>+STAT3!W41</f>
        <v>0</v>
      </c>
      <c r="J41" s="11">
        <f>+SUMIFS(JURNAL!G:G,JURNAL!E:E,C41,JURNAL!C:C,"&gt;="&amp;$H$1,JURNAL!C:C,"&lt;="&amp;$I$1)</f>
        <v>20049601.66</v>
      </c>
      <c r="K41" s="11">
        <f>+SUMIFS(JURNAL!H:H,JURNAL!E:E,C41,JURNAL!C:C,"&gt;="&amp;$H$1,JURNAL!C:C,"&lt;="&amp;$I$1)</f>
        <v>20049601.66</v>
      </c>
      <c r="L41" s="26">
        <f t="shared" si="2"/>
        <v>0</v>
      </c>
      <c r="M41" s="27">
        <f t="shared" si="0"/>
        <v>0</v>
      </c>
      <c r="N41" s="11"/>
      <c r="O41" s="183"/>
      <c r="P41" s="27"/>
      <c r="Q41" s="11"/>
      <c r="R41" s="26">
        <f t="shared" si="3"/>
        <v>0</v>
      </c>
      <c r="S41" s="27">
        <f t="shared" si="4"/>
        <v>0</v>
      </c>
      <c r="T41" s="11"/>
      <c r="U41" s="11"/>
      <c r="V41" s="417">
        <f t="shared" si="7"/>
        <v>0</v>
      </c>
      <c r="W41" s="380">
        <f t="shared" si="1"/>
        <v>0</v>
      </c>
      <c r="X41" s="4">
        <v>1107</v>
      </c>
      <c r="Y41" s="4"/>
      <c r="Z41" s="4"/>
      <c r="AA41" s="12">
        <f t="shared" si="5"/>
        <v>1</v>
      </c>
      <c r="AE41" s="338"/>
      <c r="AF41" s="338"/>
    </row>
    <row r="42" spans="1:32" ht="12.75" customHeight="1">
      <c r="A42" s="24"/>
      <c r="B42" s="105">
        <f t="shared" si="6"/>
        <v>39</v>
      </c>
      <c r="C42" s="6">
        <v>140302</v>
      </c>
      <c r="D42" s="118" t="s">
        <v>1677</v>
      </c>
      <c r="E42" s="9" t="s">
        <v>32</v>
      </c>
      <c r="F42" s="6"/>
      <c r="G42" s="6"/>
      <c r="H42" s="11">
        <f>+STAT3!V42</f>
        <v>0</v>
      </c>
      <c r="I42" s="11">
        <f>+STAT3!W42</f>
        <v>0</v>
      </c>
      <c r="J42" s="11">
        <f>+SUMIFS(JURNAL!G:G,JURNAL!E:E,C42,JURNAL!C:C,"&gt;="&amp;$H$1,JURNAL!C:C,"&lt;="&amp;$I$1)</f>
        <v>0</v>
      </c>
      <c r="K42" s="11">
        <f>+SUMIFS(JURNAL!H:H,JURNAL!E:E,C42,JURNAL!C:C,"&gt;="&amp;$H$1,JURNAL!C:C,"&lt;="&amp;$I$1)</f>
        <v>0</v>
      </c>
      <c r="L42" s="26">
        <f t="shared" si="2"/>
        <v>0</v>
      </c>
      <c r="M42" s="27">
        <f t="shared" si="0"/>
        <v>0</v>
      </c>
      <c r="N42" s="11"/>
      <c r="O42" s="183"/>
      <c r="P42" s="27"/>
      <c r="Q42" s="11"/>
      <c r="R42" s="26">
        <f t="shared" si="3"/>
        <v>0</v>
      </c>
      <c r="S42" s="27">
        <f t="shared" si="4"/>
        <v>0</v>
      </c>
      <c r="T42" s="11"/>
      <c r="U42" s="11"/>
      <c r="V42" s="417">
        <f t="shared" si="7"/>
        <v>0</v>
      </c>
      <c r="W42" s="380">
        <f t="shared" si="1"/>
        <v>0</v>
      </c>
      <c r="X42" s="4">
        <v>1107</v>
      </c>
      <c r="Y42" s="4"/>
      <c r="Z42" s="4"/>
      <c r="AA42" s="12">
        <f t="shared" si="5"/>
        <v>0</v>
      </c>
      <c r="AE42" s="338"/>
      <c r="AF42" s="338"/>
    </row>
    <row r="43" spans="1:32" ht="12.75" customHeight="1">
      <c r="A43" s="24"/>
      <c r="B43" s="105">
        <f t="shared" si="6"/>
        <v>40</v>
      </c>
      <c r="C43" s="6">
        <v>140400</v>
      </c>
      <c r="D43" s="118" t="s">
        <v>1678</v>
      </c>
      <c r="E43" s="9" t="s">
        <v>32</v>
      </c>
      <c r="F43" s="6"/>
      <c r="G43" s="6"/>
      <c r="H43" s="11">
        <f>+STAT3!V43</f>
        <v>0</v>
      </c>
      <c r="I43" s="11">
        <f>+STAT3!W43</f>
        <v>4.5454548671841621E-3</v>
      </c>
      <c r="J43" s="11">
        <f>+SUMIFS(JURNAL!G:G,JURNAL!E:E,C43,JURNAL!C:C,"&gt;="&amp;$H$1,JURNAL!C:C,"&lt;="&amp;$I$1)</f>
        <v>5680934.3200000003</v>
      </c>
      <c r="K43" s="11">
        <f>+SUMIFS(JURNAL!H:H,JURNAL!E:E,C43,JURNAL!C:C,"&gt;="&amp;$H$1,JURNAL!C:C,"&lt;="&amp;$I$1)</f>
        <v>5680934.3200000003</v>
      </c>
      <c r="L43" s="26">
        <f t="shared" si="2"/>
        <v>0</v>
      </c>
      <c r="M43" s="27">
        <f t="shared" si="0"/>
        <v>4.5454548671841621E-3</v>
      </c>
      <c r="N43" s="11"/>
      <c r="O43" s="183"/>
      <c r="P43" s="27"/>
      <c r="Q43" s="11"/>
      <c r="R43" s="26">
        <f t="shared" si="3"/>
        <v>0</v>
      </c>
      <c r="S43" s="27">
        <f t="shared" si="4"/>
        <v>4.5454548671841621E-3</v>
      </c>
      <c r="T43" s="11"/>
      <c r="U43" s="11"/>
      <c r="V43" s="417">
        <f t="shared" si="7"/>
        <v>0</v>
      </c>
      <c r="W43" s="380">
        <f t="shared" si="1"/>
        <v>4.5454548671841621E-3</v>
      </c>
      <c r="X43" s="4">
        <v>1107</v>
      </c>
      <c r="Y43" s="4"/>
      <c r="Z43" s="4"/>
      <c r="AA43" s="12">
        <f t="shared" si="5"/>
        <v>1</v>
      </c>
      <c r="AE43" s="338"/>
      <c r="AF43" s="338"/>
    </row>
    <row r="44" spans="1:32" ht="12.75" customHeight="1">
      <c r="A44" s="24"/>
      <c r="B44" s="105">
        <f t="shared" si="6"/>
        <v>41</v>
      </c>
      <c r="C44" s="6">
        <v>140401</v>
      </c>
      <c r="D44" s="118" t="s">
        <v>1679</v>
      </c>
      <c r="E44" s="9" t="s">
        <v>32</v>
      </c>
      <c r="F44" s="6"/>
      <c r="G44" s="6"/>
      <c r="H44" s="11">
        <f>+STAT3!V44</f>
        <v>0</v>
      </c>
      <c r="I44" s="11">
        <f>+STAT3!W44</f>
        <v>8.3886459469795227E-4</v>
      </c>
      <c r="J44" s="11">
        <f>+SUMIFS(JURNAL!G:G,JURNAL!E:E,C44,JURNAL!C:C,"&gt;="&amp;$H$1,JURNAL!C:C,"&lt;="&amp;$I$1)</f>
        <v>30843213.809999999</v>
      </c>
      <c r="K44" s="11">
        <f>+SUMIFS(JURNAL!H:H,JURNAL!E:E,C44,JURNAL!C:C,"&gt;="&amp;$H$1,JURNAL!C:C,"&lt;="&amp;$I$1)</f>
        <v>30843213.809999999</v>
      </c>
      <c r="L44" s="26">
        <f t="shared" si="2"/>
        <v>0</v>
      </c>
      <c r="M44" s="27">
        <f t="shared" si="0"/>
        <v>8.3886459469795227E-4</v>
      </c>
      <c r="N44" s="11"/>
      <c r="O44" s="183"/>
      <c r="P44" s="27"/>
      <c r="Q44" s="11"/>
      <c r="R44" s="26">
        <f t="shared" si="3"/>
        <v>0</v>
      </c>
      <c r="S44" s="27">
        <f t="shared" si="4"/>
        <v>8.3886459469795227E-4</v>
      </c>
      <c r="T44" s="11"/>
      <c r="U44" s="11"/>
      <c r="V44" s="417">
        <f t="shared" si="7"/>
        <v>0</v>
      </c>
      <c r="W44" s="380">
        <f t="shared" si="1"/>
        <v>8.3886459469795227E-4</v>
      </c>
      <c r="X44" s="4">
        <v>1107</v>
      </c>
      <c r="Y44" s="4"/>
      <c r="Z44" s="4"/>
      <c r="AA44" s="12">
        <f t="shared" si="5"/>
        <v>1</v>
      </c>
      <c r="AE44" s="338"/>
      <c r="AF44" s="338"/>
    </row>
    <row r="45" spans="1:32" ht="12.75" customHeight="1">
      <c r="A45" s="24"/>
      <c r="B45" s="105">
        <f t="shared" si="6"/>
        <v>42</v>
      </c>
      <c r="C45" s="6">
        <v>140402</v>
      </c>
      <c r="D45" s="118" t="s">
        <v>1680</v>
      </c>
      <c r="E45" s="9" t="s">
        <v>32</v>
      </c>
      <c r="F45" s="6"/>
      <c r="G45" s="6"/>
      <c r="H45" s="11">
        <f>+STAT3!V45</f>
        <v>0</v>
      </c>
      <c r="I45" s="11">
        <f>+STAT3!W45</f>
        <v>0</v>
      </c>
      <c r="J45" s="11">
        <f>+SUMIFS(JURNAL!G:G,JURNAL!E:E,C45,JURNAL!C:C,"&gt;="&amp;$H$1,JURNAL!C:C,"&lt;="&amp;$I$1)</f>
        <v>0</v>
      </c>
      <c r="K45" s="11">
        <f>+SUMIFS(JURNAL!H:H,JURNAL!E:E,C45,JURNAL!C:C,"&gt;="&amp;$H$1,JURNAL!C:C,"&lt;="&amp;$I$1)</f>
        <v>0</v>
      </c>
      <c r="L45" s="26">
        <f t="shared" si="2"/>
        <v>0</v>
      </c>
      <c r="M45" s="27">
        <f t="shared" si="0"/>
        <v>0</v>
      </c>
      <c r="N45" s="11"/>
      <c r="O45" s="183"/>
      <c r="P45" s="27"/>
      <c r="Q45" s="11"/>
      <c r="R45" s="26">
        <f t="shared" si="3"/>
        <v>0</v>
      </c>
      <c r="S45" s="27">
        <f t="shared" si="4"/>
        <v>0</v>
      </c>
      <c r="T45" s="11"/>
      <c r="U45" s="11"/>
      <c r="V45" s="417">
        <f t="shared" si="7"/>
        <v>0</v>
      </c>
      <c r="W45" s="380">
        <f t="shared" si="1"/>
        <v>0</v>
      </c>
      <c r="X45" s="4">
        <v>1107</v>
      </c>
      <c r="Y45" s="4"/>
      <c r="Z45" s="4"/>
      <c r="AA45" s="12">
        <f t="shared" si="5"/>
        <v>0</v>
      </c>
      <c r="AE45" s="338"/>
      <c r="AF45" s="338"/>
    </row>
    <row r="46" spans="1:32" ht="12.75" customHeight="1">
      <c r="A46" s="24"/>
      <c r="B46" s="105">
        <f t="shared" si="6"/>
        <v>43</v>
      </c>
      <c r="C46" s="6">
        <v>140500</v>
      </c>
      <c r="D46" s="118" t="s">
        <v>1681</v>
      </c>
      <c r="E46" s="9" t="s">
        <v>32</v>
      </c>
      <c r="F46" s="6"/>
      <c r="G46" s="6"/>
      <c r="H46" s="11">
        <f>+STAT3!V46</f>
        <v>0</v>
      </c>
      <c r="I46" s="11">
        <f>+STAT3!W46</f>
        <v>0</v>
      </c>
      <c r="J46" s="11">
        <f>+SUMIFS(JURNAL!G:G,JURNAL!E:E,C46,JURNAL!C:C,"&gt;="&amp;$H$1,JURNAL!C:C,"&lt;="&amp;$I$1)</f>
        <v>43502019.377334528</v>
      </c>
      <c r="K46" s="11">
        <f>+SUMIFS(JURNAL!H:H,JURNAL!E:E,C46,JURNAL!C:C,"&gt;="&amp;$H$1,JURNAL!C:C,"&lt;="&amp;$I$1)</f>
        <v>43502019.377334528</v>
      </c>
      <c r="L46" s="26">
        <f t="shared" si="2"/>
        <v>0</v>
      </c>
      <c r="M46" s="27">
        <f t="shared" si="0"/>
        <v>0</v>
      </c>
      <c r="N46" s="11"/>
      <c r="O46" s="183"/>
      <c r="P46" s="27"/>
      <c r="Q46" s="11"/>
      <c r="R46" s="26">
        <f t="shared" si="3"/>
        <v>0</v>
      </c>
      <c r="S46" s="27">
        <f t="shared" si="4"/>
        <v>0</v>
      </c>
      <c r="T46" s="11"/>
      <c r="U46" s="11"/>
      <c r="V46" s="417">
        <f t="shared" si="7"/>
        <v>0</v>
      </c>
      <c r="W46" s="380">
        <f t="shared" si="1"/>
        <v>0</v>
      </c>
      <c r="X46" s="4">
        <v>1107</v>
      </c>
      <c r="Y46" s="4"/>
      <c r="Z46" s="4"/>
      <c r="AA46" s="12">
        <f t="shared" si="5"/>
        <v>1</v>
      </c>
      <c r="AE46" s="338"/>
      <c r="AF46" s="338"/>
    </row>
    <row r="47" spans="1:32" ht="12.75" customHeight="1">
      <c r="A47" s="24"/>
      <c r="B47" s="105">
        <f t="shared" si="6"/>
        <v>44</v>
      </c>
      <c r="C47" s="6">
        <v>140501</v>
      </c>
      <c r="D47" s="118" t="s">
        <v>1682</v>
      </c>
      <c r="E47" s="9" t="s">
        <v>32</v>
      </c>
      <c r="F47" s="6"/>
      <c r="G47" s="6"/>
      <c r="H47" s="11">
        <f>+STAT3!V47</f>
        <v>0</v>
      </c>
      <c r="I47" s="11">
        <f>+STAT3!W47</f>
        <v>0</v>
      </c>
      <c r="J47" s="11">
        <f>+SUMIFS(JURNAL!G:G,JURNAL!E:E,C47,JURNAL!C:C,"&gt;="&amp;$H$1,JURNAL!C:C,"&lt;="&amp;$I$1)</f>
        <v>133730918.49927506</v>
      </c>
      <c r="K47" s="11">
        <f>+SUMIFS(JURNAL!H:H,JURNAL!E:E,C47,JURNAL!C:C,"&gt;="&amp;$H$1,JURNAL!C:C,"&lt;="&amp;$I$1)</f>
        <v>133730918.49927506</v>
      </c>
      <c r="L47" s="26">
        <f t="shared" si="2"/>
        <v>0</v>
      </c>
      <c r="M47" s="27">
        <f t="shared" si="0"/>
        <v>0</v>
      </c>
      <c r="N47" s="11"/>
      <c r="O47" s="183"/>
      <c r="P47" s="27"/>
      <c r="Q47" s="11"/>
      <c r="R47" s="26">
        <f t="shared" si="3"/>
        <v>0</v>
      </c>
      <c r="S47" s="27">
        <f t="shared" si="4"/>
        <v>0</v>
      </c>
      <c r="T47" s="11"/>
      <c r="U47" s="11"/>
      <c r="V47" s="417">
        <f t="shared" si="7"/>
        <v>0</v>
      </c>
      <c r="W47" s="380">
        <f t="shared" si="1"/>
        <v>0</v>
      </c>
      <c r="X47" s="4">
        <v>1107</v>
      </c>
      <c r="Y47" s="4"/>
      <c r="Z47" s="4"/>
      <c r="AA47" s="12">
        <f t="shared" si="5"/>
        <v>1</v>
      </c>
      <c r="AE47" s="338"/>
      <c r="AF47" s="338"/>
    </row>
    <row r="48" spans="1:32" ht="12.75" customHeight="1">
      <c r="A48" s="24"/>
      <c r="B48" s="105">
        <f t="shared" si="6"/>
        <v>45</v>
      </c>
      <c r="C48" s="6">
        <v>140502</v>
      </c>
      <c r="D48" s="118" t="s">
        <v>1683</v>
      </c>
      <c r="E48" s="9" t="s">
        <v>32</v>
      </c>
      <c r="F48" s="6"/>
      <c r="G48" s="6"/>
      <c r="H48" s="11">
        <f>+STAT3!V48</f>
        <v>0</v>
      </c>
      <c r="I48" s="11">
        <f>+STAT3!W48</f>
        <v>0</v>
      </c>
      <c r="J48" s="11">
        <f>+SUMIFS(JURNAL!G:G,JURNAL!E:E,C48,JURNAL!C:C,"&gt;="&amp;$H$1,JURNAL!C:C,"&lt;="&amp;$I$1)</f>
        <v>0</v>
      </c>
      <c r="K48" s="11">
        <f>+SUMIFS(JURNAL!H:H,JURNAL!E:E,C48,JURNAL!C:C,"&gt;="&amp;$H$1,JURNAL!C:C,"&lt;="&amp;$I$1)</f>
        <v>0</v>
      </c>
      <c r="L48" s="26">
        <f t="shared" si="2"/>
        <v>0</v>
      </c>
      <c r="M48" s="27">
        <f t="shared" si="0"/>
        <v>0</v>
      </c>
      <c r="N48" s="11"/>
      <c r="O48" s="183"/>
      <c r="P48" s="27"/>
      <c r="Q48" s="11"/>
      <c r="R48" s="26">
        <f t="shared" si="3"/>
        <v>0</v>
      </c>
      <c r="S48" s="27">
        <f t="shared" si="4"/>
        <v>0</v>
      </c>
      <c r="T48" s="11"/>
      <c r="U48" s="11"/>
      <c r="V48" s="417">
        <f t="shared" si="7"/>
        <v>0</v>
      </c>
      <c r="W48" s="380">
        <f t="shared" si="1"/>
        <v>0</v>
      </c>
      <c r="X48" s="4">
        <v>1107</v>
      </c>
      <c r="Y48" s="4"/>
      <c r="Z48" s="4"/>
      <c r="AA48" s="12">
        <f t="shared" si="5"/>
        <v>0</v>
      </c>
      <c r="AE48" s="338"/>
      <c r="AF48" s="338"/>
    </row>
    <row r="49" spans="1:32" ht="12.75" customHeight="1">
      <c r="A49" s="24"/>
      <c r="B49" s="105">
        <f t="shared" si="6"/>
        <v>46</v>
      </c>
      <c r="C49" s="6">
        <v>141200</v>
      </c>
      <c r="D49" s="118" t="s">
        <v>1684</v>
      </c>
      <c r="E49" s="9" t="s">
        <v>32</v>
      </c>
      <c r="F49" s="6"/>
      <c r="G49" s="6"/>
      <c r="H49" s="11">
        <f>+STAT3!V49</f>
        <v>0</v>
      </c>
      <c r="I49" s="11">
        <f>+STAT3!W49</f>
        <v>0</v>
      </c>
      <c r="J49" s="11">
        <f>+SUMIFS(JURNAL!G:G,JURNAL!E:E,C49,JURNAL!C:C,"&gt;="&amp;$H$1,JURNAL!C:C,"&lt;="&amp;$I$1)</f>
        <v>0</v>
      </c>
      <c r="K49" s="11">
        <f>+SUMIFS(JURNAL!H:H,JURNAL!E:E,C49,JURNAL!C:C,"&gt;="&amp;$H$1,JURNAL!C:C,"&lt;="&amp;$I$1)</f>
        <v>0</v>
      </c>
      <c r="L49" s="26">
        <f t="shared" si="2"/>
        <v>0</v>
      </c>
      <c r="M49" s="27">
        <f t="shared" si="0"/>
        <v>0</v>
      </c>
      <c r="N49" s="11"/>
      <c r="O49" s="183"/>
      <c r="P49" s="27"/>
      <c r="Q49" s="11"/>
      <c r="R49" s="26">
        <f t="shared" si="3"/>
        <v>0</v>
      </c>
      <c r="S49" s="27">
        <f t="shared" si="4"/>
        <v>0</v>
      </c>
      <c r="T49" s="11"/>
      <c r="U49" s="11"/>
      <c r="V49" s="417">
        <f t="shared" si="7"/>
        <v>0</v>
      </c>
      <c r="W49" s="380">
        <f t="shared" si="1"/>
        <v>0</v>
      </c>
      <c r="X49" s="4">
        <v>1107</v>
      </c>
      <c r="Y49" s="4"/>
      <c r="Z49" s="4"/>
      <c r="AA49" s="12">
        <f t="shared" si="5"/>
        <v>0</v>
      </c>
      <c r="AE49" s="338"/>
      <c r="AF49" s="338"/>
    </row>
    <row r="50" spans="1:32" ht="12.75" customHeight="1">
      <c r="A50" s="24"/>
      <c r="B50" s="105">
        <f t="shared" si="6"/>
        <v>47</v>
      </c>
      <c r="C50" s="6">
        <v>141201</v>
      </c>
      <c r="D50" s="118" t="s">
        <v>2599</v>
      </c>
      <c r="E50" s="9" t="s">
        <v>32</v>
      </c>
      <c r="F50" s="6"/>
      <c r="G50" s="6"/>
      <c r="H50" s="11">
        <f>+STAT3!V50</f>
        <v>0</v>
      </c>
      <c r="I50" s="11">
        <f>+STAT3!W50</f>
        <v>0</v>
      </c>
      <c r="J50" s="11">
        <f>+SUMIFS(JURNAL!G:G,JURNAL!E:E,C50,JURNAL!C:C,"&gt;="&amp;$H$1,JURNAL!C:C,"&lt;="&amp;$I$1)</f>
        <v>27211786.409949657</v>
      </c>
      <c r="K50" s="11">
        <f>+SUMIFS(JURNAL!H:H,JURNAL!E:E,C50,JURNAL!C:C,"&gt;="&amp;$H$1,JURNAL!C:C,"&lt;="&amp;$I$1)</f>
        <v>27211786.40994966</v>
      </c>
      <c r="L50" s="26">
        <f t="shared" si="2"/>
        <v>0</v>
      </c>
      <c r="M50" s="27">
        <f t="shared" si="0"/>
        <v>0</v>
      </c>
      <c r="N50" s="11"/>
      <c r="O50" s="183"/>
      <c r="P50" s="27"/>
      <c r="Q50" s="11"/>
      <c r="R50" s="26">
        <f t="shared" si="3"/>
        <v>0</v>
      </c>
      <c r="S50" s="27">
        <f t="shared" si="4"/>
        <v>0</v>
      </c>
      <c r="T50" s="11"/>
      <c r="U50" s="11"/>
      <c r="V50" s="417">
        <f t="shared" si="7"/>
        <v>0</v>
      </c>
      <c r="W50" s="380">
        <f t="shared" si="1"/>
        <v>0</v>
      </c>
      <c r="X50" s="4">
        <v>1107</v>
      </c>
      <c r="Y50" s="4"/>
      <c r="Z50" s="4"/>
      <c r="AA50" s="12">
        <f t="shared" si="5"/>
        <v>1</v>
      </c>
      <c r="AE50" s="338"/>
      <c r="AF50" s="338"/>
    </row>
    <row r="51" spans="1:32" ht="12.75" customHeight="1">
      <c r="A51" s="24"/>
      <c r="B51" s="105">
        <f t="shared" si="6"/>
        <v>48</v>
      </c>
      <c r="C51" s="6">
        <v>141300</v>
      </c>
      <c r="D51" s="118" t="s">
        <v>1685</v>
      </c>
      <c r="E51" s="9" t="s">
        <v>32</v>
      </c>
      <c r="F51" s="6"/>
      <c r="G51" s="6"/>
      <c r="H51" s="11">
        <f>+STAT3!V51</f>
        <v>0</v>
      </c>
      <c r="I51" s="11">
        <f>+STAT3!W51</f>
        <v>0</v>
      </c>
      <c r="J51" s="11">
        <f>+SUMIFS(JURNAL!G:G,JURNAL!E:E,C51,JURNAL!C:C,"&gt;="&amp;$H$1,JURNAL!C:C,"&lt;="&amp;$I$1)</f>
        <v>0</v>
      </c>
      <c r="K51" s="11">
        <f>+SUMIFS(JURNAL!H:H,JURNAL!E:E,C51,JURNAL!C:C,"&gt;="&amp;$H$1,JURNAL!C:C,"&lt;="&amp;$I$1)</f>
        <v>0</v>
      </c>
      <c r="L51" s="26">
        <f t="shared" si="2"/>
        <v>0</v>
      </c>
      <c r="M51" s="27">
        <f t="shared" si="0"/>
        <v>0</v>
      </c>
      <c r="N51" s="11"/>
      <c r="O51" s="183"/>
      <c r="P51" s="27"/>
      <c r="Q51" s="11"/>
      <c r="R51" s="26">
        <f t="shared" si="3"/>
        <v>0</v>
      </c>
      <c r="S51" s="27">
        <f t="shared" si="4"/>
        <v>0</v>
      </c>
      <c r="T51" s="11"/>
      <c r="U51" s="11"/>
      <c r="V51" s="417">
        <f t="shared" si="7"/>
        <v>0</v>
      </c>
      <c r="W51" s="380">
        <f t="shared" si="1"/>
        <v>0</v>
      </c>
      <c r="X51" s="4">
        <v>1107</v>
      </c>
      <c r="Y51" s="4"/>
      <c r="Z51" s="4"/>
      <c r="AA51" s="12">
        <f t="shared" si="5"/>
        <v>0</v>
      </c>
      <c r="AE51" s="338"/>
      <c r="AF51" s="338"/>
    </row>
    <row r="52" spans="1:32" ht="12.75" customHeight="1">
      <c r="A52" s="24"/>
      <c r="B52" s="105">
        <f t="shared" si="6"/>
        <v>49</v>
      </c>
      <c r="C52" s="6">
        <v>141301</v>
      </c>
      <c r="D52" s="118" t="s">
        <v>2602</v>
      </c>
      <c r="E52" s="9" t="s">
        <v>32</v>
      </c>
      <c r="F52" s="6"/>
      <c r="G52" s="6"/>
      <c r="H52" s="11">
        <f>+STAT3!V52</f>
        <v>0</v>
      </c>
      <c r="I52" s="11">
        <f>+STAT3!W52</f>
        <v>0</v>
      </c>
      <c r="J52" s="11">
        <f>+SUMIFS(JURNAL!G:G,JURNAL!E:E,C52,JURNAL!C:C,"&gt;="&amp;$H$1,JURNAL!C:C,"&lt;="&amp;$I$1)</f>
        <v>3345320.3</v>
      </c>
      <c r="K52" s="11">
        <f>+SUMIFS(JURNAL!H:H,JURNAL!E:E,C52,JURNAL!C:C,"&gt;="&amp;$H$1,JURNAL!C:C,"&lt;="&amp;$I$1)</f>
        <v>3345320.3</v>
      </c>
      <c r="L52" s="26">
        <f t="shared" si="2"/>
        <v>0</v>
      </c>
      <c r="M52" s="27">
        <f t="shared" si="0"/>
        <v>0</v>
      </c>
      <c r="N52" s="11"/>
      <c r="O52" s="183"/>
      <c r="P52" s="27"/>
      <c r="Q52" s="11"/>
      <c r="R52" s="26">
        <f t="shared" si="3"/>
        <v>0</v>
      </c>
      <c r="S52" s="27">
        <f t="shared" si="4"/>
        <v>0</v>
      </c>
      <c r="T52" s="11"/>
      <c r="U52" s="11"/>
      <c r="V52" s="417">
        <f t="shared" si="7"/>
        <v>0</v>
      </c>
      <c r="W52" s="380">
        <f t="shared" si="1"/>
        <v>0</v>
      </c>
      <c r="X52" s="4">
        <v>1107</v>
      </c>
      <c r="Y52" s="4"/>
      <c r="Z52" s="4"/>
      <c r="AA52" s="12">
        <f t="shared" si="5"/>
        <v>1</v>
      </c>
      <c r="AE52" s="338"/>
      <c r="AF52" s="338"/>
    </row>
    <row r="53" spans="1:32" ht="12.75" customHeight="1">
      <c r="A53" s="24"/>
      <c r="B53" s="105">
        <f t="shared" si="6"/>
        <v>50</v>
      </c>
      <c r="C53" s="6">
        <v>141400</v>
      </c>
      <c r="D53" s="118" t="s">
        <v>1686</v>
      </c>
      <c r="E53" s="9" t="s">
        <v>32</v>
      </c>
      <c r="F53" s="6"/>
      <c r="G53" s="6"/>
      <c r="H53" s="11">
        <f>+STAT3!V53</f>
        <v>0</v>
      </c>
      <c r="I53" s="11">
        <f>+STAT3!W53</f>
        <v>0</v>
      </c>
      <c r="J53" s="11">
        <f>+SUMIFS(JURNAL!G:G,JURNAL!E:E,C53,JURNAL!C:C,"&gt;="&amp;$H$1,JURNAL!C:C,"&lt;="&amp;$I$1)</f>
        <v>0</v>
      </c>
      <c r="K53" s="11">
        <f>+SUMIFS(JURNAL!H:H,JURNAL!E:E,C53,JURNAL!C:C,"&gt;="&amp;$H$1,JURNAL!C:C,"&lt;="&amp;$I$1)</f>
        <v>0</v>
      </c>
      <c r="L53" s="26">
        <f t="shared" si="2"/>
        <v>0</v>
      </c>
      <c r="M53" s="27">
        <f t="shared" si="0"/>
        <v>0</v>
      </c>
      <c r="N53" s="11"/>
      <c r="O53" s="183"/>
      <c r="P53" s="27"/>
      <c r="Q53" s="11"/>
      <c r="R53" s="26">
        <f t="shared" si="3"/>
        <v>0</v>
      </c>
      <c r="S53" s="27">
        <f t="shared" si="4"/>
        <v>0</v>
      </c>
      <c r="T53" s="11"/>
      <c r="U53" s="11"/>
      <c r="V53" s="417">
        <f t="shared" si="7"/>
        <v>0</v>
      </c>
      <c r="W53" s="380">
        <f t="shared" si="1"/>
        <v>0</v>
      </c>
      <c r="X53" s="4">
        <v>1107</v>
      </c>
      <c r="Y53" s="4"/>
      <c r="Z53" s="4"/>
      <c r="AA53" s="12">
        <f t="shared" si="5"/>
        <v>0</v>
      </c>
      <c r="AE53" s="338"/>
      <c r="AF53" s="338"/>
    </row>
    <row r="54" spans="1:32" ht="12.75" customHeight="1">
      <c r="A54" s="24"/>
      <c r="B54" s="105">
        <f t="shared" si="6"/>
        <v>51</v>
      </c>
      <c r="C54" s="6">
        <v>141401</v>
      </c>
      <c r="D54" s="118" t="s">
        <v>2600</v>
      </c>
      <c r="E54" s="9" t="s">
        <v>32</v>
      </c>
      <c r="F54" s="6"/>
      <c r="G54" s="6"/>
      <c r="H54" s="11">
        <f>+STAT3!V54</f>
        <v>0</v>
      </c>
      <c r="I54" s="11">
        <f>+STAT3!W54</f>
        <v>0</v>
      </c>
      <c r="J54" s="11">
        <f>+SUMIFS(JURNAL!G:G,JURNAL!E:E,C54,JURNAL!C:C,"&gt;="&amp;$H$1,JURNAL!C:C,"&lt;="&amp;$I$1)</f>
        <v>9881529.7521084473</v>
      </c>
      <c r="K54" s="11">
        <f>+SUMIFS(JURNAL!H:H,JURNAL!E:E,C54,JURNAL!C:C,"&gt;="&amp;$H$1,JURNAL!C:C,"&lt;="&amp;$I$1)</f>
        <v>9881529.7521084454</v>
      </c>
      <c r="L54" s="26">
        <f t="shared" si="2"/>
        <v>0</v>
      </c>
      <c r="M54" s="27">
        <f t="shared" si="0"/>
        <v>0</v>
      </c>
      <c r="N54" s="11"/>
      <c r="O54" s="183"/>
      <c r="P54" s="27"/>
      <c r="Q54" s="11"/>
      <c r="R54" s="26">
        <f t="shared" si="3"/>
        <v>0</v>
      </c>
      <c r="S54" s="27">
        <f t="shared" si="4"/>
        <v>0</v>
      </c>
      <c r="T54" s="11"/>
      <c r="U54" s="11"/>
      <c r="V54" s="417">
        <f t="shared" si="7"/>
        <v>0</v>
      </c>
      <c r="W54" s="380">
        <f t="shared" si="1"/>
        <v>0</v>
      </c>
      <c r="X54" s="4">
        <v>1107</v>
      </c>
      <c r="Y54" s="4"/>
      <c r="Z54" s="4"/>
      <c r="AA54" s="12">
        <f t="shared" si="5"/>
        <v>1</v>
      </c>
      <c r="AE54" s="338"/>
      <c r="AF54" s="338"/>
    </row>
    <row r="55" spans="1:32" ht="12.75" customHeight="1">
      <c r="A55" s="24"/>
      <c r="B55" s="105">
        <f t="shared" si="6"/>
        <v>52</v>
      </c>
      <c r="C55" s="6">
        <v>141500</v>
      </c>
      <c r="D55" s="118" t="s">
        <v>1687</v>
      </c>
      <c r="E55" s="9" t="s">
        <v>32</v>
      </c>
      <c r="F55" s="6"/>
      <c r="G55" s="6"/>
      <c r="H55" s="11">
        <f>+STAT3!V55</f>
        <v>0</v>
      </c>
      <c r="I55" s="11">
        <f>+STAT3!W55</f>
        <v>0</v>
      </c>
      <c r="J55" s="11">
        <f>+SUMIFS(JURNAL!G:G,JURNAL!E:E,C55,JURNAL!C:C,"&gt;="&amp;$H$1,JURNAL!C:C,"&lt;="&amp;$I$1)</f>
        <v>0</v>
      </c>
      <c r="K55" s="11">
        <f>+SUMIFS(JURNAL!H:H,JURNAL!E:E,C55,JURNAL!C:C,"&gt;="&amp;$H$1,JURNAL!C:C,"&lt;="&amp;$I$1)</f>
        <v>0</v>
      </c>
      <c r="L55" s="26">
        <f t="shared" si="2"/>
        <v>0</v>
      </c>
      <c r="M55" s="27">
        <f t="shared" si="0"/>
        <v>0</v>
      </c>
      <c r="N55" s="11"/>
      <c r="O55" s="183"/>
      <c r="P55" s="27"/>
      <c r="Q55" s="11"/>
      <c r="R55" s="26">
        <f t="shared" si="3"/>
        <v>0</v>
      </c>
      <c r="S55" s="27">
        <f t="shared" si="4"/>
        <v>0</v>
      </c>
      <c r="T55" s="11"/>
      <c r="U55" s="11"/>
      <c r="V55" s="417">
        <f t="shared" si="7"/>
        <v>0</v>
      </c>
      <c r="W55" s="380">
        <f t="shared" si="1"/>
        <v>0</v>
      </c>
      <c r="X55" s="4">
        <v>1107</v>
      </c>
      <c r="Y55" s="4"/>
      <c r="Z55" s="4"/>
      <c r="AA55" s="12">
        <f t="shared" si="5"/>
        <v>0</v>
      </c>
      <c r="AE55" s="338"/>
      <c r="AF55" s="338"/>
    </row>
    <row r="56" spans="1:32" ht="12.75" customHeight="1">
      <c r="A56" s="24"/>
      <c r="B56" s="105">
        <f t="shared" si="6"/>
        <v>53</v>
      </c>
      <c r="C56" s="6">
        <v>141501</v>
      </c>
      <c r="D56" s="118" t="s">
        <v>2601</v>
      </c>
      <c r="E56" s="9" t="s">
        <v>32</v>
      </c>
      <c r="F56" s="6"/>
      <c r="G56" s="6"/>
      <c r="H56" s="11">
        <f>+STAT3!V56</f>
        <v>0</v>
      </c>
      <c r="I56" s="11">
        <f>+STAT3!W56</f>
        <v>0</v>
      </c>
      <c r="J56" s="11">
        <f>+SUMIFS(JURNAL!G:G,JURNAL!E:E,C56,JURNAL!C:C,"&gt;="&amp;$H$1,JURNAL!C:C,"&lt;="&amp;$I$1)</f>
        <v>40438636.460000001</v>
      </c>
      <c r="K56" s="11">
        <f>+SUMIFS(JURNAL!H:H,JURNAL!E:E,C56,JURNAL!C:C,"&gt;="&amp;$H$1,JURNAL!C:C,"&lt;="&amp;$I$1)</f>
        <v>40438636.460000001</v>
      </c>
      <c r="L56" s="26">
        <f t="shared" si="2"/>
        <v>0</v>
      </c>
      <c r="M56" s="27">
        <f t="shared" si="0"/>
        <v>0</v>
      </c>
      <c r="N56" s="11"/>
      <c r="O56" s="183"/>
      <c r="P56" s="27"/>
      <c r="Q56" s="11"/>
      <c r="R56" s="26">
        <f t="shared" si="3"/>
        <v>0</v>
      </c>
      <c r="S56" s="27">
        <f t="shared" si="4"/>
        <v>0</v>
      </c>
      <c r="T56" s="11"/>
      <c r="U56" s="11"/>
      <c r="V56" s="417">
        <f t="shared" si="7"/>
        <v>0</v>
      </c>
      <c r="W56" s="380">
        <f t="shared" si="1"/>
        <v>0</v>
      </c>
      <c r="X56" s="4">
        <v>1107</v>
      </c>
      <c r="Y56" s="4"/>
      <c r="Z56" s="4"/>
      <c r="AA56" s="12">
        <f t="shared" si="5"/>
        <v>1</v>
      </c>
      <c r="AE56" s="338"/>
      <c r="AF56" s="338"/>
    </row>
    <row r="57" spans="1:32" ht="12.75" customHeight="1">
      <c r="A57" s="24"/>
      <c r="B57" s="105">
        <f t="shared" si="6"/>
        <v>54</v>
      </c>
      <c r="C57" s="6">
        <v>150100</v>
      </c>
      <c r="D57" s="118" t="s">
        <v>1688</v>
      </c>
      <c r="E57" s="9" t="s">
        <v>32</v>
      </c>
      <c r="F57" s="6"/>
      <c r="G57" s="6"/>
      <c r="H57" s="11">
        <f>+STAT3!V57</f>
        <v>85648768.433928967</v>
      </c>
      <c r="I57" s="11">
        <f>+STAT3!W57</f>
        <v>0</v>
      </c>
      <c r="J57" s="11">
        <f>+SUMIFS(JURNAL!G:G,JURNAL!E:E,C57,JURNAL!C:C,"&gt;="&amp;$H$1,JURNAL!C:C,"&lt;="&amp;$I$1)</f>
        <v>43502019.377334498</v>
      </c>
      <c r="K57" s="11">
        <f>+SUMIFS(JURNAL!H:H,JURNAL!E:E,C57,JURNAL!C:C,"&gt;="&amp;$H$1,JURNAL!C:C,"&lt;="&amp;$I$1)</f>
        <v>82838103.02927506</v>
      </c>
      <c r="L57" s="26">
        <f t="shared" si="2"/>
        <v>46312684.781988412</v>
      </c>
      <c r="M57" s="27">
        <f t="shared" si="0"/>
        <v>0</v>
      </c>
      <c r="N57" s="11"/>
      <c r="O57" s="183"/>
      <c r="P57" s="27"/>
      <c r="Q57" s="11"/>
      <c r="R57" s="26">
        <f t="shared" si="3"/>
        <v>46312684.781988412</v>
      </c>
      <c r="S57" s="27">
        <f t="shared" si="4"/>
        <v>0</v>
      </c>
      <c r="T57" s="11"/>
      <c r="U57" s="11"/>
      <c r="V57" s="337">
        <f t="shared" si="7"/>
        <v>46312684.781988412</v>
      </c>
      <c r="W57" s="380">
        <f t="shared" si="1"/>
        <v>0</v>
      </c>
      <c r="X57" s="4">
        <v>1107</v>
      </c>
      <c r="Y57" s="4"/>
      <c r="Z57" s="4"/>
      <c r="AA57" s="12">
        <f t="shared" si="5"/>
        <v>1</v>
      </c>
      <c r="AE57" s="338"/>
      <c r="AF57" s="338"/>
    </row>
    <row r="58" spans="1:32" ht="12.75" customHeight="1">
      <c r="A58" s="24"/>
      <c r="B58" s="105">
        <f t="shared" si="6"/>
        <v>55</v>
      </c>
      <c r="C58" s="6">
        <v>150101</v>
      </c>
      <c r="D58" s="118" t="s">
        <v>1689</v>
      </c>
      <c r="E58" s="9" t="s">
        <v>32</v>
      </c>
      <c r="F58" s="6"/>
      <c r="G58" s="6"/>
      <c r="H58" s="11">
        <f>+STAT3!V58</f>
        <v>440310315.00711465</v>
      </c>
      <c r="I58" s="11">
        <f>+STAT3!W58</f>
        <v>0</v>
      </c>
      <c r="J58" s="11">
        <f>+SUMIFS(JURNAL!G:G,JURNAL!E:E,C58,JURNAL!C:C,"&gt;="&amp;$H$1,JURNAL!C:C,"&lt;="&amp;$I$1)</f>
        <v>133730918.49927506</v>
      </c>
      <c r="K58" s="11">
        <f>+SUMIFS(JURNAL!H:H,JURNAL!E:E,C58,JURNAL!C:C,"&gt;="&amp;$H$1,JURNAL!C:C,"&lt;="&amp;$I$1)</f>
        <v>44733014.737851866</v>
      </c>
      <c r="L58" s="26">
        <f t="shared" si="2"/>
        <v>529308218.76853788</v>
      </c>
      <c r="M58" s="27">
        <f t="shared" si="0"/>
        <v>0</v>
      </c>
      <c r="N58" s="11"/>
      <c r="O58" s="183"/>
      <c r="P58" s="27"/>
      <c r="Q58" s="11"/>
      <c r="R58" s="26">
        <f t="shared" si="3"/>
        <v>529308218.76853788</v>
      </c>
      <c r="S58" s="27">
        <f t="shared" si="4"/>
        <v>0</v>
      </c>
      <c r="T58" s="11"/>
      <c r="U58" s="11"/>
      <c r="V58" s="337">
        <f t="shared" si="7"/>
        <v>529308218.76853788</v>
      </c>
      <c r="W58" s="380">
        <f t="shared" si="1"/>
        <v>0</v>
      </c>
      <c r="X58" s="4">
        <v>1107</v>
      </c>
      <c r="Y58" s="4"/>
      <c r="Z58" s="4"/>
      <c r="AA58" s="12">
        <f t="shared" si="5"/>
        <v>1</v>
      </c>
      <c r="AE58" s="338"/>
      <c r="AF58" s="338"/>
    </row>
    <row r="59" spans="1:32" ht="12.75" customHeight="1">
      <c r="A59" s="24"/>
      <c r="B59" s="105">
        <f t="shared" si="6"/>
        <v>56</v>
      </c>
      <c r="C59" s="6">
        <v>150102</v>
      </c>
      <c r="D59" s="118" t="s">
        <v>1690</v>
      </c>
      <c r="E59" s="9" t="s">
        <v>32</v>
      </c>
      <c r="F59" s="6"/>
      <c r="G59" s="6"/>
      <c r="H59" s="11">
        <f>+STAT3!V59</f>
        <v>0</v>
      </c>
      <c r="I59" s="11">
        <f>+STAT3!W59</f>
        <v>0</v>
      </c>
      <c r="J59" s="11">
        <f>+SUMIFS(JURNAL!G:G,JURNAL!E:E,C59,JURNAL!C:C,"&gt;="&amp;$H$1,JURNAL!C:C,"&lt;="&amp;$I$1)</f>
        <v>0</v>
      </c>
      <c r="K59" s="11">
        <f>+SUMIFS(JURNAL!H:H,JURNAL!E:E,C59,JURNAL!C:C,"&gt;="&amp;$H$1,JURNAL!C:C,"&lt;="&amp;$I$1)</f>
        <v>0</v>
      </c>
      <c r="L59" s="26">
        <f t="shared" si="2"/>
        <v>0</v>
      </c>
      <c r="M59" s="27">
        <f t="shared" si="0"/>
        <v>0</v>
      </c>
      <c r="N59" s="11"/>
      <c r="O59" s="183"/>
      <c r="P59" s="27"/>
      <c r="Q59" s="11"/>
      <c r="R59" s="26">
        <f t="shared" si="3"/>
        <v>0</v>
      </c>
      <c r="S59" s="27">
        <f t="shared" si="4"/>
        <v>0</v>
      </c>
      <c r="T59" s="11"/>
      <c r="U59" s="11"/>
      <c r="V59" s="417">
        <f t="shared" si="7"/>
        <v>0</v>
      </c>
      <c r="W59" s="380">
        <f t="shared" si="1"/>
        <v>0</v>
      </c>
      <c r="X59" s="4">
        <v>1107</v>
      </c>
      <c r="Y59" s="4"/>
      <c r="Z59" s="4"/>
      <c r="AA59" s="12">
        <f t="shared" si="5"/>
        <v>0</v>
      </c>
      <c r="AE59" s="338"/>
      <c r="AF59" s="338"/>
    </row>
    <row r="60" spans="1:32" ht="12.75" customHeight="1">
      <c r="A60" s="24"/>
      <c r="B60" s="105">
        <f t="shared" si="6"/>
        <v>57</v>
      </c>
      <c r="C60" s="6">
        <v>151100</v>
      </c>
      <c r="D60" s="118" t="s">
        <v>1691</v>
      </c>
      <c r="E60" s="9" t="s">
        <v>32</v>
      </c>
      <c r="F60" s="6"/>
      <c r="G60" s="6"/>
      <c r="H60" s="11">
        <f>+STAT3!V60</f>
        <v>0</v>
      </c>
      <c r="I60" s="11">
        <f>+STAT3!W60</f>
        <v>0</v>
      </c>
      <c r="J60" s="11">
        <f>+SUMIFS(JURNAL!G:G,JURNAL!E:E,C60,JURNAL!C:C,"&gt;="&amp;$H$1,JURNAL!C:C,"&lt;="&amp;$I$1)</f>
        <v>0</v>
      </c>
      <c r="K60" s="11">
        <f>+SUMIFS(JURNAL!H:H,JURNAL!E:E,C60,JURNAL!C:C,"&gt;="&amp;$H$1,JURNAL!C:C,"&lt;="&amp;$I$1)</f>
        <v>0</v>
      </c>
      <c r="L60" s="26">
        <f t="shared" si="2"/>
        <v>0</v>
      </c>
      <c r="M60" s="27">
        <f t="shared" si="0"/>
        <v>0</v>
      </c>
      <c r="N60" s="11"/>
      <c r="O60" s="183"/>
      <c r="P60" s="27"/>
      <c r="Q60" s="11"/>
      <c r="R60" s="26">
        <f t="shared" si="3"/>
        <v>0</v>
      </c>
      <c r="S60" s="27">
        <f t="shared" si="4"/>
        <v>0</v>
      </c>
      <c r="T60" s="11"/>
      <c r="U60" s="11"/>
      <c r="V60" s="417">
        <f t="shared" si="7"/>
        <v>0</v>
      </c>
      <c r="W60" s="380">
        <f t="shared" si="1"/>
        <v>0</v>
      </c>
      <c r="X60" s="4">
        <v>1107</v>
      </c>
      <c r="Y60" s="4"/>
      <c r="Z60" s="4"/>
      <c r="AA60" s="12">
        <f t="shared" si="5"/>
        <v>0</v>
      </c>
      <c r="AE60" s="338"/>
      <c r="AF60" s="338"/>
    </row>
    <row r="61" spans="1:32" ht="12.75" customHeight="1">
      <c r="A61" s="24"/>
      <c r="B61" s="105">
        <f t="shared" si="6"/>
        <v>58</v>
      </c>
      <c r="C61" s="6">
        <v>151101</v>
      </c>
      <c r="D61" s="118" t="s">
        <v>1692</v>
      </c>
      <c r="E61" s="9" t="s">
        <v>32</v>
      </c>
      <c r="F61" s="6"/>
      <c r="G61" s="6"/>
      <c r="H61" s="11">
        <f>+STAT3!V61</f>
        <v>0</v>
      </c>
      <c r="I61" s="11">
        <f>+STAT3!W61</f>
        <v>0</v>
      </c>
      <c r="J61" s="11">
        <f>+SUMIFS(JURNAL!G:G,JURNAL!E:E,C61,JURNAL!C:C,"&gt;="&amp;$H$1,JURNAL!C:C,"&lt;="&amp;$I$1)</f>
        <v>0</v>
      </c>
      <c r="K61" s="11">
        <f>+SUMIFS(JURNAL!H:H,JURNAL!E:E,C61,JURNAL!C:C,"&gt;="&amp;$H$1,JURNAL!C:C,"&lt;="&amp;$I$1)</f>
        <v>0</v>
      </c>
      <c r="L61" s="26">
        <f t="shared" si="2"/>
        <v>0</v>
      </c>
      <c r="M61" s="27">
        <f t="shared" si="0"/>
        <v>0</v>
      </c>
      <c r="N61" s="11"/>
      <c r="O61" s="183"/>
      <c r="P61" s="27"/>
      <c r="Q61" s="11"/>
      <c r="R61" s="26">
        <f t="shared" si="3"/>
        <v>0</v>
      </c>
      <c r="S61" s="27">
        <f t="shared" si="4"/>
        <v>0</v>
      </c>
      <c r="T61" s="11"/>
      <c r="U61" s="11"/>
      <c r="V61" s="417">
        <f t="shared" si="7"/>
        <v>0</v>
      </c>
      <c r="W61" s="380">
        <f t="shared" si="1"/>
        <v>0</v>
      </c>
      <c r="X61" s="4">
        <v>1107</v>
      </c>
      <c r="Y61" s="4"/>
      <c r="Z61" s="4"/>
      <c r="AA61" s="12">
        <f t="shared" si="5"/>
        <v>0</v>
      </c>
      <c r="AE61" s="338"/>
      <c r="AF61" s="338"/>
    </row>
    <row r="62" spans="1:32" ht="12.75" customHeight="1">
      <c r="A62" s="24"/>
      <c r="B62" s="105">
        <f t="shared" si="6"/>
        <v>59</v>
      </c>
      <c r="C62" s="6">
        <v>160100</v>
      </c>
      <c r="D62" s="118" t="s">
        <v>961</v>
      </c>
      <c r="E62" s="9" t="s">
        <v>32</v>
      </c>
      <c r="F62" s="6"/>
      <c r="G62" s="6"/>
      <c r="H62" s="11">
        <f>+STAT3!V62</f>
        <v>149660018.33289391</v>
      </c>
      <c r="I62" s="11">
        <f>+STAT3!W62</f>
        <v>0</v>
      </c>
      <c r="J62" s="11">
        <f>+SUMIFS(JURNAL!G:G,JURNAL!E:E,C62,JURNAL!C:C,"&gt;="&amp;$H$1,JURNAL!C:C,"&lt;="&amp;$I$1)</f>
        <v>984000</v>
      </c>
      <c r="K62" s="11">
        <f>+SUMIFS(JURNAL!H:H,JURNAL!E:E,C62,JURNAL!C:C,"&gt;="&amp;$H$1,JURNAL!C:C,"&lt;="&amp;$I$1)</f>
        <v>11149058.662108446</v>
      </c>
      <c r="L62" s="26">
        <f t="shared" si="2"/>
        <v>139494959.67078546</v>
      </c>
      <c r="M62" s="27">
        <f t="shared" si="0"/>
        <v>0</v>
      </c>
      <c r="N62" s="11"/>
      <c r="O62" s="183"/>
      <c r="P62" s="27"/>
      <c r="Q62" s="11"/>
      <c r="R62" s="26">
        <f t="shared" si="3"/>
        <v>139494959.67078546</v>
      </c>
      <c r="S62" s="27">
        <f t="shared" si="4"/>
        <v>0</v>
      </c>
      <c r="T62" s="11"/>
      <c r="U62" s="11"/>
      <c r="V62" s="337">
        <f t="shared" si="7"/>
        <v>139494959.67078546</v>
      </c>
      <c r="W62" s="380">
        <f t="shared" si="1"/>
        <v>0</v>
      </c>
      <c r="X62" s="4">
        <v>1107</v>
      </c>
      <c r="Y62" s="4"/>
      <c r="Z62" s="4"/>
      <c r="AA62" s="12">
        <f t="shared" si="5"/>
        <v>1</v>
      </c>
      <c r="AE62" s="338"/>
      <c r="AF62" s="338"/>
    </row>
    <row r="63" spans="1:32" ht="12.75" customHeight="1">
      <c r="A63" s="24"/>
      <c r="B63" s="105">
        <f t="shared" si="6"/>
        <v>60</v>
      </c>
      <c r="C63" s="6">
        <v>160200</v>
      </c>
      <c r="D63" s="118" t="s">
        <v>628</v>
      </c>
      <c r="E63" s="9" t="s">
        <v>32</v>
      </c>
      <c r="F63" s="6"/>
      <c r="G63" s="6"/>
      <c r="H63" s="11">
        <f>+STAT3!V63</f>
        <v>6138467.1500000004</v>
      </c>
      <c r="I63" s="11">
        <f>+STAT3!W63</f>
        <v>0</v>
      </c>
      <c r="J63" s="11">
        <f>+SUMIFS(JURNAL!G:G,JURNAL!E:E,C63,JURNAL!C:C,"&gt;="&amp;$H$1,JURNAL!C:C,"&lt;="&amp;$I$1)</f>
        <v>0</v>
      </c>
      <c r="K63" s="11">
        <f>+SUMIFS(JURNAL!H:H,JURNAL!E:E,C63,JURNAL!C:C,"&gt;="&amp;$H$1,JURNAL!C:C,"&lt;="&amp;$I$1)</f>
        <v>28461.06</v>
      </c>
      <c r="L63" s="26">
        <f t="shared" si="2"/>
        <v>6110006.0900000008</v>
      </c>
      <c r="M63" s="27">
        <f t="shared" si="0"/>
        <v>0</v>
      </c>
      <c r="N63" s="11"/>
      <c r="O63" s="183"/>
      <c r="P63" s="27"/>
      <c r="Q63" s="11"/>
      <c r="R63" s="26">
        <f t="shared" si="3"/>
        <v>6110006.0900000008</v>
      </c>
      <c r="S63" s="27">
        <f t="shared" si="4"/>
        <v>0</v>
      </c>
      <c r="T63" s="11"/>
      <c r="U63" s="11"/>
      <c r="V63" s="337">
        <f t="shared" si="7"/>
        <v>6110006.0900000008</v>
      </c>
      <c r="W63" s="380">
        <f t="shared" si="1"/>
        <v>0</v>
      </c>
      <c r="X63" s="4">
        <v>1107</v>
      </c>
      <c r="Y63" s="4"/>
      <c r="Z63" s="4"/>
      <c r="AA63" s="12">
        <f t="shared" si="5"/>
        <v>1</v>
      </c>
      <c r="AE63" s="338"/>
      <c r="AF63" s="338"/>
    </row>
    <row r="64" spans="1:32" ht="12.75" customHeight="1">
      <c r="A64" s="24"/>
      <c r="B64" s="105">
        <f t="shared" si="6"/>
        <v>61</v>
      </c>
      <c r="C64" s="6">
        <v>160201</v>
      </c>
      <c r="D64" s="118" t="s">
        <v>1693</v>
      </c>
      <c r="E64" s="9" t="s">
        <v>32</v>
      </c>
      <c r="F64" s="6"/>
      <c r="G64" s="6"/>
      <c r="H64" s="11">
        <f>+STAT3!V64</f>
        <v>375918.56594085693</v>
      </c>
      <c r="I64" s="11">
        <f>+STAT3!W64</f>
        <v>0</v>
      </c>
      <c r="J64" s="11">
        <f>+SUMIFS(JURNAL!G:G,JURNAL!E:E,C64,JURNAL!C:C,"&gt;="&amp;$H$1,JURNAL!C:C,"&lt;="&amp;$I$1)</f>
        <v>0</v>
      </c>
      <c r="K64" s="11">
        <f>+SUMIFS(JURNAL!H:H,JURNAL!E:E,C64,JURNAL!C:C,"&gt;="&amp;$H$1,JURNAL!C:C,"&lt;="&amp;$I$1)</f>
        <v>0</v>
      </c>
      <c r="L64" s="26">
        <f t="shared" si="2"/>
        <v>375918.56594085693</v>
      </c>
      <c r="M64" s="27">
        <f t="shared" si="0"/>
        <v>0</v>
      </c>
      <c r="N64" s="11"/>
      <c r="O64" s="183"/>
      <c r="P64" s="27"/>
      <c r="Q64" s="11"/>
      <c r="R64" s="26">
        <f t="shared" si="3"/>
        <v>375918.56594085693</v>
      </c>
      <c r="S64" s="27">
        <f t="shared" si="4"/>
        <v>0</v>
      </c>
      <c r="T64" s="11"/>
      <c r="U64" s="11"/>
      <c r="V64" s="337">
        <f t="shared" si="7"/>
        <v>375918.56594085693</v>
      </c>
      <c r="W64" s="380">
        <f t="shared" si="1"/>
        <v>0</v>
      </c>
      <c r="X64" s="4">
        <v>1107</v>
      </c>
      <c r="Y64" s="4"/>
      <c r="Z64" s="4"/>
      <c r="AA64" s="12">
        <f t="shared" si="5"/>
        <v>1</v>
      </c>
      <c r="AE64" s="338"/>
      <c r="AF64" s="338"/>
    </row>
    <row r="65" spans="1:32" ht="12.75" customHeight="1">
      <c r="A65" s="24"/>
      <c r="B65" s="105">
        <f t="shared" si="6"/>
        <v>62</v>
      </c>
      <c r="C65" s="6">
        <v>160300</v>
      </c>
      <c r="D65" s="118" t="s">
        <v>962</v>
      </c>
      <c r="E65" s="9" t="s">
        <v>32</v>
      </c>
      <c r="F65" s="6"/>
      <c r="G65" s="6"/>
      <c r="H65" s="11">
        <f>+STAT3!V65</f>
        <v>0</v>
      </c>
      <c r="I65" s="11">
        <f>+STAT3!W65</f>
        <v>0</v>
      </c>
      <c r="J65" s="11">
        <f>+SUMIFS(JURNAL!G:G,JURNAL!E:E,C65,JURNAL!C:C,"&gt;="&amp;$H$1,JURNAL!C:C,"&lt;="&amp;$I$1)</f>
        <v>0</v>
      </c>
      <c r="K65" s="11">
        <f>+SUMIFS(JURNAL!H:H,JURNAL!E:E,C65,JURNAL!C:C,"&gt;="&amp;$H$1,JURNAL!C:C,"&lt;="&amp;$I$1)</f>
        <v>0</v>
      </c>
      <c r="L65" s="26">
        <f t="shared" si="2"/>
        <v>0</v>
      </c>
      <c r="M65" s="27">
        <f t="shared" si="0"/>
        <v>0</v>
      </c>
      <c r="N65" s="11"/>
      <c r="O65" s="183"/>
      <c r="P65" s="27"/>
      <c r="Q65" s="11"/>
      <c r="R65" s="26">
        <f t="shared" si="3"/>
        <v>0</v>
      </c>
      <c r="S65" s="27">
        <f t="shared" si="4"/>
        <v>0</v>
      </c>
      <c r="T65" s="11"/>
      <c r="U65" s="11"/>
      <c r="V65" s="417">
        <f t="shared" si="7"/>
        <v>0</v>
      </c>
      <c r="W65" s="380">
        <f t="shared" si="1"/>
        <v>0</v>
      </c>
      <c r="X65" s="4">
        <v>1107</v>
      </c>
      <c r="Y65" s="4"/>
      <c r="Z65" s="4"/>
      <c r="AA65" s="12">
        <f t="shared" si="5"/>
        <v>0</v>
      </c>
      <c r="AE65" s="338"/>
      <c r="AF65" s="338"/>
    </row>
    <row r="66" spans="1:32" ht="12.75" customHeight="1">
      <c r="A66" s="24"/>
      <c r="B66" s="105">
        <f t="shared" si="6"/>
        <v>63</v>
      </c>
      <c r="C66" s="6">
        <v>150500</v>
      </c>
      <c r="D66" s="118" t="s">
        <v>631</v>
      </c>
      <c r="E66" s="9" t="s">
        <v>32</v>
      </c>
      <c r="F66" s="6"/>
      <c r="G66" s="6"/>
      <c r="H66" s="11">
        <f>+STAT3!V66</f>
        <v>0</v>
      </c>
      <c r="I66" s="11">
        <f>+STAT3!W66</f>
        <v>0</v>
      </c>
      <c r="J66" s="11">
        <f>+SUMIFS(JURNAL!G:G,JURNAL!E:E,C66,JURNAL!C:C,"&gt;="&amp;$H$1,JURNAL!C:C,"&lt;="&amp;$I$1)</f>
        <v>0</v>
      </c>
      <c r="K66" s="11">
        <f>+SUMIFS(JURNAL!H:H,JURNAL!E:E,C66,JURNAL!C:C,"&gt;="&amp;$H$1,JURNAL!C:C,"&lt;="&amp;$I$1)</f>
        <v>0</v>
      </c>
      <c r="L66" s="26">
        <f t="shared" si="2"/>
        <v>0</v>
      </c>
      <c r="M66" s="27">
        <f t="shared" si="0"/>
        <v>0</v>
      </c>
      <c r="N66" s="11"/>
      <c r="O66" s="183"/>
      <c r="P66" s="27"/>
      <c r="Q66" s="11"/>
      <c r="R66" s="26">
        <f t="shared" si="3"/>
        <v>0</v>
      </c>
      <c r="S66" s="27">
        <f t="shared" si="4"/>
        <v>0</v>
      </c>
      <c r="T66" s="11"/>
      <c r="U66" s="11"/>
      <c r="V66" s="417">
        <f t="shared" si="7"/>
        <v>0</v>
      </c>
      <c r="W66" s="380">
        <f t="shared" si="1"/>
        <v>0</v>
      </c>
      <c r="X66" s="4">
        <v>1107</v>
      </c>
      <c r="Y66" s="4"/>
      <c r="Z66" s="4"/>
      <c r="AA66" s="12">
        <f t="shared" si="5"/>
        <v>0</v>
      </c>
      <c r="AE66" s="338"/>
      <c r="AF66" s="338"/>
    </row>
    <row r="67" spans="1:32" ht="12.75" customHeight="1">
      <c r="A67" s="24"/>
      <c r="B67" s="105">
        <f t="shared" si="6"/>
        <v>64</v>
      </c>
      <c r="C67" s="6">
        <v>150800</v>
      </c>
      <c r="D67" s="118" t="s">
        <v>637</v>
      </c>
      <c r="E67" s="9" t="s">
        <v>32</v>
      </c>
      <c r="F67" s="6"/>
      <c r="G67" s="6"/>
      <c r="H67" s="11">
        <f>+STAT3!V67</f>
        <v>0</v>
      </c>
      <c r="I67" s="11">
        <f>+STAT3!W67</f>
        <v>0</v>
      </c>
      <c r="J67" s="11">
        <f>+SUMIFS(JURNAL!G:G,JURNAL!E:E,C67,JURNAL!C:C,"&gt;="&amp;$H$1,JURNAL!C:C,"&lt;="&amp;$I$1)</f>
        <v>0</v>
      </c>
      <c r="K67" s="11">
        <f>+SUMIFS(JURNAL!H:H,JURNAL!E:E,C67,JURNAL!C:C,"&gt;="&amp;$H$1,JURNAL!C:C,"&lt;="&amp;$I$1)</f>
        <v>0</v>
      </c>
      <c r="L67" s="26">
        <f t="shared" si="2"/>
        <v>0</v>
      </c>
      <c r="M67" s="27">
        <f t="shared" si="0"/>
        <v>0</v>
      </c>
      <c r="N67" s="11"/>
      <c r="O67" s="183"/>
      <c r="P67" s="27"/>
      <c r="Q67" s="11"/>
      <c r="R67" s="26">
        <f t="shared" si="3"/>
        <v>0</v>
      </c>
      <c r="S67" s="27">
        <f t="shared" si="4"/>
        <v>0</v>
      </c>
      <c r="T67" s="11"/>
      <c r="U67" s="11"/>
      <c r="V67" s="417">
        <f t="shared" si="7"/>
        <v>0</v>
      </c>
      <c r="W67" s="380">
        <f t="shared" si="1"/>
        <v>0</v>
      </c>
      <c r="X67" s="4">
        <v>1109</v>
      </c>
      <c r="Y67" s="4"/>
      <c r="Z67" s="4"/>
      <c r="AA67" s="12">
        <f t="shared" si="5"/>
        <v>0</v>
      </c>
      <c r="AE67" s="338"/>
      <c r="AF67" s="338"/>
    </row>
    <row r="68" spans="1:32" ht="12.75" customHeight="1">
      <c r="A68" s="24"/>
      <c r="B68" s="105">
        <f t="shared" si="6"/>
        <v>65</v>
      </c>
      <c r="C68" s="6">
        <v>150900</v>
      </c>
      <c r="D68" s="118" t="s">
        <v>643</v>
      </c>
      <c r="E68" s="9" t="s">
        <v>32</v>
      </c>
      <c r="F68" s="6"/>
      <c r="G68" s="6"/>
      <c r="H68" s="11">
        <f>+STAT3!V68</f>
        <v>0</v>
      </c>
      <c r="I68" s="11">
        <f>+STAT3!W68</f>
        <v>0</v>
      </c>
      <c r="J68" s="11">
        <f>+SUMIFS(JURNAL!G:G,JURNAL!E:E,C68,JURNAL!C:C,"&gt;="&amp;$H$1,JURNAL!C:C,"&lt;="&amp;$I$1)</f>
        <v>0</v>
      </c>
      <c r="K68" s="11">
        <f>+SUMIFS(JURNAL!H:H,JURNAL!E:E,C68,JURNAL!C:C,"&gt;="&amp;$H$1,JURNAL!C:C,"&lt;="&amp;$I$1)</f>
        <v>0</v>
      </c>
      <c r="L68" s="26">
        <f t="shared" si="2"/>
        <v>0</v>
      </c>
      <c r="M68" s="27">
        <f t="shared" ref="M68:M131" si="9">+IF((H68+J68)&lt;(I68+K68),(I68+K68)-(H68+J68),0)</f>
        <v>0</v>
      </c>
      <c r="N68" s="11"/>
      <c r="O68" s="183"/>
      <c r="P68" s="27"/>
      <c r="Q68" s="11"/>
      <c r="R68" s="26">
        <f t="shared" si="3"/>
        <v>0</v>
      </c>
      <c r="S68" s="27">
        <f t="shared" si="4"/>
        <v>0</v>
      </c>
      <c r="T68" s="11"/>
      <c r="U68" s="11"/>
      <c r="V68" s="417">
        <f t="shared" si="7"/>
        <v>0</v>
      </c>
      <c r="W68" s="380">
        <f t="shared" ref="W68:W131" si="10">+IF((R68+T68)&lt;(S68+U68),(S68+U68)-(R68+T68),0)</f>
        <v>0</v>
      </c>
      <c r="X68" s="4">
        <v>1110</v>
      </c>
      <c r="Y68" s="4"/>
      <c r="Z68" s="4"/>
      <c r="AA68" s="12">
        <f t="shared" si="5"/>
        <v>0</v>
      </c>
      <c r="AE68" s="338"/>
      <c r="AF68" s="338"/>
    </row>
    <row r="69" spans="1:32" ht="12.75" customHeight="1">
      <c r="A69" s="24"/>
      <c r="B69" s="105">
        <f t="shared" si="6"/>
        <v>66</v>
      </c>
      <c r="C69" s="6">
        <v>180100</v>
      </c>
      <c r="D69" s="118" t="s">
        <v>648</v>
      </c>
      <c r="E69" s="9" t="s">
        <v>32</v>
      </c>
      <c r="F69" s="6"/>
      <c r="G69" s="6"/>
      <c r="H69" s="11">
        <f>+STAT3!V69</f>
        <v>50000000</v>
      </c>
      <c r="I69" s="11">
        <f>+STAT3!W69</f>
        <v>0</v>
      </c>
      <c r="J69" s="11">
        <f>+SUMIFS(JURNAL!G:G,JURNAL!E:E,C69,JURNAL!C:C,"&gt;="&amp;$H$1,JURNAL!C:C,"&lt;="&amp;$I$1)</f>
        <v>0</v>
      </c>
      <c r="K69" s="11">
        <f>+SUMIFS(JURNAL!H:H,JURNAL!E:E,C69,JURNAL!C:C,"&gt;="&amp;$H$1,JURNAL!C:C,"&lt;="&amp;$I$1)</f>
        <v>0</v>
      </c>
      <c r="L69" s="26">
        <f t="shared" ref="L69:L132" si="11">+IF((H69+J69)&gt;(I69+K69),(H69+J69)-(I69+K69),0)</f>
        <v>50000000</v>
      </c>
      <c r="M69" s="27">
        <f t="shared" si="9"/>
        <v>0</v>
      </c>
      <c r="N69" s="11"/>
      <c r="O69" s="183"/>
      <c r="P69" s="27"/>
      <c r="Q69" s="11"/>
      <c r="R69" s="26">
        <f t="shared" ref="R69:R132" si="12">+IF((L69+N69)&gt;(M69+O69),(L69+N69)-(M69+O69),0)</f>
        <v>50000000</v>
      </c>
      <c r="S69" s="27">
        <f t="shared" ref="S69:S132" si="13">+IF((L69+N69)&lt;(M69+O69),(M69+O69)-(L69+N69),0)</f>
        <v>0</v>
      </c>
      <c r="T69" s="11"/>
      <c r="U69" s="11"/>
      <c r="V69" s="417">
        <f t="shared" ref="V69:V132" si="14">+IF((R69+T69)&gt;(S69+U69),(R69+T69)-(S69+U69),0)</f>
        <v>50000000</v>
      </c>
      <c r="W69" s="380">
        <f t="shared" si="10"/>
        <v>0</v>
      </c>
      <c r="X69" s="4">
        <v>1108</v>
      </c>
      <c r="Y69" s="4"/>
      <c r="Z69" s="4"/>
      <c r="AA69" s="12">
        <f t="shared" ref="AA69:AA132" si="15">+IF(H69+I69+J69+K69+L69+M69+N69+O69+R69+S69+T69+U69+V69+W69,1,0)</f>
        <v>1</v>
      </c>
      <c r="AE69" s="338"/>
      <c r="AF69" s="338"/>
    </row>
    <row r="70" spans="1:32" ht="12.75" customHeight="1">
      <c r="A70" s="24"/>
      <c r="B70" s="105">
        <f t="shared" ref="B70:B133" si="16">+B69+1</f>
        <v>67</v>
      </c>
      <c r="C70" s="6">
        <v>180101</v>
      </c>
      <c r="D70" s="118" t="s">
        <v>963</v>
      </c>
      <c r="E70" s="9" t="s">
        <v>30</v>
      </c>
      <c r="F70" s="6"/>
      <c r="G70" s="6"/>
      <c r="H70" s="11">
        <f>+STAT3!V70</f>
        <v>0.01</v>
      </c>
      <c r="I70" s="11">
        <f>+STAT3!W70</f>
        <v>0</v>
      </c>
      <c r="J70" s="11">
        <f>+SUMIFS(JURNAL!G:G,JURNAL!E:E,C70,JURNAL!C:C,"&gt;="&amp;$H$1,JURNAL!C:C,"&lt;="&amp;$I$1)</f>
        <v>0</v>
      </c>
      <c r="K70" s="11">
        <f>+SUMIFS(JURNAL!H:H,JURNAL!E:E,C70,JURNAL!C:C,"&gt;="&amp;$H$1,JURNAL!C:C,"&lt;="&amp;$I$1)</f>
        <v>0</v>
      </c>
      <c r="L70" s="26">
        <f t="shared" si="11"/>
        <v>0.01</v>
      </c>
      <c r="M70" s="27">
        <f t="shared" si="9"/>
        <v>0</v>
      </c>
      <c r="N70" s="11"/>
      <c r="O70" s="183"/>
      <c r="P70" s="27"/>
      <c r="Q70" s="11"/>
      <c r="R70" s="26">
        <f t="shared" si="12"/>
        <v>0.01</v>
      </c>
      <c r="S70" s="27">
        <f t="shared" si="13"/>
        <v>0</v>
      </c>
      <c r="T70" s="11"/>
      <c r="U70" s="11"/>
      <c r="V70" s="417">
        <f t="shared" si="14"/>
        <v>0.01</v>
      </c>
      <c r="W70" s="380">
        <f t="shared" si="10"/>
        <v>0</v>
      </c>
      <c r="X70" s="4">
        <v>1108</v>
      </c>
      <c r="Y70" s="4"/>
      <c r="Z70" s="4"/>
      <c r="AA70" s="12">
        <f t="shared" si="15"/>
        <v>1</v>
      </c>
      <c r="AE70" s="338"/>
      <c r="AF70" s="338"/>
    </row>
    <row r="71" spans="1:32" ht="12.75" customHeight="1">
      <c r="A71" s="24"/>
      <c r="B71" s="105">
        <f t="shared" si="16"/>
        <v>68</v>
      </c>
      <c r="C71" s="6">
        <v>180200</v>
      </c>
      <c r="D71" s="118" t="s">
        <v>977</v>
      </c>
      <c r="E71" s="9" t="s">
        <v>32</v>
      </c>
      <c r="F71" s="6"/>
      <c r="G71" s="6"/>
      <c r="H71" s="11">
        <f>+STAT3!V71</f>
        <v>5.0002336502075195E-4</v>
      </c>
      <c r="I71" s="11">
        <f>+STAT3!W71</f>
        <v>0</v>
      </c>
      <c r="J71" s="11">
        <f>+SUMIFS(JURNAL!G:G,JURNAL!E:E,C71,JURNAL!C:C,"&gt;="&amp;$H$1,JURNAL!C:C,"&lt;="&amp;$I$1)</f>
        <v>0</v>
      </c>
      <c r="K71" s="11">
        <f>+SUMIFS(JURNAL!H:H,JURNAL!E:E,C71,JURNAL!C:C,"&gt;="&amp;$H$1,JURNAL!C:C,"&lt;="&amp;$I$1)</f>
        <v>0</v>
      </c>
      <c r="L71" s="26">
        <f t="shared" si="11"/>
        <v>5.0002336502075195E-4</v>
      </c>
      <c r="M71" s="27">
        <f t="shared" si="9"/>
        <v>0</v>
      </c>
      <c r="N71" s="11"/>
      <c r="O71" s="183"/>
      <c r="P71" s="27"/>
      <c r="Q71" s="11"/>
      <c r="R71" s="26">
        <f t="shared" si="12"/>
        <v>5.0002336502075195E-4</v>
      </c>
      <c r="S71" s="27">
        <f t="shared" si="13"/>
        <v>0</v>
      </c>
      <c r="T71" s="11"/>
      <c r="U71" s="11"/>
      <c r="V71" s="417">
        <f t="shared" si="14"/>
        <v>5.0002336502075195E-4</v>
      </c>
      <c r="W71" s="380">
        <f t="shared" si="10"/>
        <v>0</v>
      </c>
      <c r="X71" s="4">
        <v>1108</v>
      </c>
      <c r="Y71" s="4"/>
      <c r="Z71" s="4"/>
      <c r="AA71" s="12">
        <f t="shared" si="15"/>
        <v>1</v>
      </c>
      <c r="AE71" s="338"/>
      <c r="AF71" s="338"/>
    </row>
    <row r="72" spans="1:32" ht="12.75" customHeight="1">
      <c r="A72" s="24"/>
      <c r="B72" s="105">
        <f t="shared" si="16"/>
        <v>69</v>
      </c>
      <c r="C72" s="6">
        <v>180300</v>
      </c>
      <c r="D72" s="118" t="s">
        <v>964</v>
      </c>
      <c r="E72" s="9" t="s">
        <v>30</v>
      </c>
      <c r="F72" s="6"/>
      <c r="G72" s="6"/>
      <c r="H72" s="11">
        <f>+STAT3!V72</f>
        <v>0</v>
      </c>
      <c r="I72" s="11">
        <f>+STAT3!W72</f>
        <v>0</v>
      </c>
      <c r="J72" s="11">
        <f>+SUMIFS(JURNAL!G:G,JURNAL!E:E,C72,JURNAL!C:C,"&gt;="&amp;$H$1,JURNAL!C:C,"&lt;="&amp;$I$1)</f>
        <v>0</v>
      </c>
      <c r="K72" s="11">
        <f>+SUMIFS(JURNAL!H:H,JURNAL!E:E,C72,JURNAL!C:C,"&gt;="&amp;$H$1,JURNAL!C:C,"&lt;="&amp;$I$1)</f>
        <v>0</v>
      </c>
      <c r="L72" s="26">
        <f t="shared" si="11"/>
        <v>0</v>
      </c>
      <c r="M72" s="27">
        <f t="shared" si="9"/>
        <v>0</v>
      </c>
      <c r="N72" s="11"/>
      <c r="O72" s="183"/>
      <c r="P72" s="27"/>
      <c r="Q72" s="11"/>
      <c r="R72" s="26">
        <f t="shared" si="12"/>
        <v>0</v>
      </c>
      <c r="S72" s="27">
        <f t="shared" si="13"/>
        <v>0</v>
      </c>
      <c r="T72" s="11"/>
      <c r="U72" s="11"/>
      <c r="V72" s="417">
        <f t="shared" si="14"/>
        <v>0</v>
      </c>
      <c r="W72" s="380">
        <f t="shared" si="10"/>
        <v>0</v>
      </c>
      <c r="X72" s="4">
        <v>1108</v>
      </c>
      <c r="Y72" s="4"/>
      <c r="Z72" s="4"/>
      <c r="AA72" s="12">
        <f t="shared" si="15"/>
        <v>0</v>
      </c>
      <c r="AE72" s="338"/>
      <c r="AF72" s="338"/>
    </row>
    <row r="73" spans="1:32" ht="12.75" customHeight="1">
      <c r="A73" s="24"/>
      <c r="B73" s="105">
        <f t="shared" si="16"/>
        <v>70</v>
      </c>
      <c r="C73" s="6">
        <v>180400</v>
      </c>
      <c r="D73" s="118" t="s">
        <v>656</v>
      </c>
      <c r="E73" s="9" t="s">
        <v>32</v>
      </c>
      <c r="F73" s="6"/>
      <c r="G73" s="6"/>
      <c r="H73" s="11">
        <f>+STAT3!V73</f>
        <v>0</v>
      </c>
      <c r="I73" s="11">
        <f>+STAT3!W73</f>
        <v>0</v>
      </c>
      <c r="J73" s="11">
        <f>+SUMIFS(JURNAL!G:G,JURNAL!E:E,C73,JURNAL!C:C,"&gt;="&amp;$H$1,JURNAL!C:C,"&lt;="&amp;$I$1)</f>
        <v>0</v>
      </c>
      <c r="K73" s="11">
        <f>+SUMIFS(JURNAL!H:H,JURNAL!E:E,C73,JURNAL!C:C,"&gt;="&amp;$H$1,JURNAL!C:C,"&lt;="&amp;$I$1)</f>
        <v>0</v>
      </c>
      <c r="L73" s="26">
        <f t="shared" si="11"/>
        <v>0</v>
      </c>
      <c r="M73" s="27">
        <f t="shared" si="9"/>
        <v>0</v>
      </c>
      <c r="N73" s="11"/>
      <c r="O73" s="183"/>
      <c r="P73" s="27"/>
      <c r="Q73" s="11"/>
      <c r="R73" s="26">
        <f t="shared" si="12"/>
        <v>0</v>
      </c>
      <c r="S73" s="27">
        <f t="shared" si="13"/>
        <v>0</v>
      </c>
      <c r="T73" s="11"/>
      <c r="U73" s="11"/>
      <c r="V73" s="417">
        <f t="shared" si="14"/>
        <v>0</v>
      </c>
      <c r="W73" s="380">
        <f t="shared" si="10"/>
        <v>0</v>
      </c>
      <c r="X73" s="4">
        <v>1108</v>
      </c>
      <c r="Y73" s="4"/>
      <c r="Z73" s="4"/>
      <c r="AA73" s="12">
        <f t="shared" si="15"/>
        <v>0</v>
      </c>
      <c r="AE73" s="338"/>
      <c r="AF73" s="338"/>
    </row>
    <row r="74" spans="1:32" ht="12.75" customHeight="1">
      <c r="A74" s="24"/>
      <c r="B74" s="105">
        <f t="shared" si="16"/>
        <v>71</v>
      </c>
      <c r="C74" s="6">
        <v>200100</v>
      </c>
      <c r="D74" s="118" t="s">
        <v>999</v>
      </c>
      <c r="E74" s="9" t="s">
        <v>32</v>
      </c>
      <c r="F74" s="6"/>
      <c r="G74" s="6"/>
      <c r="H74" s="11">
        <f>+STAT3!V74</f>
        <v>0</v>
      </c>
      <c r="I74" s="11">
        <f>+STAT3!W74</f>
        <v>0</v>
      </c>
      <c r="J74" s="11">
        <f>+SUMIFS(JURNAL!G:G,JURNAL!E:E,C74,JURNAL!C:C,"&gt;="&amp;$H$1,JURNAL!C:C,"&lt;="&amp;$I$1)</f>
        <v>0</v>
      </c>
      <c r="K74" s="11">
        <f>+SUMIFS(JURNAL!H:H,JURNAL!E:E,C74,JURNAL!C:C,"&gt;="&amp;$H$1,JURNAL!C:C,"&lt;="&amp;$I$1)</f>
        <v>0</v>
      </c>
      <c r="L74" s="26">
        <f t="shared" si="11"/>
        <v>0</v>
      </c>
      <c r="M74" s="27">
        <f t="shared" si="9"/>
        <v>0</v>
      </c>
      <c r="N74" s="11"/>
      <c r="O74" s="183"/>
      <c r="P74" s="27"/>
      <c r="Q74" s="11"/>
      <c r="R74" s="26">
        <f t="shared" si="12"/>
        <v>0</v>
      </c>
      <c r="S74" s="27">
        <f t="shared" si="13"/>
        <v>0</v>
      </c>
      <c r="T74" s="11"/>
      <c r="U74" s="11"/>
      <c r="V74" s="417">
        <f t="shared" si="14"/>
        <v>0</v>
      </c>
      <c r="W74" s="380">
        <f t="shared" si="10"/>
        <v>0</v>
      </c>
      <c r="X74" s="4">
        <v>1120</v>
      </c>
      <c r="Y74" s="4"/>
      <c r="Z74" s="4"/>
      <c r="AA74" s="12">
        <f t="shared" si="15"/>
        <v>0</v>
      </c>
      <c r="AE74" s="338"/>
      <c r="AF74" s="338"/>
    </row>
    <row r="75" spans="1:32" ht="12.75" customHeight="1">
      <c r="A75" s="24"/>
      <c r="B75" s="105">
        <f t="shared" si="16"/>
        <v>72</v>
      </c>
      <c r="C75" s="6">
        <v>200200</v>
      </c>
      <c r="D75" s="118" t="s">
        <v>664</v>
      </c>
      <c r="E75" s="9" t="s">
        <v>32</v>
      </c>
      <c r="F75" s="6"/>
      <c r="G75" s="6"/>
      <c r="H75" s="11">
        <f>+STAT3!V75</f>
        <v>1172805331</v>
      </c>
      <c r="I75" s="11">
        <f>+STAT3!W75</f>
        <v>0</v>
      </c>
      <c r="J75" s="11">
        <f>+SUMIFS(JURNAL!G:G,JURNAL!E:E,C75,JURNAL!C:C,"&gt;="&amp;$H$1,JURNAL!C:C,"&lt;="&amp;$I$1)</f>
        <v>0</v>
      </c>
      <c r="K75" s="11">
        <f>+SUMIFS(JURNAL!H:H,JURNAL!E:E,C75,JURNAL!C:C,"&gt;="&amp;$H$1,JURNAL!C:C,"&lt;="&amp;$I$1)</f>
        <v>0</v>
      </c>
      <c r="L75" s="26">
        <f t="shared" si="11"/>
        <v>1172805331</v>
      </c>
      <c r="M75" s="27">
        <f t="shared" si="9"/>
        <v>0</v>
      </c>
      <c r="N75" s="11"/>
      <c r="O75" s="183"/>
      <c r="P75" s="27"/>
      <c r="Q75" s="11"/>
      <c r="R75" s="26">
        <f t="shared" si="12"/>
        <v>1172805331</v>
      </c>
      <c r="S75" s="27">
        <f t="shared" si="13"/>
        <v>0</v>
      </c>
      <c r="T75" s="11"/>
      <c r="U75" s="11"/>
      <c r="V75" s="417">
        <f t="shared" si="14"/>
        <v>1172805331</v>
      </c>
      <c r="W75" s="380">
        <f t="shared" si="10"/>
        <v>0</v>
      </c>
      <c r="X75" s="4">
        <v>1120</v>
      </c>
      <c r="Y75" s="4"/>
      <c r="Z75" s="4"/>
      <c r="AA75" s="12">
        <f t="shared" si="15"/>
        <v>1</v>
      </c>
      <c r="AE75" s="338"/>
      <c r="AF75" s="338"/>
    </row>
    <row r="76" spans="1:32" ht="12.75" customHeight="1">
      <c r="A76" s="24"/>
      <c r="B76" s="105">
        <f t="shared" si="16"/>
        <v>73</v>
      </c>
      <c r="C76" s="6">
        <v>200300</v>
      </c>
      <c r="D76" s="118" t="s">
        <v>324</v>
      </c>
      <c r="E76" s="9" t="s">
        <v>32</v>
      </c>
      <c r="F76" s="6"/>
      <c r="G76" s="6"/>
      <c r="H76" s="11">
        <f>+STAT3!V76</f>
        <v>8844705.1799999997</v>
      </c>
      <c r="I76" s="11">
        <f>+STAT3!W76</f>
        <v>0</v>
      </c>
      <c r="J76" s="11">
        <f>+SUMIFS(JURNAL!G:G,JURNAL!E:E,C76,JURNAL!C:C,"&gt;="&amp;$H$1,JURNAL!C:C,"&lt;="&amp;$I$1)</f>
        <v>0</v>
      </c>
      <c r="K76" s="11">
        <f>+SUMIFS(JURNAL!H:H,JURNAL!E:E,C76,JURNAL!C:C,"&gt;="&amp;$H$1,JURNAL!C:C,"&lt;="&amp;$I$1)</f>
        <v>0</v>
      </c>
      <c r="L76" s="26">
        <f t="shared" si="11"/>
        <v>8844705.1799999997</v>
      </c>
      <c r="M76" s="27">
        <f t="shared" si="9"/>
        <v>0</v>
      </c>
      <c r="N76" s="11"/>
      <c r="O76" s="183"/>
      <c r="P76" s="27"/>
      <c r="Q76" s="11"/>
      <c r="R76" s="26">
        <f t="shared" si="12"/>
        <v>8844705.1799999997</v>
      </c>
      <c r="S76" s="27">
        <f t="shared" si="13"/>
        <v>0</v>
      </c>
      <c r="T76" s="11"/>
      <c r="U76" s="11"/>
      <c r="V76" s="417">
        <f t="shared" si="14"/>
        <v>8844705.1799999997</v>
      </c>
      <c r="W76" s="380">
        <f t="shared" si="10"/>
        <v>0</v>
      </c>
      <c r="X76" s="4">
        <v>1120</v>
      </c>
      <c r="Y76" s="4"/>
      <c r="Z76" s="4"/>
      <c r="AA76" s="12">
        <f t="shared" si="15"/>
        <v>1</v>
      </c>
      <c r="AE76" s="338"/>
      <c r="AF76" s="338"/>
    </row>
    <row r="77" spans="1:32" ht="12.75" customHeight="1">
      <c r="A77" s="24"/>
      <c r="B77" s="105">
        <f t="shared" si="16"/>
        <v>74</v>
      </c>
      <c r="C77" s="6">
        <v>200400</v>
      </c>
      <c r="D77" s="118" t="s">
        <v>670</v>
      </c>
      <c r="E77" s="9" t="s">
        <v>32</v>
      </c>
      <c r="F77" s="6"/>
      <c r="G77" s="6"/>
      <c r="H77" s="11">
        <f>+STAT3!V77</f>
        <v>709587375.44000006</v>
      </c>
      <c r="I77" s="11">
        <f>+STAT3!W77</f>
        <v>0</v>
      </c>
      <c r="J77" s="11">
        <f>+SUMIFS(JURNAL!G:G,JURNAL!E:E,C77,JURNAL!C:C,"&gt;="&amp;$H$1,JURNAL!C:C,"&lt;="&amp;$I$1)</f>
        <v>0</v>
      </c>
      <c r="K77" s="11">
        <f>+SUMIFS(JURNAL!H:H,JURNAL!E:E,C77,JURNAL!C:C,"&gt;="&amp;$H$1,JURNAL!C:C,"&lt;="&amp;$I$1)</f>
        <v>0</v>
      </c>
      <c r="L77" s="26">
        <f t="shared" si="11"/>
        <v>709587375.44000006</v>
      </c>
      <c r="M77" s="27">
        <f t="shared" si="9"/>
        <v>0</v>
      </c>
      <c r="N77" s="11"/>
      <c r="O77" s="183"/>
      <c r="P77" s="27"/>
      <c r="Q77" s="11"/>
      <c r="R77" s="26">
        <f t="shared" si="12"/>
        <v>709587375.44000006</v>
      </c>
      <c r="S77" s="27">
        <f t="shared" si="13"/>
        <v>0</v>
      </c>
      <c r="T77" s="11"/>
      <c r="U77" s="11"/>
      <c r="V77" s="417">
        <f t="shared" si="14"/>
        <v>709587375.44000006</v>
      </c>
      <c r="W77" s="380">
        <f t="shared" si="10"/>
        <v>0</v>
      </c>
      <c r="X77" s="4">
        <v>1120</v>
      </c>
      <c r="Y77" s="4"/>
      <c r="Z77" s="4"/>
      <c r="AA77" s="12">
        <f t="shared" si="15"/>
        <v>1</v>
      </c>
      <c r="AE77" s="338"/>
      <c r="AF77" s="338"/>
    </row>
    <row r="78" spans="1:32" ht="12.75" customHeight="1">
      <c r="A78" s="24"/>
      <c r="B78" s="105">
        <f t="shared" si="16"/>
        <v>75</v>
      </c>
      <c r="C78" s="6">
        <v>200500</v>
      </c>
      <c r="D78" s="118" t="s">
        <v>674</v>
      </c>
      <c r="E78" s="9" t="s">
        <v>32</v>
      </c>
      <c r="F78" s="6"/>
      <c r="G78" s="6"/>
      <c r="H78" s="11">
        <f>+STAT3!V78</f>
        <v>174300000</v>
      </c>
      <c r="I78" s="11">
        <f>+STAT3!W78</f>
        <v>0</v>
      </c>
      <c r="J78" s="11">
        <f>+SUMIFS(JURNAL!G:G,JURNAL!E:E,C78,JURNAL!C:C,"&gt;="&amp;$H$1,JURNAL!C:C,"&lt;="&amp;$I$1)</f>
        <v>0</v>
      </c>
      <c r="K78" s="11">
        <f>+SUMIFS(JURNAL!H:H,JURNAL!E:E,C78,JURNAL!C:C,"&gt;="&amp;$H$1,JURNAL!C:C,"&lt;="&amp;$I$1)</f>
        <v>0</v>
      </c>
      <c r="L78" s="26">
        <f t="shared" si="11"/>
        <v>174300000</v>
      </c>
      <c r="M78" s="27">
        <f t="shared" si="9"/>
        <v>0</v>
      </c>
      <c r="N78" s="11"/>
      <c r="O78" s="183"/>
      <c r="P78" s="27"/>
      <c r="Q78" s="11"/>
      <c r="R78" s="26">
        <f t="shared" si="12"/>
        <v>174300000</v>
      </c>
      <c r="S78" s="27">
        <f t="shared" si="13"/>
        <v>0</v>
      </c>
      <c r="T78" s="11"/>
      <c r="U78" s="11"/>
      <c r="V78" s="417">
        <f t="shared" si="14"/>
        <v>174300000</v>
      </c>
      <c r="W78" s="380">
        <f t="shared" si="10"/>
        <v>0</v>
      </c>
      <c r="X78" s="4">
        <v>1120</v>
      </c>
      <c r="Y78" s="4"/>
      <c r="Z78" s="4"/>
      <c r="AA78" s="12">
        <f t="shared" si="15"/>
        <v>1</v>
      </c>
      <c r="AE78" s="338"/>
      <c r="AF78" s="338"/>
    </row>
    <row r="79" spans="1:32" ht="12.75" customHeight="1">
      <c r="A79" s="24"/>
      <c r="B79" s="105">
        <f t="shared" si="16"/>
        <v>76</v>
      </c>
      <c r="C79" s="6">
        <v>201000</v>
      </c>
      <c r="D79" s="118" t="s">
        <v>694</v>
      </c>
      <c r="E79" s="9" t="s">
        <v>32</v>
      </c>
      <c r="F79" s="6"/>
      <c r="G79" s="6"/>
      <c r="H79" s="11">
        <f>+STAT3!V79</f>
        <v>17111038.23</v>
      </c>
      <c r="I79" s="11">
        <f>+STAT3!W79</f>
        <v>0</v>
      </c>
      <c r="J79" s="11">
        <f>+SUMIFS(JURNAL!G:G,JURNAL!E:E,C79,JURNAL!C:C,"&gt;="&amp;$H$1,JURNAL!C:C,"&lt;="&amp;$I$1)</f>
        <v>0</v>
      </c>
      <c r="K79" s="11">
        <f>+SUMIFS(JURNAL!H:H,JURNAL!E:E,C79,JURNAL!C:C,"&gt;="&amp;$H$1,JURNAL!C:C,"&lt;="&amp;$I$1)</f>
        <v>0</v>
      </c>
      <c r="L79" s="26">
        <f t="shared" si="11"/>
        <v>17111038.23</v>
      </c>
      <c r="M79" s="27">
        <f t="shared" si="9"/>
        <v>0</v>
      </c>
      <c r="N79" s="11"/>
      <c r="O79" s="183"/>
      <c r="P79" s="27"/>
      <c r="Q79" s="11"/>
      <c r="R79" s="26">
        <f t="shared" si="12"/>
        <v>17111038.23</v>
      </c>
      <c r="S79" s="27">
        <f t="shared" si="13"/>
        <v>0</v>
      </c>
      <c r="T79" s="11"/>
      <c r="U79" s="11"/>
      <c r="V79" s="417">
        <f t="shared" si="14"/>
        <v>17111038.23</v>
      </c>
      <c r="W79" s="380">
        <f t="shared" si="10"/>
        <v>0</v>
      </c>
      <c r="X79" s="4">
        <v>1120</v>
      </c>
      <c r="Y79" s="4"/>
      <c r="Z79" s="4"/>
      <c r="AA79" s="12">
        <f t="shared" si="15"/>
        <v>1</v>
      </c>
      <c r="AE79" s="338"/>
      <c r="AF79" s="338"/>
    </row>
    <row r="80" spans="1:32" ht="12.75" customHeight="1">
      <c r="A80" s="24"/>
      <c r="B80" s="105">
        <f t="shared" si="16"/>
        <v>77</v>
      </c>
      <c r="C80" s="6">
        <v>200201</v>
      </c>
      <c r="D80" s="118" t="s">
        <v>965</v>
      </c>
      <c r="E80" s="9" t="s">
        <v>32</v>
      </c>
      <c r="F80" s="6"/>
      <c r="G80" s="6"/>
      <c r="H80" s="11">
        <f>+STAT3!V80</f>
        <v>0</v>
      </c>
      <c r="I80" s="11">
        <f>+STAT3!W80</f>
        <v>0</v>
      </c>
      <c r="J80" s="11">
        <f>+SUMIFS(JURNAL!G:G,JURNAL!E:E,C80,JURNAL!C:C,"&gt;="&amp;$H$1,JURNAL!C:C,"&lt;="&amp;$I$1)</f>
        <v>0</v>
      </c>
      <c r="K80" s="11">
        <f>+SUMIFS(JURNAL!H:H,JURNAL!E:E,C80,JURNAL!C:C,"&gt;="&amp;$H$1,JURNAL!C:C,"&lt;="&amp;$I$1)</f>
        <v>0</v>
      </c>
      <c r="L80" s="26">
        <f t="shared" si="11"/>
        <v>0</v>
      </c>
      <c r="M80" s="27">
        <f t="shared" si="9"/>
        <v>0</v>
      </c>
      <c r="N80" s="11"/>
      <c r="O80" s="183"/>
      <c r="P80" s="27"/>
      <c r="Q80" s="11"/>
      <c r="R80" s="26">
        <f t="shared" si="12"/>
        <v>0</v>
      </c>
      <c r="S80" s="27">
        <f t="shared" si="13"/>
        <v>0</v>
      </c>
      <c r="T80" s="11"/>
      <c r="U80" s="11"/>
      <c r="V80" s="417">
        <f t="shared" si="14"/>
        <v>0</v>
      </c>
      <c r="W80" s="380">
        <f t="shared" si="10"/>
        <v>0</v>
      </c>
      <c r="X80" s="4">
        <v>1120</v>
      </c>
      <c r="Y80" s="4"/>
      <c r="Z80" s="4"/>
      <c r="AA80" s="12">
        <f t="shared" si="15"/>
        <v>0</v>
      </c>
      <c r="AD80" s="80"/>
      <c r="AE80" s="338"/>
      <c r="AF80" s="338"/>
    </row>
    <row r="81" spans="1:33" ht="12.75" customHeight="1">
      <c r="A81" s="24"/>
      <c r="B81" s="105">
        <f t="shared" si="16"/>
        <v>78</v>
      </c>
      <c r="C81" s="6">
        <v>200600</v>
      </c>
      <c r="D81" s="118" t="s">
        <v>678</v>
      </c>
      <c r="E81" s="9" t="s">
        <v>32</v>
      </c>
      <c r="F81" s="6"/>
      <c r="G81" s="6"/>
      <c r="H81" s="11">
        <f>+STAT3!V81</f>
        <v>0</v>
      </c>
      <c r="I81" s="11">
        <f>+STAT3!W81</f>
        <v>0</v>
      </c>
      <c r="J81" s="11">
        <f>+SUMIFS(JURNAL!G:G,JURNAL!E:E,C81,JURNAL!C:C,"&gt;="&amp;$H$1,JURNAL!C:C,"&lt;="&amp;$I$1)</f>
        <v>0</v>
      </c>
      <c r="K81" s="11">
        <f>+SUMIFS(JURNAL!H:H,JURNAL!E:E,C81,JURNAL!C:C,"&gt;="&amp;$H$1,JURNAL!C:C,"&lt;="&amp;$I$1)</f>
        <v>0</v>
      </c>
      <c r="L81" s="26">
        <f t="shared" si="11"/>
        <v>0</v>
      </c>
      <c r="M81" s="27">
        <f t="shared" si="9"/>
        <v>0</v>
      </c>
      <c r="N81" s="11"/>
      <c r="O81" s="183"/>
      <c r="P81" s="27"/>
      <c r="Q81" s="11"/>
      <c r="R81" s="26">
        <f t="shared" si="12"/>
        <v>0</v>
      </c>
      <c r="S81" s="27">
        <f t="shared" si="13"/>
        <v>0</v>
      </c>
      <c r="T81" s="11"/>
      <c r="U81" s="11"/>
      <c r="V81" s="417">
        <f t="shared" si="14"/>
        <v>0</v>
      </c>
      <c r="W81" s="380">
        <f t="shared" si="10"/>
        <v>0</v>
      </c>
      <c r="X81" s="4">
        <v>1120</v>
      </c>
      <c r="Y81" s="4"/>
      <c r="Z81" s="4"/>
      <c r="AA81" s="12">
        <f t="shared" si="15"/>
        <v>0</v>
      </c>
      <c r="AE81" s="338"/>
      <c r="AF81" s="338"/>
    </row>
    <row r="82" spans="1:33" ht="12.75" customHeight="1">
      <c r="A82" s="24"/>
      <c r="B82" s="105">
        <f t="shared" si="16"/>
        <v>79</v>
      </c>
      <c r="C82" s="6">
        <v>200700</v>
      </c>
      <c r="D82" s="118" t="s">
        <v>978</v>
      </c>
      <c r="E82" s="9" t="s">
        <v>32</v>
      </c>
      <c r="F82" s="6"/>
      <c r="G82" s="6"/>
      <c r="H82" s="11">
        <f>+STAT3!V82</f>
        <v>0</v>
      </c>
      <c r="I82" s="11">
        <f>+STAT3!W82</f>
        <v>0</v>
      </c>
      <c r="J82" s="11">
        <f>+SUMIFS(JURNAL!G:G,JURNAL!E:E,C82,JURNAL!C:C,"&gt;="&amp;$H$1,JURNAL!C:C,"&lt;="&amp;$I$1)</f>
        <v>0</v>
      </c>
      <c r="K82" s="11">
        <f>+SUMIFS(JURNAL!H:H,JURNAL!E:E,C82,JURNAL!C:C,"&gt;="&amp;$H$1,JURNAL!C:C,"&lt;="&amp;$I$1)</f>
        <v>0</v>
      </c>
      <c r="L82" s="26">
        <f t="shared" si="11"/>
        <v>0</v>
      </c>
      <c r="M82" s="27">
        <f t="shared" si="9"/>
        <v>0</v>
      </c>
      <c r="N82" s="11"/>
      <c r="O82" s="183"/>
      <c r="P82" s="27"/>
      <c r="Q82" s="11"/>
      <c r="R82" s="26">
        <f t="shared" si="12"/>
        <v>0</v>
      </c>
      <c r="S82" s="27">
        <f t="shared" si="13"/>
        <v>0</v>
      </c>
      <c r="T82" s="11"/>
      <c r="U82" s="11"/>
      <c r="V82" s="417">
        <f t="shared" si="14"/>
        <v>0</v>
      </c>
      <c r="W82" s="380">
        <f t="shared" si="10"/>
        <v>0</v>
      </c>
      <c r="X82" s="4">
        <v>1128</v>
      </c>
      <c r="Y82" s="4"/>
      <c r="Z82" s="4"/>
      <c r="AA82" s="12">
        <f t="shared" si="15"/>
        <v>0</v>
      </c>
      <c r="AD82" s="80"/>
      <c r="AE82" s="338"/>
      <c r="AF82" s="338"/>
    </row>
    <row r="83" spans="1:33" ht="12.75" customHeight="1">
      <c r="A83" s="24"/>
      <c r="B83" s="105">
        <f t="shared" si="16"/>
        <v>80</v>
      </c>
      <c r="C83" s="6">
        <v>200800</v>
      </c>
      <c r="D83" s="118" t="s">
        <v>686</v>
      </c>
      <c r="E83" s="9" t="s">
        <v>32</v>
      </c>
      <c r="F83" s="6"/>
      <c r="G83" s="6"/>
      <c r="H83" s="11">
        <f>+STAT3!V83</f>
        <v>0</v>
      </c>
      <c r="I83" s="11">
        <f>+STAT3!W83</f>
        <v>0</v>
      </c>
      <c r="J83" s="11">
        <f>+SUMIFS(JURNAL!G:G,JURNAL!E:E,C83,JURNAL!C:C,"&gt;="&amp;$H$1,JURNAL!C:C,"&lt;="&amp;$I$1)</f>
        <v>0</v>
      </c>
      <c r="K83" s="11">
        <f>+SUMIFS(JURNAL!H:H,JURNAL!E:E,C83,JURNAL!C:C,"&gt;="&amp;$H$1,JURNAL!C:C,"&lt;="&amp;$I$1)</f>
        <v>0</v>
      </c>
      <c r="L83" s="26">
        <f t="shared" si="11"/>
        <v>0</v>
      </c>
      <c r="M83" s="27">
        <f t="shared" si="9"/>
        <v>0</v>
      </c>
      <c r="N83" s="11"/>
      <c r="O83" s="183"/>
      <c r="P83" s="27"/>
      <c r="Q83" s="11"/>
      <c r="R83" s="26">
        <f t="shared" si="12"/>
        <v>0</v>
      </c>
      <c r="S83" s="27">
        <f t="shared" si="13"/>
        <v>0</v>
      </c>
      <c r="T83" s="11"/>
      <c r="U83" s="11"/>
      <c r="V83" s="417">
        <f t="shared" si="14"/>
        <v>0</v>
      </c>
      <c r="W83" s="380">
        <f t="shared" si="10"/>
        <v>0</v>
      </c>
      <c r="X83" s="4">
        <v>1127</v>
      </c>
      <c r="Y83" s="4"/>
      <c r="Z83" s="4"/>
      <c r="AA83" s="12">
        <f t="shared" si="15"/>
        <v>0</v>
      </c>
      <c r="AD83" s="309"/>
      <c r="AE83" s="338"/>
      <c r="AF83" s="338"/>
      <c r="AG83" s="84"/>
    </row>
    <row r="84" spans="1:33" ht="12.75" customHeight="1">
      <c r="A84" s="24"/>
      <c r="B84" s="105">
        <f t="shared" si="16"/>
        <v>81</v>
      </c>
      <c r="C84" s="6">
        <v>200900</v>
      </c>
      <c r="D84" s="118" t="s">
        <v>690</v>
      </c>
      <c r="E84" s="9" t="s">
        <v>32</v>
      </c>
      <c r="F84" s="6"/>
      <c r="G84" s="6"/>
      <c r="H84" s="11">
        <f>+STAT3!V84</f>
        <v>0</v>
      </c>
      <c r="I84" s="11">
        <f>+STAT3!W84</f>
        <v>0</v>
      </c>
      <c r="J84" s="11">
        <f>+SUMIFS(JURNAL!G:G,JURNAL!E:E,C84,JURNAL!C:C,"&gt;="&amp;$H$1,JURNAL!C:C,"&lt;="&amp;$I$1)</f>
        <v>0</v>
      </c>
      <c r="K84" s="11">
        <f>+SUMIFS(JURNAL!H:H,JURNAL!E:E,C84,JURNAL!C:C,"&gt;="&amp;$H$1,JURNAL!C:C,"&lt;="&amp;$I$1)</f>
        <v>0</v>
      </c>
      <c r="L84" s="26">
        <f t="shared" si="11"/>
        <v>0</v>
      </c>
      <c r="M84" s="27">
        <f t="shared" si="9"/>
        <v>0</v>
      </c>
      <c r="N84" s="11"/>
      <c r="O84" s="183"/>
      <c r="P84" s="27"/>
      <c r="Q84" s="11"/>
      <c r="R84" s="26">
        <f t="shared" si="12"/>
        <v>0</v>
      </c>
      <c r="S84" s="27">
        <f t="shared" si="13"/>
        <v>0</v>
      </c>
      <c r="T84" s="11"/>
      <c r="U84" s="11"/>
      <c r="V84" s="417">
        <f t="shared" si="14"/>
        <v>0</v>
      </c>
      <c r="W84" s="380">
        <f t="shared" si="10"/>
        <v>0</v>
      </c>
      <c r="X84" s="4">
        <v>1122</v>
      </c>
      <c r="Y84" s="4"/>
      <c r="Z84" s="4"/>
      <c r="AA84" s="12">
        <f t="shared" si="15"/>
        <v>0</v>
      </c>
      <c r="AD84" s="309"/>
      <c r="AE84" s="338"/>
      <c r="AF84" s="338"/>
    </row>
    <row r="85" spans="1:33" ht="12.75" customHeight="1">
      <c r="A85" s="24"/>
      <c r="B85" s="105">
        <f t="shared" si="16"/>
        <v>82</v>
      </c>
      <c r="C85" s="6">
        <v>201200</v>
      </c>
      <c r="D85" s="118" t="s">
        <v>979</v>
      </c>
      <c r="E85" s="9" t="s">
        <v>32</v>
      </c>
      <c r="F85" s="6"/>
      <c r="G85" s="6"/>
      <c r="H85" s="11">
        <f>+STAT3!V85</f>
        <v>0</v>
      </c>
      <c r="I85" s="11">
        <f>+STAT3!W85</f>
        <v>626924792.42999995</v>
      </c>
      <c r="J85" s="11">
        <f>+SUMIFS(JURNAL!G:G,JURNAL!E:E,C85,JURNAL!C:C,"&gt;="&amp;$H$1,JURNAL!C:C,"&lt;="&amp;$I$1)</f>
        <v>0</v>
      </c>
      <c r="K85" s="11">
        <f>+SUMIFS(JURNAL!H:H,JURNAL!E:E,C85,JURNAL!C:C,"&gt;="&amp;$H$1,JURNAL!C:C,"&lt;="&amp;$I$1)</f>
        <v>6661875</v>
      </c>
      <c r="L85" s="26">
        <f t="shared" si="11"/>
        <v>0</v>
      </c>
      <c r="M85" s="27">
        <f t="shared" si="9"/>
        <v>633586667.42999995</v>
      </c>
      <c r="N85" s="11"/>
      <c r="O85" s="183"/>
      <c r="P85" s="27"/>
      <c r="Q85" s="11"/>
      <c r="R85" s="26">
        <f t="shared" si="12"/>
        <v>0</v>
      </c>
      <c r="S85" s="27">
        <f t="shared" si="13"/>
        <v>633586667.42999995</v>
      </c>
      <c r="T85" s="11"/>
      <c r="U85" s="11"/>
      <c r="V85" s="417">
        <f t="shared" si="14"/>
        <v>0</v>
      </c>
      <c r="W85" s="380">
        <f t="shared" si="10"/>
        <v>633586667.42999995</v>
      </c>
      <c r="X85" s="4">
        <v>1121</v>
      </c>
      <c r="Y85" s="4"/>
      <c r="Z85" s="4"/>
      <c r="AA85" s="12">
        <f t="shared" si="15"/>
        <v>1</v>
      </c>
      <c r="AE85" s="338"/>
      <c r="AF85" s="338"/>
    </row>
    <row r="86" spans="1:33" ht="12.75" customHeight="1">
      <c r="A86" s="24"/>
      <c r="B86" s="105">
        <f t="shared" si="16"/>
        <v>83</v>
      </c>
      <c r="C86" s="6">
        <v>201300</v>
      </c>
      <c r="D86" s="118" t="s">
        <v>980</v>
      </c>
      <c r="E86" s="9" t="s">
        <v>32</v>
      </c>
      <c r="F86" s="6"/>
      <c r="G86" s="6"/>
      <c r="H86" s="11">
        <f>+STAT3!V86</f>
        <v>0</v>
      </c>
      <c r="I86" s="11">
        <f>+STAT3!W86</f>
        <v>7311963.1599999983</v>
      </c>
      <c r="J86" s="11">
        <f>+SUMIFS(JURNAL!G:G,JURNAL!E:E,C86,JURNAL!C:C,"&gt;="&amp;$H$1,JURNAL!C:C,"&lt;="&amp;$I$1)</f>
        <v>0</v>
      </c>
      <c r="K86" s="11">
        <f>+SUMIFS(JURNAL!H:H,JURNAL!E:E,C86,JURNAL!C:C,"&gt;="&amp;$H$1,JURNAL!C:C,"&lt;="&amp;$I$1)</f>
        <v>73072.72</v>
      </c>
      <c r="L86" s="26">
        <f t="shared" si="11"/>
        <v>0</v>
      </c>
      <c r="M86" s="27">
        <f t="shared" si="9"/>
        <v>7385035.879999998</v>
      </c>
      <c r="N86" s="11"/>
      <c r="O86" s="183"/>
      <c r="P86" s="27"/>
      <c r="Q86" s="11"/>
      <c r="R86" s="26">
        <f t="shared" si="12"/>
        <v>0</v>
      </c>
      <c r="S86" s="27">
        <f t="shared" si="13"/>
        <v>7385035.879999998</v>
      </c>
      <c r="T86" s="11"/>
      <c r="U86" s="11"/>
      <c r="V86" s="417">
        <f t="shared" si="14"/>
        <v>0</v>
      </c>
      <c r="W86" s="380">
        <f t="shared" si="10"/>
        <v>7385035.879999998</v>
      </c>
      <c r="X86" s="4">
        <v>1121</v>
      </c>
      <c r="Y86" s="4"/>
      <c r="Z86" s="4"/>
      <c r="AA86" s="12">
        <f t="shared" si="15"/>
        <v>1</v>
      </c>
      <c r="AE86" s="338"/>
      <c r="AF86" s="338"/>
    </row>
    <row r="87" spans="1:33" ht="12.75" customHeight="1">
      <c r="A87" s="24"/>
      <c r="B87" s="105">
        <f t="shared" si="16"/>
        <v>84</v>
      </c>
      <c r="C87" s="6">
        <v>201400</v>
      </c>
      <c r="D87" s="118" t="s">
        <v>981</v>
      </c>
      <c r="E87" s="9" t="s">
        <v>32</v>
      </c>
      <c r="F87" s="6"/>
      <c r="G87" s="6"/>
      <c r="H87" s="11">
        <f>+STAT3!V87</f>
        <v>0</v>
      </c>
      <c r="I87" s="11">
        <f>+STAT3!W87</f>
        <v>490667179.45999992</v>
      </c>
      <c r="J87" s="11">
        <f>+SUMIFS(JURNAL!G:G,JURNAL!E:E,C87,JURNAL!C:C,"&gt;="&amp;$H$1,JURNAL!C:C,"&lt;="&amp;$I$1)</f>
        <v>0</v>
      </c>
      <c r="K87" s="11">
        <f>+SUMIFS(JURNAL!H:H,JURNAL!E:E,C87,JURNAL!C:C,"&gt;="&amp;$H$1,JURNAL!C:C,"&lt;="&amp;$I$1)</f>
        <v>16634720.9</v>
      </c>
      <c r="L87" s="26">
        <f t="shared" si="11"/>
        <v>0</v>
      </c>
      <c r="M87" s="27">
        <f t="shared" si="9"/>
        <v>507301900.3599999</v>
      </c>
      <c r="N87" s="11"/>
      <c r="O87" s="183"/>
      <c r="P87" s="27"/>
      <c r="Q87" s="11"/>
      <c r="R87" s="26">
        <f t="shared" si="12"/>
        <v>0</v>
      </c>
      <c r="S87" s="27">
        <f t="shared" si="13"/>
        <v>507301900.3599999</v>
      </c>
      <c r="T87" s="11"/>
      <c r="U87" s="11"/>
      <c r="V87" s="417">
        <f t="shared" si="14"/>
        <v>0</v>
      </c>
      <c r="W87" s="380">
        <f t="shared" si="10"/>
        <v>507301900.3599999</v>
      </c>
      <c r="X87" s="4">
        <v>1121</v>
      </c>
      <c r="Y87" s="4"/>
      <c r="Z87" s="4"/>
      <c r="AA87" s="12">
        <f t="shared" si="15"/>
        <v>1</v>
      </c>
      <c r="AE87" s="338"/>
      <c r="AF87" s="338"/>
    </row>
    <row r="88" spans="1:33" ht="12.75" customHeight="1">
      <c r="A88" s="24"/>
      <c r="B88" s="105">
        <f t="shared" si="16"/>
        <v>85</v>
      </c>
      <c r="C88" s="6">
        <v>201500</v>
      </c>
      <c r="D88" s="118" t="s">
        <v>982</v>
      </c>
      <c r="E88" s="9" t="s">
        <v>32</v>
      </c>
      <c r="F88" s="6"/>
      <c r="G88" s="6"/>
      <c r="H88" s="11">
        <f>+STAT3!V88</f>
        <v>0</v>
      </c>
      <c r="I88" s="11">
        <f>+STAT3!W88</f>
        <v>55515000</v>
      </c>
      <c r="J88" s="11">
        <f>+SUMIFS(JURNAL!G:G,JURNAL!E:E,C88,JURNAL!C:C,"&gt;="&amp;$H$1,JURNAL!C:C,"&lt;="&amp;$I$1)</f>
        <v>0</v>
      </c>
      <c r="K88" s="11">
        <f>+SUMIFS(JURNAL!H:H,JURNAL!E:E,C88,JURNAL!C:C,"&gt;="&amp;$H$1,JURNAL!C:C,"&lt;="&amp;$I$1)</f>
        <v>4245000</v>
      </c>
      <c r="L88" s="26">
        <f t="shared" si="11"/>
        <v>0</v>
      </c>
      <c r="M88" s="27">
        <f t="shared" si="9"/>
        <v>59760000</v>
      </c>
      <c r="N88" s="11"/>
      <c r="O88" s="183"/>
      <c r="P88" s="27"/>
      <c r="Q88" s="11"/>
      <c r="R88" s="26">
        <f t="shared" si="12"/>
        <v>0</v>
      </c>
      <c r="S88" s="27">
        <f t="shared" si="13"/>
        <v>59760000</v>
      </c>
      <c r="T88" s="11"/>
      <c r="U88" s="11"/>
      <c r="V88" s="417">
        <f t="shared" si="14"/>
        <v>0</v>
      </c>
      <c r="W88" s="380">
        <f t="shared" si="10"/>
        <v>59760000</v>
      </c>
      <c r="X88" s="4">
        <v>1121</v>
      </c>
      <c r="Y88" s="4"/>
      <c r="Z88" s="4"/>
      <c r="AA88" s="12">
        <f t="shared" si="15"/>
        <v>1</v>
      </c>
      <c r="AE88" s="338"/>
      <c r="AF88" s="338"/>
    </row>
    <row r="89" spans="1:33" ht="12.75" customHeight="1">
      <c r="A89" s="24"/>
      <c r="B89" s="105">
        <f t="shared" si="16"/>
        <v>86</v>
      </c>
      <c r="C89" s="6">
        <v>201600</v>
      </c>
      <c r="D89" s="118" t="s">
        <v>983</v>
      </c>
      <c r="E89" s="9" t="s">
        <v>32</v>
      </c>
      <c r="F89" s="6"/>
      <c r="G89" s="6"/>
      <c r="H89" s="11">
        <f>+STAT3!V89</f>
        <v>0</v>
      </c>
      <c r="I89" s="11">
        <f>+STAT3!W89</f>
        <v>0</v>
      </c>
      <c r="J89" s="11">
        <f>+SUMIFS(JURNAL!G:G,JURNAL!E:E,C89,JURNAL!C:C,"&gt;="&amp;$H$1,JURNAL!C:C,"&lt;="&amp;$I$1)</f>
        <v>0</v>
      </c>
      <c r="K89" s="11">
        <f>+SUMIFS(JURNAL!H:H,JURNAL!E:E,C89,JURNAL!C:C,"&gt;="&amp;$H$1,JURNAL!C:C,"&lt;="&amp;$I$1)</f>
        <v>0</v>
      </c>
      <c r="L89" s="26">
        <f t="shared" si="11"/>
        <v>0</v>
      </c>
      <c r="M89" s="27">
        <f t="shared" si="9"/>
        <v>0</v>
      </c>
      <c r="N89" s="11"/>
      <c r="O89" s="183"/>
      <c r="P89" s="27"/>
      <c r="Q89" s="11"/>
      <c r="R89" s="26">
        <f t="shared" si="12"/>
        <v>0</v>
      </c>
      <c r="S89" s="27">
        <f t="shared" si="13"/>
        <v>0</v>
      </c>
      <c r="T89" s="11"/>
      <c r="U89" s="11"/>
      <c r="V89" s="417">
        <f t="shared" si="14"/>
        <v>0</v>
      </c>
      <c r="W89" s="380">
        <f t="shared" si="10"/>
        <v>0</v>
      </c>
      <c r="X89" s="4">
        <v>1121</v>
      </c>
      <c r="Y89" s="4"/>
      <c r="Z89" s="4"/>
      <c r="AA89" s="12">
        <f t="shared" si="15"/>
        <v>0</v>
      </c>
      <c r="AE89" s="338"/>
      <c r="AF89" s="338"/>
    </row>
    <row r="90" spans="1:33" ht="12.75" customHeight="1">
      <c r="A90" s="24"/>
      <c r="B90" s="105">
        <f t="shared" si="16"/>
        <v>87</v>
      </c>
      <c r="C90" s="6">
        <v>201800</v>
      </c>
      <c r="D90" s="118" t="s">
        <v>984</v>
      </c>
      <c r="E90" s="9" t="s">
        <v>32</v>
      </c>
      <c r="F90" s="6"/>
      <c r="G90" s="6"/>
      <c r="H90" s="11">
        <f>+STAT3!V90</f>
        <v>0</v>
      </c>
      <c r="I90" s="11">
        <f>+STAT3!W90</f>
        <v>0</v>
      </c>
      <c r="J90" s="11">
        <f>+SUMIFS(JURNAL!G:G,JURNAL!E:E,C90,JURNAL!C:C,"&gt;="&amp;$H$1,JURNAL!C:C,"&lt;="&amp;$I$1)</f>
        <v>0</v>
      </c>
      <c r="K90" s="11">
        <f>+SUMIFS(JURNAL!H:H,JURNAL!E:E,C90,JURNAL!C:C,"&gt;="&amp;$H$1,JURNAL!C:C,"&lt;="&amp;$I$1)</f>
        <v>0</v>
      </c>
      <c r="L90" s="26">
        <f t="shared" si="11"/>
        <v>0</v>
      </c>
      <c r="M90" s="27">
        <f t="shared" si="9"/>
        <v>0</v>
      </c>
      <c r="N90" s="11"/>
      <c r="O90" s="183"/>
      <c r="P90" s="27"/>
      <c r="Q90" s="11"/>
      <c r="R90" s="26">
        <f t="shared" si="12"/>
        <v>0</v>
      </c>
      <c r="S90" s="27">
        <f t="shared" si="13"/>
        <v>0</v>
      </c>
      <c r="T90" s="11"/>
      <c r="U90" s="11"/>
      <c r="V90" s="417">
        <f t="shared" si="14"/>
        <v>0</v>
      </c>
      <c r="W90" s="380">
        <f t="shared" si="10"/>
        <v>0</v>
      </c>
      <c r="X90" s="4">
        <v>1121</v>
      </c>
      <c r="Y90" s="4"/>
      <c r="Z90" s="4"/>
      <c r="AA90" s="12">
        <f t="shared" si="15"/>
        <v>0</v>
      </c>
      <c r="AE90" s="338"/>
      <c r="AF90" s="338"/>
    </row>
    <row r="91" spans="1:33" ht="12.75" customHeight="1">
      <c r="A91" s="24"/>
      <c r="B91" s="105">
        <f t="shared" si="16"/>
        <v>88</v>
      </c>
      <c r="C91" s="6">
        <v>202000</v>
      </c>
      <c r="D91" s="118" t="s">
        <v>985</v>
      </c>
      <c r="E91" s="9" t="s">
        <v>32</v>
      </c>
      <c r="F91" s="6"/>
      <c r="G91" s="6"/>
      <c r="H91" s="11">
        <f>+STAT3!V91</f>
        <v>0</v>
      </c>
      <c r="I91" s="11">
        <f>+STAT3!W91</f>
        <v>17769560.850000001</v>
      </c>
      <c r="J91" s="11">
        <f>+SUMIFS(JURNAL!G:G,JURNAL!E:E,C91,JURNAL!C:C,"&gt;="&amp;$H$1,JURNAL!C:C,"&lt;="&amp;$I$1)</f>
        <v>658522.62000000104</v>
      </c>
      <c r="K91" s="11">
        <f>+SUMIFS(JURNAL!H:H,JURNAL!E:E,C91,JURNAL!C:C,"&gt;="&amp;$H$1,JURNAL!C:C,"&lt;="&amp;$I$1)</f>
        <v>0</v>
      </c>
      <c r="L91" s="26">
        <f t="shared" si="11"/>
        <v>0</v>
      </c>
      <c r="M91" s="27">
        <f t="shared" si="9"/>
        <v>17111038.23</v>
      </c>
      <c r="N91" s="11"/>
      <c r="O91" s="183"/>
      <c r="P91" s="27"/>
      <c r="Q91" s="11"/>
      <c r="R91" s="26">
        <f t="shared" si="12"/>
        <v>0</v>
      </c>
      <c r="S91" s="27">
        <f t="shared" si="13"/>
        <v>17111038.23</v>
      </c>
      <c r="T91" s="11"/>
      <c r="U91" s="11"/>
      <c r="V91" s="417">
        <f t="shared" si="14"/>
        <v>0</v>
      </c>
      <c r="W91" s="380">
        <f>+IF((R91+T91)&lt;(S91+U91),(S91+U91)-(R91+T91),0)</f>
        <v>17111038.23</v>
      </c>
      <c r="X91" s="4">
        <v>1121</v>
      </c>
      <c r="Y91" s="4"/>
      <c r="Z91" s="4"/>
      <c r="AA91" s="12">
        <f t="shared" si="15"/>
        <v>1</v>
      </c>
      <c r="AE91" s="338"/>
      <c r="AF91" s="338"/>
    </row>
    <row r="92" spans="1:33" ht="12.75" customHeight="1">
      <c r="A92" s="24"/>
      <c r="B92" s="105">
        <f t="shared" si="16"/>
        <v>89</v>
      </c>
      <c r="C92" s="6">
        <v>210100</v>
      </c>
      <c r="D92" s="118" t="s">
        <v>726</v>
      </c>
      <c r="E92" s="9" t="s">
        <v>32</v>
      </c>
      <c r="F92" s="6"/>
      <c r="G92" s="6"/>
      <c r="H92" s="11">
        <f>+STAT3!V92</f>
        <v>0</v>
      </c>
      <c r="I92" s="11">
        <f>+STAT3!W92</f>
        <v>0</v>
      </c>
      <c r="J92" s="11">
        <f>+SUMIFS(JURNAL!G:G,JURNAL!E:E,C92,JURNAL!C:C,"&gt;="&amp;$H$1,JURNAL!C:C,"&lt;="&amp;$I$1)</f>
        <v>0</v>
      </c>
      <c r="K92" s="11">
        <f>+SUMIFS(JURNAL!H:H,JURNAL!E:E,C92,JURNAL!C:C,"&gt;="&amp;$H$1,JURNAL!C:C,"&lt;="&amp;$I$1)</f>
        <v>0</v>
      </c>
      <c r="L92" s="26">
        <f t="shared" si="11"/>
        <v>0</v>
      </c>
      <c r="M92" s="27">
        <f t="shared" si="9"/>
        <v>0</v>
      </c>
      <c r="N92" s="11"/>
      <c r="O92" s="183"/>
      <c r="P92" s="27"/>
      <c r="Q92" s="11"/>
      <c r="R92" s="26">
        <f t="shared" si="12"/>
        <v>0</v>
      </c>
      <c r="S92" s="27">
        <f t="shared" si="13"/>
        <v>0</v>
      </c>
      <c r="T92" s="11"/>
      <c r="U92" s="11"/>
      <c r="V92" s="417">
        <f t="shared" si="14"/>
        <v>0</v>
      </c>
      <c r="W92" s="380">
        <f t="shared" si="10"/>
        <v>0</v>
      </c>
      <c r="X92" s="4">
        <v>1127</v>
      </c>
      <c r="Y92" s="4"/>
      <c r="Z92" s="4"/>
      <c r="AA92" s="12">
        <f t="shared" si="15"/>
        <v>0</v>
      </c>
      <c r="AE92" s="338"/>
      <c r="AF92" s="338"/>
    </row>
    <row r="93" spans="1:33" ht="12.75" customHeight="1">
      <c r="A93" s="24"/>
      <c r="B93" s="105">
        <f t="shared" si="16"/>
        <v>90</v>
      </c>
      <c r="C93" s="6">
        <v>210200</v>
      </c>
      <c r="D93" s="118" t="s">
        <v>730</v>
      </c>
      <c r="E93" s="9" t="s">
        <v>32</v>
      </c>
      <c r="F93" s="6"/>
      <c r="G93" s="6"/>
      <c r="H93" s="11">
        <f>+STAT3!V93</f>
        <v>0</v>
      </c>
      <c r="I93" s="11">
        <f>+STAT3!W93</f>
        <v>0</v>
      </c>
      <c r="J93" s="11">
        <f>+SUMIFS(JURNAL!G:G,JURNAL!E:E,C93,JURNAL!C:C,"&gt;="&amp;$H$1,JURNAL!C:C,"&lt;="&amp;$I$1)</f>
        <v>0</v>
      </c>
      <c r="K93" s="11">
        <f>+SUMIFS(JURNAL!H:H,JURNAL!E:E,C93,JURNAL!C:C,"&gt;="&amp;$H$1,JURNAL!C:C,"&lt;="&amp;$I$1)</f>
        <v>0</v>
      </c>
      <c r="L93" s="26">
        <f t="shared" si="11"/>
        <v>0</v>
      </c>
      <c r="M93" s="27">
        <f t="shared" si="9"/>
        <v>0</v>
      </c>
      <c r="N93" s="11"/>
      <c r="O93" s="183"/>
      <c r="P93" s="27"/>
      <c r="Q93" s="11"/>
      <c r="R93" s="26">
        <f t="shared" si="12"/>
        <v>0</v>
      </c>
      <c r="S93" s="27">
        <f t="shared" si="13"/>
        <v>0</v>
      </c>
      <c r="T93" s="11"/>
      <c r="U93" s="11"/>
      <c r="V93" s="417">
        <f t="shared" si="14"/>
        <v>0</v>
      </c>
      <c r="W93" s="380">
        <f t="shared" si="10"/>
        <v>0</v>
      </c>
      <c r="X93" s="4">
        <v>1127</v>
      </c>
      <c r="Y93" s="4"/>
      <c r="Z93" s="4"/>
      <c r="AA93" s="12">
        <f t="shared" si="15"/>
        <v>0</v>
      </c>
      <c r="AE93" s="338"/>
      <c r="AF93" s="338"/>
    </row>
    <row r="94" spans="1:33" ht="12.75" customHeight="1">
      <c r="A94" s="24"/>
      <c r="B94" s="105">
        <f t="shared" si="16"/>
        <v>91</v>
      </c>
      <c r="C94" s="6">
        <v>210300</v>
      </c>
      <c r="D94" s="118" t="s">
        <v>734</v>
      </c>
      <c r="E94" s="9" t="s">
        <v>32</v>
      </c>
      <c r="F94" s="6"/>
      <c r="G94" s="6"/>
      <c r="H94" s="11">
        <f>+STAT3!V94</f>
        <v>0</v>
      </c>
      <c r="I94" s="11">
        <f>+STAT3!W94</f>
        <v>0</v>
      </c>
      <c r="J94" s="11">
        <f>+SUMIFS(JURNAL!G:G,JURNAL!E:E,C94,JURNAL!C:C,"&gt;="&amp;$H$1,JURNAL!C:C,"&lt;="&amp;$I$1)</f>
        <v>0</v>
      </c>
      <c r="K94" s="11">
        <f>+SUMIFS(JURNAL!H:H,JURNAL!E:E,C94,JURNAL!C:C,"&gt;="&amp;$H$1,JURNAL!C:C,"&lt;="&amp;$I$1)</f>
        <v>0</v>
      </c>
      <c r="L94" s="26">
        <f t="shared" si="11"/>
        <v>0</v>
      </c>
      <c r="M94" s="27">
        <f t="shared" si="9"/>
        <v>0</v>
      </c>
      <c r="N94" s="11"/>
      <c r="O94" s="183"/>
      <c r="P94" s="27"/>
      <c r="Q94" s="11"/>
      <c r="R94" s="26">
        <f t="shared" si="12"/>
        <v>0</v>
      </c>
      <c r="S94" s="27">
        <f t="shared" si="13"/>
        <v>0</v>
      </c>
      <c r="T94" s="11"/>
      <c r="U94" s="11"/>
      <c r="V94" s="417">
        <f t="shared" si="14"/>
        <v>0</v>
      </c>
      <c r="W94" s="380">
        <f t="shared" si="10"/>
        <v>0</v>
      </c>
      <c r="X94" s="4">
        <v>1127</v>
      </c>
      <c r="Y94" s="4"/>
      <c r="Z94" s="4"/>
      <c r="AA94" s="12">
        <f t="shared" si="15"/>
        <v>0</v>
      </c>
      <c r="AE94" s="338"/>
      <c r="AF94" s="338"/>
    </row>
    <row r="95" spans="1:33" ht="12.75" customHeight="1">
      <c r="A95" s="24"/>
      <c r="B95" s="105">
        <f t="shared" si="16"/>
        <v>92</v>
      </c>
      <c r="C95" s="6">
        <v>210400</v>
      </c>
      <c r="D95" s="118" t="s">
        <v>738</v>
      </c>
      <c r="E95" s="9" t="s">
        <v>32</v>
      </c>
      <c r="F95" s="6"/>
      <c r="G95" s="6"/>
      <c r="H95" s="11">
        <f>+STAT3!V95</f>
        <v>0</v>
      </c>
      <c r="I95" s="11">
        <f>+STAT3!W95</f>
        <v>0</v>
      </c>
      <c r="J95" s="11">
        <f>+SUMIFS(JURNAL!G:G,JURNAL!E:E,C95,JURNAL!C:C,"&gt;="&amp;$H$1,JURNAL!C:C,"&lt;="&amp;$I$1)</f>
        <v>0</v>
      </c>
      <c r="K95" s="11">
        <f>+SUMIFS(JURNAL!H:H,JURNAL!E:E,C95,JURNAL!C:C,"&gt;="&amp;$H$1,JURNAL!C:C,"&lt;="&amp;$I$1)</f>
        <v>0</v>
      </c>
      <c r="L95" s="26">
        <f t="shared" si="11"/>
        <v>0</v>
      </c>
      <c r="M95" s="27">
        <f t="shared" si="9"/>
        <v>0</v>
      </c>
      <c r="N95" s="11"/>
      <c r="O95" s="183"/>
      <c r="P95" s="27"/>
      <c r="Q95" s="11"/>
      <c r="R95" s="26">
        <f t="shared" si="12"/>
        <v>0</v>
      </c>
      <c r="S95" s="27">
        <f t="shared" si="13"/>
        <v>0</v>
      </c>
      <c r="T95" s="11"/>
      <c r="U95" s="11"/>
      <c r="V95" s="417">
        <f t="shared" si="14"/>
        <v>0</v>
      </c>
      <c r="W95" s="380">
        <f t="shared" si="10"/>
        <v>0</v>
      </c>
      <c r="X95" s="4">
        <v>1127</v>
      </c>
      <c r="Y95" s="4"/>
      <c r="Z95" s="4"/>
      <c r="AA95" s="12">
        <f t="shared" si="15"/>
        <v>0</v>
      </c>
      <c r="AE95" s="338"/>
      <c r="AF95" s="338"/>
    </row>
    <row r="96" spans="1:33" ht="12.75" customHeight="1">
      <c r="A96" s="24"/>
      <c r="B96" s="105">
        <f t="shared" si="16"/>
        <v>93</v>
      </c>
      <c r="C96" s="6">
        <v>210500</v>
      </c>
      <c r="D96" s="118" t="s">
        <v>742</v>
      </c>
      <c r="E96" s="9" t="s">
        <v>32</v>
      </c>
      <c r="F96" s="6"/>
      <c r="G96" s="6"/>
      <c r="H96" s="11">
        <f>+STAT3!V96</f>
        <v>0</v>
      </c>
      <c r="I96" s="11">
        <f>+STAT3!W96</f>
        <v>0</v>
      </c>
      <c r="J96" s="11">
        <f>+SUMIFS(JURNAL!G:G,JURNAL!E:E,C96,JURNAL!C:C,"&gt;="&amp;$H$1,JURNAL!C:C,"&lt;="&amp;$I$1)</f>
        <v>0</v>
      </c>
      <c r="K96" s="11">
        <f>+SUMIFS(JURNAL!H:H,JURNAL!E:E,C96,JURNAL!C:C,"&gt;="&amp;$H$1,JURNAL!C:C,"&lt;="&amp;$I$1)</f>
        <v>0</v>
      </c>
      <c r="L96" s="26">
        <f t="shared" si="11"/>
        <v>0</v>
      </c>
      <c r="M96" s="27">
        <f t="shared" si="9"/>
        <v>0</v>
      </c>
      <c r="N96" s="11"/>
      <c r="O96" s="183"/>
      <c r="P96" s="27"/>
      <c r="Q96" s="11"/>
      <c r="R96" s="26">
        <f t="shared" si="12"/>
        <v>0</v>
      </c>
      <c r="S96" s="27">
        <f t="shared" si="13"/>
        <v>0</v>
      </c>
      <c r="T96" s="11"/>
      <c r="U96" s="11"/>
      <c r="V96" s="417">
        <f t="shared" si="14"/>
        <v>0</v>
      </c>
      <c r="W96" s="380">
        <f t="shared" si="10"/>
        <v>0</v>
      </c>
      <c r="X96" s="4">
        <v>1127</v>
      </c>
      <c r="Y96" s="4"/>
      <c r="Z96" s="4"/>
      <c r="AA96" s="12">
        <f t="shared" si="15"/>
        <v>0</v>
      </c>
      <c r="AE96" s="338"/>
      <c r="AF96" s="338"/>
    </row>
    <row r="97" spans="1:32" ht="12.75" customHeight="1">
      <c r="A97" s="24"/>
      <c r="B97" s="105">
        <f t="shared" si="16"/>
        <v>94</v>
      </c>
      <c r="C97" s="6">
        <v>210600</v>
      </c>
      <c r="D97" s="118" t="s">
        <v>746</v>
      </c>
      <c r="E97" s="9" t="s">
        <v>32</v>
      </c>
      <c r="F97" s="6"/>
      <c r="G97" s="6"/>
      <c r="H97" s="11">
        <f>+STAT3!V97</f>
        <v>0</v>
      </c>
      <c r="I97" s="11">
        <f>+STAT3!W97</f>
        <v>0</v>
      </c>
      <c r="J97" s="11">
        <f>+SUMIFS(JURNAL!G:G,JURNAL!E:E,C97,JURNAL!C:C,"&gt;="&amp;$H$1,JURNAL!C:C,"&lt;="&amp;$I$1)</f>
        <v>0</v>
      </c>
      <c r="K97" s="11">
        <f>+SUMIFS(JURNAL!H:H,JURNAL!E:E,C97,JURNAL!C:C,"&gt;="&amp;$H$1,JURNAL!C:C,"&lt;="&amp;$I$1)</f>
        <v>0</v>
      </c>
      <c r="L97" s="26">
        <f t="shared" si="11"/>
        <v>0</v>
      </c>
      <c r="M97" s="27">
        <f t="shared" si="9"/>
        <v>0</v>
      </c>
      <c r="N97" s="11"/>
      <c r="O97" s="183"/>
      <c r="P97" s="27"/>
      <c r="Q97" s="11"/>
      <c r="R97" s="26">
        <f t="shared" si="12"/>
        <v>0</v>
      </c>
      <c r="S97" s="27">
        <f t="shared" si="13"/>
        <v>0</v>
      </c>
      <c r="T97" s="11"/>
      <c r="U97" s="11"/>
      <c r="V97" s="417">
        <f t="shared" si="14"/>
        <v>0</v>
      </c>
      <c r="W97" s="380">
        <f t="shared" si="10"/>
        <v>0</v>
      </c>
      <c r="X97" s="4">
        <v>1127</v>
      </c>
      <c r="Y97" s="4"/>
      <c r="Z97" s="4"/>
      <c r="AA97" s="12">
        <f t="shared" si="15"/>
        <v>0</v>
      </c>
      <c r="AE97" s="338"/>
      <c r="AF97" s="338"/>
    </row>
    <row r="98" spans="1:32" ht="12.75" customHeight="1">
      <c r="A98" s="24"/>
      <c r="B98" s="105">
        <f t="shared" si="16"/>
        <v>95</v>
      </c>
      <c r="C98" s="6">
        <v>210700</v>
      </c>
      <c r="D98" s="118" t="s">
        <v>750</v>
      </c>
      <c r="E98" s="9" t="s">
        <v>32</v>
      </c>
      <c r="F98" s="6"/>
      <c r="G98" s="6"/>
      <c r="H98" s="11">
        <f>+STAT3!V98</f>
        <v>0</v>
      </c>
      <c r="I98" s="11">
        <f>+STAT3!W98</f>
        <v>0</v>
      </c>
      <c r="J98" s="11">
        <f>+SUMIFS(JURNAL!G:G,JURNAL!E:E,C98,JURNAL!C:C,"&gt;="&amp;$H$1,JURNAL!C:C,"&lt;="&amp;$I$1)</f>
        <v>0</v>
      </c>
      <c r="K98" s="11">
        <f>+SUMIFS(JURNAL!H:H,JURNAL!E:E,C98,JURNAL!C:C,"&gt;="&amp;$H$1,JURNAL!C:C,"&lt;="&amp;$I$1)</f>
        <v>0</v>
      </c>
      <c r="L98" s="26">
        <f t="shared" si="11"/>
        <v>0</v>
      </c>
      <c r="M98" s="27">
        <f t="shared" si="9"/>
        <v>0</v>
      </c>
      <c r="N98" s="11"/>
      <c r="O98" s="183"/>
      <c r="P98" s="27"/>
      <c r="Q98" s="11"/>
      <c r="R98" s="26">
        <f t="shared" si="12"/>
        <v>0</v>
      </c>
      <c r="S98" s="27">
        <f t="shared" si="13"/>
        <v>0</v>
      </c>
      <c r="T98" s="11"/>
      <c r="U98" s="11"/>
      <c r="V98" s="417">
        <f t="shared" si="14"/>
        <v>0</v>
      </c>
      <c r="W98" s="380">
        <f t="shared" si="10"/>
        <v>0</v>
      </c>
      <c r="X98" s="4">
        <v>1127</v>
      </c>
      <c r="Y98" s="4"/>
      <c r="Z98" s="4"/>
      <c r="AA98" s="12">
        <f t="shared" si="15"/>
        <v>0</v>
      </c>
      <c r="AE98" s="338"/>
      <c r="AF98" s="338"/>
    </row>
    <row r="99" spans="1:32" ht="12.75" customHeight="1">
      <c r="A99" s="24"/>
      <c r="B99" s="105">
        <f t="shared" si="16"/>
        <v>96</v>
      </c>
      <c r="C99" s="6">
        <v>211000</v>
      </c>
      <c r="D99" s="118" t="s">
        <v>660</v>
      </c>
      <c r="E99" s="9" t="s">
        <v>32</v>
      </c>
      <c r="F99" s="6"/>
      <c r="G99" s="6"/>
      <c r="H99" s="11">
        <f>+STAT3!V99</f>
        <v>0</v>
      </c>
      <c r="I99" s="11">
        <f>+STAT3!W99</f>
        <v>0</v>
      </c>
      <c r="J99" s="11">
        <f>+SUMIFS(JURNAL!G:G,JURNAL!E:E,C99,JURNAL!C:C,"&gt;="&amp;$H$1,JURNAL!C:C,"&lt;="&amp;$I$1)</f>
        <v>0</v>
      </c>
      <c r="K99" s="11">
        <f>+SUMIFS(JURNAL!H:H,JURNAL!E:E,C99,JURNAL!C:C,"&gt;="&amp;$H$1,JURNAL!C:C,"&lt;="&amp;$I$1)</f>
        <v>0</v>
      </c>
      <c r="L99" s="26">
        <f t="shared" si="11"/>
        <v>0</v>
      </c>
      <c r="M99" s="27">
        <f t="shared" si="9"/>
        <v>0</v>
      </c>
      <c r="N99" s="11"/>
      <c r="O99" s="183"/>
      <c r="P99" s="27"/>
      <c r="Q99" s="11"/>
      <c r="R99" s="26">
        <f t="shared" si="12"/>
        <v>0</v>
      </c>
      <c r="S99" s="27">
        <f t="shared" si="13"/>
        <v>0</v>
      </c>
      <c r="T99" s="11"/>
      <c r="U99" s="11"/>
      <c r="V99" s="417">
        <f t="shared" si="14"/>
        <v>0</v>
      </c>
      <c r="W99" s="380">
        <f t="shared" si="10"/>
        <v>0</v>
      </c>
      <c r="X99" s="4">
        <v>1127</v>
      </c>
      <c r="Y99" s="4"/>
      <c r="Z99" s="4"/>
      <c r="AA99" s="12">
        <f t="shared" si="15"/>
        <v>0</v>
      </c>
      <c r="AE99" s="338"/>
      <c r="AF99" s="338"/>
    </row>
    <row r="100" spans="1:32" ht="12.75" customHeight="1">
      <c r="A100" s="24"/>
      <c r="B100" s="105">
        <f t="shared" si="16"/>
        <v>97</v>
      </c>
      <c r="C100" s="6">
        <v>220100</v>
      </c>
      <c r="D100" s="118" t="s">
        <v>802</v>
      </c>
      <c r="E100" s="9" t="s">
        <v>32</v>
      </c>
      <c r="F100" s="6"/>
      <c r="G100" s="6"/>
      <c r="H100" s="11">
        <f>+STAT3!V100</f>
        <v>0</v>
      </c>
      <c r="I100" s="11">
        <f>+STAT3!W100</f>
        <v>0</v>
      </c>
      <c r="J100" s="11">
        <f>+SUMIFS(JURNAL!G:G,JURNAL!E:E,C100,JURNAL!C:C,"&gt;="&amp;$H$1,JURNAL!C:C,"&lt;="&amp;$I$1)</f>
        <v>0</v>
      </c>
      <c r="K100" s="11">
        <f>+SUMIFS(JURNAL!H:H,JURNAL!E:E,C100,JURNAL!C:C,"&gt;="&amp;$H$1,JURNAL!C:C,"&lt;="&amp;$I$1)</f>
        <v>0</v>
      </c>
      <c r="L100" s="26">
        <f t="shared" si="11"/>
        <v>0</v>
      </c>
      <c r="M100" s="27">
        <f t="shared" si="9"/>
        <v>0</v>
      </c>
      <c r="N100" s="11"/>
      <c r="O100" s="183"/>
      <c r="P100" s="27"/>
      <c r="Q100" s="11"/>
      <c r="R100" s="26">
        <f t="shared" si="12"/>
        <v>0</v>
      </c>
      <c r="S100" s="27">
        <f t="shared" si="13"/>
        <v>0</v>
      </c>
      <c r="T100" s="11"/>
      <c r="U100" s="11"/>
      <c r="V100" s="417">
        <f t="shared" si="14"/>
        <v>0</v>
      </c>
      <c r="W100" s="380">
        <f t="shared" si="10"/>
        <v>0</v>
      </c>
      <c r="X100" s="4">
        <v>1123</v>
      </c>
      <c r="Y100" s="4"/>
      <c r="Z100" s="4"/>
      <c r="AA100" s="12">
        <f t="shared" si="15"/>
        <v>0</v>
      </c>
      <c r="AE100" s="338"/>
      <c r="AF100" s="338"/>
    </row>
    <row r="101" spans="1:32" ht="12.75" customHeight="1">
      <c r="A101" s="24"/>
      <c r="B101" s="105">
        <f t="shared" si="16"/>
        <v>98</v>
      </c>
      <c r="C101" s="6">
        <v>220200</v>
      </c>
      <c r="D101" s="118" t="s">
        <v>806</v>
      </c>
      <c r="E101" s="9" t="s">
        <v>32</v>
      </c>
      <c r="F101" s="6"/>
      <c r="G101" s="6"/>
      <c r="H101" s="11">
        <f>+STAT3!V101</f>
        <v>0</v>
      </c>
      <c r="I101" s="11">
        <f>+STAT3!W101</f>
        <v>0</v>
      </c>
      <c r="J101" s="11">
        <f>+SUMIFS(JURNAL!G:G,JURNAL!E:E,C101,JURNAL!C:C,"&gt;="&amp;$H$1,JURNAL!C:C,"&lt;="&amp;$I$1)</f>
        <v>0</v>
      </c>
      <c r="K101" s="11">
        <f>+SUMIFS(JURNAL!H:H,JURNAL!E:E,C101,JURNAL!C:C,"&gt;="&amp;$H$1,JURNAL!C:C,"&lt;="&amp;$I$1)</f>
        <v>0</v>
      </c>
      <c r="L101" s="26">
        <f t="shared" si="11"/>
        <v>0</v>
      </c>
      <c r="M101" s="27">
        <f t="shared" si="9"/>
        <v>0</v>
      </c>
      <c r="N101" s="11"/>
      <c r="O101" s="183"/>
      <c r="P101" s="27"/>
      <c r="Q101" s="11"/>
      <c r="R101" s="26">
        <f t="shared" si="12"/>
        <v>0</v>
      </c>
      <c r="S101" s="27">
        <f t="shared" si="13"/>
        <v>0</v>
      </c>
      <c r="T101" s="11"/>
      <c r="U101" s="11"/>
      <c r="V101" s="417">
        <f t="shared" si="14"/>
        <v>0</v>
      </c>
      <c r="W101" s="380">
        <f t="shared" si="10"/>
        <v>0</v>
      </c>
      <c r="X101" s="4">
        <v>1123</v>
      </c>
      <c r="Y101" s="4"/>
      <c r="Z101" s="4"/>
      <c r="AA101" s="12">
        <f t="shared" si="15"/>
        <v>0</v>
      </c>
      <c r="AE101" s="338"/>
      <c r="AF101" s="338"/>
    </row>
    <row r="102" spans="1:32" ht="12.75" customHeight="1">
      <c r="A102" s="24"/>
      <c r="B102" s="105">
        <f t="shared" si="16"/>
        <v>99</v>
      </c>
      <c r="C102" s="6">
        <v>220400</v>
      </c>
      <c r="D102" s="118" t="s">
        <v>810</v>
      </c>
      <c r="E102" s="9" t="s">
        <v>32</v>
      </c>
      <c r="F102" s="6"/>
      <c r="G102" s="6"/>
      <c r="H102" s="11">
        <f>+STAT3!V102</f>
        <v>0</v>
      </c>
      <c r="I102" s="11">
        <f>+STAT3!W102</f>
        <v>0</v>
      </c>
      <c r="J102" s="11">
        <f>+SUMIFS(JURNAL!G:G,JURNAL!E:E,C102,JURNAL!C:C,"&gt;="&amp;$H$1,JURNAL!C:C,"&lt;="&amp;$I$1)</f>
        <v>0</v>
      </c>
      <c r="K102" s="11">
        <f>+SUMIFS(JURNAL!H:H,JURNAL!E:E,C102,JURNAL!C:C,"&gt;="&amp;$H$1,JURNAL!C:C,"&lt;="&amp;$I$1)</f>
        <v>0</v>
      </c>
      <c r="L102" s="26">
        <f t="shared" si="11"/>
        <v>0</v>
      </c>
      <c r="M102" s="27">
        <f t="shared" si="9"/>
        <v>0</v>
      </c>
      <c r="N102" s="11"/>
      <c r="O102" s="183"/>
      <c r="P102" s="27"/>
      <c r="Q102" s="11"/>
      <c r="R102" s="26">
        <f t="shared" si="12"/>
        <v>0</v>
      </c>
      <c r="S102" s="27">
        <f t="shared" si="13"/>
        <v>0</v>
      </c>
      <c r="T102" s="11"/>
      <c r="U102" s="11"/>
      <c r="V102" s="417">
        <f t="shared" si="14"/>
        <v>0</v>
      </c>
      <c r="W102" s="380">
        <f t="shared" si="10"/>
        <v>0</v>
      </c>
      <c r="X102" s="4">
        <v>1123</v>
      </c>
      <c r="Y102" s="4"/>
      <c r="Z102" s="4"/>
      <c r="AA102" s="12">
        <f t="shared" si="15"/>
        <v>0</v>
      </c>
      <c r="AE102" s="338"/>
      <c r="AF102" s="338"/>
    </row>
    <row r="103" spans="1:32" ht="12.75" customHeight="1">
      <c r="A103" s="24"/>
      <c r="B103" s="105">
        <f t="shared" si="16"/>
        <v>100</v>
      </c>
      <c r="C103" s="6">
        <v>230100</v>
      </c>
      <c r="D103" s="118" t="s">
        <v>814</v>
      </c>
      <c r="E103" s="9" t="s">
        <v>32</v>
      </c>
      <c r="F103" s="6"/>
      <c r="G103" s="6"/>
      <c r="H103" s="11">
        <f>+STAT3!V103</f>
        <v>0</v>
      </c>
      <c r="I103" s="11">
        <f>+STAT3!W103</f>
        <v>0</v>
      </c>
      <c r="J103" s="11">
        <f>+SUMIFS(JURNAL!G:G,JURNAL!E:E,C103,JURNAL!C:C,"&gt;="&amp;$H$1,JURNAL!C:C,"&lt;="&amp;$I$1)</f>
        <v>0</v>
      </c>
      <c r="K103" s="11">
        <f>+SUMIFS(JURNAL!H:H,JURNAL!E:E,C103,JURNAL!C:C,"&gt;="&amp;$H$1,JURNAL!C:C,"&lt;="&amp;$I$1)</f>
        <v>0</v>
      </c>
      <c r="L103" s="26">
        <f t="shared" si="11"/>
        <v>0</v>
      </c>
      <c r="M103" s="27">
        <f t="shared" si="9"/>
        <v>0</v>
      </c>
      <c r="N103" s="11"/>
      <c r="O103" s="183"/>
      <c r="P103" s="27"/>
      <c r="Q103" s="11"/>
      <c r="R103" s="26">
        <f t="shared" si="12"/>
        <v>0</v>
      </c>
      <c r="S103" s="27">
        <f t="shared" si="13"/>
        <v>0</v>
      </c>
      <c r="T103" s="11"/>
      <c r="U103" s="11"/>
      <c r="V103" s="417">
        <f t="shared" si="14"/>
        <v>0</v>
      </c>
      <c r="W103" s="380">
        <f t="shared" si="10"/>
        <v>0</v>
      </c>
      <c r="X103" s="4">
        <v>1125</v>
      </c>
      <c r="Y103" s="4"/>
      <c r="Z103" s="4"/>
      <c r="AA103" s="12">
        <f t="shared" si="15"/>
        <v>0</v>
      </c>
      <c r="AE103" s="338"/>
      <c r="AF103" s="338"/>
    </row>
    <row r="104" spans="1:32" ht="12.75" customHeight="1">
      <c r="A104" s="24"/>
      <c r="B104" s="105">
        <f t="shared" si="16"/>
        <v>101</v>
      </c>
      <c r="C104" s="6">
        <v>230200</v>
      </c>
      <c r="D104" s="118" t="s">
        <v>818</v>
      </c>
      <c r="E104" s="9" t="s">
        <v>32</v>
      </c>
      <c r="F104" s="6"/>
      <c r="G104" s="6"/>
      <c r="H104" s="11">
        <f>+STAT3!V104</f>
        <v>0</v>
      </c>
      <c r="I104" s="11">
        <f>+STAT3!W104</f>
        <v>0</v>
      </c>
      <c r="J104" s="11">
        <f>+SUMIFS(JURNAL!G:G,JURNAL!E:E,C104,JURNAL!C:C,"&gt;="&amp;$H$1,JURNAL!C:C,"&lt;="&amp;$I$1)</f>
        <v>0</v>
      </c>
      <c r="K104" s="11">
        <f>+SUMIFS(JURNAL!H:H,JURNAL!E:E,C104,JURNAL!C:C,"&gt;="&amp;$H$1,JURNAL!C:C,"&lt;="&amp;$I$1)</f>
        <v>0</v>
      </c>
      <c r="L104" s="26">
        <f t="shared" si="11"/>
        <v>0</v>
      </c>
      <c r="M104" s="27">
        <f t="shared" si="9"/>
        <v>0</v>
      </c>
      <c r="N104" s="11"/>
      <c r="O104" s="183"/>
      <c r="P104" s="27"/>
      <c r="Q104" s="11"/>
      <c r="R104" s="26">
        <f t="shared" si="12"/>
        <v>0</v>
      </c>
      <c r="S104" s="27">
        <f t="shared" si="13"/>
        <v>0</v>
      </c>
      <c r="T104" s="11"/>
      <c r="U104" s="11"/>
      <c r="V104" s="417">
        <f t="shared" si="14"/>
        <v>0</v>
      </c>
      <c r="W104" s="380">
        <f t="shared" si="10"/>
        <v>0</v>
      </c>
      <c r="X104" s="4">
        <v>1126</v>
      </c>
      <c r="Y104" s="4"/>
      <c r="Z104" s="4"/>
      <c r="AA104" s="12">
        <f t="shared" si="15"/>
        <v>0</v>
      </c>
      <c r="AE104" s="338"/>
      <c r="AF104" s="338"/>
    </row>
    <row r="105" spans="1:32" ht="12.75" customHeight="1">
      <c r="A105" s="24"/>
      <c r="B105" s="105">
        <f t="shared" si="16"/>
        <v>102</v>
      </c>
      <c r="C105" s="6">
        <v>310100</v>
      </c>
      <c r="D105" s="118" t="s">
        <v>511</v>
      </c>
      <c r="E105" s="9" t="s">
        <v>32</v>
      </c>
      <c r="F105" s="6"/>
      <c r="G105" s="6"/>
      <c r="H105" s="11">
        <f>+STAT3!V105</f>
        <v>3.9999186992645264E-4</v>
      </c>
      <c r="I105" s="11">
        <f>+STAT3!W105</f>
        <v>0</v>
      </c>
      <c r="J105" s="11">
        <f>+SUMIFS(JURNAL!G:G,JURNAL!E:E,C105,JURNAL!C:C,"&gt;="&amp;$H$1,JURNAL!C:C,"&lt;="&amp;$I$1)</f>
        <v>0</v>
      </c>
      <c r="K105" s="11">
        <f>+SUMIFS(JURNAL!H:H,JURNAL!E:E,C105,JURNAL!C:C,"&gt;="&amp;$H$1,JURNAL!C:C,"&lt;="&amp;$I$1)</f>
        <v>3499027.46</v>
      </c>
      <c r="L105" s="26">
        <f t="shared" si="11"/>
        <v>0</v>
      </c>
      <c r="M105" s="27">
        <f t="shared" si="9"/>
        <v>3499027.4596000081</v>
      </c>
      <c r="N105" s="11"/>
      <c r="O105" s="183"/>
      <c r="P105" s="27"/>
      <c r="Q105" s="11"/>
      <c r="R105" s="26">
        <f t="shared" si="12"/>
        <v>0</v>
      </c>
      <c r="S105" s="27">
        <f t="shared" si="13"/>
        <v>3499027.4596000081</v>
      </c>
      <c r="T105" s="11"/>
      <c r="U105" s="11"/>
      <c r="V105" s="417">
        <f t="shared" si="14"/>
        <v>0</v>
      </c>
      <c r="W105" s="380">
        <f t="shared" si="10"/>
        <v>3499027.4596000081</v>
      </c>
      <c r="X105" s="4">
        <v>1201</v>
      </c>
      <c r="Y105" s="4"/>
      <c r="Z105" s="4"/>
      <c r="AA105" s="12">
        <f t="shared" si="15"/>
        <v>1</v>
      </c>
      <c r="AE105" s="338"/>
      <c r="AF105" s="338"/>
    </row>
    <row r="106" spans="1:32" ht="12.75" customHeight="1">
      <c r="A106" s="24"/>
      <c r="B106" s="105">
        <f t="shared" si="16"/>
        <v>103</v>
      </c>
      <c r="C106" s="6">
        <v>310101</v>
      </c>
      <c r="D106" s="118" t="s">
        <v>966</v>
      </c>
      <c r="E106" s="9" t="s">
        <v>30</v>
      </c>
      <c r="F106" s="6"/>
      <c r="G106" s="6"/>
      <c r="H106" s="11">
        <f>+STAT3!V106</f>
        <v>0</v>
      </c>
      <c r="I106" s="11">
        <f>+STAT3!W106</f>
        <v>0</v>
      </c>
      <c r="J106" s="11">
        <f>+SUMIFS(JURNAL!G:G,JURNAL!E:E,C106,JURNAL!C:C,"&gt;="&amp;$H$1,JURNAL!C:C,"&lt;="&amp;$I$1)</f>
        <v>0</v>
      </c>
      <c r="K106" s="11">
        <f>+SUMIFS(JURNAL!H:H,JURNAL!E:E,C106,JURNAL!C:C,"&gt;="&amp;$H$1,JURNAL!C:C,"&lt;="&amp;$I$1)</f>
        <v>0</v>
      </c>
      <c r="L106" s="26">
        <f t="shared" si="11"/>
        <v>0</v>
      </c>
      <c r="M106" s="27">
        <f t="shared" si="9"/>
        <v>0</v>
      </c>
      <c r="N106" s="11"/>
      <c r="O106" s="183"/>
      <c r="P106" s="27"/>
      <c r="Q106" s="11"/>
      <c r="R106" s="26">
        <f t="shared" si="12"/>
        <v>0</v>
      </c>
      <c r="S106" s="27">
        <f t="shared" si="13"/>
        <v>0</v>
      </c>
      <c r="T106" s="11"/>
      <c r="U106" s="11"/>
      <c r="V106" s="417">
        <f t="shared" si="14"/>
        <v>0</v>
      </c>
      <c r="W106" s="380">
        <f t="shared" si="10"/>
        <v>0</v>
      </c>
      <c r="X106" s="4">
        <v>1201</v>
      </c>
      <c r="Y106" s="4"/>
      <c r="Z106" s="4"/>
      <c r="AA106" s="12">
        <f t="shared" si="15"/>
        <v>0</v>
      </c>
      <c r="AE106" s="338"/>
      <c r="AF106" s="338"/>
    </row>
    <row r="107" spans="1:32" ht="12.75" customHeight="1">
      <c r="A107" s="24"/>
      <c r="B107" s="105">
        <f t="shared" si="16"/>
        <v>104</v>
      </c>
      <c r="C107" s="6">
        <v>311700</v>
      </c>
      <c r="D107" s="118" t="s">
        <v>967</v>
      </c>
      <c r="E107" s="9" t="s">
        <v>32</v>
      </c>
      <c r="F107" s="6"/>
      <c r="G107" s="6"/>
      <c r="H107" s="11">
        <f>+STAT3!V107</f>
        <v>0</v>
      </c>
      <c r="I107" s="11">
        <f>+STAT3!W107</f>
        <v>0</v>
      </c>
      <c r="J107" s="11">
        <f>+SUMIFS(JURNAL!G:G,JURNAL!E:E,C107,JURNAL!C:C,"&gt;="&amp;$H$1,JURNAL!C:C,"&lt;="&amp;$I$1)</f>
        <v>0</v>
      </c>
      <c r="K107" s="11">
        <f>+SUMIFS(JURNAL!H:H,JURNAL!E:E,C107,JURNAL!C:C,"&gt;="&amp;$H$1,JURNAL!C:C,"&lt;="&amp;$I$1)</f>
        <v>0</v>
      </c>
      <c r="L107" s="26">
        <f t="shared" si="11"/>
        <v>0</v>
      </c>
      <c r="M107" s="27">
        <f t="shared" si="9"/>
        <v>0</v>
      </c>
      <c r="N107" s="11"/>
      <c r="O107" s="183"/>
      <c r="P107" s="27"/>
      <c r="Q107" s="11"/>
      <c r="R107" s="26">
        <f t="shared" si="12"/>
        <v>0</v>
      </c>
      <c r="S107" s="27">
        <f t="shared" si="13"/>
        <v>0</v>
      </c>
      <c r="T107" s="11"/>
      <c r="U107" s="11"/>
      <c r="V107" s="417">
        <f t="shared" si="14"/>
        <v>0</v>
      </c>
      <c r="W107" s="380">
        <f t="shared" si="10"/>
        <v>0</v>
      </c>
      <c r="X107" s="4">
        <v>1201</v>
      </c>
      <c r="Y107" s="4"/>
      <c r="Z107" s="4"/>
      <c r="AA107" s="12">
        <f t="shared" si="15"/>
        <v>0</v>
      </c>
      <c r="AE107" s="338"/>
      <c r="AF107" s="338"/>
    </row>
    <row r="108" spans="1:32" ht="12.75" customHeight="1">
      <c r="A108" s="24"/>
      <c r="B108" s="105">
        <f t="shared" si="16"/>
        <v>105</v>
      </c>
      <c r="C108" s="6">
        <v>310300</v>
      </c>
      <c r="D108" s="118" t="s">
        <v>532</v>
      </c>
      <c r="E108" s="9" t="s">
        <v>32</v>
      </c>
      <c r="F108" s="6"/>
      <c r="G108" s="6"/>
      <c r="H108" s="11">
        <f>+STAT3!V108</f>
        <v>0</v>
      </c>
      <c r="I108" s="11">
        <f>+STAT3!W108</f>
        <v>0</v>
      </c>
      <c r="J108" s="11">
        <f>+SUMIFS(JURNAL!G:G,JURNAL!E:E,C108,JURNAL!C:C,"&gt;="&amp;$H$1,JURNAL!C:C,"&lt;="&amp;$I$1)</f>
        <v>0</v>
      </c>
      <c r="K108" s="11">
        <f>+SUMIFS(JURNAL!H:H,JURNAL!E:E,C108,JURNAL!C:C,"&gt;="&amp;$H$1,JURNAL!C:C,"&lt;="&amp;$I$1)</f>
        <v>0</v>
      </c>
      <c r="L108" s="26">
        <f t="shared" si="11"/>
        <v>0</v>
      </c>
      <c r="M108" s="27">
        <f t="shared" si="9"/>
        <v>0</v>
      </c>
      <c r="N108" s="11"/>
      <c r="O108" s="183"/>
      <c r="P108" s="27"/>
      <c r="Q108" s="11"/>
      <c r="R108" s="26">
        <f t="shared" si="12"/>
        <v>0</v>
      </c>
      <c r="S108" s="27">
        <f t="shared" si="13"/>
        <v>0</v>
      </c>
      <c r="T108" s="11"/>
      <c r="U108" s="11"/>
      <c r="V108" s="417">
        <f t="shared" si="14"/>
        <v>0</v>
      </c>
      <c r="W108" s="380">
        <f t="shared" si="10"/>
        <v>0</v>
      </c>
      <c r="X108" s="4">
        <v>1207</v>
      </c>
      <c r="Y108" s="4"/>
      <c r="Z108" s="4"/>
      <c r="AA108" s="12">
        <f t="shared" si="15"/>
        <v>0</v>
      </c>
      <c r="AE108" s="338"/>
      <c r="AF108" s="338"/>
    </row>
    <row r="109" spans="1:32" ht="12.75" customHeight="1">
      <c r="A109" s="24"/>
      <c r="B109" s="105">
        <f t="shared" si="16"/>
        <v>106</v>
      </c>
      <c r="C109" s="6">
        <v>310400</v>
      </c>
      <c r="D109" s="118" t="s">
        <v>539</v>
      </c>
      <c r="E109" s="9" t="s">
        <v>32</v>
      </c>
      <c r="F109" s="6"/>
      <c r="G109" s="6"/>
      <c r="H109" s="11">
        <f>+STAT3!V109</f>
        <v>0</v>
      </c>
      <c r="I109" s="11">
        <f>+STAT3!W109</f>
        <v>38119203.000000015</v>
      </c>
      <c r="J109" s="11">
        <f>+SUMIFS(JURNAL!G:G,JURNAL!E:E,C109,JURNAL!C:C,"&gt;="&amp;$H$1,JURNAL!C:C,"&lt;="&amp;$I$1)</f>
        <v>15662870</v>
      </c>
      <c r="K109" s="11">
        <f>+SUMIFS(JURNAL!H:H,JURNAL!E:E,C109,JURNAL!C:C,"&gt;="&amp;$H$1,JURNAL!C:C,"&lt;="&amp;$I$1)</f>
        <v>0</v>
      </c>
      <c r="L109" s="26">
        <f t="shared" si="11"/>
        <v>0</v>
      </c>
      <c r="M109" s="27">
        <f t="shared" si="9"/>
        <v>22456333.000000015</v>
      </c>
      <c r="N109" s="11"/>
      <c r="O109" s="183"/>
      <c r="P109" s="27"/>
      <c r="Q109" s="11"/>
      <c r="R109" s="26">
        <f t="shared" si="12"/>
        <v>0</v>
      </c>
      <c r="S109" s="27">
        <f t="shared" si="13"/>
        <v>22456333.000000015</v>
      </c>
      <c r="T109" s="11"/>
      <c r="U109" s="11"/>
      <c r="V109" s="417">
        <f t="shared" si="14"/>
        <v>0</v>
      </c>
      <c r="W109" s="488">
        <f t="shared" si="10"/>
        <v>22456333.000000015</v>
      </c>
      <c r="X109" s="4">
        <v>1205</v>
      </c>
      <c r="Y109" s="4"/>
      <c r="Z109" s="4"/>
      <c r="AA109" s="12">
        <f t="shared" si="15"/>
        <v>1</v>
      </c>
      <c r="AC109" s="302">
        <v>22456333</v>
      </c>
      <c r="AD109" s="302">
        <f>+W109-AC109</f>
        <v>0</v>
      </c>
      <c r="AE109" s="338"/>
      <c r="AF109" s="338"/>
    </row>
    <row r="110" spans="1:32" ht="12.75" customHeight="1">
      <c r="A110" s="24"/>
      <c r="B110" s="105">
        <f t="shared" si="16"/>
        <v>107</v>
      </c>
      <c r="C110" s="6">
        <v>310401</v>
      </c>
      <c r="D110" s="118" t="s">
        <v>968</v>
      </c>
      <c r="E110" s="9" t="s">
        <v>30</v>
      </c>
      <c r="F110" s="6"/>
      <c r="G110" s="6"/>
      <c r="H110" s="11">
        <f>+STAT3!V110</f>
        <v>0</v>
      </c>
      <c r="I110" s="11">
        <f>+STAT3!W110</f>
        <v>0</v>
      </c>
      <c r="J110" s="11">
        <f>+SUMIFS(JURNAL!G:G,JURNAL!E:E,C110,JURNAL!C:C,"&gt;="&amp;$H$1,JURNAL!C:C,"&lt;="&amp;$I$1)</f>
        <v>0</v>
      </c>
      <c r="K110" s="11">
        <f>+SUMIFS(JURNAL!H:H,JURNAL!E:E,C110,JURNAL!C:C,"&gt;="&amp;$H$1,JURNAL!C:C,"&lt;="&amp;$I$1)</f>
        <v>0</v>
      </c>
      <c r="L110" s="26">
        <f t="shared" si="11"/>
        <v>0</v>
      </c>
      <c r="M110" s="27">
        <f t="shared" si="9"/>
        <v>0</v>
      </c>
      <c r="N110" s="11"/>
      <c r="O110" s="183"/>
      <c r="P110" s="27"/>
      <c r="Q110" s="11"/>
      <c r="R110" s="26">
        <f t="shared" si="12"/>
        <v>0</v>
      </c>
      <c r="S110" s="27">
        <f t="shared" si="13"/>
        <v>0</v>
      </c>
      <c r="T110" s="11"/>
      <c r="U110" s="11"/>
      <c r="V110" s="417">
        <f t="shared" si="14"/>
        <v>0</v>
      </c>
      <c r="W110" s="380">
        <f t="shared" si="10"/>
        <v>0</v>
      </c>
      <c r="X110" s="4">
        <v>1205</v>
      </c>
      <c r="Y110" s="4"/>
      <c r="Z110" s="4"/>
      <c r="AA110" s="12">
        <f t="shared" si="15"/>
        <v>0</v>
      </c>
      <c r="AE110" s="338"/>
      <c r="AF110" s="338"/>
    </row>
    <row r="111" spans="1:32" ht="12.75" customHeight="1">
      <c r="A111" s="24"/>
      <c r="B111" s="105">
        <f t="shared" si="16"/>
        <v>108</v>
      </c>
      <c r="C111" s="6">
        <v>310500</v>
      </c>
      <c r="D111" s="118" t="s">
        <v>546</v>
      </c>
      <c r="E111" s="9" t="s">
        <v>32</v>
      </c>
      <c r="F111" s="6"/>
      <c r="G111" s="6"/>
      <c r="H111" s="11">
        <f>+STAT3!V111</f>
        <v>0</v>
      </c>
      <c r="I111" s="11">
        <f>+STAT3!W111</f>
        <v>78570158.864014611</v>
      </c>
      <c r="J111" s="11">
        <f>+SUMIFS(JURNAL!G:G,JURNAL!E:E,C111,JURNAL!C:C,"&gt;="&amp;$H$1,JURNAL!C:C,"&lt;="&amp;$I$1)</f>
        <v>0</v>
      </c>
      <c r="K111" s="11">
        <f>+SUMIFS(JURNAL!H:H,JURNAL!E:E,C111,JURNAL!C:C,"&gt;="&amp;$H$1,JURNAL!C:C,"&lt;="&amp;$I$1)</f>
        <v>7387789.3985236362</v>
      </c>
      <c r="L111" s="26">
        <f t="shared" si="11"/>
        <v>0</v>
      </c>
      <c r="M111" s="27">
        <f t="shared" si="9"/>
        <v>85957948.262538254</v>
      </c>
      <c r="N111" s="27">
        <v>18771213.402981363</v>
      </c>
      <c r="O111" s="183"/>
      <c r="P111" s="27"/>
      <c r="Q111" s="11"/>
      <c r="R111" s="26">
        <f t="shared" si="12"/>
        <v>0</v>
      </c>
      <c r="S111" s="27">
        <f t="shared" si="13"/>
        <v>67186734.859556884</v>
      </c>
      <c r="T111" s="11"/>
      <c r="U111" s="11"/>
      <c r="V111" s="417">
        <f t="shared" si="14"/>
        <v>0</v>
      </c>
      <c r="W111" s="488">
        <f t="shared" si="10"/>
        <v>67186734.859556884</v>
      </c>
      <c r="X111" s="4">
        <v>1203</v>
      </c>
      <c r="Y111" s="4"/>
      <c r="Z111" s="4"/>
      <c r="AA111" s="12">
        <f t="shared" si="15"/>
        <v>1</v>
      </c>
      <c r="AC111" s="80">
        <v>67186734.640000001</v>
      </c>
      <c r="AD111" s="230">
        <f>+AC111-W111</f>
        <v>-0.21955688297748566</v>
      </c>
      <c r="AE111" s="338"/>
      <c r="AF111" s="338"/>
    </row>
    <row r="112" spans="1:32" ht="12.75" customHeight="1">
      <c r="A112" s="25"/>
      <c r="B112" s="105">
        <f t="shared" si="16"/>
        <v>109</v>
      </c>
      <c r="C112" s="6">
        <v>310600</v>
      </c>
      <c r="D112" s="118" t="s">
        <v>551</v>
      </c>
      <c r="E112" s="9" t="s">
        <v>32</v>
      </c>
      <c r="F112" s="6"/>
      <c r="G112" s="6"/>
      <c r="H112" s="11">
        <f>+STAT3!V112</f>
        <v>0</v>
      </c>
      <c r="I112" s="11">
        <f>+STAT3!W112</f>
        <v>1.999999992548851E-3</v>
      </c>
      <c r="J112" s="11">
        <f>+SUMIFS(JURNAL!G:G,JURNAL!E:E,C112,JURNAL!C:C,"&gt;="&amp;$H$1,JURNAL!C:C,"&lt;="&amp;$I$1)</f>
        <v>0</v>
      </c>
      <c r="K112" s="11">
        <f>+SUMIFS(JURNAL!H:H,JURNAL!E:E,C112,JURNAL!C:C,"&gt;="&amp;$H$1,JURNAL!C:C,"&lt;="&amp;$I$1)</f>
        <v>0</v>
      </c>
      <c r="L112" s="26">
        <f t="shared" si="11"/>
        <v>0</v>
      </c>
      <c r="M112" s="27">
        <f t="shared" si="9"/>
        <v>1.999999992548851E-3</v>
      </c>
      <c r="N112" s="11"/>
      <c r="O112" s="183"/>
      <c r="P112" s="27"/>
      <c r="Q112" s="11"/>
      <c r="R112" s="26">
        <f t="shared" si="12"/>
        <v>0</v>
      </c>
      <c r="S112" s="27">
        <f t="shared" si="13"/>
        <v>1.999999992548851E-3</v>
      </c>
      <c r="T112" s="11"/>
      <c r="U112" s="11"/>
      <c r="V112" s="417">
        <f t="shared" si="14"/>
        <v>0</v>
      </c>
      <c r="W112" s="380">
        <f t="shared" si="10"/>
        <v>1.999999992548851E-3</v>
      </c>
      <c r="X112" s="4">
        <v>1203</v>
      </c>
      <c r="Y112" s="4"/>
      <c r="Z112" s="4"/>
      <c r="AA112" s="12">
        <f t="shared" si="15"/>
        <v>1</v>
      </c>
      <c r="AE112" s="338"/>
      <c r="AF112" s="338"/>
    </row>
    <row r="113" spans="1:32" ht="12.75" customHeight="1">
      <c r="A113" s="24"/>
      <c r="B113" s="105">
        <f t="shared" si="16"/>
        <v>110</v>
      </c>
      <c r="C113" s="6">
        <v>310700</v>
      </c>
      <c r="D113" s="118" t="s">
        <v>556</v>
      </c>
      <c r="E113" s="9" t="s">
        <v>32</v>
      </c>
      <c r="F113" s="6"/>
      <c r="G113" s="6"/>
      <c r="H113" s="11">
        <f>+STAT3!V113</f>
        <v>0</v>
      </c>
      <c r="I113" s="11">
        <f>+STAT3!W113</f>
        <v>4154378.0693632513</v>
      </c>
      <c r="J113" s="11">
        <f>+SUMIFS(JURNAL!G:G,JURNAL!E:E,C113,JURNAL!C:C,"&gt;="&amp;$H$1,JURNAL!C:C,"&lt;="&amp;$I$1)</f>
        <v>0</v>
      </c>
      <c r="K113" s="11">
        <f>+SUMIFS(JURNAL!H:H,JURNAL!E:E,C113,JURNAL!C:C,"&gt;="&amp;$H$1,JURNAL!C:C,"&lt;="&amp;$I$1)</f>
        <v>2991623.7622727277</v>
      </c>
      <c r="L113" s="26">
        <f t="shared" si="11"/>
        <v>0</v>
      </c>
      <c r="M113" s="27">
        <f t="shared" si="9"/>
        <v>7146001.831635979</v>
      </c>
      <c r="N113" s="118">
        <v>7146001.831635979</v>
      </c>
      <c r="O113" s="183"/>
      <c r="P113" s="27"/>
      <c r="Q113" s="11"/>
      <c r="R113" s="26">
        <f t="shared" si="12"/>
        <v>0</v>
      </c>
      <c r="S113" s="27">
        <f t="shared" si="13"/>
        <v>0</v>
      </c>
      <c r="T113" s="11"/>
      <c r="U113" s="11"/>
      <c r="V113" s="417">
        <f t="shared" si="14"/>
        <v>0</v>
      </c>
      <c r="W113" s="380">
        <f t="shared" si="10"/>
        <v>0</v>
      </c>
      <c r="X113" s="4">
        <v>1203</v>
      </c>
      <c r="Y113" s="4"/>
      <c r="Z113" s="4"/>
      <c r="AA113" s="12">
        <f t="shared" si="15"/>
        <v>1</v>
      </c>
      <c r="AD113" s="80"/>
      <c r="AE113" s="338"/>
      <c r="AF113" s="338"/>
    </row>
    <row r="114" spans="1:32" ht="12.75" customHeight="1">
      <c r="A114" s="24"/>
      <c r="B114" s="105">
        <f t="shared" si="16"/>
        <v>111</v>
      </c>
      <c r="C114" s="6">
        <v>310800</v>
      </c>
      <c r="D114" s="118" t="s">
        <v>561</v>
      </c>
      <c r="E114" s="9" t="s">
        <v>32</v>
      </c>
      <c r="F114" s="6"/>
      <c r="G114" s="6"/>
      <c r="H114" s="11">
        <f>+STAT3!V114</f>
        <v>0</v>
      </c>
      <c r="I114" s="11">
        <f>+STAT3!W114</f>
        <v>5084873.2023735438</v>
      </c>
      <c r="J114" s="11">
        <f>+SUMIFS(JURNAL!G:G,JURNAL!E:E,C114,JURNAL!C:C,"&gt;="&amp;$H$1,JURNAL!C:C,"&lt;="&amp;$I$1)</f>
        <v>0</v>
      </c>
      <c r="K114" s="11">
        <f>+SUMIFS(JURNAL!H:H,JURNAL!E:E,C114,JURNAL!C:C,"&gt;="&amp;$H$1,JURNAL!C:C,"&lt;="&amp;$I$1)</f>
        <v>8332684.3300000001</v>
      </c>
      <c r="L114" s="26">
        <f t="shared" si="11"/>
        <v>0</v>
      </c>
      <c r="M114" s="27">
        <f t="shared" si="9"/>
        <v>13417557.532373544</v>
      </c>
      <c r="N114" s="27">
        <v>13417557.532373544</v>
      </c>
      <c r="O114" s="183"/>
      <c r="P114" s="27"/>
      <c r="Q114" s="11"/>
      <c r="R114" s="26">
        <f t="shared" si="12"/>
        <v>0</v>
      </c>
      <c r="S114" s="27">
        <f t="shared" si="13"/>
        <v>0</v>
      </c>
      <c r="T114" s="11"/>
      <c r="U114" s="11"/>
      <c r="V114" s="417">
        <f t="shared" si="14"/>
        <v>0</v>
      </c>
      <c r="W114" s="380">
        <f t="shared" si="10"/>
        <v>0</v>
      </c>
      <c r="X114" s="4">
        <v>1204</v>
      </c>
      <c r="Y114" s="4"/>
      <c r="Z114" s="4"/>
      <c r="AA114" s="12">
        <f t="shared" si="15"/>
        <v>1</v>
      </c>
      <c r="AE114" s="338"/>
      <c r="AF114" s="338"/>
    </row>
    <row r="115" spans="1:32" ht="12.75" customHeight="1">
      <c r="A115" s="24"/>
      <c r="B115" s="105">
        <f t="shared" si="16"/>
        <v>112</v>
      </c>
      <c r="C115" s="6">
        <v>310900</v>
      </c>
      <c r="D115" s="118" t="s">
        <v>566</v>
      </c>
      <c r="E115" s="9" t="s">
        <v>32</v>
      </c>
      <c r="F115" s="6"/>
      <c r="G115" s="6"/>
      <c r="H115" s="11">
        <f>+STAT3!V115</f>
        <v>0</v>
      </c>
      <c r="I115" s="11">
        <f>+STAT3!W115</f>
        <v>0</v>
      </c>
      <c r="J115" s="11">
        <f>+SUMIFS(JURNAL!G:G,JURNAL!E:E,C115,JURNAL!C:C,"&gt;="&amp;$H$1,JURNAL!C:C,"&lt;="&amp;$I$1)</f>
        <v>0</v>
      </c>
      <c r="K115" s="11">
        <f>+SUMIFS(JURNAL!H:H,JURNAL!E:E,C115,JURNAL!C:C,"&gt;="&amp;$H$1,JURNAL!C:C,"&lt;="&amp;$I$1)</f>
        <v>0</v>
      </c>
      <c r="L115" s="26">
        <f t="shared" si="11"/>
        <v>0</v>
      </c>
      <c r="M115" s="27">
        <f t="shared" si="9"/>
        <v>0</v>
      </c>
      <c r="N115" s="11"/>
      <c r="O115" s="183"/>
      <c r="P115" s="27"/>
      <c r="Q115" s="11"/>
      <c r="R115" s="26">
        <f t="shared" si="12"/>
        <v>0</v>
      </c>
      <c r="S115" s="27">
        <f t="shared" si="13"/>
        <v>0</v>
      </c>
      <c r="T115" s="11"/>
      <c r="U115" s="11"/>
      <c r="V115" s="417">
        <f t="shared" si="14"/>
        <v>0</v>
      </c>
      <c r="W115" s="380">
        <f t="shared" si="10"/>
        <v>0</v>
      </c>
      <c r="X115" s="4">
        <v>1203</v>
      </c>
      <c r="Y115" s="4"/>
      <c r="Z115" s="4"/>
      <c r="AA115" s="12">
        <f t="shared" si="15"/>
        <v>0</v>
      </c>
      <c r="AE115" s="338"/>
      <c r="AF115" s="338"/>
    </row>
    <row r="116" spans="1:32" ht="12.75" customHeight="1">
      <c r="A116" s="24"/>
      <c r="B116" s="105">
        <f t="shared" si="16"/>
        <v>113</v>
      </c>
      <c r="C116" s="6">
        <v>311000</v>
      </c>
      <c r="D116" s="118" t="s">
        <v>571</v>
      </c>
      <c r="E116" s="9" t="s">
        <v>32</v>
      </c>
      <c r="F116" s="6"/>
      <c r="G116" s="6"/>
      <c r="H116" s="11">
        <f>+STAT3!V116</f>
        <v>0</v>
      </c>
      <c r="I116" s="11">
        <f>+STAT3!W116</f>
        <v>5.3571388125419617E-3</v>
      </c>
      <c r="J116" s="11">
        <f>+SUMIFS(JURNAL!G:G,JURNAL!E:E,C116,JURNAL!C:C,"&gt;="&amp;$H$1,JURNAL!C:C,"&lt;="&amp;$I$1)</f>
        <v>31334613.865454547</v>
      </c>
      <c r="K116" s="11">
        <f>+SUMIFS(JURNAL!H:H,JURNAL!E:E,C116,JURNAL!C:C,"&gt;="&amp;$H$1,JURNAL!C:C,"&lt;="&amp;$I$1)</f>
        <v>31334613.860454548</v>
      </c>
      <c r="L116" s="26">
        <f t="shared" si="11"/>
        <v>0</v>
      </c>
      <c r="M116" s="27">
        <f t="shared" si="9"/>
        <v>3.5713985562324524E-4</v>
      </c>
      <c r="N116" s="11"/>
      <c r="O116" s="183"/>
      <c r="P116" s="27"/>
      <c r="Q116" s="11"/>
      <c r="R116" s="26">
        <f t="shared" si="12"/>
        <v>0</v>
      </c>
      <c r="S116" s="27">
        <f t="shared" si="13"/>
        <v>3.5713985562324524E-4</v>
      </c>
      <c r="T116" s="11"/>
      <c r="U116" s="11"/>
      <c r="V116" s="417">
        <f t="shared" si="14"/>
        <v>0</v>
      </c>
      <c r="W116" s="488">
        <f t="shared" si="10"/>
        <v>3.5713985562324524E-4</v>
      </c>
      <c r="X116" s="4">
        <v>1202</v>
      </c>
      <c r="Y116" s="4"/>
      <c r="Z116" s="4"/>
      <c r="AA116" s="12">
        <f t="shared" si="15"/>
        <v>1</v>
      </c>
      <c r="AE116" s="338"/>
      <c r="AF116" s="338"/>
    </row>
    <row r="117" spans="1:32" ht="12.75" customHeight="1">
      <c r="A117" s="24"/>
      <c r="B117" s="105">
        <f t="shared" si="16"/>
        <v>114</v>
      </c>
      <c r="C117" s="6">
        <v>311100</v>
      </c>
      <c r="D117" s="118" t="s">
        <v>576</v>
      </c>
      <c r="E117" s="9" t="s">
        <v>32</v>
      </c>
      <c r="F117" s="6"/>
      <c r="G117" s="6"/>
      <c r="H117" s="11">
        <f>+STAT3!V117</f>
        <v>0</v>
      </c>
      <c r="I117" s="11">
        <f>+STAT3!W117</f>
        <v>80514683</v>
      </c>
      <c r="J117" s="11">
        <f>+SUMIFS(JURNAL!G:G,JURNAL!E:E,C117,JURNAL!C:C,"&gt;="&amp;$H$1,JURNAL!C:C,"&lt;="&amp;$I$1)</f>
        <v>9691774</v>
      </c>
      <c r="K117" s="11">
        <f>+SUMIFS(JURNAL!H:H,JURNAL!E:E,C117,JURNAL!C:C,"&gt;="&amp;$H$1,JURNAL!C:C,"&lt;="&amp;$I$1)</f>
        <v>0</v>
      </c>
      <c r="L117" s="26">
        <f t="shared" si="11"/>
        <v>0</v>
      </c>
      <c r="M117" s="27">
        <f t="shared" si="9"/>
        <v>70822909</v>
      </c>
      <c r="N117" s="11"/>
      <c r="O117" s="183"/>
      <c r="P117" s="27"/>
      <c r="Q117" s="11"/>
      <c r="R117" s="26">
        <f t="shared" si="12"/>
        <v>0</v>
      </c>
      <c r="S117" s="27">
        <f t="shared" si="13"/>
        <v>70822909</v>
      </c>
      <c r="T117" s="11"/>
      <c r="U117" s="11"/>
      <c r="V117" s="417">
        <f t="shared" si="14"/>
        <v>0</v>
      </c>
      <c r="W117" s="488">
        <f t="shared" si="10"/>
        <v>70822909</v>
      </c>
      <c r="X117" s="4">
        <v>1210</v>
      </c>
      <c r="Y117" s="4"/>
      <c r="Z117" s="4"/>
      <c r="AA117" s="12">
        <f t="shared" si="15"/>
        <v>1</v>
      </c>
      <c r="AC117" s="230">
        <v>70822909</v>
      </c>
      <c r="AD117" s="302">
        <f>+AC117-W117</f>
        <v>0</v>
      </c>
      <c r="AE117" s="338"/>
      <c r="AF117" s="338"/>
    </row>
    <row r="118" spans="1:32" ht="12.75" customHeight="1">
      <c r="A118" s="24"/>
      <c r="B118" s="105">
        <f t="shared" si="16"/>
        <v>115</v>
      </c>
      <c r="C118" s="6">
        <v>311200</v>
      </c>
      <c r="D118" s="118" t="s">
        <v>581</v>
      </c>
      <c r="E118" s="9" t="s">
        <v>32</v>
      </c>
      <c r="F118" s="6"/>
      <c r="G118" s="6"/>
      <c r="H118" s="11">
        <f>+STAT3!V118</f>
        <v>0</v>
      </c>
      <c r="I118" s="11">
        <f>+STAT3!W118</f>
        <v>0</v>
      </c>
      <c r="J118" s="11">
        <f>+SUMIFS(JURNAL!G:G,JURNAL!E:E,C118,JURNAL!C:C,"&gt;="&amp;$H$1,JURNAL!C:C,"&lt;="&amp;$I$1)</f>
        <v>0</v>
      </c>
      <c r="K118" s="11">
        <f>+SUMIFS(JURNAL!H:H,JURNAL!E:E,C118,JURNAL!C:C,"&gt;="&amp;$H$1,JURNAL!C:C,"&lt;="&amp;$I$1)</f>
        <v>0</v>
      </c>
      <c r="L118" s="26">
        <f t="shared" si="11"/>
        <v>0</v>
      </c>
      <c r="M118" s="27">
        <f t="shared" si="9"/>
        <v>0</v>
      </c>
      <c r="N118" s="11"/>
      <c r="O118" s="183"/>
      <c r="P118" s="27"/>
      <c r="Q118" s="11"/>
      <c r="R118" s="26">
        <f t="shared" si="12"/>
        <v>0</v>
      </c>
      <c r="S118" s="27">
        <f t="shared" si="13"/>
        <v>0</v>
      </c>
      <c r="T118" s="11"/>
      <c r="U118" s="11"/>
      <c r="V118" s="417">
        <f t="shared" si="14"/>
        <v>0</v>
      </c>
      <c r="W118" s="380">
        <f t="shared" si="10"/>
        <v>0</v>
      </c>
      <c r="X118" s="4">
        <v>1201</v>
      </c>
      <c r="Y118" s="4"/>
      <c r="Z118" s="4"/>
      <c r="AA118" s="12">
        <f t="shared" si="15"/>
        <v>0</v>
      </c>
      <c r="AE118" s="338"/>
      <c r="AF118" s="338"/>
    </row>
    <row r="119" spans="1:32" ht="12.75" customHeight="1">
      <c r="A119" s="24"/>
      <c r="B119" s="105">
        <f t="shared" si="16"/>
        <v>116</v>
      </c>
      <c r="C119" s="6">
        <v>311300</v>
      </c>
      <c r="D119" s="118" t="s">
        <v>586</v>
      </c>
      <c r="E119" s="9" t="s">
        <v>32</v>
      </c>
      <c r="F119" s="6"/>
      <c r="G119" s="6"/>
      <c r="H119" s="11">
        <f>+STAT3!V119</f>
        <v>0</v>
      </c>
      <c r="I119" s="11">
        <f>+STAT3!W119</f>
        <v>0</v>
      </c>
      <c r="J119" s="11">
        <f>+SUMIFS(JURNAL!G:G,JURNAL!E:E,C119,JURNAL!C:C,"&gt;="&amp;$H$1,JURNAL!C:C,"&lt;="&amp;$I$1)</f>
        <v>0</v>
      </c>
      <c r="K119" s="11">
        <f>+SUMIFS(JURNAL!H:H,JURNAL!E:E,C119,JURNAL!C:C,"&gt;="&amp;$H$1,JURNAL!C:C,"&lt;="&amp;$I$1)</f>
        <v>0</v>
      </c>
      <c r="L119" s="26">
        <f t="shared" si="11"/>
        <v>0</v>
      </c>
      <c r="M119" s="27">
        <f t="shared" si="9"/>
        <v>0</v>
      </c>
      <c r="N119" s="11"/>
      <c r="O119" s="183"/>
      <c r="P119" s="27"/>
      <c r="Q119" s="11"/>
      <c r="R119" s="26">
        <f t="shared" si="12"/>
        <v>0</v>
      </c>
      <c r="S119" s="27">
        <f t="shared" si="13"/>
        <v>0</v>
      </c>
      <c r="T119" s="11"/>
      <c r="U119" s="11"/>
      <c r="V119" s="417">
        <f t="shared" si="14"/>
        <v>0</v>
      </c>
      <c r="W119" s="380">
        <f t="shared" si="10"/>
        <v>0</v>
      </c>
      <c r="X119" s="4">
        <v>1201</v>
      </c>
      <c r="Y119" s="4"/>
      <c r="Z119" s="4"/>
      <c r="AA119" s="12">
        <f t="shared" si="15"/>
        <v>0</v>
      </c>
      <c r="AE119" s="338"/>
      <c r="AF119" s="338"/>
    </row>
    <row r="120" spans="1:32" ht="12.75" customHeight="1">
      <c r="A120" s="24"/>
      <c r="B120" s="105">
        <f t="shared" si="16"/>
        <v>117</v>
      </c>
      <c r="C120" s="6">
        <v>311301</v>
      </c>
      <c r="D120" s="118" t="s">
        <v>969</v>
      </c>
      <c r="E120" s="9" t="s">
        <v>30</v>
      </c>
      <c r="F120" s="6"/>
      <c r="G120" s="6"/>
      <c r="H120" s="11">
        <f>+STAT3!V120</f>
        <v>0</v>
      </c>
      <c r="I120" s="11">
        <f>+STAT3!W120</f>
        <v>0</v>
      </c>
      <c r="J120" s="11">
        <f>+SUMIFS(JURNAL!G:G,JURNAL!E:E,C120,JURNAL!C:C,"&gt;="&amp;$H$1,JURNAL!C:C,"&lt;="&amp;$I$1)</f>
        <v>0</v>
      </c>
      <c r="K120" s="11">
        <f>+SUMIFS(JURNAL!H:H,JURNAL!E:E,C120,JURNAL!C:C,"&gt;="&amp;$H$1,JURNAL!C:C,"&lt;="&amp;$I$1)</f>
        <v>0</v>
      </c>
      <c r="L120" s="26">
        <f t="shared" si="11"/>
        <v>0</v>
      </c>
      <c r="M120" s="27">
        <f t="shared" si="9"/>
        <v>0</v>
      </c>
      <c r="N120" s="11"/>
      <c r="O120" s="183"/>
      <c r="P120" s="27"/>
      <c r="Q120" s="11"/>
      <c r="R120" s="26">
        <f t="shared" si="12"/>
        <v>0</v>
      </c>
      <c r="S120" s="27">
        <f t="shared" si="13"/>
        <v>0</v>
      </c>
      <c r="T120" s="11"/>
      <c r="U120" s="11"/>
      <c r="V120" s="417">
        <f t="shared" si="14"/>
        <v>0</v>
      </c>
      <c r="W120" s="380">
        <f t="shared" si="10"/>
        <v>0</v>
      </c>
      <c r="X120" s="4">
        <v>1201</v>
      </c>
      <c r="Y120" s="4"/>
      <c r="Z120" s="4"/>
      <c r="AA120" s="12">
        <f t="shared" si="15"/>
        <v>0</v>
      </c>
      <c r="AE120" s="338"/>
      <c r="AF120" s="338"/>
    </row>
    <row r="121" spans="1:32" ht="12.75" customHeight="1">
      <c r="A121" s="24"/>
      <c r="B121" s="105">
        <f t="shared" si="16"/>
        <v>118</v>
      </c>
      <c r="C121" s="6">
        <v>311400</v>
      </c>
      <c r="D121" s="118" t="s">
        <v>1000</v>
      </c>
      <c r="E121" s="9" t="s">
        <v>32</v>
      </c>
      <c r="F121" s="6"/>
      <c r="G121" s="6"/>
      <c r="H121" s="11">
        <f>+STAT3!V121</f>
        <v>0</v>
      </c>
      <c r="I121" s="11">
        <f>+STAT3!W121</f>
        <v>0</v>
      </c>
      <c r="J121" s="11">
        <f>+SUMIFS(JURNAL!G:G,JURNAL!E:E,C121,JURNAL!C:C,"&gt;="&amp;$H$1,JURNAL!C:C,"&lt;="&amp;$I$1)</f>
        <v>0</v>
      </c>
      <c r="K121" s="11">
        <f>+SUMIFS(JURNAL!H:H,JURNAL!E:E,C121,JURNAL!C:C,"&gt;="&amp;$H$1,JURNAL!C:C,"&lt;="&amp;$I$1)</f>
        <v>0</v>
      </c>
      <c r="L121" s="26">
        <f t="shared" si="11"/>
        <v>0</v>
      </c>
      <c r="M121" s="27">
        <f t="shared" si="9"/>
        <v>0</v>
      </c>
      <c r="N121" s="11"/>
      <c r="O121" s="183"/>
      <c r="P121" s="27"/>
      <c r="Q121" s="11"/>
      <c r="R121" s="26">
        <f t="shared" si="12"/>
        <v>0</v>
      </c>
      <c r="S121" s="27">
        <f t="shared" si="13"/>
        <v>0</v>
      </c>
      <c r="T121" s="11"/>
      <c r="U121" s="11"/>
      <c r="V121" s="417">
        <f t="shared" si="14"/>
        <v>0</v>
      </c>
      <c r="W121" s="380">
        <f t="shared" si="10"/>
        <v>0</v>
      </c>
      <c r="X121" s="4">
        <v>1210</v>
      </c>
      <c r="Y121" s="4"/>
      <c r="Z121" s="4"/>
      <c r="AA121" s="12">
        <f t="shared" si="15"/>
        <v>0</v>
      </c>
      <c r="AE121" s="338"/>
      <c r="AF121" s="338"/>
    </row>
    <row r="122" spans="1:32" ht="12.75" customHeight="1">
      <c r="A122" s="24"/>
      <c r="B122" s="105">
        <f t="shared" si="16"/>
        <v>119</v>
      </c>
      <c r="C122" s="6">
        <v>311401</v>
      </c>
      <c r="D122" s="118" t="s">
        <v>1001</v>
      </c>
      <c r="E122" s="9" t="s">
        <v>30</v>
      </c>
      <c r="F122" s="6"/>
      <c r="G122" s="6"/>
      <c r="H122" s="11">
        <f>+STAT3!V122</f>
        <v>0</v>
      </c>
      <c r="I122" s="11">
        <f>+STAT3!W122</f>
        <v>0</v>
      </c>
      <c r="J122" s="11">
        <f>+SUMIFS(JURNAL!G:G,JURNAL!E:E,C122,JURNAL!C:C,"&gt;="&amp;$H$1,JURNAL!C:C,"&lt;="&amp;$I$1)</f>
        <v>0</v>
      </c>
      <c r="K122" s="11">
        <f>+SUMIFS(JURNAL!H:H,JURNAL!E:E,C122,JURNAL!C:C,"&gt;="&amp;$H$1,JURNAL!C:C,"&lt;="&amp;$I$1)</f>
        <v>0</v>
      </c>
      <c r="L122" s="26">
        <f t="shared" si="11"/>
        <v>0</v>
      </c>
      <c r="M122" s="27">
        <f t="shared" si="9"/>
        <v>0</v>
      </c>
      <c r="N122" s="11"/>
      <c r="O122" s="183"/>
      <c r="P122" s="27"/>
      <c r="Q122" s="11"/>
      <c r="R122" s="26">
        <f t="shared" si="12"/>
        <v>0</v>
      </c>
      <c r="S122" s="27">
        <f t="shared" si="13"/>
        <v>0</v>
      </c>
      <c r="T122" s="11"/>
      <c r="U122" s="11"/>
      <c r="V122" s="417">
        <f t="shared" si="14"/>
        <v>0</v>
      </c>
      <c r="W122" s="380">
        <f t="shared" si="10"/>
        <v>0</v>
      </c>
      <c r="X122" s="4">
        <v>1210</v>
      </c>
      <c r="Y122" s="4"/>
      <c r="Z122" s="4"/>
      <c r="AA122" s="12">
        <f t="shared" si="15"/>
        <v>0</v>
      </c>
      <c r="AE122" s="338"/>
      <c r="AF122" s="338"/>
    </row>
    <row r="123" spans="1:32" ht="12.75" customHeight="1">
      <c r="A123" s="24"/>
      <c r="B123" s="105">
        <f t="shared" si="16"/>
        <v>120</v>
      </c>
      <c r="C123" s="6">
        <v>311600</v>
      </c>
      <c r="D123" s="118" t="s">
        <v>594</v>
      </c>
      <c r="E123" s="9" t="s">
        <v>32</v>
      </c>
      <c r="F123" s="6"/>
      <c r="G123" s="6"/>
      <c r="H123" s="11">
        <f>+STAT3!V123</f>
        <v>0</v>
      </c>
      <c r="I123" s="11">
        <f>+STAT3!W123</f>
        <v>0</v>
      </c>
      <c r="J123" s="11">
        <f>+SUMIFS(JURNAL!G:G,JURNAL!E:E,C123,JURNAL!C:C,"&gt;="&amp;$H$1,JURNAL!C:C,"&lt;="&amp;$I$1)</f>
        <v>0</v>
      </c>
      <c r="K123" s="11">
        <f>+SUMIFS(JURNAL!H:H,JURNAL!E:E,C123,JURNAL!C:C,"&gt;="&amp;$H$1,JURNAL!C:C,"&lt;="&amp;$I$1)</f>
        <v>0</v>
      </c>
      <c r="L123" s="26">
        <f t="shared" si="11"/>
        <v>0</v>
      </c>
      <c r="M123" s="27">
        <f t="shared" si="9"/>
        <v>0</v>
      </c>
      <c r="N123" s="11"/>
      <c r="O123" s="183"/>
      <c r="P123" s="27"/>
      <c r="Q123" s="11"/>
      <c r="R123" s="26">
        <f t="shared" si="12"/>
        <v>0</v>
      </c>
      <c r="S123" s="27">
        <f t="shared" si="13"/>
        <v>0</v>
      </c>
      <c r="T123" s="11"/>
      <c r="U123" s="11"/>
      <c r="V123" s="417">
        <f t="shared" si="14"/>
        <v>0</v>
      </c>
      <c r="W123" s="380">
        <f t="shared" si="10"/>
        <v>0</v>
      </c>
      <c r="X123" s="4">
        <v>1208</v>
      </c>
      <c r="Y123" s="4"/>
      <c r="Z123" s="4"/>
      <c r="AA123" s="12">
        <f t="shared" si="15"/>
        <v>0</v>
      </c>
      <c r="AE123" s="338"/>
      <c r="AF123" s="338"/>
    </row>
    <row r="124" spans="1:32" ht="12.75" customHeight="1">
      <c r="A124" s="24"/>
      <c r="B124" s="105">
        <f t="shared" si="16"/>
        <v>121</v>
      </c>
      <c r="C124" s="6">
        <v>312000</v>
      </c>
      <c r="D124" s="118" t="s">
        <v>599</v>
      </c>
      <c r="E124" s="9" t="s">
        <v>32</v>
      </c>
      <c r="F124" s="6"/>
      <c r="G124" s="6"/>
      <c r="H124" s="11">
        <f>+STAT3!V124</f>
        <v>0</v>
      </c>
      <c r="I124" s="11">
        <f>+STAT3!W124</f>
        <v>0</v>
      </c>
      <c r="J124" s="11">
        <f>+SUMIFS(JURNAL!G:G,JURNAL!E:E,C124,JURNAL!C:C,"&gt;="&amp;$H$1,JURNAL!C:C,"&lt;="&amp;$I$1)</f>
        <v>0</v>
      </c>
      <c r="K124" s="11">
        <f>+SUMIFS(JURNAL!H:H,JURNAL!E:E,C124,JURNAL!C:C,"&gt;="&amp;$H$1,JURNAL!C:C,"&lt;="&amp;$I$1)</f>
        <v>0</v>
      </c>
      <c r="L124" s="26">
        <f t="shared" si="11"/>
        <v>0</v>
      </c>
      <c r="M124" s="27">
        <f t="shared" si="9"/>
        <v>0</v>
      </c>
      <c r="N124" s="11"/>
      <c r="O124" s="183"/>
      <c r="P124" s="27"/>
      <c r="Q124" s="11"/>
      <c r="R124" s="26">
        <f t="shared" si="12"/>
        <v>0</v>
      </c>
      <c r="S124" s="27">
        <f t="shared" si="13"/>
        <v>0</v>
      </c>
      <c r="T124" s="11"/>
      <c r="U124" s="11"/>
      <c r="V124" s="417">
        <f t="shared" si="14"/>
        <v>0</v>
      </c>
      <c r="W124" s="380">
        <f t="shared" si="10"/>
        <v>0</v>
      </c>
      <c r="X124" s="4">
        <v>1210</v>
      </c>
      <c r="Y124" s="4"/>
      <c r="Z124" s="4"/>
      <c r="AA124" s="12">
        <f t="shared" si="15"/>
        <v>0</v>
      </c>
      <c r="AE124" s="338"/>
      <c r="AF124" s="338"/>
    </row>
    <row r="125" spans="1:32" ht="12.75" customHeight="1">
      <c r="A125" s="24"/>
      <c r="B125" s="105">
        <f t="shared" si="16"/>
        <v>122</v>
      </c>
      <c r="C125" s="6">
        <v>320100</v>
      </c>
      <c r="D125" s="118" t="s">
        <v>604</v>
      </c>
      <c r="E125" s="9" t="s">
        <v>32</v>
      </c>
      <c r="F125" s="6"/>
      <c r="G125" s="6"/>
      <c r="H125" s="11">
        <f>+STAT3!V125</f>
        <v>0</v>
      </c>
      <c r="I125" s="11">
        <f>+STAT3!W125</f>
        <v>131187934.09467706</v>
      </c>
      <c r="J125" s="11">
        <f>+SUMIFS(JURNAL!G:G,JURNAL!E:E,C125,JURNAL!C:C,"&gt;="&amp;$H$1,JURNAL!C:C,"&lt;="&amp;$I$1)</f>
        <v>82442684</v>
      </c>
      <c r="K125" s="11">
        <f>+SUMIFS(JURNAL!H:H,JURNAL!E:E,C125,JURNAL!C:C,"&gt;="&amp;$H$1,JURNAL!C:C,"&lt;="&amp;$I$1)</f>
        <v>69402474</v>
      </c>
      <c r="L125" s="26">
        <f t="shared" si="11"/>
        <v>0</v>
      </c>
      <c r="M125" s="27">
        <f t="shared" si="9"/>
        <v>118147724.09467706</v>
      </c>
      <c r="N125" s="11"/>
      <c r="O125" s="183"/>
      <c r="P125" s="27"/>
      <c r="Q125" s="11"/>
      <c r="R125" s="26">
        <f t="shared" si="12"/>
        <v>0</v>
      </c>
      <c r="S125" s="27">
        <f t="shared" si="13"/>
        <v>118147724.09467706</v>
      </c>
      <c r="T125" s="11"/>
      <c r="U125" s="11"/>
      <c r="V125" s="417">
        <f t="shared" si="14"/>
        <v>0</v>
      </c>
      <c r="W125" s="380">
        <f t="shared" si="10"/>
        <v>118147724.09467706</v>
      </c>
      <c r="X125" s="4">
        <v>1211</v>
      </c>
      <c r="Y125" s="4"/>
      <c r="Z125" s="4"/>
      <c r="AA125" s="12">
        <f t="shared" si="15"/>
        <v>1</v>
      </c>
      <c r="AE125" s="338"/>
      <c r="AF125" s="338"/>
    </row>
    <row r="126" spans="1:32" ht="12.75" customHeight="1">
      <c r="A126" s="24"/>
      <c r="B126" s="105">
        <f t="shared" si="16"/>
        <v>123</v>
      </c>
      <c r="C126" s="6">
        <v>320101</v>
      </c>
      <c r="D126" s="118" t="s">
        <v>970</v>
      </c>
      <c r="E126" s="9" t="s">
        <v>30</v>
      </c>
      <c r="F126" s="6"/>
      <c r="G126" s="6"/>
      <c r="H126" s="11">
        <f>+STAT3!V126</f>
        <v>0</v>
      </c>
      <c r="I126" s="11">
        <f>+STAT3!W126</f>
        <v>0</v>
      </c>
      <c r="J126" s="11">
        <f>+SUMIFS(JURNAL!G:G,JURNAL!E:E,C126,JURNAL!C:C,"&gt;="&amp;$H$1,JURNAL!C:C,"&lt;="&amp;$I$1)</f>
        <v>0</v>
      </c>
      <c r="K126" s="11">
        <f>+SUMIFS(JURNAL!H:H,JURNAL!E:E,C126,JURNAL!C:C,"&gt;="&amp;$H$1,JURNAL!C:C,"&lt;="&amp;$I$1)</f>
        <v>0</v>
      </c>
      <c r="L126" s="26">
        <f t="shared" si="11"/>
        <v>0</v>
      </c>
      <c r="M126" s="27">
        <f t="shared" si="9"/>
        <v>0</v>
      </c>
      <c r="N126" s="11"/>
      <c r="O126" s="183"/>
      <c r="P126" s="27"/>
      <c r="Q126" s="11"/>
      <c r="R126" s="26">
        <f t="shared" si="12"/>
        <v>0</v>
      </c>
      <c r="S126" s="27">
        <f t="shared" si="13"/>
        <v>0</v>
      </c>
      <c r="T126" s="11"/>
      <c r="U126" s="11"/>
      <c r="V126" s="417">
        <f t="shared" si="14"/>
        <v>0</v>
      </c>
      <c r="W126" s="380">
        <f t="shared" si="10"/>
        <v>0</v>
      </c>
      <c r="X126" s="4">
        <v>1211</v>
      </c>
      <c r="Y126" s="4"/>
      <c r="Z126" s="4"/>
      <c r="AA126" s="12">
        <f t="shared" si="15"/>
        <v>0</v>
      </c>
      <c r="AE126" s="338"/>
      <c r="AF126" s="338"/>
    </row>
    <row r="127" spans="1:32" ht="12.75" customHeight="1">
      <c r="A127" s="24"/>
      <c r="B127" s="105">
        <f t="shared" si="16"/>
        <v>124</v>
      </c>
      <c r="C127" s="6">
        <v>340100</v>
      </c>
      <c r="D127" s="118" t="s">
        <v>1694</v>
      </c>
      <c r="E127" s="9" t="s">
        <v>32</v>
      </c>
      <c r="F127" s="6"/>
      <c r="G127" s="6"/>
      <c r="H127" s="11">
        <f>+STAT3!V127</f>
        <v>0</v>
      </c>
      <c r="I127" s="11">
        <f>+STAT3!W127</f>
        <v>0</v>
      </c>
      <c r="J127" s="11">
        <f>+SUMIFS(JURNAL!G:G,JURNAL!E:E,C127,JURNAL!C:C,"&gt;="&amp;$H$1,JURNAL!C:C,"&lt;="&amp;$I$1)</f>
        <v>0</v>
      </c>
      <c r="K127" s="11">
        <f>+SUMIFS(JURNAL!H:H,JURNAL!E:E,C127,JURNAL!C:C,"&gt;="&amp;$H$1,JURNAL!C:C,"&lt;="&amp;$I$1)</f>
        <v>0</v>
      </c>
      <c r="L127" s="26">
        <f t="shared" si="11"/>
        <v>0</v>
      </c>
      <c r="M127" s="27">
        <f t="shared" si="9"/>
        <v>0</v>
      </c>
      <c r="N127" s="11"/>
      <c r="O127" s="183"/>
      <c r="P127" s="27"/>
      <c r="Q127" s="11"/>
      <c r="R127" s="26">
        <f t="shared" si="12"/>
        <v>0</v>
      </c>
      <c r="S127" s="27">
        <f t="shared" si="13"/>
        <v>0</v>
      </c>
      <c r="T127" s="11"/>
      <c r="U127" s="11"/>
      <c r="V127" s="417">
        <f t="shared" si="14"/>
        <v>0</v>
      </c>
      <c r="W127" s="380">
        <f t="shared" si="10"/>
        <v>0</v>
      </c>
      <c r="X127" s="4">
        <v>1210</v>
      </c>
      <c r="Y127" s="4"/>
      <c r="Z127" s="4"/>
      <c r="AA127" s="12">
        <f t="shared" si="15"/>
        <v>0</v>
      </c>
      <c r="AE127" s="338"/>
      <c r="AF127" s="338"/>
    </row>
    <row r="128" spans="1:32" ht="12.75" customHeight="1">
      <c r="A128" s="24"/>
      <c r="B128" s="105">
        <f t="shared" si="16"/>
        <v>125</v>
      </c>
      <c r="C128" s="6">
        <v>350100</v>
      </c>
      <c r="D128" s="118" t="s">
        <v>1695</v>
      </c>
      <c r="E128" s="9" t="s">
        <v>30</v>
      </c>
      <c r="F128" s="6"/>
      <c r="G128" s="6"/>
      <c r="H128" s="11">
        <f>+STAT3!V128</f>
        <v>0</v>
      </c>
      <c r="I128" s="11">
        <f>+STAT3!W128</f>
        <v>0</v>
      </c>
      <c r="J128" s="11">
        <f>+SUMIFS(JURNAL!G:G,JURNAL!E:E,C128,JURNAL!C:C,"&gt;="&amp;$H$1,JURNAL!C:C,"&lt;="&amp;$I$1)</f>
        <v>0</v>
      </c>
      <c r="K128" s="11">
        <f>+SUMIFS(JURNAL!H:H,JURNAL!E:E,C128,JURNAL!C:C,"&gt;="&amp;$H$1,JURNAL!C:C,"&lt;="&amp;$I$1)</f>
        <v>0</v>
      </c>
      <c r="L128" s="26">
        <f t="shared" si="11"/>
        <v>0</v>
      </c>
      <c r="M128" s="27">
        <f t="shared" si="9"/>
        <v>0</v>
      </c>
      <c r="N128" s="11"/>
      <c r="O128" s="183"/>
      <c r="P128" s="27"/>
      <c r="Q128" s="11"/>
      <c r="R128" s="26">
        <f t="shared" si="12"/>
        <v>0</v>
      </c>
      <c r="S128" s="27">
        <f t="shared" si="13"/>
        <v>0</v>
      </c>
      <c r="T128" s="11"/>
      <c r="U128" s="11"/>
      <c r="V128" s="417">
        <f t="shared" si="14"/>
        <v>0</v>
      </c>
      <c r="W128" s="380">
        <f t="shared" si="10"/>
        <v>0</v>
      </c>
      <c r="X128" s="4">
        <v>1210</v>
      </c>
      <c r="Y128" s="4"/>
      <c r="Z128" s="4"/>
      <c r="AA128" s="12">
        <f t="shared" si="15"/>
        <v>0</v>
      </c>
      <c r="AE128" s="338"/>
      <c r="AF128" s="338"/>
    </row>
    <row r="129" spans="1:32" ht="12.75" customHeight="1">
      <c r="A129" s="24"/>
      <c r="B129" s="105">
        <f t="shared" si="16"/>
        <v>126</v>
      </c>
      <c r="C129" s="6">
        <v>320200</v>
      </c>
      <c r="D129" s="118" t="s">
        <v>609</v>
      </c>
      <c r="E129" s="9" t="s">
        <v>32</v>
      </c>
      <c r="F129" s="6"/>
      <c r="G129" s="6"/>
      <c r="H129" s="11">
        <f>+STAT3!V129</f>
        <v>0</v>
      </c>
      <c r="I129" s="11">
        <f>+STAT3!W129</f>
        <v>0</v>
      </c>
      <c r="J129" s="11">
        <f>+SUMIFS(JURNAL!G:G,JURNAL!E:E,C129,JURNAL!C:C,"&gt;="&amp;$H$1,JURNAL!C:C,"&lt;="&amp;$I$1)</f>
        <v>0</v>
      </c>
      <c r="K129" s="11">
        <f>+SUMIFS(JURNAL!H:H,JURNAL!E:E,C129,JURNAL!C:C,"&gt;="&amp;$H$1,JURNAL!C:C,"&lt;="&amp;$I$1)</f>
        <v>0</v>
      </c>
      <c r="L129" s="26">
        <f t="shared" si="11"/>
        <v>0</v>
      </c>
      <c r="M129" s="27">
        <f t="shared" si="9"/>
        <v>0</v>
      </c>
      <c r="N129" s="11"/>
      <c r="O129" s="183"/>
      <c r="P129" s="27"/>
      <c r="Q129" s="11"/>
      <c r="R129" s="26">
        <f t="shared" si="12"/>
        <v>0</v>
      </c>
      <c r="S129" s="27">
        <f t="shared" si="13"/>
        <v>0</v>
      </c>
      <c r="T129" s="11"/>
      <c r="U129" s="11"/>
      <c r="V129" s="417">
        <f t="shared" si="14"/>
        <v>0</v>
      </c>
      <c r="W129" s="380">
        <f t="shared" si="10"/>
        <v>0</v>
      </c>
      <c r="X129" s="4">
        <v>1210</v>
      </c>
      <c r="Y129" s="4"/>
      <c r="Z129" s="4"/>
      <c r="AA129" s="12">
        <f t="shared" si="15"/>
        <v>0</v>
      </c>
      <c r="AE129" s="338"/>
      <c r="AF129" s="338"/>
    </row>
    <row r="130" spans="1:32" ht="12.75" customHeight="1">
      <c r="A130" s="24"/>
      <c r="B130" s="105">
        <f t="shared" si="16"/>
        <v>127</v>
      </c>
      <c r="C130" s="6">
        <v>330200</v>
      </c>
      <c r="D130" s="118" t="s">
        <v>614</v>
      </c>
      <c r="E130" s="9" t="s">
        <v>32</v>
      </c>
      <c r="F130" s="6"/>
      <c r="G130" s="6"/>
      <c r="H130" s="11">
        <f>+STAT3!V130</f>
        <v>0</v>
      </c>
      <c r="I130" s="11">
        <f>+STAT3!W130</f>
        <v>0</v>
      </c>
      <c r="J130" s="11">
        <f>+SUMIFS(JURNAL!G:G,JURNAL!E:E,C130,JURNAL!C:C,"&gt;="&amp;$H$1,JURNAL!C:C,"&lt;="&amp;$I$1)</f>
        <v>0</v>
      </c>
      <c r="K130" s="11">
        <f>+SUMIFS(JURNAL!H:H,JURNAL!E:E,C130,JURNAL!C:C,"&gt;="&amp;$H$1,JURNAL!C:C,"&lt;="&amp;$I$1)</f>
        <v>0</v>
      </c>
      <c r="L130" s="26">
        <f t="shared" si="11"/>
        <v>0</v>
      </c>
      <c r="M130" s="27">
        <f t="shared" si="9"/>
        <v>0</v>
      </c>
      <c r="N130" s="11"/>
      <c r="O130" s="183"/>
      <c r="P130" s="27"/>
      <c r="Q130" s="11"/>
      <c r="R130" s="26">
        <f t="shared" si="12"/>
        <v>0</v>
      </c>
      <c r="S130" s="27">
        <f t="shared" si="13"/>
        <v>0</v>
      </c>
      <c r="T130" s="11"/>
      <c r="U130" s="11"/>
      <c r="V130" s="417">
        <f t="shared" si="14"/>
        <v>0</v>
      </c>
      <c r="W130" s="380">
        <f t="shared" si="10"/>
        <v>0</v>
      </c>
      <c r="X130" s="4">
        <v>1221</v>
      </c>
      <c r="Y130" s="4"/>
      <c r="Z130" s="4"/>
      <c r="AA130" s="12">
        <f t="shared" si="15"/>
        <v>0</v>
      </c>
      <c r="AE130" s="338"/>
      <c r="AF130" s="338"/>
    </row>
    <row r="131" spans="1:32" ht="12.75" customHeight="1">
      <c r="A131" s="24"/>
      <c r="B131" s="105">
        <f t="shared" si="16"/>
        <v>128</v>
      </c>
      <c r="C131" s="6">
        <v>330201</v>
      </c>
      <c r="D131" s="118" t="s">
        <v>971</v>
      </c>
      <c r="E131" s="9" t="s">
        <v>30</v>
      </c>
      <c r="F131" s="6"/>
      <c r="G131" s="6"/>
      <c r="H131" s="11">
        <f>+STAT3!V131</f>
        <v>0</v>
      </c>
      <c r="I131" s="11">
        <f>+STAT3!W131</f>
        <v>0</v>
      </c>
      <c r="J131" s="11">
        <f>+SUMIFS(JURNAL!G:G,JURNAL!E:E,C131,JURNAL!C:C,"&gt;="&amp;$H$1,JURNAL!C:C,"&lt;="&amp;$I$1)</f>
        <v>0</v>
      </c>
      <c r="K131" s="11">
        <f>+SUMIFS(JURNAL!H:H,JURNAL!E:E,C131,JURNAL!C:C,"&gt;="&amp;$H$1,JURNAL!C:C,"&lt;="&amp;$I$1)</f>
        <v>0</v>
      </c>
      <c r="L131" s="26">
        <f t="shared" si="11"/>
        <v>0</v>
      </c>
      <c r="M131" s="27">
        <f t="shared" si="9"/>
        <v>0</v>
      </c>
      <c r="N131" s="11"/>
      <c r="O131" s="183"/>
      <c r="P131" s="27"/>
      <c r="Q131" s="11"/>
      <c r="R131" s="26">
        <f t="shared" si="12"/>
        <v>0</v>
      </c>
      <c r="S131" s="27">
        <f t="shared" si="13"/>
        <v>0</v>
      </c>
      <c r="T131" s="11"/>
      <c r="U131" s="11"/>
      <c r="V131" s="417">
        <f t="shared" si="14"/>
        <v>0</v>
      </c>
      <c r="W131" s="380">
        <f t="shared" si="10"/>
        <v>0</v>
      </c>
      <c r="X131" s="4">
        <v>1221</v>
      </c>
      <c r="Y131" s="4"/>
      <c r="Z131" s="4"/>
      <c r="AA131" s="12">
        <f t="shared" si="15"/>
        <v>0</v>
      </c>
      <c r="AE131" s="338"/>
      <c r="AF131" s="338"/>
    </row>
    <row r="132" spans="1:32" ht="12.75" customHeight="1">
      <c r="A132" s="24"/>
      <c r="B132" s="105">
        <f t="shared" si="16"/>
        <v>129</v>
      </c>
      <c r="C132" s="6">
        <v>330800</v>
      </c>
      <c r="D132" s="118" t="s">
        <v>619</v>
      </c>
      <c r="E132" s="9" t="s">
        <v>32</v>
      </c>
      <c r="F132" s="6"/>
      <c r="G132" s="6"/>
      <c r="H132" s="11">
        <f>+STAT3!V132</f>
        <v>0</v>
      </c>
      <c r="I132" s="11">
        <f>+STAT3!W132</f>
        <v>0</v>
      </c>
      <c r="J132" s="11">
        <f>+SUMIFS(JURNAL!G:G,JURNAL!E:E,C132,JURNAL!C:C,"&gt;="&amp;$H$1,JURNAL!C:C,"&lt;="&amp;$I$1)</f>
        <v>0</v>
      </c>
      <c r="K132" s="11">
        <f>+SUMIFS(JURNAL!H:H,JURNAL!E:E,C132,JURNAL!C:C,"&gt;="&amp;$H$1,JURNAL!C:C,"&lt;="&amp;$I$1)</f>
        <v>0</v>
      </c>
      <c r="L132" s="26">
        <f t="shared" si="11"/>
        <v>0</v>
      </c>
      <c r="M132" s="27">
        <f t="shared" ref="M132:M138" si="17">+IF((H132+J132)&lt;(I132+K132),(I132+K132)-(H132+J132),0)</f>
        <v>0</v>
      </c>
      <c r="N132" s="11"/>
      <c r="O132" s="183"/>
      <c r="P132" s="27"/>
      <c r="Q132" s="11"/>
      <c r="R132" s="26">
        <f t="shared" si="12"/>
        <v>0</v>
      </c>
      <c r="S132" s="27">
        <f t="shared" si="13"/>
        <v>0</v>
      </c>
      <c r="T132" s="11"/>
      <c r="U132" s="11"/>
      <c r="V132" s="417">
        <f t="shared" si="14"/>
        <v>0</v>
      </c>
      <c r="W132" s="380">
        <f t="shared" ref="W132:W138" si="18">+IF((R132+T132)&lt;(S132+U132),(S132+U132)-(R132+T132),0)</f>
        <v>0</v>
      </c>
      <c r="X132" s="4">
        <v>1223</v>
      </c>
      <c r="Y132" s="4"/>
      <c r="Z132" s="4"/>
      <c r="AA132" s="12">
        <f t="shared" si="15"/>
        <v>0</v>
      </c>
      <c r="AE132" s="338"/>
      <c r="AF132" s="338"/>
    </row>
    <row r="133" spans="1:32" ht="12.75" customHeight="1">
      <c r="A133" s="24"/>
      <c r="B133" s="105">
        <f t="shared" si="16"/>
        <v>130</v>
      </c>
      <c r="C133" s="6">
        <v>410200</v>
      </c>
      <c r="D133" s="118" t="s">
        <v>972</v>
      </c>
      <c r="E133" s="9" t="s">
        <v>32</v>
      </c>
      <c r="F133" s="6"/>
      <c r="G133" s="6"/>
      <c r="H133" s="11">
        <f>+STAT3!V133</f>
        <v>0</v>
      </c>
      <c r="I133" s="11">
        <f>+STAT3!W133</f>
        <v>30701981.399999999</v>
      </c>
      <c r="J133" s="11">
        <f>+SUMIFS(JURNAL!G:G,JURNAL!E:E,C133,JURNAL!C:C,"&gt;="&amp;$H$1,JURNAL!C:C,"&lt;="&amp;$I$1)</f>
        <v>0</v>
      </c>
      <c r="K133" s="11">
        <f>+SUMIFS(JURNAL!H:H,JURNAL!E:E,C133,JURNAL!C:C,"&gt;="&amp;$H$1,JURNAL!C:C,"&lt;="&amp;$I$1)</f>
        <v>0</v>
      </c>
      <c r="L133" s="26">
        <f t="shared" ref="L133:L137" si="19">+IF((H133+J133)&gt;(I133+K133),(H133+J133)-(I133+K133),0)</f>
        <v>0</v>
      </c>
      <c r="M133" s="27">
        <f t="shared" si="17"/>
        <v>30701981.399999999</v>
      </c>
      <c r="N133" s="11"/>
      <c r="O133" s="183"/>
      <c r="P133" s="27"/>
      <c r="Q133" s="11"/>
      <c r="R133" s="26">
        <f t="shared" ref="R133:R138" si="20">+IF((L133+N133)&gt;(M133+O133),(L133+N133)-(M133+O133),0)</f>
        <v>0</v>
      </c>
      <c r="S133" s="27">
        <f t="shared" ref="S133:S138" si="21">+IF((L133+N133)&lt;(M133+O133),(M133+O133)-(L133+N133),0)</f>
        <v>30701981.399999999</v>
      </c>
      <c r="T133" s="11"/>
      <c r="U133" s="11"/>
      <c r="V133" s="417">
        <f t="shared" ref="V133:V138" si="22">+IF((R133+T133)&gt;(S133+U133),(R133+T133)-(S133+U133),0)</f>
        <v>0</v>
      </c>
      <c r="W133" s="380">
        <f t="shared" si="18"/>
        <v>30701981.399999999</v>
      </c>
      <c r="X133" s="4">
        <v>1302</v>
      </c>
      <c r="Y133" s="4"/>
      <c r="Z133" s="4"/>
      <c r="AA133" s="12">
        <f t="shared" ref="AA133:AA138" si="23">+IF(H133+I133+J133+K133+L133+M133+N133+O133+R133+S133+T133+U133+V133+W133,1,0)</f>
        <v>1</v>
      </c>
      <c r="AE133" s="338"/>
      <c r="AF133" s="338"/>
    </row>
    <row r="134" spans="1:32" ht="12.75" customHeight="1">
      <c r="A134" s="24"/>
      <c r="B134" s="105">
        <f t="shared" ref="B134:B197" si="24">+B133+1</f>
        <v>131</v>
      </c>
      <c r="C134" s="6">
        <v>420100</v>
      </c>
      <c r="D134" s="118" t="s">
        <v>626</v>
      </c>
      <c r="E134" s="9" t="s">
        <v>32</v>
      </c>
      <c r="F134" s="6"/>
      <c r="G134" s="6"/>
      <c r="H134" s="11">
        <f>+STAT3!V134</f>
        <v>0</v>
      </c>
      <c r="I134" s="11">
        <f>+STAT3!W134</f>
        <v>680931312.63</v>
      </c>
      <c r="J134" s="11">
        <f>+SUMIFS(JURNAL!G:G,JURNAL!E:E,C134,JURNAL!C:C,"&gt;="&amp;$H$1,JURNAL!C:C,"&lt;="&amp;$I$1)</f>
        <v>0</v>
      </c>
      <c r="K134" s="11">
        <f>+SUMIFS(JURNAL!H:H,JURNAL!E:E,C134,JURNAL!C:C,"&gt;="&amp;$H$1,JURNAL!C:C,"&lt;="&amp;$I$1)</f>
        <v>0</v>
      </c>
      <c r="L134" s="26">
        <f t="shared" si="19"/>
        <v>0</v>
      </c>
      <c r="M134" s="27">
        <f t="shared" si="17"/>
        <v>680931312.63</v>
      </c>
      <c r="N134" s="11"/>
      <c r="O134" s="183"/>
      <c r="P134" s="27"/>
      <c r="Q134" s="11"/>
      <c r="R134" s="26">
        <f t="shared" si="20"/>
        <v>0</v>
      </c>
      <c r="S134" s="27">
        <f t="shared" si="21"/>
        <v>680931312.63</v>
      </c>
      <c r="T134" s="11"/>
      <c r="U134" s="11"/>
      <c r="V134" s="417">
        <f t="shared" si="22"/>
        <v>0</v>
      </c>
      <c r="W134" s="380">
        <f t="shared" si="18"/>
        <v>680931312.63</v>
      </c>
      <c r="X134" s="4">
        <v>1310</v>
      </c>
      <c r="Y134" s="4"/>
      <c r="Z134" s="4"/>
      <c r="AA134" s="12">
        <f t="shared" si="23"/>
        <v>1</v>
      </c>
      <c r="AE134" s="338"/>
      <c r="AF134" s="338"/>
    </row>
    <row r="135" spans="1:32" ht="12.75" customHeight="1">
      <c r="A135" s="24"/>
      <c r="B135" s="105">
        <f t="shared" si="24"/>
        <v>132</v>
      </c>
      <c r="C135" s="6">
        <v>420200</v>
      </c>
      <c r="D135" s="118" t="s">
        <v>180</v>
      </c>
      <c r="E135" s="9" t="s">
        <v>32</v>
      </c>
      <c r="F135" s="6"/>
      <c r="G135" s="6"/>
      <c r="H135" s="11">
        <f>+STAT3!V135</f>
        <v>0</v>
      </c>
      <c r="I135" s="11">
        <f>+STAT3!W135</f>
        <v>0</v>
      </c>
      <c r="J135" s="11">
        <f>+SUMIFS(JURNAL!G:G,JURNAL!E:E,C135,JURNAL!C:C,"&gt;="&amp;$H$1,JURNAL!C:C,"&lt;="&amp;$I$1)</f>
        <v>0</v>
      </c>
      <c r="K135" s="11">
        <f>+SUMIFS(JURNAL!H:H,JURNAL!E:E,C135,JURNAL!C:C,"&gt;="&amp;$H$1,JURNAL!C:C,"&lt;="&amp;$I$1)</f>
        <v>0</v>
      </c>
      <c r="L135" s="26">
        <f t="shared" si="19"/>
        <v>0</v>
      </c>
      <c r="M135" s="27">
        <f t="shared" si="17"/>
        <v>0</v>
      </c>
      <c r="N135" s="11"/>
      <c r="O135" s="183"/>
      <c r="P135" s="27"/>
      <c r="Q135" s="11"/>
      <c r="R135" s="26">
        <f t="shared" si="20"/>
        <v>0</v>
      </c>
      <c r="S135" s="27">
        <f t="shared" si="21"/>
        <v>0</v>
      </c>
      <c r="T135" s="11"/>
      <c r="U135" s="11"/>
      <c r="V135" s="417">
        <f t="shared" si="22"/>
        <v>0</v>
      </c>
      <c r="W135" s="380">
        <f t="shared" si="18"/>
        <v>0</v>
      </c>
      <c r="X135" s="4">
        <v>1311</v>
      </c>
      <c r="Y135" s="4"/>
      <c r="Z135" s="4"/>
      <c r="AA135" s="12">
        <f t="shared" si="23"/>
        <v>0</v>
      </c>
      <c r="AE135" s="338"/>
      <c r="AF135" s="338"/>
    </row>
    <row r="136" spans="1:32" ht="12.75" customHeight="1">
      <c r="A136" s="24"/>
      <c r="B136" s="105">
        <f t="shared" si="24"/>
        <v>133</v>
      </c>
      <c r="C136" s="6">
        <v>430300</v>
      </c>
      <c r="D136" s="118" t="s">
        <v>633</v>
      </c>
      <c r="E136" s="9" t="s">
        <v>32</v>
      </c>
      <c r="F136" s="6"/>
      <c r="G136" s="6"/>
      <c r="H136" s="11">
        <f>+STAT3!V136</f>
        <v>0</v>
      </c>
      <c r="I136" s="11">
        <f>+STAT3!W136</f>
        <v>106378624.62</v>
      </c>
      <c r="J136" s="11">
        <f>+SUMIFS(JURNAL!G:G,JURNAL!E:E,C136,JURNAL!C:C,"&gt;="&amp;$H$1,JURNAL!C:C,"&lt;="&amp;$I$1)</f>
        <v>0</v>
      </c>
      <c r="K136" s="11">
        <f>+SUMIFS(JURNAL!H:H,JURNAL!E:E,C136,JURNAL!C:C,"&gt;="&amp;$H$1,JURNAL!C:C,"&lt;="&amp;$I$1)</f>
        <v>0</v>
      </c>
      <c r="L136" s="26">
        <f t="shared" si="19"/>
        <v>0</v>
      </c>
      <c r="M136" s="27">
        <f t="shared" si="17"/>
        <v>106378624.62</v>
      </c>
      <c r="N136" s="11"/>
      <c r="O136" s="183"/>
      <c r="P136" s="27"/>
      <c r="Q136" s="11"/>
      <c r="R136" s="26">
        <f t="shared" si="20"/>
        <v>0</v>
      </c>
      <c r="S136" s="27">
        <f t="shared" si="21"/>
        <v>106378624.62</v>
      </c>
      <c r="T136" s="11"/>
      <c r="U136" s="11"/>
      <c r="V136" s="417">
        <f t="shared" si="22"/>
        <v>0</v>
      </c>
      <c r="W136" s="380">
        <f t="shared" si="18"/>
        <v>106378624.62</v>
      </c>
      <c r="X136" s="4">
        <v>1312</v>
      </c>
      <c r="Y136" s="4"/>
      <c r="Z136" s="4"/>
      <c r="AA136" s="12">
        <f t="shared" si="23"/>
        <v>1</v>
      </c>
      <c r="AE136" s="338"/>
      <c r="AF136" s="338"/>
    </row>
    <row r="137" spans="1:32" ht="12.75" customHeight="1">
      <c r="A137" s="24"/>
      <c r="B137" s="105">
        <f t="shared" si="24"/>
        <v>134</v>
      </c>
      <c r="C137" s="6">
        <v>440100</v>
      </c>
      <c r="D137" s="118" t="s">
        <v>639</v>
      </c>
      <c r="E137" s="9" t="s">
        <v>32</v>
      </c>
      <c r="F137" s="6"/>
      <c r="G137" s="6"/>
      <c r="H137" s="11">
        <f>+STAT3!V137</f>
        <v>0</v>
      </c>
      <c r="I137" s="11">
        <f>+STAT3!W137</f>
        <v>1038581855.8768401</v>
      </c>
      <c r="J137" s="11">
        <f>+SUMIFS(JURNAL!G:G,JURNAL!E:E,C137,JURNAL!C:C,"&gt;="&amp;$H$1,JURNAL!C:C,"&lt;="&amp;$I$1)</f>
        <v>0</v>
      </c>
      <c r="K137" s="11">
        <f>+SUMIFS(JURNAL!H:H,JURNAL!E:E,C137,JURNAL!C:C,"&gt;="&amp;$H$1,JURNAL!C:C,"&lt;="&amp;$I$1)</f>
        <v>0</v>
      </c>
      <c r="L137" s="26">
        <f t="shared" si="19"/>
        <v>0</v>
      </c>
      <c r="M137" s="27">
        <f t="shared" si="17"/>
        <v>1038581855.8768401</v>
      </c>
      <c r="N137" s="11"/>
      <c r="O137" s="183"/>
      <c r="P137" s="27"/>
      <c r="Q137" s="11"/>
      <c r="R137" s="26">
        <f t="shared" si="20"/>
        <v>0</v>
      </c>
      <c r="S137" s="27">
        <f t="shared" si="21"/>
        <v>1038581855.8768401</v>
      </c>
      <c r="T137" s="11"/>
      <c r="U137" s="11"/>
      <c r="V137" s="417">
        <f t="shared" si="22"/>
        <v>0</v>
      </c>
      <c r="W137" s="380">
        <f t="shared" si="18"/>
        <v>1038581855.8768401</v>
      </c>
      <c r="X137" s="4">
        <v>1313</v>
      </c>
      <c r="Y137" s="4"/>
      <c r="Z137" s="4"/>
      <c r="AA137" s="12">
        <f t="shared" si="23"/>
        <v>1</v>
      </c>
      <c r="AE137" s="338"/>
      <c r="AF137" s="338"/>
    </row>
    <row r="138" spans="1:32" ht="12.75" customHeight="1">
      <c r="A138" s="24"/>
      <c r="B138" s="105">
        <f t="shared" si="24"/>
        <v>135</v>
      </c>
      <c r="C138" s="6">
        <v>440200</v>
      </c>
      <c r="D138" s="118" t="s">
        <v>645</v>
      </c>
      <c r="E138" s="9" t="s">
        <v>32</v>
      </c>
      <c r="F138" s="6"/>
      <c r="G138" s="6"/>
      <c r="H138" s="11">
        <f>+STAT3!V138</f>
        <v>20991155.993861601</v>
      </c>
      <c r="I138" s="11">
        <f>+STAT3!W138</f>
        <v>0</v>
      </c>
      <c r="J138" s="11">
        <f>+SUMIFS(JURNAL!G:G,JURNAL!E:E,C138,JURNAL!C:C,"&gt;="&amp;$H$1,JURNAL!C:C,"&lt;="&amp;$I$1)</f>
        <v>0</v>
      </c>
      <c r="K138" s="11">
        <f>+SUMIFS(JURNAL!H:H,JURNAL!E:E,C138,JURNAL!C:C,"&gt;="&amp;$H$1,JURNAL!C:C,"&lt;="&amp;$I$1)</f>
        <v>0</v>
      </c>
      <c r="L138" s="26">
        <f>+IF((H138+J138)&gt;(I138+K138),(H138+J138)-(I138+K138),0)</f>
        <v>20991155.993861601</v>
      </c>
      <c r="M138" s="27">
        <f t="shared" si="17"/>
        <v>0</v>
      </c>
      <c r="N138" s="11"/>
      <c r="O138" s="183"/>
      <c r="P138" s="27"/>
      <c r="Q138" s="11"/>
      <c r="R138" s="26">
        <f t="shared" si="20"/>
        <v>20991155.993861601</v>
      </c>
      <c r="S138" s="27">
        <f t="shared" si="21"/>
        <v>0</v>
      </c>
      <c r="T138" s="11">
        <v>33127309.749993101</v>
      </c>
      <c r="U138" s="11"/>
      <c r="V138" s="417">
        <f t="shared" si="22"/>
        <v>54118465.743854702</v>
      </c>
      <c r="W138" s="380">
        <f t="shared" si="18"/>
        <v>0</v>
      </c>
      <c r="X138" s="4">
        <v>1314</v>
      </c>
      <c r="Y138" s="4"/>
      <c r="Z138" s="4"/>
      <c r="AA138" s="12">
        <f t="shared" si="23"/>
        <v>1</v>
      </c>
      <c r="AE138" s="338"/>
      <c r="AF138" s="338"/>
    </row>
    <row r="139" spans="1:32" ht="12.75" customHeight="1">
      <c r="A139" s="24"/>
      <c r="B139" s="105">
        <f t="shared" si="24"/>
        <v>136</v>
      </c>
      <c r="C139" s="135"/>
      <c r="D139" s="136" t="s">
        <v>1003</v>
      </c>
      <c r="E139" s="62" t="s">
        <v>32</v>
      </c>
      <c r="F139" s="28">
        <f t="shared" ref="F139:H139" si="25">+SUM(F4:F138)</f>
        <v>6147.9800000000014</v>
      </c>
      <c r="G139" s="28">
        <f t="shared" si="25"/>
        <v>14829.1</v>
      </c>
      <c r="H139" s="28">
        <f t="shared" si="25"/>
        <v>3392413500.660562</v>
      </c>
      <c r="I139" s="28">
        <f>+SUM(I4:I138)</f>
        <v>3392413500.6700096</v>
      </c>
      <c r="J139" s="28">
        <f t="shared" ref="J139:AA139" si="26">+SUM(J4:J138)</f>
        <v>957326938.43643236</v>
      </c>
      <c r="K139" s="28">
        <f t="shared" si="26"/>
        <v>990228041.75855279</v>
      </c>
      <c r="L139" s="28">
        <f t="shared" si="26"/>
        <v>3370284814.2838383</v>
      </c>
      <c r="M139" s="28">
        <f t="shared" si="26"/>
        <v>3403185917.615406</v>
      </c>
      <c r="N139" s="28">
        <f t="shared" si="26"/>
        <v>39334772.766990885</v>
      </c>
      <c r="O139" s="28">
        <f t="shared" si="26"/>
        <v>39560979.199590884</v>
      </c>
      <c r="P139" s="28">
        <f t="shared" si="26"/>
        <v>6147.9800000000014</v>
      </c>
      <c r="Q139" s="28">
        <f t="shared" si="26"/>
        <v>14604.900000000003</v>
      </c>
      <c r="R139" s="28">
        <f t="shared" si="26"/>
        <v>3330723835.0842476</v>
      </c>
      <c r="S139" s="28">
        <f t="shared" si="26"/>
        <v>3363851144.8484154</v>
      </c>
      <c r="T139" s="28">
        <f t="shared" si="26"/>
        <v>33127309.749993101</v>
      </c>
      <c r="U139" s="28">
        <f t="shared" si="26"/>
        <v>0</v>
      </c>
      <c r="V139" s="28">
        <f t="shared" si="26"/>
        <v>3363851144.8342404</v>
      </c>
      <c r="W139" s="28">
        <f t="shared" si="26"/>
        <v>3363851144.8484154</v>
      </c>
      <c r="X139" s="28"/>
      <c r="Y139" s="28">
        <f t="shared" si="26"/>
        <v>0</v>
      </c>
      <c r="Z139" s="28">
        <f t="shared" si="26"/>
        <v>0</v>
      </c>
      <c r="AA139" s="28">
        <f t="shared" si="26"/>
        <v>64</v>
      </c>
      <c r="AE139" s="338"/>
      <c r="AF139" s="338"/>
    </row>
    <row r="140" spans="1:32" ht="12.75" customHeight="1">
      <c r="A140" s="24"/>
      <c r="B140" s="105">
        <f t="shared" si="24"/>
        <v>137</v>
      </c>
      <c r="C140" s="6">
        <v>510000</v>
      </c>
      <c r="D140" s="6" t="s">
        <v>513</v>
      </c>
      <c r="E140" s="9" t="s">
        <v>32</v>
      </c>
      <c r="F140" s="6"/>
      <c r="G140" s="6"/>
      <c r="H140" s="11">
        <f>+STAT3!V140</f>
        <v>0</v>
      </c>
      <c r="I140" s="11">
        <f>+STAT3!W140</f>
        <v>0</v>
      </c>
      <c r="J140" s="11">
        <f>+SUMIFS(JURNAL!G:G,JURNAL!E:E,C140,JURNAL!C:C,"&gt;="&amp;$H$1,JURNAL!C:C,"&lt;="&amp;$I$1)</f>
        <v>0</v>
      </c>
      <c r="K140" s="11">
        <f>+SUMIFS(JURNAL!H:H,JURNAL!E:E,C140,JURNAL!C:C,"&gt;="&amp;$H$1,JURNAL!C:C,"&lt;="&amp;$I$1)</f>
        <v>29763468.183636364</v>
      </c>
      <c r="L140" s="26">
        <f t="shared" ref="L140:L203" si="27">+IF((H140+J140)&gt;(I140+K140),(H140+J140)-(I140+K140),0)</f>
        <v>0</v>
      </c>
      <c r="M140" s="27">
        <f t="shared" ref="M140:M203" si="28">+IF((H140+J140)&lt;(I140+K140),(I140+K140)-(H140+J140),0)</f>
        <v>29763468.183636364</v>
      </c>
      <c r="N140" s="11"/>
      <c r="O140" s="11"/>
      <c r="P140" s="11"/>
      <c r="Q140" s="11"/>
      <c r="R140" s="26">
        <f t="shared" ref="R140:R203" si="29">+IF((L140+N140)&gt;(M140+O140),(L140+N140)-(M140+O140),0)</f>
        <v>0</v>
      </c>
      <c r="S140" s="27">
        <f t="shared" ref="S140:S203" si="30">+IF((L140+N140)&lt;(M140+O140),(M140+O140)-(L140+N140),0)</f>
        <v>29763468.183636364</v>
      </c>
      <c r="T140" s="11">
        <f t="shared" ref="T140:T203" si="31">+S140</f>
        <v>29763468.183636364</v>
      </c>
      <c r="U140" s="11">
        <f t="shared" ref="U140:U203" si="32">+R140</f>
        <v>0</v>
      </c>
      <c r="V140" s="26">
        <f t="shared" ref="V140:V203" si="33">+IF((R140+T140)&gt;(S140+U140),(R140+T140)-(S140+U140),0)</f>
        <v>0</v>
      </c>
      <c r="W140" s="27">
        <f t="shared" ref="W140:W203" si="34">+IF((R140+T140)&lt;(S140+U140),(S140+U140)-(R140+T140),0)</f>
        <v>0</v>
      </c>
      <c r="X140" s="4">
        <v>5101</v>
      </c>
      <c r="Y140" s="4"/>
      <c r="Z140" s="4"/>
      <c r="AA140" s="12">
        <f t="shared" ref="AA140:AA203" si="35">+IF(H140+I140+J140+K140+L140+M140+N140+O140+R140+S140+T140+U140+V140+W140,1,0)</f>
        <v>1</v>
      </c>
      <c r="AC140" s="82">
        <f>+T140+STAT3!T140+STAT2!T140+STAT1!T140</f>
        <v>272091054.27512431</v>
      </c>
      <c r="AD140" s="41">
        <f>+U140+STAT3!U140+STAT2!U140+STAT1!U140</f>
        <v>0</v>
      </c>
      <c r="AE140" s="338"/>
      <c r="AF140" s="338"/>
    </row>
    <row r="141" spans="1:32" ht="12.75" customHeight="1">
      <c r="A141" s="24"/>
      <c r="B141" s="105">
        <f t="shared" si="24"/>
        <v>138</v>
      </c>
      <c r="C141" s="6">
        <v>510100</v>
      </c>
      <c r="D141" s="6" t="s">
        <v>518</v>
      </c>
      <c r="E141" s="9" t="s">
        <v>32</v>
      </c>
      <c r="F141" s="6"/>
      <c r="G141" s="6"/>
      <c r="H141" s="11">
        <f>+STAT3!V141</f>
        <v>0</v>
      </c>
      <c r="I141" s="11">
        <f>+STAT3!W141</f>
        <v>0</v>
      </c>
      <c r="J141" s="11">
        <f>+SUMIFS(JURNAL!G:G,JURNAL!E:E,C141,JURNAL!C:C,"&gt;="&amp;$H$1,JURNAL!C:C,"&lt;="&amp;$I$1)</f>
        <v>0</v>
      </c>
      <c r="K141" s="11">
        <f>+SUMIFS(JURNAL!H:H,JURNAL!E:E,C141,JURNAL!C:C,"&gt;="&amp;$H$1,JURNAL!C:C,"&lt;="&amp;$I$1)</f>
        <v>44114426.420000002</v>
      </c>
      <c r="L141" s="26">
        <f t="shared" si="27"/>
        <v>0</v>
      </c>
      <c r="M141" s="27">
        <f t="shared" si="28"/>
        <v>44114426.420000002</v>
      </c>
      <c r="N141" s="11"/>
      <c r="O141" s="11"/>
      <c r="P141" s="11"/>
      <c r="Q141" s="11"/>
      <c r="R141" s="26">
        <f t="shared" si="29"/>
        <v>0</v>
      </c>
      <c r="S141" s="27">
        <f t="shared" si="30"/>
        <v>44114426.420000002</v>
      </c>
      <c r="T141" s="11">
        <f t="shared" si="31"/>
        <v>44114426.420000002</v>
      </c>
      <c r="U141" s="11">
        <f t="shared" si="32"/>
        <v>0</v>
      </c>
      <c r="V141" s="26">
        <f t="shared" si="33"/>
        <v>0</v>
      </c>
      <c r="W141" s="27">
        <f t="shared" si="34"/>
        <v>0</v>
      </c>
      <c r="X141" s="4">
        <v>5101</v>
      </c>
      <c r="Y141" s="4"/>
      <c r="Z141" s="4"/>
      <c r="AA141" s="12">
        <f t="shared" si="35"/>
        <v>1</v>
      </c>
      <c r="AC141" s="82">
        <f>+T141+STAT3!T141+STAT2!T141+STAT1!T141</f>
        <v>155418971.88</v>
      </c>
      <c r="AD141" s="41">
        <f>+U141+STAT3!U141+STAT2!U141+STAT1!U141</f>
        <v>0</v>
      </c>
      <c r="AE141" s="338"/>
      <c r="AF141" s="338"/>
    </row>
    <row r="142" spans="1:32" ht="12.75" customHeight="1">
      <c r="A142" s="24"/>
      <c r="B142" s="105">
        <f t="shared" si="24"/>
        <v>139</v>
      </c>
      <c r="C142" s="6">
        <v>510200</v>
      </c>
      <c r="D142" s="6" t="s">
        <v>523</v>
      </c>
      <c r="E142" s="9" t="s">
        <v>32</v>
      </c>
      <c r="F142" s="6"/>
      <c r="G142" s="6"/>
      <c r="H142" s="11">
        <f>+STAT3!V142</f>
        <v>0</v>
      </c>
      <c r="I142" s="11">
        <f>+STAT3!W142</f>
        <v>0</v>
      </c>
      <c r="J142" s="11">
        <f>+SUMIFS(JURNAL!G:G,JURNAL!E:E,C142,JURNAL!C:C,"&gt;="&amp;$H$1,JURNAL!C:C,"&lt;="&amp;$I$1)</f>
        <v>0</v>
      </c>
      <c r="K142" s="11">
        <f>+SUMIFS(JURNAL!H:H,JURNAL!E:E,C142,JURNAL!C:C,"&gt;="&amp;$H$1,JURNAL!C:C,"&lt;="&amp;$I$1)</f>
        <v>0</v>
      </c>
      <c r="L142" s="26">
        <f t="shared" si="27"/>
        <v>0</v>
      </c>
      <c r="M142" s="27">
        <f t="shared" si="28"/>
        <v>0</v>
      </c>
      <c r="N142" s="11"/>
      <c r="O142" s="11"/>
      <c r="P142" s="11"/>
      <c r="Q142" s="11"/>
      <c r="R142" s="26">
        <f t="shared" si="29"/>
        <v>0</v>
      </c>
      <c r="S142" s="27">
        <f t="shared" si="30"/>
        <v>0</v>
      </c>
      <c r="T142" s="11">
        <f t="shared" si="31"/>
        <v>0</v>
      </c>
      <c r="U142" s="11">
        <f t="shared" si="32"/>
        <v>0</v>
      </c>
      <c r="V142" s="26">
        <f t="shared" si="33"/>
        <v>0</v>
      </c>
      <c r="W142" s="27">
        <f t="shared" si="34"/>
        <v>0</v>
      </c>
      <c r="X142" s="4">
        <v>5101</v>
      </c>
      <c r="Y142" s="4"/>
      <c r="Z142" s="4"/>
      <c r="AA142" s="12">
        <f t="shared" si="35"/>
        <v>0</v>
      </c>
      <c r="AC142" s="82">
        <f>+T142+STAT3!T142+STAT2!T142+STAT1!T142</f>
        <v>0</v>
      </c>
      <c r="AD142" s="41">
        <f>+U142+STAT3!U142+STAT2!U142+STAT1!U142</f>
        <v>0</v>
      </c>
      <c r="AE142" s="338"/>
      <c r="AF142" s="338"/>
    </row>
    <row r="143" spans="1:32" ht="12.75" customHeight="1">
      <c r="A143" s="24"/>
      <c r="B143" s="105">
        <f t="shared" si="24"/>
        <v>140</v>
      </c>
      <c r="C143" s="6">
        <v>510300</v>
      </c>
      <c r="D143" s="6" t="s">
        <v>528</v>
      </c>
      <c r="E143" s="9" t="s">
        <v>32</v>
      </c>
      <c r="F143" s="6"/>
      <c r="G143" s="6"/>
      <c r="H143" s="11">
        <f>+STAT3!V143</f>
        <v>0</v>
      </c>
      <c r="I143" s="11">
        <f>+STAT3!W143</f>
        <v>0</v>
      </c>
      <c r="J143" s="11">
        <f>+SUMIFS(JURNAL!G:G,JURNAL!E:E,C143,JURNAL!C:C,"&gt;="&amp;$H$1,JURNAL!C:C,"&lt;="&amp;$I$1)</f>
        <v>0</v>
      </c>
      <c r="K143" s="11">
        <f>+SUMIFS(JURNAL!H:H,JURNAL!E:E,C143,JURNAL!C:C,"&gt;="&amp;$H$1,JURNAL!C:C,"&lt;="&amp;$I$1)</f>
        <v>0</v>
      </c>
      <c r="L143" s="26">
        <f t="shared" si="27"/>
        <v>0</v>
      </c>
      <c r="M143" s="27">
        <f t="shared" si="28"/>
        <v>0</v>
      </c>
      <c r="N143" s="11"/>
      <c r="O143" s="11"/>
      <c r="P143" s="11"/>
      <c r="Q143" s="11"/>
      <c r="R143" s="26">
        <f t="shared" si="29"/>
        <v>0</v>
      </c>
      <c r="S143" s="27">
        <f t="shared" si="30"/>
        <v>0</v>
      </c>
      <c r="T143" s="11">
        <f t="shared" si="31"/>
        <v>0</v>
      </c>
      <c r="U143" s="11">
        <f t="shared" si="32"/>
        <v>0</v>
      </c>
      <c r="V143" s="26">
        <f t="shared" si="33"/>
        <v>0</v>
      </c>
      <c r="W143" s="27">
        <f t="shared" si="34"/>
        <v>0</v>
      </c>
      <c r="X143" s="4">
        <v>5101</v>
      </c>
      <c r="Y143" s="4"/>
      <c r="Z143" s="4"/>
      <c r="AA143" s="12">
        <f t="shared" si="35"/>
        <v>0</v>
      </c>
      <c r="AC143" s="82">
        <f>+T143+STAT3!T143+STAT2!T143+STAT1!T143</f>
        <v>0</v>
      </c>
      <c r="AD143" s="41">
        <f>+U143+STAT3!U143+STAT2!U143+STAT1!U143</f>
        <v>0</v>
      </c>
      <c r="AE143" s="338"/>
      <c r="AF143" s="338"/>
    </row>
    <row r="144" spans="1:32" ht="12.75" customHeight="1">
      <c r="A144" s="24"/>
      <c r="B144" s="105">
        <f t="shared" si="24"/>
        <v>141</v>
      </c>
      <c r="C144" s="6">
        <v>510400</v>
      </c>
      <c r="D144" s="6" t="s">
        <v>534</v>
      </c>
      <c r="E144" s="9" t="s">
        <v>32</v>
      </c>
      <c r="F144" s="6"/>
      <c r="G144" s="6"/>
      <c r="H144" s="11">
        <f>+STAT3!V144</f>
        <v>0</v>
      </c>
      <c r="I144" s="11">
        <f>+STAT3!W144</f>
        <v>0</v>
      </c>
      <c r="J144" s="11">
        <f>+SUMIFS(JURNAL!G:G,JURNAL!E:E,C144,JURNAL!C:C,"&gt;="&amp;$H$1,JURNAL!C:C,"&lt;="&amp;$I$1)</f>
        <v>0</v>
      </c>
      <c r="K144" s="11">
        <f>+SUMIFS(JURNAL!H:H,JURNAL!E:E,C144,JURNAL!C:C,"&gt;="&amp;$H$1,JURNAL!C:C,"&lt;="&amp;$I$1)</f>
        <v>0</v>
      </c>
      <c r="L144" s="26">
        <f t="shared" si="27"/>
        <v>0</v>
      </c>
      <c r="M144" s="27">
        <f t="shared" si="28"/>
        <v>0</v>
      </c>
      <c r="N144" s="11"/>
      <c r="O144" s="11"/>
      <c r="P144" s="11"/>
      <c r="Q144" s="11"/>
      <c r="R144" s="26">
        <f t="shared" si="29"/>
        <v>0</v>
      </c>
      <c r="S144" s="27">
        <f t="shared" si="30"/>
        <v>0</v>
      </c>
      <c r="T144" s="11">
        <f t="shared" si="31"/>
        <v>0</v>
      </c>
      <c r="U144" s="11">
        <f t="shared" si="32"/>
        <v>0</v>
      </c>
      <c r="V144" s="26">
        <f t="shared" si="33"/>
        <v>0</v>
      </c>
      <c r="W144" s="27">
        <f t="shared" si="34"/>
        <v>0</v>
      </c>
      <c r="X144" s="4">
        <v>5101</v>
      </c>
      <c r="Y144" s="4"/>
      <c r="Z144" s="4"/>
      <c r="AA144" s="12">
        <f t="shared" si="35"/>
        <v>0</v>
      </c>
      <c r="AC144" s="82">
        <f>+T144+STAT3!T144+STAT2!T144+STAT1!T144</f>
        <v>0</v>
      </c>
      <c r="AD144" s="41">
        <f>+U144+STAT3!U144+STAT2!U144+STAT1!U144</f>
        <v>0</v>
      </c>
      <c r="AE144" s="338"/>
      <c r="AF144" s="338"/>
    </row>
    <row r="145" spans="1:32" ht="12.75" customHeight="1">
      <c r="A145" s="24"/>
      <c r="B145" s="105">
        <f t="shared" si="24"/>
        <v>142</v>
      </c>
      <c r="C145" s="6">
        <v>511000</v>
      </c>
      <c r="D145" s="6" t="s">
        <v>541</v>
      </c>
      <c r="E145" s="9" t="s">
        <v>32</v>
      </c>
      <c r="F145" s="6"/>
      <c r="G145" s="6"/>
      <c r="H145" s="11">
        <f>+STAT3!V145</f>
        <v>0</v>
      </c>
      <c r="I145" s="11">
        <f>+STAT3!W145</f>
        <v>0</v>
      </c>
      <c r="J145" s="11">
        <f>+SUMIFS(JURNAL!G:G,JURNAL!E:E,C145,JURNAL!C:C,"&gt;="&amp;$H$1,JURNAL!C:C,"&lt;="&amp;$I$1)</f>
        <v>0</v>
      </c>
      <c r="K145" s="11">
        <f>+SUMIFS(JURNAL!H:H,JURNAL!E:E,C145,JURNAL!C:C,"&gt;="&amp;$H$1,JURNAL!C:C,"&lt;="&amp;$I$1)</f>
        <v>0</v>
      </c>
      <c r="L145" s="26">
        <f t="shared" si="27"/>
        <v>0</v>
      </c>
      <c r="M145" s="27">
        <f t="shared" si="28"/>
        <v>0</v>
      </c>
      <c r="N145" s="11"/>
      <c r="O145" s="11"/>
      <c r="P145" s="11"/>
      <c r="Q145" s="11"/>
      <c r="R145" s="26">
        <f t="shared" si="29"/>
        <v>0</v>
      </c>
      <c r="S145" s="27">
        <f t="shared" si="30"/>
        <v>0</v>
      </c>
      <c r="T145" s="11">
        <f t="shared" si="31"/>
        <v>0</v>
      </c>
      <c r="U145" s="11">
        <f t="shared" si="32"/>
        <v>0</v>
      </c>
      <c r="V145" s="26">
        <f t="shared" si="33"/>
        <v>0</v>
      </c>
      <c r="W145" s="27">
        <f t="shared" si="34"/>
        <v>0</v>
      </c>
      <c r="X145" s="4">
        <v>8402</v>
      </c>
      <c r="Y145" s="4"/>
      <c r="Z145" s="4"/>
      <c r="AA145" s="12">
        <f t="shared" si="35"/>
        <v>0</v>
      </c>
      <c r="AC145" s="82">
        <f>+T145+STAT3!T145+STAT2!T145+STAT1!T145</f>
        <v>0</v>
      </c>
      <c r="AD145" s="41">
        <f>+U145+STAT3!U145+STAT2!U145+STAT1!U145</f>
        <v>0</v>
      </c>
      <c r="AE145" s="338"/>
      <c r="AF145" s="338"/>
    </row>
    <row r="146" spans="1:32" ht="12.75" customHeight="1">
      <c r="A146" s="24"/>
      <c r="B146" s="105">
        <f t="shared" si="24"/>
        <v>143</v>
      </c>
      <c r="C146" s="6">
        <v>511100</v>
      </c>
      <c r="D146" s="6" t="s">
        <v>548</v>
      </c>
      <c r="E146" s="9" t="s">
        <v>32</v>
      </c>
      <c r="F146" s="6"/>
      <c r="G146" s="6"/>
      <c r="H146" s="11">
        <f>+STAT3!V146</f>
        <v>0</v>
      </c>
      <c r="I146" s="11">
        <f>+STAT3!W146</f>
        <v>0</v>
      </c>
      <c r="J146" s="11">
        <f>+SUMIFS(JURNAL!G:G,JURNAL!E:E,C146,JURNAL!C:C,"&gt;="&amp;$H$1,JURNAL!C:C,"&lt;="&amp;$I$1)</f>
        <v>0</v>
      </c>
      <c r="K146" s="11">
        <f>+SUMIFS(JURNAL!H:H,JURNAL!E:E,C146,JURNAL!C:C,"&gt;="&amp;$H$1,JURNAL!C:C,"&lt;="&amp;$I$1)</f>
        <v>0</v>
      </c>
      <c r="L146" s="26">
        <f t="shared" si="27"/>
        <v>0</v>
      </c>
      <c r="M146" s="27">
        <f t="shared" si="28"/>
        <v>0</v>
      </c>
      <c r="N146" s="11"/>
      <c r="O146" s="11"/>
      <c r="P146" s="11"/>
      <c r="Q146" s="11"/>
      <c r="R146" s="26">
        <f t="shared" si="29"/>
        <v>0</v>
      </c>
      <c r="S146" s="27">
        <f t="shared" si="30"/>
        <v>0</v>
      </c>
      <c r="T146" s="11">
        <f t="shared" si="31"/>
        <v>0</v>
      </c>
      <c r="U146" s="11">
        <f t="shared" si="32"/>
        <v>0</v>
      </c>
      <c r="V146" s="26">
        <f t="shared" si="33"/>
        <v>0</v>
      </c>
      <c r="W146" s="27">
        <f t="shared" si="34"/>
        <v>0</v>
      </c>
      <c r="X146" s="4">
        <v>5111</v>
      </c>
      <c r="Y146" s="4"/>
      <c r="Z146" s="4"/>
      <c r="AA146" s="12">
        <f t="shared" si="35"/>
        <v>0</v>
      </c>
      <c r="AC146" s="82">
        <f>+T146+STAT3!T146+STAT2!T146+STAT1!T146</f>
        <v>0</v>
      </c>
      <c r="AD146" s="41">
        <f>+U146+STAT3!U146+STAT2!U146+STAT1!U146</f>
        <v>0</v>
      </c>
      <c r="AE146" s="338"/>
      <c r="AF146" s="338"/>
    </row>
    <row r="147" spans="1:32" ht="12.75" customHeight="1">
      <c r="A147" s="24"/>
      <c r="B147" s="105">
        <f t="shared" si="24"/>
        <v>144</v>
      </c>
      <c r="C147" s="6">
        <v>511200</v>
      </c>
      <c r="D147" s="6" t="s">
        <v>553</v>
      </c>
      <c r="E147" s="9" t="s">
        <v>32</v>
      </c>
      <c r="F147" s="6"/>
      <c r="G147" s="6"/>
      <c r="H147" s="11">
        <f>+STAT3!V147</f>
        <v>0</v>
      </c>
      <c r="I147" s="11">
        <f>+STAT3!W147</f>
        <v>0</v>
      </c>
      <c r="J147" s="11">
        <f>+SUMIFS(JURNAL!G:G,JURNAL!E:E,C147,JURNAL!C:C,"&gt;="&amp;$H$1,JURNAL!C:C,"&lt;="&amp;$I$1)</f>
        <v>0</v>
      </c>
      <c r="K147" s="11">
        <f>+SUMIFS(JURNAL!H:H,JURNAL!E:E,C147,JURNAL!C:C,"&gt;="&amp;$H$1,JURNAL!C:C,"&lt;="&amp;$I$1)</f>
        <v>0</v>
      </c>
      <c r="L147" s="26">
        <f t="shared" si="27"/>
        <v>0</v>
      </c>
      <c r="M147" s="27">
        <f t="shared" si="28"/>
        <v>0</v>
      </c>
      <c r="N147" s="11"/>
      <c r="O147" s="11"/>
      <c r="P147" s="11"/>
      <c r="Q147" s="11"/>
      <c r="R147" s="26">
        <f t="shared" si="29"/>
        <v>0</v>
      </c>
      <c r="S147" s="27">
        <f t="shared" si="30"/>
        <v>0</v>
      </c>
      <c r="T147" s="11">
        <f t="shared" si="31"/>
        <v>0</v>
      </c>
      <c r="U147" s="11">
        <f t="shared" si="32"/>
        <v>0</v>
      </c>
      <c r="V147" s="26">
        <f t="shared" si="33"/>
        <v>0</v>
      </c>
      <c r="W147" s="27">
        <f t="shared" si="34"/>
        <v>0</v>
      </c>
      <c r="X147" s="4">
        <v>5112</v>
      </c>
      <c r="Y147" s="4"/>
      <c r="Z147" s="4"/>
      <c r="AA147" s="12">
        <f t="shared" si="35"/>
        <v>0</v>
      </c>
      <c r="AC147" s="82">
        <f>+T147+STAT3!T147+STAT2!T147+STAT1!T147</f>
        <v>0</v>
      </c>
      <c r="AD147" s="41">
        <f>+U147+STAT3!U147+STAT2!U147+STAT1!U147</f>
        <v>0</v>
      </c>
      <c r="AE147" s="338"/>
      <c r="AF147" s="338"/>
    </row>
    <row r="148" spans="1:32" ht="12.75" customHeight="1">
      <c r="A148" s="24"/>
      <c r="B148" s="105">
        <f t="shared" si="24"/>
        <v>145</v>
      </c>
      <c r="C148" s="6">
        <v>511300</v>
      </c>
      <c r="D148" s="6" t="s">
        <v>558</v>
      </c>
      <c r="E148" s="9" t="s">
        <v>32</v>
      </c>
      <c r="F148" s="6"/>
      <c r="G148" s="6"/>
      <c r="H148" s="11">
        <f>+STAT3!V148</f>
        <v>0</v>
      </c>
      <c r="I148" s="11">
        <f>+STAT3!W148</f>
        <v>0</v>
      </c>
      <c r="J148" s="11">
        <f>+SUMIFS(JURNAL!G:G,JURNAL!E:E,C148,JURNAL!C:C,"&gt;="&amp;$H$1,JURNAL!C:C,"&lt;="&amp;$I$1)</f>
        <v>0</v>
      </c>
      <c r="K148" s="11">
        <f>+SUMIFS(JURNAL!H:H,JURNAL!E:E,C148,JURNAL!C:C,"&gt;="&amp;$H$1,JURNAL!C:C,"&lt;="&amp;$I$1)</f>
        <v>0</v>
      </c>
      <c r="L148" s="26">
        <f t="shared" si="27"/>
        <v>0</v>
      </c>
      <c r="M148" s="27">
        <f t="shared" si="28"/>
        <v>0</v>
      </c>
      <c r="N148" s="11"/>
      <c r="O148" s="11"/>
      <c r="P148" s="11"/>
      <c r="Q148" s="11"/>
      <c r="R148" s="26">
        <f t="shared" si="29"/>
        <v>0</v>
      </c>
      <c r="S148" s="27">
        <f t="shared" si="30"/>
        <v>0</v>
      </c>
      <c r="T148" s="11">
        <f t="shared" si="31"/>
        <v>0</v>
      </c>
      <c r="U148" s="11">
        <f t="shared" si="32"/>
        <v>0</v>
      </c>
      <c r="V148" s="26">
        <f t="shared" si="33"/>
        <v>0</v>
      </c>
      <c r="W148" s="27">
        <f t="shared" si="34"/>
        <v>0</v>
      </c>
      <c r="X148" s="4">
        <v>5113</v>
      </c>
      <c r="Y148" s="4"/>
      <c r="Z148" s="4"/>
      <c r="AA148" s="12">
        <f t="shared" si="35"/>
        <v>0</v>
      </c>
      <c r="AC148" s="82">
        <f>+T148+STAT3!T148+STAT2!T148+STAT1!T148</f>
        <v>0</v>
      </c>
      <c r="AD148" s="41">
        <f>+U148+STAT3!U148+STAT2!U148+STAT1!U148</f>
        <v>0</v>
      </c>
      <c r="AE148" s="338"/>
      <c r="AF148" s="338"/>
    </row>
    <row r="149" spans="1:32" ht="12.75" customHeight="1">
      <c r="A149" s="24"/>
      <c r="B149" s="105">
        <f t="shared" si="24"/>
        <v>146</v>
      </c>
      <c r="C149" s="6">
        <v>511400</v>
      </c>
      <c r="D149" s="6" t="s">
        <v>563</v>
      </c>
      <c r="E149" s="9" t="s">
        <v>32</v>
      </c>
      <c r="F149" s="6"/>
      <c r="G149" s="6"/>
      <c r="H149" s="11">
        <f>+STAT3!V149</f>
        <v>0</v>
      </c>
      <c r="I149" s="11">
        <f>+STAT3!W149</f>
        <v>0</v>
      </c>
      <c r="J149" s="11">
        <f>+SUMIFS(JURNAL!G:G,JURNAL!E:E,C149,JURNAL!C:C,"&gt;="&amp;$H$1,JURNAL!C:C,"&lt;="&amp;$I$1)</f>
        <v>0</v>
      </c>
      <c r="K149" s="11">
        <f>+SUMIFS(JURNAL!H:H,JURNAL!E:E,C149,JURNAL!C:C,"&gt;="&amp;$H$1,JURNAL!C:C,"&lt;="&amp;$I$1)</f>
        <v>0</v>
      </c>
      <c r="L149" s="26">
        <f t="shared" si="27"/>
        <v>0</v>
      </c>
      <c r="M149" s="27">
        <f t="shared" si="28"/>
        <v>0</v>
      </c>
      <c r="N149" s="11"/>
      <c r="O149" s="11"/>
      <c r="P149" s="11"/>
      <c r="Q149" s="11"/>
      <c r="R149" s="26">
        <f t="shared" si="29"/>
        <v>0</v>
      </c>
      <c r="S149" s="27">
        <f t="shared" si="30"/>
        <v>0</v>
      </c>
      <c r="T149" s="11">
        <f t="shared" si="31"/>
        <v>0</v>
      </c>
      <c r="U149" s="11">
        <f t="shared" si="32"/>
        <v>0</v>
      </c>
      <c r="V149" s="26">
        <f t="shared" si="33"/>
        <v>0</v>
      </c>
      <c r="W149" s="27">
        <f t="shared" si="34"/>
        <v>0</v>
      </c>
      <c r="X149" s="4">
        <v>5114</v>
      </c>
      <c r="Y149" s="4"/>
      <c r="Z149" s="4"/>
      <c r="AA149" s="12">
        <f t="shared" si="35"/>
        <v>0</v>
      </c>
      <c r="AC149" s="82">
        <f>+T149+STAT3!T149+STAT2!T149+STAT1!T149</f>
        <v>0</v>
      </c>
      <c r="AD149" s="41">
        <f>+U149+STAT3!U149+STAT2!U149+STAT1!U149</f>
        <v>0</v>
      </c>
      <c r="AE149" s="338"/>
      <c r="AF149" s="338"/>
    </row>
    <row r="150" spans="1:32" ht="12.75" customHeight="1">
      <c r="A150" s="24"/>
      <c r="B150" s="105">
        <f t="shared" si="24"/>
        <v>147</v>
      </c>
      <c r="C150" s="6">
        <v>511500</v>
      </c>
      <c r="D150" s="6" t="s">
        <v>568</v>
      </c>
      <c r="E150" s="9" t="s">
        <v>32</v>
      </c>
      <c r="F150" s="6"/>
      <c r="G150" s="6"/>
      <c r="H150" s="11">
        <f>+STAT3!V150</f>
        <v>0</v>
      </c>
      <c r="I150" s="11">
        <f>+STAT3!W150</f>
        <v>0</v>
      </c>
      <c r="J150" s="11">
        <f>+SUMIFS(JURNAL!G:G,JURNAL!E:E,C150,JURNAL!C:C,"&gt;="&amp;$H$1,JURNAL!C:C,"&lt;="&amp;$I$1)</f>
        <v>0</v>
      </c>
      <c r="K150" s="11">
        <f>+SUMIFS(JURNAL!H:H,JURNAL!E:E,C150,JURNAL!C:C,"&gt;="&amp;$H$1,JURNAL!C:C,"&lt;="&amp;$I$1)</f>
        <v>0</v>
      </c>
      <c r="L150" s="26">
        <f t="shared" si="27"/>
        <v>0</v>
      </c>
      <c r="M150" s="27">
        <f t="shared" si="28"/>
        <v>0</v>
      </c>
      <c r="N150" s="11"/>
      <c r="O150" s="11"/>
      <c r="P150" s="11"/>
      <c r="Q150" s="11"/>
      <c r="R150" s="26">
        <f t="shared" si="29"/>
        <v>0</v>
      </c>
      <c r="S150" s="27">
        <f t="shared" si="30"/>
        <v>0</v>
      </c>
      <c r="T150" s="11">
        <f t="shared" si="31"/>
        <v>0</v>
      </c>
      <c r="U150" s="11">
        <f t="shared" si="32"/>
        <v>0</v>
      </c>
      <c r="V150" s="26">
        <f t="shared" si="33"/>
        <v>0</v>
      </c>
      <c r="W150" s="27">
        <f t="shared" si="34"/>
        <v>0</v>
      </c>
      <c r="X150" s="4">
        <v>5115</v>
      </c>
      <c r="Y150" s="4"/>
      <c r="Z150" s="4"/>
      <c r="AA150" s="12">
        <f t="shared" si="35"/>
        <v>0</v>
      </c>
      <c r="AC150" s="82">
        <f>+T150+STAT3!T150+STAT2!T150+STAT1!T150</f>
        <v>0</v>
      </c>
      <c r="AD150" s="41">
        <f>+U150+STAT3!U150+STAT2!U150+STAT1!U150</f>
        <v>0</v>
      </c>
      <c r="AE150" s="338"/>
      <c r="AF150" s="338"/>
    </row>
    <row r="151" spans="1:32" ht="12.75" customHeight="1">
      <c r="A151" s="24"/>
      <c r="B151" s="105">
        <f t="shared" si="24"/>
        <v>148</v>
      </c>
      <c r="C151" s="6">
        <v>610100</v>
      </c>
      <c r="D151" s="6" t="s">
        <v>573</v>
      </c>
      <c r="E151" s="9" t="s">
        <v>32</v>
      </c>
      <c r="F151" s="6"/>
      <c r="G151" s="6"/>
      <c r="H151" s="11">
        <f>+STAT3!V151</f>
        <v>0</v>
      </c>
      <c r="I151" s="11">
        <f>+STAT3!W151</f>
        <v>0</v>
      </c>
      <c r="J151" s="11">
        <f>+SUMIFS(JURNAL!G:G,JURNAL!E:E,C151,JURNAL!C:C,"&gt;="&amp;$H$1,JURNAL!C:C,"&lt;="&amp;$I$1)</f>
        <v>17521228.327902209</v>
      </c>
      <c r="K151" s="11">
        <f>+SUMIFS(JURNAL!H:H,JURNAL!E:E,C151,JURNAL!C:C,"&gt;="&amp;$H$1,JURNAL!C:C,"&lt;="&amp;$I$1)</f>
        <v>0</v>
      </c>
      <c r="L151" s="26">
        <f t="shared" si="27"/>
        <v>17521228.327902209</v>
      </c>
      <c r="M151" s="27">
        <f t="shared" si="28"/>
        <v>0</v>
      </c>
      <c r="N151" s="11"/>
      <c r="O151" s="11"/>
      <c r="P151" s="11"/>
      <c r="Q151" s="11"/>
      <c r="R151" s="26">
        <f t="shared" si="29"/>
        <v>17521228.327902209</v>
      </c>
      <c r="S151" s="27">
        <f t="shared" si="30"/>
        <v>0</v>
      </c>
      <c r="T151" s="11">
        <f t="shared" si="31"/>
        <v>0</v>
      </c>
      <c r="U151" s="11">
        <f t="shared" si="32"/>
        <v>17521228.327902209</v>
      </c>
      <c r="V151" s="26">
        <f t="shared" si="33"/>
        <v>0</v>
      </c>
      <c r="W151" s="27">
        <f t="shared" si="34"/>
        <v>0</v>
      </c>
      <c r="X151" s="4">
        <v>6101</v>
      </c>
      <c r="Y151" s="4"/>
      <c r="Z151" s="4"/>
      <c r="AA151" s="12">
        <f t="shared" si="35"/>
        <v>1</v>
      </c>
      <c r="AC151" s="82">
        <f>+T151+STAT3!T151+STAT2!T151+STAT1!T151</f>
        <v>0</v>
      </c>
      <c r="AD151" s="41">
        <f>+U151+STAT3!U151+STAT2!U151+STAT1!U151</f>
        <v>182804303.33468905</v>
      </c>
      <c r="AE151" s="338"/>
      <c r="AF151" s="338"/>
    </row>
    <row r="152" spans="1:32" ht="12.75" customHeight="1">
      <c r="A152" s="24"/>
      <c r="B152" s="105">
        <f t="shared" si="24"/>
        <v>149</v>
      </c>
      <c r="C152" s="6">
        <v>610101</v>
      </c>
      <c r="D152" s="6" t="s">
        <v>973</v>
      </c>
      <c r="E152" s="9" t="s">
        <v>32</v>
      </c>
      <c r="F152" s="6"/>
      <c r="G152" s="6"/>
      <c r="H152" s="11">
        <f>+STAT3!V152</f>
        <v>0</v>
      </c>
      <c r="I152" s="11">
        <f>+STAT3!W152</f>
        <v>0</v>
      </c>
      <c r="J152" s="11">
        <f>+SUMIFS(JURNAL!G:G,JURNAL!E:E,C152,JURNAL!C:C,"&gt;="&amp;$H$1,JURNAL!C:C,"&lt;="&amp;$I$1)</f>
        <v>40438636.460000001</v>
      </c>
      <c r="K152" s="11">
        <f>+SUMIFS(JURNAL!H:H,JURNAL!E:E,C152,JURNAL!C:C,"&gt;="&amp;$H$1,JURNAL!C:C,"&lt;="&amp;$I$1)</f>
        <v>0</v>
      </c>
      <c r="L152" s="26">
        <f t="shared" si="27"/>
        <v>40438636.460000001</v>
      </c>
      <c r="M152" s="27">
        <f t="shared" si="28"/>
        <v>0</v>
      </c>
      <c r="N152" s="11"/>
      <c r="O152" s="11"/>
      <c r="P152" s="11"/>
      <c r="Q152" s="11"/>
      <c r="R152" s="26">
        <f t="shared" si="29"/>
        <v>40438636.460000001</v>
      </c>
      <c r="S152" s="27">
        <f t="shared" si="30"/>
        <v>0</v>
      </c>
      <c r="T152" s="11">
        <f t="shared" si="31"/>
        <v>0</v>
      </c>
      <c r="U152" s="11">
        <f t="shared" si="32"/>
        <v>40438636.460000001</v>
      </c>
      <c r="V152" s="26">
        <f t="shared" si="33"/>
        <v>0</v>
      </c>
      <c r="W152" s="27">
        <f t="shared" si="34"/>
        <v>0</v>
      </c>
      <c r="X152" s="4">
        <v>6101</v>
      </c>
      <c r="Y152" s="4"/>
      <c r="Z152" s="4"/>
      <c r="AA152" s="12">
        <f t="shared" si="35"/>
        <v>1</v>
      </c>
      <c r="AC152" s="82">
        <f>+T152+STAT3!T152+STAT2!T152+STAT1!T152</f>
        <v>0</v>
      </c>
      <c r="AD152" s="41">
        <f>+U152+STAT3!U152+STAT2!U152+STAT1!U152</f>
        <v>127847329.22250006</v>
      </c>
      <c r="AE152" s="338"/>
      <c r="AF152" s="338"/>
    </row>
    <row r="153" spans="1:32" ht="12.75" customHeight="1">
      <c r="A153" s="24"/>
      <c r="B153" s="105">
        <f t="shared" si="24"/>
        <v>150</v>
      </c>
      <c r="C153" s="6">
        <v>610200</v>
      </c>
      <c r="D153" s="6" t="s">
        <v>578</v>
      </c>
      <c r="E153" s="9" t="s">
        <v>32</v>
      </c>
      <c r="F153" s="6"/>
      <c r="G153" s="6"/>
      <c r="H153" s="11">
        <f>+STAT3!V153</f>
        <v>0</v>
      </c>
      <c r="I153" s="11">
        <f>+STAT3!W153</f>
        <v>0</v>
      </c>
      <c r="J153" s="11">
        <f>+SUMIFS(JURNAL!G:G,JURNAL!E:E,C153,JURNAL!C:C,"&gt;="&amp;$H$1,JURNAL!C:C,"&lt;="&amp;$I$1)</f>
        <v>0</v>
      </c>
      <c r="K153" s="11">
        <f>+SUMIFS(JURNAL!H:H,JURNAL!E:E,C153,JURNAL!C:C,"&gt;="&amp;$H$1,JURNAL!C:C,"&lt;="&amp;$I$1)</f>
        <v>0</v>
      </c>
      <c r="L153" s="26">
        <f t="shared" si="27"/>
        <v>0</v>
      </c>
      <c r="M153" s="27">
        <f t="shared" si="28"/>
        <v>0</v>
      </c>
      <c r="N153" s="11"/>
      <c r="O153" s="11"/>
      <c r="P153" s="11"/>
      <c r="Q153" s="11"/>
      <c r="R153" s="26">
        <f t="shared" si="29"/>
        <v>0</v>
      </c>
      <c r="S153" s="27">
        <f t="shared" si="30"/>
        <v>0</v>
      </c>
      <c r="T153" s="11">
        <f t="shared" si="31"/>
        <v>0</v>
      </c>
      <c r="U153" s="11">
        <f t="shared" si="32"/>
        <v>0</v>
      </c>
      <c r="V153" s="26">
        <f t="shared" si="33"/>
        <v>0</v>
      </c>
      <c r="W153" s="27">
        <f t="shared" si="34"/>
        <v>0</v>
      </c>
      <c r="X153" s="4">
        <v>6101</v>
      </c>
      <c r="Y153" s="4"/>
      <c r="Z153" s="4"/>
      <c r="AA153" s="12">
        <f t="shared" si="35"/>
        <v>0</v>
      </c>
      <c r="AC153" s="82">
        <f>+T153+STAT3!T153+STAT2!T153+STAT1!T153</f>
        <v>0</v>
      </c>
      <c r="AD153" s="41">
        <f>+U153+STAT3!U153+STAT2!U153+STAT1!U153</f>
        <v>0</v>
      </c>
      <c r="AE153" s="338"/>
      <c r="AF153" s="338"/>
    </row>
    <row r="154" spans="1:32" ht="12.75" customHeight="1">
      <c r="A154" s="24"/>
      <c r="B154" s="105">
        <f t="shared" si="24"/>
        <v>151</v>
      </c>
      <c r="C154" s="6">
        <v>610300</v>
      </c>
      <c r="D154" s="6" t="s">
        <v>583</v>
      </c>
      <c r="E154" s="9" t="s">
        <v>32</v>
      </c>
      <c r="F154" s="6"/>
      <c r="G154" s="6"/>
      <c r="H154" s="11">
        <f>+STAT3!V154</f>
        <v>0</v>
      </c>
      <c r="I154" s="11">
        <f>+STAT3!W154</f>
        <v>0</v>
      </c>
      <c r="J154" s="11">
        <f>+SUMIFS(JURNAL!G:G,JURNAL!E:E,C154,JURNAL!C:C,"&gt;="&amp;$H$1,JURNAL!C:C,"&lt;="&amp;$I$1)</f>
        <v>0</v>
      </c>
      <c r="K154" s="11">
        <f>+SUMIFS(JURNAL!H:H,JURNAL!E:E,C154,JURNAL!C:C,"&gt;="&amp;$H$1,JURNAL!C:C,"&lt;="&amp;$I$1)</f>
        <v>0</v>
      </c>
      <c r="L154" s="26">
        <f t="shared" si="27"/>
        <v>0</v>
      </c>
      <c r="M154" s="27">
        <f t="shared" si="28"/>
        <v>0</v>
      </c>
      <c r="N154" s="11"/>
      <c r="O154" s="11"/>
      <c r="P154" s="11"/>
      <c r="Q154" s="11"/>
      <c r="R154" s="26">
        <f t="shared" si="29"/>
        <v>0</v>
      </c>
      <c r="S154" s="27">
        <f t="shared" si="30"/>
        <v>0</v>
      </c>
      <c r="T154" s="11">
        <f t="shared" si="31"/>
        <v>0</v>
      </c>
      <c r="U154" s="11">
        <f t="shared" si="32"/>
        <v>0</v>
      </c>
      <c r="V154" s="26">
        <f t="shared" si="33"/>
        <v>0</v>
      </c>
      <c r="W154" s="27">
        <f t="shared" si="34"/>
        <v>0</v>
      </c>
      <c r="X154" s="4">
        <v>6101</v>
      </c>
      <c r="Y154" s="4"/>
      <c r="Z154" s="4"/>
      <c r="AA154" s="12">
        <f t="shared" si="35"/>
        <v>0</v>
      </c>
      <c r="AC154" s="82">
        <f>+T154+STAT3!T154+STAT2!T154+STAT1!T154</f>
        <v>0</v>
      </c>
      <c r="AD154" s="41">
        <f>+U154+STAT3!U154+STAT2!U154+STAT1!U154</f>
        <v>0</v>
      </c>
      <c r="AE154" s="338"/>
      <c r="AF154" s="338"/>
    </row>
    <row r="155" spans="1:32" ht="12.75" customHeight="1">
      <c r="A155" s="24"/>
      <c r="B155" s="105">
        <f t="shared" si="24"/>
        <v>152</v>
      </c>
      <c r="C155" s="6">
        <v>700100</v>
      </c>
      <c r="D155" s="6" t="s">
        <v>276</v>
      </c>
      <c r="E155" s="9" t="s">
        <v>32</v>
      </c>
      <c r="F155" s="6"/>
      <c r="G155" s="6"/>
      <c r="H155" s="11">
        <f>+STAT3!V155</f>
        <v>0</v>
      </c>
      <c r="I155" s="11">
        <f>+STAT3!W155</f>
        <v>0</v>
      </c>
      <c r="J155" s="11">
        <f>+SUMIFS(JURNAL!G:G,JURNAL!E:E,C155,JURNAL!C:C,"&gt;="&amp;$H$1,JURNAL!C:C,"&lt;="&amp;$I$1)</f>
        <v>38111465.13636364</v>
      </c>
      <c r="K155" s="11">
        <f>+SUMIFS(JURNAL!H:H,JURNAL!E:E,C155,JURNAL!C:C,"&gt;="&amp;$H$1,JURNAL!C:C,"&lt;="&amp;$I$1)</f>
        <v>20911465.140000001</v>
      </c>
      <c r="L155" s="26">
        <f t="shared" si="27"/>
        <v>17199999.99636364</v>
      </c>
      <c r="M155" s="27">
        <f t="shared" si="28"/>
        <v>0</v>
      </c>
      <c r="N155" s="11"/>
      <c r="O155" s="11"/>
      <c r="P155" s="11"/>
      <c r="Q155" s="11"/>
      <c r="R155" s="26">
        <f t="shared" si="29"/>
        <v>17199999.99636364</v>
      </c>
      <c r="S155" s="27">
        <f t="shared" si="30"/>
        <v>0</v>
      </c>
      <c r="T155" s="11">
        <f t="shared" si="31"/>
        <v>0</v>
      </c>
      <c r="U155" s="11">
        <f t="shared" si="32"/>
        <v>17199999.99636364</v>
      </c>
      <c r="V155" s="26">
        <f t="shared" si="33"/>
        <v>0</v>
      </c>
      <c r="W155" s="27">
        <f t="shared" si="34"/>
        <v>0</v>
      </c>
      <c r="X155" s="4">
        <v>7002</v>
      </c>
      <c r="Y155" s="4"/>
      <c r="Z155" s="4"/>
      <c r="AA155" s="12">
        <f t="shared" si="35"/>
        <v>1</v>
      </c>
      <c r="AC155" s="82">
        <f>+T155+STAT3!T155+STAT2!T155+STAT1!T155</f>
        <v>0</v>
      </c>
      <c r="AD155" s="41">
        <f>+U155+STAT3!U155+STAT2!U155+STAT1!U155</f>
        <v>58994321.192674369</v>
      </c>
      <c r="AE155" s="575"/>
      <c r="AF155" s="575"/>
    </row>
    <row r="156" spans="1:32" ht="12.75" customHeight="1">
      <c r="A156" s="24"/>
      <c r="B156" s="105">
        <f t="shared" si="24"/>
        <v>153</v>
      </c>
      <c r="C156" s="6">
        <v>700200</v>
      </c>
      <c r="D156" s="6" t="s">
        <v>596</v>
      </c>
      <c r="E156" s="9" t="s">
        <v>32</v>
      </c>
      <c r="F156" s="6"/>
      <c r="G156" s="6"/>
      <c r="H156" s="11">
        <f>+STAT3!V156</f>
        <v>0</v>
      </c>
      <c r="I156" s="11">
        <f>+STAT3!W156</f>
        <v>0</v>
      </c>
      <c r="J156" s="11">
        <f>+SUMIFS(JURNAL!G:G,JURNAL!E:E,C156,JURNAL!C:C,"&gt;="&amp;$H$1,JURNAL!C:C,"&lt;="&amp;$I$1)</f>
        <v>4547456.8163636364</v>
      </c>
      <c r="K156" s="11">
        <f>+SUMIFS(JURNAL!H:H,JURNAL!E:E,C156,JURNAL!C:C,"&gt;="&amp;$H$1,JURNAL!C:C,"&lt;="&amp;$I$1)</f>
        <v>2483456.8199999998</v>
      </c>
      <c r="L156" s="26">
        <f t="shared" si="27"/>
        <v>2063999.9963636366</v>
      </c>
      <c r="M156" s="27">
        <f t="shared" si="28"/>
        <v>0</v>
      </c>
      <c r="N156" s="11"/>
      <c r="O156" s="11"/>
      <c r="P156" s="11"/>
      <c r="Q156" s="11"/>
      <c r="R156" s="26">
        <f t="shared" si="29"/>
        <v>2063999.9963636366</v>
      </c>
      <c r="S156" s="27">
        <f t="shared" si="30"/>
        <v>0</v>
      </c>
      <c r="T156" s="11">
        <f t="shared" si="31"/>
        <v>0</v>
      </c>
      <c r="U156" s="11">
        <f t="shared" si="32"/>
        <v>2063999.9963636366</v>
      </c>
      <c r="V156" s="26">
        <f t="shared" si="33"/>
        <v>0</v>
      </c>
      <c r="W156" s="27">
        <f t="shared" si="34"/>
        <v>0</v>
      </c>
      <c r="X156" s="4">
        <v>7002</v>
      </c>
      <c r="Y156" s="4"/>
      <c r="Z156" s="4"/>
      <c r="AA156" s="12">
        <f t="shared" si="35"/>
        <v>1</v>
      </c>
      <c r="AC156" s="82">
        <f>+T156+STAT3!T156+STAT2!T156+STAT1!T156</f>
        <v>0</v>
      </c>
      <c r="AD156" s="41">
        <f>+U156+STAT3!U156+STAT2!U156+STAT1!U156</f>
        <v>7563372.7032683995</v>
      </c>
      <c r="AE156" s="575"/>
      <c r="AF156" s="575"/>
    </row>
    <row r="157" spans="1:32" ht="12.75" customHeight="1">
      <c r="A157" s="24"/>
      <c r="B157" s="105">
        <f t="shared" si="24"/>
        <v>154</v>
      </c>
      <c r="C157" s="6">
        <v>700700</v>
      </c>
      <c r="D157" s="6" t="s">
        <v>601</v>
      </c>
      <c r="E157" s="9" t="s">
        <v>32</v>
      </c>
      <c r="F157" s="6"/>
      <c r="G157" s="6"/>
      <c r="H157" s="11">
        <f>+STAT3!V157</f>
        <v>0</v>
      </c>
      <c r="I157" s="11">
        <f>+STAT3!W157</f>
        <v>0</v>
      </c>
      <c r="J157" s="11">
        <f>+SUMIFS(JURNAL!G:G,JURNAL!E:E,C157,JURNAL!C:C,"&gt;="&amp;$H$1,JURNAL!C:C,"&lt;="&amp;$I$1)</f>
        <v>7483156.5800000001</v>
      </c>
      <c r="K157" s="11">
        <f>+SUMIFS(JURNAL!H:H,JURNAL!E:E,C157,JURNAL!C:C,"&gt;="&amp;$H$1,JURNAL!C:C,"&lt;="&amp;$I$1)</f>
        <v>7108998.75</v>
      </c>
      <c r="L157" s="26">
        <f t="shared" si="27"/>
        <v>374157.83000000007</v>
      </c>
      <c r="M157" s="27">
        <f t="shared" si="28"/>
        <v>0</v>
      </c>
      <c r="N157" s="11"/>
      <c r="O157" s="11"/>
      <c r="P157" s="11"/>
      <c r="Q157" s="11"/>
      <c r="R157" s="26">
        <f t="shared" si="29"/>
        <v>374157.83000000007</v>
      </c>
      <c r="S157" s="27">
        <f t="shared" si="30"/>
        <v>0</v>
      </c>
      <c r="T157" s="11">
        <f t="shared" si="31"/>
        <v>0</v>
      </c>
      <c r="U157" s="11">
        <f t="shared" si="32"/>
        <v>374157.83000000007</v>
      </c>
      <c r="V157" s="26">
        <f t="shared" si="33"/>
        <v>0</v>
      </c>
      <c r="W157" s="27">
        <f t="shared" si="34"/>
        <v>0</v>
      </c>
      <c r="X157" s="4">
        <v>7002</v>
      </c>
      <c r="Y157" s="4"/>
      <c r="Z157" s="4"/>
      <c r="AA157" s="12">
        <f t="shared" si="35"/>
        <v>1</v>
      </c>
      <c r="AC157" s="82">
        <f>+T157+STAT3!T157+STAT2!T157+STAT1!T157</f>
        <v>0</v>
      </c>
      <c r="AD157" s="41">
        <f>+U157+STAT3!U157+STAT2!U157+STAT1!U157</f>
        <v>1149342.1749999998</v>
      </c>
      <c r="AE157" s="575"/>
      <c r="AF157" s="575"/>
    </row>
    <row r="158" spans="1:32" ht="12.75" customHeight="1">
      <c r="A158" s="24"/>
      <c r="B158" s="105">
        <f t="shared" si="24"/>
        <v>155</v>
      </c>
      <c r="C158" s="6">
        <v>700800</v>
      </c>
      <c r="D158" s="6" t="s">
        <v>606</v>
      </c>
      <c r="E158" s="9" t="s">
        <v>32</v>
      </c>
      <c r="F158" s="6"/>
      <c r="G158" s="6"/>
      <c r="H158" s="11">
        <f>+STAT3!V158</f>
        <v>0</v>
      </c>
      <c r="I158" s="11">
        <f>+STAT3!W158</f>
        <v>0</v>
      </c>
      <c r="J158" s="11">
        <f>+SUMIFS(JURNAL!G:G,JURNAL!E:E,C158,JURNAL!C:C,"&gt;="&amp;$H$1,JURNAL!C:C,"&lt;="&amp;$I$1)</f>
        <v>3789086.46</v>
      </c>
      <c r="K158" s="11">
        <f>+SUMIFS(JURNAL!H:H,JURNAL!E:E,C158,JURNAL!C:C,"&gt;="&amp;$H$1,JURNAL!C:C,"&lt;="&amp;$I$1)</f>
        <v>3353900.68</v>
      </c>
      <c r="L158" s="26">
        <f t="shared" si="27"/>
        <v>435185.7799999998</v>
      </c>
      <c r="M158" s="27">
        <f t="shared" si="28"/>
        <v>0</v>
      </c>
      <c r="N158" s="11"/>
      <c r="O158" s="11"/>
      <c r="P158" s="11"/>
      <c r="Q158" s="11"/>
      <c r="R158" s="26">
        <f t="shared" si="29"/>
        <v>435185.7799999998</v>
      </c>
      <c r="S158" s="27">
        <f t="shared" si="30"/>
        <v>0</v>
      </c>
      <c r="T158" s="11">
        <f t="shared" si="31"/>
        <v>0</v>
      </c>
      <c r="U158" s="11">
        <f t="shared" si="32"/>
        <v>435185.7799999998</v>
      </c>
      <c r="V158" s="26">
        <f t="shared" si="33"/>
        <v>0</v>
      </c>
      <c r="W158" s="27">
        <f t="shared" si="34"/>
        <v>0</v>
      </c>
      <c r="X158" s="4">
        <v>7002</v>
      </c>
      <c r="Y158" s="4"/>
      <c r="Z158" s="4"/>
      <c r="AA158" s="12">
        <f t="shared" si="35"/>
        <v>1</v>
      </c>
      <c r="AC158" s="82">
        <f>+T158+STAT3!T158+STAT2!T158+STAT1!T158</f>
        <v>0</v>
      </c>
      <c r="AD158" s="41">
        <f>+U158+STAT3!U158+STAT2!U158+STAT1!U158</f>
        <v>1078702.6190000023</v>
      </c>
      <c r="AE158" s="575"/>
      <c r="AF158" s="575"/>
    </row>
    <row r="159" spans="1:32" ht="12.75" customHeight="1">
      <c r="A159" s="24"/>
      <c r="B159" s="105">
        <f t="shared" si="24"/>
        <v>156</v>
      </c>
      <c r="C159" s="6">
        <v>700900</v>
      </c>
      <c r="D159" s="6" t="s">
        <v>611</v>
      </c>
      <c r="E159" s="9" t="s">
        <v>32</v>
      </c>
      <c r="F159" s="6"/>
      <c r="G159" s="6"/>
      <c r="H159" s="11">
        <f>+STAT3!V159</f>
        <v>0</v>
      </c>
      <c r="I159" s="11">
        <f>+STAT3!W159</f>
        <v>0</v>
      </c>
      <c r="J159" s="11">
        <f>+SUMIFS(JURNAL!G:G,JURNAL!E:E,C159,JURNAL!C:C,"&gt;="&amp;$H$1,JURNAL!C:C,"&lt;="&amp;$I$1)</f>
        <v>3832918.28</v>
      </c>
      <c r="K159" s="11">
        <f>+SUMIFS(JURNAL!H:H,JURNAL!E:E,C159,JURNAL!C:C,"&gt;="&amp;$H$1,JURNAL!C:C,"&lt;="&amp;$I$1)</f>
        <v>3800319.08</v>
      </c>
      <c r="L159" s="26">
        <f t="shared" si="27"/>
        <v>32599.199999999721</v>
      </c>
      <c r="M159" s="27">
        <f t="shared" si="28"/>
        <v>0</v>
      </c>
      <c r="N159" s="11"/>
      <c r="O159" s="11"/>
      <c r="P159" s="11"/>
      <c r="Q159" s="11"/>
      <c r="R159" s="26">
        <f t="shared" si="29"/>
        <v>32599.199999999721</v>
      </c>
      <c r="S159" s="27">
        <f t="shared" si="30"/>
        <v>0</v>
      </c>
      <c r="T159" s="11">
        <f t="shared" si="31"/>
        <v>0</v>
      </c>
      <c r="U159" s="11">
        <f t="shared" si="32"/>
        <v>32599.199999999721</v>
      </c>
      <c r="V159" s="26">
        <f t="shared" si="33"/>
        <v>0</v>
      </c>
      <c r="W159" s="27">
        <f t="shared" si="34"/>
        <v>0</v>
      </c>
      <c r="X159" s="4">
        <v>7002</v>
      </c>
      <c r="Y159" s="4"/>
      <c r="Z159" s="4"/>
      <c r="AA159" s="12">
        <f t="shared" si="35"/>
        <v>1</v>
      </c>
      <c r="AC159" s="82">
        <f>+T159+STAT3!T159+STAT2!T159+STAT1!T159</f>
        <v>0</v>
      </c>
      <c r="AD159" s="41">
        <f>+U159+STAT3!U159+STAT2!U159+STAT1!U159</f>
        <v>397769.14999999979</v>
      </c>
      <c r="AE159" s="575"/>
      <c r="AF159" s="575"/>
    </row>
    <row r="160" spans="1:32" ht="12.75" customHeight="1">
      <c r="A160" s="24"/>
      <c r="B160" s="105">
        <f t="shared" si="24"/>
        <v>157</v>
      </c>
      <c r="C160" s="6">
        <v>701000</v>
      </c>
      <c r="D160" s="6" t="s">
        <v>616</v>
      </c>
      <c r="E160" s="9" t="s">
        <v>32</v>
      </c>
      <c r="F160" s="6"/>
      <c r="G160" s="6"/>
      <c r="H160" s="11">
        <f>+STAT3!V160</f>
        <v>0</v>
      </c>
      <c r="I160" s="11">
        <f>+STAT3!W160</f>
        <v>0</v>
      </c>
      <c r="J160" s="11">
        <f>+SUMIFS(JURNAL!G:G,JURNAL!E:E,C160,JURNAL!C:C,"&gt;="&amp;$H$1,JURNAL!C:C,"&lt;="&amp;$I$1)</f>
        <v>0</v>
      </c>
      <c r="K160" s="11">
        <f>+SUMIFS(JURNAL!H:H,JURNAL!E:E,C160,JURNAL!C:C,"&gt;="&amp;$H$1,JURNAL!C:C,"&lt;="&amp;$I$1)</f>
        <v>0</v>
      </c>
      <c r="L160" s="26">
        <f t="shared" si="27"/>
        <v>0</v>
      </c>
      <c r="M160" s="27">
        <f t="shared" si="28"/>
        <v>0</v>
      </c>
      <c r="N160" s="11"/>
      <c r="O160" s="11"/>
      <c r="P160" s="11"/>
      <c r="Q160" s="11"/>
      <c r="R160" s="26">
        <f t="shared" si="29"/>
        <v>0</v>
      </c>
      <c r="S160" s="27">
        <f t="shared" si="30"/>
        <v>0</v>
      </c>
      <c r="T160" s="11">
        <f t="shared" si="31"/>
        <v>0</v>
      </c>
      <c r="U160" s="11">
        <f t="shared" si="32"/>
        <v>0</v>
      </c>
      <c r="V160" s="26">
        <f t="shared" si="33"/>
        <v>0</v>
      </c>
      <c r="W160" s="27">
        <f t="shared" si="34"/>
        <v>0</v>
      </c>
      <c r="X160" s="4">
        <v>7002</v>
      </c>
      <c r="Y160" s="4"/>
      <c r="Z160" s="4"/>
      <c r="AA160" s="12">
        <f t="shared" si="35"/>
        <v>0</v>
      </c>
      <c r="AC160" s="82">
        <f>+T160+STAT3!T160+STAT2!T160+STAT1!T160</f>
        <v>0</v>
      </c>
      <c r="AD160" s="41">
        <f>+U160+STAT3!U160+STAT2!U160+STAT1!U160</f>
        <v>0</v>
      </c>
      <c r="AE160" s="575"/>
      <c r="AF160" s="575"/>
    </row>
    <row r="161" spans="1:32" ht="12.75" customHeight="1">
      <c r="A161" s="24"/>
      <c r="B161" s="105">
        <f t="shared" si="24"/>
        <v>158</v>
      </c>
      <c r="C161" s="6">
        <v>701100</v>
      </c>
      <c r="D161" s="6" t="s">
        <v>278</v>
      </c>
      <c r="E161" s="9" t="s">
        <v>32</v>
      </c>
      <c r="F161" s="6"/>
      <c r="G161" s="6"/>
      <c r="H161" s="11">
        <f>+STAT3!V161</f>
        <v>0</v>
      </c>
      <c r="I161" s="11">
        <f>+STAT3!W161</f>
        <v>0</v>
      </c>
      <c r="J161" s="11">
        <f>+SUMIFS(JURNAL!G:G,JURNAL!E:E,C161,JURNAL!C:C,"&gt;="&amp;$H$1,JURNAL!C:C,"&lt;="&amp;$I$1)</f>
        <v>0</v>
      </c>
      <c r="K161" s="11">
        <f>+SUMIFS(JURNAL!H:H,JURNAL!E:E,C161,JURNAL!C:C,"&gt;="&amp;$H$1,JURNAL!C:C,"&lt;="&amp;$I$1)</f>
        <v>0</v>
      </c>
      <c r="L161" s="26">
        <f t="shared" si="27"/>
        <v>0</v>
      </c>
      <c r="M161" s="27">
        <f t="shared" si="28"/>
        <v>0</v>
      </c>
      <c r="N161" s="11"/>
      <c r="O161" s="11"/>
      <c r="P161" s="11"/>
      <c r="Q161" s="11"/>
      <c r="R161" s="26">
        <f t="shared" si="29"/>
        <v>0</v>
      </c>
      <c r="S161" s="27">
        <f t="shared" si="30"/>
        <v>0</v>
      </c>
      <c r="T161" s="11">
        <f t="shared" si="31"/>
        <v>0</v>
      </c>
      <c r="U161" s="11">
        <f t="shared" si="32"/>
        <v>0</v>
      </c>
      <c r="V161" s="26">
        <f t="shared" si="33"/>
        <v>0</v>
      </c>
      <c r="W161" s="27">
        <f t="shared" si="34"/>
        <v>0</v>
      </c>
      <c r="X161" s="4">
        <v>7002</v>
      </c>
      <c r="Y161" s="4"/>
      <c r="Z161" s="4"/>
      <c r="AA161" s="12">
        <f t="shared" si="35"/>
        <v>0</v>
      </c>
      <c r="AC161" s="82">
        <f>+T161+STAT3!T161+STAT2!T161+STAT1!T161</f>
        <v>0</v>
      </c>
      <c r="AD161" s="41">
        <f>+U161+STAT3!U161+STAT2!U161+STAT1!U161</f>
        <v>0</v>
      </c>
      <c r="AE161" s="575"/>
      <c r="AF161" s="575"/>
    </row>
    <row r="162" spans="1:32" ht="12.75" customHeight="1">
      <c r="A162" s="24"/>
      <c r="B162" s="105">
        <f t="shared" si="24"/>
        <v>159</v>
      </c>
      <c r="C162" s="6">
        <v>701200</v>
      </c>
      <c r="D162" s="6" t="s">
        <v>279</v>
      </c>
      <c r="E162" s="9" t="s">
        <v>32</v>
      </c>
      <c r="F162" s="6"/>
      <c r="G162" s="6"/>
      <c r="H162" s="11">
        <f>+STAT3!V162</f>
        <v>0</v>
      </c>
      <c r="I162" s="11">
        <f>+STAT3!W162</f>
        <v>0</v>
      </c>
      <c r="J162" s="11">
        <f>+SUMIFS(JURNAL!G:G,JURNAL!E:E,C162,JURNAL!C:C,"&gt;="&amp;$H$1,JURNAL!C:C,"&lt;="&amp;$I$1)</f>
        <v>0</v>
      </c>
      <c r="K162" s="11">
        <f>+SUMIFS(JURNAL!H:H,JURNAL!E:E,C162,JURNAL!C:C,"&gt;="&amp;$H$1,JURNAL!C:C,"&lt;="&amp;$I$1)</f>
        <v>0</v>
      </c>
      <c r="L162" s="26">
        <f t="shared" si="27"/>
        <v>0</v>
      </c>
      <c r="M162" s="27">
        <f t="shared" si="28"/>
        <v>0</v>
      </c>
      <c r="N162" s="11"/>
      <c r="O162" s="11"/>
      <c r="P162" s="11"/>
      <c r="Q162" s="11"/>
      <c r="R162" s="26">
        <f t="shared" si="29"/>
        <v>0</v>
      </c>
      <c r="S162" s="27">
        <f t="shared" si="30"/>
        <v>0</v>
      </c>
      <c r="T162" s="11">
        <f t="shared" si="31"/>
        <v>0</v>
      </c>
      <c r="U162" s="11">
        <f t="shared" si="32"/>
        <v>0</v>
      </c>
      <c r="V162" s="26">
        <f t="shared" si="33"/>
        <v>0</v>
      </c>
      <c r="W162" s="27">
        <f t="shared" si="34"/>
        <v>0</v>
      </c>
      <c r="X162" s="4">
        <v>7002</v>
      </c>
      <c r="Y162" s="4"/>
      <c r="Z162" s="4"/>
      <c r="AA162" s="12">
        <f t="shared" si="35"/>
        <v>0</v>
      </c>
      <c r="AC162" s="82">
        <f>+T162+STAT3!T162+STAT2!T162+STAT1!T162</f>
        <v>0</v>
      </c>
      <c r="AD162" s="41">
        <f>+U162+STAT3!U162+STAT2!U162+STAT1!U162</f>
        <v>0</v>
      </c>
      <c r="AE162" s="575"/>
      <c r="AF162" s="575"/>
    </row>
    <row r="163" spans="1:32" ht="12.75" customHeight="1">
      <c r="A163" s="24"/>
      <c r="B163" s="105">
        <f t="shared" si="24"/>
        <v>160</v>
      </c>
      <c r="C163" s="6">
        <v>701300</v>
      </c>
      <c r="D163" s="6" t="s">
        <v>280</v>
      </c>
      <c r="E163" s="9" t="s">
        <v>32</v>
      </c>
      <c r="F163" s="6"/>
      <c r="G163" s="6"/>
      <c r="H163" s="11">
        <f>+STAT3!V163</f>
        <v>0</v>
      </c>
      <c r="I163" s="11">
        <f>+STAT3!W163</f>
        <v>0</v>
      </c>
      <c r="J163" s="11">
        <f>+SUMIFS(JURNAL!G:G,JURNAL!E:E,C163,JURNAL!C:C,"&gt;="&amp;$H$1,JURNAL!C:C,"&lt;="&amp;$I$1)</f>
        <v>0</v>
      </c>
      <c r="K163" s="11">
        <f>+SUMIFS(JURNAL!H:H,JURNAL!E:E,C163,JURNAL!C:C,"&gt;="&amp;$H$1,JURNAL!C:C,"&lt;="&amp;$I$1)</f>
        <v>0</v>
      </c>
      <c r="L163" s="26">
        <f t="shared" si="27"/>
        <v>0</v>
      </c>
      <c r="M163" s="27">
        <f t="shared" si="28"/>
        <v>0</v>
      </c>
      <c r="N163" s="11"/>
      <c r="O163" s="11"/>
      <c r="P163" s="11"/>
      <c r="Q163" s="11"/>
      <c r="R163" s="26">
        <f t="shared" si="29"/>
        <v>0</v>
      </c>
      <c r="S163" s="27">
        <f t="shared" si="30"/>
        <v>0</v>
      </c>
      <c r="T163" s="11">
        <f t="shared" si="31"/>
        <v>0</v>
      </c>
      <c r="U163" s="11">
        <f t="shared" si="32"/>
        <v>0</v>
      </c>
      <c r="V163" s="26">
        <f t="shared" si="33"/>
        <v>0</v>
      </c>
      <c r="W163" s="27">
        <f t="shared" si="34"/>
        <v>0</v>
      </c>
      <c r="X163" s="4">
        <v>7002</v>
      </c>
      <c r="Y163" s="4"/>
      <c r="Z163" s="4"/>
      <c r="AA163" s="12">
        <f t="shared" si="35"/>
        <v>0</v>
      </c>
      <c r="AC163" s="82">
        <f>+T163+STAT3!T163+STAT2!T163+STAT1!T163</f>
        <v>0</v>
      </c>
      <c r="AD163" s="41">
        <f>+U163+STAT3!U163+STAT2!U163+STAT1!U163</f>
        <v>0</v>
      </c>
      <c r="AE163" s="575"/>
      <c r="AF163" s="575"/>
    </row>
    <row r="164" spans="1:32" ht="12.75" customHeight="1">
      <c r="A164" s="24"/>
      <c r="B164" s="105">
        <f t="shared" si="24"/>
        <v>161</v>
      </c>
      <c r="C164" s="6">
        <v>701400</v>
      </c>
      <c r="D164" s="6" t="s">
        <v>277</v>
      </c>
      <c r="E164" s="9" t="s">
        <v>32</v>
      </c>
      <c r="F164" s="6"/>
      <c r="G164" s="6"/>
      <c r="H164" s="11">
        <f>+STAT3!V164</f>
        <v>0</v>
      </c>
      <c r="I164" s="11">
        <f>+STAT3!W164</f>
        <v>0</v>
      </c>
      <c r="J164" s="11">
        <f>+SUMIFS(JURNAL!G:G,JURNAL!E:E,C164,JURNAL!C:C,"&gt;="&amp;$H$1,JURNAL!C:C,"&lt;="&amp;$I$1)</f>
        <v>349090.91000000003</v>
      </c>
      <c r="K164" s="11">
        <f>+SUMIFS(JURNAL!H:H,JURNAL!E:E,C164,JURNAL!C:C,"&gt;="&amp;$H$1,JURNAL!C:C,"&lt;="&amp;$I$1)</f>
        <v>0</v>
      </c>
      <c r="L164" s="26">
        <f t="shared" si="27"/>
        <v>349090.91000000003</v>
      </c>
      <c r="M164" s="27">
        <f t="shared" si="28"/>
        <v>0</v>
      </c>
      <c r="N164" s="11"/>
      <c r="O164" s="11"/>
      <c r="P164" s="11"/>
      <c r="Q164" s="11"/>
      <c r="R164" s="26">
        <f t="shared" si="29"/>
        <v>349090.91000000003</v>
      </c>
      <c r="S164" s="27">
        <f t="shared" si="30"/>
        <v>0</v>
      </c>
      <c r="T164" s="11">
        <f t="shared" si="31"/>
        <v>0</v>
      </c>
      <c r="U164" s="11">
        <f t="shared" si="32"/>
        <v>349090.91000000003</v>
      </c>
      <c r="V164" s="26">
        <f t="shared" si="33"/>
        <v>0</v>
      </c>
      <c r="W164" s="27">
        <f t="shared" si="34"/>
        <v>0</v>
      </c>
      <c r="X164" s="4">
        <v>7002</v>
      </c>
      <c r="Y164" s="4"/>
      <c r="Z164" s="4"/>
      <c r="AA164" s="12">
        <f t="shared" si="35"/>
        <v>1</v>
      </c>
      <c r="AC164" s="82">
        <f>+T164+STAT3!T164+STAT2!T164+STAT1!T164</f>
        <v>0</v>
      </c>
      <c r="AD164" s="41">
        <f>+U164+STAT3!U164+STAT2!U164+STAT1!U164</f>
        <v>399090.91000000003</v>
      </c>
      <c r="AE164" s="575"/>
      <c r="AF164" s="575"/>
    </row>
    <row r="165" spans="1:32" ht="12.75" customHeight="1">
      <c r="A165" s="24"/>
      <c r="B165" s="105">
        <f t="shared" si="24"/>
        <v>162</v>
      </c>
      <c r="C165" s="6">
        <v>701500</v>
      </c>
      <c r="D165" s="6" t="s">
        <v>635</v>
      </c>
      <c r="E165" s="9" t="s">
        <v>32</v>
      </c>
      <c r="F165" s="6"/>
      <c r="G165" s="6"/>
      <c r="H165" s="11">
        <f>+STAT3!V165</f>
        <v>0</v>
      </c>
      <c r="I165" s="11">
        <f>+STAT3!W165</f>
        <v>0</v>
      </c>
      <c r="J165" s="11">
        <f>+SUMIFS(JURNAL!G:G,JURNAL!E:E,C165,JURNAL!C:C,"&gt;="&amp;$H$1,JURNAL!C:C,"&lt;="&amp;$I$1)</f>
        <v>0</v>
      </c>
      <c r="K165" s="11">
        <f>+SUMIFS(JURNAL!H:H,JURNAL!E:E,C165,JURNAL!C:C,"&gt;="&amp;$H$1,JURNAL!C:C,"&lt;="&amp;$I$1)</f>
        <v>0</v>
      </c>
      <c r="L165" s="26">
        <f t="shared" si="27"/>
        <v>0</v>
      </c>
      <c r="M165" s="27">
        <f t="shared" si="28"/>
        <v>0</v>
      </c>
      <c r="N165" s="11"/>
      <c r="O165" s="11"/>
      <c r="P165" s="11"/>
      <c r="Q165" s="11"/>
      <c r="R165" s="26">
        <f t="shared" si="29"/>
        <v>0</v>
      </c>
      <c r="S165" s="27">
        <f t="shared" si="30"/>
        <v>0</v>
      </c>
      <c r="T165" s="11">
        <f t="shared" si="31"/>
        <v>0</v>
      </c>
      <c r="U165" s="11">
        <f t="shared" si="32"/>
        <v>0</v>
      </c>
      <c r="V165" s="26">
        <f t="shared" si="33"/>
        <v>0</v>
      </c>
      <c r="W165" s="27">
        <f t="shared" si="34"/>
        <v>0</v>
      </c>
      <c r="X165" s="4">
        <v>7002</v>
      </c>
      <c r="Y165" s="4"/>
      <c r="Z165" s="4"/>
      <c r="AA165" s="12">
        <f t="shared" si="35"/>
        <v>0</v>
      </c>
      <c r="AC165" s="82">
        <f>+T165+STAT3!T165+STAT2!T165+STAT1!T165</f>
        <v>0</v>
      </c>
      <c r="AD165" s="41">
        <f>+U165+STAT3!U165+STAT2!U165+STAT1!U165</f>
        <v>483763.91000000003</v>
      </c>
      <c r="AE165" s="575"/>
      <c r="AF165" s="575"/>
    </row>
    <row r="166" spans="1:32" ht="12.75" customHeight="1">
      <c r="A166" s="24"/>
      <c r="B166" s="105">
        <f t="shared" si="24"/>
        <v>163</v>
      </c>
      <c r="C166" s="6">
        <v>701600</v>
      </c>
      <c r="D166" s="6" t="s">
        <v>641</v>
      </c>
      <c r="E166" s="9" t="s">
        <v>32</v>
      </c>
      <c r="F166" s="6"/>
      <c r="G166" s="6"/>
      <c r="H166" s="11">
        <f>+STAT3!V166</f>
        <v>0</v>
      </c>
      <c r="I166" s="11">
        <f>+STAT3!W166</f>
        <v>0</v>
      </c>
      <c r="J166" s="11">
        <f>+SUMIFS(JURNAL!G:G,JURNAL!E:E,C166,JURNAL!C:C,"&gt;="&amp;$H$1,JURNAL!C:C,"&lt;="&amp;$I$1)</f>
        <v>27614668.620000001</v>
      </c>
      <c r="K166" s="11">
        <f>+SUMIFS(JURNAL!H:H,JURNAL!E:E,C166,JURNAL!C:C,"&gt;="&amp;$H$1,JURNAL!C:C,"&lt;="&amp;$I$1)</f>
        <v>21623462.27</v>
      </c>
      <c r="L166" s="26">
        <f t="shared" si="27"/>
        <v>5991206.3500000015</v>
      </c>
      <c r="M166" s="27">
        <f t="shared" si="28"/>
        <v>0</v>
      </c>
      <c r="N166" s="11"/>
      <c r="O166" s="11"/>
      <c r="P166" s="11"/>
      <c r="Q166" s="11"/>
      <c r="R166" s="26">
        <f t="shared" si="29"/>
        <v>5991206.3500000015</v>
      </c>
      <c r="S166" s="27">
        <f t="shared" si="30"/>
        <v>0</v>
      </c>
      <c r="T166" s="11">
        <f t="shared" si="31"/>
        <v>0</v>
      </c>
      <c r="U166" s="11">
        <f t="shared" si="32"/>
        <v>5991206.3500000015</v>
      </c>
      <c r="V166" s="26">
        <f t="shared" si="33"/>
        <v>0</v>
      </c>
      <c r="W166" s="27">
        <f t="shared" si="34"/>
        <v>0</v>
      </c>
      <c r="X166" s="4">
        <v>7002</v>
      </c>
      <c r="Y166" s="4"/>
      <c r="Z166" s="4"/>
      <c r="AA166" s="12">
        <f t="shared" si="35"/>
        <v>1</v>
      </c>
      <c r="AC166" s="82">
        <f>+T166+STAT3!T166+STAT2!T166+STAT1!T166</f>
        <v>0</v>
      </c>
      <c r="AD166" s="41">
        <f>+U166+STAT3!U166+STAT2!U166+STAT1!U166</f>
        <v>27504351.250000004</v>
      </c>
      <c r="AE166" s="575"/>
      <c r="AF166" s="575"/>
    </row>
    <row r="167" spans="1:32" ht="12.75" customHeight="1">
      <c r="A167" s="24"/>
      <c r="B167" s="105">
        <f t="shared" si="24"/>
        <v>164</v>
      </c>
      <c r="C167" s="6">
        <v>701700</v>
      </c>
      <c r="D167" s="6" t="s">
        <v>281</v>
      </c>
      <c r="E167" s="9" t="s">
        <v>32</v>
      </c>
      <c r="F167" s="6"/>
      <c r="G167" s="6"/>
      <c r="H167" s="11">
        <f>+STAT3!V167</f>
        <v>0</v>
      </c>
      <c r="I167" s="11">
        <f>+STAT3!W167</f>
        <v>0</v>
      </c>
      <c r="J167" s="11">
        <f>+SUMIFS(JURNAL!G:G,JURNAL!E:E,C167,JURNAL!C:C,"&gt;="&amp;$H$1,JURNAL!C:C,"&lt;="&amp;$I$1)</f>
        <v>0</v>
      </c>
      <c r="K167" s="11">
        <f>+SUMIFS(JURNAL!H:H,JURNAL!E:E,C167,JURNAL!C:C,"&gt;="&amp;$H$1,JURNAL!C:C,"&lt;="&amp;$I$1)</f>
        <v>0</v>
      </c>
      <c r="L167" s="26">
        <f t="shared" si="27"/>
        <v>0</v>
      </c>
      <c r="M167" s="27">
        <f t="shared" si="28"/>
        <v>0</v>
      </c>
      <c r="N167" s="11"/>
      <c r="O167" s="11"/>
      <c r="P167" s="11"/>
      <c r="Q167" s="11"/>
      <c r="R167" s="26">
        <f t="shared" si="29"/>
        <v>0</v>
      </c>
      <c r="S167" s="27">
        <f t="shared" si="30"/>
        <v>0</v>
      </c>
      <c r="T167" s="11">
        <f t="shared" si="31"/>
        <v>0</v>
      </c>
      <c r="U167" s="11">
        <f t="shared" si="32"/>
        <v>0</v>
      </c>
      <c r="V167" s="26">
        <f t="shared" si="33"/>
        <v>0</v>
      </c>
      <c r="W167" s="27">
        <f t="shared" si="34"/>
        <v>0</v>
      </c>
      <c r="X167" s="4">
        <v>7001</v>
      </c>
      <c r="Y167" s="4"/>
      <c r="Z167" s="4"/>
      <c r="AA167" s="12">
        <f t="shared" si="35"/>
        <v>0</v>
      </c>
      <c r="AC167" s="82">
        <f>+T167+STAT3!T167+STAT2!T167+STAT1!T167</f>
        <v>0</v>
      </c>
      <c r="AD167" s="41">
        <f>+U167+STAT3!U167+STAT2!U167+STAT1!U167</f>
        <v>89100</v>
      </c>
      <c r="AE167" s="575"/>
      <c r="AF167" s="575"/>
    </row>
    <row r="168" spans="1:32" ht="12.75" customHeight="1">
      <c r="A168" s="24"/>
      <c r="B168" s="105">
        <f t="shared" si="24"/>
        <v>165</v>
      </c>
      <c r="C168" s="6">
        <v>701800</v>
      </c>
      <c r="D168" s="6" t="s">
        <v>650</v>
      </c>
      <c r="E168" s="9" t="s">
        <v>32</v>
      </c>
      <c r="F168" s="6"/>
      <c r="G168" s="6"/>
      <c r="H168" s="11">
        <f>+STAT3!V168</f>
        <v>0</v>
      </c>
      <c r="I168" s="11">
        <f>+STAT3!W168</f>
        <v>0</v>
      </c>
      <c r="J168" s="11">
        <f>+SUMIFS(JURNAL!G:G,JURNAL!E:E,C168,JURNAL!C:C,"&gt;="&amp;$H$1,JURNAL!C:C,"&lt;="&amp;$I$1)</f>
        <v>0</v>
      </c>
      <c r="K168" s="11">
        <f>+SUMIFS(JURNAL!H:H,JURNAL!E:E,C168,JURNAL!C:C,"&gt;="&amp;$H$1,JURNAL!C:C,"&lt;="&amp;$I$1)</f>
        <v>0</v>
      </c>
      <c r="L168" s="26">
        <f t="shared" si="27"/>
        <v>0</v>
      </c>
      <c r="M168" s="27">
        <f t="shared" si="28"/>
        <v>0</v>
      </c>
      <c r="N168" s="11"/>
      <c r="O168" s="11"/>
      <c r="P168" s="11"/>
      <c r="Q168" s="11"/>
      <c r="R168" s="26">
        <f t="shared" si="29"/>
        <v>0</v>
      </c>
      <c r="S168" s="27">
        <f t="shared" si="30"/>
        <v>0</v>
      </c>
      <c r="T168" s="11">
        <f t="shared" si="31"/>
        <v>0</v>
      </c>
      <c r="U168" s="11">
        <f t="shared" si="32"/>
        <v>0</v>
      </c>
      <c r="V168" s="26">
        <f t="shared" si="33"/>
        <v>0</v>
      </c>
      <c r="W168" s="27">
        <f t="shared" si="34"/>
        <v>0</v>
      </c>
      <c r="X168" s="4">
        <v>7002</v>
      </c>
      <c r="Y168" s="4"/>
      <c r="Z168" s="4"/>
      <c r="AA168" s="12">
        <f t="shared" si="35"/>
        <v>0</v>
      </c>
      <c r="AC168" s="82">
        <f>+T168+STAT3!T168+STAT2!T168+STAT1!T168</f>
        <v>0</v>
      </c>
      <c r="AD168" s="41">
        <f>+U168+STAT3!U168+STAT2!U168+STAT1!U168</f>
        <v>0</v>
      </c>
      <c r="AE168" s="575"/>
      <c r="AF168" s="575"/>
    </row>
    <row r="169" spans="1:32" ht="12.75" customHeight="1">
      <c r="A169" s="24"/>
      <c r="B169" s="105">
        <f t="shared" si="24"/>
        <v>166</v>
      </c>
      <c r="C169" s="6">
        <v>701900</v>
      </c>
      <c r="D169" s="6" t="s">
        <v>654</v>
      </c>
      <c r="E169" s="9" t="s">
        <v>32</v>
      </c>
      <c r="F169" s="6"/>
      <c r="G169" s="6"/>
      <c r="H169" s="11">
        <f>+STAT3!V169</f>
        <v>0</v>
      </c>
      <c r="I169" s="11">
        <f>+STAT3!W169</f>
        <v>0</v>
      </c>
      <c r="J169" s="11">
        <f>+SUMIFS(JURNAL!G:G,JURNAL!E:E,C169,JURNAL!C:C,"&gt;="&amp;$H$1,JURNAL!C:C,"&lt;="&amp;$I$1)</f>
        <v>172009.09999999998</v>
      </c>
      <c r="K169" s="11">
        <f>+SUMIFS(JURNAL!H:H,JURNAL!E:E,C169,JURNAL!C:C,"&gt;="&amp;$H$1,JURNAL!C:C,"&lt;="&amp;$I$1)</f>
        <v>0</v>
      </c>
      <c r="L169" s="26">
        <f t="shared" si="27"/>
        <v>172009.09999999998</v>
      </c>
      <c r="M169" s="27">
        <f t="shared" si="28"/>
        <v>0</v>
      </c>
      <c r="N169" s="11"/>
      <c r="O169" s="11"/>
      <c r="P169" s="11"/>
      <c r="Q169" s="11"/>
      <c r="R169" s="26">
        <f t="shared" si="29"/>
        <v>172009.09999999998</v>
      </c>
      <c r="S169" s="27">
        <f t="shared" si="30"/>
        <v>0</v>
      </c>
      <c r="T169" s="11">
        <f t="shared" si="31"/>
        <v>0</v>
      </c>
      <c r="U169" s="11">
        <f t="shared" si="32"/>
        <v>172009.09999999998</v>
      </c>
      <c r="V169" s="26">
        <f t="shared" si="33"/>
        <v>0</v>
      </c>
      <c r="W169" s="27">
        <f t="shared" si="34"/>
        <v>0</v>
      </c>
      <c r="X169" s="4">
        <v>7002</v>
      </c>
      <c r="Y169" s="4"/>
      <c r="Z169" s="4"/>
      <c r="AA169" s="12">
        <f t="shared" si="35"/>
        <v>1</v>
      </c>
      <c r="AC169" s="82">
        <f>+T169+STAT3!T169+STAT2!T169+STAT1!T169</f>
        <v>0</v>
      </c>
      <c r="AD169" s="41">
        <f>+U169+STAT3!U169+STAT2!U169+STAT1!U169</f>
        <v>510186.37</v>
      </c>
      <c r="AE169" s="575"/>
      <c r="AF169" s="575"/>
    </row>
    <row r="170" spans="1:32" ht="12.75" customHeight="1">
      <c r="A170" s="24"/>
      <c r="B170" s="105">
        <f t="shared" si="24"/>
        <v>167</v>
      </c>
      <c r="C170" s="6">
        <v>702000</v>
      </c>
      <c r="D170" s="6" t="s">
        <v>658</v>
      </c>
      <c r="E170" s="9" t="s">
        <v>32</v>
      </c>
      <c r="F170" s="6"/>
      <c r="G170" s="6"/>
      <c r="H170" s="11">
        <f>+STAT3!V170</f>
        <v>0</v>
      </c>
      <c r="I170" s="11">
        <f>+STAT3!W170</f>
        <v>0</v>
      </c>
      <c r="J170" s="11">
        <f>+SUMIFS(JURNAL!G:G,JURNAL!E:E,C170,JURNAL!C:C,"&gt;="&amp;$H$1,JURNAL!C:C,"&lt;="&amp;$I$1)</f>
        <v>199651.82</v>
      </c>
      <c r="K170" s="11">
        <f>+SUMIFS(JURNAL!H:H,JURNAL!E:E,C170,JURNAL!C:C,"&gt;="&amp;$H$1,JURNAL!C:C,"&lt;="&amp;$I$1)</f>
        <v>10918.18</v>
      </c>
      <c r="L170" s="26">
        <f t="shared" si="27"/>
        <v>188733.64</v>
      </c>
      <c r="M170" s="27">
        <f t="shared" si="28"/>
        <v>0</v>
      </c>
      <c r="N170" s="11"/>
      <c r="O170" s="11"/>
      <c r="P170" s="11"/>
      <c r="Q170" s="11"/>
      <c r="R170" s="26">
        <f t="shared" si="29"/>
        <v>188733.64</v>
      </c>
      <c r="S170" s="27">
        <f t="shared" si="30"/>
        <v>0</v>
      </c>
      <c r="T170" s="11">
        <f t="shared" si="31"/>
        <v>0</v>
      </c>
      <c r="U170" s="11">
        <f t="shared" si="32"/>
        <v>188733.64</v>
      </c>
      <c r="V170" s="26">
        <f t="shared" si="33"/>
        <v>0</v>
      </c>
      <c r="W170" s="27">
        <f t="shared" si="34"/>
        <v>0</v>
      </c>
      <c r="X170" s="4">
        <v>7002</v>
      </c>
      <c r="Y170" s="4"/>
      <c r="Z170" s="4"/>
      <c r="AA170" s="12">
        <f t="shared" si="35"/>
        <v>1</v>
      </c>
      <c r="AC170" s="82">
        <f>+T170+STAT3!T170+STAT2!T170+STAT1!T170</f>
        <v>0</v>
      </c>
      <c r="AD170" s="41">
        <f>+U170+STAT3!U170+STAT2!U170+STAT1!U170</f>
        <v>2202844.71</v>
      </c>
      <c r="AE170" s="575"/>
      <c r="AF170" s="575"/>
    </row>
    <row r="171" spans="1:32" ht="12.75" customHeight="1">
      <c r="A171" s="24"/>
      <c r="B171" s="105">
        <f t="shared" si="24"/>
        <v>168</v>
      </c>
      <c r="C171" s="6">
        <v>702100</v>
      </c>
      <c r="D171" s="6" t="s">
        <v>662</v>
      </c>
      <c r="E171" s="9" t="s">
        <v>32</v>
      </c>
      <c r="F171" s="6"/>
      <c r="G171" s="6"/>
      <c r="H171" s="11">
        <f>+STAT3!V171</f>
        <v>0</v>
      </c>
      <c r="I171" s="11">
        <f>+STAT3!W171</f>
        <v>0</v>
      </c>
      <c r="J171" s="11">
        <f>+SUMIFS(JURNAL!G:G,JURNAL!E:E,C171,JURNAL!C:C,"&gt;="&amp;$H$1,JURNAL!C:C,"&lt;="&amp;$I$1)</f>
        <v>0</v>
      </c>
      <c r="K171" s="11">
        <f>+SUMIFS(JURNAL!H:H,JURNAL!E:E,C171,JURNAL!C:C,"&gt;="&amp;$H$1,JURNAL!C:C,"&lt;="&amp;$I$1)</f>
        <v>0</v>
      </c>
      <c r="L171" s="26">
        <f t="shared" si="27"/>
        <v>0</v>
      </c>
      <c r="M171" s="27">
        <f t="shared" si="28"/>
        <v>0</v>
      </c>
      <c r="N171" s="11"/>
      <c r="O171" s="11"/>
      <c r="P171" s="11"/>
      <c r="Q171" s="11"/>
      <c r="R171" s="26">
        <f t="shared" si="29"/>
        <v>0</v>
      </c>
      <c r="S171" s="27">
        <f t="shared" si="30"/>
        <v>0</v>
      </c>
      <c r="T171" s="11">
        <f t="shared" si="31"/>
        <v>0</v>
      </c>
      <c r="U171" s="11">
        <f t="shared" si="32"/>
        <v>0</v>
      </c>
      <c r="V171" s="26">
        <f t="shared" si="33"/>
        <v>0</v>
      </c>
      <c r="W171" s="27">
        <f t="shared" si="34"/>
        <v>0</v>
      </c>
      <c r="X171" s="4">
        <v>7002</v>
      </c>
      <c r="Y171" s="4"/>
      <c r="Z171" s="4"/>
      <c r="AA171" s="12">
        <f t="shared" si="35"/>
        <v>0</v>
      </c>
      <c r="AC171" s="82">
        <f>+T171+STAT3!T171+STAT2!T171+STAT1!T171</f>
        <v>0</v>
      </c>
      <c r="AD171" s="41">
        <f>+U171+STAT3!U171+STAT2!U171+STAT1!U171</f>
        <v>0</v>
      </c>
      <c r="AE171" s="575"/>
      <c r="AF171" s="575"/>
    </row>
    <row r="172" spans="1:32" ht="12.75" customHeight="1">
      <c r="A172" s="24"/>
      <c r="B172" s="105">
        <f t="shared" si="24"/>
        <v>169</v>
      </c>
      <c r="C172" s="6">
        <v>702300</v>
      </c>
      <c r="D172" s="6" t="s">
        <v>666</v>
      </c>
      <c r="E172" s="9" t="s">
        <v>32</v>
      </c>
      <c r="F172" s="6"/>
      <c r="G172" s="6"/>
      <c r="H172" s="11">
        <f>+STAT3!V172</f>
        <v>0</v>
      </c>
      <c r="I172" s="11">
        <f>+STAT3!W172</f>
        <v>0</v>
      </c>
      <c r="J172" s="11">
        <f>+SUMIFS(JURNAL!G:G,JURNAL!E:E,C172,JURNAL!C:C,"&gt;="&amp;$H$1,JURNAL!C:C,"&lt;="&amp;$I$1)</f>
        <v>0</v>
      </c>
      <c r="K172" s="11">
        <f>+SUMIFS(JURNAL!H:H,JURNAL!E:E,C172,JURNAL!C:C,"&gt;="&amp;$H$1,JURNAL!C:C,"&lt;="&amp;$I$1)</f>
        <v>0</v>
      </c>
      <c r="L172" s="26">
        <f t="shared" si="27"/>
        <v>0</v>
      </c>
      <c r="M172" s="27">
        <f t="shared" si="28"/>
        <v>0</v>
      </c>
      <c r="N172" s="11"/>
      <c r="O172" s="11"/>
      <c r="P172" s="11"/>
      <c r="Q172" s="11"/>
      <c r="R172" s="26">
        <f t="shared" si="29"/>
        <v>0</v>
      </c>
      <c r="S172" s="27">
        <f t="shared" si="30"/>
        <v>0</v>
      </c>
      <c r="T172" s="11">
        <f t="shared" si="31"/>
        <v>0</v>
      </c>
      <c r="U172" s="11">
        <f t="shared" si="32"/>
        <v>0</v>
      </c>
      <c r="V172" s="26">
        <f t="shared" si="33"/>
        <v>0</v>
      </c>
      <c r="W172" s="27">
        <f t="shared" si="34"/>
        <v>0</v>
      </c>
      <c r="X172" s="4">
        <v>7002</v>
      </c>
      <c r="Y172" s="4"/>
      <c r="Z172" s="4"/>
      <c r="AA172" s="12">
        <f t="shared" si="35"/>
        <v>0</v>
      </c>
      <c r="AC172" s="82">
        <f>+T172+STAT3!T172+STAT2!T172+STAT1!T172</f>
        <v>0</v>
      </c>
      <c r="AD172" s="41">
        <f>+U172+STAT3!U172+STAT2!U172+STAT1!U172</f>
        <v>0</v>
      </c>
      <c r="AE172" s="575"/>
      <c r="AF172" s="575"/>
    </row>
    <row r="173" spans="1:32" ht="12.75" customHeight="1">
      <c r="A173" s="24"/>
      <c r="B173" s="105">
        <f t="shared" si="24"/>
        <v>170</v>
      </c>
      <c r="C173" s="6">
        <v>702500</v>
      </c>
      <c r="D173" s="6" t="s">
        <v>283</v>
      </c>
      <c r="E173" s="9" t="s">
        <v>32</v>
      </c>
      <c r="F173" s="6"/>
      <c r="G173" s="6"/>
      <c r="H173" s="11">
        <f>+STAT3!V173</f>
        <v>0</v>
      </c>
      <c r="I173" s="11">
        <f>+STAT3!W173</f>
        <v>0</v>
      </c>
      <c r="J173" s="11">
        <f>+SUMIFS(JURNAL!G:G,JURNAL!E:E,C173,JURNAL!C:C,"&gt;="&amp;$H$1,JURNAL!C:C,"&lt;="&amp;$I$1)</f>
        <v>6020722.2400000002</v>
      </c>
      <c r="K173" s="11">
        <f>+SUMIFS(JURNAL!H:H,JURNAL!E:E,C173,JURNAL!C:C,"&gt;="&amp;$H$1,JURNAL!C:C,"&lt;="&amp;$I$1)</f>
        <v>0</v>
      </c>
      <c r="L173" s="26">
        <f t="shared" si="27"/>
        <v>6020722.2400000002</v>
      </c>
      <c r="M173" s="27">
        <f t="shared" si="28"/>
        <v>0</v>
      </c>
      <c r="N173" s="11"/>
      <c r="O173" s="11"/>
      <c r="P173" s="11"/>
      <c r="Q173" s="11"/>
      <c r="R173" s="26">
        <f t="shared" si="29"/>
        <v>6020722.2400000002</v>
      </c>
      <c r="S173" s="27">
        <f t="shared" si="30"/>
        <v>0</v>
      </c>
      <c r="T173" s="11">
        <f t="shared" si="31"/>
        <v>0</v>
      </c>
      <c r="U173" s="11">
        <f t="shared" si="32"/>
        <v>6020722.2400000002</v>
      </c>
      <c r="V173" s="26">
        <f t="shared" si="33"/>
        <v>0</v>
      </c>
      <c r="W173" s="27">
        <f t="shared" si="34"/>
        <v>0</v>
      </c>
      <c r="X173" s="4">
        <v>7002</v>
      </c>
      <c r="Y173" s="4"/>
      <c r="Z173" s="4"/>
      <c r="AA173" s="12">
        <f t="shared" si="35"/>
        <v>1</v>
      </c>
      <c r="AC173" s="82">
        <f>+T173+STAT3!T173+STAT2!T173+STAT1!T173</f>
        <v>0</v>
      </c>
      <c r="AD173" s="41">
        <f>+U173+STAT3!U173+STAT2!U173+STAT1!U173</f>
        <v>31795970.009999998</v>
      </c>
      <c r="AE173" s="575"/>
      <c r="AF173" s="575"/>
    </row>
    <row r="174" spans="1:32" ht="12.75" customHeight="1">
      <c r="A174" s="24"/>
      <c r="B174" s="105">
        <f t="shared" si="24"/>
        <v>171</v>
      </c>
      <c r="C174" s="6">
        <v>702400</v>
      </c>
      <c r="D174" s="6" t="s">
        <v>974</v>
      </c>
      <c r="E174" s="9" t="s">
        <v>32</v>
      </c>
      <c r="F174" s="6"/>
      <c r="G174" s="6"/>
      <c r="H174" s="11">
        <f>+STAT3!V174</f>
        <v>0</v>
      </c>
      <c r="I174" s="11">
        <f>+STAT3!W174</f>
        <v>0</v>
      </c>
      <c r="J174" s="11">
        <f>+SUMIFS(JURNAL!G:G,JURNAL!E:E,C174,JURNAL!C:C,"&gt;="&amp;$H$1,JURNAL!C:C,"&lt;="&amp;$I$1)</f>
        <v>0</v>
      </c>
      <c r="K174" s="11">
        <f>+SUMIFS(JURNAL!H:H,JURNAL!E:E,C174,JURNAL!C:C,"&gt;="&amp;$H$1,JURNAL!C:C,"&lt;="&amp;$I$1)</f>
        <v>0</v>
      </c>
      <c r="L174" s="26">
        <f t="shared" si="27"/>
        <v>0</v>
      </c>
      <c r="M174" s="27">
        <f t="shared" si="28"/>
        <v>0</v>
      </c>
      <c r="N174" s="11"/>
      <c r="O174" s="11"/>
      <c r="P174" s="11"/>
      <c r="Q174" s="11"/>
      <c r="R174" s="26">
        <f t="shared" si="29"/>
        <v>0</v>
      </c>
      <c r="S174" s="27">
        <f t="shared" si="30"/>
        <v>0</v>
      </c>
      <c r="T174" s="11">
        <f t="shared" si="31"/>
        <v>0</v>
      </c>
      <c r="U174" s="11">
        <f t="shared" si="32"/>
        <v>0</v>
      </c>
      <c r="V174" s="26">
        <f t="shared" si="33"/>
        <v>0</v>
      </c>
      <c r="W174" s="27">
        <f t="shared" si="34"/>
        <v>0</v>
      </c>
      <c r="X174" s="4">
        <v>7002</v>
      </c>
      <c r="Y174" s="4"/>
      <c r="Z174" s="4"/>
      <c r="AA174" s="12">
        <f t="shared" si="35"/>
        <v>0</v>
      </c>
      <c r="AC174" s="82">
        <f>+T174+STAT3!T174+STAT2!T174+STAT1!T174</f>
        <v>0</v>
      </c>
      <c r="AD174" s="41">
        <f>+U174+STAT3!U174+STAT2!U174+STAT1!U174</f>
        <v>0</v>
      </c>
      <c r="AE174" s="575"/>
      <c r="AF174" s="575"/>
    </row>
    <row r="175" spans="1:32" ht="12.75" customHeight="1">
      <c r="A175" s="24"/>
      <c r="B175" s="105">
        <f t="shared" si="24"/>
        <v>172</v>
      </c>
      <c r="C175" s="6">
        <v>702600</v>
      </c>
      <c r="D175" s="6" t="s">
        <v>676</v>
      </c>
      <c r="E175" s="9" t="s">
        <v>32</v>
      </c>
      <c r="F175" s="6"/>
      <c r="G175" s="6"/>
      <c r="H175" s="11">
        <f>+STAT3!V175</f>
        <v>0</v>
      </c>
      <c r="I175" s="11">
        <f>+STAT3!W175</f>
        <v>0</v>
      </c>
      <c r="J175" s="11">
        <f>+SUMIFS(JURNAL!G:G,JURNAL!E:E,C175,JURNAL!C:C,"&gt;="&amp;$H$1,JURNAL!C:C,"&lt;="&amp;$I$1)</f>
        <v>0</v>
      </c>
      <c r="K175" s="11">
        <f>+SUMIFS(JURNAL!H:H,JURNAL!E:E,C175,JURNAL!C:C,"&gt;="&amp;$H$1,JURNAL!C:C,"&lt;="&amp;$I$1)</f>
        <v>0</v>
      </c>
      <c r="L175" s="26">
        <f t="shared" si="27"/>
        <v>0</v>
      </c>
      <c r="M175" s="27">
        <f t="shared" si="28"/>
        <v>0</v>
      </c>
      <c r="N175" s="11"/>
      <c r="O175" s="11"/>
      <c r="P175" s="11"/>
      <c r="Q175" s="11"/>
      <c r="R175" s="26">
        <f t="shared" si="29"/>
        <v>0</v>
      </c>
      <c r="S175" s="27">
        <f t="shared" si="30"/>
        <v>0</v>
      </c>
      <c r="T175" s="11">
        <f t="shared" si="31"/>
        <v>0</v>
      </c>
      <c r="U175" s="11">
        <f t="shared" si="32"/>
        <v>0</v>
      </c>
      <c r="V175" s="26">
        <f t="shared" si="33"/>
        <v>0</v>
      </c>
      <c r="W175" s="27">
        <f t="shared" si="34"/>
        <v>0</v>
      </c>
      <c r="X175" s="4">
        <v>7002</v>
      </c>
      <c r="Y175" s="4"/>
      <c r="Z175" s="4"/>
      <c r="AA175" s="12">
        <f t="shared" si="35"/>
        <v>0</v>
      </c>
      <c r="AC175" s="82">
        <f>+T175+STAT3!T175+STAT2!T175+STAT1!T175</f>
        <v>0</v>
      </c>
      <c r="AD175" s="41">
        <f>+U175+STAT3!U175+STAT2!U175+STAT1!U175</f>
        <v>0</v>
      </c>
      <c r="AE175" s="575"/>
      <c r="AF175" s="575"/>
    </row>
    <row r="176" spans="1:32" ht="12.75" customHeight="1">
      <c r="A176" s="24"/>
      <c r="B176" s="105">
        <f t="shared" si="24"/>
        <v>173</v>
      </c>
      <c r="C176" s="6">
        <v>702700</v>
      </c>
      <c r="D176" s="6" t="s">
        <v>680</v>
      </c>
      <c r="E176" s="9" t="s">
        <v>32</v>
      </c>
      <c r="F176" s="6"/>
      <c r="G176" s="6"/>
      <c r="H176" s="11">
        <f>+STAT3!V176</f>
        <v>0</v>
      </c>
      <c r="I176" s="11">
        <f>+STAT3!W176</f>
        <v>0</v>
      </c>
      <c r="J176" s="11">
        <f>+SUMIFS(JURNAL!G:G,JURNAL!E:E,C176,JURNAL!C:C,"&gt;="&amp;$H$1,JURNAL!C:C,"&lt;="&amp;$I$1)</f>
        <v>0</v>
      </c>
      <c r="K176" s="11">
        <f>+SUMIFS(JURNAL!H:H,JURNAL!E:E,C176,JURNAL!C:C,"&gt;="&amp;$H$1,JURNAL!C:C,"&lt;="&amp;$I$1)</f>
        <v>0</v>
      </c>
      <c r="L176" s="26">
        <f t="shared" si="27"/>
        <v>0</v>
      </c>
      <c r="M176" s="27">
        <f t="shared" si="28"/>
        <v>0</v>
      </c>
      <c r="N176" s="11"/>
      <c r="O176" s="11"/>
      <c r="P176" s="11"/>
      <c r="Q176" s="11"/>
      <c r="R176" s="26">
        <f t="shared" si="29"/>
        <v>0</v>
      </c>
      <c r="S176" s="27">
        <f t="shared" si="30"/>
        <v>0</v>
      </c>
      <c r="T176" s="11">
        <f t="shared" si="31"/>
        <v>0</v>
      </c>
      <c r="U176" s="11">
        <f t="shared" si="32"/>
        <v>0</v>
      </c>
      <c r="V176" s="26">
        <f t="shared" si="33"/>
        <v>0</v>
      </c>
      <c r="W176" s="27">
        <f t="shared" si="34"/>
        <v>0</v>
      </c>
      <c r="X176" s="4">
        <v>7002</v>
      </c>
      <c r="Y176" s="4"/>
      <c r="Z176" s="4"/>
      <c r="AA176" s="12">
        <f t="shared" si="35"/>
        <v>0</v>
      </c>
      <c r="AC176" s="82">
        <f>+T176+STAT3!T176+STAT2!T176+STAT1!T176</f>
        <v>0</v>
      </c>
      <c r="AD176" s="41">
        <f>+U176+STAT3!U176+STAT2!U176+STAT1!U176</f>
        <v>0</v>
      </c>
      <c r="AE176" s="575"/>
      <c r="AF176" s="575"/>
    </row>
    <row r="177" spans="1:32" ht="12.75" customHeight="1">
      <c r="A177" s="24"/>
      <c r="B177" s="105">
        <f t="shared" si="24"/>
        <v>174</v>
      </c>
      <c r="C177" s="6">
        <v>702800</v>
      </c>
      <c r="D177" s="6" t="s">
        <v>684</v>
      </c>
      <c r="E177" s="9" t="s">
        <v>32</v>
      </c>
      <c r="F177" s="6"/>
      <c r="G177" s="6"/>
      <c r="H177" s="11">
        <f>+STAT3!V177</f>
        <v>0</v>
      </c>
      <c r="I177" s="11">
        <f>+STAT3!W177</f>
        <v>0</v>
      </c>
      <c r="J177" s="11">
        <f>+SUMIFS(JURNAL!G:G,JURNAL!E:E,C177,JURNAL!C:C,"&gt;="&amp;$H$1,JURNAL!C:C,"&lt;="&amp;$I$1)</f>
        <v>0</v>
      </c>
      <c r="K177" s="11">
        <f>+SUMIFS(JURNAL!H:H,JURNAL!E:E,C177,JURNAL!C:C,"&gt;="&amp;$H$1,JURNAL!C:C,"&lt;="&amp;$I$1)</f>
        <v>0</v>
      </c>
      <c r="L177" s="26">
        <f t="shared" si="27"/>
        <v>0</v>
      </c>
      <c r="M177" s="27">
        <f t="shared" si="28"/>
        <v>0</v>
      </c>
      <c r="N177" s="11"/>
      <c r="O177" s="11"/>
      <c r="P177" s="11"/>
      <c r="Q177" s="11"/>
      <c r="R177" s="26">
        <f t="shared" si="29"/>
        <v>0</v>
      </c>
      <c r="S177" s="27">
        <f t="shared" si="30"/>
        <v>0</v>
      </c>
      <c r="T177" s="11">
        <f t="shared" si="31"/>
        <v>0</v>
      </c>
      <c r="U177" s="11">
        <f t="shared" si="32"/>
        <v>0</v>
      </c>
      <c r="V177" s="26">
        <f t="shared" si="33"/>
        <v>0</v>
      </c>
      <c r="W177" s="27">
        <f t="shared" si="34"/>
        <v>0</v>
      </c>
      <c r="X177" s="4">
        <v>7002</v>
      </c>
      <c r="Y177" s="4"/>
      <c r="Z177" s="4"/>
      <c r="AA177" s="12">
        <f t="shared" si="35"/>
        <v>0</v>
      </c>
      <c r="AC177" s="82">
        <f>+T177+STAT3!T177+STAT2!T177+STAT1!T177</f>
        <v>0</v>
      </c>
      <c r="AD177" s="41">
        <f>+U177+STAT3!U177+STAT2!U177+STAT1!U177</f>
        <v>0</v>
      </c>
      <c r="AE177" s="575"/>
      <c r="AF177" s="575"/>
    </row>
    <row r="178" spans="1:32" ht="12.75" customHeight="1">
      <c r="A178" s="24"/>
      <c r="B178" s="105">
        <f t="shared" si="24"/>
        <v>175</v>
      </c>
      <c r="C178" s="6">
        <v>703300</v>
      </c>
      <c r="D178" s="6" t="s">
        <v>688</v>
      </c>
      <c r="E178" s="9" t="s">
        <v>32</v>
      </c>
      <c r="F178" s="6"/>
      <c r="G178" s="6"/>
      <c r="H178" s="11">
        <f>+STAT3!V178</f>
        <v>0</v>
      </c>
      <c r="I178" s="11">
        <f>+STAT3!W178</f>
        <v>0</v>
      </c>
      <c r="J178" s="11">
        <f>+SUMIFS(JURNAL!G:G,JURNAL!E:E,C178,JURNAL!C:C,"&gt;="&amp;$H$1,JURNAL!C:C,"&lt;="&amp;$I$1)</f>
        <v>0</v>
      </c>
      <c r="K178" s="11">
        <f>+SUMIFS(JURNAL!H:H,JURNAL!E:E,C178,JURNAL!C:C,"&gt;="&amp;$H$1,JURNAL!C:C,"&lt;="&amp;$I$1)</f>
        <v>0</v>
      </c>
      <c r="L178" s="26">
        <f t="shared" si="27"/>
        <v>0</v>
      </c>
      <c r="M178" s="27">
        <f t="shared" si="28"/>
        <v>0</v>
      </c>
      <c r="N178" s="11"/>
      <c r="O178" s="11"/>
      <c r="P178" s="11"/>
      <c r="Q178" s="11"/>
      <c r="R178" s="26">
        <f t="shared" si="29"/>
        <v>0</v>
      </c>
      <c r="S178" s="27">
        <f t="shared" si="30"/>
        <v>0</v>
      </c>
      <c r="T178" s="11">
        <f t="shared" si="31"/>
        <v>0</v>
      </c>
      <c r="U178" s="11">
        <f t="shared" si="32"/>
        <v>0</v>
      </c>
      <c r="V178" s="26">
        <f t="shared" si="33"/>
        <v>0</v>
      </c>
      <c r="W178" s="27">
        <f t="shared" si="34"/>
        <v>0</v>
      </c>
      <c r="X178" s="4">
        <v>7002</v>
      </c>
      <c r="Y178" s="4"/>
      <c r="Z178" s="4"/>
      <c r="AA178" s="12">
        <f t="shared" si="35"/>
        <v>0</v>
      </c>
      <c r="AC178" s="82">
        <f>+T178+STAT3!T178+STAT2!T178+STAT1!T178</f>
        <v>0</v>
      </c>
      <c r="AD178" s="41">
        <f>+U178+STAT3!U178+STAT2!U178+STAT1!U178</f>
        <v>0</v>
      </c>
      <c r="AE178" s="575"/>
      <c r="AF178" s="575"/>
    </row>
    <row r="179" spans="1:32" ht="12.75" customHeight="1">
      <c r="A179" s="24"/>
      <c r="B179" s="105">
        <f t="shared" si="24"/>
        <v>176</v>
      </c>
      <c r="C179" s="6">
        <v>703400</v>
      </c>
      <c r="D179" s="6" t="s">
        <v>975</v>
      </c>
      <c r="E179" s="9" t="s">
        <v>32</v>
      </c>
      <c r="F179" s="6"/>
      <c r="G179" s="6"/>
      <c r="H179" s="11">
        <f>+STAT3!V179</f>
        <v>0</v>
      </c>
      <c r="I179" s="11">
        <f>+STAT3!W179</f>
        <v>0</v>
      </c>
      <c r="J179" s="11">
        <f>+SUMIFS(JURNAL!G:G,JURNAL!E:E,C179,JURNAL!C:C,"&gt;="&amp;$H$1,JURNAL!C:C,"&lt;="&amp;$I$1)</f>
        <v>0</v>
      </c>
      <c r="K179" s="11">
        <f>+SUMIFS(JURNAL!H:H,JURNAL!E:E,C179,JURNAL!C:C,"&gt;="&amp;$H$1,JURNAL!C:C,"&lt;="&amp;$I$1)</f>
        <v>0</v>
      </c>
      <c r="L179" s="26">
        <f t="shared" si="27"/>
        <v>0</v>
      </c>
      <c r="M179" s="27">
        <f t="shared" si="28"/>
        <v>0</v>
      </c>
      <c r="N179" s="11"/>
      <c r="O179" s="11"/>
      <c r="P179" s="11"/>
      <c r="Q179" s="11"/>
      <c r="R179" s="26">
        <f t="shared" si="29"/>
        <v>0</v>
      </c>
      <c r="S179" s="27">
        <f t="shared" si="30"/>
        <v>0</v>
      </c>
      <c r="T179" s="11">
        <f t="shared" si="31"/>
        <v>0</v>
      </c>
      <c r="U179" s="11">
        <f t="shared" si="32"/>
        <v>0</v>
      </c>
      <c r="V179" s="26">
        <f t="shared" si="33"/>
        <v>0</v>
      </c>
      <c r="W179" s="27">
        <f t="shared" si="34"/>
        <v>0</v>
      </c>
      <c r="X179" s="4">
        <v>7002</v>
      </c>
      <c r="Y179" s="4"/>
      <c r="Z179" s="4"/>
      <c r="AA179" s="12">
        <f t="shared" si="35"/>
        <v>0</v>
      </c>
      <c r="AC179" s="82">
        <f>+T179+STAT3!T179+STAT2!T179+STAT1!T179</f>
        <v>0</v>
      </c>
      <c r="AD179" s="41">
        <f>+U179+STAT3!U179+STAT2!U179+STAT1!U179</f>
        <v>0</v>
      </c>
      <c r="AE179" s="575"/>
      <c r="AF179" s="575"/>
    </row>
    <row r="180" spans="1:32" ht="12.75" customHeight="1">
      <c r="A180" s="24"/>
      <c r="B180" s="105">
        <f t="shared" si="24"/>
        <v>177</v>
      </c>
      <c r="C180" s="6">
        <v>703700</v>
      </c>
      <c r="D180" s="6" t="s">
        <v>696</v>
      </c>
      <c r="E180" s="9" t="s">
        <v>32</v>
      </c>
      <c r="F180" s="6"/>
      <c r="G180" s="6"/>
      <c r="H180" s="11">
        <f>+STAT3!V180</f>
        <v>0</v>
      </c>
      <c r="I180" s="11">
        <f>+STAT3!W180</f>
        <v>0</v>
      </c>
      <c r="J180" s="11">
        <f>+SUMIFS(JURNAL!G:G,JURNAL!E:E,C180,JURNAL!C:C,"&gt;="&amp;$H$1,JURNAL!C:C,"&lt;="&amp;$I$1)</f>
        <v>34545.449999999997</v>
      </c>
      <c r="K180" s="11">
        <f>+SUMIFS(JURNAL!H:H,JURNAL!E:E,C180,JURNAL!C:C,"&gt;="&amp;$H$1,JURNAL!C:C,"&lt;="&amp;$I$1)</f>
        <v>0</v>
      </c>
      <c r="L180" s="26">
        <f t="shared" si="27"/>
        <v>34545.449999999997</v>
      </c>
      <c r="M180" s="27">
        <f t="shared" si="28"/>
        <v>0</v>
      </c>
      <c r="N180" s="11"/>
      <c r="O180" s="11"/>
      <c r="P180" s="11"/>
      <c r="Q180" s="11"/>
      <c r="R180" s="26">
        <f t="shared" si="29"/>
        <v>34545.449999999997</v>
      </c>
      <c r="S180" s="27">
        <f t="shared" si="30"/>
        <v>0</v>
      </c>
      <c r="T180" s="11">
        <f t="shared" si="31"/>
        <v>0</v>
      </c>
      <c r="U180" s="11">
        <f t="shared" si="32"/>
        <v>34545.449999999997</v>
      </c>
      <c r="V180" s="26">
        <f t="shared" si="33"/>
        <v>0</v>
      </c>
      <c r="W180" s="27">
        <f t="shared" si="34"/>
        <v>0</v>
      </c>
      <c r="X180" s="4">
        <v>7002</v>
      </c>
      <c r="Y180" s="4"/>
      <c r="Z180" s="4"/>
      <c r="AA180" s="12">
        <f t="shared" si="35"/>
        <v>1</v>
      </c>
      <c r="AC180" s="82">
        <f>+T180+STAT3!T180+STAT2!T180+STAT1!T180</f>
        <v>0</v>
      </c>
      <c r="AD180" s="41">
        <f>+U180+STAT3!U180+STAT2!U180+STAT1!U180</f>
        <v>390062.72</v>
      </c>
      <c r="AE180" s="575"/>
      <c r="AF180" s="575"/>
    </row>
    <row r="181" spans="1:32" ht="12.75" customHeight="1">
      <c r="A181" s="24"/>
      <c r="B181" s="105">
        <f t="shared" si="24"/>
        <v>178</v>
      </c>
      <c r="C181" s="6">
        <v>703800</v>
      </c>
      <c r="D181" s="6" t="s">
        <v>700</v>
      </c>
      <c r="E181" s="9" t="s">
        <v>32</v>
      </c>
      <c r="F181" s="6"/>
      <c r="G181" s="6"/>
      <c r="H181" s="11">
        <f>+STAT3!V181</f>
        <v>0</v>
      </c>
      <c r="I181" s="11">
        <f>+STAT3!W181</f>
        <v>0</v>
      </c>
      <c r="J181" s="11">
        <f>+SUMIFS(JURNAL!G:G,JURNAL!E:E,C181,JURNAL!C:C,"&gt;="&amp;$H$1,JURNAL!C:C,"&lt;="&amp;$I$1)</f>
        <v>0</v>
      </c>
      <c r="K181" s="11">
        <f>+SUMIFS(JURNAL!H:H,JURNAL!E:E,C181,JURNAL!C:C,"&gt;="&amp;$H$1,JURNAL!C:C,"&lt;="&amp;$I$1)</f>
        <v>0</v>
      </c>
      <c r="L181" s="26">
        <f t="shared" si="27"/>
        <v>0</v>
      </c>
      <c r="M181" s="27">
        <f t="shared" si="28"/>
        <v>0</v>
      </c>
      <c r="N181" s="11"/>
      <c r="O181" s="11"/>
      <c r="P181" s="11"/>
      <c r="Q181" s="11"/>
      <c r="R181" s="26">
        <f t="shared" si="29"/>
        <v>0</v>
      </c>
      <c r="S181" s="27">
        <f t="shared" si="30"/>
        <v>0</v>
      </c>
      <c r="T181" s="11">
        <f t="shared" si="31"/>
        <v>0</v>
      </c>
      <c r="U181" s="11">
        <f t="shared" si="32"/>
        <v>0</v>
      </c>
      <c r="V181" s="26">
        <f t="shared" si="33"/>
        <v>0</v>
      </c>
      <c r="W181" s="27">
        <f t="shared" si="34"/>
        <v>0</v>
      </c>
      <c r="X181" s="4">
        <v>7002</v>
      </c>
      <c r="Y181" s="4"/>
      <c r="Z181" s="4"/>
      <c r="AA181" s="12">
        <f t="shared" si="35"/>
        <v>0</v>
      </c>
      <c r="AC181" s="82">
        <f>+T181+STAT3!T181+STAT2!T181+STAT1!T181</f>
        <v>0</v>
      </c>
      <c r="AD181" s="41">
        <f>+U181+STAT3!U181+STAT2!U181+STAT1!U181</f>
        <v>0</v>
      </c>
      <c r="AE181" s="575"/>
      <c r="AF181" s="575"/>
    </row>
    <row r="182" spans="1:32" ht="12.75" customHeight="1">
      <c r="A182" s="24"/>
      <c r="B182" s="105">
        <f t="shared" si="24"/>
        <v>179</v>
      </c>
      <c r="C182" s="6">
        <v>703900</v>
      </c>
      <c r="D182" s="6" t="s">
        <v>704</v>
      </c>
      <c r="E182" s="9" t="s">
        <v>32</v>
      </c>
      <c r="F182" s="6"/>
      <c r="G182" s="6"/>
      <c r="H182" s="11">
        <f>+STAT3!V182</f>
        <v>0</v>
      </c>
      <c r="I182" s="11">
        <f>+STAT3!W182</f>
        <v>0</v>
      </c>
      <c r="J182" s="11">
        <f>+SUMIFS(JURNAL!G:G,JURNAL!E:E,C182,JURNAL!C:C,"&gt;="&amp;$H$1,JURNAL!C:C,"&lt;="&amp;$I$1)</f>
        <v>8659000</v>
      </c>
      <c r="K182" s="11">
        <f>+SUMIFS(JURNAL!H:H,JURNAL!E:E,C182,JURNAL!C:C,"&gt;="&amp;$H$1,JURNAL!C:C,"&lt;="&amp;$I$1)</f>
        <v>0</v>
      </c>
      <c r="L182" s="26">
        <f t="shared" si="27"/>
        <v>8659000</v>
      </c>
      <c r="M182" s="27">
        <f t="shared" si="28"/>
        <v>0</v>
      </c>
      <c r="N182" s="11"/>
      <c r="O182" s="11"/>
      <c r="P182" s="11"/>
      <c r="Q182" s="11"/>
      <c r="R182" s="26">
        <f t="shared" si="29"/>
        <v>8659000</v>
      </c>
      <c r="S182" s="27">
        <f t="shared" si="30"/>
        <v>0</v>
      </c>
      <c r="T182" s="11">
        <f t="shared" si="31"/>
        <v>0</v>
      </c>
      <c r="U182" s="11">
        <f t="shared" si="32"/>
        <v>8659000</v>
      </c>
      <c r="V182" s="26">
        <f t="shared" si="33"/>
        <v>0</v>
      </c>
      <c r="W182" s="27">
        <f t="shared" si="34"/>
        <v>0</v>
      </c>
      <c r="X182" s="4">
        <v>7002</v>
      </c>
      <c r="Y182" s="4"/>
      <c r="Z182" s="4"/>
      <c r="AA182" s="12">
        <f t="shared" si="35"/>
        <v>1</v>
      </c>
      <c r="AC182" s="82">
        <f>+T182+STAT3!T182+STAT2!T182+STAT1!T182</f>
        <v>0</v>
      </c>
      <c r="AD182" s="41">
        <f>+U182+STAT3!U182+STAT2!U182+STAT1!U182</f>
        <v>10659000</v>
      </c>
      <c r="AE182" s="575"/>
      <c r="AF182" s="575"/>
    </row>
    <row r="183" spans="1:32" ht="12.75" customHeight="1">
      <c r="A183" s="24"/>
      <c r="B183" s="105">
        <f t="shared" si="24"/>
        <v>180</v>
      </c>
      <c r="C183" s="6">
        <v>704000</v>
      </c>
      <c r="D183" s="6" t="s">
        <v>708</v>
      </c>
      <c r="E183" s="9" t="s">
        <v>32</v>
      </c>
      <c r="F183" s="6"/>
      <c r="G183" s="6"/>
      <c r="H183" s="11">
        <f>+STAT3!V183</f>
        <v>0</v>
      </c>
      <c r="I183" s="11">
        <f>+STAT3!W183</f>
        <v>0</v>
      </c>
      <c r="J183" s="11">
        <f>+SUMIFS(JURNAL!G:G,JURNAL!E:E,C183,JURNAL!C:C,"&gt;="&amp;$H$1,JURNAL!C:C,"&lt;="&amp;$I$1)</f>
        <v>0</v>
      </c>
      <c r="K183" s="11">
        <f>+SUMIFS(JURNAL!H:H,JURNAL!E:E,C183,JURNAL!C:C,"&gt;="&amp;$H$1,JURNAL!C:C,"&lt;="&amp;$I$1)</f>
        <v>0</v>
      </c>
      <c r="L183" s="26">
        <f t="shared" si="27"/>
        <v>0</v>
      </c>
      <c r="M183" s="27">
        <f t="shared" si="28"/>
        <v>0</v>
      </c>
      <c r="N183" s="11"/>
      <c r="O183" s="11"/>
      <c r="P183" s="11"/>
      <c r="Q183" s="11"/>
      <c r="R183" s="26">
        <f t="shared" si="29"/>
        <v>0</v>
      </c>
      <c r="S183" s="27">
        <f t="shared" si="30"/>
        <v>0</v>
      </c>
      <c r="T183" s="11">
        <f t="shared" si="31"/>
        <v>0</v>
      </c>
      <c r="U183" s="11">
        <f t="shared" si="32"/>
        <v>0</v>
      </c>
      <c r="V183" s="26">
        <f t="shared" si="33"/>
        <v>0</v>
      </c>
      <c r="W183" s="27">
        <f t="shared" si="34"/>
        <v>0</v>
      </c>
      <c r="X183" s="4">
        <v>7002</v>
      </c>
      <c r="Y183" s="4"/>
      <c r="Z183" s="4"/>
      <c r="AA183" s="12">
        <f t="shared" si="35"/>
        <v>0</v>
      </c>
      <c r="AC183" s="82">
        <f>+T183+STAT3!T183+STAT2!T183+STAT1!T183</f>
        <v>0</v>
      </c>
      <c r="AD183" s="41">
        <f>+U183+STAT3!U183+STAT2!U183+STAT1!U183</f>
        <v>0</v>
      </c>
      <c r="AE183" s="575"/>
      <c r="AF183" s="575"/>
    </row>
    <row r="184" spans="1:32" ht="12.75" customHeight="1">
      <c r="A184" s="24"/>
      <c r="B184" s="105">
        <f t="shared" si="24"/>
        <v>181</v>
      </c>
      <c r="C184" s="6">
        <v>704100</v>
      </c>
      <c r="D184" s="6" t="s">
        <v>712</v>
      </c>
      <c r="E184" s="9" t="s">
        <v>32</v>
      </c>
      <c r="F184" s="6"/>
      <c r="G184" s="6"/>
      <c r="H184" s="11">
        <f>+STAT3!V184</f>
        <v>0</v>
      </c>
      <c r="I184" s="11">
        <f>+STAT3!W184</f>
        <v>0</v>
      </c>
      <c r="J184" s="11">
        <f>+SUMIFS(JURNAL!G:G,JURNAL!E:E,C184,JURNAL!C:C,"&gt;="&amp;$H$1,JURNAL!C:C,"&lt;="&amp;$I$1)</f>
        <v>1723616</v>
      </c>
      <c r="K184" s="11">
        <f>+SUMIFS(JURNAL!H:H,JURNAL!E:E,C184,JURNAL!C:C,"&gt;="&amp;$H$1,JURNAL!C:C,"&lt;="&amp;$I$1)</f>
        <v>0</v>
      </c>
      <c r="L184" s="26">
        <f t="shared" si="27"/>
        <v>1723616</v>
      </c>
      <c r="M184" s="27">
        <f t="shared" si="28"/>
        <v>0</v>
      </c>
      <c r="N184" s="11"/>
      <c r="O184" s="11"/>
      <c r="P184" s="11"/>
      <c r="Q184" s="11"/>
      <c r="R184" s="26">
        <f t="shared" si="29"/>
        <v>1723616</v>
      </c>
      <c r="S184" s="27">
        <f t="shared" si="30"/>
        <v>0</v>
      </c>
      <c r="T184" s="11">
        <f t="shared" si="31"/>
        <v>0</v>
      </c>
      <c r="U184" s="11">
        <f t="shared" si="32"/>
        <v>1723616</v>
      </c>
      <c r="V184" s="26">
        <f t="shared" si="33"/>
        <v>0</v>
      </c>
      <c r="W184" s="27">
        <f t="shared" si="34"/>
        <v>0</v>
      </c>
      <c r="X184" s="4">
        <v>7002</v>
      </c>
      <c r="Y184" s="4"/>
      <c r="Z184" s="4"/>
      <c r="AA184" s="12">
        <f t="shared" si="35"/>
        <v>1</v>
      </c>
      <c r="AC184" s="82">
        <f>+T184+STAT3!T184+STAT2!T184+STAT1!T184</f>
        <v>0</v>
      </c>
      <c r="AD184" s="41">
        <f>+U184+STAT3!U184+STAT2!U184+STAT1!U184</f>
        <v>3443616</v>
      </c>
      <c r="AE184" s="575"/>
      <c r="AF184" s="575"/>
    </row>
    <row r="185" spans="1:32" ht="12.75" customHeight="1">
      <c r="A185" s="24"/>
      <c r="B185" s="105">
        <f t="shared" si="24"/>
        <v>182</v>
      </c>
      <c r="C185" s="6">
        <v>704200</v>
      </c>
      <c r="D185" s="127" t="s">
        <v>716</v>
      </c>
      <c r="E185" s="9" t="s">
        <v>32</v>
      </c>
      <c r="F185" s="6"/>
      <c r="G185" s="6"/>
      <c r="H185" s="11">
        <f>+STAT3!V185</f>
        <v>0</v>
      </c>
      <c r="I185" s="11">
        <f>+STAT3!W185</f>
        <v>0</v>
      </c>
      <c r="J185" s="11">
        <f>+SUMIFS(JURNAL!G:G,JURNAL!E:E,C185,JURNAL!C:C,"&gt;="&amp;$H$1,JURNAL!C:C,"&lt;="&amp;$I$1)</f>
        <v>0</v>
      </c>
      <c r="K185" s="11">
        <f>+SUMIFS(JURNAL!H:H,JURNAL!E:E,C185,JURNAL!C:C,"&gt;="&amp;$H$1,JURNAL!C:C,"&lt;="&amp;$I$1)</f>
        <v>0</v>
      </c>
      <c r="L185" s="26">
        <f t="shared" si="27"/>
        <v>0</v>
      </c>
      <c r="M185" s="27">
        <f t="shared" si="28"/>
        <v>0</v>
      </c>
      <c r="N185" s="11"/>
      <c r="O185" s="11"/>
      <c r="P185" s="11"/>
      <c r="Q185" s="11"/>
      <c r="R185" s="26">
        <f t="shared" si="29"/>
        <v>0</v>
      </c>
      <c r="S185" s="27">
        <f t="shared" si="30"/>
        <v>0</v>
      </c>
      <c r="T185" s="11">
        <f t="shared" si="31"/>
        <v>0</v>
      </c>
      <c r="U185" s="11">
        <f t="shared" si="32"/>
        <v>0</v>
      </c>
      <c r="V185" s="26">
        <f t="shared" si="33"/>
        <v>0</v>
      </c>
      <c r="W185" s="27">
        <f t="shared" si="34"/>
        <v>0</v>
      </c>
      <c r="X185" s="4">
        <v>7002</v>
      </c>
      <c r="Y185" s="4"/>
      <c r="Z185" s="4"/>
      <c r="AA185" s="12">
        <f t="shared" si="35"/>
        <v>0</v>
      </c>
      <c r="AC185" s="82">
        <f>+T185+STAT3!T185+STAT2!T185+STAT1!T185</f>
        <v>0</v>
      </c>
      <c r="AD185" s="41">
        <f>+U185+STAT3!U185+STAT2!U185+STAT1!U185</f>
        <v>733866</v>
      </c>
      <c r="AE185" s="575"/>
      <c r="AF185" s="575"/>
    </row>
    <row r="186" spans="1:32" ht="12.75" customHeight="1">
      <c r="A186" s="24"/>
      <c r="B186" s="105">
        <f t="shared" si="24"/>
        <v>183</v>
      </c>
      <c r="C186" s="6">
        <v>704300</v>
      </c>
      <c r="D186" s="6" t="s">
        <v>720</v>
      </c>
      <c r="E186" s="9" t="s">
        <v>32</v>
      </c>
      <c r="F186" s="6"/>
      <c r="G186" s="6"/>
      <c r="H186" s="11">
        <f>+STAT3!V186</f>
        <v>0</v>
      </c>
      <c r="I186" s="11">
        <f>+STAT3!W186</f>
        <v>0</v>
      </c>
      <c r="J186" s="11">
        <f>+SUMIFS(JURNAL!G:G,JURNAL!E:E,C186,JURNAL!C:C,"&gt;="&amp;$H$1,JURNAL!C:C,"&lt;="&amp;$I$1)</f>
        <v>0</v>
      </c>
      <c r="K186" s="11">
        <f>+SUMIFS(JURNAL!H:H,JURNAL!E:E,C186,JURNAL!C:C,"&gt;="&amp;$H$1,JURNAL!C:C,"&lt;="&amp;$I$1)</f>
        <v>0</v>
      </c>
      <c r="L186" s="26">
        <f t="shared" si="27"/>
        <v>0</v>
      </c>
      <c r="M186" s="27">
        <f t="shared" si="28"/>
        <v>0</v>
      </c>
      <c r="N186" s="11"/>
      <c r="O186" s="11"/>
      <c r="P186" s="11"/>
      <c r="Q186" s="11"/>
      <c r="R186" s="26">
        <f t="shared" si="29"/>
        <v>0</v>
      </c>
      <c r="S186" s="27">
        <f t="shared" si="30"/>
        <v>0</v>
      </c>
      <c r="T186" s="11">
        <f t="shared" si="31"/>
        <v>0</v>
      </c>
      <c r="U186" s="11">
        <f t="shared" si="32"/>
        <v>0</v>
      </c>
      <c r="V186" s="26">
        <f t="shared" si="33"/>
        <v>0</v>
      </c>
      <c r="W186" s="27">
        <f t="shared" si="34"/>
        <v>0</v>
      </c>
      <c r="X186" s="4">
        <v>7002</v>
      </c>
      <c r="Y186" s="4"/>
      <c r="Z186" s="4"/>
      <c r="AA186" s="12">
        <f t="shared" si="35"/>
        <v>0</v>
      </c>
      <c r="AC186" s="82">
        <f>+T186+STAT3!T186+STAT2!T186+STAT1!T186</f>
        <v>0</v>
      </c>
      <c r="AD186" s="41">
        <f>+U186+STAT3!U186+STAT2!U186+STAT1!U186</f>
        <v>0</v>
      </c>
      <c r="AE186" s="575"/>
      <c r="AF186" s="575"/>
    </row>
    <row r="187" spans="1:32" ht="12.75" customHeight="1">
      <c r="A187" s="24"/>
      <c r="B187" s="105">
        <f t="shared" si="24"/>
        <v>184</v>
      </c>
      <c r="C187" s="6">
        <v>704400</v>
      </c>
      <c r="D187" s="6" t="s">
        <v>724</v>
      </c>
      <c r="E187" s="9" t="s">
        <v>32</v>
      </c>
      <c r="F187" s="6"/>
      <c r="G187" s="6"/>
      <c r="H187" s="11">
        <f>+STAT3!V187</f>
        <v>0</v>
      </c>
      <c r="I187" s="11">
        <f>+STAT3!W187</f>
        <v>0</v>
      </c>
      <c r="J187" s="11">
        <f>+SUMIFS(JURNAL!G:G,JURNAL!E:E,C187,JURNAL!C:C,"&gt;="&amp;$H$1,JURNAL!C:C,"&lt;="&amp;$I$1)</f>
        <v>0</v>
      </c>
      <c r="K187" s="11">
        <f>+SUMIFS(JURNAL!H:H,JURNAL!E:E,C187,JURNAL!C:C,"&gt;="&amp;$H$1,JURNAL!C:C,"&lt;="&amp;$I$1)</f>
        <v>0</v>
      </c>
      <c r="L187" s="26">
        <f t="shared" si="27"/>
        <v>0</v>
      </c>
      <c r="M187" s="27">
        <f t="shared" si="28"/>
        <v>0</v>
      </c>
      <c r="N187" s="11"/>
      <c r="O187" s="11"/>
      <c r="P187" s="11"/>
      <c r="Q187" s="11"/>
      <c r="R187" s="26">
        <f t="shared" si="29"/>
        <v>0</v>
      </c>
      <c r="S187" s="27">
        <f t="shared" si="30"/>
        <v>0</v>
      </c>
      <c r="T187" s="11">
        <f t="shared" si="31"/>
        <v>0</v>
      </c>
      <c r="U187" s="11">
        <f t="shared" si="32"/>
        <v>0</v>
      </c>
      <c r="V187" s="26">
        <f t="shared" si="33"/>
        <v>0</v>
      </c>
      <c r="W187" s="27">
        <f t="shared" si="34"/>
        <v>0</v>
      </c>
      <c r="X187" s="4">
        <v>7002</v>
      </c>
      <c r="Y187" s="4"/>
      <c r="Z187" s="4"/>
      <c r="AA187" s="12">
        <f t="shared" si="35"/>
        <v>0</v>
      </c>
      <c r="AC187" s="82">
        <f>+T187+STAT3!T187+STAT2!T187+STAT1!T187</f>
        <v>0</v>
      </c>
      <c r="AD187" s="41">
        <f>+U187+STAT3!U187+STAT2!U187+STAT1!U187</f>
        <v>0</v>
      </c>
      <c r="AE187" s="575"/>
      <c r="AF187" s="575"/>
    </row>
    <row r="188" spans="1:32" ht="12.75" customHeight="1">
      <c r="A188" s="24"/>
      <c r="B188" s="105">
        <f t="shared" si="24"/>
        <v>185</v>
      </c>
      <c r="C188" s="6">
        <v>704600</v>
      </c>
      <c r="D188" s="6" t="s">
        <v>728</v>
      </c>
      <c r="E188" s="9" t="s">
        <v>32</v>
      </c>
      <c r="F188" s="6"/>
      <c r="G188" s="6"/>
      <c r="H188" s="11">
        <f>+STAT3!V188</f>
        <v>0</v>
      </c>
      <c r="I188" s="11">
        <f>+STAT3!W188</f>
        <v>0</v>
      </c>
      <c r="J188" s="11">
        <f>+SUMIFS(JURNAL!G:G,JURNAL!E:E,C188,JURNAL!C:C,"&gt;="&amp;$H$1,JURNAL!C:C,"&lt;="&amp;$I$1)</f>
        <v>0</v>
      </c>
      <c r="K188" s="11">
        <f>+SUMIFS(JURNAL!H:H,JURNAL!E:E,C188,JURNAL!C:C,"&gt;="&amp;$H$1,JURNAL!C:C,"&lt;="&amp;$I$1)</f>
        <v>0</v>
      </c>
      <c r="L188" s="26">
        <f t="shared" si="27"/>
        <v>0</v>
      </c>
      <c r="M188" s="27">
        <f t="shared" si="28"/>
        <v>0</v>
      </c>
      <c r="N188" s="11"/>
      <c r="O188" s="11"/>
      <c r="P188" s="11"/>
      <c r="Q188" s="11"/>
      <c r="R188" s="26">
        <f t="shared" si="29"/>
        <v>0</v>
      </c>
      <c r="S188" s="27">
        <f t="shared" si="30"/>
        <v>0</v>
      </c>
      <c r="T188" s="11">
        <f t="shared" si="31"/>
        <v>0</v>
      </c>
      <c r="U188" s="11">
        <f t="shared" si="32"/>
        <v>0</v>
      </c>
      <c r="V188" s="26">
        <f t="shared" si="33"/>
        <v>0</v>
      </c>
      <c r="W188" s="27">
        <f t="shared" si="34"/>
        <v>0</v>
      </c>
      <c r="X188" s="4">
        <v>7002</v>
      </c>
      <c r="Y188" s="4"/>
      <c r="Z188" s="4"/>
      <c r="AA188" s="12">
        <f t="shared" si="35"/>
        <v>0</v>
      </c>
      <c r="AC188" s="82">
        <f>+T188+STAT3!T188+STAT2!T188+STAT1!T188</f>
        <v>0</v>
      </c>
      <c r="AD188" s="41">
        <f>+U188+STAT3!U188+STAT2!U188+STAT1!U188</f>
        <v>468181.81817999994</v>
      </c>
      <c r="AE188" s="575"/>
      <c r="AF188" s="575"/>
    </row>
    <row r="189" spans="1:32" ht="12.75" customHeight="1">
      <c r="B189" s="105">
        <f t="shared" si="24"/>
        <v>186</v>
      </c>
      <c r="C189" s="6">
        <v>704700</v>
      </c>
      <c r="D189" s="6" t="s">
        <v>732</v>
      </c>
      <c r="E189" s="9" t="s">
        <v>32</v>
      </c>
      <c r="F189" s="6"/>
      <c r="G189" s="6"/>
      <c r="H189" s="11">
        <f>+STAT3!V189</f>
        <v>0</v>
      </c>
      <c r="I189" s="11">
        <f>+STAT3!W189</f>
        <v>0</v>
      </c>
      <c r="J189" s="11">
        <f>+SUMIFS(JURNAL!G:G,JURNAL!E:E,C189,JURNAL!C:C,"&gt;="&amp;$H$1,JURNAL!C:C,"&lt;="&amp;$I$1)</f>
        <v>247189.72999999998</v>
      </c>
      <c r="K189" s="11">
        <f>+SUMIFS(JURNAL!H:H,JURNAL!E:E,C189,JURNAL!C:C,"&gt;="&amp;$H$1,JURNAL!C:C,"&lt;="&amp;$I$1)</f>
        <v>0</v>
      </c>
      <c r="L189" s="26">
        <f t="shared" si="27"/>
        <v>247189.72999999998</v>
      </c>
      <c r="M189" s="27">
        <f t="shared" si="28"/>
        <v>0</v>
      </c>
      <c r="N189" s="11"/>
      <c r="O189" s="11"/>
      <c r="P189" s="11"/>
      <c r="Q189" s="11"/>
      <c r="R189" s="26">
        <f t="shared" si="29"/>
        <v>247189.72999999998</v>
      </c>
      <c r="S189" s="27">
        <f t="shared" si="30"/>
        <v>0</v>
      </c>
      <c r="T189" s="11">
        <f t="shared" si="31"/>
        <v>0</v>
      </c>
      <c r="U189" s="11">
        <f t="shared" si="32"/>
        <v>247189.72999999998</v>
      </c>
      <c r="V189" s="26">
        <f t="shared" si="33"/>
        <v>0</v>
      </c>
      <c r="W189" s="27">
        <f t="shared" si="34"/>
        <v>0</v>
      </c>
      <c r="X189" s="4">
        <v>7002</v>
      </c>
      <c r="Y189" s="4"/>
      <c r="Z189" s="4"/>
      <c r="AA189" s="12">
        <f t="shared" si="35"/>
        <v>1</v>
      </c>
      <c r="AC189" s="82">
        <f>+T189+STAT3!T189+STAT2!T189+STAT1!T189</f>
        <v>0</v>
      </c>
      <c r="AD189" s="41">
        <f>+U189+STAT3!U189+STAT2!U189+STAT1!U189</f>
        <v>668258</v>
      </c>
      <c r="AE189" s="575"/>
      <c r="AF189" s="575"/>
    </row>
    <row r="190" spans="1:32" ht="12.75" customHeight="1">
      <c r="B190" s="105">
        <f t="shared" si="24"/>
        <v>187</v>
      </c>
      <c r="C190" s="6">
        <v>704800</v>
      </c>
      <c r="D190" s="6" t="s">
        <v>736</v>
      </c>
      <c r="E190" s="9" t="s">
        <v>32</v>
      </c>
      <c r="F190" s="6"/>
      <c r="G190" s="6"/>
      <c r="H190" s="11">
        <f>+STAT3!V190</f>
        <v>0</v>
      </c>
      <c r="I190" s="11">
        <f>+STAT3!W190</f>
        <v>0</v>
      </c>
      <c r="J190" s="11">
        <f>+SUMIFS(JURNAL!G:G,JURNAL!E:E,C190,JURNAL!C:C,"&gt;="&amp;$H$1,JURNAL!C:C,"&lt;="&amp;$I$1)</f>
        <v>0</v>
      </c>
      <c r="K190" s="11">
        <f>+SUMIFS(JURNAL!H:H,JURNAL!E:E,C190,JURNAL!C:C,"&gt;="&amp;$H$1,JURNAL!C:C,"&lt;="&amp;$I$1)</f>
        <v>0</v>
      </c>
      <c r="L190" s="26">
        <f t="shared" si="27"/>
        <v>0</v>
      </c>
      <c r="M190" s="27">
        <f t="shared" si="28"/>
        <v>0</v>
      </c>
      <c r="N190" s="11"/>
      <c r="O190" s="11"/>
      <c r="P190" s="11"/>
      <c r="Q190" s="11"/>
      <c r="R190" s="26">
        <f t="shared" si="29"/>
        <v>0</v>
      </c>
      <c r="S190" s="27">
        <f t="shared" si="30"/>
        <v>0</v>
      </c>
      <c r="T190" s="11">
        <f t="shared" si="31"/>
        <v>0</v>
      </c>
      <c r="U190" s="11">
        <f t="shared" si="32"/>
        <v>0</v>
      </c>
      <c r="V190" s="26">
        <f t="shared" si="33"/>
        <v>0</v>
      </c>
      <c r="W190" s="27">
        <f t="shared" si="34"/>
        <v>0</v>
      </c>
      <c r="X190" s="4">
        <v>7002</v>
      </c>
      <c r="Y190" s="4"/>
      <c r="Z190" s="4"/>
      <c r="AA190" s="12">
        <f t="shared" si="35"/>
        <v>0</v>
      </c>
      <c r="AC190" s="82">
        <f>+T190+STAT3!T190+STAT2!T190+STAT1!T190</f>
        <v>0</v>
      </c>
      <c r="AD190" s="41">
        <f>+U190+STAT3!U190+STAT2!U190+STAT1!U190</f>
        <v>0</v>
      </c>
      <c r="AE190" s="575"/>
      <c r="AF190" s="575"/>
    </row>
    <row r="191" spans="1:32" ht="12.75" customHeight="1">
      <c r="B191" s="105">
        <f t="shared" si="24"/>
        <v>188</v>
      </c>
      <c r="C191" s="6">
        <v>704900</v>
      </c>
      <c r="D191" s="6" t="s">
        <v>740</v>
      </c>
      <c r="E191" s="9" t="s">
        <v>32</v>
      </c>
      <c r="F191" s="6"/>
      <c r="G191" s="6"/>
      <c r="H191" s="11">
        <f>+STAT3!V191</f>
        <v>0</v>
      </c>
      <c r="I191" s="11">
        <f>+STAT3!W191</f>
        <v>0</v>
      </c>
      <c r="J191" s="11">
        <f>+SUMIFS(JURNAL!G:G,JURNAL!E:E,C191,JURNAL!C:C,"&gt;="&amp;$H$1,JURNAL!C:C,"&lt;="&amp;$I$1)</f>
        <v>8700</v>
      </c>
      <c r="K191" s="11">
        <f>+SUMIFS(JURNAL!H:H,JURNAL!E:E,C191,JURNAL!C:C,"&gt;="&amp;$H$1,JURNAL!C:C,"&lt;="&amp;$I$1)</f>
        <v>0</v>
      </c>
      <c r="L191" s="26">
        <f t="shared" si="27"/>
        <v>8700</v>
      </c>
      <c r="M191" s="27">
        <f t="shared" si="28"/>
        <v>0</v>
      </c>
      <c r="N191" s="11"/>
      <c r="O191" s="11"/>
      <c r="P191" s="11"/>
      <c r="Q191" s="11"/>
      <c r="R191" s="26">
        <f t="shared" si="29"/>
        <v>8700</v>
      </c>
      <c r="S191" s="27">
        <f t="shared" si="30"/>
        <v>0</v>
      </c>
      <c r="T191" s="11">
        <f t="shared" si="31"/>
        <v>0</v>
      </c>
      <c r="U191" s="11">
        <f t="shared" si="32"/>
        <v>8700</v>
      </c>
      <c r="V191" s="26">
        <f t="shared" si="33"/>
        <v>0</v>
      </c>
      <c r="W191" s="27">
        <f t="shared" si="34"/>
        <v>0</v>
      </c>
      <c r="X191" s="4">
        <v>7002</v>
      </c>
      <c r="Y191" s="4"/>
      <c r="Z191" s="4"/>
      <c r="AA191" s="12">
        <f t="shared" si="35"/>
        <v>1</v>
      </c>
      <c r="AC191" s="82">
        <f>+T191+STAT3!T191+STAT2!T191+STAT1!T191</f>
        <v>0</v>
      </c>
      <c r="AD191" s="41">
        <f>+U191+STAT3!U191+STAT2!U191+STAT1!U191</f>
        <v>58327.677599999995</v>
      </c>
      <c r="AE191" s="575"/>
      <c r="AF191" s="575"/>
    </row>
    <row r="192" spans="1:32" ht="12.75" customHeight="1">
      <c r="B192" s="105">
        <f t="shared" si="24"/>
        <v>189</v>
      </c>
      <c r="C192" s="6">
        <v>705000</v>
      </c>
      <c r="D192" s="6" t="s">
        <v>744</v>
      </c>
      <c r="E192" s="9" t="s">
        <v>32</v>
      </c>
      <c r="F192" s="6"/>
      <c r="G192" s="6"/>
      <c r="H192" s="11">
        <f>+STAT3!V192</f>
        <v>0</v>
      </c>
      <c r="I192" s="11">
        <f>+STAT3!W192</f>
        <v>0</v>
      </c>
      <c r="J192" s="11">
        <f>+SUMIFS(JURNAL!G:G,JURNAL!E:E,C192,JURNAL!C:C,"&gt;="&amp;$H$1,JURNAL!C:C,"&lt;="&amp;$I$1)</f>
        <v>0</v>
      </c>
      <c r="K192" s="11">
        <f>+SUMIFS(JURNAL!H:H,JURNAL!E:E,C192,JURNAL!C:C,"&gt;="&amp;$H$1,JURNAL!C:C,"&lt;="&amp;$I$1)</f>
        <v>0</v>
      </c>
      <c r="L192" s="26">
        <f t="shared" si="27"/>
        <v>0</v>
      </c>
      <c r="M192" s="27">
        <f t="shared" si="28"/>
        <v>0</v>
      </c>
      <c r="N192" s="11"/>
      <c r="O192" s="11"/>
      <c r="P192" s="11"/>
      <c r="Q192" s="11"/>
      <c r="R192" s="26">
        <f t="shared" si="29"/>
        <v>0</v>
      </c>
      <c r="S192" s="27">
        <f t="shared" si="30"/>
        <v>0</v>
      </c>
      <c r="T192" s="11">
        <f t="shared" si="31"/>
        <v>0</v>
      </c>
      <c r="U192" s="11">
        <f t="shared" si="32"/>
        <v>0</v>
      </c>
      <c r="V192" s="26">
        <f t="shared" si="33"/>
        <v>0</v>
      </c>
      <c r="W192" s="27">
        <f t="shared" si="34"/>
        <v>0</v>
      </c>
      <c r="X192" s="4">
        <v>7002</v>
      </c>
      <c r="Y192" s="4"/>
      <c r="Z192" s="4"/>
      <c r="AA192" s="12">
        <f t="shared" si="35"/>
        <v>0</v>
      </c>
      <c r="AC192" s="82">
        <f>+T192+STAT3!T192+STAT2!T192+STAT1!T192</f>
        <v>0</v>
      </c>
      <c r="AD192" s="41">
        <f>+U192+STAT3!U192+STAT2!U192+STAT1!U192</f>
        <v>0</v>
      </c>
      <c r="AE192" s="575"/>
      <c r="AF192" s="575"/>
    </row>
    <row r="193" spans="2:32" ht="12.75" customHeight="1">
      <c r="B193" s="105">
        <f t="shared" si="24"/>
        <v>190</v>
      </c>
      <c r="C193" s="6">
        <v>705800</v>
      </c>
      <c r="D193" s="6" t="s">
        <v>748</v>
      </c>
      <c r="E193" s="9" t="s">
        <v>32</v>
      </c>
      <c r="F193" s="6"/>
      <c r="G193" s="6"/>
      <c r="H193" s="11">
        <f>+STAT3!V193</f>
        <v>0</v>
      </c>
      <c r="I193" s="11">
        <f>+STAT3!W193</f>
        <v>0</v>
      </c>
      <c r="J193" s="11">
        <f>+SUMIFS(JURNAL!G:G,JURNAL!E:E,C193,JURNAL!C:C,"&gt;="&amp;$H$1,JURNAL!C:C,"&lt;="&amp;$I$1)</f>
        <v>4500000</v>
      </c>
      <c r="K193" s="11">
        <f>+SUMIFS(JURNAL!H:H,JURNAL!E:E,C193,JURNAL!C:C,"&gt;="&amp;$H$1,JURNAL!C:C,"&lt;="&amp;$I$1)</f>
        <v>0</v>
      </c>
      <c r="L193" s="26">
        <f t="shared" si="27"/>
        <v>4500000</v>
      </c>
      <c r="M193" s="27">
        <f t="shared" si="28"/>
        <v>0</v>
      </c>
      <c r="N193" s="11"/>
      <c r="O193" s="11"/>
      <c r="P193" s="11"/>
      <c r="Q193" s="11"/>
      <c r="R193" s="26">
        <f t="shared" si="29"/>
        <v>4500000</v>
      </c>
      <c r="S193" s="27">
        <f t="shared" si="30"/>
        <v>0</v>
      </c>
      <c r="T193" s="11">
        <f t="shared" si="31"/>
        <v>0</v>
      </c>
      <c r="U193" s="11">
        <f t="shared" si="32"/>
        <v>4500000</v>
      </c>
      <c r="V193" s="26">
        <f t="shared" si="33"/>
        <v>0</v>
      </c>
      <c r="W193" s="27">
        <f t="shared" si="34"/>
        <v>0</v>
      </c>
      <c r="X193" s="4">
        <v>7002</v>
      </c>
      <c r="Y193" s="4"/>
      <c r="Z193" s="4"/>
      <c r="AA193" s="12">
        <f t="shared" si="35"/>
        <v>1</v>
      </c>
      <c r="AC193" s="82">
        <f>+T193+STAT3!T193+STAT2!T193+STAT1!T193</f>
        <v>0</v>
      </c>
      <c r="AD193" s="41">
        <f>+U193+STAT3!U193+STAT2!U193+STAT1!U193</f>
        <v>18000000</v>
      </c>
      <c r="AE193" s="575"/>
      <c r="AF193" s="575"/>
    </row>
    <row r="194" spans="2:32" ht="12.75" customHeight="1">
      <c r="B194" s="105">
        <f t="shared" si="24"/>
        <v>191</v>
      </c>
      <c r="C194" s="6">
        <v>705900</v>
      </c>
      <c r="D194" s="6" t="s">
        <v>976</v>
      </c>
      <c r="E194" s="9" t="s">
        <v>32</v>
      </c>
      <c r="F194" s="6"/>
      <c r="G194" s="6"/>
      <c r="H194" s="11">
        <f>+STAT3!V194</f>
        <v>0</v>
      </c>
      <c r="I194" s="11">
        <f>+STAT3!W194</f>
        <v>0</v>
      </c>
      <c r="J194" s="11">
        <f>+SUMIFS(JURNAL!G:G,JURNAL!E:E,C194,JURNAL!C:C,"&gt;="&amp;$H$1,JURNAL!C:C,"&lt;="&amp;$I$1)</f>
        <v>0</v>
      </c>
      <c r="K194" s="11">
        <f>+SUMIFS(JURNAL!H:H,JURNAL!E:E,C194,JURNAL!C:C,"&gt;="&amp;$H$1,JURNAL!C:C,"&lt;="&amp;$I$1)</f>
        <v>0</v>
      </c>
      <c r="L194" s="26">
        <f t="shared" si="27"/>
        <v>0</v>
      </c>
      <c r="M194" s="27">
        <f t="shared" si="28"/>
        <v>0</v>
      </c>
      <c r="N194" s="11"/>
      <c r="O194" s="11"/>
      <c r="P194" s="11"/>
      <c r="Q194" s="11"/>
      <c r="R194" s="26">
        <f t="shared" si="29"/>
        <v>0</v>
      </c>
      <c r="S194" s="27">
        <f t="shared" si="30"/>
        <v>0</v>
      </c>
      <c r="T194" s="11">
        <f t="shared" si="31"/>
        <v>0</v>
      </c>
      <c r="U194" s="11">
        <f t="shared" si="32"/>
        <v>0</v>
      </c>
      <c r="V194" s="26">
        <f t="shared" si="33"/>
        <v>0</v>
      </c>
      <c r="W194" s="27">
        <f t="shared" si="34"/>
        <v>0</v>
      </c>
      <c r="X194" s="4">
        <v>7002</v>
      </c>
      <c r="Y194" s="4"/>
      <c r="Z194" s="4"/>
      <c r="AA194" s="12">
        <f t="shared" si="35"/>
        <v>0</v>
      </c>
      <c r="AC194" s="82">
        <f>+T194+STAT3!T194+STAT2!T194+STAT1!T194</f>
        <v>0</v>
      </c>
      <c r="AD194" s="41">
        <f>+U194+STAT3!U194+STAT2!U194+STAT1!U194</f>
        <v>0</v>
      </c>
      <c r="AE194" s="575"/>
      <c r="AF194" s="575"/>
    </row>
    <row r="195" spans="2:32" ht="12.75" customHeight="1">
      <c r="B195" s="105">
        <f t="shared" si="24"/>
        <v>192</v>
      </c>
      <c r="C195" s="6">
        <v>706000</v>
      </c>
      <c r="D195" s="6" t="s">
        <v>756</v>
      </c>
      <c r="E195" s="9" t="s">
        <v>32</v>
      </c>
      <c r="F195" s="6"/>
      <c r="G195" s="6"/>
      <c r="H195" s="11">
        <f>+STAT3!V195</f>
        <v>0</v>
      </c>
      <c r="I195" s="11">
        <f>+STAT3!W195</f>
        <v>0</v>
      </c>
      <c r="J195" s="11">
        <f>+SUMIFS(JURNAL!G:G,JURNAL!E:E,C195,JURNAL!C:C,"&gt;="&amp;$H$1,JURNAL!C:C,"&lt;="&amp;$I$1)</f>
        <v>818376.91</v>
      </c>
      <c r="K195" s="11">
        <f>+SUMIFS(JURNAL!H:H,JURNAL!E:E,C195,JURNAL!C:C,"&gt;="&amp;$H$1,JURNAL!C:C,"&lt;="&amp;$I$1)</f>
        <v>0</v>
      </c>
      <c r="L195" s="26">
        <f t="shared" si="27"/>
        <v>818376.91</v>
      </c>
      <c r="M195" s="27">
        <f t="shared" si="28"/>
        <v>0</v>
      </c>
      <c r="N195" s="11"/>
      <c r="O195" s="11"/>
      <c r="P195" s="11"/>
      <c r="Q195" s="11"/>
      <c r="R195" s="26">
        <f t="shared" si="29"/>
        <v>818376.91</v>
      </c>
      <c r="S195" s="27">
        <f t="shared" si="30"/>
        <v>0</v>
      </c>
      <c r="T195" s="11">
        <f t="shared" si="31"/>
        <v>0</v>
      </c>
      <c r="U195" s="11">
        <f t="shared" si="32"/>
        <v>818376.91</v>
      </c>
      <c r="V195" s="26">
        <f t="shared" si="33"/>
        <v>0</v>
      </c>
      <c r="W195" s="27">
        <f t="shared" si="34"/>
        <v>0</v>
      </c>
      <c r="X195" s="4">
        <v>7002</v>
      </c>
      <c r="Y195" s="4"/>
      <c r="Z195" s="4"/>
      <c r="AA195" s="12">
        <f t="shared" si="35"/>
        <v>1</v>
      </c>
      <c r="AC195" s="82">
        <f>+T195+STAT3!T195+STAT2!T195+STAT1!T195</f>
        <v>0</v>
      </c>
      <c r="AD195" s="41">
        <f>+U195+STAT3!U195+STAT2!U195+STAT1!U195</f>
        <v>4018341.8200000003</v>
      </c>
      <c r="AE195" s="575"/>
      <c r="AF195" s="575"/>
    </row>
    <row r="196" spans="2:32" ht="12.75" customHeight="1">
      <c r="B196" s="105">
        <f t="shared" si="24"/>
        <v>193</v>
      </c>
      <c r="C196" s="6">
        <v>840000</v>
      </c>
      <c r="D196" s="6" t="s">
        <v>822</v>
      </c>
      <c r="E196" s="9" t="s">
        <v>32</v>
      </c>
      <c r="F196" s="6"/>
      <c r="G196" s="6"/>
      <c r="H196" s="11">
        <f>+STAT3!V196</f>
        <v>0</v>
      </c>
      <c r="I196" s="11">
        <f>+STAT3!W196</f>
        <v>0</v>
      </c>
      <c r="J196" s="11">
        <f>+SUMIFS(JURNAL!G:G,JURNAL!E:E,C196,JURNAL!C:C,"&gt;="&amp;$H$1,JURNAL!C:C,"&lt;="&amp;$I$1)</f>
        <v>0</v>
      </c>
      <c r="K196" s="11">
        <f>+SUMIFS(JURNAL!H:H,JURNAL!E:E,C196,JURNAL!C:C,"&gt;="&amp;$H$1,JURNAL!C:C,"&lt;="&amp;$I$1)</f>
        <v>0</v>
      </c>
      <c r="L196" s="26">
        <f t="shared" si="27"/>
        <v>0</v>
      </c>
      <c r="M196" s="27">
        <f t="shared" si="28"/>
        <v>0</v>
      </c>
      <c r="N196" s="11"/>
      <c r="O196" s="11"/>
      <c r="P196" s="11"/>
      <c r="Q196" s="11"/>
      <c r="R196" s="26">
        <f t="shared" si="29"/>
        <v>0</v>
      </c>
      <c r="S196" s="27">
        <f t="shared" si="30"/>
        <v>0</v>
      </c>
      <c r="T196" s="11">
        <f t="shared" si="31"/>
        <v>0</v>
      </c>
      <c r="U196" s="11">
        <f t="shared" si="32"/>
        <v>0</v>
      </c>
      <c r="V196" s="26">
        <f t="shared" si="33"/>
        <v>0</v>
      </c>
      <c r="W196" s="27">
        <f t="shared" si="34"/>
        <v>0</v>
      </c>
      <c r="X196" s="4">
        <v>8400</v>
      </c>
      <c r="Y196" s="4"/>
      <c r="Z196" s="4"/>
      <c r="AA196" s="12">
        <f t="shared" si="35"/>
        <v>0</v>
      </c>
      <c r="AC196" s="82">
        <f>+T196+STAT3!T196+STAT2!T196+STAT1!T196</f>
        <v>0</v>
      </c>
      <c r="AD196" s="41">
        <f>+U196+STAT3!U196+STAT2!U196+STAT1!U196</f>
        <v>0</v>
      </c>
      <c r="AE196" s="575"/>
      <c r="AF196" s="575"/>
    </row>
    <row r="197" spans="2:32" ht="12.75" customHeight="1">
      <c r="B197" s="105">
        <f t="shared" si="24"/>
        <v>194</v>
      </c>
      <c r="C197" s="6">
        <v>840100</v>
      </c>
      <c r="D197" s="6" t="s">
        <v>825</v>
      </c>
      <c r="E197" s="9" t="s">
        <v>32</v>
      </c>
      <c r="F197" s="6"/>
      <c r="G197" s="6"/>
      <c r="H197" s="11">
        <f>+STAT3!V197</f>
        <v>0</v>
      </c>
      <c r="I197" s="11">
        <f>+STAT3!W197</f>
        <v>0</v>
      </c>
      <c r="J197" s="11">
        <f>+SUMIFS(JURNAL!G:G,JURNAL!E:E,C197,JURNAL!C:C,"&gt;="&amp;$H$1,JURNAL!C:C,"&lt;="&amp;$I$1)</f>
        <v>0</v>
      </c>
      <c r="K197" s="11">
        <f>+SUMIFS(JURNAL!H:H,JURNAL!E:E,C197,JURNAL!C:C,"&gt;="&amp;$H$1,JURNAL!C:C,"&lt;="&amp;$I$1)</f>
        <v>0</v>
      </c>
      <c r="L197" s="26">
        <f t="shared" si="27"/>
        <v>0</v>
      </c>
      <c r="M197" s="27">
        <f t="shared" si="28"/>
        <v>0</v>
      </c>
      <c r="N197" s="11"/>
      <c r="O197" s="11"/>
      <c r="P197" s="11"/>
      <c r="Q197" s="11"/>
      <c r="R197" s="26">
        <f t="shared" si="29"/>
        <v>0</v>
      </c>
      <c r="S197" s="27">
        <f t="shared" si="30"/>
        <v>0</v>
      </c>
      <c r="T197" s="11">
        <f t="shared" si="31"/>
        <v>0</v>
      </c>
      <c r="U197" s="11">
        <f t="shared" si="32"/>
        <v>0</v>
      </c>
      <c r="V197" s="26">
        <f t="shared" si="33"/>
        <v>0</v>
      </c>
      <c r="W197" s="27">
        <f t="shared" si="34"/>
        <v>0</v>
      </c>
      <c r="X197" s="4">
        <v>8401</v>
      </c>
      <c r="Y197" s="4"/>
      <c r="Z197" s="4"/>
      <c r="AA197" s="12">
        <f t="shared" si="35"/>
        <v>0</v>
      </c>
      <c r="AC197" s="82">
        <f>+T197+STAT3!T197+STAT2!T197+STAT1!T197</f>
        <v>0</v>
      </c>
      <c r="AD197" s="41">
        <f>+U197+STAT3!U197+STAT2!U197+STAT1!U197</f>
        <v>0</v>
      </c>
      <c r="AE197" s="575"/>
      <c r="AF197" s="575"/>
    </row>
    <row r="198" spans="2:32" ht="12.75" customHeight="1">
      <c r="B198" s="105">
        <f t="shared" ref="B198:B215" si="36">+B197+1</f>
        <v>195</v>
      </c>
      <c r="C198" s="6">
        <v>840200</v>
      </c>
      <c r="D198" s="6" t="s">
        <v>828</v>
      </c>
      <c r="E198" s="9" t="s">
        <v>32</v>
      </c>
      <c r="F198" s="6"/>
      <c r="G198" s="6"/>
      <c r="H198" s="11">
        <f>+STAT3!V198</f>
        <v>0</v>
      </c>
      <c r="I198" s="11">
        <f>+STAT3!W198</f>
        <v>0</v>
      </c>
      <c r="J198" s="11">
        <f>+SUMIFS(JURNAL!G:G,JURNAL!E:E,C198,JURNAL!C:C,"&gt;="&amp;$H$1,JURNAL!C:C,"&lt;="&amp;$I$1)</f>
        <v>0</v>
      </c>
      <c r="K198" s="11">
        <f>+SUMIFS(JURNAL!H:H,JURNAL!E:E,C198,JURNAL!C:C,"&gt;="&amp;$H$1,JURNAL!C:C,"&lt;="&amp;$I$1)</f>
        <v>0</v>
      </c>
      <c r="L198" s="26">
        <f t="shared" si="27"/>
        <v>0</v>
      </c>
      <c r="M198" s="27">
        <f t="shared" si="28"/>
        <v>0</v>
      </c>
      <c r="N198" s="11"/>
      <c r="O198" s="11"/>
      <c r="P198" s="11"/>
      <c r="Q198" s="11"/>
      <c r="R198" s="26">
        <f t="shared" si="29"/>
        <v>0</v>
      </c>
      <c r="S198" s="27">
        <f t="shared" si="30"/>
        <v>0</v>
      </c>
      <c r="T198" s="11">
        <f t="shared" si="31"/>
        <v>0</v>
      </c>
      <c r="U198" s="11">
        <f t="shared" si="32"/>
        <v>0</v>
      </c>
      <c r="V198" s="26">
        <f t="shared" si="33"/>
        <v>0</v>
      </c>
      <c r="W198" s="27">
        <f t="shared" si="34"/>
        <v>0</v>
      </c>
      <c r="X198" s="4">
        <v>8401</v>
      </c>
      <c r="Y198" s="4"/>
      <c r="Z198" s="4"/>
      <c r="AA198" s="12">
        <f t="shared" si="35"/>
        <v>0</v>
      </c>
      <c r="AC198" s="82">
        <f>+T198+STAT3!T198+STAT2!T198+STAT1!T198</f>
        <v>131025.51</v>
      </c>
      <c r="AD198" s="41">
        <f>+U198+STAT3!U198+STAT2!U198+STAT1!U198</f>
        <v>0</v>
      </c>
      <c r="AE198" s="575"/>
      <c r="AF198" s="575"/>
    </row>
    <row r="199" spans="2:32" ht="12.75" customHeight="1">
      <c r="B199" s="105">
        <f t="shared" si="36"/>
        <v>196</v>
      </c>
      <c r="C199" s="6">
        <v>840400</v>
      </c>
      <c r="D199" s="6" t="s">
        <v>831</v>
      </c>
      <c r="E199" s="9" t="s">
        <v>32</v>
      </c>
      <c r="F199" s="6"/>
      <c r="G199" s="6"/>
      <c r="H199" s="11">
        <f>+STAT3!V199</f>
        <v>0</v>
      </c>
      <c r="I199" s="11">
        <f>+STAT3!W199</f>
        <v>0</v>
      </c>
      <c r="J199" s="11">
        <f>+SUMIFS(JURNAL!G:G,JURNAL!E:E,C199,JURNAL!C:C,"&gt;="&amp;$H$1,JURNAL!C:C,"&lt;="&amp;$I$1)</f>
        <v>0</v>
      </c>
      <c r="K199" s="11">
        <f>+SUMIFS(JURNAL!H:H,JURNAL!E:E,C199,JURNAL!C:C,"&gt;="&amp;$H$1,JURNAL!C:C,"&lt;="&amp;$I$1)</f>
        <v>0</v>
      </c>
      <c r="L199" s="26">
        <f t="shared" si="27"/>
        <v>0</v>
      </c>
      <c r="M199" s="27">
        <f t="shared" si="28"/>
        <v>0</v>
      </c>
      <c r="N199" s="11"/>
      <c r="O199" s="11"/>
      <c r="P199" s="11"/>
      <c r="Q199" s="11"/>
      <c r="R199" s="26">
        <f t="shared" si="29"/>
        <v>0</v>
      </c>
      <c r="S199" s="27">
        <f t="shared" si="30"/>
        <v>0</v>
      </c>
      <c r="T199" s="11">
        <f t="shared" si="31"/>
        <v>0</v>
      </c>
      <c r="U199" s="11">
        <f t="shared" si="32"/>
        <v>0</v>
      </c>
      <c r="V199" s="26">
        <f t="shared" si="33"/>
        <v>0</v>
      </c>
      <c r="W199" s="27">
        <f t="shared" si="34"/>
        <v>0</v>
      </c>
      <c r="X199" s="4">
        <v>5112</v>
      </c>
      <c r="Y199" s="4"/>
      <c r="Z199" s="4"/>
      <c r="AA199" s="12">
        <f t="shared" si="35"/>
        <v>0</v>
      </c>
      <c r="AC199" s="82">
        <f>+T199+STAT3!T199+STAT2!T199+STAT1!T199</f>
        <v>0</v>
      </c>
      <c r="AD199" s="41">
        <f>+U199+STAT3!U199+STAT2!U199+STAT1!U199</f>
        <v>0</v>
      </c>
      <c r="AE199" s="575"/>
      <c r="AF199" s="575"/>
    </row>
    <row r="200" spans="2:32" ht="12.75" customHeight="1">
      <c r="B200" s="105">
        <f t="shared" si="36"/>
        <v>197</v>
      </c>
      <c r="C200" s="6">
        <v>840500</v>
      </c>
      <c r="D200" s="6" t="s">
        <v>834</v>
      </c>
      <c r="E200" s="9" t="s">
        <v>32</v>
      </c>
      <c r="F200" s="6"/>
      <c r="G200" s="6"/>
      <c r="H200" s="11">
        <f>+STAT3!V200</f>
        <v>0</v>
      </c>
      <c r="I200" s="11">
        <f>+STAT3!W200</f>
        <v>0</v>
      </c>
      <c r="J200" s="11">
        <f>+SUMIFS(JURNAL!G:G,JURNAL!E:E,C200,JURNAL!C:C,"&gt;="&amp;$H$1,JURNAL!C:C,"&lt;="&amp;$I$1)</f>
        <v>0</v>
      </c>
      <c r="K200" s="11">
        <f>+SUMIFS(JURNAL!H:H,JURNAL!E:E,C200,JURNAL!C:C,"&gt;="&amp;$H$1,JURNAL!C:C,"&lt;="&amp;$I$1)</f>
        <v>0</v>
      </c>
      <c r="L200" s="26">
        <f t="shared" si="27"/>
        <v>0</v>
      </c>
      <c r="M200" s="27">
        <f t="shared" si="28"/>
        <v>0</v>
      </c>
      <c r="N200" s="11"/>
      <c r="O200" s="11"/>
      <c r="P200" s="11"/>
      <c r="Q200" s="11"/>
      <c r="R200" s="26">
        <f t="shared" si="29"/>
        <v>0</v>
      </c>
      <c r="S200" s="27">
        <f t="shared" si="30"/>
        <v>0</v>
      </c>
      <c r="T200" s="11">
        <f t="shared" si="31"/>
        <v>0</v>
      </c>
      <c r="U200" s="11">
        <f t="shared" si="32"/>
        <v>0</v>
      </c>
      <c r="V200" s="26">
        <f t="shared" si="33"/>
        <v>0</v>
      </c>
      <c r="W200" s="27">
        <f t="shared" si="34"/>
        <v>0</v>
      </c>
      <c r="X200" s="4">
        <v>8405</v>
      </c>
      <c r="Y200" s="4"/>
      <c r="Z200" s="4"/>
      <c r="AA200" s="12">
        <f t="shared" si="35"/>
        <v>0</v>
      </c>
      <c r="AC200" s="82">
        <f>+T200+STAT3!T200+STAT2!T200+STAT1!T200</f>
        <v>0</v>
      </c>
      <c r="AD200" s="41">
        <f>+U200+STAT3!U200+STAT2!U200+STAT1!U200</f>
        <v>0</v>
      </c>
      <c r="AE200" s="575"/>
      <c r="AF200" s="575"/>
    </row>
    <row r="201" spans="2:32" ht="12.75" customHeight="1">
      <c r="B201" s="105">
        <f t="shared" si="36"/>
        <v>198</v>
      </c>
      <c r="C201" s="6">
        <v>840800</v>
      </c>
      <c r="D201" s="6" t="s">
        <v>840</v>
      </c>
      <c r="E201" s="9" t="s">
        <v>32</v>
      </c>
      <c r="F201" s="6"/>
      <c r="G201" s="6"/>
      <c r="H201" s="11">
        <f>+STAT3!V201</f>
        <v>0</v>
      </c>
      <c r="I201" s="11">
        <f>+STAT3!W201</f>
        <v>0</v>
      </c>
      <c r="J201" s="11">
        <f>+SUMIFS(JURNAL!G:G,JURNAL!E:E,C201,JURNAL!C:C,"&gt;="&amp;$H$1,JURNAL!C:C,"&lt;="&amp;$I$1)</f>
        <v>0</v>
      </c>
      <c r="K201" s="11">
        <f>+SUMIFS(JURNAL!H:H,JURNAL!E:E,C201,JURNAL!C:C,"&gt;="&amp;$H$1,JURNAL!C:C,"&lt;="&amp;$I$1)</f>
        <v>0</v>
      </c>
      <c r="L201" s="26">
        <f t="shared" si="27"/>
        <v>0</v>
      </c>
      <c r="M201" s="27">
        <f t="shared" si="28"/>
        <v>0</v>
      </c>
      <c r="N201" s="11"/>
      <c r="O201" s="11"/>
      <c r="P201" s="11"/>
      <c r="Q201" s="11"/>
      <c r="R201" s="26">
        <f t="shared" si="29"/>
        <v>0</v>
      </c>
      <c r="S201" s="27">
        <f t="shared" si="30"/>
        <v>0</v>
      </c>
      <c r="T201" s="11">
        <f t="shared" si="31"/>
        <v>0</v>
      </c>
      <c r="U201" s="11">
        <f t="shared" si="32"/>
        <v>0</v>
      </c>
      <c r="V201" s="26">
        <f t="shared" si="33"/>
        <v>0</v>
      </c>
      <c r="W201" s="27">
        <f t="shared" si="34"/>
        <v>0</v>
      </c>
      <c r="X201" s="4">
        <v>8400</v>
      </c>
      <c r="Y201" s="4"/>
      <c r="Z201" s="4"/>
      <c r="AA201" s="12">
        <f t="shared" si="35"/>
        <v>0</v>
      </c>
      <c r="AC201" s="82">
        <f>+T201+STAT3!T201+STAT2!T201+STAT1!T201</f>
        <v>0</v>
      </c>
      <c r="AD201" s="41">
        <f>+U201+STAT3!U201+STAT2!U201+STAT1!U201</f>
        <v>0</v>
      </c>
      <c r="AE201" s="575"/>
      <c r="AF201" s="575"/>
    </row>
    <row r="202" spans="2:32" ht="12.75" customHeight="1">
      <c r="B202" s="105">
        <f t="shared" si="36"/>
        <v>199</v>
      </c>
      <c r="C202" s="6">
        <v>840900</v>
      </c>
      <c r="D202" s="6" t="s">
        <v>842</v>
      </c>
      <c r="E202" s="9" t="s">
        <v>32</v>
      </c>
      <c r="F202" s="6"/>
      <c r="G202" s="6"/>
      <c r="H202" s="11">
        <f>+STAT3!V202</f>
        <v>0</v>
      </c>
      <c r="I202" s="11">
        <f>+STAT3!W202</f>
        <v>0</v>
      </c>
      <c r="J202" s="11">
        <f>+SUMIFS(JURNAL!G:G,JURNAL!E:E,C202,JURNAL!C:C,"&gt;="&amp;$H$1,JURNAL!C:C,"&lt;="&amp;$I$1)</f>
        <v>0</v>
      </c>
      <c r="K202" s="11">
        <f>+SUMIFS(JURNAL!H:H,JURNAL!E:E,C202,JURNAL!C:C,"&gt;="&amp;$H$1,JURNAL!C:C,"&lt;="&amp;$I$1)</f>
        <v>0</v>
      </c>
      <c r="L202" s="26">
        <f t="shared" si="27"/>
        <v>0</v>
      </c>
      <c r="M202" s="27">
        <f t="shared" si="28"/>
        <v>0</v>
      </c>
      <c r="N202" s="11"/>
      <c r="O202" s="11"/>
      <c r="P202" s="11"/>
      <c r="Q202" s="11"/>
      <c r="R202" s="26">
        <f t="shared" si="29"/>
        <v>0</v>
      </c>
      <c r="S202" s="27">
        <f t="shared" si="30"/>
        <v>0</v>
      </c>
      <c r="T202" s="11">
        <f t="shared" si="31"/>
        <v>0</v>
      </c>
      <c r="U202" s="11">
        <f t="shared" si="32"/>
        <v>0</v>
      </c>
      <c r="V202" s="26">
        <f t="shared" si="33"/>
        <v>0</v>
      </c>
      <c r="W202" s="27">
        <f t="shared" si="34"/>
        <v>0</v>
      </c>
      <c r="X202" s="4">
        <v>8409</v>
      </c>
      <c r="Y202" s="4"/>
      <c r="Z202" s="4"/>
      <c r="AA202" s="12">
        <f t="shared" si="35"/>
        <v>0</v>
      </c>
      <c r="AC202" s="82">
        <f>+T202+STAT3!T202+STAT2!T202+STAT1!T202</f>
        <v>0</v>
      </c>
      <c r="AD202" s="41">
        <f>+U202+STAT3!U202+STAT2!U202+STAT1!U202</f>
        <v>0</v>
      </c>
      <c r="AE202" s="575"/>
      <c r="AF202" s="575"/>
    </row>
    <row r="203" spans="2:32" ht="12.75" customHeight="1">
      <c r="B203" s="105">
        <f t="shared" si="36"/>
        <v>200</v>
      </c>
      <c r="C203" s="6">
        <v>870000</v>
      </c>
      <c r="D203" s="6" t="s">
        <v>846</v>
      </c>
      <c r="E203" s="9" t="s">
        <v>32</v>
      </c>
      <c r="F203" s="6"/>
      <c r="G203" s="6"/>
      <c r="H203" s="11">
        <f>+STAT3!V203</f>
        <v>0</v>
      </c>
      <c r="I203" s="11">
        <f>+STAT3!W203</f>
        <v>0</v>
      </c>
      <c r="J203" s="11">
        <f>+SUMIFS(JURNAL!G:G,JURNAL!E:E,C203,JURNAL!C:C,"&gt;="&amp;$H$1,JURNAL!C:C,"&lt;="&amp;$I$1)</f>
        <v>0</v>
      </c>
      <c r="K203" s="11">
        <f>+SUMIFS(JURNAL!H:H,JURNAL!E:E,C203,JURNAL!C:C,"&gt;="&amp;$H$1,JURNAL!C:C,"&lt;="&amp;$I$1)</f>
        <v>0</v>
      </c>
      <c r="L203" s="26">
        <f t="shared" si="27"/>
        <v>0</v>
      </c>
      <c r="M203" s="27">
        <f t="shared" si="28"/>
        <v>0</v>
      </c>
      <c r="N203" s="11"/>
      <c r="O203" s="11"/>
      <c r="P203" s="11"/>
      <c r="Q203" s="11"/>
      <c r="R203" s="26">
        <f t="shared" si="29"/>
        <v>0</v>
      </c>
      <c r="S203" s="27">
        <f t="shared" si="30"/>
        <v>0</v>
      </c>
      <c r="T203" s="11">
        <f t="shared" si="31"/>
        <v>0</v>
      </c>
      <c r="U203" s="11">
        <f t="shared" si="32"/>
        <v>0</v>
      </c>
      <c r="V203" s="26">
        <f t="shared" si="33"/>
        <v>0</v>
      </c>
      <c r="W203" s="27">
        <f t="shared" si="34"/>
        <v>0</v>
      </c>
      <c r="X203" s="4">
        <v>8400</v>
      </c>
      <c r="Y203" s="4"/>
      <c r="Z203" s="4"/>
      <c r="AA203" s="12">
        <f t="shared" si="35"/>
        <v>0</v>
      </c>
      <c r="AC203" s="82">
        <f>+T203+STAT3!T203+STAT2!T203+STAT1!T203</f>
        <v>0</v>
      </c>
      <c r="AD203" s="41">
        <f>+U203+STAT3!U203+STAT2!U203+STAT1!U203</f>
        <v>0</v>
      </c>
      <c r="AE203" s="575"/>
      <c r="AF203" s="575"/>
    </row>
    <row r="204" spans="2:32" ht="12.75" customHeight="1">
      <c r="B204" s="105">
        <f t="shared" si="36"/>
        <v>201</v>
      </c>
      <c r="C204" s="6">
        <v>870100</v>
      </c>
      <c r="D204" s="6" t="s">
        <v>849</v>
      </c>
      <c r="E204" s="9" t="s">
        <v>32</v>
      </c>
      <c r="F204" s="6"/>
      <c r="G204" s="6"/>
      <c r="H204" s="11">
        <f>+STAT3!V204</f>
        <v>0</v>
      </c>
      <c r="I204" s="11">
        <f>+STAT3!W204</f>
        <v>0</v>
      </c>
      <c r="J204" s="11">
        <f>+SUMIFS(JURNAL!G:G,JURNAL!E:E,C204,JURNAL!C:C,"&gt;="&amp;$H$1,JURNAL!C:C,"&lt;="&amp;$I$1)</f>
        <v>0</v>
      </c>
      <c r="K204" s="11">
        <f>+SUMIFS(JURNAL!H:H,JURNAL!E:E,C204,JURNAL!C:C,"&gt;="&amp;$H$1,JURNAL!C:C,"&lt;="&amp;$I$1)</f>
        <v>0</v>
      </c>
      <c r="L204" s="26">
        <f t="shared" ref="L204:L215" si="37">+IF((H204+J204)&gt;(I204+K204),(H204+J204)-(I204+K204),0)</f>
        <v>0</v>
      </c>
      <c r="M204" s="27">
        <f t="shared" ref="M204:M215" si="38">+IF((H204+J204)&lt;(I204+K204),(I204+K204)-(H204+J204),0)</f>
        <v>0</v>
      </c>
      <c r="N204" s="11"/>
      <c r="O204" s="11"/>
      <c r="P204" s="11"/>
      <c r="Q204" s="11"/>
      <c r="R204" s="26">
        <f t="shared" ref="R204:R215" si="39">+IF((L204+N204)&gt;(M204+O204),(L204+N204)-(M204+O204),0)</f>
        <v>0</v>
      </c>
      <c r="S204" s="27">
        <f t="shared" ref="S204:S215" si="40">+IF((L204+N204)&lt;(M204+O204),(M204+O204)-(L204+N204),0)</f>
        <v>0</v>
      </c>
      <c r="T204" s="11">
        <f t="shared" ref="T204:T214" si="41">+S204</f>
        <v>0</v>
      </c>
      <c r="U204" s="11">
        <f t="shared" ref="U204:U214" si="42">+R204</f>
        <v>0</v>
      </c>
      <c r="V204" s="26">
        <f t="shared" ref="V204:V215" si="43">+IF((R204+T204)&gt;(S204+U204),(R204+T204)-(S204+U204),0)</f>
        <v>0</v>
      </c>
      <c r="W204" s="27">
        <f t="shared" ref="W204:W215" si="44">+IF((R204+T204)&lt;(S204+U204),(S204+U204)-(R204+T204),0)</f>
        <v>0</v>
      </c>
      <c r="X204" s="4">
        <v>8401</v>
      </c>
      <c r="Y204" s="4"/>
      <c r="Z204" s="4"/>
      <c r="AA204" s="12">
        <f t="shared" ref="AA204:AA214" si="45">+IF(H204+I204+J204+K204+L204+M204+N204+O204+R204+S204+T204+U204+V204+W204,1,0)</f>
        <v>0</v>
      </c>
      <c r="AC204" s="82">
        <f>+T204+STAT3!T204+STAT2!T204+STAT1!T204</f>
        <v>0</v>
      </c>
      <c r="AD204" s="41">
        <f>+U204+STAT3!U204+STAT2!U204+STAT1!U204</f>
        <v>0</v>
      </c>
      <c r="AE204" s="575"/>
      <c r="AF204" s="575"/>
    </row>
    <row r="205" spans="2:32" ht="12.75" customHeight="1">
      <c r="B205" s="105">
        <f t="shared" si="36"/>
        <v>202</v>
      </c>
      <c r="C205" s="6">
        <v>870200</v>
      </c>
      <c r="D205" s="6" t="s">
        <v>852</v>
      </c>
      <c r="E205" s="9" t="s">
        <v>32</v>
      </c>
      <c r="F205" s="6"/>
      <c r="G205" s="6"/>
      <c r="H205" s="11">
        <f>+STAT3!V205</f>
        <v>0</v>
      </c>
      <c r="I205" s="11">
        <f>+STAT3!W205</f>
        <v>0</v>
      </c>
      <c r="J205" s="11">
        <f>+SUMIFS(JURNAL!G:G,JURNAL!E:E,C205,JURNAL!C:C,"&gt;="&amp;$H$1,JURNAL!C:C,"&lt;="&amp;$I$1)</f>
        <v>0</v>
      </c>
      <c r="K205" s="11">
        <f>+SUMIFS(JURNAL!H:H,JURNAL!E:E,C205,JURNAL!C:C,"&gt;="&amp;$H$1,JURNAL!C:C,"&lt;="&amp;$I$1)</f>
        <v>0</v>
      </c>
      <c r="L205" s="26">
        <f t="shared" si="37"/>
        <v>0</v>
      </c>
      <c r="M205" s="27">
        <f t="shared" si="38"/>
        <v>0</v>
      </c>
      <c r="N205" s="11">
        <v>226206.43299999999</v>
      </c>
      <c r="O205" s="11"/>
      <c r="P205" s="11"/>
      <c r="Q205" s="11"/>
      <c r="R205" s="26">
        <f t="shared" si="39"/>
        <v>226206.43299999999</v>
      </c>
      <c r="S205" s="27">
        <f t="shared" si="40"/>
        <v>0</v>
      </c>
      <c r="T205" s="11">
        <f t="shared" si="41"/>
        <v>0</v>
      </c>
      <c r="U205" s="11">
        <f t="shared" si="42"/>
        <v>226206.43299999999</v>
      </c>
      <c r="V205" s="26">
        <f t="shared" si="43"/>
        <v>0</v>
      </c>
      <c r="W205" s="27">
        <f t="shared" si="44"/>
        <v>0</v>
      </c>
      <c r="X205" s="4">
        <v>8401</v>
      </c>
      <c r="Y205" s="4"/>
      <c r="Z205" s="4"/>
      <c r="AA205" s="12">
        <f t="shared" si="45"/>
        <v>1</v>
      </c>
      <c r="AC205" s="82">
        <f>+T205+STAT3!T205+STAT2!T205+STAT1!T205</f>
        <v>0</v>
      </c>
      <c r="AD205" s="41">
        <f>+U205+STAT3!U205+STAT2!U205+STAT1!U205</f>
        <v>499415.81999999995</v>
      </c>
      <c r="AE205" s="575"/>
      <c r="AF205" s="575"/>
    </row>
    <row r="206" spans="2:32" ht="12.75" customHeight="1">
      <c r="B206" s="105">
        <f t="shared" si="36"/>
        <v>203</v>
      </c>
      <c r="C206" s="6">
        <v>870300</v>
      </c>
      <c r="D206" s="6" t="s">
        <v>282</v>
      </c>
      <c r="E206" s="9" t="s">
        <v>32</v>
      </c>
      <c r="F206" s="6"/>
      <c r="G206" s="6"/>
      <c r="H206" s="11">
        <f>+STAT3!V206</f>
        <v>0</v>
      </c>
      <c r="I206" s="11">
        <f>+STAT3!W206</f>
        <v>0</v>
      </c>
      <c r="J206" s="11">
        <f>+SUMIFS(JURNAL!G:G,JURNAL!E:E,C206,JURNAL!C:C,"&gt;="&amp;$H$1,JURNAL!C:C,"&lt;="&amp;$I$1)</f>
        <v>0</v>
      </c>
      <c r="K206" s="11">
        <f>+SUMIFS(JURNAL!H:H,JURNAL!E:E,C206,JURNAL!C:C,"&gt;="&amp;$H$1,JURNAL!C:C,"&lt;="&amp;$I$1)</f>
        <v>0</v>
      </c>
      <c r="L206" s="26">
        <f t="shared" si="37"/>
        <v>0</v>
      </c>
      <c r="M206" s="27">
        <f t="shared" si="38"/>
        <v>0</v>
      </c>
      <c r="N206" s="11"/>
      <c r="O206" s="11"/>
      <c r="P206" s="11"/>
      <c r="Q206" s="11"/>
      <c r="R206" s="26">
        <f t="shared" si="39"/>
        <v>0</v>
      </c>
      <c r="S206" s="27">
        <f t="shared" si="40"/>
        <v>0</v>
      </c>
      <c r="T206" s="11">
        <f t="shared" si="41"/>
        <v>0</v>
      </c>
      <c r="U206" s="11">
        <f t="shared" si="42"/>
        <v>0</v>
      </c>
      <c r="V206" s="26">
        <f t="shared" si="43"/>
        <v>0</v>
      </c>
      <c r="W206" s="27">
        <f t="shared" si="44"/>
        <v>0</v>
      </c>
      <c r="X206" s="4">
        <v>7201</v>
      </c>
      <c r="Y206" s="4"/>
      <c r="Z206" s="4"/>
      <c r="AA206" s="12">
        <f t="shared" si="45"/>
        <v>0</v>
      </c>
      <c r="AC206" s="82">
        <f>+T206+STAT3!T206+STAT2!T206+STAT1!T206</f>
        <v>0</v>
      </c>
      <c r="AD206" s="41">
        <f>+U206+STAT3!U206+STAT2!U206+STAT1!U206</f>
        <v>0</v>
      </c>
      <c r="AE206" s="575"/>
      <c r="AF206" s="575"/>
    </row>
    <row r="207" spans="2:32" ht="12.75" customHeight="1">
      <c r="B207" s="105">
        <f t="shared" si="36"/>
        <v>204</v>
      </c>
      <c r="C207" s="6">
        <v>870400</v>
      </c>
      <c r="D207" s="6" t="s">
        <v>857</v>
      </c>
      <c r="E207" s="9" t="s">
        <v>32</v>
      </c>
      <c r="F207" s="6"/>
      <c r="G207" s="6"/>
      <c r="H207" s="11">
        <f>+STAT3!V207</f>
        <v>0</v>
      </c>
      <c r="I207" s="11">
        <f>+STAT3!W207</f>
        <v>0</v>
      </c>
      <c r="J207" s="11">
        <f>+SUMIFS(JURNAL!G:G,JURNAL!E:E,C207,JURNAL!C:C,"&gt;="&amp;$H$1,JURNAL!C:C,"&lt;="&amp;$I$1)</f>
        <v>0</v>
      </c>
      <c r="K207" s="11">
        <f>+SUMIFS(JURNAL!H:H,JURNAL!E:E,C207,JURNAL!C:C,"&gt;="&amp;$H$1,JURNAL!C:C,"&lt;="&amp;$I$1)</f>
        <v>0</v>
      </c>
      <c r="L207" s="26">
        <f t="shared" si="37"/>
        <v>0</v>
      </c>
      <c r="M207" s="27">
        <f t="shared" si="38"/>
        <v>0</v>
      </c>
      <c r="N207" s="11"/>
      <c r="O207" s="11"/>
      <c r="P207" s="11"/>
      <c r="Q207" s="11"/>
      <c r="R207" s="26">
        <f t="shared" si="39"/>
        <v>0</v>
      </c>
      <c r="S207" s="27">
        <f t="shared" si="40"/>
        <v>0</v>
      </c>
      <c r="T207" s="11">
        <f t="shared" si="41"/>
        <v>0</v>
      </c>
      <c r="U207" s="11">
        <f t="shared" si="42"/>
        <v>0</v>
      </c>
      <c r="V207" s="26">
        <f t="shared" si="43"/>
        <v>0</v>
      </c>
      <c r="W207" s="27">
        <f t="shared" si="44"/>
        <v>0</v>
      </c>
      <c r="X207" s="4">
        <v>7201</v>
      </c>
      <c r="Y207" s="4"/>
      <c r="Z207" s="4"/>
      <c r="AA207" s="12">
        <f t="shared" si="45"/>
        <v>0</v>
      </c>
      <c r="AC207" s="82">
        <f>+T207+STAT3!T207+STAT2!T207+STAT1!T207</f>
        <v>0</v>
      </c>
      <c r="AD207" s="41">
        <f>+U207+STAT3!U207+STAT2!U207+STAT1!U207</f>
        <v>0</v>
      </c>
      <c r="AE207" s="575"/>
      <c r="AF207" s="575"/>
    </row>
    <row r="208" spans="2:32" ht="12.75" customHeight="1">
      <c r="B208" s="105">
        <f t="shared" si="36"/>
        <v>205</v>
      </c>
      <c r="C208" s="6">
        <v>870500</v>
      </c>
      <c r="D208" s="6" t="s">
        <v>860</v>
      </c>
      <c r="E208" s="9" t="s">
        <v>32</v>
      </c>
      <c r="F208" s="6"/>
      <c r="G208" s="6"/>
      <c r="H208" s="11">
        <f>+STAT3!V208</f>
        <v>0</v>
      </c>
      <c r="I208" s="11">
        <f>+STAT3!W208</f>
        <v>0</v>
      </c>
      <c r="J208" s="11">
        <f>+SUMIFS(JURNAL!G:G,JURNAL!E:E,C208,JURNAL!C:C,"&gt;="&amp;$H$1,JURNAL!C:C,"&lt;="&amp;$I$1)</f>
        <v>0</v>
      </c>
      <c r="K208" s="11">
        <f>+SUMIFS(JURNAL!H:H,JURNAL!E:E,C208,JURNAL!C:C,"&gt;="&amp;$H$1,JURNAL!C:C,"&lt;="&amp;$I$1)</f>
        <v>0</v>
      </c>
      <c r="L208" s="26">
        <f t="shared" si="37"/>
        <v>0</v>
      </c>
      <c r="M208" s="27">
        <f t="shared" si="38"/>
        <v>0</v>
      </c>
      <c r="N208" s="11"/>
      <c r="O208" s="11"/>
      <c r="P208" s="11"/>
      <c r="Q208" s="11"/>
      <c r="R208" s="26">
        <f t="shared" si="39"/>
        <v>0</v>
      </c>
      <c r="S208" s="27">
        <f t="shared" si="40"/>
        <v>0</v>
      </c>
      <c r="T208" s="11">
        <f t="shared" si="41"/>
        <v>0</v>
      </c>
      <c r="U208" s="11">
        <f t="shared" si="42"/>
        <v>0</v>
      </c>
      <c r="V208" s="26">
        <f t="shared" si="43"/>
        <v>0</v>
      </c>
      <c r="W208" s="27">
        <f t="shared" si="44"/>
        <v>0</v>
      </c>
      <c r="X208" s="4">
        <v>8405</v>
      </c>
      <c r="Y208" s="4"/>
      <c r="Z208" s="4"/>
      <c r="AA208" s="12">
        <f t="shared" si="45"/>
        <v>0</v>
      </c>
      <c r="AC208" s="82">
        <f>+T208+STAT3!T208+STAT2!T208+STAT1!T208</f>
        <v>0</v>
      </c>
      <c r="AD208" s="41">
        <f>+U208+STAT3!U208+STAT2!U208+STAT1!U208</f>
        <v>0</v>
      </c>
      <c r="AE208" s="575"/>
      <c r="AF208" s="575"/>
    </row>
    <row r="209" spans="2:32" ht="12.75" customHeight="1">
      <c r="B209" s="105">
        <f t="shared" si="36"/>
        <v>206</v>
      </c>
      <c r="C209" s="6">
        <v>870700</v>
      </c>
      <c r="D209" s="6" t="s">
        <v>863</v>
      </c>
      <c r="E209" s="9" t="s">
        <v>32</v>
      </c>
      <c r="F209" s="6"/>
      <c r="G209" s="6"/>
      <c r="H209" s="11">
        <f>+STAT3!V209</f>
        <v>0</v>
      </c>
      <c r="I209" s="11">
        <f>+STAT3!W209</f>
        <v>0</v>
      </c>
      <c r="J209" s="11">
        <f>+SUMIFS(JURNAL!G:G,JURNAL!E:E,C209,JURNAL!C:C,"&gt;="&amp;$H$1,JURNAL!C:C,"&lt;="&amp;$I$1)</f>
        <v>0</v>
      </c>
      <c r="K209" s="11">
        <f>+SUMIFS(JURNAL!H:H,JURNAL!E:E,C209,JURNAL!C:C,"&gt;="&amp;$H$1,JURNAL!C:C,"&lt;="&amp;$I$1)</f>
        <v>0</v>
      </c>
      <c r="L209" s="26">
        <f t="shared" si="37"/>
        <v>0</v>
      </c>
      <c r="M209" s="27">
        <f t="shared" si="38"/>
        <v>0</v>
      </c>
      <c r="N209" s="11"/>
      <c r="O209" s="11"/>
      <c r="P209" s="11"/>
      <c r="Q209" s="11"/>
      <c r="R209" s="26">
        <f t="shared" si="39"/>
        <v>0</v>
      </c>
      <c r="S209" s="27">
        <f t="shared" si="40"/>
        <v>0</v>
      </c>
      <c r="T209" s="11">
        <f t="shared" si="41"/>
        <v>0</v>
      </c>
      <c r="U209" s="11">
        <f t="shared" si="42"/>
        <v>0</v>
      </c>
      <c r="V209" s="26">
        <f t="shared" si="43"/>
        <v>0</v>
      </c>
      <c r="W209" s="27">
        <f t="shared" si="44"/>
        <v>0</v>
      </c>
      <c r="X209" s="4">
        <v>8400</v>
      </c>
      <c r="Y209" s="4"/>
      <c r="Z209" s="4"/>
      <c r="AA209" s="12">
        <f t="shared" si="45"/>
        <v>0</v>
      </c>
      <c r="AC209" s="82">
        <f>+T209+STAT3!T209+STAT2!T209+STAT1!T209</f>
        <v>0</v>
      </c>
      <c r="AD209" s="41">
        <f>+U209+STAT3!U209+STAT2!U209+STAT1!U209</f>
        <v>0</v>
      </c>
      <c r="AE209" s="575"/>
      <c r="AF209" s="575"/>
    </row>
    <row r="210" spans="2:32" ht="12.75" customHeight="1">
      <c r="B210" s="105">
        <f t="shared" si="36"/>
        <v>207</v>
      </c>
      <c r="C210" s="6">
        <v>870800</v>
      </c>
      <c r="D210" s="6" t="s">
        <v>866</v>
      </c>
      <c r="E210" s="9" t="s">
        <v>32</v>
      </c>
      <c r="F210" s="6"/>
      <c r="G210" s="6"/>
      <c r="H210" s="11">
        <f>+STAT3!V210</f>
        <v>0</v>
      </c>
      <c r="I210" s="11">
        <f>+STAT3!W210</f>
        <v>0</v>
      </c>
      <c r="J210" s="11">
        <f>+SUMIFS(JURNAL!G:G,JURNAL!E:E,C210,JURNAL!C:C,"&gt;="&amp;$H$1,JURNAL!C:C,"&lt;="&amp;$I$1)</f>
        <v>0</v>
      </c>
      <c r="K210" s="11">
        <f>+SUMIFS(JURNAL!H:H,JURNAL!E:E,C210,JURNAL!C:C,"&gt;="&amp;$H$1,JURNAL!C:C,"&lt;="&amp;$I$1)</f>
        <v>0</v>
      </c>
      <c r="L210" s="26">
        <f t="shared" si="37"/>
        <v>0</v>
      </c>
      <c r="M210" s="27">
        <f t="shared" si="38"/>
        <v>0</v>
      </c>
      <c r="N210" s="11"/>
      <c r="O210" s="11"/>
      <c r="P210" s="11"/>
      <c r="Q210" s="11"/>
      <c r="R210" s="26">
        <f t="shared" si="39"/>
        <v>0</v>
      </c>
      <c r="S210" s="27">
        <f t="shared" si="40"/>
        <v>0</v>
      </c>
      <c r="T210" s="11">
        <f t="shared" si="41"/>
        <v>0</v>
      </c>
      <c r="U210" s="11">
        <f t="shared" si="42"/>
        <v>0</v>
      </c>
      <c r="V210" s="26">
        <f t="shared" si="43"/>
        <v>0</v>
      </c>
      <c r="W210" s="27">
        <f t="shared" si="44"/>
        <v>0</v>
      </c>
      <c r="X210" s="4">
        <v>7202</v>
      </c>
      <c r="Y210" s="4"/>
      <c r="Z210" s="4"/>
      <c r="AA210" s="12">
        <f t="shared" si="45"/>
        <v>0</v>
      </c>
      <c r="AC210" s="82">
        <f>+T210+STAT3!T210+STAT2!T210+STAT1!T210</f>
        <v>0</v>
      </c>
      <c r="AD210" s="41">
        <f>+U210+STAT3!U210+STAT2!U210+STAT1!U210</f>
        <v>0</v>
      </c>
      <c r="AE210" s="575"/>
      <c r="AF210" s="575"/>
    </row>
    <row r="211" spans="2:32" ht="12.75" customHeight="1">
      <c r="B211" s="105">
        <f t="shared" si="36"/>
        <v>208</v>
      </c>
      <c r="C211" s="6">
        <v>870900</v>
      </c>
      <c r="D211" s="6" t="s">
        <v>868</v>
      </c>
      <c r="E211" s="9" t="s">
        <v>32</v>
      </c>
      <c r="F211" s="6"/>
      <c r="G211" s="6"/>
      <c r="H211" s="11">
        <f>+STAT3!V211</f>
        <v>0</v>
      </c>
      <c r="I211" s="11">
        <f>+STAT3!W211</f>
        <v>0</v>
      </c>
      <c r="J211" s="11">
        <f>+SUMIFS(JURNAL!G:G,JURNAL!E:E,C211,JURNAL!C:C,"&gt;="&amp;$H$1,JURNAL!C:C,"&lt;="&amp;$I$1)</f>
        <v>0</v>
      </c>
      <c r="K211" s="11">
        <f>+SUMIFS(JURNAL!H:H,JURNAL!E:E,C211,JURNAL!C:C,"&gt;="&amp;$H$1,JURNAL!C:C,"&lt;="&amp;$I$1)</f>
        <v>0</v>
      </c>
      <c r="L211" s="26">
        <f t="shared" si="37"/>
        <v>0</v>
      </c>
      <c r="M211" s="27">
        <f t="shared" si="38"/>
        <v>0</v>
      </c>
      <c r="N211" s="11"/>
      <c r="O211" s="11"/>
      <c r="P211" s="11"/>
      <c r="Q211" s="11"/>
      <c r="R211" s="26">
        <f t="shared" si="39"/>
        <v>0</v>
      </c>
      <c r="S211" s="27">
        <f t="shared" si="40"/>
        <v>0</v>
      </c>
      <c r="T211" s="11">
        <f t="shared" si="41"/>
        <v>0</v>
      </c>
      <c r="U211" s="11">
        <f t="shared" si="42"/>
        <v>0</v>
      </c>
      <c r="V211" s="26">
        <f t="shared" si="43"/>
        <v>0</v>
      </c>
      <c r="W211" s="27">
        <f t="shared" si="44"/>
        <v>0</v>
      </c>
      <c r="X211" s="4">
        <v>8409</v>
      </c>
      <c r="Y211" s="4"/>
      <c r="Z211" s="4"/>
      <c r="AA211" s="12">
        <f t="shared" si="45"/>
        <v>0</v>
      </c>
      <c r="AC211" s="82">
        <f>+T211+STAT3!T211+STAT2!T211+STAT1!T211</f>
        <v>0</v>
      </c>
      <c r="AD211" s="41">
        <f>+U211+STAT3!U211+STAT2!U211+STAT1!U211</f>
        <v>0</v>
      </c>
      <c r="AE211" s="575"/>
      <c r="AF211" s="575"/>
    </row>
    <row r="212" spans="2:32" ht="12.75" customHeight="1">
      <c r="B212" s="105">
        <f t="shared" si="36"/>
        <v>209</v>
      </c>
      <c r="C212" s="6">
        <v>871100</v>
      </c>
      <c r="D212" s="6" t="s">
        <v>871</v>
      </c>
      <c r="E212" s="9" t="s">
        <v>32</v>
      </c>
      <c r="F212" s="6"/>
      <c r="G212" s="6"/>
      <c r="H212" s="11">
        <f>+STAT3!V212</f>
        <v>0</v>
      </c>
      <c r="I212" s="11">
        <f>+STAT3!W212</f>
        <v>0</v>
      </c>
      <c r="J212" s="11">
        <f>+SUMIFS(JURNAL!G:G,JURNAL!E:E,C212,JURNAL!C:C,"&gt;="&amp;$H$1,JURNAL!C:C,"&lt;="&amp;$I$1)</f>
        <v>0</v>
      </c>
      <c r="K212" s="11">
        <f>+SUMIFS(JURNAL!H:H,JURNAL!E:E,C212,JURNAL!C:C,"&gt;="&amp;$H$1,JURNAL!C:C,"&lt;="&amp;$I$1)</f>
        <v>0</v>
      </c>
      <c r="L212" s="26">
        <f t="shared" si="37"/>
        <v>0</v>
      </c>
      <c r="M212" s="27">
        <f t="shared" si="38"/>
        <v>0</v>
      </c>
      <c r="N212" s="11"/>
      <c r="O212" s="11"/>
      <c r="P212" s="11"/>
      <c r="Q212" s="11"/>
      <c r="R212" s="26">
        <f t="shared" si="39"/>
        <v>0</v>
      </c>
      <c r="S212" s="27">
        <f t="shared" si="40"/>
        <v>0</v>
      </c>
      <c r="T212" s="11">
        <f t="shared" si="41"/>
        <v>0</v>
      </c>
      <c r="U212" s="11">
        <f t="shared" si="42"/>
        <v>0</v>
      </c>
      <c r="V212" s="26">
        <f t="shared" si="43"/>
        <v>0</v>
      </c>
      <c r="W212" s="27">
        <f t="shared" si="44"/>
        <v>0</v>
      </c>
      <c r="X212" s="4">
        <v>7202</v>
      </c>
      <c r="Y212" s="4"/>
      <c r="Z212" s="4"/>
      <c r="AA212" s="12">
        <f t="shared" si="45"/>
        <v>0</v>
      </c>
      <c r="AC212" s="82">
        <f>+T212+STAT3!T212+STAT2!T212+STAT1!T212</f>
        <v>0</v>
      </c>
      <c r="AD212" s="41">
        <f>+U212+STAT3!U212+STAT2!U212+STAT1!U212</f>
        <v>0</v>
      </c>
      <c r="AE212" s="575"/>
      <c r="AF212" s="575"/>
    </row>
    <row r="213" spans="2:32" ht="12.75" customHeight="1">
      <c r="B213" s="105">
        <f t="shared" si="36"/>
        <v>210</v>
      </c>
      <c r="C213" s="6">
        <v>871200</v>
      </c>
      <c r="D213" s="6" t="s">
        <v>874</v>
      </c>
      <c r="E213" s="9" t="s">
        <v>32</v>
      </c>
      <c r="F213" s="6"/>
      <c r="G213" s="6"/>
      <c r="H213" s="11">
        <f>+STAT3!V213</f>
        <v>0</v>
      </c>
      <c r="I213" s="11">
        <f>+STAT3!W213</f>
        <v>0</v>
      </c>
      <c r="J213" s="11">
        <f>+SUMIFS(JURNAL!G:G,JURNAL!E:E,C213,JURNAL!C:C,"&gt;="&amp;$H$1,JURNAL!C:C,"&lt;="&amp;$I$1)</f>
        <v>0</v>
      </c>
      <c r="K213" s="11">
        <f>+SUMIFS(JURNAL!H:H,JURNAL!E:E,C213,JURNAL!C:C,"&gt;="&amp;$H$1,JURNAL!C:C,"&lt;="&amp;$I$1)</f>
        <v>0</v>
      </c>
      <c r="L213" s="26">
        <f t="shared" si="37"/>
        <v>0</v>
      </c>
      <c r="M213" s="27">
        <f t="shared" si="38"/>
        <v>0</v>
      </c>
      <c r="N213" s="11"/>
      <c r="O213" s="11"/>
      <c r="P213" s="11"/>
      <c r="Q213" s="11"/>
      <c r="R213" s="26">
        <f t="shared" si="39"/>
        <v>0</v>
      </c>
      <c r="S213" s="27">
        <f t="shared" si="40"/>
        <v>0</v>
      </c>
      <c r="T213" s="11">
        <f t="shared" si="41"/>
        <v>0</v>
      </c>
      <c r="U213" s="11">
        <f t="shared" si="42"/>
        <v>0</v>
      </c>
      <c r="V213" s="26">
        <f t="shared" si="43"/>
        <v>0</v>
      </c>
      <c r="W213" s="27">
        <f t="shared" si="44"/>
        <v>0</v>
      </c>
      <c r="X213" s="4">
        <v>8402</v>
      </c>
      <c r="Y213" s="4"/>
      <c r="Z213" s="4"/>
      <c r="AA213" s="12">
        <f t="shared" si="45"/>
        <v>0</v>
      </c>
      <c r="AC213" s="82">
        <f>+T213+STAT3!T213+STAT2!T213+STAT1!T213</f>
        <v>0</v>
      </c>
      <c r="AD213" s="41">
        <f>+U213+STAT3!U213+STAT2!U213+STAT1!U213</f>
        <v>0</v>
      </c>
      <c r="AE213" s="575"/>
      <c r="AF213" s="575"/>
    </row>
    <row r="214" spans="2:32" ht="12.75" customHeight="1">
      <c r="B214" s="105">
        <f t="shared" si="36"/>
        <v>211</v>
      </c>
      <c r="C214" s="6">
        <v>910100</v>
      </c>
      <c r="D214" s="6" t="s">
        <v>284</v>
      </c>
      <c r="E214" s="9" t="s">
        <v>32</v>
      </c>
      <c r="F214" s="6"/>
      <c r="G214" s="6"/>
      <c r="H214" s="11">
        <f>+STAT3!V214</f>
        <v>0</v>
      </c>
      <c r="I214" s="11">
        <f>+STAT3!W214</f>
        <v>0</v>
      </c>
      <c r="J214" s="11">
        <f>+SUMIFS(JURNAL!G:G,JURNAL!E:E,C214,JURNAL!C:C,"&gt;="&amp;$H$1,JURNAL!C:C,"&lt;="&amp;$I$1)</f>
        <v>0</v>
      </c>
      <c r="K214" s="11">
        <f>+SUMIFS(JURNAL!H:H,JURNAL!E:E,C214,JURNAL!C:C,"&gt;="&amp;$H$1,JURNAL!C:C,"&lt;="&amp;$I$1)</f>
        <v>0</v>
      </c>
      <c r="L214" s="26">
        <f t="shared" si="37"/>
        <v>0</v>
      </c>
      <c r="M214" s="27">
        <f t="shared" si="38"/>
        <v>0</v>
      </c>
      <c r="N214" s="11"/>
      <c r="O214" s="11"/>
      <c r="P214" s="11"/>
      <c r="Q214" s="11"/>
      <c r="R214" s="26">
        <f t="shared" si="39"/>
        <v>0</v>
      </c>
      <c r="S214" s="27">
        <f t="shared" si="40"/>
        <v>0</v>
      </c>
      <c r="T214" s="11">
        <f t="shared" si="41"/>
        <v>0</v>
      </c>
      <c r="U214" s="11">
        <f t="shared" si="42"/>
        <v>0</v>
      </c>
      <c r="V214" s="26">
        <f t="shared" si="43"/>
        <v>0</v>
      </c>
      <c r="W214" s="27">
        <f t="shared" si="44"/>
        <v>0</v>
      </c>
      <c r="X214" s="4">
        <v>9101</v>
      </c>
      <c r="Y214" s="4"/>
      <c r="Z214" s="4"/>
      <c r="AA214" s="12">
        <f t="shared" si="45"/>
        <v>0</v>
      </c>
      <c r="AC214" s="82">
        <f>+T214+STAT3!T214+STAT2!T214+STAT1!T214</f>
        <v>0</v>
      </c>
      <c r="AD214" s="41">
        <f>+U214+STAT3!U214+STAT2!U214+STAT1!U214</f>
        <v>0</v>
      </c>
      <c r="AE214" s="575"/>
      <c r="AF214" s="575"/>
    </row>
    <row r="215" spans="2:32" ht="12.75" customHeight="1">
      <c r="B215" s="105">
        <f t="shared" si="36"/>
        <v>212</v>
      </c>
      <c r="C215" s="6">
        <v>920100</v>
      </c>
      <c r="D215" s="6" t="s">
        <v>880</v>
      </c>
      <c r="E215" s="9" t="s">
        <v>32</v>
      </c>
      <c r="F215" s="6"/>
      <c r="G215" s="6"/>
      <c r="H215" s="11">
        <f>+STAT3!V215</f>
        <v>0</v>
      </c>
      <c r="I215" s="11">
        <f>+STAT3!W215</f>
        <v>0</v>
      </c>
      <c r="J215" s="11">
        <f>+SUMIFS(JURNAL!G:G,JURNAL!E:E,C215,JURNAL!C:C,"&gt;="&amp;$H$1,JURNAL!C:C,"&lt;="&amp;$I$1)</f>
        <v>0</v>
      </c>
      <c r="K215" s="11">
        <f>+SUMIFS(JURNAL!H:H,JURNAL!E:E,C215,JURNAL!C:C,"&gt;="&amp;$H$1,JURNAL!C:C,"&lt;="&amp;$I$1)</f>
        <v>0</v>
      </c>
      <c r="L215" s="26">
        <f t="shared" si="37"/>
        <v>0</v>
      </c>
      <c r="M215" s="27">
        <f t="shared" si="38"/>
        <v>0</v>
      </c>
      <c r="N215" s="11"/>
      <c r="O215" s="11"/>
      <c r="P215" s="11"/>
      <c r="Q215" s="11"/>
      <c r="R215" s="26">
        <f t="shared" si="39"/>
        <v>0</v>
      </c>
      <c r="S215" s="27">
        <f t="shared" si="40"/>
        <v>0</v>
      </c>
      <c r="T215" s="11">
        <v>33127309.749993101</v>
      </c>
      <c r="U215" s="11">
        <v>33127309.749993101</v>
      </c>
      <c r="V215" s="26">
        <f t="shared" si="43"/>
        <v>0</v>
      </c>
      <c r="W215" s="27">
        <f t="shared" si="44"/>
        <v>0</v>
      </c>
      <c r="X215" s="4"/>
      <c r="Y215" s="4"/>
      <c r="Z215" s="4"/>
      <c r="AA215" s="12">
        <v>1</v>
      </c>
      <c r="AC215" s="82">
        <f>+T215+STAT3!T215+STAT2!T215+STAT1!T215</f>
        <v>68143099.303854704</v>
      </c>
      <c r="AD215" s="41">
        <f>+U215+STAT3!U215+STAT2!U215+STAT1!U215</f>
        <v>68143099.303854704</v>
      </c>
      <c r="AE215" s="575"/>
      <c r="AF215" s="575"/>
    </row>
    <row r="216" spans="2:32" ht="12.75" customHeight="1">
      <c r="B216" s="181"/>
      <c r="C216" s="135"/>
      <c r="D216" s="181" t="s">
        <v>39</v>
      </c>
      <c r="E216" s="404"/>
      <c r="F216" s="13">
        <f t="shared" ref="F216:W216" si="46">SUM(F140:F215)</f>
        <v>0</v>
      </c>
      <c r="G216" s="13">
        <f t="shared" si="46"/>
        <v>0</v>
      </c>
      <c r="H216" s="13">
        <f t="shared" si="46"/>
        <v>0</v>
      </c>
      <c r="I216" s="13">
        <f t="shared" si="46"/>
        <v>0</v>
      </c>
      <c r="J216" s="13">
        <f t="shared" si="46"/>
        <v>166071518.84062943</v>
      </c>
      <c r="K216" s="13">
        <f t="shared" si="46"/>
        <v>133170415.52363637</v>
      </c>
      <c r="L216" s="13">
        <f t="shared" si="46"/>
        <v>106778997.92062947</v>
      </c>
      <c r="M216" s="13">
        <f t="shared" si="46"/>
        <v>73877894.603636369</v>
      </c>
      <c r="N216" s="13">
        <f t="shared" si="46"/>
        <v>226206.43299999999</v>
      </c>
      <c r="O216" s="13">
        <f t="shared" si="46"/>
        <v>0</v>
      </c>
      <c r="P216" s="13">
        <f t="shared" si="46"/>
        <v>0</v>
      </c>
      <c r="Q216" s="13">
        <f t="shared" si="46"/>
        <v>0</v>
      </c>
      <c r="R216" s="13">
        <f>SUM(R140:R215)</f>
        <v>107005204.35362947</v>
      </c>
      <c r="S216" s="13">
        <f>SUM(S140:S215)</f>
        <v>73877894.603636369</v>
      </c>
      <c r="T216" s="13">
        <f t="shared" si="46"/>
        <v>107005204.35362947</v>
      </c>
      <c r="U216" s="13">
        <f t="shared" si="46"/>
        <v>140132514.10362256</v>
      </c>
      <c r="V216" s="13">
        <f t="shared" si="46"/>
        <v>0</v>
      </c>
      <c r="W216" s="13">
        <f t="shared" si="46"/>
        <v>0</v>
      </c>
      <c r="X216" s="14"/>
      <c r="Y216" s="14"/>
      <c r="Z216" s="14"/>
      <c r="AA216" s="14"/>
      <c r="AC216" s="82"/>
      <c r="AD216" s="1"/>
      <c r="AE216" s="412"/>
      <c r="AF216" s="412"/>
    </row>
    <row r="217" spans="2:32" ht="12.75" customHeight="1">
      <c r="B217" s="29"/>
      <c r="C217" s="29" t="s">
        <v>21</v>
      </c>
      <c r="D217" s="29"/>
      <c r="E217" s="30"/>
      <c r="F217" s="31">
        <f t="shared" ref="F217:W217" si="47">+F216+F139</f>
        <v>6147.9800000000014</v>
      </c>
      <c r="G217" s="31">
        <f t="shared" si="47"/>
        <v>14829.1</v>
      </c>
      <c r="H217" s="31">
        <f t="shared" si="47"/>
        <v>3392413500.660562</v>
      </c>
      <c r="I217" s="31">
        <f t="shared" si="47"/>
        <v>3392413500.6700096</v>
      </c>
      <c r="J217" s="31">
        <f t="shared" si="47"/>
        <v>1123398457.2770617</v>
      </c>
      <c r="K217" s="31">
        <f t="shared" si="47"/>
        <v>1123398457.2821891</v>
      </c>
      <c r="L217" s="31">
        <f t="shared" si="47"/>
        <v>3477063812.2044678</v>
      </c>
      <c r="M217" s="31">
        <f t="shared" si="47"/>
        <v>3477063812.2190423</v>
      </c>
      <c r="N217" s="31">
        <f t="shared" si="47"/>
        <v>39560979.199990883</v>
      </c>
      <c r="O217" s="31">
        <f t="shared" si="47"/>
        <v>39560979.199590884</v>
      </c>
      <c r="P217" s="31">
        <f t="shared" si="47"/>
        <v>6147.9800000000014</v>
      </c>
      <c r="Q217" s="31">
        <f t="shared" si="47"/>
        <v>14604.900000000003</v>
      </c>
      <c r="R217" s="31">
        <f t="shared" si="47"/>
        <v>3437729039.4378772</v>
      </c>
      <c r="S217" s="31">
        <f t="shared" si="47"/>
        <v>3437729039.4520516</v>
      </c>
      <c r="T217" s="31">
        <f t="shared" si="47"/>
        <v>140132514.10362256</v>
      </c>
      <c r="U217" s="31">
        <f t="shared" si="47"/>
        <v>140132514.10362256</v>
      </c>
      <c r="V217" s="31">
        <f t="shared" si="47"/>
        <v>3363851144.8342404</v>
      </c>
      <c r="W217" s="31">
        <f t="shared" si="47"/>
        <v>3363851144.8484154</v>
      </c>
      <c r="X217" s="31"/>
      <c r="Y217" s="31"/>
      <c r="Z217" s="31"/>
      <c r="AA217" s="31"/>
      <c r="AC217" s="82"/>
      <c r="AD217" s="1"/>
      <c r="AE217" s="412"/>
      <c r="AF217" s="412"/>
    </row>
    <row r="218" spans="2:32" ht="12.75" customHeight="1">
      <c r="B218" s="6"/>
      <c r="C218" s="6" t="s">
        <v>22</v>
      </c>
      <c r="D218" s="6"/>
      <c r="E218" s="9"/>
      <c r="F218" s="6"/>
      <c r="G218" s="6"/>
      <c r="H218" s="32"/>
      <c r="I218" s="32"/>
      <c r="J218" s="11">
        <f>+SUMIFS(JURNAL!G:G,JURNAL!E:E,C218,JURNAL!C:C,"&gt;="&amp;$H$1,JURNAL!C:C,"&lt;="&amp;$I$1)</f>
        <v>0</v>
      </c>
      <c r="K218" s="11">
        <f>+SUMIFS(JURNAL!H:H,JURNAL!F:F,D218,JURNAL!D:D,"&gt;="&amp;$H$1,JURNAL!D:D,"&lt;="&amp;$I$1)</f>
        <v>0</v>
      </c>
      <c r="L218" s="11">
        <f>+SUMIFS(JURNAL!I:I,JURNAL!G:G,E218,JURNAL!E:E,"&gt;="&amp;$H$1,JURNAL!E:E,"&lt;="&amp;$I$1)</f>
        <v>0</v>
      </c>
      <c r="M218" s="11">
        <f>+SUMIFS(JURNAL!J:J,JURNAL!H:H,F218,JURNAL!F:F,"&gt;="&amp;$H$1,JURNAL!F:F,"&lt;="&amp;$I$1)</f>
        <v>0</v>
      </c>
      <c r="N218" s="11">
        <f>+SUMIFS(JURNAL!K:K,JURNAL!I:I,G218,JURNAL!G:G,"&gt;="&amp;$H$1,JURNAL!G:G,"&lt;="&amp;$I$1)</f>
        <v>0</v>
      </c>
      <c r="O218" s="11">
        <f>+SUMIFS(JURNAL!L:L,JURNAL!J:J,H218,JURNAL!H:H,"&gt;="&amp;$H$1,JURNAL!H:H,"&lt;="&amp;$I$1)</f>
        <v>0</v>
      </c>
      <c r="P218" s="11">
        <f>+SUMIFS(JURNAL!M:M,JURNAL!K:K,I218,JURNAL!I:I,"&gt;="&amp;$H$1,JURNAL!I:I,"&lt;="&amp;$I$1)</f>
        <v>0</v>
      </c>
      <c r="Q218" s="11">
        <f>+SUMIFS(JURNAL!N:N,JURNAL!L:L,J218,JURNAL!J:J,"&gt;="&amp;$H$1,JURNAL!J:J,"&lt;="&amp;$I$1)</f>
        <v>0</v>
      </c>
      <c r="R218" s="11">
        <f>+SUMIFS(JURNAL!O:O,JURNAL!M:M,K218,JURNAL!K:K,"&gt;="&amp;$H$1,JURNAL!K:K,"&lt;="&amp;$I$1)</f>
        <v>0</v>
      </c>
      <c r="S218" s="11">
        <f>+SUMIFS(JURNAL!P:P,JURNAL!N:N,L218,JURNAL!L:L,"&gt;="&amp;$H$1,JURNAL!L:L,"&lt;="&amp;$I$1)</f>
        <v>0</v>
      </c>
      <c r="T218" s="11">
        <f>+SUMIFS(JURNAL!Q:Q,JURNAL!O:O,M218,JURNAL!M:M,"&gt;="&amp;$H$1,JURNAL!M:M,"&lt;="&amp;$I$1)</f>
        <v>0</v>
      </c>
      <c r="U218" s="11">
        <f ca="1">+SUMIFS(JURNAL!R:R,JURNAL!P:P,N218,JURNAL!N:N,"&gt;="&amp;$H$1,JURNAL!N:N,"&lt;="&amp;$I$1)</f>
        <v>0</v>
      </c>
      <c r="V218" s="11">
        <f ca="1">+SUMIFS(JURNAL!S:S,JURNAL!Q:Q,O218,JURNAL!O:O,"&gt;="&amp;$H$1,JURNAL!O:O,"&lt;="&amp;$I$1)</f>
        <v>0</v>
      </c>
      <c r="W218" s="11">
        <f ca="1">+SUMIFS(JURNAL!T:T,JURNAL!R:R,P218,JURNAL!P:P,"&gt;="&amp;$H$1,JURNAL!P:P,"&lt;="&amp;$I$1)</f>
        <v>0</v>
      </c>
      <c r="X218" s="11">
        <f ca="1">+SUMIFS(JURNAL!U:U,JURNAL!S:S,Q218,JURNAL!Q:Q,"&gt;="&amp;$H$1,JURNAL!Q:Q,"&lt;="&amp;$I$1)</f>
        <v>0</v>
      </c>
      <c r="Y218" s="11">
        <f ca="1">+SUMIFS(JURNAL!V:V,JURNAL!T:T,R218,JURNAL!R:R,"&gt;="&amp;$H$1,JURNAL!R:R,"&lt;="&amp;$I$1)</f>
        <v>0</v>
      </c>
      <c r="Z218" s="11">
        <f ca="1">+SUMIFS(JURNAL!W:W,JURNAL!U:U,S218,JURNAL!S:S,"&gt;="&amp;$H$1,JURNAL!S:S,"&lt;="&amp;$I$1)</f>
        <v>0</v>
      </c>
      <c r="AA218" s="11">
        <f ca="1">+SUMIFS(JURNAL!X:X,JURNAL!V:V,T218,JURNAL!T:T,"&gt;="&amp;$H$1,JURNAL!T:T,"&lt;="&amp;$I$1)</f>
        <v>0</v>
      </c>
      <c r="AC218" s="82"/>
      <c r="AD218" s="1"/>
      <c r="AE218" s="412"/>
      <c r="AF218" s="412"/>
    </row>
    <row r="219" spans="2:32" ht="12.75" customHeight="1">
      <c r="B219" s="6"/>
      <c r="C219" s="6" t="s">
        <v>23</v>
      </c>
      <c r="D219" s="6"/>
      <c r="E219" s="9"/>
      <c r="F219" s="6"/>
      <c r="G219" s="6"/>
      <c r="H219" s="32"/>
      <c r="I219" s="32"/>
      <c r="J219" s="11">
        <f>+SUMIFS(JURNAL!G:G,JURNAL!E:E,C219,JURNAL!C:C,"&gt;="&amp;$H$1,JURNAL!C:C,"&lt;="&amp;$I$1)</f>
        <v>0</v>
      </c>
      <c r="K219" s="11">
        <f>+SUMIFS(JURNAL!H:H,JURNAL!F:F,D219,JURNAL!D:D,"&gt;="&amp;$H$1,JURNAL!D:D,"&lt;="&amp;$I$1)</f>
        <v>0</v>
      </c>
      <c r="L219" s="11">
        <f>+SUMIFS(JURNAL!I:I,JURNAL!G:G,E219,JURNAL!E:E,"&gt;="&amp;$H$1,JURNAL!E:E,"&lt;="&amp;$I$1)</f>
        <v>0</v>
      </c>
      <c r="M219" s="11">
        <f>+SUMIFS(JURNAL!J:J,JURNAL!H:H,F219,JURNAL!F:F,"&gt;="&amp;$H$1,JURNAL!F:F,"&lt;="&amp;$I$1)</f>
        <v>0</v>
      </c>
      <c r="N219" s="11">
        <f>+SUMIFS(JURNAL!K:K,JURNAL!I:I,G219,JURNAL!G:G,"&gt;="&amp;$H$1,JURNAL!G:G,"&lt;="&amp;$I$1)</f>
        <v>0</v>
      </c>
      <c r="O219" s="11">
        <f>+SUMIFS(JURNAL!L:L,JURNAL!J:J,H219,JURNAL!H:H,"&gt;="&amp;$H$1,JURNAL!H:H,"&lt;="&amp;$I$1)</f>
        <v>0</v>
      </c>
      <c r="P219" s="11">
        <f>+SUMIFS(JURNAL!M:M,JURNAL!K:K,I219,JURNAL!I:I,"&gt;="&amp;$H$1,JURNAL!I:I,"&lt;="&amp;$I$1)</f>
        <v>0</v>
      </c>
      <c r="Q219" s="11">
        <f>+SUMIFS(JURNAL!N:N,JURNAL!L:L,J219,JURNAL!J:J,"&gt;="&amp;$H$1,JURNAL!J:J,"&lt;="&amp;$I$1)</f>
        <v>0</v>
      </c>
      <c r="R219" s="11">
        <f>+SUMIFS(JURNAL!O:O,JURNAL!M:M,K219,JURNAL!K:K,"&gt;="&amp;$H$1,JURNAL!K:K,"&lt;="&amp;$I$1)</f>
        <v>0</v>
      </c>
      <c r="S219" s="11">
        <f>+SUMIFS(JURNAL!P:P,JURNAL!N:N,L219,JURNAL!L:L,"&gt;="&amp;$H$1,JURNAL!L:L,"&lt;="&amp;$I$1)</f>
        <v>0</v>
      </c>
      <c r="T219" s="11">
        <f>+SUMIFS(JURNAL!Q:Q,JURNAL!O:O,M219,JURNAL!M:M,"&gt;="&amp;$H$1,JURNAL!M:M,"&lt;="&amp;$I$1)</f>
        <v>0</v>
      </c>
      <c r="U219" s="11">
        <f ca="1">+SUMIFS(JURNAL!R:R,JURNAL!P:P,N219,JURNAL!N:N,"&gt;="&amp;$H$1,JURNAL!N:N,"&lt;="&amp;$I$1)</f>
        <v>0</v>
      </c>
      <c r="V219" s="11">
        <f ca="1">+SUMIFS(JURNAL!S:S,JURNAL!Q:Q,O219,JURNAL!O:O,"&gt;="&amp;$H$1,JURNAL!O:O,"&lt;="&amp;$I$1)</f>
        <v>0</v>
      </c>
      <c r="W219" s="11">
        <f ca="1">+SUMIFS(JURNAL!T:T,JURNAL!R:R,P219,JURNAL!P:P,"&gt;="&amp;$H$1,JURNAL!P:P,"&lt;="&amp;$I$1)</f>
        <v>0</v>
      </c>
      <c r="X219" s="11">
        <f ca="1">+SUMIFS(JURNAL!U:U,JURNAL!S:S,Q219,JURNAL!Q:Q,"&gt;="&amp;$H$1,JURNAL!Q:Q,"&lt;="&amp;$I$1)</f>
        <v>0</v>
      </c>
      <c r="Y219" s="11">
        <f ca="1">+SUMIFS(JURNAL!V:V,JURNAL!T:T,R219,JURNAL!R:R,"&gt;="&amp;$H$1,JURNAL!R:R,"&lt;="&amp;$I$1)</f>
        <v>0</v>
      </c>
      <c r="Z219" s="11">
        <f ca="1">+SUMIFS(JURNAL!W:W,JURNAL!U:U,S219,JURNAL!S:S,"&gt;="&amp;$H$1,JURNAL!S:S,"&lt;="&amp;$I$1)</f>
        <v>0</v>
      </c>
      <c r="AA219" s="11">
        <f ca="1">+SUMIFS(JURNAL!X:X,JURNAL!V:V,T219,JURNAL!T:T,"&gt;="&amp;$H$1,JURNAL!T:T,"&lt;="&amp;$I$1)</f>
        <v>0</v>
      </c>
      <c r="AC219" s="82"/>
      <c r="AD219" s="1"/>
      <c r="AE219" s="412"/>
      <c r="AF219" s="412"/>
    </row>
    <row r="220" spans="2:32" ht="12.75" customHeight="1">
      <c r="B220" s="6"/>
      <c r="C220" s="6" t="s">
        <v>24</v>
      </c>
      <c r="D220" s="6"/>
      <c r="E220" s="9"/>
      <c r="F220" s="6"/>
      <c r="G220" s="6"/>
      <c r="H220" s="32"/>
      <c r="I220" s="27">
        <f>+I217-H217</f>
        <v>9.4475746154785156E-3</v>
      </c>
      <c r="J220" s="11">
        <f>+SUMIFS(JURNAL!G:G,JURNAL!E:E,C220,JURNAL!C:C,"&gt;="&amp;$H$1,JURNAL!C:C,"&lt;="&amp;$I$1)</f>
        <v>0</v>
      </c>
      <c r="K220" s="11">
        <f>+SUMIFS(JURNAL!H:H,JURNAL!F:F,D220,JURNAL!D:D,"&gt;="&amp;$H$1,JURNAL!D:D,"&lt;="&amp;$I$1)</f>
        <v>0</v>
      </c>
      <c r="L220" s="11">
        <f>+SUMIFS(JURNAL!I:I,JURNAL!G:G,E220,JURNAL!E:E,"&gt;="&amp;$H$1,JURNAL!E:E,"&lt;="&amp;$I$1)</f>
        <v>0</v>
      </c>
      <c r="M220" s="11">
        <f>+SUMIFS(JURNAL!J:J,JURNAL!H:H,F220,JURNAL!F:F,"&gt;="&amp;$H$1,JURNAL!F:F,"&lt;="&amp;$I$1)</f>
        <v>0</v>
      </c>
      <c r="N220" s="11">
        <f>+SUMIFS(JURNAL!K:K,JURNAL!I:I,G220,JURNAL!G:G,"&gt;="&amp;$H$1,JURNAL!G:G,"&lt;="&amp;$I$1)</f>
        <v>0</v>
      </c>
      <c r="O220" s="11">
        <f>+SUMIFS(JURNAL!L:L,JURNAL!J:J,H220,JURNAL!H:H,"&gt;="&amp;$H$1,JURNAL!H:H,"&lt;="&amp;$I$1)</f>
        <v>0</v>
      </c>
      <c r="P220" s="11">
        <f>+SUMIFS(JURNAL!M:M,JURNAL!K:K,I220,JURNAL!I:I,"&gt;="&amp;$H$1,JURNAL!I:I,"&lt;="&amp;$I$1)</f>
        <v>0</v>
      </c>
      <c r="Q220" s="11">
        <f>+SUMIFS(JURNAL!N:N,JURNAL!L:L,J220,JURNAL!J:J,"&gt;="&amp;$H$1,JURNAL!J:J,"&lt;="&amp;$I$1)</f>
        <v>0</v>
      </c>
      <c r="R220" s="11">
        <f>+SUMIFS(JURNAL!O:O,JURNAL!M:M,K220,JURNAL!K:K,"&gt;="&amp;$H$1,JURNAL!K:K,"&lt;="&amp;$I$1)</f>
        <v>0</v>
      </c>
      <c r="S220" s="11">
        <f>+SUMIFS(JURNAL!P:P,JURNAL!N:N,L220,JURNAL!L:L,"&gt;="&amp;$H$1,JURNAL!L:L,"&lt;="&amp;$I$1)</f>
        <v>0</v>
      </c>
      <c r="T220" s="11">
        <f>+SUMIFS(JURNAL!Q:Q,JURNAL!O:O,M220,JURNAL!M:M,"&gt;="&amp;$H$1,JURNAL!M:M,"&lt;="&amp;$I$1)</f>
        <v>0</v>
      </c>
      <c r="U220" s="11">
        <f ca="1">+SUMIFS(JURNAL!R:R,JURNAL!P:P,N220,JURNAL!N:N,"&gt;="&amp;$H$1,JURNAL!N:N,"&lt;="&amp;$I$1)</f>
        <v>0</v>
      </c>
      <c r="V220" s="11">
        <f ca="1">+SUMIFS(JURNAL!S:S,JURNAL!Q:Q,O220,JURNAL!O:O,"&gt;="&amp;$H$1,JURNAL!O:O,"&lt;="&amp;$I$1)</f>
        <v>0</v>
      </c>
      <c r="W220" s="11">
        <f ca="1">+SUMIFS(JURNAL!T:T,JURNAL!R:R,P220,JURNAL!P:P,"&gt;="&amp;$H$1,JURNAL!P:P,"&lt;="&amp;$I$1)</f>
        <v>0</v>
      </c>
      <c r="X220" s="11">
        <f ca="1">+SUMIFS(JURNAL!U:U,JURNAL!S:S,Q220,JURNAL!Q:Q,"&gt;="&amp;$H$1,JURNAL!Q:Q,"&lt;="&amp;$I$1)</f>
        <v>0</v>
      </c>
      <c r="Y220" s="11">
        <f ca="1">+SUMIFS(JURNAL!V:V,JURNAL!T:T,R220,JURNAL!R:R,"&gt;="&amp;$H$1,JURNAL!R:R,"&lt;="&amp;$I$1)</f>
        <v>0</v>
      </c>
      <c r="Z220" s="11">
        <f ca="1">+SUMIFS(JURNAL!W:W,JURNAL!U:U,S220,JURNAL!S:S,"&gt;="&amp;$H$1,JURNAL!S:S,"&lt;="&amp;$I$1)</f>
        <v>0</v>
      </c>
      <c r="AA220" s="11">
        <f ca="1">+SUMIFS(JURNAL!X:X,JURNAL!V:V,T220,JURNAL!T:T,"&gt;="&amp;$H$1,JURNAL!T:T,"&lt;="&amp;$I$1)</f>
        <v>0</v>
      </c>
      <c r="AC220" s="82"/>
      <c r="AD220" s="1"/>
      <c r="AE220" s="412"/>
      <c r="AF220" s="412"/>
    </row>
    <row r="221" spans="2:32" ht="12.75" customHeight="1">
      <c r="I221" s="84">
        <f>+I217-H217</f>
        <v>9.4475746154785156E-3</v>
      </c>
      <c r="K221" s="41">
        <f>+K217-J217</f>
        <v>5.1274299621582031E-3</v>
      </c>
      <c r="M221" s="41">
        <f>+M217-L217</f>
        <v>1.4574527740478516E-2</v>
      </c>
      <c r="O221" s="41">
        <f>+O217-N217</f>
        <v>-3.9999932050704956E-4</v>
      </c>
      <c r="S221" s="41">
        <f>+S217-R217</f>
        <v>1.4174461364746094E-2</v>
      </c>
      <c r="AE221" s="199"/>
      <c r="AF221" s="412"/>
    </row>
    <row r="222" spans="2:32" ht="12.75" customHeight="1">
      <c r="I222" s="41"/>
      <c r="T222" s="41">
        <f>+T217-U217</f>
        <v>0</v>
      </c>
      <c r="W222" s="41">
        <f>+W217-V217</f>
        <v>1.4174938201904297E-2</v>
      </c>
      <c r="AE222" s="199"/>
      <c r="AF222" s="412"/>
    </row>
  </sheetData>
  <sheetProtection password="DFC0" sheet="1" objects="1" scenarios="1"/>
  <mergeCells count="7">
    <mergeCell ref="R2:S2"/>
    <mergeCell ref="T2:U2"/>
    <mergeCell ref="V2:W2"/>
    <mergeCell ref="H2:I2"/>
    <mergeCell ref="J2:K2"/>
    <mergeCell ref="L2:M2"/>
    <mergeCell ref="N2:O2"/>
  </mergeCells>
  <conditionalFormatting sqref="B4:B189">
    <cfRule type="expression" dxfId="132" priority="8">
      <formula>$A4&lt;&gt;""</formula>
    </cfRule>
  </conditionalFormatting>
  <conditionalFormatting sqref="B4:B189">
    <cfRule type="expression" dxfId="131" priority="7">
      <formula>$B4&lt;&gt;""</formula>
    </cfRule>
  </conditionalFormatting>
  <conditionalFormatting sqref="B4:B215">
    <cfRule type="expression" dxfId="130" priority="6">
      <formula>$A4&lt;&gt;""</formula>
    </cfRule>
  </conditionalFormatting>
  <conditionalFormatting sqref="B4:B215">
    <cfRule type="expression" dxfId="129" priority="5">
      <formula>$B4&lt;&gt;""</formula>
    </cfRule>
  </conditionalFormatting>
  <conditionalFormatting sqref="B140:B189">
    <cfRule type="expression" dxfId="128" priority="4">
      <formula>$A140&lt;&gt;""</formula>
    </cfRule>
  </conditionalFormatting>
  <conditionalFormatting sqref="B140:B189">
    <cfRule type="expression" dxfId="127" priority="3">
      <formula>$B140&lt;&gt;""</formula>
    </cfRule>
  </conditionalFormatting>
  <conditionalFormatting sqref="B140:B215">
    <cfRule type="expression" dxfId="126" priority="2">
      <formula>$A140&lt;&gt;""</formula>
    </cfRule>
  </conditionalFormatting>
  <conditionalFormatting sqref="B140:B215">
    <cfRule type="expression" dxfId="125" priority="1">
      <formula>$B140&lt;&gt;""</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DATA!$J$4:$J$9</xm:f>
          </x14:formula1>
          <xm:sqref>E4:E188</xm:sqref>
        </x14:dataValidation>
      </x14:dataValidations>
    </ext>
  </extLst>
</worksheet>
</file>

<file path=xl/worksheets/sheet17.xml><?xml version="1.0" encoding="utf-8"?>
<worksheet xmlns="http://schemas.openxmlformats.org/spreadsheetml/2006/main" xmlns:r="http://schemas.openxmlformats.org/officeDocument/2006/relationships">
  <sheetPr>
    <tabColor rgb="FFFF0000"/>
    <pageSetUpPr fitToPage="1"/>
  </sheetPr>
  <dimension ref="A1:K73"/>
  <sheetViews>
    <sheetView view="pageBreakPreview" topLeftCell="A44" zoomScaleSheetLayoutView="100" workbookViewId="0">
      <selection activeCell="L26" sqref="L26"/>
    </sheetView>
  </sheetViews>
  <sheetFormatPr defaultColWidth="9" defaultRowHeight="12.75" outlineLevelCol="1"/>
  <cols>
    <col min="1" max="1" width="8.140625" style="71" customWidth="1"/>
    <col min="2" max="2" width="26.42578125" style="43" customWidth="1"/>
    <col min="3" max="3" width="32.140625" style="43" customWidth="1"/>
    <col min="4" max="4" width="18.28515625" style="43" customWidth="1"/>
    <col min="5" max="6" width="16.5703125" style="43" hidden="1" customWidth="1" outlineLevel="1"/>
    <col min="7" max="7" width="18" style="43" hidden="1" customWidth="1" outlineLevel="1"/>
    <col min="8" max="8" width="17.7109375" style="43" customWidth="1" collapsed="1"/>
    <col min="9" max="9" width="8.140625" style="43" customWidth="1"/>
    <col min="10" max="10" width="17.28515625" style="43" bestFit="1" customWidth="1"/>
    <col min="11" max="11" width="14" style="43" bestFit="1" customWidth="1"/>
    <col min="12" max="16384" width="9" style="43"/>
  </cols>
  <sheetData>
    <row r="1" spans="1:10" ht="15" customHeight="1">
      <c r="A1" s="937" t="s">
        <v>44</v>
      </c>
      <c r="B1" s="937"/>
      <c r="C1" s="937"/>
      <c r="D1" s="937"/>
      <c r="E1" s="937"/>
      <c r="F1" s="937"/>
      <c r="G1" s="937"/>
      <c r="H1" s="937"/>
    </row>
    <row r="2" spans="1:10" ht="15.75" customHeight="1">
      <c r="A2" s="945" t="str">
        <f>+'company '!C6</f>
        <v>ШИНЭСТ ХК</v>
      </c>
      <c r="B2" s="945"/>
    </row>
    <row r="3" spans="1:10" ht="22.5" customHeight="1">
      <c r="A3" s="946" t="s">
        <v>45</v>
      </c>
      <c r="B3" s="946"/>
      <c r="D3" s="857" t="s">
        <v>46</v>
      </c>
      <c r="E3" s="857"/>
      <c r="F3" s="857"/>
      <c r="G3" s="857"/>
      <c r="H3" s="858" t="str">
        <f>+'company '!C23</f>
        <v>2017.01.01-2017.12.31</v>
      </c>
    </row>
    <row r="4" spans="1:10">
      <c r="A4" s="947" t="s">
        <v>47</v>
      </c>
      <c r="B4" s="947"/>
      <c r="C4" s="947"/>
      <c r="D4" s="947"/>
      <c r="E4" s="947"/>
      <c r="F4" s="947"/>
      <c r="G4" s="947"/>
      <c r="H4" s="947"/>
    </row>
    <row r="5" spans="1:10" ht="29.25" customHeight="1">
      <c r="A5" s="859" t="s">
        <v>48</v>
      </c>
      <c r="B5" s="948" t="s">
        <v>49</v>
      </c>
      <c r="C5" s="948"/>
      <c r="D5" s="860" t="s">
        <v>272</v>
      </c>
      <c r="E5" s="860" t="s">
        <v>263</v>
      </c>
      <c r="F5" s="860" t="s">
        <v>264</v>
      </c>
      <c r="G5" s="860" t="s">
        <v>265</v>
      </c>
      <c r="H5" s="861" t="s">
        <v>266</v>
      </c>
      <c r="I5" s="623" t="s">
        <v>285</v>
      </c>
    </row>
    <row r="6" spans="1:10" ht="15" customHeight="1">
      <c r="A6" s="859" t="s">
        <v>50</v>
      </c>
      <c r="B6" s="941" t="s">
        <v>51</v>
      </c>
      <c r="C6" s="941"/>
      <c r="D6" s="862">
        <v>0</v>
      </c>
      <c r="E6" s="862"/>
      <c r="F6" s="862"/>
      <c r="G6" s="862"/>
      <c r="H6" s="863">
        <v>0</v>
      </c>
    </row>
    <row r="7" spans="1:10" ht="15" customHeight="1">
      <c r="A7" s="859" t="s">
        <v>52</v>
      </c>
      <c r="B7" s="941" t="s">
        <v>53</v>
      </c>
      <c r="C7" s="941"/>
      <c r="D7" s="862">
        <v>0</v>
      </c>
      <c r="E7" s="862"/>
      <c r="F7" s="862"/>
      <c r="G7" s="862"/>
      <c r="H7" s="863">
        <v>0</v>
      </c>
    </row>
    <row r="8" spans="1:10" ht="15" customHeight="1">
      <c r="A8" s="859" t="s">
        <v>54</v>
      </c>
      <c r="B8" s="939" t="s">
        <v>55</v>
      </c>
      <c r="C8" s="939"/>
      <c r="D8" s="864">
        <f>+SUMIFS(STAT1!$H$4:$H$138,STAT1!$X$4:$X$138,$I8)+SUMIFS(STAT1!$I$4:$I$138,STAT1!$X$4:$X$138,$I8)</f>
        <v>255019899.33609995</v>
      </c>
      <c r="E8" s="864">
        <f>+SUMIFS(STAT1!$V$4:$V$138,STAT1!$X$4:$X$138,$I8)+SUMIFS(STAT1!$W$4:$W$138,STAT1!$X$4:$X$138,$I8)</f>
        <v>240840870.12455454</v>
      </c>
      <c r="F8" s="864">
        <f>+SUMIFS(STAT2!$V$4:$V$138,STAT2!$X$4:$X$138,$I8)+SUMIFS(STAT2!$W$4:$W$138,STAT2!$X$4:$X$138,$I8)</f>
        <v>239968955.87168795</v>
      </c>
      <c r="G8" s="864">
        <f>+SUMIFS(STAT3!$V$4:$V$138,STAT3!$X$4:$X$138,$I8)+SUMIFS(STAT3!$W$4:$W$138,STAT3!$X$4:$X$138,$I8)</f>
        <v>367834744.85468781</v>
      </c>
      <c r="H8" s="865">
        <f>+SUMIFS(STAT4!$V$4:$V$138,STAT4!$X$4:$X$138,$I8)+SUMIFS(STAT4!$W$4:$W$138,STAT4!$X$4:$X$138,$I8)</f>
        <v>304361423.31663334</v>
      </c>
      <c r="I8" s="43">
        <v>1101</v>
      </c>
      <c r="J8" s="44">
        <f>+E8+F8-[1]BS!$E$8-[1]BS!$F$8</f>
        <v>0</v>
      </c>
    </row>
    <row r="9" spans="1:10" ht="15" customHeight="1">
      <c r="A9" s="859" t="s">
        <v>56</v>
      </c>
      <c r="B9" s="939" t="s">
        <v>57</v>
      </c>
      <c r="C9" s="939"/>
      <c r="D9" s="864">
        <f>+SUMIFS(STAT1!$H$4:$H$138,STAT1!$X$4:$X$138,$I9)+SUMIFS(STAT1!$I$4:$I$138,STAT1!$X$4:$X$138,$I9)</f>
        <v>2644403.0000789911</v>
      </c>
      <c r="E9" s="864">
        <f>+SUMIFS(STAT1!$V$4:$V$138,STAT1!$X$4:$X$138,$I9)+SUMIFS(STAT1!$W$4:$W$138,STAT1!$X$4:$X$138,$I9)</f>
        <v>9744403.0000789911</v>
      </c>
      <c r="F9" s="864">
        <f>+SUMIFS(STAT2!$V$4:$V$138,STAT2!$X$4:$X$138,$I9)+SUMIFS(STAT2!$W$4:$W$138,STAT2!$X$4:$X$138,$I9)</f>
        <v>2644403.0013439916</v>
      </c>
      <c r="G9" s="864">
        <f>+SUMIFS(STAT3!$V$4:$V$138,STAT3!$X$4:$X$138,$I9)+SUMIFS(STAT3!$W$4:$W$138,STAT3!$X$4:$X$138,$I9)</f>
        <v>2644403.0021689907</v>
      </c>
      <c r="H9" s="865">
        <f>+SUMIFS(STAT4!$V$4:$V$138,STAT4!$X$4:$X$138,$I9)+SUMIFS(STAT4!$W$4:$W$138,STAT4!$X$4:$X$138,$I9)</f>
        <v>2644403.0021689907</v>
      </c>
      <c r="I9" s="43">
        <v>1102</v>
      </c>
      <c r="J9" s="44"/>
    </row>
    <row r="10" spans="1:10" ht="15" customHeight="1">
      <c r="A10" s="859" t="s">
        <v>58</v>
      </c>
      <c r="B10" s="939" t="s">
        <v>59</v>
      </c>
      <c r="C10" s="939"/>
      <c r="D10" s="864">
        <f>+SUMIFS(STAT1!$H$4:$H$138,STAT1!$X$4:$X$138,$I10)+SUMIFS(STAT1!$I$4:$I$138,STAT1!$X$4:$X$138,$I10)</f>
        <v>585599.12999999896</v>
      </c>
      <c r="E10" s="864">
        <f>+SUMIFS(STAT1!$V$4:$V$138,STAT1!$X$4:$X$138,$I10)+SUMIFS(STAT1!$W$4:$W$138,STAT1!$X$4:$X$138,$I10)</f>
        <v>1.000002957880497E-4</v>
      </c>
      <c r="F10" s="864">
        <f>+SUMIFS(STAT2!$V$4:$V$138,STAT2!$X$4:$X$138,$I10)+SUMIFS(STAT2!$W$4:$W$138,STAT2!$X$4:$X$138,$I10)</f>
        <v>99989.614890454934</v>
      </c>
      <c r="G10" s="864">
        <f>+SUMIFS(STAT3!$V$4:$V$138,STAT3!$X$4:$X$138,$I10)+SUMIFS(STAT3!$W$4:$W$138,STAT3!$X$4:$X$138,$I10)</f>
        <v>99989.613890455003</v>
      </c>
      <c r="H10" s="865">
        <f>+SUMIFS(STAT4!$V$4:$V$138,STAT4!$X$4:$X$138,$I10)+SUMIFS(STAT4!$W$4:$W$138,STAT4!$X$4:$X$138,$I10)</f>
        <v>236430.24599047715</v>
      </c>
      <c r="I10" s="43">
        <v>1103</v>
      </c>
      <c r="J10" s="44"/>
    </row>
    <row r="11" spans="1:10" ht="15" customHeight="1">
      <c r="A11" s="859" t="s">
        <v>60</v>
      </c>
      <c r="B11" s="939" t="s">
        <v>61</v>
      </c>
      <c r="C11" s="939"/>
      <c r="D11" s="864">
        <f>+SUMIFS(STAT1!$H$4:$H$138,STAT1!$X$4:$X$138,$I11)+SUMIFS(STAT1!$I$4:$I$138,STAT1!$X$4:$X$138,$I11)</f>
        <v>980000.00623000006</v>
      </c>
      <c r="E11" s="864">
        <f>+SUMIFS(STAT1!$V$4:$V$138,STAT1!$X$4:$X$138,$I11)+SUMIFS(STAT1!$W$4:$W$138,STAT1!$X$4:$X$138,$I11)</f>
        <v>12702791.00653</v>
      </c>
      <c r="F11" s="864">
        <f>+SUMIFS(STAT2!$V$4:$V$138,STAT2!$X$4:$X$138,$I11)+SUMIFS(STAT2!$W$4:$W$138,STAT2!$X$4:$X$138,$I11)</f>
        <v>5406799.0025699995</v>
      </c>
      <c r="G11" s="864">
        <f>+SUMIFS(STAT3!$V$4:$V$138,STAT3!$X$4:$X$138,$I11)+SUMIFS(STAT3!$W$4:$W$138,STAT3!$X$4:$X$138,$I11)</f>
        <v>980008.00407000002</v>
      </c>
      <c r="H11" s="865">
        <f>+SUMIFS(STAT4!$V$4:$V$138,STAT4!$X$4:$X$138,$I11)+SUMIFS(STAT4!$W$4:$W$138,STAT4!$X$4:$X$138,$I11)</f>
        <v>980008.00407000002</v>
      </c>
      <c r="I11" s="43">
        <v>1104</v>
      </c>
    </row>
    <row r="12" spans="1:10" ht="15" customHeight="1">
      <c r="A12" s="859" t="s">
        <v>62</v>
      </c>
      <c r="B12" s="939" t="s">
        <v>63</v>
      </c>
      <c r="C12" s="939"/>
      <c r="D12" s="864">
        <f>+SUMIFS(STAT1!$H$4:$H$138,STAT1!$X$4:$X$138,$I12)+SUMIFS(STAT1!$I$4:$I$138,STAT1!$X$4:$X$138,$I12)</f>
        <v>0</v>
      </c>
      <c r="E12" s="864">
        <f>+SUMIFS(STAT1!$V$4:$V$138,STAT1!$X$4:$X$138,$I12)+SUMIFS(STAT1!$W$4:$W$138,STAT1!$X$4:$X$138,$I12)</f>
        <v>0</v>
      </c>
      <c r="F12" s="864">
        <f>+SUMIFS(STAT2!$V$4:$V$138,STAT2!$X$4:$X$138,$I12)+SUMIFS(STAT2!$W$4:$W$138,STAT2!$X$4:$X$138,$I12)</f>
        <v>0</v>
      </c>
      <c r="G12" s="864">
        <f>+SUMIFS(STAT3!$V$4:$V$138,STAT3!$X$4:$X$138,$I12)+SUMIFS(STAT3!$W$4:$W$138,STAT3!$X$4:$X$138,$I12)</f>
        <v>0</v>
      </c>
      <c r="H12" s="865">
        <f>+SUMIFS(STAT4!$V$4:$V$138,STAT4!$X$4:$X$138,$I12)+SUMIFS(STAT4!$W$4:$W$138,STAT4!$X$4:$X$138,$I12)</f>
        <v>0</v>
      </c>
      <c r="I12" s="43">
        <v>1105</v>
      </c>
    </row>
    <row r="13" spans="1:10" ht="15" customHeight="1">
      <c r="A13" s="859" t="s">
        <v>64</v>
      </c>
      <c r="B13" s="939" t="s">
        <v>65</v>
      </c>
      <c r="C13" s="939"/>
      <c r="D13" s="864">
        <f>+SUMIFS(STAT1!$H$4:$H$138,STAT1!$X$4:$X$138,$I13)+SUMIFS(STAT1!$I$4:$I$138,STAT1!$X$4:$X$138,$I13)</f>
        <v>943247445.6090343</v>
      </c>
      <c r="E13" s="864">
        <f>+SUMIFS(STAT1!$V$4:$V$138,STAT1!$X$4:$X$138,$I13)+SUMIFS(STAT1!$W$4:$W$138,STAT1!$X$4:$X$138,$I13)</f>
        <v>939333290.98846388</v>
      </c>
      <c r="F13" s="864">
        <f>+SUMIFS(STAT2!$V$4:$V$138,STAT2!$X$4:$X$138,$I13)+SUMIFS(STAT2!$W$4:$W$138,STAT2!$X$4:$X$138,$I13)</f>
        <v>953897218.16550839</v>
      </c>
      <c r="G13" s="864">
        <f>+SUMIFS(STAT3!$V$4:$V$138,STAT3!$X$4:$X$138,$I13)+SUMIFS(STAT3!$W$4:$W$138,STAT3!$X$4:$X$138,$I13)</f>
        <v>867214749.33636761</v>
      </c>
      <c r="H13" s="865">
        <f>+SUMIFS(STAT4!$V$4:$V$138,STAT4!$X$4:$X$138,$I13)+SUMIFS(STAT4!$W$4:$W$138,STAT4!$X$4:$X$138,$I13)</f>
        <v>868861964.66640735</v>
      </c>
      <c r="I13" s="43">
        <v>1107</v>
      </c>
      <c r="J13" s="44"/>
    </row>
    <row r="14" spans="1:10" ht="15" customHeight="1">
      <c r="A14" s="859" t="s">
        <v>66</v>
      </c>
      <c r="B14" s="939" t="s">
        <v>67</v>
      </c>
      <c r="C14" s="939"/>
      <c r="D14" s="864">
        <f>+SUMIFS(STAT1!$H$4:$H$138,STAT1!$X$4:$X$138,$I14)+SUMIFS(STAT1!$I$4:$I$138,STAT1!$X$4:$X$138,$I14)</f>
        <v>50000000.010500021</v>
      </c>
      <c r="E14" s="864">
        <f>+SUMIFS(STAT1!$V$4:$V$138,STAT1!$X$4:$X$138,$I14)+SUMIFS(STAT1!$W$4:$W$138,STAT1!$X$4:$X$138,$I14)</f>
        <v>50000000.010500021</v>
      </c>
      <c r="F14" s="864">
        <f>+SUMIFS(STAT2!$V$4:$V$138,STAT2!$X$4:$X$138,$I14)+SUMIFS(STAT2!$W$4:$W$138,STAT2!$X$4:$X$138,$I14)</f>
        <v>50000000.010500021</v>
      </c>
      <c r="G14" s="864">
        <f>+SUMIFS(STAT3!$V$4:$V$138,STAT3!$X$4:$X$138,$I14)+SUMIFS(STAT3!$W$4:$W$138,STAT3!$X$4:$X$138,$I14)</f>
        <v>50000000.010500021</v>
      </c>
      <c r="H14" s="865">
        <f>+SUMIFS(STAT4!$V$4:$V$138,STAT4!$X$4:$X$138,$I14)+SUMIFS(STAT4!$W$4:$W$138,STAT4!$X$4:$X$138,$I14)</f>
        <v>50000000.010500021</v>
      </c>
      <c r="I14" s="43">
        <v>1108</v>
      </c>
    </row>
    <row r="15" spans="1:10" ht="15" customHeight="1">
      <c r="A15" s="859" t="s">
        <v>68</v>
      </c>
      <c r="B15" s="939" t="s">
        <v>69</v>
      </c>
      <c r="C15" s="939"/>
      <c r="D15" s="864">
        <f>+SUMIFS(STAT1!$H$4:$H$138,STAT1!$X$4:$X$138,$I15)+SUMIFS(STAT1!$I$4:$I$138,STAT1!$X$4:$X$138,$I15)</f>
        <v>0</v>
      </c>
      <c r="E15" s="864">
        <f>+SUMIFS(STAT1!$V$4:$V$138,STAT1!$X$4:$X$138,$I15)+SUMIFS(STAT1!$W$4:$W$138,STAT1!$X$4:$X$138,$I15)</f>
        <v>0</v>
      </c>
      <c r="F15" s="864">
        <f>+SUMIFS(STAT2!$V$4:$V$138,STAT2!$X$4:$X$138,$I15)+SUMIFS(STAT2!$W$4:$W$138,STAT2!$X$4:$X$138,$I15)</f>
        <v>0</v>
      </c>
      <c r="G15" s="864">
        <f>+SUMIFS(STAT3!$V$4:$V$138,STAT3!$X$4:$X$138,$I15)+SUMIFS(STAT3!$W$4:$W$138,STAT3!$X$4:$X$138,$I15)</f>
        <v>0</v>
      </c>
      <c r="H15" s="865">
        <f>+SUMIFS(STAT4!$V$4:$V$138,STAT4!$X$4:$X$138,$I15)+SUMIFS(STAT4!$W$4:$W$138,STAT4!$X$4:$X$138,$I15)</f>
        <v>0</v>
      </c>
      <c r="I15" s="43">
        <v>1109</v>
      </c>
    </row>
    <row r="16" spans="1:10">
      <c r="A16" s="859" t="s">
        <v>70</v>
      </c>
      <c r="B16" s="939" t="s">
        <v>71</v>
      </c>
      <c r="C16" s="939"/>
      <c r="D16" s="864">
        <f>+SUMIFS(STAT1!$H$4:$H$138,STAT1!$X$4:$X$138,$I16)+SUMIFS(STAT1!$I$4:$I$138,STAT1!$X$4:$X$138,$I16)</f>
        <v>0</v>
      </c>
      <c r="E16" s="864">
        <f>+SUMIFS(STAT1!$V$4:$V$138,STAT1!$X$4:$X$138,$I16)+SUMIFS(STAT1!$W$4:$W$138,STAT1!$X$4:$X$138,$I16)</f>
        <v>0</v>
      </c>
      <c r="F16" s="864">
        <f>+SUMIFS(STAT2!$V$4:$V$138,STAT2!$X$4:$X$138,$I16)+SUMIFS(STAT2!$W$4:$W$138,STAT2!$X$4:$X$138,$I16)</f>
        <v>0</v>
      </c>
      <c r="G16" s="864">
        <f>+SUMIFS(STAT3!$V$4:$V$138,STAT3!$X$4:$X$138,$I16)+SUMIFS(STAT3!$W$4:$W$138,STAT3!$X$4:$X$138,$I16)</f>
        <v>0</v>
      </c>
      <c r="H16" s="865">
        <f>+SUMIFS(STAT4!$V$4:$V$138,STAT4!$X$4:$X$138,$I16)+SUMIFS(STAT4!$W$4:$W$138,STAT4!$X$4:$X$138,$I16)</f>
        <v>0</v>
      </c>
      <c r="I16" s="43">
        <v>1110</v>
      </c>
    </row>
    <row r="17" spans="1:10" ht="15" customHeight="1">
      <c r="A17" s="859" t="s">
        <v>72</v>
      </c>
      <c r="B17" s="939" t="s">
        <v>73</v>
      </c>
      <c r="C17" s="939"/>
      <c r="D17" s="864">
        <f>+SUMIFS(STAT1!$H$4:$H$138,STAT1!$X$4:$X$138,$I17)+SUMIFS(STAT1!$I$4:$I$138,STAT1!$X$4:$X$138,$I17)</f>
        <v>0</v>
      </c>
      <c r="E17" s="864">
        <f>+SUMIFS(STAT1!$V$4:$V$112,STAT1!$X$4:$X$112,$I17)+SUMIFS(STAT1!$W$4:$W$112,STAT1!$X$4:$X$112,$I17)</f>
        <v>0</v>
      </c>
      <c r="F17" s="864">
        <f>+SUMIFS(STAT2!$V$4:$V$138,STAT2!$X$4:$X$138,$I17)+SUMIFS(STAT2!$W$4:$W$138,STAT2!$X$4:$X$138,$I17)</f>
        <v>0</v>
      </c>
      <c r="G17" s="864">
        <f>+SUMIFS(STAT3!$V$4:$V$138,STAT3!$X$4:$X$138,$I17)+SUMIFS(STAT3!$W$4:$W$138,STAT3!$X$4:$X$138,$I17)</f>
        <v>0</v>
      </c>
      <c r="H17" s="865">
        <f>+SUMIFS(STAT4!$V$4:$V$138,STAT4!$X$4:$X$138,$I17)+SUMIFS(STAT4!$W$4:$W$138,STAT4!$X$4:$X$138,$I17)</f>
        <v>0</v>
      </c>
      <c r="I17" s="43">
        <v>1111</v>
      </c>
    </row>
    <row r="18" spans="1:10" ht="15" customHeight="1">
      <c r="A18" s="859" t="s">
        <v>74</v>
      </c>
      <c r="B18" s="941" t="s">
        <v>75</v>
      </c>
      <c r="C18" s="941"/>
      <c r="D18" s="862">
        <f>SUM(D8:D17)</f>
        <v>1252477347.0919433</v>
      </c>
      <c r="E18" s="862">
        <f t="shared" ref="E18:G18" si="0">SUM(E8:E17)</f>
        <v>1252621355.1302273</v>
      </c>
      <c r="F18" s="862">
        <f>SUM(F8:F17)</f>
        <v>1252017365.6665008</v>
      </c>
      <c r="G18" s="862">
        <f t="shared" si="0"/>
        <v>1288773894.8216848</v>
      </c>
      <c r="H18" s="863">
        <f>SUM(H8:H17)</f>
        <v>1227084229.24577</v>
      </c>
    </row>
    <row r="19" spans="1:10" ht="15" customHeight="1">
      <c r="A19" s="859" t="s">
        <v>76</v>
      </c>
      <c r="B19" s="941" t="s">
        <v>77</v>
      </c>
      <c r="C19" s="941"/>
      <c r="D19" s="862"/>
      <c r="E19" s="864">
        <f>+SUMIFS(STAT1!V10:V123,STAT1!X10:X123,I19)</f>
        <v>0</v>
      </c>
      <c r="F19" s="862"/>
      <c r="G19" s="862"/>
      <c r="H19" s="863"/>
    </row>
    <row r="20" spans="1:10" ht="15" customHeight="1">
      <c r="A20" s="859" t="s">
        <v>78</v>
      </c>
      <c r="B20" s="939" t="s">
        <v>79</v>
      </c>
      <c r="C20" s="939"/>
      <c r="D20" s="864">
        <f>+SUMIFS(STAT1!$H$4:$H$138,STAT1!$X$4:$X$138,$I20)+SUMIFS(STAT1!$I$4:$I$138,STAT1!$X$4:$X$138,$I20)</f>
        <v>2082648449.8500001</v>
      </c>
      <c r="E20" s="864">
        <f>+SUMIFS(STAT1!$V$4:$V$138,STAT1!$X$4:$X$138,$I20)+SUMIFS(STAT1!$W$4:$W$138,STAT1!$X$4:$X$138,$I20)</f>
        <v>2082648449.8500001</v>
      </c>
      <c r="F20" s="866">
        <f>+SUMIFS(STAT2!$V$4:$V$138,STAT2!$X$4:$X$138,$I20)+SUMIFS(STAT2!$W$4:$W$138,STAT2!$X$4:$X$138,$I20)</f>
        <v>2082648449.8500001</v>
      </c>
      <c r="G20" s="864">
        <f>+SUMIFS(STAT3!$V$4:$V$138,STAT3!$X$4:$X$138,$I20)+SUMIFS(STAT3!$W$4:$W$138,STAT3!$X$4:$X$138,$I20)</f>
        <v>2082648449.8500001</v>
      </c>
      <c r="H20" s="865">
        <f>+SUMIFS(STAT4!$V$4:$V$138,STAT4!$X$4:$X$138,$I20)+SUMIFS(STAT4!$W$4:$W$138,STAT4!$X$4:$X$138,$I20)</f>
        <v>2082648449.8500001</v>
      </c>
      <c r="I20" s="43">
        <v>1120</v>
      </c>
    </row>
    <row r="21" spans="1:10" ht="15" customHeight="1">
      <c r="A21" s="859" t="s">
        <v>80</v>
      </c>
      <c r="B21" s="939" t="s">
        <v>271</v>
      </c>
      <c r="C21" s="939"/>
      <c r="D21" s="864">
        <f>(SUMIFS(STAT1!$H$4:$H$138,STAT1!$X$4:$X$138,$I21)+SUMIFS(STAT1!$I$4:$I$138,STAT1!$X$4:$X$138,$I21))*-1</f>
        <v>-1114439441.4999998</v>
      </c>
      <c r="E21" s="864">
        <f>SUMIFS(STAT1!$V$4:$V$138,STAT1!$X$4:$X$138,$I21)+SUMIFS(STAT1!$W$4:$W$138,STAT1!$X$4:$X$138,$I21)*-1</f>
        <v>-1142803032.6099999</v>
      </c>
      <c r="F21" s="864">
        <f>(SUMIFS(STAT2!$V$4:$V$108,STAT2!$X$4:$X$108,$I21)+SUMIFS(STAT2!$W$4:$W$108,STAT2!$X$4:$X$108,$I21))*-1</f>
        <v>-1170573640.6799998</v>
      </c>
      <c r="G21" s="864">
        <f>(SUMIFS(STAT3!$V$4:$V$138,STAT3!$X$4:$X$138,$I21)+SUMIFS(STAT3!$W$4:$W$138,STAT3!$X$4:$X$138,$I21))*-1</f>
        <v>-1198188495.8999996</v>
      </c>
      <c r="H21" s="865">
        <f>(SUMIFS(STAT4!$V$4:$V$138,STAT4!$X$4:$X$138,$I21)+SUMIFS(STAT4!$W$4:$W$138,STAT4!$X$4:$X$138,$I21))*-1</f>
        <v>-1225144641.8999999</v>
      </c>
      <c r="I21" s="43">
        <v>1121</v>
      </c>
    </row>
    <row r="22" spans="1:10" ht="15" customHeight="1">
      <c r="A22" s="859" t="s">
        <v>81</v>
      </c>
      <c r="B22" s="939" t="s">
        <v>82</v>
      </c>
      <c r="C22" s="939"/>
      <c r="D22" s="864">
        <f>+SUMIFS(STAT1!$H$4:$H$138,STAT1!$X$4:$X$138,$I22)+SUMIFS(STAT1!$I$4:$I$138,STAT1!$X$4:$X$138,$I22)</f>
        <v>0</v>
      </c>
      <c r="E22" s="864">
        <f>+SUMIFS(STAT1!$V$4:$V$138,STAT1!$X$4:$X$138,$I22)+SUMIFS(STAT1!$W$4:$W$138,STAT1!$X$4:$X$138,$I22)</f>
        <v>0</v>
      </c>
      <c r="F22" s="866">
        <f>+SUMIFS(STAT2!$V$4:$V$138,STAT2!$X$4:$X$138,$I22)+SUMIFS(STAT2!$W$4:$W$138,STAT2!$X$4:$X$138,$I22)</f>
        <v>0</v>
      </c>
      <c r="G22" s="864">
        <f>+SUMIFS(STAT3!$V$4:$V$138,STAT3!$X$4:$X$138,$I22)+SUMIFS(STAT3!$W$4:$W$138,STAT3!$X$4:$X$138,$I22)</f>
        <v>0</v>
      </c>
      <c r="H22" s="865">
        <f>+SUMIFS(STAT4!$V$4:$V$138,STAT4!$X$4:$X$138,$I22)+SUMIFS(STAT4!$W$4:$W$138,STAT4!$X$4:$X$138,$I22)</f>
        <v>0</v>
      </c>
      <c r="I22" s="43">
        <v>1122</v>
      </c>
    </row>
    <row r="23" spans="1:10" ht="15" customHeight="1">
      <c r="A23" s="859" t="s">
        <v>83</v>
      </c>
      <c r="B23" s="939" t="s">
        <v>84</v>
      </c>
      <c r="C23" s="939"/>
      <c r="D23" s="864">
        <f>+SUMIFS(STAT1!$H$4:$H$138,STAT1!$X$4:$X$138,$I23)+SUMIFS(STAT1!$I$4:$I$138,STAT1!$X$4:$X$138,$I23)</f>
        <v>0</v>
      </c>
      <c r="E23" s="864">
        <f>+SUMIFS(STAT1!$V$4:$V$138,STAT1!$X$4:$X$138,$I23)+SUMIFS(STAT1!$W$4:$W$138,STAT1!$X$4:$X$138,$I23)</f>
        <v>0</v>
      </c>
      <c r="F23" s="866">
        <f>+SUMIFS(STAT2!$V$4:$V$138,STAT2!$X$4:$X$138,$I23)+SUMIFS(STAT2!$W$4:$W$138,STAT2!$X$4:$X$138,$I23)</f>
        <v>0</v>
      </c>
      <c r="G23" s="864">
        <f>+SUMIFS(STAT3!$V$4:$V$138,STAT3!$X$4:$X$138,$I23)+SUMIFS(STAT3!$W$4:$W$138,STAT3!$X$4:$X$138,$I23)</f>
        <v>0</v>
      </c>
      <c r="H23" s="865">
        <f>+SUMIFS(STAT4!$V$4:$V$138,STAT4!$X$4:$X$138,$I23)+SUMIFS(STAT4!$W$4:$W$138,STAT4!$X$4:$X$138,$I23)</f>
        <v>0</v>
      </c>
      <c r="I23" s="43">
        <v>1123</v>
      </c>
    </row>
    <row r="24" spans="1:10" ht="15" customHeight="1">
      <c r="A24" s="859" t="s">
        <v>85</v>
      </c>
      <c r="B24" s="939" t="s">
        <v>86</v>
      </c>
      <c r="C24" s="939"/>
      <c r="D24" s="864">
        <f>+SUMIFS(STAT1!$H$4:$H$138,STAT1!$X$4:$X$138,$I24)+SUMIFS(STAT1!$I$4:$I$138,STAT1!$X$4:$X$138,$I24)</f>
        <v>0</v>
      </c>
      <c r="E24" s="864">
        <f>+SUMIFS(STAT1!$V$4:$V$138,STAT1!$X$4:$X$138,$I24)+SUMIFS(STAT1!$W$4:$W$138,STAT1!$X$4:$X$138,$I24)</f>
        <v>0</v>
      </c>
      <c r="F24" s="866">
        <f>+SUMIFS(STAT2!$V$4:$V$138,STAT2!$X$4:$X$138,$I24)+SUMIFS(STAT2!$W$4:$W$138,STAT2!$X$4:$X$138,$I24)</f>
        <v>0</v>
      </c>
      <c r="G24" s="864">
        <f>+SUMIFS(STAT3!$V$4:$V$138,STAT3!$X$4:$X$138,$I24)+SUMIFS(STAT3!$W$4:$W$138,STAT3!$X$4:$X$138,$I24)</f>
        <v>0</v>
      </c>
      <c r="H24" s="865">
        <f>+SUMIFS(STAT4!$V$4:$V$138,STAT4!$X$4:$X$138,$I24)+SUMIFS(STAT4!$W$4:$W$138,STAT4!$X$4:$X$138,$I24)</f>
        <v>0</v>
      </c>
      <c r="I24" s="43">
        <v>1124</v>
      </c>
    </row>
    <row r="25" spans="1:10" ht="15" customHeight="1">
      <c r="A25" s="859" t="s">
        <v>87</v>
      </c>
      <c r="B25" s="939" t="s">
        <v>88</v>
      </c>
      <c r="C25" s="939"/>
      <c r="D25" s="864">
        <f>+SUMIFS(STAT1!$H$4:$H$138,STAT1!$X$4:$X$138,$I25)+SUMIFS(STAT1!$I$4:$I$138,STAT1!$X$4:$X$138,$I25)</f>
        <v>0</v>
      </c>
      <c r="E25" s="864">
        <f>+SUMIFS(STAT1!$V$4:$V$138,STAT1!$X$4:$X$138,$I25)+SUMIFS(STAT1!$W$4:$W$138,STAT1!$X$4:$X$138,$I25)</f>
        <v>0</v>
      </c>
      <c r="F25" s="866">
        <f>+SUMIFS(STAT2!$V$4:$V$138,STAT2!$X$4:$X$138,$I25)+SUMIFS(STAT2!$W$4:$W$138,STAT2!$X$4:$X$138,$I25)</f>
        <v>0</v>
      </c>
      <c r="G25" s="864">
        <f>+SUMIFS(STAT3!$V$4:$V$138,STAT3!$X$4:$X$138,$I25)+SUMIFS(STAT3!$W$4:$W$138,STAT3!$X$4:$X$138,$I25)</f>
        <v>0</v>
      </c>
      <c r="H25" s="865">
        <f>+SUMIFS(STAT4!$V$4:$V$138,STAT4!$X$4:$X$138,$I25)+SUMIFS(STAT4!$W$4:$W$138,STAT4!$X$4:$X$138,$I25)</f>
        <v>0</v>
      </c>
      <c r="I25" s="43">
        <v>1125</v>
      </c>
    </row>
    <row r="26" spans="1:10" ht="21" customHeight="1">
      <c r="A26" s="859" t="s">
        <v>89</v>
      </c>
      <c r="B26" s="939" t="s">
        <v>90</v>
      </c>
      <c r="C26" s="939"/>
      <c r="D26" s="864">
        <f>+SUMIFS(STAT1!$H$4:$H$138,STAT1!$X$4:$X$138,$I26)+SUMIFS(STAT1!$I$4:$I$138,STAT1!$X$4:$X$138,$I26)</f>
        <v>0</v>
      </c>
      <c r="E26" s="864">
        <f>+SUMIFS(STAT1!$V$4:$V$138,STAT1!$X$4:$X$138,$I26)+SUMIFS(STAT1!$W$4:$W$138,STAT1!$X$4:$X$138,$I26)</f>
        <v>0</v>
      </c>
      <c r="F26" s="866">
        <f>+SUMIFS(STAT2!$V$4:$V$138,STAT2!$X$4:$X$138,$I26)+SUMIFS(STAT2!$W$4:$W$138,STAT2!$X$4:$X$138,$I26)</f>
        <v>0</v>
      </c>
      <c r="G26" s="864">
        <f>+SUMIFS(STAT3!$V$4:$V$138,STAT3!$X$4:$X$138,$I26)+SUMIFS(STAT3!$W$4:$W$138,STAT3!$X$4:$X$138,$I26)</f>
        <v>0</v>
      </c>
      <c r="H26" s="865">
        <f>+SUMIFS(STAT4!$V$4:$V$138,STAT4!$X$4:$X$138,$I26)+SUMIFS(STAT4!$W$4:$W$138,STAT4!$X$4:$X$138,$I26)</f>
        <v>0</v>
      </c>
      <c r="I26" s="43">
        <v>1126</v>
      </c>
    </row>
    <row r="27" spans="1:10" ht="15" customHeight="1">
      <c r="A27" s="859" t="s">
        <v>91</v>
      </c>
      <c r="B27" s="939" t="s">
        <v>92</v>
      </c>
      <c r="C27" s="939"/>
      <c r="D27" s="864">
        <f>+SUMIFS(STAT1!$H$4:$H$138,STAT1!$X$4:$X$138,$I27)+SUMIFS(STAT1!$I$4:$I$138,STAT1!$X$4:$X$138,$I27)</f>
        <v>0</v>
      </c>
      <c r="E27" s="864">
        <f>+SUMIFS(STAT1!$V$4:$V$138,STAT1!$X$4:$X$138,$I27)+SUMIFS(STAT1!$W$4:$W$138,STAT1!$X$4:$X$138,$I27)</f>
        <v>0</v>
      </c>
      <c r="F27" s="866">
        <f>+SUMIFS(STAT2!$V$4:$V$138,STAT2!$X$4:$X$138,$I27)+SUMIFS(STAT2!$W$4:$W$138,STAT2!$X$4:$X$138,$I27)</f>
        <v>0</v>
      </c>
      <c r="G27" s="864">
        <f>+SUMIFS(STAT3!$V$4:$V$138,STAT3!$X$4:$X$138,$I27)+SUMIFS(STAT3!$W$4:$W$138,STAT3!$X$4:$X$138,$I27)</f>
        <v>0</v>
      </c>
      <c r="H27" s="865">
        <f>+SUMIFS(STAT4!$V$4:$V$138,STAT4!$X$4:$X$138,$I27)+SUMIFS(STAT4!$W$4:$W$138,STAT4!$X$4:$X$138,$I27)</f>
        <v>0</v>
      </c>
      <c r="I27" s="43">
        <v>1127</v>
      </c>
    </row>
    <row r="28" spans="1:10" ht="15" customHeight="1">
      <c r="A28" s="859" t="s">
        <v>93</v>
      </c>
      <c r="B28" s="939" t="s">
        <v>94</v>
      </c>
      <c r="C28" s="939"/>
      <c r="D28" s="864">
        <f>+SUMIFS(STAT1!$H$4:$H$138,STAT1!$X$4:$X$138,$I28)+SUMIFS(STAT1!$I$4:$I$138,STAT1!$X$4:$X$138,$I28)</f>
        <v>0</v>
      </c>
      <c r="E28" s="864">
        <f>+SUMIFS(STAT1!$V$4:$V$138,STAT1!$X$4:$X$138,$I28)+SUMIFS(STAT1!$W$4:$W$138,STAT1!$X$4:$X$138,$I28)</f>
        <v>0</v>
      </c>
      <c r="F28" s="866">
        <f>+SUMIFS(STAT2!$V$4:$V$138,STAT2!$X$4:$X$138,$I28)+SUMIFS(STAT2!$W$4:$W$138,STAT2!$X$4:$X$138,$I28)</f>
        <v>0</v>
      </c>
      <c r="G28" s="864">
        <f>+SUMIFS(STAT3!$V$4:$V$138,STAT3!$X$4:$X$138,$I28)+SUMIFS(STAT3!$W$4:$W$138,STAT3!$X$4:$X$138,$I28)</f>
        <v>0</v>
      </c>
      <c r="H28" s="865">
        <f>+SUMIFS(STAT4!$V$4:$V$138,STAT4!$X$4:$X$138,$I28)+SUMIFS(STAT4!$W$4:$W$138,STAT4!$X$4:$X$138,$I28)</f>
        <v>0</v>
      </c>
      <c r="I28" s="43">
        <v>1128</v>
      </c>
    </row>
    <row r="29" spans="1:10" ht="15" customHeight="1">
      <c r="A29" s="859" t="s">
        <v>95</v>
      </c>
      <c r="B29" s="941" t="s">
        <v>96</v>
      </c>
      <c r="C29" s="941"/>
      <c r="D29" s="862">
        <f>SUM(D20:D28)</f>
        <v>968209008.35000038</v>
      </c>
      <c r="E29" s="862">
        <f>SUM(E20:E28)</f>
        <v>939845417.24000025</v>
      </c>
      <c r="F29" s="862">
        <f>SUM(F20:F28)</f>
        <v>912074809.17000031</v>
      </c>
      <c r="G29" s="862">
        <f>SUM(G20:G28)</f>
        <v>884459953.95000052</v>
      </c>
      <c r="H29" s="863">
        <f>SUM(H20:H28)</f>
        <v>857503807.95000029</v>
      </c>
    </row>
    <row r="30" spans="1:10" ht="15" customHeight="1">
      <c r="A30" s="859" t="s">
        <v>97</v>
      </c>
      <c r="B30" s="941" t="s">
        <v>98</v>
      </c>
      <c r="C30" s="941"/>
      <c r="D30" s="862">
        <f>+D18+D29</f>
        <v>2220686355.4419436</v>
      </c>
      <c r="E30" s="862">
        <f>+E18+E29</f>
        <v>2192466772.3702278</v>
      </c>
      <c r="F30" s="862">
        <f>+F18+F29</f>
        <v>2164092174.8365011</v>
      </c>
      <c r="G30" s="862">
        <f>+G18+G29</f>
        <v>2173233848.7716856</v>
      </c>
      <c r="H30" s="863">
        <f>+H18+H29</f>
        <v>2084588037.1957703</v>
      </c>
      <c r="I30" s="44"/>
      <c r="J30" s="44"/>
    </row>
    <row r="31" spans="1:10" ht="15" customHeight="1">
      <c r="A31" s="859" t="s">
        <v>99</v>
      </c>
      <c r="B31" s="941" t="s">
        <v>100</v>
      </c>
      <c r="C31" s="941"/>
      <c r="D31" s="862"/>
      <c r="E31" s="862"/>
      <c r="F31" s="862"/>
      <c r="G31" s="862"/>
      <c r="H31" s="863"/>
    </row>
    <row r="32" spans="1:10" ht="15" customHeight="1">
      <c r="A32" s="859" t="s">
        <v>101</v>
      </c>
      <c r="B32" s="941" t="s">
        <v>102</v>
      </c>
      <c r="C32" s="941"/>
      <c r="D32" s="862"/>
      <c r="E32" s="862"/>
      <c r="F32" s="862"/>
      <c r="G32" s="862"/>
      <c r="H32" s="863"/>
    </row>
    <row r="33" spans="1:9" ht="15" customHeight="1">
      <c r="A33" s="859" t="s">
        <v>103</v>
      </c>
      <c r="B33" s="941" t="s">
        <v>104</v>
      </c>
      <c r="C33" s="941"/>
      <c r="D33" s="862"/>
      <c r="E33" s="862"/>
      <c r="F33" s="862"/>
      <c r="G33" s="862"/>
      <c r="H33" s="863"/>
    </row>
    <row r="34" spans="1:9" ht="15" customHeight="1">
      <c r="A34" s="859" t="s">
        <v>105</v>
      </c>
      <c r="B34" s="939" t="s">
        <v>106</v>
      </c>
      <c r="C34" s="939"/>
      <c r="D34" s="864">
        <f>+SUMIFS(STAT1!$H$4:$H$138,STAT1!$X$4:$X$138,$I34)+SUMIFS(STAT1!$I$4:$I$138,STAT1!$X$4:$X$138,$I34)</f>
        <v>3.9999186992645264E-4</v>
      </c>
      <c r="E34" s="864">
        <f>+SUMIFS(STAT1!$V$4:$V$138,STAT1!$X$4:$X$138,$I34)+SUMIFS(STAT1!$W$4:$W$138,STAT1!$X$4:$X$138,$I34)</f>
        <v>1279999.9996000081</v>
      </c>
      <c r="F34" s="864">
        <f>+SUMIFS(STAT2!$V$4:$V$138,STAT2!$X$4:$X$138,$I34)+SUMIFS(STAT2!$W$4:$W$138,STAT2!$X$4:$X$138,$I34)</f>
        <v>3.9999186992645264E-4</v>
      </c>
      <c r="G34" s="864">
        <f>+SUMIFS(STAT3!$V$4:$V$138,STAT3!$X$4:$X$138,$I34)+SUMIFS(STAT3!$W$4:$W$138,STAT3!$X$4:$X$138,$I34)</f>
        <v>3.9999186992645264E-4</v>
      </c>
      <c r="H34" s="865">
        <f>+SUMIFS(STAT4!$V$4:$V$138,STAT4!$X$4:$X$138,$I34)+SUMIFS(STAT4!$W$4:$W$138,STAT4!$X$4:$X$138,$I34)</f>
        <v>3499027.4596000081</v>
      </c>
      <c r="I34" s="43">
        <v>1201</v>
      </c>
    </row>
    <row r="35" spans="1:9" ht="15" customHeight="1">
      <c r="A35" s="859" t="s">
        <v>107</v>
      </c>
      <c r="B35" s="939" t="s">
        <v>108</v>
      </c>
      <c r="C35" s="939"/>
      <c r="D35" s="864">
        <f>+SUMIFS(STAT1!$H$4:$H$138,STAT1!$X$4:$X$138,$I35)+SUMIFS(STAT1!$I$4:$I$138,STAT1!$X$4:$X$138,$I35)</f>
        <v>0</v>
      </c>
      <c r="E35" s="864">
        <f>+SUMIFS(STAT1!$V$4:$V$138,STAT1!$X$4:$X$138,$I35)+SUMIFS(STAT1!$W$4:$W$138,STAT1!$X$4:$X$138,$I35)</f>
        <v>0</v>
      </c>
      <c r="F35" s="864">
        <f>+SUMIFS(STAT2!$V$4:$V$138,STAT2!$X$4:$X$138,$I35)+SUMIFS(STAT2!$W$4:$W$138,STAT2!$X$4:$X$138,$I35)</f>
        <v>0</v>
      </c>
      <c r="G35" s="864">
        <f>+SUMIFS(STAT3!$V$4:$V$138,STAT3!$X$4:$X$138,$I35)+SUMIFS(STAT3!$W$4:$W$138,STAT3!$X$4:$X$138,$I35)</f>
        <v>5.3571388125419617E-3</v>
      </c>
      <c r="H35" s="865">
        <f>+SUMIFS(STAT4!$V$4:$V$138,STAT4!$X$4:$X$138,$I35)+SUMIFS(STAT4!$W$4:$W$138,STAT4!$X$4:$X$138,$I35)</f>
        <v>3.5713985562324524E-4</v>
      </c>
      <c r="I35" s="43">
        <v>1202</v>
      </c>
    </row>
    <row r="36" spans="1:9" ht="15" customHeight="1">
      <c r="A36" s="859" t="s">
        <v>109</v>
      </c>
      <c r="B36" s="939" t="s">
        <v>110</v>
      </c>
      <c r="C36" s="939"/>
      <c r="D36" s="864">
        <f>+SUMIFS(STAT1!$H$4:$H$138,STAT1!$X$4:$X$138,$I36)+SUMIFS(STAT1!$I$4:$I$138,STAT1!$X$4:$X$138,$I36)</f>
        <v>50666192.878447808</v>
      </c>
      <c r="E36" s="864">
        <f>+SUMIFS(STAT1!$V$4:$V$138,STAT1!$X$4:$X$138,$I36)+SUMIFS(STAT1!$W$4:$W$138,STAT1!$X$4:$X$138,$I36)</f>
        <v>59917802.70718319</v>
      </c>
      <c r="F36" s="864">
        <f>+SUMIFS(STAT2!$V$4:$V$138,STAT2!$X$4:$X$138,$I36)+SUMIFS(STAT2!$W$4:$W$138,STAT2!$X$4:$X$138,$I36)</f>
        <v>63305501.986964896</v>
      </c>
      <c r="G36" s="864">
        <f>+SUMIFS(STAT3!$V$4:$V$138,STAT3!$X$4:$X$138,$I36)+SUMIFS(STAT3!$W$4:$W$138,STAT3!$X$4:$X$138,$I36)</f>
        <v>82724536.935377866</v>
      </c>
      <c r="H36" s="865">
        <f>+SUMIFS(STAT4!$V$4:$V$138,STAT4!$X$4:$X$138,$I36)+SUMIFS(STAT4!$W$4:$W$138,STAT4!$X$4:$X$138,$I36)</f>
        <v>67186734.861556888</v>
      </c>
      <c r="I36" s="43">
        <v>1203</v>
      </c>
    </row>
    <row r="37" spans="1:9" ht="15" customHeight="1">
      <c r="A37" s="859" t="s">
        <v>111</v>
      </c>
      <c r="B37" s="939" t="s">
        <v>112</v>
      </c>
      <c r="C37" s="939"/>
      <c r="D37" s="864">
        <f>+SUMIFS(STAT1!$H$4:$H$138,STAT1!$X$4:$X$138,$I37)+SUMIFS(STAT1!$I$4:$I$138,STAT1!$X$4:$X$138,$I37)</f>
        <v>0</v>
      </c>
      <c r="E37" s="864">
        <f>+SUMIFS(STAT1!$V$4:$V$138,STAT1!$X$4:$X$138,$I37)+SUMIFS(STAT1!$W$4:$W$138,STAT1!$X$4:$X$138,$I37)</f>
        <v>3470021.2666666675</v>
      </c>
      <c r="F37" s="864">
        <f>+SUMIFS(STAT2!$V$4:$V$138,STAT2!$X$4:$X$138,$I37)+SUMIFS(STAT2!$W$4:$W$138,STAT2!$X$4:$X$138,$I37)</f>
        <v>4929930.9433259256</v>
      </c>
      <c r="G37" s="864">
        <f>+SUMIFS(STAT3!$V$4:$V$138,STAT3!$X$4:$X$138,$I37)+SUMIFS(STAT3!$W$4:$W$138,STAT3!$X$4:$X$138,$I37)</f>
        <v>5084873.2023735438</v>
      </c>
      <c r="H37" s="865">
        <f>+SUMIFS(STAT4!$V$4:$V$138,STAT4!$X$4:$X$138,$I37)+SUMIFS(STAT4!$W$4:$W$138,STAT4!$X$4:$X$138,$I37)</f>
        <v>0</v>
      </c>
      <c r="I37" s="43">
        <v>1204</v>
      </c>
    </row>
    <row r="38" spans="1:9" ht="15" customHeight="1">
      <c r="A38" s="859" t="s">
        <v>113</v>
      </c>
      <c r="B38" s="939" t="s">
        <v>114</v>
      </c>
      <c r="C38" s="939"/>
      <c r="D38" s="864">
        <f>+SUMIFS(STAT1!$H$4:$H$138,STAT1!$X$4:$X$138,$I38)+SUMIFS(STAT1!$I$4:$I$138,STAT1!$X$4:$X$138,$I38)</f>
        <v>79882059.000000015</v>
      </c>
      <c r="E38" s="864">
        <f>+SUMIFS(STAT1!$V$4:$V$138,STAT1!$X$4:$X$138,$I38)+SUMIFS(STAT1!$W$4:$W$138,STAT1!$X$4:$X$138,$I38)</f>
        <v>66729157.000000015</v>
      </c>
      <c r="F38" s="864">
        <f>+SUMIFS(STAT2!$V$4:$V$138,STAT2!$X$4:$X$138,$I38)+SUMIFS(STAT2!$W$4:$W$138,STAT2!$X$4:$X$138,$I38)</f>
        <v>52922543.070000015</v>
      </c>
      <c r="G38" s="864">
        <f>+SUMIFS(STAT3!$V$4:$V$138,STAT3!$X$4:$X$138,$I38)+SUMIFS(STAT3!$W$4:$W$138,STAT3!$X$4:$X$138,$I38)</f>
        <v>38119203.000000015</v>
      </c>
      <c r="H38" s="865">
        <f>+SUMIFS(STAT4!$V$4:$V$138,STAT4!$X$4:$X$138,$I38)+SUMIFS(STAT4!$W$4:$W$138,STAT4!$X$4:$X$138,$I38)</f>
        <v>22456333.000000015</v>
      </c>
      <c r="I38" s="43">
        <v>1205</v>
      </c>
    </row>
    <row r="39" spans="1:9" ht="15" customHeight="1">
      <c r="A39" s="859" t="s">
        <v>115</v>
      </c>
      <c r="B39" s="939" t="s">
        <v>116</v>
      </c>
      <c r="C39" s="939"/>
      <c r="D39" s="864">
        <f>+SUMIFS(STAT1!$H$4:$H$138,STAT1!$X$4:$X$138,$I39)+SUMIFS(STAT1!$I$4:$I$138,STAT1!$X$4:$X$138,$I39)</f>
        <v>0</v>
      </c>
      <c r="E39" s="864">
        <f>+SUMIFS(STAT1!$V$4:$V$138,STAT1!$X$4:$X$138,$I39)+SUMIFS(STAT1!$W$4:$W$138,STAT1!$X$4:$X$138,$I39)</f>
        <v>0</v>
      </c>
      <c r="F39" s="864">
        <f>+SUMIFS(STAT2!$V$4:$V$138,STAT2!$X$4:$X$138,$I39)+SUMIFS(STAT2!$W$4:$W$138,STAT2!$X$4:$X$138,$I39)</f>
        <v>0</v>
      </c>
      <c r="G39" s="864">
        <f>+SUMIFS(STAT3!$V$4:$V$138,STAT3!$X$4:$X$138,$I39)+SUMIFS(STAT3!$W$4:$W$138,STAT3!$X$4:$X$138,$I39)</f>
        <v>0</v>
      </c>
      <c r="H39" s="865">
        <f>+SUMIFS(STAT4!$V$4:$V$138,STAT4!$X$4:$X$138,$I39)+SUMIFS(STAT4!$W$4:$W$138,STAT4!$X$4:$X$138,$I39)</f>
        <v>0</v>
      </c>
      <c r="I39" s="43">
        <v>1206</v>
      </c>
    </row>
    <row r="40" spans="1:9" ht="15" customHeight="1">
      <c r="A40" s="859" t="s">
        <v>117</v>
      </c>
      <c r="B40" s="939" t="s">
        <v>118</v>
      </c>
      <c r="C40" s="939"/>
      <c r="D40" s="864">
        <f>+SUMIFS(STAT1!$H$4:$H$138,STAT1!$X$4:$X$138,$I40)+SUMIFS(STAT1!$I$4:$I$138,STAT1!$X$4:$X$138,$I40)</f>
        <v>0</v>
      </c>
      <c r="E40" s="864">
        <f>+SUMIFS(STAT1!$V$4:$V$138,STAT1!$X$4:$X$138,$I40)+SUMIFS(STAT1!$W$4:$W$138,STAT1!$X$4:$X$138,$I40)</f>
        <v>0</v>
      </c>
      <c r="F40" s="864">
        <f>+SUMIFS(STAT2!$V$4:$V$138,STAT2!$X$4:$X$138,$I40)+SUMIFS(STAT2!$W$4:$W$138,STAT2!$X$4:$X$138,$I40)</f>
        <v>0</v>
      </c>
      <c r="G40" s="864">
        <f>+SUMIFS(STAT3!$V$4:$V$138,STAT3!$X$4:$X$138,$I40)+SUMIFS(STAT3!$W$4:$W$138,STAT3!$X$4:$X$138,$I40)</f>
        <v>0</v>
      </c>
      <c r="H40" s="865">
        <f>+SUMIFS(STAT4!$V$4:$V$138,STAT4!$X$4:$X$138,$I40)+SUMIFS(STAT4!$W$4:$W$138,STAT4!$X$4:$X$138,$I40)</f>
        <v>0</v>
      </c>
      <c r="I40" s="43">
        <v>1207</v>
      </c>
    </row>
    <row r="41" spans="1:9" ht="15" customHeight="1">
      <c r="A41" s="859" t="s">
        <v>119</v>
      </c>
      <c r="B41" s="939" t="s">
        <v>120</v>
      </c>
      <c r="C41" s="939"/>
      <c r="D41" s="864">
        <f>+SUMIFS(STAT1!$H$4:$H$138,STAT1!$X$4:$X$138,$I41)+SUMIFS(STAT1!$I$4:$I$138,STAT1!$X$4:$X$138,$I41)</f>
        <v>126838961.0357834</v>
      </c>
      <c r="E41" s="864">
        <f>+SUMIFS(STAT1!$V$4:$V$138,STAT1!$X$4:$X$138,$I41)+SUMIFS(STAT1!$W$4:$W$138,STAT1!$X$4:$X$138,$I41)</f>
        <v>118147724.0491185</v>
      </c>
      <c r="F41" s="864">
        <f>+SUMIFS(STAT2!$V$4:$V$138,STAT2!$X$4:$X$138,$I41)+SUMIFS(STAT2!$W$4:$W$138,STAT2!$X$4:$X$138,$I41)</f>
        <v>124777144.06343126</v>
      </c>
      <c r="G41" s="864">
        <f>+SUMIFS(STAT3!$V$4:$V$138,STAT3!$X$4:$X$138,$I41)+SUMIFS(STAT3!$W$4:$W$138,STAT3!$X$4:$X$138,$I41)</f>
        <v>131187934.09467706</v>
      </c>
      <c r="H41" s="865">
        <f>+SUMIFS(STAT4!$V$4:$V$138,STAT4!$X$4:$X$138,$I41)+SUMIFS(STAT4!$W$4:$W$138,STAT4!$X$4:$X$138,$I41)</f>
        <v>118147724.09467706</v>
      </c>
      <c r="I41" s="43">
        <v>1211</v>
      </c>
    </row>
    <row r="42" spans="1:9" ht="15" customHeight="1">
      <c r="A42" s="859" t="s">
        <v>121</v>
      </c>
      <c r="B42" s="939" t="s">
        <v>122</v>
      </c>
      <c r="C42" s="939"/>
      <c r="D42" s="864">
        <f>+SUMIFS(STAT1!$H$4:$H$138,STAT1!$X$4:$X$138,$I42)+SUMIFS(STAT1!$I$4:$I$138,STAT1!$X$4:$X$138,$I42)</f>
        <v>0</v>
      </c>
      <c r="E42" s="864">
        <f>+SUMIFS(STAT1!$V$4:$V$138,STAT1!$X$4:$X$138,$I42)+SUMIFS(STAT1!$W$4:$W$138,STAT1!$X$4:$X$138,$I42)</f>
        <v>0</v>
      </c>
      <c r="F42" s="864">
        <f>+SUMIFS(STAT2!$V$4:$V$138,STAT2!$X$4:$X$138,$I42)+SUMIFS(STAT2!$W$4:$W$138,STAT2!$X$4:$X$138,$I42)</f>
        <v>0</v>
      </c>
      <c r="G42" s="864">
        <f>+SUMIFS(STAT3!$V$4:$V$138,STAT3!$X$4:$X$138,$I42)+SUMIFS(STAT3!$W$4:$W$138,STAT3!$X$4:$X$138,$I42)</f>
        <v>0</v>
      </c>
      <c r="H42" s="865">
        <f>+SUMIFS(STAT4!$V$4:$V$138,STAT4!$X$4:$X$138,$I42)+SUMIFS(STAT4!$W$4:$W$138,STAT4!$X$4:$X$138,$I42)</f>
        <v>0</v>
      </c>
      <c r="I42" s="43">
        <v>1209</v>
      </c>
    </row>
    <row r="43" spans="1:9" ht="15" customHeight="1">
      <c r="A43" s="859" t="s">
        <v>123</v>
      </c>
      <c r="B43" s="939" t="s">
        <v>124</v>
      </c>
      <c r="C43" s="939"/>
      <c r="D43" s="864">
        <f>+SUMIFS(STAT1!$H$4:$H$138,STAT1!$X$4:$X$138,$I43)+SUMIFS(STAT1!$I$4:$I$138,STAT1!$X$4:$X$138,$I43)</f>
        <v>106705368</v>
      </c>
      <c r="E43" s="864">
        <f>+SUMIFS(STAT1!$V$4:$V$138,STAT1!$X$4:$X$138,$I43)+SUMIFS(STAT1!$W$4:$W$138,STAT1!$X$4:$X$138,$I43)</f>
        <v>98355900</v>
      </c>
      <c r="F43" s="864">
        <f>+SUMIFS(STAT2!$V$4:$V$138,STAT2!$X$4:$X$138,$I43)+SUMIFS(STAT2!$W$4:$W$138,STAT2!$X$4:$X$138,$I43)</f>
        <v>89566753</v>
      </c>
      <c r="G43" s="864">
        <f>+SUMIFS(STAT3!$V$4:$V$138,STAT3!$X$4:$X$138,$I43)+SUMIFS(STAT3!$W$4:$W$138,STAT3!$X$4:$X$138,$I43)</f>
        <v>80514683</v>
      </c>
      <c r="H43" s="865">
        <f>+SUMIFS(STAT4!$V$4:$V$138,STAT4!$X$4:$X$138,$I43)+SUMIFS(STAT4!$W$4:$W$138,STAT4!$X$4:$X$138,$I43)</f>
        <v>70822909</v>
      </c>
      <c r="I43" s="43">
        <v>1210</v>
      </c>
    </row>
    <row r="44" spans="1:9" ht="26.25" customHeight="1">
      <c r="A44" s="859" t="s">
        <v>125</v>
      </c>
      <c r="B44" s="940" t="s">
        <v>126</v>
      </c>
      <c r="C44" s="940"/>
      <c r="D44" s="864">
        <f>+SUMIFS(STAT1!$H$4:$H$138,STAT1!$X$4:$X$138,$I44)+SUMIFS(STAT1!$I$4:$I$138,STAT1!$X$4:$X$138,$I44)</f>
        <v>0</v>
      </c>
      <c r="E44" s="864">
        <f>+SUMIFS(STAT1!$V$4:$V$138,STAT1!$X$4:$X$138,$I44)+SUMIFS(STAT1!$W$4:$W$138,STAT1!$X$4:$X$138,$I44)</f>
        <v>0</v>
      </c>
      <c r="F44" s="864">
        <f>+SUMIFS(STAT2!$V$4:$V$138,STAT2!$X$4:$X$138,$I44)+SUMIFS(STAT2!$W$4:$W$138,STAT2!$X$4:$X$138,$I44)</f>
        <v>0</v>
      </c>
      <c r="G44" s="864">
        <f>+SUMIFS(STAT3!$V$4:$V$138,STAT3!$X$4:$X$138,$I44)+SUMIFS(STAT3!$W$4:$W$138,STAT3!$X$4:$X$138,$I44)</f>
        <v>0</v>
      </c>
      <c r="H44" s="865">
        <f>+SUMIFS(STAT4!$V$4:$V$138,STAT4!$X$4:$X$138,$I44)+SUMIFS(STAT4!$W$4:$W$138,STAT4!$X$4:$X$138,$I44)</f>
        <v>0</v>
      </c>
      <c r="I44" s="43">
        <v>1208</v>
      </c>
    </row>
    <row r="45" spans="1:9" ht="15" customHeight="1">
      <c r="A45" s="859" t="s">
        <v>127</v>
      </c>
      <c r="B45" s="941" t="s">
        <v>128</v>
      </c>
      <c r="C45" s="941"/>
      <c r="D45" s="862">
        <f>SUM(D34:D44)</f>
        <v>364092580.91463119</v>
      </c>
      <c r="E45" s="862">
        <f t="shared" ref="E45:G45" si="1">SUM(E34:E44)</f>
        <v>347900605.0225684</v>
      </c>
      <c r="F45" s="862">
        <f t="shared" si="1"/>
        <v>335501873.06412208</v>
      </c>
      <c r="G45" s="862">
        <f t="shared" si="1"/>
        <v>337631230.23818564</v>
      </c>
      <c r="H45" s="863">
        <f>SUM(H34:H44)</f>
        <v>282112728.4161911</v>
      </c>
      <c r="I45" s="43">
        <v>1212</v>
      </c>
    </row>
    <row r="46" spans="1:9" ht="15" customHeight="1">
      <c r="A46" s="859" t="s">
        <v>129</v>
      </c>
      <c r="B46" s="941" t="s">
        <v>130</v>
      </c>
      <c r="C46" s="941"/>
      <c r="D46" s="862"/>
      <c r="E46" s="862"/>
      <c r="F46" s="862"/>
      <c r="G46" s="862"/>
      <c r="H46" s="863"/>
    </row>
    <row r="47" spans="1:9" ht="15" customHeight="1">
      <c r="A47" s="859" t="s">
        <v>131</v>
      </c>
      <c r="B47" s="939" t="s">
        <v>132</v>
      </c>
      <c r="C47" s="939"/>
      <c r="D47" s="864">
        <f>+SUMIFS(STAT1!$H$4:$H$138,STAT1!$X$4:$X$138,$I47)+SUMIFS(STAT1!$I$4:$I$138,STAT1!$X$4:$X$138,$I47)</f>
        <v>0</v>
      </c>
      <c r="E47" s="864">
        <f>+SUMIFS(STAT1!$V$4:$V$138,STAT1!$X$4:$X$138,$I47)+SUMIFS(STAT1!$W$4:$W$138,STAT1!$X$4:$X$138,$I47)</f>
        <v>0</v>
      </c>
      <c r="F47" s="864">
        <f>+SUMIFS(STAT2!$V$4:$V$138,STAT2!$X$4:$X$138,$I47)+SUMIFS(STAT2!$W$4:$W$138,STAT2!$X$4:$X$138,$I47)</f>
        <v>0</v>
      </c>
      <c r="G47" s="864">
        <f>+SUMIFS(STAT3!$V$4:$V$138,STAT3!$X$4:$X$138,$I47)+SUMIFS(STAT3!$W$4:$W$138,STAT3!$X$4:$X$138,$I47)</f>
        <v>0</v>
      </c>
      <c r="H47" s="865">
        <f>+SUMIFS(STAT4!$V$4:$V$138,STAT4!$X$4:$X$138,$I47)+SUMIFS(STAT4!$W$4:$W$138,STAT4!$X$4:$X$138,$I47)</f>
        <v>0</v>
      </c>
      <c r="I47" s="43">
        <v>1221</v>
      </c>
    </row>
    <row r="48" spans="1:9" ht="15" customHeight="1">
      <c r="A48" s="859" t="s">
        <v>133</v>
      </c>
      <c r="B48" s="939" t="s">
        <v>122</v>
      </c>
      <c r="C48" s="939"/>
      <c r="D48" s="864">
        <f>+SUMIFS(STAT1!$H$4:$H$138,STAT1!$X$4:$X$138,$I48)+SUMIFS(STAT1!$I$4:$I$138,STAT1!$X$4:$X$138,$I48)</f>
        <v>0</v>
      </c>
      <c r="E48" s="864">
        <f>+SUMIFS(STAT1!$V$4:$V$138,STAT1!$X$4:$X$138,$I48)+SUMIFS(STAT1!$W$4:$W$138,STAT1!$X$4:$X$138,$I48)</f>
        <v>0</v>
      </c>
      <c r="F48" s="864">
        <f>+SUMIFS(STAT2!$V$4:$V$138,STAT2!$X$4:$X$138,$I48)+SUMIFS(STAT2!$W$4:$W$138,STAT2!$X$4:$X$138,$I48)</f>
        <v>0</v>
      </c>
      <c r="G48" s="864">
        <f>+SUMIFS(STAT3!$V$4:$V$138,STAT3!$X$4:$X$138,$I48)+SUMIFS(STAT3!$W$4:$W$138,STAT3!$X$4:$X$138,$I48)</f>
        <v>0</v>
      </c>
      <c r="H48" s="865">
        <f>+SUMIFS(STAT4!$V$4:$V$138,STAT4!$X$4:$X$138,$I48)+SUMIFS(STAT4!$W$4:$W$138,STAT4!$X$4:$X$138,$I48)</f>
        <v>0</v>
      </c>
      <c r="I48" s="43">
        <v>1222</v>
      </c>
    </row>
    <row r="49" spans="1:9" ht="15" customHeight="1">
      <c r="A49" s="859" t="s">
        <v>134</v>
      </c>
      <c r="B49" s="939" t="s">
        <v>135</v>
      </c>
      <c r="C49" s="939"/>
      <c r="D49" s="864">
        <f>+SUMIFS(STAT1!$H$4:$H$138,STAT1!$X$4:$X$138,$I49)+SUMIFS(STAT1!$I$4:$I$138,STAT1!$X$4:$X$138,$I49)</f>
        <v>0</v>
      </c>
      <c r="E49" s="864">
        <f>+SUMIFS(STAT1!$V$4:$V$138,STAT1!$X$4:$X$138,$I49)+SUMIFS(STAT1!$W$4:$W$138,STAT1!$X$4:$X$138,$I49)</f>
        <v>0</v>
      </c>
      <c r="F49" s="864">
        <f>+SUMIFS(STAT2!$V$4:$V$138,STAT2!$X$4:$X$138,$I49)+SUMIFS(STAT2!$W$4:$W$138,STAT2!$X$4:$X$138,$I49)</f>
        <v>0</v>
      </c>
      <c r="G49" s="864">
        <f>+SUMIFS(STAT3!$V$4:$V$138,STAT3!$X$4:$X$138,$I49)+SUMIFS(STAT3!$W$4:$W$138,STAT3!$X$4:$X$138,$I49)</f>
        <v>0</v>
      </c>
      <c r="H49" s="865">
        <f>+SUMIFS(STAT4!$V$4:$V$138,STAT4!$X$4:$X$138,$I49)+SUMIFS(STAT4!$W$4:$W$138,STAT4!$X$4:$X$138,$I49)</f>
        <v>0</v>
      </c>
      <c r="I49" s="43">
        <v>1223</v>
      </c>
    </row>
    <row r="50" spans="1:9" ht="15" customHeight="1">
      <c r="A50" s="859" t="s">
        <v>136</v>
      </c>
      <c r="B50" s="939" t="s">
        <v>137</v>
      </c>
      <c r="C50" s="939"/>
      <c r="D50" s="864">
        <f>+SUMIFS(STAT1!$H$4:$H$138,STAT1!$X$4:$X$138,$I50)+SUMIFS(STAT1!$I$4:$I$138,STAT1!$X$4:$X$138,$I50)</f>
        <v>0</v>
      </c>
      <c r="E50" s="864">
        <f>+SUMIFS(STAT1!$V$4:$V$138,STAT1!$X$4:$X$138,$I50)+SUMIFS(STAT1!$W$4:$W$138,STAT1!$X$4:$X$138,$I50)</f>
        <v>0</v>
      </c>
      <c r="F50" s="864">
        <f>+SUMIFS(STAT2!$V$4:$V$138,STAT2!$X$4:$X$138,$I50)+SUMIFS(STAT2!$W$4:$W$138,STAT2!$X$4:$X$138,$I50)</f>
        <v>0</v>
      </c>
      <c r="G50" s="864">
        <f>+SUMIFS(STAT3!$V$4:$V$138,STAT3!$X$4:$X$138,$I50)+SUMIFS(STAT3!$W$4:$W$138,STAT3!$X$4:$X$138,$I50)</f>
        <v>0</v>
      </c>
      <c r="H50" s="865">
        <f>+SUMIFS(STAT4!$V$4:$V$138,STAT4!$X$4:$X$138,$I50)+SUMIFS(STAT4!$W$4:$W$138,STAT4!$X$4:$X$138,$I50)</f>
        <v>0</v>
      </c>
      <c r="I50" s="43">
        <v>1224</v>
      </c>
    </row>
    <row r="51" spans="1:9" ht="15" customHeight="1">
      <c r="A51" s="859" t="s">
        <v>138</v>
      </c>
      <c r="B51" s="939" t="s">
        <v>139</v>
      </c>
      <c r="C51" s="939"/>
      <c r="D51" s="864">
        <f>+SUMIFS(STAT1!$H$4:$H$138,STAT1!$X$4:$X$138,$I51)+SUMIFS(STAT1!$I$4:$I$138,STAT1!$X$4:$X$138,$I51)</f>
        <v>0</v>
      </c>
      <c r="E51" s="864">
        <f>+SUMIFS(STAT1!$V$4:$V$138,STAT1!$X$4:$X$138,$I51)+SUMIFS(STAT1!$W$4:$W$138,STAT1!$X$4:$X$138,$I51)</f>
        <v>0</v>
      </c>
      <c r="F51" s="864">
        <f>+SUMIFS(STAT2!$V$4:$V$138,STAT2!$X$4:$X$138,$I51)+SUMIFS(STAT2!$W$4:$W$138,STAT2!$X$4:$X$138,$I51)</f>
        <v>0</v>
      </c>
      <c r="G51" s="864">
        <f>+SUMIFS(STAT3!$V$4:$V$138,STAT3!$X$4:$X$138,$I51)+SUMIFS(STAT3!$W$4:$W$138,STAT3!$X$4:$X$138,$I51)</f>
        <v>0</v>
      </c>
      <c r="H51" s="865">
        <f>+SUMIFS(STAT4!$V$4:$V$138,STAT4!$X$4:$X$138,$I51)+SUMIFS(STAT4!$W$4:$W$138,STAT4!$X$4:$X$138,$I51)</f>
        <v>0</v>
      </c>
      <c r="I51" s="43">
        <v>1225</v>
      </c>
    </row>
    <row r="52" spans="1:9" ht="15" customHeight="1">
      <c r="A52" s="859" t="s">
        <v>140</v>
      </c>
      <c r="B52" s="941" t="s">
        <v>141</v>
      </c>
      <c r="C52" s="941"/>
      <c r="D52" s="862">
        <f>SUM(D47:D51)</f>
        <v>0</v>
      </c>
      <c r="E52" s="862">
        <f t="shared" ref="E52:H52" si="2">SUM(E47:E51)</f>
        <v>0</v>
      </c>
      <c r="F52" s="862">
        <f t="shared" si="2"/>
        <v>0</v>
      </c>
      <c r="G52" s="862">
        <f t="shared" si="2"/>
        <v>0</v>
      </c>
      <c r="H52" s="862">
        <f t="shared" si="2"/>
        <v>0</v>
      </c>
    </row>
    <row r="53" spans="1:9" ht="15" customHeight="1">
      <c r="A53" s="859" t="s">
        <v>142</v>
      </c>
      <c r="B53" s="941" t="s">
        <v>143</v>
      </c>
      <c r="C53" s="941"/>
      <c r="D53" s="862">
        <f>+D45+D52</f>
        <v>364092580.91463119</v>
      </c>
      <c r="E53" s="862">
        <f t="shared" ref="E53:H53" si="3">+E45+E52</f>
        <v>347900605.0225684</v>
      </c>
      <c r="F53" s="862">
        <f t="shared" si="3"/>
        <v>335501873.06412208</v>
      </c>
      <c r="G53" s="862">
        <f t="shared" si="3"/>
        <v>337631230.23818564</v>
      </c>
      <c r="H53" s="863">
        <f t="shared" si="3"/>
        <v>282112728.4161911</v>
      </c>
    </row>
    <row r="54" spans="1:9" ht="15" customHeight="1">
      <c r="A54" s="859" t="s">
        <v>144</v>
      </c>
      <c r="B54" s="939" t="s">
        <v>145</v>
      </c>
      <c r="C54" s="939"/>
      <c r="D54" s="864">
        <f>SUM(D55:D62)</f>
        <v>818011918.64999998</v>
      </c>
      <c r="E54" s="864">
        <f t="shared" ref="E54:H54" si="4">SUM(E55:E62)</f>
        <v>818011918.64999998</v>
      </c>
      <c r="F54" s="864">
        <f t="shared" si="4"/>
        <v>818011918.64999998</v>
      </c>
      <c r="G54" s="864">
        <f t="shared" si="4"/>
        <v>818011918.64999998</v>
      </c>
      <c r="H54" s="865">
        <f t="shared" si="4"/>
        <v>818011918.64999998</v>
      </c>
    </row>
    <row r="55" spans="1:9" ht="15" customHeight="1">
      <c r="A55" s="859" t="s">
        <v>146</v>
      </c>
      <c r="B55" s="939" t="s">
        <v>147</v>
      </c>
      <c r="C55" s="939"/>
      <c r="D55" s="864">
        <f>+SUMIFS(STAT1!$H$4:$H$138,STAT1!$X$4:$X$138,$I55)+SUMIFS(STAT1!$I$4:$I$138,STAT1!$X$4:$X$138,$I55)</f>
        <v>0</v>
      </c>
      <c r="E55" s="864">
        <f>+SUMIFS(STAT1!$V$4:$V$138,STAT1!$X$4:$X$138,$I55)+SUMIFS(STAT1!$W$4:$W$138,STAT1!$X$4:$X$138,$I55)</f>
        <v>0</v>
      </c>
      <c r="F55" s="864">
        <f>+SUMIFS(STAT2!$V$4:$V$138,STAT2!$X$4:$X$138,$I55)+SUMIFS(STAT2!$W$4:$W$138,STAT2!$X$4:$X$138,$I55)</f>
        <v>0</v>
      </c>
      <c r="G55" s="864">
        <f>+SUMIFS(STAT3!$V$4:$V$138,STAT3!$X$4:$X$138,$I55)+SUMIFS(STAT3!$W$4:$W$138,STAT3!$X$4:$X$138,$I55)</f>
        <v>0</v>
      </c>
      <c r="H55" s="865">
        <f>+SUMIFS(STAT4!$V$4:$V$138,STAT4!$X$4:$X$138,$I55)+SUMIFS(STAT4!$W$4:$W$138,STAT4!$X$4:$X$138,$I55)</f>
        <v>0</v>
      </c>
      <c r="I55" s="43">
        <v>1301</v>
      </c>
    </row>
    <row r="56" spans="1:9" ht="15" customHeight="1">
      <c r="A56" s="859" t="s">
        <v>148</v>
      </c>
      <c r="B56" s="939" t="s">
        <v>149</v>
      </c>
      <c r="C56" s="939"/>
      <c r="D56" s="864">
        <f>+SUMIFS(STAT1!$H$4:$H$138,STAT1!$X$4:$X$138,$I56)+SUMIFS(STAT1!$I$4:$I$138,STAT1!$X$4:$X$138,$I56)</f>
        <v>30701981.399999999</v>
      </c>
      <c r="E56" s="864">
        <f>+SUMIFS(STAT1!$V$4:$V$138,STAT1!$X$4:$X$138,$I56)+SUMIFS(STAT1!$W$4:$W$138,STAT1!$X$4:$X$138,$I56)</f>
        <v>30701981.399999999</v>
      </c>
      <c r="F56" s="864">
        <f>+SUMIFS(STAT2!$V$4:$V$138,STAT2!$X$4:$X$138,$I56)+SUMIFS(STAT2!$W$4:$W$138,STAT2!$X$4:$X$138,$I56)</f>
        <v>30701981.399999999</v>
      </c>
      <c r="G56" s="864">
        <f>+SUMIFS(STAT3!$V$4:$V$138,STAT3!$X$4:$X$138,$I56)+SUMIFS(STAT3!$W$4:$W$138,STAT3!$X$4:$X$138,$I56)</f>
        <v>30701981.399999999</v>
      </c>
      <c r="H56" s="865">
        <f>+SUMIFS(STAT4!$V$4:$V$138,STAT4!$X$4:$X$138,$I56)+SUMIFS(STAT4!$W$4:$W$138,STAT4!$X$4:$X$138,$I56)</f>
        <v>30701981.399999999</v>
      </c>
      <c r="I56" s="43">
        <v>1302</v>
      </c>
    </row>
    <row r="57" spans="1:9" ht="15" customHeight="1">
      <c r="A57" s="859" t="s">
        <v>150</v>
      </c>
      <c r="B57" s="939" t="s">
        <v>151</v>
      </c>
      <c r="C57" s="939"/>
      <c r="D57" s="864">
        <f>+SUMIFS(STAT1!$H$4:$H$138,STAT1!$X$4:$X$138,$I57)+SUMIFS(STAT1!$I$4:$I$138,STAT1!$X$4:$X$138,$I57)</f>
        <v>0</v>
      </c>
      <c r="E57" s="864">
        <f>+SUMIFS(STAT1!$V$4:$V$138,STAT1!$X$4:$X$138,$I57)+SUMIFS(STAT1!$W$4:$W$138,STAT1!$X$4:$X$138,$I57)</f>
        <v>0</v>
      </c>
      <c r="F57" s="864">
        <f>+SUMIFS(STAT2!$V$4:$V$138,STAT2!$X$4:$X$138,$I57)+SUMIFS(STAT2!$W$4:$W$138,STAT2!$X$4:$X$138,$I57)</f>
        <v>0</v>
      </c>
      <c r="G57" s="864">
        <f>+SUMIFS(STAT3!$V$4:$V$138,STAT3!$X$4:$X$138,$I57)+SUMIFS(STAT3!$W$4:$W$138,STAT3!$X$4:$X$138,$I57)</f>
        <v>0</v>
      </c>
      <c r="H57" s="865">
        <f>+SUMIFS(STAT4!$V$4:$V$138,STAT4!$X$4:$X$138,$I57)+SUMIFS(STAT4!$W$4:$W$138,STAT4!$X$4:$X$138,$I57)</f>
        <v>0</v>
      </c>
      <c r="I57" s="43">
        <v>1303</v>
      </c>
    </row>
    <row r="58" spans="1:9" ht="15" customHeight="1">
      <c r="A58" s="859" t="s">
        <v>152</v>
      </c>
      <c r="B58" s="939" t="s">
        <v>153</v>
      </c>
      <c r="C58" s="939"/>
      <c r="D58" s="864">
        <f>+SUMIFS(STAT1!$H$4:$H$138,STAT1!$X$4:$X$138,$I58)+SUMIFS(STAT1!$I$4:$I$138,STAT1!$X$4:$X$138,$I58)</f>
        <v>0</v>
      </c>
      <c r="E58" s="864">
        <f>+SUMIFS(STAT1!$V$4:$V$138,STAT1!$X$4:$X$138,$I58)+SUMIFS(STAT1!$W$4:$W$138,STAT1!$X$4:$X$138,$I58)</f>
        <v>0</v>
      </c>
      <c r="F58" s="864">
        <f>+SUMIFS(STAT2!$V$4:$V$138,STAT2!$X$4:$X$138,$I58)+SUMIFS(STAT2!$W$4:$W$138,STAT2!$X$4:$X$138,$I58)</f>
        <v>0</v>
      </c>
      <c r="G58" s="864">
        <f>+SUMIFS(STAT3!$V$4:$V$138,STAT3!$X$4:$X$138,$I58)+SUMIFS(STAT3!$W$4:$W$138,STAT3!$X$4:$X$138,$I58)</f>
        <v>0</v>
      </c>
      <c r="H58" s="865">
        <f>+SUMIFS(STAT4!$V$4:$V$138,STAT4!$X$4:$X$138,$I58)+SUMIFS(STAT4!$W$4:$W$138,STAT4!$X$4:$X$138,$I58)</f>
        <v>0</v>
      </c>
      <c r="I58" s="43">
        <v>1304</v>
      </c>
    </row>
    <row r="59" spans="1:9" ht="15" customHeight="1">
      <c r="A59" s="859" t="s">
        <v>154</v>
      </c>
      <c r="B59" s="939" t="s">
        <v>155</v>
      </c>
      <c r="C59" s="939"/>
      <c r="D59" s="864">
        <f>+SUMIFS(STAT1!$H$4:$H$138,STAT1!$X$4:$X$138,$I59)+SUMIFS(STAT1!$I$4:$I$138,STAT1!$X$4:$X$138,$I59)</f>
        <v>0</v>
      </c>
      <c r="E59" s="864">
        <f>+SUMIFS(STAT1!$V$4:$V$138,STAT1!$X$4:$X$138,$I59)+SUMIFS(STAT1!$W$4:$W$138,STAT1!$X$4:$X$138,$I59)</f>
        <v>0</v>
      </c>
      <c r="F59" s="864">
        <f>+SUMIFS(STAT2!$V$4:$V$138,STAT2!$X$4:$X$138,$I59)+SUMIFS(STAT2!$W$4:$W$138,STAT2!$X$4:$X$138,$I59)</f>
        <v>0</v>
      </c>
      <c r="G59" s="864">
        <f>+SUMIFS(STAT3!$V$4:$V$138,STAT3!$X$4:$X$138,$I59)+SUMIFS(STAT3!$W$4:$W$138,STAT3!$X$4:$X$138,$I59)</f>
        <v>0</v>
      </c>
      <c r="H59" s="865">
        <f>+SUMIFS(STAT4!$V$4:$V$138,STAT4!$X$4:$X$138,$I59)+SUMIFS(STAT4!$W$4:$W$138,STAT4!$X$4:$X$138,$I59)</f>
        <v>0</v>
      </c>
      <c r="I59" s="43">
        <v>1305</v>
      </c>
    </row>
    <row r="60" spans="1:9" ht="15" customHeight="1">
      <c r="A60" s="859" t="s">
        <v>156</v>
      </c>
      <c r="B60" s="939" t="s">
        <v>157</v>
      </c>
      <c r="C60" s="939"/>
      <c r="D60" s="864">
        <f>+SUMIFS(STAT1!$H$4:$H$138,STAT1!$X$4:$X$138,$I60)+SUMIFS(STAT1!$I$4:$I$138,STAT1!$X$4:$X$138,$I60)</f>
        <v>680931312.63</v>
      </c>
      <c r="E60" s="864">
        <f>+SUMIFS(STAT1!$V$4:$V$138,STAT1!$X$4:$X$138,$I60)+SUMIFS(STAT1!$W$4:$W$138,STAT1!$X$4:$X$138,$I60)</f>
        <v>680931312.63</v>
      </c>
      <c r="F60" s="864">
        <f>+SUMIFS(STAT2!$V$4:$V$138,STAT2!$X$4:$X$138,$I60)+SUMIFS(STAT2!$W$4:$W$138,STAT2!$X$4:$X$138,$I60)</f>
        <v>680931312.63</v>
      </c>
      <c r="G60" s="864">
        <f>+SUMIFS(STAT3!$V$4:$V$138,STAT3!$X$4:$X$138,$I60)+SUMIFS(STAT3!$W$4:$W$138,STAT3!$X$4:$X$138,$I60)</f>
        <v>680931312.63</v>
      </c>
      <c r="H60" s="865">
        <f>+SUMIFS(STAT4!$V$4:$V$138,STAT4!$X$4:$X$138,$I60)+SUMIFS(STAT4!$W$4:$W$138,STAT4!$X$4:$X$138,$I60)</f>
        <v>680931312.63</v>
      </c>
      <c r="I60" s="43">
        <v>1310</v>
      </c>
    </row>
    <row r="61" spans="1:9" ht="15" customHeight="1">
      <c r="A61" s="859" t="s">
        <v>158</v>
      </c>
      <c r="B61" s="939" t="s">
        <v>159</v>
      </c>
      <c r="C61" s="939"/>
      <c r="D61" s="864">
        <f>+SUMIFS(STAT1!$H$4:$H$138,STAT1!$X$4:$X$138,$I61)+SUMIFS(STAT1!$I$4:$I$138,STAT1!$X$4:$X$138,$I61)</f>
        <v>0</v>
      </c>
      <c r="E61" s="864">
        <f>+SUMIFS(STAT1!$V$4:$V$138,STAT1!$X$4:$X$138,$I61)+SUMIFS(STAT1!$W$4:$W$138,STAT1!$X$4:$X$138,$I61)</f>
        <v>0</v>
      </c>
      <c r="F61" s="864">
        <f>+SUMIFS(STAT2!$V$4:$V$138,STAT2!$X$4:$X$138,$I61)+SUMIFS(STAT2!$W$4:$W$138,STAT2!$X$4:$X$138,$I61)</f>
        <v>0</v>
      </c>
      <c r="G61" s="864">
        <f>+SUMIFS(STAT3!$V$4:$V$138,STAT3!$X$4:$X$138,$I61)+SUMIFS(STAT3!$W$4:$W$138,STAT3!$X$4:$X$138,$I61)</f>
        <v>0</v>
      </c>
      <c r="H61" s="865">
        <f>+SUMIFS(STAT4!$V$4:$V$138,STAT4!$X$4:$X$138,$I61)+SUMIFS(STAT4!$W$4:$W$138,STAT4!$X$4:$X$138,$I61)</f>
        <v>0</v>
      </c>
      <c r="I61" s="43">
        <v>1311</v>
      </c>
    </row>
    <row r="62" spans="1:9" ht="15" customHeight="1">
      <c r="A62" s="859" t="s">
        <v>160</v>
      </c>
      <c r="B62" s="939" t="s">
        <v>161</v>
      </c>
      <c r="C62" s="939"/>
      <c r="D62" s="864">
        <f>+SUMIFS(STAT1!$H$4:$H$138,STAT1!$X$4:$X$138,$I62)+SUMIFS(STAT1!$I$4:$I$138,STAT1!$X$4:$X$138,$I62)</f>
        <v>106378624.62</v>
      </c>
      <c r="E62" s="864">
        <f>+SUMIFS(STAT1!$V$4:$V$138,STAT1!$X$4:$X$138,$I62)+SUMIFS(STAT1!$W$4:$W$138,STAT1!$X$4:$X$138,$I62)</f>
        <v>106378624.62</v>
      </c>
      <c r="F62" s="864">
        <f>+SUMIFS(STAT2!$V$4:$V$138,STAT2!$X$4:$X$138,$I62)+SUMIFS(STAT2!$W$4:$W$138,STAT2!$X$4:$X$138,$I62)</f>
        <v>106378624.62</v>
      </c>
      <c r="G62" s="864">
        <f>+SUMIFS(STAT3!$V$4:$V$138,STAT3!$X$4:$X$138,$I62)+SUMIFS(STAT3!$W$4:$W$138,STAT3!$X$4:$X$138,$I62)</f>
        <v>106378624.62</v>
      </c>
      <c r="H62" s="865">
        <f>+SUMIFS(STAT4!$V$4:$V$138,STAT4!$X$4:$X$138,$I62)+SUMIFS(STAT4!$W$4:$W$138,STAT4!$X$4:$X$138,$I62)</f>
        <v>106378624.62</v>
      </c>
      <c r="I62" s="43">
        <v>1312</v>
      </c>
    </row>
    <row r="63" spans="1:9" ht="15" customHeight="1">
      <c r="A63" s="859" t="s">
        <v>162</v>
      </c>
      <c r="B63" s="943" t="s">
        <v>163</v>
      </c>
      <c r="C63" s="943"/>
      <c r="D63" s="864">
        <f>+SUMIFS(STAT1!$H$4:$H$138,STAT1!$X$4:$X$138,$I63)+SUMIFS(STAT1!$I$4:$I$138,STAT1!$X$4:$X$138,$I63)</f>
        <v>0</v>
      </c>
      <c r="E63" s="864">
        <f>+SUMIFS(STAT1!$V$4:$V$138,STAT1!$X$4:$X$138,$I63)+SUMIFS(STAT1!$W$4:$W$138,STAT1!$X$4:$X$138,$I63)</f>
        <v>0</v>
      </c>
      <c r="F63" s="864">
        <f>+SUMIFS(STAT2!$V$4:$V$138,STAT2!$X$4:$X$138,$I63)+SUMIFS(STAT2!$W$4:$W$138,STAT2!$X$4:$X$138,$I63)</f>
        <v>0</v>
      </c>
      <c r="G63" s="864">
        <f>+SUMIFS(STAT3!$V$4:$V$138,STAT3!$X$4:$X$138,$I63)+SUMIFS(STAT3!$W$4:$W$138,STAT3!$X$4:$X$138,$I63)</f>
        <v>0</v>
      </c>
      <c r="H63" s="865">
        <f>+SUMIFS(STAT4!$V$4:$V$138,STAT4!$X$4:$X$138,$I63)+SUMIFS(STAT4!$W$4:$W$138,STAT4!$X$4:$X$138,$I63)</f>
        <v>0</v>
      </c>
    </row>
    <row r="64" spans="1:9" ht="15" customHeight="1">
      <c r="A64" s="859" t="s">
        <v>164</v>
      </c>
      <c r="B64" s="944" t="s">
        <v>165</v>
      </c>
      <c r="C64" s="944"/>
      <c r="D64" s="864">
        <f>+SUMIFS(STAT1!$H$4:$H$138,STAT1!$X$4:$X$138,$I64)+SUMIFS(STAT1!$I$4:$I$138,STAT1!$X$4:$X$138,$I64)</f>
        <v>1214027657.6800001</v>
      </c>
      <c r="E64" s="864">
        <f>+SUMIFS(STAT1!$V$4:$V$138,STAT1!$X$4:$X$138,$I64)+SUMIFS(STAT1!$W$4:$W$138,STAT1!$X$4:$X$138,$I64)</f>
        <v>1038581855.8768401</v>
      </c>
      <c r="F64" s="864">
        <f>+SUMIFS(STAT2!$V$4:$V$138,STAT2!$X$4:$X$138,$I64)+SUMIFS(STAT2!$W$4:$W$138,STAT2!$X$4:$X$138,$I64)</f>
        <v>1038581855.8768401</v>
      </c>
      <c r="G64" s="864">
        <f>+SUMIFS(STAT3!$V$4:$V$138,STAT3!$X$4:$X$138,$I64)+SUMIFS(STAT3!$W$4:$W$138,STAT3!$X$4:$X$138,$I64)</f>
        <v>1038581855.8768401</v>
      </c>
      <c r="H64" s="865">
        <f>+SUMIFS(STAT4!$V$4:$V$138,STAT4!$X$4:$X$138,$I64)+SUMIFS(STAT4!$W$4:$W$138,STAT4!$X$4:$X$138,$I64)</f>
        <v>1038581855.8768401</v>
      </c>
      <c r="I64" s="43">
        <v>1313</v>
      </c>
    </row>
    <row r="65" spans="1:11" ht="15" customHeight="1">
      <c r="A65" s="859" t="s">
        <v>166</v>
      </c>
      <c r="B65" s="944" t="s">
        <v>167</v>
      </c>
      <c r="C65" s="944"/>
      <c r="D65" s="864">
        <f>+SUMIFS(STAT1!$H$4:$H$138,STAT1!$X$4:$X$138,$I65)*-1+SUMIFS(STAT1!$I$4:$I$138,STAT1!$X$4:$X$138,$I65)*-1</f>
        <v>-175445801.80316001</v>
      </c>
      <c r="E65" s="864">
        <f>-SUMIFS(STAT1!$V$4:$V$138,STAT1!$X$4:$X$138,$I65)+SUMIFS(STAT1!$W$4:$W$138,STAT1!$X$4:$X$138,$I65)</f>
        <v>-12027607.1802349</v>
      </c>
      <c r="F65" s="864">
        <f>+SUMIFS(STAT2!$V$4:$V$138,STAT2!$X$4:$X$138,$I65)*-1+SUMIFS(STAT2!$W$4:$W$138,STAT2!$X$4:$X$138,$I65)*-1</f>
        <v>-28003472.773861602</v>
      </c>
      <c r="G65" s="864">
        <f>+SUMIFS(STAT3!$V$4:$V$138,STAT3!$X$4:$X$138,$I65)*-1+SUMIFS(STAT3!$W$4:$W$138,STAT3!$X$4:$X$138,$I65)*-1</f>
        <v>-20991155.993861601</v>
      </c>
      <c r="H65" s="865">
        <f>+SUMIFS(STAT4!$V$4:$V$138,STAT4!$X$4:$X$138,$I65)*-1+SUMIFS(STAT4!$W$4:$W$138,STAT4!$X$4:$X$138,$I65)*-1</f>
        <v>-54118465.743854702</v>
      </c>
      <c r="I65" s="43">
        <v>1314</v>
      </c>
      <c r="J65" s="44"/>
    </row>
    <row r="66" spans="1:11" ht="15" customHeight="1">
      <c r="A66" s="859" t="s">
        <v>168</v>
      </c>
      <c r="B66" s="941" t="s">
        <v>169</v>
      </c>
      <c r="C66" s="941"/>
      <c r="D66" s="862">
        <f>+SUM(D55:D65)</f>
        <v>1856593774.52684</v>
      </c>
      <c r="E66" s="862">
        <f>+SUM(E55:E65)</f>
        <v>1844566167.3466053</v>
      </c>
      <c r="F66" s="862">
        <f>+SUM(F55:F65)</f>
        <v>1828590301.7529786</v>
      </c>
      <c r="G66" s="862">
        <f>+SUM(G55:G65)</f>
        <v>1835602618.5329785</v>
      </c>
      <c r="H66" s="863">
        <f>+SUM(H55:H65)</f>
        <v>1802475308.7829854</v>
      </c>
    </row>
    <row r="67" spans="1:11" ht="15" customHeight="1">
      <c r="A67" s="859" t="s">
        <v>170</v>
      </c>
      <c r="B67" s="941" t="s">
        <v>100</v>
      </c>
      <c r="C67" s="941"/>
      <c r="D67" s="862">
        <f>+D53+D66</f>
        <v>2220686355.4414711</v>
      </c>
      <c r="E67" s="862">
        <f>+E53+E66</f>
        <v>2192466772.3691735</v>
      </c>
      <c r="F67" s="862">
        <f>+F53+F66</f>
        <v>2164092174.8171005</v>
      </c>
      <c r="G67" s="862">
        <f t="shared" ref="G67:H67" si="5">+G53+G66</f>
        <v>2173233848.7711639</v>
      </c>
      <c r="H67" s="863">
        <f t="shared" si="5"/>
        <v>2084588037.1991765</v>
      </c>
      <c r="I67" s="44"/>
      <c r="K67" s="44"/>
    </row>
    <row r="68" spans="1:11" ht="15.75" customHeight="1">
      <c r="A68" s="857"/>
      <c r="B68" s="858"/>
      <c r="C68" s="858"/>
      <c r="D68" s="624">
        <f>+D30-D67</f>
        <v>4.7254562377929688E-4</v>
      </c>
      <c r="E68" s="624">
        <f>+E30-E67</f>
        <v>1.0542869567871094E-3</v>
      </c>
      <c r="F68" s="624">
        <f>+F30-F67</f>
        <v>1.9400596618652344E-2</v>
      </c>
      <c r="G68" s="624">
        <f>+G30-G67</f>
        <v>5.2165985107421875E-4</v>
      </c>
      <c r="H68" s="624">
        <f>+H30-H67</f>
        <v>-3.4062862396240234E-3</v>
      </c>
    </row>
    <row r="69" spans="1:11" ht="13.5" customHeight="1">
      <c r="A69" s="857"/>
      <c r="B69" s="938" t="str">
        <f>+'company '!B25</f>
        <v>Ерөнхий захирал</v>
      </c>
      <c r="C69" s="938"/>
      <c r="D69" s="867" t="s">
        <v>286</v>
      </c>
      <c r="E69" s="868"/>
      <c r="F69" s="869"/>
      <c r="G69" s="624"/>
      <c r="H69" s="868" t="str">
        <f>+'company '!C25</f>
        <v>/Д.Бахдамдэмбэрэл /</v>
      </c>
    </row>
    <row r="70" spans="1:11" ht="13.5" customHeight="1">
      <c r="A70" s="857"/>
      <c r="F70" s="870"/>
      <c r="H70" s="871"/>
      <c r="I70" s="871"/>
    </row>
    <row r="71" spans="1:11" ht="15" customHeight="1">
      <c r="B71" s="938" t="str">
        <f>+'company '!B28</f>
        <v>Нягтлан бодогч</v>
      </c>
      <c r="C71" s="938"/>
      <c r="D71" s="867" t="s">
        <v>286</v>
      </c>
      <c r="E71" s="870"/>
      <c r="F71" s="870"/>
      <c r="G71" s="870"/>
      <c r="H71" s="870" t="str">
        <f>+'company '!C28</f>
        <v>/Б.Түмэндэлгэр/</v>
      </c>
      <c r="I71" s="870"/>
    </row>
    <row r="72" spans="1:11" ht="15.75" customHeight="1"/>
    <row r="73" spans="1:11">
      <c r="A73" s="872"/>
      <c r="B73" s="942"/>
      <c r="C73" s="942"/>
      <c r="D73" s="872"/>
      <c r="E73" s="872"/>
      <c r="F73" s="872"/>
      <c r="G73" s="872"/>
      <c r="H73" s="873"/>
    </row>
  </sheetData>
  <sheetProtection password="DFC0" sheet="1" objects="1" scenarios="1"/>
  <mergeCells count="70">
    <mergeCell ref="B7:C7"/>
    <mergeCell ref="A2:B2"/>
    <mergeCell ref="A3:B3"/>
    <mergeCell ref="A4:H4"/>
    <mergeCell ref="B5:C5"/>
    <mergeCell ref="B6:C6"/>
    <mergeCell ref="B19:C19"/>
    <mergeCell ref="B8:C8"/>
    <mergeCell ref="B9:C9"/>
    <mergeCell ref="B10:C10"/>
    <mergeCell ref="B11:C11"/>
    <mergeCell ref="B12:C12"/>
    <mergeCell ref="B13:C13"/>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38:C38"/>
    <mergeCell ref="B39:C39"/>
    <mergeCell ref="B40:C40"/>
    <mergeCell ref="B41:C41"/>
    <mergeCell ref="B42:C42"/>
    <mergeCell ref="B33:C33"/>
    <mergeCell ref="B34:C34"/>
    <mergeCell ref="B35:C35"/>
    <mergeCell ref="B36:C36"/>
    <mergeCell ref="B37:C37"/>
    <mergeCell ref="B73:C73"/>
    <mergeCell ref="B67:C67"/>
    <mergeCell ref="B56:C56"/>
    <mergeCell ref="B57:C57"/>
    <mergeCell ref="B58:C58"/>
    <mergeCell ref="B59:C59"/>
    <mergeCell ref="B60:C60"/>
    <mergeCell ref="B61:C61"/>
    <mergeCell ref="B62:C62"/>
    <mergeCell ref="B63:C63"/>
    <mergeCell ref="B64:C64"/>
    <mergeCell ref="B65:C65"/>
    <mergeCell ref="B66:C66"/>
    <mergeCell ref="B69:C69"/>
    <mergeCell ref="A1:H1"/>
    <mergeCell ref="B71:C71"/>
    <mergeCell ref="B55:C55"/>
    <mergeCell ref="B44:C44"/>
    <mergeCell ref="B45:C45"/>
    <mergeCell ref="B46:C46"/>
    <mergeCell ref="B47:C47"/>
    <mergeCell ref="B48:C48"/>
    <mergeCell ref="B49:C49"/>
    <mergeCell ref="B50:C50"/>
    <mergeCell ref="B51:C51"/>
    <mergeCell ref="B52:C52"/>
    <mergeCell ref="B53:C53"/>
    <mergeCell ref="B54:C54"/>
    <mergeCell ref="B43:C43"/>
    <mergeCell ref="B32:C32"/>
  </mergeCells>
  <pageMargins left="0.7" right="0.7" top="0.75" bottom="0.75" header="0.3" footer="0.3"/>
  <pageSetup scale="88" fitToHeight="0" orientation="portrait" r:id="rId1"/>
  <ignoredErrors>
    <ignoredError sqref="A6:A19 A30:A32 A53:A54 A67" numberStoredAsText="1"/>
    <ignoredError sqref="E18 E19 G18:H18" formulaRange="1"/>
    <ignoredError sqref="D21:H21" formula="1"/>
  </ignoredErrors>
</worksheet>
</file>

<file path=xl/worksheets/sheet18.xml><?xml version="1.0" encoding="utf-8"?>
<worksheet xmlns="http://schemas.openxmlformats.org/spreadsheetml/2006/main" xmlns:r="http://schemas.openxmlformats.org/officeDocument/2006/relationships">
  <sheetPr>
    <tabColor rgb="FFFF0000"/>
    <pageSetUpPr fitToPage="1"/>
  </sheetPr>
  <dimension ref="A1:L51"/>
  <sheetViews>
    <sheetView topLeftCell="A4" zoomScaleSheetLayoutView="100" workbookViewId="0">
      <selection activeCell="D33" sqref="D33"/>
    </sheetView>
  </sheetViews>
  <sheetFormatPr defaultRowHeight="12.75" outlineLevelCol="1"/>
  <cols>
    <col min="1" max="1" width="8.140625" style="43" customWidth="1"/>
    <col min="2" max="2" width="22" style="43" customWidth="1"/>
    <col min="3" max="3" width="20.85546875" style="43" customWidth="1"/>
    <col min="4" max="4" width="18.28515625" style="126" customWidth="1"/>
    <col min="5" max="5" width="17.7109375" style="126" hidden="1" customWidth="1" outlineLevel="1"/>
    <col min="6" max="8" width="18.7109375" style="43" hidden="1" customWidth="1" outlineLevel="1"/>
    <col min="9" max="9" width="19.5703125" style="43" customWidth="1" collapsed="1"/>
    <col min="10" max="10" width="12.5703125" style="72" bestFit="1" customWidth="1"/>
    <col min="11" max="11" width="9.140625" style="43"/>
    <col min="12" max="12" width="12.85546875" style="43" bestFit="1" customWidth="1"/>
    <col min="13" max="16384" width="9.140625" style="43"/>
  </cols>
  <sheetData>
    <row r="1" spans="1:12" s="46" customFormat="1" ht="15" customHeight="1">
      <c r="A1" s="43"/>
      <c r="B1" s="43"/>
      <c r="C1" s="43"/>
      <c r="D1" s="217"/>
      <c r="E1" s="217"/>
      <c r="F1" s="169"/>
      <c r="G1" s="169"/>
      <c r="H1" s="169"/>
      <c r="I1" s="43"/>
      <c r="J1" s="114"/>
    </row>
    <row r="2" spans="1:12" ht="14.25" customHeight="1">
      <c r="A2" s="955" t="s">
        <v>949</v>
      </c>
      <c r="B2" s="955"/>
      <c r="C2" s="955"/>
      <c r="D2" s="955"/>
      <c r="E2" s="955"/>
      <c r="F2" s="955"/>
      <c r="G2" s="955"/>
      <c r="H2" s="955"/>
      <c r="I2" s="955"/>
    </row>
    <row r="3" spans="1:12" ht="14.25" customHeight="1">
      <c r="A3" s="954" t="str">
        <f>+'company '!C6</f>
        <v>ШИНЭСТ ХК</v>
      </c>
      <c r="B3" s="954"/>
      <c r="D3" s="217"/>
      <c r="E3" s="217"/>
      <c r="F3" s="169"/>
      <c r="G3" s="169"/>
      <c r="H3" s="169"/>
    </row>
    <row r="4" spans="1:12" ht="14.25" customHeight="1">
      <c r="A4" s="956" t="s">
        <v>45</v>
      </c>
      <c r="B4" s="956"/>
      <c r="C4" s="201"/>
      <c r="D4" s="218" t="s">
        <v>46</v>
      </c>
      <c r="E4" s="218"/>
      <c r="F4" s="219"/>
      <c r="G4" s="219"/>
      <c r="H4" s="219"/>
      <c r="I4" s="35" t="str">
        <f>+'company '!C23</f>
        <v>2017.01.01-2017.12.31</v>
      </c>
    </row>
    <row r="5" spans="1:12" ht="29.25" customHeight="1">
      <c r="B5" s="35"/>
      <c r="C5" s="35"/>
      <c r="D5" s="218"/>
      <c r="E5" s="218"/>
      <c r="F5" s="220"/>
      <c r="G5" s="220"/>
      <c r="H5" s="220"/>
      <c r="I5" s="201" t="s">
        <v>47</v>
      </c>
      <c r="J5" s="115"/>
    </row>
    <row r="6" spans="1:12" ht="45.75" customHeight="1">
      <c r="A6" s="203" t="s">
        <v>48</v>
      </c>
      <c r="B6" s="957" t="s">
        <v>49</v>
      </c>
      <c r="C6" s="957"/>
      <c r="D6" s="237" t="s">
        <v>272</v>
      </c>
      <c r="E6" s="236" t="s">
        <v>263</v>
      </c>
      <c r="F6" s="236" t="s">
        <v>264</v>
      </c>
      <c r="G6" s="236" t="s">
        <v>265</v>
      </c>
      <c r="H6" s="236" t="s">
        <v>266</v>
      </c>
      <c r="I6" s="236" t="s">
        <v>948</v>
      </c>
      <c r="J6" s="178" t="s">
        <v>0</v>
      </c>
    </row>
    <row r="7" spans="1:12" ht="15.75" customHeight="1">
      <c r="A7" s="202" t="s">
        <v>50</v>
      </c>
      <c r="B7" s="953" t="s">
        <v>898</v>
      </c>
      <c r="C7" s="953"/>
      <c r="D7" s="227">
        <v>458303751.75</v>
      </c>
      <c r="E7" s="226">
        <f>+SUMIFS(STAT1!$T$140:$T$214,STAT1!$X$140:$X$214,J7)+SUMIFS(STAT1!$U$140:$U$214,STAT1!$X$140:$X$214,J7)</f>
        <v>96284190.895838708</v>
      </c>
      <c r="F7" s="224">
        <f>+SUMIFS(STAT2!$T$140:$T$214,STAT2!$X$140:$X$214,J7)+SUMIFS(STAT2!$U$140:$U$214,STAT2!$X$140:$X$214,J7)</f>
        <v>73670719.972442955</v>
      </c>
      <c r="G7" s="224">
        <f>+SUMIFS(STAT3!$T$140:$T$214,STAT3!$X$140:$X$214,J7)+SUMIFS(STAT3!$U$140:$U$214,STAT3!$X$140:$X$214,J7)</f>
        <v>183677220.68320629</v>
      </c>
      <c r="H7" s="405">
        <f>+SUMIFS(STAT4!$T$140:$T$214,STAT4!$X$140:$X$214,J7)+SUMIFS(STAT4!$U$140:$U$214,STAT4!$X$140:$X$214,J7)</f>
        <v>73877894.603636369</v>
      </c>
      <c r="I7" s="224">
        <f>SUM(E7:H7)</f>
        <v>427510026.15512431</v>
      </c>
      <c r="J7" s="72">
        <v>5101</v>
      </c>
      <c r="L7" s="44"/>
    </row>
    <row r="8" spans="1:12" ht="15.75" customHeight="1">
      <c r="A8" s="202" t="s">
        <v>99</v>
      </c>
      <c r="B8" s="953" t="s">
        <v>899</v>
      </c>
      <c r="C8" s="953"/>
      <c r="D8" s="221">
        <v>271139823.25999999</v>
      </c>
      <c r="E8" s="222">
        <f>+SUMIFS(STAT1!$T$140:$T$214,STAT1!$X$140:$X$214,J8)+SUMIFS(STAT1!$U$140:$U$214,STAT1!$X$140:$X$214,J8)</f>
        <v>64711364.002043262</v>
      </c>
      <c r="F8" s="223">
        <f>+SUMIFS(STAT2!$T$140:$T$214,STAT2!$X$140:$X$214,J8)+SUMIFS(STAT2!$U$140:$U$214,STAT2!$X$140:$X$214,J8)</f>
        <v>48733270.699951157</v>
      </c>
      <c r="G8" s="223">
        <f>+SUMIFS(STAT3!$T$140:$T$214,STAT3!$X$140:$X$214,J8)+SUMIFS(STAT3!$U$140:$U$214,STAT3!$X$140:$X$214,J8)</f>
        <v>139247133.06729245</v>
      </c>
      <c r="H8" s="405">
        <f>+SUMIFS(STAT4!$T$140:$T$214,STAT4!$X$140:$X$214,J8)+SUMIFS(STAT4!$U$140:$U$214,STAT4!$X$140:$X$214,J8)</f>
        <v>57959864.787902206</v>
      </c>
      <c r="I8" s="223">
        <f t="shared" ref="I8:I32" si="0">SUM(E8:H8)</f>
        <v>310651632.55718911</v>
      </c>
      <c r="J8" s="72">
        <v>6101</v>
      </c>
      <c r="L8" s="44"/>
    </row>
    <row r="9" spans="1:12" ht="15.75" customHeight="1">
      <c r="A9" s="225" t="s">
        <v>171</v>
      </c>
      <c r="B9" s="951" t="s">
        <v>900</v>
      </c>
      <c r="C9" s="951"/>
      <c r="D9" s="226">
        <f t="shared" ref="D9:H9" si="1">+D7-D8</f>
        <v>187163928.49000001</v>
      </c>
      <c r="E9" s="226">
        <f t="shared" si="1"/>
        <v>31572826.893795446</v>
      </c>
      <c r="F9" s="224">
        <f t="shared" si="1"/>
        <v>24937449.272491798</v>
      </c>
      <c r="G9" s="224">
        <f t="shared" si="1"/>
        <v>44430087.615913838</v>
      </c>
      <c r="H9" s="224">
        <f t="shared" si="1"/>
        <v>15918029.815734163</v>
      </c>
      <c r="I9" s="224">
        <f>+I7-I8</f>
        <v>116858393.5979352</v>
      </c>
    </row>
    <row r="10" spans="1:12" ht="15.75" customHeight="1">
      <c r="A10" s="202" t="s">
        <v>172</v>
      </c>
      <c r="B10" s="953" t="s">
        <v>901</v>
      </c>
      <c r="C10" s="953"/>
      <c r="D10" s="221"/>
      <c r="E10" s="222">
        <f>+SUMIFS(STAT1!$T$140:$T$214,STAT1!$X$140:$X$214,J10)+SUMIFS(STAT1!$U$140:$U$214,STAT1!$X$140:$X$214,J10)</f>
        <v>0</v>
      </c>
      <c r="F10" s="223">
        <f>+SUMIFS(STAT2!$T$140:$T$214,STAT2!$X$140:$X$214,J10)+SUMIFS(STAT2!$U$140:$U$214,STAT2!$X$140:$X$214,J10)</f>
        <v>0</v>
      </c>
      <c r="G10" s="223">
        <f>+SUMIFS(STAT3!$T$140:$T$214,STAT3!$X$140:$X$214,J10)+SUMIFS(STAT3!$U$140:$U$214,STAT3!$X$140:$X$214,J10)</f>
        <v>0</v>
      </c>
      <c r="H10" s="405">
        <f>+SUMIFS(STAT4!$T$140:$T$214,STAT4!$X$140:$X$214,J10)+SUMIFS(STAT4!$U$140:$U$214,STAT4!$X$140:$X$214,J10)</f>
        <v>0</v>
      </c>
      <c r="I10" s="224">
        <f t="shared" si="0"/>
        <v>0</v>
      </c>
      <c r="J10" s="72">
        <v>5113</v>
      </c>
    </row>
    <row r="11" spans="1:12" ht="15.75" customHeight="1">
      <c r="A11" s="202" t="s">
        <v>173</v>
      </c>
      <c r="B11" s="953" t="s">
        <v>902</v>
      </c>
      <c r="C11" s="953"/>
      <c r="D11" s="221">
        <v>8727.52</v>
      </c>
      <c r="E11" s="222">
        <f>+SUMIFS(STAT1!$T$140:$T$214,STAT1!$X$140:$X$214,J11)+SUMIFS(STAT1!$U$140:$U$214,STAT1!$X$140:$X$214,J11)</f>
        <v>0</v>
      </c>
      <c r="F11" s="223">
        <f>+SUMIFS(STAT2!$T$140:$T$214,STAT2!$X$140:$X$214,J11)+SUMIFS(STAT2!$U$140:$U$214,STAT2!$X$140:$X$214,J11)</f>
        <v>0</v>
      </c>
      <c r="G11" s="223">
        <f>+SUMIFS(STAT3!$T$140:$T$214,STAT3!$X$140:$X$214,J11)+SUMIFS(STAT3!$U$140:$U$214,STAT3!$X$140:$X$214,J11)</f>
        <v>0</v>
      </c>
      <c r="H11" s="405">
        <f>+SUMIFS(STAT4!$T$140:$T$214,STAT4!$X$140:$X$214,J11)+SUMIFS(STAT4!$U$140:$U$214,STAT4!$X$140:$X$214,J11)</f>
        <v>0</v>
      </c>
      <c r="I11" s="224">
        <f t="shared" si="0"/>
        <v>0</v>
      </c>
      <c r="J11" s="72">
        <v>5112</v>
      </c>
    </row>
    <row r="12" spans="1:12" ht="15.75" customHeight="1">
      <c r="A12" s="202" t="s">
        <v>174</v>
      </c>
      <c r="B12" s="953" t="s">
        <v>903</v>
      </c>
      <c r="C12" s="953"/>
      <c r="D12" s="221"/>
      <c r="E12" s="222">
        <f>+SUMIFS(STAT1!$T$140:$T$214,STAT1!$X$140:$X$214,J12)+SUMIFS(STAT1!$U$140:$U$214,STAT1!$X$140:$X$214,J12)</f>
        <v>0</v>
      </c>
      <c r="F12" s="223">
        <f>+SUMIFS(STAT2!$T$140:$T$214,STAT2!$X$140:$X$214,J12)+SUMIFS(STAT2!$U$140:$U$214,STAT2!$X$140:$X$214,J12)</f>
        <v>0</v>
      </c>
      <c r="G12" s="223">
        <f>+SUMIFS(STAT3!$T$140:$T$214,STAT3!$X$140:$X$214,J12)+SUMIFS(STAT3!$U$140:$U$214,STAT3!$X$140:$X$214,J12)</f>
        <v>0</v>
      </c>
      <c r="H12" s="405">
        <f>+SUMIFS(STAT4!$T$140:$T$214,STAT4!$X$140:$X$214,J12)+SUMIFS(STAT4!$U$140:$U$214,STAT4!$X$140:$X$214,J12)</f>
        <v>0</v>
      </c>
      <c r="I12" s="224">
        <f>SUM(E12:H12)</f>
        <v>0</v>
      </c>
      <c r="J12" s="72">
        <v>5114</v>
      </c>
    </row>
    <row r="13" spans="1:12" ht="15.75" customHeight="1">
      <c r="A13" s="202" t="s">
        <v>904</v>
      </c>
      <c r="B13" s="953" t="s">
        <v>905</v>
      </c>
      <c r="C13" s="953"/>
      <c r="D13" s="221"/>
      <c r="E13" s="222">
        <f>+SUMIFS(STAT1!$T$140:$T$214,STAT1!$X$140:$X$214,J13)+SUMIFS(STAT1!$U$140:$U$214,STAT1!$X$140:$X$214,J13)</f>
        <v>0</v>
      </c>
      <c r="F13" s="223">
        <f>+SUMIFS(STAT2!$T$140:$T$214,STAT2!$X$140:$X$214,J13)+SUMIFS(STAT2!$U$140:$U$214,STAT2!$X$140:$X$214,J13)</f>
        <v>0</v>
      </c>
      <c r="G13" s="223">
        <f>+SUMIFS(STAT3!$T$140:$T$214,STAT3!$X$140:$X$214,J13)+SUMIFS(STAT3!$U$140:$U$214,STAT3!$X$140:$X$214,J13)</f>
        <v>0</v>
      </c>
      <c r="H13" s="405">
        <f>+SUMIFS(STAT4!$T$140:$T$214,STAT4!$X$140:$X$214,J13)+SUMIFS(STAT4!$U$140:$U$214,STAT4!$X$140:$X$214,J13)</f>
        <v>0</v>
      </c>
      <c r="I13" s="224">
        <f t="shared" si="0"/>
        <v>0</v>
      </c>
      <c r="J13" s="72">
        <v>5115</v>
      </c>
    </row>
    <row r="14" spans="1:12" ht="15.75" customHeight="1">
      <c r="A14" s="202" t="s">
        <v>906</v>
      </c>
      <c r="B14" s="953" t="s">
        <v>907</v>
      </c>
      <c r="C14" s="953"/>
      <c r="D14" s="221"/>
      <c r="E14" s="222">
        <f>+SUMIFS(STAT1!$T$140:$T$214,STAT1!$X$140:$X$214,J14)+SUMIFS(STAT1!$U$140:$U$214,STAT1!$X$140:$X$214,J14)</f>
        <v>0</v>
      </c>
      <c r="F14" s="223">
        <f>+SUMIFS(STAT2!$T$140:$T$214,STAT2!$X$140:$X$214,J14)+SUMIFS(STAT2!$U$140:$U$214,STAT2!$X$140:$X$214,J14)</f>
        <v>0</v>
      </c>
      <c r="G14" s="223">
        <f>+SUMIFS(STAT3!$T$140:$T$214,STAT3!$X$140:$X$214,J14)+SUMIFS(STAT3!$U$140:$U$214,STAT3!$X$140:$X$214,J14)</f>
        <v>0</v>
      </c>
      <c r="H14" s="405">
        <f>+SUMIFS(STAT4!$T$140:$T$214,STAT4!$X$140:$X$214,J14)+SUMIFS(STAT4!$U$140:$U$214,STAT4!$X$140:$X$214,J14)</f>
        <v>0</v>
      </c>
      <c r="I14" s="224">
        <f t="shared" si="0"/>
        <v>0</v>
      </c>
      <c r="J14" s="72">
        <v>5111</v>
      </c>
    </row>
    <row r="15" spans="1:12" ht="15.75" customHeight="1">
      <c r="A15" s="202" t="s">
        <v>908</v>
      </c>
      <c r="B15" s="953" t="s">
        <v>909</v>
      </c>
      <c r="C15" s="953"/>
      <c r="D15" s="221"/>
      <c r="E15" s="222">
        <f>+SUMIFS(STAT1!$T$140:$T$214,STAT1!$X$140:$X$214,J15)+SUMIFS(STAT1!$U$140:$U$214,STAT1!$X$140:$X$214,J15)</f>
        <v>0</v>
      </c>
      <c r="F15" s="223"/>
      <c r="G15" s="223">
        <f>+SUMIFS(STAT3!$T$140:$T$214,STAT3!$X$140:$X$214,J15)+SUMIFS(STAT3!$U$140:$U$214,STAT3!$X$140:$X$214,J15)</f>
        <v>0</v>
      </c>
      <c r="H15" s="405">
        <f>+SUMIFS(STAT4!$T$140:$T$214,STAT4!$X$140:$X$214,J15)+SUMIFS(STAT4!$U$140:$U$214,STAT4!$X$140:$X$214,J15)</f>
        <v>0</v>
      </c>
      <c r="I15" s="224">
        <f t="shared" si="0"/>
        <v>0</v>
      </c>
      <c r="J15" s="72">
        <v>7001</v>
      </c>
    </row>
    <row r="16" spans="1:12" ht="15.75" customHeight="1">
      <c r="A16" s="202" t="s">
        <v>910</v>
      </c>
      <c r="B16" s="953" t="s">
        <v>911</v>
      </c>
      <c r="C16" s="953"/>
      <c r="D16" s="221">
        <v>365530299.16299999</v>
      </c>
      <c r="E16" s="222">
        <f>+SUMIFS(STAT1!$T$140:$T$214,STAT1!$X$140:$X$214,J16)+SUMIFS(STAT1!$U$140:$U$214,STAT1!$X$140:$X$214,J16)</f>
        <v>43352142.717030302</v>
      </c>
      <c r="F16" s="223">
        <f>+SUMIFS(STAT2!$T$140:$T$214,STAT2!$X$140:$X$214,J16)+SUMIFS(STAT2!$U$140:$U$214,STAT2!$X$140:$X$214,J16)+SUMIFS(STAT2!$T$140:$T$214,STAT2!$X$140:$X$214,J15)+SUMIFS(STAT2!$U$140:$U$214,STAT2!$X$140:$X$214,J15)</f>
        <v>40888396.836118512</v>
      </c>
      <c r="G16" s="223">
        <f>+SUMIFS(STAT3!$T$140:$T$214,STAT3!$X$140:$X$214,J16)+SUMIFS(STAT3!$U$140:$U$214,STAT3!$X$140:$X$214,J16)</f>
        <v>37548796.349846676</v>
      </c>
      <c r="H16" s="405">
        <f>+SUMIFS(STAT4!$T$140:$T$214,STAT4!$X$140:$X$214,J16)+SUMIFS(STAT4!$U$140:$U$214,STAT4!$X$140:$X$214,J16)</f>
        <v>48819133.132727273</v>
      </c>
      <c r="I16" s="224">
        <f>SUM(E16:H16)</f>
        <v>170608469.03572276</v>
      </c>
      <c r="J16" s="72">
        <v>7002</v>
      </c>
      <c r="L16" s="44"/>
    </row>
    <row r="17" spans="1:12" ht="15.75" customHeight="1">
      <c r="A17" s="202" t="s">
        <v>912</v>
      </c>
      <c r="B17" s="953" t="s">
        <v>913</v>
      </c>
      <c r="C17" s="953"/>
      <c r="D17" s="221"/>
      <c r="E17" s="222">
        <f>+SUMIFS(STAT1!$T$140:$T$214,STAT1!$X$140:$X$214,J17)+SUMIFS(STAT1!$U$140:$U$214,STAT1!$X$140:$X$214,J17)</f>
        <v>0</v>
      </c>
      <c r="F17" s="223">
        <f>+SUMIFS(STAT2!$T$140:$T$214,STAT2!$X$140:$X$214,J17)+SUMIFS(STAT2!$U$140:$U$214,STAT2!$X$140:$X$214,J17)</f>
        <v>0</v>
      </c>
      <c r="G17" s="223">
        <f>+SUMIFS(STAT3!$T$140:$T$214,STAT3!$X$140:$X$214,J17)+SUMIFS(STAT3!$U$140:$U$214,STAT3!$X$140:$X$214,J17)</f>
        <v>0</v>
      </c>
      <c r="H17" s="405">
        <f>+SUMIFS(STAT4!$T$140:$T$214,STAT4!$X$140:$X$214,J17)+SUMIFS(STAT4!$U$140:$U$214,STAT4!$X$140:$X$214,J17)</f>
        <v>0</v>
      </c>
      <c r="I17" s="224">
        <f t="shared" si="0"/>
        <v>0</v>
      </c>
      <c r="J17" s="72">
        <v>7201</v>
      </c>
    </row>
    <row r="18" spans="1:12" ht="15.75" customHeight="1">
      <c r="A18" s="202" t="s">
        <v>914</v>
      </c>
      <c r="B18" s="953" t="s">
        <v>915</v>
      </c>
      <c r="C18" s="953"/>
      <c r="D18" s="221"/>
      <c r="E18" s="222">
        <f>+SUMIFS(STAT1!$T$140:$T$214,STAT1!$X$140:$X$214,J18)+SUMIFS(STAT1!$U$140:$U$214,STAT1!$X$140:$X$214,J18)</f>
        <v>0</v>
      </c>
      <c r="F18" s="223">
        <f>+SUMIFS(STAT2!$T$140:$T$214,STAT2!$X$140:$X$214,J18)+SUMIFS(STAT2!$U$140:$U$214,STAT2!$X$140:$X$214,J18)</f>
        <v>0</v>
      </c>
      <c r="G18" s="223">
        <f>+SUMIFS(STAT3!$T$140:$T$214,STAT3!$X$140:$X$214,J18)+SUMIFS(STAT3!$U$140:$U$214,STAT3!$X$140:$X$214,J18)</f>
        <v>0</v>
      </c>
      <c r="H18" s="405">
        <f>+SUMIFS(STAT4!$T$140:$T$214,STAT4!$X$140:$X$214,J18)+SUMIFS(STAT4!$U$140:$U$214,STAT4!$X$140:$X$214,J18)</f>
        <v>0</v>
      </c>
      <c r="I18" s="224">
        <f t="shared" si="0"/>
        <v>0</v>
      </c>
      <c r="J18" s="72">
        <v>7202</v>
      </c>
    </row>
    <row r="19" spans="1:12" ht="15.75" customHeight="1">
      <c r="A19" s="202" t="s">
        <v>916</v>
      </c>
      <c r="B19" s="953" t="s">
        <v>917</v>
      </c>
      <c r="C19" s="953"/>
      <c r="D19" s="221">
        <v>2912714.06</v>
      </c>
      <c r="E19" s="222">
        <f>+SUMIFS(STAT1!$T$140:$T$214,STAT1!$X$140:$X$214,J19)-SUMIFS(STAT1!$U$140:$U$214,STAT1!$X$140:$X$214,J19)</f>
        <v>-248291.35699999999</v>
      </c>
      <c r="F19" s="223">
        <f>+SUMIFS(STAT2!$T$140:$T$214,STAT2!$X$140:$X$214,J19)-SUMIFS(STAT2!$U$140:$U$214,STAT2!$X$140:$X$214,J19)</f>
        <v>-24918.03</v>
      </c>
      <c r="G19" s="223">
        <f>+SUMIFS(STAT3!$T$140:$T$214,STAT3!$X$140:$X$214,J19)-SUMIFS(STAT3!$U$140:$U$214,STAT3!$X$140:$X$214,J19)</f>
        <v>131025.51</v>
      </c>
      <c r="H19" s="576">
        <f>+SUMIFS(STAT4!$T$140:$T$214,STAT4!$X$140:$X$214,J19)-SUMIFS(STAT4!$U$140:$U$214,STAT4!$X$140:$X$214,J19)</f>
        <v>-226206.43299999999</v>
      </c>
      <c r="I19" s="224">
        <f>SUM(E19:H19)</f>
        <v>-368390.30999999994</v>
      </c>
      <c r="J19" s="72">
        <v>8401</v>
      </c>
      <c r="L19" s="44"/>
    </row>
    <row r="20" spans="1:12" ht="15.75" customHeight="1">
      <c r="A20" s="225" t="s">
        <v>918</v>
      </c>
      <c r="B20" s="950" t="s">
        <v>919</v>
      </c>
      <c r="C20" s="950"/>
      <c r="D20" s="221">
        <v>0</v>
      </c>
      <c r="E20" s="222">
        <f>+SUMIFS(STAT1!$T$140:$T$214,STAT1!$X$140:$X$214,J20)+SUMIFS(STAT1!$U$140:$U$214,STAT1!$X$140:$X$214,J20)</f>
        <v>0</v>
      </c>
      <c r="F20" s="223">
        <f>+SUMIFS(STAT2!$T$140:$T$214,STAT2!$X$140:$X$214,J20)+SUMIFS(STAT2!$U$140:$U$214,STAT2!$X$140:$X$214,J20)</f>
        <v>0</v>
      </c>
      <c r="G20" s="223">
        <f>+SUMIFS(STAT3!$T$140:$T$214,STAT3!$X$140:$X$214,J20)+SUMIFS(STAT3!$U$140:$U$214,STAT3!$X$140:$X$214,J20)</f>
        <v>0</v>
      </c>
      <c r="H20" s="405">
        <f>+SUMIFS(STAT4!$T$140:$T$214,STAT4!$X$140:$X$214,J20)+SUMIFS(STAT4!$U$140:$U$214,STAT4!$X$140:$X$214,J20)</f>
        <v>0</v>
      </c>
      <c r="I20" s="224">
        <f t="shared" si="0"/>
        <v>0</v>
      </c>
      <c r="J20" s="72">
        <v>8402</v>
      </c>
    </row>
    <row r="21" spans="1:12" ht="15.75" customHeight="1">
      <c r="A21" s="202" t="s">
        <v>920</v>
      </c>
      <c r="B21" s="950" t="s">
        <v>921</v>
      </c>
      <c r="C21" s="950"/>
      <c r="D21" s="221">
        <v>0</v>
      </c>
      <c r="E21" s="222">
        <f>+SUMIFS(STAT1!$T$140:$T$214,STAT1!$X$140:$X$214,J21)+SUMIFS(STAT1!$U$140:$U$214,STAT1!$X$140:$X$214,J21)</f>
        <v>0</v>
      </c>
      <c r="F21" s="223">
        <f>+SUMIFS(STAT2!$T$140:$T$214,STAT2!$X$140:$X$214,J21)+SUMIFS(STAT2!$U$140:$U$214,STAT2!$X$140:$X$214,J21)</f>
        <v>0</v>
      </c>
      <c r="G21" s="223">
        <f>+SUMIFS(STAT3!$T$140:$T$214,STAT3!$X$140:$X$214,J21)+SUMIFS(STAT3!$U$140:$U$214,STAT3!$X$140:$X$214,J21)</f>
        <v>0</v>
      </c>
      <c r="H21" s="405">
        <f>+SUMIFS(STAT4!$T$140:$T$214,STAT4!$X$140:$X$214,J21)+SUMIFS(STAT4!$U$140:$U$214,STAT4!$X$140:$X$214,J21)</f>
        <v>0</v>
      </c>
      <c r="I21" s="224">
        <f t="shared" si="0"/>
        <v>0</v>
      </c>
      <c r="J21" s="72">
        <v>8405</v>
      </c>
    </row>
    <row r="22" spans="1:12" ht="36" customHeight="1">
      <c r="A22" s="202" t="s">
        <v>922</v>
      </c>
      <c r="B22" s="950" t="s">
        <v>923</v>
      </c>
      <c r="C22" s="950"/>
      <c r="D22" s="221">
        <v>0</v>
      </c>
      <c r="E22" s="222">
        <f>+SUMIFS(STAT1!$T$140:$T$214,STAT1!$X$140:$X$214,J22)+SUMIFS(STAT1!$U$140:$U$214,STAT1!$X$140:$X$214,J22)</f>
        <v>0</v>
      </c>
      <c r="F22" s="223">
        <f>+SUMIFS(STAT2!$T$140:$T$214,STAT2!$X$140:$X$214,J22)+SUMIFS(STAT2!$U$140:$U$214,STAT2!$X$140:$X$214,J22)</f>
        <v>0</v>
      </c>
      <c r="G22" s="223">
        <f>+SUMIFS(STAT3!$T$140:$T$214,STAT3!$X$140:$X$214,J22)+SUMIFS(STAT3!$U$140:$U$214,STAT3!$X$140:$X$214,J22)</f>
        <v>0</v>
      </c>
      <c r="H22" s="405">
        <f>+SUMIFS(STAT4!$T$140:$T$214,STAT4!$X$140:$X$214,J22)+SUMIFS(STAT4!$U$140:$U$214,STAT4!$X$140:$X$214,J22)</f>
        <v>0</v>
      </c>
      <c r="I22" s="224">
        <f t="shared" si="0"/>
        <v>0</v>
      </c>
      <c r="J22" s="72">
        <v>8409</v>
      </c>
    </row>
    <row r="23" spans="1:12" ht="15.75" customHeight="1">
      <c r="A23" s="202" t="s">
        <v>924</v>
      </c>
      <c r="B23" s="950" t="s">
        <v>925</v>
      </c>
      <c r="C23" s="950"/>
      <c r="D23" s="221">
        <v>0</v>
      </c>
      <c r="E23" s="222">
        <f>+SUMIFS(STAT1!$T$140:$T$214,STAT1!$X$140:$X$214,J23)+SUMIFS(STAT1!$U$140:$U$214,STAT1!$X$140:$X$214,J23)</f>
        <v>0</v>
      </c>
      <c r="F23" s="223">
        <f>+SUMIFS(STAT2!$T$140:$T$214,STAT2!$X$140:$X$214,J23)+SUMIFS(STAT2!$U$140:$U$214,STAT2!$X$140:$X$214,J23)</f>
        <v>0</v>
      </c>
      <c r="G23" s="223">
        <f>+SUMIFS(STAT3!$T$140:$T$214,STAT3!$X$140:$X$214,J23)+SUMIFS(STAT3!$U$140:$U$214,STAT3!$X$140:$X$214,J23)</f>
        <v>0</v>
      </c>
      <c r="H23" s="405">
        <f>+SUMIFS(STAT4!$T$140:$T$214,STAT4!$X$140:$X$214,J23)+SUMIFS(STAT4!$U$140:$U$214,STAT4!$X$140:$X$214,J23)</f>
        <v>0</v>
      </c>
      <c r="I23" s="224">
        <f t="shared" si="0"/>
        <v>0</v>
      </c>
      <c r="J23" s="72">
        <v>8400</v>
      </c>
    </row>
    <row r="24" spans="1:12" ht="15.75" customHeight="1">
      <c r="A24" s="225" t="s">
        <v>926</v>
      </c>
      <c r="B24" s="951" t="s">
        <v>927</v>
      </c>
      <c r="C24" s="951"/>
      <c r="D24" s="226">
        <v>-175444929.04673156</v>
      </c>
      <c r="E24" s="226">
        <f t="shared" ref="E24:F24" si="2">+E9+E10+E11+E12+E13+E14-E15-E16-E17-E18+E19+E20+E21+E22+E23</f>
        <v>-12027607.180234857</v>
      </c>
      <c r="F24" s="226">
        <f t="shared" si="2"/>
        <v>-15975865.593626713</v>
      </c>
      <c r="G24" s="226">
        <f>+G9+G10+G11+G12+G13+G14-G15-G16-G17-G18+G19+G20+G21+G22+G23</f>
        <v>7012316.7760671619</v>
      </c>
      <c r="H24" s="226">
        <f>+H9+H10+H11+H12+H13+H14-H15-H16-H17-H18+H19+H20+H21+H22+H23</f>
        <v>-33127309.749993108</v>
      </c>
      <c r="I24" s="226">
        <f>+I9+I10+I11+I12+I13+I14-I15-I16-I17-I18+I19+I20+I21+I22+I23</f>
        <v>-54118465.747787565</v>
      </c>
    </row>
    <row r="25" spans="1:12" ht="15.75" customHeight="1">
      <c r="A25" s="202" t="s">
        <v>928</v>
      </c>
      <c r="B25" s="950" t="s">
        <v>929</v>
      </c>
      <c r="C25" s="950"/>
      <c r="D25" s="222">
        <v>872.75</v>
      </c>
      <c r="E25" s="222">
        <f>+SUMIFS(STAT1!$T$140:$T$214,STAT1!$X$140:$X$214,J25)+SUMIFS(STAT1!$U$140:$U$214,STAT1!$X$140:$X$214,J25)</f>
        <v>0</v>
      </c>
      <c r="F25" s="223">
        <f>+SUMIFS(STAT2!$T$140:$T$214,STAT2!$X$140:$X$214,J25)+SUMIFS(STAT2!$U$140:$U$214,STAT2!$X$140:$X$214,J25)</f>
        <v>0</v>
      </c>
      <c r="G25" s="223">
        <f>+SUMIFS(STAT3!$T$140:$T$214,STAT3!$X$140:$X$214,J25)+SUMIFS(STAT3!$U$140:$U$214,STAT3!$X$140:$X$214,J25)</f>
        <v>0</v>
      </c>
      <c r="H25" s="405">
        <f>+SUMIFS(STAT4!$T$140:$T$214,STAT4!$X$140:$X$214,J25)+SUMIFS(STAT4!$U$140:$U$214,STAT4!$X$140:$X$214,J25)</f>
        <v>0</v>
      </c>
      <c r="I25" s="224">
        <f>SUM(E25:H25)</f>
        <v>0</v>
      </c>
      <c r="J25" s="72">
        <v>9101</v>
      </c>
    </row>
    <row r="26" spans="1:12" ht="15.75" customHeight="1">
      <c r="A26" s="225" t="s">
        <v>930</v>
      </c>
      <c r="B26" s="951" t="s">
        <v>931</v>
      </c>
      <c r="C26" s="951"/>
      <c r="D26" s="226">
        <v>-175445801.79873157</v>
      </c>
      <c r="E26" s="226">
        <f t="shared" ref="E26:I26" si="3">+E24-E25</f>
        <v>-12027607.180234857</v>
      </c>
      <c r="F26" s="226">
        <f t="shared" si="3"/>
        <v>-15975865.593626713</v>
      </c>
      <c r="G26" s="226">
        <f t="shared" si="3"/>
        <v>7012316.7760671619</v>
      </c>
      <c r="H26" s="226">
        <f t="shared" si="3"/>
        <v>-33127309.749993108</v>
      </c>
      <c r="I26" s="226">
        <f t="shared" si="3"/>
        <v>-54118465.747787565</v>
      </c>
    </row>
    <row r="27" spans="1:12" ht="27.75" customHeight="1">
      <c r="A27" s="202" t="s">
        <v>932</v>
      </c>
      <c r="B27" s="951" t="s">
        <v>933</v>
      </c>
      <c r="C27" s="951"/>
      <c r="D27" s="227"/>
      <c r="E27" s="222">
        <f>+SUMIFS(STAT1!$T$114:$T$188,STAT1!$X$114:$X$188,J27)+SUMIFS(STAT1!$U$114:$U$188,STAT1!$X$114:$X$188,J27)</f>
        <v>0</v>
      </c>
      <c r="F27" s="223">
        <f>+SUMIFS(STAT2!$T$113:$T$187,STAT2!$X$113:$X$187,J27)+SUMIFS(STAT2!$U$113:$U$187,STAT2!$X$113:$X$187,J27)</f>
        <v>0</v>
      </c>
      <c r="G27" s="223">
        <f>+SUMIFS(STAT3!$T$140:$T$187,STAT3!$X$140:$X$187,L27)+SUMIFS(STAT3!$U$187:$U$214,STAT3!$X$187:$X$214,L27)</f>
        <v>0</v>
      </c>
      <c r="H27" s="223">
        <f>+SUMIFS(STAT4!$T$113:$T$187,STAT4!$X$113:$X$187,M27)+SUMIFS(STAT4!$U$113:$U$187,STAT4!$X$113:$X$187,M27)</f>
        <v>0</v>
      </c>
      <c r="I27" s="224">
        <f t="shared" si="0"/>
        <v>0</v>
      </c>
    </row>
    <row r="28" spans="1:12" ht="15.75" customHeight="1">
      <c r="A28" s="225" t="s">
        <v>934</v>
      </c>
      <c r="B28" s="951" t="s">
        <v>935</v>
      </c>
      <c r="C28" s="951"/>
      <c r="D28" s="226">
        <v>-175445801.79873157</v>
      </c>
      <c r="E28" s="226">
        <f t="shared" ref="E28:I28" si="4">+E26+E27</f>
        <v>-12027607.180234857</v>
      </c>
      <c r="F28" s="226">
        <f t="shared" si="4"/>
        <v>-15975865.593626713</v>
      </c>
      <c r="G28" s="226">
        <f t="shared" si="4"/>
        <v>7012316.7760671619</v>
      </c>
      <c r="H28" s="226">
        <f t="shared" si="4"/>
        <v>-33127309.749993108</v>
      </c>
      <c r="I28" s="226">
        <f t="shared" si="4"/>
        <v>-54118465.747787565</v>
      </c>
    </row>
    <row r="29" spans="1:12" ht="15.75" customHeight="1">
      <c r="A29" s="202" t="s">
        <v>936</v>
      </c>
      <c r="B29" s="950" t="s">
        <v>937</v>
      </c>
      <c r="C29" s="950"/>
      <c r="D29" s="257"/>
      <c r="E29" s="222">
        <f>+SUMIFS(STAT1!$T$114:$T$188,STAT1!$X$114:$X$188,J29)+SUMIFS(STAT1!$U$114:$U$188,STAT1!$X$114:$X$188,J29)</f>
        <v>0</v>
      </c>
      <c r="F29" s="223">
        <f>+SUMIFS(STAT2!$T$113:$T$187,STAT2!$X$113:$X$187,J29)+SUMIFS(STAT2!$U$113:$U$187,STAT2!$X$113:$X$187,J29)</f>
        <v>0</v>
      </c>
      <c r="G29" s="223">
        <f>+SUMIFS(STAT3!$T$113:$T$140,STAT3!$X$113:$X$140,L29)+SUMIFS(STAT3!$U$113:$U$214,STAT3!$X$113:$X$214,L29)</f>
        <v>0</v>
      </c>
      <c r="H29" s="223">
        <f>+SUMIFS(STAT4!$T$113:$T$187,STAT4!$X$113:$X$187,M29)+SUMIFS(STAT4!$U$113:$U$187,STAT4!$X$113:$X$187,M29)</f>
        <v>0</v>
      </c>
      <c r="I29" s="224">
        <f t="shared" si="0"/>
        <v>0</v>
      </c>
    </row>
    <row r="30" spans="1:12" ht="15.75" customHeight="1">
      <c r="A30" s="202" t="s">
        <v>938</v>
      </c>
      <c r="B30" s="950" t="s">
        <v>939</v>
      </c>
      <c r="C30" s="950"/>
      <c r="D30" s="221"/>
      <c r="E30" s="222">
        <f>+SUMIFS(STAT1!$T$114:$T$188,STAT1!$X$114:$X$188,J30)+SUMIFS(STAT1!$U$114:$U$188,STAT1!$X$114:$X$188,J30)</f>
        <v>0</v>
      </c>
      <c r="F30" s="223">
        <f>+SUMIFS(STAT2!$T$113:$T$187,STAT2!$X$113:$X$187,J30)+SUMIFS(STAT2!$U$113:$U$187,STAT2!$X$113:$X$187,J30)</f>
        <v>0</v>
      </c>
      <c r="G30" s="223">
        <f>+SUMIFS(STAT3!$T$113:$T$140,STAT3!$X$113:$X$140,L30)+SUMIFS(STAT3!$U$113:$U$214,STAT3!$X$113:$X$214,L30)</f>
        <v>0</v>
      </c>
      <c r="H30" s="223">
        <f>+SUMIFS(STAT4!$T$113:$T$187,STAT4!$X$113:$X$187,M30)+SUMIFS(STAT4!$U$113:$U$187,STAT4!$X$113:$X$187,M30)</f>
        <v>0</v>
      </c>
      <c r="I30" s="224">
        <f t="shared" si="0"/>
        <v>0</v>
      </c>
    </row>
    <row r="31" spans="1:12" ht="15.75" customHeight="1">
      <c r="A31" s="202" t="s">
        <v>940</v>
      </c>
      <c r="B31" s="950" t="s">
        <v>941</v>
      </c>
      <c r="C31" s="950"/>
      <c r="D31" s="221"/>
      <c r="E31" s="222">
        <f>+SUMIFS(STAT1!$T$114:$T$188,STAT1!$X$114:$X$188,J31)+SUMIFS(STAT1!$U$114:$U$188,STAT1!$X$114:$X$188,J31)</f>
        <v>0</v>
      </c>
      <c r="F31" s="223">
        <f>+SUMIFS(STAT2!$T$113:$T$187,STAT2!$X$113:$X$187,J31)+SUMIFS(STAT2!$U$113:$U$187,STAT2!$X$113:$X$187,J31)</f>
        <v>0</v>
      </c>
      <c r="G31" s="223">
        <f>+SUMIFS(STAT3!$T$113:$T$140,STAT3!$X$113:$X$140,L31)+SUMIFS(STAT3!$U$113:$U$214,STAT3!$X$113:$X$214,L31)</f>
        <v>0</v>
      </c>
      <c r="H31" s="223">
        <f>+SUMIFS(STAT4!$T$113:$T$187,STAT4!$X$113:$X$187,M31)+SUMIFS(STAT4!$U$113:$U$187,STAT4!$X$113:$X$187,M31)</f>
        <v>0</v>
      </c>
      <c r="I31" s="224">
        <f t="shared" si="0"/>
        <v>0</v>
      </c>
    </row>
    <row r="32" spans="1:12" ht="15.75" customHeight="1">
      <c r="A32" s="202" t="s">
        <v>942</v>
      </c>
      <c r="B32" s="950" t="s">
        <v>943</v>
      </c>
      <c r="C32" s="950"/>
      <c r="D32" s="221"/>
      <c r="E32" s="222">
        <f>+SUMIFS(STAT1!$T$114:$T$188,STAT1!$X$114:$X$188,J32)+SUMIFS(STAT1!$U$114:$U$188,STAT1!$X$114:$X$188,J32)</f>
        <v>0</v>
      </c>
      <c r="F32" s="223">
        <f>+SUMIFS(STAT2!$T$113:$T$187,STAT2!$X$113:$X$187,J32)+SUMIFS(STAT2!$U$113:$U$187,STAT2!$X$113:$X$187,J3)</f>
        <v>0</v>
      </c>
      <c r="G32" s="223">
        <f>+SUMIFS(STAT3!$T$113:$T$140,STAT3!$X$113:$X$140,L32)+SUMIFS(STAT3!$U$113:$U$214,STAT3!$X$113:$X$214,L32)</f>
        <v>0</v>
      </c>
      <c r="H32" s="223">
        <f>+SUMIFS(STAT4!$T$113:$T$187,STAT4!$X$113:$X$187,M32)+SUMIFS(STAT4!$U$113:$U$187,STAT4!$X$113:$X$187,M32)</f>
        <v>0</v>
      </c>
      <c r="I32" s="224">
        <f t="shared" si="0"/>
        <v>0</v>
      </c>
      <c r="J32" s="116"/>
    </row>
    <row r="33" spans="1:11" ht="15.75" customHeight="1">
      <c r="A33" s="225" t="s">
        <v>944</v>
      </c>
      <c r="B33" s="951" t="s">
        <v>945</v>
      </c>
      <c r="C33" s="951"/>
      <c r="D33" s="226">
        <v>-175445801.79873157</v>
      </c>
      <c r="E33" s="226">
        <f t="shared" ref="E33:H33" si="5">SUM(E28:E32)</f>
        <v>-12027607.180234857</v>
      </c>
      <c r="F33" s="226">
        <f t="shared" si="5"/>
        <v>-15975865.593626713</v>
      </c>
      <c r="G33" s="226">
        <f t="shared" si="5"/>
        <v>7012316.7760671619</v>
      </c>
      <c r="H33" s="226">
        <f t="shared" si="5"/>
        <v>-33127309.749993108</v>
      </c>
      <c r="I33" s="226">
        <f>SUM(I28:I32)</f>
        <v>-54118465.747787565</v>
      </c>
      <c r="J33" s="180"/>
      <c r="K33" s="44"/>
    </row>
    <row r="34" spans="1:11" ht="15.75" customHeight="1">
      <c r="A34" s="202" t="s">
        <v>946</v>
      </c>
      <c r="B34" s="952" t="s">
        <v>947</v>
      </c>
      <c r="C34" s="952"/>
      <c r="D34" s="227"/>
      <c r="E34" s="227"/>
      <c r="F34" s="228"/>
      <c r="G34" s="228"/>
      <c r="H34" s="228"/>
      <c r="I34" s="229"/>
    </row>
    <row r="35" spans="1:11" ht="15" customHeight="1">
      <c r="E35" s="238">
        <f>+STAT1!T138</f>
        <v>12027607.1802349</v>
      </c>
      <c r="F35" s="239">
        <f>+STAT2!T138</f>
        <v>15975865.5936267</v>
      </c>
      <c r="G35" s="239">
        <f>+STAT3!U138</f>
        <v>7012316.7800000003</v>
      </c>
      <c r="H35" s="239">
        <f>+STAT4!T138</f>
        <v>33127309.749993101</v>
      </c>
      <c r="I35" s="44">
        <f>+I33-BS!H65</f>
        <v>-3.9328634738922119E-3</v>
      </c>
    </row>
    <row r="36" spans="1:11" ht="15" customHeight="1">
      <c r="E36" s="407">
        <f>+E35+E33</f>
        <v>4.2840838432312012E-8</v>
      </c>
      <c r="F36" s="407">
        <f>+F35+F33</f>
        <v>0</v>
      </c>
      <c r="G36" s="238">
        <f>+G35-G33</f>
        <v>3.9328383281826973E-3</v>
      </c>
      <c r="H36" s="238">
        <f>+H33+H35</f>
        <v>0</v>
      </c>
      <c r="I36" s="44"/>
    </row>
    <row r="37" spans="1:11" ht="15" customHeight="1">
      <c r="A37" s="949" t="str">
        <f>+'company '!B25</f>
        <v>Ерөнхий захирал</v>
      </c>
      <c r="B37" s="949"/>
      <c r="C37" s="38" t="s">
        <v>286</v>
      </c>
      <c r="D37" s="34" t="str">
        <f>+'company '!C25</f>
        <v>/Д.Бахдамдэмбэрэл /</v>
      </c>
      <c r="E37" s="34"/>
      <c r="F37" s="34"/>
      <c r="G37" s="34"/>
      <c r="H37" s="34"/>
    </row>
    <row r="38" spans="1:11" ht="15" customHeight="1"/>
    <row r="39" spans="1:11" ht="15" customHeight="1">
      <c r="A39" s="949" t="str">
        <f>+'company '!B28</f>
        <v>Нягтлан бодогч</v>
      </c>
      <c r="B39" s="949"/>
      <c r="C39" s="38" t="s">
        <v>286</v>
      </c>
      <c r="D39" s="34" t="str">
        <f>+'company '!C28</f>
        <v>/Б.Түмэндэлгэр/</v>
      </c>
      <c r="E39" s="34"/>
      <c r="F39" s="34"/>
      <c r="G39" s="34"/>
      <c r="H39" s="34"/>
    </row>
    <row r="40" spans="1:11" ht="15" customHeight="1"/>
    <row r="41" spans="1:11" ht="15" customHeight="1"/>
    <row r="42" spans="1:11" ht="15" customHeight="1"/>
    <row r="43" spans="1:11" ht="15" customHeight="1"/>
    <row r="44" spans="1:11" ht="15" customHeight="1"/>
    <row r="45" spans="1:11" ht="15" customHeight="1"/>
    <row r="46" spans="1:11" ht="15" customHeight="1"/>
    <row r="47" spans="1:11" ht="15" customHeight="1"/>
    <row r="48" spans="1:11" ht="23.25" customHeight="1"/>
    <row r="49" ht="24" customHeight="1"/>
    <row r="50" ht="21" customHeight="1"/>
    <row r="51" ht="14.25" customHeight="1"/>
  </sheetData>
  <sheetProtection password="DFC0" sheet="1" objects="1" scenarios="1"/>
  <mergeCells count="34">
    <mergeCell ref="B13:C13"/>
    <mergeCell ref="B14:C14"/>
    <mergeCell ref="B8:C8"/>
    <mergeCell ref="B9:C9"/>
    <mergeCell ref="B10:C10"/>
    <mergeCell ref="B11:C11"/>
    <mergeCell ref="B12:C12"/>
    <mergeCell ref="A3:B3"/>
    <mergeCell ref="A2:I2"/>
    <mergeCell ref="A4:B4"/>
    <mergeCell ref="B6:C6"/>
    <mergeCell ref="B7:C7"/>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A37:B37"/>
    <mergeCell ref="A39:B39"/>
    <mergeCell ref="B30:C30"/>
    <mergeCell ref="B31:C31"/>
    <mergeCell ref="B32:C32"/>
    <mergeCell ref="B33:C33"/>
    <mergeCell ref="B34:C34"/>
  </mergeCells>
  <pageMargins left="0.7" right="0.4" top="0.75" bottom="0.75" header="0.3" footer="0.3"/>
  <pageSetup orientation="portrait" r:id="rId1"/>
  <ignoredErrors>
    <ignoredError sqref="I8 I10:I11 I20:I23 I17:I18 I13:I15" formulaRange="1"/>
    <ignoredError sqref="A7:A34" numberStoredAsText="1"/>
    <ignoredError sqref="E9:F9 G9:I9 H27 I26 E30:F32 E28:I28 E27:F27 E29:F29 H29 H30:H32 I24 E24:H24" formula="1"/>
    <ignoredError sqref="I27 I29:I32" formula="1" formulaRange="1"/>
  </ignoredErrors>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L32"/>
  <sheetViews>
    <sheetView view="pageBreakPreview" topLeftCell="A8" zoomScaleSheetLayoutView="100" workbookViewId="0">
      <selection activeCell="E25" sqref="E25"/>
    </sheetView>
  </sheetViews>
  <sheetFormatPr defaultRowHeight="12.75"/>
  <cols>
    <col min="1" max="1" width="4.140625" style="43" customWidth="1"/>
    <col min="2" max="2" width="34.140625" style="43" customWidth="1"/>
    <col min="3" max="3" width="12.28515625" style="43" customWidth="1"/>
    <col min="4" max="4" width="9.5703125" style="43" customWidth="1"/>
    <col min="5" max="5" width="11" style="43" customWidth="1"/>
    <col min="6" max="6" width="12.42578125" style="43" customWidth="1"/>
    <col min="7" max="7" width="9.85546875" style="43" customWidth="1"/>
    <col min="8" max="8" width="12.5703125" style="43" bestFit="1" customWidth="1"/>
    <col min="9" max="9" width="13.85546875" style="43" customWidth="1"/>
    <col min="10" max="10" width="13.42578125" style="43" customWidth="1"/>
    <col min="11" max="11" width="14.28515625" style="43" bestFit="1" customWidth="1"/>
    <col min="12" max="12" width="12.5703125" style="43" bestFit="1" customWidth="1"/>
    <col min="13" max="16384" width="9.140625" style="43"/>
  </cols>
  <sheetData>
    <row r="1" spans="1:12" ht="19.5">
      <c r="A1" s="955" t="s">
        <v>175</v>
      </c>
      <c r="B1" s="955"/>
      <c r="C1" s="955"/>
      <c r="D1" s="955"/>
      <c r="E1" s="955"/>
      <c r="F1" s="955"/>
      <c r="G1" s="955"/>
      <c r="H1" s="955"/>
      <c r="I1" s="955"/>
      <c r="J1" s="955"/>
    </row>
    <row r="2" spans="1:12">
      <c r="A2" s="954" t="str">
        <f>+'company '!C6</f>
        <v>ШИНЭСТ ХК</v>
      </c>
      <c r="B2" s="954"/>
      <c r="H2" s="420" t="s">
        <v>46</v>
      </c>
      <c r="I2" s="45" t="str">
        <f>+'company '!C23</f>
        <v>2017.01.01-2017.12.31</v>
      </c>
    </row>
    <row r="3" spans="1:12">
      <c r="A3" s="956" t="s">
        <v>45</v>
      </c>
      <c r="B3" s="956"/>
      <c r="C3" s="35"/>
      <c r="D3" s="35"/>
      <c r="E3" s="35"/>
      <c r="F3" s="35"/>
      <c r="G3" s="35"/>
      <c r="H3" s="35"/>
      <c r="I3" s="35"/>
      <c r="J3" s="420" t="s">
        <v>47</v>
      </c>
    </row>
    <row r="4" spans="1:12" ht="51">
      <c r="A4" s="66"/>
      <c r="B4" s="66" t="s">
        <v>49</v>
      </c>
      <c r="C4" s="66" t="s">
        <v>176</v>
      </c>
      <c r="D4" s="66" t="s">
        <v>177</v>
      </c>
      <c r="E4" s="66" t="s">
        <v>178</v>
      </c>
      <c r="F4" s="66" t="s">
        <v>179</v>
      </c>
      <c r="G4" s="66" t="s">
        <v>180</v>
      </c>
      <c r="H4" s="66" t="s">
        <v>181</v>
      </c>
      <c r="I4" s="66" t="s">
        <v>182</v>
      </c>
      <c r="J4" s="66" t="s">
        <v>183</v>
      </c>
    </row>
    <row r="5" spans="1:12">
      <c r="A5" s="69">
        <v>1</v>
      </c>
      <c r="B5" s="421" t="s">
        <v>273</v>
      </c>
      <c r="C5" s="291"/>
      <c r="D5" s="67"/>
      <c r="E5" s="67"/>
      <c r="F5" s="291"/>
      <c r="G5" s="291"/>
      <c r="H5" s="291"/>
      <c r="I5" s="292"/>
      <c r="J5" s="291">
        <f>SUM(C5:I5)</f>
        <v>0</v>
      </c>
    </row>
    <row r="6" spans="1:12" ht="25.5">
      <c r="A6" s="69">
        <f>+A5+1</f>
        <v>2</v>
      </c>
      <c r="B6" s="293" t="s">
        <v>184</v>
      </c>
      <c r="C6" s="291"/>
      <c r="D6" s="67"/>
      <c r="E6" s="67"/>
      <c r="F6" s="291"/>
      <c r="G6" s="291"/>
      <c r="H6" s="291"/>
      <c r="I6" s="292"/>
      <c r="J6" s="291"/>
    </row>
    <row r="7" spans="1:12">
      <c r="A7" s="69">
        <f t="shared" ref="A7:A27" si="0">+A6+1</f>
        <v>3</v>
      </c>
      <c r="B7" s="421" t="s">
        <v>185</v>
      </c>
      <c r="C7" s="291"/>
      <c r="D7" s="67"/>
      <c r="E7" s="67"/>
      <c r="F7" s="291"/>
      <c r="G7" s="291"/>
      <c r="H7" s="291"/>
      <c r="I7" s="292"/>
      <c r="J7" s="291"/>
    </row>
    <row r="8" spans="1:12">
      <c r="A8" s="69">
        <f t="shared" si="0"/>
        <v>4</v>
      </c>
      <c r="B8" s="293" t="s">
        <v>267</v>
      </c>
      <c r="C8" s="291"/>
      <c r="D8" s="67"/>
      <c r="E8" s="67"/>
      <c r="F8" s="291"/>
      <c r="G8" s="291"/>
      <c r="H8" s="291"/>
      <c r="I8" s="292"/>
      <c r="J8" s="291"/>
    </row>
    <row r="9" spans="1:12">
      <c r="A9" s="69">
        <f t="shared" si="0"/>
        <v>5</v>
      </c>
      <c r="B9" s="293" t="s">
        <v>268</v>
      </c>
      <c r="C9" s="291"/>
      <c r="D9" s="67"/>
      <c r="E9" s="67"/>
      <c r="F9" s="291"/>
      <c r="G9" s="291"/>
      <c r="H9" s="291"/>
      <c r="I9" s="292"/>
      <c r="J9" s="291"/>
    </row>
    <row r="10" spans="1:12">
      <c r="A10" s="69">
        <f t="shared" si="0"/>
        <v>6</v>
      </c>
      <c r="B10" s="293" t="s">
        <v>269</v>
      </c>
      <c r="C10" s="291"/>
      <c r="D10" s="67"/>
      <c r="E10" s="67"/>
      <c r="F10" s="291"/>
      <c r="G10" s="291"/>
      <c r="H10" s="291"/>
      <c r="I10" s="292"/>
      <c r="J10" s="291"/>
    </row>
    <row r="11" spans="1:12">
      <c r="A11" s="69">
        <f t="shared" si="0"/>
        <v>7</v>
      </c>
      <c r="B11" s="293" t="s">
        <v>270</v>
      </c>
      <c r="C11" s="291"/>
      <c r="D11" s="67"/>
      <c r="E11" s="67"/>
      <c r="F11" s="291"/>
      <c r="G11" s="291"/>
      <c r="H11" s="291"/>
      <c r="I11" s="292"/>
      <c r="J11" s="291"/>
    </row>
    <row r="12" spans="1:12">
      <c r="A12" s="69">
        <f t="shared" si="0"/>
        <v>8</v>
      </c>
      <c r="B12" s="293" t="s">
        <v>186</v>
      </c>
      <c r="C12" s="291"/>
      <c r="D12" s="67"/>
      <c r="E12" s="67"/>
      <c r="F12" s="291"/>
      <c r="G12" s="291"/>
      <c r="H12" s="291"/>
      <c r="I12" s="292"/>
      <c r="J12" s="291"/>
    </row>
    <row r="13" spans="1:12">
      <c r="A13" s="69">
        <f t="shared" si="0"/>
        <v>9</v>
      </c>
      <c r="B13" s="293" t="s">
        <v>187</v>
      </c>
      <c r="C13" s="291"/>
      <c r="D13" s="67"/>
      <c r="E13" s="67"/>
      <c r="F13" s="291"/>
      <c r="G13" s="291"/>
      <c r="H13" s="291"/>
      <c r="I13" s="292"/>
      <c r="J13" s="291"/>
    </row>
    <row r="14" spans="1:12">
      <c r="A14" s="69">
        <f t="shared" si="0"/>
        <v>10</v>
      </c>
      <c r="B14" s="293" t="s">
        <v>188</v>
      </c>
      <c r="C14" s="291"/>
      <c r="D14" s="67"/>
      <c r="E14" s="67"/>
      <c r="F14" s="291"/>
      <c r="G14" s="291"/>
      <c r="H14" s="291"/>
      <c r="I14" s="292"/>
      <c r="J14" s="291"/>
    </row>
    <row r="15" spans="1:12" ht="25.5">
      <c r="A15" s="69">
        <f t="shared" si="0"/>
        <v>11</v>
      </c>
      <c r="B15" s="293" t="s">
        <v>189</v>
      </c>
      <c r="C15" s="291"/>
      <c r="D15" s="67"/>
      <c r="E15" s="67"/>
      <c r="F15" s="291"/>
      <c r="G15" s="291"/>
      <c r="H15" s="291"/>
      <c r="I15" s="292"/>
      <c r="J15" s="291"/>
    </row>
    <row r="16" spans="1:12">
      <c r="A16" s="69">
        <f t="shared" si="0"/>
        <v>12</v>
      </c>
      <c r="B16" s="421" t="s">
        <v>275</v>
      </c>
      <c r="C16" s="291">
        <f>+BS!D56</f>
        <v>30701981.399999999</v>
      </c>
      <c r="D16" s="294">
        <f>+BS!D58</f>
        <v>0</v>
      </c>
      <c r="E16" s="294">
        <f>+BS!D59</f>
        <v>0</v>
      </c>
      <c r="F16" s="291">
        <f>+BS!D60</f>
        <v>680931312.63</v>
      </c>
      <c r="G16" s="291">
        <f>+BS!D61</f>
        <v>0</v>
      </c>
      <c r="H16" s="291">
        <f>+BS!D62</f>
        <v>106378624.62</v>
      </c>
      <c r="I16" s="292">
        <f>+BS!D64+BS!D65</f>
        <v>1038581855.8768401</v>
      </c>
      <c r="J16" s="291">
        <f>SUM(C16:I16)</f>
        <v>1856593774.5268402</v>
      </c>
      <c r="K16" s="44">
        <f>+BS!D66</f>
        <v>1856593774.52684</v>
      </c>
      <c r="L16" s="179">
        <f>+K16-J16</f>
        <v>0</v>
      </c>
    </row>
    <row r="17" spans="1:12" ht="25.5">
      <c r="A17" s="69">
        <f t="shared" si="0"/>
        <v>13</v>
      </c>
      <c r="B17" s="293" t="s">
        <v>184</v>
      </c>
      <c r="C17" s="291"/>
      <c r="D17" s="67"/>
      <c r="E17" s="67"/>
      <c r="F17" s="291"/>
      <c r="G17" s="291"/>
      <c r="H17" s="291"/>
      <c r="I17" s="291"/>
      <c r="J17" s="291">
        <f>SUM(C17:I17)</f>
        <v>0</v>
      </c>
    </row>
    <row r="18" spans="1:12">
      <c r="A18" s="69">
        <f t="shared" si="0"/>
        <v>14</v>
      </c>
      <c r="B18" s="421" t="s">
        <v>185</v>
      </c>
      <c r="C18" s="291"/>
      <c r="D18" s="67"/>
      <c r="E18" s="67"/>
      <c r="F18" s="291"/>
      <c r="G18" s="291"/>
      <c r="H18" s="291"/>
      <c r="I18" s="292"/>
      <c r="J18" s="291">
        <f t="shared" ref="J18:J26" si="1">SUM(C18:I18)</f>
        <v>0</v>
      </c>
    </row>
    <row r="19" spans="1:12">
      <c r="A19" s="69">
        <f t="shared" si="0"/>
        <v>15</v>
      </c>
      <c r="B19" s="293" t="s">
        <v>267</v>
      </c>
      <c r="C19" s="291"/>
      <c r="D19" s="67"/>
      <c r="E19" s="67"/>
      <c r="F19" s="291"/>
      <c r="G19" s="291"/>
      <c r="H19" s="291"/>
      <c r="I19" s="292">
        <f>+IS!E28</f>
        <v>-12027607.180234857</v>
      </c>
      <c r="J19" s="291">
        <f t="shared" si="1"/>
        <v>-12027607.180234857</v>
      </c>
    </row>
    <row r="20" spans="1:12">
      <c r="A20" s="69">
        <f t="shared" si="0"/>
        <v>16</v>
      </c>
      <c r="B20" s="293" t="s">
        <v>268</v>
      </c>
      <c r="C20" s="291"/>
      <c r="D20" s="67"/>
      <c r="E20" s="67"/>
      <c r="F20" s="291"/>
      <c r="G20" s="291"/>
      <c r="H20" s="291"/>
      <c r="I20" s="292">
        <f>+IS!F28</f>
        <v>-15975865.593626713</v>
      </c>
      <c r="J20" s="291">
        <f t="shared" si="1"/>
        <v>-15975865.593626713</v>
      </c>
    </row>
    <row r="21" spans="1:12">
      <c r="A21" s="69">
        <f t="shared" si="0"/>
        <v>17</v>
      </c>
      <c r="B21" s="293" t="s">
        <v>269</v>
      </c>
      <c r="C21" s="291"/>
      <c r="D21" s="67"/>
      <c r="E21" s="67"/>
      <c r="F21" s="291"/>
      <c r="G21" s="291"/>
      <c r="H21" s="291"/>
      <c r="I21" s="292">
        <f>+IS!G28</f>
        <v>7012316.7760671619</v>
      </c>
      <c r="J21" s="291">
        <f t="shared" si="1"/>
        <v>7012316.7760671619</v>
      </c>
    </row>
    <row r="22" spans="1:12">
      <c r="A22" s="69">
        <f t="shared" si="0"/>
        <v>18</v>
      </c>
      <c r="B22" s="293" t="s">
        <v>270</v>
      </c>
      <c r="C22" s="291"/>
      <c r="D22" s="67"/>
      <c r="E22" s="67"/>
      <c r="F22" s="291"/>
      <c r="G22" s="291"/>
      <c r="H22" s="291"/>
      <c r="I22" s="292">
        <f>+IS!H28</f>
        <v>-33127309.749993108</v>
      </c>
      <c r="J22" s="291">
        <f t="shared" si="1"/>
        <v>-33127309.749993108</v>
      </c>
    </row>
    <row r="23" spans="1:12">
      <c r="A23" s="69">
        <f t="shared" si="0"/>
        <v>19</v>
      </c>
      <c r="B23" s="293" t="s">
        <v>186</v>
      </c>
      <c r="C23" s="291"/>
      <c r="D23" s="67"/>
      <c r="E23" s="67"/>
      <c r="F23" s="291"/>
      <c r="G23" s="291"/>
      <c r="H23" s="291"/>
      <c r="I23" s="292"/>
      <c r="J23" s="291">
        <f t="shared" si="1"/>
        <v>0</v>
      </c>
    </row>
    <row r="24" spans="1:12">
      <c r="A24" s="69">
        <f t="shared" si="0"/>
        <v>20</v>
      </c>
      <c r="B24" s="293" t="s">
        <v>187</v>
      </c>
      <c r="C24" s="291"/>
      <c r="D24" s="67"/>
      <c r="E24" s="67"/>
      <c r="F24" s="291"/>
      <c r="G24" s="291"/>
      <c r="H24" s="291"/>
      <c r="I24" s="292"/>
      <c r="J24" s="291">
        <f t="shared" si="1"/>
        <v>0</v>
      </c>
    </row>
    <row r="25" spans="1:12">
      <c r="A25" s="69">
        <f t="shared" si="0"/>
        <v>21</v>
      </c>
      <c r="B25" s="293" t="s">
        <v>188</v>
      </c>
      <c r="C25" s="291"/>
      <c r="D25" s="67"/>
      <c r="E25" s="67"/>
      <c r="F25" s="291"/>
      <c r="G25" s="291"/>
      <c r="H25" s="291"/>
      <c r="I25" s="292"/>
      <c r="J25" s="291">
        <f t="shared" si="1"/>
        <v>0</v>
      </c>
    </row>
    <row r="26" spans="1:12" ht="25.5">
      <c r="A26" s="69">
        <f t="shared" si="0"/>
        <v>22</v>
      </c>
      <c r="B26" s="293" t="s">
        <v>189</v>
      </c>
      <c r="C26" s="291"/>
      <c r="D26" s="67"/>
      <c r="E26" s="67"/>
      <c r="F26" s="291"/>
      <c r="G26" s="291"/>
      <c r="H26" s="291"/>
      <c r="I26" s="292"/>
      <c r="J26" s="291">
        <f t="shared" si="1"/>
        <v>0</v>
      </c>
    </row>
    <row r="27" spans="1:12">
      <c r="A27" s="69">
        <f t="shared" si="0"/>
        <v>23</v>
      </c>
      <c r="B27" s="421" t="s">
        <v>274</v>
      </c>
      <c r="C27" s="291">
        <f>SUM(C16:C26)</f>
        <v>30701981.399999999</v>
      </c>
      <c r="D27" s="294">
        <f t="shared" ref="D27:G27" si="2">SUM(D16:D26)</f>
        <v>0</v>
      </c>
      <c r="E27" s="294">
        <f t="shared" si="2"/>
        <v>0</v>
      </c>
      <c r="F27" s="291">
        <f>SUM(F16:F26)</f>
        <v>680931312.63</v>
      </c>
      <c r="G27" s="294">
        <f t="shared" si="2"/>
        <v>0</v>
      </c>
      <c r="H27" s="291">
        <f>SUM(H16:H26)</f>
        <v>106378624.62</v>
      </c>
      <c r="I27" s="291">
        <f>SUM(I16:I26)</f>
        <v>984463390.12905252</v>
      </c>
      <c r="J27" s="291">
        <f>SUM(J16:J26)</f>
        <v>1802475308.7790527</v>
      </c>
      <c r="K27" s="44">
        <f>+BS!H66</f>
        <v>1802475308.7829854</v>
      </c>
      <c r="L27" s="44">
        <f>+K27-J27</f>
        <v>3.9327144622802734E-3</v>
      </c>
    </row>
    <row r="28" spans="1:12">
      <c r="A28" s="147"/>
      <c r="B28" s="148"/>
      <c r="C28" s="149"/>
      <c r="D28" s="149"/>
      <c r="E28" s="149"/>
      <c r="F28" s="150"/>
      <c r="G28" s="150"/>
      <c r="H28" s="150"/>
      <c r="I28" s="151"/>
      <c r="J28" s="150"/>
    </row>
    <row r="29" spans="1:12">
      <c r="A29" s="47"/>
      <c r="B29" s="47"/>
      <c r="C29" s="47"/>
      <c r="D29" s="47"/>
      <c r="E29" s="47"/>
      <c r="F29" s="47"/>
      <c r="G29" s="47"/>
      <c r="H29" s="47"/>
      <c r="I29" s="68"/>
      <c r="J29" s="68">
        <f>+[3]BS!H67-[3]OC!J22</f>
        <v>-6.0291290283203125E-3</v>
      </c>
    </row>
    <row r="30" spans="1:12">
      <c r="A30" s="949" t="str">
        <f>+'company '!B25</f>
        <v>Ерөнхий захирал</v>
      </c>
      <c r="B30" s="949"/>
      <c r="C30" s="949"/>
      <c r="D30" s="38"/>
      <c r="E30" s="959" t="str">
        <f>+'company '!C25</f>
        <v>/Д.Бахдамдэмбэрэл /</v>
      </c>
      <c r="F30" s="959"/>
      <c r="G30" s="34"/>
    </row>
    <row r="31" spans="1:12" ht="12.75" customHeight="1">
      <c r="A31" s="949"/>
      <c r="B31" s="949"/>
      <c r="C31" s="949"/>
      <c r="D31" s="38"/>
      <c r="E31" s="958"/>
      <c r="F31" s="958"/>
      <c r="G31" s="958"/>
      <c r="H31" s="34"/>
      <c r="I31" s="34"/>
      <c r="J31" s="34"/>
    </row>
    <row r="32" spans="1:12" ht="12.75" customHeight="1">
      <c r="A32" s="949" t="str">
        <f>+'company '!B28</f>
        <v>Нягтлан бодогч</v>
      </c>
      <c r="B32" s="949"/>
      <c r="C32" s="949"/>
      <c r="D32" s="38" t="s">
        <v>286</v>
      </c>
      <c r="E32" s="958" t="str">
        <f>+'company '!C28</f>
        <v>/Б.Түмэндэлгэр/</v>
      </c>
      <c r="F32" s="958"/>
      <c r="G32" s="34"/>
      <c r="H32" s="34"/>
      <c r="I32" s="34"/>
      <c r="J32" s="34"/>
    </row>
  </sheetData>
  <sheetProtection password="DFC0" sheet="1" objects="1" scenarios="1"/>
  <mergeCells count="9">
    <mergeCell ref="A32:C32"/>
    <mergeCell ref="A1:J1"/>
    <mergeCell ref="A2:B2"/>
    <mergeCell ref="A3:B3"/>
    <mergeCell ref="A31:C31"/>
    <mergeCell ref="E31:G31"/>
    <mergeCell ref="A30:C30"/>
    <mergeCell ref="E32:F32"/>
    <mergeCell ref="E30:F30"/>
  </mergeCells>
  <pageMargins left="0.31" right="0.23" top="0.75" bottom="0.75" header="0.3" footer="0.3"/>
  <pageSetup orientation="landscape" r:id="rId1"/>
</worksheet>
</file>

<file path=xl/worksheets/sheet2.xml><?xml version="1.0" encoding="utf-8"?>
<worksheet xmlns="http://schemas.openxmlformats.org/spreadsheetml/2006/main" xmlns:r="http://schemas.openxmlformats.org/officeDocument/2006/relationships">
  <dimension ref="A1:L2146"/>
  <sheetViews>
    <sheetView workbookViewId="0">
      <pane xSplit="3" ySplit="3" topLeftCell="D4" activePane="bottomRight" state="frozen"/>
      <selection pane="topRight" activeCell="D1" sqref="D1"/>
      <selection pane="bottomLeft" activeCell="A4" sqref="A4"/>
      <selection pane="bottomRight" activeCell="D21" sqref="D21"/>
    </sheetView>
  </sheetViews>
  <sheetFormatPr defaultRowHeight="12.75"/>
  <cols>
    <col min="1" max="1" width="6.140625" style="120" customWidth="1"/>
    <col min="2" max="2" width="34.85546875" style="127" customWidth="1"/>
    <col min="3" max="3" width="6.28515625" style="127" customWidth="1"/>
    <col min="4" max="4" width="43.28515625" style="122" customWidth="1"/>
    <col min="5" max="5" width="7.7109375" style="122" customWidth="1"/>
    <col min="6" max="6" width="37" style="122" customWidth="1"/>
    <col min="7" max="7" width="9.140625" style="133"/>
    <col min="8" max="8" width="28.42578125" style="122" customWidth="1"/>
    <col min="9" max="9" width="10.7109375" style="123" customWidth="1"/>
    <col min="10" max="10" width="10.85546875" style="123" customWidth="1"/>
    <col min="11" max="11" width="5.28515625" style="123" customWidth="1"/>
    <col min="12" max="12" width="55.85546875" style="123" customWidth="1"/>
    <col min="13" max="16384" width="9.140625" style="122"/>
  </cols>
  <sheetData>
    <row r="1" spans="1:12">
      <c r="B1" s="121" t="s">
        <v>504</v>
      </c>
      <c r="C1" s="121"/>
    </row>
    <row r="2" spans="1:12">
      <c r="A2" s="141" t="s">
        <v>0</v>
      </c>
      <c r="B2" s="141" t="s">
        <v>505</v>
      </c>
      <c r="C2" s="141" t="s">
        <v>0</v>
      </c>
      <c r="D2" s="141" t="s">
        <v>506</v>
      </c>
      <c r="E2" s="141" t="s">
        <v>0</v>
      </c>
      <c r="F2" s="141" t="s">
        <v>507</v>
      </c>
      <c r="G2" s="332" t="s">
        <v>0</v>
      </c>
      <c r="H2" s="141" t="s">
        <v>896</v>
      </c>
      <c r="I2" s="142" t="s">
        <v>508</v>
      </c>
      <c r="J2" s="143"/>
      <c r="K2" s="141" t="s">
        <v>0</v>
      </c>
      <c r="L2" s="142" t="s">
        <v>1826</v>
      </c>
    </row>
    <row r="3" spans="1:12">
      <c r="A3" s="144"/>
      <c r="B3" s="141"/>
      <c r="C3" s="141"/>
      <c r="D3" s="141"/>
      <c r="E3" s="79"/>
      <c r="F3" s="141"/>
      <c r="G3" s="339"/>
      <c r="H3" s="141" t="s">
        <v>1339</v>
      </c>
      <c r="I3" s="142"/>
      <c r="J3" s="143"/>
      <c r="K3" s="143"/>
      <c r="L3" s="143"/>
    </row>
    <row r="4" spans="1:12">
      <c r="A4" s="124">
        <v>1001</v>
      </c>
      <c r="B4" s="125" t="s">
        <v>509</v>
      </c>
      <c r="C4" s="126" t="s">
        <v>510</v>
      </c>
      <c r="D4" s="127" t="s">
        <v>511</v>
      </c>
      <c r="E4" s="126" t="s">
        <v>512</v>
      </c>
      <c r="F4" s="127" t="s">
        <v>513</v>
      </c>
      <c r="G4" s="126">
        <v>2001</v>
      </c>
      <c r="H4" s="127" t="s">
        <v>1384</v>
      </c>
      <c r="I4" s="128" t="s">
        <v>514</v>
      </c>
      <c r="J4" s="128" t="s">
        <v>32</v>
      </c>
      <c r="K4" s="122"/>
      <c r="L4" s="391" t="s">
        <v>1827</v>
      </c>
    </row>
    <row r="5" spans="1:12">
      <c r="A5" s="124">
        <v>1002</v>
      </c>
      <c r="B5" s="125" t="s">
        <v>515</v>
      </c>
      <c r="C5" s="124">
        <v>3117</v>
      </c>
      <c r="D5" s="125" t="s">
        <v>516</v>
      </c>
      <c r="E5" s="126" t="s">
        <v>517</v>
      </c>
      <c r="F5" s="127" t="s">
        <v>518</v>
      </c>
      <c r="G5" s="126">
        <v>2002</v>
      </c>
      <c r="H5" s="127" t="s">
        <v>1385</v>
      </c>
      <c r="I5" s="128" t="s">
        <v>519</v>
      </c>
      <c r="J5" s="128" t="s">
        <v>30</v>
      </c>
      <c r="K5" s="122"/>
      <c r="L5" s="391" t="s">
        <v>1828</v>
      </c>
    </row>
    <row r="6" spans="1:12">
      <c r="A6" s="124">
        <v>1101</v>
      </c>
      <c r="B6" s="125" t="s">
        <v>520</v>
      </c>
      <c r="C6" s="124">
        <v>3118</v>
      </c>
      <c r="D6" s="125" t="s">
        <v>521</v>
      </c>
      <c r="E6" s="126" t="s">
        <v>522</v>
      </c>
      <c r="F6" s="127" t="s">
        <v>523</v>
      </c>
      <c r="G6" s="126">
        <v>2003</v>
      </c>
      <c r="H6" s="127" t="s">
        <v>1386</v>
      </c>
      <c r="I6" s="129" t="s">
        <v>524</v>
      </c>
      <c r="J6" s="129" t="s">
        <v>31</v>
      </c>
      <c r="K6" s="392">
        <v>41</v>
      </c>
      <c r="L6" s="123" t="s">
        <v>823</v>
      </c>
    </row>
    <row r="7" spans="1:12">
      <c r="A7" s="124">
        <v>1102</v>
      </c>
      <c r="B7" s="125" t="s">
        <v>525</v>
      </c>
      <c r="C7" s="124">
        <v>3119</v>
      </c>
      <c r="D7" s="125" t="s">
        <v>526</v>
      </c>
      <c r="E7" s="126" t="s">
        <v>527</v>
      </c>
      <c r="F7" s="127" t="s">
        <v>528</v>
      </c>
      <c r="G7" s="126">
        <v>2004</v>
      </c>
      <c r="H7" s="127" t="s">
        <v>1387</v>
      </c>
      <c r="I7" s="129" t="s">
        <v>529</v>
      </c>
      <c r="J7" s="129" t="s">
        <v>33</v>
      </c>
      <c r="K7" s="392">
        <v>42</v>
      </c>
      <c r="L7" s="123" t="s">
        <v>826</v>
      </c>
    </row>
    <row r="8" spans="1:12">
      <c r="A8" s="124">
        <v>1201</v>
      </c>
      <c r="B8" s="125" t="s">
        <v>530</v>
      </c>
      <c r="C8" s="124" t="s">
        <v>531</v>
      </c>
      <c r="D8" s="125" t="s">
        <v>532</v>
      </c>
      <c r="E8" s="126" t="s">
        <v>533</v>
      </c>
      <c r="F8" s="127" t="s">
        <v>534</v>
      </c>
      <c r="G8" s="126">
        <v>2005</v>
      </c>
      <c r="H8" s="127" t="s">
        <v>1388</v>
      </c>
      <c r="I8" s="123" t="s">
        <v>535</v>
      </c>
      <c r="J8" s="123" t="s">
        <v>536</v>
      </c>
      <c r="K8" s="392">
        <v>43</v>
      </c>
      <c r="L8" s="123" t="s">
        <v>829</v>
      </c>
    </row>
    <row r="9" spans="1:12">
      <c r="A9" s="124">
        <v>1202</v>
      </c>
      <c r="B9" s="125" t="s">
        <v>537</v>
      </c>
      <c r="C9" s="124" t="s">
        <v>538</v>
      </c>
      <c r="D9" s="125" t="s">
        <v>539</v>
      </c>
      <c r="E9" s="126" t="s">
        <v>540</v>
      </c>
      <c r="F9" s="127" t="s">
        <v>541</v>
      </c>
      <c r="G9" s="126">
        <v>2006</v>
      </c>
      <c r="H9" s="127" t="s">
        <v>1389</v>
      </c>
      <c r="I9" s="123" t="s">
        <v>542</v>
      </c>
      <c r="J9" s="123" t="s">
        <v>543</v>
      </c>
      <c r="K9" s="392">
        <v>44</v>
      </c>
      <c r="L9" s="123" t="s">
        <v>832</v>
      </c>
    </row>
    <row r="10" spans="1:12">
      <c r="A10" s="124">
        <v>1203</v>
      </c>
      <c r="B10" s="125" t="s">
        <v>544</v>
      </c>
      <c r="C10" s="124" t="s">
        <v>545</v>
      </c>
      <c r="D10" s="125" t="s">
        <v>546</v>
      </c>
      <c r="E10" s="126" t="s">
        <v>547</v>
      </c>
      <c r="F10" s="127" t="s">
        <v>548</v>
      </c>
      <c r="G10" s="126">
        <v>2007</v>
      </c>
      <c r="H10" s="127" t="s">
        <v>1390</v>
      </c>
      <c r="K10" s="392">
        <v>45</v>
      </c>
      <c r="L10" s="123" t="s">
        <v>835</v>
      </c>
    </row>
    <row r="11" spans="1:12">
      <c r="A11" s="124">
        <v>1204</v>
      </c>
      <c r="B11" s="125" t="s">
        <v>549</v>
      </c>
      <c r="C11" s="124" t="s">
        <v>550</v>
      </c>
      <c r="D11" s="125" t="s">
        <v>551</v>
      </c>
      <c r="E11" s="126" t="s">
        <v>552</v>
      </c>
      <c r="F11" s="127" t="s">
        <v>553</v>
      </c>
      <c r="G11" s="126">
        <v>2008</v>
      </c>
      <c r="H11" s="127" t="s">
        <v>1391</v>
      </c>
      <c r="K11" s="392">
        <v>46</v>
      </c>
      <c r="L11" s="123" t="s">
        <v>838</v>
      </c>
    </row>
    <row r="12" spans="1:12">
      <c r="A12" s="124">
        <v>1206</v>
      </c>
      <c r="B12" s="125" t="s">
        <v>554</v>
      </c>
      <c r="C12" s="124" t="s">
        <v>555</v>
      </c>
      <c r="D12" s="125" t="s">
        <v>556</v>
      </c>
      <c r="E12" s="126" t="s">
        <v>557</v>
      </c>
      <c r="F12" s="127" t="s">
        <v>558</v>
      </c>
      <c r="G12" s="126">
        <v>2009</v>
      </c>
      <c r="H12" s="127" t="s">
        <v>1392</v>
      </c>
      <c r="K12" s="392"/>
      <c r="L12" s="391" t="s">
        <v>1829</v>
      </c>
    </row>
    <row r="13" spans="1:12">
      <c r="A13" s="124">
        <v>1207</v>
      </c>
      <c r="B13" s="125" t="s">
        <v>559</v>
      </c>
      <c r="C13" s="124" t="s">
        <v>560</v>
      </c>
      <c r="D13" s="125" t="s">
        <v>561</v>
      </c>
      <c r="E13" s="126" t="s">
        <v>562</v>
      </c>
      <c r="F13" s="122" t="s">
        <v>563</v>
      </c>
      <c r="G13" s="126">
        <v>2010</v>
      </c>
      <c r="H13" s="127" t="s">
        <v>1358</v>
      </c>
      <c r="K13" s="392">
        <v>51</v>
      </c>
      <c r="L13" s="123" t="s">
        <v>843</v>
      </c>
    </row>
    <row r="14" spans="1:12">
      <c r="A14" s="124">
        <v>1208</v>
      </c>
      <c r="B14" s="125" t="s">
        <v>564</v>
      </c>
      <c r="C14" s="124" t="s">
        <v>565</v>
      </c>
      <c r="D14" s="125" t="s">
        <v>566</v>
      </c>
      <c r="E14" s="126" t="s">
        <v>567</v>
      </c>
      <c r="F14" s="127" t="s">
        <v>568</v>
      </c>
      <c r="G14" s="126">
        <v>2011</v>
      </c>
      <c r="H14" s="127" t="s">
        <v>2168</v>
      </c>
      <c r="K14" s="392">
        <v>52</v>
      </c>
      <c r="L14" s="123" t="s">
        <v>844</v>
      </c>
    </row>
    <row r="15" spans="1:12">
      <c r="A15" s="124">
        <v>1209</v>
      </c>
      <c r="B15" s="125" t="s">
        <v>569</v>
      </c>
      <c r="C15" s="124" t="s">
        <v>570</v>
      </c>
      <c r="D15" s="125" t="s">
        <v>571</v>
      </c>
      <c r="E15" s="126" t="s">
        <v>572</v>
      </c>
      <c r="F15" s="127" t="s">
        <v>573</v>
      </c>
      <c r="G15" s="126">
        <v>3001</v>
      </c>
      <c r="H15" s="127" t="s">
        <v>1393</v>
      </c>
      <c r="K15" s="392">
        <v>53</v>
      </c>
      <c r="L15" s="123" t="s">
        <v>847</v>
      </c>
    </row>
    <row r="16" spans="1:12">
      <c r="A16" s="124">
        <v>1210</v>
      </c>
      <c r="B16" s="125" t="s">
        <v>574</v>
      </c>
      <c r="C16" s="124" t="s">
        <v>575</v>
      </c>
      <c r="D16" s="125" t="s">
        <v>576</v>
      </c>
      <c r="E16" s="126" t="s">
        <v>577</v>
      </c>
      <c r="F16" s="127" t="s">
        <v>578</v>
      </c>
      <c r="G16" s="126">
        <v>3002</v>
      </c>
      <c r="H16" s="127" t="s">
        <v>1394</v>
      </c>
      <c r="K16" s="392">
        <v>54</v>
      </c>
      <c r="L16" s="123" t="s">
        <v>850</v>
      </c>
    </row>
    <row r="17" spans="1:12">
      <c r="A17" s="124">
        <v>1211</v>
      </c>
      <c r="B17" s="125" t="s">
        <v>579</v>
      </c>
      <c r="C17" s="124" t="s">
        <v>580</v>
      </c>
      <c r="D17" s="125" t="s">
        <v>581</v>
      </c>
      <c r="E17" s="126" t="s">
        <v>582</v>
      </c>
      <c r="F17" s="127" t="s">
        <v>583</v>
      </c>
      <c r="G17" s="126">
        <v>3003</v>
      </c>
      <c r="H17" s="127" t="s">
        <v>1395</v>
      </c>
      <c r="I17" s="122"/>
      <c r="K17" s="392">
        <v>55</v>
      </c>
      <c r="L17" s="123" t="s">
        <v>853</v>
      </c>
    </row>
    <row r="18" spans="1:12">
      <c r="A18" s="124">
        <v>1220</v>
      </c>
      <c r="B18" s="125" t="s">
        <v>584</v>
      </c>
      <c r="C18" s="124" t="s">
        <v>585</v>
      </c>
      <c r="D18" s="125" t="s">
        <v>586</v>
      </c>
      <c r="E18" s="126" t="s">
        <v>587</v>
      </c>
      <c r="F18" s="127"/>
      <c r="G18" s="126">
        <v>3004</v>
      </c>
      <c r="H18" s="127" t="s">
        <v>1396</v>
      </c>
      <c r="I18" s="127"/>
      <c r="K18" s="392">
        <v>56</v>
      </c>
      <c r="L18" s="123" t="s">
        <v>855</v>
      </c>
    </row>
    <row r="19" spans="1:12">
      <c r="A19" s="124">
        <v>1301</v>
      </c>
      <c r="B19" s="125" t="s">
        <v>588</v>
      </c>
      <c r="C19" s="124" t="s">
        <v>589</v>
      </c>
      <c r="D19" s="125" t="s">
        <v>590</v>
      </c>
      <c r="E19" s="126" t="s">
        <v>591</v>
      </c>
      <c r="F19" s="127" t="s">
        <v>276</v>
      </c>
      <c r="G19" s="126">
        <v>3005</v>
      </c>
      <c r="H19" s="127" t="s">
        <v>1397</v>
      </c>
      <c r="I19" s="122"/>
      <c r="K19" s="392">
        <v>57</v>
      </c>
      <c r="L19" s="123" t="s">
        <v>858</v>
      </c>
    </row>
    <row r="20" spans="1:12">
      <c r="A20" s="124">
        <v>1305</v>
      </c>
      <c r="B20" s="125" t="s">
        <v>592</v>
      </c>
      <c r="C20" s="124" t="s">
        <v>593</v>
      </c>
      <c r="D20" s="125" t="s">
        <v>594</v>
      </c>
      <c r="E20" s="126" t="s">
        <v>595</v>
      </c>
      <c r="F20" s="127" t="s">
        <v>596</v>
      </c>
      <c r="G20" s="126">
        <v>3006</v>
      </c>
      <c r="H20" s="127" t="s">
        <v>1398</v>
      </c>
      <c r="I20" s="122"/>
      <c r="K20" s="392">
        <v>58</v>
      </c>
      <c r="L20" s="123" t="s">
        <v>861</v>
      </c>
    </row>
    <row r="21" spans="1:12">
      <c r="A21" s="124">
        <v>1401</v>
      </c>
      <c r="B21" s="125" t="s">
        <v>597</v>
      </c>
      <c r="C21" s="130" t="s">
        <v>598</v>
      </c>
      <c r="D21" s="125" t="s">
        <v>599</v>
      </c>
      <c r="E21" s="126" t="s">
        <v>600</v>
      </c>
      <c r="F21" s="127" t="s">
        <v>601</v>
      </c>
      <c r="G21" s="126">
        <v>3007</v>
      </c>
      <c r="H21" s="127" t="s">
        <v>1399</v>
      </c>
      <c r="I21" s="122"/>
      <c r="K21" s="392">
        <v>59</v>
      </c>
      <c r="L21" s="123" t="s">
        <v>864</v>
      </c>
    </row>
    <row r="22" spans="1:12">
      <c r="A22" s="124">
        <v>1402</v>
      </c>
      <c r="B22" s="125" t="s">
        <v>602</v>
      </c>
      <c r="C22" s="124" t="s">
        <v>603</v>
      </c>
      <c r="D22" s="125" t="s">
        <v>604</v>
      </c>
      <c r="E22" s="126" t="s">
        <v>605</v>
      </c>
      <c r="F22" s="127" t="s">
        <v>606</v>
      </c>
      <c r="G22" s="126">
        <v>3008</v>
      </c>
      <c r="H22" s="127" t="s">
        <v>1400</v>
      </c>
      <c r="I22" s="122"/>
      <c r="K22" s="392"/>
      <c r="L22" s="391" t="s">
        <v>1830</v>
      </c>
    </row>
    <row r="23" spans="1:12">
      <c r="A23" s="124">
        <v>1403</v>
      </c>
      <c r="B23" s="125" t="s">
        <v>607</v>
      </c>
      <c r="C23" s="124" t="s">
        <v>608</v>
      </c>
      <c r="D23" s="125" t="s">
        <v>609</v>
      </c>
      <c r="E23" s="126" t="s">
        <v>610</v>
      </c>
      <c r="F23" s="127" t="s">
        <v>611</v>
      </c>
      <c r="G23" s="126">
        <v>3009</v>
      </c>
      <c r="H23" s="127" t="s">
        <v>1401</v>
      </c>
      <c r="I23" s="122"/>
      <c r="K23" s="392"/>
      <c r="L23" s="391" t="s">
        <v>1831</v>
      </c>
    </row>
    <row r="24" spans="1:12">
      <c r="A24" s="124">
        <v>1404</v>
      </c>
      <c r="B24" s="125" t="s">
        <v>612</v>
      </c>
      <c r="C24" s="126" t="s">
        <v>613</v>
      </c>
      <c r="D24" s="127" t="s">
        <v>614</v>
      </c>
      <c r="E24" s="126" t="s">
        <v>615</v>
      </c>
      <c r="F24" s="127" t="s">
        <v>616</v>
      </c>
      <c r="G24" s="126">
        <v>3010</v>
      </c>
      <c r="H24" s="127" t="s">
        <v>1402</v>
      </c>
      <c r="I24" s="122"/>
      <c r="K24" s="392"/>
      <c r="L24" s="391" t="s">
        <v>1828</v>
      </c>
    </row>
    <row r="25" spans="1:12">
      <c r="A25" s="124">
        <v>1405</v>
      </c>
      <c r="B25" s="125" t="s">
        <v>617</v>
      </c>
      <c r="C25" s="126" t="s">
        <v>618</v>
      </c>
      <c r="D25" s="127" t="s">
        <v>619</v>
      </c>
      <c r="E25" s="126" t="s">
        <v>620</v>
      </c>
      <c r="F25" s="127" t="s">
        <v>278</v>
      </c>
      <c r="G25" s="126">
        <v>3011</v>
      </c>
      <c r="H25" s="127" t="s">
        <v>1403</v>
      </c>
      <c r="I25" s="122"/>
      <c r="K25" s="392">
        <v>61</v>
      </c>
      <c r="L25" s="123" t="s">
        <v>869</v>
      </c>
    </row>
    <row r="26" spans="1:12">
      <c r="A26" s="126">
        <v>1501</v>
      </c>
      <c r="B26" s="127" t="s">
        <v>322</v>
      </c>
      <c r="C26" s="126" t="s">
        <v>621</v>
      </c>
      <c r="D26" s="127" t="s">
        <v>622</v>
      </c>
      <c r="E26" s="126" t="s">
        <v>623</v>
      </c>
      <c r="F26" s="127" t="s">
        <v>279</v>
      </c>
      <c r="G26" s="126">
        <v>3012</v>
      </c>
      <c r="H26" s="127" t="s">
        <v>1404</v>
      </c>
      <c r="I26" s="122"/>
      <c r="K26" s="392">
        <v>62</v>
      </c>
      <c r="L26" s="123" t="s">
        <v>872</v>
      </c>
    </row>
    <row r="27" spans="1:12">
      <c r="A27" s="126">
        <v>1503</v>
      </c>
      <c r="B27" s="127" t="s">
        <v>624</v>
      </c>
      <c r="C27" s="126" t="s">
        <v>625</v>
      </c>
      <c r="D27" s="127" t="s">
        <v>626</v>
      </c>
      <c r="E27" s="126" t="s">
        <v>627</v>
      </c>
      <c r="F27" s="127" t="s">
        <v>280</v>
      </c>
      <c r="G27" s="126">
        <v>3013</v>
      </c>
      <c r="H27" s="127" t="s">
        <v>1405</v>
      </c>
      <c r="I27" s="122"/>
      <c r="K27" s="392">
        <v>63</v>
      </c>
      <c r="L27" s="123" t="s">
        <v>875</v>
      </c>
    </row>
    <row r="28" spans="1:12">
      <c r="A28" s="126">
        <v>1504</v>
      </c>
      <c r="B28" s="127" t="s">
        <v>628</v>
      </c>
      <c r="C28" s="126" t="s">
        <v>629</v>
      </c>
      <c r="D28" s="127" t="s">
        <v>180</v>
      </c>
      <c r="E28" s="126" t="s">
        <v>630</v>
      </c>
      <c r="F28" s="127" t="s">
        <v>277</v>
      </c>
      <c r="G28" s="126">
        <v>3014</v>
      </c>
      <c r="H28" s="127" t="s">
        <v>1406</v>
      </c>
      <c r="I28" s="122"/>
      <c r="K28" s="392">
        <v>64</v>
      </c>
      <c r="L28" s="123" t="s">
        <v>876</v>
      </c>
    </row>
    <row r="29" spans="1:12">
      <c r="A29" s="126">
        <v>1505</v>
      </c>
      <c r="B29" s="127" t="s">
        <v>631</v>
      </c>
      <c r="C29" s="126" t="s">
        <v>632</v>
      </c>
      <c r="D29" s="127" t="s">
        <v>633</v>
      </c>
      <c r="E29" s="126" t="s">
        <v>634</v>
      </c>
      <c r="F29" s="127" t="s">
        <v>635</v>
      </c>
      <c r="G29" s="126">
        <v>3015</v>
      </c>
      <c r="H29" s="127" t="s">
        <v>1407</v>
      </c>
      <c r="I29" s="127"/>
      <c r="K29" s="392">
        <v>65</v>
      </c>
      <c r="L29" s="123" t="s">
        <v>878</v>
      </c>
    </row>
    <row r="30" spans="1:12">
      <c r="A30" s="126" t="s">
        <v>636</v>
      </c>
      <c r="B30" s="122" t="s">
        <v>637</v>
      </c>
      <c r="C30" s="126" t="s">
        <v>638</v>
      </c>
      <c r="D30" s="127" t="s">
        <v>639</v>
      </c>
      <c r="E30" s="126" t="s">
        <v>640</v>
      </c>
      <c r="F30" s="127" t="s">
        <v>641</v>
      </c>
      <c r="G30" s="126">
        <v>3016</v>
      </c>
      <c r="H30" s="127" t="s">
        <v>1408</v>
      </c>
      <c r="I30" s="122"/>
      <c r="K30" s="392">
        <v>66</v>
      </c>
      <c r="L30" s="123" t="s">
        <v>881</v>
      </c>
    </row>
    <row r="31" spans="1:12">
      <c r="A31" s="126" t="s">
        <v>642</v>
      </c>
      <c r="B31" s="125" t="s">
        <v>643</v>
      </c>
      <c r="C31" s="126" t="s">
        <v>644</v>
      </c>
      <c r="D31" s="127" t="s">
        <v>645</v>
      </c>
      <c r="E31" s="126" t="s">
        <v>646</v>
      </c>
      <c r="F31" s="127" t="s">
        <v>281</v>
      </c>
      <c r="G31" s="126">
        <v>3017</v>
      </c>
      <c r="H31" s="127" t="s">
        <v>1409</v>
      </c>
      <c r="I31" s="122"/>
      <c r="K31" s="392">
        <v>67</v>
      </c>
      <c r="L31" s="123" t="s">
        <v>882</v>
      </c>
    </row>
    <row r="32" spans="1:12">
      <c r="A32" s="126" t="s">
        <v>647</v>
      </c>
      <c r="B32" s="127" t="s">
        <v>648</v>
      </c>
      <c r="E32" s="126" t="s">
        <v>649</v>
      </c>
      <c r="F32" s="127" t="s">
        <v>650</v>
      </c>
      <c r="G32" s="126">
        <v>3018</v>
      </c>
      <c r="H32" s="127" t="s">
        <v>1410</v>
      </c>
      <c r="I32" s="122"/>
      <c r="K32" s="392"/>
      <c r="L32" s="391" t="s">
        <v>1829</v>
      </c>
    </row>
    <row r="33" spans="1:12">
      <c r="A33" s="126" t="s">
        <v>651</v>
      </c>
      <c r="B33" s="127" t="s">
        <v>652</v>
      </c>
      <c r="E33" s="126" t="s">
        <v>653</v>
      </c>
      <c r="F33" s="127" t="s">
        <v>654</v>
      </c>
      <c r="G33" s="126">
        <v>3019</v>
      </c>
      <c r="H33" s="127" t="s">
        <v>1411</v>
      </c>
      <c r="I33" s="122"/>
      <c r="K33" s="392">
        <v>71</v>
      </c>
      <c r="L33" s="123" t="s">
        <v>883</v>
      </c>
    </row>
    <row r="34" spans="1:12">
      <c r="A34" s="126" t="s">
        <v>655</v>
      </c>
      <c r="B34" s="127" t="s">
        <v>656</v>
      </c>
      <c r="E34" s="126" t="s">
        <v>657</v>
      </c>
      <c r="F34" s="127" t="s">
        <v>658</v>
      </c>
      <c r="G34" s="126">
        <v>4001</v>
      </c>
      <c r="H34" s="122" t="s">
        <v>1412</v>
      </c>
      <c r="I34" s="122"/>
      <c r="K34" s="392">
        <v>72</v>
      </c>
      <c r="L34" s="123" t="s">
        <v>884</v>
      </c>
    </row>
    <row r="35" spans="1:12">
      <c r="A35" s="126" t="s">
        <v>659</v>
      </c>
      <c r="B35" s="127" t="s">
        <v>660</v>
      </c>
      <c r="C35" s="122"/>
      <c r="E35" s="126" t="s">
        <v>661</v>
      </c>
      <c r="F35" s="127" t="s">
        <v>662</v>
      </c>
      <c r="G35" s="133">
        <v>4002</v>
      </c>
      <c r="H35" s="122" t="s">
        <v>1413</v>
      </c>
      <c r="I35" s="122"/>
      <c r="K35" s="392">
        <v>73</v>
      </c>
      <c r="L35" s="123" t="s">
        <v>885</v>
      </c>
    </row>
    <row r="36" spans="1:12">
      <c r="A36" s="126" t="s">
        <v>663</v>
      </c>
      <c r="B36" s="127" t="s">
        <v>664</v>
      </c>
      <c r="C36" s="122"/>
      <c r="E36" s="126" t="s">
        <v>665</v>
      </c>
      <c r="F36" s="127" t="s">
        <v>666</v>
      </c>
      <c r="G36" s="126">
        <v>2012</v>
      </c>
      <c r="H36" s="127" t="s">
        <v>1414</v>
      </c>
      <c r="I36" s="122"/>
      <c r="K36" s="392">
        <v>74</v>
      </c>
      <c r="L36" s="123" t="s">
        <v>886</v>
      </c>
    </row>
    <row r="37" spans="1:12">
      <c r="A37" s="126" t="s">
        <v>667</v>
      </c>
      <c r="B37" s="127" t="s">
        <v>324</v>
      </c>
      <c r="C37" s="122"/>
      <c r="E37" s="126" t="s">
        <v>668</v>
      </c>
      <c r="F37" s="127" t="s">
        <v>283</v>
      </c>
      <c r="G37" s="126">
        <v>2013</v>
      </c>
      <c r="H37" s="127" t="s">
        <v>1415</v>
      </c>
      <c r="I37" s="122"/>
      <c r="K37" s="392">
        <v>75</v>
      </c>
      <c r="L37" s="123" t="s">
        <v>887</v>
      </c>
    </row>
    <row r="38" spans="1:12">
      <c r="A38" s="126" t="s">
        <v>669</v>
      </c>
      <c r="B38" s="127" t="s">
        <v>670</v>
      </c>
      <c r="C38" s="122"/>
      <c r="E38" s="126" t="s">
        <v>671</v>
      </c>
      <c r="F38" s="127" t="s">
        <v>672</v>
      </c>
      <c r="G38" s="126">
        <v>3020</v>
      </c>
      <c r="H38" s="127" t="s">
        <v>1416</v>
      </c>
      <c r="I38" s="122"/>
      <c r="K38" s="392"/>
      <c r="L38" s="391" t="s">
        <v>1832</v>
      </c>
    </row>
    <row r="39" spans="1:12">
      <c r="A39" s="126" t="s">
        <v>673</v>
      </c>
      <c r="B39" s="127" t="s">
        <v>674</v>
      </c>
      <c r="C39" s="122"/>
      <c r="E39" s="126" t="s">
        <v>675</v>
      </c>
      <c r="F39" s="127" t="s">
        <v>676</v>
      </c>
      <c r="G39" s="126">
        <v>3021</v>
      </c>
      <c r="H39" s="127" t="s">
        <v>1417</v>
      </c>
      <c r="I39" s="122"/>
      <c r="K39" s="392"/>
      <c r="L39" s="391" t="s">
        <v>1833</v>
      </c>
    </row>
    <row r="40" spans="1:12">
      <c r="A40" s="126" t="s">
        <v>677</v>
      </c>
      <c r="B40" s="127" t="s">
        <v>678</v>
      </c>
      <c r="C40" s="122"/>
      <c r="E40" s="126" t="s">
        <v>679</v>
      </c>
      <c r="F40" s="127" t="s">
        <v>680</v>
      </c>
      <c r="G40" s="126">
        <v>3022</v>
      </c>
      <c r="H40" s="127" t="s">
        <v>1418</v>
      </c>
      <c r="I40" s="122"/>
      <c r="K40" s="392"/>
      <c r="L40" s="391" t="s">
        <v>1828</v>
      </c>
    </row>
    <row r="41" spans="1:12">
      <c r="A41" s="126" t="s">
        <v>681</v>
      </c>
      <c r="B41" s="127" t="s">
        <v>682</v>
      </c>
      <c r="E41" s="126" t="s">
        <v>683</v>
      </c>
      <c r="F41" s="127" t="s">
        <v>684</v>
      </c>
      <c r="G41" s="126">
        <v>3023</v>
      </c>
      <c r="H41" s="127" t="s">
        <v>1419</v>
      </c>
      <c r="I41" s="122"/>
      <c r="K41" s="392">
        <v>81</v>
      </c>
      <c r="L41" s="123" t="s">
        <v>1834</v>
      </c>
    </row>
    <row r="42" spans="1:12">
      <c r="A42" s="126" t="s">
        <v>685</v>
      </c>
      <c r="B42" s="127" t="s">
        <v>686</v>
      </c>
      <c r="E42" s="126" t="s">
        <v>687</v>
      </c>
      <c r="F42" s="127" t="s">
        <v>688</v>
      </c>
      <c r="G42" s="133">
        <v>3024</v>
      </c>
      <c r="H42" s="123" t="s">
        <v>1420</v>
      </c>
      <c r="I42" s="122"/>
      <c r="K42" s="392">
        <v>82</v>
      </c>
      <c r="L42" s="123" t="s">
        <v>1835</v>
      </c>
    </row>
    <row r="43" spans="1:12">
      <c r="A43" s="126" t="s">
        <v>689</v>
      </c>
      <c r="B43" s="131" t="s">
        <v>690</v>
      </c>
      <c r="E43" s="126" t="s">
        <v>691</v>
      </c>
      <c r="F43" s="127" t="s">
        <v>692</v>
      </c>
      <c r="G43" s="126">
        <v>3025</v>
      </c>
      <c r="H43" s="127" t="s">
        <v>1421</v>
      </c>
      <c r="I43" s="122"/>
      <c r="K43" s="392">
        <v>83</v>
      </c>
      <c r="L43" s="123" t="s">
        <v>1836</v>
      </c>
    </row>
    <row r="44" spans="1:12">
      <c r="A44" s="126" t="s">
        <v>693</v>
      </c>
      <c r="B44" s="127" t="s">
        <v>694</v>
      </c>
      <c r="E44" s="126" t="s">
        <v>695</v>
      </c>
      <c r="F44" s="127" t="s">
        <v>696</v>
      </c>
      <c r="G44" s="126">
        <v>3026</v>
      </c>
      <c r="H44" s="127" t="s">
        <v>1422</v>
      </c>
      <c r="I44" s="122"/>
      <c r="K44" s="392">
        <v>84</v>
      </c>
      <c r="L44" s="123" t="s">
        <v>1837</v>
      </c>
    </row>
    <row r="45" spans="1:12">
      <c r="A45" s="126" t="s">
        <v>697</v>
      </c>
      <c r="B45" s="127" t="s">
        <v>698</v>
      </c>
      <c r="E45" s="126" t="s">
        <v>699</v>
      </c>
      <c r="F45" s="127" t="s">
        <v>700</v>
      </c>
      <c r="G45" s="126">
        <v>3027</v>
      </c>
      <c r="H45" s="127" t="s">
        <v>1423</v>
      </c>
      <c r="I45" s="122"/>
      <c r="K45" s="392"/>
      <c r="L45" s="391" t="s">
        <v>1829</v>
      </c>
    </row>
    <row r="46" spans="1:12">
      <c r="A46" s="126" t="s">
        <v>701</v>
      </c>
      <c r="B46" s="127" t="s">
        <v>702</v>
      </c>
      <c r="E46" s="126" t="s">
        <v>703</v>
      </c>
      <c r="F46" s="127" t="s">
        <v>704</v>
      </c>
      <c r="G46" s="126">
        <v>3028</v>
      </c>
      <c r="H46" s="127" t="s">
        <v>1424</v>
      </c>
      <c r="I46" s="122"/>
      <c r="K46" s="392">
        <v>91</v>
      </c>
      <c r="L46" s="123" t="s">
        <v>1838</v>
      </c>
    </row>
    <row r="47" spans="1:12">
      <c r="A47" s="126" t="s">
        <v>705</v>
      </c>
      <c r="B47" s="127" t="s">
        <v>706</v>
      </c>
      <c r="E47" s="126" t="s">
        <v>707</v>
      </c>
      <c r="F47" s="127" t="s">
        <v>708</v>
      </c>
      <c r="G47" s="126">
        <v>3029</v>
      </c>
      <c r="H47" s="127" t="s">
        <v>1425</v>
      </c>
      <c r="I47" s="122"/>
      <c r="K47" s="392">
        <v>92</v>
      </c>
      <c r="L47" s="123" t="s">
        <v>1839</v>
      </c>
    </row>
    <row r="48" spans="1:12">
      <c r="A48" s="126" t="s">
        <v>709</v>
      </c>
      <c r="B48" s="127" t="s">
        <v>710</v>
      </c>
      <c r="E48" s="126" t="s">
        <v>711</v>
      </c>
      <c r="F48" s="127" t="s">
        <v>712</v>
      </c>
      <c r="G48" s="126">
        <v>3030</v>
      </c>
      <c r="H48" s="127" t="s">
        <v>1426</v>
      </c>
      <c r="I48" s="122"/>
      <c r="K48" s="392">
        <v>93</v>
      </c>
      <c r="L48" s="123" t="s">
        <v>1840</v>
      </c>
    </row>
    <row r="49" spans="1:12">
      <c r="A49" s="126" t="s">
        <v>713</v>
      </c>
      <c r="B49" s="127" t="s">
        <v>714</v>
      </c>
      <c r="C49" s="131"/>
      <c r="E49" s="126" t="s">
        <v>715</v>
      </c>
      <c r="F49" s="127" t="s">
        <v>716</v>
      </c>
      <c r="G49" s="126">
        <v>3031</v>
      </c>
      <c r="H49" s="127" t="s">
        <v>2169</v>
      </c>
      <c r="I49" s="122"/>
      <c r="K49" s="392">
        <v>94</v>
      </c>
      <c r="L49" s="123" t="s">
        <v>1841</v>
      </c>
    </row>
    <row r="50" spans="1:12">
      <c r="A50" s="126" t="s">
        <v>717</v>
      </c>
      <c r="B50" s="127" t="s">
        <v>718</v>
      </c>
      <c r="E50" s="132" t="s">
        <v>719</v>
      </c>
      <c r="F50" s="127" t="s">
        <v>720</v>
      </c>
      <c r="G50" s="126">
        <v>3032</v>
      </c>
      <c r="H50" s="127" t="s">
        <v>1427</v>
      </c>
      <c r="I50" s="122"/>
      <c r="K50" s="392">
        <v>95</v>
      </c>
      <c r="L50" s="123" t="s">
        <v>1842</v>
      </c>
    </row>
    <row r="51" spans="1:12">
      <c r="A51" s="126" t="s">
        <v>721</v>
      </c>
      <c r="B51" s="127" t="s">
        <v>722</v>
      </c>
      <c r="E51" s="126" t="s">
        <v>723</v>
      </c>
      <c r="F51" s="127" t="s">
        <v>724</v>
      </c>
      <c r="G51" s="126">
        <v>3033</v>
      </c>
      <c r="H51" s="127" t="s">
        <v>1428</v>
      </c>
      <c r="I51" s="122"/>
      <c r="K51" s="392"/>
      <c r="L51" s="391" t="s">
        <v>1843</v>
      </c>
    </row>
    <row r="52" spans="1:12">
      <c r="A52" s="126" t="s">
        <v>725</v>
      </c>
      <c r="B52" s="127" t="s">
        <v>726</v>
      </c>
      <c r="E52" s="126" t="s">
        <v>727</v>
      </c>
      <c r="F52" s="127" t="s">
        <v>728</v>
      </c>
      <c r="G52" s="126">
        <v>3034</v>
      </c>
      <c r="H52" s="127" t="s">
        <v>1429</v>
      </c>
      <c r="I52" s="122"/>
      <c r="K52" s="392"/>
    </row>
    <row r="53" spans="1:12">
      <c r="A53" s="126" t="s">
        <v>729</v>
      </c>
      <c r="B53" s="127" t="s">
        <v>730</v>
      </c>
      <c r="E53" s="126" t="s">
        <v>731</v>
      </c>
      <c r="F53" s="127" t="s">
        <v>732</v>
      </c>
      <c r="G53" s="126">
        <v>3035</v>
      </c>
      <c r="H53" s="182" t="s">
        <v>1430</v>
      </c>
      <c r="I53" s="122"/>
      <c r="K53" s="392"/>
    </row>
    <row r="54" spans="1:12">
      <c r="A54" s="126" t="s">
        <v>733</v>
      </c>
      <c r="B54" s="127" t="s">
        <v>734</v>
      </c>
      <c r="E54" s="126" t="s">
        <v>735</v>
      </c>
      <c r="F54" s="127" t="s">
        <v>736</v>
      </c>
      <c r="G54" s="126">
        <v>3036</v>
      </c>
      <c r="H54" s="182" t="s">
        <v>1431</v>
      </c>
      <c r="I54" s="122"/>
      <c r="K54" s="392"/>
    </row>
    <row r="55" spans="1:12">
      <c r="A55" s="126" t="s">
        <v>737</v>
      </c>
      <c r="B55" s="127" t="s">
        <v>738</v>
      </c>
      <c r="E55" s="126" t="s">
        <v>739</v>
      </c>
      <c r="F55" s="127" t="s">
        <v>740</v>
      </c>
      <c r="G55" s="126">
        <v>3037</v>
      </c>
      <c r="H55" s="127" t="s">
        <v>1432</v>
      </c>
      <c r="I55" s="122"/>
      <c r="K55" s="392"/>
    </row>
    <row r="56" spans="1:12">
      <c r="A56" s="126" t="s">
        <v>741</v>
      </c>
      <c r="B56" s="127" t="s">
        <v>742</v>
      </c>
      <c r="E56" s="126" t="s">
        <v>743</v>
      </c>
      <c r="F56" s="127" t="s">
        <v>744</v>
      </c>
      <c r="G56" s="126">
        <v>3038</v>
      </c>
      <c r="H56" s="127" t="s">
        <v>1433</v>
      </c>
      <c r="I56" s="122"/>
      <c r="K56" s="392"/>
    </row>
    <row r="57" spans="1:12">
      <c r="A57" s="126" t="s">
        <v>745</v>
      </c>
      <c r="B57" s="127" t="s">
        <v>746</v>
      </c>
      <c r="E57" s="126" t="s">
        <v>747</v>
      </c>
      <c r="F57" s="127" t="s">
        <v>748</v>
      </c>
      <c r="G57" s="126">
        <v>3039</v>
      </c>
      <c r="H57" s="127" t="s">
        <v>1434</v>
      </c>
      <c r="I57" s="122"/>
      <c r="K57" s="392"/>
    </row>
    <row r="58" spans="1:12">
      <c r="A58" s="126" t="s">
        <v>749</v>
      </c>
      <c r="B58" s="127" t="s">
        <v>750</v>
      </c>
      <c r="E58" s="126" t="s">
        <v>751</v>
      </c>
      <c r="F58" s="127" t="s">
        <v>752</v>
      </c>
      <c r="G58" s="126">
        <v>3040</v>
      </c>
      <c r="H58" s="127" t="s">
        <v>1435</v>
      </c>
      <c r="I58" s="122"/>
      <c r="K58" s="392"/>
    </row>
    <row r="59" spans="1:12">
      <c r="A59" s="126" t="s">
        <v>753</v>
      </c>
      <c r="B59" s="127" t="s">
        <v>754</v>
      </c>
      <c r="E59" s="126" t="s">
        <v>755</v>
      </c>
      <c r="F59" s="127" t="s">
        <v>756</v>
      </c>
      <c r="G59" s="126">
        <v>3041</v>
      </c>
      <c r="H59" s="127" t="s">
        <v>1436</v>
      </c>
      <c r="I59" s="122"/>
      <c r="K59" s="392"/>
    </row>
    <row r="60" spans="1:12">
      <c r="A60" s="126" t="s">
        <v>757</v>
      </c>
      <c r="B60" s="127" t="s">
        <v>758</v>
      </c>
      <c r="E60" s="126" t="s">
        <v>759</v>
      </c>
      <c r="F60" s="127" t="s">
        <v>760</v>
      </c>
      <c r="G60" s="126">
        <v>3042</v>
      </c>
      <c r="H60" s="127" t="s">
        <v>1437</v>
      </c>
      <c r="I60" s="122"/>
      <c r="K60" s="392"/>
    </row>
    <row r="61" spans="1:12">
      <c r="A61" s="126" t="s">
        <v>761</v>
      </c>
      <c r="B61" s="127" t="s">
        <v>762</v>
      </c>
      <c r="E61" s="126" t="s">
        <v>763</v>
      </c>
      <c r="F61" s="127" t="s">
        <v>764</v>
      </c>
      <c r="G61" s="126">
        <v>3043</v>
      </c>
      <c r="H61" s="127" t="s">
        <v>1438</v>
      </c>
      <c r="I61" s="122"/>
      <c r="K61" s="392"/>
    </row>
    <row r="62" spans="1:12">
      <c r="A62" s="126" t="s">
        <v>765</v>
      </c>
      <c r="B62" s="127" t="s">
        <v>766</v>
      </c>
      <c r="E62" s="126" t="s">
        <v>767</v>
      </c>
      <c r="F62" s="127" t="s">
        <v>768</v>
      </c>
      <c r="G62" s="126">
        <v>3044</v>
      </c>
      <c r="H62" s="127" t="s">
        <v>1439</v>
      </c>
      <c r="I62" s="122"/>
      <c r="K62" s="392"/>
    </row>
    <row r="63" spans="1:12">
      <c r="A63" s="126" t="s">
        <v>769</v>
      </c>
      <c r="B63" s="127" t="s">
        <v>770</v>
      </c>
      <c r="E63" s="126" t="s">
        <v>771</v>
      </c>
      <c r="F63" s="127" t="s">
        <v>772</v>
      </c>
      <c r="G63" s="126">
        <v>3045</v>
      </c>
      <c r="H63" s="127" t="s">
        <v>1440</v>
      </c>
      <c r="I63" s="122"/>
      <c r="K63" s="392"/>
    </row>
    <row r="64" spans="1:12">
      <c r="A64" s="126" t="s">
        <v>773</v>
      </c>
      <c r="B64" s="127" t="s">
        <v>774</v>
      </c>
      <c r="E64" s="126" t="s">
        <v>775</v>
      </c>
      <c r="F64" s="127" t="s">
        <v>776</v>
      </c>
      <c r="G64" s="126">
        <v>3046</v>
      </c>
      <c r="H64" s="127" t="s">
        <v>1441</v>
      </c>
      <c r="I64" s="122"/>
      <c r="K64" s="392"/>
    </row>
    <row r="65" spans="1:11">
      <c r="A65" s="126" t="s">
        <v>777</v>
      </c>
      <c r="B65" s="127" t="s">
        <v>778</v>
      </c>
      <c r="E65" s="126" t="s">
        <v>779</v>
      </c>
      <c r="F65" s="127" t="s">
        <v>780</v>
      </c>
      <c r="G65" s="126">
        <v>3047</v>
      </c>
      <c r="H65" s="127" t="s">
        <v>1442</v>
      </c>
      <c r="I65" s="122"/>
      <c r="K65" s="392"/>
    </row>
    <row r="66" spans="1:11">
      <c r="A66" s="126" t="s">
        <v>781</v>
      </c>
      <c r="B66" s="127" t="s">
        <v>782</v>
      </c>
      <c r="E66" s="126" t="s">
        <v>783</v>
      </c>
      <c r="F66" s="127" t="s">
        <v>784</v>
      </c>
      <c r="G66" s="126">
        <v>3048</v>
      </c>
      <c r="H66" s="127" t="s">
        <v>1443</v>
      </c>
      <c r="I66" s="122"/>
      <c r="K66" s="392"/>
    </row>
    <row r="67" spans="1:11">
      <c r="A67" s="126" t="s">
        <v>785</v>
      </c>
      <c r="B67" s="127" t="s">
        <v>786</v>
      </c>
      <c r="E67" s="126" t="s">
        <v>787</v>
      </c>
      <c r="F67" s="127" t="s">
        <v>788</v>
      </c>
      <c r="G67" s="126">
        <v>3049</v>
      </c>
      <c r="H67" s="127" t="s">
        <v>1444</v>
      </c>
      <c r="I67" s="122"/>
      <c r="K67" s="392"/>
    </row>
    <row r="68" spans="1:11">
      <c r="A68" s="126" t="s">
        <v>789</v>
      </c>
      <c r="B68" s="127" t="s">
        <v>790</v>
      </c>
      <c r="E68" s="126" t="s">
        <v>791</v>
      </c>
      <c r="F68" s="127" t="s">
        <v>792</v>
      </c>
      <c r="G68" s="126">
        <v>3050</v>
      </c>
      <c r="H68" s="127" t="s">
        <v>1445</v>
      </c>
      <c r="I68" s="122"/>
      <c r="K68" s="392"/>
    </row>
    <row r="69" spans="1:11">
      <c r="A69" s="126" t="s">
        <v>793</v>
      </c>
      <c r="B69" s="127" t="s">
        <v>794</v>
      </c>
      <c r="E69" s="126" t="s">
        <v>795</v>
      </c>
      <c r="F69" s="127" t="s">
        <v>796</v>
      </c>
      <c r="G69" s="126">
        <v>3051</v>
      </c>
      <c r="H69" s="127" t="s">
        <v>1446</v>
      </c>
      <c r="I69" s="122"/>
      <c r="K69" s="392"/>
    </row>
    <row r="70" spans="1:11">
      <c r="A70" s="126" t="s">
        <v>797</v>
      </c>
      <c r="B70" s="127" t="s">
        <v>798</v>
      </c>
      <c r="E70" s="126" t="s">
        <v>799</v>
      </c>
      <c r="F70" s="127" t="s">
        <v>800</v>
      </c>
      <c r="G70" s="126">
        <v>3052</v>
      </c>
      <c r="H70" s="127" t="s">
        <v>1447</v>
      </c>
      <c r="I70" s="122"/>
      <c r="K70" s="392"/>
    </row>
    <row r="71" spans="1:11">
      <c r="A71" s="126" t="s">
        <v>801</v>
      </c>
      <c r="B71" s="127" t="s">
        <v>802</v>
      </c>
      <c r="E71" s="126" t="s">
        <v>803</v>
      </c>
      <c r="F71" s="127" t="s">
        <v>804</v>
      </c>
      <c r="G71" s="126">
        <v>3053</v>
      </c>
      <c r="H71" s="127" t="s">
        <v>1448</v>
      </c>
      <c r="I71" s="122"/>
      <c r="K71" s="392"/>
    </row>
    <row r="72" spans="1:11">
      <c r="A72" s="126" t="s">
        <v>805</v>
      </c>
      <c r="B72" s="127" t="s">
        <v>806</v>
      </c>
      <c r="E72" s="126" t="s">
        <v>807</v>
      </c>
      <c r="F72" s="127" t="s">
        <v>808</v>
      </c>
      <c r="G72" s="126">
        <v>3054</v>
      </c>
      <c r="H72" s="127" t="s">
        <v>1449</v>
      </c>
      <c r="I72" s="122"/>
      <c r="K72" s="392"/>
    </row>
    <row r="73" spans="1:11">
      <c r="A73" s="126" t="s">
        <v>809</v>
      </c>
      <c r="B73" s="127" t="s">
        <v>810</v>
      </c>
      <c r="E73" s="126" t="s">
        <v>811</v>
      </c>
      <c r="F73" s="127" t="s">
        <v>812</v>
      </c>
      <c r="G73" s="126">
        <v>3055</v>
      </c>
      <c r="H73" s="127" t="s">
        <v>1450</v>
      </c>
      <c r="I73" s="122"/>
      <c r="K73" s="392"/>
    </row>
    <row r="74" spans="1:11">
      <c r="A74" s="126" t="s">
        <v>813</v>
      </c>
      <c r="B74" s="127" t="s">
        <v>814</v>
      </c>
      <c r="E74" s="126" t="s">
        <v>815</v>
      </c>
      <c r="F74" s="127" t="s">
        <v>816</v>
      </c>
      <c r="G74" s="126">
        <v>3056</v>
      </c>
      <c r="H74" s="127" t="s">
        <v>1451</v>
      </c>
      <c r="I74" s="122"/>
      <c r="K74" s="392"/>
    </row>
    <row r="75" spans="1:11">
      <c r="A75" s="126" t="s">
        <v>817</v>
      </c>
      <c r="B75" s="127" t="s">
        <v>818</v>
      </c>
      <c r="E75" s="126" t="s">
        <v>819</v>
      </c>
      <c r="F75" s="127" t="s">
        <v>820</v>
      </c>
      <c r="G75" s="126">
        <v>3057</v>
      </c>
      <c r="H75" s="127" t="s">
        <v>1452</v>
      </c>
      <c r="I75" s="122"/>
      <c r="K75" s="392"/>
    </row>
    <row r="76" spans="1:11">
      <c r="A76" s="122"/>
      <c r="B76" s="122"/>
      <c r="E76" s="126" t="s">
        <v>587</v>
      </c>
      <c r="F76" s="127"/>
      <c r="G76" s="126">
        <v>3058</v>
      </c>
      <c r="H76" s="127" t="s">
        <v>1453</v>
      </c>
      <c r="I76" s="122"/>
      <c r="K76" s="392"/>
    </row>
    <row r="77" spans="1:11">
      <c r="A77" s="122"/>
      <c r="B77" s="122"/>
      <c r="E77" s="126" t="s">
        <v>821</v>
      </c>
      <c r="F77" s="127" t="s">
        <v>822</v>
      </c>
      <c r="G77" s="126">
        <v>3059</v>
      </c>
      <c r="H77" s="127" t="s">
        <v>1454</v>
      </c>
      <c r="I77" s="122"/>
      <c r="K77" s="392"/>
    </row>
    <row r="78" spans="1:11">
      <c r="A78" s="126">
        <v>111</v>
      </c>
      <c r="B78" s="127" t="s">
        <v>823</v>
      </c>
      <c r="E78" s="126" t="s">
        <v>824</v>
      </c>
      <c r="F78" s="127" t="s">
        <v>825</v>
      </c>
      <c r="G78" s="126">
        <v>3060</v>
      </c>
      <c r="H78" s="127" t="s">
        <v>1455</v>
      </c>
      <c r="I78" s="122"/>
      <c r="K78" s="392"/>
    </row>
    <row r="79" spans="1:11">
      <c r="A79" s="126">
        <v>112</v>
      </c>
      <c r="B79" s="127" t="s">
        <v>826</v>
      </c>
      <c r="E79" s="126" t="s">
        <v>827</v>
      </c>
      <c r="F79" s="127" t="s">
        <v>828</v>
      </c>
      <c r="G79" s="126">
        <v>3061</v>
      </c>
      <c r="H79" s="127" t="s">
        <v>1456</v>
      </c>
      <c r="I79" s="122"/>
      <c r="K79" s="392"/>
    </row>
    <row r="80" spans="1:11">
      <c r="A80" s="126">
        <v>113</v>
      </c>
      <c r="B80" s="127" t="s">
        <v>829</v>
      </c>
      <c r="E80" s="126" t="s">
        <v>830</v>
      </c>
      <c r="F80" s="127" t="s">
        <v>831</v>
      </c>
      <c r="G80" s="126">
        <v>3062</v>
      </c>
      <c r="H80" s="127" t="s">
        <v>1457</v>
      </c>
      <c r="I80" s="122"/>
      <c r="K80" s="392"/>
    </row>
    <row r="81" spans="1:9">
      <c r="A81" s="126">
        <v>114</v>
      </c>
      <c r="B81" s="127" t="s">
        <v>832</v>
      </c>
      <c r="E81" s="133" t="s">
        <v>833</v>
      </c>
      <c r="F81" s="127" t="s">
        <v>834</v>
      </c>
      <c r="G81" s="126">
        <v>3063</v>
      </c>
      <c r="H81" s="127" t="s">
        <v>1458</v>
      </c>
      <c r="I81" s="122"/>
    </row>
    <row r="82" spans="1:9">
      <c r="A82" s="126">
        <v>115</v>
      </c>
      <c r="B82" s="127" t="s">
        <v>835</v>
      </c>
      <c r="E82" s="133" t="s">
        <v>836</v>
      </c>
      <c r="F82" s="122" t="s">
        <v>837</v>
      </c>
      <c r="G82" s="126">
        <v>3064</v>
      </c>
      <c r="H82" s="127" t="s">
        <v>1459</v>
      </c>
      <c r="I82" s="122"/>
    </row>
    <row r="83" spans="1:9">
      <c r="A83" s="126">
        <v>116</v>
      </c>
      <c r="B83" s="127" t="s">
        <v>838</v>
      </c>
      <c r="E83" s="133" t="s">
        <v>839</v>
      </c>
      <c r="F83" s="122" t="s">
        <v>840</v>
      </c>
      <c r="G83" s="126">
        <v>3065</v>
      </c>
      <c r="H83" s="127" t="s">
        <v>1460</v>
      </c>
      <c r="I83" s="122"/>
    </row>
    <row r="84" spans="1:9">
      <c r="A84" s="126"/>
      <c r="C84" s="125"/>
      <c r="E84" s="133" t="s">
        <v>841</v>
      </c>
      <c r="F84" s="122" t="s">
        <v>842</v>
      </c>
      <c r="G84" s="126">
        <v>3066</v>
      </c>
      <c r="H84" s="127" t="s">
        <v>1461</v>
      </c>
      <c r="I84" s="122"/>
    </row>
    <row r="85" spans="1:9">
      <c r="A85" s="126">
        <v>121</v>
      </c>
      <c r="B85" s="127" t="s">
        <v>843</v>
      </c>
      <c r="C85" s="125"/>
      <c r="E85" s="126" t="s">
        <v>587</v>
      </c>
      <c r="F85" s="127"/>
      <c r="G85" s="126">
        <v>3067</v>
      </c>
      <c r="H85" s="127" t="s">
        <v>1462</v>
      </c>
      <c r="I85" s="122"/>
    </row>
    <row r="86" spans="1:9">
      <c r="A86" s="126">
        <v>122</v>
      </c>
      <c r="B86" s="127" t="s">
        <v>844</v>
      </c>
      <c r="C86" s="125"/>
      <c r="E86" s="133" t="s">
        <v>845</v>
      </c>
      <c r="F86" s="122" t="s">
        <v>846</v>
      </c>
      <c r="G86" s="126">
        <v>3068</v>
      </c>
      <c r="H86" s="127" t="s">
        <v>1463</v>
      </c>
      <c r="I86" s="122"/>
    </row>
    <row r="87" spans="1:9">
      <c r="A87" s="126">
        <v>123</v>
      </c>
      <c r="B87" s="127" t="s">
        <v>847</v>
      </c>
      <c r="C87" s="125"/>
      <c r="E87" s="133" t="s">
        <v>848</v>
      </c>
      <c r="F87" s="122" t="s">
        <v>849</v>
      </c>
      <c r="G87" s="126">
        <v>3069</v>
      </c>
      <c r="H87" s="127" t="s">
        <v>1464</v>
      </c>
      <c r="I87" s="122"/>
    </row>
    <row r="88" spans="1:9">
      <c r="A88" s="126">
        <v>124</v>
      </c>
      <c r="B88" s="127" t="s">
        <v>850</v>
      </c>
      <c r="C88" s="125"/>
      <c r="E88" s="133" t="s">
        <v>851</v>
      </c>
      <c r="F88" s="122" t="s">
        <v>852</v>
      </c>
      <c r="G88" s="126">
        <v>3070</v>
      </c>
      <c r="H88" s="127" t="s">
        <v>1465</v>
      </c>
      <c r="I88" s="122"/>
    </row>
    <row r="89" spans="1:9">
      <c r="A89" s="126">
        <v>125</v>
      </c>
      <c r="B89" s="127" t="s">
        <v>853</v>
      </c>
      <c r="C89" s="125"/>
      <c r="E89" s="133" t="s">
        <v>854</v>
      </c>
      <c r="F89" s="122" t="s">
        <v>282</v>
      </c>
      <c r="G89" s="126">
        <v>3071</v>
      </c>
      <c r="H89" s="127" t="s">
        <v>1466</v>
      </c>
      <c r="I89" s="122"/>
    </row>
    <row r="90" spans="1:9">
      <c r="A90" s="126">
        <v>126</v>
      </c>
      <c r="B90" s="127" t="s">
        <v>855</v>
      </c>
      <c r="C90" s="125"/>
      <c r="E90" s="133" t="s">
        <v>856</v>
      </c>
      <c r="F90" s="122" t="s">
        <v>857</v>
      </c>
      <c r="G90" s="126">
        <v>3072</v>
      </c>
      <c r="H90" s="127" t="s">
        <v>1467</v>
      </c>
      <c r="I90" s="122"/>
    </row>
    <row r="91" spans="1:9">
      <c r="A91" s="126">
        <v>127</v>
      </c>
      <c r="B91" s="127" t="s">
        <v>858</v>
      </c>
      <c r="C91" s="125"/>
      <c r="E91" s="133" t="s">
        <v>859</v>
      </c>
      <c r="F91" s="122" t="s">
        <v>860</v>
      </c>
      <c r="G91" s="126">
        <v>3073</v>
      </c>
      <c r="H91" s="127" t="s">
        <v>1468</v>
      </c>
      <c r="I91" s="122"/>
    </row>
    <row r="92" spans="1:9">
      <c r="A92" s="126">
        <v>128</v>
      </c>
      <c r="B92" s="127" t="s">
        <v>861</v>
      </c>
      <c r="C92" s="125"/>
      <c r="E92" s="126" t="s">
        <v>862</v>
      </c>
      <c r="F92" s="127" t="s">
        <v>863</v>
      </c>
      <c r="G92" s="126">
        <v>3074</v>
      </c>
      <c r="H92" s="127" t="s">
        <v>1469</v>
      </c>
      <c r="I92" s="122"/>
    </row>
    <row r="93" spans="1:9">
      <c r="A93" s="126">
        <v>129</v>
      </c>
      <c r="B93" s="127" t="s">
        <v>864</v>
      </c>
      <c r="C93" s="125"/>
      <c r="E93" s="126" t="s">
        <v>865</v>
      </c>
      <c r="F93" s="127" t="s">
        <v>866</v>
      </c>
      <c r="G93" s="126">
        <v>3075</v>
      </c>
      <c r="H93" s="127" t="s">
        <v>1470</v>
      </c>
      <c r="I93" s="122"/>
    </row>
    <row r="94" spans="1:9">
      <c r="A94" s="126"/>
      <c r="C94" s="125"/>
      <c r="E94" s="126" t="s">
        <v>867</v>
      </c>
      <c r="F94" s="127" t="s">
        <v>868</v>
      </c>
      <c r="G94" s="126">
        <v>3076</v>
      </c>
      <c r="H94" s="127" t="s">
        <v>1471</v>
      </c>
      <c r="I94" s="122"/>
    </row>
    <row r="95" spans="1:9">
      <c r="A95" s="126">
        <v>211</v>
      </c>
      <c r="B95" s="127" t="s">
        <v>869</v>
      </c>
      <c r="C95" s="125"/>
      <c r="E95" s="126" t="s">
        <v>870</v>
      </c>
      <c r="F95" s="127" t="s">
        <v>871</v>
      </c>
      <c r="G95" s="126">
        <v>3077</v>
      </c>
      <c r="H95" s="127" t="s">
        <v>1472</v>
      </c>
      <c r="I95" s="122"/>
    </row>
    <row r="96" spans="1:9">
      <c r="A96" s="126">
        <v>212</v>
      </c>
      <c r="B96" s="127" t="s">
        <v>872</v>
      </c>
      <c r="C96" s="125"/>
      <c r="E96" s="126" t="s">
        <v>873</v>
      </c>
      <c r="F96" s="127" t="s">
        <v>874</v>
      </c>
      <c r="G96" s="126">
        <v>3078</v>
      </c>
      <c r="H96" s="127" t="s">
        <v>1473</v>
      </c>
      <c r="I96" s="122"/>
    </row>
    <row r="97" spans="1:9">
      <c r="A97" s="126">
        <v>213</v>
      </c>
      <c r="B97" s="127" t="s">
        <v>875</v>
      </c>
      <c r="C97" s="125"/>
      <c r="E97" s="126" t="s">
        <v>587</v>
      </c>
      <c r="F97" s="127"/>
      <c r="G97" s="126">
        <v>3079</v>
      </c>
      <c r="H97" s="127" t="s">
        <v>1474</v>
      </c>
      <c r="I97" s="122"/>
    </row>
    <row r="98" spans="1:9">
      <c r="A98" s="126">
        <v>214</v>
      </c>
      <c r="B98" s="127" t="s">
        <v>876</v>
      </c>
      <c r="C98" s="125"/>
      <c r="E98" s="126" t="s">
        <v>877</v>
      </c>
      <c r="F98" s="127" t="s">
        <v>284</v>
      </c>
      <c r="G98" s="126">
        <v>3080</v>
      </c>
      <c r="H98" s="127" t="s">
        <v>1475</v>
      </c>
      <c r="I98" s="122"/>
    </row>
    <row r="99" spans="1:9">
      <c r="A99" s="126">
        <v>215</v>
      </c>
      <c r="B99" s="127" t="s">
        <v>878</v>
      </c>
      <c r="C99" s="125"/>
      <c r="E99" s="126" t="s">
        <v>879</v>
      </c>
      <c r="F99" s="127" t="s">
        <v>880</v>
      </c>
      <c r="G99" s="126">
        <v>3081</v>
      </c>
      <c r="H99" s="127" t="s">
        <v>1476</v>
      </c>
      <c r="I99" s="122"/>
    </row>
    <row r="100" spans="1:9">
      <c r="A100" s="126">
        <v>216</v>
      </c>
      <c r="B100" s="127" t="s">
        <v>881</v>
      </c>
      <c r="C100" s="125"/>
      <c r="G100" s="126">
        <v>3082</v>
      </c>
      <c r="H100" s="127" t="s">
        <v>1477</v>
      </c>
      <c r="I100" s="122"/>
    </row>
    <row r="101" spans="1:9">
      <c r="A101" s="126">
        <v>217</v>
      </c>
      <c r="B101" s="127" t="s">
        <v>882</v>
      </c>
      <c r="C101" s="125"/>
      <c r="G101" s="126">
        <v>3083</v>
      </c>
      <c r="H101" s="127" t="s">
        <v>1478</v>
      </c>
      <c r="I101" s="122"/>
    </row>
    <row r="102" spans="1:9">
      <c r="A102" s="126"/>
      <c r="C102" s="125"/>
      <c r="G102" s="133">
        <v>3084</v>
      </c>
      <c r="H102" s="123" t="s">
        <v>1479</v>
      </c>
      <c r="I102" s="122"/>
    </row>
    <row r="103" spans="1:9">
      <c r="A103" s="126">
        <v>221</v>
      </c>
      <c r="B103" s="127" t="s">
        <v>883</v>
      </c>
      <c r="C103" s="125"/>
      <c r="G103" s="133">
        <v>3085</v>
      </c>
      <c r="H103" s="123" t="s">
        <v>1480</v>
      </c>
      <c r="I103" s="122"/>
    </row>
    <row r="104" spans="1:9">
      <c r="A104" s="126">
        <v>222</v>
      </c>
      <c r="B104" s="127" t="s">
        <v>884</v>
      </c>
      <c r="C104" s="125"/>
      <c r="G104" s="133">
        <v>3086</v>
      </c>
      <c r="H104" s="123" t="s">
        <v>1481</v>
      </c>
      <c r="I104" s="122"/>
    </row>
    <row r="105" spans="1:9">
      <c r="A105" s="126">
        <v>223</v>
      </c>
      <c r="B105" s="127" t="s">
        <v>885</v>
      </c>
      <c r="C105" s="125"/>
      <c r="G105" s="133">
        <v>3087</v>
      </c>
      <c r="H105" s="123" t="s">
        <v>1482</v>
      </c>
      <c r="I105" s="122"/>
    </row>
    <row r="106" spans="1:9">
      <c r="A106" s="126">
        <v>224</v>
      </c>
      <c r="B106" s="127" t="s">
        <v>886</v>
      </c>
      <c r="C106" s="125"/>
      <c r="G106" s="133">
        <v>3088</v>
      </c>
      <c r="H106" s="123" t="s">
        <v>1483</v>
      </c>
      <c r="I106" s="122"/>
    </row>
    <row r="107" spans="1:9">
      <c r="A107" s="126">
        <v>225</v>
      </c>
      <c r="B107" s="127" t="s">
        <v>887</v>
      </c>
      <c r="C107" s="125"/>
      <c r="G107" s="133">
        <v>3089</v>
      </c>
      <c r="H107" s="123" t="s">
        <v>1484</v>
      </c>
      <c r="I107" s="122"/>
    </row>
    <row r="108" spans="1:9">
      <c r="A108" s="126"/>
      <c r="C108" s="125"/>
      <c r="G108" s="133">
        <v>3090</v>
      </c>
      <c r="H108" s="123" t="s">
        <v>1485</v>
      </c>
      <c r="I108" s="122"/>
    </row>
    <row r="109" spans="1:9">
      <c r="A109" s="126"/>
      <c r="C109" s="125"/>
      <c r="G109" s="133">
        <v>3091</v>
      </c>
      <c r="H109" s="123" t="s">
        <v>1486</v>
      </c>
      <c r="I109" s="122"/>
    </row>
    <row r="110" spans="1:9">
      <c r="A110" s="126"/>
      <c r="G110" s="133">
        <v>3092</v>
      </c>
      <c r="H110" s="123" t="s">
        <v>1487</v>
      </c>
      <c r="I110" s="122"/>
    </row>
    <row r="111" spans="1:9">
      <c r="A111" s="126"/>
      <c r="G111" s="133">
        <v>3093</v>
      </c>
      <c r="H111" s="123" t="s">
        <v>1488</v>
      </c>
      <c r="I111" s="122"/>
    </row>
    <row r="112" spans="1:9">
      <c r="A112" s="126"/>
      <c r="G112" s="133">
        <v>3094</v>
      </c>
      <c r="H112" s="123" t="s">
        <v>1489</v>
      </c>
      <c r="I112" s="122"/>
    </row>
    <row r="113" spans="1:9">
      <c r="A113" s="126">
        <v>311</v>
      </c>
      <c r="B113" s="127" t="s">
        <v>238</v>
      </c>
      <c r="G113" s="133">
        <v>3095</v>
      </c>
      <c r="H113" s="123" t="s">
        <v>1490</v>
      </c>
      <c r="I113" s="122"/>
    </row>
    <row r="114" spans="1:9">
      <c r="A114" s="126">
        <v>312</v>
      </c>
      <c r="B114" s="127" t="s">
        <v>240</v>
      </c>
      <c r="G114" s="133">
        <v>3096</v>
      </c>
      <c r="H114" s="123" t="s">
        <v>1491</v>
      </c>
      <c r="I114" s="122"/>
    </row>
    <row r="115" spans="1:9">
      <c r="A115" s="126">
        <v>313</v>
      </c>
      <c r="B115" s="127" t="s">
        <v>242</v>
      </c>
      <c r="G115" s="126">
        <v>1001</v>
      </c>
      <c r="H115" s="127" t="s">
        <v>1492</v>
      </c>
      <c r="I115" s="122"/>
    </row>
    <row r="116" spans="1:9">
      <c r="A116" s="126">
        <v>314</v>
      </c>
      <c r="B116" s="127" t="s">
        <v>243</v>
      </c>
      <c r="G116" s="126">
        <f t="shared" ref="G116:G121" si="0">+G115+1</f>
        <v>1002</v>
      </c>
      <c r="H116" s="127" t="s">
        <v>1493</v>
      </c>
      <c r="I116" s="122"/>
    </row>
    <row r="117" spans="1:9">
      <c r="A117" s="126"/>
      <c r="G117" s="126">
        <f t="shared" si="0"/>
        <v>1003</v>
      </c>
      <c r="H117" s="127" t="s">
        <v>1382</v>
      </c>
      <c r="I117" s="122"/>
    </row>
    <row r="118" spans="1:9">
      <c r="A118" s="126">
        <v>321</v>
      </c>
      <c r="B118" s="127" t="s">
        <v>246</v>
      </c>
      <c r="G118" s="126">
        <f t="shared" si="0"/>
        <v>1004</v>
      </c>
      <c r="H118" s="127" t="s">
        <v>1360</v>
      </c>
      <c r="I118" s="122"/>
    </row>
    <row r="119" spans="1:9">
      <c r="A119" s="126">
        <v>322</v>
      </c>
      <c r="B119" s="127" t="s">
        <v>248</v>
      </c>
      <c r="G119" s="126">
        <f t="shared" si="0"/>
        <v>1005</v>
      </c>
      <c r="H119" s="127" t="s">
        <v>1494</v>
      </c>
      <c r="I119" s="122"/>
    </row>
    <row r="120" spans="1:9">
      <c r="A120" s="126">
        <v>323</v>
      </c>
      <c r="B120" s="127" t="s">
        <v>250</v>
      </c>
      <c r="C120" s="122"/>
      <c r="G120" s="126">
        <f t="shared" si="0"/>
        <v>1006</v>
      </c>
      <c r="H120" s="127" t="s">
        <v>1495</v>
      </c>
      <c r="I120" s="122"/>
    </row>
    <row r="121" spans="1:9">
      <c r="A121" s="126">
        <v>324</v>
      </c>
      <c r="B121" s="127" t="s">
        <v>252</v>
      </c>
      <c r="C121" s="122"/>
      <c r="G121" s="126">
        <f t="shared" si="0"/>
        <v>1007</v>
      </c>
      <c r="H121" s="127" t="s">
        <v>1496</v>
      </c>
      <c r="I121" s="122"/>
    </row>
    <row r="122" spans="1:9">
      <c r="A122" s="126">
        <v>325</v>
      </c>
      <c r="B122" s="127" t="s">
        <v>254</v>
      </c>
      <c r="C122" s="122"/>
      <c r="G122" s="133">
        <v>3097</v>
      </c>
      <c r="H122" s="122" t="s">
        <v>1786</v>
      </c>
      <c r="I122" s="122"/>
    </row>
    <row r="123" spans="1:9">
      <c r="A123" s="126"/>
      <c r="B123" s="122"/>
      <c r="C123" s="122"/>
      <c r="G123" s="133">
        <v>3098</v>
      </c>
      <c r="H123" s="122" t="s">
        <v>1796</v>
      </c>
      <c r="I123" s="122"/>
    </row>
    <row r="124" spans="1:9">
      <c r="A124" s="126"/>
      <c r="B124" s="122"/>
      <c r="C124" s="122"/>
      <c r="G124" s="133">
        <v>3099</v>
      </c>
      <c r="H124" s="122" t="s">
        <v>1922</v>
      </c>
      <c r="I124" s="122"/>
    </row>
    <row r="125" spans="1:9">
      <c r="A125" s="126"/>
      <c r="B125" s="122"/>
      <c r="C125" s="122"/>
      <c r="G125" s="133">
        <v>3100</v>
      </c>
      <c r="H125" s="122" t="s">
        <v>1970</v>
      </c>
      <c r="I125" s="122"/>
    </row>
    <row r="126" spans="1:9">
      <c r="A126" s="126"/>
      <c r="B126" s="122"/>
      <c r="C126" s="122"/>
      <c r="G126" s="133">
        <v>3101</v>
      </c>
      <c r="H126" s="122" t="s">
        <v>1971</v>
      </c>
      <c r="I126" s="122"/>
    </row>
    <row r="127" spans="1:9">
      <c r="A127" s="126"/>
      <c r="B127" s="122"/>
      <c r="C127" s="122"/>
      <c r="G127" s="133">
        <v>3102</v>
      </c>
      <c r="H127" s="122" t="s">
        <v>1972</v>
      </c>
      <c r="I127" s="122"/>
    </row>
    <row r="128" spans="1:9">
      <c r="A128" s="126"/>
      <c r="B128" s="122"/>
      <c r="C128" s="122"/>
      <c r="G128" s="133">
        <v>3103</v>
      </c>
      <c r="H128" s="122" t="s">
        <v>1973</v>
      </c>
      <c r="I128" s="122"/>
    </row>
    <row r="129" spans="1:9">
      <c r="A129" s="126"/>
      <c r="B129" s="122"/>
      <c r="C129" s="122"/>
      <c r="G129" s="133">
        <v>3104</v>
      </c>
      <c r="H129" s="122" t="s">
        <v>2145</v>
      </c>
      <c r="I129" s="122"/>
    </row>
    <row r="130" spans="1:9">
      <c r="A130" s="126"/>
      <c r="B130" s="122"/>
      <c r="C130" s="122"/>
      <c r="G130" s="133">
        <v>3105</v>
      </c>
      <c r="H130" s="122" t="s">
        <v>2146</v>
      </c>
      <c r="I130" s="122"/>
    </row>
    <row r="131" spans="1:9">
      <c r="A131" s="126"/>
      <c r="B131" s="122"/>
      <c r="C131" s="122"/>
      <c r="G131" s="133">
        <v>3106</v>
      </c>
      <c r="H131" s="122" t="s">
        <v>2148</v>
      </c>
      <c r="I131" s="122"/>
    </row>
    <row r="132" spans="1:9">
      <c r="A132" s="126"/>
      <c r="B132" s="122"/>
      <c r="C132" s="122"/>
      <c r="G132" s="133">
        <v>3107</v>
      </c>
      <c r="H132" s="122" t="s">
        <v>2167</v>
      </c>
      <c r="I132" s="122"/>
    </row>
    <row r="133" spans="1:9">
      <c r="A133" s="126"/>
      <c r="B133" s="122"/>
      <c r="C133" s="122"/>
      <c r="G133" s="133">
        <v>3108</v>
      </c>
      <c r="H133" s="122" t="s">
        <v>2170</v>
      </c>
      <c r="I133" s="122"/>
    </row>
    <row r="134" spans="1:9">
      <c r="A134" s="126"/>
      <c r="B134" s="122"/>
      <c r="C134" s="122"/>
      <c r="G134" s="133">
        <v>3109</v>
      </c>
      <c r="H134" s="122" t="s">
        <v>2172</v>
      </c>
      <c r="I134" s="122"/>
    </row>
    <row r="135" spans="1:9">
      <c r="A135" s="126"/>
      <c r="B135" s="122"/>
      <c r="C135" s="122"/>
      <c r="G135" s="133">
        <v>3110</v>
      </c>
      <c r="H135" s="122" t="s">
        <v>2591</v>
      </c>
      <c r="I135" s="122"/>
    </row>
    <row r="136" spans="1:9">
      <c r="A136" s="126"/>
      <c r="B136" s="122"/>
      <c r="C136" s="122"/>
      <c r="G136" s="133">
        <v>3111</v>
      </c>
      <c r="H136" s="122" t="s">
        <v>2590</v>
      </c>
      <c r="I136" s="122"/>
    </row>
    <row r="137" spans="1:9">
      <c r="A137" s="126"/>
      <c r="B137" s="122"/>
      <c r="C137" s="122"/>
      <c r="G137" s="133">
        <v>3112</v>
      </c>
      <c r="H137" s="122" t="s">
        <v>2593</v>
      </c>
      <c r="I137" s="122"/>
    </row>
    <row r="138" spans="1:9">
      <c r="A138" s="126"/>
      <c r="B138" s="122"/>
      <c r="C138" s="122"/>
      <c r="G138" s="133">
        <v>3113</v>
      </c>
      <c r="H138" s="122" t="s">
        <v>2627</v>
      </c>
      <c r="I138" s="122"/>
    </row>
    <row r="139" spans="1:9">
      <c r="A139" s="126"/>
      <c r="B139" s="122"/>
      <c r="C139" s="122"/>
      <c r="I139" s="122"/>
    </row>
    <row r="140" spans="1:9">
      <c r="A140" s="126"/>
      <c r="B140" s="122"/>
      <c r="C140" s="122"/>
      <c r="I140" s="122"/>
    </row>
    <row r="141" spans="1:9">
      <c r="A141" s="126"/>
      <c r="B141" s="122"/>
      <c r="C141" s="122"/>
      <c r="I141" s="122"/>
    </row>
    <row r="142" spans="1:9">
      <c r="A142" s="122"/>
      <c r="B142" s="122"/>
      <c r="C142" s="122"/>
      <c r="I142" s="122"/>
    </row>
    <row r="143" spans="1:9">
      <c r="A143" s="122"/>
      <c r="B143" s="122"/>
      <c r="C143" s="122"/>
      <c r="I143" s="122"/>
    </row>
    <row r="144" spans="1:9">
      <c r="A144" s="122"/>
      <c r="B144" s="122"/>
      <c r="C144" s="122"/>
      <c r="I144" s="122"/>
    </row>
    <row r="145" spans="1:9">
      <c r="A145" s="122"/>
      <c r="B145" s="122"/>
      <c r="C145" s="122"/>
      <c r="I145" s="122"/>
    </row>
    <row r="146" spans="1:9">
      <c r="A146" s="122"/>
      <c r="B146" s="122"/>
      <c r="C146" s="122"/>
      <c r="I146" s="122"/>
    </row>
    <row r="147" spans="1:9">
      <c r="A147" s="122"/>
      <c r="B147" s="122"/>
      <c r="C147" s="122"/>
      <c r="I147" s="122"/>
    </row>
    <row r="148" spans="1:9">
      <c r="A148" s="122"/>
      <c r="B148" s="122"/>
      <c r="C148" s="122"/>
      <c r="I148" s="122"/>
    </row>
    <row r="149" spans="1:9">
      <c r="A149" s="122"/>
      <c r="B149" s="122"/>
      <c r="C149" s="122"/>
      <c r="I149" s="122"/>
    </row>
    <row r="150" spans="1:9">
      <c r="A150" s="122"/>
      <c r="B150" s="122"/>
      <c r="C150" s="122"/>
      <c r="I150" s="122"/>
    </row>
    <row r="151" spans="1:9">
      <c r="A151" s="122"/>
      <c r="B151" s="122"/>
      <c r="C151" s="122"/>
      <c r="I151" s="122"/>
    </row>
    <row r="152" spans="1:9">
      <c r="A152" s="122"/>
      <c r="B152" s="122"/>
      <c r="C152" s="122"/>
      <c r="I152" s="122"/>
    </row>
    <row r="153" spans="1:9">
      <c r="A153" s="122"/>
      <c r="B153" s="122"/>
      <c r="C153" s="122"/>
      <c r="I153" s="122"/>
    </row>
    <row r="154" spans="1:9">
      <c r="A154" s="122"/>
      <c r="B154" s="122"/>
      <c r="C154" s="122"/>
      <c r="I154" s="122"/>
    </row>
    <row r="155" spans="1:9">
      <c r="A155" s="122"/>
      <c r="B155" s="122"/>
      <c r="C155" s="122"/>
      <c r="I155" s="122"/>
    </row>
    <row r="156" spans="1:9">
      <c r="A156" s="122"/>
      <c r="B156" s="122"/>
      <c r="C156" s="122"/>
      <c r="I156" s="122"/>
    </row>
    <row r="157" spans="1:9">
      <c r="A157" s="122"/>
      <c r="B157" s="122"/>
      <c r="C157" s="122"/>
      <c r="I157" s="122"/>
    </row>
    <row r="158" spans="1:9">
      <c r="A158" s="122"/>
      <c r="B158" s="122"/>
      <c r="C158" s="122"/>
      <c r="I158" s="122"/>
    </row>
    <row r="159" spans="1:9">
      <c r="A159" s="122"/>
      <c r="B159" s="122"/>
      <c r="C159" s="122"/>
      <c r="I159" s="122"/>
    </row>
    <row r="160" spans="1:9">
      <c r="A160" s="122"/>
      <c r="B160" s="122"/>
      <c r="C160" s="122"/>
      <c r="I160" s="122"/>
    </row>
    <row r="161" spans="1:9">
      <c r="A161" s="122"/>
      <c r="B161" s="122"/>
      <c r="C161" s="122"/>
      <c r="I161" s="122"/>
    </row>
    <row r="162" spans="1:9">
      <c r="A162" s="122"/>
      <c r="B162" s="122"/>
      <c r="C162" s="122"/>
      <c r="I162" s="122"/>
    </row>
    <row r="163" spans="1:9">
      <c r="A163" s="122"/>
      <c r="B163" s="122"/>
      <c r="C163" s="122"/>
      <c r="I163" s="122"/>
    </row>
    <row r="164" spans="1:9">
      <c r="A164" s="122"/>
      <c r="B164" s="122"/>
      <c r="C164" s="122"/>
      <c r="I164" s="122"/>
    </row>
    <row r="165" spans="1:9">
      <c r="A165" s="122"/>
      <c r="B165" s="122"/>
      <c r="C165" s="122"/>
      <c r="I165" s="122"/>
    </row>
    <row r="166" spans="1:9">
      <c r="A166" s="122"/>
      <c r="B166" s="122"/>
      <c r="C166" s="122"/>
      <c r="I166" s="122"/>
    </row>
    <row r="167" spans="1:9">
      <c r="A167" s="122"/>
      <c r="B167" s="122"/>
      <c r="C167" s="122"/>
      <c r="I167" s="122"/>
    </row>
    <row r="168" spans="1:9">
      <c r="A168" s="122"/>
      <c r="B168" s="122"/>
      <c r="C168" s="122"/>
      <c r="I168" s="122"/>
    </row>
    <row r="169" spans="1:9">
      <c r="A169" s="122"/>
      <c r="B169" s="122"/>
      <c r="C169" s="122"/>
      <c r="I169" s="122"/>
    </row>
    <row r="170" spans="1:9">
      <c r="A170" s="122"/>
      <c r="B170" s="122"/>
      <c r="C170" s="122"/>
      <c r="I170" s="122"/>
    </row>
    <row r="171" spans="1:9">
      <c r="A171" s="122"/>
      <c r="B171" s="122"/>
      <c r="C171" s="122"/>
      <c r="I171" s="122"/>
    </row>
    <row r="172" spans="1:9">
      <c r="A172" s="122"/>
      <c r="B172" s="122"/>
      <c r="C172" s="122"/>
      <c r="I172" s="122"/>
    </row>
    <row r="173" spans="1:9">
      <c r="A173" s="122"/>
      <c r="B173" s="122"/>
      <c r="C173" s="122"/>
      <c r="I173" s="122"/>
    </row>
    <row r="174" spans="1:9">
      <c r="A174" s="122"/>
      <c r="B174" s="122"/>
      <c r="C174" s="122"/>
      <c r="I174" s="122"/>
    </row>
    <row r="175" spans="1:9">
      <c r="A175" s="122"/>
      <c r="B175" s="122"/>
      <c r="C175" s="122"/>
      <c r="I175" s="122"/>
    </row>
    <row r="176" spans="1:9">
      <c r="A176" s="122"/>
      <c r="B176" s="122"/>
      <c r="C176" s="122"/>
      <c r="I176" s="122"/>
    </row>
    <row r="177" spans="1:9">
      <c r="A177" s="122"/>
      <c r="B177" s="122"/>
      <c r="C177" s="122"/>
      <c r="I177" s="122"/>
    </row>
    <row r="178" spans="1:9">
      <c r="A178" s="122"/>
      <c r="B178" s="122"/>
      <c r="C178" s="122"/>
      <c r="I178" s="122"/>
    </row>
    <row r="179" spans="1:9">
      <c r="A179" s="122"/>
      <c r="B179" s="122"/>
      <c r="C179" s="122"/>
      <c r="I179" s="122"/>
    </row>
    <row r="180" spans="1:9">
      <c r="A180" s="122"/>
      <c r="B180" s="122"/>
      <c r="C180" s="122"/>
      <c r="I180" s="122"/>
    </row>
    <row r="181" spans="1:9">
      <c r="A181" s="122"/>
      <c r="B181" s="122"/>
      <c r="C181" s="122"/>
      <c r="I181" s="122"/>
    </row>
    <row r="182" spans="1:9">
      <c r="A182" s="122"/>
      <c r="B182" s="122"/>
      <c r="C182" s="122"/>
      <c r="I182" s="122"/>
    </row>
    <row r="183" spans="1:9">
      <c r="A183" s="122"/>
      <c r="B183" s="122"/>
      <c r="C183" s="122"/>
      <c r="I183" s="122"/>
    </row>
    <row r="184" spans="1:9">
      <c r="A184" s="122"/>
      <c r="B184" s="122"/>
      <c r="C184" s="122"/>
      <c r="I184" s="122"/>
    </row>
    <row r="185" spans="1:9">
      <c r="A185" s="122"/>
      <c r="B185" s="122"/>
      <c r="C185" s="122"/>
      <c r="G185" s="126"/>
      <c r="H185" s="127"/>
      <c r="I185" s="122"/>
    </row>
    <row r="186" spans="1:9">
      <c r="A186" s="122"/>
      <c r="B186" s="122"/>
      <c r="C186" s="122"/>
      <c r="G186" s="126"/>
      <c r="H186" s="127"/>
      <c r="I186" s="122"/>
    </row>
    <row r="187" spans="1:9">
      <c r="A187" s="122"/>
      <c r="B187" s="122"/>
      <c r="C187" s="122"/>
      <c r="G187" s="126"/>
      <c r="H187" s="127"/>
      <c r="I187" s="122"/>
    </row>
    <row r="188" spans="1:9">
      <c r="A188" s="122"/>
      <c r="B188" s="122"/>
      <c r="C188" s="122"/>
      <c r="G188" s="126"/>
      <c r="H188" s="127"/>
      <c r="I188" s="122"/>
    </row>
    <row r="189" spans="1:9">
      <c r="A189" s="122"/>
      <c r="B189" s="122"/>
      <c r="C189" s="122"/>
      <c r="G189" s="126"/>
      <c r="H189" s="127"/>
      <c r="I189" s="122"/>
    </row>
    <row r="190" spans="1:9">
      <c r="A190" s="122"/>
      <c r="B190" s="122"/>
      <c r="C190" s="122"/>
      <c r="G190" s="126"/>
      <c r="H190" s="127"/>
      <c r="I190" s="122"/>
    </row>
    <row r="191" spans="1:9">
      <c r="A191" s="122"/>
      <c r="B191" s="122"/>
      <c r="C191" s="122"/>
      <c r="G191" s="126"/>
      <c r="H191" s="127"/>
      <c r="I191" s="122"/>
    </row>
    <row r="192" spans="1:9">
      <c r="A192" s="122"/>
      <c r="B192" s="122"/>
      <c r="C192" s="122"/>
      <c r="G192" s="126"/>
      <c r="H192" s="127"/>
      <c r="I192" s="122"/>
    </row>
    <row r="193" spans="1:9">
      <c r="A193" s="122"/>
      <c r="B193" s="122"/>
      <c r="C193" s="122"/>
      <c r="G193" s="126"/>
      <c r="H193" s="127"/>
      <c r="I193" s="122"/>
    </row>
    <row r="194" spans="1:9">
      <c r="A194" s="122"/>
      <c r="B194" s="122"/>
      <c r="C194" s="122"/>
      <c r="G194" s="126"/>
      <c r="H194" s="127"/>
      <c r="I194" s="122"/>
    </row>
    <row r="195" spans="1:9">
      <c r="A195" s="122"/>
      <c r="B195" s="122"/>
      <c r="C195" s="122"/>
      <c r="G195" s="126"/>
      <c r="H195" s="127"/>
      <c r="I195" s="122"/>
    </row>
    <row r="196" spans="1:9">
      <c r="A196" s="122"/>
      <c r="B196" s="122"/>
      <c r="C196" s="122"/>
      <c r="G196" s="126"/>
      <c r="H196" s="127"/>
      <c r="I196" s="122"/>
    </row>
    <row r="197" spans="1:9">
      <c r="A197" s="122"/>
      <c r="B197" s="122"/>
      <c r="C197" s="122"/>
      <c r="G197" s="126"/>
      <c r="H197" s="127"/>
      <c r="I197" s="122"/>
    </row>
    <row r="198" spans="1:9">
      <c r="A198" s="122"/>
      <c r="B198" s="122"/>
      <c r="C198" s="122"/>
      <c r="G198" s="126"/>
      <c r="H198" s="127"/>
      <c r="I198" s="122"/>
    </row>
    <row r="199" spans="1:9">
      <c r="A199" s="122"/>
      <c r="B199" s="122"/>
      <c r="C199" s="122"/>
      <c r="G199" s="126"/>
      <c r="H199" s="127"/>
      <c r="I199" s="122"/>
    </row>
    <row r="200" spans="1:9">
      <c r="A200" s="122"/>
      <c r="B200" s="122"/>
      <c r="C200" s="122"/>
      <c r="G200" s="126"/>
      <c r="H200" s="127"/>
      <c r="I200" s="122"/>
    </row>
    <row r="201" spans="1:9">
      <c r="A201" s="122"/>
      <c r="B201" s="122"/>
      <c r="C201" s="122"/>
      <c r="G201" s="340" t="s">
        <v>7</v>
      </c>
      <c r="H201" s="137" t="s">
        <v>892</v>
      </c>
      <c r="I201" s="122"/>
    </row>
    <row r="202" spans="1:9">
      <c r="A202" s="122"/>
      <c r="B202" s="122"/>
      <c r="C202" s="122"/>
      <c r="I202" s="122"/>
    </row>
    <row r="203" spans="1:9">
      <c r="A203" s="122"/>
      <c r="B203" s="122"/>
      <c r="C203" s="122"/>
      <c r="I203" s="122"/>
    </row>
    <row r="204" spans="1:9">
      <c r="A204" s="122"/>
      <c r="B204" s="122"/>
      <c r="C204" s="122"/>
      <c r="I204" s="122"/>
    </row>
    <row r="205" spans="1:9">
      <c r="A205" s="122"/>
      <c r="B205" s="122"/>
      <c r="C205" s="122"/>
      <c r="I205" s="122"/>
    </row>
    <row r="206" spans="1:9">
      <c r="A206" s="122"/>
      <c r="B206" s="122"/>
      <c r="C206" s="122"/>
      <c r="I206" s="122"/>
    </row>
    <row r="207" spans="1:9">
      <c r="A207" s="122"/>
      <c r="B207" s="122"/>
      <c r="C207" s="122"/>
      <c r="I207" s="122"/>
    </row>
    <row r="208" spans="1:9">
      <c r="A208" s="122"/>
      <c r="B208" s="122"/>
      <c r="C208" s="122"/>
      <c r="I208" s="122"/>
    </row>
    <row r="209" spans="1:9">
      <c r="A209" s="122"/>
      <c r="B209" s="122"/>
      <c r="C209" s="122"/>
      <c r="I209" s="122"/>
    </row>
    <row r="210" spans="1:9">
      <c r="A210" s="122"/>
      <c r="B210" s="122"/>
      <c r="C210" s="122"/>
      <c r="I210" s="122"/>
    </row>
    <row r="211" spans="1:9">
      <c r="A211" s="122"/>
      <c r="B211" s="122"/>
      <c r="C211" s="122"/>
      <c r="I211" s="122"/>
    </row>
    <row r="212" spans="1:9">
      <c r="A212" s="122"/>
      <c r="B212" s="122"/>
      <c r="C212" s="122"/>
      <c r="I212" s="122"/>
    </row>
    <row r="213" spans="1:9">
      <c r="A213" s="122"/>
      <c r="B213" s="122"/>
      <c r="C213" s="122"/>
      <c r="I213" s="122"/>
    </row>
    <row r="214" spans="1:9">
      <c r="A214" s="122"/>
      <c r="B214" s="122"/>
      <c r="C214" s="122"/>
      <c r="I214" s="122"/>
    </row>
    <row r="215" spans="1:9">
      <c r="A215" s="122"/>
      <c r="B215" s="122"/>
      <c r="C215" s="122"/>
      <c r="I215" s="122"/>
    </row>
    <row r="216" spans="1:9">
      <c r="A216" s="122"/>
      <c r="B216" s="122"/>
      <c r="C216" s="122"/>
      <c r="I216" s="122"/>
    </row>
    <row r="217" spans="1:9">
      <c r="A217" s="122"/>
      <c r="B217" s="122"/>
      <c r="C217" s="122"/>
      <c r="I217" s="122"/>
    </row>
    <row r="218" spans="1:9">
      <c r="A218" s="122"/>
      <c r="B218" s="122"/>
      <c r="C218" s="122"/>
      <c r="I218" s="122"/>
    </row>
    <row r="219" spans="1:9">
      <c r="A219" s="122"/>
      <c r="B219" s="122"/>
      <c r="C219" s="122"/>
      <c r="I219" s="122"/>
    </row>
    <row r="220" spans="1:9">
      <c r="A220" s="122"/>
      <c r="B220" s="122"/>
      <c r="C220" s="122"/>
      <c r="I220" s="122"/>
    </row>
    <row r="221" spans="1:9">
      <c r="A221" s="122"/>
      <c r="B221" s="122"/>
      <c r="C221" s="122"/>
      <c r="I221" s="122"/>
    </row>
    <row r="222" spans="1:9">
      <c r="A222" s="122"/>
      <c r="B222" s="122"/>
      <c r="C222" s="122"/>
      <c r="I222" s="122"/>
    </row>
    <row r="223" spans="1:9">
      <c r="A223" s="122"/>
      <c r="B223" s="122"/>
      <c r="C223" s="122"/>
      <c r="I223" s="122"/>
    </row>
    <row r="224" spans="1:9">
      <c r="A224" s="122"/>
      <c r="B224" s="122"/>
      <c r="C224" s="122"/>
      <c r="I224" s="122"/>
    </row>
    <row r="225" spans="1:9">
      <c r="A225" s="122"/>
      <c r="B225" s="122"/>
      <c r="C225" s="122"/>
      <c r="I225" s="122"/>
    </row>
    <row r="226" spans="1:9">
      <c r="A226" s="122"/>
      <c r="B226" s="122"/>
      <c r="C226" s="122"/>
      <c r="I226" s="122"/>
    </row>
    <row r="227" spans="1:9">
      <c r="A227" s="122"/>
      <c r="B227" s="122"/>
      <c r="C227" s="122"/>
      <c r="I227" s="122"/>
    </row>
    <row r="228" spans="1:9">
      <c r="A228" s="122"/>
      <c r="B228" s="122"/>
      <c r="C228" s="122"/>
      <c r="I228" s="122"/>
    </row>
    <row r="229" spans="1:9">
      <c r="A229" s="122"/>
      <c r="B229" s="122"/>
      <c r="C229" s="122"/>
      <c r="I229" s="122"/>
    </row>
    <row r="230" spans="1:9">
      <c r="A230" s="122"/>
      <c r="B230" s="122"/>
      <c r="C230" s="122"/>
      <c r="I230" s="122"/>
    </row>
    <row r="231" spans="1:9">
      <c r="A231" s="122"/>
      <c r="B231" s="122"/>
      <c r="C231" s="122"/>
      <c r="I231" s="122"/>
    </row>
    <row r="232" spans="1:9">
      <c r="A232" s="122"/>
      <c r="B232" s="122"/>
      <c r="C232" s="122"/>
      <c r="I232" s="122"/>
    </row>
    <row r="233" spans="1:9">
      <c r="A233" s="122"/>
      <c r="B233" s="122"/>
      <c r="C233" s="122"/>
      <c r="I233" s="122"/>
    </row>
    <row r="234" spans="1:9">
      <c r="A234" s="122"/>
      <c r="B234" s="122"/>
      <c r="C234" s="122"/>
      <c r="I234" s="122"/>
    </row>
    <row r="235" spans="1:9">
      <c r="A235" s="122"/>
      <c r="B235" s="122"/>
      <c r="C235" s="122"/>
      <c r="I235" s="122"/>
    </row>
    <row r="236" spans="1:9">
      <c r="A236" s="122"/>
      <c r="B236" s="122"/>
      <c r="G236" s="126"/>
      <c r="H236" s="127"/>
      <c r="I236" s="122"/>
    </row>
    <row r="237" spans="1:9">
      <c r="A237" s="122"/>
      <c r="B237" s="122"/>
      <c r="G237" s="126"/>
      <c r="H237" s="127"/>
      <c r="I237" s="122"/>
    </row>
    <row r="238" spans="1:9">
      <c r="A238" s="122"/>
      <c r="B238" s="122"/>
      <c r="G238" s="126"/>
      <c r="H238" s="127"/>
      <c r="I238" s="122"/>
    </row>
    <row r="239" spans="1:9">
      <c r="A239" s="122"/>
      <c r="B239" s="122"/>
      <c r="C239" s="122"/>
      <c r="G239" s="126"/>
      <c r="H239" s="127"/>
      <c r="I239" s="122"/>
    </row>
    <row r="240" spans="1:9">
      <c r="A240" s="122"/>
      <c r="B240" s="122"/>
      <c r="C240" s="122"/>
      <c r="G240" s="126"/>
      <c r="H240" s="127"/>
      <c r="I240" s="122"/>
    </row>
    <row r="241" spans="1:9">
      <c r="A241" s="122"/>
      <c r="B241" s="122"/>
      <c r="C241" s="122"/>
      <c r="G241" s="126"/>
      <c r="H241" s="127"/>
      <c r="I241" s="122"/>
    </row>
    <row r="242" spans="1:9">
      <c r="A242" s="122"/>
      <c r="B242" s="122"/>
      <c r="C242" s="122"/>
      <c r="G242" s="126"/>
      <c r="H242" s="127"/>
      <c r="I242" s="122"/>
    </row>
    <row r="243" spans="1:9">
      <c r="A243" s="122"/>
      <c r="B243" s="122"/>
      <c r="C243" s="122"/>
      <c r="G243" s="126"/>
      <c r="H243" s="127"/>
      <c r="I243" s="122"/>
    </row>
    <row r="244" spans="1:9">
      <c r="A244" s="122"/>
      <c r="B244" s="122"/>
      <c r="C244" s="122"/>
      <c r="G244" s="126"/>
      <c r="H244" s="127"/>
      <c r="I244" s="122"/>
    </row>
    <row r="245" spans="1:9">
      <c r="A245" s="122"/>
      <c r="B245" s="122"/>
      <c r="C245" s="122"/>
      <c r="G245" s="126"/>
      <c r="H245" s="127"/>
      <c r="I245" s="122"/>
    </row>
    <row r="246" spans="1:9">
      <c r="A246" s="122"/>
      <c r="B246" s="122"/>
      <c r="C246" s="122"/>
      <c r="G246" s="126"/>
      <c r="H246" s="127"/>
      <c r="I246" s="122"/>
    </row>
    <row r="247" spans="1:9">
      <c r="A247" s="122"/>
      <c r="B247" s="122"/>
      <c r="C247" s="122"/>
      <c r="G247" s="126"/>
      <c r="I247" s="122"/>
    </row>
    <row r="248" spans="1:9">
      <c r="A248" s="122"/>
      <c r="B248" s="122"/>
      <c r="C248" s="122"/>
      <c r="G248" s="126"/>
      <c r="I248" s="122"/>
    </row>
    <row r="249" spans="1:9">
      <c r="A249" s="122"/>
      <c r="B249" s="122"/>
      <c r="C249" s="122"/>
      <c r="G249" s="126"/>
      <c r="I249" s="122"/>
    </row>
    <row r="250" spans="1:9">
      <c r="A250" s="122"/>
      <c r="B250" s="122"/>
      <c r="G250" s="126"/>
      <c r="I250" s="122"/>
    </row>
    <row r="251" spans="1:9">
      <c r="A251" s="122"/>
      <c r="B251" s="122"/>
      <c r="G251" s="126"/>
      <c r="I251" s="122"/>
    </row>
    <row r="252" spans="1:9">
      <c r="A252" s="122"/>
      <c r="B252" s="122"/>
      <c r="G252" s="126"/>
      <c r="I252" s="122"/>
    </row>
    <row r="253" spans="1:9">
      <c r="A253" s="122"/>
      <c r="B253" s="122"/>
      <c r="G253" s="126"/>
      <c r="I253" s="122"/>
    </row>
    <row r="254" spans="1:9">
      <c r="A254" s="122"/>
      <c r="B254" s="122"/>
      <c r="G254" s="126"/>
      <c r="I254" s="122"/>
    </row>
    <row r="255" spans="1:9">
      <c r="A255" s="122"/>
      <c r="B255" s="122"/>
      <c r="G255" s="126"/>
      <c r="I255" s="122"/>
    </row>
    <row r="256" spans="1:9">
      <c r="A256" s="122"/>
      <c r="B256" s="122"/>
      <c r="G256" s="126"/>
      <c r="I256" s="122"/>
    </row>
    <row r="257" spans="1:9">
      <c r="A257" s="122"/>
      <c r="B257" s="122"/>
      <c r="C257" s="122"/>
      <c r="G257" s="126"/>
      <c r="I257" s="122"/>
    </row>
    <row r="258" spans="1:9">
      <c r="A258" s="122"/>
      <c r="B258" s="122"/>
      <c r="C258" s="122"/>
      <c r="G258" s="126"/>
      <c r="I258" s="122"/>
    </row>
    <row r="259" spans="1:9">
      <c r="A259" s="122"/>
      <c r="B259" s="122"/>
      <c r="C259" s="122"/>
      <c r="G259" s="126"/>
      <c r="I259" s="122"/>
    </row>
    <row r="260" spans="1:9">
      <c r="A260" s="122"/>
      <c r="B260" s="122"/>
      <c r="C260" s="122"/>
      <c r="G260" s="126"/>
      <c r="I260" s="122"/>
    </row>
    <row r="261" spans="1:9">
      <c r="A261" s="122"/>
      <c r="B261" s="122"/>
      <c r="C261" s="122"/>
      <c r="G261" s="126"/>
      <c r="I261" s="122"/>
    </row>
    <row r="262" spans="1:9">
      <c r="A262" s="122"/>
      <c r="B262" s="122"/>
      <c r="C262" s="122"/>
      <c r="G262" s="126"/>
      <c r="I262" s="122"/>
    </row>
    <row r="263" spans="1:9">
      <c r="A263" s="122"/>
      <c r="B263" s="122"/>
      <c r="C263" s="122"/>
      <c r="G263" s="126"/>
      <c r="I263" s="122"/>
    </row>
    <row r="264" spans="1:9">
      <c r="A264" s="122"/>
      <c r="B264" s="122"/>
      <c r="C264" s="122"/>
      <c r="G264" s="126"/>
      <c r="I264" s="122"/>
    </row>
    <row r="265" spans="1:9">
      <c r="A265" s="122"/>
      <c r="B265" s="122"/>
      <c r="C265" s="122"/>
      <c r="G265" s="126"/>
      <c r="I265" s="122"/>
    </row>
    <row r="266" spans="1:9">
      <c r="A266" s="122"/>
      <c r="B266" s="122"/>
      <c r="C266" s="122"/>
      <c r="G266" s="126"/>
      <c r="I266" s="122"/>
    </row>
    <row r="267" spans="1:9">
      <c r="A267" s="122"/>
      <c r="B267" s="122"/>
      <c r="C267" s="122"/>
      <c r="G267" s="126"/>
      <c r="I267" s="122"/>
    </row>
    <row r="268" spans="1:9">
      <c r="A268" s="122"/>
      <c r="B268" s="122"/>
      <c r="C268" s="122"/>
      <c r="G268" s="126"/>
      <c r="I268" s="122"/>
    </row>
    <row r="269" spans="1:9">
      <c r="A269" s="122"/>
      <c r="B269" s="122"/>
      <c r="C269" s="122"/>
      <c r="G269" s="126"/>
      <c r="I269" s="122"/>
    </row>
    <row r="270" spans="1:9">
      <c r="A270" s="122"/>
      <c r="B270" s="122"/>
      <c r="C270" s="122"/>
      <c r="G270" s="126"/>
      <c r="I270" s="122"/>
    </row>
    <row r="271" spans="1:9">
      <c r="A271" s="122"/>
      <c r="B271" s="122"/>
      <c r="C271" s="122"/>
      <c r="G271" s="126"/>
      <c r="I271" s="122"/>
    </row>
    <row r="272" spans="1:9">
      <c r="A272" s="122"/>
      <c r="B272" s="122"/>
      <c r="C272" s="122"/>
      <c r="G272" s="126"/>
      <c r="I272" s="122"/>
    </row>
    <row r="273" spans="1:9">
      <c r="A273" s="122"/>
      <c r="B273" s="122"/>
      <c r="C273" s="122"/>
      <c r="G273" s="126"/>
      <c r="I273" s="122"/>
    </row>
    <row r="274" spans="1:9">
      <c r="A274" s="122"/>
      <c r="B274" s="122"/>
      <c r="C274" s="122"/>
      <c r="G274" s="126"/>
      <c r="I274" s="122"/>
    </row>
    <row r="275" spans="1:9">
      <c r="A275" s="122"/>
      <c r="B275" s="122"/>
      <c r="C275" s="122"/>
      <c r="G275" s="126"/>
      <c r="I275" s="122"/>
    </row>
    <row r="276" spans="1:9">
      <c r="A276" s="122"/>
      <c r="B276" s="122"/>
      <c r="C276" s="122"/>
      <c r="G276" s="126"/>
      <c r="I276" s="122"/>
    </row>
    <row r="277" spans="1:9">
      <c r="A277" s="122"/>
      <c r="B277" s="122"/>
      <c r="C277" s="122"/>
      <c r="G277" s="126"/>
      <c r="I277" s="122"/>
    </row>
    <row r="278" spans="1:9">
      <c r="A278" s="122"/>
      <c r="B278" s="122"/>
      <c r="C278" s="122"/>
      <c r="G278" s="126"/>
      <c r="I278" s="122"/>
    </row>
    <row r="279" spans="1:9">
      <c r="A279" s="122"/>
      <c r="B279" s="122"/>
      <c r="C279" s="122"/>
      <c r="G279" s="126"/>
      <c r="I279" s="122"/>
    </row>
    <row r="280" spans="1:9">
      <c r="A280" s="122"/>
      <c r="B280" s="122"/>
      <c r="C280" s="122"/>
      <c r="G280" s="126"/>
      <c r="I280" s="122"/>
    </row>
    <row r="281" spans="1:9">
      <c r="A281" s="122"/>
      <c r="B281" s="122"/>
      <c r="C281" s="122"/>
      <c r="G281" s="126"/>
      <c r="I281" s="122"/>
    </row>
    <row r="282" spans="1:9">
      <c r="A282" s="122"/>
      <c r="B282" s="122"/>
      <c r="C282" s="122"/>
      <c r="G282" s="126"/>
      <c r="I282" s="122"/>
    </row>
    <row r="283" spans="1:9">
      <c r="A283" s="122"/>
      <c r="B283" s="122"/>
      <c r="C283" s="122"/>
      <c r="G283" s="126"/>
      <c r="I283" s="122"/>
    </row>
    <row r="284" spans="1:9">
      <c r="A284" s="122"/>
      <c r="B284" s="122"/>
      <c r="C284" s="122"/>
      <c r="G284" s="126"/>
      <c r="I284" s="122"/>
    </row>
    <row r="285" spans="1:9">
      <c r="A285" s="122"/>
      <c r="B285" s="122"/>
      <c r="C285" s="122"/>
      <c r="G285" s="126"/>
      <c r="I285" s="122"/>
    </row>
    <row r="286" spans="1:9">
      <c r="A286" s="122"/>
      <c r="B286" s="122"/>
      <c r="C286" s="122"/>
      <c r="G286" s="126"/>
      <c r="I286" s="122"/>
    </row>
    <row r="287" spans="1:9">
      <c r="A287" s="122"/>
      <c r="B287" s="122"/>
      <c r="C287" s="122"/>
      <c r="G287" s="126"/>
      <c r="I287" s="122"/>
    </row>
    <row r="288" spans="1:9">
      <c r="A288" s="122"/>
      <c r="B288" s="122"/>
      <c r="C288" s="122"/>
      <c r="G288" s="126"/>
      <c r="I288" s="122"/>
    </row>
    <row r="289" spans="1:9">
      <c r="A289" s="122"/>
      <c r="B289" s="122"/>
      <c r="C289" s="122"/>
      <c r="G289" s="126"/>
      <c r="I289" s="122"/>
    </row>
    <row r="290" spans="1:9">
      <c r="A290" s="122"/>
      <c r="B290" s="122"/>
      <c r="C290" s="122"/>
      <c r="G290" s="126"/>
      <c r="I290" s="122"/>
    </row>
    <row r="291" spans="1:9">
      <c r="A291" s="122"/>
      <c r="B291" s="122"/>
      <c r="C291" s="122"/>
      <c r="G291" s="126"/>
      <c r="I291" s="122"/>
    </row>
    <row r="292" spans="1:9">
      <c r="A292" s="122"/>
      <c r="B292" s="122"/>
      <c r="C292" s="122"/>
      <c r="G292" s="126"/>
      <c r="I292" s="122"/>
    </row>
    <row r="293" spans="1:9">
      <c r="A293" s="122"/>
      <c r="B293" s="122"/>
      <c r="C293" s="122"/>
      <c r="G293" s="126"/>
      <c r="I293" s="122"/>
    </row>
    <row r="294" spans="1:9">
      <c r="A294" s="122"/>
      <c r="B294" s="122"/>
      <c r="C294" s="122"/>
      <c r="G294" s="126"/>
      <c r="I294" s="122"/>
    </row>
    <row r="295" spans="1:9">
      <c r="A295" s="122"/>
      <c r="B295" s="122"/>
      <c r="C295" s="122"/>
      <c r="G295" s="126"/>
      <c r="I295" s="122"/>
    </row>
    <row r="296" spans="1:9">
      <c r="A296" s="122"/>
      <c r="B296" s="122"/>
      <c r="C296" s="122"/>
      <c r="G296" s="126"/>
      <c r="I296" s="122"/>
    </row>
    <row r="297" spans="1:9">
      <c r="A297" s="122"/>
      <c r="B297" s="122"/>
      <c r="C297" s="122"/>
      <c r="G297" s="126"/>
      <c r="I297" s="122"/>
    </row>
    <row r="298" spans="1:9">
      <c r="A298" s="122"/>
      <c r="B298" s="122"/>
      <c r="C298" s="122"/>
      <c r="G298" s="126"/>
      <c r="I298" s="122"/>
    </row>
    <row r="299" spans="1:9">
      <c r="A299" s="122"/>
      <c r="B299" s="122"/>
      <c r="C299" s="122"/>
      <c r="G299" s="126"/>
      <c r="I299" s="122"/>
    </row>
    <row r="300" spans="1:9">
      <c r="A300" s="122"/>
      <c r="B300" s="122"/>
      <c r="C300" s="122"/>
      <c r="G300" s="126"/>
      <c r="I300" s="122"/>
    </row>
    <row r="301" spans="1:9">
      <c r="A301" s="122"/>
      <c r="B301" s="122"/>
      <c r="C301" s="122"/>
      <c r="G301" s="126"/>
      <c r="I301" s="122"/>
    </row>
    <row r="302" spans="1:9">
      <c r="A302" s="122"/>
      <c r="B302" s="122"/>
      <c r="C302" s="122"/>
      <c r="G302" s="126"/>
      <c r="I302" s="122"/>
    </row>
    <row r="303" spans="1:9">
      <c r="A303" s="122"/>
      <c r="B303" s="122"/>
      <c r="C303" s="122"/>
      <c r="G303" s="126"/>
      <c r="I303" s="122"/>
    </row>
    <row r="304" spans="1:9">
      <c r="A304" s="122"/>
      <c r="B304" s="122"/>
      <c r="C304" s="122"/>
      <c r="G304" s="126"/>
      <c r="I304" s="122"/>
    </row>
    <row r="305" spans="1:9">
      <c r="A305" s="122"/>
      <c r="B305" s="122"/>
      <c r="C305" s="122"/>
      <c r="G305" s="126"/>
      <c r="I305" s="122"/>
    </row>
    <row r="306" spans="1:9">
      <c r="A306" s="122"/>
      <c r="B306" s="122"/>
      <c r="C306" s="122"/>
      <c r="G306" s="126"/>
      <c r="I306" s="122"/>
    </row>
    <row r="307" spans="1:9">
      <c r="A307" s="122"/>
      <c r="B307" s="122"/>
      <c r="C307" s="122"/>
      <c r="G307" s="126"/>
      <c r="I307" s="122"/>
    </row>
    <row r="308" spans="1:9">
      <c r="A308" s="122"/>
      <c r="B308" s="122"/>
      <c r="C308" s="122"/>
      <c r="G308" s="126"/>
      <c r="I308" s="122"/>
    </row>
    <row r="309" spans="1:9">
      <c r="A309" s="122"/>
      <c r="B309" s="122"/>
      <c r="C309" s="122"/>
      <c r="G309" s="126"/>
      <c r="I309" s="122"/>
    </row>
    <row r="310" spans="1:9">
      <c r="A310" s="122"/>
      <c r="B310" s="122"/>
      <c r="C310" s="122"/>
      <c r="G310" s="126"/>
      <c r="I310" s="122"/>
    </row>
    <row r="311" spans="1:9">
      <c r="A311" s="122"/>
      <c r="B311" s="122"/>
      <c r="C311" s="122"/>
      <c r="G311" s="126"/>
      <c r="I311" s="122"/>
    </row>
    <row r="312" spans="1:9">
      <c r="A312" s="122"/>
      <c r="B312" s="122"/>
      <c r="C312" s="122"/>
      <c r="G312" s="126"/>
      <c r="I312" s="122"/>
    </row>
    <row r="313" spans="1:9">
      <c r="A313" s="122"/>
      <c r="B313" s="122"/>
      <c r="C313" s="122"/>
      <c r="G313" s="126"/>
      <c r="I313" s="122"/>
    </row>
    <row r="314" spans="1:9">
      <c r="A314" s="122"/>
      <c r="B314" s="122"/>
      <c r="C314" s="122"/>
      <c r="G314" s="126"/>
      <c r="I314" s="122"/>
    </row>
    <row r="315" spans="1:9">
      <c r="A315" s="122"/>
      <c r="B315" s="122"/>
      <c r="C315" s="122"/>
      <c r="G315" s="126"/>
      <c r="I315" s="122"/>
    </row>
    <row r="316" spans="1:9">
      <c r="A316" s="122"/>
      <c r="B316" s="122"/>
      <c r="C316" s="122"/>
      <c r="G316" s="126"/>
      <c r="I316" s="122"/>
    </row>
    <row r="317" spans="1:9">
      <c r="A317" s="122"/>
      <c r="B317" s="122"/>
      <c r="C317" s="122"/>
      <c r="G317" s="126"/>
      <c r="I317" s="122"/>
    </row>
    <row r="318" spans="1:9">
      <c r="A318" s="122"/>
      <c r="B318" s="122"/>
      <c r="C318" s="122"/>
      <c r="G318" s="126"/>
      <c r="I318" s="122"/>
    </row>
    <row r="319" spans="1:9">
      <c r="A319" s="122"/>
      <c r="B319" s="122"/>
      <c r="C319" s="122"/>
      <c r="G319" s="126"/>
      <c r="I319" s="122"/>
    </row>
    <row r="320" spans="1:9">
      <c r="A320" s="122"/>
      <c r="B320" s="122"/>
      <c r="C320" s="122"/>
      <c r="G320" s="126"/>
      <c r="I320" s="122"/>
    </row>
    <row r="321" spans="1:9">
      <c r="A321" s="122"/>
      <c r="B321" s="122"/>
      <c r="C321" s="122"/>
      <c r="G321" s="126"/>
      <c r="I321" s="122"/>
    </row>
    <row r="322" spans="1:9">
      <c r="A322" s="122"/>
      <c r="B322" s="122"/>
      <c r="C322" s="122"/>
      <c r="G322" s="126"/>
      <c r="I322" s="122"/>
    </row>
    <row r="323" spans="1:9">
      <c r="A323" s="122"/>
      <c r="B323" s="122"/>
      <c r="C323" s="122"/>
      <c r="G323" s="126"/>
      <c r="I323" s="122"/>
    </row>
    <row r="324" spans="1:9">
      <c r="A324" s="122"/>
      <c r="B324" s="122"/>
      <c r="C324" s="122"/>
      <c r="G324" s="126"/>
      <c r="I324" s="122"/>
    </row>
    <row r="325" spans="1:9">
      <c r="A325" s="122"/>
      <c r="B325" s="122"/>
      <c r="C325" s="122"/>
      <c r="G325" s="126"/>
      <c r="I325" s="122"/>
    </row>
    <row r="326" spans="1:9">
      <c r="A326" s="122"/>
      <c r="B326" s="122"/>
      <c r="C326" s="122"/>
      <c r="G326" s="126"/>
      <c r="I326" s="122"/>
    </row>
    <row r="327" spans="1:9">
      <c r="A327" s="122"/>
      <c r="B327" s="122"/>
      <c r="C327" s="122"/>
      <c r="G327" s="126"/>
      <c r="I327" s="122"/>
    </row>
    <row r="328" spans="1:9">
      <c r="A328" s="122"/>
      <c r="B328" s="122"/>
      <c r="C328" s="122"/>
      <c r="G328" s="126"/>
      <c r="I328" s="122"/>
    </row>
    <row r="329" spans="1:9">
      <c r="A329" s="122"/>
      <c r="B329" s="122"/>
      <c r="C329" s="122"/>
      <c r="G329" s="126"/>
      <c r="I329" s="122"/>
    </row>
    <row r="330" spans="1:9">
      <c r="A330" s="122"/>
      <c r="B330" s="122"/>
      <c r="C330" s="122"/>
      <c r="G330" s="126"/>
      <c r="I330" s="122"/>
    </row>
    <row r="331" spans="1:9">
      <c r="A331" s="122"/>
      <c r="B331" s="122"/>
      <c r="C331" s="122"/>
      <c r="G331" s="126"/>
      <c r="I331" s="122"/>
    </row>
    <row r="332" spans="1:9">
      <c r="A332" s="122"/>
      <c r="B332" s="122"/>
      <c r="C332" s="122"/>
      <c r="G332" s="126"/>
      <c r="I332" s="122"/>
    </row>
    <row r="333" spans="1:9">
      <c r="A333" s="122"/>
      <c r="B333" s="122"/>
      <c r="C333" s="122"/>
      <c r="G333" s="126"/>
      <c r="I333" s="122"/>
    </row>
    <row r="334" spans="1:9">
      <c r="A334" s="122"/>
      <c r="B334" s="122"/>
      <c r="C334" s="122"/>
      <c r="G334" s="126"/>
      <c r="I334" s="122"/>
    </row>
    <row r="335" spans="1:9">
      <c r="A335" s="122"/>
      <c r="B335" s="122"/>
      <c r="C335" s="122"/>
      <c r="G335" s="126"/>
      <c r="I335" s="122"/>
    </row>
    <row r="336" spans="1:9">
      <c r="A336" s="122"/>
      <c r="B336" s="122"/>
      <c r="C336" s="122"/>
      <c r="G336" s="126"/>
      <c r="I336" s="122"/>
    </row>
    <row r="337" spans="1:9">
      <c r="A337" s="122"/>
      <c r="B337" s="122"/>
      <c r="C337" s="122"/>
      <c r="G337" s="126"/>
      <c r="I337" s="122"/>
    </row>
    <row r="338" spans="1:9">
      <c r="A338" s="122"/>
      <c r="B338" s="122"/>
      <c r="C338" s="122"/>
      <c r="G338" s="126"/>
      <c r="I338" s="122"/>
    </row>
    <row r="339" spans="1:9">
      <c r="A339" s="122"/>
      <c r="B339" s="122"/>
      <c r="C339" s="122"/>
      <c r="G339" s="126"/>
      <c r="I339" s="122"/>
    </row>
    <row r="340" spans="1:9">
      <c r="A340" s="122"/>
      <c r="B340" s="122"/>
      <c r="C340" s="122"/>
      <c r="G340" s="126"/>
      <c r="I340" s="122"/>
    </row>
    <row r="341" spans="1:9">
      <c r="A341" s="122"/>
      <c r="B341" s="122"/>
      <c r="C341" s="122"/>
      <c r="G341" s="126"/>
      <c r="I341" s="122"/>
    </row>
    <row r="342" spans="1:9">
      <c r="A342" s="122"/>
      <c r="B342" s="122"/>
      <c r="C342" s="122"/>
      <c r="G342" s="126"/>
      <c r="I342" s="122"/>
    </row>
    <row r="343" spans="1:9">
      <c r="A343" s="122"/>
      <c r="B343" s="122"/>
      <c r="C343" s="122"/>
      <c r="G343" s="126"/>
      <c r="I343" s="122"/>
    </row>
    <row r="344" spans="1:9">
      <c r="A344" s="122"/>
      <c r="B344" s="122"/>
      <c r="C344" s="122"/>
      <c r="G344" s="126"/>
      <c r="I344" s="122"/>
    </row>
    <row r="345" spans="1:9">
      <c r="A345" s="122"/>
      <c r="B345" s="122"/>
      <c r="C345" s="122"/>
      <c r="G345" s="126"/>
      <c r="I345" s="122"/>
    </row>
    <row r="346" spans="1:9">
      <c r="A346" s="122"/>
      <c r="B346" s="122"/>
      <c r="C346" s="122"/>
      <c r="G346" s="126"/>
      <c r="I346" s="122"/>
    </row>
    <row r="347" spans="1:9">
      <c r="A347" s="122"/>
      <c r="B347" s="122"/>
      <c r="C347" s="122"/>
      <c r="G347" s="126"/>
      <c r="I347" s="122"/>
    </row>
    <row r="348" spans="1:9">
      <c r="A348" s="122"/>
      <c r="B348" s="122"/>
      <c r="C348" s="122"/>
      <c r="G348" s="126"/>
      <c r="I348" s="122"/>
    </row>
    <row r="349" spans="1:9">
      <c r="A349" s="122"/>
      <c r="B349" s="122"/>
      <c r="C349" s="122"/>
      <c r="G349" s="126"/>
      <c r="I349" s="122"/>
    </row>
    <row r="350" spans="1:9">
      <c r="A350" s="122"/>
      <c r="B350" s="122"/>
      <c r="C350" s="122"/>
      <c r="G350" s="126"/>
      <c r="I350" s="122"/>
    </row>
    <row r="351" spans="1:9">
      <c r="A351" s="122"/>
      <c r="B351" s="122"/>
      <c r="C351" s="122"/>
      <c r="G351" s="126"/>
      <c r="I351" s="122"/>
    </row>
    <row r="352" spans="1:9">
      <c r="A352" s="122"/>
      <c r="B352" s="122"/>
      <c r="C352" s="122"/>
      <c r="G352" s="126"/>
      <c r="I352" s="122"/>
    </row>
    <row r="353" spans="1:9">
      <c r="A353" s="122"/>
      <c r="B353" s="122"/>
      <c r="C353" s="122"/>
      <c r="G353" s="126"/>
      <c r="I353" s="122"/>
    </row>
    <row r="354" spans="1:9">
      <c r="A354" s="122"/>
      <c r="B354" s="122"/>
      <c r="C354" s="122"/>
      <c r="G354" s="126"/>
      <c r="I354" s="122"/>
    </row>
    <row r="355" spans="1:9">
      <c r="A355" s="122"/>
      <c r="B355" s="122"/>
      <c r="C355" s="122"/>
      <c r="G355" s="126"/>
      <c r="I355" s="122"/>
    </row>
    <row r="356" spans="1:9">
      <c r="A356" s="122"/>
      <c r="B356" s="122"/>
      <c r="C356" s="122"/>
      <c r="G356" s="126"/>
      <c r="I356" s="122"/>
    </row>
    <row r="357" spans="1:9">
      <c r="A357" s="122"/>
      <c r="B357" s="122"/>
      <c r="C357" s="122"/>
      <c r="G357" s="126"/>
      <c r="I357" s="122"/>
    </row>
    <row r="358" spans="1:9">
      <c r="A358" s="122"/>
      <c r="B358" s="122"/>
      <c r="C358" s="122"/>
      <c r="G358" s="126"/>
      <c r="I358" s="122"/>
    </row>
    <row r="359" spans="1:9">
      <c r="A359" s="122"/>
      <c r="B359" s="122"/>
      <c r="C359" s="122"/>
      <c r="G359" s="126"/>
      <c r="I359" s="122"/>
    </row>
    <row r="360" spans="1:9">
      <c r="A360" s="122"/>
      <c r="B360" s="122"/>
      <c r="C360" s="122"/>
      <c r="G360" s="126"/>
      <c r="I360" s="122"/>
    </row>
    <row r="361" spans="1:9">
      <c r="A361" s="122"/>
      <c r="B361" s="122"/>
      <c r="C361" s="122"/>
      <c r="G361" s="126"/>
      <c r="I361" s="122"/>
    </row>
    <row r="362" spans="1:9">
      <c r="A362" s="122"/>
      <c r="B362" s="122"/>
      <c r="C362" s="122"/>
      <c r="G362" s="126"/>
      <c r="I362" s="122"/>
    </row>
    <row r="363" spans="1:9">
      <c r="A363" s="122"/>
      <c r="B363" s="122"/>
      <c r="C363" s="122"/>
      <c r="G363" s="126"/>
      <c r="I363" s="122"/>
    </row>
    <row r="364" spans="1:9">
      <c r="A364" s="122"/>
      <c r="B364" s="122"/>
      <c r="C364" s="122"/>
      <c r="G364" s="126"/>
      <c r="I364" s="122"/>
    </row>
    <row r="365" spans="1:9">
      <c r="A365" s="122"/>
      <c r="B365" s="122"/>
      <c r="C365" s="122"/>
      <c r="G365" s="126"/>
      <c r="I365" s="122"/>
    </row>
    <row r="366" spans="1:9">
      <c r="A366" s="122"/>
      <c r="B366" s="122"/>
      <c r="C366" s="122"/>
      <c r="G366" s="126"/>
      <c r="I366" s="122"/>
    </row>
    <row r="367" spans="1:9">
      <c r="A367" s="122"/>
      <c r="B367" s="122"/>
      <c r="C367" s="122"/>
      <c r="G367" s="126"/>
      <c r="I367" s="122"/>
    </row>
    <row r="368" spans="1:9">
      <c r="A368" s="122"/>
      <c r="B368" s="122"/>
      <c r="C368" s="122"/>
      <c r="G368" s="126"/>
      <c r="I368" s="122"/>
    </row>
    <row r="369" spans="1:9">
      <c r="A369" s="122"/>
      <c r="B369" s="122"/>
      <c r="C369" s="122"/>
      <c r="G369" s="126"/>
      <c r="I369" s="122"/>
    </row>
    <row r="370" spans="1:9">
      <c r="A370" s="122"/>
      <c r="B370" s="122"/>
      <c r="C370" s="122"/>
      <c r="G370" s="126"/>
      <c r="I370" s="122"/>
    </row>
    <row r="371" spans="1:9">
      <c r="A371" s="122"/>
      <c r="B371" s="122"/>
      <c r="C371" s="122"/>
      <c r="G371" s="126"/>
      <c r="I371" s="122"/>
    </row>
    <row r="372" spans="1:9">
      <c r="A372" s="122"/>
      <c r="B372" s="122"/>
      <c r="C372" s="122"/>
      <c r="G372" s="126"/>
      <c r="I372" s="122"/>
    </row>
    <row r="373" spans="1:9">
      <c r="A373" s="122"/>
      <c r="B373" s="122"/>
      <c r="C373" s="122"/>
      <c r="G373" s="126"/>
      <c r="I373" s="122"/>
    </row>
    <row r="374" spans="1:9">
      <c r="A374" s="122"/>
      <c r="B374" s="122"/>
      <c r="C374" s="122"/>
      <c r="G374" s="126"/>
      <c r="I374" s="122"/>
    </row>
    <row r="375" spans="1:9">
      <c r="A375" s="122"/>
      <c r="B375" s="122"/>
      <c r="C375" s="122"/>
      <c r="G375" s="126"/>
      <c r="I375" s="122"/>
    </row>
    <row r="376" spans="1:9">
      <c r="A376" s="122"/>
      <c r="B376" s="122"/>
      <c r="C376" s="122"/>
      <c r="G376" s="126"/>
      <c r="I376" s="122"/>
    </row>
    <row r="377" spans="1:9">
      <c r="A377" s="122"/>
      <c r="B377" s="122"/>
      <c r="C377" s="122"/>
      <c r="G377" s="126"/>
      <c r="I377" s="122"/>
    </row>
    <row r="378" spans="1:9">
      <c r="A378" s="122"/>
      <c r="B378" s="122"/>
      <c r="C378" s="122"/>
      <c r="G378" s="126"/>
      <c r="I378" s="122"/>
    </row>
    <row r="379" spans="1:9">
      <c r="A379" s="122"/>
      <c r="B379" s="122"/>
      <c r="C379" s="122"/>
      <c r="G379" s="126"/>
      <c r="I379" s="122"/>
    </row>
    <row r="380" spans="1:9">
      <c r="A380" s="122"/>
      <c r="B380" s="122"/>
      <c r="C380" s="122"/>
      <c r="G380" s="126"/>
      <c r="I380" s="122"/>
    </row>
    <row r="381" spans="1:9">
      <c r="A381" s="122"/>
      <c r="B381" s="122"/>
      <c r="C381" s="122"/>
      <c r="G381" s="126"/>
      <c r="I381" s="122"/>
    </row>
    <row r="382" spans="1:9">
      <c r="A382" s="122"/>
      <c r="B382" s="122"/>
      <c r="C382" s="122"/>
      <c r="G382" s="126"/>
      <c r="I382" s="122"/>
    </row>
    <row r="383" spans="1:9">
      <c r="A383" s="122"/>
      <c r="B383" s="122"/>
      <c r="C383" s="122"/>
      <c r="G383" s="126"/>
      <c r="I383" s="122"/>
    </row>
    <row r="384" spans="1:9">
      <c r="A384" s="122"/>
      <c r="B384" s="122"/>
      <c r="C384" s="122"/>
      <c r="G384" s="126"/>
      <c r="I384" s="122"/>
    </row>
    <row r="385" spans="1:9">
      <c r="A385" s="122"/>
      <c r="B385" s="122"/>
      <c r="C385" s="122"/>
      <c r="G385" s="126"/>
      <c r="I385" s="122"/>
    </row>
    <row r="386" spans="1:9">
      <c r="A386" s="122"/>
      <c r="B386" s="122"/>
      <c r="C386" s="122"/>
      <c r="G386" s="126"/>
      <c r="I386" s="122"/>
    </row>
    <row r="387" spans="1:9">
      <c r="A387" s="122"/>
      <c r="B387" s="122"/>
      <c r="C387" s="122"/>
      <c r="G387" s="126"/>
      <c r="I387" s="122"/>
    </row>
    <row r="388" spans="1:9">
      <c r="A388" s="122"/>
      <c r="B388" s="122"/>
      <c r="C388" s="122"/>
      <c r="G388" s="126"/>
      <c r="I388" s="122"/>
    </row>
    <row r="389" spans="1:9">
      <c r="A389" s="122"/>
      <c r="B389" s="122"/>
      <c r="C389" s="122"/>
      <c r="G389" s="126"/>
      <c r="I389" s="122"/>
    </row>
    <row r="390" spans="1:9">
      <c r="A390" s="122"/>
      <c r="B390" s="122"/>
      <c r="C390" s="122"/>
      <c r="G390" s="126"/>
      <c r="I390" s="122"/>
    </row>
    <row r="391" spans="1:9">
      <c r="A391" s="122"/>
      <c r="B391" s="122"/>
      <c r="C391" s="122"/>
      <c r="G391" s="126"/>
      <c r="I391" s="122"/>
    </row>
    <row r="392" spans="1:9">
      <c r="A392" s="122"/>
      <c r="B392" s="122"/>
      <c r="C392" s="122"/>
      <c r="G392" s="126"/>
      <c r="I392" s="122"/>
    </row>
    <row r="393" spans="1:9">
      <c r="A393" s="122"/>
      <c r="B393" s="122"/>
      <c r="C393" s="122"/>
      <c r="G393" s="126"/>
      <c r="I393" s="122"/>
    </row>
    <row r="394" spans="1:9">
      <c r="A394" s="122"/>
      <c r="B394" s="122"/>
      <c r="C394" s="122"/>
      <c r="G394" s="126"/>
      <c r="I394" s="122"/>
    </row>
    <row r="395" spans="1:9">
      <c r="A395" s="122"/>
      <c r="B395" s="122"/>
      <c r="C395" s="122"/>
      <c r="G395" s="126"/>
      <c r="I395" s="122"/>
    </row>
    <row r="396" spans="1:9">
      <c r="A396" s="122"/>
      <c r="B396" s="122"/>
      <c r="C396" s="122"/>
      <c r="G396" s="126"/>
      <c r="I396" s="122"/>
    </row>
    <row r="397" spans="1:9">
      <c r="A397" s="122"/>
      <c r="B397" s="122"/>
      <c r="C397" s="122"/>
      <c r="G397" s="126"/>
      <c r="I397" s="122"/>
    </row>
    <row r="398" spans="1:9">
      <c r="A398" s="122"/>
      <c r="B398" s="122"/>
      <c r="C398" s="122"/>
      <c r="G398" s="126"/>
      <c r="I398" s="122"/>
    </row>
    <row r="399" spans="1:9">
      <c r="A399" s="122"/>
      <c r="B399" s="122"/>
      <c r="C399" s="122"/>
      <c r="G399" s="126"/>
      <c r="I399" s="122"/>
    </row>
    <row r="400" spans="1:9">
      <c r="A400" s="122"/>
      <c r="B400" s="122"/>
      <c r="C400" s="122"/>
      <c r="G400" s="126"/>
      <c r="I400" s="122"/>
    </row>
    <row r="401" spans="1:9">
      <c r="A401" s="122"/>
      <c r="B401" s="122"/>
      <c r="C401" s="122"/>
      <c r="G401" s="126"/>
      <c r="I401" s="122"/>
    </row>
    <row r="402" spans="1:9">
      <c r="A402" s="122"/>
      <c r="B402" s="122"/>
      <c r="C402" s="122"/>
      <c r="G402" s="126"/>
      <c r="I402" s="122"/>
    </row>
    <row r="403" spans="1:9">
      <c r="A403" s="122"/>
      <c r="B403" s="122"/>
      <c r="C403" s="122"/>
      <c r="G403" s="126"/>
      <c r="I403" s="122"/>
    </row>
    <row r="404" spans="1:9">
      <c r="A404" s="122"/>
      <c r="B404" s="122"/>
      <c r="C404" s="122"/>
      <c r="G404" s="126"/>
      <c r="I404" s="122"/>
    </row>
    <row r="405" spans="1:9">
      <c r="A405" s="122"/>
      <c r="B405" s="122"/>
      <c r="C405" s="122"/>
      <c r="G405" s="126"/>
      <c r="I405" s="122"/>
    </row>
    <row r="406" spans="1:9">
      <c r="A406" s="122"/>
      <c r="B406" s="122"/>
      <c r="C406" s="122"/>
      <c r="G406" s="126"/>
      <c r="I406" s="122"/>
    </row>
    <row r="407" spans="1:9">
      <c r="A407" s="122"/>
      <c r="B407" s="122"/>
      <c r="C407" s="122"/>
      <c r="G407" s="126"/>
      <c r="I407" s="122"/>
    </row>
    <row r="408" spans="1:9">
      <c r="A408" s="122"/>
      <c r="B408" s="122"/>
      <c r="C408" s="122"/>
      <c r="G408" s="126"/>
      <c r="I408" s="122"/>
    </row>
    <row r="409" spans="1:9">
      <c r="A409" s="122"/>
      <c r="B409" s="122"/>
      <c r="C409" s="122"/>
      <c r="G409" s="126"/>
      <c r="I409" s="122"/>
    </row>
    <row r="410" spans="1:9">
      <c r="A410" s="122"/>
      <c r="B410" s="122"/>
      <c r="C410" s="122"/>
      <c r="G410" s="126"/>
      <c r="I410" s="122"/>
    </row>
    <row r="411" spans="1:9">
      <c r="A411" s="122"/>
      <c r="B411" s="122"/>
      <c r="C411" s="122"/>
      <c r="G411" s="126"/>
      <c r="I411" s="122"/>
    </row>
    <row r="412" spans="1:9">
      <c r="A412" s="122"/>
      <c r="B412" s="122"/>
      <c r="C412" s="122"/>
      <c r="G412" s="126"/>
      <c r="I412" s="122"/>
    </row>
    <row r="413" spans="1:9">
      <c r="A413" s="122"/>
      <c r="B413" s="122"/>
      <c r="C413" s="122"/>
      <c r="G413" s="126"/>
      <c r="I413" s="122"/>
    </row>
    <row r="414" spans="1:9">
      <c r="A414" s="122"/>
      <c r="B414" s="122"/>
      <c r="C414" s="122"/>
      <c r="G414" s="126"/>
      <c r="I414" s="122"/>
    </row>
    <row r="415" spans="1:9">
      <c r="A415" s="122"/>
      <c r="B415" s="122"/>
      <c r="C415" s="122"/>
      <c r="G415" s="126"/>
      <c r="I415" s="122"/>
    </row>
    <row r="416" spans="1:9">
      <c r="A416" s="122"/>
      <c r="B416" s="122"/>
      <c r="C416" s="122"/>
      <c r="G416" s="126"/>
      <c r="I416" s="122"/>
    </row>
    <row r="417" spans="1:9">
      <c r="A417" s="122"/>
      <c r="B417" s="122"/>
      <c r="C417" s="122"/>
      <c r="G417" s="126"/>
      <c r="I417" s="122"/>
    </row>
    <row r="418" spans="1:9">
      <c r="A418" s="122"/>
      <c r="B418" s="122"/>
      <c r="C418" s="122"/>
      <c r="G418" s="126"/>
      <c r="I418" s="122"/>
    </row>
    <row r="419" spans="1:9">
      <c r="A419" s="122"/>
      <c r="B419" s="122"/>
      <c r="C419" s="122"/>
      <c r="G419" s="126"/>
      <c r="I419" s="122"/>
    </row>
    <row r="420" spans="1:9">
      <c r="A420" s="122"/>
      <c r="B420" s="122"/>
      <c r="C420" s="122"/>
      <c r="G420" s="126"/>
      <c r="I420" s="122"/>
    </row>
    <row r="421" spans="1:9">
      <c r="A421" s="122"/>
      <c r="B421" s="122"/>
      <c r="C421" s="122"/>
      <c r="G421" s="126"/>
      <c r="I421" s="122"/>
    </row>
    <row r="422" spans="1:9">
      <c r="A422" s="122"/>
      <c r="B422" s="122"/>
      <c r="C422" s="122"/>
      <c r="G422" s="126"/>
      <c r="I422" s="122"/>
    </row>
    <row r="423" spans="1:9">
      <c r="A423" s="122"/>
      <c r="B423" s="122"/>
      <c r="C423" s="122"/>
      <c r="G423" s="126"/>
      <c r="I423" s="122"/>
    </row>
    <row r="424" spans="1:9">
      <c r="A424" s="122"/>
      <c r="B424" s="122"/>
      <c r="C424" s="122"/>
      <c r="G424" s="126"/>
      <c r="I424" s="122"/>
    </row>
    <row r="425" spans="1:9">
      <c r="A425" s="122"/>
      <c r="B425" s="122"/>
      <c r="C425" s="122"/>
      <c r="G425" s="126"/>
      <c r="I425" s="122"/>
    </row>
    <row r="426" spans="1:9">
      <c r="A426" s="122"/>
      <c r="B426" s="122"/>
      <c r="C426" s="122"/>
      <c r="G426" s="126"/>
      <c r="I426" s="122"/>
    </row>
    <row r="427" spans="1:9">
      <c r="A427" s="122"/>
      <c r="B427" s="122"/>
      <c r="C427" s="122"/>
      <c r="G427" s="126"/>
      <c r="I427" s="122"/>
    </row>
    <row r="428" spans="1:9">
      <c r="A428" s="122"/>
      <c r="B428" s="122"/>
      <c r="C428" s="122"/>
      <c r="G428" s="126"/>
      <c r="I428" s="122"/>
    </row>
    <row r="429" spans="1:9">
      <c r="A429" s="122"/>
      <c r="B429" s="122"/>
      <c r="C429" s="122"/>
      <c r="G429" s="126"/>
      <c r="I429" s="122"/>
    </row>
    <row r="430" spans="1:9">
      <c r="A430" s="122"/>
      <c r="B430" s="122"/>
      <c r="C430" s="122"/>
      <c r="G430" s="126"/>
      <c r="I430" s="122"/>
    </row>
    <row r="431" spans="1:9">
      <c r="A431" s="122"/>
      <c r="B431" s="122"/>
      <c r="C431" s="122"/>
      <c r="G431" s="126"/>
      <c r="I431" s="122"/>
    </row>
    <row r="432" spans="1:9">
      <c r="A432" s="122"/>
      <c r="B432" s="122"/>
      <c r="C432" s="122"/>
      <c r="G432" s="126"/>
      <c r="I432" s="122"/>
    </row>
    <row r="433" spans="1:9">
      <c r="A433" s="122"/>
      <c r="B433" s="122"/>
      <c r="C433" s="122"/>
      <c r="G433" s="126"/>
      <c r="I433" s="122"/>
    </row>
    <row r="434" spans="1:9">
      <c r="A434" s="122"/>
      <c r="B434" s="122"/>
      <c r="C434" s="122"/>
      <c r="G434" s="126"/>
      <c r="I434" s="122"/>
    </row>
    <row r="435" spans="1:9">
      <c r="A435" s="122"/>
      <c r="B435" s="122"/>
      <c r="C435" s="122"/>
      <c r="G435" s="126"/>
      <c r="I435" s="122"/>
    </row>
    <row r="436" spans="1:9">
      <c r="A436" s="122"/>
      <c r="B436" s="122"/>
      <c r="C436" s="122"/>
      <c r="G436" s="126"/>
      <c r="I436" s="122"/>
    </row>
    <row r="437" spans="1:9">
      <c r="A437" s="122"/>
      <c r="B437" s="122"/>
      <c r="C437" s="122"/>
      <c r="G437" s="126"/>
      <c r="I437" s="122"/>
    </row>
    <row r="438" spans="1:9">
      <c r="A438" s="122"/>
      <c r="B438" s="122"/>
      <c r="C438" s="122"/>
      <c r="G438" s="126"/>
      <c r="I438" s="122"/>
    </row>
    <row r="439" spans="1:9">
      <c r="A439" s="122"/>
      <c r="B439" s="122"/>
      <c r="C439" s="122"/>
      <c r="G439" s="126"/>
      <c r="I439" s="122"/>
    </row>
    <row r="440" spans="1:9">
      <c r="A440" s="122"/>
      <c r="B440" s="122"/>
      <c r="C440" s="122"/>
      <c r="G440" s="126"/>
      <c r="I440" s="122"/>
    </row>
    <row r="441" spans="1:9">
      <c r="A441" s="122"/>
      <c r="B441" s="122"/>
      <c r="C441" s="122"/>
      <c r="G441" s="126"/>
      <c r="I441" s="122"/>
    </row>
    <row r="442" spans="1:9">
      <c r="A442" s="122"/>
      <c r="B442" s="122"/>
      <c r="C442" s="122"/>
      <c r="G442" s="126"/>
      <c r="I442" s="122"/>
    </row>
    <row r="443" spans="1:9">
      <c r="A443" s="122"/>
      <c r="B443" s="122"/>
      <c r="C443" s="122"/>
      <c r="G443" s="126"/>
      <c r="I443" s="122"/>
    </row>
    <row r="444" spans="1:9">
      <c r="A444" s="122"/>
      <c r="B444" s="122"/>
      <c r="C444" s="122"/>
      <c r="G444" s="126"/>
      <c r="I444" s="122"/>
    </row>
    <row r="445" spans="1:9">
      <c r="A445" s="122"/>
      <c r="B445" s="122"/>
      <c r="C445" s="122"/>
      <c r="G445" s="126"/>
      <c r="I445" s="122"/>
    </row>
    <row r="446" spans="1:9">
      <c r="A446" s="122"/>
      <c r="B446" s="122"/>
      <c r="C446" s="122"/>
      <c r="G446" s="126"/>
      <c r="I446" s="122"/>
    </row>
    <row r="447" spans="1:9">
      <c r="A447" s="122"/>
      <c r="B447" s="122"/>
      <c r="C447" s="122"/>
      <c r="G447" s="126"/>
      <c r="I447" s="122"/>
    </row>
    <row r="448" spans="1:9">
      <c r="A448" s="122"/>
      <c r="B448" s="122"/>
      <c r="C448" s="122"/>
      <c r="G448" s="126"/>
      <c r="I448" s="122"/>
    </row>
    <row r="449" spans="1:9">
      <c r="A449" s="122"/>
      <c r="B449" s="122"/>
      <c r="C449" s="122"/>
      <c r="G449" s="126"/>
      <c r="I449" s="122"/>
    </row>
    <row r="450" spans="1:9">
      <c r="A450" s="122"/>
      <c r="B450" s="122"/>
      <c r="C450" s="122"/>
      <c r="G450" s="126"/>
      <c r="I450" s="122"/>
    </row>
    <row r="451" spans="1:9">
      <c r="A451" s="122"/>
      <c r="B451" s="122"/>
      <c r="C451" s="122"/>
      <c r="G451" s="126"/>
      <c r="I451" s="122"/>
    </row>
    <row r="452" spans="1:9">
      <c r="A452" s="122"/>
      <c r="B452" s="122"/>
      <c r="C452" s="122"/>
      <c r="G452" s="126"/>
      <c r="I452" s="122"/>
    </row>
    <row r="453" spans="1:9">
      <c r="A453" s="122"/>
      <c r="B453" s="122"/>
      <c r="C453" s="122"/>
      <c r="G453" s="126"/>
      <c r="I453" s="122"/>
    </row>
    <row r="454" spans="1:9">
      <c r="A454" s="122"/>
      <c r="B454" s="122"/>
      <c r="C454" s="122"/>
      <c r="G454" s="126"/>
      <c r="I454" s="122"/>
    </row>
    <row r="455" spans="1:9">
      <c r="A455" s="122"/>
      <c r="B455" s="122"/>
      <c r="C455" s="122"/>
      <c r="G455" s="126"/>
      <c r="H455" s="127"/>
      <c r="I455" s="122"/>
    </row>
    <row r="456" spans="1:9">
      <c r="A456" s="122"/>
      <c r="B456" s="122"/>
      <c r="C456" s="122"/>
      <c r="G456" s="126"/>
      <c r="H456" s="127"/>
      <c r="I456" s="122"/>
    </row>
    <row r="457" spans="1:9">
      <c r="A457" s="122"/>
      <c r="B457" s="122"/>
      <c r="C457" s="122"/>
      <c r="G457" s="126"/>
      <c r="H457" s="127"/>
      <c r="I457" s="122"/>
    </row>
    <row r="458" spans="1:9">
      <c r="A458" s="122"/>
      <c r="B458" s="122"/>
      <c r="C458" s="122"/>
      <c r="G458" s="126"/>
      <c r="H458" s="127"/>
      <c r="I458" s="122"/>
    </row>
    <row r="459" spans="1:9">
      <c r="A459" s="122"/>
      <c r="B459" s="122"/>
      <c r="C459" s="122"/>
      <c r="G459" s="126"/>
      <c r="H459" s="127"/>
      <c r="I459" s="122"/>
    </row>
    <row r="460" spans="1:9">
      <c r="A460" s="122"/>
      <c r="B460" s="122"/>
      <c r="C460" s="122"/>
      <c r="G460" s="126"/>
      <c r="I460" s="122"/>
    </row>
    <row r="461" spans="1:9">
      <c r="A461" s="122"/>
      <c r="B461" s="122"/>
      <c r="C461" s="122"/>
      <c r="G461" s="126"/>
      <c r="I461" s="122"/>
    </row>
    <row r="462" spans="1:9">
      <c r="A462" s="122"/>
      <c r="B462" s="122"/>
      <c r="C462" s="122"/>
      <c r="G462" s="126"/>
      <c r="I462" s="122"/>
    </row>
    <row r="463" spans="1:9">
      <c r="A463" s="122"/>
      <c r="B463" s="122"/>
      <c r="C463" s="122"/>
      <c r="G463" s="126"/>
      <c r="H463" s="127"/>
      <c r="I463" s="122"/>
    </row>
    <row r="464" spans="1:9">
      <c r="A464" s="122"/>
      <c r="B464" s="122"/>
      <c r="C464" s="122"/>
      <c r="G464" s="126"/>
      <c r="H464" s="127"/>
      <c r="I464" s="122"/>
    </row>
    <row r="465" spans="1:9">
      <c r="A465" s="122"/>
      <c r="B465" s="122"/>
      <c r="C465" s="122"/>
      <c r="G465" s="126"/>
      <c r="H465" s="127"/>
      <c r="I465" s="122"/>
    </row>
    <row r="466" spans="1:9">
      <c r="A466" s="122"/>
      <c r="B466" s="122"/>
      <c r="C466" s="122"/>
      <c r="G466" s="126"/>
      <c r="H466" s="127"/>
      <c r="I466" s="122"/>
    </row>
    <row r="467" spans="1:9">
      <c r="A467" s="122"/>
      <c r="B467" s="122"/>
      <c r="C467" s="122"/>
      <c r="G467" s="126"/>
      <c r="H467" s="127"/>
      <c r="I467" s="122"/>
    </row>
    <row r="468" spans="1:9">
      <c r="A468" s="122"/>
      <c r="B468" s="122"/>
      <c r="C468" s="122"/>
      <c r="G468" s="126"/>
      <c r="H468" s="127"/>
      <c r="I468" s="122"/>
    </row>
    <row r="469" spans="1:9">
      <c r="A469" s="122"/>
      <c r="B469" s="122"/>
      <c r="C469" s="122"/>
      <c r="G469" s="126"/>
      <c r="H469" s="127"/>
      <c r="I469" s="122"/>
    </row>
    <row r="470" spans="1:9">
      <c r="A470" s="122"/>
      <c r="B470" s="122"/>
      <c r="C470" s="122"/>
      <c r="G470" s="126"/>
      <c r="H470" s="127"/>
      <c r="I470" s="122"/>
    </row>
    <row r="471" spans="1:9">
      <c r="A471" s="122"/>
      <c r="B471" s="122"/>
      <c r="C471" s="122"/>
      <c r="G471" s="126"/>
      <c r="H471" s="127"/>
      <c r="I471" s="122"/>
    </row>
    <row r="472" spans="1:9">
      <c r="A472" s="122"/>
      <c r="B472" s="122"/>
      <c r="C472" s="122"/>
      <c r="G472" s="126"/>
      <c r="H472" s="127"/>
      <c r="I472" s="122"/>
    </row>
    <row r="473" spans="1:9">
      <c r="A473" s="122"/>
      <c r="B473" s="122"/>
      <c r="C473" s="122"/>
      <c r="G473" s="126"/>
      <c r="H473" s="127"/>
      <c r="I473" s="122"/>
    </row>
    <row r="474" spans="1:9">
      <c r="A474" s="122"/>
      <c r="B474" s="122"/>
      <c r="C474" s="122"/>
      <c r="G474" s="126"/>
      <c r="H474" s="127"/>
      <c r="I474" s="122"/>
    </row>
    <row r="475" spans="1:9">
      <c r="A475" s="122"/>
      <c r="B475" s="122"/>
      <c r="C475" s="122"/>
      <c r="G475" s="126"/>
      <c r="H475" s="127"/>
      <c r="I475" s="122"/>
    </row>
    <row r="476" spans="1:9">
      <c r="A476" s="122"/>
      <c r="B476" s="122"/>
      <c r="C476" s="122"/>
      <c r="G476" s="126"/>
      <c r="H476" s="127"/>
      <c r="I476" s="122"/>
    </row>
    <row r="477" spans="1:9">
      <c r="A477" s="122"/>
      <c r="B477" s="122"/>
      <c r="C477" s="122"/>
      <c r="G477" s="126"/>
      <c r="H477" s="127"/>
      <c r="I477" s="122"/>
    </row>
    <row r="478" spans="1:9">
      <c r="A478" s="122"/>
      <c r="B478" s="122"/>
      <c r="C478" s="122"/>
      <c r="G478" s="126"/>
      <c r="H478" s="127"/>
      <c r="I478" s="122"/>
    </row>
    <row r="479" spans="1:9">
      <c r="A479" s="122"/>
      <c r="B479" s="122"/>
      <c r="C479" s="122"/>
      <c r="G479" s="126"/>
      <c r="H479" s="127"/>
      <c r="I479" s="122"/>
    </row>
    <row r="480" spans="1:9">
      <c r="A480" s="122"/>
      <c r="B480" s="122"/>
      <c r="C480" s="122"/>
      <c r="G480" s="126"/>
      <c r="H480" s="127"/>
      <c r="I480" s="122"/>
    </row>
    <row r="481" spans="1:9">
      <c r="A481" s="122"/>
      <c r="B481" s="122"/>
      <c r="C481" s="122"/>
      <c r="G481" s="126"/>
      <c r="H481" s="127"/>
      <c r="I481" s="122"/>
    </row>
    <row r="482" spans="1:9">
      <c r="A482" s="122"/>
      <c r="B482" s="122"/>
      <c r="C482" s="122"/>
      <c r="G482" s="126"/>
      <c r="H482" s="127"/>
      <c r="I482" s="122"/>
    </row>
    <row r="483" spans="1:9">
      <c r="A483" s="122"/>
      <c r="B483" s="122"/>
      <c r="C483" s="122"/>
      <c r="G483" s="126"/>
      <c r="H483" s="127"/>
      <c r="I483" s="122"/>
    </row>
    <row r="484" spans="1:9">
      <c r="A484" s="122"/>
      <c r="B484" s="122"/>
      <c r="C484" s="122"/>
      <c r="G484" s="126"/>
      <c r="H484" s="127"/>
      <c r="I484" s="122"/>
    </row>
    <row r="485" spans="1:9">
      <c r="A485" s="122"/>
      <c r="B485" s="122"/>
      <c r="C485" s="122"/>
      <c r="G485" s="126"/>
      <c r="H485" s="127"/>
      <c r="I485" s="122"/>
    </row>
    <row r="486" spans="1:9">
      <c r="A486" s="122"/>
      <c r="B486" s="122"/>
      <c r="C486" s="122"/>
      <c r="G486" s="126"/>
      <c r="H486" s="127"/>
      <c r="I486" s="122"/>
    </row>
    <row r="487" spans="1:9">
      <c r="A487" s="122"/>
      <c r="B487" s="122"/>
      <c r="C487" s="122"/>
      <c r="G487" s="126"/>
      <c r="H487" s="127"/>
      <c r="I487" s="122"/>
    </row>
    <row r="488" spans="1:9">
      <c r="A488" s="122"/>
      <c r="B488" s="122"/>
      <c r="C488" s="122"/>
      <c r="G488" s="126"/>
      <c r="H488" s="127"/>
      <c r="I488" s="122"/>
    </row>
    <row r="489" spans="1:9">
      <c r="A489" s="122"/>
      <c r="B489" s="122"/>
      <c r="C489" s="122"/>
      <c r="I489" s="122"/>
    </row>
    <row r="490" spans="1:9">
      <c r="A490" s="122"/>
      <c r="B490" s="122"/>
      <c r="C490" s="122"/>
      <c r="I490" s="122"/>
    </row>
    <row r="491" spans="1:9">
      <c r="A491" s="122"/>
      <c r="B491" s="122"/>
      <c r="C491" s="122"/>
      <c r="I491" s="122"/>
    </row>
    <row r="492" spans="1:9">
      <c r="A492" s="122"/>
      <c r="B492" s="122"/>
      <c r="C492" s="122"/>
      <c r="I492" s="122"/>
    </row>
    <row r="493" spans="1:9">
      <c r="A493" s="122"/>
      <c r="B493" s="122"/>
      <c r="C493" s="122"/>
      <c r="I493" s="122"/>
    </row>
    <row r="494" spans="1:9">
      <c r="A494" s="122"/>
      <c r="B494" s="122"/>
      <c r="C494" s="122"/>
      <c r="I494" s="122"/>
    </row>
    <row r="495" spans="1:9">
      <c r="A495" s="122"/>
      <c r="B495" s="122"/>
      <c r="C495" s="122"/>
      <c r="I495" s="122"/>
    </row>
    <row r="496" spans="1:9">
      <c r="A496" s="122"/>
      <c r="B496" s="122"/>
      <c r="C496" s="122"/>
      <c r="I496" s="122"/>
    </row>
    <row r="497" spans="7:12" s="122" customFormat="1">
      <c r="G497" s="133"/>
      <c r="I497" s="123"/>
      <c r="J497" s="123"/>
      <c r="K497" s="123"/>
      <c r="L497" s="123"/>
    </row>
    <row r="498" spans="7:12" s="122" customFormat="1">
      <c r="G498" s="133"/>
      <c r="I498" s="123"/>
      <c r="J498" s="123"/>
      <c r="K498" s="123"/>
      <c r="L498" s="123"/>
    </row>
    <row r="499" spans="7:12" s="122" customFormat="1">
      <c r="G499" s="133"/>
      <c r="I499" s="123"/>
      <c r="J499" s="123"/>
      <c r="K499" s="123"/>
      <c r="L499" s="123"/>
    </row>
    <row r="500" spans="7:12" s="122" customFormat="1">
      <c r="G500" s="133"/>
      <c r="I500" s="123"/>
      <c r="J500" s="123"/>
      <c r="K500" s="123"/>
      <c r="L500" s="123"/>
    </row>
    <row r="501" spans="7:12" s="122" customFormat="1">
      <c r="G501" s="133"/>
      <c r="I501" s="123"/>
      <c r="J501" s="123"/>
      <c r="K501" s="123"/>
      <c r="L501" s="123"/>
    </row>
    <row r="502" spans="7:12" s="122" customFormat="1">
      <c r="G502" s="133"/>
      <c r="I502" s="123"/>
      <c r="J502" s="123"/>
      <c r="K502" s="123"/>
      <c r="L502" s="123"/>
    </row>
    <row r="503" spans="7:12" s="122" customFormat="1">
      <c r="G503" s="133"/>
      <c r="I503" s="123"/>
      <c r="J503" s="123"/>
      <c r="K503" s="123"/>
      <c r="L503" s="123"/>
    </row>
    <row r="504" spans="7:12" s="122" customFormat="1">
      <c r="G504" s="133"/>
      <c r="I504" s="123"/>
      <c r="J504" s="123"/>
      <c r="K504" s="123"/>
      <c r="L504" s="123"/>
    </row>
    <row r="505" spans="7:12" s="122" customFormat="1">
      <c r="G505" s="133"/>
      <c r="I505" s="123"/>
      <c r="J505" s="123"/>
      <c r="K505" s="123"/>
      <c r="L505" s="123"/>
    </row>
    <row r="506" spans="7:12" s="122" customFormat="1">
      <c r="G506" s="133"/>
      <c r="I506" s="123"/>
      <c r="J506" s="123"/>
      <c r="K506" s="123"/>
      <c r="L506" s="123"/>
    </row>
    <row r="507" spans="7:12" s="122" customFormat="1">
      <c r="G507" s="133"/>
      <c r="I507" s="123"/>
      <c r="J507" s="123"/>
      <c r="K507" s="123"/>
      <c r="L507" s="123"/>
    </row>
    <row r="508" spans="7:12" s="122" customFormat="1">
      <c r="G508" s="133"/>
      <c r="I508" s="123"/>
      <c r="J508" s="123"/>
      <c r="K508" s="123"/>
      <c r="L508" s="123"/>
    </row>
    <row r="509" spans="7:12" s="122" customFormat="1">
      <c r="G509" s="133"/>
      <c r="I509" s="123"/>
      <c r="J509" s="123"/>
      <c r="K509" s="123"/>
      <c r="L509" s="123"/>
    </row>
    <row r="510" spans="7:12" s="122" customFormat="1">
      <c r="G510" s="133"/>
      <c r="I510" s="123"/>
      <c r="J510" s="123"/>
      <c r="K510" s="123"/>
      <c r="L510" s="123"/>
    </row>
    <row r="511" spans="7:12" s="122" customFormat="1">
      <c r="G511" s="133"/>
      <c r="I511" s="123"/>
      <c r="J511" s="123"/>
      <c r="K511" s="123"/>
      <c r="L511" s="123"/>
    </row>
    <row r="512" spans="7:12" s="122" customFormat="1">
      <c r="G512" s="133"/>
      <c r="I512" s="123"/>
      <c r="J512" s="123"/>
      <c r="K512" s="123"/>
      <c r="L512" s="123"/>
    </row>
    <row r="513" spans="7:12" s="122" customFormat="1">
      <c r="G513" s="133"/>
      <c r="I513" s="123"/>
      <c r="J513" s="123"/>
      <c r="K513" s="123"/>
      <c r="L513" s="123"/>
    </row>
    <row r="514" spans="7:12" s="122" customFormat="1">
      <c r="G514" s="133"/>
      <c r="I514" s="123"/>
      <c r="J514" s="123"/>
      <c r="K514" s="123"/>
      <c r="L514" s="123"/>
    </row>
    <row r="515" spans="7:12" s="122" customFormat="1">
      <c r="G515" s="133"/>
      <c r="I515" s="123"/>
      <c r="J515" s="123"/>
      <c r="K515" s="123"/>
      <c r="L515" s="123"/>
    </row>
    <row r="516" spans="7:12" s="122" customFormat="1">
      <c r="G516" s="133"/>
      <c r="I516" s="123"/>
      <c r="J516" s="123"/>
      <c r="K516" s="123"/>
      <c r="L516" s="123"/>
    </row>
    <row r="517" spans="7:12" s="122" customFormat="1">
      <c r="G517" s="133"/>
      <c r="I517" s="123"/>
      <c r="J517" s="123"/>
      <c r="K517" s="123"/>
      <c r="L517" s="123"/>
    </row>
    <row r="518" spans="7:12" s="122" customFormat="1">
      <c r="G518" s="133"/>
      <c r="I518" s="123"/>
      <c r="J518" s="123"/>
      <c r="K518" s="123"/>
      <c r="L518" s="123"/>
    </row>
    <row r="519" spans="7:12" s="122" customFormat="1">
      <c r="G519" s="133"/>
      <c r="I519" s="123"/>
      <c r="J519" s="123"/>
      <c r="K519" s="123"/>
      <c r="L519" s="123"/>
    </row>
    <row r="520" spans="7:12" s="122" customFormat="1">
      <c r="G520" s="133"/>
      <c r="I520" s="123"/>
      <c r="J520" s="123"/>
      <c r="K520" s="123"/>
      <c r="L520" s="123"/>
    </row>
    <row r="521" spans="7:12" s="122" customFormat="1">
      <c r="G521" s="133"/>
      <c r="I521" s="123"/>
      <c r="J521" s="123"/>
      <c r="K521" s="123"/>
      <c r="L521" s="123"/>
    </row>
    <row r="522" spans="7:12" s="122" customFormat="1">
      <c r="G522" s="133"/>
      <c r="I522" s="123"/>
      <c r="J522" s="123"/>
      <c r="K522" s="123"/>
      <c r="L522" s="123"/>
    </row>
    <row r="523" spans="7:12" s="122" customFormat="1">
      <c r="G523" s="133"/>
      <c r="I523" s="123"/>
      <c r="J523" s="123"/>
      <c r="K523" s="123"/>
      <c r="L523" s="123"/>
    </row>
    <row r="524" spans="7:12" s="122" customFormat="1">
      <c r="G524" s="133"/>
      <c r="I524" s="123"/>
      <c r="J524" s="123"/>
      <c r="K524" s="123"/>
      <c r="L524" s="123"/>
    </row>
    <row r="525" spans="7:12" s="122" customFormat="1">
      <c r="G525" s="133"/>
      <c r="I525" s="123"/>
      <c r="J525" s="123"/>
      <c r="K525" s="123"/>
      <c r="L525" s="123"/>
    </row>
    <row r="526" spans="7:12" s="122" customFormat="1">
      <c r="G526" s="133"/>
      <c r="I526" s="123"/>
      <c r="J526" s="123"/>
      <c r="K526" s="123"/>
      <c r="L526" s="123"/>
    </row>
    <row r="527" spans="7:12" s="122" customFormat="1">
      <c r="G527" s="133"/>
      <c r="I527" s="123"/>
      <c r="J527" s="123"/>
      <c r="K527" s="123"/>
      <c r="L527" s="123"/>
    </row>
    <row r="528" spans="7:12" s="122" customFormat="1">
      <c r="G528" s="133"/>
      <c r="I528" s="123"/>
      <c r="J528" s="123"/>
      <c r="K528" s="123"/>
      <c r="L528" s="123"/>
    </row>
    <row r="529" spans="7:12" s="122" customFormat="1">
      <c r="G529" s="133"/>
      <c r="I529" s="123"/>
      <c r="J529" s="123"/>
      <c r="K529" s="123"/>
      <c r="L529" s="123"/>
    </row>
    <row r="530" spans="7:12" s="122" customFormat="1">
      <c r="G530" s="133"/>
      <c r="I530" s="123"/>
      <c r="J530" s="123"/>
      <c r="K530" s="123"/>
      <c r="L530" s="123"/>
    </row>
    <row r="531" spans="7:12" s="122" customFormat="1">
      <c r="G531" s="133"/>
      <c r="I531" s="123"/>
      <c r="J531" s="123"/>
      <c r="K531" s="123"/>
      <c r="L531" s="123"/>
    </row>
    <row r="532" spans="7:12" s="122" customFormat="1">
      <c r="G532" s="133"/>
      <c r="I532" s="123"/>
      <c r="J532" s="123"/>
      <c r="K532" s="123"/>
      <c r="L532" s="123"/>
    </row>
    <row r="533" spans="7:12" s="122" customFormat="1">
      <c r="G533" s="133"/>
      <c r="I533" s="123"/>
      <c r="J533" s="123"/>
      <c r="K533" s="123"/>
      <c r="L533" s="123"/>
    </row>
    <row r="534" spans="7:12" s="122" customFormat="1">
      <c r="G534" s="133"/>
      <c r="I534" s="123"/>
      <c r="J534" s="123"/>
      <c r="K534" s="123"/>
      <c r="L534" s="123"/>
    </row>
    <row r="535" spans="7:12" s="122" customFormat="1">
      <c r="G535" s="133"/>
      <c r="I535" s="123"/>
      <c r="J535" s="123"/>
      <c r="K535" s="123"/>
      <c r="L535" s="123"/>
    </row>
    <row r="536" spans="7:12" s="122" customFormat="1">
      <c r="G536" s="133"/>
      <c r="I536" s="123"/>
      <c r="J536" s="123"/>
      <c r="K536" s="123"/>
      <c r="L536" s="123"/>
    </row>
    <row r="537" spans="7:12" s="122" customFormat="1">
      <c r="G537" s="133"/>
      <c r="I537" s="123"/>
      <c r="J537" s="123"/>
      <c r="K537" s="123"/>
      <c r="L537" s="123"/>
    </row>
    <row r="538" spans="7:12" s="122" customFormat="1">
      <c r="G538" s="133"/>
      <c r="I538" s="123"/>
      <c r="J538" s="123"/>
      <c r="K538" s="123"/>
      <c r="L538" s="123"/>
    </row>
    <row r="539" spans="7:12" s="122" customFormat="1">
      <c r="G539" s="133"/>
      <c r="I539" s="123"/>
      <c r="J539" s="123"/>
      <c r="K539" s="123"/>
      <c r="L539" s="123"/>
    </row>
    <row r="540" spans="7:12" s="122" customFormat="1">
      <c r="G540" s="133"/>
      <c r="I540" s="123"/>
      <c r="J540" s="123"/>
      <c r="K540" s="123"/>
      <c r="L540" s="123"/>
    </row>
    <row r="541" spans="7:12" s="122" customFormat="1">
      <c r="G541" s="133"/>
      <c r="I541" s="123"/>
      <c r="J541" s="123"/>
      <c r="K541" s="123"/>
      <c r="L541" s="123"/>
    </row>
    <row r="542" spans="7:12" s="122" customFormat="1">
      <c r="G542" s="133"/>
      <c r="I542" s="123"/>
      <c r="J542" s="123"/>
      <c r="K542" s="123"/>
      <c r="L542" s="123"/>
    </row>
    <row r="543" spans="7:12" s="122" customFormat="1">
      <c r="G543" s="133"/>
      <c r="I543" s="123"/>
      <c r="J543" s="123"/>
      <c r="K543" s="123"/>
      <c r="L543" s="123"/>
    </row>
    <row r="544" spans="7:12" s="122" customFormat="1">
      <c r="G544" s="133"/>
      <c r="I544" s="123"/>
      <c r="J544" s="123"/>
      <c r="K544" s="123"/>
      <c r="L544" s="123"/>
    </row>
    <row r="545" spans="7:12" s="122" customFormat="1">
      <c r="G545" s="133"/>
      <c r="I545" s="123"/>
      <c r="J545" s="123"/>
      <c r="K545" s="123"/>
      <c r="L545" s="123"/>
    </row>
    <row r="546" spans="7:12" s="122" customFormat="1">
      <c r="G546" s="133"/>
      <c r="I546" s="123"/>
      <c r="J546" s="123"/>
      <c r="K546" s="123"/>
      <c r="L546" s="123"/>
    </row>
    <row r="547" spans="7:12" s="122" customFormat="1">
      <c r="G547" s="133"/>
      <c r="I547" s="123"/>
      <c r="J547" s="123"/>
      <c r="K547" s="123"/>
      <c r="L547" s="123"/>
    </row>
    <row r="548" spans="7:12" s="122" customFormat="1">
      <c r="G548" s="133"/>
      <c r="I548" s="123"/>
      <c r="J548" s="123"/>
      <c r="K548" s="123"/>
      <c r="L548" s="123"/>
    </row>
    <row r="549" spans="7:12" s="122" customFormat="1">
      <c r="G549" s="133"/>
      <c r="I549" s="123"/>
      <c r="J549" s="123"/>
      <c r="K549" s="123"/>
      <c r="L549" s="123"/>
    </row>
    <row r="550" spans="7:12" s="122" customFormat="1">
      <c r="G550" s="133"/>
      <c r="I550" s="123"/>
      <c r="J550" s="123"/>
      <c r="K550" s="123"/>
      <c r="L550" s="123"/>
    </row>
    <row r="551" spans="7:12" s="122" customFormat="1">
      <c r="G551" s="133"/>
      <c r="I551" s="123"/>
      <c r="J551" s="123"/>
      <c r="K551" s="123"/>
      <c r="L551" s="123"/>
    </row>
    <row r="552" spans="7:12" s="122" customFormat="1">
      <c r="G552" s="133"/>
      <c r="I552" s="123"/>
      <c r="J552" s="123"/>
      <c r="K552" s="123"/>
      <c r="L552" s="123"/>
    </row>
    <row r="553" spans="7:12" s="122" customFormat="1">
      <c r="G553" s="133"/>
      <c r="I553" s="123"/>
      <c r="J553" s="123"/>
      <c r="K553" s="123"/>
      <c r="L553" s="123"/>
    </row>
    <row r="554" spans="7:12" s="122" customFormat="1">
      <c r="G554" s="133"/>
      <c r="I554" s="123"/>
      <c r="J554" s="123"/>
      <c r="K554" s="123"/>
      <c r="L554" s="123"/>
    </row>
    <row r="555" spans="7:12" s="122" customFormat="1">
      <c r="G555" s="133"/>
      <c r="I555" s="123"/>
      <c r="J555" s="123"/>
      <c r="K555" s="123"/>
      <c r="L555" s="123"/>
    </row>
    <row r="556" spans="7:12" s="122" customFormat="1">
      <c r="G556" s="133"/>
      <c r="I556" s="123"/>
      <c r="J556" s="123"/>
      <c r="K556" s="123"/>
      <c r="L556" s="123"/>
    </row>
    <row r="557" spans="7:12" s="122" customFormat="1">
      <c r="G557" s="133"/>
      <c r="I557" s="123"/>
      <c r="J557" s="123"/>
      <c r="K557" s="123"/>
      <c r="L557" s="123"/>
    </row>
    <row r="558" spans="7:12" s="122" customFormat="1">
      <c r="G558" s="133"/>
      <c r="I558" s="123"/>
      <c r="J558" s="123"/>
      <c r="K558" s="123"/>
      <c r="L558" s="123"/>
    </row>
    <row r="559" spans="7:12" s="122" customFormat="1">
      <c r="G559" s="133"/>
      <c r="I559" s="123"/>
      <c r="J559" s="123"/>
      <c r="K559" s="123"/>
      <c r="L559" s="123"/>
    </row>
    <row r="560" spans="7:12" s="122" customFormat="1">
      <c r="G560" s="133"/>
      <c r="I560" s="123"/>
      <c r="J560" s="123"/>
      <c r="K560" s="123"/>
      <c r="L560" s="123"/>
    </row>
    <row r="561" spans="7:12" s="122" customFormat="1">
      <c r="G561" s="133"/>
      <c r="I561" s="123"/>
      <c r="J561" s="123"/>
      <c r="K561" s="123"/>
      <c r="L561" s="123"/>
    </row>
    <row r="562" spans="7:12" s="122" customFormat="1">
      <c r="G562" s="133"/>
      <c r="I562" s="123"/>
      <c r="J562" s="123"/>
      <c r="K562" s="123"/>
      <c r="L562" s="123"/>
    </row>
    <row r="563" spans="7:12" s="122" customFormat="1">
      <c r="G563" s="133"/>
      <c r="I563" s="123"/>
      <c r="J563" s="123"/>
      <c r="K563" s="123"/>
      <c r="L563" s="123"/>
    </row>
    <row r="564" spans="7:12" s="122" customFormat="1">
      <c r="G564" s="133"/>
      <c r="I564" s="123"/>
      <c r="J564" s="123"/>
      <c r="K564" s="123"/>
      <c r="L564" s="123"/>
    </row>
    <row r="565" spans="7:12" s="122" customFormat="1">
      <c r="G565" s="133"/>
      <c r="I565" s="123"/>
      <c r="J565" s="123"/>
      <c r="K565" s="123"/>
      <c r="L565" s="123"/>
    </row>
    <row r="566" spans="7:12" s="122" customFormat="1">
      <c r="G566" s="133"/>
      <c r="I566" s="123"/>
      <c r="J566" s="123"/>
      <c r="K566" s="123"/>
      <c r="L566" s="123"/>
    </row>
    <row r="567" spans="7:12" s="122" customFormat="1">
      <c r="G567" s="133"/>
      <c r="I567" s="123"/>
      <c r="J567" s="123"/>
      <c r="K567" s="123"/>
      <c r="L567" s="123"/>
    </row>
    <row r="568" spans="7:12" s="122" customFormat="1">
      <c r="G568" s="133"/>
      <c r="I568" s="123"/>
      <c r="J568" s="123"/>
      <c r="K568" s="123"/>
      <c r="L568" s="123"/>
    </row>
    <row r="569" spans="7:12" s="122" customFormat="1">
      <c r="G569" s="133"/>
      <c r="I569" s="123"/>
      <c r="J569" s="123"/>
      <c r="K569" s="123"/>
      <c r="L569" s="123"/>
    </row>
    <row r="570" spans="7:12" s="122" customFormat="1">
      <c r="G570" s="133"/>
      <c r="I570" s="123"/>
      <c r="J570" s="123"/>
      <c r="K570" s="123"/>
      <c r="L570" s="123"/>
    </row>
    <row r="571" spans="7:12" s="122" customFormat="1">
      <c r="G571" s="133"/>
      <c r="I571" s="123"/>
      <c r="J571" s="123"/>
      <c r="K571" s="123"/>
      <c r="L571" s="123"/>
    </row>
    <row r="572" spans="7:12" s="122" customFormat="1">
      <c r="G572" s="133"/>
      <c r="I572" s="123"/>
      <c r="J572" s="123"/>
      <c r="K572" s="123"/>
      <c r="L572" s="123"/>
    </row>
    <row r="573" spans="7:12" s="122" customFormat="1">
      <c r="G573" s="133"/>
      <c r="I573" s="123"/>
      <c r="J573" s="123"/>
      <c r="K573" s="123"/>
      <c r="L573" s="123"/>
    </row>
    <row r="574" spans="7:12" s="122" customFormat="1">
      <c r="G574" s="133"/>
      <c r="I574" s="123"/>
      <c r="J574" s="123"/>
      <c r="K574" s="123"/>
      <c r="L574" s="123"/>
    </row>
    <row r="575" spans="7:12" s="122" customFormat="1">
      <c r="G575" s="133"/>
      <c r="I575" s="123"/>
      <c r="J575" s="123"/>
      <c r="K575" s="123"/>
      <c r="L575" s="123"/>
    </row>
    <row r="576" spans="7:12" s="122" customFormat="1">
      <c r="G576" s="133"/>
      <c r="I576" s="123"/>
      <c r="J576" s="123"/>
      <c r="K576" s="123"/>
      <c r="L576" s="123"/>
    </row>
    <row r="577" spans="7:12" s="122" customFormat="1">
      <c r="G577" s="133"/>
      <c r="I577" s="123"/>
      <c r="J577" s="123"/>
      <c r="K577" s="123"/>
      <c r="L577" s="123"/>
    </row>
    <row r="578" spans="7:12" s="122" customFormat="1">
      <c r="G578" s="133"/>
      <c r="I578" s="123"/>
      <c r="J578" s="123"/>
      <c r="K578" s="123"/>
      <c r="L578" s="123"/>
    </row>
    <row r="579" spans="7:12" s="122" customFormat="1">
      <c r="G579" s="133"/>
      <c r="I579" s="123"/>
      <c r="J579" s="123"/>
      <c r="K579" s="123"/>
      <c r="L579" s="123"/>
    </row>
    <row r="580" spans="7:12" s="122" customFormat="1">
      <c r="G580" s="133"/>
      <c r="I580" s="123"/>
      <c r="J580" s="123"/>
      <c r="K580" s="123"/>
      <c r="L580" s="123"/>
    </row>
    <row r="581" spans="7:12" s="122" customFormat="1">
      <c r="G581" s="133"/>
      <c r="I581" s="123"/>
      <c r="J581" s="123"/>
      <c r="K581" s="123"/>
      <c r="L581" s="123"/>
    </row>
    <row r="582" spans="7:12" s="122" customFormat="1">
      <c r="G582" s="133"/>
      <c r="I582" s="123"/>
      <c r="J582" s="123"/>
      <c r="K582" s="123"/>
      <c r="L582" s="123"/>
    </row>
    <row r="583" spans="7:12" s="122" customFormat="1">
      <c r="G583" s="133"/>
      <c r="I583" s="123"/>
      <c r="J583" s="123"/>
      <c r="K583" s="123"/>
      <c r="L583" s="123"/>
    </row>
    <row r="584" spans="7:12" s="122" customFormat="1">
      <c r="G584" s="133"/>
      <c r="I584" s="123"/>
      <c r="J584" s="123"/>
      <c r="K584" s="123"/>
      <c r="L584" s="123"/>
    </row>
    <row r="585" spans="7:12" s="122" customFormat="1">
      <c r="G585" s="133"/>
      <c r="I585" s="123"/>
      <c r="J585" s="123"/>
      <c r="K585" s="123"/>
      <c r="L585" s="123"/>
    </row>
    <row r="586" spans="7:12" s="122" customFormat="1">
      <c r="G586" s="133"/>
      <c r="I586" s="123"/>
      <c r="J586" s="123"/>
      <c r="K586" s="123"/>
      <c r="L586" s="123"/>
    </row>
    <row r="587" spans="7:12" s="122" customFormat="1">
      <c r="G587" s="133"/>
      <c r="I587" s="123"/>
      <c r="J587" s="123"/>
      <c r="K587" s="123"/>
      <c r="L587" s="123"/>
    </row>
    <row r="588" spans="7:12" s="122" customFormat="1">
      <c r="G588" s="133"/>
      <c r="I588" s="123"/>
      <c r="J588" s="123"/>
      <c r="K588" s="123"/>
      <c r="L588" s="123"/>
    </row>
    <row r="589" spans="7:12" s="122" customFormat="1">
      <c r="G589" s="133"/>
      <c r="I589" s="123"/>
      <c r="J589" s="123"/>
      <c r="K589" s="123"/>
      <c r="L589" s="123"/>
    </row>
    <row r="590" spans="7:12" s="122" customFormat="1">
      <c r="G590" s="133"/>
      <c r="I590" s="123"/>
      <c r="J590" s="123"/>
      <c r="K590" s="123"/>
      <c r="L590" s="123"/>
    </row>
    <row r="591" spans="7:12" s="122" customFormat="1">
      <c r="G591" s="133"/>
      <c r="I591" s="123"/>
      <c r="J591" s="123"/>
      <c r="K591" s="123"/>
      <c r="L591" s="123"/>
    </row>
    <row r="592" spans="7:12" s="122" customFormat="1">
      <c r="G592" s="133"/>
      <c r="I592" s="123"/>
      <c r="J592" s="123"/>
      <c r="K592" s="123"/>
      <c r="L592" s="123"/>
    </row>
    <row r="593" spans="7:12" s="122" customFormat="1">
      <c r="G593" s="133"/>
      <c r="I593" s="123"/>
      <c r="J593" s="123"/>
      <c r="K593" s="123"/>
      <c r="L593" s="123"/>
    </row>
    <row r="594" spans="7:12" s="122" customFormat="1">
      <c r="G594" s="133"/>
      <c r="I594" s="123"/>
      <c r="J594" s="123"/>
      <c r="K594" s="123"/>
      <c r="L594" s="123"/>
    </row>
    <row r="595" spans="7:12" s="122" customFormat="1">
      <c r="G595" s="133"/>
      <c r="I595" s="123"/>
      <c r="J595" s="123"/>
      <c r="K595" s="123"/>
      <c r="L595" s="123"/>
    </row>
    <row r="596" spans="7:12" s="122" customFormat="1">
      <c r="G596" s="133"/>
      <c r="I596" s="123"/>
      <c r="J596" s="123"/>
      <c r="K596" s="123"/>
      <c r="L596" s="123"/>
    </row>
    <row r="597" spans="7:12" s="122" customFormat="1">
      <c r="G597" s="133"/>
      <c r="I597" s="123"/>
      <c r="J597" s="123"/>
      <c r="K597" s="123"/>
      <c r="L597" s="123"/>
    </row>
    <row r="598" spans="7:12" s="122" customFormat="1">
      <c r="G598" s="133"/>
      <c r="I598" s="123"/>
      <c r="J598" s="123"/>
      <c r="K598" s="123"/>
      <c r="L598" s="123"/>
    </row>
    <row r="599" spans="7:12" s="122" customFormat="1">
      <c r="G599" s="133"/>
      <c r="I599" s="123"/>
      <c r="J599" s="123"/>
      <c r="K599" s="123"/>
      <c r="L599" s="123"/>
    </row>
    <row r="600" spans="7:12" s="122" customFormat="1">
      <c r="G600" s="133"/>
      <c r="I600" s="123"/>
      <c r="J600" s="123"/>
      <c r="K600" s="123"/>
      <c r="L600" s="123"/>
    </row>
    <row r="601" spans="7:12" s="122" customFormat="1">
      <c r="G601" s="133"/>
      <c r="I601" s="123"/>
      <c r="J601" s="123"/>
      <c r="K601" s="123"/>
      <c r="L601" s="123"/>
    </row>
    <row r="602" spans="7:12" s="122" customFormat="1">
      <c r="G602" s="133"/>
      <c r="I602" s="123"/>
      <c r="J602" s="123"/>
      <c r="K602" s="123"/>
      <c r="L602" s="123"/>
    </row>
    <row r="603" spans="7:12" s="122" customFormat="1">
      <c r="G603" s="133"/>
      <c r="I603" s="123"/>
      <c r="J603" s="123"/>
      <c r="K603" s="123"/>
      <c r="L603" s="123"/>
    </row>
    <row r="604" spans="7:12" s="122" customFormat="1">
      <c r="G604" s="133"/>
      <c r="I604" s="123"/>
      <c r="J604" s="123"/>
      <c r="K604" s="123"/>
      <c r="L604" s="123"/>
    </row>
    <row r="605" spans="7:12" s="122" customFormat="1">
      <c r="G605" s="133"/>
      <c r="I605" s="123"/>
      <c r="J605" s="123"/>
      <c r="K605" s="123"/>
      <c r="L605" s="123"/>
    </row>
    <row r="606" spans="7:12" s="122" customFormat="1">
      <c r="G606" s="133"/>
      <c r="I606" s="123"/>
      <c r="J606" s="123"/>
      <c r="K606" s="123"/>
      <c r="L606" s="123"/>
    </row>
    <row r="607" spans="7:12" s="122" customFormat="1">
      <c r="G607" s="133"/>
      <c r="I607" s="123"/>
      <c r="J607" s="123"/>
      <c r="K607" s="123"/>
      <c r="L607" s="123"/>
    </row>
    <row r="608" spans="7:12" s="122" customFormat="1">
      <c r="G608" s="133"/>
      <c r="I608" s="123"/>
      <c r="J608" s="123"/>
      <c r="K608" s="123"/>
      <c r="L608" s="123"/>
    </row>
    <row r="609" spans="7:12" s="122" customFormat="1">
      <c r="G609" s="133"/>
      <c r="J609" s="123"/>
      <c r="K609" s="123"/>
      <c r="L609" s="123"/>
    </row>
    <row r="610" spans="7:12" s="122" customFormat="1">
      <c r="G610" s="133"/>
      <c r="J610" s="123"/>
      <c r="K610" s="123"/>
      <c r="L610" s="123"/>
    </row>
    <row r="611" spans="7:12" s="122" customFormat="1">
      <c r="G611" s="133"/>
      <c r="J611" s="123"/>
      <c r="K611" s="123"/>
      <c r="L611" s="123"/>
    </row>
    <row r="612" spans="7:12" s="122" customFormat="1">
      <c r="G612" s="133"/>
      <c r="J612" s="123"/>
      <c r="K612" s="123"/>
      <c r="L612" s="123"/>
    </row>
    <row r="613" spans="7:12" s="122" customFormat="1">
      <c r="G613" s="133"/>
      <c r="J613" s="123"/>
      <c r="K613" s="123"/>
      <c r="L613" s="123"/>
    </row>
    <row r="614" spans="7:12" s="122" customFormat="1">
      <c r="G614" s="133"/>
      <c r="J614" s="123"/>
      <c r="K614" s="123"/>
      <c r="L614" s="123"/>
    </row>
    <row r="615" spans="7:12" s="122" customFormat="1">
      <c r="G615" s="133"/>
      <c r="J615" s="123"/>
      <c r="K615" s="123"/>
      <c r="L615" s="123"/>
    </row>
    <row r="616" spans="7:12" s="122" customFormat="1">
      <c r="G616" s="133"/>
      <c r="J616" s="123"/>
      <c r="K616" s="123"/>
      <c r="L616" s="123"/>
    </row>
    <row r="617" spans="7:12" s="122" customFormat="1">
      <c r="G617" s="133"/>
      <c r="J617" s="123"/>
      <c r="K617" s="123"/>
      <c r="L617" s="123"/>
    </row>
    <row r="618" spans="7:12" s="122" customFormat="1">
      <c r="G618" s="133"/>
      <c r="J618" s="123"/>
      <c r="K618" s="123"/>
      <c r="L618" s="123"/>
    </row>
    <row r="619" spans="7:12" s="122" customFormat="1">
      <c r="G619" s="133"/>
      <c r="J619" s="123"/>
      <c r="K619" s="123"/>
      <c r="L619" s="123"/>
    </row>
    <row r="620" spans="7:12" s="122" customFormat="1">
      <c r="G620" s="133"/>
      <c r="J620" s="123"/>
      <c r="K620" s="123"/>
      <c r="L620" s="123"/>
    </row>
    <row r="621" spans="7:12" s="122" customFormat="1">
      <c r="G621" s="133"/>
      <c r="J621" s="123"/>
      <c r="K621" s="123"/>
      <c r="L621" s="123"/>
    </row>
    <row r="622" spans="7:12" s="122" customFormat="1">
      <c r="G622" s="133"/>
      <c r="J622" s="123"/>
      <c r="K622" s="123"/>
      <c r="L622" s="123"/>
    </row>
    <row r="623" spans="7:12" s="122" customFormat="1">
      <c r="G623" s="133"/>
      <c r="J623" s="123"/>
      <c r="K623" s="123"/>
      <c r="L623" s="123"/>
    </row>
    <row r="624" spans="7:12" s="122" customFormat="1">
      <c r="G624" s="133"/>
      <c r="J624" s="123"/>
      <c r="K624" s="123"/>
      <c r="L624" s="123"/>
    </row>
    <row r="625" spans="7:12" s="122" customFormat="1">
      <c r="G625" s="133"/>
      <c r="J625" s="123"/>
      <c r="K625" s="123"/>
      <c r="L625" s="123"/>
    </row>
    <row r="626" spans="7:12" s="122" customFormat="1">
      <c r="G626" s="133"/>
      <c r="J626" s="123"/>
      <c r="K626" s="123"/>
      <c r="L626" s="123"/>
    </row>
    <row r="627" spans="7:12" s="122" customFormat="1">
      <c r="G627" s="133"/>
      <c r="J627" s="123"/>
      <c r="K627" s="123"/>
      <c r="L627" s="123"/>
    </row>
    <row r="628" spans="7:12" s="122" customFormat="1">
      <c r="G628" s="133"/>
      <c r="J628" s="123"/>
      <c r="K628" s="123"/>
      <c r="L628" s="123"/>
    </row>
    <row r="629" spans="7:12" s="122" customFormat="1">
      <c r="G629" s="133"/>
      <c r="J629" s="123"/>
      <c r="K629" s="123"/>
      <c r="L629" s="123"/>
    </row>
    <row r="630" spans="7:12" s="122" customFormat="1">
      <c r="G630" s="133"/>
      <c r="J630" s="123"/>
      <c r="K630" s="123"/>
      <c r="L630" s="123"/>
    </row>
    <row r="631" spans="7:12" s="122" customFormat="1">
      <c r="G631" s="133"/>
      <c r="J631" s="123"/>
      <c r="K631" s="123"/>
      <c r="L631" s="123"/>
    </row>
    <row r="632" spans="7:12" s="122" customFormat="1">
      <c r="G632" s="133"/>
      <c r="J632" s="123"/>
      <c r="K632" s="123"/>
      <c r="L632" s="123"/>
    </row>
    <row r="633" spans="7:12" s="122" customFormat="1">
      <c r="G633" s="133"/>
      <c r="J633" s="123"/>
      <c r="K633" s="123"/>
      <c r="L633" s="123"/>
    </row>
    <row r="634" spans="7:12" s="122" customFormat="1">
      <c r="G634" s="133"/>
      <c r="J634" s="123"/>
      <c r="K634" s="123"/>
      <c r="L634" s="123"/>
    </row>
    <row r="635" spans="7:12" s="122" customFormat="1">
      <c r="G635" s="133"/>
      <c r="J635" s="123"/>
      <c r="K635" s="123"/>
      <c r="L635" s="123"/>
    </row>
    <row r="636" spans="7:12" s="122" customFormat="1">
      <c r="G636" s="133"/>
      <c r="J636" s="123"/>
      <c r="K636" s="123"/>
      <c r="L636" s="123"/>
    </row>
    <row r="637" spans="7:12" s="122" customFormat="1">
      <c r="G637" s="133"/>
      <c r="J637" s="123"/>
      <c r="K637" s="123"/>
      <c r="L637" s="123"/>
    </row>
    <row r="638" spans="7:12" s="122" customFormat="1">
      <c r="G638" s="133"/>
      <c r="J638" s="123"/>
      <c r="K638" s="123"/>
      <c r="L638" s="123"/>
    </row>
    <row r="639" spans="7:12" s="122" customFormat="1">
      <c r="G639" s="133"/>
      <c r="J639" s="123"/>
      <c r="K639" s="123"/>
      <c r="L639" s="123"/>
    </row>
    <row r="640" spans="7:12" s="122" customFormat="1">
      <c r="G640" s="133"/>
      <c r="J640" s="123"/>
      <c r="K640" s="123"/>
      <c r="L640" s="123"/>
    </row>
    <row r="641" spans="7:12" s="122" customFormat="1">
      <c r="G641" s="133"/>
      <c r="J641" s="123"/>
      <c r="K641" s="123"/>
      <c r="L641" s="123"/>
    </row>
    <row r="642" spans="7:12" s="122" customFormat="1">
      <c r="G642" s="133"/>
      <c r="J642" s="123"/>
      <c r="K642" s="123"/>
      <c r="L642" s="123"/>
    </row>
    <row r="643" spans="7:12" s="122" customFormat="1">
      <c r="G643" s="133"/>
      <c r="J643" s="123"/>
      <c r="K643" s="123"/>
      <c r="L643" s="123"/>
    </row>
    <row r="644" spans="7:12" s="122" customFormat="1">
      <c r="G644" s="133"/>
      <c r="J644" s="123"/>
      <c r="K644" s="123"/>
      <c r="L644" s="123"/>
    </row>
    <row r="645" spans="7:12" s="122" customFormat="1">
      <c r="G645" s="133"/>
      <c r="J645" s="123"/>
      <c r="K645" s="123"/>
      <c r="L645" s="123"/>
    </row>
    <row r="646" spans="7:12" s="122" customFormat="1">
      <c r="G646" s="133"/>
      <c r="J646" s="123"/>
      <c r="K646" s="123"/>
      <c r="L646" s="123"/>
    </row>
    <row r="647" spans="7:12" s="122" customFormat="1">
      <c r="G647" s="133"/>
      <c r="J647" s="123"/>
      <c r="K647" s="123"/>
      <c r="L647" s="123"/>
    </row>
    <row r="648" spans="7:12" s="122" customFormat="1">
      <c r="G648" s="133"/>
      <c r="J648" s="123"/>
      <c r="K648" s="123"/>
      <c r="L648" s="123"/>
    </row>
    <row r="649" spans="7:12" s="122" customFormat="1">
      <c r="G649" s="133"/>
      <c r="J649" s="123"/>
      <c r="K649" s="123"/>
      <c r="L649" s="123"/>
    </row>
    <row r="650" spans="7:12" s="122" customFormat="1">
      <c r="G650" s="133"/>
      <c r="J650" s="123"/>
      <c r="K650" s="123"/>
      <c r="L650" s="123"/>
    </row>
    <row r="651" spans="7:12" s="122" customFormat="1">
      <c r="G651" s="133"/>
      <c r="J651" s="123"/>
      <c r="K651" s="123"/>
      <c r="L651" s="123"/>
    </row>
    <row r="652" spans="7:12" s="122" customFormat="1">
      <c r="G652" s="133"/>
      <c r="J652" s="123"/>
      <c r="K652" s="123"/>
      <c r="L652" s="123"/>
    </row>
    <row r="653" spans="7:12" s="122" customFormat="1">
      <c r="G653" s="133"/>
      <c r="J653" s="123"/>
      <c r="K653" s="123"/>
      <c r="L653" s="123"/>
    </row>
    <row r="654" spans="7:12" s="122" customFormat="1">
      <c r="G654" s="133"/>
      <c r="J654" s="123"/>
      <c r="K654" s="123"/>
      <c r="L654" s="123"/>
    </row>
    <row r="655" spans="7:12" s="122" customFormat="1">
      <c r="G655" s="133"/>
      <c r="J655" s="123"/>
      <c r="K655" s="123"/>
      <c r="L655" s="123"/>
    </row>
    <row r="656" spans="7:12" s="122" customFormat="1">
      <c r="G656" s="133"/>
      <c r="J656" s="123"/>
      <c r="K656" s="123"/>
      <c r="L656" s="123"/>
    </row>
    <row r="657" spans="7:12" s="122" customFormat="1">
      <c r="G657" s="133"/>
      <c r="J657" s="123"/>
      <c r="K657" s="123"/>
      <c r="L657" s="123"/>
    </row>
    <row r="658" spans="7:12" s="122" customFormat="1">
      <c r="G658" s="133"/>
      <c r="J658" s="123"/>
      <c r="K658" s="123"/>
      <c r="L658" s="123"/>
    </row>
    <row r="659" spans="7:12" s="122" customFormat="1">
      <c r="G659" s="133"/>
      <c r="J659" s="123"/>
      <c r="K659" s="123"/>
      <c r="L659" s="123"/>
    </row>
    <row r="660" spans="7:12" s="122" customFormat="1">
      <c r="G660" s="133"/>
      <c r="J660" s="123"/>
      <c r="K660" s="123"/>
      <c r="L660" s="123"/>
    </row>
    <row r="661" spans="7:12" s="122" customFormat="1">
      <c r="G661" s="133"/>
      <c r="J661" s="123"/>
      <c r="K661" s="123"/>
      <c r="L661" s="123"/>
    </row>
    <row r="662" spans="7:12" s="122" customFormat="1">
      <c r="G662" s="133"/>
      <c r="J662" s="123"/>
      <c r="K662" s="123"/>
      <c r="L662" s="123"/>
    </row>
    <row r="663" spans="7:12" s="122" customFormat="1">
      <c r="G663" s="133"/>
      <c r="J663" s="123"/>
      <c r="K663" s="123"/>
      <c r="L663" s="123"/>
    </row>
    <row r="664" spans="7:12" s="122" customFormat="1">
      <c r="G664" s="133"/>
      <c r="J664" s="123"/>
      <c r="K664" s="123"/>
      <c r="L664" s="123"/>
    </row>
    <row r="665" spans="7:12" s="122" customFormat="1">
      <c r="G665" s="133"/>
      <c r="J665" s="123"/>
      <c r="K665" s="123"/>
      <c r="L665" s="123"/>
    </row>
    <row r="666" spans="7:12" s="122" customFormat="1">
      <c r="G666" s="133"/>
      <c r="J666" s="123"/>
      <c r="K666" s="123"/>
      <c r="L666" s="123"/>
    </row>
    <row r="667" spans="7:12" s="122" customFormat="1">
      <c r="G667" s="133"/>
      <c r="J667" s="123"/>
      <c r="K667" s="123"/>
      <c r="L667" s="123"/>
    </row>
    <row r="668" spans="7:12" s="122" customFormat="1">
      <c r="G668" s="133"/>
      <c r="J668" s="123"/>
      <c r="K668" s="123"/>
      <c r="L668" s="123"/>
    </row>
    <row r="669" spans="7:12" s="122" customFormat="1">
      <c r="G669" s="133"/>
      <c r="J669" s="123"/>
      <c r="K669" s="123"/>
      <c r="L669" s="123"/>
    </row>
    <row r="670" spans="7:12" s="122" customFormat="1">
      <c r="G670" s="133"/>
      <c r="J670" s="123"/>
      <c r="K670" s="123"/>
      <c r="L670" s="123"/>
    </row>
    <row r="671" spans="7:12" s="122" customFormat="1">
      <c r="G671" s="133"/>
      <c r="J671" s="123"/>
      <c r="K671" s="123"/>
      <c r="L671" s="123"/>
    </row>
    <row r="672" spans="7:12" s="122" customFormat="1">
      <c r="G672" s="133"/>
      <c r="J672" s="123"/>
      <c r="K672" s="123"/>
      <c r="L672" s="123"/>
    </row>
    <row r="673" spans="7:12" s="122" customFormat="1">
      <c r="G673" s="133"/>
      <c r="J673" s="123"/>
      <c r="K673" s="123"/>
      <c r="L673" s="123"/>
    </row>
    <row r="674" spans="7:12" s="122" customFormat="1">
      <c r="G674" s="133"/>
      <c r="J674" s="123"/>
      <c r="K674" s="123"/>
      <c r="L674" s="123"/>
    </row>
    <row r="675" spans="7:12" s="122" customFormat="1">
      <c r="G675" s="133"/>
      <c r="J675" s="123"/>
      <c r="K675" s="123"/>
      <c r="L675" s="123"/>
    </row>
    <row r="676" spans="7:12" s="122" customFormat="1">
      <c r="G676" s="133"/>
      <c r="J676" s="123"/>
      <c r="K676" s="123"/>
      <c r="L676" s="123"/>
    </row>
    <row r="677" spans="7:12" s="122" customFormat="1">
      <c r="G677" s="133"/>
      <c r="J677" s="123"/>
      <c r="K677" s="123"/>
      <c r="L677" s="123"/>
    </row>
    <row r="678" spans="7:12" s="122" customFormat="1">
      <c r="G678" s="133"/>
      <c r="J678" s="123"/>
      <c r="K678" s="123"/>
      <c r="L678" s="123"/>
    </row>
    <row r="679" spans="7:12" s="122" customFormat="1">
      <c r="G679" s="133"/>
      <c r="J679" s="123"/>
      <c r="K679" s="123"/>
      <c r="L679" s="123"/>
    </row>
    <row r="680" spans="7:12" s="122" customFormat="1">
      <c r="G680" s="133"/>
      <c r="J680" s="123"/>
      <c r="K680" s="123"/>
      <c r="L680" s="123"/>
    </row>
    <row r="681" spans="7:12" s="122" customFormat="1">
      <c r="G681" s="133"/>
      <c r="J681" s="123"/>
      <c r="K681" s="123"/>
      <c r="L681" s="123"/>
    </row>
    <row r="682" spans="7:12" s="122" customFormat="1">
      <c r="G682" s="133"/>
      <c r="J682" s="123"/>
      <c r="K682" s="123"/>
      <c r="L682" s="123"/>
    </row>
    <row r="683" spans="7:12" s="122" customFormat="1">
      <c r="G683" s="133"/>
      <c r="J683" s="123"/>
      <c r="K683" s="123"/>
      <c r="L683" s="123"/>
    </row>
    <row r="684" spans="7:12" s="122" customFormat="1">
      <c r="G684" s="133"/>
      <c r="J684" s="123"/>
      <c r="K684" s="123"/>
      <c r="L684" s="123"/>
    </row>
    <row r="685" spans="7:12" s="122" customFormat="1">
      <c r="G685" s="133"/>
      <c r="J685" s="123"/>
      <c r="K685" s="123"/>
      <c r="L685" s="123"/>
    </row>
    <row r="686" spans="7:12" s="122" customFormat="1">
      <c r="G686" s="133"/>
      <c r="J686" s="123"/>
      <c r="K686" s="123"/>
      <c r="L686" s="123"/>
    </row>
    <row r="687" spans="7:12" s="122" customFormat="1">
      <c r="G687" s="133"/>
      <c r="J687" s="123"/>
      <c r="K687" s="123"/>
      <c r="L687" s="123"/>
    </row>
    <row r="688" spans="7:12" s="122" customFormat="1">
      <c r="G688" s="133"/>
      <c r="J688" s="123"/>
      <c r="K688" s="123"/>
      <c r="L688" s="123"/>
    </row>
    <row r="689" spans="7:12" s="122" customFormat="1">
      <c r="G689" s="133"/>
      <c r="J689" s="123"/>
      <c r="K689" s="123"/>
      <c r="L689" s="123"/>
    </row>
    <row r="690" spans="7:12" s="122" customFormat="1">
      <c r="G690" s="133"/>
      <c r="J690" s="123"/>
      <c r="K690" s="123"/>
      <c r="L690" s="123"/>
    </row>
    <row r="691" spans="7:12" s="122" customFormat="1">
      <c r="G691" s="133"/>
      <c r="J691" s="123"/>
      <c r="K691" s="123"/>
      <c r="L691" s="123"/>
    </row>
    <row r="692" spans="7:12" s="122" customFormat="1">
      <c r="G692" s="133"/>
      <c r="J692" s="123"/>
      <c r="K692" s="123"/>
      <c r="L692" s="123"/>
    </row>
    <row r="693" spans="7:12" s="122" customFormat="1">
      <c r="G693" s="133"/>
      <c r="J693" s="123"/>
      <c r="K693" s="123"/>
      <c r="L693" s="123"/>
    </row>
    <row r="694" spans="7:12" s="122" customFormat="1">
      <c r="G694" s="133"/>
      <c r="J694" s="123"/>
      <c r="K694" s="123"/>
      <c r="L694" s="123"/>
    </row>
    <row r="695" spans="7:12" s="122" customFormat="1">
      <c r="G695" s="133"/>
      <c r="J695" s="123"/>
      <c r="K695" s="123"/>
      <c r="L695" s="123"/>
    </row>
    <row r="696" spans="7:12" s="122" customFormat="1">
      <c r="G696" s="133"/>
      <c r="J696" s="123"/>
      <c r="K696" s="123"/>
      <c r="L696" s="123"/>
    </row>
    <row r="697" spans="7:12" s="122" customFormat="1">
      <c r="G697" s="133"/>
      <c r="J697" s="123"/>
      <c r="K697" s="123"/>
      <c r="L697" s="123"/>
    </row>
    <row r="698" spans="7:12" s="122" customFormat="1">
      <c r="G698" s="133"/>
      <c r="J698" s="123"/>
      <c r="K698" s="123"/>
      <c r="L698" s="123"/>
    </row>
    <row r="699" spans="7:12" s="122" customFormat="1">
      <c r="G699" s="133"/>
      <c r="J699" s="123"/>
      <c r="K699" s="123"/>
      <c r="L699" s="123"/>
    </row>
    <row r="700" spans="7:12" s="122" customFormat="1">
      <c r="G700" s="133"/>
      <c r="J700" s="123"/>
      <c r="K700" s="123"/>
      <c r="L700" s="123"/>
    </row>
    <row r="701" spans="7:12" s="122" customFormat="1">
      <c r="G701" s="133"/>
      <c r="J701" s="123"/>
      <c r="K701" s="123"/>
      <c r="L701" s="123"/>
    </row>
    <row r="702" spans="7:12" s="122" customFormat="1">
      <c r="G702" s="133"/>
      <c r="J702" s="123"/>
      <c r="K702" s="123"/>
      <c r="L702" s="123"/>
    </row>
    <row r="703" spans="7:12" s="122" customFormat="1">
      <c r="G703" s="133"/>
      <c r="J703" s="123"/>
      <c r="K703" s="123"/>
      <c r="L703" s="123"/>
    </row>
    <row r="704" spans="7:12" s="122" customFormat="1">
      <c r="G704" s="133"/>
      <c r="J704" s="123"/>
      <c r="K704" s="123"/>
      <c r="L704" s="123"/>
    </row>
    <row r="705" spans="7:12" s="122" customFormat="1">
      <c r="G705" s="133"/>
      <c r="J705" s="123"/>
      <c r="K705" s="123"/>
      <c r="L705" s="123"/>
    </row>
    <row r="706" spans="7:12" s="122" customFormat="1">
      <c r="G706" s="133"/>
      <c r="J706" s="123"/>
      <c r="K706" s="123"/>
      <c r="L706" s="123"/>
    </row>
    <row r="707" spans="7:12" s="122" customFormat="1">
      <c r="G707" s="133"/>
      <c r="J707" s="123"/>
      <c r="K707" s="123"/>
      <c r="L707" s="123"/>
    </row>
    <row r="708" spans="7:12" s="122" customFormat="1">
      <c r="G708" s="133"/>
      <c r="J708" s="123"/>
      <c r="K708" s="123"/>
      <c r="L708" s="123"/>
    </row>
    <row r="709" spans="7:12" s="122" customFormat="1">
      <c r="G709" s="133"/>
      <c r="J709" s="123"/>
      <c r="K709" s="123"/>
      <c r="L709" s="123"/>
    </row>
    <row r="710" spans="7:12" s="122" customFormat="1">
      <c r="G710" s="133"/>
      <c r="J710" s="123"/>
      <c r="K710" s="123"/>
      <c r="L710" s="123"/>
    </row>
    <row r="711" spans="7:12" s="122" customFormat="1">
      <c r="G711" s="133"/>
      <c r="J711" s="123"/>
      <c r="K711" s="123"/>
      <c r="L711" s="123"/>
    </row>
    <row r="712" spans="7:12" s="122" customFormat="1">
      <c r="G712" s="133"/>
      <c r="J712" s="123"/>
      <c r="K712" s="123"/>
      <c r="L712" s="123"/>
    </row>
    <row r="713" spans="7:12" s="122" customFormat="1">
      <c r="G713" s="133"/>
      <c r="J713" s="123"/>
      <c r="K713" s="123"/>
      <c r="L713" s="123"/>
    </row>
    <row r="714" spans="7:12" s="122" customFormat="1">
      <c r="G714" s="133"/>
      <c r="J714" s="123"/>
      <c r="K714" s="123"/>
      <c r="L714" s="123"/>
    </row>
    <row r="715" spans="7:12" s="122" customFormat="1">
      <c r="G715" s="133"/>
      <c r="J715" s="123"/>
      <c r="K715" s="123"/>
      <c r="L715" s="123"/>
    </row>
    <row r="716" spans="7:12" s="122" customFormat="1">
      <c r="G716" s="133"/>
      <c r="J716" s="123"/>
      <c r="K716" s="123"/>
      <c r="L716" s="123"/>
    </row>
    <row r="717" spans="7:12" s="122" customFormat="1">
      <c r="G717" s="133"/>
      <c r="J717" s="123"/>
      <c r="K717" s="123"/>
      <c r="L717" s="123"/>
    </row>
    <row r="718" spans="7:12" s="122" customFormat="1">
      <c r="G718" s="133"/>
      <c r="J718" s="123"/>
      <c r="K718" s="123"/>
      <c r="L718" s="123"/>
    </row>
    <row r="719" spans="7:12" s="122" customFormat="1">
      <c r="G719" s="133"/>
      <c r="J719" s="123"/>
      <c r="K719" s="123"/>
      <c r="L719" s="123"/>
    </row>
    <row r="720" spans="7:12" s="122" customFormat="1">
      <c r="G720" s="133"/>
      <c r="J720" s="123"/>
      <c r="K720" s="123"/>
      <c r="L720" s="123"/>
    </row>
    <row r="721" spans="7:12" s="122" customFormat="1">
      <c r="G721" s="133"/>
      <c r="J721" s="123"/>
      <c r="K721" s="123"/>
      <c r="L721" s="123"/>
    </row>
    <row r="722" spans="7:12" s="122" customFormat="1">
      <c r="G722" s="133"/>
      <c r="J722" s="123"/>
      <c r="K722" s="123"/>
      <c r="L722" s="123"/>
    </row>
    <row r="723" spans="7:12" s="122" customFormat="1">
      <c r="G723" s="133"/>
      <c r="J723" s="123"/>
      <c r="K723" s="123"/>
      <c r="L723" s="123"/>
    </row>
    <row r="724" spans="7:12" s="122" customFormat="1">
      <c r="G724" s="133"/>
      <c r="J724" s="123"/>
      <c r="K724" s="123"/>
      <c r="L724" s="123"/>
    </row>
    <row r="725" spans="7:12" s="122" customFormat="1">
      <c r="G725" s="133"/>
      <c r="J725" s="123"/>
      <c r="K725" s="123"/>
      <c r="L725" s="123"/>
    </row>
    <row r="726" spans="7:12" s="122" customFormat="1">
      <c r="G726" s="133"/>
      <c r="J726" s="123"/>
      <c r="K726" s="123"/>
      <c r="L726" s="123"/>
    </row>
    <row r="727" spans="7:12" s="122" customFormat="1">
      <c r="G727" s="133"/>
      <c r="J727" s="123"/>
      <c r="K727" s="123"/>
      <c r="L727" s="123"/>
    </row>
    <row r="728" spans="7:12" s="122" customFormat="1">
      <c r="G728" s="133"/>
      <c r="J728" s="123"/>
      <c r="K728" s="123"/>
      <c r="L728" s="123"/>
    </row>
    <row r="729" spans="7:12" s="122" customFormat="1">
      <c r="G729" s="133"/>
      <c r="J729" s="123"/>
      <c r="K729" s="123"/>
      <c r="L729" s="123"/>
    </row>
    <row r="730" spans="7:12" s="122" customFormat="1">
      <c r="G730" s="133"/>
      <c r="J730" s="123"/>
      <c r="K730" s="123"/>
      <c r="L730" s="123"/>
    </row>
    <row r="731" spans="7:12" s="122" customFormat="1">
      <c r="G731" s="133"/>
      <c r="J731" s="123"/>
      <c r="K731" s="123"/>
      <c r="L731" s="123"/>
    </row>
    <row r="732" spans="7:12" s="122" customFormat="1">
      <c r="G732" s="133"/>
      <c r="J732" s="123"/>
      <c r="K732" s="123"/>
      <c r="L732" s="123"/>
    </row>
    <row r="733" spans="7:12" s="122" customFormat="1">
      <c r="G733" s="133"/>
      <c r="J733" s="123"/>
      <c r="K733" s="123"/>
      <c r="L733" s="123"/>
    </row>
    <row r="734" spans="7:12" s="122" customFormat="1">
      <c r="G734" s="133"/>
      <c r="J734" s="123"/>
      <c r="K734" s="123"/>
      <c r="L734" s="123"/>
    </row>
    <row r="735" spans="7:12" s="122" customFormat="1">
      <c r="G735" s="133"/>
      <c r="J735" s="123"/>
      <c r="K735" s="123"/>
      <c r="L735" s="123"/>
    </row>
    <row r="736" spans="7:12" s="122" customFormat="1">
      <c r="G736" s="133"/>
      <c r="J736" s="123"/>
      <c r="K736" s="123"/>
      <c r="L736" s="123"/>
    </row>
    <row r="737" spans="7:12" s="122" customFormat="1">
      <c r="G737" s="133"/>
      <c r="J737" s="123"/>
      <c r="K737" s="123"/>
      <c r="L737" s="123"/>
    </row>
    <row r="738" spans="7:12" s="122" customFormat="1">
      <c r="G738" s="133"/>
      <c r="J738" s="123"/>
      <c r="K738" s="123"/>
      <c r="L738" s="123"/>
    </row>
    <row r="739" spans="7:12" s="122" customFormat="1">
      <c r="G739" s="133"/>
      <c r="J739" s="123"/>
      <c r="K739" s="123"/>
      <c r="L739" s="123"/>
    </row>
    <row r="740" spans="7:12" s="122" customFormat="1">
      <c r="G740" s="133"/>
      <c r="J740" s="123"/>
      <c r="K740" s="123"/>
      <c r="L740" s="123"/>
    </row>
    <row r="741" spans="7:12" s="122" customFormat="1">
      <c r="G741" s="133"/>
      <c r="J741" s="123"/>
      <c r="K741" s="123"/>
      <c r="L741" s="123"/>
    </row>
    <row r="742" spans="7:12" s="122" customFormat="1">
      <c r="G742" s="133"/>
      <c r="J742" s="123"/>
      <c r="K742" s="123"/>
      <c r="L742" s="123"/>
    </row>
    <row r="743" spans="7:12" s="122" customFormat="1">
      <c r="G743" s="133"/>
      <c r="J743" s="123"/>
      <c r="K743" s="123"/>
      <c r="L743" s="123"/>
    </row>
    <row r="744" spans="7:12" s="122" customFormat="1">
      <c r="G744" s="133"/>
      <c r="J744" s="123"/>
      <c r="K744" s="123"/>
      <c r="L744" s="123"/>
    </row>
    <row r="745" spans="7:12" s="122" customFormat="1">
      <c r="G745" s="133"/>
      <c r="J745" s="123"/>
      <c r="K745" s="123"/>
      <c r="L745" s="123"/>
    </row>
    <row r="746" spans="7:12" s="122" customFormat="1">
      <c r="G746" s="133"/>
      <c r="J746" s="123"/>
      <c r="K746" s="123"/>
      <c r="L746" s="123"/>
    </row>
    <row r="747" spans="7:12" s="122" customFormat="1">
      <c r="G747" s="133"/>
      <c r="J747" s="123"/>
      <c r="K747" s="123"/>
      <c r="L747" s="123"/>
    </row>
    <row r="748" spans="7:12" s="122" customFormat="1">
      <c r="G748" s="133"/>
      <c r="J748" s="123"/>
      <c r="K748" s="123"/>
      <c r="L748" s="123"/>
    </row>
    <row r="749" spans="7:12" s="122" customFormat="1">
      <c r="G749" s="133"/>
      <c r="J749" s="123"/>
      <c r="K749" s="123"/>
      <c r="L749" s="123"/>
    </row>
    <row r="750" spans="7:12" s="122" customFormat="1">
      <c r="G750" s="133"/>
      <c r="J750" s="123"/>
      <c r="K750" s="123"/>
      <c r="L750" s="123"/>
    </row>
    <row r="751" spans="7:12" s="122" customFormat="1">
      <c r="G751" s="133"/>
      <c r="J751" s="123"/>
      <c r="K751" s="123"/>
      <c r="L751" s="123"/>
    </row>
    <row r="752" spans="7:12" s="122" customFormat="1">
      <c r="G752" s="133"/>
      <c r="J752" s="123"/>
      <c r="K752" s="123"/>
      <c r="L752" s="123"/>
    </row>
    <row r="753" spans="7:12" s="122" customFormat="1">
      <c r="G753" s="133"/>
      <c r="J753" s="123"/>
      <c r="K753" s="123"/>
      <c r="L753" s="123"/>
    </row>
    <row r="754" spans="7:12" s="122" customFormat="1">
      <c r="G754" s="133"/>
      <c r="J754" s="123"/>
      <c r="K754" s="123"/>
      <c r="L754" s="123"/>
    </row>
    <row r="755" spans="7:12" s="122" customFormat="1">
      <c r="G755" s="133"/>
      <c r="J755" s="123"/>
      <c r="K755" s="123"/>
      <c r="L755" s="123"/>
    </row>
    <row r="756" spans="7:12" s="122" customFormat="1">
      <c r="G756" s="133"/>
      <c r="J756" s="123"/>
      <c r="K756" s="123"/>
      <c r="L756" s="123"/>
    </row>
    <row r="757" spans="7:12" s="122" customFormat="1">
      <c r="G757" s="133"/>
      <c r="J757" s="123"/>
      <c r="K757" s="123"/>
      <c r="L757" s="123"/>
    </row>
    <row r="758" spans="7:12" s="122" customFormat="1">
      <c r="G758" s="133"/>
      <c r="J758" s="123"/>
      <c r="K758" s="123"/>
      <c r="L758" s="123"/>
    </row>
    <row r="759" spans="7:12" s="122" customFormat="1">
      <c r="G759" s="133"/>
      <c r="J759" s="123"/>
      <c r="K759" s="123"/>
      <c r="L759" s="123"/>
    </row>
    <row r="760" spans="7:12" s="122" customFormat="1">
      <c r="G760" s="133"/>
      <c r="J760" s="123"/>
      <c r="K760" s="123"/>
      <c r="L760" s="123"/>
    </row>
    <row r="761" spans="7:12" s="122" customFormat="1">
      <c r="G761" s="133"/>
      <c r="J761" s="123"/>
      <c r="K761" s="123"/>
      <c r="L761" s="123"/>
    </row>
    <row r="762" spans="7:12" s="122" customFormat="1">
      <c r="G762" s="133"/>
      <c r="J762" s="123"/>
      <c r="K762" s="123"/>
      <c r="L762" s="123"/>
    </row>
    <row r="763" spans="7:12" s="122" customFormat="1">
      <c r="G763" s="133"/>
      <c r="J763" s="123"/>
      <c r="K763" s="123"/>
      <c r="L763" s="123"/>
    </row>
    <row r="764" spans="7:12" s="122" customFormat="1">
      <c r="G764" s="133"/>
      <c r="J764" s="123"/>
      <c r="K764" s="123"/>
      <c r="L764" s="123"/>
    </row>
    <row r="765" spans="7:12" s="122" customFormat="1">
      <c r="G765" s="133"/>
      <c r="J765" s="123"/>
      <c r="K765" s="123"/>
      <c r="L765" s="123"/>
    </row>
    <row r="766" spans="7:12" s="122" customFormat="1">
      <c r="G766" s="133"/>
      <c r="J766" s="123"/>
      <c r="K766" s="123"/>
      <c r="L766" s="123"/>
    </row>
    <row r="767" spans="7:12" s="122" customFormat="1">
      <c r="G767" s="133"/>
      <c r="J767" s="123"/>
      <c r="K767" s="123"/>
      <c r="L767" s="123"/>
    </row>
    <row r="768" spans="7:12" s="122" customFormat="1">
      <c r="G768" s="133"/>
      <c r="J768" s="123"/>
      <c r="K768" s="123"/>
      <c r="L768" s="123"/>
    </row>
    <row r="769" spans="7:12" s="122" customFormat="1">
      <c r="G769" s="133"/>
      <c r="J769" s="123"/>
      <c r="K769" s="123"/>
      <c r="L769" s="123"/>
    </row>
    <row r="770" spans="7:12" s="122" customFormat="1">
      <c r="G770" s="133"/>
      <c r="J770" s="123"/>
      <c r="K770" s="123"/>
      <c r="L770" s="123"/>
    </row>
    <row r="771" spans="7:12" s="122" customFormat="1">
      <c r="G771" s="133"/>
      <c r="J771" s="123"/>
      <c r="K771" s="123"/>
      <c r="L771" s="123"/>
    </row>
    <row r="772" spans="7:12" s="122" customFormat="1">
      <c r="G772" s="133"/>
      <c r="J772" s="123"/>
      <c r="K772" s="123"/>
      <c r="L772" s="123"/>
    </row>
    <row r="773" spans="7:12" s="122" customFormat="1">
      <c r="G773" s="133"/>
      <c r="J773" s="123"/>
      <c r="K773" s="123"/>
      <c r="L773" s="123"/>
    </row>
    <row r="774" spans="7:12" s="122" customFormat="1">
      <c r="G774" s="133"/>
      <c r="J774" s="123"/>
      <c r="K774" s="123"/>
      <c r="L774" s="123"/>
    </row>
    <row r="775" spans="7:12" s="122" customFormat="1">
      <c r="G775" s="133"/>
      <c r="J775" s="123"/>
      <c r="K775" s="123"/>
      <c r="L775" s="123"/>
    </row>
    <row r="776" spans="7:12" s="122" customFormat="1">
      <c r="G776" s="133"/>
      <c r="J776" s="123"/>
      <c r="K776" s="123"/>
      <c r="L776" s="123"/>
    </row>
    <row r="777" spans="7:12" s="122" customFormat="1">
      <c r="G777" s="133"/>
      <c r="J777" s="123"/>
      <c r="K777" s="123"/>
      <c r="L777" s="123"/>
    </row>
    <row r="778" spans="7:12" s="122" customFormat="1">
      <c r="G778" s="133"/>
      <c r="J778" s="123"/>
      <c r="K778" s="123"/>
      <c r="L778" s="123"/>
    </row>
    <row r="779" spans="7:12" s="122" customFormat="1">
      <c r="G779" s="133"/>
      <c r="J779" s="123"/>
      <c r="K779" s="123"/>
      <c r="L779" s="123"/>
    </row>
    <row r="780" spans="7:12" s="122" customFormat="1">
      <c r="G780" s="133"/>
      <c r="J780" s="123"/>
      <c r="K780" s="123"/>
      <c r="L780" s="123"/>
    </row>
    <row r="781" spans="7:12" s="122" customFormat="1">
      <c r="G781" s="133"/>
      <c r="J781" s="123"/>
      <c r="K781" s="123"/>
      <c r="L781" s="123"/>
    </row>
    <row r="782" spans="7:12" s="122" customFormat="1">
      <c r="G782" s="133"/>
      <c r="J782" s="123"/>
      <c r="K782" s="123"/>
      <c r="L782" s="123"/>
    </row>
    <row r="783" spans="7:12" s="122" customFormat="1">
      <c r="G783" s="133"/>
      <c r="J783" s="123"/>
      <c r="K783" s="123"/>
      <c r="L783" s="123"/>
    </row>
    <row r="784" spans="7:12" s="122" customFormat="1">
      <c r="G784" s="133"/>
      <c r="J784" s="123"/>
      <c r="K784" s="123"/>
      <c r="L784" s="123"/>
    </row>
    <row r="785" spans="7:12" s="122" customFormat="1">
      <c r="G785" s="133"/>
      <c r="J785" s="123"/>
      <c r="K785" s="123"/>
      <c r="L785" s="123"/>
    </row>
    <row r="786" spans="7:12" s="122" customFormat="1">
      <c r="G786" s="133"/>
      <c r="J786" s="123"/>
      <c r="K786" s="123"/>
      <c r="L786" s="123"/>
    </row>
    <row r="787" spans="7:12" s="122" customFormat="1">
      <c r="G787" s="133"/>
      <c r="J787" s="123"/>
      <c r="K787" s="123"/>
      <c r="L787" s="123"/>
    </row>
    <row r="788" spans="7:12" s="122" customFormat="1">
      <c r="G788" s="133"/>
      <c r="J788" s="123"/>
      <c r="K788" s="123"/>
      <c r="L788" s="123"/>
    </row>
    <row r="789" spans="7:12" s="122" customFormat="1">
      <c r="G789" s="133"/>
      <c r="J789" s="123"/>
      <c r="K789" s="123"/>
      <c r="L789" s="123"/>
    </row>
    <row r="790" spans="7:12" s="122" customFormat="1">
      <c r="G790" s="133"/>
      <c r="J790" s="123"/>
      <c r="K790" s="123"/>
      <c r="L790" s="123"/>
    </row>
    <row r="791" spans="7:12" s="122" customFormat="1">
      <c r="G791" s="133"/>
      <c r="J791" s="123"/>
      <c r="K791" s="123"/>
      <c r="L791" s="123"/>
    </row>
    <row r="792" spans="7:12" s="122" customFormat="1">
      <c r="G792" s="133"/>
      <c r="J792" s="123"/>
      <c r="K792" s="123"/>
      <c r="L792" s="123"/>
    </row>
    <row r="793" spans="7:12" s="122" customFormat="1">
      <c r="G793" s="133"/>
      <c r="J793" s="123"/>
      <c r="K793" s="123"/>
      <c r="L793" s="123"/>
    </row>
    <row r="794" spans="7:12" s="122" customFormat="1">
      <c r="G794" s="133"/>
      <c r="J794" s="123"/>
      <c r="K794" s="123"/>
      <c r="L794" s="123"/>
    </row>
    <row r="795" spans="7:12" s="122" customFormat="1">
      <c r="G795" s="133"/>
      <c r="J795" s="123"/>
      <c r="K795" s="123"/>
      <c r="L795" s="123"/>
    </row>
    <row r="796" spans="7:12" s="122" customFormat="1">
      <c r="G796" s="133"/>
      <c r="J796" s="123"/>
      <c r="K796" s="123"/>
      <c r="L796" s="123"/>
    </row>
    <row r="797" spans="7:12" s="122" customFormat="1">
      <c r="G797" s="133"/>
      <c r="J797" s="123"/>
      <c r="K797" s="123"/>
      <c r="L797" s="123"/>
    </row>
    <row r="798" spans="7:12" s="122" customFormat="1">
      <c r="G798" s="133"/>
      <c r="J798" s="123"/>
      <c r="K798" s="123"/>
      <c r="L798" s="123"/>
    </row>
    <row r="799" spans="7:12" s="122" customFormat="1">
      <c r="G799" s="133"/>
      <c r="J799" s="123"/>
      <c r="K799" s="123"/>
      <c r="L799" s="123"/>
    </row>
    <row r="800" spans="7:12" s="122" customFormat="1">
      <c r="G800" s="133"/>
      <c r="J800" s="123"/>
      <c r="K800" s="123"/>
      <c r="L800" s="123"/>
    </row>
    <row r="801" spans="7:12" s="122" customFormat="1">
      <c r="G801" s="133"/>
      <c r="J801" s="123"/>
      <c r="K801" s="123"/>
      <c r="L801" s="123"/>
    </row>
    <row r="802" spans="7:12" s="122" customFormat="1">
      <c r="G802" s="133"/>
      <c r="J802" s="123"/>
      <c r="K802" s="123"/>
      <c r="L802" s="123"/>
    </row>
    <row r="803" spans="7:12" s="122" customFormat="1">
      <c r="G803" s="133"/>
      <c r="J803" s="123"/>
      <c r="K803" s="123"/>
      <c r="L803" s="123"/>
    </row>
    <row r="804" spans="7:12" s="122" customFormat="1">
      <c r="G804" s="133"/>
      <c r="J804" s="123"/>
      <c r="K804" s="123"/>
      <c r="L804" s="123"/>
    </row>
    <row r="805" spans="7:12" s="122" customFormat="1">
      <c r="G805" s="133"/>
      <c r="J805" s="123"/>
      <c r="K805" s="123"/>
      <c r="L805" s="123"/>
    </row>
    <row r="806" spans="7:12" s="122" customFormat="1">
      <c r="G806" s="133"/>
      <c r="J806" s="123"/>
      <c r="K806" s="123"/>
      <c r="L806" s="123"/>
    </row>
    <row r="807" spans="7:12" s="122" customFormat="1">
      <c r="G807" s="133"/>
      <c r="J807" s="123"/>
      <c r="K807" s="123"/>
      <c r="L807" s="123"/>
    </row>
    <row r="808" spans="7:12" s="122" customFormat="1">
      <c r="G808" s="133"/>
      <c r="J808" s="123"/>
      <c r="K808" s="123"/>
      <c r="L808" s="123"/>
    </row>
    <row r="809" spans="7:12" s="122" customFormat="1">
      <c r="G809" s="133"/>
      <c r="J809" s="123"/>
      <c r="K809" s="123"/>
      <c r="L809" s="123"/>
    </row>
    <row r="810" spans="7:12" s="122" customFormat="1">
      <c r="G810" s="133"/>
      <c r="J810" s="123"/>
      <c r="K810" s="123"/>
      <c r="L810" s="123"/>
    </row>
    <row r="811" spans="7:12" s="122" customFormat="1">
      <c r="G811" s="133"/>
      <c r="J811" s="123"/>
      <c r="K811" s="123"/>
      <c r="L811" s="123"/>
    </row>
    <row r="812" spans="7:12" s="122" customFormat="1">
      <c r="G812" s="133"/>
      <c r="J812" s="123"/>
      <c r="K812" s="123"/>
      <c r="L812" s="123"/>
    </row>
    <row r="813" spans="7:12" s="122" customFormat="1">
      <c r="G813" s="133"/>
      <c r="J813" s="123"/>
      <c r="K813" s="123"/>
      <c r="L813" s="123"/>
    </row>
    <row r="814" spans="7:12" s="122" customFormat="1">
      <c r="G814" s="133"/>
      <c r="J814" s="123"/>
      <c r="K814" s="123"/>
      <c r="L814" s="123"/>
    </row>
    <row r="815" spans="7:12" s="122" customFormat="1">
      <c r="G815" s="133"/>
      <c r="J815" s="123"/>
      <c r="K815" s="123"/>
      <c r="L815" s="123"/>
    </row>
    <row r="816" spans="7:12" s="122" customFormat="1">
      <c r="G816" s="133"/>
      <c r="J816" s="123"/>
      <c r="K816" s="123"/>
      <c r="L816" s="123"/>
    </row>
    <row r="817" spans="7:12" s="122" customFormat="1">
      <c r="G817" s="133"/>
      <c r="J817" s="123"/>
      <c r="K817" s="123"/>
      <c r="L817" s="123"/>
    </row>
    <row r="818" spans="7:12" s="122" customFormat="1">
      <c r="G818" s="133"/>
      <c r="J818" s="123"/>
      <c r="K818" s="123"/>
      <c r="L818" s="123"/>
    </row>
    <row r="819" spans="7:12" s="122" customFormat="1">
      <c r="G819" s="133"/>
      <c r="J819" s="123"/>
      <c r="K819" s="123"/>
      <c r="L819" s="123"/>
    </row>
    <row r="820" spans="7:12" s="122" customFormat="1">
      <c r="G820" s="133"/>
      <c r="J820" s="123"/>
      <c r="K820" s="123"/>
      <c r="L820" s="123"/>
    </row>
    <row r="821" spans="7:12" s="122" customFormat="1">
      <c r="G821" s="133"/>
      <c r="J821" s="123"/>
      <c r="K821" s="123"/>
      <c r="L821" s="123"/>
    </row>
    <row r="822" spans="7:12" s="122" customFormat="1">
      <c r="G822" s="133"/>
      <c r="J822" s="123"/>
      <c r="K822" s="123"/>
      <c r="L822" s="123"/>
    </row>
    <row r="823" spans="7:12" s="122" customFormat="1">
      <c r="G823" s="133"/>
      <c r="J823" s="123"/>
      <c r="K823" s="123"/>
      <c r="L823" s="123"/>
    </row>
    <row r="824" spans="7:12" s="122" customFormat="1">
      <c r="G824" s="133"/>
      <c r="J824" s="123"/>
      <c r="K824" s="123"/>
      <c r="L824" s="123"/>
    </row>
    <row r="825" spans="7:12" s="122" customFormat="1">
      <c r="G825" s="133"/>
      <c r="J825" s="123"/>
      <c r="K825" s="123"/>
      <c r="L825" s="123"/>
    </row>
    <row r="826" spans="7:12" s="122" customFormat="1">
      <c r="G826" s="133"/>
      <c r="J826" s="123"/>
      <c r="K826" s="123"/>
      <c r="L826" s="123"/>
    </row>
    <row r="827" spans="7:12" s="122" customFormat="1">
      <c r="G827" s="133"/>
      <c r="J827" s="123"/>
      <c r="K827" s="123"/>
      <c r="L827" s="123"/>
    </row>
    <row r="828" spans="7:12" s="122" customFormat="1">
      <c r="G828" s="133"/>
      <c r="J828" s="123"/>
      <c r="K828" s="123"/>
      <c r="L828" s="123"/>
    </row>
    <row r="829" spans="7:12" s="122" customFormat="1">
      <c r="G829" s="133"/>
      <c r="J829" s="123"/>
      <c r="K829" s="123"/>
      <c r="L829" s="123"/>
    </row>
    <row r="830" spans="7:12" s="122" customFormat="1">
      <c r="G830" s="133"/>
      <c r="J830" s="123"/>
      <c r="K830" s="123"/>
      <c r="L830" s="123"/>
    </row>
    <row r="831" spans="7:12" s="122" customFormat="1">
      <c r="G831" s="133"/>
      <c r="J831" s="123"/>
      <c r="K831" s="123"/>
      <c r="L831" s="123"/>
    </row>
    <row r="832" spans="7:12" s="122" customFormat="1">
      <c r="G832" s="133"/>
      <c r="J832" s="123"/>
      <c r="K832" s="123"/>
      <c r="L832" s="123"/>
    </row>
    <row r="833" spans="7:12" s="122" customFormat="1">
      <c r="G833" s="133"/>
      <c r="J833" s="123"/>
      <c r="K833" s="123"/>
      <c r="L833" s="123"/>
    </row>
    <row r="834" spans="7:12" s="122" customFormat="1">
      <c r="G834" s="133"/>
      <c r="J834" s="123"/>
      <c r="K834" s="123"/>
      <c r="L834" s="123"/>
    </row>
    <row r="835" spans="7:12" s="122" customFormat="1">
      <c r="G835" s="133"/>
      <c r="J835" s="123"/>
      <c r="K835" s="123"/>
      <c r="L835" s="123"/>
    </row>
    <row r="836" spans="7:12" s="122" customFormat="1">
      <c r="G836" s="133"/>
      <c r="J836" s="123"/>
      <c r="K836" s="123"/>
      <c r="L836" s="123"/>
    </row>
    <row r="837" spans="7:12" s="122" customFormat="1">
      <c r="G837" s="133"/>
      <c r="J837" s="123"/>
      <c r="K837" s="123"/>
      <c r="L837" s="123"/>
    </row>
    <row r="838" spans="7:12" s="122" customFormat="1">
      <c r="G838" s="133"/>
      <c r="J838" s="123"/>
      <c r="K838" s="123"/>
      <c r="L838" s="123"/>
    </row>
    <row r="839" spans="7:12" s="122" customFormat="1">
      <c r="G839" s="133"/>
      <c r="J839" s="123"/>
      <c r="K839" s="123"/>
      <c r="L839" s="123"/>
    </row>
    <row r="840" spans="7:12" s="122" customFormat="1">
      <c r="G840" s="133"/>
      <c r="J840" s="123"/>
      <c r="K840" s="123"/>
      <c r="L840" s="123"/>
    </row>
    <row r="841" spans="7:12" s="122" customFormat="1">
      <c r="G841" s="133"/>
      <c r="J841" s="123"/>
      <c r="K841" s="123"/>
      <c r="L841" s="123"/>
    </row>
    <row r="842" spans="7:12" s="122" customFormat="1">
      <c r="G842" s="133"/>
      <c r="J842" s="123"/>
      <c r="K842" s="123"/>
      <c r="L842" s="123"/>
    </row>
    <row r="843" spans="7:12" s="122" customFormat="1">
      <c r="G843" s="133"/>
      <c r="J843" s="123"/>
      <c r="K843" s="123"/>
      <c r="L843" s="123"/>
    </row>
    <row r="844" spans="7:12" s="122" customFormat="1">
      <c r="G844" s="133"/>
      <c r="J844" s="123"/>
      <c r="K844" s="123"/>
      <c r="L844" s="123"/>
    </row>
    <row r="845" spans="7:12" s="122" customFormat="1">
      <c r="G845" s="133"/>
      <c r="J845" s="123"/>
      <c r="K845" s="123"/>
      <c r="L845" s="123"/>
    </row>
    <row r="846" spans="7:12" s="122" customFormat="1">
      <c r="G846" s="133"/>
      <c r="J846" s="123"/>
      <c r="K846" s="123"/>
      <c r="L846" s="123"/>
    </row>
    <row r="847" spans="7:12" s="122" customFormat="1">
      <c r="G847" s="133"/>
      <c r="J847" s="123"/>
      <c r="K847" s="123"/>
      <c r="L847" s="123"/>
    </row>
    <row r="848" spans="7:12" s="122" customFormat="1">
      <c r="G848" s="133"/>
      <c r="J848" s="123"/>
      <c r="K848" s="123"/>
      <c r="L848" s="123"/>
    </row>
    <row r="849" spans="7:12" s="122" customFormat="1">
      <c r="G849" s="133"/>
      <c r="J849" s="123"/>
      <c r="K849" s="123"/>
      <c r="L849" s="123"/>
    </row>
    <row r="850" spans="7:12" s="122" customFormat="1">
      <c r="G850" s="133"/>
      <c r="J850" s="123"/>
      <c r="K850" s="123"/>
      <c r="L850" s="123"/>
    </row>
    <row r="851" spans="7:12" s="122" customFormat="1">
      <c r="G851" s="133"/>
      <c r="J851" s="123"/>
      <c r="K851" s="123"/>
      <c r="L851" s="123"/>
    </row>
    <row r="852" spans="7:12" s="122" customFormat="1">
      <c r="G852" s="133"/>
      <c r="J852" s="123"/>
      <c r="K852" s="123"/>
      <c r="L852" s="123"/>
    </row>
    <row r="853" spans="7:12" s="122" customFormat="1">
      <c r="G853" s="133"/>
      <c r="J853" s="123"/>
      <c r="K853" s="123"/>
      <c r="L853" s="123"/>
    </row>
    <row r="854" spans="7:12" s="122" customFormat="1">
      <c r="G854" s="133"/>
      <c r="J854" s="123"/>
      <c r="K854" s="123"/>
      <c r="L854" s="123"/>
    </row>
    <row r="855" spans="7:12" s="122" customFormat="1">
      <c r="G855" s="133"/>
      <c r="J855" s="123"/>
      <c r="K855" s="123"/>
      <c r="L855" s="123"/>
    </row>
    <row r="856" spans="7:12" s="122" customFormat="1">
      <c r="G856" s="133"/>
      <c r="J856" s="123"/>
      <c r="K856" s="123"/>
      <c r="L856" s="123"/>
    </row>
    <row r="857" spans="7:12" s="122" customFormat="1">
      <c r="G857" s="133"/>
      <c r="J857" s="123"/>
      <c r="K857" s="123"/>
      <c r="L857" s="123"/>
    </row>
    <row r="858" spans="7:12" s="122" customFormat="1">
      <c r="G858" s="133"/>
      <c r="J858" s="123"/>
      <c r="K858" s="123"/>
      <c r="L858" s="123"/>
    </row>
    <row r="859" spans="7:12" s="122" customFormat="1">
      <c r="G859" s="133"/>
      <c r="J859" s="123"/>
      <c r="K859" s="123"/>
      <c r="L859" s="123"/>
    </row>
    <row r="860" spans="7:12" s="122" customFormat="1">
      <c r="G860" s="133"/>
      <c r="J860" s="123"/>
      <c r="K860" s="123"/>
      <c r="L860" s="123"/>
    </row>
    <row r="861" spans="7:12" s="122" customFormat="1">
      <c r="G861" s="133"/>
      <c r="J861" s="123"/>
      <c r="K861" s="123"/>
      <c r="L861" s="123"/>
    </row>
    <row r="862" spans="7:12" s="122" customFormat="1">
      <c r="G862" s="133"/>
      <c r="J862" s="123"/>
      <c r="K862" s="123"/>
      <c r="L862" s="123"/>
    </row>
    <row r="863" spans="7:12" s="122" customFormat="1">
      <c r="G863" s="133"/>
      <c r="J863" s="123"/>
      <c r="K863" s="123"/>
      <c r="L863" s="123"/>
    </row>
    <row r="864" spans="7:12" s="122" customFormat="1">
      <c r="G864" s="133"/>
      <c r="J864" s="123"/>
      <c r="K864" s="123"/>
      <c r="L864" s="123"/>
    </row>
    <row r="865" spans="7:12" s="122" customFormat="1">
      <c r="G865" s="133"/>
      <c r="J865" s="123"/>
      <c r="K865" s="123"/>
      <c r="L865" s="123"/>
    </row>
    <row r="866" spans="7:12" s="122" customFormat="1">
      <c r="G866" s="133"/>
      <c r="J866" s="123"/>
      <c r="K866" s="123"/>
      <c r="L866" s="123"/>
    </row>
    <row r="867" spans="7:12" s="122" customFormat="1">
      <c r="G867" s="133"/>
      <c r="J867" s="123"/>
      <c r="K867" s="123"/>
      <c r="L867" s="123"/>
    </row>
    <row r="868" spans="7:12" s="122" customFormat="1">
      <c r="G868" s="133"/>
      <c r="J868" s="123"/>
      <c r="K868" s="123"/>
      <c r="L868" s="123"/>
    </row>
    <row r="869" spans="7:12" s="122" customFormat="1">
      <c r="G869" s="133"/>
      <c r="J869" s="123"/>
      <c r="K869" s="123"/>
      <c r="L869" s="123"/>
    </row>
    <row r="870" spans="7:12" s="122" customFormat="1">
      <c r="G870" s="133"/>
      <c r="J870" s="123"/>
      <c r="K870" s="123"/>
      <c r="L870" s="123"/>
    </row>
    <row r="871" spans="7:12" s="122" customFormat="1">
      <c r="G871" s="133"/>
      <c r="J871" s="123"/>
      <c r="K871" s="123"/>
      <c r="L871" s="123"/>
    </row>
    <row r="872" spans="7:12" s="122" customFormat="1">
      <c r="G872" s="133"/>
      <c r="J872" s="123"/>
      <c r="K872" s="123"/>
      <c r="L872" s="123"/>
    </row>
    <row r="873" spans="7:12" s="122" customFormat="1">
      <c r="G873" s="133"/>
      <c r="J873" s="123"/>
      <c r="K873" s="123"/>
      <c r="L873" s="123"/>
    </row>
    <row r="874" spans="7:12" s="122" customFormat="1">
      <c r="G874" s="133"/>
      <c r="J874" s="123"/>
      <c r="K874" s="123"/>
      <c r="L874" s="123"/>
    </row>
    <row r="875" spans="7:12" s="122" customFormat="1">
      <c r="G875" s="133"/>
      <c r="J875" s="123"/>
      <c r="K875" s="123"/>
      <c r="L875" s="123"/>
    </row>
    <row r="876" spans="7:12" s="122" customFormat="1">
      <c r="G876" s="133"/>
      <c r="J876" s="123"/>
      <c r="K876" s="123"/>
      <c r="L876" s="123"/>
    </row>
    <row r="877" spans="7:12" s="122" customFormat="1">
      <c r="G877" s="133"/>
      <c r="J877" s="123"/>
      <c r="K877" s="123"/>
      <c r="L877" s="123"/>
    </row>
    <row r="878" spans="7:12" s="122" customFormat="1">
      <c r="G878" s="133"/>
      <c r="J878" s="123"/>
      <c r="K878" s="123"/>
      <c r="L878" s="123"/>
    </row>
    <row r="879" spans="7:12" s="122" customFormat="1">
      <c r="G879" s="133"/>
      <c r="J879" s="123"/>
      <c r="K879" s="123"/>
      <c r="L879" s="123"/>
    </row>
    <row r="880" spans="7:12" s="122" customFormat="1">
      <c r="G880" s="133"/>
      <c r="J880" s="123"/>
      <c r="K880" s="123"/>
      <c r="L880" s="123"/>
    </row>
    <row r="881" spans="7:12" s="122" customFormat="1">
      <c r="G881" s="133"/>
      <c r="J881" s="123"/>
      <c r="K881" s="123"/>
      <c r="L881" s="123"/>
    </row>
    <row r="882" spans="7:12" s="122" customFormat="1">
      <c r="G882" s="133"/>
      <c r="J882" s="123"/>
      <c r="K882" s="123"/>
      <c r="L882" s="123"/>
    </row>
    <row r="883" spans="7:12" s="122" customFormat="1">
      <c r="G883" s="133"/>
      <c r="J883" s="123"/>
      <c r="K883" s="123"/>
      <c r="L883" s="123"/>
    </row>
    <row r="884" spans="7:12" s="122" customFormat="1">
      <c r="G884" s="133"/>
      <c r="J884" s="123"/>
      <c r="K884" s="123"/>
      <c r="L884" s="123"/>
    </row>
    <row r="885" spans="7:12" s="122" customFormat="1">
      <c r="G885" s="133"/>
      <c r="J885" s="123"/>
      <c r="K885" s="123"/>
      <c r="L885" s="123"/>
    </row>
    <row r="886" spans="7:12" s="122" customFormat="1">
      <c r="G886" s="133"/>
      <c r="J886" s="123"/>
      <c r="K886" s="123"/>
      <c r="L886" s="123"/>
    </row>
    <row r="887" spans="7:12" s="122" customFormat="1">
      <c r="G887" s="133"/>
      <c r="J887" s="123"/>
      <c r="K887" s="123"/>
      <c r="L887" s="123"/>
    </row>
    <row r="888" spans="7:12" s="122" customFormat="1">
      <c r="G888" s="133"/>
      <c r="J888" s="123"/>
      <c r="K888" s="123"/>
      <c r="L888" s="123"/>
    </row>
    <row r="889" spans="7:12" s="122" customFormat="1">
      <c r="G889" s="133"/>
      <c r="J889" s="123"/>
      <c r="K889" s="123"/>
      <c r="L889" s="123"/>
    </row>
    <row r="890" spans="7:12" s="122" customFormat="1">
      <c r="G890" s="133"/>
      <c r="J890" s="123"/>
      <c r="K890" s="123"/>
      <c r="L890" s="123"/>
    </row>
    <row r="891" spans="7:12" s="122" customFormat="1">
      <c r="G891" s="133"/>
      <c r="J891" s="123"/>
      <c r="K891" s="123"/>
      <c r="L891" s="123"/>
    </row>
    <row r="892" spans="7:12" s="122" customFormat="1">
      <c r="G892" s="133"/>
      <c r="J892" s="123"/>
      <c r="K892" s="123"/>
      <c r="L892" s="123"/>
    </row>
    <row r="893" spans="7:12" s="122" customFormat="1">
      <c r="G893" s="133"/>
      <c r="J893" s="123"/>
      <c r="K893" s="123"/>
      <c r="L893" s="123"/>
    </row>
    <row r="894" spans="7:12" s="122" customFormat="1">
      <c r="G894" s="133"/>
      <c r="J894" s="123"/>
      <c r="K894" s="123"/>
      <c r="L894" s="123"/>
    </row>
    <row r="895" spans="7:12" s="122" customFormat="1">
      <c r="G895" s="133"/>
      <c r="J895" s="123"/>
      <c r="K895" s="123"/>
      <c r="L895" s="123"/>
    </row>
    <row r="896" spans="7:12" s="122" customFormat="1">
      <c r="G896" s="133"/>
      <c r="J896" s="123"/>
      <c r="K896" s="123"/>
      <c r="L896" s="123"/>
    </row>
    <row r="897" spans="7:12" s="122" customFormat="1">
      <c r="G897" s="133"/>
      <c r="J897" s="123"/>
      <c r="K897" s="123"/>
      <c r="L897" s="123"/>
    </row>
    <row r="898" spans="7:12" s="122" customFormat="1">
      <c r="G898" s="133"/>
      <c r="J898" s="123"/>
      <c r="K898" s="123"/>
      <c r="L898" s="123"/>
    </row>
    <row r="899" spans="7:12" s="122" customFormat="1">
      <c r="G899" s="133"/>
      <c r="J899" s="123"/>
      <c r="K899" s="123"/>
      <c r="L899" s="123"/>
    </row>
    <row r="900" spans="7:12" s="122" customFormat="1">
      <c r="G900" s="133"/>
      <c r="J900" s="123"/>
      <c r="K900" s="123"/>
      <c r="L900" s="123"/>
    </row>
    <row r="901" spans="7:12" s="122" customFormat="1">
      <c r="G901" s="133"/>
      <c r="J901" s="123"/>
      <c r="K901" s="123"/>
      <c r="L901" s="123"/>
    </row>
    <row r="902" spans="7:12" s="122" customFormat="1">
      <c r="G902" s="133"/>
      <c r="J902" s="123"/>
      <c r="K902" s="123"/>
      <c r="L902" s="123"/>
    </row>
    <row r="903" spans="7:12" s="122" customFormat="1">
      <c r="G903" s="133"/>
      <c r="J903" s="123"/>
      <c r="K903" s="123"/>
      <c r="L903" s="123"/>
    </row>
    <row r="904" spans="7:12" s="122" customFormat="1">
      <c r="G904" s="133"/>
      <c r="J904" s="123"/>
      <c r="K904" s="123"/>
      <c r="L904" s="123"/>
    </row>
    <row r="905" spans="7:12" s="122" customFormat="1">
      <c r="G905" s="133"/>
      <c r="J905" s="123"/>
      <c r="K905" s="123"/>
      <c r="L905" s="123"/>
    </row>
    <row r="906" spans="7:12" s="122" customFormat="1">
      <c r="G906" s="133"/>
      <c r="J906" s="123"/>
      <c r="K906" s="123"/>
      <c r="L906" s="123"/>
    </row>
    <row r="907" spans="7:12" s="122" customFormat="1">
      <c r="G907" s="133"/>
      <c r="J907" s="123"/>
      <c r="K907" s="123"/>
      <c r="L907" s="123"/>
    </row>
    <row r="908" spans="7:12" s="122" customFormat="1">
      <c r="G908" s="133"/>
      <c r="J908" s="123"/>
      <c r="K908" s="123"/>
      <c r="L908" s="123"/>
    </row>
    <row r="909" spans="7:12" s="122" customFormat="1">
      <c r="G909" s="133"/>
      <c r="J909" s="123"/>
      <c r="K909" s="123"/>
      <c r="L909" s="123"/>
    </row>
    <row r="910" spans="7:12" s="122" customFormat="1">
      <c r="G910" s="133"/>
      <c r="J910" s="123"/>
      <c r="K910" s="123"/>
      <c r="L910" s="123"/>
    </row>
    <row r="911" spans="7:12" s="122" customFormat="1">
      <c r="G911" s="133"/>
      <c r="J911" s="123"/>
      <c r="K911" s="123"/>
      <c r="L911" s="123"/>
    </row>
    <row r="912" spans="7:12" s="122" customFormat="1">
      <c r="G912" s="133"/>
      <c r="J912" s="123"/>
      <c r="K912" s="123"/>
      <c r="L912" s="123"/>
    </row>
    <row r="913" spans="7:12" s="122" customFormat="1">
      <c r="G913" s="133"/>
      <c r="J913" s="123"/>
      <c r="K913" s="123"/>
      <c r="L913" s="123"/>
    </row>
    <row r="914" spans="7:12" s="122" customFormat="1">
      <c r="G914" s="133"/>
      <c r="J914" s="123"/>
      <c r="K914" s="123"/>
      <c r="L914" s="123"/>
    </row>
    <row r="915" spans="7:12" s="122" customFormat="1">
      <c r="G915" s="133"/>
      <c r="J915" s="123"/>
      <c r="K915" s="123"/>
      <c r="L915" s="123"/>
    </row>
    <row r="916" spans="7:12" s="122" customFormat="1">
      <c r="G916" s="133"/>
      <c r="J916" s="123"/>
      <c r="K916" s="123"/>
      <c r="L916" s="123"/>
    </row>
    <row r="917" spans="7:12" s="122" customFormat="1">
      <c r="G917" s="133"/>
      <c r="J917" s="123"/>
      <c r="K917" s="123"/>
      <c r="L917" s="123"/>
    </row>
    <row r="918" spans="7:12" s="122" customFormat="1">
      <c r="G918" s="133"/>
      <c r="J918" s="123"/>
      <c r="K918" s="123"/>
      <c r="L918" s="123"/>
    </row>
    <row r="919" spans="7:12" s="122" customFormat="1">
      <c r="G919" s="133"/>
      <c r="J919" s="123"/>
      <c r="K919" s="123"/>
      <c r="L919" s="123"/>
    </row>
    <row r="920" spans="7:12" s="122" customFormat="1">
      <c r="G920" s="133"/>
      <c r="J920" s="123"/>
      <c r="K920" s="123"/>
      <c r="L920" s="123"/>
    </row>
    <row r="921" spans="7:12" s="122" customFormat="1">
      <c r="G921" s="133"/>
      <c r="J921" s="123"/>
      <c r="K921" s="123"/>
      <c r="L921" s="123"/>
    </row>
    <row r="922" spans="7:12" s="122" customFormat="1">
      <c r="G922" s="133"/>
      <c r="J922" s="123"/>
      <c r="K922" s="123"/>
      <c r="L922" s="123"/>
    </row>
    <row r="923" spans="7:12" s="122" customFormat="1">
      <c r="G923" s="133"/>
      <c r="J923" s="123"/>
      <c r="K923" s="123"/>
      <c r="L923" s="123"/>
    </row>
    <row r="924" spans="7:12" s="122" customFormat="1">
      <c r="G924" s="133"/>
      <c r="J924" s="123"/>
      <c r="K924" s="123"/>
      <c r="L924" s="123"/>
    </row>
    <row r="925" spans="7:12" s="122" customFormat="1">
      <c r="G925" s="133"/>
      <c r="J925" s="123"/>
      <c r="K925" s="123"/>
      <c r="L925" s="123"/>
    </row>
    <row r="926" spans="7:12" s="122" customFormat="1">
      <c r="G926" s="133"/>
      <c r="J926" s="123"/>
      <c r="K926" s="123"/>
      <c r="L926" s="123"/>
    </row>
    <row r="927" spans="7:12" s="122" customFormat="1">
      <c r="G927" s="133"/>
      <c r="J927" s="123"/>
      <c r="K927" s="123"/>
      <c r="L927" s="123"/>
    </row>
    <row r="928" spans="7:12" s="122" customFormat="1">
      <c r="G928" s="133"/>
      <c r="J928" s="123"/>
      <c r="K928" s="123"/>
      <c r="L928" s="123"/>
    </row>
    <row r="929" spans="7:12" s="122" customFormat="1">
      <c r="G929" s="133"/>
      <c r="J929" s="123"/>
      <c r="K929" s="123"/>
      <c r="L929" s="123"/>
    </row>
    <row r="930" spans="7:12" s="122" customFormat="1">
      <c r="G930" s="133"/>
      <c r="J930" s="123"/>
      <c r="K930" s="123"/>
      <c r="L930" s="123"/>
    </row>
    <row r="931" spans="7:12" s="122" customFormat="1">
      <c r="G931" s="133"/>
      <c r="J931" s="123"/>
      <c r="K931" s="123"/>
      <c r="L931" s="123"/>
    </row>
    <row r="932" spans="7:12" s="122" customFormat="1">
      <c r="G932" s="133"/>
      <c r="J932" s="123"/>
      <c r="K932" s="123"/>
      <c r="L932" s="123"/>
    </row>
    <row r="933" spans="7:12" s="122" customFormat="1">
      <c r="G933" s="133"/>
      <c r="J933" s="123"/>
      <c r="K933" s="123"/>
      <c r="L933" s="123"/>
    </row>
    <row r="934" spans="7:12" s="122" customFormat="1">
      <c r="G934" s="133"/>
      <c r="J934" s="123"/>
      <c r="K934" s="123"/>
      <c r="L934" s="123"/>
    </row>
    <row r="935" spans="7:12" s="122" customFormat="1">
      <c r="G935" s="133"/>
      <c r="J935" s="123"/>
      <c r="K935" s="123"/>
      <c r="L935" s="123"/>
    </row>
    <row r="936" spans="7:12" s="122" customFormat="1">
      <c r="G936" s="133"/>
      <c r="J936" s="123"/>
      <c r="K936" s="123"/>
      <c r="L936" s="123"/>
    </row>
    <row r="937" spans="7:12" s="122" customFormat="1">
      <c r="G937" s="133"/>
      <c r="J937" s="123"/>
      <c r="K937" s="123"/>
      <c r="L937" s="123"/>
    </row>
    <row r="938" spans="7:12" s="122" customFormat="1">
      <c r="G938" s="133"/>
      <c r="J938" s="123"/>
      <c r="K938" s="123"/>
      <c r="L938" s="123"/>
    </row>
    <row r="939" spans="7:12" s="122" customFormat="1">
      <c r="G939" s="133"/>
      <c r="J939" s="123"/>
      <c r="K939" s="123"/>
      <c r="L939" s="123"/>
    </row>
    <row r="940" spans="7:12" s="122" customFormat="1">
      <c r="G940" s="133"/>
      <c r="J940" s="123"/>
      <c r="K940" s="123"/>
      <c r="L940" s="123"/>
    </row>
    <row r="941" spans="7:12" s="122" customFormat="1">
      <c r="G941" s="133"/>
      <c r="J941" s="123"/>
      <c r="K941" s="123"/>
      <c r="L941" s="123"/>
    </row>
    <row r="942" spans="7:12" s="122" customFormat="1">
      <c r="G942" s="133"/>
      <c r="J942" s="123"/>
      <c r="K942" s="123"/>
      <c r="L942" s="123"/>
    </row>
    <row r="943" spans="7:12" s="122" customFormat="1">
      <c r="G943" s="133"/>
      <c r="J943" s="123"/>
      <c r="K943" s="123"/>
      <c r="L943" s="123"/>
    </row>
    <row r="944" spans="7:12" s="122" customFormat="1">
      <c r="G944" s="133"/>
      <c r="J944" s="123"/>
      <c r="K944" s="123"/>
      <c r="L944" s="123"/>
    </row>
    <row r="945" spans="7:12" s="122" customFormat="1">
      <c r="G945" s="133"/>
      <c r="J945" s="123"/>
      <c r="K945" s="123"/>
      <c r="L945" s="123"/>
    </row>
    <row r="946" spans="7:12" s="122" customFormat="1">
      <c r="G946" s="133"/>
      <c r="J946" s="123"/>
      <c r="K946" s="123"/>
      <c r="L946" s="123"/>
    </row>
    <row r="947" spans="7:12" s="122" customFormat="1">
      <c r="G947" s="133"/>
      <c r="J947" s="123"/>
      <c r="K947" s="123"/>
      <c r="L947" s="123"/>
    </row>
    <row r="948" spans="7:12" s="122" customFormat="1">
      <c r="G948" s="133"/>
      <c r="J948" s="123"/>
      <c r="K948" s="123"/>
      <c r="L948" s="123"/>
    </row>
    <row r="949" spans="7:12" s="122" customFormat="1">
      <c r="G949" s="133"/>
      <c r="J949" s="123"/>
      <c r="K949" s="123"/>
      <c r="L949" s="123"/>
    </row>
    <row r="950" spans="7:12" s="122" customFormat="1">
      <c r="G950" s="133"/>
      <c r="J950" s="123"/>
      <c r="K950" s="123"/>
      <c r="L950" s="123"/>
    </row>
    <row r="951" spans="7:12" s="122" customFormat="1">
      <c r="G951" s="133"/>
      <c r="J951" s="123"/>
      <c r="K951" s="123"/>
      <c r="L951" s="123"/>
    </row>
    <row r="952" spans="7:12" s="122" customFormat="1">
      <c r="G952" s="133"/>
      <c r="J952" s="123"/>
      <c r="K952" s="123"/>
      <c r="L952" s="123"/>
    </row>
    <row r="953" spans="7:12" s="122" customFormat="1">
      <c r="G953" s="133"/>
      <c r="J953" s="123"/>
      <c r="K953" s="123"/>
      <c r="L953" s="123"/>
    </row>
    <row r="954" spans="7:12" s="122" customFormat="1">
      <c r="G954" s="133"/>
      <c r="J954" s="123"/>
      <c r="K954" s="123"/>
      <c r="L954" s="123"/>
    </row>
    <row r="955" spans="7:12" s="122" customFormat="1">
      <c r="G955" s="133"/>
      <c r="J955" s="123"/>
      <c r="K955" s="123"/>
      <c r="L955" s="123"/>
    </row>
    <row r="956" spans="7:12" s="122" customFormat="1">
      <c r="G956" s="133"/>
      <c r="J956" s="123"/>
      <c r="K956" s="123"/>
      <c r="L956" s="123"/>
    </row>
    <row r="957" spans="7:12" s="122" customFormat="1">
      <c r="G957" s="133"/>
      <c r="J957" s="123"/>
      <c r="K957" s="123"/>
      <c r="L957" s="123"/>
    </row>
    <row r="958" spans="7:12" s="122" customFormat="1">
      <c r="G958" s="133"/>
      <c r="J958" s="123"/>
      <c r="K958" s="123"/>
      <c r="L958" s="123"/>
    </row>
    <row r="959" spans="7:12" s="122" customFormat="1">
      <c r="G959" s="133"/>
      <c r="J959" s="123"/>
      <c r="K959" s="123"/>
      <c r="L959" s="123"/>
    </row>
    <row r="960" spans="7:12" s="122" customFormat="1">
      <c r="G960" s="133"/>
      <c r="J960" s="123"/>
      <c r="K960" s="123"/>
      <c r="L960" s="123"/>
    </row>
    <row r="961" spans="7:12" s="122" customFormat="1">
      <c r="G961" s="133"/>
      <c r="J961" s="123"/>
      <c r="K961" s="123"/>
      <c r="L961" s="123"/>
    </row>
    <row r="962" spans="7:12" s="122" customFormat="1">
      <c r="G962" s="133"/>
      <c r="J962" s="123"/>
      <c r="K962" s="123"/>
      <c r="L962" s="123"/>
    </row>
    <row r="963" spans="7:12" s="122" customFormat="1">
      <c r="G963" s="133"/>
      <c r="J963" s="123"/>
      <c r="K963" s="123"/>
      <c r="L963" s="123"/>
    </row>
    <row r="964" spans="7:12" s="122" customFormat="1">
      <c r="G964" s="133"/>
      <c r="J964" s="123"/>
      <c r="K964" s="123"/>
      <c r="L964" s="123"/>
    </row>
    <row r="965" spans="7:12" s="122" customFormat="1">
      <c r="G965" s="133"/>
      <c r="J965" s="123"/>
      <c r="K965" s="123"/>
      <c r="L965" s="123"/>
    </row>
    <row r="966" spans="7:12" s="122" customFormat="1">
      <c r="G966" s="133"/>
      <c r="J966" s="123"/>
      <c r="K966" s="123"/>
      <c r="L966" s="123"/>
    </row>
    <row r="967" spans="7:12" s="122" customFormat="1">
      <c r="G967" s="133"/>
      <c r="J967" s="123"/>
      <c r="K967" s="123"/>
      <c r="L967" s="123"/>
    </row>
    <row r="968" spans="7:12" s="122" customFormat="1">
      <c r="G968" s="133"/>
      <c r="J968" s="123"/>
      <c r="K968" s="123"/>
      <c r="L968" s="123"/>
    </row>
    <row r="969" spans="7:12" s="122" customFormat="1">
      <c r="G969" s="133"/>
      <c r="J969" s="123"/>
      <c r="K969" s="123"/>
      <c r="L969" s="123"/>
    </row>
    <row r="970" spans="7:12" s="122" customFormat="1">
      <c r="G970" s="133"/>
      <c r="J970" s="123"/>
      <c r="K970" s="123"/>
      <c r="L970" s="123"/>
    </row>
    <row r="971" spans="7:12" s="122" customFormat="1">
      <c r="G971" s="133"/>
      <c r="J971" s="123"/>
      <c r="K971" s="123"/>
      <c r="L971" s="123"/>
    </row>
    <row r="972" spans="7:12" s="122" customFormat="1">
      <c r="G972" s="133"/>
      <c r="J972" s="123"/>
      <c r="K972" s="123"/>
      <c r="L972" s="123"/>
    </row>
    <row r="973" spans="7:12" s="122" customFormat="1">
      <c r="G973" s="133"/>
      <c r="J973" s="123"/>
      <c r="K973" s="123"/>
      <c r="L973" s="123"/>
    </row>
    <row r="974" spans="7:12" s="122" customFormat="1">
      <c r="G974" s="133"/>
      <c r="J974" s="123"/>
      <c r="K974" s="123"/>
      <c r="L974" s="123"/>
    </row>
    <row r="975" spans="7:12" s="122" customFormat="1">
      <c r="G975" s="133"/>
      <c r="J975" s="123"/>
      <c r="K975" s="123"/>
      <c r="L975" s="123"/>
    </row>
    <row r="976" spans="7:12" s="122" customFormat="1">
      <c r="G976" s="133"/>
      <c r="J976" s="123"/>
      <c r="K976" s="123"/>
      <c r="L976" s="123"/>
    </row>
    <row r="977" spans="7:12" s="122" customFormat="1">
      <c r="G977" s="133"/>
      <c r="J977" s="123"/>
      <c r="K977" s="123"/>
      <c r="L977" s="123"/>
    </row>
    <row r="978" spans="7:12" s="122" customFormat="1">
      <c r="G978" s="133"/>
      <c r="J978" s="123"/>
      <c r="K978" s="123"/>
      <c r="L978" s="123"/>
    </row>
    <row r="979" spans="7:12" s="122" customFormat="1">
      <c r="G979" s="133"/>
      <c r="J979" s="123"/>
      <c r="K979" s="123"/>
      <c r="L979" s="123"/>
    </row>
    <row r="980" spans="7:12" s="122" customFormat="1">
      <c r="G980" s="133"/>
      <c r="J980" s="123"/>
      <c r="K980" s="123"/>
      <c r="L980" s="123"/>
    </row>
    <row r="981" spans="7:12" s="122" customFormat="1">
      <c r="G981" s="133"/>
      <c r="J981" s="123"/>
      <c r="K981" s="123"/>
      <c r="L981" s="123"/>
    </row>
    <row r="982" spans="7:12" s="122" customFormat="1">
      <c r="G982" s="133"/>
      <c r="J982" s="123"/>
      <c r="K982" s="123"/>
      <c r="L982" s="123"/>
    </row>
    <row r="983" spans="7:12" s="122" customFormat="1">
      <c r="G983" s="133"/>
      <c r="J983" s="123"/>
      <c r="K983" s="123"/>
      <c r="L983" s="123"/>
    </row>
    <row r="984" spans="7:12" s="122" customFormat="1">
      <c r="G984" s="133"/>
      <c r="J984" s="123"/>
      <c r="K984" s="123"/>
      <c r="L984" s="123"/>
    </row>
    <row r="985" spans="7:12" s="122" customFormat="1">
      <c r="G985" s="133"/>
      <c r="J985" s="123"/>
      <c r="K985" s="123"/>
      <c r="L985" s="123"/>
    </row>
    <row r="986" spans="7:12" s="122" customFormat="1">
      <c r="G986" s="133"/>
      <c r="J986" s="123"/>
      <c r="K986" s="123"/>
      <c r="L986" s="123"/>
    </row>
    <row r="987" spans="7:12" s="122" customFormat="1">
      <c r="G987" s="133"/>
      <c r="J987" s="123"/>
      <c r="K987" s="123"/>
      <c r="L987" s="123"/>
    </row>
    <row r="988" spans="7:12" s="122" customFormat="1">
      <c r="G988" s="133"/>
      <c r="J988" s="123"/>
      <c r="K988" s="123"/>
      <c r="L988" s="123"/>
    </row>
    <row r="989" spans="7:12" s="122" customFormat="1">
      <c r="G989" s="133"/>
      <c r="J989" s="123"/>
      <c r="K989" s="123"/>
      <c r="L989" s="123"/>
    </row>
    <row r="990" spans="7:12" s="122" customFormat="1">
      <c r="G990" s="133"/>
      <c r="J990" s="123"/>
      <c r="K990" s="123"/>
      <c r="L990" s="123"/>
    </row>
    <row r="991" spans="7:12" s="122" customFormat="1">
      <c r="G991" s="133"/>
      <c r="J991" s="123"/>
      <c r="K991" s="123"/>
      <c r="L991" s="123"/>
    </row>
    <row r="992" spans="7:12" s="122" customFormat="1">
      <c r="G992" s="133"/>
      <c r="J992" s="123"/>
      <c r="K992" s="123"/>
      <c r="L992" s="123"/>
    </row>
    <row r="993" spans="7:12" s="122" customFormat="1">
      <c r="G993" s="133"/>
      <c r="J993" s="123"/>
      <c r="K993" s="123"/>
      <c r="L993" s="123"/>
    </row>
    <row r="994" spans="7:12" s="122" customFormat="1">
      <c r="G994" s="133"/>
      <c r="J994" s="123"/>
      <c r="K994" s="123"/>
      <c r="L994" s="123"/>
    </row>
    <row r="995" spans="7:12" s="122" customFormat="1">
      <c r="G995" s="133"/>
      <c r="J995" s="123"/>
      <c r="K995" s="123"/>
      <c r="L995" s="123"/>
    </row>
    <row r="996" spans="7:12" s="122" customFormat="1">
      <c r="G996" s="133"/>
      <c r="J996" s="123"/>
      <c r="K996" s="123"/>
      <c r="L996" s="123"/>
    </row>
    <row r="997" spans="7:12" s="122" customFormat="1">
      <c r="G997" s="133"/>
      <c r="J997" s="123"/>
      <c r="K997" s="123"/>
      <c r="L997" s="123"/>
    </row>
    <row r="998" spans="7:12" s="122" customFormat="1">
      <c r="G998" s="133"/>
      <c r="J998" s="123"/>
      <c r="K998" s="123"/>
      <c r="L998" s="123"/>
    </row>
    <row r="999" spans="7:12" s="122" customFormat="1">
      <c r="G999" s="133"/>
      <c r="J999" s="123"/>
      <c r="K999" s="123"/>
      <c r="L999" s="123"/>
    </row>
    <row r="1000" spans="7:12" s="122" customFormat="1">
      <c r="G1000" s="133"/>
      <c r="J1000" s="123"/>
      <c r="K1000" s="123"/>
      <c r="L1000" s="123"/>
    </row>
    <row r="1001" spans="7:12" s="122" customFormat="1">
      <c r="G1001" s="133"/>
      <c r="J1001" s="123"/>
      <c r="K1001" s="123"/>
      <c r="L1001" s="123"/>
    </row>
    <row r="1002" spans="7:12" s="122" customFormat="1">
      <c r="G1002" s="133"/>
      <c r="J1002" s="123"/>
      <c r="K1002" s="123"/>
      <c r="L1002" s="123"/>
    </row>
    <row r="1003" spans="7:12" s="122" customFormat="1">
      <c r="G1003" s="133"/>
      <c r="J1003" s="123"/>
      <c r="K1003" s="123"/>
      <c r="L1003" s="123"/>
    </row>
    <row r="1004" spans="7:12" s="122" customFormat="1">
      <c r="G1004" s="133"/>
      <c r="J1004" s="123"/>
      <c r="K1004" s="123"/>
      <c r="L1004" s="123"/>
    </row>
    <row r="1005" spans="7:12" s="122" customFormat="1">
      <c r="G1005" s="133"/>
      <c r="J1005" s="123"/>
      <c r="K1005" s="123"/>
      <c r="L1005" s="123"/>
    </row>
    <row r="1006" spans="7:12" s="122" customFormat="1">
      <c r="G1006" s="133"/>
      <c r="J1006" s="123"/>
      <c r="K1006" s="123"/>
      <c r="L1006" s="123"/>
    </row>
    <row r="1007" spans="7:12" s="122" customFormat="1">
      <c r="G1007" s="133"/>
      <c r="J1007" s="123"/>
      <c r="K1007" s="123"/>
      <c r="L1007" s="123"/>
    </row>
    <row r="1008" spans="7:12" s="122" customFormat="1">
      <c r="G1008" s="133"/>
      <c r="J1008" s="123"/>
      <c r="K1008" s="123"/>
      <c r="L1008" s="123"/>
    </row>
    <row r="1009" spans="7:12" s="122" customFormat="1">
      <c r="G1009" s="133"/>
      <c r="J1009" s="123"/>
      <c r="K1009" s="123"/>
      <c r="L1009" s="123"/>
    </row>
    <row r="1010" spans="7:12" s="122" customFormat="1">
      <c r="G1010" s="133"/>
      <c r="J1010" s="123"/>
      <c r="K1010" s="123"/>
      <c r="L1010" s="123"/>
    </row>
    <row r="1011" spans="7:12" s="122" customFormat="1">
      <c r="G1011" s="133"/>
      <c r="J1011" s="123"/>
      <c r="K1011" s="123"/>
      <c r="L1011" s="123"/>
    </row>
    <row r="1012" spans="7:12" s="122" customFormat="1">
      <c r="G1012" s="133"/>
      <c r="J1012" s="123"/>
      <c r="K1012" s="123"/>
      <c r="L1012" s="123"/>
    </row>
    <row r="1013" spans="7:12" s="122" customFormat="1">
      <c r="G1013" s="133"/>
      <c r="J1013" s="123"/>
      <c r="K1013" s="123"/>
      <c r="L1013" s="123"/>
    </row>
    <row r="1014" spans="7:12" s="122" customFormat="1">
      <c r="G1014" s="133"/>
      <c r="J1014" s="123"/>
      <c r="K1014" s="123"/>
      <c r="L1014" s="123"/>
    </row>
    <row r="1015" spans="7:12" s="122" customFormat="1">
      <c r="G1015" s="133"/>
      <c r="J1015" s="123"/>
      <c r="K1015" s="123"/>
      <c r="L1015" s="123"/>
    </row>
    <row r="1016" spans="7:12" s="122" customFormat="1">
      <c r="G1016" s="133"/>
      <c r="J1016" s="123"/>
      <c r="K1016" s="123"/>
      <c r="L1016" s="123"/>
    </row>
    <row r="1017" spans="7:12" s="122" customFormat="1">
      <c r="G1017" s="133"/>
      <c r="J1017" s="123"/>
      <c r="K1017" s="123"/>
      <c r="L1017" s="123"/>
    </row>
    <row r="1018" spans="7:12" s="122" customFormat="1">
      <c r="G1018" s="133"/>
      <c r="J1018" s="123"/>
      <c r="K1018" s="123"/>
      <c r="L1018" s="123"/>
    </row>
    <row r="1019" spans="7:12" s="122" customFormat="1">
      <c r="G1019" s="133"/>
      <c r="J1019" s="123"/>
      <c r="K1019" s="123"/>
      <c r="L1019" s="123"/>
    </row>
    <row r="1020" spans="7:12" s="122" customFormat="1">
      <c r="G1020" s="133"/>
      <c r="J1020" s="123"/>
      <c r="K1020" s="123"/>
      <c r="L1020" s="123"/>
    </row>
    <row r="1021" spans="7:12" s="122" customFormat="1">
      <c r="G1021" s="133"/>
      <c r="J1021" s="123"/>
      <c r="K1021" s="123"/>
      <c r="L1021" s="123"/>
    </row>
    <row r="1022" spans="7:12" s="122" customFormat="1">
      <c r="G1022" s="133"/>
      <c r="J1022" s="123"/>
      <c r="K1022" s="123"/>
      <c r="L1022" s="123"/>
    </row>
    <row r="1023" spans="7:12" s="122" customFormat="1">
      <c r="G1023" s="133"/>
      <c r="J1023" s="123"/>
      <c r="K1023" s="123"/>
      <c r="L1023" s="123"/>
    </row>
    <row r="1024" spans="7:12" s="122" customFormat="1">
      <c r="G1024" s="133"/>
      <c r="J1024" s="123"/>
      <c r="K1024" s="123"/>
      <c r="L1024" s="123"/>
    </row>
    <row r="1025" spans="7:12" s="122" customFormat="1">
      <c r="G1025" s="133"/>
      <c r="J1025" s="123"/>
      <c r="K1025" s="123"/>
      <c r="L1025" s="123"/>
    </row>
    <row r="1026" spans="7:12" s="122" customFormat="1">
      <c r="G1026" s="133"/>
      <c r="J1026" s="123"/>
      <c r="K1026" s="123"/>
      <c r="L1026" s="123"/>
    </row>
    <row r="1027" spans="7:12" s="122" customFormat="1">
      <c r="G1027" s="133"/>
      <c r="J1027" s="123"/>
      <c r="K1027" s="123"/>
      <c r="L1027" s="123"/>
    </row>
    <row r="1028" spans="7:12" s="122" customFormat="1">
      <c r="G1028" s="133"/>
      <c r="J1028" s="123"/>
      <c r="K1028" s="123"/>
      <c r="L1028" s="123"/>
    </row>
    <row r="1029" spans="7:12" s="122" customFormat="1">
      <c r="G1029" s="133"/>
      <c r="J1029" s="123"/>
      <c r="K1029" s="123"/>
      <c r="L1029" s="123"/>
    </row>
    <row r="1030" spans="7:12" s="122" customFormat="1">
      <c r="G1030" s="133"/>
      <c r="J1030" s="123"/>
      <c r="K1030" s="123"/>
      <c r="L1030" s="123"/>
    </row>
    <row r="1031" spans="7:12" s="122" customFormat="1">
      <c r="G1031" s="133"/>
      <c r="J1031" s="123"/>
      <c r="K1031" s="123"/>
      <c r="L1031" s="123"/>
    </row>
    <row r="1032" spans="7:12" s="122" customFormat="1">
      <c r="G1032" s="133"/>
      <c r="J1032" s="123"/>
      <c r="K1032" s="123"/>
      <c r="L1032" s="123"/>
    </row>
    <row r="1033" spans="7:12" s="122" customFormat="1">
      <c r="G1033" s="133"/>
      <c r="J1033" s="123"/>
      <c r="K1033" s="123"/>
      <c r="L1033" s="123"/>
    </row>
    <row r="1034" spans="7:12" s="122" customFormat="1">
      <c r="G1034" s="133"/>
      <c r="J1034" s="123"/>
      <c r="K1034" s="123"/>
      <c r="L1034" s="123"/>
    </row>
    <row r="1035" spans="7:12" s="122" customFormat="1">
      <c r="G1035" s="133"/>
      <c r="J1035" s="123"/>
      <c r="K1035" s="123"/>
      <c r="L1035" s="123"/>
    </row>
    <row r="1036" spans="7:12" s="122" customFormat="1">
      <c r="G1036" s="133"/>
      <c r="J1036" s="123"/>
      <c r="K1036" s="123"/>
      <c r="L1036" s="123"/>
    </row>
    <row r="1037" spans="7:12" s="122" customFormat="1">
      <c r="G1037" s="133"/>
      <c r="J1037" s="123"/>
      <c r="K1037" s="123"/>
      <c r="L1037" s="123"/>
    </row>
    <row r="1038" spans="7:12" s="122" customFormat="1">
      <c r="G1038" s="133"/>
      <c r="J1038" s="123"/>
      <c r="K1038" s="123"/>
      <c r="L1038" s="123"/>
    </row>
    <row r="1039" spans="7:12" s="122" customFormat="1">
      <c r="G1039" s="133"/>
      <c r="J1039" s="123"/>
      <c r="K1039" s="123"/>
      <c r="L1039" s="123"/>
    </row>
    <row r="1040" spans="7:12" s="122" customFormat="1">
      <c r="G1040" s="133"/>
      <c r="J1040" s="123"/>
      <c r="K1040" s="123"/>
      <c r="L1040" s="123"/>
    </row>
    <row r="1041" spans="7:12" s="122" customFormat="1">
      <c r="G1041" s="133"/>
      <c r="J1041" s="123"/>
      <c r="K1041" s="123"/>
      <c r="L1041" s="123"/>
    </row>
    <row r="1042" spans="7:12" s="122" customFormat="1">
      <c r="G1042" s="133"/>
      <c r="J1042" s="123"/>
      <c r="K1042" s="123"/>
      <c r="L1042" s="123"/>
    </row>
    <row r="1043" spans="7:12" s="122" customFormat="1">
      <c r="G1043" s="133"/>
      <c r="J1043" s="123"/>
      <c r="K1043" s="123"/>
      <c r="L1043" s="123"/>
    </row>
    <row r="1044" spans="7:12" s="122" customFormat="1">
      <c r="G1044" s="133"/>
      <c r="J1044" s="123"/>
      <c r="K1044" s="123"/>
      <c r="L1044" s="123"/>
    </row>
    <row r="1045" spans="7:12" s="122" customFormat="1">
      <c r="G1045" s="133"/>
      <c r="J1045" s="123"/>
      <c r="K1045" s="123"/>
      <c r="L1045" s="123"/>
    </row>
    <row r="1046" spans="7:12" s="122" customFormat="1">
      <c r="G1046" s="133"/>
      <c r="J1046" s="123"/>
      <c r="K1046" s="123"/>
      <c r="L1046" s="123"/>
    </row>
    <row r="1047" spans="7:12" s="122" customFormat="1">
      <c r="G1047" s="133"/>
      <c r="J1047" s="123"/>
      <c r="K1047" s="123"/>
      <c r="L1047" s="123"/>
    </row>
    <row r="1048" spans="7:12" s="122" customFormat="1">
      <c r="G1048" s="133"/>
      <c r="J1048" s="123"/>
      <c r="K1048" s="123"/>
      <c r="L1048" s="123"/>
    </row>
    <row r="1049" spans="7:12" s="122" customFormat="1">
      <c r="G1049" s="133"/>
      <c r="J1049" s="123"/>
      <c r="K1049" s="123"/>
      <c r="L1049" s="123"/>
    </row>
    <row r="1050" spans="7:12" s="122" customFormat="1">
      <c r="G1050" s="133"/>
      <c r="J1050" s="123"/>
      <c r="K1050" s="123"/>
      <c r="L1050" s="123"/>
    </row>
    <row r="1051" spans="7:12" s="122" customFormat="1">
      <c r="G1051" s="133"/>
      <c r="J1051" s="123"/>
      <c r="K1051" s="123"/>
      <c r="L1051" s="123"/>
    </row>
    <row r="1052" spans="7:12" s="122" customFormat="1">
      <c r="G1052" s="133"/>
      <c r="J1052" s="123"/>
      <c r="K1052" s="123"/>
      <c r="L1052" s="123"/>
    </row>
    <row r="1053" spans="7:12" s="122" customFormat="1">
      <c r="G1053" s="133"/>
      <c r="J1053" s="123"/>
      <c r="K1053" s="123"/>
      <c r="L1053" s="123"/>
    </row>
    <row r="1054" spans="7:12" s="122" customFormat="1">
      <c r="G1054" s="133"/>
      <c r="J1054" s="123"/>
      <c r="K1054" s="123"/>
      <c r="L1054" s="123"/>
    </row>
    <row r="1055" spans="7:12" s="122" customFormat="1">
      <c r="G1055" s="133"/>
      <c r="J1055" s="123"/>
      <c r="K1055" s="123"/>
      <c r="L1055" s="123"/>
    </row>
    <row r="1056" spans="7:12" s="122" customFormat="1">
      <c r="G1056" s="133"/>
      <c r="J1056" s="123"/>
      <c r="K1056" s="123"/>
      <c r="L1056" s="123"/>
    </row>
    <row r="1057" spans="7:12" s="122" customFormat="1">
      <c r="G1057" s="133"/>
      <c r="J1057" s="123"/>
      <c r="K1057" s="123"/>
      <c r="L1057" s="123"/>
    </row>
    <row r="1058" spans="7:12" s="122" customFormat="1">
      <c r="G1058" s="133"/>
      <c r="J1058" s="123"/>
      <c r="K1058" s="123"/>
      <c r="L1058" s="123"/>
    </row>
    <row r="1059" spans="7:12" s="122" customFormat="1">
      <c r="G1059" s="133"/>
      <c r="J1059" s="123"/>
      <c r="K1059" s="123"/>
      <c r="L1059" s="123"/>
    </row>
    <row r="1060" spans="7:12" s="122" customFormat="1">
      <c r="G1060" s="133"/>
      <c r="J1060" s="123"/>
      <c r="K1060" s="123"/>
      <c r="L1060" s="123"/>
    </row>
    <row r="1061" spans="7:12" s="122" customFormat="1">
      <c r="G1061" s="133"/>
      <c r="J1061" s="123"/>
      <c r="K1061" s="123"/>
      <c r="L1061" s="123"/>
    </row>
    <row r="1062" spans="7:12" s="122" customFormat="1">
      <c r="G1062" s="133"/>
      <c r="J1062" s="123"/>
      <c r="K1062" s="123"/>
      <c r="L1062" s="123"/>
    </row>
    <row r="1063" spans="7:12" s="122" customFormat="1">
      <c r="G1063" s="133"/>
      <c r="J1063" s="123"/>
      <c r="K1063" s="123"/>
      <c r="L1063" s="123"/>
    </row>
    <row r="1064" spans="7:12" s="122" customFormat="1">
      <c r="G1064" s="133"/>
      <c r="J1064" s="123"/>
      <c r="K1064" s="123"/>
      <c r="L1064" s="123"/>
    </row>
    <row r="1065" spans="7:12" s="122" customFormat="1">
      <c r="G1065" s="133"/>
      <c r="J1065" s="123"/>
      <c r="K1065" s="123"/>
      <c r="L1065" s="123"/>
    </row>
    <row r="1066" spans="7:12" s="122" customFormat="1">
      <c r="G1066" s="133"/>
      <c r="J1066" s="123"/>
      <c r="K1066" s="123"/>
      <c r="L1066" s="123"/>
    </row>
    <row r="1067" spans="7:12" s="122" customFormat="1">
      <c r="G1067" s="133"/>
      <c r="J1067" s="123"/>
      <c r="K1067" s="123"/>
      <c r="L1067" s="123"/>
    </row>
    <row r="1068" spans="7:12" s="122" customFormat="1">
      <c r="G1068" s="133"/>
      <c r="J1068" s="123"/>
      <c r="K1068" s="123"/>
      <c r="L1068" s="123"/>
    </row>
    <row r="1069" spans="7:12" s="122" customFormat="1">
      <c r="G1069" s="133"/>
      <c r="J1069" s="123"/>
      <c r="K1069" s="123"/>
      <c r="L1069" s="123"/>
    </row>
    <row r="1070" spans="7:12" s="122" customFormat="1">
      <c r="G1070" s="133"/>
      <c r="J1070" s="123"/>
      <c r="K1070" s="123"/>
      <c r="L1070" s="123"/>
    </row>
    <row r="1071" spans="7:12" s="122" customFormat="1">
      <c r="G1071" s="133"/>
      <c r="J1071" s="123"/>
      <c r="K1071" s="123"/>
      <c r="L1071" s="123"/>
    </row>
    <row r="1072" spans="7:12" s="122" customFormat="1">
      <c r="G1072" s="133"/>
      <c r="J1072" s="123"/>
      <c r="K1072" s="123"/>
      <c r="L1072" s="123"/>
    </row>
    <row r="1073" spans="7:12" s="122" customFormat="1">
      <c r="G1073" s="133"/>
      <c r="J1073" s="123"/>
      <c r="K1073" s="123"/>
      <c r="L1073" s="123"/>
    </row>
    <row r="1074" spans="7:12" s="122" customFormat="1">
      <c r="G1074" s="133"/>
      <c r="J1074" s="123"/>
      <c r="K1074" s="123"/>
      <c r="L1074" s="123"/>
    </row>
    <row r="1075" spans="7:12" s="122" customFormat="1">
      <c r="G1075" s="133"/>
      <c r="J1075" s="123"/>
      <c r="K1075" s="123"/>
      <c r="L1075" s="123"/>
    </row>
    <row r="1076" spans="7:12" s="122" customFormat="1">
      <c r="G1076" s="133"/>
      <c r="J1076" s="123"/>
      <c r="K1076" s="123"/>
      <c r="L1076" s="123"/>
    </row>
    <row r="1077" spans="7:12" s="122" customFormat="1">
      <c r="G1077" s="133"/>
      <c r="J1077" s="123"/>
      <c r="K1077" s="123"/>
      <c r="L1077" s="123"/>
    </row>
    <row r="1078" spans="7:12" s="122" customFormat="1">
      <c r="G1078" s="133"/>
      <c r="J1078" s="123"/>
      <c r="K1078" s="123"/>
      <c r="L1078" s="123"/>
    </row>
    <row r="1079" spans="7:12" s="122" customFormat="1">
      <c r="G1079" s="133"/>
      <c r="J1079" s="123"/>
      <c r="K1079" s="123"/>
      <c r="L1079" s="123"/>
    </row>
    <row r="1080" spans="7:12" s="122" customFormat="1">
      <c r="G1080" s="133"/>
      <c r="J1080" s="123"/>
      <c r="K1080" s="123"/>
      <c r="L1080" s="123"/>
    </row>
    <row r="1081" spans="7:12" s="122" customFormat="1">
      <c r="G1081" s="133"/>
      <c r="J1081" s="123"/>
      <c r="K1081" s="123"/>
      <c r="L1081" s="123"/>
    </row>
    <row r="1082" spans="7:12" s="122" customFormat="1">
      <c r="G1082" s="133"/>
      <c r="J1082" s="123"/>
      <c r="K1082" s="123"/>
      <c r="L1082" s="123"/>
    </row>
    <row r="1083" spans="7:12" s="122" customFormat="1">
      <c r="G1083" s="133"/>
      <c r="J1083" s="123"/>
      <c r="K1083" s="123"/>
      <c r="L1083" s="123"/>
    </row>
    <row r="1084" spans="7:12" s="122" customFormat="1">
      <c r="G1084" s="133"/>
      <c r="J1084" s="123"/>
      <c r="K1084" s="123"/>
      <c r="L1084" s="123"/>
    </row>
    <row r="1085" spans="7:12" s="122" customFormat="1">
      <c r="G1085" s="133"/>
      <c r="J1085" s="123"/>
      <c r="K1085" s="123"/>
      <c r="L1085" s="123"/>
    </row>
    <row r="1086" spans="7:12" s="122" customFormat="1">
      <c r="G1086" s="133"/>
      <c r="J1086" s="123"/>
      <c r="K1086" s="123"/>
      <c r="L1086" s="123"/>
    </row>
    <row r="1087" spans="7:12" s="122" customFormat="1">
      <c r="G1087" s="133"/>
      <c r="J1087" s="123"/>
      <c r="K1087" s="123"/>
      <c r="L1087" s="123"/>
    </row>
    <row r="1088" spans="7:12" s="122" customFormat="1">
      <c r="G1088" s="133"/>
      <c r="J1088" s="123"/>
      <c r="K1088" s="123"/>
      <c r="L1088" s="123"/>
    </row>
    <row r="1089" spans="7:12" s="122" customFormat="1">
      <c r="G1089" s="133"/>
      <c r="J1089" s="123"/>
      <c r="K1089" s="123"/>
      <c r="L1089" s="123"/>
    </row>
    <row r="1090" spans="7:12" s="122" customFormat="1">
      <c r="G1090" s="133"/>
      <c r="J1090" s="123"/>
      <c r="K1090" s="123"/>
      <c r="L1090" s="123"/>
    </row>
    <row r="1091" spans="7:12" s="122" customFormat="1">
      <c r="G1091" s="133"/>
      <c r="J1091" s="123"/>
      <c r="K1091" s="123"/>
      <c r="L1091" s="123"/>
    </row>
    <row r="1092" spans="7:12" s="122" customFormat="1">
      <c r="G1092" s="133"/>
      <c r="J1092" s="123"/>
      <c r="K1092" s="123"/>
      <c r="L1092" s="123"/>
    </row>
    <row r="1093" spans="7:12" s="122" customFormat="1">
      <c r="G1093" s="133"/>
      <c r="J1093" s="123"/>
      <c r="K1093" s="123"/>
      <c r="L1093" s="123"/>
    </row>
    <row r="1094" spans="7:12" s="122" customFormat="1">
      <c r="G1094" s="133"/>
      <c r="J1094" s="123"/>
      <c r="K1094" s="123"/>
      <c r="L1094" s="123"/>
    </row>
    <row r="1095" spans="7:12" s="122" customFormat="1">
      <c r="G1095" s="133"/>
      <c r="J1095" s="123"/>
      <c r="K1095" s="123"/>
      <c r="L1095" s="123"/>
    </row>
    <row r="1096" spans="7:12" s="122" customFormat="1">
      <c r="G1096" s="133"/>
      <c r="J1096" s="123"/>
      <c r="K1096" s="123"/>
      <c r="L1096" s="123"/>
    </row>
    <row r="1097" spans="7:12" s="122" customFormat="1">
      <c r="G1097" s="133"/>
      <c r="J1097" s="123"/>
      <c r="K1097" s="123"/>
      <c r="L1097" s="123"/>
    </row>
    <row r="1098" spans="7:12" s="122" customFormat="1">
      <c r="G1098" s="133"/>
      <c r="J1098" s="123"/>
      <c r="K1098" s="123"/>
      <c r="L1098" s="123"/>
    </row>
    <row r="1099" spans="7:12" s="122" customFormat="1">
      <c r="G1099" s="133"/>
      <c r="J1099" s="123"/>
      <c r="K1099" s="123"/>
      <c r="L1099" s="123"/>
    </row>
    <row r="1100" spans="7:12" s="122" customFormat="1">
      <c r="G1100" s="133"/>
      <c r="J1100" s="123"/>
      <c r="K1100" s="123"/>
      <c r="L1100" s="123"/>
    </row>
    <row r="1101" spans="7:12" s="122" customFormat="1">
      <c r="G1101" s="133"/>
      <c r="J1101" s="123"/>
      <c r="K1101" s="123"/>
      <c r="L1101" s="123"/>
    </row>
    <row r="1102" spans="7:12" s="122" customFormat="1">
      <c r="G1102" s="133"/>
      <c r="J1102" s="123"/>
      <c r="K1102" s="123"/>
      <c r="L1102" s="123"/>
    </row>
    <row r="1103" spans="7:12" s="122" customFormat="1">
      <c r="G1103" s="133"/>
      <c r="J1103" s="123"/>
      <c r="K1103" s="123"/>
      <c r="L1103" s="123"/>
    </row>
    <row r="1104" spans="7:12" s="122" customFormat="1">
      <c r="G1104" s="133"/>
      <c r="J1104" s="123"/>
      <c r="K1104" s="123"/>
      <c r="L1104" s="123"/>
    </row>
    <row r="1105" spans="7:12" s="122" customFormat="1">
      <c r="G1105" s="133"/>
      <c r="J1105" s="123"/>
      <c r="K1105" s="123"/>
      <c r="L1105" s="123"/>
    </row>
    <row r="1106" spans="7:12" s="122" customFormat="1">
      <c r="G1106" s="133"/>
      <c r="J1106" s="123"/>
      <c r="K1106" s="123"/>
      <c r="L1106" s="123"/>
    </row>
    <row r="1107" spans="7:12" s="122" customFormat="1">
      <c r="G1107" s="133"/>
      <c r="J1107" s="123"/>
      <c r="K1107" s="123"/>
      <c r="L1107" s="123"/>
    </row>
    <row r="1108" spans="7:12" s="122" customFormat="1">
      <c r="G1108" s="133"/>
      <c r="J1108" s="123"/>
      <c r="K1108" s="123"/>
      <c r="L1108" s="123"/>
    </row>
    <row r="1109" spans="7:12" s="122" customFormat="1">
      <c r="G1109" s="133"/>
      <c r="J1109" s="123"/>
      <c r="K1109" s="123"/>
      <c r="L1109" s="123"/>
    </row>
    <row r="1110" spans="7:12" s="122" customFormat="1">
      <c r="G1110" s="133"/>
      <c r="J1110" s="123"/>
      <c r="K1110" s="123"/>
      <c r="L1110" s="123"/>
    </row>
    <row r="1111" spans="7:12" s="122" customFormat="1">
      <c r="G1111" s="133"/>
      <c r="J1111" s="123"/>
      <c r="K1111" s="123"/>
      <c r="L1111" s="123"/>
    </row>
    <row r="1112" spans="7:12" s="122" customFormat="1">
      <c r="G1112" s="133"/>
      <c r="J1112" s="123"/>
      <c r="K1112" s="123"/>
      <c r="L1112" s="123"/>
    </row>
    <row r="1113" spans="7:12" s="122" customFormat="1">
      <c r="G1113" s="133"/>
      <c r="J1113" s="123"/>
      <c r="K1113" s="123"/>
      <c r="L1113" s="123"/>
    </row>
    <row r="1114" spans="7:12" s="122" customFormat="1">
      <c r="G1114" s="133"/>
      <c r="J1114" s="123"/>
      <c r="K1114" s="123"/>
      <c r="L1114" s="123"/>
    </row>
    <row r="1115" spans="7:12" s="122" customFormat="1">
      <c r="G1115" s="133"/>
      <c r="J1115" s="123"/>
      <c r="K1115" s="123"/>
      <c r="L1115" s="123"/>
    </row>
    <row r="1116" spans="7:12" s="122" customFormat="1">
      <c r="G1116" s="133"/>
      <c r="J1116" s="123"/>
      <c r="K1116" s="123"/>
      <c r="L1116" s="123"/>
    </row>
    <row r="1117" spans="7:12" s="122" customFormat="1">
      <c r="G1117" s="133"/>
      <c r="J1117" s="123"/>
      <c r="K1117" s="123"/>
      <c r="L1117" s="123"/>
    </row>
    <row r="1118" spans="7:12" s="122" customFormat="1">
      <c r="G1118" s="133"/>
      <c r="J1118" s="123"/>
      <c r="K1118" s="123"/>
      <c r="L1118" s="123"/>
    </row>
    <row r="1119" spans="7:12" s="122" customFormat="1">
      <c r="G1119" s="133"/>
      <c r="J1119" s="123"/>
      <c r="K1119" s="123"/>
      <c r="L1119" s="123"/>
    </row>
    <row r="1120" spans="7:12" s="122" customFormat="1">
      <c r="G1120" s="133"/>
      <c r="J1120" s="123"/>
      <c r="K1120" s="123"/>
      <c r="L1120" s="123"/>
    </row>
    <row r="1121" spans="7:12" s="122" customFormat="1">
      <c r="G1121" s="133"/>
      <c r="J1121" s="123"/>
      <c r="K1121" s="123"/>
      <c r="L1121" s="123"/>
    </row>
    <row r="1122" spans="7:12" s="122" customFormat="1">
      <c r="G1122" s="133"/>
      <c r="J1122" s="123"/>
      <c r="K1122" s="123"/>
      <c r="L1122" s="123"/>
    </row>
    <row r="1123" spans="7:12" s="122" customFormat="1">
      <c r="G1123" s="133"/>
      <c r="J1123" s="123"/>
      <c r="K1123" s="123"/>
      <c r="L1123" s="123"/>
    </row>
    <row r="1124" spans="7:12" s="122" customFormat="1">
      <c r="G1124" s="133"/>
      <c r="J1124" s="123"/>
      <c r="K1124" s="123"/>
      <c r="L1124" s="123"/>
    </row>
    <row r="1125" spans="7:12" s="122" customFormat="1">
      <c r="G1125" s="133"/>
      <c r="J1125" s="123"/>
      <c r="K1125" s="123"/>
      <c r="L1125" s="123"/>
    </row>
    <row r="1126" spans="7:12" s="122" customFormat="1">
      <c r="G1126" s="133"/>
      <c r="J1126" s="123"/>
      <c r="K1126" s="123"/>
      <c r="L1126" s="123"/>
    </row>
    <row r="1127" spans="7:12" s="122" customFormat="1">
      <c r="G1127" s="133"/>
      <c r="J1127" s="123"/>
      <c r="K1127" s="123"/>
      <c r="L1127" s="123"/>
    </row>
    <row r="1128" spans="7:12" s="122" customFormat="1">
      <c r="G1128" s="133"/>
      <c r="J1128" s="123"/>
      <c r="K1128" s="123"/>
      <c r="L1128" s="123"/>
    </row>
    <row r="1129" spans="7:12" s="122" customFormat="1">
      <c r="G1129" s="133"/>
      <c r="J1129" s="123"/>
      <c r="K1129" s="123"/>
      <c r="L1129" s="123"/>
    </row>
    <row r="1130" spans="7:12" s="122" customFormat="1">
      <c r="G1130" s="133"/>
      <c r="J1130" s="123"/>
      <c r="K1130" s="123"/>
      <c r="L1130" s="123"/>
    </row>
    <row r="1131" spans="7:12" s="122" customFormat="1">
      <c r="G1131" s="133"/>
      <c r="J1131" s="123"/>
      <c r="K1131" s="123"/>
      <c r="L1131" s="123"/>
    </row>
    <row r="1132" spans="7:12" s="122" customFormat="1">
      <c r="G1132" s="133"/>
      <c r="J1132" s="123"/>
      <c r="K1132" s="123"/>
      <c r="L1132" s="123"/>
    </row>
    <row r="1133" spans="7:12" s="122" customFormat="1">
      <c r="G1133" s="133"/>
      <c r="J1133" s="123"/>
      <c r="K1133" s="123"/>
      <c r="L1133" s="123"/>
    </row>
    <row r="1134" spans="7:12" s="122" customFormat="1">
      <c r="G1134" s="133"/>
      <c r="J1134" s="123"/>
      <c r="K1134" s="123"/>
      <c r="L1134" s="123"/>
    </row>
    <row r="1135" spans="7:12" s="122" customFormat="1">
      <c r="G1135" s="133"/>
      <c r="J1135" s="123"/>
      <c r="K1135" s="123"/>
      <c r="L1135" s="123"/>
    </row>
    <row r="1136" spans="7:12" s="122" customFormat="1">
      <c r="G1136" s="133"/>
      <c r="J1136" s="123"/>
      <c r="K1136" s="123"/>
      <c r="L1136" s="123"/>
    </row>
    <row r="1137" spans="7:12" s="122" customFormat="1">
      <c r="G1137" s="133"/>
      <c r="J1137" s="123"/>
      <c r="K1137" s="123"/>
      <c r="L1137" s="123"/>
    </row>
    <row r="1138" spans="7:12" s="122" customFormat="1">
      <c r="G1138" s="133"/>
      <c r="J1138" s="123"/>
      <c r="K1138" s="123"/>
      <c r="L1138" s="123"/>
    </row>
    <row r="1139" spans="7:12" s="122" customFormat="1">
      <c r="G1139" s="133"/>
      <c r="J1139" s="123"/>
      <c r="K1139" s="123"/>
      <c r="L1139" s="123"/>
    </row>
    <row r="1140" spans="7:12" s="122" customFormat="1">
      <c r="G1140" s="133"/>
      <c r="J1140" s="123"/>
      <c r="K1140" s="123"/>
      <c r="L1140" s="123"/>
    </row>
    <row r="1141" spans="7:12" s="122" customFormat="1">
      <c r="G1141" s="133"/>
      <c r="J1141" s="123"/>
      <c r="K1141" s="123"/>
      <c r="L1141" s="123"/>
    </row>
    <row r="1142" spans="7:12" s="122" customFormat="1">
      <c r="G1142" s="133"/>
      <c r="J1142" s="123"/>
      <c r="K1142" s="123"/>
      <c r="L1142" s="123"/>
    </row>
    <row r="1143" spans="7:12" s="122" customFormat="1">
      <c r="G1143" s="133"/>
      <c r="J1143" s="123"/>
      <c r="K1143" s="123"/>
      <c r="L1143" s="123"/>
    </row>
    <row r="1144" spans="7:12" s="122" customFormat="1">
      <c r="G1144" s="133"/>
      <c r="J1144" s="123"/>
      <c r="K1144" s="123"/>
      <c r="L1144" s="123"/>
    </row>
    <row r="1145" spans="7:12" s="122" customFormat="1">
      <c r="G1145" s="133"/>
      <c r="J1145" s="123"/>
      <c r="K1145" s="123"/>
      <c r="L1145" s="123"/>
    </row>
    <row r="1146" spans="7:12" s="122" customFormat="1">
      <c r="G1146" s="133"/>
      <c r="J1146" s="123"/>
      <c r="K1146" s="123"/>
      <c r="L1146" s="123"/>
    </row>
    <row r="1147" spans="7:12" s="122" customFormat="1">
      <c r="G1147" s="133"/>
      <c r="J1147" s="123"/>
      <c r="K1147" s="123"/>
      <c r="L1147" s="123"/>
    </row>
    <row r="1148" spans="7:12" s="122" customFormat="1">
      <c r="G1148" s="133"/>
      <c r="J1148" s="123"/>
      <c r="K1148" s="123"/>
      <c r="L1148" s="123"/>
    </row>
    <row r="1149" spans="7:12" s="122" customFormat="1">
      <c r="G1149" s="133"/>
      <c r="J1149" s="123"/>
      <c r="K1149" s="123"/>
      <c r="L1149" s="123"/>
    </row>
    <row r="1150" spans="7:12" s="122" customFormat="1">
      <c r="G1150" s="133"/>
      <c r="J1150" s="123"/>
      <c r="K1150" s="123"/>
      <c r="L1150" s="123"/>
    </row>
    <row r="1151" spans="7:12" s="122" customFormat="1">
      <c r="G1151" s="133"/>
      <c r="J1151" s="123"/>
      <c r="K1151" s="123"/>
      <c r="L1151" s="123"/>
    </row>
    <row r="1152" spans="7:12" s="122" customFormat="1">
      <c r="G1152" s="133"/>
      <c r="J1152" s="123"/>
      <c r="K1152" s="123"/>
      <c r="L1152" s="123"/>
    </row>
    <row r="1153" spans="7:12" s="122" customFormat="1">
      <c r="G1153" s="133"/>
      <c r="J1153" s="123"/>
      <c r="K1153" s="123"/>
      <c r="L1153" s="123"/>
    </row>
    <row r="1154" spans="7:12" s="122" customFormat="1">
      <c r="G1154" s="133"/>
      <c r="J1154" s="123"/>
      <c r="K1154" s="123"/>
      <c r="L1154" s="123"/>
    </row>
    <row r="1155" spans="7:12" s="122" customFormat="1">
      <c r="G1155" s="133"/>
      <c r="J1155" s="123"/>
      <c r="K1155" s="123"/>
      <c r="L1155" s="123"/>
    </row>
    <row r="1156" spans="7:12" s="122" customFormat="1">
      <c r="G1156" s="133"/>
      <c r="J1156" s="123"/>
      <c r="K1156" s="123"/>
      <c r="L1156" s="123"/>
    </row>
    <row r="1157" spans="7:12" s="122" customFormat="1">
      <c r="G1157" s="133"/>
      <c r="J1157" s="123"/>
      <c r="K1157" s="123"/>
      <c r="L1157" s="123"/>
    </row>
    <row r="1158" spans="7:12" s="122" customFormat="1">
      <c r="G1158" s="133"/>
      <c r="J1158" s="123"/>
      <c r="K1158" s="123"/>
      <c r="L1158" s="123"/>
    </row>
    <row r="1159" spans="7:12" s="122" customFormat="1">
      <c r="G1159" s="133"/>
      <c r="J1159" s="123"/>
      <c r="K1159" s="123"/>
      <c r="L1159" s="123"/>
    </row>
    <row r="1160" spans="7:12" s="122" customFormat="1">
      <c r="G1160" s="133"/>
      <c r="J1160" s="123"/>
      <c r="K1160" s="123"/>
      <c r="L1160" s="123"/>
    </row>
    <row r="1161" spans="7:12" s="122" customFormat="1">
      <c r="G1161" s="133"/>
      <c r="J1161" s="123"/>
      <c r="K1161" s="123"/>
      <c r="L1161" s="123"/>
    </row>
    <row r="1162" spans="7:12" s="122" customFormat="1">
      <c r="G1162" s="133"/>
      <c r="J1162" s="123"/>
      <c r="K1162" s="123"/>
      <c r="L1162" s="123"/>
    </row>
    <row r="1163" spans="7:12" s="122" customFormat="1">
      <c r="G1163" s="133"/>
      <c r="J1163" s="123"/>
      <c r="K1163" s="123"/>
      <c r="L1163" s="123"/>
    </row>
    <row r="1164" spans="7:12" s="122" customFormat="1">
      <c r="G1164" s="133"/>
      <c r="J1164" s="123"/>
      <c r="K1164" s="123"/>
      <c r="L1164" s="123"/>
    </row>
    <row r="1165" spans="7:12" s="122" customFormat="1">
      <c r="G1165" s="133"/>
      <c r="J1165" s="123"/>
      <c r="K1165" s="123"/>
      <c r="L1165" s="123"/>
    </row>
    <row r="1166" spans="7:12" s="122" customFormat="1">
      <c r="G1166" s="133"/>
      <c r="J1166" s="123"/>
      <c r="K1166" s="123"/>
      <c r="L1166" s="123"/>
    </row>
    <row r="1167" spans="7:12" s="122" customFormat="1">
      <c r="G1167" s="133"/>
      <c r="J1167" s="123"/>
      <c r="K1167" s="123"/>
      <c r="L1167" s="123"/>
    </row>
    <row r="1168" spans="7:12" s="122" customFormat="1">
      <c r="G1168" s="133"/>
      <c r="J1168" s="123"/>
      <c r="K1168" s="123"/>
      <c r="L1168" s="123"/>
    </row>
    <row r="1169" spans="7:12" s="122" customFormat="1">
      <c r="G1169" s="133"/>
      <c r="J1169" s="123"/>
      <c r="K1169" s="123"/>
      <c r="L1169" s="123"/>
    </row>
    <row r="1170" spans="7:12" s="122" customFormat="1">
      <c r="G1170" s="133"/>
      <c r="J1170" s="123"/>
      <c r="K1170" s="123"/>
      <c r="L1170" s="123"/>
    </row>
    <row r="1171" spans="7:12" s="122" customFormat="1">
      <c r="G1171" s="133"/>
      <c r="J1171" s="123"/>
      <c r="K1171" s="123"/>
      <c r="L1171" s="123"/>
    </row>
    <row r="1172" spans="7:12" s="122" customFormat="1">
      <c r="G1172" s="133"/>
      <c r="J1172" s="123"/>
      <c r="K1172" s="123"/>
      <c r="L1172" s="123"/>
    </row>
    <row r="1173" spans="7:12" s="122" customFormat="1">
      <c r="G1173" s="133"/>
      <c r="J1173" s="123"/>
      <c r="K1173" s="123"/>
      <c r="L1173" s="123"/>
    </row>
    <row r="1174" spans="7:12" s="122" customFormat="1">
      <c r="G1174" s="133"/>
      <c r="J1174" s="123"/>
      <c r="K1174" s="123"/>
      <c r="L1174" s="123"/>
    </row>
    <row r="1175" spans="7:12" s="122" customFormat="1">
      <c r="G1175" s="133"/>
      <c r="J1175" s="123"/>
      <c r="K1175" s="123"/>
      <c r="L1175" s="123"/>
    </row>
    <row r="1176" spans="7:12" s="122" customFormat="1">
      <c r="G1176" s="133"/>
      <c r="J1176" s="123"/>
      <c r="K1176" s="123"/>
      <c r="L1176" s="123"/>
    </row>
    <row r="1177" spans="7:12" s="122" customFormat="1">
      <c r="G1177" s="133"/>
      <c r="J1177" s="123"/>
      <c r="K1177" s="123"/>
      <c r="L1177" s="123"/>
    </row>
    <row r="1178" spans="7:12" s="122" customFormat="1">
      <c r="G1178" s="133"/>
      <c r="J1178" s="123"/>
      <c r="K1178" s="123"/>
      <c r="L1178" s="123"/>
    </row>
    <row r="1179" spans="7:12" s="122" customFormat="1">
      <c r="G1179" s="133"/>
      <c r="J1179" s="123"/>
      <c r="K1179" s="123"/>
      <c r="L1179" s="123"/>
    </row>
    <row r="1180" spans="7:12" s="122" customFormat="1">
      <c r="G1180" s="133"/>
      <c r="J1180" s="123"/>
      <c r="K1180" s="123"/>
      <c r="L1180" s="123"/>
    </row>
    <row r="1181" spans="7:12" s="122" customFormat="1">
      <c r="G1181" s="133"/>
      <c r="J1181" s="123"/>
      <c r="K1181" s="123"/>
      <c r="L1181" s="123"/>
    </row>
    <row r="1182" spans="7:12" s="122" customFormat="1">
      <c r="G1182" s="133"/>
      <c r="J1182" s="123"/>
      <c r="K1182" s="123"/>
      <c r="L1182" s="123"/>
    </row>
    <row r="1183" spans="7:12" s="122" customFormat="1">
      <c r="G1183" s="133"/>
      <c r="J1183" s="123"/>
      <c r="K1183" s="123"/>
      <c r="L1183" s="123"/>
    </row>
    <row r="1184" spans="7:12" s="122" customFormat="1">
      <c r="G1184" s="133"/>
      <c r="J1184" s="123"/>
      <c r="K1184" s="123"/>
      <c r="L1184" s="123"/>
    </row>
    <row r="1185" spans="7:12" s="122" customFormat="1">
      <c r="G1185" s="133"/>
      <c r="J1185" s="123"/>
      <c r="K1185" s="123"/>
      <c r="L1185" s="123"/>
    </row>
    <row r="1186" spans="7:12" s="122" customFormat="1">
      <c r="G1186" s="133"/>
      <c r="J1186" s="123"/>
      <c r="K1186" s="123"/>
      <c r="L1186" s="123"/>
    </row>
    <row r="1187" spans="7:12" s="122" customFormat="1">
      <c r="G1187" s="133"/>
      <c r="J1187" s="123"/>
      <c r="K1187" s="123"/>
      <c r="L1187" s="123"/>
    </row>
    <row r="1188" spans="7:12" s="122" customFormat="1">
      <c r="G1188" s="133"/>
      <c r="J1188" s="123"/>
      <c r="K1188" s="123"/>
      <c r="L1188" s="123"/>
    </row>
    <row r="1189" spans="7:12" s="122" customFormat="1">
      <c r="G1189" s="133"/>
      <c r="J1189" s="123"/>
      <c r="K1189" s="123"/>
      <c r="L1189" s="123"/>
    </row>
    <row r="1190" spans="7:12" s="122" customFormat="1">
      <c r="G1190" s="133"/>
      <c r="J1190" s="123"/>
      <c r="K1190" s="123"/>
      <c r="L1190" s="123"/>
    </row>
    <row r="1191" spans="7:12" s="122" customFormat="1">
      <c r="G1191" s="133"/>
      <c r="J1191" s="123"/>
      <c r="K1191" s="123"/>
      <c r="L1191" s="123"/>
    </row>
    <row r="1192" spans="7:12" s="122" customFormat="1">
      <c r="G1192" s="133"/>
      <c r="J1192" s="123"/>
      <c r="K1192" s="123"/>
      <c r="L1192" s="123"/>
    </row>
    <row r="1193" spans="7:12" s="122" customFormat="1">
      <c r="G1193" s="133"/>
      <c r="J1193" s="123"/>
      <c r="K1193" s="123"/>
      <c r="L1193" s="123"/>
    </row>
    <row r="1194" spans="7:12" s="122" customFormat="1">
      <c r="G1194" s="133"/>
      <c r="J1194" s="123"/>
      <c r="K1194" s="123"/>
      <c r="L1194" s="123"/>
    </row>
    <row r="1195" spans="7:12" s="122" customFormat="1">
      <c r="G1195" s="133"/>
      <c r="J1195" s="123"/>
      <c r="K1195" s="123"/>
      <c r="L1195" s="123"/>
    </row>
    <row r="1196" spans="7:12" s="122" customFormat="1">
      <c r="G1196" s="133"/>
      <c r="J1196" s="123"/>
      <c r="K1196" s="123"/>
      <c r="L1196" s="123"/>
    </row>
    <row r="1197" spans="7:12" s="122" customFormat="1">
      <c r="G1197" s="133"/>
      <c r="J1197" s="123"/>
      <c r="K1197" s="123"/>
      <c r="L1197" s="123"/>
    </row>
    <row r="1198" spans="7:12" s="122" customFormat="1">
      <c r="G1198" s="133"/>
      <c r="J1198" s="123"/>
      <c r="K1198" s="123"/>
      <c r="L1198" s="123"/>
    </row>
    <row r="1199" spans="7:12" s="122" customFormat="1">
      <c r="G1199" s="133"/>
      <c r="J1199" s="123"/>
      <c r="K1199" s="123"/>
      <c r="L1199" s="123"/>
    </row>
    <row r="1200" spans="7:12" s="122" customFormat="1">
      <c r="G1200" s="133"/>
      <c r="J1200" s="123"/>
      <c r="K1200" s="123"/>
      <c r="L1200" s="123"/>
    </row>
    <row r="1201" spans="7:12" s="122" customFormat="1">
      <c r="G1201" s="133"/>
      <c r="J1201" s="123"/>
      <c r="K1201" s="123"/>
      <c r="L1201" s="123"/>
    </row>
    <row r="1202" spans="7:12" s="122" customFormat="1">
      <c r="G1202" s="133"/>
      <c r="J1202" s="123"/>
      <c r="K1202" s="123"/>
      <c r="L1202" s="123"/>
    </row>
    <row r="1203" spans="7:12" s="122" customFormat="1">
      <c r="G1203" s="133"/>
      <c r="J1203" s="123"/>
      <c r="K1203" s="123"/>
      <c r="L1203" s="123"/>
    </row>
    <row r="1204" spans="7:12" s="122" customFormat="1">
      <c r="G1204" s="133"/>
      <c r="J1204" s="123"/>
      <c r="K1204" s="123"/>
      <c r="L1204" s="123"/>
    </row>
    <row r="1205" spans="7:12" s="122" customFormat="1">
      <c r="G1205" s="133"/>
      <c r="J1205" s="123"/>
      <c r="K1205" s="123"/>
      <c r="L1205" s="123"/>
    </row>
    <row r="1206" spans="7:12" s="122" customFormat="1">
      <c r="G1206" s="133"/>
      <c r="J1206" s="123"/>
      <c r="K1206" s="123"/>
      <c r="L1206" s="123"/>
    </row>
    <row r="1207" spans="7:12" s="122" customFormat="1">
      <c r="G1207" s="133"/>
      <c r="J1207" s="123"/>
      <c r="K1207" s="123"/>
      <c r="L1207" s="123"/>
    </row>
    <row r="1208" spans="7:12" s="122" customFormat="1">
      <c r="G1208" s="133"/>
      <c r="J1208" s="123"/>
      <c r="K1208" s="123"/>
      <c r="L1208" s="123"/>
    </row>
    <row r="1209" spans="7:12" s="122" customFormat="1">
      <c r="G1209" s="133"/>
      <c r="J1209" s="123"/>
      <c r="K1209" s="123"/>
      <c r="L1209" s="123"/>
    </row>
    <row r="1210" spans="7:12" s="122" customFormat="1">
      <c r="G1210" s="133"/>
      <c r="J1210" s="123"/>
      <c r="K1210" s="123"/>
      <c r="L1210" s="123"/>
    </row>
    <row r="1211" spans="7:12" s="122" customFormat="1">
      <c r="G1211" s="133"/>
      <c r="J1211" s="123"/>
      <c r="K1211" s="123"/>
      <c r="L1211" s="123"/>
    </row>
    <row r="1212" spans="7:12" s="122" customFormat="1">
      <c r="G1212" s="133"/>
      <c r="J1212" s="123"/>
      <c r="K1212" s="123"/>
      <c r="L1212" s="123"/>
    </row>
    <row r="1213" spans="7:12" s="122" customFormat="1">
      <c r="G1213" s="133"/>
      <c r="J1213" s="123"/>
      <c r="K1213" s="123"/>
      <c r="L1213" s="123"/>
    </row>
    <row r="1214" spans="7:12" s="122" customFormat="1">
      <c r="G1214" s="133"/>
      <c r="J1214" s="123"/>
      <c r="K1214" s="123"/>
      <c r="L1214" s="123"/>
    </row>
    <row r="1215" spans="7:12" s="122" customFormat="1">
      <c r="G1215" s="133"/>
      <c r="J1215" s="123"/>
      <c r="K1215" s="123"/>
      <c r="L1215" s="123"/>
    </row>
    <row r="1216" spans="7:12" s="122" customFormat="1">
      <c r="G1216" s="133"/>
      <c r="J1216" s="123"/>
      <c r="K1216" s="123"/>
      <c r="L1216" s="123"/>
    </row>
    <row r="1217" spans="7:12" s="122" customFormat="1">
      <c r="G1217" s="133"/>
      <c r="J1217" s="123"/>
      <c r="K1217" s="123"/>
      <c r="L1217" s="123"/>
    </row>
    <row r="1218" spans="7:12" s="122" customFormat="1">
      <c r="G1218" s="133"/>
      <c r="J1218" s="123"/>
      <c r="K1218" s="123"/>
      <c r="L1218" s="123"/>
    </row>
    <row r="1219" spans="7:12" s="122" customFormat="1">
      <c r="G1219" s="133"/>
      <c r="J1219" s="123"/>
      <c r="K1219" s="123"/>
      <c r="L1219" s="123"/>
    </row>
    <row r="1220" spans="7:12" s="122" customFormat="1">
      <c r="G1220" s="133"/>
      <c r="J1220" s="123"/>
      <c r="K1220" s="123"/>
      <c r="L1220" s="123"/>
    </row>
    <row r="1221" spans="7:12" s="122" customFormat="1">
      <c r="G1221" s="133"/>
      <c r="J1221" s="123"/>
      <c r="K1221" s="123"/>
      <c r="L1221" s="123"/>
    </row>
    <row r="1222" spans="7:12" s="122" customFormat="1">
      <c r="G1222" s="133"/>
      <c r="J1222" s="123"/>
      <c r="K1222" s="123"/>
      <c r="L1222" s="123"/>
    </row>
    <row r="1223" spans="7:12" s="122" customFormat="1">
      <c r="G1223" s="133"/>
      <c r="J1223" s="123"/>
      <c r="K1223" s="123"/>
      <c r="L1223" s="123"/>
    </row>
    <row r="1224" spans="7:12" s="122" customFormat="1">
      <c r="G1224" s="133"/>
      <c r="J1224" s="123"/>
      <c r="K1224" s="123"/>
      <c r="L1224" s="123"/>
    </row>
    <row r="1225" spans="7:12" s="122" customFormat="1">
      <c r="G1225" s="133"/>
      <c r="J1225" s="123"/>
      <c r="K1225" s="123"/>
      <c r="L1225" s="123"/>
    </row>
    <row r="1226" spans="7:12" s="122" customFormat="1">
      <c r="G1226" s="133"/>
      <c r="J1226" s="123"/>
      <c r="K1226" s="123"/>
      <c r="L1226" s="123"/>
    </row>
    <row r="1227" spans="7:12" s="122" customFormat="1">
      <c r="G1227" s="133"/>
      <c r="J1227" s="123"/>
      <c r="K1227" s="123"/>
      <c r="L1227" s="123"/>
    </row>
    <row r="1228" spans="7:12" s="122" customFormat="1">
      <c r="G1228" s="133"/>
      <c r="J1228" s="123"/>
      <c r="K1228" s="123"/>
      <c r="L1228" s="123"/>
    </row>
    <row r="1229" spans="7:12" s="122" customFormat="1">
      <c r="G1229" s="133"/>
      <c r="J1229" s="123"/>
      <c r="K1229" s="123"/>
      <c r="L1229" s="123"/>
    </row>
    <row r="1230" spans="7:12" s="122" customFormat="1">
      <c r="G1230" s="133"/>
      <c r="J1230" s="123"/>
      <c r="K1230" s="123"/>
      <c r="L1230" s="123"/>
    </row>
    <row r="1231" spans="7:12" s="122" customFormat="1">
      <c r="G1231" s="133"/>
      <c r="J1231" s="123"/>
      <c r="K1231" s="123"/>
      <c r="L1231" s="123"/>
    </row>
    <row r="1232" spans="7:12" s="122" customFormat="1">
      <c r="G1232" s="133"/>
      <c r="J1232" s="123"/>
      <c r="K1232" s="123"/>
      <c r="L1232" s="123"/>
    </row>
    <row r="1233" spans="7:12" s="122" customFormat="1">
      <c r="G1233" s="133"/>
      <c r="J1233" s="123"/>
      <c r="K1233" s="123"/>
      <c r="L1233" s="123"/>
    </row>
    <row r="1234" spans="7:12" s="122" customFormat="1">
      <c r="G1234" s="133"/>
      <c r="J1234" s="123"/>
      <c r="K1234" s="123"/>
      <c r="L1234" s="123"/>
    </row>
    <row r="1235" spans="7:12" s="122" customFormat="1">
      <c r="G1235" s="133"/>
      <c r="J1235" s="123"/>
      <c r="K1235" s="123"/>
      <c r="L1235" s="123"/>
    </row>
    <row r="1236" spans="7:12" s="122" customFormat="1">
      <c r="G1236" s="133"/>
      <c r="J1236" s="123"/>
      <c r="K1236" s="123"/>
      <c r="L1236" s="123"/>
    </row>
    <row r="1237" spans="7:12" s="122" customFormat="1">
      <c r="G1237" s="133"/>
      <c r="J1237" s="123"/>
      <c r="K1237" s="123"/>
      <c r="L1237" s="123"/>
    </row>
    <row r="1238" spans="7:12" s="122" customFormat="1">
      <c r="G1238" s="133"/>
      <c r="J1238" s="123"/>
      <c r="K1238" s="123"/>
      <c r="L1238" s="123"/>
    </row>
    <row r="1239" spans="7:12" s="122" customFormat="1">
      <c r="G1239" s="133"/>
      <c r="J1239" s="123"/>
      <c r="K1239" s="123"/>
      <c r="L1239" s="123"/>
    </row>
    <row r="1240" spans="7:12" s="122" customFormat="1">
      <c r="G1240" s="133"/>
      <c r="J1240" s="123"/>
      <c r="K1240" s="123"/>
      <c r="L1240" s="123"/>
    </row>
    <row r="1241" spans="7:12" s="122" customFormat="1">
      <c r="G1241" s="133"/>
      <c r="J1241" s="123"/>
      <c r="K1241" s="123"/>
      <c r="L1241" s="123"/>
    </row>
    <row r="1242" spans="7:12" s="122" customFormat="1">
      <c r="G1242" s="133"/>
      <c r="J1242" s="123"/>
      <c r="K1242" s="123"/>
      <c r="L1242" s="123"/>
    </row>
    <row r="1243" spans="7:12" s="122" customFormat="1">
      <c r="G1243" s="133"/>
      <c r="J1243" s="123"/>
      <c r="K1243" s="123"/>
      <c r="L1243" s="123"/>
    </row>
    <row r="1244" spans="7:12" s="122" customFormat="1">
      <c r="G1244" s="133"/>
      <c r="J1244" s="123"/>
      <c r="K1244" s="123"/>
      <c r="L1244" s="123"/>
    </row>
    <row r="1245" spans="7:12" s="122" customFormat="1">
      <c r="G1245" s="133"/>
      <c r="J1245" s="123"/>
      <c r="K1245" s="123"/>
      <c r="L1245" s="123"/>
    </row>
    <row r="1246" spans="7:12" s="122" customFormat="1">
      <c r="G1246" s="133"/>
      <c r="J1246" s="123"/>
      <c r="K1246" s="123"/>
      <c r="L1246" s="123"/>
    </row>
    <row r="1247" spans="7:12" s="122" customFormat="1">
      <c r="G1247" s="133"/>
      <c r="J1247" s="123"/>
      <c r="K1247" s="123"/>
      <c r="L1247" s="123"/>
    </row>
    <row r="1248" spans="7:12" s="122" customFormat="1">
      <c r="G1248" s="133"/>
      <c r="J1248" s="123"/>
      <c r="K1248" s="123"/>
      <c r="L1248" s="123"/>
    </row>
    <row r="1249" spans="7:12" s="122" customFormat="1">
      <c r="G1249" s="133"/>
      <c r="J1249" s="123"/>
      <c r="K1249" s="123"/>
      <c r="L1249" s="123"/>
    </row>
    <row r="1250" spans="7:12" s="122" customFormat="1">
      <c r="G1250" s="133"/>
      <c r="J1250" s="123"/>
      <c r="K1250" s="123"/>
      <c r="L1250" s="123"/>
    </row>
    <row r="1251" spans="7:12" s="122" customFormat="1">
      <c r="G1251" s="133"/>
      <c r="J1251" s="123"/>
      <c r="K1251" s="123"/>
      <c r="L1251" s="123"/>
    </row>
    <row r="1252" spans="7:12" s="122" customFormat="1">
      <c r="G1252" s="133"/>
      <c r="J1252" s="123"/>
      <c r="K1252" s="123"/>
      <c r="L1252" s="123"/>
    </row>
    <row r="1253" spans="7:12" s="122" customFormat="1">
      <c r="G1253" s="133"/>
      <c r="J1253" s="123"/>
      <c r="K1253" s="123"/>
      <c r="L1253" s="123"/>
    </row>
    <row r="1254" spans="7:12" s="122" customFormat="1">
      <c r="G1254" s="133"/>
      <c r="J1254" s="123"/>
      <c r="K1254" s="123"/>
      <c r="L1254" s="123"/>
    </row>
    <row r="1255" spans="7:12" s="122" customFormat="1">
      <c r="G1255" s="133"/>
      <c r="J1255" s="123"/>
      <c r="K1255" s="123"/>
      <c r="L1255" s="123"/>
    </row>
    <row r="1256" spans="7:12" s="122" customFormat="1">
      <c r="G1256" s="133"/>
      <c r="J1256" s="123"/>
      <c r="K1256" s="123"/>
      <c r="L1256" s="123"/>
    </row>
    <row r="1257" spans="7:12" s="122" customFormat="1">
      <c r="G1257" s="133"/>
      <c r="J1257" s="123"/>
      <c r="K1257" s="123"/>
      <c r="L1257" s="123"/>
    </row>
    <row r="1258" spans="7:12" s="122" customFormat="1">
      <c r="G1258" s="133"/>
      <c r="J1258" s="123"/>
      <c r="K1258" s="123"/>
      <c r="L1258" s="123"/>
    </row>
    <row r="1259" spans="7:12" s="122" customFormat="1">
      <c r="G1259" s="133"/>
      <c r="J1259" s="123"/>
      <c r="K1259" s="123"/>
      <c r="L1259" s="123"/>
    </row>
    <row r="1260" spans="7:12" s="122" customFormat="1">
      <c r="G1260" s="133"/>
      <c r="J1260" s="123"/>
      <c r="K1260" s="123"/>
      <c r="L1260" s="123"/>
    </row>
    <row r="1261" spans="7:12" s="122" customFormat="1">
      <c r="G1261" s="133"/>
      <c r="J1261" s="123"/>
      <c r="K1261" s="123"/>
      <c r="L1261" s="123"/>
    </row>
    <row r="1262" spans="7:12" s="122" customFormat="1">
      <c r="G1262" s="133"/>
      <c r="J1262" s="123"/>
      <c r="K1262" s="123"/>
      <c r="L1262" s="123"/>
    </row>
    <row r="1263" spans="7:12" s="122" customFormat="1">
      <c r="G1263" s="133"/>
      <c r="J1263" s="123"/>
      <c r="K1263" s="123"/>
      <c r="L1263" s="123"/>
    </row>
    <row r="1264" spans="7:12" s="122" customFormat="1">
      <c r="G1264" s="133"/>
      <c r="J1264" s="123"/>
      <c r="K1264" s="123"/>
      <c r="L1264" s="123"/>
    </row>
    <row r="1265" spans="7:12" s="122" customFormat="1">
      <c r="G1265" s="133"/>
      <c r="J1265" s="123"/>
      <c r="K1265" s="123"/>
      <c r="L1265" s="123"/>
    </row>
    <row r="1266" spans="7:12" s="122" customFormat="1">
      <c r="G1266" s="133"/>
      <c r="J1266" s="123"/>
      <c r="K1266" s="123"/>
      <c r="L1266" s="123"/>
    </row>
    <row r="1267" spans="7:12" s="122" customFormat="1">
      <c r="G1267" s="133"/>
      <c r="J1267" s="123"/>
      <c r="K1267" s="123"/>
      <c r="L1267" s="123"/>
    </row>
    <row r="1268" spans="7:12" s="122" customFormat="1">
      <c r="G1268" s="133"/>
      <c r="J1268" s="123"/>
      <c r="K1268" s="123"/>
      <c r="L1268" s="123"/>
    </row>
    <row r="1269" spans="7:12" s="122" customFormat="1">
      <c r="G1269" s="133"/>
      <c r="J1269" s="123"/>
      <c r="K1269" s="123"/>
      <c r="L1269" s="123"/>
    </row>
    <row r="1270" spans="7:12" s="122" customFormat="1">
      <c r="G1270" s="133"/>
      <c r="J1270" s="123"/>
      <c r="K1270" s="123"/>
      <c r="L1270" s="123"/>
    </row>
    <row r="1271" spans="7:12" s="122" customFormat="1">
      <c r="G1271" s="133"/>
      <c r="J1271" s="123"/>
      <c r="K1271" s="123"/>
      <c r="L1271" s="123"/>
    </row>
    <row r="1272" spans="7:12" s="122" customFormat="1">
      <c r="G1272" s="133"/>
      <c r="J1272" s="123"/>
      <c r="K1272" s="123"/>
      <c r="L1272" s="123"/>
    </row>
    <row r="1273" spans="7:12" s="122" customFormat="1">
      <c r="G1273" s="133"/>
      <c r="J1273" s="123"/>
      <c r="K1273" s="123"/>
      <c r="L1273" s="123"/>
    </row>
    <row r="1274" spans="7:12" s="122" customFormat="1">
      <c r="G1274" s="133"/>
      <c r="J1274" s="123"/>
      <c r="K1274" s="123"/>
      <c r="L1274" s="123"/>
    </row>
    <row r="1275" spans="7:12" s="122" customFormat="1">
      <c r="G1275" s="133"/>
      <c r="J1275" s="123"/>
      <c r="K1275" s="123"/>
      <c r="L1275" s="123"/>
    </row>
    <row r="1276" spans="7:12" s="122" customFormat="1">
      <c r="G1276" s="133"/>
      <c r="J1276" s="123"/>
      <c r="K1276" s="123"/>
      <c r="L1276" s="123"/>
    </row>
    <row r="1277" spans="7:12" s="122" customFormat="1">
      <c r="G1277" s="133"/>
      <c r="J1277" s="123"/>
      <c r="K1277" s="123"/>
      <c r="L1277" s="123"/>
    </row>
    <row r="1278" spans="7:12" s="122" customFormat="1">
      <c r="G1278" s="133"/>
      <c r="J1278" s="123"/>
      <c r="K1278" s="123"/>
      <c r="L1278" s="123"/>
    </row>
    <row r="1279" spans="7:12" s="122" customFormat="1">
      <c r="G1279" s="133"/>
      <c r="J1279" s="123"/>
      <c r="K1279" s="123"/>
      <c r="L1279" s="123"/>
    </row>
    <row r="1280" spans="7:12" s="122" customFormat="1">
      <c r="G1280" s="133"/>
      <c r="J1280" s="123"/>
      <c r="K1280" s="123"/>
      <c r="L1280" s="123"/>
    </row>
    <row r="1281" spans="7:12" s="122" customFormat="1">
      <c r="G1281" s="133"/>
      <c r="J1281" s="123"/>
      <c r="K1281" s="123"/>
      <c r="L1281" s="123"/>
    </row>
    <row r="1282" spans="7:12" s="122" customFormat="1">
      <c r="G1282" s="133"/>
      <c r="J1282" s="123"/>
      <c r="K1282" s="123"/>
      <c r="L1282" s="123"/>
    </row>
    <row r="1283" spans="7:12" s="122" customFormat="1">
      <c r="G1283" s="133"/>
      <c r="J1283" s="123"/>
      <c r="K1283" s="123"/>
      <c r="L1283" s="123"/>
    </row>
    <row r="1284" spans="7:12" s="122" customFormat="1">
      <c r="G1284" s="133"/>
      <c r="J1284" s="123"/>
      <c r="K1284" s="123"/>
      <c r="L1284" s="123"/>
    </row>
    <row r="1285" spans="7:12" s="122" customFormat="1">
      <c r="G1285" s="133"/>
      <c r="J1285" s="123"/>
      <c r="K1285" s="123"/>
      <c r="L1285" s="123"/>
    </row>
    <row r="1286" spans="7:12" s="122" customFormat="1">
      <c r="G1286" s="133"/>
      <c r="J1286" s="123"/>
      <c r="K1286" s="123"/>
      <c r="L1286" s="123"/>
    </row>
    <row r="1287" spans="7:12" s="122" customFormat="1">
      <c r="G1287" s="133"/>
      <c r="J1287" s="123"/>
      <c r="K1287" s="123"/>
      <c r="L1287" s="123"/>
    </row>
    <row r="1288" spans="7:12" s="122" customFormat="1">
      <c r="G1288" s="133"/>
      <c r="J1288" s="123"/>
      <c r="K1288" s="123"/>
      <c r="L1288" s="123"/>
    </row>
    <row r="1289" spans="7:12" s="122" customFormat="1">
      <c r="G1289" s="133"/>
      <c r="J1289" s="123"/>
      <c r="K1289" s="123"/>
      <c r="L1289" s="123"/>
    </row>
    <row r="1290" spans="7:12" s="122" customFormat="1">
      <c r="G1290" s="133"/>
      <c r="J1290" s="123"/>
      <c r="K1290" s="123"/>
      <c r="L1290" s="123"/>
    </row>
    <row r="1291" spans="7:12" s="122" customFormat="1">
      <c r="G1291" s="133"/>
      <c r="J1291" s="123"/>
      <c r="K1291" s="123"/>
      <c r="L1291" s="123"/>
    </row>
    <row r="1292" spans="7:12" s="122" customFormat="1">
      <c r="G1292" s="133"/>
      <c r="J1292" s="123"/>
      <c r="K1292" s="123"/>
      <c r="L1292" s="123"/>
    </row>
    <row r="1293" spans="7:12" s="122" customFormat="1">
      <c r="G1293" s="133"/>
      <c r="J1293" s="123"/>
      <c r="K1293" s="123"/>
      <c r="L1293" s="123"/>
    </row>
    <row r="1294" spans="7:12" s="122" customFormat="1">
      <c r="G1294" s="133"/>
      <c r="J1294" s="123"/>
      <c r="K1294" s="123"/>
      <c r="L1294" s="123"/>
    </row>
    <row r="1295" spans="7:12" s="122" customFormat="1">
      <c r="G1295" s="133"/>
      <c r="J1295" s="123"/>
      <c r="K1295" s="123"/>
      <c r="L1295" s="123"/>
    </row>
    <row r="1296" spans="7:12" s="122" customFormat="1">
      <c r="G1296" s="133"/>
      <c r="J1296" s="123"/>
      <c r="K1296" s="123"/>
      <c r="L1296" s="123"/>
    </row>
    <row r="1297" spans="7:12" s="122" customFormat="1">
      <c r="G1297" s="133"/>
      <c r="J1297" s="123"/>
      <c r="K1297" s="123"/>
      <c r="L1297" s="123"/>
    </row>
    <row r="1298" spans="7:12" s="122" customFormat="1">
      <c r="G1298" s="133"/>
      <c r="J1298" s="123"/>
      <c r="K1298" s="123"/>
      <c r="L1298" s="123"/>
    </row>
    <row r="1299" spans="7:12" s="122" customFormat="1">
      <c r="G1299" s="133"/>
      <c r="J1299" s="123"/>
      <c r="K1299" s="123"/>
      <c r="L1299" s="123"/>
    </row>
    <row r="1300" spans="7:12" s="122" customFormat="1">
      <c r="G1300" s="133"/>
      <c r="J1300" s="123"/>
      <c r="K1300" s="123"/>
      <c r="L1300" s="123"/>
    </row>
    <row r="1301" spans="7:12" s="122" customFormat="1">
      <c r="G1301" s="133"/>
      <c r="J1301" s="123"/>
      <c r="K1301" s="123"/>
      <c r="L1301" s="123"/>
    </row>
    <row r="1302" spans="7:12" s="122" customFormat="1">
      <c r="G1302" s="133"/>
      <c r="J1302" s="123"/>
      <c r="K1302" s="123"/>
      <c r="L1302" s="123"/>
    </row>
    <row r="1303" spans="7:12" s="122" customFormat="1">
      <c r="G1303" s="133"/>
      <c r="J1303" s="123"/>
      <c r="K1303" s="123"/>
      <c r="L1303" s="123"/>
    </row>
    <row r="1304" spans="7:12" s="122" customFormat="1">
      <c r="G1304" s="133"/>
      <c r="J1304" s="123"/>
      <c r="K1304" s="123"/>
      <c r="L1304" s="123"/>
    </row>
    <row r="1305" spans="7:12" s="122" customFormat="1">
      <c r="G1305" s="133"/>
      <c r="J1305" s="123"/>
      <c r="K1305" s="123"/>
      <c r="L1305" s="123"/>
    </row>
    <row r="1306" spans="7:12" s="122" customFormat="1">
      <c r="G1306" s="133"/>
      <c r="J1306" s="123"/>
      <c r="K1306" s="123"/>
      <c r="L1306" s="123"/>
    </row>
    <row r="1307" spans="7:12" s="122" customFormat="1">
      <c r="G1307" s="133"/>
      <c r="J1307" s="123"/>
      <c r="K1307" s="123"/>
      <c r="L1307" s="123"/>
    </row>
    <row r="1308" spans="7:12" s="122" customFormat="1">
      <c r="G1308" s="133"/>
      <c r="J1308" s="123"/>
      <c r="K1308" s="123"/>
      <c r="L1308" s="123"/>
    </row>
    <row r="1309" spans="7:12" s="122" customFormat="1">
      <c r="G1309" s="133"/>
      <c r="J1309" s="123"/>
      <c r="K1309" s="123"/>
      <c r="L1309" s="123"/>
    </row>
    <row r="1310" spans="7:12" s="122" customFormat="1">
      <c r="G1310" s="133"/>
      <c r="J1310" s="123"/>
      <c r="K1310" s="123"/>
      <c r="L1310" s="123"/>
    </row>
    <row r="1311" spans="7:12" s="122" customFormat="1">
      <c r="G1311" s="133"/>
      <c r="J1311" s="123"/>
      <c r="K1311" s="123"/>
      <c r="L1311" s="123"/>
    </row>
    <row r="1312" spans="7:12" s="122" customFormat="1">
      <c r="G1312" s="133"/>
      <c r="J1312" s="123"/>
      <c r="K1312" s="123"/>
      <c r="L1312" s="123"/>
    </row>
    <row r="1313" spans="7:12" s="122" customFormat="1">
      <c r="G1313" s="133"/>
      <c r="J1313" s="123"/>
      <c r="K1313" s="123"/>
      <c r="L1313" s="123"/>
    </row>
    <row r="1314" spans="7:12" s="122" customFormat="1">
      <c r="G1314" s="133"/>
      <c r="J1314" s="123"/>
      <c r="K1314" s="123"/>
      <c r="L1314" s="123"/>
    </row>
    <row r="1315" spans="7:12" s="122" customFormat="1">
      <c r="G1315" s="133"/>
      <c r="J1315" s="123"/>
      <c r="K1315" s="123"/>
      <c r="L1315" s="123"/>
    </row>
    <row r="1316" spans="7:12" s="122" customFormat="1">
      <c r="G1316" s="133"/>
      <c r="J1316" s="123"/>
      <c r="K1316" s="123"/>
      <c r="L1316" s="123"/>
    </row>
    <row r="1317" spans="7:12" s="122" customFormat="1">
      <c r="G1317" s="133"/>
      <c r="J1317" s="123"/>
      <c r="K1317" s="123"/>
      <c r="L1317" s="123"/>
    </row>
    <row r="1318" spans="7:12" s="122" customFormat="1">
      <c r="G1318" s="133"/>
      <c r="J1318" s="123"/>
      <c r="K1318" s="123"/>
      <c r="L1318" s="123"/>
    </row>
    <row r="1319" spans="7:12" s="122" customFormat="1">
      <c r="G1319" s="133"/>
      <c r="J1319" s="123"/>
      <c r="K1319" s="123"/>
      <c r="L1319" s="123"/>
    </row>
    <row r="1320" spans="7:12" s="122" customFormat="1">
      <c r="G1320" s="133"/>
      <c r="J1320" s="123"/>
      <c r="K1320" s="123"/>
      <c r="L1320" s="123"/>
    </row>
    <row r="1321" spans="7:12" s="122" customFormat="1">
      <c r="G1321" s="133"/>
      <c r="J1321" s="123"/>
      <c r="K1321" s="123"/>
      <c r="L1321" s="123"/>
    </row>
    <row r="1322" spans="7:12" s="122" customFormat="1">
      <c r="G1322" s="133"/>
      <c r="J1322" s="123"/>
      <c r="K1322" s="123"/>
      <c r="L1322" s="123"/>
    </row>
    <row r="1323" spans="7:12" s="122" customFormat="1">
      <c r="G1323" s="133"/>
      <c r="J1323" s="123"/>
      <c r="K1323" s="123"/>
      <c r="L1323" s="123"/>
    </row>
    <row r="1324" spans="7:12" s="122" customFormat="1">
      <c r="G1324" s="133"/>
      <c r="J1324" s="123"/>
      <c r="K1324" s="123"/>
      <c r="L1324" s="123"/>
    </row>
    <row r="1325" spans="7:12" s="122" customFormat="1">
      <c r="G1325" s="133"/>
      <c r="J1325" s="123"/>
      <c r="K1325" s="123"/>
      <c r="L1325" s="123"/>
    </row>
    <row r="1326" spans="7:12" s="122" customFormat="1">
      <c r="G1326" s="133"/>
      <c r="J1326" s="123"/>
      <c r="K1326" s="123"/>
      <c r="L1326" s="123"/>
    </row>
    <row r="1327" spans="7:12" s="122" customFormat="1">
      <c r="G1327" s="133"/>
      <c r="J1327" s="123"/>
      <c r="K1327" s="123"/>
      <c r="L1327" s="123"/>
    </row>
    <row r="1328" spans="7:12" s="122" customFormat="1">
      <c r="G1328" s="133"/>
      <c r="J1328" s="123"/>
      <c r="K1328" s="123"/>
      <c r="L1328" s="123"/>
    </row>
    <row r="1329" spans="7:12" s="122" customFormat="1">
      <c r="G1329" s="133"/>
      <c r="J1329" s="123"/>
      <c r="K1329" s="123"/>
      <c r="L1329" s="123"/>
    </row>
    <row r="1330" spans="7:12" s="122" customFormat="1">
      <c r="G1330" s="133"/>
      <c r="J1330" s="123"/>
      <c r="K1330" s="123"/>
      <c r="L1330" s="123"/>
    </row>
    <row r="1331" spans="7:12" s="122" customFormat="1">
      <c r="G1331" s="133"/>
      <c r="J1331" s="123"/>
      <c r="K1331" s="123"/>
      <c r="L1331" s="123"/>
    </row>
    <row r="1332" spans="7:12" s="122" customFormat="1">
      <c r="G1332" s="133"/>
      <c r="J1332" s="123"/>
      <c r="K1332" s="123"/>
      <c r="L1332" s="123"/>
    </row>
    <row r="1333" spans="7:12" s="122" customFormat="1">
      <c r="G1333" s="133"/>
      <c r="J1333" s="123"/>
      <c r="K1333" s="123"/>
      <c r="L1333" s="123"/>
    </row>
    <row r="1334" spans="7:12" s="122" customFormat="1">
      <c r="G1334" s="133"/>
      <c r="J1334" s="123"/>
      <c r="K1334" s="123"/>
      <c r="L1334" s="123"/>
    </row>
    <row r="1335" spans="7:12" s="122" customFormat="1">
      <c r="G1335" s="133"/>
      <c r="J1335" s="123"/>
      <c r="K1335" s="123"/>
      <c r="L1335" s="123"/>
    </row>
    <row r="1336" spans="7:12" s="122" customFormat="1">
      <c r="G1336" s="133"/>
      <c r="J1336" s="123"/>
      <c r="K1336" s="123"/>
      <c r="L1336" s="123"/>
    </row>
    <row r="1337" spans="7:12" s="122" customFormat="1">
      <c r="G1337" s="133"/>
      <c r="J1337" s="123"/>
      <c r="K1337" s="123"/>
      <c r="L1337" s="123"/>
    </row>
    <row r="1338" spans="7:12" s="122" customFormat="1">
      <c r="G1338" s="133"/>
      <c r="J1338" s="123"/>
      <c r="K1338" s="123"/>
      <c r="L1338" s="123"/>
    </row>
    <row r="1339" spans="7:12" s="122" customFormat="1">
      <c r="G1339" s="133"/>
      <c r="J1339" s="123"/>
      <c r="K1339" s="123"/>
      <c r="L1339" s="123"/>
    </row>
    <row r="1340" spans="7:12" s="122" customFormat="1">
      <c r="G1340" s="133"/>
      <c r="J1340" s="123"/>
      <c r="K1340" s="123"/>
      <c r="L1340" s="123"/>
    </row>
    <row r="1341" spans="7:12" s="122" customFormat="1">
      <c r="G1341" s="133"/>
      <c r="J1341" s="123"/>
      <c r="K1341" s="123"/>
      <c r="L1341" s="123"/>
    </row>
    <row r="1342" spans="7:12" s="122" customFormat="1">
      <c r="G1342" s="133"/>
      <c r="J1342" s="123"/>
      <c r="K1342" s="123"/>
      <c r="L1342" s="123"/>
    </row>
    <row r="1343" spans="7:12" s="122" customFormat="1">
      <c r="G1343" s="133"/>
      <c r="J1343" s="123"/>
      <c r="K1343" s="123"/>
      <c r="L1343" s="123"/>
    </row>
    <row r="1344" spans="7:12" s="122" customFormat="1">
      <c r="G1344" s="133"/>
      <c r="J1344" s="123"/>
      <c r="K1344" s="123"/>
      <c r="L1344" s="123"/>
    </row>
    <row r="1345" spans="7:12" s="122" customFormat="1">
      <c r="G1345" s="133"/>
      <c r="J1345" s="123"/>
      <c r="K1345" s="123"/>
      <c r="L1345" s="123"/>
    </row>
    <row r="1346" spans="7:12" s="122" customFormat="1">
      <c r="G1346" s="133"/>
      <c r="J1346" s="123"/>
      <c r="K1346" s="123"/>
      <c r="L1346" s="123"/>
    </row>
    <row r="1347" spans="7:12" s="122" customFormat="1">
      <c r="G1347" s="133"/>
      <c r="J1347" s="123"/>
      <c r="K1347" s="123"/>
      <c r="L1347" s="123"/>
    </row>
    <row r="1348" spans="7:12" s="122" customFormat="1">
      <c r="G1348" s="133"/>
      <c r="J1348" s="123"/>
      <c r="K1348" s="123"/>
      <c r="L1348" s="123"/>
    </row>
    <row r="1349" spans="7:12" s="122" customFormat="1">
      <c r="G1349" s="133"/>
      <c r="J1349" s="123"/>
      <c r="K1349" s="123"/>
      <c r="L1349" s="123"/>
    </row>
    <row r="1350" spans="7:12" s="122" customFormat="1">
      <c r="G1350" s="133"/>
      <c r="J1350" s="123"/>
      <c r="K1350" s="123"/>
      <c r="L1350" s="123"/>
    </row>
    <row r="1351" spans="7:12" s="122" customFormat="1">
      <c r="G1351" s="133"/>
      <c r="J1351" s="123"/>
      <c r="K1351" s="123"/>
      <c r="L1351" s="123"/>
    </row>
    <row r="1352" spans="7:12" s="122" customFormat="1">
      <c r="G1352" s="133"/>
      <c r="J1352" s="123"/>
      <c r="K1352" s="123"/>
      <c r="L1352" s="123"/>
    </row>
    <row r="1353" spans="7:12" s="122" customFormat="1">
      <c r="G1353" s="133"/>
      <c r="J1353" s="123"/>
      <c r="K1353" s="123"/>
      <c r="L1353" s="123"/>
    </row>
    <row r="1354" spans="7:12" s="122" customFormat="1">
      <c r="G1354" s="133"/>
      <c r="J1354" s="123"/>
      <c r="K1354" s="123"/>
      <c r="L1354" s="123"/>
    </row>
    <row r="1355" spans="7:12" s="122" customFormat="1">
      <c r="G1355" s="133"/>
      <c r="J1355" s="123"/>
      <c r="K1355" s="123"/>
      <c r="L1355" s="123"/>
    </row>
    <row r="1356" spans="7:12" s="122" customFormat="1">
      <c r="G1356" s="133"/>
      <c r="J1356" s="123"/>
      <c r="K1356" s="123"/>
      <c r="L1356" s="123"/>
    </row>
    <row r="1357" spans="7:12" s="122" customFormat="1">
      <c r="G1357" s="133"/>
      <c r="J1357" s="123"/>
      <c r="K1357" s="123"/>
      <c r="L1357" s="123"/>
    </row>
    <row r="1358" spans="7:12" s="122" customFormat="1">
      <c r="G1358" s="133"/>
      <c r="J1358" s="123"/>
      <c r="K1358" s="123"/>
      <c r="L1358" s="123"/>
    </row>
    <row r="1359" spans="7:12" s="122" customFormat="1">
      <c r="G1359" s="133"/>
      <c r="J1359" s="123"/>
      <c r="K1359" s="123"/>
      <c r="L1359" s="123"/>
    </row>
    <row r="1360" spans="7:12" s="122" customFormat="1">
      <c r="G1360" s="133"/>
      <c r="J1360" s="123"/>
      <c r="K1360" s="123"/>
      <c r="L1360" s="123"/>
    </row>
    <row r="1361" spans="7:12" s="122" customFormat="1">
      <c r="G1361" s="133"/>
      <c r="J1361" s="123"/>
      <c r="K1361" s="123"/>
      <c r="L1361" s="123"/>
    </row>
    <row r="1362" spans="7:12" s="122" customFormat="1">
      <c r="G1362" s="133"/>
      <c r="J1362" s="123"/>
      <c r="K1362" s="123"/>
      <c r="L1362" s="123"/>
    </row>
    <row r="1363" spans="7:12" s="122" customFormat="1">
      <c r="G1363" s="133"/>
      <c r="J1363" s="123"/>
      <c r="K1363" s="123"/>
      <c r="L1363" s="123"/>
    </row>
    <row r="1364" spans="7:12" s="122" customFormat="1">
      <c r="G1364" s="133"/>
      <c r="J1364" s="123"/>
      <c r="K1364" s="123"/>
      <c r="L1364" s="123"/>
    </row>
    <row r="1365" spans="7:12" s="122" customFormat="1">
      <c r="G1365" s="133"/>
      <c r="J1365" s="123"/>
      <c r="K1365" s="123"/>
      <c r="L1365" s="123"/>
    </row>
    <row r="1366" spans="7:12" s="122" customFormat="1">
      <c r="G1366" s="133"/>
      <c r="J1366" s="123"/>
      <c r="K1366" s="123"/>
      <c r="L1366" s="123"/>
    </row>
    <row r="1367" spans="7:12" s="122" customFormat="1">
      <c r="G1367" s="133"/>
      <c r="J1367" s="123"/>
      <c r="K1367" s="123"/>
      <c r="L1367" s="123"/>
    </row>
    <row r="1368" spans="7:12" s="122" customFormat="1">
      <c r="G1368" s="133"/>
      <c r="J1368" s="123"/>
      <c r="K1368" s="123"/>
      <c r="L1368" s="123"/>
    </row>
    <row r="1369" spans="7:12" s="122" customFormat="1">
      <c r="G1369" s="133"/>
      <c r="J1369" s="123"/>
      <c r="K1369" s="123"/>
      <c r="L1369" s="123"/>
    </row>
    <row r="1370" spans="7:12" s="122" customFormat="1">
      <c r="G1370" s="133"/>
      <c r="J1370" s="123"/>
      <c r="K1370" s="123"/>
      <c r="L1370" s="123"/>
    </row>
    <row r="1371" spans="7:12" s="122" customFormat="1">
      <c r="G1371" s="133"/>
      <c r="J1371" s="123"/>
      <c r="K1371" s="123"/>
      <c r="L1371" s="123"/>
    </row>
    <row r="1372" spans="7:12" s="122" customFormat="1">
      <c r="G1372" s="133"/>
      <c r="J1372" s="123"/>
      <c r="K1372" s="123"/>
      <c r="L1372" s="123"/>
    </row>
    <row r="1373" spans="7:12" s="122" customFormat="1">
      <c r="G1373" s="133"/>
      <c r="J1373" s="123"/>
      <c r="K1373" s="123"/>
      <c r="L1373" s="123"/>
    </row>
    <row r="1374" spans="7:12" s="122" customFormat="1">
      <c r="G1374" s="133"/>
      <c r="J1374" s="123"/>
      <c r="K1374" s="123"/>
      <c r="L1374" s="123"/>
    </row>
    <row r="1375" spans="7:12" s="122" customFormat="1">
      <c r="G1375" s="133"/>
      <c r="J1375" s="123"/>
      <c r="K1375" s="123"/>
      <c r="L1375" s="123"/>
    </row>
    <row r="1376" spans="7:12" s="122" customFormat="1">
      <c r="G1376" s="133"/>
      <c r="J1376" s="123"/>
      <c r="K1376" s="123"/>
      <c r="L1376" s="123"/>
    </row>
    <row r="1377" spans="7:12" s="122" customFormat="1">
      <c r="G1377" s="133"/>
      <c r="J1377" s="123"/>
      <c r="K1377" s="123"/>
      <c r="L1377" s="123"/>
    </row>
    <row r="1378" spans="7:12" s="122" customFormat="1">
      <c r="G1378" s="133"/>
      <c r="J1378" s="123"/>
      <c r="K1378" s="123"/>
      <c r="L1378" s="123"/>
    </row>
    <row r="1379" spans="7:12" s="122" customFormat="1">
      <c r="G1379" s="133"/>
      <c r="J1379" s="123"/>
      <c r="K1379" s="123"/>
      <c r="L1379" s="123"/>
    </row>
    <row r="1380" spans="7:12" s="122" customFormat="1">
      <c r="G1380" s="133"/>
      <c r="J1380" s="123"/>
      <c r="K1380" s="123"/>
      <c r="L1380" s="123"/>
    </row>
    <row r="1381" spans="7:12" s="122" customFormat="1">
      <c r="G1381" s="133"/>
      <c r="J1381" s="123"/>
      <c r="K1381" s="123"/>
      <c r="L1381" s="123"/>
    </row>
    <row r="1382" spans="7:12" s="122" customFormat="1">
      <c r="G1382" s="133"/>
      <c r="J1382" s="123"/>
      <c r="K1382" s="123"/>
      <c r="L1382" s="123"/>
    </row>
    <row r="1383" spans="7:12" s="122" customFormat="1">
      <c r="G1383" s="133"/>
      <c r="J1383" s="123"/>
      <c r="K1383" s="123"/>
      <c r="L1383" s="123"/>
    </row>
    <row r="1384" spans="7:12" s="122" customFormat="1">
      <c r="G1384" s="133"/>
      <c r="J1384" s="123"/>
      <c r="K1384" s="123"/>
      <c r="L1384" s="123"/>
    </row>
    <row r="1385" spans="7:12" s="122" customFormat="1">
      <c r="G1385" s="133"/>
      <c r="J1385" s="123"/>
      <c r="K1385" s="123"/>
      <c r="L1385" s="123"/>
    </row>
    <row r="1386" spans="7:12" s="122" customFormat="1">
      <c r="G1386" s="133"/>
      <c r="J1386" s="123"/>
      <c r="K1386" s="123"/>
      <c r="L1386" s="123"/>
    </row>
    <row r="1387" spans="7:12" s="122" customFormat="1">
      <c r="G1387" s="133"/>
      <c r="J1387" s="123"/>
      <c r="K1387" s="123"/>
      <c r="L1387" s="123"/>
    </row>
    <row r="1388" spans="7:12" s="122" customFormat="1">
      <c r="G1388" s="133"/>
      <c r="J1388" s="123"/>
      <c r="K1388" s="123"/>
      <c r="L1388" s="123"/>
    </row>
    <row r="1389" spans="7:12" s="122" customFormat="1">
      <c r="G1389" s="133"/>
      <c r="J1389" s="123"/>
      <c r="K1389" s="123"/>
      <c r="L1389" s="123"/>
    </row>
    <row r="1390" spans="7:12" s="122" customFormat="1">
      <c r="G1390" s="133"/>
      <c r="J1390" s="123"/>
      <c r="K1390" s="123"/>
      <c r="L1390" s="123"/>
    </row>
    <row r="1391" spans="7:12" s="122" customFormat="1">
      <c r="G1391" s="133"/>
      <c r="J1391" s="123"/>
      <c r="K1391" s="123"/>
      <c r="L1391" s="123"/>
    </row>
    <row r="1392" spans="7:12" s="122" customFormat="1">
      <c r="G1392" s="133"/>
      <c r="J1392" s="123"/>
      <c r="K1392" s="123"/>
      <c r="L1392" s="123"/>
    </row>
    <row r="1393" spans="7:12" s="122" customFormat="1">
      <c r="G1393" s="133"/>
      <c r="J1393" s="123"/>
      <c r="K1393" s="123"/>
      <c r="L1393" s="123"/>
    </row>
    <row r="1394" spans="7:12" s="122" customFormat="1">
      <c r="G1394" s="133"/>
      <c r="J1394" s="123"/>
      <c r="K1394" s="123"/>
      <c r="L1394" s="123"/>
    </row>
    <row r="1395" spans="7:12" s="122" customFormat="1">
      <c r="G1395" s="133"/>
      <c r="J1395" s="123"/>
      <c r="K1395" s="123"/>
      <c r="L1395" s="123"/>
    </row>
    <row r="1396" spans="7:12" s="122" customFormat="1">
      <c r="G1396" s="133"/>
      <c r="J1396" s="123"/>
      <c r="K1396" s="123"/>
      <c r="L1396" s="123"/>
    </row>
    <row r="1397" spans="7:12" s="122" customFormat="1">
      <c r="G1397" s="133"/>
      <c r="J1397" s="123"/>
      <c r="K1397" s="123"/>
      <c r="L1397" s="123"/>
    </row>
    <row r="1398" spans="7:12" s="122" customFormat="1">
      <c r="G1398" s="133"/>
      <c r="J1398" s="123"/>
      <c r="K1398" s="123"/>
      <c r="L1398" s="123"/>
    </row>
    <row r="1399" spans="7:12" s="122" customFormat="1">
      <c r="G1399" s="133"/>
      <c r="J1399" s="123"/>
      <c r="K1399" s="123"/>
      <c r="L1399" s="123"/>
    </row>
    <row r="1400" spans="7:12" s="122" customFormat="1">
      <c r="G1400" s="133"/>
      <c r="J1400" s="123"/>
      <c r="K1400" s="123"/>
      <c r="L1400" s="123"/>
    </row>
    <row r="1401" spans="7:12" s="122" customFormat="1">
      <c r="G1401" s="133"/>
      <c r="J1401" s="123"/>
      <c r="K1401" s="123"/>
      <c r="L1401" s="123"/>
    </row>
    <row r="1402" spans="7:12" s="122" customFormat="1">
      <c r="G1402" s="133"/>
      <c r="J1402" s="123"/>
      <c r="K1402" s="123"/>
      <c r="L1402" s="123"/>
    </row>
    <row r="1403" spans="7:12" s="122" customFormat="1">
      <c r="G1403" s="133"/>
      <c r="J1403" s="123"/>
      <c r="K1403" s="123"/>
      <c r="L1403" s="123"/>
    </row>
    <row r="1404" spans="7:12" s="122" customFormat="1">
      <c r="G1404" s="133"/>
      <c r="J1404" s="123"/>
      <c r="K1404" s="123"/>
      <c r="L1404" s="123"/>
    </row>
    <row r="1405" spans="7:12" s="122" customFormat="1">
      <c r="G1405" s="133"/>
      <c r="J1405" s="123"/>
      <c r="K1405" s="123"/>
      <c r="L1405" s="123"/>
    </row>
    <row r="1406" spans="7:12" s="122" customFormat="1">
      <c r="G1406" s="133"/>
      <c r="J1406" s="123"/>
      <c r="K1406" s="123"/>
      <c r="L1406" s="123"/>
    </row>
    <row r="1407" spans="7:12" s="122" customFormat="1">
      <c r="G1407" s="133"/>
      <c r="J1407" s="123"/>
      <c r="K1407" s="123"/>
      <c r="L1407" s="123"/>
    </row>
    <row r="1408" spans="7:12" s="122" customFormat="1">
      <c r="G1408" s="133"/>
      <c r="J1408" s="123"/>
      <c r="K1408" s="123"/>
      <c r="L1408" s="123"/>
    </row>
    <row r="1409" spans="7:12" s="122" customFormat="1">
      <c r="G1409" s="133"/>
      <c r="J1409" s="123"/>
      <c r="K1409" s="123"/>
      <c r="L1409" s="123"/>
    </row>
    <row r="1410" spans="7:12" s="122" customFormat="1">
      <c r="G1410" s="133"/>
      <c r="J1410" s="123"/>
      <c r="K1410" s="123"/>
      <c r="L1410" s="123"/>
    </row>
    <row r="1411" spans="7:12" s="122" customFormat="1">
      <c r="G1411" s="133"/>
      <c r="J1411" s="123"/>
      <c r="K1411" s="123"/>
      <c r="L1411" s="123"/>
    </row>
    <row r="1412" spans="7:12" s="122" customFormat="1">
      <c r="G1412" s="133"/>
      <c r="J1412" s="123"/>
      <c r="K1412" s="123"/>
      <c r="L1412" s="123"/>
    </row>
    <row r="1413" spans="7:12" s="122" customFormat="1">
      <c r="G1413" s="133"/>
      <c r="J1413" s="123"/>
      <c r="K1413" s="123"/>
      <c r="L1413" s="123"/>
    </row>
    <row r="1414" spans="7:12" s="122" customFormat="1">
      <c r="G1414" s="133"/>
      <c r="J1414" s="123"/>
      <c r="K1414" s="123"/>
      <c r="L1414" s="123"/>
    </row>
    <row r="1415" spans="7:12" s="122" customFormat="1">
      <c r="G1415" s="133"/>
      <c r="J1415" s="123"/>
      <c r="K1415" s="123"/>
      <c r="L1415" s="123"/>
    </row>
    <row r="1416" spans="7:12" s="122" customFormat="1">
      <c r="G1416" s="133"/>
      <c r="J1416" s="123"/>
      <c r="K1416" s="123"/>
      <c r="L1416" s="123"/>
    </row>
    <row r="1417" spans="7:12" s="122" customFormat="1">
      <c r="G1417" s="133"/>
      <c r="J1417" s="123"/>
      <c r="K1417" s="123"/>
      <c r="L1417" s="123"/>
    </row>
    <row r="1418" spans="7:12" s="122" customFormat="1">
      <c r="G1418" s="133"/>
      <c r="J1418" s="123"/>
      <c r="K1418" s="123"/>
      <c r="L1418" s="123"/>
    </row>
    <row r="1419" spans="7:12" s="122" customFormat="1">
      <c r="G1419" s="133"/>
      <c r="J1419" s="123"/>
      <c r="K1419" s="123"/>
      <c r="L1419" s="123"/>
    </row>
    <row r="1420" spans="7:12" s="122" customFormat="1">
      <c r="G1420" s="133"/>
      <c r="J1420" s="123"/>
      <c r="K1420" s="123"/>
      <c r="L1420" s="123"/>
    </row>
    <row r="1421" spans="7:12" s="122" customFormat="1">
      <c r="G1421" s="133"/>
      <c r="J1421" s="123"/>
      <c r="K1421" s="123"/>
      <c r="L1421" s="123"/>
    </row>
    <row r="1422" spans="7:12" s="122" customFormat="1">
      <c r="G1422" s="133"/>
      <c r="J1422" s="123"/>
      <c r="K1422" s="123"/>
      <c r="L1422" s="123"/>
    </row>
    <row r="1423" spans="7:12" s="122" customFormat="1">
      <c r="G1423" s="133"/>
      <c r="J1423" s="123"/>
      <c r="K1423" s="123"/>
      <c r="L1423" s="123"/>
    </row>
    <row r="1424" spans="7:12" s="122" customFormat="1">
      <c r="G1424" s="133"/>
      <c r="J1424" s="123"/>
      <c r="K1424" s="123"/>
      <c r="L1424" s="123"/>
    </row>
    <row r="1425" spans="7:12" s="122" customFormat="1">
      <c r="G1425" s="133"/>
      <c r="J1425" s="123"/>
      <c r="K1425" s="123"/>
      <c r="L1425" s="123"/>
    </row>
    <row r="1426" spans="7:12" s="122" customFormat="1">
      <c r="G1426" s="133"/>
      <c r="J1426" s="123"/>
      <c r="K1426" s="123"/>
      <c r="L1426" s="123"/>
    </row>
    <row r="1427" spans="7:12" s="122" customFormat="1">
      <c r="G1427" s="133"/>
      <c r="J1427" s="123"/>
      <c r="K1427" s="123"/>
      <c r="L1427" s="123"/>
    </row>
    <row r="1428" spans="7:12" s="122" customFormat="1">
      <c r="G1428" s="133"/>
      <c r="J1428" s="123"/>
      <c r="K1428" s="123"/>
      <c r="L1428" s="123"/>
    </row>
    <row r="1429" spans="7:12" s="122" customFormat="1">
      <c r="G1429" s="133"/>
      <c r="J1429" s="123"/>
      <c r="K1429" s="123"/>
      <c r="L1429" s="123"/>
    </row>
    <row r="1430" spans="7:12" s="122" customFormat="1">
      <c r="G1430" s="133"/>
      <c r="J1430" s="123"/>
      <c r="K1430" s="123"/>
      <c r="L1430" s="123"/>
    </row>
    <row r="1431" spans="7:12" s="122" customFormat="1">
      <c r="G1431" s="133"/>
      <c r="J1431" s="123"/>
      <c r="K1431" s="123"/>
      <c r="L1431" s="123"/>
    </row>
    <row r="1432" spans="7:12" s="122" customFormat="1">
      <c r="G1432" s="133"/>
      <c r="J1432" s="123"/>
      <c r="K1432" s="123"/>
      <c r="L1432" s="123"/>
    </row>
    <row r="1433" spans="7:12" s="122" customFormat="1">
      <c r="G1433" s="133"/>
      <c r="J1433" s="123"/>
      <c r="K1433" s="123"/>
      <c r="L1433" s="123"/>
    </row>
    <row r="1434" spans="7:12" s="122" customFormat="1">
      <c r="G1434" s="133"/>
      <c r="J1434" s="123"/>
      <c r="K1434" s="123"/>
      <c r="L1434" s="123"/>
    </row>
    <row r="1435" spans="7:12" s="122" customFormat="1">
      <c r="G1435" s="133"/>
      <c r="J1435" s="123"/>
      <c r="K1435" s="123"/>
      <c r="L1435" s="123"/>
    </row>
    <row r="1436" spans="7:12" s="122" customFormat="1">
      <c r="G1436" s="133"/>
      <c r="J1436" s="123"/>
      <c r="K1436" s="123"/>
      <c r="L1436" s="123"/>
    </row>
    <row r="1437" spans="7:12" s="122" customFormat="1">
      <c r="G1437" s="133"/>
      <c r="J1437" s="123"/>
      <c r="K1437" s="123"/>
      <c r="L1437" s="123"/>
    </row>
    <row r="1438" spans="7:12" s="122" customFormat="1">
      <c r="G1438" s="133"/>
      <c r="J1438" s="123"/>
      <c r="K1438" s="123"/>
      <c r="L1438" s="123"/>
    </row>
    <row r="1439" spans="7:12" s="122" customFormat="1">
      <c r="G1439" s="133"/>
      <c r="J1439" s="123"/>
      <c r="K1439" s="123"/>
      <c r="L1439" s="123"/>
    </row>
    <row r="1440" spans="7:12" s="122" customFormat="1">
      <c r="G1440" s="133"/>
      <c r="J1440" s="123"/>
      <c r="K1440" s="123"/>
      <c r="L1440" s="123"/>
    </row>
    <row r="1441" spans="7:12" s="122" customFormat="1">
      <c r="G1441" s="133"/>
      <c r="J1441" s="123"/>
      <c r="K1441" s="123"/>
      <c r="L1441" s="123"/>
    </row>
    <row r="1442" spans="7:12" s="122" customFormat="1">
      <c r="G1442" s="133"/>
      <c r="J1442" s="123"/>
      <c r="K1442" s="123"/>
      <c r="L1442" s="123"/>
    </row>
    <row r="1443" spans="7:12" s="122" customFormat="1">
      <c r="G1443" s="133"/>
      <c r="J1443" s="123"/>
      <c r="K1443" s="123"/>
      <c r="L1443" s="123"/>
    </row>
    <row r="1444" spans="7:12" s="122" customFormat="1">
      <c r="G1444" s="133"/>
      <c r="J1444" s="123"/>
      <c r="K1444" s="123"/>
      <c r="L1444" s="123"/>
    </row>
    <row r="1445" spans="7:12" s="122" customFormat="1">
      <c r="G1445" s="133"/>
      <c r="J1445" s="123"/>
      <c r="K1445" s="123"/>
      <c r="L1445" s="123"/>
    </row>
    <row r="1446" spans="7:12" s="122" customFormat="1">
      <c r="G1446" s="133"/>
      <c r="J1446" s="123"/>
      <c r="K1446" s="123"/>
      <c r="L1446" s="123"/>
    </row>
    <row r="1447" spans="7:12" s="122" customFormat="1">
      <c r="G1447" s="133"/>
      <c r="J1447" s="123"/>
      <c r="K1447" s="123"/>
      <c r="L1447" s="123"/>
    </row>
    <row r="1448" spans="7:12" s="122" customFormat="1">
      <c r="G1448" s="133"/>
      <c r="J1448" s="123"/>
      <c r="K1448" s="123"/>
      <c r="L1448" s="123"/>
    </row>
    <row r="1449" spans="7:12" s="122" customFormat="1">
      <c r="G1449" s="133"/>
      <c r="J1449" s="123"/>
      <c r="K1449" s="123"/>
      <c r="L1449" s="123"/>
    </row>
    <row r="1450" spans="7:12" s="122" customFormat="1">
      <c r="G1450" s="133"/>
      <c r="J1450" s="123"/>
      <c r="K1450" s="123"/>
      <c r="L1450" s="123"/>
    </row>
    <row r="1451" spans="7:12" s="122" customFormat="1">
      <c r="G1451" s="133"/>
      <c r="J1451" s="123"/>
      <c r="K1451" s="123"/>
      <c r="L1451" s="123"/>
    </row>
    <row r="1452" spans="7:12" s="122" customFormat="1">
      <c r="G1452" s="133"/>
      <c r="J1452" s="123"/>
      <c r="K1452" s="123"/>
      <c r="L1452" s="123"/>
    </row>
    <row r="1453" spans="7:12" s="122" customFormat="1">
      <c r="G1453" s="133"/>
      <c r="J1453" s="123"/>
      <c r="K1453" s="123"/>
      <c r="L1453" s="123"/>
    </row>
    <row r="1454" spans="7:12" s="122" customFormat="1">
      <c r="G1454" s="133"/>
      <c r="J1454" s="123"/>
      <c r="K1454" s="123"/>
      <c r="L1454" s="123"/>
    </row>
    <row r="1455" spans="7:12" s="122" customFormat="1">
      <c r="G1455" s="133"/>
      <c r="J1455" s="123"/>
      <c r="K1455" s="123"/>
      <c r="L1455" s="123"/>
    </row>
    <row r="1456" spans="7:12" s="122" customFormat="1">
      <c r="G1456" s="133"/>
      <c r="J1456" s="123"/>
      <c r="K1456" s="123"/>
      <c r="L1456" s="123"/>
    </row>
    <row r="1457" spans="7:12" s="122" customFormat="1">
      <c r="G1457" s="133"/>
      <c r="J1457" s="123"/>
      <c r="K1457" s="123"/>
      <c r="L1457" s="123"/>
    </row>
    <row r="1458" spans="7:12" s="122" customFormat="1">
      <c r="G1458" s="133"/>
      <c r="J1458" s="123"/>
      <c r="K1458" s="123"/>
      <c r="L1458" s="123"/>
    </row>
    <row r="1459" spans="7:12" s="122" customFormat="1">
      <c r="G1459" s="133"/>
      <c r="J1459" s="123"/>
      <c r="K1459" s="123"/>
      <c r="L1459" s="123"/>
    </row>
    <row r="1460" spans="7:12" s="122" customFormat="1">
      <c r="G1460" s="133"/>
      <c r="J1460" s="123"/>
      <c r="K1460" s="123"/>
      <c r="L1460" s="123"/>
    </row>
    <row r="1461" spans="7:12" s="122" customFormat="1">
      <c r="G1461" s="133"/>
      <c r="J1461" s="123"/>
      <c r="K1461" s="123"/>
      <c r="L1461" s="123"/>
    </row>
    <row r="1462" spans="7:12" s="122" customFormat="1">
      <c r="G1462" s="133"/>
      <c r="J1462" s="123"/>
      <c r="K1462" s="123"/>
      <c r="L1462" s="123"/>
    </row>
    <row r="1463" spans="7:12" s="122" customFormat="1">
      <c r="G1463" s="133"/>
      <c r="J1463" s="123"/>
      <c r="K1463" s="123"/>
      <c r="L1463" s="123"/>
    </row>
    <row r="1464" spans="7:12" s="122" customFormat="1">
      <c r="G1464" s="133"/>
      <c r="J1464" s="123"/>
      <c r="K1464" s="123"/>
      <c r="L1464" s="123"/>
    </row>
    <row r="1465" spans="7:12" s="122" customFormat="1">
      <c r="G1465" s="133"/>
      <c r="J1465" s="123"/>
      <c r="K1465" s="123"/>
      <c r="L1465" s="123"/>
    </row>
    <row r="1466" spans="7:12" s="122" customFormat="1">
      <c r="G1466" s="133"/>
      <c r="J1466" s="123"/>
      <c r="K1466" s="123"/>
      <c r="L1466" s="123"/>
    </row>
    <row r="1467" spans="7:12" s="122" customFormat="1">
      <c r="G1467" s="133"/>
      <c r="J1467" s="123"/>
      <c r="K1467" s="123"/>
      <c r="L1467" s="123"/>
    </row>
    <row r="1468" spans="7:12" s="122" customFormat="1">
      <c r="G1468" s="133"/>
      <c r="J1468" s="123"/>
      <c r="K1468" s="123"/>
      <c r="L1468" s="123"/>
    </row>
    <row r="1469" spans="7:12" s="122" customFormat="1">
      <c r="G1469" s="133"/>
      <c r="J1469" s="123"/>
      <c r="K1469" s="123"/>
      <c r="L1469" s="123"/>
    </row>
    <row r="1470" spans="7:12" s="122" customFormat="1">
      <c r="G1470" s="133"/>
      <c r="J1470" s="123"/>
      <c r="K1470" s="123"/>
      <c r="L1470" s="123"/>
    </row>
    <row r="1471" spans="7:12" s="122" customFormat="1">
      <c r="G1471" s="133"/>
      <c r="J1471" s="123"/>
      <c r="K1471" s="123"/>
      <c r="L1471" s="123"/>
    </row>
    <row r="1472" spans="7:12" s="122" customFormat="1">
      <c r="G1472" s="133"/>
      <c r="J1472" s="123"/>
      <c r="K1472" s="123"/>
      <c r="L1472" s="123"/>
    </row>
    <row r="1473" spans="7:12" s="122" customFormat="1">
      <c r="G1473" s="133"/>
      <c r="J1473" s="123"/>
      <c r="K1473" s="123"/>
      <c r="L1473" s="123"/>
    </row>
    <row r="1474" spans="7:12" s="122" customFormat="1">
      <c r="G1474" s="133"/>
      <c r="J1474" s="123"/>
      <c r="K1474" s="123"/>
      <c r="L1474" s="123"/>
    </row>
    <row r="1475" spans="7:12" s="122" customFormat="1">
      <c r="G1475" s="133"/>
      <c r="J1475" s="123"/>
      <c r="K1475" s="123"/>
      <c r="L1475" s="123"/>
    </row>
    <row r="1476" spans="7:12" s="122" customFormat="1">
      <c r="G1476" s="133"/>
      <c r="J1476" s="123"/>
      <c r="K1476" s="123"/>
      <c r="L1476" s="123"/>
    </row>
    <row r="1477" spans="7:12" s="122" customFormat="1">
      <c r="G1477" s="133"/>
      <c r="J1477" s="123"/>
      <c r="K1477" s="123"/>
      <c r="L1477" s="123"/>
    </row>
    <row r="1478" spans="7:12" s="122" customFormat="1">
      <c r="G1478" s="133"/>
      <c r="J1478" s="123"/>
      <c r="K1478" s="123"/>
      <c r="L1478" s="123"/>
    </row>
    <row r="1479" spans="7:12" s="122" customFormat="1">
      <c r="G1479" s="133"/>
      <c r="J1479" s="123"/>
      <c r="K1479" s="123"/>
      <c r="L1479" s="123"/>
    </row>
    <row r="1480" spans="7:12" s="122" customFormat="1">
      <c r="G1480" s="133"/>
      <c r="J1480" s="123"/>
      <c r="K1480" s="123"/>
      <c r="L1480" s="123"/>
    </row>
    <row r="1481" spans="7:12" s="122" customFormat="1">
      <c r="G1481" s="133"/>
      <c r="J1481" s="123"/>
      <c r="K1481" s="123"/>
      <c r="L1481" s="123"/>
    </row>
    <row r="1482" spans="7:12" s="122" customFormat="1">
      <c r="G1482" s="133"/>
      <c r="J1482" s="123"/>
      <c r="K1482" s="123"/>
      <c r="L1482" s="123"/>
    </row>
    <row r="1483" spans="7:12" s="122" customFormat="1">
      <c r="G1483" s="133"/>
      <c r="J1483" s="123"/>
      <c r="K1483" s="123"/>
      <c r="L1483" s="123"/>
    </row>
    <row r="1484" spans="7:12" s="122" customFormat="1">
      <c r="G1484" s="133"/>
      <c r="J1484" s="123"/>
      <c r="K1484" s="123"/>
      <c r="L1484" s="123"/>
    </row>
    <row r="1485" spans="7:12" s="122" customFormat="1">
      <c r="G1485" s="133"/>
      <c r="J1485" s="123"/>
      <c r="K1485" s="123"/>
      <c r="L1485" s="123"/>
    </row>
    <row r="1486" spans="7:12" s="122" customFormat="1">
      <c r="G1486" s="133"/>
      <c r="J1486" s="123"/>
      <c r="K1486" s="123"/>
      <c r="L1486" s="123"/>
    </row>
    <row r="1487" spans="7:12" s="122" customFormat="1">
      <c r="G1487" s="133"/>
      <c r="J1487" s="123"/>
      <c r="K1487" s="123"/>
      <c r="L1487" s="123"/>
    </row>
    <row r="1488" spans="7:12" s="122" customFormat="1">
      <c r="G1488" s="133"/>
      <c r="J1488" s="123"/>
      <c r="K1488" s="123"/>
      <c r="L1488" s="123"/>
    </row>
    <row r="1489" spans="7:12" s="122" customFormat="1">
      <c r="G1489" s="133"/>
      <c r="J1489" s="123"/>
      <c r="K1489" s="123"/>
      <c r="L1489" s="123"/>
    </row>
    <row r="1490" spans="7:12" s="122" customFormat="1">
      <c r="G1490" s="133"/>
      <c r="J1490" s="123"/>
      <c r="K1490" s="123"/>
      <c r="L1490" s="123"/>
    </row>
    <row r="1491" spans="7:12" s="122" customFormat="1">
      <c r="G1491" s="133"/>
      <c r="J1491" s="123"/>
      <c r="K1491" s="123"/>
      <c r="L1491" s="123"/>
    </row>
    <row r="1492" spans="7:12" s="122" customFormat="1">
      <c r="G1492" s="133"/>
      <c r="J1492" s="123"/>
      <c r="K1492" s="123"/>
      <c r="L1492" s="123"/>
    </row>
    <row r="1493" spans="7:12" s="122" customFormat="1">
      <c r="G1493" s="133"/>
      <c r="J1493" s="123"/>
      <c r="K1493" s="123"/>
      <c r="L1493" s="123"/>
    </row>
    <row r="1494" spans="7:12" s="122" customFormat="1">
      <c r="G1494" s="133"/>
      <c r="J1494" s="123"/>
      <c r="K1494" s="123"/>
      <c r="L1494" s="123"/>
    </row>
    <row r="1495" spans="7:12" s="122" customFormat="1">
      <c r="G1495" s="133"/>
      <c r="J1495" s="123"/>
      <c r="K1495" s="123"/>
      <c r="L1495" s="123"/>
    </row>
    <row r="1496" spans="7:12" s="122" customFormat="1">
      <c r="G1496" s="133"/>
      <c r="J1496" s="123"/>
      <c r="K1496" s="123"/>
      <c r="L1496" s="123"/>
    </row>
    <row r="1497" spans="7:12" s="122" customFormat="1">
      <c r="G1497" s="133"/>
      <c r="J1497" s="123"/>
      <c r="K1497" s="123"/>
      <c r="L1497" s="123"/>
    </row>
    <row r="1498" spans="7:12" s="122" customFormat="1">
      <c r="G1498" s="133"/>
      <c r="J1498" s="123"/>
      <c r="K1498" s="123"/>
      <c r="L1498" s="123"/>
    </row>
    <row r="1499" spans="7:12" s="122" customFormat="1">
      <c r="G1499" s="133"/>
      <c r="J1499" s="123"/>
      <c r="K1499" s="123"/>
      <c r="L1499" s="123"/>
    </row>
    <row r="1500" spans="7:12" s="122" customFormat="1">
      <c r="G1500" s="133"/>
      <c r="J1500" s="123"/>
      <c r="K1500" s="123"/>
      <c r="L1500" s="123"/>
    </row>
    <row r="1501" spans="7:12" s="122" customFormat="1">
      <c r="G1501" s="133"/>
      <c r="J1501" s="123"/>
      <c r="K1501" s="123"/>
      <c r="L1501" s="123"/>
    </row>
    <row r="1502" spans="7:12" s="122" customFormat="1">
      <c r="G1502" s="133"/>
      <c r="J1502" s="123"/>
      <c r="K1502" s="123"/>
      <c r="L1502" s="123"/>
    </row>
    <row r="1503" spans="7:12" s="122" customFormat="1">
      <c r="G1503" s="133"/>
      <c r="J1503" s="123"/>
      <c r="K1503" s="123"/>
      <c r="L1503" s="123"/>
    </row>
    <row r="1504" spans="7:12" s="122" customFormat="1">
      <c r="G1504" s="133"/>
      <c r="J1504" s="123"/>
      <c r="K1504" s="123"/>
      <c r="L1504" s="123"/>
    </row>
    <row r="1505" spans="7:12" s="122" customFormat="1">
      <c r="G1505" s="133"/>
      <c r="J1505" s="123"/>
      <c r="K1505" s="123"/>
      <c r="L1505" s="123"/>
    </row>
    <row r="1506" spans="7:12" s="122" customFormat="1">
      <c r="G1506" s="133"/>
      <c r="J1506" s="123"/>
      <c r="K1506" s="123"/>
      <c r="L1506" s="123"/>
    </row>
    <row r="1507" spans="7:12" s="122" customFormat="1">
      <c r="G1507" s="133"/>
      <c r="J1507" s="123"/>
      <c r="K1507" s="123"/>
      <c r="L1507" s="123"/>
    </row>
    <row r="1508" spans="7:12" s="122" customFormat="1">
      <c r="G1508" s="133"/>
      <c r="J1508" s="123"/>
      <c r="K1508" s="123"/>
      <c r="L1508" s="123"/>
    </row>
    <row r="1509" spans="7:12" s="122" customFormat="1">
      <c r="G1509" s="133"/>
      <c r="J1509" s="123"/>
      <c r="K1509" s="123"/>
      <c r="L1509" s="123"/>
    </row>
    <row r="1510" spans="7:12" s="122" customFormat="1">
      <c r="G1510" s="133"/>
      <c r="J1510" s="123"/>
      <c r="K1510" s="123"/>
      <c r="L1510" s="123"/>
    </row>
    <row r="1511" spans="7:12" s="122" customFormat="1">
      <c r="G1511" s="133"/>
      <c r="J1511" s="123"/>
      <c r="K1511" s="123"/>
      <c r="L1511" s="123"/>
    </row>
    <row r="1512" spans="7:12" s="122" customFormat="1">
      <c r="G1512" s="133"/>
      <c r="J1512" s="123"/>
      <c r="K1512" s="123"/>
      <c r="L1512" s="123"/>
    </row>
    <row r="1513" spans="7:12" s="122" customFormat="1">
      <c r="G1513" s="133"/>
      <c r="J1513" s="123"/>
      <c r="K1513" s="123"/>
      <c r="L1513" s="123"/>
    </row>
    <row r="1514" spans="7:12" s="122" customFormat="1">
      <c r="G1514" s="133"/>
      <c r="J1514" s="123"/>
      <c r="K1514" s="123"/>
      <c r="L1514" s="123"/>
    </row>
    <row r="1515" spans="7:12" s="122" customFormat="1">
      <c r="G1515" s="133"/>
      <c r="J1515" s="123"/>
      <c r="K1515" s="123"/>
      <c r="L1515" s="123"/>
    </row>
    <row r="1516" spans="7:12" s="122" customFormat="1">
      <c r="G1516" s="133"/>
      <c r="J1516" s="123"/>
      <c r="K1516" s="123"/>
      <c r="L1516" s="123"/>
    </row>
    <row r="1517" spans="7:12" s="122" customFormat="1">
      <c r="G1517" s="133"/>
      <c r="J1517" s="123"/>
      <c r="K1517" s="123"/>
      <c r="L1517" s="123"/>
    </row>
    <row r="1518" spans="7:12" s="122" customFormat="1">
      <c r="G1518" s="133"/>
      <c r="J1518" s="123"/>
      <c r="K1518" s="123"/>
      <c r="L1518" s="123"/>
    </row>
    <row r="1519" spans="7:12" s="122" customFormat="1">
      <c r="G1519" s="133"/>
      <c r="J1519" s="123"/>
      <c r="K1519" s="123"/>
      <c r="L1519" s="123"/>
    </row>
    <row r="1520" spans="7:12" s="122" customFormat="1">
      <c r="G1520" s="133"/>
      <c r="J1520" s="123"/>
      <c r="K1520" s="123"/>
      <c r="L1520" s="123"/>
    </row>
    <row r="1521" spans="7:12" s="122" customFormat="1">
      <c r="G1521" s="133"/>
      <c r="J1521" s="123"/>
      <c r="K1521" s="123"/>
      <c r="L1521" s="123"/>
    </row>
    <row r="1522" spans="7:12" s="122" customFormat="1">
      <c r="G1522" s="133"/>
      <c r="J1522" s="123"/>
      <c r="K1522" s="123"/>
      <c r="L1522" s="123"/>
    </row>
    <row r="1523" spans="7:12" s="122" customFormat="1">
      <c r="G1523" s="133"/>
      <c r="J1523" s="123"/>
      <c r="K1523" s="123"/>
      <c r="L1523" s="123"/>
    </row>
    <row r="1524" spans="7:12" s="122" customFormat="1">
      <c r="G1524" s="133"/>
      <c r="J1524" s="123"/>
      <c r="K1524" s="123"/>
      <c r="L1524" s="123"/>
    </row>
    <row r="1525" spans="7:12" s="122" customFormat="1">
      <c r="G1525" s="133"/>
      <c r="J1525" s="123"/>
      <c r="K1525" s="123"/>
      <c r="L1525" s="123"/>
    </row>
    <row r="1526" spans="7:12" s="122" customFormat="1">
      <c r="G1526" s="133"/>
      <c r="J1526" s="123"/>
      <c r="K1526" s="123"/>
      <c r="L1526" s="123"/>
    </row>
    <row r="1527" spans="7:12" s="122" customFormat="1">
      <c r="G1527" s="133"/>
      <c r="J1527" s="123"/>
      <c r="K1527" s="123"/>
      <c r="L1527" s="123"/>
    </row>
    <row r="1528" spans="7:12" s="122" customFormat="1">
      <c r="G1528" s="133"/>
      <c r="J1528" s="123"/>
      <c r="K1528" s="123"/>
      <c r="L1528" s="123"/>
    </row>
    <row r="1529" spans="7:12" s="122" customFormat="1">
      <c r="G1529" s="133"/>
      <c r="J1529" s="123"/>
      <c r="K1529" s="123"/>
      <c r="L1529" s="123"/>
    </row>
    <row r="1530" spans="7:12" s="122" customFormat="1">
      <c r="G1530" s="133"/>
      <c r="J1530" s="123"/>
      <c r="K1530" s="123"/>
      <c r="L1530" s="123"/>
    </row>
    <row r="1531" spans="7:12" s="122" customFormat="1">
      <c r="G1531" s="133"/>
      <c r="J1531" s="123"/>
      <c r="K1531" s="123"/>
      <c r="L1531" s="123"/>
    </row>
    <row r="1532" spans="7:12" s="122" customFormat="1">
      <c r="G1532" s="133"/>
      <c r="J1532" s="123"/>
      <c r="K1532" s="123"/>
      <c r="L1532" s="123"/>
    </row>
    <row r="1533" spans="7:12" s="122" customFormat="1">
      <c r="G1533" s="133"/>
      <c r="J1533" s="123"/>
      <c r="K1533" s="123"/>
      <c r="L1533" s="123"/>
    </row>
    <row r="1534" spans="7:12" s="122" customFormat="1">
      <c r="G1534" s="133"/>
      <c r="J1534" s="123"/>
      <c r="K1534" s="123"/>
      <c r="L1534" s="123"/>
    </row>
    <row r="1535" spans="7:12" s="122" customFormat="1">
      <c r="G1535" s="133"/>
      <c r="J1535" s="123"/>
      <c r="K1535" s="123"/>
      <c r="L1535" s="123"/>
    </row>
    <row r="1536" spans="7:12" s="122" customFormat="1">
      <c r="G1536" s="133"/>
      <c r="J1536" s="123"/>
      <c r="K1536" s="123"/>
      <c r="L1536" s="123"/>
    </row>
    <row r="1537" spans="7:12" s="122" customFormat="1">
      <c r="G1537" s="133"/>
      <c r="J1537" s="123"/>
      <c r="K1537" s="123"/>
      <c r="L1537" s="123"/>
    </row>
    <row r="1538" spans="7:12" s="122" customFormat="1">
      <c r="G1538" s="133"/>
      <c r="J1538" s="123"/>
      <c r="K1538" s="123"/>
      <c r="L1538" s="123"/>
    </row>
    <row r="1539" spans="7:12" s="122" customFormat="1">
      <c r="G1539" s="133"/>
      <c r="J1539" s="123"/>
      <c r="K1539" s="123"/>
      <c r="L1539" s="123"/>
    </row>
    <row r="1540" spans="7:12" s="122" customFormat="1">
      <c r="G1540" s="133"/>
      <c r="J1540" s="123"/>
      <c r="K1540" s="123"/>
      <c r="L1540" s="123"/>
    </row>
    <row r="1541" spans="7:12" s="122" customFormat="1">
      <c r="G1541" s="133"/>
      <c r="J1541" s="123"/>
      <c r="K1541" s="123"/>
      <c r="L1541" s="123"/>
    </row>
    <row r="1542" spans="7:12" s="122" customFormat="1">
      <c r="G1542" s="133"/>
      <c r="J1542" s="123"/>
      <c r="K1542" s="123"/>
      <c r="L1542" s="123"/>
    </row>
    <row r="1543" spans="7:12" s="122" customFormat="1">
      <c r="G1543" s="133"/>
      <c r="J1543" s="123"/>
      <c r="K1543" s="123"/>
      <c r="L1543" s="123"/>
    </row>
    <row r="1544" spans="7:12" s="122" customFormat="1">
      <c r="G1544" s="133"/>
      <c r="J1544" s="123"/>
      <c r="K1544" s="123"/>
      <c r="L1544" s="123"/>
    </row>
    <row r="1545" spans="7:12" s="122" customFormat="1">
      <c r="G1545" s="133"/>
      <c r="J1545" s="123"/>
      <c r="K1545" s="123"/>
      <c r="L1545" s="123"/>
    </row>
    <row r="1546" spans="7:12" s="122" customFormat="1">
      <c r="G1546" s="133"/>
      <c r="J1546" s="123"/>
      <c r="K1546" s="123"/>
      <c r="L1546" s="123"/>
    </row>
    <row r="1547" spans="7:12" s="122" customFormat="1">
      <c r="G1547" s="133"/>
      <c r="J1547" s="123"/>
      <c r="K1547" s="123"/>
      <c r="L1547" s="123"/>
    </row>
    <row r="1548" spans="7:12" s="122" customFormat="1">
      <c r="G1548" s="133"/>
      <c r="J1548" s="123"/>
      <c r="K1548" s="123"/>
      <c r="L1548" s="123"/>
    </row>
    <row r="1549" spans="7:12" s="122" customFormat="1">
      <c r="G1549" s="133"/>
      <c r="J1549" s="123"/>
      <c r="K1549" s="123"/>
      <c r="L1549" s="123"/>
    </row>
    <row r="1550" spans="7:12" s="122" customFormat="1">
      <c r="G1550" s="133"/>
      <c r="J1550" s="123"/>
      <c r="K1550" s="123"/>
      <c r="L1550" s="123"/>
    </row>
    <row r="1551" spans="7:12" s="122" customFormat="1">
      <c r="G1551" s="133"/>
      <c r="J1551" s="123"/>
      <c r="K1551" s="123"/>
      <c r="L1551" s="123"/>
    </row>
    <row r="1552" spans="7:12" s="122" customFormat="1">
      <c r="G1552" s="133"/>
      <c r="J1552" s="123"/>
      <c r="K1552" s="123"/>
      <c r="L1552" s="123"/>
    </row>
    <row r="1553" spans="7:12" s="122" customFormat="1">
      <c r="G1553" s="133"/>
      <c r="J1553" s="123"/>
      <c r="K1553" s="123"/>
      <c r="L1553" s="123"/>
    </row>
    <row r="1554" spans="7:12" s="122" customFormat="1">
      <c r="G1554" s="133"/>
      <c r="J1554" s="123"/>
      <c r="K1554" s="123"/>
      <c r="L1554" s="123"/>
    </row>
    <row r="1555" spans="7:12" s="122" customFormat="1">
      <c r="G1555" s="133"/>
      <c r="J1555" s="123"/>
      <c r="K1555" s="123"/>
      <c r="L1555" s="123"/>
    </row>
    <row r="1556" spans="7:12" s="122" customFormat="1">
      <c r="G1556" s="133"/>
      <c r="J1556" s="123"/>
      <c r="K1556" s="123"/>
      <c r="L1556" s="123"/>
    </row>
    <row r="1557" spans="7:12" s="122" customFormat="1">
      <c r="G1557" s="133"/>
      <c r="J1557" s="123"/>
      <c r="K1557" s="123"/>
      <c r="L1557" s="123"/>
    </row>
    <row r="1558" spans="7:12" s="122" customFormat="1">
      <c r="G1558" s="133"/>
      <c r="J1558" s="123"/>
      <c r="K1558" s="123"/>
      <c r="L1558" s="123"/>
    </row>
    <row r="1559" spans="7:12" s="122" customFormat="1">
      <c r="G1559" s="133"/>
      <c r="J1559" s="123"/>
      <c r="K1559" s="123"/>
      <c r="L1559" s="123"/>
    </row>
    <row r="1560" spans="7:12" s="122" customFormat="1">
      <c r="G1560" s="133"/>
      <c r="J1560" s="123"/>
      <c r="K1560" s="123"/>
      <c r="L1560" s="123"/>
    </row>
    <row r="1561" spans="7:12" s="122" customFormat="1">
      <c r="G1561" s="133"/>
      <c r="J1561" s="123"/>
      <c r="K1561" s="123"/>
      <c r="L1561" s="123"/>
    </row>
    <row r="1562" spans="7:12" s="122" customFormat="1">
      <c r="G1562" s="133"/>
      <c r="J1562" s="123"/>
      <c r="K1562" s="123"/>
      <c r="L1562" s="123"/>
    </row>
    <row r="1563" spans="7:12" s="122" customFormat="1">
      <c r="G1563" s="133"/>
      <c r="J1563" s="123"/>
      <c r="K1563" s="123"/>
      <c r="L1563" s="123"/>
    </row>
    <row r="1564" spans="7:12" s="122" customFormat="1">
      <c r="G1564" s="133"/>
      <c r="J1564" s="123"/>
      <c r="K1564" s="123"/>
      <c r="L1564" s="123"/>
    </row>
    <row r="1565" spans="7:12" s="122" customFormat="1">
      <c r="G1565" s="133"/>
      <c r="J1565" s="123"/>
      <c r="K1565" s="123"/>
      <c r="L1565" s="123"/>
    </row>
    <row r="1566" spans="7:12" s="122" customFormat="1">
      <c r="G1566" s="133"/>
      <c r="J1566" s="123"/>
      <c r="K1566" s="123"/>
      <c r="L1566" s="123"/>
    </row>
    <row r="1567" spans="7:12" s="122" customFormat="1">
      <c r="G1567" s="133"/>
      <c r="J1567" s="123"/>
      <c r="K1567" s="123"/>
      <c r="L1567" s="123"/>
    </row>
    <row r="1568" spans="7:12" s="122" customFormat="1">
      <c r="G1568" s="133"/>
      <c r="J1568" s="123"/>
      <c r="K1568" s="123"/>
      <c r="L1568" s="123"/>
    </row>
    <row r="1569" spans="7:12" s="122" customFormat="1">
      <c r="G1569" s="133"/>
      <c r="J1569" s="123"/>
      <c r="K1569" s="123"/>
      <c r="L1569" s="123"/>
    </row>
    <row r="1570" spans="7:12" s="122" customFormat="1">
      <c r="G1570" s="133"/>
      <c r="J1570" s="123"/>
      <c r="K1570" s="123"/>
      <c r="L1570" s="123"/>
    </row>
    <row r="1571" spans="7:12" s="122" customFormat="1">
      <c r="G1571" s="133"/>
      <c r="J1571" s="123"/>
      <c r="K1571" s="123"/>
      <c r="L1571" s="123"/>
    </row>
    <row r="1572" spans="7:12" s="122" customFormat="1">
      <c r="G1572" s="133"/>
      <c r="J1572" s="123"/>
      <c r="K1572" s="123"/>
      <c r="L1572" s="123"/>
    </row>
    <row r="1573" spans="7:12" s="122" customFormat="1">
      <c r="G1573" s="133"/>
      <c r="J1573" s="123"/>
      <c r="K1573" s="123"/>
      <c r="L1573" s="123"/>
    </row>
    <row r="1574" spans="7:12" s="122" customFormat="1">
      <c r="G1574" s="133"/>
      <c r="J1574" s="123"/>
      <c r="K1574" s="123"/>
      <c r="L1574" s="123"/>
    </row>
    <row r="1575" spans="7:12" s="122" customFormat="1">
      <c r="G1575" s="133"/>
      <c r="J1575" s="123"/>
      <c r="K1575" s="123"/>
      <c r="L1575" s="123"/>
    </row>
    <row r="1576" spans="7:12" s="122" customFormat="1">
      <c r="G1576" s="133"/>
      <c r="J1576" s="123"/>
      <c r="K1576" s="123"/>
      <c r="L1576" s="123"/>
    </row>
    <row r="1577" spans="7:12" s="122" customFormat="1">
      <c r="G1577" s="133"/>
      <c r="J1577" s="123"/>
      <c r="K1577" s="123"/>
      <c r="L1577" s="123"/>
    </row>
    <row r="1578" spans="7:12" s="122" customFormat="1">
      <c r="G1578" s="133"/>
      <c r="J1578" s="123"/>
      <c r="K1578" s="123"/>
      <c r="L1578" s="123"/>
    </row>
    <row r="1579" spans="7:12" s="122" customFormat="1">
      <c r="G1579" s="133"/>
      <c r="J1579" s="123"/>
      <c r="K1579" s="123"/>
      <c r="L1579" s="123"/>
    </row>
    <row r="1580" spans="7:12" s="122" customFormat="1">
      <c r="G1580" s="133"/>
      <c r="J1580" s="123"/>
      <c r="K1580" s="123"/>
      <c r="L1580" s="123"/>
    </row>
    <row r="1581" spans="7:12" s="122" customFormat="1">
      <c r="G1581" s="133"/>
      <c r="J1581" s="123"/>
      <c r="K1581" s="123"/>
      <c r="L1581" s="123"/>
    </row>
    <row r="1582" spans="7:12" s="122" customFormat="1">
      <c r="G1582" s="133"/>
      <c r="J1582" s="123"/>
      <c r="K1582" s="123"/>
      <c r="L1582" s="123"/>
    </row>
    <row r="1583" spans="7:12" s="122" customFormat="1">
      <c r="G1583" s="133"/>
      <c r="J1583" s="123"/>
      <c r="K1583" s="123"/>
      <c r="L1583" s="123"/>
    </row>
    <row r="1584" spans="7:12" s="122" customFormat="1">
      <c r="G1584" s="133"/>
      <c r="J1584" s="123"/>
      <c r="K1584" s="123"/>
      <c r="L1584" s="123"/>
    </row>
    <row r="1585" spans="7:12" s="122" customFormat="1">
      <c r="G1585" s="133"/>
      <c r="J1585" s="123"/>
      <c r="K1585" s="123"/>
      <c r="L1585" s="123"/>
    </row>
    <row r="1586" spans="7:12" s="122" customFormat="1">
      <c r="G1586" s="133"/>
      <c r="J1586" s="123"/>
      <c r="K1586" s="123"/>
      <c r="L1586" s="123"/>
    </row>
    <row r="1587" spans="7:12" s="122" customFormat="1">
      <c r="G1587" s="133"/>
      <c r="J1587" s="123"/>
      <c r="K1587" s="123"/>
      <c r="L1587" s="123"/>
    </row>
    <row r="1588" spans="7:12" s="122" customFormat="1">
      <c r="G1588" s="133"/>
      <c r="J1588" s="123"/>
      <c r="K1588" s="123"/>
      <c r="L1588" s="123"/>
    </row>
    <row r="1589" spans="7:12" s="122" customFormat="1">
      <c r="G1589" s="133"/>
      <c r="J1589" s="123"/>
      <c r="K1589" s="123"/>
      <c r="L1589" s="123"/>
    </row>
    <row r="1590" spans="7:12" s="122" customFormat="1">
      <c r="G1590" s="133"/>
      <c r="J1590" s="123"/>
      <c r="K1590" s="123"/>
      <c r="L1590" s="123"/>
    </row>
    <row r="1591" spans="7:12" s="122" customFormat="1">
      <c r="G1591" s="133"/>
      <c r="J1591" s="123"/>
      <c r="K1591" s="123"/>
      <c r="L1591" s="123"/>
    </row>
    <row r="1592" spans="7:12" s="122" customFormat="1">
      <c r="G1592" s="133"/>
      <c r="J1592" s="123"/>
      <c r="K1592" s="123"/>
      <c r="L1592" s="123"/>
    </row>
    <row r="1593" spans="7:12" s="122" customFormat="1">
      <c r="G1593" s="133"/>
      <c r="J1593" s="123"/>
      <c r="K1593" s="123"/>
      <c r="L1593" s="123"/>
    </row>
    <row r="1594" spans="7:12" s="122" customFormat="1">
      <c r="G1594" s="133"/>
      <c r="J1594" s="123"/>
      <c r="K1594" s="123"/>
      <c r="L1594" s="123"/>
    </row>
    <row r="1595" spans="7:12" s="122" customFormat="1">
      <c r="G1595" s="133"/>
      <c r="J1595" s="123"/>
      <c r="K1595" s="123"/>
      <c r="L1595" s="123"/>
    </row>
    <row r="1596" spans="7:12" s="122" customFormat="1">
      <c r="G1596" s="133"/>
      <c r="J1596" s="123"/>
      <c r="K1596" s="123"/>
      <c r="L1596" s="123"/>
    </row>
    <row r="1597" spans="7:12" s="122" customFormat="1">
      <c r="G1597" s="133"/>
      <c r="J1597" s="123"/>
      <c r="K1597" s="123"/>
      <c r="L1597" s="123"/>
    </row>
    <row r="1598" spans="7:12" s="122" customFormat="1">
      <c r="G1598" s="133"/>
      <c r="J1598" s="123"/>
      <c r="K1598" s="123"/>
      <c r="L1598" s="123"/>
    </row>
    <row r="1599" spans="7:12" s="122" customFormat="1">
      <c r="G1599" s="133"/>
      <c r="J1599" s="123"/>
      <c r="K1599" s="123"/>
      <c r="L1599" s="123"/>
    </row>
    <row r="1600" spans="7:12" s="122" customFormat="1">
      <c r="G1600" s="133"/>
      <c r="J1600" s="123"/>
      <c r="K1600" s="123"/>
      <c r="L1600" s="123"/>
    </row>
    <row r="1601" spans="7:12" s="122" customFormat="1">
      <c r="G1601" s="133"/>
      <c r="J1601" s="123"/>
      <c r="K1601" s="123"/>
      <c r="L1601" s="123"/>
    </row>
    <row r="1602" spans="7:12" s="122" customFormat="1">
      <c r="G1602" s="133"/>
      <c r="J1602" s="123"/>
      <c r="K1602" s="123"/>
      <c r="L1602" s="123"/>
    </row>
    <row r="1603" spans="7:12" s="122" customFormat="1">
      <c r="G1603" s="133"/>
      <c r="J1603" s="123"/>
      <c r="K1603" s="123"/>
      <c r="L1603" s="123"/>
    </row>
    <row r="1604" spans="7:12" s="122" customFormat="1">
      <c r="G1604" s="133"/>
      <c r="J1604" s="123"/>
      <c r="K1604" s="123"/>
      <c r="L1604" s="123"/>
    </row>
    <row r="1605" spans="7:12" s="122" customFormat="1">
      <c r="G1605" s="133"/>
      <c r="J1605" s="123"/>
      <c r="K1605" s="123"/>
      <c r="L1605" s="123"/>
    </row>
    <row r="1606" spans="7:12" s="122" customFormat="1">
      <c r="G1606" s="133"/>
      <c r="J1606" s="123"/>
      <c r="K1606" s="123"/>
      <c r="L1606" s="123"/>
    </row>
    <row r="1607" spans="7:12" s="122" customFormat="1">
      <c r="G1607" s="133"/>
      <c r="J1607" s="123"/>
      <c r="K1607" s="123"/>
      <c r="L1607" s="123"/>
    </row>
    <row r="1608" spans="7:12" s="122" customFormat="1">
      <c r="G1608" s="133"/>
      <c r="J1608" s="123"/>
      <c r="K1608" s="123"/>
      <c r="L1608" s="123"/>
    </row>
    <row r="1609" spans="7:12" s="122" customFormat="1">
      <c r="G1609" s="133"/>
      <c r="J1609" s="123"/>
      <c r="K1609" s="123"/>
      <c r="L1609" s="123"/>
    </row>
    <row r="1610" spans="7:12" s="122" customFormat="1">
      <c r="G1610" s="133"/>
      <c r="J1610" s="123"/>
      <c r="K1610" s="123"/>
      <c r="L1610" s="123"/>
    </row>
    <row r="1611" spans="7:12" s="122" customFormat="1">
      <c r="G1611" s="133"/>
      <c r="J1611" s="123"/>
      <c r="K1611" s="123"/>
      <c r="L1611" s="123"/>
    </row>
    <row r="1612" spans="7:12" s="122" customFormat="1">
      <c r="G1612" s="133"/>
      <c r="J1612" s="123"/>
      <c r="K1612" s="123"/>
      <c r="L1612" s="123"/>
    </row>
    <row r="1613" spans="7:12" s="122" customFormat="1">
      <c r="G1613" s="133"/>
      <c r="J1613" s="123"/>
      <c r="K1613" s="123"/>
      <c r="L1613" s="123"/>
    </row>
    <row r="1614" spans="7:12" s="122" customFormat="1">
      <c r="G1614" s="133"/>
      <c r="J1614" s="123"/>
      <c r="K1614" s="123"/>
      <c r="L1614" s="123"/>
    </row>
    <row r="1615" spans="7:12" s="122" customFormat="1">
      <c r="G1615" s="133"/>
      <c r="J1615" s="123"/>
      <c r="K1615" s="123"/>
      <c r="L1615" s="123"/>
    </row>
    <row r="1616" spans="7:12" s="122" customFormat="1">
      <c r="G1616" s="133"/>
      <c r="J1616" s="123"/>
      <c r="K1616" s="123"/>
      <c r="L1616" s="123"/>
    </row>
    <row r="1617" spans="7:12" s="122" customFormat="1">
      <c r="G1617" s="133"/>
      <c r="J1617" s="123"/>
      <c r="K1617" s="123"/>
      <c r="L1617" s="123"/>
    </row>
    <row r="1618" spans="7:12" s="122" customFormat="1">
      <c r="G1618" s="133"/>
      <c r="J1618" s="123"/>
      <c r="K1618" s="123"/>
      <c r="L1618" s="123"/>
    </row>
    <row r="1619" spans="7:12" s="122" customFormat="1">
      <c r="G1619" s="133"/>
      <c r="J1619" s="123"/>
      <c r="K1619" s="123"/>
      <c r="L1619" s="123"/>
    </row>
    <row r="1620" spans="7:12" s="122" customFormat="1">
      <c r="G1620" s="133"/>
      <c r="J1620" s="123"/>
      <c r="K1620" s="123"/>
      <c r="L1620" s="123"/>
    </row>
    <row r="1621" spans="7:12" s="122" customFormat="1">
      <c r="G1621" s="133"/>
      <c r="J1621" s="123"/>
      <c r="K1621" s="123"/>
      <c r="L1621" s="123"/>
    </row>
    <row r="1622" spans="7:12" s="122" customFormat="1">
      <c r="G1622" s="133"/>
      <c r="J1622" s="123"/>
      <c r="K1622" s="123"/>
      <c r="L1622" s="123"/>
    </row>
    <row r="1623" spans="7:12" s="122" customFormat="1">
      <c r="G1623" s="133"/>
      <c r="J1623" s="123"/>
      <c r="K1623" s="123"/>
      <c r="L1623" s="123"/>
    </row>
    <row r="1624" spans="7:12" s="122" customFormat="1">
      <c r="G1624" s="133"/>
      <c r="J1624" s="123"/>
      <c r="K1624" s="123"/>
      <c r="L1624" s="123"/>
    </row>
    <row r="1625" spans="7:12" s="122" customFormat="1">
      <c r="G1625" s="133"/>
      <c r="J1625" s="123"/>
      <c r="K1625" s="123"/>
      <c r="L1625" s="123"/>
    </row>
    <row r="1626" spans="7:12" s="122" customFormat="1">
      <c r="G1626" s="133"/>
      <c r="J1626" s="123"/>
      <c r="K1626" s="123"/>
      <c r="L1626" s="123"/>
    </row>
    <row r="1627" spans="7:12" s="122" customFormat="1">
      <c r="G1627" s="133"/>
      <c r="J1627" s="123"/>
      <c r="K1627" s="123"/>
      <c r="L1627" s="123"/>
    </row>
    <row r="1628" spans="7:12" s="122" customFormat="1">
      <c r="G1628" s="133"/>
      <c r="J1628" s="123"/>
      <c r="K1628" s="123"/>
      <c r="L1628" s="123"/>
    </row>
    <row r="1629" spans="7:12" s="122" customFormat="1">
      <c r="G1629" s="133"/>
      <c r="J1629" s="123"/>
      <c r="K1629" s="123"/>
      <c r="L1629" s="123"/>
    </row>
    <row r="1630" spans="7:12" s="122" customFormat="1">
      <c r="G1630" s="133"/>
      <c r="J1630" s="123"/>
      <c r="K1630" s="123"/>
      <c r="L1630" s="123"/>
    </row>
    <row r="1631" spans="7:12" s="122" customFormat="1">
      <c r="G1631" s="133"/>
      <c r="J1631" s="123"/>
      <c r="K1631" s="123"/>
      <c r="L1631" s="123"/>
    </row>
    <row r="1632" spans="7:12" s="122" customFormat="1">
      <c r="G1632" s="133"/>
      <c r="J1632" s="123"/>
      <c r="K1632" s="123"/>
      <c r="L1632" s="123"/>
    </row>
    <row r="1633" spans="7:12" s="122" customFormat="1">
      <c r="G1633" s="133"/>
      <c r="J1633" s="123"/>
      <c r="K1633" s="123"/>
      <c r="L1633" s="123"/>
    </row>
    <row r="1634" spans="7:12" s="122" customFormat="1">
      <c r="G1634" s="133"/>
      <c r="J1634" s="123"/>
      <c r="K1634" s="123"/>
      <c r="L1634" s="123"/>
    </row>
    <row r="1635" spans="7:12" s="122" customFormat="1">
      <c r="G1635" s="133"/>
      <c r="J1635" s="123"/>
      <c r="K1635" s="123"/>
      <c r="L1635" s="123"/>
    </row>
    <row r="1636" spans="7:12" s="122" customFormat="1">
      <c r="G1636" s="133"/>
      <c r="J1636" s="123"/>
      <c r="K1636" s="123"/>
      <c r="L1636" s="123"/>
    </row>
    <row r="1637" spans="7:12" s="122" customFormat="1">
      <c r="G1637" s="133"/>
      <c r="J1637" s="123"/>
      <c r="K1637" s="123"/>
      <c r="L1637" s="123"/>
    </row>
    <row r="1638" spans="7:12" s="122" customFormat="1">
      <c r="G1638" s="133"/>
      <c r="J1638" s="123"/>
      <c r="K1638" s="123"/>
      <c r="L1638" s="123"/>
    </row>
    <row r="1639" spans="7:12" s="122" customFormat="1">
      <c r="G1639" s="133"/>
      <c r="J1639" s="123"/>
      <c r="K1639" s="123"/>
      <c r="L1639" s="123"/>
    </row>
    <row r="1640" spans="7:12" s="122" customFormat="1">
      <c r="G1640" s="133"/>
      <c r="J1640" s="123"/>
      <c r="K1640" s="123"/>
      <c r="L1640" s="123"/>
    </row>
    <row r="1641" spans="7:12" s="122" customFormat="1">
      <c r="G1641" s="133"/>
      <c r="J1641" s="123"/>
      <c r="K1641" s="123"/>
      <c r="L1641" s="123"/>
    </row>
    <row r="1642" spans="7:12" s="122" customFormat="1">
      <c r="G1642" s="133"/>
      <c r="J1642" s="123"/>
      <c r="K1642" s="123"/>
      <c r="L1642" s="123"/>
    </row>
    <row r="1643" spans="7:12" s="122" customFormat="1">
      <c r="G1643" s="133"/>
      <c r="J1643" s="123"/>
      <c r="K1643" s="123"/>
      <c r="L1643" s="123"/>
    </row>
    <row r="1644" spans="7:12" s="122" customFormat="1">
      <c r="G1644" s="133"/>
      <c r="J1644" s="123"/>
      <c r="K1644" s="123"/>
      <c r="L1644" s="123"/>
    </row>
    <row r="1645" spans="7:12" s="122" customFormat="1">
      <c r="G1645" s="133"/>
      <c r="J1645" s="123"/>
      <c r="K1645" s="123"/>
      <c r="L1645" s="123"/>
    </row>
    <row r="1646" spans="7:12" s="122" customFormat="1">
      <c r="G1646" s="133"/>
      <c r="J1646" s="123"/>
      <c r="K1646" s="123"/>
      <c r="L1646" s="123"/>
    </row>
    <row r="1647" spans="7:12" s="122" customFormat="1">
      <c r="G1647" s="133"/>
      <c r="J1647" s="123"/>
      <c r="K1647" s="123"/>
      <c r="L1647" s="123"/>
    </row>
    <row r="1648" spans="7:12" s="122" customFormat="1">
      <c r="G1648" s="133"/>
      <c r="J1648" s="123"/>
      <c r="K1648" s="123"/>
      <c r="L1648" s="123"/>
    </row>
    <row r="1649" spans="7:12" s="122" customFormat="1">
      <c r="G1649" s="133"/>
      <c r="J1649" s="123"/>
      <c r="K1649" s="123"/>
      <c r="L1649" s="123"/>
    </row>
    <row r="1650" spans="7:12" s="122" customFormat="1">
      <c r="G1650" s="133"/>
      <c r="J1650" s="123"/>
      <c r="K1650" s="123"/>
      <c r="L1650" s="123"/>
    </row>
    <row r="1651" spans="7:12" s="122" customFormat="1">
      <c r="G1651" s="133"/>
      <c r="J1651" s="123"/>
      <c r="K1651" s="123"/>
      <c r="L1651" s="123"/>
    </row>
    <row r="1652" spans="7:12" s="122" customFormat="1">
      <c r="G1652" s="133"/>
      <c r="J1652" s="123"/>
      <c r="K1652" s="123"/>
      <c r="L1652" s="123"/>
    </row>
    <row r="1653" spans="7:12" s="122" customFormat="1">
      <c r="G1653" s="133"/>
      <c r="J1653" s="123"/>
      <c r="K1653" s="123"/>
      <c r="L1653" s="123"/>
    </row>
    <row r="1654" spans="7:12" s="122" customFormat="1">
      <c r="G1654" s="133"/>
      <c r="J1654" s="123"/>
      <c r="K1654" s="123"/>
      <c r="L1654" s="123"/>
    </row>
    <row r="1655" spans="7:12" s="122" customFormat="1">
      <c r="G1655" s="133"/>
      <c r="J1655" s="123"/>
      <c r="K1655" s="123"/>
      <c r="L1655" s="123"/>
    </row>
    <row r="1656" spans="7:12" s="122" customFormat="1">
      <c r="G1656" s="133"/>
      <c r="J1656" s="123"/>
      <c r="K1656" s="123"/>
      <c r="L1656" s="123"/>
    </row>
    <row r="1657" spans="7:12" s="122" customFormat="1">
      <c r="G1657" s="133"/>
      <c r="J1657" s="123"/>
      <c r="K1657" s="123"/>
      <c r="L1657" s="123"/>
    </row>
    <row r="1658" spans="7:12" s="122" customFormat="1">
      <c r="G1658" s="133"/>
      <c r="J1658" s="123"/>
      <c r="K1658" s="123"/>
      <c r="L1658" s="123"/>
    </row>
    <row r="1659" spans="7:12" s="122" customFormat="1">
      <c r="G1659" s="133"/>
      <c r="J1659" s="123"/>
      <c r="K1659" s="123"/>
      <c r="L1659" s="123"/>
    </row>
    <row r="1660" spans="7:12" s="122" customFormat="1">
      <c r="G1660" s="133"/>
      <c r="J1660" s="123"/>
      <c r="K1660" s="123"/>
      <c r="L1660" s="123"/>
    </row>
    <row r="1661" spans="7:12" s="122" customFormat="1">
      <c r="G1661" s="133"/>
      <c r="J1661" s="123"/>
      <c r="K1661" s="123"/>
      <c r="L1661" s="123"/>
    </row>
    <row r="1662" spans="7:12" s="122" customFormat="1">
      <c r="G1662" s="133"/>
      <c r="J1662" s="123"/>
      <c r="K1662" s="123"/>
      <c r="L1662" s="123"/>
    </row>
    <row r="1663" spans="7:12" s="122" customFormat="1">
      <c r="G1663" s="133"/>
      <c r="J1663" s="123"/>
      <c r="K1663" s="123"/>
      <c r="L1663" s="123"/>
    </row>
    <row r="1664" spans="7:12" s="122" customFormat="1">
      <c r="G1664" s="133"/>
      <c r="J1664" s="123"/>
      <c r="K1664" s="123"/>
      <c r="L1664" s="123"/>
    </row>
    <row r="1665" spans="7:12" s="122" customFormat="1">
      <c r="G1665" s="133"/>
      <c r="J1665" s="123"/>
      <c r="K1665" s="123"/>
      <c r="L1665" s="123"/>
    </row>
    <row r="1666" spans="7:12" s="122" customFormat="1">
      <c r="G1666" s="133"/>
      <c r="J1666" s="123"/>
      <c r="K1666" s="123"/>
      <c r="L1666" s="123"/>
    </row>
    <row r="1667" spans="7:12" s="122" customFormat="1">
      <c r="G1667" s="133"/>
      <c r="J1667" s="123"/>
      <c r="K1667" s="123"/>
      <c r="L1667" s="123"/>
    </row>
    <row r="1668" spans="7:12" s="122" customFormat="1">
      <c r="G1668" s="133"/>
      <c r="J1668" s="123"/>
      <c r="K1668" s="123"/>
      <c r="L1668" s="123"/>
    </row>
    <row r="1669" spans="7:12" s="122" customFormat="1">
      <c r="G1669" s="133"/>
      <c r="J1669" s="123"/>
      <c r="K1669" s="123"/>
      <c r="L1669" s="123"/>
    </row>
    <row r="1670" spans="7:12" s="122" customFormat="1">
      <c r="G1670" s="133"/>
      <c r="J1670" s="123"/>
      <c r="K1670" s="123"/>
      <c r="L1670" s="123"/>
    </row>
    <row r="1671" spans="7:12" s="122" customFormat="1">
      <c r="G1671" s="133"/>
      <c r="J1671" s="123"/>
      <c r="K1671" s="123"/>
      <c r="L1671" s="123"/>
    </row>
    <row r="1672" spans="7:12" s="122" customFormat="1">
      <c r="G1672" s="133"/>
      <c r="J1672" s="123"/>
      <c r="K1672" s="123"/>
      <c r="L1672" s="123"/>
    </row>
    <row r="1673" spans="7:12" s="122" customFormat="1">
      <c r="G1673" s="133"/>
      <c r="J1673" s="123"/>
      <c r="K1673" s="123"/>
      <c r="L1673" s="123"/>
    </row>
    <row r="1674" spans="7:12" s="122" customFormat="1">
      <c r="G1674" s="133"/>
      <c r="J1674" s="123"/>
      <c r="K1674" s="123"/>
      <c r="L1674" s="123"/>
    </row>
    <row r="1675" spans="7:12" s="122" customFormat="1">
      <c r="G1675" s="133"/>
      <c r="J1675" s="123"/>
      <c r="K1675" s="123"/>
      <c r="L1675" s="123"/>
    </row>
    <row r="1676" spans="7:12" s="122" customFormat="1">
      <c r="G1676" s="133"/>
      <c r="J1676" s="123"/>
      <c r="K1676" s="123"/>
      <c r="L1676" s="123"/>
    </row>
    <row r="1677" spans="7:12" s="122" customFormat="1">
      <c r="G1677" s="133"/>
      <c r="J1677" s="123"/>
      <c r="K1677" s="123"/>
      <c r="L1677" s="123"/>
    </row>
    <row r="1678" spans="7:12" s="122" customFormat="1">
      <c r="G1678" s="133"/>
      <c r="J1678" s="123"/>
      <c r="K1678" s="123"/>
      <c r="L1678" s="123"/>
    </row>
    <row r="1679" spans="7:12" s="122" customFormat="1">
      <c r="G1679" s="133"/>
      <c r="J1679" s="123"/>
      <c r="K1679" s="123"/>
      <c r="L1679" s="123"/>
    </row>
    <row r="1680" spans="7:12" s="122" customFormat="1">
      <c r="G1680" s="133"/>
      <c r="J1680" s="123"/>
      <c r="K1680" s="123"/>
      <c r="L1680" s="123"/>
    </row>
    <row r="1681" spans="7:12" s="122" customFormat="1">
      <c r="G1681" s="133"/>
      <c r="J1681" s="123"/>
      <c r="K1681" s="123"/>
      <c r="L1681" s="123"/>
    </row>
    <row r="1682" spans="7:12" s="122" customFormat="1">
      <c r="G1682" s="133"/>
      <c r="J1682" s="123"/>
      <c r="K1682" s="123"/>
      <c r="L1682" s="123"/>
    </row>
    <row r="1683" spans="7:12" s="122" customFormat="1">
      <c r="G1683" s="133"/>
      <c r="J1683" s="123"/>
      <c r="K1683" s="123"/>
      <c r="L1683" s="123"/>
    </row>
    <row r="1684" spans="7:12" s="122" customFormat="1">
      <c r="G1684" s="133"/>
      <c r="J1684" s="123"/>
      <c r="K1684" s="123"/>
      <c r="L1684" s="123"/>
    </row>
    <row r="1685" spans="7:12" s="122" customFormat="1">
      <c r="G1685" s="133"/>
      <c r="J1685" s="123"/>
      <c r="K1685" s="123"/>
      <c r="L1685" s="123"/>
    </row>
    <row r="1686" spans="7:12" s="122" customFormat="1">
      <c r="G1686" s="133"/>
      <c r="J1686" s="123"/>
      <c r="K1686" s="123"/>
      <c r="L1686" s="123"/>
    </row>
    <row r="1687" spans="7:12" s="122" customFormat="1">
      <c r="G1687" s="133"/>
      <c r="J1687" s="123"/>
      <c r="K1687" s="123"/>
      <c r="L1687" s="123"/>
    </row>
    <row r="1688" spans="7:12" s="122" customFormat="1">
      <c r="G1688" s="133"/>
      <c r="J1688" s="123"/>
      <c r="K1688" s="123"/>
      <c r="L1688" s="123"/>
    </row>
    <row r="1689" spans="7:12" s="122" customFormat="1">
      <c r="G1689" s="133"/>
      <c r="J1689" s="123"/>
      <c r="K1689" s="123"/>
      <c r="L1689" s="123"/>
    </row>
    <row r="1690" spans="7:12" s="122" customFormat="1">
      <c r="G1690" s="133"/>
      <c r="J1690" s="123"/>
      <c r="K1690" s="123"/>
      <c r="L1690" s="123"/>
    </row>
    <row r="1691" spans="7:12" s="122" customFormat="1">
      <c r="G1691" s="133"/>
      <c r="J1691" s="123"/>
      <c r="K1691" s="123"/>
      <c r="L1691" s="123"/>
    </row>
    <row r="1692" spans="7:12" s="122" customFormat="1">
      <c r="G1692" s="133"/>
      <c r="J1692" s="123"/>
      <c r="K1692" s="123"/>
      <c r="L1692" s="123"/>
    </row>
    <row r="1693" spans="7:12" s="122" customFormat="1">
      <c r="G1693" s="133"/>
      <c r="J1693" s="123"/>
      <c r="K1693" s="123"/>
      <c r="L1693" s="123"/>
    </row>
    <row r="1694" spans="7:12" s="122" customFormat="1">
      <c r="G1694" s="133"/>
      <c r="J1694" s="123"/>
      <c r="K1694" s="123"/>
      <c r="L1694" s="123"/>
    </row>
    <row r="1695" spans="7:12" s="122" customFormat="1">
      <c r="G1695" s="133"/>
      <c r="J1695" s="123"/>
      <c r="K1695" s="123"/>
      <c r="L1695" s="123"/>
    </row>
    <row r="1696" spans="7:12" s="122" customFormat="1">
      <c r="G1696" s="133"/>
      <c r="J1696" s="123"/>
      <c r="K1696" s="123"/>
      <c r="L1696" s="123"/>
    </row>
    <row r="1697" spans="7:12" s="122" customFormat="1">
      <c r="G1697" s="133"/>
      <c r="J1697" s="123"/>
      <c r="K1697" s="123"/>
      <c r="L1697" s="123"/>
    </row>
    <row r="1698" spans="7:12" s="122" customFormat="1">
      <c r="G1698" s="133"/>
      <c r="J1698" s="123"/>
      <c r="K1698" s="123"/>
      <c r="L1698" s="123"/>
    </row>
    <row r="1699" spans="7:12" s="122" customFormat="1">
      <c r="G1699" s="133"/>
      <c r="J1699" s="123"/>
      <c r="K1699" s="123"/>
      <c r="L1699" s="123"/>
    </row>
    <row r="1700" spans="7:12" s="122" customFormat="1">
      <c r="G1700" s="133"/>
      <c r="J1700" s="123"/>
      <c r="K1700" s="123"/>
      <c r="L1700" s="123"/>
    </row>
    <row r="1701" spans="7:12" s="122" customFormat="1">
      <c r="G1701" s="133"/>
      <c r="J1701" s="123"/>
      <c r="K1701" s="123"/>
      <c r="L1701" s="123"/>
    </row>
    <row r="1702" spans="7:12" s="122" customFormat="1">
      <c r="G1702" s="133"/>
      <c r="J1702" s="123"/>
      <c r="K1702" s="123"/>
      <c r="L1702" s="123"/>
    </row>
    <row r="1703" spans="7:12" s="122" customFormat="1">
      <c r="G1703" s="133"/>
      <c r="J1703" s="123"/>
      <c r="K1703" s="123"/>
      <c r="L1703" s="123"/>
    </row>
    <row r="1704" spans="7:12" s="122" customFormat="1">
      <c r="G1704" s="133"/>
      <c r="J1704" s="123"/>
      <c r="K1704" s="123"/>
      <c r="L1704" s="123"/>
    </row>
    <row r="1705" spans="7:12" s="122" customFormat="1">
      <c r="G1705" s="133"/>
      <c r="J1705" s="123"/>
      <c r="K1705" s="123"/>
      <c r="L1705" s="123"/>
    </row>
    <row r="1706" spans="7:12" s="122" customFormat="1">
      <c r="G1706" s="133"/>
      <c r="J1706" s="123"/>
      <c r="K1706" s="123"/>
      <c r="L1706" s="123"/>
    </row>
    <row r="1707" spans="7:12" s="122" customFormat="1">
      <c r="G1707" s="133"/>
      <c r="J1707" s="123"/>
      <c r="K1707" s="123"/>
      <c r="L1707" s="123"/>
    </row>
    <row r="1708" spans="7:12" s="122" customFormat="1">
      <c r="G1708" s="133"/>
      <c r="J1708" s="123"/>
      <c r="K1708" s="123"/>
      <c r="L1708" s="123"/>
    </row>
    <row r="1709" spans="7:12" s="122" customFormat="1">
      <c r="G1709" s="133"/>
      <c r="J1709" s="123"/>
      <c r="K1709" s="123"/>
      <c r="L1709" s="123"/>
    </row>
    <row r="1710" spans="7:12" s="122" customFormat="1">
      <c r="G1710" s="133"/>
      <c r="J1710" s="123"/>
      <c r="K1710" s="123"/>
      <c r="L1710" s="123"/>
    </row>
    <row r="1711" spans="7:12" s="122" customFormat="1">
      <c r="G1711" s="133"/>
      <c r="J1711" s="123"/>
      <c r="K1711" s="123"/>
      <c r="L1711" s="123"/>
    </row>
    <row r="1712" spans="7:12" s="122" customFormat="1">
      <c r="G1712" s="133"/>
      <c r="J1712" s="123"/>
      <c r="K1712" s="123"/>
      <c r="L1712" s="123"/>
    </row>
    <row r="1713" spans="7:12" s="122" customFormat="1">
      <c r="G1713" s="133"/>
      <c r="J1713" s="123"/>
      <c r="K1713" s="123"/>
      <c r="L1713" s="123"/>
    </row>
    <row r="1714" spans="7:12" s="122" customFormat="1">
      <c r="G1714" s="133"/>
      <c r="J1714" s="123"/>
      <c r="K1714" s="123"/>
      <c r="L1714" s="123"/>
    </row>
    <row r="1715" spans="7:12" s="122" customFormat="1">
      <c r="G1715" s="133"/>
      <c r="J1715" s="123"/>
      <c r="K1715" s="123"/>
      <c r="L1715" s="123"/>
    </row>
    <row r="1716" spans="7:12" s="122" customFormat="1">
      <c r="G1716" s="133"/>
      <c r="J1716" s="123"/>
      <c r="K1716" s="123"/>
      <c r="L1716" s="123"/>
    </row>
    <row r="1717" spans="7:12" s="122" customFormat="1">
      <c r="G1717" s="133"/>
      <c r="J1717" s="123"/>
      <c r="K1717" s="123"/>
      <c r="L1717" s="123"/>
    </row>
    <row r="1718" spans="7:12" s="122" customFormat="1">
      <c r="G1718" s="133"/>
      <c r="J1718" s="123"/>
      <c r="K1718" s="123"/>
      <c r="L1718" s="123"/>
    </row>
    <row r="1719" spans="7:12" s="122" customFormat="1">
      <c r="G1719" s="133"/>
      <c r="J1719" s="123"/>
      <c r="K1719" s="123"/>
      <c r="L1719" s="123"/>
    </row>
    <row r="1720" spans="7:12" s="122" customFormat="1">
      <c r="G1720" s="133"/>
      <c r="J1720" s="123"/>
      <c r="K1720" s="123"/>
      <c r="L1720" s="123"/>
    </row>
    <row r="1721" spans="7:12" s="122" customFormat="1">
      <c r="G1721" s="133"/>
      <c r="J1721" s="123"/>
      <c r="K1721" s="123"/>
      <c r="L1721" s="123"/>
    </row>
    <row r="1722" spans="7:12" s="122" customFormat="1">
      <c r="G1722" s="133"/>
      <c r="J1722" s="123"/>
      <c r="K1722" s="123"/>
      <c r="L1722" s="123"/>
    </row>
    <row r="1723" spans="7:12" s="122" customFormat="1">
      <c r="G1723" s="133"/>
      <c r="J1723" s="123"/>
      <c r="K1723" s="123"/>
      <c r="L1723" s="123"/>
    </row>
    <row r="1724" spans="7:12" s="122" customFormat="1">
      <c r="G1724" s="133"/>
      <c r="J1724" s="123"/>
      <c r="K1724" s="123"/>
      <c r="L1724" s="123"/>
    </row>
    <row r="1725" spans="7:12" s="122" customFormat="1">
      <c r="G1725" s="133"/>
      <c r="J1725" s="123"/>
      <c r="K1725" s="123"/>
      <c r="L1725" s="123"/>
    </row>
    <row r="1726" spans="7:12" s="122" customFormat="1">
      <c r="G1726" s="133"/>
      <c r="J1726" s="123"/>
      <c r="K1726" s="123"/>
      <c r="L1726" s="123"/>
    </row>
    <row r="1727" spans="7:12" s="122" customFormat="1">
      <c r="G1727" s="133"/>
      <c r="J1727" s="123"/>
      <c r="K1727" s="123"/>
      <c r="L1727" s="123"/>
    </row>
    <row r="1728" spans="7:12" s="122" customFormat="1">
      <c r="G1728" s="133"/>
      <c r="J1728" s="123"/>
      <c r="K1728" s="123"/>
      <c r="L1728" s="123"/>
    </row>
    <row r="1729" spans="7:12" s="122" customFormat="1">
      <c r="G1729" s="133"/>
      <c r="J1729" s="123"/>
      <c r="K1729" s="123"/>
      <c r="L1729" s="123"/>
    </row>
    <row r="1730" spans="7:12" s="122" customFormat="1">
      <c r="G1730" s="133"/>
      <c r="J1730" s="123"/>
      <c r="K1730" s="123"/>
      <c r="L1730" s="123"/>
    </row>
    <row r="1731" spans="7:12" s="122" customFormat="1">
      <c r="G1731" s="133"/>
      <c r="J1731" s="123"/>
      <c r="K1731" s="123"/>
      <c r="L1731" s="123"/>
    </row>
    <row r="1732" spans="7:12" s="122" customFormat="1">
      <c r="G1732" s="133"/>
      <c r="J1732" s="123"/>
      <c r="K1732" s="123"/>
      <c r="L1732" s="123"/>
    </row>
    <row r="1733" spans="7:12" s="122" customFormat="1">
      <c r="G1733" s="133"/>
      <c r="J1733" s="123"/>
      <c r="K1733" s="123"/>
      <c r="L1733" s="123"/>
    </row>
    <row r="1734" spans="7:12" s="122" customFormat="1">
      <c r="G1734" s="133"/>
      <c r="J1734" s="123"/>
      <c r="K1734" s="123"/>
      <c r="L1734" s="123"/>
    </row>
    <row r="1735" spans="7:12" s="122" customFormat="1">
      <c r="G1735" s="133"/>
      <c r="J1735" s="123"/>
      <c r="K1735" s="123"/>
      <c r="L1735" s="123"/>
    </row>
    <row r="1736" spans="7:12" s="122" customFormat="1">
      <c r="G1736" s="133"/>
      <c r="J1736" s="123"/>
      <c r="K1736" s="123"/>
      <c r="L1736" s="123"/>
    </row>
    <row r="1737" spans="7:12" s="122" customFormat="1">
      <c r="G1737" s="133"/>
      <c r="J1737" s="123"/>
      <c r="K1737" s="123"/>
      <c r="L1737" s="123"/>
    </row>
    <row r="1738" spans="7:12" s="122" customFormat="1">
      <c r="G1738" s="133"/>
      <c r="J1738" s="123"/>
      <c r="K1738" s="123"/>
      <c r="L1738" s="123"/>
    </row>
    <row r="1739" spans="7:12" s="122" customFormat="1">
      <c r="G1739" s="133"/>
      <c r="J1739" s="123"/>
      <c r="K1739" s="123"/>
      <c r="L1739" s="123"/>
    </row>
    <row r="1740" spans="7:12" s="122" customFormat="1">
      <c r="G1740" s="133"/>
      <c r="J1740" s="123"/>
      <c r="K1740" s="123"/>
      <c r="L1740" s="123"/>
    </row>
    <row r="1741" spans="7:12" s="122" customFormat="1">
      <c r="G1741" s="133"/>
      <c r="J1741" s="123"/>
      <c r="K1741" s="123"/>
      <c r="L1741" s="123"/>
    </row>
    <row r="1742" spans="7:12" s="122" customFormat="1">
      <c r="G1742" s="133"/>
      <c r="J1742" s="123"/>
      <c r="K1742" s="123"/>
      <c r="L1742" s="123"/>
    </row>
    <row r="1743" spans="7:12" s="122" customFormat="1">
      <c r="G1743" s="133"/>
      <c r="J1743" s="123"/>
      <c r="K1743" s="123"/>
      <c r="L1743" s="123"/>
    </row>
    <row r="1744" spans="7:12" s="122" customFormat="1">
      <c r="G1744" s="133"/>
      <c r="J1744" s="123"/>
      <c r="K1744" s="123"/>
      <c r="L1744" s="123"/>
    </row>
    <row r="1745" spans="7:12" s="122" customFormat="1">
      <c r="G1745" s="133"/>
      <c r="J1745" s="123"/>
      <c r="K1745" s="123"/>
      <c r="L1745" s="123"/>
    </row>
    <row r="1746" spans="7:12" s="122" customFormat="1">
      <c r="G1746" s="133"/>
      <c r="J1746" s="123"/>
      <c r="K1746" s="123"/>
      <c r="L1746" s="123"/>
    </row>
    <row r="1747" spans="7:12" s="122" customFormat="1">
      <c r="G1747" s="133"/>
      <c r="J1747" s="123"/>
      <c r="K1747" s="123"/>
      <c r="L1747" s="123"/>
    </row>
    <row r="1748" spans="7:12" s="122" customFormat="1">
      <c r="G1748" s="133"/>
      <c r="J1748" s="123"/>
      <c r="K1748" s="123"/>
      <c r="L1748" s="123"/>
    </row>
    <row r="1749" spans="7:12" s="122" customFormat="1">
      <c r="G1749" s="133"/>
      <c r="J1749" s="123"/>
      <c r="K1749" s="123"/>
      <c r="L1749" s="123"/>
    </row>
    <row r="1750" spans="7:12" s="122" customFormat="1">
      <c r="G1750" s="133"/>
      <c r="J1750" s="123"/>
      <c r="K1750" s="123"/>
      <c r="L1750" s="123"/>
    </row>
    <row r="1751" spans="7:12" s="122" customFormat="1">
      <c r="G1751" s="133"/>
      <c r="J1751" s="123"/>
      <c r="K1751" s="123"/>
      <c r="L1751" s="123"/>
    </row>
    <row r="1752" spans="7:12" s="122" customFormat="1">
      <c r="G1752" s="133"/>
      <c r="J1752" s="123"/>
      <c r="K1752" s="123"/>
      <c r="L1752" s="123"/>
    </row>
    <row r="1753" spans="7:12" s="122" customFormat="1">
      <c r="G1753" s="133"/>
      <c r="J1753" s="123"/>
      <c r="K1753" s="123"/>
      <c r="L1753" s="123"/>
    </row>
    <row r="1754" spans="7:12" s="122" customFormat="1">
      <c r="G1754" s="133"/>
      <c r="J1754" s="123"/>
      <c r="K1754" s="123"/>
      <c r="L1754" s="123"/>
    </row>
    <row r="1755" spans="7:12" s="122" customFormat="1">
      <c r="G1755" s="133"/>
      <c r="J1755" s="123"/>
      <c r="K1755" s="123"/>
      <c r="L1755" s="123"/>
    </row>
    <row r="1756" spans="7:12" s="122" customFormat="1">
      <c r="G1756" s="133"/>
      <c r="J1756" s="123"/>
      <c r="K1756" s="123"/>
      <c r="L1756" s="123"/>
    </row>
    <row r="1757" spans="7:12" s="122" customFormat="1">
      <c r="G1757" s="133"/>
      <c r="J1757" s="123"/>
      <c r="K1757" s="123"/>
      <c r="L1757" s="123"/>
    </row>
    <row r="1758" spans="7:12" s="122" customFormat="1">
      <c r="G1758" s="133"/>
      <c r="J1758" s="123"/>
      <c r="K1758" s="123"/>
      <c r="L1758" s="123"/>
    </row>
    <row r="1759" spans="7:12" s="122" customFormat="1">
      <c r="G1759" s="133"/>
      <c r="J1759" s="123"/>
      <c r="K1759" s="123"/>
      <c r="L1759" s="123"/>
    </row>
    <row r="1760" spans="7:12" s="122" customFormat="1">
      <c r="G1760" s="133"/>
      <c r="J1760" s="123"/>
      <c r="K1760" s="123"/>
      <c r="L1760" s="123"/>
    </row>
    <row r="1761" spans="7:12" s="122" customFormat="1">
      <c r="G1761" s="133"/>
      <c r="J1761" s="123"/>
      <c r="K1761" s="123"/>
      <c r="L1761" s="123"/>
    </row>
    <row r="1762" spans="7:12" s="122" customFormat="1">
      <c r="G1762" s="133"/>
      <c r="J1762" s="123"/>
      <c r="K1762" s="123"/>
      <c r="L1762" s="123"/>
    </row>
    <row r="1763" spans="7:12" s="122" customFormat="1">
      <c r="G1763" s="133"/>
      <c r="J1763" s="123"/>
      <c r="K1763" s="123"/>
      <c r="L1763" s="123"/>
    </row>
    <row r="1764" spans="7:12" s="122" customFormat="1">
      <c r="G1764" s="133"/>
      <c r="J1764" s="123"/>
      <c r="K1764" s="123"/>
      <c r="L1764" s="123"/>
    </row>
    <row r="1765" spans="7:12" s="122" customFormat="1">
      <c r="G1765" s="133"/>
      <c r="J1765" s="123"/>
      <c r="K1765" s="123"/>
      <c r="L1765" s="123"/>
    </row>
    <row r="1766" spans="7:12" s="122" customFormat="1">
      <c r="G1766" s="133"/>
      <c r="J1766" s="123"/>
      <c r="K1766" s="123"/>
      <c r="L1766" s="123"/>
    </row>
    <row r="1767" spans="7:12" s="122" customFormat="1">
      <c r="G1767" s="133"/>
      <c r="J1767" s="123"/>
      <c r="K1767" s="123"/>
      <c r="L1767" s="123"/>
    </row>
    <row r="1768" spans="7:12" s="122" customFormat="1">
      <c r="G1768" s="133"/>
      <c r="J1768" s="123"/>
      <c r="K1768" s="123"/>
      <c r="L1768" s="123"/>
    </row>
    <row r="1769" spans="7:12" s="122" customFormat="1">
      <c r="G1769" s="133"/>
      <c r="J1769" s="123"/>
      <c r="K1769" s="123"/>
      <c r="L1769" s="123"/>
    </row>
    <row r="1770" spans="7:12" s="122" customFormat="1">
      <c r="G1770" s="133"/>
      <c r="J1770" s="123"/>
      <c r="K1770" s="123"/>
      <c r="L1770" s="123"/>
    </row>
    <row r="1771" spans="7:12" s="122" customFormat="1">
      <c r="G1771" s="133"/>
      <c r="J1771" s="123"/>
      <c r="K1771" s="123"/>
      <c r="L1771" s="123"/>
    </row>
    <row r="1772" spans="7:12" s="122" customFormat="1">
      <c r="G1772" s="133"/>
      <c r="J1772" s="123"/>
      <c r="K1772" s="123"/>
      <c r="L1772" s="123"/>
    </row>
    <row r="1773" spans="7:12" s="122" customFormat="1">
      <c r="G1773" s="133"/>
      <c r="J1773" s="123"/>
      <c r="K1773" s="123"/>
      <c r="L1773" s="123"/>
    </row>
    <row r="1774" spans="7:12" s="122" customFormat="1">
      <c r="G1774" s="133"/>
      <c r="J1774" s="123"/>
      <c r="K1774" s="123"/>
      <c r="L1774" s="123"/>
    </row>
    <row r="1775" spans="7:12" s="122" customFormat="1">
      <c r="G1775" s="133"/>
      <c r="J1775" s="123"/>
      <c r="K1775" s="123"/>
      <c r="L1775" s="123"/>
    </row>
    <row r="1776" spans="7:12" s="122" customFormat="1">
      <c r="G1776" s="133"/>
      <c r="J1776" s="123"/>
      <c r="K1776" s="123"/>
      <c r="L1776" s="123"/>
    </row>
    <row r="1777" spans="7:12" s="122" customFormat="1">
      <c r="G1777" s="133"/>
      <c r="J1777" s="123"/>
      <c r="K1777" s="123"/>
      <c r="L1777" s="123"/>
    </row>
    <row r="1778" spans="7:12" s="122" customFormat="1">
      <c r="G1778" s="133"/>
      <c r="J1778" s="123"/>
      <c r="K1778" s="123"/>
      <c r="L1778" s="123"/>
    </row>
    <row r="1779" spans="7:12" s="122" customFormat="1">
      <c r="G1779" s="133"/>
      <c r="J1779" s="123"/>
      <c r="K1779" s="123"/>
      <c r="L1779" s="123"/>
    </row>
    <row r="1780" spans="7:12" s="122" customFormat="1">
      <c r="G1780" s="133"/>
      <c r="J1780" s="123"/>
      <c r="K1780" s="123"/>
      <c r="L1780" s="123"/>
    </row>
    <row r="1781" spans="7:12" s="122" customFormat="1">
      <c r="G1781" s="133"/>
      <c r="J1781" s="123"/>
      <c r="K1781" s="123"/>
      <c r="L1781" s="123"/>
    </row>
    <row r="1782" spans="7:12" s="122" customFormat="1">
      <c r="G1782" s="133"/>
      <c r="J1782" s="123"/>
      <c r="K1782" s="123"/>
      <c r="L1782" s="123"/>
    </row>
    <row r="1783" spans="7:12" s="122" customFormat="1">
      <c r="G1783" s="133"/>
      <c r="J1783" s="123"/>
      <c r="K1783" s="123"/>
      <c r="L1783" s="123"/>
    </row>
    <row r="1784" spans="7:12" s="122" customFormat="1">
      <c r="G1784" s="133"/>
      <c r="J1784" s="123"/>
      <c r="K1784" s="123"/>
      <c r="L1784" s="123"/>
    </row>
    <row r="1785" spans="7:12" s="122" customFormat="1">
      <c r="G1785" s="133"/>
      <c r="J1785" s="123"/>
      <c r="K1785" s="123"/>
      <c r="L1785" s="123"/>
    </row>
    <row r="1786" spans="7:12" s="122" customFormat="1">
      <c r="G1786" s="133"/>
      <c r="J1786" s="123"/>
      <c r="K1786" s="123"/>
      <c r="L1786" s="123"/>
    </row>
    <row r="1787" spans="7:12" s="122" customFormat="1">
      <c r="G1787" s="133"/>
      <c r="J1787" s="123"/>
      <c r="K1787" s="123"/>
      <c r="L1787" s="123"/>
    </row>
    <row r="1788" spans="7:12" s="122" customFormat="1">
      <c r="G1788" s="133"/>
      <c r="J1788" s="123"/>
      <c r="K1788" s="123"/>
      <c r="L1788" s="123"/>
    </row>
    <row r="1789" spans="7:12" s="122" customFormat="1">
      <c r="G1789" s="133"/>
      <c r="J1789" s="123"/>
      <c r="K1789" s="123"/>
      <c r="L1789" s="123"/>
    </row>
    <row r="1790" spans="7:12" s="122" customFormat="1">
      <c r="G1790" s="133"/>
      <c r="J1790" s="123"/>
      <c r="K1790" s="123"/>
      <c r="L1790" s="123"/>
    </row>
    <row r="1791" spans="7:12" s="122" customFormat="1">
      <c r="G1791" s="133"/>
      <c r="J1791" s="123"/>
      <c r="K1791" s="123"/>
      <c r="L1791" s="123"/>
    </row>
    <row r="1792" spans="7:12" s="122" customFormat="1">
      <c r="G1792" s="133"/>
      <c r="J1792" s="123"/>
      <c r="K1792" s="123"/>
      <c r="L1792" s="123"/>
    </row>
    <row r="1793" spans="7:12" s="122" customFormat="1">
      <c r="G1793" s="133"/>
      <c r="J1793" s="123"/>
      <c r="K1793" s="123"/>
      <c r="L1793" s="123"/>
    </row>
    <row r="1794" spans="7:12" s="122" customFormat="1">
      <c r="G1794" s="133"/>
      <c r="J1794" s="123"/>
      <c r="K1794" s="123"/>
      <c r="L1794" s="123"/>
    </row>
    <row r="1795" spans="7:12" s="122" customFormat="1">
      <c r="G1795" s="133"/>
      <c r="J1795" s="123"/>
      <c r="K1795" s="123"/>
      <c r="L1795" s="123"/>
    </row>
    <row r="1796" spans="7:12" s="122" customFormat="1">
      <c r="G1796" s="133"/>
      <c r="J1796" s="123"/>
      <c r="K1796" s="123"/>
      <c r="L1796" s="123"/>
    </row>
    <row r="1797" spans="7:12" s="122" customFormat="1">
      <c r="G1797" s="133"/>
      <c r="J1797" s="123"/>
      <c r="K1797" s="123"/>
      <c r="L1797" s="123"/>
    </row>
    <row r="1798" spans="7:12" s="122" customFormat="1">
      <c r="G1798" s="133"/>
      <c r="J1798" s="123"/>
      <c r="K1798" s="123"/>
      <c r="L1798" s="123"/>
    </row>
    <row r="1799" spans="7:12" s="122" customFormat="1">
      <c r="G1799" s="133"/>
      <c r="J1799" s="123"/>
      <c r="K1799" s="123"/>
      <c r="L1799" s="123"/>
    </row>
    <row r="1800" spans="7:12" s="122" customFormat="1">
      <c r="G1800" s="133"/>
      <c r="J1800" s="123"/>
      <c r="K1800" s="123"/>
      <c r="L1800" s="123"/>
    </row>
    <row r="1801" spans="7:12" s="122" customFormat="1">
      <c r="G1801" s="133"/>
      <c r="J1801" s="123"/>
      <c r="K1801" s="123"/>
      <c r="L1801" s="123"/>
    </row>
    <row r="1802" spans="7:12" s="122" customFormat="1">
      <c r="G1802" s="133"/>
      <c r="J1802" s="123"/>
      <c r="K1802" s="123"/>
      <c r="L1802" s="123"/>
    </row>
    <row r="1803" spans="7:12" s="122" customFormat="1">
      <c r="G1803" s="133"/>
      <c r="J1803" s="123"/>
      <c r="K1803" s="123"/>
      <c r="L1803" s="123"/>
    </row>
    <row r="1804" spans="7:12" s="122" customFormat="1">
      <c r="G1804" s="133"/>
      <c r="J1804" s="123"/>
      <c r="K1804" s="123"/>
      <c r="L1804" s="123"/>
    </row>
    <row r="1805" spans="7:12" s="122" customFormat="1">
      <c r="G1805" s="133"/>
      <c r="J1805" s="123"/>
      <c r="K1805" s="123"/>
      <c r="L1805" s="123"/>
    </row>
    <row r="1806" spans="7:12" s="122" customFormat="1">
      <c r="G1806" s="133"/>
      <c r="J1806" s="123"/>
      <c r="K1806" s="123"/>
      <c r="L1806" s="123"/>
    </row>
    <row r="1807" spans="7:12" s="122" customFormat="1">
      <c r="G1807" s="133"/>
      <c r="J1807" s="123"/>
      <c r="K1807" s="123"/>
      <c r="L1807" s="123"/>
    </row>
    <row r="1808" spans="7:12" s="122" customFormat="1">
      <c r="G1808" s="133"/>
      <c r="J1808" s="123"/>
      <c r="K1808" s="123"/>
      <c r="L1808" s="123"/>
    </row>
    <row r="1809" spans="7:12" s="122" customFormat="1">
      <c r="G1809" s="133"/>
      <c r="J1809" s="123"/>
      <c r="K1809" s="123"/>
      <c r="L1809" s="123"/>
    </row>
    <row r="1810" spans="7:12" s="122" customFormat="1">
      <c r="G1810" s="133"/>
      <c r="J1810" s="123"/>
      <c r="K1810" s="123"/>
      <c r="L1810" s="123"/>
    </row>
    <row r="1811" spans="7:12" s="122" customFormat="1">
      <c r="G1811" s="133"/>
      <c r="J1811" s="123"/>
      <c r="K1811" s="123"/>
      <c r="L1811" s="123"/>
    </row>
    <row r="1812" spans="7:12" s="122" customFormat="1">
      <c r="G1812" s="133"/>
      <c r="J1812" s="123"/>
      <c r="K1812" s="123"/>
      <c r="L1812" s="123"/>
    </row>
    <row r="1813" spans="7:12" s="122" customFormat="1">
      <c r="G1813" s="133"/>
      <c r="J1813" s="123"/>
      <c r="K1813" s="123"/>
      <c r="L1813" s="123"/>
    </row>
    <row r="1814" spans="7:12" s="122" customFormat="1">
      <c r="G1814" s="133"/>
      <c r="J1814" s="123"/>
      <c r="K1814" s="123"/>
      <c r="L1814" s="123"/>
    </row>
    <row r="1815" spans="7:12" s="122" customFormat="1">
      <c r="G1815" s="133"/>
      <c r="J1815" s="123"/>
      <c r="K1815" s="123"/>
      <c r="L1815" s="123"/>
    </row>
    <row r="1816" spans="7:12" s="122" customFormat="1">
      <c r="G1816" s="133"/>
      <c r="J1816" s="123"/>
      <c r="K1816" s="123"/>
      <c r="L1816" s="123"/>
    </row>
    <row r="1817" spans="7:12" s="122" customFormat="1">
      <c r="G1817" s="133"/>
      <c r="J1817" s="123"/>
      <c r="K1817" s="123"/>
      <c r="L1817" s="123"/>
    </row>
    <row r="1818" spans="7:12" s="122" customFormat="1">
      <c r="G1818" s="133"/>
      <c r="J1818" s="123"/>
      <c r="K1818" s="123"/>
      <c r="L1818" s="123"/>
    </row>
    <row r="1819" spans="7:12" s="122" customFormat="1">
      <c r="G1819" s="133"/>
      <c r="J1819" s="123"/>
      <c r="K1819" s="123"/>
      <c r="L1819" s="123"/>
    </row>
    <row r="1820" spans="7:12" s="122" customFormat="1">
      <c r="G1820" s="133"/>
      <c r="J1820" s="123"/>
      <c r="K1820" s="123"/>
      <c r="L1820" s="123"/>
    </row>
    <row r="1821" spans="7:12" s="122" customFormat="1">
      <c r="G1821" s="133"/>
      <c r="J1821" s="123"/>
      <c r="K1821" s="123"/>
      <c r="L1821" s="123"/>
    </row>
    <row r="1822" spans="7:12" s="122" customFormat="1">
      <c r="G1822" s="133"/>
      <c r="J1822" s="123"/>
      <c r="K1822" s="123"/>
      <c r="L1822" s="123"/>
    </row>
    <row r="1823" spans="7:12" s="122" customFormat="1">
      <c r="G1823" s="133"/>
      <c r="J1823" s="123"/>
      <c r="K1823" s="123"/>
      <c r="L1823" s="123"/>
    </row>
    <row r="1824" spans="7:12" s="122" customFormat="1">
      <c r="G1824" s="133"/>
      <c r="J1824" s="123"/>
      <c r="K1824" s="123"/>
      <c r="L1824" s="123"/>
    </row>
    <row r="1825" spans="7:12" s="122" customFormat="1">
      <c r="G1825" s="133"/>
      <c r="J1825" s="123"/>
      <c r="K1825" s="123"/>
      <c r="L1825" s="123"/>
    </row>
    <row r="1826" spans="7:12" s="122" customFormat="1">
      <c r="G1826" s="133"/>
      <c r="J1826" s="123"/>
      <c r="K1826" s="123"/>
      <c r="L1826" s="123"/>
    </row>
    <row r="1827" spans="7:12" s="122" customFormat="1">
      <c r="G1827" s="133"/>
      <c r="J1827" s="123"/>
      <c r="K1827" s="123"/>
      <c r="L1827" s="123"/>
    </row>
    <row r="1828" spans="7:12" s="122" customFormat="1">
      <c r="G1828" s="133"/>
      <c r="J1828" s="123"/>
      <c r="K1828" s="123"/>
      <c r="L1828" s="123"/>
    </row>
    <row r="1829" spans="7:12" s="122" customFormat="1">
      <c r="G1829" s="133"/>
      <c r="J1829" s="123"/>
      <c r="K1829" s="123"/>
      <c r="L1829" s="123"/>
    </row>
    <row r="1830" spans="7:12" s="122" customFormat="1">
      <c r="G1830" s="133"/>
      <c r="J1830" s="123"/>
      <c r="K1830" s="123"/>
      <c r="L1830" s="123"/>
    </row>
    <row r="1831" spans="7:12" s="122" customFormat="1">
      <c r="G1831" s="133"/>
      <c r="J1831" s="123"/>
      <c r="K1831" s="123"/>
      <c r="L1831" s="123"/>
    </row>
    <row r="1832" spans="7:12" s="122" customFormat="1">
      <c r="G1832" s="133"/>
      <c r="J1832" s="123"/>
      <c r="K1832" s="123"/>
      <c r="L1832" s="123"/>
    </row>
    <row r="1833" spans="7:12" s="122" customFormat="1">
      <c r="G1833" s="133"/>
      <c r="J1833" s="123"/>
      <c r="K1833" s="123"/>
      <c r="L1833" s="123"/>
    </row>
    <row r="1834" spans="7:12" s="122" customFormat="1">
      <c r="G1834" s="133"/>
      <c r="J1834" s="123"/>
      <c r="K1834" s="123"/>
      <c r="L1834" s="123"/>
    </row>
    <row r="1835" spans="7:12" s="122" customFormat="1">
      <c r="G1835" s="133"/>
      <c r="J1835" s="123"/>
      <c r="K1835" s="123"/>
      <c r="L1835" s="123"/>
    </row>
    <row r="1836" spans="7:12" s="122" customFormat="1">
      <c r="G1836" s="133"/>
      <c r="J1836" s="123"/>
      <c r="K1836" s="123"/>
      <c r="L1836" s="123"/>
    </row>
    <row r="1837" spans="7:12" s="122" customFormat="1">
      <c r="G1837" s="133"/>
      <c r="J1837" s="123"/>
      <c r="K1837" s="123"/>
      <c r="L1837" s="123"/>
    </row>
    <row r="1838" spans="7:12" s="122" customFormat="1">
      <c r="G1838" s="133"/>
      <c r="J1838" s="123"/>
      <c r="K1838" s="123"/>
      <c r="L1838" s="123"/>
    </row>
    <row r="1839" spans="7:12" s="122" customFormat="1">
      <c r="G1839" s="133"/>
      <c r="J1839" s="123"/>
      <c r="K1839" s="123"/>
      <c r="L1839" s="123"/>
    </row>
    <row r="1840" spans="7:12" s="122" customFormat="1">
      <c r="G1840" s="133"/>
      <c r="J1840" s="123"/>
      <c r="K1840" s="123"/>
      <c r="L1840" s="123"/>
    </row>
    <row r="1841" spans="7:12" s="122" customFormat="1">
      <c r="G1841" s="133"/>
      <c r="J1841" s="123"/>
      <c r="K1841" s="123"/>
      <c r="L1841" s="123"/>
    </row>
    <row r="1842" spans="7:12" s="122" customFormat="1">
      <c r="G1842" s="133"/>
      <c r="J1842" s="123"/>
      <c r="K1842" s="123"/>
      <c r="L1842" s="123"/>
    </row>
    <row r="1843" spans="7:12" s="122" customFormat="1">
      <c r="G1843" s="133"/>
      <c r="J1843" s="123"/>
      <c r="K1843" s="123"/>
      <c r="L1843" s="123"/>
    </row>
    <row r="1844" spans="7:12" s="122" customFormat="1">
      <c r="G1844" s="133"/>
      <c r="J1844" s="123"/>
      <c r="K1844" s="123"/>
      <c r="L1844" s="123"/>
    </row>
    <row r="1845" spans="7:12" s="122" customFormat="1">
      <c r="G1845" s="133"/>
      <c r="J1845" s="123"/>
      <c r="K1845" s="123"/>
      <c r="L1845" s="123"/>
    </row>
    <row r="1846" spans="7:12" s="122" customFormat="1">
      <c r="G1846" s="133"/>
      <c r="J1846" s="123"/>
      <c r="K1846" s="123"/>
      <c r="L1846" s="123"/>
    </row>
    <row r="1847" spans="7:12" s="122" customFormat="1">
      <c r="G1847" s="133"/>
      <c r="J1847" s="123"/>
      <c r="K1847" s="123"/>
      <c r="L1847" s="123"/>
    </row>
    <row r="1848" spans="7:12" s="122" customFormat="1">
      <c r="G1848" s="133"/>
      <c r="J1848" s="123"/>
      <c r="K1848" s="123"/>
      <c r="L1848" s="123"/>
    </row>
    <row r="1849" spans="7:12" s="122" customFormat="1">
      <c r="G1849" s="133"/>
      <c r="J1849" s="123"/>
      <c r="K1849" s="123"/>
      <c r="L1849" s="123"/>
    </row>
    <row r="1850" spans="7:12" s="122" customFormat="1">
      <c r="G1850" s="133"/>
      <c r="J1850" s="123"/>
      <c r="K1850" s="123"/>
      <c r="L1850" s="123"/>
    </row>
    <row r="1851" spans="7:12" s="122" customFormat="1">
      <c r="G1851" s="133"/>
      <c r="J1851" s="123"/>
      <c r="K1851" s="123"/>
      <c r="L1851" s="123"/>
    </row>
    <row r="1852" spans="7:12" s="122" customFormat="1">
      <c r="G1852" s="133"/>
      <c r="J1852" s="123"/>
      <c r="K1852" s="123"/>
      <c r="L1852" s="123"/>
    </row>
    <row r="1853" spans="7:12" s="122" customFormat="1">
      <c r="G1853" s="133"/>
      <c r="J1853" s="123"/>
      <c r="K1853" s="123"/>
      <c r="L1853" s="123"/>
    </row>
    <row r="1854" spans="7:12" s="122" customFormat="1">
      <c r="G1854" s="133"/>
      <c r="J1854" s="123"/>
      <c r="K1854" s="123"/>
      <c r="L1854" s="123"/>
    </row>
    <row r="1855" spans="7:12" s="122" customFormat="1">
      <c r="G1855" s="133"/>
      <c r="J1855" s="123"/>
      <c r="K1855" s="123"/>
      <c r="L1855" s="123"/>
    </row>
    <row r="1856" spans="7:12" s="122" customFormat="1">
      <c r="G1856" s="133"/>
      <c r="J1856" s="123"/>
      <c r="K1856" s="123"/>
      <c r="L1856" s="123"/>
    </row>
    <row r="1857" spans="7:12" s="122" customFormat="1">
      <c r="G1857" s="133"/>
      <c r="J1857" s="123"/>
      <c r="K1857" s="123"/>
      <c r="L1857" s="123"/>
    </row>
    <row r="1858" spans="7:12" s="122" customFormat="1">
      <c r="G1858" s="133"/>
      <c r="J1858" s="123"/>
      <c r="K1858" s="123"/>
      <c r="L1858" s="123"/>
    </row>
    <row r="1859" spans="7:12" s="122" customFormat="1">
      <c r="G1859" s="133"/>
      <c r="J1859" s="123"/>
      <c r="K1859" s="123"/>
      <c r="L1859" s="123"/>
    </row>
    <row r="1860" spans="7:12" s="122" customFormat="1">
      <c r="G1860" s="133"/>
      <c r="J1860" s="123"/>
      <c r="K1860" s="123"/>
      <c r="L1860" s="123"/>
    </row>
    <row r="1861" spans="7:12" s="122" customFormat="1">
      <c r="G1861" s="133"/>
      <c r="J1861" s="123"/>
      <c r="K1861" s="123"/>
      <c r="L1861" s="123"/>
    </row>
    <row r="1862" spans="7:12" s="122" customFormat="1">
      <c r="G1862" s="133"/>
      <c r="J1862" s="123"/>
      <c r="K1862" s="123"/>
      <c r="L1862" s="123"/>
    </row>
    <row r="1863" spans="7:12" s="122" customFormat="1">
      <c r="G1863" s="133"/>
      <c r="J1863" s="123"/>
      <c r="K1863" s="123"/>
      <c r="L1863" s="123"/>
    </row>
    <row r="1864" spans="7:12" s="122" customFormat="1">
      <c r="G1864" s="133"/>
      <c r="J1864" s="123"/>
      <c r="K1864" s="123"/>
      <c r="L1864" s="123"/>
    </row>
    <row r="1865" spans="7:12" s="122" customFormat="1">
      <c r="G1865" s="133"/>
      <c r="J1865" s="123"/>
      <c r="K1865" s="123"/>
      <c r="L1865" s="123"/>
    </row>
    <row r="1866" spans="7:12" s="122" customFormat="1">
      <c r="G1866" s="133"/>
      <c r="J1866" s="123"/>
      <c r="K1866" s="123"/>
      <c r="L1866" s="123"/>
    </row>
    <row r="1867" spans="7:12" s="122" customFormat="1">
      <c r="G1867" s="133"/>
      <c r="J1867" s="123"/>
      <c r="K1867" s="123"/>
      <c r="L1867" s="123"/>
    </row>
    <row r="1868" spans="7:12" s="122" customFormat="1">
      <c r="G1868" s="133"/>
      <c r="J1868" s="123"/>
      <c r="K1868" s="123"/>
      <c r="L1868" s="123"/>
    </row>
    <row r="1869" spans="7:12" s="122" customFormat="1">
      <c r="G1869" s="133"/>
      <c r="J1869" s="123"/>
      <c r="K1869" s="123"/>
      <c r="L1869" s="123"/>
    </row>
    <row r="1870" spans="7:12" s="122" customFormat="1">
      <c r="G1870" s="133"/>
      <c r="J1870" s="123"/>
      <c r="K1870" s="123"/>
      <c r="L1870" s="123"/>
    </row>
    <row r="1871" spans="7:12" s="122" customFormat="1">
      <c r="G1871" s="133"/>
      <c r="J1871" s="123"/>
      <c r="K1871" s="123"/>
      <c r="L1871" s="123"/>
    </row>
    <row r="1872" spans="7:12" s="122" customFormat="1">
      <c r="G1872" s="133"/>
      <c r="J1872" s="123"/>
      <c r="K1872" s="123"/>
      <c r="L1872" s="123"/>
    </row>
    <row r="1873" spans="7:12" s="122" customFormat="1">
      <c r="G1873" s="133"/>
      <c r="J1873" s="123"/>
      <c r="K1873" s="123"/>
      <c r="L1873" s="123"/>
    </row>
    <row r="1874" spans="7:12" s="122" customFormat="1">
      <c r="G1874" s="133"/>
      <c r="J1874" s="123"/>
      <c r="K1874" s="123"/>
      <c r="L1874" s="123"/>
    </row>
    <row r="1875" spans="7:12" s="122" customFormat="1">
      <c r="G1875" s="133"/>
      <c r="J1875" s="123"/>
      <c r="K1875" s="123"/>
      <c r="L1875" s="123"/>
    </row>
    <row r="1876" spans="7:12" s="122" customFormat="1">
      <c r="G1876" s="133"/>
      <c r="J1876" s="123"/>
      <c r="K1876" s="123"/>
      <c r="L1876" s="123"/>
    </row>
    <row r="1877" spans="7:12" s="122" customFormat="1">
      <c r="G1877" s="133"/>
      <c r="J1877" s="123"/>
      <c r="K1877" s="123"/>
      <c r="L1877" s="123"/>
    </row>
    <row r="1878" spans="7:12" s="122" customFormat="1">
      <c r="G1878" s="133"/>
      <c r="J1878" s="123"/>
      <c r="K1878" s="123"/>
      <c r="L1878" s="123"/>
    </row>
    <row r="1879" spans="7:12" s="122" customFormat="1">
      <c r="G1879" s="133"/>
      <c r="J1879" s="123"/>
      <c r="K1879" s="123"/>
      <c r="L1879" s="123"/>
    </row>
    <row r="1880" spans="7:12" s="122" customFormat="1">
      <c r="G1880" s="133"/>
      <c r="J1880" s="123"/>
      <c r="K1880" s="123"/>
      <c r="L1880" s="123"/>
    </row>
    <row r="1881" spans="7:12" s="122" customFormat="1">
      <c r="G1881" s="133"/>
      <c r="J1881" s="123"/>
      <c r="K1881" s="123"/>
      <c r="L1881" s="123"/>
    </row>
    <row r="1882" spans="7:12" s="122" customFormat="1">
      <c r="G1882" s="133"/>
      <c r="J1882" s="123"/>
      <c r="K1882" s="123"/>
      <c r="L1882" s="123"/>
    </row>
    <row r="1883" spans="7:12" s="122" customFormat="1">
      <c r="G1883" s="133"/>
      <c r="J1883" s="123"/>
      <c r="K1883" s="123"/>
      <c r="L1883" s="123"/>
    </row>
    <row r="1884" spans="7:12" s="122" customFormat="1">
      <c r="G1884" s="133"/>
      <c r="J1884" s="123"/>
      <c r="K1884" s="123"/>
      <c r="L1884" s="123"/>
    </row>
    <row r="1885" spans="7:12" s="122" customFormat="1">
      <c r="G1885" s="133"/>
      <c r="J1885" s="123"/>
      <c r="K1885" s="123"/>
      <c r="L1885" s="123"/>
    </row>
    <row r="1886" spans="7:12" s="122" customFormat="1">
      <c r="G1886" s="133"/>
      <c r="J1886" s="123"/>
      <c r="K1886" s="123"/>
      <c r="L1886" s="123"/>
    </row>
    <row r="1887" spans="7:12" s="122" customFormat="1">
      <c r="G1887" s="133"/>
      <c r="J1887" s="123"/>
      <c r="K1887" s="123"/>
      <c r="L1887" s="123"/>
    </row>
    <row r="1888" spans="7:12" s="122" customFormat="1">
      <c r="G1888" s="133"/>
      <c r="J1888" s="123"/>
      <c r="K1888" s="123"/>
      <c r="L1888" s="123"/>
    </row>
    <row r="1889" spans="7:12" s="122" customFormat="1">
      <c r="G1889" s="133"/>
      <c r="J1889" s="123"/>
      <c r="K1889" s="123"/>
      <c r="L1889" s="123"/>
    </row>
    <row r="1890" spans="7:12" s="122" customFormat="1">
      <c r="G1890" s="133"/>
      <c r="J1890" s="123"/>
      <c r="K1890" s="123"/>
      <c r="L1890" s="123"/>
    </row>
    <row r="1891" spans="7:12" s="122" customFormat="1">
      <c r="G1891" s="133"/>
      <c r="J1891" s="123"/>
      <c r="K1891" s="123"/>
      <c r="L1891" s="123"/>
    </row>
    <row r="1892" spans="7:12" s="122" customFormat="1">
      <c r="G1892" s="133"/>
      <c r="J1892" s="123"/>
      <c r="K1892" s="123"/>
      <c r="L1892" s="123"/>
    </row>
    <row r="1893" spans="7:12" s="122" customFormat="1">
      <c r="G1893" s="133"/>
      <c r="J1893" s="123"/>
      <c r="K1893" s="123"/>
      <c r="L1893" s="123"/>
    </row>
    <row r="1894" spans="7:12" s="122" customFormat="1">
      <c r="G1894" s="133"/>
      <c r="J1894" s="123"/>
      <c r="K1894" s="123"/>
      <c r="L1894" s="123"/>
    </row>
    <row r="1895" spans="7:12" s="122" customFormat="1">
      <c r="G1895" s="133"/>
      <c r="J1895" s="123"/>
      <c r="K1895" s="123"/>
      <c r="L1895" s="123"/>
    </row>
    <row r="1896" spans="7:12" s="122" customFormat="1">
      <c r="G1896" s="133"/>
      <c r="J1896" s="123"/>
      <c r="K1896" s="123"/>
      <c r="L1896" s="123"/>
    </row>
    <row r="1897" spans="7:12" s="122" customFormat="1">
      <c r="G1897" s="133"/>
      <c r="J1897" s="123"/>
      <c r="K1897" s="123"/>
      <c r="L1897" s="123"/>
    </row>
    <row r="1898" spans="7:12" s="122" customFormat="1">
      <c r="G1898" s="133"/>
      <c r="J1898" s="123"/>
      <c r="K1898" s="123"/>
      <c r="L1898" s="123"/>
    </row>
    <row r="1899" spans="7:12" s="122" customFormat="1">
      <c r="G1899" s="133"/>
      <c r="J1899" s="123"/>
      <c r="K1899" s="123"/>
      <c r="L1899" s="123"/>
    </row>
    <row r="1900" spans="7:12" s="122" customFormat="1">
      <c r="G1900" s="133"/>
      <c r="J1900" s="123"/>
      <c r="K1900" s="123"/>
      <c r="L1900" s="123"/>
    </row>
    <row r="1901" spans="7:12" s="122" customFormat="1">
      <c r="G1901" s="133"/>
      <c r="J1901" s="123"/>
      <c r="K1901" s="123"/>
      <c r="L1901" s="123"/>
    </row>
    <row r="1902" spans="7:12" s="122" customFormat="1">
      <c r="G1902" s="133"/>
      <c r="J1902" s="123"/>
      <c r="K1902" s="123"/>
      <c r="L1902" s="123"/>
    </row>
    <row r="1903" spans="7:12" s="122" customFormat="1">
      <c r="G1903" s="133"/>
      <c r="J1903" s="123"/>
      <c r="K1903" s="123"/>
      <c r="L1903" s="123"/>
    </row>
    <row r="1904" spans="7:12" s="122" customFormat="1">
      <c r="G1904" s="133"/>
      <c r="J1904" s="123"/>
      <c r="K1904" s="123"/>
      <c r="L1904" s="123"/>
    </row>
    <row r="1905" spans="7:12" s="122" customFormat="1">
      <c r="G1905" s="133"/>
      <c r="J1905" s="123"/>
      <c r="K1905" s="123"/>
      <c r="L1905" s="123"/>
    </row>
    <row r="1906" spans="7:12" s="122" customFormat="1">
      <c r="G1906" s="133"/>
      <c r="J1906" s="123"/>
      <c r="K1906" s="123"/>
      <c r="L1906" s="123"/>
    </row>
    <row r="1907" spans="7:12" s="122" customFormat="1">
      <c r="G1907" s="133"/>
      <c r="J1907" s="123"/>
      <c r="K1907" s="123"/>
      <c r="L1907" s="123"/>
    </row>
    <row r="1908" spans="7:12" s="122" customFormat="1">
      <c r="G1908" s="133"/>
      <c r="J1908" s="123"/>
      <c r="K1908" s="123"/>
      <c r="L1908" s="123"/>
    </row>
    <row r="1909" spans="7:12" s="122" customFormat="1">
      <c r="G1909" s="133"/>
      <c r="J1909" s="123"/>
      <c r="K1909" s="123"/>
      <c r="L1909" s="123"/>
    </row>
    <row r="1910" spans="7:12" s="122" customFormat="1">
      <c r="G1910" s="133"/>
      <c r="J1910" s="123"/>
      <c r="K1910" s="123"/>
      <c r="L1910" s="123"/>
    </row>
    <row r="1911" spans="7:12" s="122" customFormat="1">
      <c r="G1911" s="133"/>
      <c r="J1911" s="123"/>
      <c r="K1911" s="123"/>
      <c r="L1911" s="123"/>
    </row>
    <row r="1912" spans="7:12" s="122" customFormat="1">
      <c r="G1912" s="133"/>
      <c r="J1912" s="123"/>
      <c r="K1912" s="123"/>
      <c r="L1912" s="123"/>
    </row>
    <row r="1913" spans="7:12" s="122" customFormat="1">
      <c r="G1913" s="133"/>
      <c r="J1913" s="123"/>
      <c r="K1913" s="123"/>
      <c r="L1913" s="123"/>
    </row>
    <row r="1914" spans="7:12" s="122" customFormat="1">
      <c r="G1914" s="133"/>
      <c r="J1914" s="123"/>
      <c r="K1914" s="123"/>
      <c r="L1914" s="123"/>
    </row>
    <row r="1915" spans="7:12" s="122" customFormat="1">
      <c r="G1915" s="133"/>
      <c r="J1915" s="123"/>
      <c r="K1915" s="123"/>
      <c r="L1915" s="123"/>
    </row>
    <row r="1916" spans="7:12" s="122" customFormat="1">
      <c r="G1916" s="133"/>
      <c r="J1916" s="123"/>
      <c r="K1916" s="123"/>
      <c r="L1916" s="123"/>
    </row>
    <row r="1917" spans="7:12" s="122" customFormat="1">
      <c r="G1917" s="133"/>
      <c r="J1917" s="123"/>
      <c r="K1917" s="123"/>
      <c r="L1917" s="123"/>
    </row>
    <row r="1918" spans="7:12" s="122" customFormat="1">
      <c r="G1918" s="133"/>
      <c r="J1918" s="123"/>
      <c r="K1918" s="123"/>
      <c r="L1918" s="123"/>
    </row>
    <row r="1919" spans="7:12" s="122" customFormat="1">
      <c r="G1919" s="133"/>
      <c r="J1919" s="123"/>
      <c r="K1919" s="123"/>
      <c r="L1919" s="123"/>
    </row>
    <row r="1920" spans="7:12" s="122" customFormat="1">
      <c r="G1920" s="133"/>
      <c r="J1920" s="123"/>
      <c r="K1920" s="123"/>
      <c r="L1920" s="123"/>
    </row>
    <row r="1921" spans="7:12" s="122" customFormat="1">
      <c r="G1921" s="133"/>
      <c r="J1921" s="123"/>
      <c r="K1921" s="123"/>
      <c r="L1921" s="123"/>
    </row>
    <row r="1922" spans="7:12" s="122" customFormat="1">
      <c r="G1922" s="133"/>
      <c r="J1922" s="123"/>
      <c r="K1922" s="123"/>
      <c r="L1922" s="123"/>
    </row>
    <row r="1923" spans="7:12" s="122" customFormat="1">
      <c r="G1923" s="133"/>
      <c r="J1923" s="123"/>
      <c r="K1923" s="123"/>
      <c r="L1923" s="123"/>
    </row>
    <row r="1924" spans="7:12" s="122" customFormat="1">
      <c r="G1924" s="133"/>
      <c r="J1924" s="123"/>
      <c r="K1924" s="123"/>
      <c r="L1924" s="123"/>
    </row>
    <row r="1925" spans="7:12" s="122" customFormat="1">
      <c r="G1925" s="133"/>
      <c r="J1925" s="123"/>
      <c r="K1925" s="123"/>
      <c r="L1925" s="123"/>
    </row>
    <row r="1926" spans="7:12" s="122" customFormat="1">
      <c r="G1926" s="133"/>
      <c r="J1926" s="123"/>
      <c r="K1926" s="123"/>
      <c r="L1926" s="123"/>
    </row>
    <row r="1927" spans="7:12" s="122" customFormat="1">
      <c r="G1927" s="133"/>
      <c r="J1927" s="123"/>
      <c r="K1927" s="123"/>
      <c r="L1927" s="123"/>
    </row>
    <row r="1928" spans="7:12" s="122" customFormat="1">
      <c r="G1928" s="133"/>
      <c r="J1928" s="123"/>
      <c r="K1928" s="123"/>
      <c r="L1928" s="123"/>
    </row>
    <row r="1929" spans="7:12" s="122" customFormat="1">
      <c r="G1929" s="133"/>
      <c r="J1929" s="123"/>
      <c r="K1929" s="123"/>
      <c r="L1929" s="123"/>
    </row>
    <row r="1930" spans="7:12" s="122" customFormat="1">
      <c r="G1930" s="133"/>
      <c r="J1930" s="123"/>
      <c r="K1930" s="123"/>
      <c r="L1930" s="123"/>
    </row>
    <row r="1931" spans="7:12" s="122" customFormat="1">
      <c r="G1931" s="133"/>
      <c r="J1931" s="123"/>
      <c r="K1931" s="123"/>
      <c r="L1931" s="123"/>
    </row>
    <row r="1932" spans="7:12" s="122" customFormat="1">
      <c r="G1932" s="133"/>
      <c r="J1932" s="123"/>
      <c r="K1932" s="123"/>
      <c r="L1932" s="123"/>
    </row>
    <row r="1933" spans="7:12" s="122" customFormat="1">
      <c r="G1933" s="133"/>
      <c r="J1933" s="123"/>
      <c r="K1933" s="123"/>
      <c r="L1933" s="123"/>
    </row>
    <row r="1934" spans="7:12" s="122" customFormat="1">
      <c r="G1934" s="133"/>
      <c r="J1934" s="123"/>
      <c r="K1934" s="123"/>
      <c r="L1934" s="123"/>
    </row>
    <row r="1935" spans="7:12" s="122" customFormat="1">
      <c r="G1935" s="133"/>
      <c r="J1935" s="123"/>
      <c r="K1935" s="123"/>
      <c r="L1935" s="123"/>
    </row>
    <row r="1936" spans="7:12" s="122" customFormat="1">
      <c r="G1936" s="133"/>
      <c r="J1936" s="123"/>
      <c r="K1936" s="123"/>
      <c r="L1936" s="123"/>
    </row>
    <row r="1937" spans="7:12" s="122" customFormat="1">
      <c r="G1937" s="133"/>
      <c r="J1937" s="123"/>
      <c r="K1937" s="123"/>
      <c r="L1937" s="123"/>
    </row>
    <row r="1938" spans="7:12" s="122" customFormat="1">
      <c r="G1938" s="133"/>
      <c r="J1938" s="123"/>
      <c r="K1938" s="123"/>
      <c r="L1938" s="123"/>
    </row>
    <row r="1939" spans="7:12" s="122" customFormat="1">
      <c r="G1939" s="133"/>
      <c r="J1939" s="123"/>
      <c r="K1939" s="123"/>
      <c r="L1939" s="123"/>
    </row>
    <row r="1940" spans="7:12" s="122" customFormat="1">
      <c r="G1940" s="133"/>
      <c r="J1940" s="123"/>
      <c r="K1940" s="123"/>
      <c r="L1940" s="123"/>
    </row>
    <row r="1941" spans="7:12" s="122" customFormat="1">
      <c r="G1941" s="133"/>
      <c r="J1941" s="123"/>
      <c r="K1941" s="123"/>
      <c r="L1941" s="123"/>
    </row>
    <row r="1942" spans="7:12" s="122" customFormat="1">
      <c r="G1942" s="133"/>
      <c r="J1942" s="123"/>
      <c r="K1942" s="123"/>
      <c r="L1942" s="123"/>
    </row>
    <row r="1943" spans="7:12" s="122" customFormat="1">
      <c r="G1943" s="133"/>
      <c r="J1943" s="123"/>
      <c r="K1943" s="123"/>
      <c r="L1943" s="123"/>
    </row>
    <row r="1944" spans="7:12" s="122" customFormat="1">
      <c r="G1944" s="133"/>
      <c r="J1944" s="123"/>
      <c r="K1944" s="123"/>
      <c r="L1944" s="123"/>
    </row>
    <row r="1945" spans="7:12" s="122" customFormat="1">
      <c r="G1945" s="133"/>
      <c r="J1945" s="123"/>
      <c r="K1945" s="123"/>
      <c r="L1945" s="123"/>
    </row>
    <row r="1946" spans="7:12" s="122" customFormat="1">
      <c r="G1946" s="133"/>
      <c r="J1946" s="123"/>
      <c r="K1946" s="123"/>
      <c r="L1946" s="123"/>
    </row>
    <row r="1947" spans="7:12" s="122" customFormat="1">
      <c r="G1947" s="133"/>
      <c r="J1947" s="123"/>
      <c r="K1947" s="123"/>
      <c r="L1947" s="123"/>
    </row>
    <row r="1948" spans="7:12" s="122" customFormat="1">
      <c r="G1948" s="133"/>
      <c r="J1948" s="123"/>
      <c r="K1948" s="123"/>
      <c r="L1948" s="123"/>
    </row>
    <row r="1949" spans="7:12" s="122" customFormat="1">
      <c r="G1949" s="133"/>
      <c r="J1949" s="123"/>
      <c r="K1949" s="123"/>
      <c r="L1949" s="123"/>
    </row>
    <row r="1950" spans="7:12" s="122" customFormat="1">
      <c r="G1950" s="133"/>
      <c r="J1950" s="123"/>
      <c r="K1950" s="123"/>
      <c r="L1950" s="123"/>
    </row>
    <row r="1951" spans="7:12" s="122" customFormat="1">
      <c r="G1951" s="133"/>
      <c r="J1951" s="123"/>
      <c r="K1951" s="123"/>
      <c r="L1951" s="123"/>
    </row>
    <row r="1952" spans="7:12" s="122" customFormat="1">
      <c r="G1952" s="133"/>
      <c r="J1952" s="123"/>
      <c r="K1952" s="123"/>
      <c r="L1952" s="123"/>
    </row>
    <row r="1953" spans="7:12" s="122" customFormat="1">
      <c r="G1953" s="133"/>
      <c r="J1953" s="123"/>
      <c r="K1953" s="123"/>
      <c r="L1953" s="123"/>
    </row>
    <row r="1954" spans="7:12" s="122" customFormat="1">
      <c r="G1954" s="133"/>
      <c r="J1954" s="123"/>
      <c r="K1954" s="123"/>
      <c r="L1954" s="123"/>
    </row>
    <row r="1955" spans="7:12" s="122" customFormat="1">
      <c r="G1955" s="133"/>
      <c r="J1955" s="123"/>
      <c r="K1955" s="123"/>
      <c r="L1955" s="123"/>
    </row>
    <row r="1956" spans="7:12" s="122" customFormat="1">
      <c r="G1956" s="133"/>
      <c r="J1956" s="123"/>
      <c r="K1956" s="123"/>
      <c r="L1956" s="123"/>
    </row>
    <row r="1957" spans="7:12" s="122" customFormat="1">
      <c r="G1957" s="133"/>
      <c r="J1957" s="123"/>
      <c r="K1957" s="123"/>
      <c r="L1957" s="123"/>
    </row>
    <row r="1958" spans="7:12" s="122" customFormat="1">
      <c r="G1958" s="133"/>
      <c r="J1958" s="123"/>
      <c r="K1958" s="123"/>
      <c r="L1958" s="123"/>
    </row>
    <row r="1959" spans="7:12" s="122" customFormat="1">
      <c r="G1959" s="133"/>
      <c r="J1959" s="123"/>
      <c r="K1959" s="123"/>
      <c r="L1959" s="123"/>
    </row>
    <row r="1960" spans="7:12" s="122" customFormat="1">
      <c r="G1960" s="133"/>
      <c r="J1960" s="123"/>
      <c r="K1960" s="123"/>
      <c r="L1960" s="123"/>
    </row>
    <row r="1961" spans="7:12" s="122" customFormat="1">
      <c r="G1961" s="133"/>
      <c r="J1961" s="123"/>
      <c r="K1961" s="123"/>
      <c r="L1961" s="123"/>
    </row>
    <row r="1962" spans="7:12" s="122" customFormat="1">
      <c r="G1962" s="133"/>
      <c r="J1962" s="123"/>
      <c r="K1962" s="123"/>
      <c r="L1962" s="123"/>
    </row>
    <row r="1963" spans="7:12" s="122" customFormat="1">
      <c r="G1963" s="133"/>
      <c r="J1963" s="123"/>
      <c r="K1963" s="123"/>
      <c r="L1963" s="123"/>
    </row>
    <row r="1964" spans="7:12" s="122" customFormat="1">
      <c r="G1964" s="133"/>
      <c r="J1964" s="123"/>
      <c r="K1964" s="123"/>
      <c r="L1964" s="123"/>
    </row>
    <row r="1965" spans="7:12" s="122" customFormat="1">
      <c r="G1965" s="133"/>
      <c r="J1965" s="123"/>
      <c r="K1965" s="123"/>
      <c r="L1965" s="123"/>
    </row>
    <row r="1966" spans="7:12" s="122" customFormat="1">
      <c r="G1966" s="133"/>
      <c r="J1966" s="123"/>
      <c r="K1966" s="123"/>
      <c r="L1966" s="123"/>
    </row>
    <row r="1967" spans="7:12" s="122" customFormat="1">
      <c r="G1967" s="133"/>
      <c r="J1967" s="123"/>
      <c r="K1967" s="123"/>
      <c r="L1967" s="123"/>
    </row>
    <row r="1968" spans="7:12" s="122" customFormat="1">
      <c r="G1968" s="133"/>
      <c r="J1968" s="123"/>
      <c r="K1968" s="123"/>
      <c r="L1968" s="123"/>
    </row>
    <row r="1969" spans="7:12" s="122" customFormat="1">
      <c r="G1969" s="133"/>
      <c r="J1969" s="123"/>
      <c r="K1969" s="123"/>
      <c r="L1969" s="123"/>
    </row>
    <row r="1970" spans="7:12" s="122" customFormat="1">
      <c r="G1970" s="133"/>
      <c r="J1970" s="123"/>
      <c r="K1970" s="123"/>
      <c r="L1970" s="123"/>
    </row>
    <row r="1971" spans="7:12" s="122" customFormat="1">
      <c r="G1971" s="133"/>
      <c r="J1971" s="123"/>
      <c r="K1971" s="123"/>
      <c r="L1971" s="123"/>
    </row>
    <row r="1972" spans="7:12" s="122" customFormat="1">
      <c r="G1972" s="133"/>
      <c r="J1972" s="123"/>
      <c r="K1972" s="123"/>
      <c r="L1972" s="123"/>
    </row>
    <row r="1973" spans="7:12" s="122" customFormat="1">
      <c r="G1973" s="133"/>
      <c r="J1973" s="123"/>
      <c r="K1973" s="123"/>
      <c r="L1973" s="123"/>
    </row>
    <row r="1974" spans="7:12" s="122" customFormat="1">
      <c r="G1974" s="133"/>
      <c r="J1974" s="123"/>
      <c r="K1974" s="123"/>
      <c r="L1974" s="123"/>
    </row>
    <row r="1975" spans="7:12" s="122" customFormat="1">
      <c r="G1975" s="133"/>
      <c r="J1975" s="123"/>
      <c r="K1975" s="123"/>
      <c r="L1975" s="123"/>
    </row>
    <row r="1976" spans="7:12" s="122" customFormat="1">
      <c r="G1976" s="133"/>
      <c r="J1976" s="123"/>
      <c r="K1976" s="123"/>
      <c r="L1976" s="123"/>
    </row>
    <row r="1977" spans="7:12" s="122" customFormat="1">
      <c r="G1977" s="133"/>
      <c r="J1977" s="123"/>
      <c r="K1977" s="123"/>
      <c r="L1977" s="123"/>
    </row>
    <row r="1978" spans="7:12" s="122" customFormat="1">
      <c r="G1978" s="133"/>
      <c r="J1978" s="123"/>
      <c r="K1978" s="123"/>
      <c r="L1978" s="123"/>
    </row>
    <row r="1979" spans="7:12" s="122" customFormat="1">
      <c r="G1979" s="133"/>
      <c r="J1979" s="123"/>
      <c r="K1979" s="123"/>
      <c r="L1979" s="123"/>
    </row>
    <row r="1980" spans="7:12" s="122" customFormat="1">
      <c r="G1980" s="133"/>
      <c r="J1980" s="123"/>
      <c r="K1980" s="123"/>
      <c r="L1980" s="123"/>
    </row>
    <row r="1981" spans="7:12" s="122" customFormat="1">
      <c r="G1981" s="133"/>
      <c r="J1981" s="123"/>
      <c r="K1981" s="123"/>
      <c r="L1981" s="123"/>
    </row>
    <row r="1982" spans="7:12" s="122" customFormat="1">
      <c r="G1982" s="133"/>
      <c r="J1982" s="123"/>
      <c r="K1982" s="123"/>
      <c r="L1982" s="123"/>
    </row>
    <row r="1983" spans="7:12" s="122" customFormat="1">
      <c r="G1983" s="133"/>
      <c r="J1983" s="123"/>
      <c r="K1983" s="123"/>
      <c r="L1983" s="123"/>
    </row>
    <row r="1984" spans="7:12" s="122" customFormat="1">
      <c r="G1984" s="133"/>
      <c r="J1984" s="123"/>
      <c r="K1984" s="123"/>
      <c r="L1984" s="123"/>
    </row>
    <row r="1985" spans="7:12" s="122" customFormat="1">
      <c r="G1985" s="133"/>
      <c r="J1985" s="123"/>
      <c r="K1985" s="123"/>
      <c r="L1985" s="123"/>
    </row>
    <row r="1986" spans="7:12" s="122" customFormat="1">
      <c r="G1986" s="133"/>
      <c r="J1986" s="123"/>
      <c r="K1986" s="123"/>
      <c r="L1986" s="123"/>
    </row>
    <row r="1987" spans="7:12" s="122" customFormat="1">
      <c r="G1987" s="133"/>
      <c r="J1987" s="123"/>
      <c r="K1987" s="123"/>
      <c r="L1987" s="123"/>
    </row>
    <row r="1988" spans="7:12" s="122" customFormat="1">
      <c r="G1988" s="133"/>
      <c r="J1988" s="123"/>
      <c r="K1988" s="123"/>
      <c r="L1988" s="123"/>
    </row>
    <row r="1989" spans="7:12" s="122" customFormat="1">
      <c r="G1989" s="133"/>
      <c r="J1989" s="123"/>
      <c r="K1989" s="123"/>
      <c r="L1989" s="123"/>
    </row>
    <row r="1990" spans="7:12" s="122" customFormat="1">
      <c r="G1990" s="133"/>
      <c r="J1990" s="123"/>
      <c r="K1990" s="123"/>
      <c r="L1990" s="123"/>
    </row>
    <row r="1991" spans="7:12" s="122" customFormat="1">
      <c r="G1991" s="133"/>
      <c r="J1991" s="123"/>
      <c r="K1991" s="123"/>
      <c r="L1991" s="123"/>
    </row>
    <row r="1992" spans="7:12" s="122" customFormat="1">
      <c r="G1992" s="133"/>
      <c r="J1992" s="123"/>
      <c r="K1992" s="123"/>
      <c r="L1992" s="123"/>
    </row>
    <row r="1993" spans="7:12" s="122" customFormat="1">
      <c r="G1993" s="133"/>
      <c r="J1993" s="123"/>
      <c r="K1993" s="123"/>
      <c r="L1993" s="123"/>
    </row>
    <row r="1994" spans="7:12" s="122" customFormat="1">
      <c r="G1994" s="133"/>
      <c r="J1994" s="123"/>
      <c r="K1994" s="123"/>
      <c r="L1994" s="123"/>
    </row>
    <row r="1995" spans="7:12" s="122" customFormat="1">
      <c r="G1995" s="133"/>
      <c r="J1995" s="123"/>
      <c r="K1995" s="123"/>
      <c r="L1995" s="123"/>
    </row>
    <row r="1996" spans="7:12" s="122" customFormat="1">
      <c r="G1996" s="133"/>
      <c r="J1996" s="123"/>
      <c r="K1996" s="123"/>
      <c r="L1996" s="123"/>
    </row>
    <row r="1997" spans="7:12" s="122" customFormat="1">
      <c r="G1997" s="133"/>
      <c r="J1997" s="123"/>
      <c r="K1997" s="123"/>
      <c r="L1997" s="123"/>
    </row>
    <row r="1998" spans="7:12" s="122" customFormat="1">
      <c r="G1998" s="133"/>
      <c r="J1998" s="123"/>
      <c r="K1998" s="123"/>
      <c r="L1998" s="123"/>
    </row>
    <row r="1999" spans="7:12" s="122" customFormat="1">
      <c r="G1999" s="133"/>
      <c r="J1999" s="123"/>
      <c r="K1999" s="123"/>
      <c r="L1999" s="123"/>
    </row>
    <row r="2000" spans="7:12" s="122" customFormat="1">
      <c r="G2000" s="133"/>
      <c r="J2000" s="123"/>
      <c r="K2000" s="123"/>
      <c r="L2000" s="123"/>
    </row>
    <row r="2001" spans="7:12" s="122" customFormat="1">
      <c r="G2001" s="133"/>
      <c r="J2001" s="123"/>
      <c r="K2001" s="123"/>
      <c r="L2001" s="123"/>
    </row>
    <row r="2002" spans="7:12" s="122" customFormat="1">
      <c r="G2002" s="133"/>
      <c r="J2002" s="123"/>
      <c r="K2002" s="123"/>
      <c r="L2002" s="123"/>
    </row>
    <row r="2003" spans="7:12" s="122" customFormat="1">
      <c r="G2003" s="133"/>
      <c r="J2003" s="123"/>
      <c r="K2003" s="123"/>
      <c r="L2003" s="123"/>
    </row>
    <row r="2004" spans="7:12" s="122" customFormat="1">
      <c r="G2004" s="133"/>
      <c r="J2004" s="123"/>
      <c r="K2004" s="123"/>
      <c r="L2004" s="123"/>
    </row>
    <row r="2005" spans="7:12" s="122" customFormat="1">
      <c r="G2005" s="133"/>
      <c r="J2005" s="123"/>
      <c r="K2005" s="123"/>
      <c r="L2005" s="123"/>
    </row>
    <row r="2006" spans="7:12" s="122" customFormat="1">
      <c r="G2006" s="133"/>
      <c r="J2006" s="123"/>
      <c r="K2006" s="123"/>
      <c r="L2006" s="123"/>
    </row>
    <row r="2007" spans="7:12" s="122" customFormat="1">
      <c r="G2007" s="133"/>
      <c r="J2007" s="123"/>
      <c r="K2007" s="123"/>
      <c r="L2007" s="123"/>
    </row>
    <row r="2008" spans="7:12" s="122" customFormat="1">
      <c r="G2008" s="133"/>
      <c r="J2008" s="123"/>
      <c r="K2008" s="123"/>
      <c r="L2008" s="123"/>
    </row>
    <row r="2009" spans="7:12" s="122" customFormat="1">
      <c r="G2009" s="133"/>
      <c r="J2009" s="123"/>
      <c r="K2009" s="123"/>
      <c r="L2009" s="123"/>
    </row>
    <row r="2010" spans="7:12" s="122" customFormat="1">
      <c r="G2010" s="133"/>
      <c r="J2010" s="123"/>
      <c r="K2010" s="123"/>
      <c r="L2010" s="123"/>
    </row>
    <row r="2011" spans="7:12" s="122" customFormat="1">
      <c r="G2011" s="133"/>
      <c r="J2011" s="123"/>
      <c r="K2011" s="123"/>
      <c r="L2011" s="123"/>
    </row>
    <row r="2012" spans="7:12" s="122" customFormat="1">
      <c r="G2012" s="133"/>
      <c r="J2012" s="123"/>
      <c r="K2012" s="123"/>
      <c r="L2012" s="123"/>
    </row>
    <row r="2013" spans="7:12" s="122" customFormat="1">
      <c r="G2013" s="133"/>
      <c r="J2013" s="123"/>
      <c r="K2013" s="123"/>
      <c r="L2013" s="123"/>
    </row>
    <row r="2014" spans="7:12" s="122" customFormat="1">
      <c r="G2014" s="133"/>
      <c r="J2014" s="123"/>
      <c r="K2014" s="123"/>
      <c r="L2014" s="123"/>
    </row>
    <row r="2015" spans="7:12" s="122" customFormat="1">
      <c r="G2015" s="133"/>
      <c r="J2015" s="123"/>
      <c r="K2015" s="123"/>
      <c r="L2015" s="123"/>
    </row>
    <row r="2016" spans="7:12" s="122" customFormat="1">
      <c r="G2016" s="133"/>
      <c r="J2016" s="123"/>
      <c r="K2016" s="123"/>
      <c r="L2016" s="123"/>
    </row>
    <row r="2017" spans="7:12" s="122" customFormat="1">
      <c r="G2017" s="133"/>
      <c r="J2017" s="123"/>
      <c r="K2017" s="123"/>
      <c r="L2017" s="123"/>
    </row>
    <row r="2018" spans="7:12" s="122" customFormat="1">
      <c r="G2018" s="133"/>
      <c r="J2018" s="123"/>
      <c r="K2018" s="123"/>
      <c r="L2018" s="123"/>
    </row>
    <row r="2019" spans="7:12" s="122" customFormat="1">
      <c r="G2019" s="133"/>
      <c r="J2019" s="123"/>
      <c r="K2019" s="123"/>
      <c r="L2019" s="123"/>
    </row>
    <row r="2020" spans="7:12" s="122" customFormat="1">
      <c r="G2020" s="133"/>
      <c r="J2020" s="123"/>
      <c r="K2020" s="123"/>
      <c r="L2020" s="123"/>
    </row>
    <row r="2021" spans="7:12" s="122" customFormat="1">
      <c r="G2021" s="133"/>
      <c r="J2021" s="123"/>
      <c r="K2021" s="123"/>
      <c r="L2021" s="123"/>
    </row>
    <row r="2022" spans="7:12" s="122" customFormat="1">
      <c r="G2022" s="133"/>
      <c r="J2022" s="123"/>
      <c r="K2022" s="123"/>
      <c r="L2022" s="123"/>
    </row>
    <row r="2023" spans="7:12" s="122" customFormat="1">
      <c r="G2023" s="133"/>
      <c r="J2023" s="123"/>
      <c r="K2023" s="123"/>
      <c r="L2023" s="123"/>
    </row>
    <row r="2024" spans="7:12" s="122" customFormat="1">
      <c r="G2024" s="133"/>
      <c r="J2024" s="123"/>
      <c r="K2024" s="123"/>
      <c r="L2024" s="123"/>
    </row>
    <row r="2025" spans="7:12" s="122" customFormat="1">
      <c r="G2025" s="133"/>
      <c r="J2025" s="123"/>
      <c r="K2025" s="123"/>
      <c r="L2025" s="123"/>
    </row>
    <row r="2026" spans="7:12" s="122" customFormat="1">
      <c r="G2026" s="133"/>
      <c r="J2026" s="123"/>
      <c r="K2026" s="123"/>
      <c r="L2026" s="123"/>
    </row>
    <row r="2027" spans="7:12" s="122" customFormat="1">
      <c r="G2027" s="133"/>
      <c r="J2027" s="123"/>
      <c r="K2027" s="123"/>
      <c r="L2027" s="123"/>
    </row>
    <row r="2028" spans="7:12" s="122" customFormat="1">
      <c r="G2028" s="133"/>
      <c r="J2028" s="123"/>
      <c r="K2028" s="123"/>
      <c r="L2028" s="123"/>
    </row>
    <row r="2029" spans="7:12" s="122" customFormat="1">
      <c r="G2029" s="133"/>
      <c r="J2029" s="123"/>
      <c r="K2029" s="123"/>
      <c r="L2029" s="123"/>
    </row>
    <row r="2030" spans="7:12" s="122" customFormat="1">
      <c r="G2030" s="133"/>
      <c r="J2030" s="123"/>
      <c r="K2030" s="123"/>
      <c r="L2030" s="123"/>
    </row>
    <row r="2031" spans="7:12" s="122" customFormat="1">
      <c r="G2031" s="133"/>
      <c r="J2031" s="123"/>
      <c r="K2031" s="123"/>
      <c r="L2031" s="123"/>
    </row>
    <row r="2032" spans="7:12" s="122" customFormat="1">
      <c r="G2032" s="133"/>
      <c r="J2032" s="123"/>
      <c r="K2032" s="123"/>
      <c r="L2032" s="123"/>
    </row>
    <row r="2033" spans="7:12" s="122" customFormat="1">
      <c r="G2033" s="133"/>
      <c r="J2033" s="123"/>
      <c r="K2033" s="123"/>
      <c r="L2033" s="123"/>
    </row>
    <row r="2034" spans="7:12" s="122" customFormat="1">
      <c r="G2034" s="133"/>
      <c r="J2034" s="123"/>
      <c r="K2034" s="123"/>
      <c r="L2034" s="123"/>
    </row>
    <row r="2035" spans="7:12" s="122" customFormat="1">
      <c r="G2035" s="133"/>
      <c r="J2035" s="123"/>
      <c r="K2035" s="123"/>
      <c r="L2035" s="123"/>
    </row>
    <row r="2036" spans="7:12" s="122" customFormat="1">
      <c r="G2036" s="133"/>
      <c r="J2036" s="123"/>
      <c r="K2036" s="123"/>
      <c r="L2036" s="123"/>
    </row>
    <row r="2037" spans="7:12" s="122" customFormat="1">
      <c r="G2037" s="133"/>
      <c r="J2037" s="123"/>
      <c r="K2037" s="123"/>
      <c r="L2037" s="123"/>
    </row>
    <row r="2038" spans="7:12" s="122" customFormat="1">
      <c r="G2038" s="133"/>
      <c r="J2038" s="123"/>
      <c r="K2038" s="123"/>
      <c r="L2038" s="123"/>
    </row>
    <row r="2039" spans="7:12" s="122" customFormat="1">
      <c r="G2039" s="133"/>
      <c r="J2039" s="123"/>
      <c r="K2039" s="123"/>
      <c r="L2039" s="123"/>
    </row>
    <row r="2040" spans="7:12" s="122" customFormat="1">
      <c r="G2040" s="133"/>
      <c r="J2040" s="123"/>
      <c r="K2040" s="123"/>
      <c r="L2040" s="123"/>
    </row>
    <row r="2041" spans="7:12" s="122" customFormat="1">
      <c r="G2041" s="133"/>
      <c r="J2041" s="123"/>
      <c r="K2041" s="123"/>
      <c r="L2041" s="123"/>
    </row>
    <row r="2042" spans="7:12" s="122" customFormat="1">
      <c r="G2042" s="133"/>
      <c r="J2042" s="123"/>
      <c r="K2042" s="123"/>
      <c r="L2042" s="123"/>
    </row>
    <row r="2043" spans="7:12" s="122" customFormat="1">
      <c r="G2043" s="133"/>
      <c r="J2043" s="123"/>
      <c r="K2043" s="123"/>
      <c r="L2043" s="123"/>
    </row>
    <row r="2044" spans="7:12" s="122" customFormat="1">
      <c r="G2044" s="133"/>
      <c r="J2044" s="123"/>
      <c r="K2044" s="123"/>
      <c r="L2044" s="123"/>
    </row>
    <row r="2045" spans="7:12" s="122" customFormat="1">
      <c r="G2045" s="133"/>
      <c r="J2045" s="123"/>
      <c r="K2045" s="123"/>
      <c r="L2045" s="123"/>
    </row>
    <row r="2046" spans="7:12" s="122" customFormat="1">
      <c r="G2046" s="133"/>
      <c r="J2046" s="123"/>
      <c r="K2046" s="123"/>
      <c r="L2046" s="123"/>
    </row>
    <row r="2047" spans="7:12" s="122" customFormat="1">
      <c r="G2047" s="133"/>
      <c r="J2047" s="123"/>
      <c r="K2047" s="123"/>
      <c r="L2047" s="123"/>
    </row>
    <row r="2048" spans="7:12" s="122" customFormat="1">
      <c r="G2048" s="133"/>
      <c r="J2048" s="123"/>
      <c r="K2048" s="123"/>
      <c r="L2048" s="123"/>
    </row>
    <row r="2049" spans="7:12" s="122" customFormat="1">
      <c r="G2049" s="133"/>
      <c r="J2049" s="123"/>
      <c r="K2049" s="123"/>
      <c r="L2049" s="123"/>
    </row>
    <row r="2050" spans="7:12" s="122" customFormat="1">
      <c r="G2050" s="133"/>
      <c r="J2050" s="123"/>
      <c r="K2050" s="123"/>
      <c r="L2050" s="123"/>
    </row>
    <row r="2051" spans="7:12" s="122" customFormat="1">
      <c r="G2051" s="133"/>
      <c r="J2051" s="123"/>
      <c r="K2051" s="123"/>
      <c r="L2051" s="123"/>
    </row>
    <row r="2052" spans="7:12" s="122" customFormat="1">
      <c r="G2052" s="133"/>
      <c r="J2052" s="123"/>
      <c r="K2052" s="123"/>
      <c r="L2052" s="123"/>
    </row>
    <row r="2053" spans="7:12" s="122" customFormat="1">
      <c r="G2053" s="133"/>
      <c r="J2053" s="123"/>
      <c r="K2053" s="123"/>
      <c r="L2053" s="123"/>
    </row>
    <row r="2054" spans="7:12" s="122" customFormat="1">
      <c r="G2054" s="133"/>
      <c r="J2054" s="123"/>
      <c r="K2054" s="123"/>
      <c r="L2054" s="123"/>
    </row>
    <row r="2055" spans="7:12" s="122" customFormat="1">
      <c r="G2055" s="133"/>
      <c r="J2055" s="123"/>
      <c r="K2055" s="123"/>
      <c r="L2055" s="123"/>
    </row>
    <row r="2056" spans="7:12" s="122" customFormat="1">
      <c r="G2056" s="133"/>
      <c r="J2056" s="123"/>
      <c r="K2056" s="123"/>
      <c r="L2056" s="123"/>
    </row>
    <row r="2057" spans="7:12" s="122" customFormat="1">
      <c r="G2057" s="133"/>
      <c r="J2057" s="123"/>
      <c r="K2057" s="123"/>
      <c r="L2057" s="123"/>
    </row>
    <row r="2058" spans="7:12" s="122" customFormat="1">
      <c r="G2058" s="133"/>
      <c r="J2058" s="123"/>
      <c r="K2058" s="123"/>
      <c r="L2058" s="123"/>
    </row>
    <row r="2059" spans="7:12" s="122" customFormat="1">
      <c r="G2059" s="133"/>
      <c r="J2059" s="123"/>
      <c r="K2059" s="123"/>
      <c r="L2059" s="123"/>
    </row>
    <row r="2060" spans="7:12" s="122" customFormat="1">
      <c r="G2060" s="133"/>
      <c r="J2060" s="123"/>
      <c r="K2060" s="123"/>
      <c r="L2060" s="123"/>
    </row>
    <row r="2061" spans="7:12" s="122" customFormat="1">
      <c r="G2061" s="133"/>
      <c r="J2061" s="123"/>
      <c r="K2061" s="123"/>
      <c r="L2061" s="123"/>
    </row>
    <row r="2062" spans="7:12" s="122" customFormat="1">
      <c r="G2062" s="133"/>
      <c r="J2062" s="123"/>
      <c r="K2062" s="123"/>
      <c r="L2062" s="123"/>
    </row>
    <row r="2063" spans="7:12" s="122" customFormat="1">
      <c r="G2063" s="133"/>
      <c r="J2063" s="123"/>
      <c r="K2063" s="123"/>
      <c r="L2063" s="123"/>
    </row>
    <row r="2064" spans="7:12" s="122" customFormat="1">
      <c r="G2064" s="133"/>
      <c r="J2064" s="123"/>
      <c r="K2064" s="123"/>
      <c r="L2064" s="123"/>
    </row>
    <row r="2065" spans="7:12" s="122" customFormat="1">
      <c r="G2065" s="133"/>
      <c r="J2065" s="123"/>
      <c r="K2065" s="123"/>
      <c r="L2065" s="123"/>
    </row>
    <row r="2066" spans="7:12" s="122" customFormat="1">
      <c r="G2066" s="133"/>
      <c r="J2066" s="123"/>
      <c r="K2066" s="123"/>
      <c r="L2066" s="123"/>
    </row>
    <row r="2067" spans="7:12" s="122" customFormat="1">
      <c r="G2067" s="133"/>
      <c r="J2067" s="123"/>
      <c r="K2067" s="123"/>
      <c r="L2067" s="123"/>
    </row>
    <row r="2068" spans="7:12" s="122" customFormat="1">
      <c r="G2068" s="133"/>
      <c r="J2068" s="123"/>
      <c r="K2068" s="123"/>
      <c r="L2068" s="123"/>
    </row>
    <row r="2069" spans="7:12" s="122" customFormat="1">
      <c r="G2069" s="133"/>
      <c r="J2069" s="123"/>
      <c r="K2069" s="123"/>
      <c r="L2069" s="123"/>
    </row>
    <row r="2070" spans="7:12" s="122" customFormat="1">
      <c r="G2070" s="133"/>
      <c r="J2070" s="123"/>
      <c r="K2070" s="123"/>
      <c r="L2070" s="123"/>
    </row>
    <row r="2071" spans="7:12" s="122" customFormat="1">
      <c r="G2071" s="133"/>
      <c r="J2071" s="123"/>
      <c r="K2071" s="123"/>
      <c r="L2071" s="123"/>
    </row>
    <row r="2072" spans="7:12" s="122" customFormat="1">
      <c r="G2072" s="133"/>
      <c r="J2072" s="123"/>
      <c r="K2072" s="123"/>
      <c r="L2072" s="123"/>
    </row>
    <row r="2073" spans="7:12" s="122" customFormat="1">
      <c r="G2073" s="133"/>
      <c r="J2073" s="123"/>
      <c r="K2073" s="123"/>
      <c r="L2073" s="123"/>
    </row>
    <row r="2074" spans="7:12" s="122" customFormat="1">
      <c r="G2074" s="133"/>
      <c r="J2074" s="123"/>
      <c r="K2074" s="123"/>
      <c r="L2074" s="123"/>
    </row>
    <row r="2075" spans="7:12" s="122" customFormat="1">
      <c r="G2075" s="133"/>
      <c r="J2075" s="123"/>
      <c r="K2075" s="123"/>
      <c r="L2075" s="123"/>
    </row>
    <row r="2076" spans="7:12" s="122" customFormat="1">
      <c r="G2076" s="133"/>
      <c r="J2076" s="123"/>
      <c r="K2076" s="123"/>
      <c r="L2076" s="123"/>
    </row>
    <row r="2077" spans="7:12" s="122" customFormat="1">
      <c r="G2077" s="133"/>
      <c r="J2077" s="123"/>
      <c r="K2077" s="123"/>
      <c r="L2077" s="123"/>
    </row>
    <row r="2078" spans="7:12" s="122" customFormat="1">
      <c r="G2078" s="133"/>
      <c r="J2078" s="123"/>
      <c r="K2078" s="123"/>
      <c r="L2078" s="123"/>
    </row>
    <row r="2079" spans="7:12" s="122" customFormat="1">
      <c r="G2079" s="133"/>
      <c r="J2079" s="123"/>
      <c r="K2079" s="123"/>
      <c r="L2079" s="123"/>
    </row>
    <row r="2080" spans="7:12" s="122" customFormat="1">
      <c r="G2080" s="133"/>
      <c r="J2080" s="123"/>
      <c r="K2080" s="123"/>
      <c r="L2080" s="123"/>
    </row>
    <row r="2081" spans="7:12" s="122" customFormat="1">
      <c r="G2081" s="133"/>
      <c r="J2081" s="123"/>
      <c r="K2081" s="123"/>
      <c r="L2081" s="123"/>
    </row>
    <row r="2082" spans="7:12" s="122" customFormat="1">
      <c r="G2082" s="133"/>
      <c r="J2082" s="123"/>
      <c r="K2082" s="123"/>
      <c r="L2082" s="123"/>
    </row>
    <row r="2083" spans="7:12" s="122" customFormat="1">
      <c r="G2083" s="133"/>
      <c r="J2083" s="123"/>
      <c r="K2083" s="123"/>
      <c r="L2083" s="123"/>
    </row>
    <row r="2084" spans="7:12" s="122" customFormat="1">
      <c r="G2084" s="133"/>
      <c r="J2084" s="123"/>
      <c r="K2084" s="123"/>
      <c r="L2084" s="123"/>
    </row>
    <row r="2085" spans="7:12" s="122" customFormat="1">
      <c r="G2085" s="133"/>
      <c r="J2085" s="123"/>
      <c r="K2085" s="123"/>
      <c r="L2085" s="123"/>
    </row>
    <row r="2086" spans="7:12" s="122" customFormat="1">
      <c r="G2086" s="133"/>
      <c r="J2086" s="123"/>
      <c r="K2086" s="123"/>
      <c r="L2086" s="123"/>
    </row>
    <row r="2087" spans="7:12" s="122" customFormat="1">
      <c r="G2087" s="133"/>
      <c r="J2087" s="123"/>
      <c r="K2087" s="123"/>
      <c r="L2087" s="123"/>
    </row>
    <row r="2088" spans="7:12" s="122" customFormat="1">
      <c r="G2088" s="133"/>
      <c r="J2088" s="123"/>
      <c r="K2088" s="123"/>
      <c r="L2088" s="123"/>
    </row>
    <row r="2089" spans="7:12" s="122" customFormat="1">
      <c r="G2089" s="133"/>
      <c r="J2089" s="123"/>
      <c r="K2089" s="123"/>
      <c r="L2089" s="123"/>
    </row>
    <row r="2090" spans="7:12" s="122" customFormat="1">
      <c r="G2090" s="133"/>
      <c r="J2090" s="123"/>
      <c r="K2090" s="123"/>
      <c r="L2090" s="123"/>
    </row>
    <row r="2091" spans="7:12" s="122" customFormat="1">
      <c r="G2091" s="133"/>
      <c r="J2091" s="123"/>
      <c r="K2091" s="123"/>
      <c r="L2091" s="123"/>
    </row>
    <row r="2092" spans="7:12" s="122" customFormat="1">
      <c r="G2092" s="133"/>
      <c r="J2092" s="123"/>
      <c r="K2092" s="123"/>
      <c r="L2092" s="123"/>
    </row>
    <row r="2093" spans="7:12" s="122" customFormat="1">
      <c r="G2093" s="133"/>
      <c r="J2093" s="123"/>
      <c r="K2093" s="123"/>
      <c r="L2093" s="123"/>
    </row>
    <row r="2094" spans="7:12" s="122" customFormat="1">
      <c r="G2094" s="133"/>
      <c r="J2094" s="123"/>
      <c r="K2094" s="123"/>
      <c r="L2094" s="123"/>
    </row>
    <row r="2095" spans="7:12" s="122" customFormat="1">
      <c r="G2095" s="133"/>
      <c r="J2095" s="123"/>
      <c r="K2095" s="123"/>
      <c r="L2095" s="123"/>
    </row>
    <row r="2096" spans="7:12" s="122" customFormat="1">
      <c r="G2096" s="133"/>
      <c r="J2096" s="123"/>
      <c r="K2096" s="123"/>
      <c r="L2096" s="123"/>
    </row>
    <row r="2097" spans="7:12" s="122" customFormat="1">
      <c r="G2097" s="133"/>
      <c r="J2097" s="123"/>
      <c r="K2097" s="123"/>
      <c r="L2097" s="123"/>
    </row>
    <row r="2098" spans="7:12" s="122" customFormat="1">
      <c r="G2098" s="133"/>
      <c r="J2098" s="123"/>
      <c r="K2098" s="123"/>
      <c r="L2098" s="123"/>
    </row>
    <row r="2099" spans="7:12" s="122" customFormat="1">
      <c r="G2099" s="133"/>
      <c r="J2099" s="123"/>
      <c r="K2099" s="123"/>
      <c r="L2099" s="123"/>
    </row>
    <row r="2100" spans="7:12" s="122" customFormat="1">
      <c r="G2100" s="133"/>
      <c r="J2100" s="123"/>
      <c r="K2100" s="123"/>
      <c r="L2100" s="123"/>
    </row>
    <row r="2101" spans="7:12" s="122" customFormat="1">
      <c r="G2101" s="133"/>
      <c r="J2101" s="123"/>
      <c r="K2101" s="123"/>
      <c r="L2101" s="123"/>
    </row>
    <row r="2102" spans="7:12" s="122" customFormat="1">
      <c r="G2102" s="133"/>
      <c r="J2102" s="123"/>
      <c r="K2102" s="123"/>
      <c r="L2102" s="123"/>
    </row>
    <row r="2103" spans="7:12" s="122" customFormat="1">
      <c r="G2103" s="133"/>
      <c r="J2103" s="123"/>
      <c r="K2103" s="123"/>
      <c r="L2103" s="123"/>
    </row>
    <row r="2104" spans="7:12" s="122" customFormat="1">
      <c r="G2104" s="133"/>
      <c r="J2104" s="123"/>
      <c r="K2104" s="123"/>
      <c r="L2104" s="123"/>
    </row>
    <row r="2105" spans="7:12" s="122" customFormat="1">
      <c r="G2105" s="133"/>
      <c r="J2105" s="123"/>
      <c r="K2105" s="123"/>
      <c r="L2105" s="123"/>
    </row>
    <row r="2106" spans="7:12" s="122" customFormat="1">
      <c r="G2106" s="133"/>
      <c r="J2106" s="123"/>
      <c r="K2106" s="123"/>
      <c r="L2106" s="123"/>
    </row>
    <row r="2107" spans="7:12" s="122" customFormat="1">
      <c r="G2107" s="133"/>
      <c r="J2107" s="123"/>
      <c r="K2107" s="123"/>
      <c r="L2107" s="123"/>
    </row>
    <row r="2108" spans="7:12" s="122" customFormat="1">
      <c r="G2108" s="133"/>
      <c r="J2108" s="123"/>
      <c r="K2108" s="123"/>
      <c r="L2108" s="123"/>
    </row>
    <row r="2109" spans="7:12" s="122" customFormat="1">
      <c r="G2109" s="133"/>
      <c r="J2109" s="123"/>
      <c r="K2109" s="123"/>
      <c r="L2109" s="123"/>
    </row>
    <row r="2110" spans="7:12" s="122" customFormat="1">
      <c r="G2110" s="133"/>
      <c r="J2110" s="123"/>
      <c r="K2110" s="123"/>
      <c r="L2110" s="123"/>
    </row>
    <row r="2111" spans="7:12" s="122" customFormat="1">
      <c r="G2111" s="133"/>
      <c r="J2111" s="123"/>
      <c r="K2111" s="123"/>
      <c r="L2111" s="123"/>
    </row>
    <row r="2112" spans="7:12" s="122" customFormat="1">
      <c r="G2112" s="133"/>
      <c r="J2112" s="123"/>
      <c r="K2112" s="123"/>
      <c r="L2112" s="123"/>
    </row>
    <row r="2113" spans="7:12" s="122" customFormat="1">
      <c r="G2113" s="133"/>
      <c r="J2113" s="123"/>
      <c r="K2113" s="123"/>
      <c r="L2113" s="123"/>
    </row>
    <row r="2114" spans="7:12" s="122" customFormat="1">
      <c r="G2114" s="133"/>
      <c r="J2114" s="123"/>
      <c r="K2114" s="123"/>
      <c r="L2114" s="123"/>
    </row>
    <row r="2115" spans="7:12" s="122" customFormat="1">
      <c r="G2115" s="133"/>
      <c r="J2115" s="123"/>
      <c r="K2115" s="123"/>
      <c r="L2115" s="123"/>
    </row>
    <row r="2116" spans="7:12" s="122" customFormat="1">
      <c r="G2116" s="133"/>
      <c r="J2116" s="123"/>
      <c r="K2116" s="123"/>
      <c r="L2116" s="123"/>
    </row>
    <row r="2117" spans="7:12" s="122" customFormat="1">
      <c r="G2117" s="133"/>
      <c r="J2117" s="123"/>
      <c r="K2117" s="123"/>
      <c r="L2117" s="123"/>
    </row>
    <row r="2118" spans="7:12" s="122" customFormat="1">
      <c r="G2118" s="133"/>
      <c r="J2118" s="123"/>
      <c r="K2118" s="123"/>
      <c r="L2118" s="123"/>
    </row>
    <row r="2119" spans="7:12" s="122" customFormat="1">
      <c r="G2119" s="133"/>
      <c r="J2119" s="123"/>
      <c r="K2119" s="123"/>
      <c r="L2119" s="123"/>
    </row>
    <row r="2120" spans="7:12" s="122" customFormat="1">
      <c r="G2120" s="133"/>
      <c r="J2120" s="123"/>
      <c r="K2120" s="123"/>
      <c r="L2120" s="123"/>
    </row>
    <row r="2121" spans="7:12" s="122" customFormat="1">
      <c r="G2121" s="133"/>
      <c r="J2121" s="123"/>
      <c r="K2121" s="123"/>
      <c r="L2121" s="123"/>
    </row>
    <row r="2122" spans="7:12" s="122" customFormat="1">
      <c r="G2122" s="133"/>
      <c r="J2122" s="123"/>
      <c r="K2122" s="123"/>
      <c r="L2122" s="123"/>
    </row>
    <row r="2123" spans="7:12" s="122" customFormat="1">
      <c r="G2123" s="133"/>
      <c r="J2123" s="123"/>
      <c r="K2123" s="123"/>
      <c r="L2123" s="123"/>
    </row>
    <row r="2124" spans="7:12" s="122" customFormat="1">
      <c r="G2124" s="133"/>
      <c r="J2124" s="123"/>
      <c r="K2124" s="123"/>
      <c r="L2124" s="123"/>
    </row>
    <row r="2125" spans="7:12" s="122" customFormat="1">
      <c r="G2125" s="133"/>
      <c r="J2125" s="123"/>
      <c r="K2125" s="123"/>
      <c r="L2125" s="123"/>
    </row>
    <row r="2126" spans="7:12" s="122" customFormat="1">
      <c r="G2126" s="133"/>
      <c r="J2126" s="123"/>
      <c r="K2126" s="123"/>
      <c r="L2126" s="123"/>
    </row>
    <row r="2127" spans="7:12" s="122" customFormat="1">
      <c r="G2127" s="133"/>
      <c r="J2127" s="123"/>
      <c r="K2127" s="123"/>
      <c r="L2127" s="123"/>
    </row>
    <row r="2128" spans="7:12" s="122" customFormat="1">
      <c r="G2128" s="133"/>
      <c r="J2128" s="123"/>
      <c r="K2128" s="123"/>
      <c r="L2128" s="123"/>
    </row>
    <row r="2129" spans="7:12" s="122" customFormat="1">
      <c r="G2129" s="133"/>
      <c r="J2129" s="123"/>
      <c r="K2129" s="123"/>
      <c r="L2129" s="123"/>
    </row>
    <row r="2130" spans="7:12" s="122" customFormat="1">
      <c r="G2130" s="133"/>
      <c r="J2130" s="123"/>
      <c r="K2130" s="123"/>
      <c r="L2130" s="123"/>
    </row>
    <row r="2131" spans="7:12" s="122" customFormat="1">
      <c r="G2131" s="133"/>
      <c r="J2131" s="123"/>
      <c r="K2131" s="123"/>
      <c r="L2131" s="123"/>
    </row>
    <row r="2132" spans="7:12" s="122" customFormat="1">
      <c r="G2132" s="133"/>
      <c r="J2132" s="123"/>
      <c r="K2132" s="123"/>
      <c r="L2132" s="123"/>
    </row>
    <row r="2133" spans="7:12" s="122" customFormat="1">
      <c r="G2133" s="133"/>
      <c r="J2133" s="123"/>
      <c r="K2133" s="123"/>
      <c r="L2133" s="123"/>
    </row>
    <row r="2134" spans="7:12" s="122" customFormat="1">
      <c r="G2134" s="133"/>
      <c r="J2134" s="123"/>
      <c r="K2134" s="123"/>
      <c r="L2134" s="123"/>
    </row>
    <row r="2135" spans="7:12" s="122" customFormat="1">
      <c r="G2135" s="133"/>
      <c r="J2135" s="123"/>
      <c r="K2135" s="123"/>
      <c r="L2135" s="123"/>
    </row>
    <row r="2136" spans="7:12" s="122" customFormat="1">
      <c r="G2136" s="133"/>
      <c r="J2136" s="123"/>
      <c r="K2136" s="123"/>
      <c r="L2136" s="123"/>
    </row>
    <row r="2137" spans="7:12" s="122" customFormat="1">
      <c r="G2137" s="133"/>
      <c r="J2137" s="123"/>
      <c r="K2137" s="123"/>
      <c r="L2137" s="123"/>
    </row>
    <row r="2138" spans="7:12" s="122" customFormat="1">
      <c r="G2138" s="133"/>
      <c r="J2138" s="123"/>
      <c r="K2138" s="123"/>
      <c r="L2138" s="123"/>
    </row>
    <row r="2139" spans="7:12" s="122" customFormat="1">
      <c r="G2139" s="133"/>
      <c r="J2139" s="123"/>
      <c r="K2139" s="123"/>
      <c r="L2139" s="123"/>
    </row>
    <row r="2140" spans="7:12" s="122" customFormat="1">
      <c r="G2140" s="133"/>
      <c r="J2140" s="123"/>
      <c r="K2140" s="123"/>
      <c r="L2140" s="123"/>
    </row>
    <row r="2141" spans="7:12" s="122" customFormat="1">
      <c r="G2141" s="133"/>
      <c r="J2141" s="123"/>
      <c r="K2141" s="123"/>
      <c r="L2141" s="123"/>
    </row>
    <row r="2142" spans="7:12" s="122" customFormat="1">
      <c r="G2142" s="133"/>
      <c r="J2142" s="123"/>
      <c r="K2142" s="123"/>
      <c r="L2142" s="123"/>
    </row>
    <row r="2143" spans="7:12" s="122" customFormat="1">
      <c r="G2143" s="133"/>
      <c r="J2143" s="123"/>
      <c r="K2143" s="123"/>
      <c r="L2143" s="123"/>
    </row>
    <row r="2144" spans="7:12" s="122" customFormat="1">
      <c r="G2144" s="133"/>
      <c r="J2144" s="123"/>
      <c r="K2144" s="123"/>
      <c r="L2144" s="123"/>
    </row>
    <row r="2145" spans="7:12" s="122" customFormat="1">
      <c r="G2145" s="133"/>
      <c r="J2145" s="123"/>
      <c r="K2145" s="123"/>
      <c r="L2145" s="123"/>
    </row>
    <row r="2146" spans="7:12" s="122" customFormat="1">
      <c r="G2146" s="133"/>
      <c r="J2146" s="123"/>
      <c r="K2146" s="123"/>
      <c r="L2146" s="123"/>
    </row>
  </sheetData>
  <sheetProtection password="DFC0" sheet="1" objects="1" scenarios="1"/>
  <autoFilter ref="A3:J3"/>
  <dataValidations count="1">
    <dataValidation type="list" allowBlank="1" showInputMessage="1" showErrorMessage="1" sqref="I14">
      <formula1>$J$4:$J$9</formula1>
    </dataValidation>
  </dataValidations>
  <pageMargins left="0.7" right="0.7" top="0.75" bottom="0.75" header="0.3" footer="0.3"/>
  <pageSetup orientation="portrait" horizontalDpi="0" verticalDpi="0" r:id="rId1"/>
  <ignoredErrors>
    <ignoredError sqref="E4:E117 C4:C69 A30:A123" numberStoredAsText="1"/>
  </ignoredErrors>
  <legacyDrawing r:id="rId2"/>
</worksheet>
</file>

<file path=xl/worksheets/sheet20.xml><?xml version="1.0" encoding="utf-8"?>
<worksheet xmlns="http://schemas.openxmlformats.org/spreadsheetml/2006/main" xmlns:r="http://schemas.openxmlformats.org/officeDocument/2006/relationships">
  <sheetPr>
    <tabColor rgb="FFFF0000"/>
    <pageSetUpPr fitToPage="1"/>
  </sheetPr>
  <dimension ref="A1:N86"/>
  <sheetViews>
    <sheetView view="pageBreakPreview" topLeftCell="A40" zoomScaleSheetLayoutView="100" workbookViewId="0">
      <selection activeCell="K66" sqref="K66"/>
    </sheetView>
  </sheetViews>
  <sheetFormatPr defaultRowHeight="12.75" outlineLevelCol="1"/>
  <cols>
    <col min="1" max="1" width="6.85546875" style="71" customWidth="1"/>
    <col min="2" max="2" width="34" style="43" customWidth="1"/>
    <col min="3" max="3" width="11.5703125" style="43" customWidth="1"/>
    <col min="4" max="4" width="18" style="42" customWidth="1"/>
    <col min="5" max="5" width="18.5703125" style="37" hidden="1" customWidth="1" outlineLevel="1"/>
    <col min="6" max="7" width="18.140625" style="42" hidden="1" customWidth="1" outlineLevel="1"/>
    <col min="8" max="8" width="19.140625" style="42" hidden="1" customWidth="1" outlineLevel="1"/>
    <col min="9" max="9" width="17.28515625" style="43" bestFit="1" customWidth="1" collapsed="1"/>
    <col min="10" max="10" width="0.140625" style="43" hidden="1" customWidth="1"/>
    <col min="11" max="11" width="5.5703125" style="393" customWidth="1"/>
    <col min="12" max="12" width="15.5703125" style="394" bestFit="1" customWidth="1"/>
    <col min="13" max="13" width="12.85546875" style="43" bestFit="1" customWidth="1"/>
    <col min="14" max="16384" width="9.140625" style="43"/>
  </cols>
  <sheetData>
    <row r="1" spans="1:14" ht="19.5" customHeight="1">
      <c r="A1" s="955" t="s">
        <v>190</v>
      </c>
      <c r="B1" s="955"/>
      <c r="C1" s="955"/>
      <c r="D1" s="955"/>
      <c r="E1" s="955"/>
      <c r="F1" s="955"/>
      <c r="G1" s="955"/>
      <c r="H1" s="955"/>
      <c r="I1" s="955"/>
    </row>
    <row r="2" spans="1:14">
      <c r="A2" s="954" t="str">
        <f>+'company '!C6</f>
        <v>ШИНЭСТ ХК</v>
      </c>
      <c r="B2" s="954"/>
      <c r="C2" s="35"/>
      <c r="D2" s="288" t="s">
        <v>46</v>
      </c>
      <c r="E2" s="184"/>
      <c r="F2" s="288"/>
      <c r="G2" s="288"/>
      <c r="H2" s="288"/>
      <c r="I2" s="35" t="str">
        <f>+'company '!C23</f>
        <v>2017.01.01-2017.12.31</v>
      </c>
    </row>
    <row r="3" spans="1:14" ht="20.25" customHeight="1">
      <c r="A3" s="960" t="s">
        <v>45</v>
      </c>
      <c r="B3" s="960"/>
      <c r="C3" s="35"/>
      <c r="D3" s="35"/>
      <c r="E3" s="185"/>
      <c r="F3" s="35"/>
      <c r="G3" s="35"/>
      <c r="H3" s="35"/>
      <c r="I3" s="288" t="s">
        <v>47</v>
      </c>
    </row>
    <row r="4" spans="1:14" ht="20.25" customHeight="1">
      <c r="A4" s="70" t="s">
        <v>48</v>
      </c>
      <c r="B4" s="957" t="s">
        <v>191</v>
      </c>
      <c r="C4" s="957"/>
      <c r="D4" s="289" t="s">
        <v>272</v>
      </c>
      <c r="E4" s="295" t="s">
        <v>263</v>
      </c>
      <c r="F4" s="289" t="s">
        <v>264</v>
      </c>
      <c r="G4" s="289" t="s">
        <v>265</v>
      </c>
      <c r="H4" s="289" t="s">
        <v>266</v>
      </c>
      <c r="I4" s="289" t="s">
        <v>948</v>
      </c>
      <c r="K4" s="422" t="s">
        <v>0</v>
      </c>
      <c r="L4" s="43"/>
    </row>
    <row r="5" spans="1:14" ht="12.75" customHeight="1">
      <c r="A5" s="296" t="s">
        <v>50</v>
      </c>
      <c r="B5" s="950" t="s">
        <v>192</v>
      </c>
      <c r="C5" s="950"/>
      <c r="D5" s="297"/>
      <c r="E5" s="297"/>
      <c r="F5" s="297"/>
      <c r="G5" s="297"/>
      <c r="H5" s="297"/>
      <c r="I5" s="27">
        <f t="shared" ref="I5:I11" si="0">SUM(E5:H5)</f>
        <v>0</v>
      </c>
      <c r="K5" s="395"/>
      <c r="L5" s="396">
        <v>42736</v>
      </c>
      <c r="M5" s="396">
        <v>42825</v>
      </c>
    </row>
    <row r="6" spans="1:14" ht="13.5" customHeight="1">
      <c r="A6" s="296" t="s">
        <v>52</v>
      </c>
      <c r="B6" s="950" t="s">
        <v>193</v>
      </c>
      <c r="C6" s="950"/>
      <c r="D6" s="298">
        <f>SUM(D7:D12)</f>
        <v>568243687.98000002</v>
      </c>
      <c r="E6" s="298">
        <f>SUM(E7:E12)</f>
        <v>85498582</v>
      </c>
      <c r="F6" s="298">
        <f>SUM(F7:F12)</f>
        <v>94963204</v>
      </c>
      <c r="G6" s="298">
        <f>SUM(G7:G12)</f>
        <v>212882523.76999998</v>
      </c>
      <c r="H6" s="298">
        <f>SUM(H7:H12)</f>
        <v>68225474</v>
      </c>
      <c r="I6" s="298">
        <f t="shared" ref="I6" si="1">SUM(I7:I12)</f>
        <v>461569783.76999998</v>
      </c>
      <c r="K6" s="395"/>
      <c r="L6" s="396">
        <v>42826</v>
      </c>
      <c r="M6" s="396">
        <v>42916</v>
      </c>
    </row>
    <row r="7" spans="1:14" ht="12.75" customHeight="1">
      <c r="A7" s="296" t="s">
        <v>54</v>
      </c>
      <c r="B7" s="950" t="s">
        <v>194</v>
      </c>
      <c r="C7" s="950"/>
      <c r="D7" s="297">
        <v>568243687.98000002</v>
      </c>
      <c r="E7" s="297">
        <f>+SUMIFS(JURNAL!G:G,JURNAL!N:N,K7,JURNAL!C:C,"&gt;="&amp;$L$5,JURNAL!C:C,"&lt;="&amp;$M$5)-SUMIFS(JURNAL!H:H,JURNAL!N:N,K7,JURNAL!C:C,"&gt;="&amp;$L$5,JURNAL!C:C,"&lt;="&amp;$M$5)</f>
        <v>85498582</v>
      </c>
      <c r="F7" s="403">
        <f>+SUMIFS(JURNAL!G:G,JURNAL!N:N,K7,JURNAL!C:C,"&gt;="&amp;$L$6,JURNAL!C:C,"&lt;="&amp;$M$6)-SUMIFS(JURNAL!H:H,JURNAL!N:N,K7,JURNAL!C:C,"&gt;="&amp;$L$6,JURNAL!C:C,"&lt;="&amp;$M$6)</f>
        <v>94963204</v>
      </c>
      <c r="G7" s="297">
        <f>+SUMIFS(JURNAL!G:G,JURNAL!N:N,K7,JURNAL!C:C,"&gt;="&amp;$L$7,JURNAL!C:C,"&lt;="&amp;$M$7)-SUMIFS(JURNAL!H:H,JURNAL!N:N,K7,JURNAL!C:C,"&gt;="&amp;$L$7,JURNAL!C:C,"&lt;="&amp;$M$7)</f>
        <v>212882523.76999998</v>
      </c>
      <c r="H7" s="297">
        <f>+SUMIFS(JURNAL!G:G,JURNAL!N:N,K7,JURNAL!C:C,"&gt;="&amp;$L$8,JURNAL!C:C,"&lt;="&amp;$M$8)-SUMIFS(JURNAL!H:H,JURNAL!N:N,K7,JURNAL!C:C,"&gt;="&amp;$L$8,JURNAL!C:C,"&lt;="&amp;$M$8)</f>
        <v>68225474</v>
      </c>
      <c r="I7" s="27">
        <f>SUM(E7:H7)</f>
        <v>461569783.76999998</v>
      </c>
      <c r="K7" s="395">
        <v>41</v>
      </c>
      <c r="L7" s="396">
        <v>42917</v>
      </c>
      <c r="M7" s="396">
        <v>43008</v>
      </c>
      <c r="N7" s="44"/>
    </row>
    <row r="8" spans="1:14" ht="12.75" customHeight="1">
      <c r="A8" s="296" t="s">
        <v>56</v>
      </c>
      <c r="B8" s="950" t="s">
        <v>195</v>
      </c>
      <c r="C8" s="950"/>
      <c r="D8" s="297"/>
      <c r="E8" s="297">
        <f>+SUMIFS(JURNAL!G:G,JURNAL!N:N,K8,JURNAL!C:C,"&gt;="&amp;$L$5,JURNAL!C:C,"&lt;="&amp;$M$5)-SUMIFS(JURNAL!H:H,JURNAL!N:N,K8,JURNAL!C:C,"&gt;="&amp;$L$5,JURNAL!C:C,"&lt;="&amp;$M$5)</f>
        <v>0</v>
      </c>
      <c r="F8" s="403">
        <f>+SUMIFS(JURNAL!G:G,JURNAL!N:N,K8,JURNAL!C:C,"&gt;="&amp;$L$6,JURNAL!C:C,"&lt;="&amp;$M$6)-SUMIFS(JURNAL!H:H,JURNAL!N:N,K8,JURNAL!C:C,"&gt;="&amp;$L$6,JURNAL!C:C,"&lt;="&amp;$M$6)</f>
        <v>0</v>
      </c>
      <c r="G8" s="297">
        <f>+SUMIFS(JURNAL!G:G,JURNAL!N:N,K8,JURNAL!C:C,"&gt;="&amp;$L$7,JURNAL!C:C,"&lt;="&amp;$M$7)-SUMIFS(JURNAL!H:H,JURNAL!N:N,K8,JURNAL!C:C,"&gt;="&amp;$L$7,JURNAL!C:C,"&lt;="&amp;$M$7)</f>
        <v>0</v>
      </c>
      <c r="H8" s="297">
        <f>+SUMIFS(JURNAL!G:G,JURNAL!N:N,K8,JURNAL!C:C,"&gt;="&amp;$L$8,JURNAL!C:C,"&lt;="&amp;$M$8)-SUMIFS(JURNAL!H:H,JURNAL!N:N,K8,JURNAL!C:C,"&gt;="&amp;$L$8,JURNAL!C:C,"&lt;="&amp;$M$8)</f>
        <v>0</v>
      </c>
      <c r="I8" s="27">
        <f t="shared" si="0"/>
        <v>0</v>
      </c>
      <c r="K8" s="395">
        <v>42</v>
      </c>
      <c r="L8" s="396">
        <v>43009</v>
      </c>
      <c r="M8" s="396">
        <v>43100</v>
      </c>
    </row>
    <row r="9" spans="1:14" ht="13.5" customHeight="1">
      <c r="A9" s="296" t="s">
        <v>58</v>
      </c>
      <c r="B9" s="950" t="s">
        <v>196</v>
      </c>
      <c r="C9" s="950"/>
      <c r="D9" s="297"/>
      <c r="E9" s="297">
        <f>+SUMIFS(JURNAL!G:G,JURNAL!N:N,K9,JURNAL!C:C,"&gt;="&amp;$L$5,JURNAL!C:C,"&lt;="&amp;$M$5)-SUMIFS(JURNAL!H:H,JURNAL!N:N,K9,JURNAL!C:C,"&gt;="&amp;$L$5,JURNAL!C:C,"&lt;="&amp;$M$5)</f>
        <v>0</v>
      </c>
      <c r="F9" s="403">
        <f>+SUMIFS(JURNAL!G:G,JURNAL!N:N,K9,JURNAL!C:C,"&gt;="&amp;$L$6,JURNAL!C:C,"&lt;="&amp;$M$6)-SUMIFS(JURNAL!H:H,JURNAL!N:N,K9,JURNAL!C:C,"&gt;="&amp;$L$6,JURNAL!C:C,"&lt;="&amp;$M$6)</f>
        <v>0</v>
      </c>
      <c r="G9" s="297">
        <f>+SUMIFS(JURNAL!G:G,JURNAL!N:N,K9,JURNAL!C:C,"&gt;="&amp;$L$7,JURNAL!C:C,"&lt;="&amp;$M$7)-SUMIFS(JURNAL!H:H,JURNAL!N:N,K9,JURNAL!C:C,"&gt;="&amp;$L$7,JURNAL!C:C,"&lt;="&amp;$M$7)</f>
        <v>0</v>
      </c>
      <c r="H9" s="297">
        <f>+SUMIFS(JURNAL!G:G,JURNAL!N:N,K9,JURNAL!C:C,"&gt;="&amp;$L$8,JURNAL!C:C,"&lt;="&amp;$M$8)-SUMIFS(JURNAL!H:H,JURNAL!N:N,K9,JURNAL!C:C,"&gt;="&amp;$L$8,JURNAL!C:C,"&lt;="&amp;$M$8)</f>
        <v>0</v>
      </c>
      <c r="I9" s="27">
        <f t="shared" si="0"/>
        <v>0</v>
      </c>
      <c r="K9" s="397">
        <v>43</v>
      </c>
    </row>
    <row r="10" spans="1:14" ht="12.75" customHeight="1">
      <c r="A10" s="296" t="s">
        <v>60</v>
      </c>
      <c r="B10" s="950" t="s">
        <v>197</v>
      </c>
      <c r="C10" s="950"/>
      <c r="D10" s="297"/>
      <c r="E10" s="297">
        <f>+SUMIFS(JURNAL!G:G,JURNAL!N:N,K10,JURNAL!C:C,"&gt;="&amp;$L$5,JURNAL!C:C,"&lt;="&amp;$M$5)-SUMIFS(JURNAL!H:H,JURNAL!N:N,K10,JURNAL!C:C,"&gt;="&amp;$L$5,JURNAL!C:C,"&lt;="&amp;$M$5)</f>
        <v>0</v>
      </c>
      <c r="F10" s="403">
        <f>+SUMIFS(JURNAL!G:G,JURNAL!N:N,K10,JURNAL!C:C,"&gt;="&amp;$L$6,JURNAL!C:C,"&lt;="&amp;$M$6)-SUMIFS(JURNAL!H:H,JURNAL!N:N,K10,JURNAL!C:C,"&gt;="&amp;$L$6,JURNAL!C:C,"&lt;="&amp;$M$6)</f>
        <v>0</v>
      </c>
      <c r="G10" s="297">
        <f>+SUMIFS(JURNAL!G:G,JURNAL!N:N,K10,JURNAL!C:C,"&gt;="&amp;$L$7,JURNAL!C:C,"&lt;="&amp;$M$7)-SUMIFS(JURNAL!H:H,JURNAL!N:N,K10,JURNAL!C:C,"&gt;="&amp;$L$7,JURNAL!C:C,"&lt;="&amp;$M$7)</f>
        <v>0</v>
      </c>
      <c r="H10" s="297">
        <f>+SUMIFS(JURNAL!G:G,JURNAL!N:N,K10,JURNAL!C:C,"&gt;="&amp;$L$8,JURNAL!C:C,"&lt;="&amp;$M$8)-SUMIFS(JURNAL!H:H,JURNAL!N:N,K10,JURNAL!C:C,"&gt;="&amp;$L$8,JURNAL!C:C,"&lt;="&amp;$M$8)</f>
        <v>0</v>
      </c>
      <c r="I10" s="27">
        <f t="shared" si="0"/>
        <v>0</v>
      </c>
      <c r="K10" s="398">
        <v>44</v>
      </c>
    </row>
    <row r="11" spans="1:14" ht="12.75" customHeight="1">
      <c r="A11" s="296" t="s">
        <v>62</v>
      </c>
      <c r="B11" s="950" t="s">
        <v>198</v>
      </c>
      <c r="C11" s="950"/>
      <c r="D11" s="297"/>
      <c r="E11" s="297">
        <f>+SUMIFS(JURNAL!G:G,JURNAL!N:N,K11,JURNAL!C:C,"&gt;="&amp;$L$5,JURNAL!C:C,"&lt;="&amp;$M$5)-SUMIFS(JURNAL!H:H,JURNAL!N:N,K11,JURNAL!C:C,"&gt;="&amp;$L$5,JURNAL!C:C,"&lt;="&amp;$M$5)</f>
        <v>0</v>
      </c>
      <c r="F11" s="403">
        <f>+SUMIFS(JURNAL!G:G,JURNAL!N:N,K11,JURNAL!C:C,"&gt;="&amp;$L$6,JURNAL!C:C,"&lt;="&amp;$M$6)-SUMIFS(JURNAL!H:H,JURNAL!N:N,K11,JURNAL!C:C,"&gt;="&amp;$L$6,JURNAL!C:C,"&lt;="&amp;$M$6)</f>
        <v>0</v>
      </c>
      <c r="G11" s="297">
        <f>+SUMIFS(JURNAL!G:G,JURNAL!N:N,K11,JURNAL!C:C,"&gt;="&amp;$L$7,JURNAL!C:C,"&lt;="&amp;$M$7)-SUMIFS(JURNAL!H:H,JURNAL!N:N,K11,JURNAL!C:C,"&gt;="&amp;$L$7,JURNAL!C:C,"&lt;="&amp;$M$7)</f>
        <v>0</v>
      </c>
      <c r="H11" s="297">
        <f>+SUMIFS(JURNAL!G:G,JURNAL!N:N,K11,JURNAL!C:C,"&gt;="&amp;$L$8,JURNAL!C:C,"&lt;="&amp;$M$8)-SUMIFS(JURNAL!H:H,JURNAL!N:N,K11,JURNAL!C:C,"&gt;="&amp;$L$8,JURNAL!C:C,"&lt;="&amp;$M$8)</f>
        <v>0</v>
      </c>
      <c r="I11" s="27">
        <f t="shared" si="0"/>
        <v>0</v>
      </c>
      <c r="K11" s="397">
        <v>45</v>
      </c>
    </row>
    <row r="12" spans="1:14" ht="13.5" customHeight="1">
      <c r="A12" s="296" t="s">
        <v>64</v>
      </c>
      <c r="B12" s="950" t="s">
        <v>199</v>
      </c>
      <c r="C12" s="950"/>
      <c r="D12" s="297"/>
      <c r="E12" s="297">
        <f>+SUMIFS(JURNAL!G:G,JURNAL!N:N,K12,JURNAL!C:C,"&gt;="&amp;$L$5,JURNAL!C:C,"&lt;="&amp;$M$5)-SUMIFS(JURNAL!H:H,JURNAL!N:N,K12,JURNAL!C:C,"&gt;="&amp;$L$5,JURNAL!C:C,"&lt;="&amp;$M$5)</f>
        <v>0</v>
      </c>
      <c r="F12" s="403">
        <f>+SUMIFS(JURNAL!G:G,JURNAL!N:N,K12,JURNAL!C:C,"&gt;="&amp;$L$6,JURNAL!C:C,"&lt;="&amp;$M$6)-SUMIFS(JURNAL!H:H,JURNAL!N:N,K12,JURNAL!C:C,"&gt;="&amp;$L$6,JURNAL!C:C,"&lt;="&amp;$M$6)</f>
        <v>0</v>
      </c>
      <c r="G12" s="297">
        <f>+SUMIFS(JURNAL!G:G,JURNAL!N:N,K12,JURNAL!C:C,"&gt;="&amp;$L$7,JURNAL!C:C,"&lt;="&amp;$M$7)-SUMIFS(JURNAL!H:H,JURNAL!N:N,K12,JURNAL!C:C,"&gt;="&amp;$L$7,JURNAL!C:C,"&lt;="&amp;$M$7)</f>
        <v>0</v>
      </c>
      <c r="H12" s="297">
        <f>+SUMIFS(JURNAL!G:G,JURNAL!N:N,K12,JURNAL!C:C,"&gt;="&amp;$L$8,JURNAL!C:C,"&lt;="&amp;$M$8)-SUMIFS(JURNAL!H:H,JURNAL!N:N,K12,JURNAL!C:C,"&gt;="&amp;$L$8,JURNAL!C:C,"&lt;="&amp;$M$8)</f>
        <v>0</v>
      </c>
      <c r="I12" s="27">
        <f t="shared" ref="I12" si="2">SUM(E12:H12)</f>
        <v>0</v>
      </c>
      <c r="K12" s="397">
        <v>46</v>
      </c>
    </row>
    <row r="13" spans="1:14" ht="12.75" customHeight="1">
      <c r="A13" s="296" t="s">
        <v>76</v>
      </c>
      <c r="B13" s="950" t="s">
        <v>200</v>
      </c>
      <c r="C13" s="950"/>
      <c r="D13" s="298">
        <f>SUM(D14:D22)</f>
        <v>613259633.25</v>
      </c>
      <c r="E13" s="298">
        <f t="shared" ref="E13:F13" si="3">SUM(E14:E22)</f>
        <v>77926949.854545444</v>
      </c>
      <c r="F13" s="298">
        <f t="shared" si="3"/>
        <v>73214439.291966662</v>
      </c>
      <c r="G13" s="298">
        <f>SUM(G14:G22)</f>
        <v>61292350.230000004</v>
      </c>
      <c r="H13" s="298">
        <f>SUM(H14:H22)</f>
        <v>106117945.10545455</v>
      </c>
      <c r="I13" s="298">
        <f>SUM(I14:I22)</f>
        <v>318551684.48196667</v>
      </c>
      <c r="J13" s="299">
        <f t="shared" ref="J13" si="4">SUM(J14:J22)</f>
        <v>1250363002.2139332</v>
      </c>
      <c r="K13" s="397"/>
    </row>
    <row r="14" spans="1:14" ht="12.75" customHeight="1">
      <c r="A14" s="296" t="s">
        <v>78</v>
      </c>
      <c r="B14" s="950" t="s">
        <v>201</v>
      </c>
      <c r="C14" s="950"/>
      <c r="D14" s="297">
        <v>139371405.34999999</v>
      </c>
      <c r="E14" s="297">
        <f>+SUMIFS(JURNAL!H:H,JURNAL!N:N,K14,JURNAL!C:C,"&gt;="&amp;$L$5,JURNAL!C:C,"&lt;="&amp;$M$5)-SUMIFS(JURNAL!G:G,JURNAL!N:N,K14,JURNAL!C:C,"&gt;="&amp;$L$5,JURNAL!C:C,"&lt;="&amp;$M$5)</f>
        <v>25471808.854545452</v>
      </c>
      <c r="F14" s="297">
        <f>+SUMIFS(JURNAL!H:H,JURNAL!N:N,K14,JURNAL!C:C,"&gt;="&amp;$L$6,JURNAL!C:C,"&lt;="&amp;$M$6)-SUMIFS(JURNAL!G:G,JURNAL!N:N,K14,JURNAL!C:C,"&gt;="&amp;$L$6,JURNAL!C:C,"&lt;="&amp;$M$6)</f>
        <v>26102270.544366665</v>
      </c>
      <c r="G14" s="297">
        <f>+SUMIFS(JURNAL!H:H,JURNAL!N:N,K14,JURNAL!C:C,"&gt;="&amp;$L$7,JURNAL!C:C,"&lt;="&amp;$M$7)-SUMIFS(JURNAL!G:G,JURNAL!N:N,K14,JURNAL!C:C,"&gt;="&amp;$L$7,JURNAL!C:C,"&lt;="&amp;$M$7)</f>
        <v>26118962.530000001</v>
      </c>
      <c r="H14" s="297">
        <f>+SUMIFS(JURNAL!H:H,JURNAL!N:N,K14,JURNAL!C:C,"&gt;="&amp;$L$8,JURNAL!C:C,"&lt;="&amp;$M$8)-SUMIFS(JURNAL!G:G,JURNAL!N:N,K14,JURNAL!C:C,"&gt;="&amp;$L$8,JURNAL!C:C,"&lt;="&amp;$M$8)</f>
        <v>31334613.865454547</v>
      </c>
      <c r="I14" s="27">
        <f>SUM(E14:H14)</f>
        <v>109027655.79436666</v>
      </c>
      <c r="J14" s="44">
        <f t="shared" ref="J14:J22" si="5">SUM(D14:I14)</f>
        <v>357426716.93873334</v>
      </c>
      <c r="K14" s="397">
        <v>51</v>
      </c>
    </row>
    <row r="15" spans="1:14" ht="13.5" customHeight="1">
      <c r="A15" s="296" t="s">
        <v>80</v>
      </c>
      <c r="B15" s="950" t="s">
        <v>202</v>
      </c>
      <c r="C15" s="950"/>
      <c r="D15" s="297">
        <v>36277000</v>
      </c>
      <c r="E15" s="297">
        <f>+SUMIFS(JURNAL!H:H,JURNAL!N:N,K15,JURNAL!C:C,"&gt;="&amp;$L$5,JURNAL!C:C,"&lt;="&amp;$M$5)-SUMIFS(JURNAL!G:G,JURNAL!N:N,K15,JURNAL!C:C,"&gt;="&amp;$L$5,JURNAL!C:C,"&lt;="&amp;$M$5)</f>
        <v>3000000</v>
      </c>
      <c r="F15" s="297">
        <f>+SUMIFS(JURNAL!H:H,JURNAL!N:N,K15,JURNAL!C:C,"&gt;="&amp;$L$6,JURNAL!C:C,"&lt;="&amp;$M$6)-SUMIFS(JURNAL!G:G,JURNAL!N:N,K15,JURNAL!C:C,"&gt;="&amp;$L$6,JURNAL!C:C,"&lt;="&amp;$M$6)</f>
        <v>5500000</v>
      </c>
      <c r="G15" s="297">
        <f>+SUMIFS(JURNAL!H:H,JURNAL!N:N,K15,JURNAL!C:C,"&gt;="&amp;$L$7,JURNAL!C:C,"&lt;="&amp;$M$7)-SUMIFS(JURNAL!G:G,JURNAL!N:N,K15,JURNAL!C:C,"&gt;="&amp;$L$7,JURNAL!C:C,"&lt;="&amp;$M$7)</f>
        <v>6790000</v>
      </c>
      <c r="H15" s="297">
        <f>+SUMIFS(JURNAL!H:H,JURNAL!N:N,K15,JURNAL!C:C,"&gt;="&amp;$L$8,JURNAL!C:C,"&lt;="&amp;$M$8)-SUMIFS(JURNAL!G:G,JURNAL!N:N,K15,JURNAL!C:C,"&gt;="&amp;$L$8,JURNAL!C:C,"&lt;="&amp;$M$8)</f>
        <v>13500000</v>
      </c>
      <c r="I15" s="27">
        <f t="shared" ref="I15:I22" si="6">SUM(E15:H15)</f>
        <v>28790000</v>
      </c>
      <c r="J15" s="44">
        <f t="shared" si="5"/>
        <v>93857000</v>
      </c>
      <c r="K15" s="397">
        <v>52</v>
      </c>
    </row>
    <row r="16" spans="1:14" ht="12.75" customHeight="1">
      <c r="A16" s="296" t="s">
        <v>81</v>
      </c>
      <c r="B16" s="950" t="s">
        <v>203</v>
      </c>
      <c r="C16" s="950"/>
      <c r="D16" s="297">
        <v>278940561.99000001</v>
      </c>
      <c r="E16" s="297">
        <f>+SUMIFS(JURNAL!H:H,JURNAL!N:N,K16,JURNAL!C:C,"&gt;="&amp;$L$5,JURNAL!C:C,"&lt;="&amp;$M$5)-SUMIFS(JURNAL!G:G,JURNAL!N:N,K16,JURNAL!C:C,"&gt;="&amp;$L$5,JURNAL!C:C,"&lt;="&amp;$M$5)</f>
        <v>13126583</v>
      </c>
      <c r="F16" s="297">
        <f>+SUMIFS(JURNAL!H:H,JURNAL!N:N,K16,JURNAL!C:C,"&gt;="&amp;$L$6,JURNAL!C:C,"&lt;="&amp;$M$6)-SUMIFS(JURNAL!G:G,JURNAL!N:N,K16,JURNAL!C:C,"&gt;="&amp;$L$6,JURNAL!C:C,"&lt;="&amp;$M$6)</f>
        <v>7877316</v>
      </c>
      <c r="G16" s="297">
        <f>+SUMIFS(JURNAL!H:H,JURNAL!N:N,K16,JURNAL!C:C,"&gt;="&amp;$L$7,JURNAL!C:C,"&lt;="&amp;$M$7)-SUMIFS(JURNAL!G:G,JURNAL!N:N,K16,JURNAL!C:C,"&gt;="&amp;$L$7,JURNAL!C:C,"&lt;="&amp;$M$7)</f>
        <v>10164180</v>
      </c>
      <c r="H16" s="297">
        <f>+SUMIFS(JURNAL!H:H,JURNAL!N:N,K16,JURNAL!C:C,"&gt;="&amp;$L$8,JURNAL!C:C,"&lt;="&amp;$M$8)-SUMIFS(JURNAL!G:G,JURNAL!N:N,K16,JURNAL!C:C,"&gt;="&amp;$L$8,JURNAL!C:C,"&lt;="&amp;$M$8)</f>
        <v>1504400</v>
      </c>
      <c r="I16" s="27">
        <f t="shared" si="6"/>
        <v>32672479</v>
      </c>
      <c r="J16" s="44">
        <f t="shared" si="5"/>
        <v>344285519.99000001</v>
      </c>
      <c r="K16" s="397">
        <v>53</v>
      </c>
    </row>
    <row r="17" spans="1:13" ht="12.75" customHeight="1">
      <c r="A17" s="296" t="s">
        <v>83</v>
      </c>
      <c r="B17" s="950" t="s">
        <v>204</v>
      </c>
      <c r="C17" s="950"/>
      <c r="D17" s="297">
        <v>52019698</v>
      </c>
      <c r="E17" s="297">
        <f>+SUMIFS(JURNAL!H:H,JURNAL!N:N,K17,JURNAL!C:C,"&gt;="&amp;$L$5,JURNAL!C:C,"&lt;="&amp;$M$5)-SUMIFS(JURNAL!G:G,JURNAL!N:N,K17,JURNAL!C:C,"&gt;="&amp;$L$5,JURNAL!C:C,"&lt;="&amp;$M$5)</f>
        <v>18366402</v>
      </c>
      <c r="F17" s="297">
        <f>+SUMIFS(JURNAL!H:H,JURNAL!N:N,K17,JURNAL!C:C,"&gt;="&amp;$L$6,JURNAL!C:C,"&lt;="&amp;$M$6)-SUMIFS(JURNAL!G:G,JURNAL!N:N,K17,JURNAL!C:C,"&gt;="&amp;$L$6,JURNAL!C:C,"&lt;="&amp;$M$6)</f>
        <v>10912473</v>
      </c>
      <c r="G17" s="297">
        <f>+SUMIFS(JURNAL!H:H,JURNAL!N:N,K17,JURNAL!C:C,"&gt;="&amp;$L$7,JURNAL!C:C,"&lt;="&amp;$M$7)-SUMIFS(JURNAL!G:G,JURNAL!N:N,K17,JURNAL!C:C,"&gt;="&amp;$L$7,JURNAL!C:C,"&lt;="&amp;$M$7)</f>
        <v>4813443</v>
      </c>
      <c r="H17" s="297">
        <f>+SUMIFS(JURNAL!H:H,JURNAL!N:N,K17,JURNAL!C:C,"&gt;="&amp;$L$8,JURNAL!C:C,"&lt;="&amp;$M$8)-SUMIFS(JURNAL!G:G,JURNAL!N:N,K17,JURNAL!C:C,"&gt;="&amp;$L$8,JURNAL!C:C,"&lt;="&amp;$M$8)</f>
        <v>13101817</v>
      </c>
      <c r="I17" s="27">
        <f t="shared" si="6"/>
        <v>47194135</v>
      </c>
      <c r="J17" s="44">
        <f t="shared" si="5"/>
        <v>146407968</v>
      </c>
      <c r="K17" s="397">
        <v>54</v>
      </c>
    </row>
    <row r="18" spans="1:13" ht="13.5" customHeight="1">
      <c r="A18" s="296" t="s">
        <v>85</v>
      </c>
      <c r="B18" s="950" t="s">
        <v>205</v>
      </c>
      <c r="C18" s="950"/>
      <c r="D18" s="297">
        <v>6900896</v>
      </c>
      <c r="E18" s="297">
        <f>+SUMIFS(JURNAL!H:H,JURNAL!N:N,K18,JURNAL!C:C,"&gt;="&amp;$L$5,JURNAL!C:C,"&lt;="&amp;$M$5)-SUMIFS(JURNAL!G:G,JURNAL!N:N,K18,JURNAL!C:C,"&gt;="&amp;$L$5,JURNAL!C:C,"&lt;="&amp;$M$5)</f>
        <v>1204800</v>
      </c>
      <c r="F18" s="297">
        <f>+SUMIFS(JURNAL!H:H,JURNAL!N:N,K18,JURNAL!C:C,"&gt;="&amp;$L$6,JURNAL!C:C,"&lt;="&amp;$M$6)-SUMIFS(JURNAL!G:G,JURNAL!N:N,K18,JURNAL!C:C,"&gt;="&amp;$L$6,JURNAL!C:C,"&lt;="&amp;$M$6)</f>
        <v>738600</v>
      </c>
      <c r="G18" s="297">
        <f>+SUMIFS(JURNAL!H:H,JURNAL!N:N,K18,JURNAL!C:C,"&gt;="&amp;$L$7,JURNAL!C:C,"&lt;="&amp;$M$7)-SUMIFS(JURNAL!G:G,JURNAL!N:N,K18,JURNAL!C:C,"&gt;="&amp;$L$7,JURNAL!C:C,"&lt;="&amp;$M$7)</f>
        <v>463511</v>
      </c>
      <c r="H18" s="297">
        <f>+SUMIFS(JURNAL!H:H,JURNAL!N:N,K18,JURNAL!C:C,"&gt;="&amp;$L$8,JURNAL!C:C,"&lt;="&amp;$M$8)-SUMIFS(JURNAL!G:G,JURNAL!N:N,K18,JURNAL!C:C,"&gt;="&amp;$L$8,JURNAL!C:C,"&lt;="&amp;$M$8)</f>
        <v>207607</v>
      </c>
      <c r="I18" s="27">
        <f t="shared" si="6"/>
        <v>2614518</v>
      </c>
      <c r="J18" s="44">
        <f t="shared" si="5"/>
        <v>12129932</v>
      </c>
      <c r="K18" s="397">
        <v>55</v>
      </c>
    </row>
    <row r="19" spans="1:13" ht="12.75" customHeight="1">
      <c r="A19" s="296" t="s">
        <v>87</v>
      </c>
      <c r="B19" s="950" t="s">
        <v>206</v>
      </c>
      <c r="C19" s="950"/>
      <c r="D19" s="297">
        <v>47783546.140000001</v>
      </c>
      <c r="E19" s="297">
        <f>+SUMIFS(JURNAL!H:H,JURNAL!N:N,K19,JURNAL!C:C,"&gt;="&amp;$L$5,JURNAL!C:C,"&lt;="&amp;$M$5)-SUMIFS(JURNAL!G:G,JURNAL!N:N,K19,JURNAL!C:C,"&gt;="&amp;$L$5,JURNAL!C:C,"&lt;="&amp;$M$5)</f>
        <v>9888136</v>
      </c>
      <c r="F19" s="297">
        <f>+SUMIFS(JURNAL!H:H,JURNAL!N:N,K19,JURNAL!C:C,"&gt;="&amp;$L$6,JURNAL!C:C,"&lt;="&amp;$M$6)-SUMIFS(JURNAL!G:G,JURNAL!N:N,K19,JURNAL!C:C,"&gt;="&amp;$L$6,JURNAL!C:C,"&lt;="&amp;$M$6)</f>
        <v>8361274.0700000003</v>
      </c>
      <c r="G19" s="297">
        <f>+SUMIFS(JURNAL!H:H,JURNAL!N:N,K19,JURNAL!C:C,"&gt;="&amp;$L$7,JURNAL!C:C,"&lt;="&amp;$M$7)-SUMIFS(JURNAL!G:G,JURNAL!N:N,K19,JURNAL!C:C,"&gt;="&amp;$L$7,JURNAL!C:C,"&lt;="&amp;$M$7)</f>
        <v>7525837.6999999993</v>
      </c>
      <c r="H19" s="297">
        <f>+SUMIFS(JURNAL!H:H,JURNAL!N:N,K19,JURNAL!C:C,"&gt;="&amp;$L$8,JURNAL!C:C,"&lt;="&amp;$M$8)-SUMIFS(JURNAL!G:G,JURNAL!N:N,K19,JURNAL!C:C,"&gt;="&amp;$L$8,JURNAL!C:C,"&lt;="&amp;$M$8)</f>
        <v>6020722.2400000002</v>
      </c>
      <c r="I19" s="27">
        <f t="shared" si="6"/>
        <v>31795970.009999998</v>
      </c>
      <c r="J19" s="44">
        <f t="shared" si="5"/>
        <v>111375486.16</v>
      </c>
      <c r="K19" s="423">
        <v>56</v>
      </c>
    </row>
    <row r="20" spans="1:13" ht="12.75" customHeight="1">
      <c r="A20" s="296" t="s">
        <v>89</v>
      </c>
      <c r="B20" s="950" t="s">
        <v>207</v>
      </c>
      <c r="C20" s="950"/>
      <c r="D20" s="297">
        <v>27839547</v>
      </c>
      <c r="E20" s="297">
        <f>+SUMIFS(JURNAL!H:H,JURNAL!N:N,K20,JURNAL!C:C,"&gt;="&amp;$L$5,JURNAL!C:C,"&lt;="&amp;$M$5)-SUMIFS(JURNAL!G:G,JURNAL!N:N,K20,JURNAL!C:C,"&gt;="&amp;$L$5,JURNAL!C:C,"&lt;="&amp;$M$5)</f>
        <v>0</v>
      </c>
      <c r="F20" s="297">
        <f>+SUMIFS(JURNAL!H:H,JURNAL!N:N,K20,JURNAL!C:C,"&gt;="&amp;$L$6,JURNAL!C:C,"&lt;="&amp;$M$6)-SUMIFS(JURNAL!G:G,JURNAL!N:N,K20,JURNAL!C:C,"&gt;="&amp;$L$6,JURNAL!C:C,"&lt;="&amp;$M$6)</f>
        <v>7820000</v>
      </c>
      <c r="G20" s="297">
        <f>+SUMIFS(JURNAL!H:H,JURNAL!N:N,K20,JURNAL!C:C,"&gt;="&amp;$L$7,JURNAL!C:C,"&lt;="&amp;$M$7)-SUMIFS(JURNAL!G:G,JURNAL!N:N,K20,JURNAL!C:C,"&gt;="&amp;$L$7,JURNAL!C:C,"&lt;="&amp;$M$7)</f>
        <v>733866</v>
      </c>
      <c r="H20" s="297">
        <f>+SUMIFS(JURNAL!H:H,JURNAL!N:N,K20,JURNAL!C:C,"&gt;="&amp;$L$8,JURNAL!C:C,"&lt;="&amp;$M$8)-SUMIFS(JURNAL!G:G,JURNAL!N:N,K20,JURNAL!C:C,"&gt;="&amp;$L$8,JURNAL!C:C,"&lt;="&amp;$M$8)</f>
        <v>34582616</v>
      </c>
      <c r="I20" s="27">
        <f t="shared" si="6"/>
        <v>43136482</v>
      </c>
      <c r="J20" s="44">
        <f t="shared" si="5"/>
        <v>114112511</v>
      </c>
      <c r="K20" s="397">
        <v>57</v>
      </c>
    </row>
    <row r="21" spans="1:13" ht="13.5" customHeight="1">
      <c r="A21" s="296" t="s">
        <v>91</v>
      </c>
      <c r="B21" s="950" t="s">
        <v>208</v>
      </c>
      <c r="C21" s="950"/>
      <c r="D21" s="27"/>
      <c r="E21" s="297">
        <f>+SUMIFS(JURNAL!H:H,JURNAL!N:N,K21,JURNAL!C:C,"&gt;="&amp;$L$5,JURNAL!C:C,"&lt;="&amp;$M$5)-SUMIFS(JURNAL!G:G,JURNAL!N:N,K21,JURNAL!C:C,"&gt;="&amp;$L$5,JURNAL!C:C,"&lt;="&amp;$M$5)</f>
        <v>0</v>
      </c>
      <c r="F21" s="297">
        <f>+SUMIFS(JURNAL!H:H,JURNAL!N:N,K21,JURNAL!C:C,"&gt;="&amp;$L$6,JURNAL!C:C,"&lt;="&amp;$M$6)-SUMIFS(JURNAL!G:G,JURNAL!N:N,K21,JURNAL!C:C,"&gt;="&amp;$L$6,JURNAL!C:C,"&lt;="&amp;$M$6)</f>
        <v>0</v>
      </c>
      <c r="G21" s="297">
        <f>+SUMIFS(JURNAL!H:H,JURNAL!N:N,K21,JURNAL!C:C,"&gt;="&amp;$L$7,JURNAL!C:C,"&lt;="&amp;$M$7)-SUMIFS(JURNAL!G:G,JURNAL!N:N,K21,JURNAL!C:C,"&gt;="&amp;$L$7,JURNAL!C:C,"&lt;="&amp;$M$7)</f>
        <v>0</v>
      </c>
      <c r="H21" s="297">
        <f>+SUMIFS(JURNAL!H:H,JURNAL!N:N,K21,JURNAL!C:C,"&gt;="&amp;$L$8,JURNAL!C:C,"&lt;="&amp;$M$8)-SUMIFS(JURNAL!G:G,JURNAL!N:N,K21,JURNAL!C:C,"&gt;="&amp;$L$8,JURNAL!C:C,"&lt;="&amp;$M$8)</f>
        <v>0</v>
      </c>
      <c r="I21" s="27">
        <f t="shared" si="6"/>
        <v>0</v>
      </c>
      <c r="J21" s="44">
        <f t="shared" si="5"/>
        <v>0</v>
      </c>
      <c r="K21" s="397">
        <v>58</v>
      </c>
    </row>
    <row r="22" spans="1:13" ht="12.75" customHeight="1">
      <c r="A22" s="296" t="s">
        <v>93</v>
      </c>
      <c r="B22" s="950" t="s">
        <v>209</v>
      </c>
      <c r="C22" s="950"/>
      <c r="D22" s="297">
        <v>24126978.77</v>
      </c>
      <c r="E22" s="297">
        <f>+SUMIFS(JURNAL!H:H,JURNAL!N:N,K22,JURNAL!C:C,"&gt;="&amp;$L$5,JURNAL!C:C,"&lt;="&amp;$M$5)-SUMIFS(JURNAL!G:G,JURNAL!N:N,K22,JURNAL!C:C,"&gt;="&amp;$L$5,JURNAL!C:C,"&lt;="&amp;$M$5)</f>
        <v>6869220</v>
      </c>
      <c r="F22" s="297">
        <f>+SUMIFS(JURNAL!H:H,JURNAL!N:N,K22,JURNAL!C:C,"&gt;="&amp;$L$6,JURNAL!C:C,"&lt;="&amp;$M$6)-SUMIFS(JURNAL!G:G,JURNAL!N:N,K22,JURNAL!C:C,"&gt;="&amp;$L$6,JURNAL!C:C,"&lt;="&amp;$M$6)</f>
        <v>5902505.6776000001</v>
      </c>
      <c r="G22" s="297">
        <f>+SUMIFS(JURNAL!H:H,JURNAL!N:N,K22,JURNAL!C:C,"&gt;="&amp;$L$7,JURNAL!C:C,"&lt;="&amp;$M$7)-SUMIFS(JURNAL!G:G,JURNAL!N:N,K22,JURNAL!C:C,"&gt;="&amp;$L$7,JURNAL!C:C,"&lt;="&amp;$M$7)</f>
        <v>4682550</v>
      </c>
      <c r="H22" s="297">
        <f>+SUMIFS(JURNAL!H:H,JURNAL!N:N,K22,JURNAL!C:C,"&gt;="&amp;$L$8,JURNAL!C:C,"&lt;="&amp;$M$8)-SUMIFS(JURNAL!G:G,JURNAL!N:N,K22,JURNAL!C:C,"&gt;="&amp;$L$8,JURNAL!C:C,"&lt;="&amp;$M$8)</f>
        <v>5866169</v>
      </c>
      <c r="I22" s="27">
        <f t="shared" si="6"/>
        <v>23320444.6776</v>
      </c>
      <c r="J22" s="44">
        <f t="shared" si="5"/>
        <v>70767868.125200003</v>
      </c>
      <c r="K22" s="397">
        <v>59</v>
      </c>
    </row>
    <row r="23" spans="1:13" ht="12.75" customHeight="1" thickBot="1">
      <c r="A23" s="296" t="s">
        <v>97</v>
      </c>
      <c r="B23" s="950" t="s">
        <v>210</v>
      </c>
      <c r="C23" s="950"/>
      <c r="D23" s="298">
        <f>+D6-D13</f>
        <v>-45015945.269999981</v>
      </c>
      <c r="E23" s="298">
        <f t="shared" ref="E23:G23" si="7">+E6-E13</f>
        <v>7571632.1454545557</v>
      </c>
      <c r="F23" s="298">
        <f t="shared" si="7"/>
        <v>21748764.708033338</v>
      </c>
      <c r="G23" s="298">
        <f t="shared" si="7"/>
        <v>151590173.53999996</v>
      </c>
      <c r="H23" s="298">
        <f>+H6-H13</f>
        <v>-37892471.105454549</v>
      </c>
      <c r="I23" s="298">
        <f>+I6-I13</f>
        <v>143018099.28803331</v>
      </c>
      <c r="J23" s="300">
        <f t="shared" ref="J23" si="8">+J6-J13</f>
        <v>-1250363002.2139332</v>
      </c>
      <c r="K23" s="397"/>
    </row>
    <row r="24" spans="1:13" ht="13.5" customHeight="1">
      <c r="A24" s="296" t="s">
        <v>99</v>
      </c>
      <c r="B24" s="950" t="s">
        <v>211</v>
      </c>
      <c r="C24" s="950"/>
      <c r="D24" s="297"/>
      <c r="E24" s="297"/>
      <c r="F24" s="297"/>
      <c r="G24" s="297"/>
      <c r="H24" s="297">
        <f>+SUMIFS(JURNAL!G:G,JURNAL!N:N,K25,JURNAL!C:C,"&gt;="&amp;$L$8,JURNAL!C:C,"&lt;="&amp;$M$8)-SUMIFS(JURNAL!H:H,JURNAL!N:N,K25,JURNAL!C:C,"&gt;="&amp;$L$8,JURNAL!C:C,"&lt;="&amp;$M$8)</f>
        <v>0</v>
      </c>
      <c r="I24" s="297"/>
      <c r="K24" s="397"/>
    </row>
    <row r="25" spans="1:13" s="400" customFormat="1" ht="12.75" customHeight="1">
      <c r="A25" s="229" t="s">
        <v>101</v>
      </c>
      <c r="B25" s="951" t="s">
        <v>193</v>
      </c>
      <c r="C25" s="951"/>
      <c r="D25" s="298">
        <f>SUM(D26:D32)</f>
        <v>8727.52</v>
      </c>
      <c r="E25" s="298">
        <f t="shared" ref="E25:I25" si="9">SUM(E26:E32)</f>
        <v>0</v>
      </c>
      <c r="F25" s="298">
        <f t="shared" si="9"/>
        <v>0</v>
      </c>
      <c r="G25" s="298">
        <f t="shared" si="9"/>
        <v>0</v>
      </c>
      <c r="H25" s="298">
        <f t="shared" si="9"/>
        <v>0</v>
      </c>
      <c r="I25" s="298">
        <f t="shared" si="9"/>
        <v>0</v>
      </c>
      <c r="K25" s="401"/>
      <c r="L25" s="402"/>
      <c r="M25" s="43"/>
    </row>
    <row r="26" spans="1:13" ht="12.75" customHeight="1">
      <c r="A26" s="296" t="s">
        <v>103</v>
      </c>
      <c r="B26" s="950" t="s">
        <v>212</v>
      </c>
      <c r="C26" s="950"/>
      <c r="D26" s="297"/>
      <c r="E26" s="297">
        <f>+SUMIFS(JURNAL!G:G,JURNAL!N:N,K26,JURNAL!C:C,"&gt;="&amp;$L$5,JURNAL!C:C,"&lt;="&amp;$M$5)-SUMIFS(JURNAL!H:H,JURNAL!N:N,K26,JURNAL!C:C,"&gt;="&amp;$L$5,JURNAL!C:C,"&lt;="&amp;$M$5)</f>
        <v>0</v>
      </c>
      <c r="F26" s="297">
        <f>+SUMIFS(JURNAL!G:G,JURNAL!N:N,K26,JURNAL!C:C,"&gt;="&amp;$L$6,JURNAL!C:C,"&lt;="&amp;$M$6)-SUMIFS(JURNAL!H:H,JURNAL!N:N,K26,JURNAL!C:C,"&gt;="&amp;$L$6,JURNAL!C:C,"&lt;="&amp;$M$6)</f>
        <v>0</v>
      </c>
      <c r="G26" s="297">
        <f>+SUMIFS(JURNAL!G:G,JURNAL!N:N,K26,JURNAL!C:C,"&gt;="&amp;$L$7,JURNAL!C:C,"&lt;="&amp;$M$7)-SUMIFS(JURNAL!H:H,JURNAL!N:N,K26,JURNAL!C:C,"&gt;="&amp;$L$7,JURNAL!C:C,"&lt;="&amp;$M$7)</f>
        <v>0</v>
      </c>
      <c r="H26" s="297">
        <f>+SUMIFS(JURNAL!H:H,JURNAL!N:N,K26,JURNAL!C:C,"&gt;="&amp;$L$8,JURNAL!C:C,"&lt;="&amp;$M$8)-SUMIFS(JURNAL!G:G,JURNAL!N:N,K26,JURNAL!C:C,"&gt;="&amp;$L$8,JURNAL!C:C,"&lt;="&amp;$M$8)</f>
        <v>0</v>
      </c>
      <c r="I26" s="27">
        <f>SUM(E26:H26)</f>
        <v>0</v>
      </c>
      <c r="K26" s="424">
        <v>61</v>
      </c>
    </row>
    <row r="27" spans="1:13" ht="13.5" customHeight="1">
      <c r="A27" s="296" t="s">
        <v>129</v>
      </c>
      <c r="B27" s="950" t="s">
        <v>213</v>
      </c>
      <c r="C27" s="950"/>
      <c r="D27" s="297"/>
      <c r="E27" s="297">
        <f>+SUMIFS(JURNAL!G:G,JURNAL!N:N,K27,JURNAL!C:C,"&gt;="&amp;$L$5,JURNAL!C:C,"&lt;="&amp;$M$5)-SUMIFS(JURNAL!H:H,JURNAL!N:N,K27,JURNAL!C:C,"&gt;="&amp;$L$5,JURNAL!C:C,"&lt;="&amp;$M$5)</f>
        <v>0</v>
      </c>
      <c r="F27" s="297">
        <f>+SUMIFS(JURNAL!G:G,JURNAL!N:N,K27,JURNAL!C:C,"&gt;="&amp;$L$6,JURNAL!C:C,"&lt;="&amp;$M$6)-SUMIFS(JURNAL!H:H,JURNAL!N:N,K27,JURNAL!C:C,"&gt;="&amp;$L$6,JURNAL!C:C,"&lt;="&amp;$M$6)</f>
        <v>0</v>
      </c>
      <c r="G27" s="297">
        <f>+SUMIFS(JURNAL!G:G,JURNAL!N:N,K27,JURNAL!C:C,"&gt;="&amp;$L$7,JURNAL!C:C,"&lt;="&amp;$M$7)-SUMIFS(JURNAL!H:H,JURNAL!N:N,K27,JURNAL!C:C,"&gt;="&amp;$L$7,JURNAL!C:C,"&lt;="&amp;$M$7)</f>
        <v>0</v>
      </c>
      <c r="H27" s="297">
        <f>+SUMIFS(JURNAL!H:H,JURNAL!N:N,K27,JURNAL!C:C,"&gt;="&amp;$L$8,JURNAL!C:C,"&lt;="&amp;$M$8)-SUMIFS(JURNAL!G:G,JURNAL!N:N,K27,JURNAL!C:C,"&gt;="&amp;$L$8,JURNAL!C:C,"&lt;="&amp;$M$8)</f>
        <v>0</v>
      </c>
      <c r="I27" s="27">
        <f t="shared" ref="I27:I31" si="10">SUM(E27:H27)</f>
        <v>0</v>
      </c>
      <c r="K27" s="424">
        <v>62</v>
      </c>
    </row>
    <row r="28" spans="1:13" ht="12.75" customHeight="1">
      <c r="A28" s="296" t="s">
        <v>214</v>
      </c>
      <c r="B28" s="950" t="s">
        <v>215</v>
      </c>
      <c r="C28" s="950"/>
      <c r="D28" s="297"/>
      <c r="E28" s="297">
        <f>+SUMIFS(JURNAL!G:G,JURNAL!N:N,K28,JURNAL!C:C,"&gt;="&amp;$L$5,JURNAL!C:C,"&lt;="&amp;$M$5)-SUMIFS(JURNAL!H:H,JURNAL!N:N,K28,JURNAL!C:C,"&gt;="&amp;$L$5,JURNAL!C:C,"&lt;="&amp;$M$5)</f>
        <v>0</v>
      </c>
      <c r="F28" s="297">
        <f>+SUMIFS(JURNAL!G:G,JURNAL!N:N,K28,JURNAL!C:C,"&gt;="&amp;$L$6,JURNAL!C:C,"&lt;="&amp;$M$6)-SUMIFS(JURNAL!H:H,JURNAL!N:N,K28,JURNAL!C:C,"&gt;="&amp;$L$6,JURNAL!C:C,"&lt;="&amp;$M$6)</f>
        <v>0</v>
      </c>
      <c r="G28" s="297">
        <f>+SUMIFS(JURNAL!G:G,JURNAL!N:N,K28,JURNAL!C:C,"&gt;="&amp;$L$7,JURNAL!C:C,"&lt;="&amp;$M$7)-SUMIFS(JURNAL!H:H,JURNAL!N:N,K28,JURNAL!C:C,"&gt;="&amp;$L$7,JURNAL!C:C,"&lt;="&amp;$M$7)</f>
        <v>0</v>
      </c>
      <c r="H28" s="297">
        <f>+SUMIFS(JURNAL!H:H,JURNAL!N:N,K28,JURNAL!C:C,"&gt;="&amp;$L$8,JURNAL!C:C,"&lt;="&amp;$M$8)-SUMIFS(JURNAL!G:G,JURNAL!N:N,K28,JURNAL!C:C,"&gt;="&amp;$L$8,JURNAL!C:C,"&lt;="&amp;$M$8)</f>
        <v>0</v>
      </c>
      <c r="I28" s="27">
        <f t="shared" si="10"/>
        <v>0</v>
      </c>
      <c r="K28" s="397">
        <v>63</v>
      </c>
    </row>
    <row r="29" spans="1:13" ht="12.75" customHeight="1">
      <c r="A29" s="296" t="s">
        <v>216</v>
      </c>
      <c r="B29" s="950" t="s">
        <v>217</v>
      </c>
      <c r="C29" s="950"/>
      <c r="D29" s="297"/>
      <c r="E29" s="297">
        <f>+SUMIFS(JURNAL!G:G,JURNAL!N:N,K29,JURNAL!C:C,"&gt;="&amp;$L$5,JURNAL!C:C,"&lt;="&amp;$M$5)-SUMIFS(JURNAL!H:H,JURNAL!N:N,K29,JURNAL!C:C,"&gt;="&amp;$L$5,JURNAL!C:C,"&lt;="&amp;$M$5)</f>
        <v>0</v>
      </c>
      <c r="F29" s="297">
        <f>+SUMIFS(JURNAL!G:G,JURNAL!N:N,K29,JURNAL!C:C,"&gt;="&amp;$L$6,JURNAL!C:C,"&lt;="&amp;$M$6)-SUMIFS(JURNAL!H:H,JURNAL!N:N,K29,JURNAL!C:C,"&gt;="&amp;$L$6,JURNAL!C:C,"&lt;="&amp;$M$6)</f>
        <v>0</v>
      </c>
      <c r="G29" s="297">
        <f>+SUMIFS(JURNAL!G:G,JURNAL!N:N,K29,JURNAL!C:C,"&gt;="&amp;$L$7,JURNAL!C:C,"&lt;="&amp;$M$7)-SUMIFS(JURNAL!H:H,JURNAL!N:N,K29,JURNAL!C:C,"&gt;="&amp;$L$7,JURNAL!C:C,"&lt;="&amp;$M$7)</f>
        <v>0</v>
      </c>
      <c r="H29" s="297">
        <f>+SUMIFS(JURNAL!H:H,JURNAL!N:N,K29,JURNAL!C:C,"&gt;="&amp;$L$8,JURNAL!C:C,"&lt;="&amp;$M$8)-SUMIFS(JURNAL!G:G,JURNAL!N:N,K29,JURNAL!C:C,"&gt;="&amp;$L$8,JURNAL!C:C,"&lt;="&amp;$M$8)</f>
        <v>0</v>
      </c>
      <c r="I29" s="27">
        <f t="shared" si="10"/>
        <v>0</v>
      </c>
      <c r="K29" s="397">
        <v>64</v>
      </c>
    </row>
    <row r="30" spans="1:13" ht="12.75" customHeight="1">
      <c r="A30" s="296" t="s">
        <v>218</v>
      </c>
      <c r="B30" s="950" t="s">
        <v>219</v>
      </c>
      <c r="C30" s="950"/>
      <c r="D30" s="297"/>
      <c r="E30" s="297">
        <f>+SUMIFS(JURNAL!G:G,JURNAL!N:N,K30,JURNAL!C:C,"&gt;="&amp;$L$5,JURNAL!C:C,"&lt;="&amp;$M$5)-SUMIFS(JURNAL!H:H,JURNAL!N:N,K30,JURNAL!C:C,"&gt;="&amp;$L$5,JURNAL!C:C,"&lt;="&amp;$M$5)</f>
        <v>0</v>
      </c>
      <c r="F30" s="297">
        <f>+SUMIFS(JURNAL!G:G,JURNAL!N:N,K30,JURNAL!C:C,"&gt;="&amp;$L$6,JURNAL!C:C,"&lt;="&amp;$M$6)-SUMIFS(JURNAL!H:H,JURNAL!N:N,K30,JURNAL!C:C,"&gt;="&amp;$L$6,JURNAL!C:C,"&lt;="&amp;$M$6)</f>
        <v>0</v>
      </c>
      <c r="G30" s="297">
        <f>+SUMIFS(JURNAL!G:G,JURNAL!N:N,K30,JURNAL!C:C,"&gt;="&amp;$L$7,JURNAL!C:C,"&lt;="&amp;$M$7)-SUMIFS(JURNAL!H:H,JURNAL!N:N,K30,JURNAL!C:C,"&gt;="&amp;$L$7,JURNAL!C:C,"&lt;="&amp;$M$7)</f>
        <v>0</v>
      </c>
      <c r="H30" s="297">
        <f>+SUMIFS(JURNAL!H:H,JURNAL!N:N,K30,JURNAL!C:C,"&gt;="&amp;$L$8,JURNAL!C:C,"&lt;="&amp;$M$8)-SUMIFS(JURNAL!G:G,JURNAL!N:N,K30,JURNAL!C:C,"&gt;="&amp;$L$8,JURNAL!C:C,"&lt;="&amp;$M$8)</f>
        <v>0</v>
      </c>
      <c r="I30" s="27">
        <f t="shared" si="10"/>
        <v>0</v>
      </c>
      <c r="K30" s="397">
        <v>65</v>
      </c>
    </row>
    <row r="31" spans="1:13" ht="13.5" customHeight="1">
      <c r="A31" s="296" t="s">
        <v>220</v>
      </c>
      <c r="B31" s="950" t="s">
        <v>221</v>
      </c>
      <c r="C31" s="950"/>
      <c r="D31" s="297">
        <v>8727.52</v>
      </c>
      <c r="E31" s="297">
        <f>+SUMIFS(JURNAL!G:G,JURNAL!N:N,K31,JURNAL!C:C,"&gt;="&amp;$L$5,JURNAL!C:C,"&lt;="&amp;$M$5)-SUMIFS(JURNAL!H:H,JURNAL!N:N,K31,JURNAL!C:C,"&gt;="&amp;$L$5,JURNAL!C:C,"&lt;="&amp;$M$5)</f>
        <v>0</v>
      </c>
      <c r="F31" s="297">
        <f>+SUMIFS(JURNAL!G:G,JURNAL!N:N,K31,JURNAL!C:C,"&gt;="&amp;$L$6,JURNAL!C:C,"&lt;="&amp;$M$6)-SUMIFS(JURNAL!H:H,JURNAL!N:N,K31,JURNAL!C:C,"&gt;="&amp;$L$6,JURNAL!C:C,"&lt;="&amp;$M$6)</f>
        <v>0</v>
      </c>
      <c r="G31" s="297">
        <f>+SUMIFS(JURNAL!G:G,JURNAL!N:N,K31,JURNAL!C:C,"&gt;="&amp;$L$7,JURNAL!C:C,"&lt;="&amp;$M$7)-SUMIFS(JURNAL!H:H,JURNAL!N:N,K31,JURNAL!C:C,"&gt;="&amp;$L$7,JURNAL!C:C,"&lt;="&amp;$M$7)</f>
        <v>0</v>
      </c>
      <c r="H31" s="297">
        <f>+SUMIFS(JURNAL!H:H,JURNAL!N:N,K31,JURNAL!C:C,"&gt;="&amp;$L$8,JURNAL!C:C,"&lt;="&amp;$M$8)-SUMIFS(JURNAL!G:G,JURNAL!N:N,K31,JURNAL!C:C,"&gt;="&amp;$L$8,JURNAL!C:C,"&lt;="&amp;$M$8)</f>
        <v>0</v>
      </c>
      <c r="I31" s="27">
        <f t="shared" si="10"/>
        <v>0</v>
      </c>
      <c r="K31" s="397">
        <v>66</v>
      </c>
    </row>
    <row r="32" spans="1:13" ht="12.75" customHeight="1">
      <c r="A32" s="296" t="s">
        <v>222</v>
      </c>
      <c r="B32" s="950" t="s">
        <v>223</v>
      </c>
      <c r="C32" s="950"/>
      <c r="D32" s="297"/>
      <c r="E32" s="297">
        <f>+SUMIFS(JURNAL!G:G,JURNAL!N:N,K32,JURNAL!C:C,"&gt;="&amp;$L$5,JURNAL!C:C,"&lt;="&amp;$M$5)-SUMIFS(JURNAL!H:H,JURNAL!N:N,K32,JURNAL!C:C,"&gt;="&amp;$L$5,JURNAL!C:C,"&lt;="&amp;$M$5)</f>
        <v>0</v>
      </c>
      <c r="F32" s="297">
        <f>+SUMIFS(JURNAL!G:G,JURNAL!N:N,K32,JURNAL!C:C,"&gt;="&amp;$L$6,JURNAL!C:C,"&lt;="&amp;$M$6)-SUMIFS(JURNAL!H:H,JURNAL!N:N,K32,JURNAL!C:C,"&gt;="&amp;$L$6,JURNAL!C:C,"&lt;="&amp;$M$6)</f>
        <v>0</v>
      </c>
      <c r="G32" s="297">
        <f>+SUMIFS(JURNAL!G:G,JURNAL!N:N,K32,JURNAL!C:C,"&gt;="&amp;$L$7,JURNAL!C:C,"&lt;="&amp;$M$7)-SUMIFS(JURNAL!H:H,JURNAL!N:N,K32,JURNAL!C:C,"&gt;="&amp;$L$7,JURNAL!C:C,"&lt;="&amp;$M$7)</f>
        <v>0</v>
      </c>
      <c r="H32" s="297">
        <f>+SUMIFS(JURNAL!H:H,JURNAL!N:N,K32,JURNAL!C:C,"&gt;="&amp;$L$8,JURNAL!C:C,"&lt;="&amp;$M$8)-SUMIFS(JURNAL!G:G,JURNAL!N:N,K32,JURNAL!C:C,"&gt;="&amp;$L$8,JURNAL!C:C,"&lt;="&amp;$M$8)</f>
        <v>0</v>
      </c>
      <c r="I32" s="27">
        <f t="shared" ref="I32:I38" si="11">SUM(E32:H32)</f>
        <v>0</v>
      </c>
      <c r="K32" s="397">
        <v>67</v>
      </c>
    </row>
    <row r="33" spans="1:13" ht="12.75" customHeight="1">
      <c r="A33" s="296" t="s">
        <v>142</v>
      </c>
      <c r="B33" s="950" t="s">
        <v>200</v>
      </c>
      <c r="C33" s="950"/>
      <c r="D33" s="297">
        <f>SUM(D34:D38)</f>
        <v>0</v>
      </c>
      <c r="E33" s="297">
        <f t="shared" ref="E33:I33" si="12">SUM(E34:E38)</f>
        <v>0</v>
      </c>
      <c r="F33" s="297">
        <f t="shared" si="12"/>
        <v>0</v>
      </c>
      <c r="G33" s="297">
        <f t="shared" si="12"/>
        <v>0</v>
      </c>
      <c r="H33" s="297">
        <f t="shared" si="12"/>
        <v>0</v>
      </c>
      <c r="I33" s="297">
        <f t="shared" si="12"/>
        <v>0</v>
      </c>
      <c r="K33" s="397"/>
    </row>
    <row r="34" spans="1:13" ht="13.5" customHeight="1">
      <c r="A34" s="296" t="s">
        <v>224</v>
      </c>
      <c r="B34" s="950" t="s">
        <v>225</v>
      </c>
      <c r="C34" s="950"/>
      <c r="D34" s="297">
        <v>0</v>
      </c>
      <c r="E34" s="297">
        <f>+SUMIFS(JURNAL!G:G,JURNAL!N:N,K34,JURNAL!C:C,"&gt;="&amp;$L$5,JURNAL!C:C,"&lt;="&amp;$M$5)-SUMIFS(JURNAL!H:H,JURNAL!N:N,K34,JURNAL!C:C,"&gt;="&amp;$L$5,JURNAL!C:C,"&lt;="&amp;$M$5)</f>
        <v>0</v>
      </c>
      <c r="F34" s="297">
        <f>+SUMIFS(JURNAL!H:H,JURNAL!N:N,K34,JURNAL!C:C,"&gt;="&amp;$L$6,JURNAL!C:C,"&lt;="&amp;$M$6)-SUMIFS(JURNAL!G:G,JURNAL!N:N,K34,JURNAL!C:C,"&gt;="&amp;$L$6,JURNAL!C:C,"&lt;="&amp;$M$6)</f>
        <v>0</v>
      </c>
      <c r="G34" s="297">
        <f>+SUMIFS(JURNAL!H:H,JURNAL!N:N,K34,JURNAL!C:C,"&gt;="&amp;$L$7,JURNAL!C:C,"&lt;="&amp;$M$7)-SUMIFS(JURNAL!G:G,JURNAL!N:N,K34,JURNAL!C:C,"&gt;="&amp;$L$7,JURNAL!C:C,"&lt;="&amp;$M$7)</f>
        <v>0</v>
      </c>
      <c r="H34" s="297">
        <f>+SUMIFS(JURNAL!H:H,JURNAL!N:N,K34,JURNAL!C:C,"&gt;="&amp;$L$8,JURNAL!C:C,"&lt;="&amp;$M$8)-SUMIFS(JURNAL!G:G,JURNAL!N:N,K34,JURNAL!C:C,"&gt;="&amp;$L$8,JURNAL!C:C,"&lt;="&amp;$M$8)</f>
        <v>0</v>
      </c>
      <c r="I34" s="27">
        <f>SUM(E34:H34)</f>
        <v>0</v>
      </c>
      <c r="K34" s="397">
        <v>71</v>
      </c>
    </row>
    <row r="35" spans="1:13" ht="12.75" customHeight="1">
      <c r="A35" s="296" t="s">
        <v>226</v>
      </c>
      <c r="B35" s="950" t="s">
        <v>227</v>
      </c>
      <c r="C35" s="950"/>
      <c r="D35" s="297"/>
      <c r="E35" s="297">
        <f>+SUMIFS(JURNAL!G:G,JURNAL!N:N,K35,JURNAL!C:C,"&gt;="&amp;$L$5,JURNAL!C:C,"&lt;="&amp;$M$5)-SUMIFS(JURNAL!H:H,JURNAL!N:N,K35,JURNAL!C:C,"&gt;="&amp;$L$5,JURNAL!C:C,"&lt;="&amp;$M$5)</f>
        <v>0</v>
      </c>
      <c r="F35" s="297">
        <f>+SUMIFS(JURNAL!H:H,JURNAL!N:N,K35,JURNAL!C:C,"&gt;="&amp;$L$6,JURNAL!C:C,"&lt;="&amp;$M$6)-SUMIFS(JURNAL!G:G,JURNAL!N:N,K35,JURNAL!C:C,"&gt;="&amp;$L$6,JURNAL!C:C,"&lt;="&amp;$M$6)</f>
        <v>0</v>
      </c>
      <c r="G35" s="297">
        <f>+SUMIFS(JURNAL!H:H,JURNAL!N:N,K35,JURNAL!C:C,"&gt;="&amp;$L$7,JURNAL!C:C,"&lt;="&amp;$M$7)-SUMIFS(JURNAL!G:G,JURNAL!N:N,K35,JURNAL!C:C,"&gt;="&amp;$L$7,JURNAL!C:C,"&lt;="&amp;$M$7)</f>
        <v>0</v>
      </c>
      <c r="H35" s="297">
        <f>+SUMIFS(JURNAL!H:H,JURNAL!N:N,K35,JURNAL!C:C,"&gt;="&amp;$L$8,JURNAL!C:C,"&lt;="&amp;$M$8)-SUMIFS(JURNAL!G:G,JURNAL!N:N,K35,JURNAL!C:C,"&gt;="&amp;$L$8,JURNAL!C:C,"&lt;="&amp;$M$8)</f>
        <v>0</v>
      </c>
      <c r="I35" s="27">
        <f t="shared" si="11"/>
        <v>0</v>
      </c>
      <c r="K35" s="397">
        <v>72</v>
      </c>
    </row>
    <row r="36" spans="1:13" ht="12.75" customHeight="1">
      <c r="A36" s="296" t="s">
        <v>228</v>
      </c>
      <c r="B36" s="950" t="s">
        <v>229</v>
      </c>
      <c r="C36" s="950"/>
      <c r="D36" s="297"/>
      <c r="E36" s="297">
        <f>+SUMIFS(JURNAL!G:G,JURNAL!N:N,K36,JURNAL!C:C,"&gt;="&amp;$L$5,JURNAL!C:C,"&lt;="&amp;$M$5)-SUMIFS(JURNAL!H:H,JURNAL!N:N,K36,JURNAL!C:C,"&gt;="&amp;$L$5,JURNAL!C:C,"&lt;="&amp;$M$5)</f>
        <v>0</v>
      </c>
      <c r="F36" s="297">
        <f>+SUMIFS(JURNAL!H:H,JURNAL!N:N,K36,JURNAL!C:C,"&gt;="&amp;$L$6,JURNAL!C:C,"&lt;="&amp;$M$6)-SUMIFS(JURNAL!G:G,JURNAL!N:N,K36,JURNAL!C:C,"&gt;="&amp;$L$6,JURNAL!C:C,"&lt;="&amp;$M$6)</f>
        <v>0</v>
      </c>
      <c r="G36" s="297">
        <f>+SUMIFS(JURNAL!H:H,JURNAL!N:N,K36,JURNAL!C:C,"&gt;="&amp;$L$7,JURNAL!C:C,"&lt;="&amp;$M$7)-SUMIFS(JURNAL!G:G,JURNAL!N:N,K36,JURNAL!C:C,"&gt;="&amp;$L$7,JURNAL!C:C,"&lt;="&amp;$M$7)</f>
        <v>0</v>
      </c>
      <c r="H36" s="297">
        <f>+SUMIFS(JURNAL!H:H,JURNAL!N:N,K36,JURNAL!C:C,"&gt;="&amp;$L$8,JURNAL!C:C,"&lt;="&amp;$M$8)-SUMIFS(JURNAL!G:G,JURNAL!N:N,K36,JURNAL!C:C,"&gt;="&amp;$L$8,JURNAL!C:C,"&lt;="&amp;$M$8)</f>
        <v>0</v>
      </c>
      <c r="I36" s="27">
        <f t="shared" si="11"/>
        <v>0</v>
      </c>
      <c r="K36" s="397">
        <v>73</v>
      </c>
    </row>
    <row r="37" spans="1:13" ht="13.5" customHeight="1">
      <c r="A37" s="296" t="s">
        <v>230</v>
      </c>
      <c r="B37" s="950" t="s">
        <v>231</v>
      </c>
      <c r="C37" s="950"/>
      <c r="D37" s="297"/>
      <c r="E37" s="297">
        <f>+SUMIFS(JURNAL!G:G,JURNAL!N:N,K37,JURNAL!C:C,"&gt;="&amp;$L$5,JURNAL!C:C,"&lt;="&amp;$M$5)-SUMIFS(JURNAL!H:H,JURNAL!N:N,K37,JURNAL!C:C,"&gt;="&amp;$L$5,JURNAL!C:C,"&lt;="&amp;$M$5)</f>
        <v>0</v>
      </c>
      <c r="F37" s="297">
        <f>+SUMIFS(JURNAL!H:H,JURNAL!N:N,K37,JURNAL!C:C,"&gt;="&amp;$L$6,JURNAL!C:C,"&lt;="&amp;$M$6)-SUMIFS(JURNAL!G:G,JURNAL!N:N,K37,JURNAL!C:C,"&gt;="&amp;$L$6,JURNAL!C:C,"&lt;="&amp;$M$6)</f>
        <v>0</v>
      </c>
      <c r="G37" s="297">
        <f>+SUMIFS(JURNAL!H:H,JURNAL!N:N,K37,JURNAL!C:C,"&gt;="&amp;$L$7,JURNAL!C:C,"&lt;="&amp;$M$7)-SUMIFS(JURNAL!G:G,JURNAL!N:N,K37,JURNAL!C:C,"&gt;="&amp;$L$7,JURNAL!C:C,"&lt;="&amp;$M$7)</f>
        <v>0</v>
      </c>
      <c r="H37" s="297">
        <f>+SUMIFS(JURNAL!H:H,JURNAL!N:N,K37,JURNAL!C:C,"&gt;="&amp;$L$8,JURNAL!C:C,"&lt;="&amp;$M$8)-SUMIFS(JURNAL!G:G,JURNAL!N:N,K37,JURNAL!C:C,"&gt;="&amp;$L$8,JURNAL!C:C,"&lt;="&amp;$M$8)</f>
        <v>0</v>
      </c>
      <c r="I37" s="27">
        <f t="shared" si="11"/>
        <v>0</v>
      </c>
      <c r="K37" s="397">
        <v>74</v>
      </c>
    </row>
    <row r="38" spans="1:13" ht="12.75" customHeight="1">
      <c r="A38" s="296" t="s">
        <v>232</v>
      </c>
      <c r="B38" s="950" t="s">
        <v>233</v>
      </c>
      <c r="C38" s="950"/>
      <c r="D38" s="297"/>
      <c r="E38" s="297"/>
      <c r="F38" s="297">
        <f>+SUMIFS(JURNAL!H:H,JURNAL!N:N,K38,JURNAL!C:C,"&gt;="&amp;$L$6,JURNAL!C:C,"&lt;="&amp;$M$6)-SUMIFS(JURNAL!G:G,JURNAL!N:N,K38,JURNAL!C:C,"&gt;="&amp;$L$6,JURNAL!C:C,"&lt;="&amp;$M$6)</f>
        <v>0</v>
      </c>
      <c r="G38" s="297">
        <f>+SUMIFS(JURNAL!H:H,JURNAL!N:N,K38,JURNAL!C:C,"&gt;="&amp;$L$7,JURNAL!C:C,"&lt;="&amp;$M$7)-SUMIFS(JURNAL!G:G,JURNAL!N:N,K38,JURNAL!C:C,"&gt;="&amp;$L$7,JURNAL!C:C,"&lt;="&amp;$M$7)</f>
        <v>0</v>
      </c>
      <c r="H38" s="297">
        <f>+SUMIFS(JURNAL!H:H,JURNAL!N:N,K38,JURNAL!C:C,"&gt;="&amp;$L$8,JURNAL!C:C,"&lt;="&amp;$M$8)-SUMIFS(JURNAL!G:G,JURNAL!N:N,K38,JURNAL!C:C,"&gt;="&amp;$L$8,JURNAL!C:C,"&lt;="&amp;$M$8)</f>
        <v>0</v>
      </c>
      <c r="I38" s="27">
        <f t="shared" si="11"/>
        <v>0</v>
      </c>
      <c r="K38" s="397">
        <v>75</v>
      </c>
    </row>
    <row r="39" spans="1:13" s="400" customFormat="1" ht="12.75" customHeight="1">
      <c r="A39" s="229" t="s">
        <v>144</v>
      </c>
      <c r="B39" s="951" t="s">
        <v>234</v>
      </c>
      <c r="C39" s="951"/>
      <c r="D39" s="298">
        <f>+D25-D33</f>
        <v>8727.52</v>
      </c>
      <c r="E39" s="298">
        <f>+E25-E33</f>
        <v>0</v>
      </c>
      <c r="F39" s="298">
        <f t="shared" ref="F39:I39" si="13">+F25-F33</f>
        <v>0</v>
      </c>
      <c r="G39" s="298">
        <f t="shared" si="13"/>
        <v>0</v>
      </c>
      <c r="H39" s="298">
        <f t="shared" si="13"/>
        <v>0</v>
      </c>
      <c r="I39" s="298">
        <f t="shared" si="13"/>
        <v>0</v>
      </c>
      <c r="K39" s="401"/>
      <c r="L39" s="402"/>
      <c r="M39" s="43"/>
    </row>
    <row r="40" spans="1:13" ht="13.5" customHeight="1">
      <c r="A40" s="296" t="s">
        <v>171</v>
      </c>
      <c r="B40" s="950" t="s">
        <v>235</v>
      </c>
      <c r="C40" s="950"/>
      <c r="D40" s="297"/>
      <c r="E40" s="297"/>
      <c r="F40" s="297"/>
      <c r="G40" s="297"/>
      <c r="H40" s="297"/>
      <c r="I40" s="297"/>
      <c r="K40" s="397"/>
    </row>
    <row r="41" spans="1:13" ht="12.75" customHeight="1">
      <c r="A41" s="296" t="s">
        <v>236</v>
      </c>
      <c r="B41" s="950" t="s">
        <v>193</v>
      </c>
      <c r="C41" s="950"/>
      <c r="D41" s="297">
        <f>SUM(D42:D45)</f>
        <v>102916721.59</v>
      </c>
      <c r="E41" s="297">
        <f>SUM(E42:E45)</f>
        <v>0</v>
      </c>
      <c r="F41" s="297">
        <f>SUM(F42:F45)</f>
        <v>0</v>
      </c>
      <c r="G41" s="297">
        <f>SUM(G42:G45)</f>
        <v>131025.51</v>
      </c>
      <c r="H41" s="297">
        <f t="shared" ref="H41:I41" si="14">SUM(H42:H45)</f>
        <v>0</v>
      </c>
      <c r="I41" s="297">
        <f t="shared" si="14"/>
        <v>131025.51</v>
      </c>
      <c r="K41" s="397"/>
    </row>
    <row r="42" spans="1:13" ht="12.75" customHeight="1">
      <c r="A42" s="296" t="s">
        <v>237</v>
      </c>
      <c r="B42" s="950" t="s">
        <v>238</v>
      </c>
      <c r="C42" s="950"/>
      <c r="D42" s="297">
        <v>100000000</v>
      </c>
      <c r="E42" s="297">
        <f>+SUMIFS(JURNAL!G:G,JURNAL!N:N,K42,JURNAL!C:C,"&gt;="&amp;$L$5,JURNAL!C:C,"&lt;="&amp;$M$5)-SUMIFS(JURNAL!H:H,JURNAL!N:N,K42,JURNAL!C:C,"&gt;="&amp;$L$5,JURNAL!C:C,"&lt;="&amp;$M$5)</f>
        <v>0</v>
      </c>
      <c r="F42" s="297">
        <f>+SUMIFS(JURNAL!G:G,JURNAL!N:N,K42,JURNAL!C:C,"&gt;="&amp;$L$6,JURNAL!C:C,"&lt;="&amp;$M$6)-SUMIFS(JURNAL!H:H,JURNAL!N:N,K42,JURNAL!C:C,"&gt;="&amp;$L$6,JURNAL!C:C,"&lt;="&amp;$M$6)</f>
        <v>0</v>
      </c>
      <c r="G42" s="297">
        <f>+SUMIFS(JURNAL!I:I,JURNAL!P:P,M42,JURNAL!E:E,"&gt;="&amp;$L$5,JURNAL!E:E,"&lt;="&amp;$M$5)-SUMIFS(JURNAL!J:J,JURNAL!P:P,M42,JURNAL!E:E,"&gt;="&amp;$L$5,JURNAL!E:E,"&lt;="&amp;$M$5)</f>
        <v>0</v>
      </c>
      <c r="H42" s="297">
        <f>+SUMIFS(JURNAL!H:H,JURNAL!N:N,K42,JURNAL!C:C,"&gt;="&amp;$L$8,JURNAL!C:C,"&lt;="&amp;$M$8)-SUMIFS(JURNAL!G:G,JURNAL!N:N,K42,JURNAL!C:C,"&gt;="&amp;$L$8,JURNAL!C:C,"&lt;="&amp;$M$8)</f>
        <v>0</v>
      </c>
      <c r="I42" s="27">
        <f t="shared" ref="I42:I50" si="15">SUM(E42:H42)</f>
        <v>0</v>
      </c>
      <c r="K42" s="397">
        <v>81</v>
      </c>
    </row>
    <row r="43" spans="1:13" ht="13.5" customHeight="1">
      <c r="A43" s="296" t="s">
        <v>239</v>
      </c>
      <c r="B43" s="950" t="s">
        <v>240</v>
      </c>
      <c r="C43" s="950"/>
      <c r="D43" s="297"/>
      <c r="E43" s="297">
        <f>+SUMIFS(JURNAL!G:G,JURNAL!N:N,K43,JURNAL!C:C,"&gt;="&amp;$L$5,JURNAL!C:C,"&lt;="&amp;$M$5)-SUMIFS(JURNAL!H:H,JURNAL!N:N,K43,JURNAL!C:C,"&gt;="&amp;$L$5,JURNAL!C:C,"&lt;="&amp;$M$5)</f>
        <v>0</v>
      </c>
      <c r="F43" s="297">
        <f>+SUMIFS(JURNAL!G:G,JURNAL!N:N,K43,JURNAL!C:C,"&gt;="&amp;$L$6,JURNAL!C:C,"&lt;="&amp;$M$6)-SUMIFS(JURNAL!H:H,JURNAL!N:N,K43,JURNAL!C:C,"&gt;="&amp;$L$6,JURNAL!C:C,"&lt;="&amp;$M$6)</f>
        <v>0</v>
      </c>
      <c r="G43" s="297">
        <f>+SUMIFS(JURNAL!I:I,JURNAL!P:P,M43,JURNAL!E:E,"&gt;="&amp;$L$5,JURNAL!E:E,"&lt;="&amp;$M$5)-SUMIFS(JURNAL!J:J,JURNAL!P:P,M43,JURNAL!E:E,"&gt;="&amp;$L$5,JURNAL!E:E,"&lt;="&amp;$M$5)</f>
        <v>0</v>
      </c>
      <c r="H43" s="297">
        <f>+SUMIFS(JURNAL!H:H,JURNAL!N:N,K43,JURNAL!C:C,"&gt;="&amp;$L$8,JURNAL!C:C,"&lt;="&amp;$M$8)-SUMIFS(JURNAL!G:G,JURNAL!N:N,K43,JURNAL!C:C,"&gt;="&amp;$L$8,JURNAL!C:C,"&lt;="&amp;$M$8)</f>
        <v>0</v>
      </c>
      <c r="I43" s="27">
        <f t="shared" si="15"/>
        <v>0</v>
      </c>
      <c r="K43" s="397">
        <v>82</v>
      </c>
    </row>
    <row r="44" spans="1:13" ht="12.75" customHeight="1">
      <c r="A44" s="296" t="s">
        <v>241</v>
      </c>
      <c r="B44" s="950" t="s">
        <v>242</v>
      </c>
      <c r="C44" s="950"/>
      <c r="D44" s="297"/>
      <c r="E44" s="297">
        <f>+SUMIFS(JURNAL!G:G,JURNAL!N:N,K44,JURNAL!C:C,"&gt;="&amp;$L$5,JURNAL!C:C,"&lt;="&amp;$M$5)-SUMIFS(JURNAL!H:H,JURNAL!N:N,K44,JURNAL!C:C,"&gt;="&amp;$L$5,JURNAL!C:C,"&lt;="&amp;$M$5)</f>
        <v>0</v>
      </c>
      <c r="F44" s="297">
        <f>+SUMIFS(JURNAL!G:G,JURNAL!N:N,K44,JURNAL!C:C,"&gt;="&amp;$L$6,JURNAL!C:C,"&lt;="&amp;$M$6)-SUMIFS(JURNAL!H:H,JURNAL!N:N,K44,JURNAL!C:C,"&gt;="&amp;$L$6,JURNAL!C:C,"&lt;="&amp;$M$6)</f>
        <v>0</v>
      </c>
      <c r="G44" s="297">
        <f>+SUMIFS(JURNAL!I:I,JURNAL!P:P,M44,JURNAL!E:E,"&gt;="&amp;$L$5,JURNAL!E:E,"&lt;="&amp;$M$5)-SUMIFS(JURNAL!J:J,JURNAL!P:P,M44,JURNAL!E:E,"&gt;="&amp;$L$5,JURNAL!E:E,"&lt;="&amp;$M$5)</f>
        <v>0</v>
      </c>
      <c r="H44" s="297">
        <f>+SUMIFS(JURNAL!H:H,JURNAL!N:N,K44,JURNAL!C:C,"&gt;="&amp;$L$8,JURNAL!C:C,"&lt;="&amp;$M$8)-SUMIFS(JURNAL!G:G,JURNAL!N:N,K44,JURNAL!C:C,"&gt;="&amp;$L$8,JURNAL!C:C,"&lt;="&amp;$M$8)</f>
        <v>0</v>
      </c>
      <c r="I44" s="27">
        <f t="shared" si="15"/>
        <v>0</v>
      </c>
      <c r="K44" s="397">
        <v>83</v>
      </c>
    </row>
    <row r="45" spans="1:13" ht="12.75" customHeight="1">
      <c r="A45" s="296"/>
      <c r="B45" s="950" t="s">
        <v>243</v>
      </c>
      <c r="C45" s="950"/>
      <c r="D45" s="297">
        <v>2916721.59</v>
      </c>
      <c r="E45" s="297">
        <f>+STAT1!K170+STAT1!N5+STAT1!N7+STAT1!N9</f>
        <v>0</v>
      </c>
      <c r="F45" s="297">
        <f>+STAT2!O197+STAT2!O198</f>
        <v>0</v>
      </c>
      <c r="G45" s="297">
        <f>+STAT3!O198+STAT3!O197</f>
        <v>131025.51</v>
      </c>
      <c r="H45" s="297">
        <f>+STAT4!O198+STAT4!O197</f>
        <v>0</v>
      </c>
      <c r="I45" s="27">
        <f t="shared" si="15"/>
        <v>131025.51</v>
      </c>
      <c r="K45" s="397">
        <v>84</v>
      </c>
    </row>
    <row r="46" spans="1:13" s="400" customFormat="1" ht="13.5" customHeight="1">
      <c r="A46" s="229" t="s">
        <v>244</v>
      </c>
      <c r="B46" s="951" t="s">
        <v>200</v>
      </c>
      <c r="C46" s="951"/>
      <c r="D46" s="298">
        <f>SUM(D47:D51)</f>
        <v>247953509.53</v>
      </c>
      <c r="E46" s="298">
        <f>SUM(E47:E51)</f>
        <v>21750661.357000001</v>
      </c>
      <c r="F46" s="298">
        <f>SUM(F47:F51)</f>
        <v>22620678.960000001</v>
      </c>
      <c r="G46" s="298">
        <f>SUM(G47:G51)</f>
        <v>23855410.07</v>
      </c>
      <c r="H46" s="298">
        <f>SUM(H47:H51)</f>
        <v>25580850.432999998</v>
      </c>
      <c r="I46" s="298">
        <f t="shared" ref="I46" si="16">SUM(I47:I51)</f>
        <v>93807600.819999993</v>
      </c>
      <c r="K46" s="401"/>
      <c r="L46" s="402"/>
      <c r="M46" s="43"/>
    </row>
    <row r="47" spans="1:13" ht="12.75" customHeight="1">
      <c r="A47" s="296" t="s">
        <v>245</v>
      </c>
      <c r="B47" s="950" t="s">
        <v>246</v>
      </c>
      <c r="C47" s="950"/>
      <c r="D47" s="297">
        <v>247949502</v>
      </c>
      <c r="E47" s="297">
        <f>+SUMIFS(JURNAL!H:H,JURNAL!N:N,K47,JURNAL!C:C,"&gt;="&amp;$L$5,JURNAL!C:C,"&lt;="&amp;$M$5)-SUMIFS(JURNAL!G:G,JURNAL!N:N,K47,JURNAL!C:C,"&gt;="&amp;$L$5,JURNAL!C:C,"&lt;="&amp;$M$5)</f>
        <v>21502370</v>
      </c>
      <c r="F47" s="297">
        <f>+SUMIFS(JURNAL!H:H,JURNAL!N:N,K47,JURNAL!C:C,"&gt;="&amp;$L$6,JURNAL!C:C,"&lt;="&amp;$M$6)-SUMIFS(JURNAL!G:G,JURNAL!N:N,K47,JURNAL!C:C,"&gt;="&amp;$L$6,JURNAL!C:C,"&lt;="&amp;$M$6)</f>
        <v>22595760.93</v>
      </c>
      <c r="G47" s="297">
        <f>+SUMIFS(JURNAL!H:H,JURNAL!N:N,K47,JURNAL!C:C,"&gt;="&amp;$L$7,JURNAL!C:C,"&lt;="&amp;$M$7)-SUMIFS(JURNAL!G:G,JURNAL!N:N,K47,JURNAL!C:C,"&gt;="&amp;$L$7,JURNAL!C:C,"&lt;="&amp;$M$7)</f>
        <v>23855410.07</v>
      </c>
      <c r="H47" s="297">
        <f>+SUMIFS(JURNAL!H:H,JURNAL!N:N,K47,JURNAL!C:C,"&gt;="&amp;$L$8,JURNAL!C:C,"&lt;="&amp;$M$8)-SUMIFS(JURNAL!G:G,JURNAL!N:N,K47,JURNAL!C:C,"&gt;="&amp;$L$8,JURNAL!C:C,"&lt;="&amp;$M$8)</f>
        <v>25354644</v>
      </c>
      <c r="I47" s="27">
        <f t="shared" si="15"/>
        <v>93308185</v>
      </c>
      <c r="K47" s="397">
        <v>91</v>
      </c>
    </row>
    <row r="48" spans="1:13" ht="12.75" customHeight="1">
      <c r="A48" s="296" t="s">
        <v>247</v>
      </c>
      <c r="B48" s="950" t="s">
        <v>248</v>
      </c>
      <c r="C48" s="950"/>
      <c r="D48" s="297"/>
      <c r="E48" s="297">
        <f>+SUMIFS(JURNAL!H:H,JURNAL!N:N,K48,JURNAL!C:C,"&gt;="&amp;$L$5,JURNAL!C:C,"&lt;="&amp;$M$5)-SUMIFS(JURNAL!G:G,JURNAL!N:N,K48,JURNAL!C:C,"&gt;="&amp;$L$5,JURNAL!C:C,"&lt;="&amp;$M$5)</f>
        <v>0</v>
      </c>
      <c r="F48" s="297">
        <f>+SUMIFS(JURNAL!H:H,JURNAL!N:N,K48,JURNAL!C:C,"&gt;="&amp;$L$6,JURNAL!C:C,"&lt;="&amp;$M$6)-SUMIFS(JURNAL!G:G,JURNAL!N:N,K48,JURNAL!C:C,"&gt;="&amp;$L$6,JURNAL!C:C,"&lt;="&amp;$M$6)</f>
        <v>0</v>
      </c>
      <c r="G48" s="297">
        <f>+SUMIFS(JURNAL!H:H,JURNAL!N:N,K48,JURNAL!C:C,"&gt;="&amp;$L$7,JURNAL!C:C,"&lt;="&amp;$M$7)-SUMIFS(JURNAL!G:G,JURNAL!N:N,K48,JURNAL!C:C,"&gt;="&amp;$L$7,JURNAL!C:C,"&lt;="&amp;$M$7)</f>
        <v>0</v>
      </c>
      <c r="H48" s="297">
        <f>+SUMIFS(JURNAL!H:H,JURNAL!N:N,K48,JURNAL!C:C,"&gt;="&amp;$L$8,JURNAL!C:C,"&lt;="&amp;$M$8)-SUMIFS(JURNAL!G:G,JURNAL!N:N,K48,JURNAL!C:C,"&gt;="&amp;$L$8,JURNAL!C:C,"&lt;="&amp;$M$8)</f>
        <v>0</v>
      </c>
      <c r="I48" s="27">
        <f t="shared" si="15"/>
        <v>0</v>
      </c>
      <c r="K48" s="397">
        <v>92</v>
      </c>
    </row>
    <row r="49" spans="1:12" ht="13.5" customHeight="1">
      <c r="A49" s="296" t="s">
        <v>249</v>
      </c>
      <c r="B49" s="950" t="s">
        <v>250</v>
      </c>
      <c r="C49" s="950"/>
      <c r="D49" s="297"/>
      <c r="E49" s="297">
        <f>+SUMIFS(JURNAL!H:H,JURNAL!N:N,K49,JURNAL!C:C,"&gt;="&amp;$L$5,JURNAL!C:C,"&lt;="&amp;$M$5)-SUMIFS(JURNAL!G:G,JURNAL!N:N,K49,JURNAL!C:C,"&gt;="&amp;$L$5,JURNAL!C:C,"&lt;="&amp;$M$5)</f>
        <v>0</v>
      </c>
      <c r="F49" s="297">
        <f>+SUMIFS(JURNAL!H:H,JURNAL!N:N,K49,JURNAL!C:C,"&gt;="&amp;$L$6,JURNAL!C:C,"&lt;="&amp;$M$6)-SUMIFS(JURNAL!G:G,JURNAL!N:N,K49,JURNAL!C:C,"&gt;="&amp;$L$6,JURNAL!C:C,"&lt;="&amp;$M$6)</f>
        <v>0</v>
      </c>
      <c r="G49" s="297">
        <f>+SUMIFS(JURNAL!H:H,JURNAL!N:N,K49,JURNAL!C:C,"&gt;="&amp;$L$7,JURNAL!C:C,"&lt;="&amp;$M$7)-SUMIFS(JURNAL!G:G,JURNAL!N:N,K49,JURNAL!C:C,"&gt;="&amp;$L$7,JURNAL!C:C,"&lt;="&amp;$M$7)</f>
        <v>0</v>
      </c>
      <c r="H49" s="297">
        <f>+SUMIFS(JURNAL!H:H,JURNAL!N:N,K49,JURNAL!C:C,"&gt;="&amp;$L$8,JURNAL!C:C,"&lt;="&amp;$M$8)-SUMIFS(JURNAL!G:G,JURNAL!N:N,K49,JURNAL!C:C,"&gt;="&amp;$L$8,JURNAL!C:C,"&lt;="&amp;$M$8)</f>
        <v>0</v>
      </c>
      <c r="I49" s="27">
        <f t="shared" si="15"/>
        <v>0</v>
      </c>
      <c r="K49" s="397">
        <v>93</v>
      </c>
    </row>
    <row r="50" spans="1:12" ht="12.75" customHeight="1">
      <c r="A50" s="296" t="s">
        <v>251</v>
      </c>
      <c r="B50" s="950" t="s">
        <v>252</v>
      </c>
      <c r="C50" s="950"/>
      <c r="D50" s="297"/>
      <c r="E50" s="297">
        <f>+SUMIFS(JURNAL!H:H,JURNAL!N:N,K50,JURNAL!C:C,"&gt;="&amp;$L$5,JURNAL!C:C,"&lt;="&amp;$M$5)-SUMIFS(JURNAL!G:G,JURNAL!N:N,K50,JURNAL!C:C,"&gt;="&amp;$L$5,JURNAL!C:C,"&lt;="&amp;$M$5)</f>
        <v>0</v>
      </c>
      <c r="F50" s="297">
        <f>+SUMIFS(JURNAL!H:H,JURNAL!N:N,K50,JURNAL!C:C,"&gt;="&amp;$L$6,JURNAL!C:C,"&lt;="&amp;$M$6)-SUMIFS(JURNAL!G:G,JURNAL!N:N,K50,JURNAL!C:C,"&gt;="&amp;$L$6,JURNAL!C:C,"&lt;="&amp;$M$6)</f>
        <v>0</v>
      </c>
      <c r="G50" s="297">
        <f>+SUMIFS(JURNAL!H:H,JURNAL!N:N,K50,JURNAL!C:C,"&gt;="&amp;$L$7,JURNAL!C:C,"&lt;="&amp;$M$7)-SUMIFS(JURNAL!G:G,JURNAL!N:N,K50,JURNAL!C:C,"&gt;="&amp;$L$7,JURNAL!C:C,"&lt;="&amp;$M$7)</f>
        <v>0</v>
      </c>
      <c r="H50" s="297">
        <f>+SUMIFS(JURNAL!H:H,JURNAL!N:N,K50,JURNAL!C:C,"&gt;="&amp;$L$8,JURNAL!C:C,"&lt;="&amp;$M$8)-SUMIFS(JURNAL!G:G,JURNAL!N:N,K50,JURNAL!C:C,"&gt;="&amp;$L$8,JURNAL!C:C,"&lt;="&amp;$M$8)</f>
        <v>0</v>
      </c>
      <c r="I50" s="27">
        <f t="shared" si="15"/>
        <v>0</v>
      </c>
      <c r="K50" s="397">
        <v>94</v>
      </c>
    </row>
    <row r="51" spans="1:12" ht="12.75" customHeight="1">
      <c r="A51" s="296" t="s">
        <v>253</v>
      </c>
      <c r="B51" s="961" t="s">
        <v>254</v>
      </c>
      <c r="C51" s="961"/>
      <c r="D51" s="297">
        <v>4007.53</v>
      </c>
      <c r="E51" s="297">
        <f>+STAT1!N205</f>
        <v>248291.35699999999</v>
      </c>
      <c r="F51" s="297">
        <f>+STAT2!N205</f>
        <v>24918.03</v>
      </c>
      <c r="G51" s="297">
        <f>+STAT3!N205</f>
        <v>0</v>
      </c>
      <c r="H51" s="297">
        <f>+STAT4!U205</f>
        <v>226206.43299999999</v>
      </c>
      <c r="I51" s="27">
        <f>SUM(E51:H51)</f>
        <v>499415.81999999995</v>
      </c>
      <c r="K51" s="397">
        <v>95</v>
      </c>
      <c r="L51" s="44"/>
    </row>
    <row r="52" spans="1:12" ht="13.5" customHeight="1">
      <c r="A52" s="296" t="s">
        <v>255</v>
      </c>
      <c r="B52" s="950" t="s">
        <v>256</v>
      </c>
      <c r="C52" s="950"/>
      <c r="D52" s="297">
        <f t="shared" ref="D52:I52" si="17">+D41-D46</f>
        <v>-145036787.94</v>
      </c>
      <c r="E52" s="297">
        <f t="shared" si="17"/>
        <v>-21750661.357000001</v>
      </c>
      <c r="F52" s="297">
        <f t="shared" si="17"/>
        <v>-22620678.960000001</v>
      </c>
      <c r="G52" s="297">
        <f t="shared" si="17"/>
        <v>-23724384.559999999</v>
      </c>
      <c r="H52" s="297">
        <f t="shared" si="17"/>
        <v>-25580850.432999998</v>
      </c>
      <c r="I52" s="297">
        <f t="shared" si="17"/>
        <v>-93676575.309999987</v>
      </c>
    </row>
    <row r="53" spans="1:12" ht="12.75" customHeight="1">
      <c r="A53" s="296" t="s">
        <v>172</v>
      </c>
      <c r="B53" s="950" t="s">
        <v>257</v>
      </c>
      <c r="C53" s="950"/>
      <c r="D53" s="297">
        <f t="shared" ref="D53:I53" si="18">+D23+D39+D52</f>
        <v>-190044005.68999997</v>
      </c>
      <c r="E53" s="297">
        <f t="shared" si="18"/>
        <v>-14179029.211545445</v>
      </c>
      <c r="F53" s="297">
        <f t="shared" si="18"/>
        <v>-871914.2519666627</v>
      </c>
      <c r="G53" s="297">
        <f t="shared" si="18"/>
        <v>127865788.97999996</v>
      </c>
      <c r="H53" s="297">
        <f t="shared" si="18"/>
        <v>-63473321.538454548</v>
      </c>
      <c r="I53" s="297">
        <f t="shared" si="18"/>
        <v>49341523.978033319</v>
      </c>
    </row>
    <row r="54" spans="1:12" ht="12.75" customHeight="1">
      <c r="A54" s="296" t="s">
        <v>173</v>
      </c>
      <c r="B54" s="950" t="s">
        <v>258</v>
      </c>
      <c r="C54" s="950"/>
      <c r="D54" s="297">
        <v>445063905.02999997</v>
      </c>
      <c r="E54" s="297">
        <f>+D55</f>
        <v>255019899.33609995</v>
      </c>
      <c r="F54" s="297">
        <f>+E55</f>
        <v>240840870.12455454</v>
      </c>
      <c r="G54" s="297">
        <f>+F55</f>
        <v>239968955.87168795</v>
      </c>
      <c r="H54" s="297">
        <f>+G55</f>
        <v>367834744.85468781</v>
      </c>
      <c r="I54" s="297">
        <f>+E54</f>
        <v>255019899.33609995</v>
      </c>
    </row>
    <row r="55" spans="1:12" ht="12.75" customHeight="1">
      <c r="A55" s="296" t="s">
        <v>174</v>
      </c>
      <c r="B55" s="950" t="s">
        <v>259</v>
      </c>
      <c r="C55" s="950"/>
      <c r="D55" s="297">
        <f>+BS!D8</f>
        <v>255019899.33609995</v>
      </c>
      <c r="E55" s="297">
        <f>+BS!E8</f>
        <v>240840870.12455454</v>
      </c>
      <c r="F55" s="297">
        <f>+BS!F8</f>
        <v>239968955.87168795</v>
      </c>
      <c r="G55" s="297">
        <f>+BS!G8</f>
        <v>367834744.85468781</v>
      </c>
      <c r="H55" s="297">
        <f>+BS!H8</f>
        <v>304361423.31663334</v>
      </c>
      <c r="I55" s="297">
        <f>+BS!H8</f>
        <v>304361423.31663334</v>
      </c>
    </row>
    <row r="56" spans="1:12" s="36" customFormat="1" ht="18" customHeight="1">
      <c r="A56" s="949" t="str">
        <f>+'company '!B25</f>
        <v>Ерөнхий захирал</v>
      </c>
      <c r="B56" s="949"/>
      <c r="D56" s="37" t="str">
        <f>+'company '!C25</f>
        <v>/Д.Бахдамдэмбэрэл /</v>
      </c>
      <c r="E56" s="37">
        <f>+E55-E54-E53</f>
        <v>3.7252902984619141E-8</v>
      </c>
      <c r="F56" s="37">
        <f>+F55-F54-F53</f>
        <v>-8.9993327856063843E-4</v>
      </c>
      <c r="G56" s="37">
        <f>+G55-G54-G53</f>
        <v>2.9999017715454102E-3</v>
      </c>
      <c r="H56" s="37">
        <f>+H55-H54-H53</f>
        <v>4.0008127689361572E-4</v>
      </c>
      <c r="I56" s="441">
        <f>+I55-I54-I53</f>
        <v>2.5000721216201782E-3</v>
      </c>
      <c r="K56" s="422"/>
      <c r="L56" s="399"/>
    </row>
    <row r="57" spans="1:12" s="36" customFormat="1" ht="18" customHeight="1">
      <c r="A57" s="290"/>
      <c r="B57" s="290"/>
      <c r="D57" s="37"/>
      <c r="E57" s="37"/>
      <c r="F57" s="37"/>
      <c r="G57" s="37"/>
      <c r="H57" s="301"/>
      <c r="I57" s="37"/>
      <c r="K57" s="422"/>
      <c r="L57" s="399"/>
    </row>
    <row r="58" spans="1:12" ht="12.75" customHeight="1">
      <c r="A58" s="949" t="str">
        <f>+'company '!B28</f>
        <v>Нягтлан бодогч</v>
      </c>
      <c r="B58" s="949"/>
      <c r="C58" s="38" t="s">
        <v>286</v>
      </c>
      <c r="D58" s="958" t="str">
        <f>+'company '!C28</f>
        <v>/Б.Түмэндэлгэр/</v>
      </c>
      <c r="E58" s="958"/>
      <c r="F58" s="34"/>
      <c r="G58" s="34"/>
      <c r="H58" s="34"/>
      <c r="I58" s="34"/>
    </row>
    <row r="59" spans="1:12" ht="16.5" hidden="1" customHeight="1">
      <c r="A59" s="949"/>
      <c r="B59" s="949"/>
      <c r="C59" s="38"/>
      <c r="D59" s="958"/>
      <c r="E59" s="958"/>
      <c r="F59" s="34"/>
      <c r="G59" s="34"/>
      <c r="H59" s="34"/>
      <c r="I59" s="34"/>
    </row>
    <row r="60" spans="1:12" hidden="1"/>
    <row r="63" spans="1:12">
      <c r="K63" s="422"/>
    </row>
    <row r="64" spans="1:12">
      <c r="K64" s="422"/>
    </row>
    <row r="65" spans="4:11">
      <c r="K65" s="422"/>
    </row>
    <row r="67" spans="4:11">
      <c r="D67" s="43"/>
      <c r="E67" s="36"/>
      <c r="F67" s="43"/>
      <c r="G67" s="43"/>
      <c r="H67" s="43"/>
    </row>
    <row r="68" spans="4:11">
      <c r="D68" s="43"/>
      <c r="E68" s="36"/>
      <c r="F68" s="43"/>
      <c r="G68" s="43"/>
      <c r="H68" s="43"/>
    </row>
    <row r="78" spans="4:11">
      <c r="D78" s="43"/>
      <c r="E78" s="36"/>
      <c r="F78" s="43"/>
      <c r="G78" s="43"/>
      <c r="H78" s="43"/>
    </row>
    <row r="79" spans="4:11">
      <c r="D79" s="43"/>
      <c r="E79" s="36"/>
      <c r="F79" s="43"/>
      <c r="G79" s="43"/>
      <c r="H79" s="43"/>
    </row>
    <row r="86" spans="4:8">
      <c r="D86" s="43"/>
      <c r="E86" s="36"/>
      <c r="F86" s="43"/>
      <c r="G86" s="43"/>
      <c r="H86" s="43"/>
    </row>
  </sheetData>
  <sheetProtection password="DFC0" sheet="1" objects="1" scenarios="1"/>
  <mergeCells count="60">
    <mergeCell ref="B55:C55"/>
    <mergeCell ref="A58:B58"/>
    <mergeCell ref="A59:B59"/>
    <mergeCell ref="B54:C54"/>
    <mergeCell ref="B43:C43"/>
    <mergeCell ref="B44:C44"/>
    <mergeCell ref="B45:C45"/>
    <mergeCell ref="B46:C46"/>
    <mergeCell ref="B47:C47"/>
    <mergeCell ref="B48:C48"/>
    <mergeCell ref="B49:C49"/>
    <mergeCell ref="B50:C50"/>
    <mergeCell ref="B51:C51"/>
    <mergeCell ref="B52:C52"/>
    <mergeCell ref="B53:C53"/>
    <mergeCell ref="A56:B56"/>
    <mergeCell ref="B42:C42"/>
    <mergeCell ref="B31:C31"/>
    <mergeCell ref="B32:C32"/>
    <mergeCell ref="B33:C33"/>
    <mergeCell ref="B34:C34"/>
    <mergeCell ref="B35:C35"/>
    <mergeCell ref="B36:C36"/>
    <mergeCell ref="B37:C37"/>
    <mergeCell ref="B38:C38"/>
    <mergeCell ref="B39:C39"/>
    <mergeCell ref="B40:C40"/>
    <mergeCell ref="B41:C41"/>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D58:E58"/>
    <mergeCell ref="D59:E59"/>
    <mergeCell ref="B6:C6"/>
    <mergeCell ref="A1:I1"/>
    <mergeCell ref="A2:B2"/>
    <mergeCell ref="A3:B3"/>
    <mergeCell ref="B4:C4"/>
    <mergeCell ref="B5:C5"/>
    <mergeCell ref="B18:C18"/>
    <mergeCell ref="B7:C7"/>
    <mergeCell ref="B8:C8"/>
    <mergeCell ref="B9:C9"/>
    <mergeCell ref="B10:C10"/>
    <mergeCell ref="B11:C11"/>
    <mergeCell ref="B12:C12"/>
    <mergeCell ref="B13:C13"/>
  </mergeCells>
  <pageMargins left="0.7" right="0.41" top="0.28000000000000003" bottom="0.32" header="0.3" footer="0.3"/>
  <pageSetup scale="99" orientation="portrait" r:id="rId1"/>
  <ignoredErrors>
    <ignoredError sqref="I31:I32 I47:I50 I42:I45 I12 I34:I38 I40" formulaRange="1"/>
    <ignoredError sqref="I6 I13 E33" formula="1"/>
  </ignoredErrors>
</worksheet>
</file>

<file path=xl/worksheets/sheet21.xml><?xml version="1.0" encoding="utf-8"?>
<worksheet xmlns="http://schemas.openxmlformats.org/spreadsheetml/2006/main" xmlns:r="http://schemas.openxmlformats.org/officeDocument/2006/relationships">
  <sheetPr>
    <pageSetUpPr fitToPage="1"/>
  </sheetPr>
  <dimension ref="A1:K109"/>
  <sheetViews>
    <sheetView topLeftCell="A79" workbookViewId="0">
      <selection activeCell="N118" sqref="N118"/>
    </sheetView>
  </sheetViews>
  <sheetFormatPr defaultColWidth="4.7109375" defaultRowHeight="12"/>
  <cols>
    <col min="1" max="1" width="6.7109375" style="189" customWidth="1"/>
    <col min="2" max="2" width="4.7109375" style="189" customWidth="1"/>
    <col min="3" max="3" width="51.5703125" style="197" customWidth="1"/>
    <col min="4" max="4" width="5.5703125" style="189" customWidth="1"/>
    <col min="5" max="5" width="14.28515625" style="189" bestFit="1" customWidth="1"/>
    <col min="6" max="6" width="13.140625" style="189" customWidth="1"/>
    <col min="7" max="7" width="4.7109375" style="189"/>
    <col min="8" max="8" width="13.28515625" style="191" customWidth="1"/>
    <col min="9" max="9" width="12.7109375" style="189" bestFit="1" customWidth="1"/>
    <col min="10" max="10" width="9.140625" style="189" customWidth="1"/>
    <col min="11" max="11" width="11.140625" style="189" bestFit="1" customWidth="1"/>
    <col min="12" max="16384" width="4.7109375" style="189"/>
  </cols>
  <sheetData>
    <row r="1" spans="1:10" ht="14.25">
      <c r="A1" s="186" t="s">
        <v>1004</v>
      </c>
      <c r="B1" s="187"/>
      <c r="C1" s="188"/>
      <c r="E1" s="187"/>
      <c r="F1" s="190" t="s">
        <v>1005</v>
      </c>
    </row>
    <row r="2" spans="1:10">
      <c r="A2" s="187"/>
      <c r="B2" s="187"/>
      <c r="C2" s="188"/>
      <c r="E2" s="187"/>
      <c r="F2" s="190" t="s">
        <v>1006</v>
      </c>
    </row>
    <row r="3" spans="1:10" ht="8.25" customHeight="1">
      <c r="A3" s="192"/>
      <c r="B3" s="187"/>
      <c r="C3" s="188"/>
      <c r="D3" s="187"/>
      <c r="E3" s="187"/>
      <c r="F3" s="187"/>
    </row>
    <row r="4" spans="1:10" ht="26.25" customHeight="1" thickBot="1">
      <c r="A4" s="193"/>
      <c r="B4" s="194"/>
      <c r="C4" s="963" t="s">
        <v>1007</v>
      </c>
      <c r="D4" s="963"/>
      <c r="E4" s="963"/>
      <c r="F4" s="963"/>
    </row>
    <row r="5" spans="1:10" ht="12.75" thickTop="1">
      <c r="A5" s="192"/>
      <c r="B5" s="187"/>
      <c r="C5" s="188"/>
      <c r="D5" s="187"/>
      <c r="E5" s="187"/>
      <c r="F5" s="187"/>
    </row>
    <row r="6" spans="1:10" ht="15.75" customHeight="1">
      <c r="B6" s="195"/>
      <c r="C6" s="964" t="s">
        <v>1008</v>
      </c>
      <c r="D6" s="964"/>
      <c r="E6" s="964"/>
      <c r="F6" s="964"/>
    </row>
    <row r="7" spans="1:10" ht="9.75" customHeight="1">
      <c r="A7" s="192"/>
      <c r="B7" s="187"/>
      <c r="C7" s="188"/>
      <c r="D7" s="187"/>
      <c r="E7" s="187"/>
      <c r="F7" s="187"/>
    </row>
    <row r="8" spans="1:10" s="231" customFormat="1" ht="12.75">
      <c r="A8" s="578" t="str">
        <f>CONCATENATE("1. ТТД:  ",'company '!C7,"              2. Нэр ",Table133[[#Headers],[ШИНЭСТ ХК]])</f>
        <v>1. ТТД:  |_2_|_0_|_1_|_8_|_9_|_4_|_2_|              2. Нэр ШИНЭСТ ХК</v>
      </c>
      <c r="B8" s="198"/>
      <c r="C8" s="198"/>
      <c r="D8" s="578" t="str">
        <f>+CONCATENATE(Table133[[#This Row],[Компанийн нэр:]], Table133[[#This Row],[ШИНЭСТ ХК]])</f>
        <v>Хариуцлагын хэлбэр:ХК</v>
      </c>
      <c r="E8" s="198"/>
      <c r="F8" s="198"/>
      <c r="H8" s="88"/>
    </row>
    <row r="9" spans="1:10" s="231" customFormat="1" ht="12.75">
      <c r="A9" s="578" t="str">
        <f>CONCATENATE("4. Тайлант хугацаа:    ",'company '!C24,"")</f>
        <v>4. Тайлант хугацаа:    |_2_|_0_|_1_|_7_|  улирал |_4_|</v>
      </c>
      <c r="B9" s="198"/>
      <c r="C9" s="811"/>
      <c r="D9" s="198"/>
      <c r="E9" s="198"/>
      <c r="F9" s="198"/>
      <c r="H9" s="94"/>
      <c r="I9" s="353"/>
      <c r="J9" s="353"/>
    </row>
    <row r="10" spans="1:10" s="231" customFormat="1" ht="12.75">
      <c r="A10" s="578" t="s">
        <v>1009</v>
      </c>
      <c r="B10" s="198"/>
      <c r="C10" s="811"/>
      <c r="D10" s="198"/>
      <c r="E10" s="198"/>
      <c r="F10" s="198"/>
      <c r="H10" s="88"/>
    </row>
    <row r="11" spans="1:10" s="231" customFormat="1" ht="11.25" customHeight="1">
      <c r="A11" s="275" t="str">
        <f>CONCATENATE("|__|__|         Аймаг, хот:  ",[3]Company!C9,"             |__|__|         Сум, дүүрэг: ",[3]Company!C10)</f>
        <v>|__|__|         Аймаг, хот:  Улаанбаатар             |__|__|         Сум, дүүрэг: Хан уул дүүрэг</v>
      </c>
      <c r="B11" s="198"/>
      <c r="C11" s="198"/>
      <c r="D11" s="198"/>
      <c r="E11" s="198"/>
      <c r="F11" s="198"/>
      <c r="H11" s="94"/>
      <c r="I11" s="353"/>
      <c r="J11" s="353"/>
    </row>
    <row r="12" spans="1:10" s="231" customFormat="1" ht="11.25" customHeight="1">
      <c r="A12" s="275" t="str">
        <f>CONCATENATE("|__|__|         Баг, хороо: ",[3]Company!C11,"                 |__|__|__|     Гудамж, хороолол: ",[3]Company!C12)</f>
        <v>|__|__|         Баг, хороо: 3-р хороо                  |__|__|__|     Гудамж, хороолол: Эв нэгдэлийн гудамж</v>
      </c>
      <c r="B12" s="198"/>
      <c r="C12" s="198"/>
      <c r="D12" s="198"/>
      <c r="E12" s="198"/>
      <c r="F12" s="198"/>
      <c r="H12" s="94"/>
      <c r="I12" s="353"/>
      <c r="J12" s="353"/>
    </row>
    <row r="13" spans="1:10" s="231" customFormat="1" ht="11.25" customHeight="1">
      <c r="A13" s="275" t="e">
        <f>CONCATENATE("|__|__|__|    Байр: ",[3]Company!C13,"            |__|__|__|    Хашаа, хаалга: ",[3]Company!C14)</f>
        <v>#REF!</v>
      </c>
      <c r="B13" s="198"/>
      <c r="C13" s="811"/>
      <c r="D13" s="198"/>
      <c r="E13" s="198"/>
      <c r="F13" s="198"/>
      <c r="H13" s="94"/>
      <c r="I13" s="353"/>
      <c r="J13" s="353"/>
    </row>
    <row r="14" spans="1:10" s="231" customFormat="1" ht="11.25" customHeight="1">
      <c r="A14" s="275" t="str">
        <f>CONCATENATE("Утас1:  ",[3]Company!C15,"                              Утас2: ",[3]Company!C16,"                               Факс: ",[3]Company!C17)</f>
        <v>Утас1:  70114414                              Утас2: 99119765 99066093 86001044                               Факс: 70114404</v>
      </c>
      <c r="B14" s="198"/>
      <c r="C14" s="811"/>
      <c r="D14" s="198"/>
      <c r="E14" s="198"/>
      <c r="F14" s="198"/>
      <c r="H14" s="94"/>
      <c r="I14" s="353"/>
      <c r="J14" s="353"/>
    </row>
    <row r="15" spans="1:10" s="231" customFormat="1" ht="11.25" customHeight="1">
      <c r="A15" s="275" t="e">
        <f>CONCATENATE("Шуудангийн хайрцаг No: ",[3]Company!C18)</f>
        <v>#REF!</v>
      </c>
      <c r="B15" s="198"/>
      <c r="C15" s="811"/>
      <c r="D15" s="198"/>
      <c r="E15" s="198"/>
      <c r="F15" s="198"/>
      <c r="H15" s="94"/>
      <c r="I15" s="353"/>
      <c r="J15" s="353"/>
    </row>
    <row r="16" spans="1:10" s="231" customFormat="1" ht="11.25" customHeight="1">
      <c r="A16" s="578" t="str">
        <f>CONCATENATE("6. Эрхлэх үйл ажиллагаа:    Үндсэн:   код ",[3]Company!C19)</f>
        <v>6. Эрхлэх үйл ажиллагаа:    Үндсэн:   код |_3_|_6_|_1_|_0_|_0_|_0_|  -  Барилга, гэр ахуйн модон эдлэл үйлдвэрлэх</v>
      </c>
      <c r="B16" s="198"/>
      <c r="C16" s="282"/>
      <c r="D16" s="198"/>
      <c r="E16" s="198"/>
      <c r="F16" s="198"/>
      <c r="H16" s="94"/>
      <c r="I16" s="353"/>
      <c r="J16" s="353"/>
    </row>
    <row r="17" spans="1:10" s="231" customFormat="1" ht="11.25" customHeight="1">
      <c r="A17" s="812" t="s">
        <v>1010</v>
      </c>
      <c r="B17" s="198"/>
      <c r="C17" s="282"/>
      <c r="D17" s="198"/>
      <c r="E17" s="198"/>
      <c r="F17" s="198"/>
      <c r="H17" s="94"/>
      <c r="I17" s="353"/>
      <c r="J17" s="353"/>
    </row>
    <row r="18" spans="1:10" s="231" customFormat="1" ht="11.25" customHeight="1">
      <c r="A18" s="578" t="s">
        <v>2676</v>
      </c>
      <c r="B18" s="198"/>
      <c r="C18" s="282"/>
      <c r="D18" s="198"/>
      <c r="E18" s="198"/>
      <c r="F18" s="198"/>
      <c r="H18" s="94"/>
      <c r="I18" s="353"/>
      <c r="J18" s="353"/>
    </row>
    <row r="19" spans="1:10" s="231" customFormat="1" ht="11.25" customHeight="1">
      <c r="A19" s="578" t="str">
        <f>CONCATENATE("7. Толгой компанийн регистр, нэр: ",[3]Company!C20)</f>
        <v xml:space="preserve">7. Толгой компанийн регистр, нэр: |__|__|__|__|__|__|__| </v>
      </c>
      <c r="B19" s="198"/>
      <c r="C19" s="811"/>
      <c r="D19" s="198"/>
      <c r="E19" s="198"/>
      <c r="F19" s="198"/>
      <c r="H19" s="88"/>
    </row>
    <row r="20" spans="1:10" s="231" customFormat="1" ht="11.25" customHeight="1">
      <c r="A20" s="578" t="s">
        <v>1011</v>
      </c>
      <c r="B20" s="198"/>
      <c r="C20" s="811"/>
      <c r="D20" s="198"/>
      <c r="E20" s="198"/>
      <c r="F20" s="198"/>
      <c r="H20" s="88"/>
    </row>
    <row r="21" spans="1:10" s="231" customFormat="1" ht="11.25" customHeight="1">
      <c r="A21" s="578" t="s">
        <v>1012</v>
      </c>
      <c r="B21" s="198"/>
      <c r="C21" s="811"/>
      <c r="D21" s="198"/>
      <c r="E21" s="198"/>
      <c r="F21" s="198"/>
      <c r="H21" s="88"/>
    </row>
    <row r="22" spans="1:10" s="231" customFormat="1" ht="11.25" customHeight="1">
      <c r="A22" s="965" t="s">
        <v>1013</v>
      </c>
      <c r="B22" s="965"/>
      <c r="C22" s="965"/>
      <c r="D22" s="198"/>
      <c r="E22" s="199"/>
      <c r="F22" s="198"/>
      <c r="H22" s="88"/>
    </row>
    <row r="23" spans="1:10" s="231" customFormat="1" ht="11.25" customHeight="1">
      <c r="A23" s="813" t="s">
        <v>1014</v>
      </c>
      <c r="B23" s="198"/>
      <c r="C23" s="811"/>
      <c r="D23" s="198"/>
      <c r="F23" s="814" t="s">
        <v>1015</v>
      </c>
      <c r="H23" s="88"/>
    </row>
    <row r="24" spans="1:10" s="231" customFormat="1" ht="39" customHeight="1">
      <c r="A24" s="966" t="s">
        <v>1016</v>
      </c>
      <c r="B24" s="966"/>
      <c r="C24" s="966"/>
      <c r="D24" s="815" t="s">
        <v>1017</v>
      </c>
      <c r="E24" s="815" t="s">
        <v>1018</v>
      </c>
      <c r="F24" s="815" t="s">
        <v>1019</v>
      </c>
      <c r="H24" s="88"/>
    </row>
    <row r="25" spans="1:10" s="231" customFormat="1" ht="11.25" customHeight="1">
      <c r="A25" s="967" t="s">
        <v>1020</v>
      </c>
      <c r="B25" s="967"/>
      <c r="C25" s="967"/>
      <c r="D25" s="816">
        <v>1</v>
      </c>
      <c r="E25" s="817">
        <f>+E26+E27+E28+E30+E29</f>
        <v>427641051.6651243</v>
      </c>
      <c r="F25" s="818"/>
      <c r="H25" s="88"/>
      <c r="I25" s="80"/>
    </row>
    <row r="26" spans="1:10" s="231" customFormat="1" ht="11.25" customHeight="1">
      <c r="A26" s="968" t="s">
        <v>1021</v>
      </c>
      <c r="B26" s="969" t="s">
        <v>1022</v>
      </c>
      <c r="C26" s="969"/>
      <c r="D26" s="819">
        <f>1+D25</f>
        <v>2</v>
      </c>
      <c r="E26" s="820"/>
      <c r="F26" s="821"/>
      <c r="H26" s="88"/>
    </row>
    <row r="27" spans="1:10" s="231" customFormat="1" ht="12.75">
      <c r="A27" s="968"/>
      <c r="B27" s="969" t="s">
        <v>1023</v>
      </c>
      <c r="C27" s="969"/>
      <c r="D27" s="819">
        <f t="shared" ref="D27:D54" si="0">1+D26</f>
        <v>3</v>
      </c>
      <c r="E27" s="820">
        <f>+E58+E60+E65+E67+E69</f>
        <v>0</v>
      </c>
      <c r="F27" s="821"/>
      <c r="H27" s="88"/>
    </row>
    <row r="28" spans="1:10" s="231" customFormat="1" ht="11.25" customHeight="1">
      <c r="A28" s="968"/>
      <c r="B28" s="969" t="s">
        <v>1024</v>
      </c>
      <c r="C28" s="969"/>
      <c r="D28" s="819">
        <f t="shared" si="0"/>
        <v>4</v>
      </c>
      <c r="E28" s="820"/>
      <c r="F28" s="821"/>
      <c r="H28" s="88"/>
    </row>
    <row r="29" spans="1:10" s="231" customFormat="1" ht="11.25" customHeight="1">
      <c r="A29" s="968"/>
      <c r="B29" s="969" t="s">
        <v>1025</v>
      </c>
      <c r="C29" s="969"/>
      <c r="D29" s="819">
        <f t="shared" si="0"/>
        <v>5</v>
      </c>
      <c r="E29" s="820">
        <f>+'TT-z'!I52</f>
        <v>131025.51</v>
      </c>
      <c r="F29" s="821"/>
      <c r="H29" s="88"/>
    </row>
    <row r="30" spans="1:10" s="231" customFormat="1" ht="11.25" customHeight="1">
      <c r="A30" s="968"/>
      <c r="B30" s="969" t="s">
        <v>1026</v>
      </c>
      <c r="C30" s="969"/>
      <c r="D30" s="819">
        <f t="shared" si="0"/>
        <v>6</v>
      </c>
      <c r="E30" s="820">
        <f>SUM(E31:E41)</f>
        <v>427510026.15512431</v>
      </c>
      <c r="F30" s="821"/>
      <c r="H30" s="88"/>
    </row>
    <row r="31" spans="1:10" s="231" customFormat="1" ht="11.25" customHeight="1">
      <c r="A31" s="968"/>
      <c r="B31" s="968" t="s">
        <v>1021</v>
      </c>
      <c r="C31" s="822" t="s">
        <v>1027</v>
      </c>
      <c r="D31" s="819">
        <f t="shared" si="0"/>
        <v>7</v>
      </c>
      <c r="E31" s="820">
        <f>+IS!I7</f>
        <v>427510026.15512431</v>
      </c>
      <c r="F31" s="821"/>
      <c r="H31" s="88"/>
    </row>
    <row r="32" spans="1:10" s="231" customFormat="1" ht="12.75">
      <c r="A32" s="968"/>
      <c r="B32" s="968"/>
      <c r="C32" s="822" t="s">
        <v>1028</v>
      </c>
      <c r="D32" s="819">
        <f t="shared" si="0"/>
        <v>8</v>
      </c>
      <c r="E32" s="820">
        <f>IS!I10</f>
        <v>0</v>
      </c>
      <c r="F32" s="821"/>
      <c r="H32" s="88"/>
    </row>
    <row r="33" spans="1:11" s="231" customFormat="1" ht="12.75">
      <c r="A33" s="968"/>
      <c r="B33" s="968"/>
      <c r="C33" s="822" t="s">
        <v>1029</v>
      </c>
      <c r="D33" s="819">
        <f t="shared" si="0"/>
        <v>9</v>
      </c>
      <c r="E33" s="820">
        <v>0</v>
      </c>
      <c r="F33" s="821"/>
      <c r="H33" s="80"/>
    </row>
    <row r="34" spans="1:11" s="231" customFormat="1" ht="12.75">
      <c r="A34" s="968"/>
      <c r="B34" s="968"/>
      <c r="C34" s="822" t="s">
        <v>1030</v>
      </c>
      <c r="D34" s="819">
        <f t="shared" si="0"/>
        <v>10</v>
      </c>
      <c r="E34" s="820"/>
      <c r="F34" s="821"/>
    </row>
    <row r="35" spans="1:11" s="231" customFormat="1" ht="12.75">
      <c r="A35" s="968"/>
      <c r="B35" s="968"/>
      <c r="C35" s="822" t="s">
        <v>834</v>
      </c>
      <c r="D35" s="819">
        <f t="shared" si="0"/>
        <v>11</v>
      </c>
      <c r="E35" s="820">
        <v>0</v>
      </c>
      <c r="F35" s="821"/>
    </row>
    <row r="36" spans="1:11" s="231" customFormat="1" ht="25.5">
      <c r="A36" s="968"/>
      <c r="B36" s="968"/>
      <c r="C36" s="822" t="s">
        <v>1031</v>
      </c>
      <c r="D36" s="819">
        <f t="shared" si="0"/>
        <v>12</v>
      </c>
      <c r="E36" s="820"/>
      <c r="F36" s="821"/>
    </row>
    <row r="37" spans="1:11" s="231" customFormat="1" ht="25.5">
      <c r="A37" s="968"/>
      <c r="B37" s="968"/>
      <c r="C37" s="822" t="s">
        <v>1032</v>
      </c>
      <c r="D37" s="819">
        <f t="shared" si="0"/>
        <v>13</v>
      </c>
      <c r="E37" s="820">
        <v>0</v>
      </c>
      <c r="F37" s="821"/>
    </row>
    <row r="38" spans="1:11" s="231" customFormat="1" ht="12.75">
      <c r="A38" s="968"/>
      <c r="B38" s="968"/>
      <c r="C38" s="822" t="s">
        <v>1033</v>
      </c>
      <c r="D38" s="819">
        <f t="shared" si="0"/>
        <v>14</v>
      </c>
      <c r="E38" s="820">
        <f>+IF((STAT1!S197-STAT1!R204+STAT2!S197-STAT2!R204+STAT3!S197-STAT3!R204+STAT4!S197-STAT4!R204)&gt;0,(STAT1!S197-STAT1!R204+STAT2!S197-STAT2!R204+STAT3!S197-STAT3!R204+STAT4!S197-STAT4!R204),0)</f>
        <v>0</v>
      </c>
      <c r="F38" s="821"/>
    </row>
    <row r="39" spans="1:11" s="231" customFormat="1" ht="12.75">
      <c r="A39" s="968"/>
      <c r="B39" s="968"/>
      <c r="C39" s="822" t="s">
        <v>1034</v>
      </c>
      <c r="D39" s="819">
        <f t="shared" si="0"/>
        <v>15</v>
      </c>
      <c r="E39" s="820">
        <v>0</v>
      </c>
      <c r="F39" s="821"/>
    </row>
    <row r="40" spans="1:11" s="231" customFormat="1" ht="12.75">
      <c r="A40" s="968"/>
      <c r="B40" s="968"/>
      <c r="C40" s="822" t="s">
        <v>1035</v>
      </c>
      <c r="D40" s="819">
        <f t="shared" si="0"/>
        <v>16</v>
      </c>
      <c r="E40" s="820">
        <v>0</v>
      </c>
      <c r="F40" s="821"/>
    </row>
    <row r="41" spans="1:11" s="231" customFormat="1" ht="12.75">
      <c r="A41" s="968"/>
      <c r="B41" s="968"/>
      <c r="C41" s="822" t="s">
        <v>1036</v>
      </c>
      <c r="D41" s="819">
        <f t="shared" si="0"/>
        <v>17</v>
      </c>
      <c r="E41" s="820">
        <v>0</v>
      </c>
      <c r="F41" s="821"/>
    </row>
    <row r="42" spans="1:11" s="231" customFormat="1" ht="12.75">
      <c r="A42" s="970" t="s">
        <v>1037</v>
      </c>
      <c r="B42" s="970"/>
      <c r="C42" s="970"/>
      <c r="D42" s="819">
        <f t="shared" si="0"/>
        <v>18</v>
      </c>
      <c r="E42" s="820">
        <f>IS!I8</f>
        <v>310651632.55718911</v>
      </c>
      <c r="F42" s="821"/>
    </row>
    <row r="43" spans="1:11" s="231" customFormat="1" ht="12.75">
      <c r="A43" s="962" t="s">
        <v>1038</v>
      </c>
      <c r="B43" s="962"/>
      <c r="C43" s="962"/>
      <c r="D43" s="819">
        <f t="shared" si="0"/>
        <v>19</v>
      </c>
      <c r="E43" s="820">
        <f>+IS!I16+IS!I15</f>
        <v>170608469.03572276</v>
      </c>
      <c r="F43" s="821"/>
      <c r="H43" s="80"/>
    </row>
    <row r="44" spans="1:11" s="231" customFormat="1" ht="12.75">
      <c r="A44" s="962" t="s">
        <v>1039</v>
      </c>
      <c r="B44" s="962"/>
      <c r="C44" s="962"/>
      <c r="D44" s="819">
        <f t="shared" si="0"/>
        <v>20</v>
      </c>
      <c r="E44" s="820">
        <f>'TT-z'!D48</f>
        <v>499415.81999999995</v>
      </c>
      <c r="F44" s="821"/>
      <c r="K44" s="80"/>
    </row>
    <row r="45" spans="1:11" s="231" customFormat="1" ht="12.75">
      <c r="A45" s="962" t="s">
        <v>1040</v>
      </c>
      <c r="B45" s="962"/>
      <c r="C45" s="962"/>
      <c r="D45" s="819">
        <f t="shared" si="0"/>
        <v>21</v>
      </c>
      <c r="E45" s="817">
        <f>+E25-E42-E43-E44</f>
        <v>-54118465.747787572</v>
      </c>
      <c r="F45" s="818"/>
      <c r="H45" s="80">
        <f>+IS!I24</f>
        <v>-54118465.747787565</v>
      </c>
      <c r="I45" s="80"/>
    </row>
    <row r="46" spans="1:11" s="231" customFormat="1" ht="37.5" customHeight="1">
      <c r="A46" s="972" t="s">
        <v>1041</v>
      </c>
      <c r="B46" s="972"/>
      <c r="C46" s="972"/>
      <c r="D46" s="819">
        <f t="shared" si="0"/>
        <v>22</v>
      </c>
      <c r="E46" s="820">
        <f>+'TT-z'!D39+'TT-z'!D52</f>
        <v>499415.81999999995</v>
      </c>
      <c r="F46" s="821"/>
    </row>
    <row r="47" spans="1:11" s="231" customFormat="1" ht="42" customHeight="1">
      <c r="A47" s="962" t="s">
        <v>1042</v>
      </c>
      <c r="B47" s="962"/>
      <c r="C47" s="962"/>
      <c r="D47" s="819">
        <f t="shared" si="0"/>
        <v>23</v>
      </c>
      <c r="E47" s="820">
        <f>'TT-z'!H39+'TT-z'!I52</f>
        <v>131025.51</v>
      </c>
      <c r="F47" s="821"/>
    </row>
    <row r="48" spans="1:11" s="231" customFormat="1" ht="15" customHeight="1">
      <c r="A48" s="962" t="s">
        <v>1043</v>
      </c>
      <c r="B48" s="962"/>
      <c r="C48" s="962"/>
      <c r="D48" s="819">
        <f t="shared" si="0"/>
        <v>24</v>
      </c>
      <c r="E48" s="823">
        <f>+E45+E46-E47</f>
        <v>-53750075.43778757</v>
      </c>
      <c r="F48" s="821"/>
      <c r="G48" s="80"/>
      <c r="H48" s="80"/>
      <c r="I48" s="80"/>
    </row>
    <row r="49" spans="1:8" s="231" customFormat="1" ht="12.75">
      <c r="A49" s="962" t="s">
        <v>1044</v>
      </c>
      <c r="B49" s="962"/>
      <c r="C49" s="962"/>
      <c r="D49" s="819">
        <f t="shared" si="0"/>
        <v>25</v>
      </c>
      <c r="E49" s="820">
        <f>'TT-z'!G57</f>
        <v>0</v>
      </c>
      <c r="F49" s="821"/>
      <c r="H49" s="88"/>
    </row>
    <row r="50" spans="1:8" s="231" customFormat="1" ht="12.75">
      <c r="A50" s="962" t="s">
        <v>1045</v>
      </c>
      <c r="B50" s="962"/>
      <c r="C50" s="962"/>
      <c r="D50" s="819">
        <f t="shared" si="0"/>
        <v>26</v>
      </c>
      <c r="E50" s="817">
        <f>+E48+E49</f>
        <v>-53750075.43778757</v>
      </c>
      <c r="F50" s="821"/>
      <c r="H50" s="88"/>
    </row>
    <row r="51" spans="1:8" s="231" customFormat="1" ht="12.75">
      <c r="A51" s="962" t="s">
        <v>1046</v>
      </c>
      <c r="B51" s="962"/>
      <c r="C51" s="962"/>
      <c r="D51" s="819">
        <f t="shared" si="0"/>
        <v>27</v>
      </c>
      <c r="E51" s="820">
        <f>'TT-z'!G58</f>
        <v>0</v>
      </c>
      <c r="F51" s="821"/>
      <c r="H51" s="88"/>
    </row>
    <row r="52" spans="1:8" s="231" customFormat="1" ht="12.75">
      <c r="A52" s="962" t="s">
        <v>1047</v>
      </c>
      <c r="B52" s="962"/>
      <c r="C52" s="962"/>
      <c r="D52" s="819">
        <f t="shared" si="0"/>
        <v>28</v>
      </c>
      <c r="E52" s="817">
        <f>+E50-E51</f>
        <v>-53750075.43778757</v>
      </c>
      <c r="F52" s="821"/>
      <c r="H52" s="88"/>
    </row>
    <row r="53" spans="1:8" s="231" customFormat="1" ht="12.75">
      <c r="A53" s="962" t="s">
        <v>1048</v>
      </c>
      <c r="B53" s="962"/>
      <c r="C53" s="962"/>
      <c r="D53" s="819">
        <f t="shared" si="0"/>
        <v>29</v>
      </c>
      <c r="E53" s="824">
        <f>+IF(E52&gt;0,E52*0.1,0)</f>
        <v>0</v>
      </c>
      <c r="F53" s="821"/>
      <c r="H53" s="88"/>
    </row>
    <row r="54" spans="1:8" s="231" customFormat="1" ht="12.75">
      <c r="A54" s="962" t="s">
        <v>1049</v>
      </c>
      <c r="B54" s="962"/>
      <c r="C54" s="962"/>
      <c r="D54" s="819">
        <f t="shared" si="0"/>
        <v>30</v>
      </c>
      <c r="E54" s="824"/>
      <c r="F54" s="821"/>
      <c r="H54" s="88"/>
    </row>
    <row r="55" spans="1:8" s="579" customFormat="1" ht="12.75">
      <c r="A55" s="967" t="s">
        <v>1050</v>
      </c>
      <c r="B55" s="967"/>
      <c r="C55" s="967"/>
      <c r="D55" s="815">
        <v>31</v>
      </c>
      <c r="E55" s="825">
        <f>+E53</f>
        <v>0</v>
      </c>
      <c r="F55" s="826"/>
      <c r="H55" s="88"/>
    </row>
    <row r="56" spans="1:8" s="231" customFormat="1" ht="12.75">
      <c r="A56" s="973"/>
      <c r="B56" s="973"/>
      <c r="C56" s="973"/>
      <c r="D56" s="973"/>
      <c r="E56" s="973"/>
      <c r="F56" s="973"/>
      <c r="H56" s="88"/>
    </row>
    <row r="57" spans="1:8" s="231" customFormat="1" ht="12.75">
      <c r="A57" s="971" t="s">
        <v>1051</v>
      </c>
      <c r="B57" s="971"/>
      <c r="C57" s="971"/>
      <c r="D57" s="971"/>
      <c r="E57" s="971"/>
      <c r="F57" s="971"/>
      <c r="H57" s="88"/>
    </row>
    <row r="58" spans="1:8" s="231" customFormat="1" ht="12.75">
      <c r="A58" s="962" t="s">
        <v>1052</v>
      </c>
      <c r="B58" s="962"/>
      <c r="C58" s="962"/>
      <c r="D58" s="827">
        <v>32</v>
      </c>
      <c r="E58" s="824"/>
      <c r="F58" s="828"/>
      <c r="H58" s="88"/>
    </row>
    <row r="59" spans="1:8" s="231" customFormat="1" ht="12.75">
      <c r="A59" s="376"/>
      <c r="B59" s="962" t="s">
        <v>1053</v>
      </c>
      <c r="C59" s="962"/>
      <c r="D59" s="827">
        <f>1+D58</f>
        <v>33</v>
      </c>
      <c r="E59" s="824">
        <f>+E58*40%</f>
        <v>0</v>
      </c>
      <c r="F59" s="824"/>
      <c r="H59" s="88"/>
    </row>
    <row r="60" spans="1:8" s="231" customFormat="1" ht="12.75">
      <c r="A60" s="970" t="s">
        <v>1054</v>
      </c>
      <c r="B60" s="970"/>
      <c r="C60" s="970"/>
      <c r="D60" s="827">
        <f t="shared" ref="D60:D70" si="1">1+D59</f>
        <v>34</v>
      </c>
      <c r="E60" s="824"/>
      <c r="F60" s="829"/>
      <c r="H60" s="88"/>
    </row>
    <row r="61" spans="1:8" s="231" customFormat="1" ht="12.75">
      <c r="A61" s="974"/>
      <c r="B61" s="970" t="s">
        <v>1055</v>
      </c>
      <c r="C61" s="970"/>
      <c r="D61" s="827">
        <f t="shared" si="1"/>
        <v>35</v>
      </c>
      <c r="E61" s="824"/>
      <c r="F61" s="829"/>
      <c r="H61" s="88"/>
    </row>
    <row r="62" spans="1:8" s="231" customFormat="1" ht="12.75">
      <c r="A62" s="974"/>
      <c r="B62" s="970" t="s">
        <v>1056</v>
      </c>
      <c r="C62" s="970"/>
      <c r="D62" s="827">
        <f t="shared" si="1"/>
        <v>36</v>
      </c>
      <c r="E62" s="824"/>
      <c r="F62" s="829"/>
      <c r="H62" s="88"/>
    </row>
    <row r="63" spans="1:8" s="231" customFormat="1" ht="12.75">
      <c r="A63" s="974"/>
      <c r="B63" s="970" t="s">
        <v>1057</v>
      </c>
      <c r="C63" s="970"/>
      <c r="D63" s="827">
        <f t="shared" si="1"/>
        <v>37</v>
      </c>
      <c r="E63" s="824">
        <f>+E60-E61-E62</f>
        <v>0</v>
      </c>
      <c r="F63" s="824"/>
      <c r="H63" s="88"/>
    </row>
    <row r="64" spans="1:8" s="231" customFormat="1" ht="12.75">
      <c r="A64" s="974"/>
      <c r="B64" s="970" t="s">
        <v>1058</v>
      </c>
      <c r="C64" s="970"/>
      <c r="D64" s="827">
        <f t="shared" si="1"/>
        <v>38</v>
      </c>
      <c r="E64" s="824">
        <f>+E63*40%</f>
        <v>0</v>
      </c>
      <c r="F64" s="824"/>
      <c r="H64" s="88"/>
    </row>
    <row r="65" spans="1:8" s="231" customFormat="1" ht="12.75">
      <c r="A65" s="970" t="s">
        <v>1059</v>
      </c>
      <c r="B65" s="970"/>
      <c r="C65" s="970"/>
      <c r="D65" s="827">
        <f t="shared" si="1"/>
        <v>39</v>
      </c>
      <c r="E65" s="632">
        <f>IS!I11</f>
        <v>0</v>
      </c>
      <c r="F65" s="829"/>
      <c r="H65" s="88"/>
    </row>
    <row r="66" spans="1:8" s="231" customFormat="1" ht="12.75">
      <c r="A66" s="830"/>
      <c r="B66" s="970" t="s">
        <v>1060</v>
      </c>
      <c r="C66" s="970"/>
      <c r="D66" s="827">
        <f t="shared" si="1"/>
        <v>40</v>
      </c>
      <c r="E66" s="632">
        <f>+E65*10%</f>
        <v>0</v>
      </c>
      <c r="F66" s="824"/>
      <c r="H66" s="88"/>
    </row>
    <row r="67" spans="1:8" s="231" customFormat="1" ht="12.75">
      <c r="A67" s="970" t="s">
        <v>1061</v>
      </c>
      <c r="B67" s="970"/>
      <c r="C67" s="970"/>
      <c r="D67" s="827">
        <f t="shared" si="1"/>
        <v>41</v>
      </c>
      <c r="E67" s="824"/>
      <c r="F67" s="829"/>
      <c r="H67" s="88"/>
    </row>
    <row r="68" spans="1:8" s="231" customFormat="1" ht="12.75">
      <c r="A68" s="830"/>
      <c r="B68" s="970" t="s">
        <v>1062</v>
      </c>
      <c r="C68" s="970"/>
      <c r="D68" s="827">
        <f t="shared" si="1"/>
        <v>42</v>
      </c>
      <c r="E68" s="824"/>
      <c r="F68" s="829"/>
      <c r="H68" s="88"/>
    </row>
    <row r="69" spans="1:8" s="231" customFormat="1" ht="12.75">
      <c r="A69" s="970" t="s">
        <v>1063</v>
      </c>
      <c r="B69" s="970"/>
      <c r="C69" s="970"/>
      <c r="D69" s="827">
        <f t="shared" si="1"/>
        <v>43</v>
      </c>
      <c r="E69" s="824"/>
      <c r="F69" s="829"/>
      <c r="H69" s="88"/>
    </row>
    <row r="70" spans="1:8" s="231" customFormat="1" ht="12.75">
      <c r="A70" s="830"/>
      <c r="B70" s="970" t="s">
        <v>1064</v>
      </c>
      <c r="C70" s="970"/>
      <c r="D70" s="827">
        <f t="shared" si="1"/>
        <v>44</v>
      </c>
      <c r="E70" s="824"/>
      <c r="F70" s="829"/>
      <c r="H70" s="88"/>
    </row>
    <row r="71" spans="1:8" s="409" customFormat="1" ht="12.75">
      <c r="A71" s="967" t="s">
        <v>1065</v>
      </c>
      <c r="B71" s="967"/>
      <c r="C71" s="967"/>
      <c r="D71" s="815">
        <v>45</v>
      </c>
      <c r="E71" s="817">
        <f>+E59+E81+E64+E66+E68+E70</f>
        <v>0</v>
      </c>
      <c r="F71" s="818"/>
      <c r="H71" s="831"/>
    </row>
    <row r="72" spans="1:8" s="353" customFormat="1" ht="12.75">
      <c r="A72" s="973"/>
      <c r="B72" s="973"/>
      <c r="C72" s="973"/>
      <c r="D72" s="832"/>
      <c r="E72" s="833"/>
      <c r="F72" s="833"/>
      <c r="H72" s="94"/>
    </row>
    <row r="73" spans="1:8" s="231" customFormat="1" ht="12.75">
      <c r="A73" s="971" t="s">
        <v>1066</v>
      </c>
      <c r="B73" s="971"/>
      <c r="C73" s="971"/>
      <c r="D73" s="971"/>
      <c r="E73" s="971"/>
      <c r="F73" s="971"/>
      <c r="H73" s="88"/>
    </row>
    <row r="74" spans="1:8" s="231" customFormat="1" ht="12.75">
      <c r="A74" s="970" t="s">
        <v>1067</v>
      </c>
      <c r="B74" s="970"/>
      <c r="C74" s="970"/>
      <c r="D74" s="827">
        <v>46</v>
      </c>
      <c r="E74" s="824">
        <v>0</v>
      </c>
      <c r="F74" s="828"/>
      <c r="H74" s="88"/>
    </row>
    <row r="75" spans="1:8" s="231" customFormat="1" ht="12.75">
      <c r="A75" s="376"/>
      <c r="B75" s="962" t="s">
        <v>1068</v>
      </c>
      <c r="C75" s="962"/>
      <c r="D75" s="827">
        <f>1+D74</f>
        <v>47</v>
      </c>
      <c r="E75" s="824">
        <f>+E74*40%</f>
        <v>0</v>
      </c>
      <c r="F75" s="824"/>
      <c r="H75" s="88"/>
    </row>
    <row r="76" spans="1:8" s="231" customFormat="1" ht="12.75">
      <c r="A76" s="970" t="s">
        <v>1069</v>
      </c>
      <c r="B76" s="970"/>
      <c r="C76" s="970"/>
      <c r="D76" s="827">
        <f t="shared" ref="D76:D82" si="2">1+D75</f>
        <v>48</v>
      </c>
      <c r="E76" s="824">
        <v>0</v>
      </c>
      <c r="F76" s="828"/>
      <c r="H76" s="88"/>
    </row>
    <row r="77" spans="1:8" s="231" customFormat="1" ht="12.75">
      <c r="A77" s="376"/>
      <c r="B77" s="962" t="s">
        <v>1070</v>
      </c>
      <c r="C77" s="962"/>
      <c r="D77" s="827">
        <f t="shared" si="2"/>
        <v>49</v>
      </c>
      <c r="E77" s="824">
        <f>+E76*10%</f>
        <v>0</v>
      </c>
      <c r="F77" s="824"/>
      <c r="H77" s="88"/>
    </row>
    <row r="78" spans="1:8" s="231" customFormat="1" ht="12.75">
      <c r="A78" s="970" t="s">
        <v>1071</v>
      </c>
      <c r="B78" s="970"/>
      <c r="C78" s="970"/>
      <c r="D78" s="827">
        <f t="shared" si="2"/>
        <v>50</v>
      </c>
      <c r="E78" s="824">
        <v>0</v>
      </c>
      <c r="F78" s="828"/>
      <c r="H78" s="88"/>
    </row>
    <row r="79" spans="1:8" s="231" customFormat="1" ht="12.75">
      <c r="A79" s="376"/>
      <c r="B79" s="962" t="s">
        <v>1072</v>
      </c>
      <c r="C79" s="962"/>
      <c r="D79" s="827">
        <f t="shared" si="2"/>
        <v>51</v>
      </c>
      <c r="E79" s="824">
        <f>+E78*10%</f>
        <v>0</v>
      </c>
      <c r="F79" s="824"/>
      <c r="H79" s="88"/>
    </row>
    <row r="80" spans="1:8" s="231" customFormat="1" ht="12.75">
      <c r="A80" s="970" t="s">
        <v>1073</v>
      </c>
      <c r="B80" s="970"/>
      <c r="C80" s="970"/>
      <c r="D80" s="827">
        <f t="shared" si="2"/>
        <v>52</v>
      </c>
      <c r="E80" s="824">
        <v>0</v>
      </c>
      <c r="F80" s="828"/>
      <c r="H80" s="88"/>
    </row>
    <row r="81" spans="1:11" s="231" customFormat="1" ht="12.75">
      <c r="A81" s="834"/>
      <c r="B81" s="970" t="s">
        <v>1074</v>
      </c>
      <c r="C81" s="970"/>
      <c r="D81" s="827">
        <f t="shared" si="2"/>
        <v>53</v>
      </c>
      <c r="E81" s="824">
        <f>+E80*2%</f>
        <v>0</v>
      </c>
      <c r="F81" s="824"/>
      <c r="H81" s="88"/>
    </row>
    <row r="82" spans="1:11" s="409" customFormat="1" ht="12.75">
      <c r="A82" s="967" t="s">
        <v>1075</v>
      </c>
      <c r="B82" s="967"/>
      <c r="C82" s="967"/>
      <c r="D82" s="815">
        <f t="shared" si="2"/>
        <v>54</v>
      </c>
      <c r="E82" s="818">
        <f>E75+E77+E79+E81</f>
        <v>0</v>
      </c>
      <c r="F82" s="818"/>
      <c r="H82" s="831"/>
    </row>
    <row r="83" spans="1:11" s="838" customFormat="1" ht="12.75">
      <c r="A83" s="835"/>
      <c r="B83" s="835"/>
      <c r="C83" s="835"/>
      <c r="D83" s="836"/>
      <c r="E83" s="837"/>
      <c r="F83" s="837"/>
      <c r="H83" s="839"/>
      <c r="K83" s="458"/>
    </row>
    <row r="84" spans="1:11" s="409" customFormat="1" ht="12.75">
      <c r="A84" s="967" t="s">
        <v>1076</v>
      </c>
      <c r="B84" s="967"/>
      <c r="C84" s="967"/>
      <c r="D84" s="815">
        <v>55</v>
      </c>
      <c r="E84" s="840">
        <f>+E55+E71</f>
        <v>0</v>
      </c>
      <c r="F84" s="841"/>
      <c r="H84" s="831"/>
    </row>
    <row r="85" spans="1:11" s="409" customFormat="1" ht="12.75">
      <c r="A85" s="835"/>
      <c r="B85" s="835"/>
      <c r="C85" s="835"/>
      <c r="D85" s="836"/>
      <c r="E85" s="842"/>
      <c r="F85" s="842"/>
      <c r="H85" s="831"/>
    </row>
    <row r="86" spans="1:11" s="231" customFormat="1" ht="12.75">
      <c r="A86" s="843" t="s">
        <v>1077</v>
      </c>
      <c r="B86" s="844"/>
      <c r="C86" s="845"/>
      <c r="D86" s="844"/>
      <c r="E86" s="844" t="s">
        <v>1078</v>
      </c>
      <c r="F86" s="844" t="s">
        <v>18</v>
      </c>
      <c r="H86" s="88"/>
    </row>
    <row r="87" spans="1:11" s="231" customFormat="1" ht="12.75">
      <c r="A87" s="843"/>
      <c r="B87" s="844"/>
      <c r="C87" s="845"/>
      <c r="D87" s="844"/>
      <c r="E87" s="844"/>
      <c r="F87" s="844"/>
      <c r="H87" s="88"/>
    </row>
    <row r="88" spans="1:11" s="231" customFormat="1" ht="12.75">
      <c r="A88" s="975" t="s">
        <v>14</v>
      </c>
      <c r="B88" s="975"/>
      <c r="C88" s="822" t="s">
        <v>1079</v>
      </c>
      <c r="D88" s="819">
        <v>56</v>
      </c>
      <c r="E88" s="846"/>
      <c r="F88" s="847"/>
      <c r="H88" s="88"/>
    </row>
    <row r="89" spans="1:11" s="231" customFormat="1" ht="12.75">
      <c r="A89" s="975"/>
      <c r="B89" s="975"/>
      <c r="C89" s="822" t="s">
        <v>1080</v>
      </c>
      <c r="D89" s="819">
        <f>+D88+1</f>
        <v>57</v>
      </c>
      <c r="E89" s="848">
        <f>+STAT1!W112</f>
        <v>10.391999999992549</v>
      </c>
      <c r="F89" s="846"/>
      <c r="H89" s="88"/>
    </row>
    <row r="90" spans="1:11" s="231" customFormat="1" ht="12.75">
      <c r="A90" s="975" t="s">
        <v>1081</v>
      </c>
      <c r="B90" s="975"/>
      <c r="C90" s="975"/>
      <c r="D90" s="819">
        <f t="shared" ref="D90:D98" si="3">+D89+1</f>
        <v>58</v>
      </c>
      <c r="E90" s="847">
        <f>+E84</f>
        <v>0</v>
      </c>
      <c r="F90" s="846"/>
      <c r="H90" s="88"/>
    </row>
    <row r="91" spans="1:11" s="231" customFormat="1" ht="12.75">
      <c r="A91" s="975" t="s">
        <v>1082</v>
      </c>
      <c r="B91" s="975"/>
      <c r="C91" s="822" t="s">
        <v>1083</v>
      </c>
      <c r="D91" s="819">
        <f t="shared" si="3"/>
        <v>59</v>
      </c>
      <c r="E91" s="846">
        <v>0</v>
      </c>
      <c r="F91" s="847"/>
      <c r="H91" s="88"/>
    </row>
    <row r="92" spans="1:11" s="231" customFormat="1" ht="12.75">
      <c r="A92" s="975"/>
      <c r="B92" s="975"/>
      <c r="C92" s="822" t="s">
        <v>1084</v>
      </c>
      <c r="D92" s="819">
        <f t="shared" si="3"/>
        <v>60</v>
      </c>
      <c r="E92" s="846"/>
      <c r="F92" s="847"/>
      <c r="H92" s="88"/>
    </row>
    <row r="93" spans="1:11" s="231" customFormat="1" ht="12.75">
      <c r="A93" s="975" t="s">
        <v>1085</v>
      </c>
      <c r="B93" s="975"/>
      <c r="C93" s="975"/>
      <c r="D93" s="819">
        <f t="shared" si="3"/>
        <v>61</v>
      </c>
      <c r="E93" s="846"/>
      <c r="F93" s="847">
        <v>100000</v>
      </c>
      <c r="H93" s="88"/>
    </row>
    <row r="94" spans="1:11" s="231" customFormat="1" ht="12.75">
      <c r="A94" s="975" t="s">
        <v>1086</v>
      </c>
      <c r="B94" s="975"/>
      <c r="C94" s="975"/>
      <c r="D94" s="819">
        <f t="shared" si="3"/>
        <v>62</v>
      </c>
      <c r="E94" s="846"/>
      <c r="F94" s="847"/>
      <c r="H94" s="88"/>
    </row>
    <row r="95" spans="1:11" s="231" customFormat="1" ht="12.75">
      <c r="A95" s="975" t="s">
        <v>1087</v>
      </c>
      <c r="B95" s="975"/>
      <c r="C95" s="975"/>
      <c r="D95" s="819">
        <f t="shared" si="3"/>
        <v>63</v>
      </c>
      <c r="E95" s="846"/>
      <c r="F95" s="847"/>
      <c r="H95" s="88"/>
      <c r="I95" s="230"/>
    </row>
    <row r="96" spans="1:11" s="231" customFormat="1" ht="12.75">
      <c r="A96" s="975" t="s">
        <v>1088</v>
      </c>
      <c r="B96" s="975"/>
      <c r="C96" s="975"/>
      <c r="D96" s="819">
        <f t="shared" si="3"/>
        <v>64</v>
      </c>
      <c r="E96" s="847"/>
      <c r="F96" s="846"/>
      <c r="H96" s="88"/>
    </row>
    <row r="97" spans="1:9" s="231" customFormat="1" ht="12.75">
      <c r="A97" s="975" t="s">
        <v>15</v>
      </c>
      <c r="B97" s="975"/>
      <c r="C97" s="822" t="s">
        <v>1079</v>
      </c>
      <c r="D97" s="819">
        <f t="shared" si="3"/>
        <v>65</v>
      </c>
      <c r="E97" s="846"/>
      <c r="F97" s="847"/>
    </row>
    <row r="98" spans="1:9" s="231" customFormat="1" ht="12.75">
      <c r="A98" s="975"/>
      <c r="B98" s="975"/>
      <c r="C98" s="822" t="s">
        <v>1080</v>
      </c>
      <c r="D98" s="819">
        <f t="shared" si="3"/>
        <v>66</v>
      </c>
      <c r="E98" s="847"/>
      <c r="F98" s="849">
        <f>+F93-E89</f>
        <v>99989.608000000007</v>
      </c>
    </row>
    <row r="99" spans="1:9" s="231" customFormat="1" ht="12.75">
      <c r="A99" s="198"/>
      <c r="B99" s="198"/>
      <c r="C99" s="811"/>
      <c r="D99" s="198"/>
      <c r="E99" s="850"/>
      <c r="F99" s="850">
        <f>+STAT3!V26-F98</f>
        <v>1.999999993131496E-3</v>
      </c>
      <c r="I99" s="230"/>
    </row>
    <row r="100" spans="1:9" s="231" customFormat="1" ht="12.75">
      <c r="A100" s="578"/>
      <c r="B100" s="198" t="s">
        <v>1089</v>
      </c>
      <c r="C100" s="811"/>
      <c r="D100" s="198" t="s">
        <v>1090</v>
      </c>
      <c r="E100" s="198"/>
      <c r="F100" s="198"/>
    </row>
    <row r="101" spans="1:9" s="231" customFormat="1" ht="12.75">
      <c r="A101" s="198"/>
      <c r="B101" s="198"/>
      <c r="C101" s="811"/>
      <c r="D101" s="198"/>
      <c r="E101" s="198"/>
      <c r="F101" s="198"/>
    </row>
    <row r="102" spans="1:9" s="231" customFormat="1" ht="12.75">
      <c r="A102" s="198"/>
      <c r="B102" s="198" t="str">
        <f>CONCATENATE("Дарга  /Захирал/:    . . . . . . . . . . . . . . . . . . .  ",[3]Company!C25)</f>
        <v>Дарга  /Захирал/:    . . . . . . . . . . . . . . . . . . .  /Д.Бахдамдэмбэрэл /</v>
      </c>
      <c r="C102" s="811"/>
      <c r="D102" s="198" t="s">
        <v>1091</v>
      </c>
      <c r="E102" s="198"/>
      <c r="F102" s="198"/>
    </row>
    <row r="103" spans="1:9" s="231" customFormat="1" ht="12.75">
      <c r="A103" s="198"/>
      <c r="B103" s="198"/>
      <c r="C103" s="811"/>
      <c r="D103" s="198"/>
      <c r="E103" s="198"/>
      <c r="F103" s="198"/>
    </row>
    <row r="104" spans="1:9" s="231" customFormat="1" ht="12.75">
      <c r="A104" s="198"/>
      <c r="B104" s="198" t="str">
        <f>CONCATENATE("Ерөнхий нягтлан бодогч: . . . . . . . . . . . . . . ",[3]Company!C28)</f>
        <v>Ерөнхий нягтлан бодогч: . . . . . . . . . . . . . . /Б.Түмэндэлгэр/</v>
      </c>
      <c r="C104" s="811"/>
      <c r="D104" s="198"/>
      <c r="E104" s="198"/>
      <c r="F104" s="198"/>
    </row>
    <row r="105" spans="1:9" s="231" customFormat="1" ht="12.75">
      <c r="A105" s="198"/>
      <c r="B105" s="851"/>
      <c r="C105" s="811"/>
      <c r="D105" s="198"/>
      <c r="E105" s="198"/>
      <c r="F105" s="198"/>
    </row>
    <row r="106" spans="1:9" s="231" customFormat="1" ht="12.75">
      <c r="A106" s="198"/>
      <c r="B106" s="198" t="str">
        <f>+'company '!C22</f>
        <v>2017 оны 12 сарын 31</v>
      </c>
      <c r="C106" s="811"/>
      <c r="D106" s="198" t="s">
        <v>1092</v>
      </c>
      <c r="E106" s="198"/>
      <c r="F106" s="198"/>
    </row>
    <row r="107" spans="1:9" s="231" customFormat="1" ht="13.5" thickBot="1">
      <c r="A107" s="410"/>
      <c r="B107" s="410"/>
      <c r="C107" s="852"/>
      <c r="D107" s="410"/>
      <c r="E107" s="410"/>
      <c r="F107" s="410"/>
    </row>
    <row r="108" spans="1:9" s="231" customFormat="1" ht="13.5" thickTop="1">
      <c r="A108" s="855" t="s">
        <v>1093</v>
      </c>
      <c r="C108" s="282"/>
    </row>
    <row r="109" spans="1:9" s="231" customFormat="1" ht="12.75">
      <c r="A109" s="856" t="s">
        <v>1094</v>
      </c>
      <c r="B109" s="853"/>
      <c r="C109" s="854"/>
      <c r="D109" s="853"/>
      <c r="E109" s="853"/>
      <c r="F109" s="853"/>
    </row>
  </sheetData>
  <sheetProtection password="DFC0" sheet="1" objects="1" scenarios="1"/>
  <mergeCells count="63">
    <mergeCell ref="A95:C95"/>
    <mergeCell ref="A96:C96"/>
    <mergeCell ref="A97:B98"/>
    <mergeCell ref="A84:C84"/>
    <mergeCell ref="A88:B89"/>
    <mergeCell ref="A90:C90"/>
    <mergeCell ref="A91:B92"/>
    <mergeCell ref="A93:C93"/>
    <mergeCell ref="A94:C94"/>
    <mergeCell ref="A82:C82"/>
    <mergeCell ref="A71:C71"/>
    <mergeCell ref="A72:C72"/>
    <mergeCell ref="A73:F73"/>
    <mergeCell ref="A74:C74"/>
    <mergeCell ref="B75:C75"/>
    <mergeCell ref="A76:C76"/>
    <mergeCell ref="B77:C77"/>
    <mergeCell ref="A78:C78"/>
    <mergeCell ref="B79:C79"/>
    <mergeCell ref="A80:C80"/>
    <mergeCell ref="B81:C81"/>
    <mergeCell ref="B70:C70"/>
    <mergeCell ref="A58:C58"/>
    <mergeCell ref="B59:C59"/>
    <mergeCell ref="A60:C60"/>
    <mergeCell ref="A61:A64"/>
    <mergeCell ref="B61:C61"/>
    <mergeCell ref="B62:C62"/>
    <mergeCell ref="B63:C63"/>
    <mergeCell ref="B64:C64"/>
    <mergeCell ref="A65:C65"/>
    <mergeCell ref="B66:C66"/>
    <mergeCell ref="A67:C67"/>
    <mergeCell ref="B68:C68"/>
    <mergeCell ref="A69:C69"/>
    <mergeCell ref="A57:F57"/>
    <mergeCell ref="A46:C46"/>
    <mergeCell ref="A47:C47"/>
    <mergeCell ref="A48:C48"/>
    <mergeCell ref="A49:C49"/>
    <mergeCell ref="A50:C50"/>
    <mergeCell ref="A51:C51"/>
    <mergeCell ref="A52:C52"/>
    <mergeCell ref="A53:C53"/>
    <mergeCell ref="A54:C54"/>
    <mergeCell ref="A55:C55"/>
    <mergeCell ref="A56:F56"/>
    <mergeCell ref="A45:C45"/>
    <mergeCell ref="C4:F4"/>
    <mergeCell ref="C6:F6"/>
    <mergeCell ref="A22:C22"/>
    <mergeCell ref="A24:C24"/>
    <mergeCell ref="A25:C25"/>
    <mergeCell ref="A26:A41"/>
    <mergeCell ref="B26:C26"/>
    <mergeCell ref="B27:C27"/>
    <mergeCell ref="B28:C28"/>
    <mergeCell ref="B29:C29"/>
    <mergeCell ref="B30:C30"/>
    <mergeCell ref="B31:B41"/>
    <mergeCell ref="A42:C42"/>
    <mergeCell ref="A43:C43"/>
    <mergeCell ref="A44:C44"/>
  </mergeCells>
  <pageMargins left="0.7" right="0.37" top="0.75" bottom="0.75" header="0.3" footer="0.3"/>
  <pageSetup scale="83" fitToHeight="0" orientation="portrait" horizontalDpi="0" verticalDpi="0" r:id="rId1"/>
</worksheet>
</file>

<file path=xl/worksheets/sheet22.xml><?xml version="1.0" encoding="utf-8"?>
<worksheet xmlns="http://schemas.openxmlformats.org/spreadsheetml/2006/main" xmlns:r="http://schemas.openxmlformats.org/officeDocument/2006/relationships">
  <sheetPr>
    <pageSetUpPr fitToPage="1"/>
  </sheetPr>
  <dimension ref="A1:Q93"/>
  <sheetViews>
    <sheetView workbookViewId="0">
      <selection activeCell="F24" sqref="F24:G24"/>
    </sheetView>
  </sheetViews>
  <sheetFormatPr defaultRowHeight="12.75"/>
  <cols>
    <col min="1" max="1" width="8.140625" style="231" customWidth="1"/>
    <col min="2" max="2" width="25.5703125" style="231" customWidth="1"/>
    <col min="3" max="3" width="4.85546875" style="231" customWidth="1"/>
    <col min="4" max="4" width="5.5703125" style="231" customWidth="1"/>
    <col min="5" max="5" width="6.28515625" style="231" customWidth="1"/>
    <col min="6" max="6" width="9.140625" style="231"/>
    <col min="7" max="7" width="11.5703125" style="231" customWidth="1"/>
    <col min="8" max="8" width="6" style="231" customWidth="1"/>
    <col min="9" max="9" width="13.140625" style="231" customWidth="1"/>
    <col min="10" max="10" width="9.140625" style="231"/>
    <col min="11" max="11" width="17.7109375" style="88" bestFit="1" customWidth="1"/>
    <col min="12" max="12" width="16" style="88" bestFit="1" customWidth="1"/>
    <col min="13" max="13" width="15.28515625" style="88" customWidth="1"/>
    <col min="14" max="16384" width="9.140625" style="231"/>
  </cols>
  <sheetData>
    <row r="1" spans="1:13">
      <c r="A1" s="276"/>
      <c r="I1" s="277" t="s">
        <v>1204</v>
      </c>
    </row>
    <row r="2" spans="1:13">
      <c r="A2" s="276"/>
      <c r="B2" s="134"/>
      <c r="I2" s="277" t="s">
        <v>1205</v>
      </c>
    </row>
    <row r="3" spans="1:13">
      <c r="A3" s="278"/>
    </row>
    <row r="4" spans="1:13">
      <c r="A4" s="278"/>
    </row>
    <row r="5" spans="1:13" ht="15.75">
      <c r="A5" s="979" t="s">
        <v>1206</v>
      </c>
      <c r="B5" s="979"/>
      <c r="C5" s="979"/>
      <c r="D5" s="979"/>
      <c r="E5" s="979"/>
      <c r="F5" s="979"/>
      <c r="G5" s="979"/>
      <c r="H5" s="979"/>
      <c r="I5" s="979"/>
    </row>
    <row r="6" spans="1:13" ht="15.75">
      <c r="A6" s="979" t="s">
        <v>1207</v>
      </c>
      <c r="B6" s="979"/>
      <c r="C6" s="979"/>
      <c r="D6" s="979"/>
      <c r="E6" s="979"/>
      <c r="F6" s="979"/>
      <c r="G6" s="979"/>
      <c r="H6" s="979"/>
      <c r="I6" s="979"/>
    </row>
    <row r="7" spans="1:13">
      <c r="A7" s="279"/>
    </row>
    <row r="8" spans="1:13">
      <c r="A8" s="275" t="str">
        <f>CONCATENATE("1. ТТД:  ",'company '!C7,"              2. Нэр ",Table133[[#Headers],[ШИНЭСТ ХК]])</f>
        <v>1. ТТД:  |_2_|_0_|_1_|_8_|_9_|_4_|_2_|              2. Нэр ШИНЭСТ ХК</v>
      </c>
      <c r="B8" s="275"/>
    </row>
    <row r="9" spans="1:13">
      <c r="A9" s="279"/>
    </row>
    <row r="10" spans="1:13">
      <c r="A10" s="275" t="s">
        <v>1347</v>
      </c>
    </row>
    <row r="11" spans="1:13">
      <c r="A11" s="275"/>
    </row>
    <row r="12" spans="1:13">
      <c r="A12" s="275" t="str">
        <f>+[3]Tax_1!A11</f>
        <v>|__|__|         Аймаг, хот:  Улаанбаатар             |__|__|         Сум, дүүрэг: Хан уул дүүрэг</v>
      </c>
    </row>
    <row r="13" spans="1:13" s="189" customFormat="1">
      <c r="A13" s="275" t="str">
        <f>+[3]Tax_1!A12</f>
        <v>|__|__|         Баг, хороо: 3-р хороо                  |__|__|__|     Гудамж, хороолол: Эв нэгдэлийн гудамж</v>
      </c>
      <c r="B13" s="187"/>
      <c r="C13" s="187"/>
      <c r="D13" s="187"/>
      <c r="E13" s="187"/>
      <c r="F13" s="187"/>
      <c r="K13" s="191"/>
      <c r="L13" s="191"/>
      <c r="M13" s="191"/>
    </row>
    <row r="14" spans="1:13" s="189" customFormat="1">
      <c r="A14" s="275" t="str">
        <f>+[3]Tax_1!A13</f>
        <v xml:space="preserve">|__|__|__|    Байр: Шинэст ХК -н өөрийн байр             |__|__|__|    Хашаа, хаалга: </v>
      </c>
      <c r="B14" s="187"/>
      <c r="C14" s="187"/>
      <c r="D14" s="187"/>
      <c r="E14" s="187"/>
      <c r="F14" s="187"/>
      <c r="K14" s="191"/>
      <c r="L14" s="191"/>
      <c r="M14" s="191"/>
    </row>
    <row r="15" spans="1:13" s="189" customFormat="1">
      <c r="A15" s="275" t="str">
        <f>+[3]Tax_1!A14</f>
        <v>Утас1:  70114414                              Утас2: 99119765 99066093 86001044                               Факс: 70114404</v>
      </c>
      <c r="B15" s="187"/>
      <c r="C15" s="187"/>
      <c r="D15" s="187"/>
      <c r="E15" s="187"/>
      <c r="F15" s="187"/>
      <c r="K15" s="191"/>
      <c r="L15" s="191"/>
      <c r="M15" s="191"/>
    </row>
    <row r="16" spans="1:13" s="189" customFormat="1">
      <c r="A16" s="275" t="str">
        <f>+[3]Tax_1!A15</f>
        <v xml:space="preserve">Шуудангийн хайрцаг No: </v>
      </c>
      <c r="B16" s="187"/>
      <c r="C16" s="188"/>
      <c r="D16" s="187"/>
      <c r="E16" s="187"/>
      <c r="F16" s="187"/>
      <c r="K16" s="191"/>
      <c r="L16" s="191"/>
      <c r="M16" s="191"/>
    </row>
    <row r="17" spans="1:13" s="189" customFormat="1">
      <c r="A17" s="275"/>
      <c r="B17" s="187"/>
      <c r="C17" s="187"/>
      <c r="D17" s="187"/>
      <c r="E17" s="187"/>
      <c r="F17" s="187"/>
      <c r="K17" s="191"/>
      <c r="L17" s="191"/>
      <c r="M17" s="191"/>
    </row>
    <row r="18" spans="1:13">
      <c r="A18" s="275" t="s">
        <v>1208</v>
      </c>
      <c r="B18" s="280"/>
      <c r="C18" s="275" t="s">
        <v>1209</v>
      </c>
    </row>
    <row r="19" spans="1:13">
      <c r="A19" s="275"/>
    </row>
    <row r="20" spans="1:13">
      <c r="A20" s="275"/>
    </row>
    <row r="21" spans="1:13">
      <c r="A21" s="980" t="s">
        <v>1210</v>
      </c>
      <c r="B21" s="980"/>
      <c r="C21" s="980"/>
      <c r="D21" s="980"/>
      <c r="E21" s="980"/>
      <c r="F21" s="980"/>
      <c r="G21" s="981">
        <f>IS!I24</f>
        <v>-54118465.747787565</v>
      </c>
      <c r="H21" s="982"/>
      <c r="I21" s="982"/>
      <c r="K21" s="88">
        <f>+IS!I24</f>
        <v>-54118465.747787565</v>
      </c>
    </row>
    <row r="22" spans="1:13">
      <c r="A22" s="732"/>
      <c r="B22" s="982"/>
      <c r="C22" s="982"/>
      <c r="D22" s="982"/>
      <c r="E22" s="982"/>
      <c r="F22" s="982"/>
      <c r="G22" s="982"/>
      <c r="H22" s="982"/>
      <c r="I22" s="982"/>
      <c r="K22" s="88">
        <f>+G21-K21</f>
        <v>0</v>
      </c>
    </row>
    <row r="23" spans="1:13">
      <c r="A23" s="732" t="s">
        <v>1211</v>
      </c>
      <c r="B23" s="982" t="s">
        <v>1212</v>
      </c>
      <c r="C23" s="982"/>
      <c r="D23" s="982"/>
      <c r="E23" s="982"/>
      <c r="F23" s="982"/>
      <c r="G23" s="982"/>
      <c r="H23" s="982"/>
      <c r="I23" s="982"/>
    </row>
    <row r="24" spans="1:13" ht="13.5">
      <c r="A24" s="733">
        <v>1</v>
      </c>
      <c r="B24" s="734" t="s">
        <v>1213</v>
      </c>
      <c r="C24" s="982" t="s">
        <v>21</v>
      </c>
      <c r="D24" s="982"/>
      <c r="E24" s="735">
        <v>2</v>
      </c>
      <c r="F24" s="983" t="s">
        <v>1214</v>
      </c>
      <c r="G24" s="983"/>
      <c r="H24" s="984" t="s">
        <v>21</v>
      </c>
      <c r="I24" s="984"/>
    </row>
    <row r="25" spans="1:13">
      <c r="A25" s="976">
        <v>1.1000000000000001</v>
      </c>
      <c r="B25" s="736" t="s">
        <v>1215</v>
      </c>
      <c r="C25" s="977"/>
      <c r="D25" s="977"/>
      <c r="E25" s="976">
        <v>2.1</v>
      </c>
      <c r="F25" s="978" t="s">
        <v>1216</v>
      </c>
      <c r="G25" s="978"/>
      <c r="H25" s="977"/>
      <c r="I25" s="977"/>
    </row>
    <row r="26" spans="1:13" ht="51">
      <c r="A26" s="976"/>
      <c r="B26" s="736" t="s">
        <v>1217</v>
      </c>
      <c r="C26" s="977"/>
      <c r="D26" s="977"/>
      <c r="E26" s="976"/>
      <c r="F26" s="978"/>
      <c r="G26" s="978"/>
      <c r="H26" s="977"/>
      <c r="I26" s="977"/>
    </row>
    <row r="27" spans="1:13" ht="25.5">
      <c r="A27" s="737"/>
      <c r="B27" s="736" t="s">
        <v>1218</v>
      </c>
      <c r="C27" s="977"/>
      <c r="D27" s="977"/>
      <c r="E27" s="737">
        <v>2.2000000000000002</v>
      </c>
      <c r="F27" s="978" t="s">
        <v>1219</v>
      </c>
      <c r="G27" s="978"/>
      <c r="H27" s="977"/>
      <c r="I27" s="977"/>
    </row>
    <row r="28" spans="1:13" ht="25.5">
      <c r="A28" s="737"/>
      <c r="B28" s="736" t="s">
        <v>1220</v>
      </c>
      <c r="C28" s="977"/>
      <c r="D28" s="977"/>
      <c r="E28" s="737">
        <v>2.2999999999999998</v>
      </c>
      <c r="F28" s="978" t="s">
        <v>1221</v>
      </c>
      <c r="G28" s="978"/>
      <c r="H28" s="977">
        <f>+IS!I11</f>
        <v>0</v>
      </c>
      <c r="I28" s="977"/>
    </row>
    <row r="29" spans="1:13" ht="25.5">
      <c r="A29" s="737"/>
      <c r="B29" s="736" t="s">
        <v>1222</v>
      </c>
      <c r="C29" s="977"/>
      <c r="D29" s="977"/>
      <c r="E29" s="737">
        <v>2.4</v>
      </c>
      <c r="F29" s="978" t="s">
        <v>1223</v>
      </c>
      <c r="G29" s="978"/>
      <c r="H29" s="977">
        <f>+'TT-02'!E74+'TT-02'!E76+'TT-02'!E78+'TT-02'!E80</f>
        <v>0</v>
      </c>
      <c r="I29" s="977"/>
    </row>
    <row r="30" spans="1:13">
      <c r="A30" s="737"/>
      <c r="B30" s="736"/>
      <c r="C30" s="977"/>
      <c r="D30" s="977"/>
      <c r="E30" s="737">
        <v>2.5</v>
      </c>
      <c r="F30" s="978"/>
      <c r="G30" s="978"/>
      <c r="H30" s="977"/>
      <c r="I30" s="977"/>
    </row>
    <row r="31" spans="1:13" ht="25.5">
      <c r="A31" s="737">
        <v>1.2</v>
      </c>
      <c r="B31" s="736" t="s">
        <v>1224</v>
      </c>
      <c r="C31" s="977"/>
      <c r="D31" s="977"/>
      <c r="E31" s="737">
        <v>2.6</v>
      </c>
      <c r="F31" s="978" t="s">
        <v>1225</v>
      </c>
      <c r="G31" s="978"/>
      <c r="H31" s="977"/>
      <c r="I31" s="977"/>
    </row>
    <row r="32" spans="1:13">
      <c r="A32" s="737"/>
      <c r="B32" s="738" t="s">
        <v>1226</v>
      </c>
      <c r="C32" s="977"/>
      <c r="D32" s="977"/>
      <c r="E32" s="737"/>
      <c r="F32" s="978"/>
      <c r="G32" s="978"/>
      <c r="H32" s="977"/>
      <c r="I32" s="977"/>
    </row>
    <row r="33" spans="1:13">
      <c r="A33" s="737"/>
      <c r="B33" s="738" t="s">
        <v>1227</v>
      </c>
      <c r="C33" s="977"/>
      <c r="D33" s="977"/>
      <c r="E33" s="737"/>
      <c r="F33" s="978"/>
      <c r="G33" s="978"/>
      <c r="H33" s="977"/>
      <c r="I33" s="977"/>
      <c r="M33" s="231"/>
    </row>
    <row r="34" spans="1:13" ht="38.25">
      <c r="A34" s="737">
        <v>1.3</v>
      </c>
      <c r="B34" s="736" t="s">
        <v>1228</v>
      </c>
      <c r="C34" s="977"/>
      <c r="D34" s="977"/>
      <c r="E34" s="737"/>
      <c r="F34" s="978"/>
      <c r="G34" s="978"/>
      <c r="H34" s="977"/>
      <c r="I34" s="977"/>
      <c r="M34" s="231"/>
    </row>
    <row r="35" spans="1:13" ht="25.5">
      <c r="A35" s="737">
        <v>1.4</v>
      </c>
      <c r="B35" s="736" t="s">
        <v>1229</v>
      </c>
      <c r="C35" s="977"/>
      <c r="D35" s="977"/>
      <c r="E35" s="737"/>
      <c r="F35" s="978"/>
      <c r="G35" s="978"/>
      <c r="H35" s="977"/>
      <c r="I35" s="977"/>
      <c r="M35" s="231"/>
    </row>
    <row r="36" spans="1:13">
      <c r="A36" s="737">
        <v>1.5</v>
      </c>
      <c r="B36" s="736" t="s">
        <v>1230</v>
      </c>
      <c r="C36" s="977"/>
      <c r="D36" s="977"/>
      <c r="E36" s="737"/>
      <c r="F36" s="978"/>
      <c r="G36" s="978"/>
      <c r="H36" s="977"/>
      <c r="I36" s="977"/>
      <c r="M36" s="231"/>
    </row>
    <row r="37" spans="1:13">
      <c r="A37" s="737">
        <v>1.6</v>
      </c>
      <c r="B37" s="736" t="s">
        <v>1231</v>
      </c>
      <c r="C37" s="977"/>
      <c r="D37" s="977"/>
      <c r="E37" s="737"/>
      <c r="F37" s="978"/>
      <c r="G37" s="978"/>
      <c r="H37" s="977"/>
      <c r="I37" s="977"/>
      <c r="M37" s="231"/>
    </row>
    <row r="38" spans="1:13">
      <c r="A38" s="737"/>
      <c r="B38" s="736"/>
      <c r="C38" s="977"/>
      <c r="D38" s="977"/>
      <c r="E38" s="737"/>
      <c r="F38" s="978"/>
      <c r="G38" s="978"/>
      <c r="H38" s="977"/>
      <c r="I38" s="977"/>
      <c r="M38" s="231"/>
    </row>
    <row r="39" spans="1:13">
      <c r="A39" s="737" t="s">
        <v>1232</v>
      </c>
      <c r="B39" s="736" t="s">
        <v>21</v>
      </c>
      <c r="C39" s="977">
        <f>SUM(C25:D38)</f>
        <v>0</v>
      </c>
      <c r="D39" s="977"/>
      <c r="E39" s="737" t="s">
        <v>1233</v>
      </c>
      <c r="F39" s="978" t="s">
        <v>5</v>
      </c>
      <c r="G39" s="978"/>
      <c r="H39" s="977">
        <f>SUM(H25:I38)</f>
        <v>0</v>
      </c>
      <c r="I39" s="977"/>
      <c r="M39" s="231"/>
    </row>
    <row r="40" spans="1:13">
      <c r="A40" s="733" t="s">
        <v>1234</v>
      </c>
      <c r="B40" s="982" t="s">
        <v>1348</v>
      </c>
      <c r="C40" s="982"/>
      <c r="D40" s="982"/>
      <c r="E40" s="982"/>
      <c r="F40" s="982"/>
      <c r="G40" s="982"/>
      <c r="H40" s="985">
        <f>G21+C39-H39</f>
        <v>-54118465.747787565</v>
      </c>
      <c r="I40" s="985"/>
      <c r="M40" s="231"/>
    </row>
    <row r="41" spans="1:13">
      <c r="A41" s="737" t="s">
        <v>1235</v>
      </c>
      <c r="B41" s="978" t="s">
        <v>1349</v>
      </c>
      <c r="C41" s="978"/>
      <c r="D41" s="978"/>
      <c r="E41" s="978"/>
      <c r="F41" s="978"/>
      <c r="G41" s="978"/>
      <c r="H41" s="977">
        <f>IF(H40&gt;0,H40*0.1,0)</f>
        <v>0</v>
      </c>
      <c r="I41" s="977"/>
      <c r="M41" s="231"/>
    </row>
    <row r="42" spans="1:13">
      <c r="A42" s="737" t="s">
        <v>1236</v>
      </c>
      <c r="B42" s="978" t="s">
        <v>1237</v>
      </c>
      <c r="C42" s="978"/>
      <c r="D42" s="978"/>
      <c r="E42" s="978"/>
      <c r="F42" s="978"/>
      <c r="G42" s="978"/>
      <c r="H42" s="977">
        <f>+'TT-02'!E82</f>
        <v>0</v>
      </c>
      <c r="I42" s="977"/>
      <c r="M42" s="231"/>
    </row>
    <row r="43" spans="1:13">
      <c r="A43" s="737" t="s">
        <v>1238</v>
      </c>
      <c r="B43" s="978" t="s">
        <v>1239</v>
      </c>
      <c r="C43" s="978"/>
      <c r="D43" s="978"/>
      <c r="E43" s="978"/>
      <c r="F43" s="978"/>
      <c r="G43" s="978"/>
      <c r="H43" s="977">
        <f>+H41+H42</f>
        <v>0</v>
      </c>
      <c r="I43" s="977"/>
      <c r="M43" s="231"/>
    </row>
    <row r="44" spans="1:13">
      <c r="A44" s="733" t="s">
        <v>1240</v>
      </c>
      <c r="B44" s="982" t="s">
        <v>1241</v>
      </c>
      <c r="C44" s="982"/>
      <c r="D44" s="982"/>
      <c r="E44" s="982"/>
      <c r="F44" s="982"/>
      <c r="G44" s="982"/>
      <c r="H44" s="982"/>
      <c r="I44" s="982"/>
      <c r="M44" s="231"/>
    </row>
    <row r="45" spans="1:13" ht="13.5">
      <c r="A45" s="733">
        <v>3</v>
      </c>
      <c r="B45" s="983" t="s">
        <v>1213</v>
      </c>
      <c r="C45" s="983"/>
      <c r="D45" s="986" t="s">
        <v>21</v>
      </c>
      <c r="E45" s="986"/>
      <c r="F45" s="986"/>
      <c r="G45" s="983" t="s">
        <v>1214</v>
      </c>
      <c r="H45" s="983"/>
      <c r="I45" s="732" t="s">
        <v>21</v>
      </c>
      <c r="M45" s="231"/>
    </row>
    <row r="46" spans="1:13">
      <c r="A46" s="976">
        <v>3.1</v>
      </c>
      <c r="B46" s="978" t="s">
        <v>1242</v>
      </c>
      <c r="C46" s="978"/>
      <c r="D46" s="976"/>
      <c r="E46" s="976"/>
      <c r="F46" s="976"/>
      <c r="G46" s="978" t="s">
        <v>1243</v>
      </c>
      <c r="H46" s="978"/>
      <c r="I46" s="978"/>
      <c r="M46" s="231"/>
    </row>
    <row r="47" spans="1:13">
      <c r="A47" s="976"/>
      <c r="B47" s="978" t="s">
        <v>1244</v>
      </c>
      <c r="C47" s="978"/>
      <c r="D47" s="976"/>
      <c r="E47" s="976"/>
      <c r="F47" s="976"/>
      <c r="G47" s="978"/>
      <c r="H47" s="978"/>
      <c r="I47" s="978"/>
      <c r="M47" s="231"/>
    </row>
    <row r="48" spans="1:13" ht="51" customHeight="1">
      <c r="A48" s="737">
        <v>3.2</v>
      </c>
      <c r="B48" s="978" t="s">
        <v>1245</v>
      </c>
      <c r="C48" s="978"/>
      <c r="D48" s="987">
        <f>+STAT1!R205+STAT2!R205+STAT3!R205+STAT4!R205</f>
        <v>499415.81999999995</v>
      </c>
      <c r="E48" s="987"/>
      <c r="F48" s="987"/>
      <c r="G48" s="978" t="s">
        <v>1246</v>
      </c>
      <c r="H48" s="978"/>
      <c r="I48" s="739">
        <f>+STAT1!S198+STAT2!S198+STAT3!S198+STAT4!S198</f>
        <v>131025.51</v>
      </c>
      <c r="J48" s="281"/>
      <c r="M48" s="230"/>
    </row>
    <row r="49" spans="1:12" s="231" customFormat="1">
      <c r="A49" s="737">
        <v>3.3</v>
      </c>
      <c r="B49" s="978" t="s">
        <v>1225</v>
      </c>
      <c r="C49" s="978"/>
      <c r="D49" s="976"/>
      <c r="E49" s="976"/>
      <c r="F49" s="976"/>
      <c r="G49" s="978" t="s">
        <v>1225</v>
      </c>
      <c r="H49" s="978"/>
      <c r="I49" s="739"/>
      <c r="L49" s="80"/>
    </row>
    <row r="50" spans="1:12" s="231" customFormat="1">
      <c r="A50" s="737">
        <v>3.4</v>
      </c>
      <c r="B50" s="978"/>
      <c r="C50" s="978"/>
      <c r="D50" s="976"/>
      <c r="E50" s="976"/>
      <c r="F50" s="976"/>
      <c r="G50" s="978"/>
      <c r="H50" s="978"/>
      <c r="I50" s="739"/>
    </row>
    <row r="51" spans="1:12" s="231" customFormat="1">
      <c r="A51" s="737">
        <v>3.5</v>
      </c>
      <c r="B51" s="978"/>
      <c r="C51" s="978"/>
      <c r="D51" s="976"/>
      <c r="E51" s="976"/>
      <c r="F51" s="976"/>
      <c r="G51" s="978"/>
      <c r="H51" s="978"/>
      <c r="I51" s="739"/>
    </row>
    <row r="52" spans="1:12" s="231" customFormat="1">
      <c r="A52" s="737" t="s">
        <v>1247</v>
      </c>
      <c r="B52" s="978" t="s">
        <v>1248</v>
      </c>
      <c r="C52" s="978"/>
      <c r="D52" s="988">
        <f>SUM(D46:F49)</f>
        <v>499415.81999999995</v>
      </c>
      <c r="E52" s="988"/>
      <c r="F52" s="988"/>
      <c r="G52" s="978" t="s">
        <v>1248</v>
      </c>
      <c r="H52" s="978"/>
      <c r="I52" s="740">
        <f>SUM(I46:I49)</f>
        <v>131025.51</v>
      </c>
    </row>
    <row r="53" spans="1:12" s="231" customFormat="1">
      <c r="A53" s="989"/>
      <c r="B53" s="989"/>
      <c r="C53" s="989"/>
      <c r="D53" s="989"/>
      <c r="E53" s="989"/>
      <c r="F53" s="989"/>
      <c r="G53" s="990" t="s">
        <v>1249</v>
      </c>
      <c r="H53" s="990"/>
      <c r="I53" s="990" t="s">
        <v>1250</v>
      </c>
    </row>
    <row r="54" spans="1:12" s="231" customFormat="1">
      <c r="A54" s="989"/>
      <c r="B54" s="989"/>
      <c r="C54" s="989"/>
      <c r="D54" s="989"/>
      <c r="E54" s="989"/>
      <c r="F54" s="989"/>
      <c r="G54" s="990" t="s">
        <v>1251</v>
      </c>
      <c r="H54" s="990"/>
      <c r="I54" s="990"/>
    </row>
    <row r="55" spans="1:12" s="231" customFormat="1">
      <c r="A55" s="982" t="s">
        <v>1252</v>
      </c>
      <c r="B55" s="982"/>
      <c r="C55" s="982"/>
      <c r="D55" s="982"/>
      <c r="E55" s="982"/>
      <c r="F55" s="982"/>
      <c r="G55" s="994">
        <f>+H40+D52-I52</f>
        <v>-53750075.437787563</v>
      </c>
      <c r="H55" s="994"/>
      <c r="I55" s="993"/>
      <c r="K55" s="80"/>
      <c r="L55" s="80"/>
    </row>
    <row r="56" spans="1:12" s="231" customFormat="1">
      <c r="A56" s="978" t="s">
        <v>1253</v>
      </c>
      <c r="B56" s="978"/>
      <c r="C56" s="978"/>
      <c r="D56" s="978"/>
      <c r="E56" s="978"/>
      <c r="F56" s="978"/>
      <c r="G56" s="994"/>
      <c r="H56" s="994"/>
      <c r="I56" s="993"/>
    </row>
    <row r="57" spans="1:12" s="231" customFormat="1">
      <c r="A57" s="991" t="s">
        <v>1254</v>
      </c>
      <c r="B57" s="991"/>
      <c r="C57" s="991"/>
      <c r="D57" s="991"/>
      <c r="E57" s="991"/>
      <c r="F57" s="991"/>
      <c r="G57" s="977">
        <v>0</v>
      </c>
      <c r="H57" s="977"/>
      <c r="I57" s="741"/>
    </row>
    <row r="58" spans="1:12" s="231" customFormat="1">
      <c r="A58" s="991" t="s">
        <v>1255</v>
      </c>
      <c r="B58" s="991"/>
      <c r="C58" s="991"/>
      <c r="D58" s="991"/>
      <c r="E58" s="991"/>
      <c r="F58" s="991"/>
      <c r="G58" s="977">
        <v>0</v>
      </c>
      <c r="H58" s="977"/>
      <c r="I58" s="741"/>
    </row>
    <row r="59" spans="1:12" s="231" customFormat="1">
      <c r="A59" s="982" t="s">
        <v>1256</v>
      </c>
      <c r="B59" s="982"/>
      <c r="C59" s="982"/>
      <c r="D59" s="982"/>
      <c r="E59" s="982"/>
      <c r="F59" s="982"/>
      <c r="G59" s="992">
        <f>+G55+G57-G58</f>
        <v>-53750075.437787563</v>
      </c>
      <c r="H59" s="992"/>
      <c r="I59" s="741"/>
      <c r="K59" s="88"/>
    </row>
    <row r="60" spans="1:12" s="231" customFormat="1">
      <c r="A60" s="982" t="s">
        <v>1350</v>
      </c>
      <c r="B60" s="982"/>
      <c r="C60" s="982"/>
      <c r="D60" s="982"/>
      <c r="E60" s="982"/>
      <c r="F60" s="982"/>
      <c r="G60" s="993"/>
      <c r="H60" s="993"/>
      <c r="I60" s="977">
        <f>IF(G59&gt;0,G59*0.1,0)</f>
        <v>0</v>
      </c>
    </row>
    <row r="61" spans="1:12" s="231" customFormat="1">
      <c r="A61" s="978" t="s">
        <v>1257</v>
      </c>
      <c r="B61" s="978"/>
      <c r="C61" s="978"/>
      <c r="D61" s="978"/>
      <c r="E61" s="978"/>
      <c r="F61" s="978"/>
      <c r="G61" s="993"/>
      <c r="H61" s="993"/>
      <c r="I61" s="977"/>
    </row>
    <row r="62" spans="1:12" s="231" customFormat="1">
      <c r="A62" s="982" t="s">
        <v>1258</v>
      </c>
      <c r="B62" s="982"/>
      <c r="C62" s="982"/>
      <c r="D62" s="982"/>
      <c r="E62" s="982"/>
      <c r="F62" s="982"/>
      <c r="G62" s="996"/>
      <c r="H62" s="996"/>
      <c r="I62" s="740"/>
    </row>
    <row r="63" spans="1:12" s="231" customFormat="1">
      <c r="A63" s="995" t="s">
        <v>1259</v>
      </c>
      <c r="B63" s="995"/>
      <c r="C63" s="995"/>
      <c r="D63" s="995"/>
      <c r="E63" s="995"/>
      <c r="F63" s="995"/>
      <c r="G63" s="996"/>
      <c r="H63" s="996"/>
      <c r="I63" s="740"/>
    </row>
    <row r="64" spans="1:12" s="231" customFormat="1">
      <c r="A64" s="995" t="s">
        <v>1259</v>
      </c>
      <c r="B64" s="995"/>
      <c r="C64" s="995"/>
      <c r="D64" s="995"/>
      <c r="E64" s="995"/>
      <c r="F64" s="995"/>
      <c r="G64" s="996"/>
      <c r="H64" s="996"/>
      <c r="I64" s="740"/>
    </row>
    <row r="65" spans="1:9" s="231" customFormat="1">
      <c r="A65" s="982" t="s">
        <v>1260</v>
      </c>
      <c r="B65" s="982"/>
      <c r="C65" s="982"/>
      <c r="D65" s="982"/>
      <c r="E65" s="982"/>
      <c r="F65" s="982"/>
      <c r="G65" s="977">
        <f>SUM(G66:H67)</f>
        <v>0</v>
      </c>
      <c r="H65" s="977"/>
      <c r="I65" s="740">
        <f>SUM(I66:I67)</f>
        <v>0</v>
      </c>
    </row>
    <row r="66" spans="1:9" s="231" customFormat="1">
      <c r="A66" s="978" t="s">
        <v>1261</v>
      </c>
      <c r="B66" s="978"/>
      <c r="C66" s="978"/>
      <c r="D66" s="978"/>
      <c r="E66" s="978"/>
      <c r="F66" s="978"/>
      <c r="G66" s="977">
        <f>'TT-02'!E65</f>
        <v>0</v>
      </c>
      <c r="H66" s="977"/>
      <c r="I66" s="740">
        <f>'TT-02'!E66</f>
        <v>0</v>
      </c>
    </row>
    <row r="67" spans="1:9" s="231" customFormat="1">
      <c r="A67" s="978" t="s">
        <v>1262</v>
      </c>
      <c r="B67" s="978"/>
      <c r="C67" s="978"/>
      <c r="D67" s="978"/>
      <c r="E67" s="978"/>
      <c r="F67" s="978"/>
      <c r="G67" s="977"/>
      <c r="H67" s="977"/>
      <c r="I67" s="740"/>
    </row>
    <row r="68" spans="1:9" s="231" customFormat="1">
      <c r="A68" s="982" t="s">
        <v>1263</v>
      </c>
      <c r="B68" s="982"/>
      <c r="C68" s="982"/>
      <c r="D68" s="982"/>
      <c r="E68" s="982"/>
      <c r="F68" s="982"/>
      <c r="G68" s="992">
        <f>+G59+G65</f>
        <v>-53750075.437787563</v>
      </c>
      <c r="H68" s="992"/>
      <c r="I68" s="742">
        <f>+I60-I62+I65</f>
        <v>0</v>
      </c>
    </row>
    <row r="69" spans="1:9" s="231" customFormat="1">
      <c r="A69" s="982"/>
      <c r="B69" s="982"/>
      <c r="C69" s="982"/>
      <c r="D69" s="982"/>
      <c r="E69" s="982"/>
      <c r="F69" s="982"/>
      <c r="G69" s="977" t="s">
        <v>261</v>
      </c>
      <c r="H69" s="977"/>
      <c r="I69" s="740" t="s">
        <v>262</v>
      </c>
    </row>
    <row r="70" spans="1:9" s="231" customFormat="1">
      <c r="A70" s="982" t="s">
        <v>1264</v>
      </c>
      <c r="B70" s="982"/>
      <c r="C70" s="982"/>
      <c r="D70" s="982"/>
      <c r="E70" s="982"/>
      <c r="F70" s="982"/>
      <c r="G70" s="977"/>
      <c r="H70" s="977"/>
      <c r="I70" s="743"/>
    </row>
    <row r="71" spans="1:9" s="231" customFormat="1">
      <c r="A71" s="982" t="s">
        <v>1265</v>
      </c>
      <c r="B71" s="982"/>
      <c r="C71" s="982"/>
      <c r="D71" s="982"/>
      <c r="E71" s="982"/>
      <c r="F71" s="982"/>
      <c r="G71" s="997"/>
      <c r="H71" s="997"/>
      <c r="I71" s="744"/>
    </row>
    <row r="72" spans="1:9" s="231" customFormat="1">
      <c r="A72" s="282"/>
      <c r="B72" s="282"/>
      <c r="C72" s="282"/>
      <c r="D72" s="282"/>
      <c r="E72" s="282"/>
      <c r="F72" s="282"/>
      <c r="G72" s="282"/>
      <c r="H72" s="282"/>
      <c r="I72" s="282"/>
    </row>
    <row r="73" spans="1:9" s="231" customFormat="1">
      <c r="A73" s="275"/>
    </row>
    <row r="74" spans="1:9" s="231" customFormat="1">
      <c r="A74" s="275"/>
    </row>
    <row r="75" spans="1:9" s="231" customFormat="1">
      <c r="A75" s="279" t="s">
        <v>1266</v>
      </c>
      <c r="E75" s="279" t="s">
        <v>1090</v>
      </c>
    </row>
    <row r="76" spans="1:9" s="231" customFormat="1">
      <c r="A76" s="275"/>
    </row>
    <row r="77" spans="1:9" s="231" customFormat="1">
      <c r="A77" s="283" t="str">
        <f>CONCATENATE("Дарга/Захирал/: . . . . . . . . . ",[3]Company!C25)</f>
        <v>Дарга/Захирал/: . . . . . . . . . /Д.Бахдамдэмбэрэл /</v>
      </c>
      <c r="B77" s="275"/>
      <c r="E77" s="275" t="s">
        <v>1267</v>
      </c>
    </row>
    <row r="78" spans="1:9" s="231" customFormat="1">
      <c r="A78" s="275"/>
    </row>
    <row r="79" spans="1:9" s="231" customFormat="1">
      <c r="A79" s="275" t="str">
        <f>+[3]Tax_1!B104</f>
        <v>Ерөнхий нягтлан бодогч: . . . . . . . . . . . . . . /Б.Түмэндэлгэр/</v>
      </c>
    </row>
    <row r="80" spans="1:9" s="231" customFormat="1">
      <c r="A80" s="275" t="s">
        <v>1010</v>
      </c>
    </row>
    <row r="81" spans="1:17">
      <c r="A81" s="275" t="s">
        <v>1268</v>
      </c>
      <c r="E81" s="275" t="s">
        <v>298</v>
      </c>
      <c r="F81" s="275" t="s">
        <v>1269</v>
      </c>
    </row>
    <row r="82" spans="1:17">
      <c r="A82" s="275"/>
    </row>
    <row r="83" spans="1:17">
      <c r="A83" s="275" t="s">
        <v>298</v>
      </c>
      <c r="B83" s="275" t="str">
        <f>+'company '!C23</f>
        <v>2017.01.01-2017.12.31</v>
      </c>
    </row>
    <row r="84" spans="1:17">
      <c r="A84" s="277"/>
    </row>
    <row r="87" spans="1:17">
      <c r="I87" s="80"/>
    </row>
    <row r="88" spans="1:17">
      <c r="I88" s="80"/>
    </row>
    <row r="93" spans="1:17">
      <c r="Q93" s="88"/>
    </row>
  </sheetData>
  <sheetProtection password="DFC0" sheet="1" objects="1" scenarios="1"/>
  <mergeCells count="124">
    <mergeCell ref="A70:F70"/>
    <mergeCell ref="G70:H70"/>
    <mergeCell ref="A71:F71"/>
    <mergeCell ref="G71:H71"/>
    <mergeCell ref="A67:F67"/>
    <mergeCell ref="G67:H67"/>
    <mergeCell ref="A68:F68"/>
    <mergeCell ref="G68:H68"/>
    <mergeCell ref="A69:F69"/>
    <mergeCell ref="G69:H69"/>
    <mergeCell ref="A64:F64"/>
    <mergeCell ref="G64:H64"/>
    <mergeCell ref="A65:F65"/>
    <mergeCell ref="G65:H65"/>
    <mergeCell ref="A66:F66"/>
    <mergeCell ref="G66:H66"/>
    <mergeCell ref="I60:I61"/>
    <mergeCell ref="A61:F61"/>
    <mergeCell ref="A62:F62"/>
    <mergeCell ref="G62:H62"/>
    <mergeCell ref="A63:F63"/>
    <mergeCell ref="G63:H63"/>
    <mergeCell ref="A58:F58"/>
    <mergeCell ref="G58:H58"/>
    <mergeCell ref="A59:F59"/>
    <mergeCell ref="G59:H59"/>
    <mergeCell ref="A60:F60"/>
    <mergeCell ref="G60:H61"/>
    <mergeCell ref="A55:F55"/>
    <mergeCell ref="G55:H56"/>
    <mergeCell ref="I55:I56"/>
    <mergeCell ref="A56:F56"/>
    <mergeCell ref="A57:F57"/>
    <mergeCell ref="G57:H57"/>
    <mergeCell ref="B52:C52"/>
    <mergeCell ref="D52:F52"/>
    <mergeCell ref="G52:H52"/>
    <mergeCell ref="A53:F54"/>
    <mergeCell ref="G53:H53"/>
    <mergeCell ref="I53:I54"/>
    <mergeCell ref="G54:H54"/>
    <mergeCell ref="B50:C50"/>
    <mergeCell ref="D50:F50"/>
    <mergeCell ref="G50:H50"/>
    <mergeCell ref="B51:C51"/>
    <mergeCell ref="D51:F51"/>
    <mergeCell ref="G51:H51"/>
    <mergeCell ref="B48:C48"/>
    <mergeCell ref="D48:F48"/>
    <mergeCell ref="G48:H48"/>
    <mergeCell ref="B49:C49"/>
    <mergeCell ref="D49:F49"/>
    <mergeCell ref="G49:H49"/>
    <mergeCell ref="A46:A47"/>
    <mergeCell ref="B46:C46"/>
    <mergeCell ref="D46:F47"/>
    <mergeCell ref="G46:H47"/>
    <mergeCell ref="I46:I47"/>
    <mergeCell ref="B47:C47"/>
    <mergeCell ref="B42:G42"/>
    <mergeCell ref="H42:I42"/>
    <mergeCell ref="B43:G43"/>
    <mergeCell ref="H43:I43"/>
    <mergeCell ref="B44:I44"/>
    <mergeCell ref="B45:C45"/>
    <mergeCell ref="D45:F45"/>
    <mergeCell ref="G45:H45"/>
    <mergeCell ref="C39:D39"/>
    <mergeCell ref="F39:G39"/>
    <mergeCell ref="H39:I39"/>
    <mergeCell ref="B40:G40"/>
    <mergeCell ref="H40:I40"/>
    <mergeCell ref="B41:G41"/>
    <mergeCell ref="H41:I41"/>
    <mergeCell ref="C37:D37"/>
    <mergeCell ref="F37:G37"/>
    <mergeCell ref="H37:I37"/>
    <mergeCell ref="C38:D38"/>
    <mergeCell ref="F38:G38"/>
    <mergeCell ref="H38:I38"/>
    <mergeCell ref="C35:D35"/>
    <mergeCell ref="F35:G35"/>
    <mergeCell ref="H35:I35"/>
    <mergeCell ref="C36:D36"/>
    <mergeCell ref="F36:G36"/>
    <mergeCell ref="H36:I36"/>
    <mergeCell ref="C33:D33"/>
    <mergeCell ref="F33:G33"/>
    <mergeCell ref="H33:I33"/>
    <mergeCell ref="C34:D34"/>
    <mergeCell ref="F34:G34"/>
    <mergeCell ref="H34:I34"/>
    <mergeCell ref="C31:D31"/>
    <mergeCell ref="F31:G31"/>
    <mergeCell ref="H31:I31"/>
    <mergeCell ref="C32:D32"/>
    <mergeCell ref="F32:G32"/>
    <mergeCell ref="H32:I32"/>
    <mergeCell ref="C29:D29"/>
    <mergeCell ref="F29:G29"/>
    <mergeCell ref="H29:I29"/>
    <mergeCell ref="C30:D30"/>
    <mergeCell ref="F30:G30"/>
    <mergeCell ref="H30:I30"/>
    <mergeCell ref="C27:D27"/>
    <mergeCell ref="F27:G27"/>
    <mergeCell ref="H27:I27"/>
    <mergeCell ref="C28:D28"/>
    <mergeCell ref="F28:G28"/>
    <mergeCell ref="H28:I28"/>
    <mergeCell ref="C24:D24"/>
    <mergeCell ref="F24:G24"/>
    <mergeCell ref="H24:I24"/>
    <mergeCell ref="A25:A26"/>
    <mergeCell ref="C25:D26"/>
    <mergeCell ref="E25:E26"/>
    <mergeCell ref="F25:G26"/>
    <mergeCell ref="H25:I26"/>
    <mergeCell ref="A5:I5"/>
    <mergeCell ref="A6:I6"/>
    <mergeCell ref="A21:F21"/>
    <mergeCell ref="G21:I21"/>
    <mergeCell ref="B22:I22"/>
    <mergeCell ref="B23:I23"/>
  </mergeCells>
  <pageMargins left="0.6" right="0.47" top="0.75" bottom="0.75" header="0.3" footer="0.3"/>
  <pageSetup paperSize="9" scale="78" fitToHeight="0" orientation="portrait" horizontalDpi="0" verticalDpi="0" r:id="rId1"/>
</worksheet>
</file>

<file path=xl/worksheets/sheet23.xml><?xml version="1.0" encoding="utf-8"?>
<worksheet xmlns="http://schemas.openxmlformats.org/spreadsheetml/2006/main" xmlns:r="http://schemas.openxmlformats.org/officeDocument/2006/relationships">
  <sheetPr>
    <pageSetUpPr fitToPage="1"/>
  </sheetPr>
  <dimension ref="A1:M171"/>
  <sheetViews>
    <sheetView topLeftCell="A53" workbookViewId="0">
      <selection activeCell="I66" sqref="I66"/>
    </sheetView>
  </sheetViews>
  <sheetFormatPr defaultRowHeight="12" outlineLevelCol="1"/>
  <cols>
    <col min="1" max="1" width="3.28515625" style="262" customWidth="1"/>
    <col min="2" max="2" width="59.28515625" style="262" customWidth="1"/>
    <col min="3" max="3" width="5.5703125" style="264" customWidth="1"/>
    <col min="4" max="5" width="14" style="264" hidden="1" customWidth="1" outlineLevel="1"/>
    <col min="6" max="6" width="16.42578125" style="264" hidden="1" customWidth="1" outlineLevel="1"/>
    <col min="7" max="7" width="15" style="265" hidden="1" customWidth="1" outlineLevel="1"/>
    <col min="8" max="8" width="14.140625" style="262" customWidth="1" collapsed="1"/>
    <col min="9" max="9" width="15" style="262" bestFit="1" customWidth="1"/>
    <col min="10" max="10" width="15.5703125" style="262" bestFit="1" customWidth="1"/>
    <col min="11" max="12" width="15" style="262" bestFit="1" customWidth="1"/>
    <col min="13" max="16384" width="9.140625" style="262"/>
  </cols>
  <sheetData>
    <row r="1" spans="1:10" ht="12.75">
      <c r="A1" s="342"/>
      <c r="B1" s="489" t="s">
        <v>2174</v>
      </c>
      <c r="C1" s="490"/>
      <c r="D1" s="490"/>
      <c r="E1" s="490"/>
      <c r="F1" s="490"/>
      <c r="G1" s="491"/>
      <c r="H1" s="342"/>
      <c r="I1" s="263"/>
      <c r="J1" s="263"/>
    </row>
    <row r="2" spans="1:10" ht="12.75">
      <c r="A2" s="342"/>
      <c r="B2" s="342"/>
      <c r="C2" s="490"/>
      <c r="D2" s="490"/>
      <c r="E2" s="490"/>
      <c r="F2" s="490"/>
      <c r="G2" s="491"/>
      <c r="H2" s="342"/>
      <c r="I2" s="263"/>
      <c r="J2" s="263"/>
    </row>
    <row r="3" spans="1:10" ht="12.75">
      <c r="A3" s="342"/>
      <c r="B3" s="342"/>
      <c r="C3" s="490"/>
      <c r="D3" s="490"/>
      <c r="E3" s="490"/>
      <c r="F3" s="490"/>
      <c r="G3" s="491"/>
      <c r="H3" s="342"/>
      <c r="I3" s="263"/>
      <c r="J3" s="263"/>
    </row>
    <row r="4" spans="1:10" ht="12.75">
      <c r="A4" s="489" t="s">
        <v>2175</v>
      </c>
      <c r="B4" s="489"/>
      <c r="C4" s="490"/>
      <c r="D4" s="490"/>
      <c r="E4" s="490"/>
      <c r="F4" s="490"/>
      <c r="G4" s="491"/>
      <c r="H4" s="342"/>
      <c r="I4" s="263"/>
      <c r="J4" s="263"/>
    </row>
    <row r="5" spans="1:10" ht="12.75">
      <c r="A5" s="342"/>
      <c r="B5" s="342"/>
      <c r="C5" s="490"/>
      <c r="D5" s="490"/>
      <c r="E5" s="490"/>
      <c r="F5" s="490"/>
      <c r="G5" s="491"/>
      <c r="H5" s="342"/>
      <c r="I5" s="263"/>
      <c r="J5" s="263"/>
    </row>
    <row r="6" spans="1:10" ht="12.75">
      <c r="A6" s="998" t="s">
        <v>2176</v>
      </c>
      <c r="B6" s="998"/>
      <c r="C6" s="998"/>
      <c r="D6" s="998"/>
      <c r="E6" s="998"/>
      <c r="F6" s="998"/>
      <c r="G6" s="998"/>
      <c r="H6" s="998"/>
      <c r="I6" s="263"/>
      <c r="J6" s="263"/>
    </row>
    <row r="7" spans="1:10" ht="12.75">
      <c r="A7" s="342"/>
      <c r="B7" s="342"/>
      <c r="C7" s="490"/>
      <c r="D7" s="490"/>
      <c r="E7" s="490"/>
      <c r="F7" s="490"/>
      <c r="G7" s="491"/>
      <c r="H7" s="342"/>
      <c r="I7" s="263"/>
      <c r="J7" s="263"/>
    </row>
    <row r="8" spans="1:10" ht="12.75">
      <c r="A8" s="492" t="s">
        <v>1</v>
      </c>
      <c r="B8" s="492" t="s">
        <v>2177</v>
      </c>
      <c r="C8" s="493" t="s">
        <v>2178</v>
      </c>
      <c r="D8" s="493" t="s">
        <v>2179</v>
      </c>
      <c r="E8" s="493" t="s">
        <v>2180</v>
      </c>
      <c r="F8" s="493" t="s">
        <v>2181</v>
      </c>
      <c r="G8" s="493" t="s">
        <v>2182</v>
      </c>
      <c r="H8" s="492" t="s">
        <v>316</v>
      </c>
      <c r="I8" s="263"/>
      <c r="J8" s="263"/>
    </row>
    <row r="9" spans="1:10" ht="12.75">
      <c r="A9" s="494">
        <v>1</v>
      </c>
      <c r="B9" s="494" t="s">
        <v>2183</v>
      </c>
      <c r="C9" s="495"/>
      <c r="D9" s="518">
        <f>+STAT1!H58</f>
        <v>107045997.82273898</v>
      </c>
      <c r="E9" s="518">
        <f>+D18</f>
        <v>289076361.34848863</v>
      </c>
      <c r="F9" s="518">
        <f>+E18</f>
        <v>419277656.14853746</v>
      </c>
      <c r="G9" s="518">
        <f>+F18</f>
        <v>440310315.00711465</v>
      </c>
      <c r="H9" s="570">
        <f>+D9</f>
        <v>107045997.82273898</v>
      </c>
      <c r="I9" s="263"/>
      <c r="J9" s="263"/>
    </row>
    <row r="10" spans="1:10" ht="12.75">
      <c r="A10" s="494">
        <v>2</v>
      </c>
      <c r="B10" s="494" t="s">
        <v>2184</v>
      </c>
      <c r="C10" s="495"/>
      <c r="D10" s="518">
        <f>+D11+D12+D13+D14-D15</f>
        <v>246741727.52779275</v>
      </c>
      <c r="E10" s="518">
        <f>+E11+E12+E13+E14-E15</f>
        <v>178934565.50260496</v>
      </c>
      <c r="F10" s="518">
        <f>+F11+F12+F13+F14-F15</f>
        <v>213546549.91166121</v>
      </c>
      <c r="G10" s="518">
        <f>+G11+G12+G13+G14-G15</f>
        <v>174169554.96133316</v>
      </c>
      <c r="H10" s="518">
        <f>+H11+H12+H13+H14-H15</f>
        <v>813392397.90339208</v>
      </c>
      <c r="I10" s="263"/>
      <c r="J10" s="263"/>
    </row>
    <row r="11" spans="1:10" ht="12.75">
      <c r="A11" s="494">
        <v>2.1</v>
      </c>
      <c r="B11" s="494" t="s">
        <v>2185</v>
      </c>
      <c r="C11" s="495"/>
      <c r="D11" s="518"/>
      <c r="E11" s="518"/>
      <c r="F11" s="518"/>
      <c r="G11" s="518"/>
      <c r="H11" s="570">
        <f t="shared" ref="H11:H16" si="0">SUM(D11:G11)</f>
        <v>0</v>
      </c>
      <c r="I11" s="263"/>
      <c r="J11" s="263"/>
    </row>
    <row r="12" spans="1:10" ht="12.75">
      <c r="A12" s="494">
        <v>2.2000000000000002</v>
      </c>
      <c r="B12" s="494" t="s">
        <v>2186</v>
      </c>
      <c r="C12" s="495"/>
      <c r="D12" s="518">
        <f>+STAT1!J38+STAT1!J50</f>
        <v>190723765.41452003</v>
      </c>
      <c r="E12" s="518">
        <f>+STAT2!J38+STAT2!J50</f>
        <v>131520539.86260495</v>
      </c>
      <c r="F12" s="518">
        <f>+STAT3!J38+STAT3!J50</f>
        <v>143474393.41663051</v>
      </c>
      <c r="G12" s="518">
        <f>+STAT4!J38+STAT4!J50</f>
        <v>110049889.43922472</v>
      </c>
      <c r="H12" s="570">
        <f>SUM(D12:G12)</f>
        <v>575768588.13298023</v>
      </c>
      <c r="I12" s="263"/>
      <c r="J12" s="263"/>
    </row>
    <row r="13" spans="1:10" ht="12.75">
      <c r="A13" s="494">
        <v>2.2999999999999998</v>
      </c>
      <c r="B13" s="494" t="s">
        <v>2187</v>
      </c>
      <c r="C13" s="495"/>
      <c r="D13" s="518">
        <f>+STAT1!J41+STAT1!J52</f>
        <v>0</v>
      </c>
      <c r="E13" s="518">
        <f>+STAT2!J41+STAT2!J52</f>
        <v>0</v>
      </c>
      <c r="F13" s="518">
        <f>+STAT3!J41+STAT3!J52</f>
        <v>18446754.600000001</v>
      </c>
      <c r="G13" s="518">
        <f>+STAT4!J41+STAT4!J52</f>
        <v>23394921.960000001</v>
      </c>
      <c r="H13" s="570">
        <f>SUM(D13:G13)</f>
        <v>41841676.560000002</v>
      </c>
      <c r="I13" s="263"/>
      <c r="J13" s="263"/>
    </row>
    <row r="14" spans="1:10" ht="12.75">
      <c r="A14" s="494">
        <v>2.4</v>
      </c>
      <c r="B14" s="494" t="s">
        <v>2188</v>
      </c>
      <c r="C14" s="495"/>
      <c r="D14" s="518">
        <f>+STAT1!J44+STAT1!J54</f>
        <v>56017962.113272727</v>
      </c>
      <c r="E14" s="518">
        <f>+STAT2!J44+STAT2!J54</f>
        <v>47414025.640000001</v>
      </c>
      <c r="F14" s="518">
        <f>+STAT3!J44+STAT3!J54</f>
        <v>51625401.895030692</v>
      </c>
      <c r="G14" s="518">
        <f>+STAT4!J44+STAT4!J54</f>
        <v>40724743.562108442</v>
      </c>
      <c r="H14" s="570">
        <f>SUM(D14:G14)</f>
        <v>195782133.21041185</v>
      </c>
      <c r="I14" s="263"/>
      <c r="J14" s="263"/>
    </row>
    <row r="15" spans="1:10" ht="12.75">
      <c r="A15" s="494">
        <v>2.5</v>
      </c>
      <c r="B15" s="494" t="s">
        <v>2189</v>
      </c>
      <c r="C15" s="495"/>
      <c r="D15" s="518"/>
      <c r="E15" s="518"/>
      <c r="F15" s="518"/>
      <c r="G15" s="518"/>
      <c r="H15" s="570">
        <f t="shared" si="0"/>
        <v>0</v>
      </c>
      <c r="I15" s="263"/>
      <c r="J15" s="263"/>
    </row>
    <row r="16" spans="1:10" ht="12.75">
      <c r="A16" s="494">
        <v>3</v>
      </c>
      <c r="B16" s="494" t="s">
        <v>2190</v>
      </c>
      <c r="C16" s="495"/>
      <c r="D16" s="518">
        <f>+STAT1!J50</f>
        <v>0</v>
      </c>
      <c r="E16" s="518">
        <f>+STAT2!J50</f>
        <v>0</v>
      </c>
      <c r="F16" s="518">
        <f>+STAT3!J50</f>
        <v>53266757.986630484</v>
      </c>
      <c r="G16" s="518">
        <f>+STAT4!J50</f>
        <v>27211786.409949657</v>
      </c>
      <c r="H16" s="570">
        <f t="shared" si="0"/>
        <v>80478544.396580145</v>
      </c>
      <c r="I16" s="263"/>
      <c r="J16" s="263"/>
    </row>
    <row r="17" spans="1:10" ht="12.75" customHeight="1">
      <c r="A17" s="494">
        <v>4</v>
      </c>
      <c r="B17" s="494" t="s">
        <v>2191</v>
      </c>
      <c r="C17" s="495"/>
      <c r="D17" s="518">
        <f>+D9+D10-D16</f>
        <v>353787725.3505317</v>
      </c>
      <c r="E17" s="518">
        <f>+E9+E10-E16</f>
        <v>468010926.85109359</v>
      </c>
      <c r="F17" s="518">
        <f>+F9+F10-F16</f>
        <v>579557448.07356822</v>
      </c>
      <c r="G17" s="518">
        <f t="shared" ref="G17:H17" si="1">+G9+G10-G16</f>
        <v>587268083.55849814</v>
      </c>
      <c r="H17" s="518">
        <f t="shared" si="1"/>
        <v>839959851.32955098</v>
      </c>
      <c r="I17" s="263"/>
      <c r="J17" s="263"/>
    </row>
    <row r="18" spans="1:10" ht="12.75">
      <c r="A18" s="494">
        <v>5</v>
      </c>
      <c r="B18" s="494" t="s">
        <v>2192</v>
      </c>
      <c r="C18" s="495"/>
      <c r="D18" s="518">
        <f>+STAT1!V58</f>
        <v>289076361.34848863</v>
      </c>
      <c r="E18" s="518">
        <f>+STAT2!V58</f>
        <v>419277656.14853746</v>
      </c>
      <c r="F18" s="707">
        <f>+STAT3!V58</f>
        <v>440310315.00711465</v>
      </c>
      <c r="G18" s="518">
        <f>+STAT4!V58</f>
        <v>529308218.76853788</v>
      </c>
      <c r="H18" s="570">
        <f>+G18</f>
        <v>529308218.76853788</v>
      </c>
      <c r="I18" s="263"/>
      <c r="J18" s="263"/>
    </row>
    <row r="19" spans="1:10" ht="12.75">
      <c r="A19" s="494">
        <v>6</v>
      </c>
      <c r="B19" s="494" t="s">
        <v>2193</v>
      </c>
      <c r="C19" s="495"/>
      <c r="D19" s="518">
        <f>+D17-D18</f>
        <v>64711364.002043068</v>
      </c>
      <c r="E19" s="518">
        <f t="shared" ref="E19:G19" si="2">+E17-E18</f>
        <v>48733270.702556133</v>
      </c>
      <c r="F19" s="518">
        <f t="shared" si="2"/>
        <v>139247133.06645358</v>
      </c>
      <c r="G19" s="518">
        <f t="shared" si="2"/>
        <v>57959864.789960265</v>
      </c>
      <c r="H19" s="518">
        <f>+H17-H18</f>
        <v>310651632.5610131</v>
      </c>
      <c r="I19" s="263"/>
      <c r="J19" s="263"/>
    </row>
    <row r="20" spans="1:10" ht="12.75">
      <c r="A20" s="342"/>
      <c r="B20" s="342"/>
      <c r="C20" s="490"/>
      <c r="D20" s="519"/>
      <c r="E20" s="569"/>
      <c r="F20" s="569"/>
      <c r="G20" s="491"/>
      <c r="H20" s="342"/>
      <c r="I20" s="263"/>
      <c r="J20" s="263"/>
    </row>
    <row r="21" spans="1:10" ht="12.75">
      <c r="A21" s="342"/>
      <c r="B21" s="342"/>
      <c r="C21" s="490"/>
      <c r="D21" s="519"/>
      <c r="E21" s="519"/>
      <c r="F21" s="519"/>
      <c r="G21" s="519"/>
      <c r="H21" s="342"/>
      <c r="I21" s="263"/>
      <c r="J21" s="263"/>
    </row>
    <row r="22" spans="1:10" ht="12.75">
      <c r="A22" s="998" t="s">
        <v>2194</v>
      </c>
      <c r="B22" s="998"/>
      <c r="C22" s="998"/>
      <c r="D22" s="998"/>
      <c r="E22" s="998"/>
      <c r="F22" s="998"/>
      <c r="G22" s="998"/>
      <c r="H22" s="998"/>
      <c r="I22" s="263"/>
      <c r="J22" s="263"/>
    </row>
    <row r="23" spans="1:10" ht="12.75">
      <c r="A23" s="342"/>
      <c r="B23" s="342"/>
      <c r="C23" s="490"/>
      <c r="D23" s="490"/>
      <c r="E23" s="490"/>
      <c r="F23" s="490"/>
      <c r="G23" s="491"/>
      <c r="H23" s="342"/>
      <c r="I23" s="263"/>
      <c r="J23" s="263"/>
    </row>
    <row r="24" spans="1:10" ht="12.75">
      <c r="A24" s="492" t="s">
        <v>1</v>
      </c>
      <c r="B24" s="492" t="s">
        <v>2177</v>
      </c>
      <c r="C24" s="493" t="s">
        <v>2178</v>
      </c>
      <c r="D24" s="493" t="s">
        <v>2179</v>
      </c>
      <c r="E24" s="493" t="s">
        <v>2180</v>
      </c>
      <c r="F24" s="493" t="s">
        <v>2181</v>
      </c>
      <c r="G24" s="493" t="s">
        <v>2182</v>
      </c>
      <c r="H24" s="492" t="s">
        <v>316</v>
      </c>
      <c r="I24" s="263"/>
      <c r="J24" s="263"/>
    </row>
    <row r="25" spans="1:10" ht="12.75">
      <c r="A25" s="494">
        <v>1</v>
      </c>
      <c r="B25" s="494" t="s">
        <v>2195</v>
      </c>
      <c r="C25" s="495"/>
      <c r="D25" s="495"/>
      <c r="E25" s="495"/>
      <c r="F25" s="495"/>
      <c r="G25" s="496"/>
      <c r="H25" s="494">
        <f t="shared" ref="H25:H38" si="3">SUM(D25:G25)</f>
        <v>0</v>
      </c>
      <c r="I25" s="263"/>
      <c r="J25" s="263"/>
    </row>
    <row r="26" spans="1:10" ht="12.75">
      <c r="A26" s="494">
        <v>2</v>
      </c>
      <c r="B26" s="494" t="s">
        <v>2196</v>
      </c>
      <c r="C26" s="495"/>
      <c r="D26" s="495"/>
      <c r="E26" s="495"/>
      <c r="F26" s="495"/>
      <c r="G26" s="496"/>
      <c r="H26" s="494">
        <f t="shared" si="3"/>
        <v>0</v>
      </c>
      <c r="I26" s="263"/>
      <c r="J26" s="263"/>
    </row>
    <row r="27" spans="1:10" ht="12.75">
      <c r="A27" s="494">
        <v>2.1</v>
      </c>
      <c r="B27" s="494" t="s">
        <v>2197</v>
      </c>
      <c r="C27" s="495"/>
      <c r="D27" s="495"/>
      <c r="E27" s="495"/>
      <c r="F27" s="495"/>
      <c r="G27" s="496"/>
      <c r="H27" s="494">
        <f t="shared" si="3"/>
        <v>0</v>
      </c>
      <c r="I27" s="263"/>
      <c r="J27" s="263"/>
    </row>
    <row r="28" spans="1:10" ht="12.75">
      <c r="A28" s="494">
        <v>2.2000000000000002</v>
      </c>
      <c r="B28" s="494" t="s">
        <v>2198</v>
      </c>
      <c r="C28" s="495"/>
      <c r="D28" s="495"/>
      <c r="E28" s="495"/>
      <c r="F28" s="495"/>
      <c r="G28" s="496"/>
      <c r="H28" s="494">
        <f t="shared" si="3"/>
        <v>0</v>
      </c>
      <c r="I28" s="263"/>
      <c r="J28" s="263"/>
    </row>
    <row r="29" spans="1:10" ht="12.75">
      <c r="A29" s="494" t="s">
        <v>224</v>
      </c>
      <c r="B29" s="494" t="s">
        <v>2199</v>
      </c>
      <c r="C29" s="495"/>
      <c r="D29" s="495"/>
      <c r="E29" s="495"/>
      <c r="F29" s="495"/>
      <c r="G29" s="496"/>
      <c r="H29" s="494">
        <f t="shared" si="3"/>
        <v>0</v>
      </c>
      <c r="I29" s="263"/>
      <c r="J29" s="263"/>
    </row>
    <row r="30" spans="1:10" ht="12.75">
      <c r="A30" s="494" t="s">
        <v>226</v>
      </c>
      <c r="B30" s="494" t="s">
        <v>2200</v>
      </c>
      <c r="C30" s="495"/>
      <c r="D30" s="495"/>
      <c r="E30" s="495"/>
      <c r="F30" s="495"/>
      <c r="G30" s="496"/>
      <c r="H30" s="494">
        <f t="shared" si="3"/>
        <v>0</v>
      </c>
      <c r="I30" s="263"/>
      <c r="J30" s="263"/>
    </row>
    <row r="31" spans="1:10" ht="12.75">
      <c r="A31" s="494" t="s">
        <v>228</v>
      </c>
      <c r="B31" s="494" t="s">
        <v>2201</v>
      </c>
      <c r="C31" s="495"/>
      <c r="D31" s="495"/>
      <c r="E31" s="495"/>
      <c r="F31" s="495"/>
      <c r="G31" s="496"/>
      <c r="H31" s="494">
        <f t="shared" si="3"/>
        <v>0</v>
      </c>
      <c r="I31" s="263"/>
      <c r="J31" s="263"/>
    </row>
    <row r="32" spans="1:10" ht="12.75">
      <c r="A32" s="494" t="s">
        <v>230</v>
      </c>
      <c r="B32" s="494" t="s">
        <v>2202</v>
      </c>
      <c r="C32" s="495"/>
      <c r="D32" s="495"/>
      <c r="E32" s="495"/>
      <c r="F32" s="495"/>
      <c r="G32" s="496"/>
      <c r="H32" s="494">
        <f t="shared" si="3"/>
        <v>0</v>
      </c>
      <c r="I32" s="263"/>
      <c r="J32" s="263"/>
    </row>
    <row r="33" spans="1:13" ht="12.75" customHeight="1">
      <c r="A33" s="494" t="s">
        <v>232</v>
      </c>
      <c r="B33" s="494" t="s">
        <v>2203</v>
      </c>
      <c r="C33" s="495"/>
      <c r="D33" s="495"/>
      <c r="E33" s="495"/>
      <c r="F33" s="495"/>
      <c r="G33" s="496"/>
      <c r="H33" s="494">
        <f t="shared" si="3"/>
        <v>0</v>
      </c>
      <c r="I33" s="263"/>
      <c r="J33" s="263"/>
    </row>
    <row r="34" spans="1:13" ht="12.75">
      <c r="A34" s="494">
        <v>2.2999999999999998</v>
      </c>
      <c r="B34" s="494" t="s">
        <v>2204</v>
      </c>
      <c r="C34" s="495"/>
      <c r="D34" s="495"/>
      <c r="E34" s="495"/>
      <c r="F34" s="495"/>
      <c r="G34" s="496"/>
      <c r="H34" s="494">
        <f t="shared" si="3"/>
        <v>0</v>
      </c>
      <c r="I34" s="263"/>
      <c r="J34" s="263"/>
    </row>
    <row r="35" spans="1:13" ht="12.75">
      <c r="A35" s="494">
        <v>2.4</v>
      </c>
      <c r="B35" s="494" t="s">
        <v>2205</v>
      </c>
      <c r="C35" s="495"/>
      <c r="D35" s="495"/>
      <c r="E35" s="495"/>
      <c r="F35" s="495"/>
      <c r="G35" s="496"/>
      <c r="H35" s="494">
        <f t="shared" si="3"/>
        <v>0</v>
      </c>
      <c r="I35" s="263"/>
      <c r="J35" s="263"/>
    </row>
    <row r="36" spans="1:13" ht="12.75">
      <c r="A36" s="494">
        <v>3</v>
      </c>
      <c r="B36" s="494" t="s">
        <v>2206</v>
      </c>
      <c r="C36" s="495"/>
      <c r="D36" s="495"/>
      <c r="E36" s="495"/>
      <c r="F36" s="495"/>
      <c r="G36" s="496"/>
      <c r="H36" s="494">
        <f t="shared" si="3"/>
        <v>0</v>
      </c>
      <c r="I36" s="263"/>
      <c r="J36" s="263"/>
    </row>
    <row r="37" spans="1:13" ht="12.75">
      <c r="A37" s="494">
        <v>4</v>
      </c>
      <c r="B37" s="494" t="s">
        <v>2207</v>
      </c>
      <c r="C37" s="495"/>
      <c r="D37" s="495"/>
      <c r="E37" s="495"/>
      <c r="F37" s="495"/>
      <c r="G37" s="496"/>
      <c r="H37" s="494">
        <f t="shared" si="3"/>
        <v>0</v>
      </c>
      <c r="I37" s="263"/>
      <c r="J37" s="263"/>
    </row>
    <row r="38" spans="1:13" ht="12.75">
      <c r="A38" s="494">
        <v>5</v>
      </c>
      <c r="B38" s="494" t="s">
        <v>2208</v>
      </c>
      <c r="C38" s="495"/>
      <c r="D38" s="495"/>
      <c r="E38" s="495"/>
      <c r="F38" s="495"/>
      <c r="G38" s="496"/>
      <c r="H38" s="494">
        <f t="shared" si="3"/>
        <v>0</v>
      </c>
      <c r="I38" s="263"/>
      <c r="J38" s="263"/>
    </row>
    <row r="39" spans="1:13">
      <c r="A39" s="263"/>
      <c r="B39" s="263"/>
      <c r="H39" s="263"/>
      <c r="I39" s="263"/>
      <c r="J39" s="263"/>
    </row>
    <row r="40" spans="1:13">
      <c r="A40" s="263"/>
      <c r="B40" s="263"/>
      <c r="H40" s="263"/>
      <c r="I40" s="263"/>
      <c r="J40" s="263"/>
    </row>
    <row r="41" spans="1:13" ht="12.75">
      <c r="A41" s="998" t="s">
        <v>2209</v>
      </c>
      <c r="B41" s="998"/>
      <c r="C41" s="998"/>
      <c r="D41" s="998"/>
      <c r="E41" s="998"/>
      <c r="F41" s="998"/>
      <c r="G41" s="998"/>
      <c r="H41" s="998"/>
      <c r="I41" s="263"/>
      <c r="J41" s="263"/>
    </row>
    <row r="42" spans="1:13">
      <c r="A42" s="263"/>
      <c r="B42" s="266"/>
      <c r="C42" s="266"/>
      <c r="D42" s="266"/>
      <c r="E42" s="266"/>
      <c r="F42" s="266"/>
      <c r="G42" s="266"/>
      <c r="H42" s="266"/>
      <c r="I42" s="266"/>
      <c r="J42" s="263"/>
    </row>
    <row r="43" spans="1:13">
      <c r="A43" s="263"/>
      <c r="B43" s="999"/>
      <c r="C43" s="999"/>
      <c r="D43" s="999"/>
      <c r="E43" s="999"/>
      <c r="F43" s="999"/>
      <c r="G43" s="999"/>
      <c r="H43" s="999"/>
      <c r="I43" s="999"/>
      <c r="J43" s="263"/>
    </row>
    <row r="44" spans="1:13">
      <c r="A44" s="263"/>
      <c r="B44" s="263"/>
      <c r="D44" s="267">
        <f>+SUM(STAT1!U155:U204)</f>
        <v>43352142.717030302</v>
      </c>
      <c r="E44" s="265">
        <f>+SUM(STAT2!U155:U204)</f>
        <v>40888396.836118512</v>
      </c>
      <c r="F44" s="408">
        <f>+SUM(STAT3!U155:U204)</f>
        <v>37548796.349846676</v>
      </c>
      <c r="G44" s="265">
        <f>+SUM(STAT4!U155:U204)</f>
        <v>48819133.132727273</v>
      </c>
      <c r="H44" s="268"/>
      <c r="I44" s="263"/>
    </row>
    <row r="45" spans="1:13">
      <c r="B45" s="263"/>
      <c r="D45" s="267">
        <f>+D44-D48</f>
        <v>0</v>
      </c>
      <c r="E45" s="267">
        <f>+E44-E48</f>
        <v>0</v>
      </c>
      <c r="F45" s="267">
        <f>+F44-F48</f>
        <v>0</v>
      </c>
      <c r="G45" s="267">
        <f>+G44-G48</f>
        <v>0</v>
      </c>
      <c r="H45" s="269"/>
      <c r="I45" s="263"/>
      <c r="J45" s="263"/>
    </row>
    <row r="46" spans="1:13" s="264" customFormat="1" ht="12" customHeight="1">
      <c r="A46" s="1002" t="s">
        <v>1016</v>
      </c>
      <c r="B46" s="1002"/>
      <c r="C46" s="1002" t="s">
        <v>1017</v>
      </c>
      <c r="D46" s="708"/>
      <c r="E46" s="708"/>
      <c r="F46" s="708"/>
      <c r="G46" s="709"/>
      <c r="H46" s="1002" t="s">
        <v>1095</v>
      </c>
    </row>
    <row r="47" spans="1:13" s="264" customFormat="1">
      <c r="A47" s="1002"/>
      <c r="B47" s="1002"/>
      <c r="C47" s="1002"/>
      <c r="D47" s="708">
        <v>1</v>
      </c>
      <c r="E47" s="708">
        <v>2</v>
      </c>
      <c r="F47" s="708">
        <v>3</v>
      </c>
      <c r="G47" s="709">
        <v>4</v>
      </c>
      <c r="H47" s="1002"/>
    </row>
    <row r="48" spans="1:13">
      <c r="A48" s="1000" t="s">
        <v>1096</v>
      </c>
      <c r="B48" s="1000"/>
      <c r="C48" s="708">
        <v>1</v>
      </c>
      <c r="D48" s="710">
        <f>SUM(D49:D91)</f>
        <v>43352142.717030302</v>
      </c>
      <c r="E48" s="710">
        <f>SUM(E49:E91)</f>
        <v>40888396.836118519</v>
      </c>
      <c r="F48" s="710">
        <f t="shared" ref="F48:G48" si="4">SUM(F49:F91)</f>
        <v>37548796.349846676</v>
      </c>
      <c r="G48" s="711">
        <f t="shared" si="4"/>
        <v>48819133.132727273</v>
      </c>
      <c r="H48" s="712">
        <f>SUM(H49:H91)</f>
        <v>170608469.03572276</v>
      </c>
      <c r="I48" s="268"/>
      <c r="J48" s="268"/>
      <c r="K48" s="270"/>
      <c r="L48" s="270"/>
      <c r="M48" s="271"/>
    </row>
    <row r="49" spans="1:10" ht="36">
      <c r="A49" s="1001" t="s">
        <v>1097</v>
      </c>
      <c r="B49" s="713" t="s">
        <v>1098</v>
      </c>
      <c r="C49" s="714">
        <v>2</v>
      </c>
      <c r="D49" s="715">
        <f>+STAT1!U157+STAT1!U158+STAT1!U159+STAT1!U170</f>
        <v>1903573.6240000031</v>
      </c>
      <c r="E49" s="715">
        <f>+STAT2!U157+STAT2!U158+STAT2!U159+STAT2!U170</f>
        <v>1401981.5199999996</v>
      </c>
      <c r="F49" s="715">
        <f>+STAT3!U157+STAT3!U158+STAT3!U159+STAT3!U170</f>
        <v>492427.05999999953</v>
      </c>
      <c r="G49" s="716">
        <f>+STAT4!U157+STAT4!U158+STAT4!U159+STAT4!U170</f>
        <v>1030676.4499999996</v>
      </c>
      <c r="H49" s="717">
        <f>SUM(D49:G49)</f>
        <v>4828658.654000002</v>
      </c>
      <c r="I49" s="263"/>
      <c r="J49" s="263"/>
    </row>
    <row r="50" spans="1:10" ht="24">
      <c r="A50" s="1001"/>
      <c r="B50" s="718" t="s">
        <v>1099</v>
      </c>
      <c r="C50" s="714">
        <v>3</v>
      </c>
      <c r="D50" s="710">
        <f>+STAT1!U155</f>
        <v>15000000.003030298</v>
      </c>
      <c r="E50" s="719">
        <f>+STAT2!U155</f>
        <v>11539708.188518517</v>
      </c>
      <c r="F50" s="710">
        <f>+STAT3!U155</f>
        <v>15254613.004761908</v>
      </c>
      <c r="G50" s="716">
        <f>+STAT4!U155</f>
        <v>17199999.99636364</v>
      </c>
      <c r="H50" s="717">
        <f t="shared" ref="H50:H70" si="5">SUM(D50:G50)</f>
        <v>58994321.192674369</v>
      </c>
      <c r="I50" s="263"/>
      <c r="J50" s="263"/>
    </row>
    <row r="51" spans="1:10">
      <c r="A51" s="1001"/>
      <c r="B51" s="718" t="s">
        <v>1100</v>
      </c>
      <c r="C51" s="714">
        <v>4</v>
      </c>
      <c r="D51" s="710">
        <f>+STAT1!U156</f>
        <v>1857600.0000000002</v>
      </c>
      <c r="E51" s="719">
        <f>+STAT2!U156</f>
        <v>1813367.5000000005</v>
      </c>
      <c r="F51" s="710">
        <f>+STAT3!U156</f>
        <v>1828405.2069047624</v>
      </c>
      <c r="G51" s="716">
        <f>+STAT4!U156</f>
        <v>2063999.9963636366</v>
      </c>
      <c r="H51" s="717">
        <f t="shared" si="5"/>
        <v>7563372.7032683995</v>
      </c>
      <c r="I51" s="263"/>
      <c r="J51" s="263"/>
    </row>
    <row r="52" spans="1:10" ht="24">
      <c r="A52" s="1001"/>
      <c r="B52" s="718" t="s">
        <v>1101</v>
      </c>
      <c r="C52" s="714">
        <v>5</v>
      </c>
      <c r="D52" s="710"/>
      <c r="E52" s="719"/>
      <c r="F52" s="710"/>
      <c r="G52" s="716"/>
      <c r="H52" s="717">
        <f t="shared" si="5"/>
        <v>0</v>
      </c>
      <c r="I52" s="263"/>
      <c r="J52" s="263"/>
    </row>
    <row r="53" spans="1:10">
      <c r="A53" s="1001"/>
      <c r="B53" s="718" t="s">
        <v>1102</v>
      </c>
      <c r="C53" s="714">
        <v>6</v>
      </c>
      <c r="D53" s="710">
        <f>+STAT1!U166</f>
        <v>7184342.1699999981</v>
      </c>
      <c r="E53" s="720">
        <f>+STAT2!U166</f>
        <v>7805887.1600000001</v>
      </c>
      <c r="F53" s="721">
        <f>+STAT3!U166</f>
        <v>6522915.570000004</v>
      </c>
      <c r="G53" s="716">
        <f>+STAT4!U166</f>
        <v>5991206.3500000015</v>
      </c>
      <c r="H53" s="717">
        <f t="shared" si="5"/>
        <v>27504351.250000004</v>
      </c>
      <c r="I53" s="263"/>
      <c r="J53" s="263"/>
    </row>
    <row r="54" spans="1:10" ht="24">
      <c r="A54" s="1001"/>
      <c r="B54" s="718" t="s">
        <v>1103</v>
      </c>
      <c r="C54" s="714">
        <v>7</v>
      </c>
      <c r="D54" s="715">
        <f>+STAT1!U164+STAT1!U165</f>
        <v>343109.37000000005</v>
      </c>
      <c r="E54" s="722">
        <f>+STAT2!U164+STAT2!U165</f>
        <v>140654.53999999998</v>
      </c>
      <c r="F54" s="715">
        <f>+STAT3!U164+STAT3!U165</f>
        <v>50000</v>
      </c>
      <c r="G54" s="716">
        <f>+STAT4!U164+STAT4!U165</f>
        <v>349090.91000000003</v>
      </c>
      <c r="H54" s="717">
        <f t="shared" si="5"/>
        <v>882854.82000000007</v>
      </c>
      <c r="I54" s="263"/>
      <c r="J54" s="263"/>
    </row>
    <row r="55" spans="1:10" ht="24">
      <c r="A55" s="1001"/>
      <c r="B55" s="718" t="s">
        <v>1104</v>
      </c>
      <c r="C55" s="714">
        <v>8</v>
      </c>
      <c r="D55" s="721"/>
      <c r="E55" s="721"/>
      <c r="F55" s="721"/>
      <c r="G55" s="716"/>
      <c r="H55" s="717">
        <f t="shared" si="5"/>
        <v>0</v>
      </c>
      <c r="I55" s="263"/>
      <c r="J55" s="263"/>
    </row>
    <row r="56" spans="1:10">
      <c r="A56" s="1001"/>
      <c r="B56" s="718" t="s">
        <v>1105</v>
      </c>
      <c r="C56" s="714">
        <v>9</v>
      </c>
      <c r="D56" s="714"/>
      <c r="E56" s="714"/>
      <c r="F56" s="714"/>
      <c r="G56" s="716"/>
      <c r="H56" s="717">
        <f t="shared" si="5"/>
        <v>0</v>
      </c>
      <c r="I56" s="263"/>
      <c r="J56" s="263"/>
    </row>
    <row r="57" spans="1:10">
      <c r="A57" s="1001"/>
      <c r="B57" s="718" t="s">
        <v>1106</v>
      </c>
      <c r="C57" s="714">
        <v>10</v>
      </c>
      <c r="D57" s="723"/>
      <c r="E57" s="723"/>
      <c r="F57" s="723"/>
      <c r="G57" s="724"/>
      <c r="H57" s="717">
        <f t="shared" si="5"/>
        <v>0</v>
      </c>
      <c r="I57" s="263"/>
      <c r="J57" s="263"/>
    </row>
    <row r="58" spans="1:10">
      <c r="A58" s="1001"/>
      <c r="B58" s="718" t="s">
        <v>1107</v>
      </c>
      <c r="C58" s="714">
        <v>11</v>
      </c>
      <c r="D58" s="723"/>
      <c r="E58" s="723"/>
      <c r="F58" s="723"/>
      <c r="G58" s="724"/>
      <c r="H58" s="717">
        <f t="shared" si="5"/>
        <v>0</v>
      </c>
      <c r="I58" s="263"/>
      <c r="J58" s="263"/>
    </row>
    <row r="59" spans="1:10">
      <c r="A59" s="1001"/>
      <c r="B59" s="718" t="s">
        <v>1108</v>
      </c>
      <c r="C59" s="714">
        <v>12</v>
      </c>
      <c r="D59" s="723"/>
      <c r="E59" s="723"/>
      <c r="F59" s="723"/>
      <c r="G59" s="724"/>
      <c r="H59" s="717">
        <f t="shared" si="5"/>
        <v>0</v>
      </c>
      <c r="I59" s="263"/>
      <c r="J59" s="263"/>
    </row>
    <row r="60" spans="1:10">
      <c r="A60" s="1001"/>
      <c r="B60" s="718" t="s">
        <v>1109</v>
      </c>
      <c r="C60" s="714">
        <v>13</v>
      </c>
      <c r="D60" s="723"/>
      <c r="E60" s="723"/>
      <c r="F60" s="723"/>
      <c r="G60" s="724"/>
      <c r="H60" s="717">
        <f t="shared" si="5"/>
        <v>0</v>
      </c>
      <c r="I60" s="263"/>
      <c r="J60" s="263"/>
    </row>
    <row r="61" spans="1:10">
      <c r="A61" s="1001"/>
      <c r="B61" s="718" t="s">
        <v>1110</v>
      </c>
      <c r="C61" s="714">
        <v>14</v>
      </c>
      <c r="D61" s="723"/>
      <c r="E61" s="723"/>
      <c r="F61" s="723"/>
      <c r="G61" s="724"/>
      <c r="H61" s="717">
        <f t="shared" si="5"/>
        <v>0</v>
      </c>
      <c r="I61" s="263"/>
      <c r="J61" s="263"/>
    </row>
    <row r="62" spans="1:10" ht="24">
      <c r="A62" s="1001"/>
      <c r="B62" s="718" t="s">
        <v>1111</v>
      </c>
      <c r="C62" s="714">
        <v>15</v>
      </c>
      <c r="D62" s="723"/>
      <c r="E62" s="723"/>
      <c r="F62" s="723"/>
      <c r="G62" s="724"/>
      <c r="H62" s="717">
        <f t="shared" si="5"/>
        <v>0</v>
      </c>
      <c r="I62" s="263"/>
      <c r="J62" s="263"/>
    </row>
    <row r="63" spans="1:10" ht="48">
      <c r="A63" s="1001"/>
      <c r="B63" s="718" t="s">
        <v>1112</v>
      </c>
      <c r="C63" s="714">
        <v>16</v>
      </c>
      <c r="D63" s="723"/>
      <c r="E63" s="723"/>
      <c r="F63" s="723"/>
      <c r="G63" s="724"/>
      <c r="H63" s="717">
        <f t="shared" si="5"/>
        <v>0</v>
      </c>
      <c r="I63" s="263"/>
      <c r="J63" s="263"/>
    </row>
    <row r="64" spans="1:10" ht="36">
      <c r="A64" s="1001"/>
      <c r="B64" s="718" t="s">
        <v>1113</v>
      </c>
      <c r="C64" s="714">
        <v>17</v>
      </c>
      <c r="D64" s="723"/>
      <c r="E64" s="723"/>
      <c r="F64" s="723"/>
      <c r="G64" s="724"/>
      <c r="H64" s="717">
        <f t="shared" si="5"/>
        <v>0</v>
      </c>
      <c r="I64" s="263"/>
      <c r="J64" s="263"/>
    </row>
    <row r="65" spans="1:10">
      <c r="A65" s="1001"/>
      <c r="B65" s="718" t="s">
        <v>281</v>
      </c>
      <c r="C65" s="714">
        <v>18</v>
      </c>
      <c r="D65" s="723"/>
      <c r="E65" s="725">
        <f>+STAT2!U167</f>
        <v>89100</v>
      </c>
      <c r="F65" s="723"/>
      <c r="G65" s="724"/>
      <c r="H65" s="717">
        <f t="shared" si="5"/>
        <v>89100</v>
      </c>
      <c r="I65" s="263"/>
      <c r="J65" s="263"/>
    </row>
    <row r="66" spans="1:10" ht="24">
      <c r="A66" s="1001"/>
      <c r="B66" s="718" t="s">
        <v>1114</v>
      </c>
      <c r="C66" s="714">
        <v>19</v>
      </c>
      <c r="D66" s="723"/>
      <c r="E66" s="723"/>
      <c r="F66" s="723"/>
      <c r="G66" s="724"/>
      <c r="H66" s="717">
        <f t="shared" si="5"/>
        <v>0</v>
      </c>
      <c r="I66" s="263"/>
      <c r="J66" s="263"/>
    </row>
    <row r="67" spans="1:10" ht="24">
      <c r="A67" s="1001"/>
      <c r="B67" s="718" t="s">
        <v>1115</v>
      </c>
      <c r="C67" s="714">
        <v>20</v>
      </c>
      <c r="D67" s="723"/>
      <c r="E67" s="723"/>
      <c r="F67" s="723"/>
      <c r="G67" s="724"/>
      <c r="H67" s="717">
        <f t="shared" si="5"/>
        <v>0</v>
      </c>
      <c r="I67" s="263"/>
      <c r="J67" s="263"/>
    </row>
    <row r="68" spans="1:10" ht="24">
      <c r="A68" s="1001"/>
      <c r="B68" s="718" t="s">
        <v>1116</v>
      </c>
      <c r="C68" s="714">
        <v>21</v>
      </c>
      <c r="D68" s="723"/>
      <c r="E68" s="723"/>
      <c r="F68" s="723"/>
      <c r="G68" s="724"/>
      <c r="H68" s="717">
        <f t="shared" si="5"/>
        <v>0</v>
      </c>
      <c r="I68" s="263"/>
      <c r="J68" s="263"/>
    </row>
    <row r="69" spans="1:10">
      <c r="A69" s="1001"/>
      <c r="B69" s="718" t="s">
        <v>280</v>
      </c>
      <c r="C69" s="714">
        <v>22</v>
      </c>
      <c r="D69" s="723"/>
      <c r="E69" s="723"/>
      <c r="F69" s="723"/>
      <c r="G69" s="724"/>
      <c r="H69" s="717">
        <f t="shared" si="5"/>
        <v>0</v>
      </c>
      <c r="I69" s="263"/>
      <c r="J69" s="263"/>
    </row>
    <row r="70" spans="1:10">
      <c r="A70" s="1001"/>
      <c r="B70" s="718" t="s">
        <v>1117</v>
      </c>
      <c r="C70" s="714">
        <v>23</v>
      </c>
      <c r="D70" s="723"/>
      <c r="E70" s="723"/>
      <c r="F70" s="723"/>
      <c r="G70" s="724"/>
      <c r="H70" s="717">
        <f t="shared" si="5"/>
        <v>0</v>
      </c>
      <c r="I70" s="263"/>
      <c r="J70" s="263"/>
    </row>
    <row r="71" spans="1:10">
      <c r="A71" s="1001"/>
      <c r="B71" s="718" t="s">
        <v>1118</v>
      </c>
      <c r="C71" s="714">
        <v>24</v>
      </c>
      <c r="D71" s="721">
        <f>+STAT1!U162</f>
        <v>0</v>
      </c>
      <c r="E71" s="721">
        <f>+STAT2!U162</f>
        <v>0</v>
      </c>
      <c r="F71" s="721">
        <f>+STAT3!U188</f>
        <v>468181.81817999994</v>
      </c>
      <c r="G71" s="726">
        <f>+STAT4!U188</f>
        <v>0</v>
      </c>
      <c r="H71" s="717">
        <f>SUM(D71:G71)</f>
        <v>468181.81817999994</v>
      </c>
      <c r="I71" s="263"/>
      <c r="J71" s="263"/>
    </row>
    <row r="72" spans="1:10">
      <c r="A72" s="1001"/>
      <c r="B72" s="718" t="s">
        <v>1119</v>
      </c>
      <c r="C72" s="714">
        <v>25</v>
      </c>
      <c r="D72" s="721">
        <f>+STAT1!U193+STAT1!U189+STAT1!U180+STAT1!U169</f>
        <v>5026063.37</v>
      </c>
      <c r="E72" s="720">
        <f>+STAT2!U193+STAT2!U189+STAT2!U180+STAT2!U169</f>
        <v>4925449.4499999993</v>
      </c>
      <c r="F72" s="721">
        <f>+STAT3!U193+STAT3!U189+STAT3!U180+STAT3!U169</f>
        <v>4663249.99</v>
      </c>
      <c r="G72" s="716">
        <f>+STAT4!U193+STAT4!U189+STAT4!U180+STAT4!U169</f>
        <v>4953744.28</v>
      </c>
      <c r="H72" s="717">
        <f>SUM(D72:G72)</f>
        <v>19568507.09</v>
      </c>
      <c r="I72" s="263"/>
      <c r="J72" s="263"/>
    </row>
    <row r="73" spans="1:10">
      <c r="A73" s="1001"/>
      <c r="B73" s="718" t="s">
        <v>1120</v>
      </c>
      <c r="C73" s="714">
        <v>26</v>
      </c>
      <c r="D73" s="714"/>
      <c r="E73" s="714"/>
      <c r="F73" s="714"/>
      <c r="G73" s="716"/>
      <c r="H73" s="717">
        <f t="shared" ref="H73:H75" si="6">SUM(D73:G73)</f>
        <v>0</v>
      </c>
      <c r="I73" s="263"/>
      <c r="J73" s="263"/>
    </row>
    <row r="74" spans="1:10" ht="36">
      <c r="A74" s="1001"/>
      <c r="B74" s="718" t="s">
        <v>1121</v>
      </c>
      <c r="C74" s="714">
        <v>27</v>
      </c>
      <c r="D74" s="721"/>
      <c r="E74" s="721"/>
      <c r="F74" s="721"/>
      <c r="G74" s="716"/>
      <c r="H74" s="717">
        <f t="shared" si="6"/>
        <v>0</v>
      </c>
      <c r="I74" s="263"/>
      <c r="J74" s="263"/>
    </row>
    <row r="75" spans="1:10" ht="24">
      <c r="A75" s="1001"/>
      <c r="B75" s="718" t="s">
        <v>1122</v>
      </c>
      <c r="C75" s="714">
        <v>28</v>
      </c>
      <c r="D75" s="721"/>
      <c r="E75" s="721"/>
      <c r="F75" s="721"/>
      <c r="G75" s="716"/>
      <c r="H75" s="717">
        <f t="shared" si="6"/>
        <v>0</v>
      </c>
      <c r="I75" s="263"/>
      <c r="J75" s="263"/>
    </row>
    <row r="76" spans="1:10" ht="36">
      <c r="A76" s="1001"/>
      <c r="B76" s="718" t="s">
        <v>1123</v>
      </c>
      <c r="C76" s="714">
        <v>29</v>
      </c>
      <c r="D76" s="714"/>
      <c r="E76" s="714"/>
      <c r="F76" s="714"/>
      <c r="G76" s="716"/>
      <c r="H76" s="727"/>
      <c r="I76" s="263"/>
      <c r="J76" s="263"/>
    </row>
    <row r="77" spans="1:10" ht="24">
      <c r="A77" s="1001"/>
      <c r="B77" s="718" t="s">
        <v>1124</v>
      </c>
      <c r="C77" s="714">
        <v>30</v>
      </c>
      <c r="D77" s="714"/>
      <c r="E77" s="714"/>
      <c r="F77" s="714"/>
      <c r="G77" s="716"/>
      <c r="H77" s="727"/>
      <c r="I77" s="263"/>
      <c r="J77" s="263"/>
    </row>
    <row r="78" spans="1:10" ht="24">
      <c r="A78" s="1001"/>
      <c r="B78" s="718" t="s">
        <v>1125</v>
      </c>
      <c r="C78" s="714">
        <v>31</v>
      </c>
      <c r="D78" s="714"/>
      <c r="E78" s="714"/>
      <c r="F78" s="714"/>
      <c r="G78" s="716"/>
      <c r="H78" s="727"/>
      <c r="I78" s="263"/>
      <c r="J78" s="263"/>
    </row>
    <row r="79" spans="1:10">
      <c r="A79" s="1001"/>
      <c r="B79" s="718" t="s">
        <v>1126</v>
      </c>
      <c r="C79" s="714">
        <v>32</v>
      </c>
      <c r="D79" s="714"/>
      <c r="E79" s="714"/>
      <c r="F79" s="714"/>
      <c r="G79" s="716"/>
      <c r="H79" s="727"/>
      <c r="I79" s="263"/>
      <c r="J79" s="263"/>
    </row>
    <row r="80" spans="1:10" ht="24">
      <c r="A80" s="1001"/>
      <c r="B80" s="718" t="s">
        <v>1127</v>
      </c>
      <c r="C80" s="714">
        <v>33</v>
      </c>
      <c r="D80" s="714"/>
      <c r="E80" s="714"/>
      <c r="F80" s="714"/>
      <c r="G80" s="716"/>
      <c r="H80" s="727"/>
      <c r="I80" s="263"/>
      <c r="J80" s="263"/>
    </row>
    <row r="81" spans="1:10" ht="36">
      <c r="A81" s="1001"/>
      <c r="B81" s="728" t="s">
        <v>1128</v>
      </c>
      <c r="C81" s="714">
        <v>34</v>
      </c>
      <c r="D81" s="714"/>
      <c r="E81" s="714"/>
      <c r="F81" s="714"/>
      <c r="G81" s="716"/>
      <c r="H81" s="727"/>
      <c r="I81" s="263"/>
      <c r="J81" s="263"/>
    </row>
    <row r="82" spans="1:10" ht="36">
      <c r="A82" s="1001"/>
      <c r="B82" s="728" t="s">
        <v>1129</v>
      </c>
      <c r="C82" s="714">
        <v>35</v>
      </c>
      <c r="D82" s="714"/>
      <c r="E82" s="714"/>
      <c r="F82" s="714"/>
      <c r="G82" s="716"/>
      <c r="H82" s="727"/>
      <c r="I82" s="263"/>
      <c r="J82" s="263"/>
    </row>
    <row r="83" spans="1:10">
      <c r="A83" s="1001"/>
      <c r="B83" s="718" t="s">
        <v>1130</v>
      </c>
      <c r="C83" s="714">
        <v>36</v>
      </c>
      <c r="D83" s="714"/>
      <c r="E83" s="714"/>
      <c r="F83" s="714"/>
      <c r="G83" s="716"/>
      <c r="H83" s="727"/>
      <c r="I83" s="263"/>
      <c r="J83" s="263"/>
    </row>
    <row r="84" spans="1:10" ht="24">
      <c r="A84" s="1001"/>
      <c r="B84" s="718" t="s">
        <v>1131</v>
      </c>
      <c r="C84" s="714">
        <v>37</v>
      </c>
      <c r="D84" s="714"/>
      <c r="E84" s="714"/>
      <c r="F84" s="714"/>
      <c r="G84" s="716"/>
      <c r="H84" s="727"/>
      <c r="I84" s="263"/>
      <c r="J84" s="263"/>
    </row>
    <row r="85" spans="1:10">
      <c r="A85" s="1001"/>
      <c r="B85" s="718" t="s">
        <v>1132</v>
      </c>
      <c r="C85" s="714">
        <v>38</v>
      </c>
      <c r="D85" s="714"/>
      <c r="E85" s="714"/>
      <c r="F85" s="714"/>
      <c r="G85" s="716"/>
      <c r="H85" s="727"/>
      <c r="I85" s="263"/>
      <c r="J85" s="263"/>
    </row>
    <row r="86" spans="1:10">
      <c r="A86" s="1001"/>
      <c r="B86" s="718" t="s">
        <v>1133</v>
      </c>
      <c r="C86" s="714">
        <v>39</v>
      </c>
      <c r="D86" s="721"/>
      <c r="E86" s="721">
        <f>+STAT2!R182</f>
        <v>2000000</v>
      </c>
      <c r="F86" s="721">
        <f>+STAT3!R182</f>
        <v>0</v>
      </c>
      <c r="G86" s="716">
        <f>+STAT4!U182</f>
        <v>8659000</v>
      </c>
      <c r="H86" s="717">
        <f t="shared" ref="H86:H90" si="7">SUM(D86:G86)</f>
        <v>10659000</v>
      </c>
      <c r="I86" s="263"/>
      <c r="J86" s="263"/>
    </row>
    <row r="87" spans="1:10">
      <c r="A87" s="1001"/>
      <c r="B87" s="718" t="s">
        <v>1134</v>
      </c>
      <c r="C87" s="714">
        <v>40</v>
      </c>
      <c r="D87" s="721"/>
      <c r="E87" s="721"/>
      <c r="F87" s="721"/>
      <c r="G87" s="716">
        <f>+STAT4!U183</f>
        <v>0</v>
      </c>
      <c r="H87" s="717">
        <f t="shared" si="7"/>
        <v>0</v>
      </c>
      <c r="I87" s="263"/>
      <c r="J87" s="263"/>
    </row>
    <row r="88" spans="1:10">
      <c r="A88" s="1001"/>
      <c r="B88" s="718" t="s">
        <v>1135</v>
      </c>
      <c r="C88" s="714">
        <v>41</v>
      </c>
      <c r="D88" s="714"/>
      <c r="E88" s="729">
        <f>+STAT2!U184</f>
        <v>1720000</v>
      </c>
      <c r="F88" s="730">
        <f>+STAT3!U184</f>
        <v>0</v>
      </c>
      <c r="G88" s="716">
        <f>+STAT4!U184</f>
        <v>1723616</v>
      </c>
      <c r="H88" s="717">
        <f>SUM(D88:G88)</f>
        <v>3443616</v>
      </c>
      <c r="I88" s="263"/>
      <c r="J88" s="263"/>
    </row>
    <row r="89" spans="1:10">
      <c r="A89" s="1001"/>
      <c r="B89" s="718" t="s">
        <v>1136</v>
      </c>
      <c r="C89" s="714">
        <v>42</v>
      </c>
      <c r="D89" s="721"/>
      <c r="E89" s="721"/>
      <c r="F89" s="721"/>
      <c r="G89" s="716"/>
      <c r="H89" s="717">
        <f t="shared" si="7"/>
        <v>0</v>
      </c>
      <c r="I89" s="263"/>
      <c r="J89" s="263"/>
    </row>
    <row r="90" spans="1:10" ht="24">
      <c r="A90" s="1001"/>
      <c r="B90" s="718" t="s">
        <v>1137</v>
      </c>
      <c r="C90" s="714">
        <v>43</v>
      </c>
      <c r="D90" s="721"/>
      <c r="E90" s="721"/>
      <c r="F90" s="721">
        <f>+STAT3!U185</f>
        <v>733866</v>
      </c>
      <c r="G90" s="716"/>
      <c r="H90" s="717">
        <f t="shared" si="7"/>
        <v>733866</v>
      </c>
      <c r="I90" s="263"/>
      <c r="J90" s="263"/>
    </row>
    <row r="91" spans="1:10">
      <c r="A91" s="1001"/>
      <c r="B91" s="718" t="s">
        <v>756</v>
      </c>
      <c r="C91" s="714">
        <v>44</v>
      </c>
      <c r="D91" s="731">
        <f>+STAT1!U195+STAT1!U173+STAT1!U191</f>
        <v>12037454.18</v>
      </c>
      <c r="E91" s="731">
        <f>+STAT2!U195+STAT2!U173+STAT2!U191</f>
        <v>9452248.4776000008</v>
      </c>
      <c r="F91" s="731">
        <f>+STAT3!U195+STAT3!U173+STAT3!U191</f>
        <v>7535137.6999999993</v>
      </c>
      <c r="G91" s="716">
        <f>+STAT4!U195+STAT4!U173+STAT4!U191</f>
        <v>6847799.1500000004</v>
      </c>
      <c r="H91" s="717">
        <f>SUM(D91:G91)</f>
        <v>35872639.507600002</v>
      </c>
      <c r="I91" s="263"/>
      <c r="J91" s="263"/>
    </row>
    <row r="92" spans="1:10">
      <c r="A92" s="497"/>
      <c r="B92" s="498"/>
      <c r="C92" s="499"/>
      <c r="D92" s="500"/>
      <c r="E92" s="500"/>
      <c r="F92" s="500"/>
      <c r="G92" s="501"/>
      <c r="H92" s="500"/>
      <c r="I92" s="263"/>
      <c r="J92" s="263"/>
    </row>
    <row r="93" spans="1:10">
      <c r="A93" s="497"/>
      <c r="B93" s="498"/>
      <c r="C93" s="499"/>
      <c r="D93" s="500"/>
      <c r="E93" s="500"/>
      <c r="F93" s="500"/>
      <c r="G93" s="501"/>
      <c r="H93" s="500"/>
      <c r="I93" s="263"/>
      <c r="J93" s="263"/>
    </row>
    <row r="94" spans="1:10">
      <c r="A94" s="497"/>
      <c r="B94" s="498"/>
      <c r="C94" s="499"/>
      <c r="D94" s="500"/>
      <c r="E94" s="500"/>
      <c r="F94" s="500"/>
      <c r="G94" s="501"/>
      <c r="H94" s="500"/>
      <c r="I94" s="263"/>
      <c r="J94" s="263"/>
    </row>
    <row r="95" spans="1:10" ht="12.75">
      <c r="A95" s="998" t="s">
        <v>2210</v>
      </c>
      <c r="B95" s="998"/>
      <c r="C95" s="998"/>
      <c r="D95" s="998"/>
      <c r="E95" s="998"/>
      <c r="F95" s="998"/>
      <c r="G95" s="998"/>
      <c r="H95" s="998"/>
      <c r="I95" s="263"/>
      <c r="J95" s="263"/>
    </row>
    <row r="96" spans="1:10" ht="12.75">
      <c r="A96" s="502"/>
      <c r="B96" s="502"/>
      <c r="C96" s="490"/>
      <c r="D96" s="490"/>
      <c r="E96" s="490"/>
      <c r="F96" s="490"/>
      <c r="G96" s="491"/>
      <c r="H96" s="502"/>
      <c r="I96" s="263"/>
      <c r="J96" s="263"/>
    </row>
    <row r="97" spans="1:10" ht="38.25">
      <c r="A97" s="1003" t="s">
        <v>49</v>
      </c>
      <c r="B97" s="1003"/>
      <c r="C97" s="503" t="s">
        <v>1017</v>
      </c>
      <c r="D97" s="495" t="s">
        <v>2179</v>
      </c>
      <c r="E97" s="495" t="s">
        <v>2180</v>
      </c>
      <c r="F97" s="495" t="s">
        <v>2181</v>
      </c>
      <c r="G97" s="495" t="s">
        <v>2182</v>
      </c>
      <c r="H97" s="503" t="s">
        <v>1095</v>
      </c>
      <c r="I97" s="263"/>
      <c r="J97" s="263"/>
    </row>
    <row r="98" spans="1:10" ht="25.5">
      <c r="A98" s="1004" t="s">
        <v>1097</v>
      </c>
      <c r="B98" s="504" t="s">
        <v>2211</v>
      </c>
      <c r="C98" s="505">
        <v>1</v>
      </c>
      <c r="D98" s="506"/>
      <c r="E98" s="506"/>
      <c r="F98" s="506"/>
      <c r="G98" s="507"/>
      <c r="H98" s="508">
        <f>SUM(D98:G98)</f>
        <v>0</v>
      </c>
      <c r="I98" s="263"/>
      <c r="J98" s="263"/>
    </row>
    <row r="99" spans="1:10" ht="25.5">
      <c r="A99" s="1005"/>
      <c r="B99" s="509" t="s">
        <v>2212</v>
      </c>
      <c r="C99" s="505">
        <v>2</v>
      </c>
      <c r="D99" s="506"/>
      <c r="E99" s="506"/>
      <c r="F99" s="506"/>
      <c r="G99" s="507"/>
      <c r="H99" s="510">
        <f t="shared" ref="H99:H106" si="8">SUM(D99:G99)</f>
        <v>0</v>
      </c>
      <c r="I99" s="263"/>
      <c r="J99" s="263"/>
    </row>
    <row r="100" spans="1:10" ht="38.25">
      <c r="A100" s="1005"/>
      <c r="B100" s="509" t="s">
        <v>2213</v>
      </c>
      <c r="C100" s="505">
        <v>3</v>
      </c>
      <c r="D100" s="506"/>
      <c r="E100" s="506"/>
      <c r="F100" s="506"/>
      <c r="G100" s="507"/>
      <c r="H100" s="510">
        <f t="shared" si="8"/>
        <v>0</v>
      </c>
      <c r="I100" s="263"/>
      <c r="J100" s="263"/>
    </row>
    <row r="101" spans="1:10" ht="12.75">
      <c r="A101" s="1005"/>
      <c r="B101" s="509" t="s">
        <v>2214</v>
      </c>
      <c r="C101" s="505">
        <v>4</v>
      </c>
      <c r="D101" s="506"/>
      <c r="E101" s="506"/>
      <c r="F101" s="506"/>
      <c r="G101" s="507"/>
      <c r="H101" s="510">
        <f t="shared" si="8"/>
        <v>0</v>
      </c>
      <c r="I101" s="263"/>
      <c r="J101" s="263"/>
    </row>
    <row r="102" spans="1:10" ht="12.75">
      <c r="A102" s="1005"/>
      <c r="B102" s="509" t="s">
        <v>2215</v>
      </c>
      <c r="C102" s="505">
        <f>+C101+1</f>
        <v>5</v>
      </c>
      <c r="D102" s="506"/>
      <c r="E102" s="506"/>
      <c r="F102" s="506"/>
      <c r="G102" s="507"/>
      <c r="H102" s="510">
        <f t="shared" si="8"/>
        <v>0</v>
      </c>
      <c r="I102" s="263"/>
      <c r="J102" s="263"/>
    </row>
    <row r="103" spans="1:10" ht="25.5">
      <c r="A103" s="1005"/>
      <c r="B103" s="509" t="s">
        <v>2216</v>
      </c>
      <c r="C103" s="505">
        <f t="shared" ref="C103:C106" si="9">+C102+1</f>
        <v>6</v>
      </c>
      <c r="D103" s="506"/>
      <c r="E103" s="506"/>
      <c r="F103" s="506"/>
      <c r="G103" s="507"/>
      <c r="H103" s="510">
        <f t="shared" si="8"/>
        <v>0</v>
      </c>
      <c r="I103" s="263"/>
      <c r="J103" s="263"/>
    </row>
    <row r="104" spans="1:10" ht="12.75">
      <c r="A104" s="1005"/>
      <c r="B104" s="509" t="s">
        <v>2217</v>
      </c>
      <c r="C104" s="505">
        <f t="shared" si="9"/>
        <v>7</v>
      </c>
      <c r="D104" s="506"/>
      <c r="E104" s="506"/>
      <c r="F104" s="506"/>
      <c r="G104" s="507"/>
      <c r="H104" s="510">
        <f t="shared" si="8"/>
        <v>0</v>
      </c>
      <c r="I104" s="263"/>
      <c r="J104" s="263"/>
    </row>
    <row r="105" spans="1:10" ht="12.75">
      <c r="A105" s="1005"/>
      <c r="B105" s="509" t="s">
        <v>2218</v>
      </c>
      <c r="C105" s="505">
        <f t="shared" si="9"/>
        <v>8</v>
      </c>
      <c r="D105" s="506"/>
      <c r="E105" s="506"/>
      <c r="F105" s="506"/>
      <c r="G105" s="507"/>
      <c r="H105" s="510">
        <f t="shared" si="8"/>
        <v>0</v>
      </c>
      <c r="I105" s="263"/>
      <c r="J105" s="263"/>
    </row>
    <row r="106" spans="1:10" ht="12.75">
      <c r="A106" s="1005"/>
      <c r="B106" s="511" t="s">
        <v>1231</v>
      </c>
      <c r="C106" s="512">
        <f t="shared" si="9"/>
        <v>9</v>
      </c>
      <c r="D106" s="513"/>
      <c r="E106" s="513"/>
      <c r="F106" s="513"/>
      <c r="G106" s="514"/>
      <c r="H106" s="515">
        <f t="shared" si="8"/>
        <v>0</v>
      </c>
      <c r="I106" s="263"/>
      <c r="J106" s="263"/>
    </row>
    <row r="107" spans="1:10" ht="12.75">
      <c r="A107" s="494"/>
      <c r="B107" s="492" t="s">
        <v>2219</v>
      </c>
      <c r="C107" s="495"/>
      <c r="D107" s="516">
        <f>SUM(D98:D106)</f>
        <v>0</v>
      </c>
      <c r="E107" s="516">
        <f t="shared" ref="E107:H107" si="10">SUM(E98:E106)</f>
        <v>0</v>
      </c>
      <c r="F107" s="516">
        <f t="shared" si="10"/>
        <v>0</v>
      </c>
      <c r="G107" s="516">
        <f t="shared" si="10"/>
        <v>0</v>
      </c>
      <c r="H107" s="516">
        <f t="shared" si="10"/>
        <v>0</v>
      </c>
      <c r="I107" s="263"/>
      <c r="J107" s="263"/>
    </row>
    <row r="108" spans="1:10" ht="12.75">
      <c r="A108" s="342"/>
      <c r="B108" s="342"/>
      <c r="C108" s="490"/>
      <c r="D108" s="490"/>
      <c r="E108" s="490"/>
      <c r="F108" s="490"/>
      <c r="G108" s="491"/>
      <c r="H108" s="342"/>
      <c r="I108" s="263"/>
      <c r="J108" s="263"/>
    </row>
    <row r="109" spans="1:10" ht="12.75">
      <c r="A109" s="998" t="s">
        <v>2220</v>
      </c>
      <c r="B109" s="998"/>
      <c r="C109" s="998"/>
      <c r="D109" s="998"/>
      <c r="E109" s="998"/>
      <c r="F109" s="998"/>
      <c r="G109" s="998"/>
      <c r="H109" s="998"/>
      <c r="I109" s="263"/>
      <c r="J109" s="263"/>
    </row>
    <row r="110" spans="1:10" ht="12.75">
      <c r="A110" s="342"/>
      <c r="B110" s="342"/>
      <c r="C110" s="490"/>
      <c r="D110" s="490"/>
      <c r="E110" s="490"/>
      <c r="F110" s="490"/>
      <c r="G110" s="491"/>
      <c r="H110" s="342"/>
      <c r="I110" s="263"/>
      <c r="J110" s="263"/>
    </row>
    <row r="111" spans="1:10" ht="12.75" customHeight="1">
      <c r="A111" s="998" t="s">
        <v>2221</v>
      </c>
      <c r="B111" s="998"/>
      <c r="C111" s="998"/>
      <c r="D111" s="998"/>
      <c r="E111" s="998"/>
      <c r="F111" s="998"/>
      <c r="G111" s="998"/>
      <c r="H111" s="998"/>
      <c r="I111" s="263"/>
      <c r="J111" s="263"/>
    </row>
    <row r="112" spans="1:10" ht="12.75">
      <c r="A112" s="342"/>
      <c r="B112" s="342"/>
      <c r="C112" s="490"/>
      <c r="D112" s="490"/>
      <c r="E112" s="490"/>
      <c r="F112" s="490"/>
      <c r="G112" s="491"/>
      <c r="H112" s="342"/>
      <c r="I112" s="263"/>
      <c r="J112" s="263"/>
    </row>
    <row r="113" spans="1:10" ht="38.25" customHeight="1">
      <c r="A113" s="492" t="s">
        <v>2222</v>
      </c>
      <c r="B113" s="492" t="s">
        <v>2223</v>
      </c>
      <c r="C113" s="493" t="s">
        <v>1017</v>
      </c>
      <c r="D113" s="493" t="s">
        <v>2224</v>
      </c>
      <c r="E113" s="493" t="s">
        <v>2225</v>
      </c>
      <c r="F113" s="493" t="s">
        <v>2226</v>
      </c>
      <c r="G113" s="493" t="s">
        <v>2227</v>
      </c>
      <c r="H113" s="492" t="s">
        <v>2228</v>
      </c>
      <c r="I113" s="263"/>
      <c r="J113" s="263"/>
    </row>
    <row r="114" spans="1:10" ht="25.5" customHeight="1">
      <c r="A114" s="494">
        <v>1</v>
      </c>
      <c r="B114" s="494" t="s">
        <v>2229</v>
      </c>
      <c r="C114" s="495">
        <v>1</v>
      </c>
      <c r="D114" s="495"/>
      <c r="E114" s="495"/>
      <c r="F114" s="495"/>
      <c r="G114" s="496"/>
      <c r="H114" s="494">
        <f>SUM(D114:G114)</f>
        <v>0</v>
      </c>
      <c r="I114" s="263"/>
      <c r="J114" s="263"/>
    </row>
    <row r="115" spans="1:10" ht="12.75">
      <c r="A115" s="494">
        <f>+A114+1</f>
        <v>2</v>
      </c>
      <c r="B115" s="494" t="s">
        <v>2230</v>
      </c>
      <c r="C115" s="495">
        <f>+C114+1</f>
        <v>2</v>
      </c>
      <c r="D115" s="495"/>
      <c r="E115" s="495"/>
      <c r="F115" s="495"/>
      <c r="G115" s="496"/>
      <c r="H115" s="494">
        <f t="shared" ref="H115:H143" si="11">SUM(D115:G115)</f>
        <v>0</v>
      </c>
      <c r="I115" s="263"/>
      <c r="J115" s="263"/>
    </row>
    <row r="116" spans="1:10" ht="12.75">
      <c r="A116" s="494">
        <f t="shared" ref="A116:A143" si="12">+A115+1</f>
        <v>3</v>
      </c>
      <c r="B116" s="494" t="s">
        <v>2231</v>
      </c>
      <c r="C116" s="495">
        <f t="shared" ref="C116:C143" si="13">+C115+1</f>
        <v>3</v>
      </c>
      <c r="D116" s="495"/>
      <c r="E116" s="495"/>
      <c r="F116" s="495"/>
      <c r="G116" s="496"/>
      <c r="H116" s="494">
        <f t="shared" si="11"/>
        <v>0</v>
      </c>
      <c r="I116" s="263"/>
      <c r="J116" s="263"/>
    </row>
    <row r="117" spans="1:10" ht="12.75">
      <c r="A117" s="494">
        <f t="shared" si="12"/>
        <v>4</v>
      </c>
      <c r="B117" s="494" t="s">
        <v>2232</v>
      </c>
      <c r="C117" s="495">
        <f t="shared" si="13"/>
        <v>4</v>
      </c>
      <c r="D117" s="495"/>
      <c r="E117" s="495"/>
      <c r="F117" s="495"/>
      <c r="G117" s="496"/>
      <c r="H117" s="494">
        <f t="shared" si="11"/>
        <v>0</v>
      </c>
      <c r="I117" s="263"/>
      <c r="J117" s="263"/>
    </row>
    <row r="118" spans="1:10" ht="12.75">
      <c r="A118" s="494">
        <f t="shared" si="12"/>
        <v>5</v>
      </c>
      <c r="B118" s="494" t="s">
        <v>2233</v>
      </c>
      <c r="C118" s="495">
        <f t="shared" si="13"/>
        <v>5</v>
      </c>
      <c r="D118" s="495"/>
      <c r="E118" s="495"/>
      <c r="F118" s="495"/>
      <c r="G118" s="496"/>
      <c r="H118" s="494">
        <f t="shared" si="11"/>
        <v>0</v>
      </c>
      <c r="I118" s="263"/>
      <c r="J118" s="263"/>
    </row>
    <row r="119" spans="1:10" ht="12.75">
      <c r="A119" s="494">
        <f t="shared" si="12"/>
        <v>6</v>
      </c>
      <c r="B119" s="494" t="s">
        <v>2234</v>
      </c>
      <c r="C119" s="495">
        <f t="shared" si="13"/>
        <v>6</v>
      </c>
      <c r="D119" s="495"/>
      <c r="E119" s="495"/>
      <c r="F119" s="495"/>
      <c r="G119" s="496"/>
      <c r="H119" s="494">
        <f t="shared" si="11"/>
        <v>0</v>
      </c>
      <c r="I119" s="263"/>
      <c r="J119" s="263"/>
    </row>
    <row r="120" spans="1:10" ht="12.75">
      <c r="A120" s="494">
        <f t="shared" si="12"/>
        <v>7</v>
      </c>
      <c r="B120" s="494" t="s">
        <v>2235</v>
      </c>
      <c r="C120" s="495">
        <f t="shared" si="13"/>
        <v>7</v>
      </c>
      <c r="D120" s="495"/>
      <c r="E120" s="495"/>
      <c r="F120" s="495"/>
      <c r="G120" s="496"/>
      <c r="H120" s="494">
        <f t="shared" si="11"/>
        <v>0</v>
      </c>
      <c r="I120" s="263"/>
      <c r="J120" s="263"/>
    </row>
    <row r="121" spans="1:10" ht="12.75">
      <c r="A121" s="494">
        <f t="shared" si="12"/>
        <v>8</v>
      </c>
      <c r="B121" s="494" t="s">
        <v>2236</v>
      </c>
      <c r="C121" s="495">
        <f t="shared" si="13"/>
        <v>8</v>
      </c>
      <c r="D121" s="495"/>
      <c r="E121" s="495"/>
      <c r="F121" s="495"/>
      <c r="G121" s="496"/>
      <c r="H121" s="494">
        <f t="shared" si="11"/>
        <v>0</v>
      </c>
      <c r="I121" s="263"/>
      <c r="J121" s="263"/>
    </row>
    <row r="122" spans="1:10" ht="12.75">
      <c r="A122" s="494">
        <f t="shared" si="12"/>
        <v>9</v>
      </c>
      <c r="B122" s="494" t="s">
        <v>2237</v>
      </c>
      <c r="C122" s="495">
        <f t="shared" si="13"/>
        <v>9</v>
      </c>
      <c r="D122" s="495"/>
      <c r="E122" s="495"/>
      <c r="F122" s="495"/>
      <c r="G122" s="496"/>
      <c r="H122" s="494">
        <f t="shared" si="11"/>
        <v>0</v>
      </c>
      <c r="I122" s="263"/>
      <c r="J122" s="263"/>
    </row>
    <row r="123" spans="1:10" ht="12.75">
      <c r="A123" s="494">
        <f t="shared" si="12"/>
        <v>10</v>
      </c>
      <c r="B123" s="494" t="s">
        <v>2238</v>
      </c>
      <c r="C123" s="495">
        <f t="shared" si="13"/>
        <v>10</v>
      </c>
      <c r="D123" s="495"/>
      <c r="E123" s="495"/>
      <c r="F123" s="495"/>
      <c r="G123" s="496"/>
      <c r="H123" s="494">
        <f t="shared" si="11"/>
        <v>0</v>
      </c>
      <c r="I123" s="263"/>
      <c r="J123" s="263"/>
    </row>
    <row r="124" spans="1:10" ht="12.75">
      <c r="A124" s="494">
        <f t="shared" si="12"/>
        <v>11</v>
      </c>
      <c r="B124" s="494" t="s">
        <v>2239</v>
      </c>
      <c r="C124" s="495">
        <f t="shared" si="13"/>
        <v>11</v>
      </c>
      <c r="D124" s="495"/>
      <c r="E124" s="495"/>
      <c r="F124" s="495"/>
      <c r="G124" s="496"/>
      <c r="H124" s="494">
        <f t="shared" si="11"/>
        <v>0</v>
      </c>
      <c r="I124" s="263"/>
      <c r="J124" s="263"/>
    </row>
    <row r="125" spans="1:10" ht="12.75" customHeight="1">
      <c r="A125" s="494">
        <f t="shared" si="12"/>
        <v>12</v>
      </c>
      <c r="B125" s="494" t="s">
        <v>2240</v>
      </c>
      <c r="C125" s="495">
        <f t="shared" si="13"/>
        <v>12</v>
      </c>
      <c r="D125" s="495"/>
      <c r="E125" s="495"/>
      <c r="F125" s="495"/>
      <c r="G125" s="496"/>
      <c r="H125" s="494">
        <f t="shared" si="11"/>
        <v>0</v>
      </c>
      <c r="I125" s="263"/>
      <c r="J125" s="263"/>
    </row>
    <row r="126" spans="1:10" ht="12.75">
      <c r="A126" s="494">
        <f t="shared" si="12"/>
        <v>13</v>
      </c>
      <c r="B126" s="492" t="s">
        <v>2241</v>
      </c>
      <c r="C126" s="495">
        <f t="shared" si="13"/>
        <v>13</v>
      </c>
      <c r="D126" s="495"/>
      <c r="E126" s="495"/>
      <c r="F126" s="495"/>
      <c r="G126" s="496"/>
      <c r="H126" s="494">
        <f t="shared" si="11"/>
        <v>0</v>
      </c>
      <c r="I126" s="263"/>
      <c r="J126" s="263"/>
    </row>
    <row r="127" spans="1:10" ht="12.75" customHeight="1">
      <c r="A127" s="494">
        <f t="shared" si="12"/>
        <v>14</v>
      </c>
      <c r="B127" s="494" t="s">
        <v>2242</v>
      </c>
      <c r="C127" s="495">
        <f t="shared" si="13"/>
        <v>14</v>
      </c>
      <c r="D127" s="495"/>
      <c r="E127" s="495"/>
      <c r="F127" s="495"/>
      <c r="G127" s="496"/>
      <c r="H127" s="494">
        <f t="shared" si="11"/>
        <v>0</v>
      </c>
      <c r="I127" s="263"/>
      <c r="J127" s="263"/>
    </row>
    <row r="128" spans="1:10" ht="12.75">
      <c r="A128" s="494">
        <f t="shared" si="12"/>
        <v>15</v>
      </c>
      <c r="B128" s="494" t="s">
        <v>2243</v>
      </c>
      <c r="C128" s="495">
        <f t="shared" si="13"/>
        <v>15</v>
      </c>
      <c r="D128" s="495"/>
      <c r="E128" s="495"/>
      <c r="F128" s="495"/>
      <c r="G128" s="496"/>
      <c r="H128" s="494">
        <f t="shared" si="11"/>
        <v>0</v>
      </c>
      <c r="I128" s="263"/>
      <c r="J128" s="263"/>
    </row>
    <row r="129" spans="1:10" ht="12.75">
      <c r="A129" s="494">
        <f t="shared" si="12"/>
        <v>16</v>
      </c>
      <c r="B129" s="494" t="s">
        <v>2244</v>
      </c>
      <c r="C129" s="495">
        <f t="shared" si="13"/>
        <v>16</v>
      </c>
      <c r="D129" s="495"/>
      <c r="E129" s="495"/>
      <c r="F129" s="495"/>
      <c r="G129" s="496"/>
      <c r="H129" s="494">
        <f t="shared" si="11"/>
        <v>0</v>
      </c>
      <c r="I129" s="263"/>
      <c r="J129" s="263"/>
    </row>
    <row r="130" spans="1:10" ht="12.75">
      <c r="A130" s="494">
        <f t="shared" si="12"/>
        <v>17</v>
      </c>
      <c r="B130" s="494" t="s">
        <v>2245</v>
      </c>
      <c r="C130" s="495">
        <f t="shared" si="13"/>
        <v>17</v>
      </c>
      <c r="D130" s="495"/>
      <c r="E130" s="495"/>
      <c r="F130" s="495"/>
      <c r="G130" s="496"/>
      <c r="H130" s="494">
        <f t="shared" si="11"/>
        <v>0</v>
      </c>
      <c r="I130" s="263"/>
      <c r="J130" s="263"/>
    </row>
    <row r="131" spans="1:10" ht="12.75">
      <c r="A131" s="494">
        <f t="shared" si="12"/>
        <v>18</v>
      </c>
      <c r="B131" s="494" t="s">
        <v>2246</v>
      </c>
      <c r="C131" s="495">
        <f t="shared" si="13"/>
        <v>18</v>
      </c>
      <c r="D131" s="495"/>
      <c r="E131" s="495"/>
      <c r="F131" s="495"/>
      <c r="G131" s="496"/>
      <c r="H131" s="494">
        <f t="shared" si="11"/>
        <v>0</v>
      </c>
      <c r="I131" s="263"/>
      <c r="J131" s="263"/>
    </row>
    <row r="132" spans="1:10" ht="12.75">
      <c r="A132" s="494">
        <f t="shared" si="12"/>
        <v>19</v>
      </c>
      <c r="B132" s="494" t="s">
        <v>2247</v>
      </c>
      <c r="C132" s="495">
        <f t="shared" si="13"/>
        <v>19</v>
      </c>
      <c r="D132" s="495"/>
      <c r="E132" s="495"/>
      <c r="F132" s="495"/>
      <c r="G132" s="496"/>
      <c r="H132" s="494">
        <f t="shared" si="11"/>
        <v>0</v>
      </c>
      <c r="I132" s="263"/>
      <c r="J132" s="263"/>
    </row>
    <row r="133" spans="1:10" ht="12.75">
      <c r="A133" s="494">
        <f t="shared" si="12"/>
        <v>20</v>
      </c>
      <c r="B133" s="494" t="s">
        <v>2248</v>
      </c>
      <c r="C133" s="495">
        <f t="shared" si="13"/>
        <v>20</v>
      </c>
      <c r="D133" s="495"/>
      <c r="E133" s="495"/>
      <c r="F133" s="495"/>
      <c r="G133" s="496"/>
      <c r="H133" s="494">
        <f t="shared" si="11"/>
        <v>0</v>
      </c>
      <c r="I133" s="263"/>
      <c r="J133" s="263"/>
    </row>
    <row r="134" spans="1:10" ht="12.75">
      <c r="A134" s="494">
        <f t="shared" si="12"/>
        <v>21</v>
      </c>
      <c r="B134" s="494" t="s">
        <v>2249</v>
      </c>
      <c r="C134" s="495">
        <f t="shared" si="13"/>
        <v>21</v>
      </c>
      <c r="D134" s="495"/>
      <c r="E134" s="495"/>
      <c r="F134" s="495"/>
      <c r="G134" s="496"/>
      <c r="H134" s="494">
        <f t="shared" si="11"/>
        <v>0</v>
      </c>
      <c r="I134" s="263"/>
      <c r="J134" s="263"/>
    </row>
    <row r="135" spans="1:10" ht="12.75">
      <c r="A135" s="494">
        <f t="shared" si="12"/>
        <v>22</v>
      </c>
      <c r="B135" s="494" t="s">
        <v>2250</v>
      </c>
      <c r="C135" s="495">
        <f t="shared" si="13"/>
        <v>22</v>
      </c>
      <c r="D135" s="495"/>
      <c r="E135" s="495"/>
      <c r="F135" s="495"/>
      <c r="G135" s="496"/>
      <c r="H135" s="494">
        <f t="shared" si="11"/>
        <v>0</v>
      </c>
      <c r="I135" s="263"/>
      <c r="J135" s="263"/>
    </row>
    <row r="136" spans="1:10" ht="12.75">
      <c r="A136" s="494">
        <f t="shared" si="12"/>
        <v>23</v>
      </c>
      <c r="B136" s="494" t="s">
        <v>2251</v>
      </c>
      <c r="C136" s="495">
        <f t="shared" si="13"/>
        <v>23</v>
      </c>
      <c r="D136" s="495"/>
      <c r="E136" s="495"/>
      <c r="F136" s="495"/>
      <c r="G136" s="496"/>
      <c r="H136" s="494">
        <f t="shared" si="11"/>
        <v>0</v>
      </c>
      <c r="I136" s="263"/>
      <c r="J136" s="263"/>
    </row>
    <row r="137" spans="1:10" ht="12.75">
      <c r="A137" s="494">
        <f t="shared" si="12"/>
        <v>24</v>
      </c>
      <c r="B137" s="494" t="s">
        <v>2252</v>
      </c>
      <c r="C137" s="495">
        <f t="shared" si="13"/>
        <v>24</v>
      </c>
      <c r="D137" s="495"/>
      <c r="E137" s="495"/>
      <c r="F137" s="495"/>
      <c r="G137" s="496"/>
      <c r="H137" s="494">
        <f t="shared" si="11"/>
        <v>0</v>
      </c>
      <c r="I137" s="263"/>
      <c r="J137" s="263"/>
    </row>
    <row r="138" spans="1:10" ht="12.75">
      <c r="A138" s="494">
        <f t="shared" si="12"/>
        <v>25</v>
      </c>
      <c r="B138" s="494" t="s">
        <v>2203</v>
      </c>
      <c r="C138" s="495">
        <f t="shared" si="13"/>
        <v>25</v>
      </c>
      <c r="D138" s="495"/>
      <c r="E138" s="495"/>
      <c r="F138" s="495"/>
      <c r="G138" s="496"/>
      <c r="H138" s="494">
        <f t="shared" si="11"/>
        <v>0</v>
      </c>
      <c r="I138" s="263"/>
      <c r="J138" s="263"/>
    </row>
    <row r="139" spans="1:10" ht="12.75">
      <c r="A139" s="494">
        <f t="shared" si="12"/>
        <v>26</v>
      </c>
      <c r="B139" s="492" t="s">
        <v>2241</v>
      </c>
      <c r="C139" s="495">
        <f t="shared" si="13"/>
        <v>26</v>
      </c>
      <c r="D139" s="495"/>
      <c r="E139" s="495"/>
      <c r="F139" s="495"/>
      <c r="G139" s="496"/>
      <c r="H139" s="494">
        <f t="shared" si="11"/>
        <v>0</v>
      </c>
      <c r="I139" s="263"/>
      <c r="J139" s="263"/>
    </row>
    <row r="140" spans="1:10" ht="12.75">
      <c r="A140" s="494">
        <f t="shared" si="12"/>
        <v>27</v>
      </c>
      <c r="B140" s="494" t="s">
        <v>2253</v>
      </c>
      <c r="C140" s="495">
        <f t="shared" si="13"/>
        <v>27</v>
      </c>
      <c r="D140" s="495"/>
      <c r="E140" s="495"/>
      <c r="F140" s="495"/>
      <c r="G140" s="496"/>
      <c r="H140" s="494">
        <f t="shared" si="11"/>
        <v>0</v>
      </c>
      <c r="I140" s="263"/>
      <c r="J140" s="263"/>
    </row>
    <row r="141" spans="1:10" ht="12.75">
      <c r="A141" s="494">
        <f t="shared" si="12"/>
        <v>28</v>
      </c>
      <c r="B141" s="494" t="s">
        <v>2254</v>
      </c>
      <c r="C141" s="495">
        <f t="shared" si="13"/>
        <v>28</v>
      </c>
      <c r="D141" s="495"/>
      <c r="E141" s="495"/>
      <c r="F141" s="495"/>
      <c r="G141" s="496"/>
      <c r="H141" s="494">
        <f t="shared" si="11"/>
        <v>0</v>
      </c>
      <c r="I141" s="263"/>
      <c r="J141" s="263"/>
    </row>
    <row r="142" spans="1:10" ht="12.75">
      <c r="A142" s="494">
        <f t="shared" si="12"/>
        <v>29</v>
      </c>
      <c r="B142" s="494" t="s">
        <v>2255</v>
      </c>
      <c r="C142" s="495">
        <f t="shared" si="13"/>
        <v>29</v>
      </c>
      <c r="D142" s="495"/>
      <c r="E142" s="495"/>
      <c r="F142" s="495"/>
      <c r="G142" s="496"/>
      <c r="H142" s="494">
        <f t="shared" si="11"/>
        <v>0</v>
      </c>
      <c r="I142" s="263"/>
      <c r="J142" s="263"/>
    </row>
    <row r="143" spans="1:10" ht="12.75">
      <c r="A143" s="494">
        <f t="shared" si="12"/>
        <v>30</v>
      </c>
      <c r="B143" s="494" t="s">
        <v>2254</v>
      </c>
      <c r="C143" s="495">
        <f t="shared" si="13"/>
        <v>30</v>
      </c>
      <c r="D143" s="495"/>
      <c r="E143" s="495"/>
      <c r="F143" s="495"/>
      <c r="G143" s="496"/>
      <c r="H143" s="494">
        <f t="shared" si="11"/>
        <v>0</v>
      </c>
      <c r="I143" s="263"/>
      <c r="J143" s="263"/>
    </row>
    <row r="144" spans="1:10" ht="12.75">
      <c r="A144" s="342"/>
      <c r="B144" s="342"/>
      <c r="C144" s="490"/>
      <c r="D144" s="490"/>
      <c r="E144" s="490"/>
      <c r="F144" s="490"/>
      <c r="G144" s="491"/>
      <c r="H144" s="342"/>
      <c r="I144" s="263"/>
      <c r="J144" s="263"/>
    </row>
    <row r="145" spans="1:10" ht="12.75">
      <c r="A145" s="998" t="s">
        <v>2256</v>
      </c>
      <c r="B145" s="998"/>
      <c r="C145" s="998"/>
      <c r="D145" s="998"/>
      <c r="E145" s="998"/>
      <c r="F145" s="998"/>
      <c r="G145" s="998"/>
      <c r="H145" s="998"/>
      <c r="I145" s="263"/>
      <c r="J145" s="263"/>
    </row>
    <row r="146" spans="1:10" ht="12.75">
      <c r="A146" s="342"/>
      <c r="B146" s="342"/>
      <c r="C146" s="490"/>
      <c r="D146" s="490"/>
      <c r="E146" s="490"/>
      <c r="F146" s="490"/>
      <c r="G146" s="491"/>
      <c r="H146" s="342"/>
      <c r="I146" s="263"/>
      <c r="J146" s="263"/>
    </row>
    <row r="147" spans="1:10" ht="38.25">
      <c r="A147" s="492" t="s">
        <v>2222</v>
      </c>
      <c r="B147" s="492" t="s">
        <v>2223</v>
      </c>
      <c r="C147" s="493"/>
      <c r="D147" s="493"/>
      <c r="E147" s="493"/>
      <c r="F147" s="493"/>
      <c r="G147" s="493"/>
      <c r="H147" s="517" t="s">
        <v>2257</v>
      </c>
      <c r="I147" s="517" t="s">
        <v>2258</v>
      </c>
      <c r="J147" s="263"/>
    </row>
    <row r="148" spans="1:10" ht="12.75">
      <c r="A148" s="494">
        <v>1</v>
      </c>
      <c r="B148" s="494" t="s">
        <v>2259</v>
      </c>
      <c r="C148" s="495"/>
      <c r="D148" s="495"/>
      <c r="E148" s="495"/>
      <c r="F148" s="495"/>
      <c r="G148" s="496"/>
      <c r="H148" s="494"/>
      <c r="I148" s="494"/>
      <c r="J148" s="263"/>
    </row>
    <row r="149" spans="1:10" ht="12.75">
      <c r="A149" s="494">
        <v>2</v>
      </c>
      <c r="B149" s="494" t="s">
        <v>2260</v>
      </c>
      <c r="C149" s="495"/>
      <c r="D149" s="495"/>
      <c r="E149" s="495"/>
      <c r="F149" s="495"/>
      <c r="G149" s="496"/>
      <c r="H149" s="494"/>
      <c r="I149" s="494"/>
      <c r="J149" s="263"/>
    </row>
    <row r="150" spans="1:10" ht="12.75">
      <c r="A150" s="494">
        <v>3</v>
      </c>
      <c r="B150" s="494" t="s">
        <v>2233</v>
      </c>
      <c r="C150" s="495"/>
      <c r="D150" s="495"/>
      <c r="E150" s="495"/>
      <c r="F150" s="495"/>
      <c r="G150" s="496"/>
      <c r="H150" s="494"/>
      <c r="I150" s="494"/>
      <c r="J150" s="263"/>
    </row>
    <row r="151" spans="1:10" ht="12.75">
      <c r="A151" s="494"/>
      <c r="B151" s="494" t="s">
        <v>2261</v>
      </c>
      <c r="C151" s="495"/>
      <c r="D151" s="495"/>
      <c r="E151" s="495"/>
      <c r="F151" s="495"/>
      <c r="G151" s="496"/>
      <c r="H151" s="494"/>
      <c r="I151" s="494"/>
      <c r="J151" s="263"/>
    </row>
    <row r="152" spans="1:10" ht="12.75">
      <c r="A152" s="494">
        <v>4</v>
      </c>
      <c r="B152" s="494" t="s">
        <v>2262</v>
      </c>
      <c r="C152" s="495"/>
      <c r="D152" s="495"/>
      <c r="E152" s="495"/>
      <c r="F152" s="495"/>
      <c r="G152" s="496"/>
      <c r="H152" s="494"/>
      <c r="I152" s="494"/>
      <c r="J152" s="263"/>
    </row>
    <row r="153" spans="1:10" ht="12.75">
      <c r="A153" s="494">
        <v>5</v>
      </c>
      <c r="B153" s="494" t="s">
        <v>2263</v>
      </c>
      <c r="C153" s="495"/>
      <c r="D153" s="495"/>
      <c r="E153" s="495"/>
      <c r="F153" s="495"/>
      <c r="G153" s="496"/>
      <c r="H153" s="494"/>
      <c r="I153" s="494"/>
      <c r="J153" s="263"/>
    </row>
    <row r="154" spans="1:10" ht="12.75">
      <c r="A154" s="494">
        <v>6</v>
      </c>
      <c r="B154" s="494" t="s">
        <v>2264</v>
      </c>
      <c r="C154" s="495"/>
      <c r="D154" s="495"/>
      <c r="E154" s="495"/>
      <c r="F154" s="495"/>
      <c r="G154" s="496"/>
      <c r="H154" s="494"/>
      <c r="I154" s="494"/>
      <c r="J154" s="263"/>
    </row>
    <row r="155" spans="1:10" ht="12.75">
      <c r="A155" s="494"/>
      <c r="B155" s="494" t="s">
        <v>2265</v>
      </c>
      <c r="C155" s="495"/>
      <c r="D155" s="495"/>
      <c r="E155" s="495"/>
      <c r="F155" s="495"/>
      <c r="G155" s="496"/>
      <c r="H155" s="494"/>
      <c r="I155" s="494"/>
      <c r="J155" s="263"/>
    </row>
    <row r="156" spans="1:10" ht="12.75">
      <c r="A156" s="342"/>
      <c r="B156" s="342"/>
      <c r="C156" s="490"/>
      <c r="D156" s="490"/>
      <c r="E156" s="490"/>
      <c r="F156" s="490"/>
      <c r="G156" s="491"/>
      <c r="H156" s="342"/>
      <c r="I156" s="263"/>
      <c r="J156" s="263"/>
    </row>
    <row r="157" spans="1:10" ht="12.75">
      <c r="A157" s="342"/>
      <c r="B157" s="342"/>
      <c r="C157" s="490"/>
      <c r="D157" s="490"/>
      <c r="E157" s="490"/>
      <c r="F157" s="490"/>
      <c r="G157" s="491"/>
      <c r="H157" s="342"/>
      <c r="I157" s="263"/>
      <c r="J157" s="263"/>
    </row>
    <row r="158" spans="1:10">
      <c r="A158" s="497"/>
      <c r="B158" s="498"/>
      <c r="C158" s="499"/>
      <c r="D158" s="500"/>
      <c r="E158" s="500"/>
      <c r="F158" s="500"/>
      <c r="G158" s="501"/>
      <c r="H158" s="500"/>
      <c r="I158" s="263"/>
      <c r="J158" s="263"/>
    </row>
    <row r="159" spans="1:10">
      <c r="A159" s="272"/>
      <c r="B159" s="263"/>
      <c r="H159" s="263"/>
      <c r="I159" s="263"/>
      <c r="J159" s="263"/>
    </row>
    <row r="160" spans="1:10">
      <c r="A160" s="263" t="s">
        <v>1138</v>
      </c>
      <c r="B160" s="263"/>
      <c r="H160" s="263"/>
      <c r="I160" s="263"/>
      <c r="J160" s="263"/>
    </row>
    <row r="161" spans="1:10">
      <c r="A161" s="263"/>
      <c r="B161" s="263"/>
      <c r="H161" s="263"/>
      <c r="I161" s="263"/>
      <c r="J161" s="263"/>
    </row>
    <row r="162" spans="1:10">
      <c r="A162" s="263"/>
      <c r="B162" s="263"/>
      <c r="H162" s="263"/>
      <c r="I162" s="263"/>
      <c r="J162" s="263"/>
    </row>
    <row r="163" spans="1:10">
      <c r="A163" s="263" t="str">
        <f>+[3]Tax_1!B102</f>
        <v>Дарга  /Захирал/:    . . . . . . . . . . . . . . . . . . .  /Д.Бахдамдэмбэрэл /</v>
      </c>
      <c r="C163" s="273"/>
      <c r="D163" s="273"/>
      <c r="E163" s="273"/>
      <c r="F163" s="273"/>
      <c r="G163" s="274"/>
      <c r="H163" s="263"/>
      <c r="I163" s="263"/>
      <c r="J163" s="263"/>
    </row>
    <row r="164" spans="1:10">
      <c r="A164" s="263"/>
      <c r="C164" s="273"/>
      <c r="D164" s="273"/>
      <c r="E164" s="273"/>
      <c r="F164" s="273"/>
      <c r="G164" s="274"/>
      <c r="H164" s="263"/>
      <c r="I164" s="263"/>
      <c r="J164" s="263"/>
    </row>
    <row r="165" spans="1:10">
      <c r="A165" s="263" t="str">
        <f>+[3]Tax_1!B104</f>
        <v>Ерөнхий нягтлан бодогч: . . . . . . . . . . . . . . /Б.Түмэндэлгэр/</v>
      </c>
      <c r="B165" s="263"/>
      <c r="C165" s="273"/>
      <c r="D165" s="273"/>
      <c r="E165" s="273"/>
      <c r="F165" s="273"/>
      <c r="G165" s="274"/>
      <c r="H165" s="263"/>
      <c r="I165" s="263"/>
      <c r="J165" s="263"/>
    </row>
    <row r="166" spans="1:10">
      <c r="A166" s="263"/>
      <c r="B166" s="263"/>
      <c r="H166" s="263"/>
      <c r="I166" s="263"/>
      <c r="J166" s="263"/>
    </row>
    <row r="167" spans="1:10">
      <c r="A167" s="263" t="s">
        <v>1010</v>
      </c>
      <c r="B167" s="263"/>
      <c r="H167" s="263"/>
      <c r="I167" s="263"/>
      <c r="J167" s="263"/>
    </row>
    <row r="168" spans="1:10">
      <c r="A168" s="263"/>
      <c r="B168" s="263" t="str">
        <f>+'company '!C22</f>
        <v>2017 оны 12 сарын 31</v>
      </c>
      <c r="C168" s="273" t="s">
        <v>1139</v>
      </c>
      <c r="D168" s="273"/>
      <c r="E168" s="273"/>
      <c r="F168" s="273"/>
      <c r="G168" s="274"/>
      <c r="H168" s="263"/>
      <c r="I168" s="263"/>
      <c r="J168" s="263"/>
    </row>
    <row r="169" spans="1:10">
      <c r="H169" s="263"/>
      <c r="J169" s="263"/>
    </row>
    <row r="170" spans="1:10">
      <c r="A170" s="263"/>
      <c r="B170" s="263"/>
      <c r="H170" s="263"/>
      <c r="I170" s="263"/>
      <c r="J170" s="263"/>
    </row>
    <row r="171" spans="1:10">
      <c r="A171" s="272"/>
      <c r="B171" s="263"/>
      <c r="H171" s="263"/>
      <c r="I171" s="263"/>
      <c r="J171" s="263"/>
    </row>
  </sheetData>
  <sheetProtection password="DFC0" sheet="1" objects="1" scenarios="1"/>
  <mergeCells count="15">
    <mergeCell ref="A49:A91"/>
    <mergeCell ref="A46:B47"/>
    <mergeCell ref="C46:C47"/>
    <mergeCell ref="H46:H47"/>
    <mergeCell ref="A145:H145"/>
    <mergeCell ref="A95:H95"/>
    <mergeCell ref="A97:B97"/>
    <mergeCell ref="A98:A106"/>
    <mergeCell ref="A109:H109"/>
    <mergeCell ref="A111:H111"/>
    <mergeCell ref="A6:H6"/>
    <mergeCell ref="A22:H22"/>
    <mergeCell ref="B43:I43"/>
    <mergeCell ref="A41:H41"/>
    <mergeCell ref="A48:B48"/>
  </mergeCells>
  <pageMargins left="0.49" right="0.31" top="0.75" bottom="0.75" header="0.3" footer="0.3"/>
  <pageSetup fitToHeight="0" orientation="portrait" horizontalDpi="0" verticalDpi="0" r:id="rId1"/>
  <ignoredErrors>
    <ignoredError sqref="H52:H64 H66:H75 H89 H98:H106" formulaRange="1"/>
  </ignoredErrors>
</worksheet>
</file>

<file path=xl/worksheets/sheet24.xml><?xml version="1.0" encoding="utf-8"?>
<worksheet xmlns="http://schemas.openxmlformats.org/spreadsheetml/2006/main" xmlns:r="http://schemas.openxmlformats.org/officeDocument/2006/relationships">
  <sheetPr>
    <pageSetUpPr fitToPage="1"/>
  </sheetPr>
  <dimension ref="A1:R70"/>
  <sheetViews>
    <sheetView topLeftCell="A43" workbookViewId="0">
      <selection activeCell="F26" sqref="F26"/>
    </sheetView>
  </sheetViews>
  <sheetFormatPr defaultRowHeight="12.75"/>
  <cols>
    <col min="1" max="1" width="2.85546875" style="771" customWidth="1"/>
    <col min="2" max="2" width="9" style="771" customWidth="1"/>
    <col min="3" max="3" width="45.42578125" style="771" customWidth="1"/>
    <col min="4" max="4" width="6.42578125" style="775" customWidth="1"/>
    <col min="5" max="5" width="14.5703125" style="773" customWidth="1"/>
    <col min="6" max="6" width="15" style="772" customWidth="1"/>
    <col min="7" max="7" width="7.7109375" style="771" customWidth="1"/>
    <col min="8" max="8" width="12.85546875" style="771" bestFit="1" customWidth="1"/>
    <col min="9" max="9" width="15.7109375" style="907" bestFit="1" customWidth="1"/>
    <col min="10" max="10" width="9.28515625" style="771" bestFit="1" customWidth="1"/>
    <col min="11" max="11" width="12.140625" style="771" bestFit="1" customWidth="1"/>
    <col min="12" max="12" width="12.7109375" style="774" bestFit="1" customWidth="1"/>
    <col min="13" max="14" width="14.7109375" style="774" bestFit="1" customWidth="1"/>
    <col min="15" max="15" width="9.85546875" style="771" bestFit="1" customWidth="1"/>
    <col min="16" max="16" width="12" style="771" bestFit="1" customWidth="1"/>
    <col min="17" max="17" width="10.28515625" style="771" bestFit="1" customWidth="1"/>
    <col min="18" max="16384" width="9.140625" style="771"/>
  </cols>
  <sheetData>
    <row r="1" spans="1:18">
      <c r="I1" s="910"/>
      <c r="J1" s="903" t="s">
        <v>298</v>
      </c>
      <c r="K1" s="447"/>
      <c r="L1" s="448" t="s">
        <v>1985</v>
      </c>
      <c r="M1" s="1021" t="s">
        <v>1986</v>
      </c>
      <c r="N1" s="1022"/>
      <c r="O1" s="1021" t="s">
        <v>1987</v>
      </c>
      <c r="P1" s="1022"/>
    </row>
    <row r="2" spans="1:18">
      <c r="D2" s="772"/>
      <c r="F2" s="902" t="s">
        <v>2628</v>
      </c>
      <c r="I2" s="911"/>
      <c r="J2" s="904" t="s">
        <v>1989</v>
      </c>
      <c r="K2" s="450" t="s">
        <v>1990</v>
      </c>
      <c r="L2" s="448" t="s">
        <v>1991</v>
      </c>
      <c r="M2" s="451" t="s">
        <v>2767</v>
      </c>
      <c r="N2" s="451" t="s">
        <v>2766</v>
      </c>
      <c r="O2" s="451" t="s">
        <v>2767</v>
      </c>
      <c r="P2" s="451" t="s">
        <v>2766</v>
      </c>
    </row>
    <row r="3" spans="1:18">
      <c r="E3" s="772"/>
      <c r="F3" s="902" t="s">
        <v>1140</v>
      </c>
      <c r="I3" s="911"/>
      <c r="J3" s="905">
        <v>42705</v>
      </c>
      <c r="K3" s="454">
        <v>42735</v>
      </c>
      <c r="L3" s="376"/>
      <c r="M3" s="382">
        <f>+SUMIFS(JURNAL!G:G,JURNAL!E:E,120800,JURNAL!C:C,"&gt;="&amp;J3,JURNAL!C:C,"&lt;="&amp;K3)-L3</f>
        <v>0</v>
      </c>
      <c r="N3" s="382">
        <f>+SUMIFS(JURNAL!H:H,JURNAL!E:E,310700,JURNAL!C:C,"&gt;="&amp;J3,JURNAL!C:C,"&lt;="&amp;K3)</f>
        <v>0</v>
      </c>
      <c r="O3" s="382">
        <f>+STAT1!H27</f>
        <v>194165.4299999997</v>
      </c>
      <c r="P3" s="382">
        <f>+STAT1!I113</f>
        <v>0</v>
      </c>
    </row>
    <row r="4" spans="1:18">
      <c r="I4" s="911"/>
      <c r="J4" s="905">
        <v>42736</v>
      </c>
      <c r="K4" s="454">
        <v>42766</v>
      </c>
      <c r="L4" s="376"/>
      <c r="M4" s="382">
        <f>+SUMIFS(JURNAL!G:G,JURNAL!E:E,120800,JURNAL!C:C,"&gt;="&amp;J4,JURNAL!C:C,"&lt;="&amp;K4)-L4</f>
        <v>0</v>
      </c>
      <c r="N4" s="382">
        <f>+SUMIFS(JURNAL!H:H,JURNAL!E:E,310700,JURNAL!C:C,"&gt;="&amp;J4,JURNAL!C:C,"&lt;="&amp;K4)</f>
        <v>787124.58333333337</v>
      </c>
      <c r="O4" s="382">
        <f t="shared" ref="O4:O15" si="0">+IF((O3+L4+M4-P3-N4)&gt;0,(O3+L4+M4-P3-N4),0)</f>
        <v>0</v>
      </c>
      <c r="P4" s="382">
        <f t="shared" ref="P4:P15" si="1">+IF((P3+N4-O3-L4-M4)&gt;0,(P3+N4-O3-L4-M4),0)</f>
        <v>592959.15333333367</v>
      </c>
    </row>
    <row r="5" spans="1:18" ht="13.5" thickBot="1">
      <c r="A5" s="776"/>
      <c r="B5" s="776"/>
      <c r="C5" s="1007" t="s">
        <v>1141</v>
      </c>
      <c r="D5" s="1007"/>
      <c r="E5" s="1007"/>
      <c r="F5" s="1007"/>
      <c r="G5" s="777"/>
      <c r="I5" s="906"/>
      <c r="J5" s="905">
        <v>42767</v>
      </c>
      <c r="K5" s="454">
        <v>42794</v>
      </c>
      <c r="L5" s="382"/>
      <c r="M5" s="382">
        <f>+SUMIFS(JURNAL!G:G,JURNAL!E:E,120800,JURNAL!C:C,"&gt;="&amp;J5,JURNAL!C:C,"&lt;="&amp;K5)-L5</f>
        <v>0</v>
      </c>
      <c r="N5" s="382">
        <f>+SUMIFS(JURNAL!H:H,JURNAL!E:E,310700,JURNAL!C:C,"&gt;="&amp;J5,JURNAL!C:C,"&lt;="&amp;K5)</f>
        <v>818149.35</v>
      </c>
      <c r="O5" s="382">
        <f t="shared" si="0"/>
        <v>0</v>
      </c>
      <c r="P5" s="382">
        <f t="shared" si="1"/>
        <v>1411108.5033333336</v>
      </c>
    </row>
    <row r="6" spans="1:18" ht="13.5" thickTop="1">
      <c r="A6" s="1008" t="s">
        <v>1142</v>
      </c>
      <c r="B6" s="1008"/>
      <c r="C6" s="1008"/>
      <c r="D6" s="1008"/>
      <c r="E6" s="1008"/>
      <c r="F6" s="1008"/>
      <c r="I6" s="906"/>
      <c r="J6" s="905">
        <v>42795</v>
      </c>
      <c r="K6" s="454">
        <v>42825</v>
      </c>
      <c r="L6" s="382"/>
      <c r="M6" s="382">
        <f>+SUMIFS(JURNAL!G:G,JURNAL!E:E,120800,JURNAL!C:C,"&gt;="&amp;J6,JURNAL!C:C,"&lt;="&amp;K6)-L6</f>
        <v>0</v>
      </c>
      <c r="N6" s="382">
        <f>+SUMIFS(JURNAL!H:H,JURNAL!E:E,310700,JURNAL!C:C,"&gt;="&amp;J6,JURNAL!C:C,"&lt;="&amp;K6)</f>
        <v>797149.27272727271</v>
      </c>
      <c r="O6" s="382">
        <f t="shared" si="0"/>
        <v>0</v>
      </c>
      <c r="P6" s="382">
        <f t="shared" si="1"/>
        <v>2208257.7760606064</v>
      </c>
    </row>
    <row r="7" spans="1:18">
      <c r="A7" s="1009" t="s">
        <v>1143</v>
      </c>
      <c r="B7" s="1009"/>
      <c r="C7" s="1009"/>
      <c r="D7" s="1009"/>
      <c r="E7" s="1009"/>
      <c r="F7" s="1009"/>
      <c r="I7" s="906"/>
      <c r="J7" s="905">
        <v>42826</v>
      </c>
      <c r="K7" s="454">
        <v>42855</v>
      </c>
      <c r="L7" s="382"/>
      <c r="M7" s="382">
        <f>+SUMIFS(JURNAL!G:G,JURNAL!E:E,120800,JURNAL!C:C,"&gt;="&amp;J7,JURNAL!C:C,"&lt;="&amp;K7)-L7</f>
        <v>0</v>
      </c>
      <c r="N7" s="382">
        <f>+SUMIFS(JURNAL!H:H,JURNAL!E:E,310700,JURNAL!C:C,"&gt;="&amp;J7,JURNAL!C:C,"&lt;="&amp;K7)</f>
        <v>823098.625</v>
      </c>
      <c r="O7" s="382">
        <f t="shared" si="0"/>
        <v>0</v>
      </c>
      <c r="P7" s="382">
        <f t="shared" si="1"/>
        <v>3031356.4010606064</v>
      </c>
    </row>
    <row r="8" spans="1:18">
      <c r="A8" s="778" t="str">
        <f>+'TT-02'!A8</f>
        <v>1. ТТД:  |_2_|_0_|_1_|_8_|_9_|_4_|_2_|              2. Нэр ШИНЭСТ ХК</v>
      </c>
      <c r="B8" s="779"/>
      <c r="C8" s="779"/>
      <c r="D8" s="779"/>
      <c r="E8" s="780"/>
      <c r="F8" s="781"/>
      <c r="I8" s="906"/>
      <c r="J8" s="905">
        <v>42856</v>
      </c>
      <c r="K8" s="454">
        <v>42886</v>
      </c>
      <c r="L8" s="382"/>
      <c r="M8" s="382">
        <f>+SUMIFS(JURNAL!G:G,JURNAL!E:E,120800,JURNAL!C:C,"&gt;="&amp;J8,JURNAL!C:C,"&lt;="&amp;K8)-L8</f>
        <v>3000000</v>
      </c>
      <c r="N8" s="382">
        <f>+SUMIFS(JURNAL!H:H,JURNAL!E:E,310700,JURNAL!C:C,"&gt;="&amp;J8,JURNAL!C:C,"&lt;="&amp;K8)</f>
        <v>812228.40740740742</v>
      </c>
      <c r="O8" s="382">
        <f t="shared" si="0"/>
        <v>0</v>
      </c>
      <c r="P8" s="382">
        <f t="shared" si="1"/>
        <v>843584.808468014</v>
      </c>
    </row>
    <row r="9" spans="1:18" ht="12.75" customHeight="1">
      <c r="A9" s="778"/>
      <c r="C9" s="779"/>
      <c r="D9" s="1010" t="s">
        <v>1144</v>
      </c>
      <c r="E9" s="1010"/>
      <c r="F9" s="1010"/>
      <c r="I9" s="906"/>
      <c r="J9" s="905">
        <v>42887</v>
      </c>
      <c r="K9" s="454">
        <v>42916</v>
      </c>
      <c r="L9" s="382"/>
      <c r="M9" s="382">
        <f>+SUMIFS(JURNAL!G:G,JURNAL!E:E,120800,JURNAL!C:C,"&gt;="&amp;J9,JURNAL!C:C,"&lt;="&amp;K9)-L9</f>
        <v>0</v>
      </c>
      <c r="N9" s="382">
        <f>+SUMIFS(JURNAL!H:H,JURNAL!E:E,310700,JURNAL!C:C,"&gt;="&amp;J9,JURNAL!C:C,"&lt;="&amp;K9)</f>
        <v>844925.25029999996</v>
      </c>
      <c r="O9" s="382">
        <f t="shared" si="0"/>
        <v>0</v>
      </c>
      <c r="P9" s="382">
        <f t="shared" si="1"/>
        <v>1688510.058768014</v>
      </c>
    </row>
    <row r="10" spans="1:18">
      <c r="A10" s="782" t="str">
        <f>CONCATENATE("4. Тайлант хугацаа:    ",'company '!C24)</f>
        <v>4. Тайлант хугацаа:    |_2_|_0_|_1_|_7_|  улирал |_4_|</v>
      </c>
      <c r="B10" s="779"/>
      <c r="C10" s="779"/>
      <c r="D10" s="1006" t="s">
        <v>1145</v>
      </c>
      <c r="E10" s="1006"/>
      <c r="F10" s="1006"/>
      <c r="I10" s="906"/>
      <c r="J10" s="905">
        <v>42917</v>
      </c>
      <c r="K10" s="454">
        <v>42947</v>
      </c>
      <c r="L10" s="382"/>
      <c r="M10" s="382">
        <f>+SUMIFS(JURNAL!G:G,JURNAL!E:E,120800,JURNAL!C:C,"&gt;="&amp;J10,JURNAL!C:C,"&lt;="&amp;K10)-L10</f>
        <v>0</v>
      </c>
      <c r="N10" s="382">
        <f>+SUMIFS(JURNAL!H:H,JURNAL!E:E,310700,JURNAL!C:C,"&gt;="&amp;J10,JURNAL!C:C,"&lt;="&amp;K10)</f>
        <v>812973.7714285712</v>
      </c>
      <c r="O10" s="382">
        <f t="shared" si="0"/>
        <v>0</v>
      </c>
      <c r="P10" s="382">
        <f t="shared" si="1"/>
        <v>2501483.830196585</v>
      </c>
    </row>
    <row r="11" spans="1:18">
      <c r="A11" s="782"/>
      <c r="B11" s="779"/>
      <c r="C11" s="779"/>
      <c r="D11" s="1006" t="s">
        <v>1146</v>
      </c>
      <c r="E11" s="1006"/>
      <c r="F11" s="1006"/>
      <c r="I11" s="906"/>
      <c r="J11" s="905">
        <v>42948</v>
      </c>
      <c r="K11" s="454">
        <v>42978</v>
      </c>
      <c r="L11" s="382"/>
      <c r="M11" s="382">
        <f>+SUMIFS(JURNAL!G:G,JURNAL!E:E,120800,JURNAL!C:C,"&gt;="&amp;J11,JURNAL!C:C,"&lt;="&amp;K11)-L11</f>
        <v>0</v>
      </c>
      <c r="N11" s="382">
        <f>+SUMIFS(JURNAL!H:H,JURNAL!E:E,310700,JURNAL!C:C,"&gt;="&amp;J11,JURNAL!C:C,"&lt;="&amp;K11)</f>
        <v>848252.47916666674</v>
      </c>
      <c r="O11" s="382">
        <f t="shared" si="0"/>
        <v>0</v>
      </c>
      <c r="P11" s="382">
        <f t="shared" si="1"/>
        <v>3349736.3093632516</v>
      </c>
    </row>
    <row r="12" spans="1:18">
      <c r="A12" s="778"/>
      <c r="B12" s="779"/>
      <c r="C12" s="779"/>
      <c r="D12" s="1009"/>
      <c r="E12" s="1009"/>
      <c r="F12" s="1009"/>
      <c r="I12" s="906"/>
      <c r="J12" s="905">
        <v>42979</v>
      </c>
      <c r="K12" s="454">
        <v>43008</v>
      </c>
      <c r="L12" s="382"/>
      <c r="M12" s="382">
        <f>+SUMIFS(JURNAL!G:G,JURNAL!E:E,120800,JURNAL!C:C,"&gt;="&amp;J12,JURNAL!C:C,"&lt;="&amp;K12)-L12</f>
        <v>0</v>
      </c>
      <c r="N12" s="382">
        <f>+SUMIFS(JURNAL!H:H,JURNAL!E:E,310700,JURNAL!C:C,"&gt;="&amp;J12,JURNAL!C:C,"&lt;="&amp;K12)</f>
        <v>804641.76</v>
      </c>
      <c r="O12" s="382">
        <f t="shared" si="0"/>
        <v>0</v>
      </c>
      <c r="P12" s="382">
        <f t="shared" si="1"/>
        <v>4154378.0693632513</v>
      </c>
    </row>
    <row r="13" spans="1:18">
      <c r="A13" s="771" t="s">
        <v>1147</v>
      </c>
      <c r="D13" s="1013" t="s">
        <v>1148</v>
      </c>
      <c r="E13" s="1013"/>
      <c r="F13" s="1013"/>
      <c r="I13" s="906"/>
      <c r="J13" s="905">
        <v>43009</v>
      </c>
      <c r="K13" s="454">
        <v>43039</v>
      </c>
      <c r="L13" s="382"/>
      <c r="M13" s="382">
        <f>+SUMIFS(JURNAL!G:G,JURNAL!E:E,120800,JURNAL!C:C,"&gt;="&amp;J13,JURNAL!C:C,"&lt;="&amp;K13)-L13</f>
        <v>0</v>
      </c>
      <c r="N13" s="382">
        <f>+SUMIFS(JURNAL!H:H,JURNAL!E:E,310700,JURNAL!C:C,"&gt;="&amp;J13,JURNAL!C:C,"&lt;="&amp;K13)</f>
        <v>918700.07499999995</v>
      </c>
      <c r="O13" s="382">
        <f t="shared" si="0"/>
        <v>0</v>
      </c>
      <c r="P13" s="382">
        <f t="shared" si="1"/>
        <v>5073078.1443632515</v>
      </c>
    </row>
    <row r="14" spans="1:18">
      <c r="D14" s="775" t="s">
        <v>1149</v>
      </c>
      <c r="I14" s="906"/>
      <c r="J14" s="905">
        <v>43040</v>
      </c>
      <c r="K14" s="454">
        <v>43069</v>
      </c>
      <c r="L14" s="376"/>
      <c r="M14" s="382">
        <f>+SUMIFS(JURNAL!G:G,JURNAL!E:E,120800,JURNAL!C:C,"&gt;="&amp;J14,JURNAL!C:C,"&lt;="&amp;K14)-L14</f>
        <v>0</v>
      </c>
      <c r="N14" s="382">
        <f>+SUMIFS(JURNAL!H:H,JURNAL!E:E,310700,JURNAL!C:C,"&gt;="&amp;J14,JURNAL!C:C,"&lt;="&amp;K14)</f>
        <v>1054075.7600000002</v>
      </c>
      <c r="O14" s="382">
        <f t="shared" si="0"/>
        <v>0</v>
      </c>
      <c r="P14" s="382">
        <f t="shared" si="1"/>
        <v>6127153.9043632522</v>
      </c>
    </row>
    <row r="15" spans="1:18">
      <c r="A15" s="783" t="s">
        <v>1150</v>
      </c>
      <c r="D15" s="1014"/>
      <c r="E15" s="1014"/>
      <c r="F15" s="1014"/>
      <c r="I15" s="906"/>
      <c r="J15" s="905">
        <v>43070</v>
      </c>
      <c r="K15" s="454">
        <v>43100</v>
      </c>
      <c r="L15" s="382"/>
      <c r="M15" s="382">
        <f>+SUMIFS(JURNAL!G:G,JURNAL!E:E,120800,JURNAL!C:C,"&gt;="&amp;J15,JURNAL!C:C,"&lt;="&amp;K15)-L15</f>
        <v>7200000</v>
      </c>
      <c r="N15" s="382">
        <f>+SUMIFS(JURNAL!H:H,JURNAL!E:E,310700,JURNAL!C:C,"&gt;="&amp;J15,JURNAL!C:C,"&lt;="&amp;K15)</f>
        <v>1018847.9272727275</v>
      </c>
      <c r="O15" s="382">
        <f t="shared" si="0"/>
        <v>53998.168364020297</v>
      </c>
      <c r="P15" s="382">
        <f t="shared" si="1"/>
        <v>0</v>
      </c>
      <c r="Q15" s="803"/>
      <c r="R15" s="803"/>
    </row>
    <row r="16" spans="1:18" ht="25.5">
      <c r="A16" s="784"/>
      <c r="B16" s="1015" t="s">
        <v>1151</v>
      </c>
      <c r="C16" s="1015"/>
      <c r="D16" s="785" t="s">
        <v>1152</v>
      </c>
      <c r="E16" s="786" t="s">
        <v>1153</v>
      </c>
      <c r="F16" s="787" t="s">
        <v>1154</v>
      </c>
      <c r="I16" s="906"/>
      <c r="J16" s="905" t="s">
        <v>2001</v>
      </c>
      <c r="K16" s="454"/>
      <c r="L16" s="382">
        <f>SUM(L4:L15)</f>
        <v>0</v>
      </c>
      <c r="M16" s="382">
        <f>SUM(M4:M15)</f>
        <v>10200000</v>
      </c>
      <c r="N16" s="382">
        <f>SUM(N4:N15)</f>
        <v>10340167.26163598</v>
      </c>
      <c r="O16" s="382"/>
      <c r="P16" s="382"/>
    </row>
    <row r="17" spans="1:14">
      <c r="A17" s="784"/>
      <c r="B17" s="1016" t="s">
        <v>1155</v>
      </c>
      <c r="C17" s="1016"/>
      <c r="D17" s="785" t="s">
        <v>1156</v>
      </c>
      <c r="E17" s="786" t="s">
        <v>1157</v>
      </c>
      <c r="F17" s="787" t="s">
        <v>1158</v>
      </c>
    </row>
    <row r="18" spans="1:14" s="791" customFormat="1" ht="24.75" customHeight="1">
      <c r="A18" s="1017" t="s">
        <v>1159</v>
      </c>
      <c r="B18" s="1017"/>
      <c r="C18" s="1017"/>
      <c r="D18" s="788">
        <v>1</v>
      </c>
      <c r="E18" s="789">
        <v>28</v>
      </c>
      <c r="F18" s="790">
        <f>+F19+F20</f>
        <v>132535051.60610096</v>
      </c>
      <c r="I18" s="908"/>
      <c r="L18" s="792"/>
      <c r="M18" s="792"/>
      <c r="N18" s="792"/>
    </row>
    <row r="19" spans="1:14" ht="52.5" customHeight="1">
      <c r="A19" s="793"/>
      <c r="B19" s="1018" t="s">
        <v>1300</v>
      </c>
      <c r="C19" s="1018"/>
      <c r="D19" s="788">
        <f>+D18+1</f>
        <v>2</v>
      </c>
      <c r="E19" s="789">
        <v>28</v>
      </c>
      <c r="F19" s="790">
        <f>+'TT-11(1)'!$E$54</f>
        <v>132535051.60610096</v>
      </c>
    </row>
    <row r="20" spans="1:14" s="796" customFormat="1" ht="48" customHeight="1">
      <c r="A20" s="793"/>
      <c r="B20" s="1018" t="s">
        <v>1160</v>
      </c>
      <c r="C20" s="1018"/>
      <c r="D20" s="788">
        <f t="shared" ref="D20:D55" si="2">+D19+1</f>
        <v>3</v>
      </c>
      <c r="E20" s="794"/>
      <c r="F20" s="795"/>
      <c r="I20" s="909"/>
      <c r="L20" s="797"/>
      <c r="M20" s="797"/>
      <c r="N20" s="797"/>
    </row>
    <row r="21" spans="1:14" s="796" customFormat="1" ht="18" customHeight="1">
      <c r="A21" s="1012" t="s">
        <v>1161</v>
      </c>
      <c r="B21" s="1012"/>
      <c r="C21" s="1012"/>
      <c r="D21" s="788">
        <f t="shared" si="2"/>
        <v>4</v>
      </c>
      <c r="E21" s="794">
        <v>28</v>
      </c>
      <c r="F21" s="795">
        <f>+'TT-11(1)'!$H$54</f>
        <v>13166545.166664222</v>
      </c>
      <c r="I21" s="909"/>
      <c r="L21" s="797"/>
      <c r="M21" s="797"/>
      <c r="N21" s="797"/>
    </row>
    <row r="22" spans="1:14" s="796" customFormat="1" ht="12.75" customHeight="1">
      <c r="A22" s="1012" t="s">
        <v>1162</v>
      </c>
      <c r="B22" s="1012"/>
      <c r="C22" s="1012"/>
      <c r="D22" s="788">
        <f t="shared" si="2"/>
        <v>5</v>
      </c>
      <c r="E22" s="794">
        <v>28</v>
      </c>
      <c r="F22" s="795">
        <f>+F19-F21</f>
        <v>119368506.43943673</v>
      </c>
      <c r="I22" s="909"/>
      <c r="L22" s="797"/>
      <c r="M22" s="797"/>
      <c r="N22" s="797"/>
    </row>
    <row r="23" spans="1:14" s="796" customFormat="1" ht="12.75" customHeight="1">
      <c r="A23" s="1012" t="s">
        <v>1163</v>
      </c>
      <c r="B23" s="1012"/>
      <c r="C23" s="1012"/>
      <c r="D23" s="788">
        <f t="shared" si="2"/>
        <v>6</v>
      </c>
      <c r="E23" s="794">
        <v>28</v>
      </c>
      <c r="F23" s="795">
        <f>+F22*0.1</f>
        <v>11936850.643943675</v>
      </c>
      <c r="H23" s="798"/>
      <c r="I23" s="909"/>
      <c r="L23" s="797"/>
      <c r="M23" s="797"/>
      <c r="N23" s="797"/>
    </row>
    <row r="24" spans="1:14" s="796" customFormat="1" ht="22.5" customHeight="1">
      <c r="A24" s="1012" t="s">
        <v>1164</v>
      </c>
      <c r="B24" s="1012"/>
      <c r="C24" s="1012"/>
      <c r="D24" s="788">
        <f t="shared" si="2"/>
        <v>7</v>
      </c>
      <c r="E24" s="794"/>
      <c r="F24" s="795"/>
      <c r="I24" s="909"/>
      <c r="L24" s="797"/>
      <c r="M24" s="797"/>
      <c r="N24" s="797"/>
    </row>
    <row r="25" spans="1:14" s="796" customFormat="1" ht="22.5" customHeight="1">
      <c r="A25" s="793"/>
      <c r="B25" s="1018" t="s">
        <v>1165</v>
      </c>
      <c r="C25" s="1018"/>
      <c r="D25" s="788">
        <f t="shared" si="2"/>
        <v>8</v>
      </c>
      <c r="E25" s="794"/>
      <c r="F25" s="795"/>
      <c r="I25" s="909"/>
      <c r="L25" s="797"/>
      <c r="M25" s="797"/>
      <c r="N25" s="797"/>
    </row>
    <row r="26" spans="1:14" s="796" customFormat="1" ht="30" customHeight="1">
      <c r="A26" s="1012" t="s">
        <v>1166</v>
      </c>
      <c r="B26" s="1012"/>
      <c r="C26" s="1012"/>
      <c r="D26" s="788">
        <f t="shared" si="2"/>
        <v>9</v>
      </c>
      <c r="E26" s="794"/>
      <c r="F26" s="795"/>
      <c r="I26" s="909"/>
      <c r="L26" s="797"/>
      <c r="M26" s="797"/>
      <c r="N26" s="797"/>
    </row>
    <row r="27" spans="1:14" s="796" customFormat="1" ht="27.75" customHeight="1">
      <c r="A27" s="799"/>
      <c r="B27" s="1018" t="s">
        <v>1167</v>
      </c>
      <c r="C27" s="1018"/>
      <c r="D27" s="788">
        <f t="shared" si="2"/>
        <v>10</v>
      </c>
      <c r="E27" s="794"/>
      <c r="F27" s="795"/>
      <c r="I27" s="909"/>
      <c r="L27" s="797"/>
      <c r="M27" s="797"/>
      <c r="N27" s="797"/>
    </row>
    <row r="28" spans="1:14" s="796" customFormat="1" ht="51" customHeight="1">
      <c r="A28" s="1012" t="s">
        <v>2672</v>
      </c>
      <c r="B28" s="1012"/>
      <c r="C28" s="1012"/>
      <c r="D28" s="788">
        <f t="shared" si="2"/>
        <v>11</v>
      </c>
      <c r="E28" s="794"/>
      <c r="F28" s="795"/>
      <c r="I28" s="909"/>
      <c r="L28" s="797"/>
      <c r="M28" s="797"/>
      <c r="N28" s="797"/>
    </row>
    <row r="29" spans="1:14" s="796" customFormat="1" ht="37.5" customHeight="1">
      <c r="A29" s="799"/>
      <c r="B29" s="1018" t="s">
        <v>1168</v>
      </c>
      <c r="C29" s="1018"/>
      <c r="D29" s="788">
        <f t="shared" si="2"/>
        <v>12</v>
      </c>
      <c r="E29" s="794"/>
      <c r="F29" s="795"/>
      <c r="I29" s="909"/>
      <c r="L29" s="797"/>
      <c r="M29" s="797"/>
      <c r="N29" s="797"/>
    </row>
    <row r="30" spans="1:14" s="796" customFormat="1" ht="34.5" customHeight="1">
      <c r="A30" s="1012" t="s">
        <v>1169</v>
      </c>
      <c r="B30" s="1012"/>
      <c r="C30" s="1012"/>
      <c r="D30" s="788">
        <f t="shared" si="2"/>
        <v>13</v>
      </c>
      <c r="E30" s="794"/>
      <c r="F30" s="795"/>
      <c r="I30" s="909"/>
      <c r="L30" s="797"/>
      <c r="M30" s="797"/>
      <c r="N30" s="797"/>
    </row>
    <row r="31" spans="1:14" s="796" customFormat="1" ht="26.25" customHeight="1">
      <c r="A31" s="799"/>
      <c r="B31" s="1018" t="s">
        <v>1170</v>
      </c>
      <c r="C31" s="1018"/>
      <c r="D31" s="788">
        <f t="shared" si="2"/>
        <v>14</v>
      </c>
      <c r="E31" s="794"/>
      <c r="F31" s="795"/>
      <c r="I31" s="909"/>
      <c r="L31" s="797"/>
      <c r="M31" s="797"/>
      <c r="N31" s="797"/>
    </row>
    <row r="32" spans="1:14" s="796" customFormat="1" ht="12.75" customHeight="1">
      <c r="A32" s="1012" t="s">
        <v>2673</v>
      </c>
      <c r="B32" s="1012"/>
      <c r="C32" s="1012"/>
      <c r="D32" s="788">
        <f t="shared" si="2"/>
        <v>15</v>
      </c>
      <c r="E32" s="794">
        <v>28</v>
      </c>
      <c r="F32" s="795">
        <f>+F23+F24+F26+F28+F30</f>
        <v>11936850.643943675</v>
      </c>
      <c r="I32" s="909"/>
      <c r="L32" s="797"/>
      <c r="M32" s="797"/>
      <c r="N32" s="797"/>
    </row>
    <row r="33" spans="1:8" ht="38.25" customHeight="1">
      <c r="A33" s="1017" t="s">
        <v>1171</v>
      </c>
      <c r="B33" s="1017"/>
      <c r="C33" s="800" t="s">
        <v>1172</v>
      </c>
      <c r="D33" s="788">
        <f t="shared" si="2"/>
        <v>16</v>
      </c>
      <c r="E33" s="789">
        <v>28</v>
      </c>
      <c r="F33" s="790">
        <f>+'TT-11(1)'!$K$54</f>
        <v>1596000</v>
      </c>
    </row>
    <row r="34" spans="1:8" ht="35.25" customHeight="1">
      <c r="A34" s="1017"/>
      <c r="B34" s="1017"/>
      <c r="C34" s="800" t="s">
        <v>1173</v>
      </c>
      <c r="D34" s="788">
        <f t="shared" si="2"/>
        <v>17</v>
      </c>
      <c r="E34" s="789"/>
      <c r="F34" s="790"/>
    </row>
    <row r="35" spans="1:8" ht="12.75" customHeight="1">
      <c r="A35" s="1012" t="s">
        <v>1174</v>
      </c>
      <c r="B35" s="1012"/>
      <c r="C35" s="1012"/>
      <c r="D35" s="788">
        <f t="shared" si="2"/>
        <v>18</v>
      </c>
      <c r="E35" s="789">
        <v>28</v>
      </c>
      <c r="F35" s="790">
        <f>+F23-F33</f>
        <v>10340850.643943675</v>
      </c>
    </row>
    <row r="36" spans="1:8">
      <c r="A36" s="801" t="s">
        <v>1175</v>
      </c>
      <c r="B36" s="802"/>
      <c r="C36" s="802"/>
      <c r="D36" s="788"/>
      <c r="E36" s="789"/>
      <c r="F36" s="790"/>
      <c r="H36" s="803"/>
    </row>
    <row r="37" spans="1:8" ht="12.75" customHeight="1">
      <c r="A37" s="1011" t="s">
        <v>1176</v>
      </c>
      <c r="B37" s="1011"/>
      <c r="C37" s="1011"/>
      <c r="D37" s="788">
        <f>+D35+1</f>
        <v>19</v>
      </c>
      <c r="E37" s="789"/>
      <c r="F37" s="790"/>
    </row>
    <row r="38" spans="1:8" ht="60" customHeight="1">
      <c r="A38" s="1011" t="s">
        <v>2674</v>
      </c>
      <c r="B38" s="1011"/>
      <c r="C38" s="1011"/>
      <c r="D38" s="788">
        <f t="shared" si="2"/>
        <v>20</v>
      </c>
      <c r="E38" s="789"/>
      <c r="F38" s="790"/>
    </row>
    <row r="39" spans="1:8" ht="30.75" customHeight="1">
      <c r="A39" s="804"/>
      <c r="B39" s="1019" t="s">
        <v>1177</v>
      </c>
      <c r="C39" s="1019"/>
      <c r="D39" s="788">
        <f t="shared" si="2"/>
        <v>21</v>
      </c>
      <c r="E39" s="789"/>
      <c r="F39" s="790"/>
    </row>
    <row r="40" spans="1:8" ht="30" customHeight="1">
      <c r="A40" s="804"/>
      <c r="B40" s="1019" t="s">
        <v>1178</v>
      </c>
      <c r="C40" s="1019"/>
      <c r="D40" s="788">
        <f t="shared" si="2"/>
        <v>22</v>
      </c>
      <c r="E40" s="789"/>
      <c r="F40" s="790"/>
    </row>
    <row r="41" spans="1:8" ht="16.5" customHeight="1">
      <c r="A41" s="804"/>
      <c r="B41" s="1019" t="s">
        <v>1179</v>
      </c>
      <c r="C41" s="1019"/>
      <c r="D41" s="788">
        <f t="shared" si="2"/>
        <v>23</v>
      </c>
      <c r="E41" s="789"/>
      <c r="F41" s="790"/>
    </row>
    <row r="42" spans="1:8" ht="12.75" customHeight="1">
      <c r="A42" s="804"/>
      <c r="B42" s="1019" t="s">
        <v>1180</v>
      </c>
      <c r="C42" s="1019"/>
      <c r="D42" s="788">
        <f t="shared" si="2"/>
        <v>24</v>
      </c>
      <c r="E42" s="789"/>
      <c r="F42" s="790"/>
    </row>
    <row r="43" spans="1:8" ht="12.75" customHeight="1">
      <c r="A43" s="804"/>
      <c r="B43" s="1019" t="s">
        <v>1181</v>
      </c>
      <c r="C43" s="1019"/>
      <c r="D43" s="788">
        <f t="shared" si="2"/>
        <v>25</v>
      </c>
      <c r="E43" s="789"/>
      <c r="F43" s="790"/>
    </row>
    <row r="44" spans="1:8" ht="27.75" customHeight="1">
      <c r="A44" s="804"/>
      <c r="B44" s="1019" t="s">
        <v>1182</v>
      </c>
      <c r="C44" s="1019"/>
      <c r="D44" s="788">
        <f t="shared" si="2"/>
        <v>26</v>
      </c>
      <c r="E44" s="789"/>
      <c r="F44" s="790"/>
    </row>
    <row r="45" spans="1:8" ht="12.75" customHeight="1">
      <c r="A45" s="804"/>
      <c r="B45" s="1019" t="s">
        <v>1183</v>
      </c>
      <c r="C45" s="1019"/>
      <c r="D45" s="788">
        <f t="shared" si="2"/>
        <v>27</v>
      </c>
      <c r="E45" s="789"/>
      <c r="F45" s="790"/>
    </row>
    <row r="46" spans="1:8" ht="52.5" customHeight="1">
      <c r="A46" s="1011" t="s">
        <v>2675</v>
      </c>
      <c r="B46" s="1011"/>
      <c r="C46" s="1011"/>
      <c r="D46" s="788">
        <f t="shared" si="2"/>
        <v>28</v>
      </c>
      <c r="E46" s="789"/>
      <c r="F46" s="790"/>
    </row>
    <row r="47" spans="1:8" ht="36" customHeight="1">
      <c r="A47" s="804"/>
      <c r="B47" s="1020" t="s">
        <v>1184</v>
      </c>
      <c r="C47" s="1020"/>
      <c r="D47" s="788">
        <f t="shared" si="2"/>
        <v>29</v>
      </c>
      <c r="E47" s="789"/>
      <c r="F47" s="790"/>
    </row>
    <row r="48" spans="1:8" ht="39" customHeight="1">
      <c r="A48" s="804"/>
      <c r="B48" s="1019" t="s">
        <v>1185</v>
      </c>
      <c r="C48" s="1019"/>
      <c r="D48" s="788">
        <f t="shared" si="2"/>
        <v>30</v>
      </c>
      <c r="E48" s="789"/>
      <c r="F48" s="790"/>
    </row>
    <row r="49" spans="1:8" ht="42" customHeight="1">
      <c r="A49" s="804"/>
      <c r="B49" s="1019" t="s">
        <v>1186</v>
      </c>
      <c r="C49" s="1019"/>
      <c r="D49" s="788">
        <f t="shared" si="2"/>
        <v>31</v>
      </c>
      <c r="E49" s="789"/>
      <c r="F49" s="790"/>
    </row>
    <row r="50" spans="1:8" ht="12.75" customHeight="1">
      <c r="A50" s="804"/>
      <c r="B50" s="1019" t="s">
        <v>1187</v>
      </c>
      <c r="C50" s="1019"/>
      <c r="D50" s="788">
        <f t="shared" si="2"/>
        <v>32</v>
      </c>
      <c r="E50" s="789"/>
      <c r="F50" s="790"/>
    </row>
    <row r="51" spans="1:8" ht="12.75" customHeight="1">
      <c r="A51" s="1011" t="s">
        <v>1188</v>
      </c>
      <c r="B51" s="1011"/>
      <c r="C51" s="1011"/>
      <c r="D51" s="788">
        <f t="shared" si="2"/>
        <v>33</v>
      </c>
      <c r="E51" s="789"/>
      <c r="F51" s="790">
        <f>+F38*0.1</f>
        <v>0</v>
      </c>
    </row>
    <row r="52" spans="1:8" ht="12.75" customHeight="1">
      <c r="A52" s="1011" t="s">
        <v>1189</v>
      </c>
      <c r="B52" s="1011"/>
      <c r="C52" s="1011"/>
      <c r="D52" s="788">
        <f t="shared" si="2"/>
        <v>34</v>
      </c>
      <c r="E52" s="789">
        <v>28</v>
      </c>
      <c r="F52" s="790">
        <f>+F51+F35</f>
        <v>10340850.643943675</v>
      </c>
    </row>
    <row r="53" spans="1:8" ht="12.75" customHeight="1">
      <c r="A53" s="1011" t="s">
        <v>1190</v>
      </c>
      <c r="B53" s="1011"/>
      <c r="C53" s="1011"/>
      <c r="D53" s="788">
        <f t="shared" si="2"/>
        <v>35</v>
      </c>
      <c r="E53" s="789"/>
      <c r="F53" s="790"/>
    </row>
    <row r="54" spans="1:8" ht="12.75" customHeight="1">
      <c r="A54" s="1011" t="s">
        <v>1191</v>
      </c>
      <c r="B54" s="1011"/>
      <c r="C54" s="1011"/>
      <c r="D54" s="788">
        <f t="shared" si="2"/>
        <v>36</v>
      </c>
      <c r="E54" s="789"/>
      <c r="F54" s="805"/>
    </row>
    <row r="55" spans="1:8" ht="12.75" customHeight="1">
      <c r="A55" s="1011" t="s">
        <v>1192</v>
      </c>
      <c r="B55" s="1011"/>
      <c r="C55" s="1011"/>
      <c r="D55" s="788">
        <f t="shared" si="2"/>
        <v>37</v>
      </c>
      <c r="E55" s="789"/>
      <c r="F55" s="790"/>
    </row>
    <row r="56" spans="1:8">
      <c r="E56" s="806"/>
    </row>
    <row r="57" spans="1:8">
      <c r="A57" s="783" t="s">
        <v>1193</v>
      </c>
      <c r="E57" s="806" t="s">
        <v>1194</v>
      </c>
      <c r="F57" s="772" t="s">
        <v>1195</v>
      </c>
    </row>
    <row r="58" spans="1:8">
      <c r="A58" s="804" t="s">
        <v>1196</v>
      </c>
      <c r="B58" s="804"/>
      <c r="C58" s="804"/>
      <c r="D58" s="807"/>
      <c r="E58" s="805"/>
      <c r="F58" s="808">
        <v>194848.8</v>
      </c>
      <c r="H58" s="809"/>
    </row>
    <row r="59" spans="1:8">
      <c r="A59" s="804" t="s">
        <v>1197</v>
      </c>
      <c r="B59" s="804"/>
      <c r="C59" s="804"/>
      <c r="D59" s="807"/>
      <c r="E59" s="805">
        <f>+F35</f>
        <v>10340850.643943675</v>
      </c>
      <c r="F59" s="805"/>
      <c r="H59" s="803"/>
    </row>
    <row r="60" spans="1:8">
      <c r="A60" s="804" t="s">
        <v>1198</v>
      </c>
      <c r="B60" s="804"/>
      <c r="C60" s="804"/>
      <c r="D60" s="807"/>
      <c r="E60" s="805"/>
      <c r="F60" s="805">
        <f>3000000+7200000</f>
        <v>10200000</v>
      </c>
    </row>
    <row r="61" spans="1:8">
      <c r="A61" s="804" t="s">
        <v>1199</v>
      </c>
      <c r="B61" s="804"/>
      <c r="C61" s="804"/>
      <c r="D61" s="807"/>
      <c r="E61" s="805"/>
      <c r="F61" s="805">
        <f>+F58+F60-E59</f>
        <v>53998.156056325883</v>
      </c>
    </row>
    <row r="62" spans="1:8">
      <c r="E62" s="806"/>
    </row>
    <row r="63" spans="1:8">
      <c r="B63" s="771" t="s">
        <v>1200</v>
      </c>
      <c r="C63" s="810"/>
      <c r="D63" s="140"/>
      <c r="G63" s="140"/>
    </row>
    <row r="64" spans="1:8">
      <c r="C64" s="810"/>
      <c r="D64" s="140"/>
      <c r="G64" s="140"/>
    </row>
    <row r="65" spans="2:8">
      <c r="B65" s="796"/>
      <c r="C65" s="810"/>
      <c r="D65" s="140"/>
      <c r="G65" s="140"/>
    </row>
    <row r="66" spans="2:8">
      <c r="B66" s="771" t="s">
        <v>1201</v>
      </c>
      <c r="C66" s="810"/>
      <c r="D66" s="140"/>
      <c r="G66" s="140"/>
    </row>
    <row r="67" spans="2:8">
      <c r="B67" s="796"/>
      <c r="C67" s="810"/>
      <c r="D67" s="140"/>
      <c r="G67" s="140"/>
    </row>
    <row r="68" spans="2:8">
      <c r="B68" s="771" t="s">
        <v>1202</v>
      </c>
      <c r="C68" s="810"/>
      <c r="D68" s="140"/>
      <c r="G68" s="140"/>
    </row>
    <row r="69" spans="2:8">
      <c r="B69" s="796"/>
      <c r="C69" s="810"/>
      <c r="D69" s="140"/>
      <c r="G69" s="140"/>
    </row>
    <row r="70" spans="2:8">
      <c r="B70" s="771" t="s">
        <v>1203</v>
      </c>
      <c r="C70" s="810"/>
      <c r="D70" s="140"/>
      <c r="G70" s="140"/>
      <c r="H70" s="140"/>
    </row>
  </sheetData>
  <sheetProtection password="DFC0" sheet="1" objects="1" scenarios="1"/>
  <mergeCells count="49">
    <mergeCell ref="M1:N1"/>
    <mergeCell ref="O1:P1"/>
    <mergeCell ref="A51:C51"/>
    <mergeCell ref="A52:C52"/>
    <mergeCell ref="A53:C53"/>
    <mergeCell ref="A38:C38"/>
    <mergeCell ref="B25:C25"/>
    <mergeCell ref="A26:C26"/>
    <mergeCell ref="B27:C27"/>
    <mergeCell ref="A28:C28"/>
    <mergeCell ref="B29:C29"/>
    <mergeCell ref="A30:C30"/>
    <mergeCell ref="B31:C31"/>
    <mergeCell ref="A32:C32"/>
    <mergeCell ref="A33:B34"/>
    <mergeCell ref="A35:C35"/>
    <mergeCell ref="A54:C54"/>
    <mergeCell ref="A55:C55"/>
    <mergeCell ref="B50:C50"/>
    <mergeCell ref="B39:C39"/>
    <mergeCell ref="B40:C40"/>
    <mergeCell ref="B41:C41"/>
    <mergeCell ref="B42:C42"/>
    <mergeCell ref="B43:C43"/>
    <mergeCell ref="B44:C44"/>
    <mergeCell ref="B45:C45"/>
    <mergeCell ref="A46:C46"/>
    <mergeCell ref="B47:C47"/>
    <mergeCell ref="B48:C48"/>
    <mergeCell ref="B49:C49"/>
    <mergeCell ref="A37:C37"/>
    <mergeCell ref="A24:C24"/>
    <mergeCell ref="D12:F12"/>
    <mergeCell ref="D13:F13"/>
    <mergeCell ref="D15:F15"/>
    <mergeCell ref="B16:C16"/>
    <mergeCell ref="B17:C17"/>
    <mergeCell ref="A18:C18"/>
    <mergeCell ref="B19:C19"/>
    <mergeCell ref="B20:C20"/>
    <mergeCell ref="A21:C21"/>
    <mergeCell ref="A22:C22"/>
    <mergeCell ref="A23:C23"/>
    <mergeCell ref="D11:F11"/>
    <mergeCell ref="C5:F5"/>
    <mergeCell ref="A6:F6"/>
    <mergeCell ref="A7:F7"/>
    <mergeCell ref="D9:F9"/>
    <mergeCell ref="D10:F10"/>
  </mergeCells>
  <pageMargins left="0.7" right="0.27" top="0.75" bottom="0.75" header="0.3" footer="0.3"/>
  <pageSetup paperSize="9" scale="92" fitToHeight="0" orientation="portrait" horizontalDpi="0" verticalDpi="0" r:id="rId1"/>
  <drawing r:id="rId2"/>
</worksheet>
</file>

<file path=xl/worksheets/sheet25.xml><?xml version="1.0" encoding="utf-8"?>
<worksheet xmlns="http://schemas.openxmlformats.org/spreadsheetml/2006/main" xmlns:r="http://schemas.openxmlformats.org/officeDocument/2006/relationships">
  <sheetPr>
    <pageSetUpPr fitToPage="1"/>
  </sheetPr>
  <dimension ref="A1:M62"/>
  <sheetViews>
    <sheetView topLeftCell="A25" workbookViewId="0">
      <selection activeCell="L61" sqref="L61"/>
    </sheetView>
  </sheetViews>
  <sheetFormatPr defaultRowHeight="12.75"/>
  <cols>
    <col min="1" max="1" width="4.28515625" style="15" customWidth="1"/>
    <col min="2" max="2" width="14.28515625" style="331" customWidth="1"/>
    <col min="3" max="3" width="16.7109375" style="230" customWidth="1"/>
    <col min="4" max="4" width="15.85546875" style="230" customWidth="1"/>
    <col min="5" max="5" width="14.140625" style="230" customWidth="1"/>
    <col min="6" max="6" width="12.28515625" style="230" customWidth="1"/>
    <col min="7" max="7" width="14.7109375" style="230" customWidth="1"/>
    <col min="8" max="8" width="13.28515625" style="230" customWidth="1"/>
    <col min="9" max="9" width="15.42578125" style="230" customWidth="1"/>
    <col min="10" max="10" width="14" style="230" customWidth="1"/>
    <col min="11" max="11" width="15.85546875" style="230" customWidth="1"/>
    <col min="12" max="12" width="15.7109375" style="230" customWidth="1"/>
    <col min="13" max="13" width="12.7109375" style="230" bestFit="1" customWidth="1"/>
    <col min="14" max="14" width="12.85546875" style="230" bestFit="1" customWidth="1"/>
    <col min="15" max="16384" width="9.140625" style="230"/>
  </cols>
  <sheetData>
    <row r="1" spans="1:12">
      <c r="L1" s="284" t="s">
        <v>1845</v>
      </c>
    </row>
    <row r="2" spans="1:12">
      <c r="A2" s="747"/>
      <c r="C2" s="40"/>
      <c r="D2" s="40"/>
      <c r="E2" s="40"/>
      <c r="F2" s="40"/>
      <c r="G2" s="40"/>
      <c r="H2" s="40"/>
      <c r="K2" s="40"/>
      <c r="L2" s="284" t="s">
        <v>1846</v>
      </c>
    </row>
    <row r="3" spans="1:12">
      <c r="A3" s="747"/>
      <c r="C3" s="40"/>
      <c r="D3" s="40"/>
      <c r="E3" s="40"/>
      <c r="F3" s="40"/>
      <c r="G3" s="40"/>
      <c r="H3" s="40"/>
      <c r="K3" s="40"/>
      <c r="L3" s="284"/>
    </row>
    <row r="4" spans="1:12">
      <c r="A4" s="749" t="s">
        <v>1847</v>
      </c>
      <c r="C4" s="40"/>
      <c r="D4" s="40"/>
      <c r="E4" s="40"/>
      <c r="F4" s="40"/>
      <c r="G4" s="40"/>
      <c r="H4" s="40"/>
      <c r="K4" s="40"/>
      <c r="L4" s="284"/>
    </row>
    <row r="5" spans="1:12">
      <c r="A5" s="749"/>
      <c r="C5" s="40"/>
      <c r="D5" s="40"/>
      <c r="E5" s="40"/>
      <c r="F5" s="40"/>
      <c r="G5" s="40"/>
      <c r="H5" s="40"/>
      <c r="K5" s="40"/>
      <c r="L5" s="284"/>
    </row>
    <row r="6" spans="1:12" ht="19.5">
      <c r="A6" s="1026" t="s">
        <v>1848</v>
      </c>
      <c r="B6" s="1026"/>
      <c r="C6" s="1026"/>
      <c r="D6" s="1026"/>
      <c r="E6" s="1026"/>
      <c r="F6" s="1026"/>
      <c r="G6" s="1026"/>
      <c r="H6" s="1026"/>
      <c r="I6" s="1026"/>
      <c r="J6" s="1026"/>
      <c r="K6" s="1026"/>
      <c r="L6" s="1026"/>
    </row>
    <row r="7" spans="1:12" ht="19.5">
      <c r="A7" s="1026" t="s">
        <v>1849</v>
      </c>
      <c r="B7" s="1026"/>
      <c r="C7" s="1026"/>
      <c r="D7" s="1026"/>
      <c r="E7" s="1026"/>
      <c r="F7" s="1026"/>
      <c r="G7" s="1026"/>
      <c r="H7" s="1026"/>
      <c r="I7" s="1026"/>
      <c r="J7" s="1026"/>
      <c r="K7" s="1026"/>
      <c r="L7" s="1026"/>
    </row>
    <row r="8" spans="1:12">
      <c r="A8" s="749"/>
      <c r="C8" s="40"/>
      <c r="D8" s="40"/>
      <c r="E8" s="40"/>
      <c r="F8" s="40"/>
      <c r="G8" s="40"/>
      <c r="H8" s="40"/>
      <c r="K8" s="40"/>
      <c r="L8" s="284"/>
    </row>
    <row r="9" spans="1:12">
      <c r="A9" s="749" t="str">
        <f>+CONCATENATE(,'company '!B7,'company '!C7)</f>
        <v>Регистрийн дугаар:|_2_|_0_|_1_|_8_|_9_|_4_|_2_|</v>
      </c>
      <c r="C9" s="40"/>
      <c r="D9" s="40"/>
      <c r="E9" s="40"/>
      <c r="F9" s="40"/>
      <c r="G9" s="40"/>
      <c r="H9" s="1027" t="s">
        <v>1850</v>
      </c>
      <c r="I9" s="1028"/>
      <c r="J9" s="1028"/>
      <c r="K9" s="1029"/>
      <c r="L9" s="284"/>
    </row>
    <row r="10" spans="1:12">
      <c r="C10" s="40"/>
      <c r="D10" s="40"/>
      <c r="E10" s="40"/>
      <c r="F10" s="40"/>
      <c r="G10" s="40"/>
      <c r="H10" s="1030" t="s">
        <v>1851</v>
      </c>
      <c r="I10" s="1031"/>
      <c r="J10" s="1031"/>
      <c r="K10" s="1032"/>
      <c r="L10" s="284"/>
    </row>
    <row r="11" spans="1:12">
      <c r="A11" s="749" t="str">
        <f>+CONCATENATE(Table133[[#Headers],[Компанийн нэр:]],Table133[[#Headers],[ШИНЭСТ ХК]])</f>
        <v>Компанийн нэр:ШИНЭСТ ХК</v>
      </c>
      <c r="C11" s="40"/>
      <c r="D11" s="40"/>
      <c r="E11" s="40"/>
      <c r="F11" s="40"/>
      <c r="G11" s="40"/>
      <c r="H11" s="1030" t="s">
        <v>2671</v>
      </c>
      <c r="I11" s="1031"/>
      <c r="J11" s="1031"/>
      <c r="K11" s="1032"/>
      <c r="L11" s="284"/>
    </row>
    <row r="12" spans="1:12">
      <c r="C12" s="40"/>
      <c r="D12" s="40"/>
      <c r="E12" s="40"/>
      <c r="F12" s="40"/>
      <c r="G12" s="40"/>
      <c r="H12" s="1023" t="s">
        <v>1852</v>
      </c>
      <c r="I12" s="1024"/>
      <c r="J12" s="1024"/>
      <c r="K12" s="1025"/>
      <c r="L12" s="284"/>
    </row>
    <row r="13" spans="1:12">
      <c r="A13" s="750" t="str">
        <f>+CONCATENATE('company '!B23,'company '!C24)</f>
        <v>Тайлант үе:|_2_|_0_|_1_|_7_|  улирал |_4_|</v>
      </c>
      <c r="H13" s="1030" t="s">
        <v>1853</v>
      </c>
      <c r="I13" s="1031"/>
      <c r="J13" s="1031"/>
      <c r="K13" s="1032"/>
    </row>
    <row r="14" spans="1:12">
      <c r="H14" s="1036" t="s">
        <v>1854</v>
      </c>
      <c r="I14" s="1037"/>
      <c r="J14" s="1037"/>
      <c r="K14" s="1038"/>
    </row>
    <row r="15" spans="1:12">
      <c r="H15" s="879"/>
      <c r="I15" s="879"/>
      <c r="J15" s="879"/>
      <c r="K15" s="879"/>
    </row>
    <row r="16" spans="1:12">
      <c r="A16" s="95">
        <f>COUNT(A20:A53)</f>
        <v>29</v>
      </c>
      <c r="B16" s="751"/>
      <c r="C16" s="752"/>
      <c r="D16" s="752"/>
      <c r="E16" s="752" t="s">
        <v>1855</v>
      </c>
      <c r="F16" s="752"/>
      <c r="G16" s="752"/>
      <c r="H16" s="753"/>
      <c r="I16" s="754"/>
      <c r="J16" s="754"/>
      <c r="K16" s="754"/>
      <c r="L16" s="754"/>
    </row>
    <row r="17" spans="1:13">
      <c r="A17" s="1039" t="s">
        <v>1</v>
      </c>
      <c r="B17" s="1040" t="s">
        <v>1856</v>
      </c>
      <c r="C17" s="1040"/>
      <c r="D17" s="1040"/>
      <c r="E17" s="1033" t="s">
        <v>1857</v>
      </c>
      <c r="F17" s="1033" t="s">
        <v>1858</v>
      </c>
      <c r="G17" s="1033" t="s">
        <v>1859</v>
      </c>
      <c r="H17" s="1033" t="s">
        <v>1860</v>
      </c>
      <c r="I17" s="1033" t="s">
        <v>1861</v>
      </c>
      <c r="J17" s="1033" t="s">
        <v>1862</v>
      </c>
      <c r="K17" s="1033" t="s">
        <v>1863</v>
      </c>
      <c r="L17" s="1033" t="s">
        <v>1864</v>
      </c>
    </row>
    <row r="18" spans="1:13" ht="54" customHeight="1">
      <c r="A18" s="1039"/>
      <c r="B18" s="755" t="s">
        <v>1500</v>
      </c>
      <c r="C18" s="881" t="s">
        <v>1865</v>
      </c>
      <c r="D18" s="881" t="s">
        <v>1356</v>
      </c>
      <c r="E18" s="1033"/>
      <c r="F18" s="1033"/>
      <c r="G18" s="1033"/>
      <c r="H18" s="1033"/>
      <c r="I18" s="1033"/>
      <c r="J18" s="1033"/>
      <c r="K18" s="1033"/>
      <c r="L18" s="1033"/>
    </row>
    <row r="19" spans="1:13" ht="14.25" customHeight="1">
      <c r="A19" s="1039"/>
      <c r="B19" s="755">
        <v>1</v>
      </c>
      <c r="C19" s="881">
        <v>2</v>
      </c>
      <c r="D19" s="881">
        <v>3</v>
      </c>
      <c r="E19" s="881">
        <v>4</v>
      </c>
      <c r="F19" s="881">
        <v>5</v>
      </c>
      <c r="G19" s="881">
        <v>6</v>
      </c>
      <c r="H19" s="881">
        <v>7</v>
      </c>
      <c r="I19" s="881">
        <v>8</v>
      </c>
      <c r="J19" s="881">
        <v>9</v>
      </c>
      <c r="K19" s="881">
        <v>10</v>
      </c>
      <c r="L19" s="881">
        <v>11</v>
      </c>
    </row>
    <row r="20" spans="1:13" ht="16.5" customHeight="1">
      <c r="A20" s="756">
        <v>1</v>
      </c>
      <c r="B20" s="757" t="s">
        <v>1511</v>
      </c>
      <c r="C20" s="758" t="s">
        <v>1872</v>
      </c>
      <c r="D20" s="748" t="s">
        <v>1873</v>
      </c>
      <c r="E20" s="759">
        <f>+SUMIFS(TSALIN!H:H,TSALIN!D:D,B20)</f>
        <v>14400000</v>
      </c>
      <c r="F20" s="759"/>
      <c r="G20" s="759">
        <f>+E20+F20</f>
        <v>14400000</v>
      </c>
      <c r="H20" s="759">
        <f>+SUMIFS(TSALIN!I:I,TSALIN!D:D,B20)</f>
        <v>1440000</v>
      </c>
      <c r="I20" s="759">
        <f>+G20-H20</f>
        <v>12960000</v>
      </c>
      <c r="J20" s="759">
        <f t="shared" ref="J20" si="0">+I20*0.1</f>
        <v>1296000</v>
      </c>
      <c r="K20" s="759">
        <f>+SUMIFS(TSALIN!N:N,TSALIN!D:D,B20)*7000</f>
        <v>84000</v>
      </c>
      <c r="L20" s="759">
        <f>+SUMIFS(TSALIN!J:J,TSALIN!D:D,B20)</f>
        <v>1212000</v>
      </c>
      <c r="M20" s="230">
        <f>+J20-K20-L20</f>
        <v>0</v>
      </c>
    </row>
    <row r="21" spans="1:13" ht="16.5" customHeight="1">
      <c r="A21" s="756">
        <f>+A20+1</f>
        <v>2</v>
      </c>
      <c r="B21" s="748" t="s">
        <v>1514</v>
      </c>
      <c r="C21" s="748" t="s">
        <v>1874</v>
      </c>
      <c r="D21" s="748" t="s">
        <v>1875</v>
      </c>
      <c r="E21" s="759">
        <f>+SUMIFS(TSALIN!H:H,TSALIN!D:D,B21)</f>
        <v>14400000</v>
      </c>
      <c r="F21" s="759"/>
      <c r="G21" s="759">
        <f t="shared" ref="G21:G45" si="1">+E21+F21</f>
        <v>14400000</v>
      </c>
      <c r="H21" s="759">
        <f>+SUMIFS(TSALIN!I:I,TSALIN!D:D,B21)</f>
        <v>1440000</v>
      </c>
      <c r="I21" s="759">
        <f t="shared" ref="I21:I45" si="2">+G21-H21</f>
        <v>12960000</v>
      </c>
      <c r="J21" s="759">
        <f t="shared" ref="J21:J45" si="3">+I21*0.1</f>
        <v>1296000</v>
      </c>
      <c r="K21" s="759">
        <f>+SUMIFS(TSALIN!N:N,TSALIN!D:D,B21)*7000</f>
        <v>84000</v>
      </c>
      <c r="L21" s="759">
        <f>+SUMIFS(TSALIN!J:J,TSALIN!D:D,B21)</f>
        <v>1212000</v>
      </c>
      <c r="M21" s="230">
        <f t="shared" ref="M21:M53" si="4">+J21-K21-L21</f>
        <v>0</v>
      </c>
    </row>
    <row r="22" spans="1:13" ht="16.5" customHeight="1">
      <c r="A22" s="756">
        <f t="shared" ref="A22:A48" si="5">+A21+1</f>
        <v>3</v>
      </c>
      <c r="B22" s="650" t="s">
        <v>1517</v>
      </c>
      <c r="C22" s="760" t="s">
        <v>1361</v>
      </c>
      <c r="D22" s="760" t="s">
        <v>1516</v>
      </c>
      <c r="E22" s="759">
        <f>+SUMIFS(TSALIN!H:H,TSALIN!D:D,B22)</f>
        <v>16800000</v>
      </c>
      <c r="F22" s="759"/>
      <c r="G22" s="759">
        <f t="shared" si="1"/>
        <v>16800000</v>
      </c>
      <c r="H22" s="759">
        <f>+SUMIFS(TSALIN!I:I,TSALIN!D:D,B22)</f>
        <v>1680000</v>
      </c>
      <c r="I22" s="759">
        <f t="shared" si="2"/>
        <v>15120000</v>
      </c>
      <c r="J22" s="759">
        <f t="shared" si="3"/>
        <v>1512000</v>
      </c>
      <c r="K22" s="759">
        <f>+SUMIFS(TSALIN!N:N,TSALIN!D:D,B22)*7000</f>
        <v>84000</v>
      </c>
      <c r="L22" s="759">
        <f>+SUMIFS(TSALIN!J:J,TSALIN!D:D,B22)</f>
        <v>1428000</v>
      </c>
      <c r="M22" s="230">
        <f t="shared" si="4"/>
        <v>0</v>
      </c>
    </row>
    <row r="23" spans="1:13" ht="16.5" customHeight="1">
      <c r="A23" s="756">
        <f t="shared" si="5"/>
        <v>4</v>
      </c>
      <c r="B23" s="650" t="s">
        <v>1520</v>
      </c>
      <c r="C23" s="760" t="s">
        <v>1897</v>
      </c>
      <c r="D23" s="760" t="s">
        <v>1877</v>
      </c>
      <c r="E23" s="759">
        <f>+SUMIFS(TSALIN!H:H,TSALIN!D:D,B23)</f>
        <v>12000000</v>
      </c>
      <c r="F23" s="759"/>
      <c r="G23" s="759">
        <f t="shared" si="1"/>
        <v>12000000</v>
      </c>
      <c r="H23" s="759">
        <f>+SUMIFS(TSALIN!I:I,TSALIN!D:D,B23)</f>
        <v>1200000</v>
      </c>
      <c r="I23" s="759">
        <f t="shared" si="2"/>
        <v>10800000</v>
      </c>
      <c r="J23" s="759">
        <f t="shared" si="3"/>
        <v>1080000</v>
      </c>
      <c r="K23" s="759">
        <f>+SUMIFS(TSALIN!N:N,TSALIN!D:D,B23)*7000</f>
        <v>84000</v>
      </c>
      <c r="L23" s="759">
        <f>+SUMIFS(TSALIN!J:J,TSALIN!D:D,B23)</f>
        <v>996000</v>
      </c>
      <c r="M23" s="230">
        <f t="shared" si="4"/>
        <v>0</v>
      </c>
    </row>
    <row r="24" spans="1:13" ht="16.5" customHeight="1">
      <c r="A24" s="756">
        <f t="shared" si="5"/>
        <v>5</v>
      </c>
      <c r="B24" s="650" t="s">
        <v>1523</v>
      </c>
      <c r="C24" s="760" t="s">
        <v>1898</v>
      </c>
      <c r="D24" s="760" t="s">
        <v>1878</v>
      </c>
      <c r="E24" s="759">
        <f>+SUMIFS(TSALIN!H:H,TSALIN!D:D,B24)</f>
        <v>600000</v>
      </c>
      <c r="F24" s="759"/>
      <c r="G24" s="759">
        <f t="shared" si="1"/>
        <v>600000</v>
      </c>
      <c r="H24" s="759">
        <f>+SUMIFS(TSALIN!I:I,TSALIN!D:D,B24)</f>
        <v>60000</v>
      </c>
      <c r="I24" s="759">
        <f t="shared" si="2"/>
        <v>540000</v>
      </c>
      <c r="J24" s="759">
        <f t="shared" si="3"/>
        <v>54000</v>
      </c>
      <c r="K24" s="759">
        <f>+SUMIFS(TSALIN!N:N,TSALIN!D:D,B24)*7000</f>
        <v>7000</v>
      </c>
      <c r="L24" s="759">
        <f>+SUMIFS(TSALIN!J:J,TSALIN!D:D,B24)</f>
        <v>47000</v>
      </c>
      <c r="M24" s="230">
        <f>+J24-K24-L24</f>
        <v>0</v>
      </c>
    </row>
    <row r="25" spans="1:13" ht="16.5" customHeight="1">
      <c r="A25" s="756">
        <f t="shared" si="5"/>
        <v>6</v>
      </c>
      <c r="B25" s="650" t="s">
        <v>1526</v>
      </c>
      <c r="C25" s="760" t="s">
        <v>1899</v>
      </c>
      <c r="D25" s="760" t="s">
        <v>1879</v>
      </c>
      <c r="E25" s="759">
        <f>+SUMIFS(TSALIN!H:H,TSALIN!D:D,B25)</f>
        <v>1800000</v>
      </c>
      <c r="F25" s="759"/>
      <c r="G25" s="759">
        <f t="shared" ref="G25:G40" si="6">+E25+F25</f>
        <v>1800000</v>
      </c>
      <c r="H25" s="759">
        <f>+SUMIFS(TSALIN!I:I,TSALIN!D:D,B25)</f>
        <v>180000</v>
      </c>
      <c r="I25" s="759">
        <f t="shared" ref="I25:I40" si="7">+G25-H25</f>
        <v>1620000</v>
      </c>
      <c r="J25" s="759">
        <f t="shared" ref="J25:J40" si="8">+I25*0.1</f>
        <v>162000</v>
      </c>
      <c r="K25" s="759">
        <f>+SUMIFS(TSALIN!N:N,TSALIN!D:D,B25)*7000</f>
        <v>14000</v>
      </c>
      <c r="L25" s="759">
        <f>+SUMIFS(TSALIN!J:J,TSALIN!D:D,B25)</f>
        <v>148000</v>
      </c>
      <c r="M25" s="230">
        <f t="shared" ref="M25:M40" si="9">+J25-K25-L25</f>
        <v>0</v>
      </c>
    </row>
    <row r="26" spans="1:13" ht="16.5" customHeight="1">
      <c r="A26" s="756">
        <f>+A25+1</f>
        <v>7</v>
      </c>
      <c r="B26" s="650" t="s">
        <v>1529</v>
      </c>
      <c r="C26" s="760" t="s">
        <v>1900</v>
      </c>
      <c r="D26" s="760" t="s">
        <v>1880</v>
      </c>
      <c r="E26" s="759">
        <f>+SUMIFS(TSALIN!H:H,TSALIN!D:D,B26)</f>
        <v>3952726.9975394979</v>
      </c>
      <c r="F26" s="759"/>
      <c r="G26" s="759">
        <f t="shared" si="6"/>
        <v>3952726.9975394979</v>
      </c>
      <c r="H26" s="759">
        <f>+SUMIFS(TSALIN!I:I,TSALIN!D:D,B26)</f>
        <v>308312.70580808079</v>
      </c>
      <c r="I26" s="759">
        <f t="shared" si="7"/>
        <v>3644414.2917314172</v>
      </c>
      <c r="J26" s="759">
        <f t="shared" si="8"/>
        <v>364441.42917314172</v>
      </c>
      <c r="K26" s="759">
        <f>+SUMIFS(TSALIN!N:N,TSALIN!D:D,B26)*7000</f>
        <v>84000</v>
      </c>
      <c r="L26" s="759">
        <f>+SUMIFS(TSALIN!J:J,TSALIN!D:D,B26)</f>
        <v>280441.42917314172</v>
      </c>
      <c r="M26" s="230">
        <f t="shared" si="9"/>
        <v>0</v>
      </c>
    </row>
    <row r="27" spans="1:13" ht="16.5" customHeight="1">
      <c r="A27" s="756">
        <f t="shared" si="5"/>
        <v>8</v>
      </c>
      <c r="B27" s="657" t="s">
        <v>1532</v>
      </c>
      <c r="C27" s="760" t="s">
        <v>1901</v>
      </c>
      <c r="D27" s="760" t="s">
        <v>1881</v>
      </c>
      <c r="E27" s="759">
        <f>+SUMIFS(TSALIN!H:H,TSALIN!D:D,B27)</f>
        <v>432212.12121212122</v>
      </c>
      <c r="F27" s="759"/>
      <c r="G27" s="759">
        <f t="shared" si="6"/>
        <v>432212.12121212122</v>
      </c>
      <c r="H27" s="759">
        <f>+SUMIFS(TSALIN!I:I,TSALIN!D:D,B27)</f>
        <v>43221.212121212127</v>
      </c>
      <c r="I27" s="759">
        <f t="shared" si="7"/>
        <v>388990.90909090906</v>
      </c>
      <c r="J27" s="759">
        <f t="shared" si="8"/>
        <v>38899.090909090904</v>
      </c>
      <c r="K27" s="759">
        <f>+SUMIFS(TSALIN!N:N,TSALIN!D:D,B27)*7000</f>
        <v>14000</v>
      </c>
      <c r="L27" s="759">
        <f>+SUMIFS(TSALIN!J:J,TSALIN!D:D,B27)</f>
        <v>24899.090909090908</v>
      </c>
      <c r="M27" s="230">
        <f t="shared" si="9"/>
        <v>0</v>
      </c>
    </row>
    <row r="28" spans="1:13" ht="16.5" customHeight="1">
      <c r="A28" s="756">
        <f t="shared" si="5"/>
        <v>9</v>
      </c>
      <c r="B28" s="650" t="s">
        <v>1535</v>
      </c>
      <c r="C28" s="760" t="s">
        <v>1902</v>
      </c>
      <c r="D28" s="760" t="s">
        <v>1882</v>
      </c>
      <c r="E28" s="759">
        <f>+SUMIFS(TSALIN!H:H,TSALIN!D:D,B28)</f>
        <v>4152889.3704443704</v>
      </c>
      <c r="F28" s="759"/>
      <c r="G28" s="759">
        <f t="shared" si="6"/>
        <v>4152889.3704443704</v>
      </c>
      <c r="H28" s="759">
        <f>+SUMIFS(TSALIN!I:I,TSALIN!D:D,B28)</f>
        <v>415288.93704443704</v>
      </c>
      <c r="I28" s="759">
        <f t="shared" si="7"/>
        <v>3737600.4333999334</v>
      </c>
      <c r="J28" s="759">
        <f t="shared" si="8"/>
        <v>373760.04333999334</v>
      </c>
      <c r="K28" s="759">
        <f>+SUMIFS(TSALIN!N:N,TSALIN!D:D,B28)*7000</f>
        <v>84000</v>
      </c>
      <c r="L28" s="759">
        <f>+SUMIFS(TSALIN!J:J,TSALIN!D:D,B28)</f>
        <v>289760.04333999334</v>
      </c>
      <c r="M28" s="230">
        <f t="shared" si="9"/>
        <v>0</v>
      </c>
    </row>
    <row r="29" spans="1:13" ht="16.5" customHeight="1">
      <c r="A29" s="756">
        <f t="shared" si="5"/>
        <v>10</v>
      </c>
      <c r="B29" s="657" t="s">
        <v>1538</v>
      </c>
      <c r="C29" s="760" t="s">
        <v>1903</v>
      </c>
      <c r="D29" s="760" t="s">
        <v>1883</v>
      </c>
      <c r="E29" s="759">
        <f>+SUMIFS(TSALIN!H:H,TSALIN!D:D,B29)</f>
        <v>4700426.4439264443</v>
      </c>
      <c r="F29" s="759"/>
      <c r="G29" s="759">
        <f t="shared" si="6"/>
        <v>4700426.4439264443</v>
      </c>
      <c r="H29" s="759">
        <f>+SUMIFS(TSALIN!I:I,TSALIN!D:D,B29)</f>
        <v>470042.64439264446</v>
      </c>
      <c r="I29" s="759">
        <f t="shared" si="7"/>
        <v>4230383.7995338002</v>
      </c>
      <c r="J29" s="759">
        <f t="shared" si="8"/>
        <v>423038.37995338003</v>
      </c>
      <c r="K29" s="759">
        <f>+SUMIFS(TSALIN!N:N,TSALIN!D:D,B29)*7000</f>
        <v>77000</v>
      </c>
      <c r="L29" s="759">
        <f>+SUMIFS(TSALIN!J:J,TSALIN!D:D,B29)</f>
        <v>346038.37995337998</v>
      </c>
      <c r="M29" s="230">
        <f t="shared" si="9"/>
        <v>0</v>
      </c>
    </row>
    <row r="30" spans="1:13" ht="16.5" customHeight="1">
      <c r="A30" s="756">
        <f t="shared" si="5"/>
        <v>11</v>
      </c>
      <c r="B30" s="657" t="s">
        <v>1540</v>
      </c>
      <c r="C30" s="760" t="s">
        <v>1904</v>
      </c>
      <c r="D30" s="760" t="s">
        <v>1884</v>
      </c>
      <c r="E30" s="759">
        <f>+SUMIFS(TSALIN!H:H,TSALIN!D:D,B30)</f>
        <v>5085678.2778332774</v>
      </c>
      <c r="F30" s="759"/>
      <c r="G30" s="759">
        <f t="shared" si="6"/>
        <v>5085678.2778332774</v>
      </c>
      <c r="H30" s="759">
        <f>+SUMIFS(TSALIN!I:I,TSALIN!D:D,B30)</f>
        <v>508567.82778332784</v>
      </c>
      <c r="I30" s="759">
        <f t="shared" si="7"/>
        <v>4577110.4500499498</v>
      </c>
      <c r="J30" s="759">
        <f t="shared" si="8"/>
        <v>457711.04500499502</v>
      </c>
      <c r="K30" s="759">
        <f>+SUMIFS(TSALIN!N:N,TSALIN!D:D,B30)*7000</f>
        <v>84000</v>
      </c>
      <c r="L30" s="759">
        <f>+SUMIFS(TSALIN!J:J,TSALIN!D:D,B30)</f>
        <v>373711.04500499496</v>
      </c>
      <c r="M30" s="230">
        <f t="shared" si="9"/>
        <v>0</v>
      </c>
    </row>
    <row r="31" spans="1:13" ht="16.5" customHeight="1">
      <c r="A31" s="756">
        <f t="shared" si="5"/>
        <v>12</v>
      </c>
      <c r="B31" s="650" t="s">
        <v>1542</v>
      </c>
      <c r="C31" s="760" t="s">
        <v>1905</v>
      </c>
      <c r="D31" s="760" t="s">
        <v>1885</v>
      </c>
      <c r="E31" s="759">
        <f>+SUMIFS(TSALIN!H:H,TSALIN!D:D,B31)</f>
        <v>4188231.2268472267</v>
      </c>
      <c r="F31" s="759"/>
      <c r="G31" s="759">
        <f t="shared" si="6"/>
        <v>4188231.2268472267</v>
      </c>
      <c r="H31" s="759">
        <f>+SUMIFS(TSALIN!I:I,TSALIN!D:D,B31)</f>
        <v>418823.12268472277</v>
      </c>
      <c r="I31" s="759">
        <f t="shared" si="7"/>
        <v>3769408.104162504</v>
      </c>
      <c r="J31" s="759">
        <f t="shared" si="8"/>
        <v>376940.81041625043</v>
      </c>
      <c r="K31" s="759">
        <f>+SUMIFS(TSALIN!N:N,TSALIN!D:D,B31)*7000</f>
        <v>84000</v>
      </c>
      <c r="L31" s="759">
        <f>+SUMIFS(TSALIN!J:J,TSALIN!D:D,B31)</f>
        <v>292940.81041625043</v>
      </c>
      <c r="M31" s="230">
        <f t="shared" si="9"/>
        <v>0</v>
      </c>
    </row>
    <row r="32" spans="1:13" ht="16.5" customHeight="1">
      <c r="A32" s="756">
        <f t="shared" si="5"/>
        <v>13</v>
      </c>
      <c r="B32" s="650" t="s">
        <v>1544</v>
      </c>
      <c r="C32" s="760" t="s">
        <v>1906</v>
      </c>
      <c r="D32" s="760" t="s">
        <v>1886</v>
      </c>
      <c r="E32" s="759">
        <f>+SUMIFS(TSALIN!H:H,TSALIN!D:D,B32)</f>
        <v>8761630.4066304062</v>
      </c>
      <c r="F32" s="759"/>
      <c r="G32" s="759">
        <f t="shared" si="6"/>
        <v>8761630.4066304062</v>
      </c>
      <c r="H32" s="759">
        <f>+SUMIFS(TSALIN!I:I,TSALIN!D:D,B32)</f>
        <v>876163.04066304083</v>
      </c>
      <c r="I32" s="759">
        <f t="shared" si="7"/>
        <v>7885467.365967365</v>
      </c>
      <c r="J32" s="759">
        <f t="shared" si="8"/>
        <v>788546.73659673659</v>
      </c>
      <c r="K32" s="759">
        <f>+SUMIFS(TSALIN!N:N,TSALIN!D:D,B32)*7000</f>
        <v>84000</v>
      </c>
      <c r="L32" s="759">
        <f>+SUMIFS(TSALIN!J:J,TSALIN!D:D,B32)</f>
        <v>704546.73659673647</v>
      </c>
      <c r="M32" s="230">
        <f t="shared" si="9"/>
        <v>0</v>
      </c>
    </row>
    <row r="33" spans="1:13">
      <c r="A33" s="756">
        <f t="shared" si="5"/>
        <v>14</v>
      </c>
      <c r="B33" s="650" t="s">
        <v>1546</v>
      </c>
      <c r="C33" s="760" t="s">
        <v>1907</v>
      </c>
      <c r="D33" s="760" t="s">
        <v>1887</v>
      </c>
      <c r="E33" s="759">
        <f>+SUMIFS(TSALIN!H:H,TSALIN!D:D,B33)</f>
        <v>4292047.186147186</v>
      </c>
      <c r="F33" s="759"/>
      <c r="G33" s="759">
        <f t="shared" si="6"/>
        <v>4292047.186147186</v>
      </c>
      <c r="H33" s="759">
        <f>+SUMIFS(TSALIN!I:I,TSALIN!D:D,B33)</f>
        <v>429204.71861471864</v>
      </c>
      <c r="I33" s="759">
        <f t="shared" si="7"/>
        <v>3862842.4675324671</v>
      </c>
      <c r="J33" s="759">
        <f t="shared" si="8"/>
        <v>386284.24675324676</v>
      </c>
      <c r="K33" s="759">
        <f>+SUMIFS(TSALIN!N:N,TSALIN!D:D,B33)*7000</f>
        <v>84000</v>
      </c>
      <c r="L33" s="759">
        <f>+SUMIFS(TSALIN!J:J,TSALIN!D:D,B33)</f>
        <v>302284.24675324676</v>
      </c>
      <c r="M33" s="230">
        <f t="shared" si="9"/>
        <v>0</v>
      </c>
    </row>
    <row r="34" spans="1:13">
      <c r="A34" s="761">
        <f t="shared" si="5"/>
        <v>15</v>
      </c>
      <c r="B34" s="657" t="s">
        <v>1548</v>
      </c>
      <c r="C34" s="762" t="s">
        <v>1908</v>
      </c>
      <c r="D34" s="760" t="s">
        <v>1888</v>
      </c>
      <c r="E34" s="759">
        <f>+SUMIFS(TSALIN!H:H,TSALIN!D:D,B34)</f>
        <v>5242113.7119177124</v>
      </c>
      <c r="F34" s="759"/>
      <c r="G34" s="759">
        <f t="shared" si="6"/>
        <v>5242113.7119177124</v>
      </c>
      <c r="H34" s="759">
        <f>+SUMIFS(TSALIN!I:I,TSALIN!D:D,B34)</f>
        <v>524211.37119177129</v>
      </c>
      <c r="I34" s="759">
        <f t="shared" si="7"/>
        <v>4717902.3407259407</v>
      </c>
      <c r="J34" s="759">
        <f t="shared" si="8"/>
        <v>471790.23407259409</v>
      </c>
      <c r="K34" s="759">
        <f>+SUMIFS(TSALIN!N:N,TSALIN!D:D,B34)*7000</f>
        <v>84000</v>
      </c>
      <c r="L34" s="759">
        <f>+SUMIFS(TSALIN!J:J,TSALIN!D:D,B34)</f>
        <v>387790.23407259409</v>
      </c>
      <c r="M34" s="230">
        <f t="shared" si="9"/>
        <v>0</v>
      </c>
    </row>
    <row r="35" spans="1:13">
      <c r="A35" s="756">
        <f t="shared" si="5"/>
        <v>16</v>
      </c>
      <c r="B35" s="745" t="s">
        <v>1550</v>
      </c>
      <c r="C35" s="760" t="s">
        <v>1909</v>
      </c>
      <c r="D35" s="760" t="s">
        <v>1496</v>
      </c>
      <c r="E35" s="759">
        <f>+SUMIFS(TSALIN!H:H,TSALIN!D:D,B35)</f>
        <v>6195788.9610389601</v>
      </c>
      <c r="F35" s="759"/>
      <c r="G35" s="759">
        <f t="shared" si="6"/>
        <v>6195788.9610389601</v>
      </c>
      <c r="H35" s="759">
        <f>+SUMIFS(TSALIN!I:I,TSALIN!D:D,B35)</f>
        <v>619578.8961038962</v>
      </c>
      <c r="I35" s="759">
        <f t="shared" si="7"/>
        <v>5576210.0649350639</v>
      </c>
      <c r="J35" s="759">
        <f t="shared" si="8"/>
        <v>557621.00649350637</v>
      </c>
      <c r="K35" s="759">
        <f>+SUMIFS(TSALIN!N:N,TSALIN!D:D,B35)*7000</f>
        <v>84000</v>
      </c>
      <c r="L35" s="759">
        <f>+SUMIFS(TSALIN!J:J,TSALIN!D:D,B35)</f>
        <v>473621.00649350649</v>
      </c>
      <c r="M35" s="230">
        <f t="shared" si="9"/>
        <v>0</v>
      </c>
    </row>
    <row r="36" spans="1:13">
      <c r="A36" s="756">
        <f t="shared" si="5"/>
        <v>17</v>
      </c>
      <c r="B36" s="763" t="s">
        <v>1552</v>
      </c>
      <c r="C36" s="760" t="s">
        <v>1910</v>
      </c>
      <c r="D36" s="760" t="s">
        <v>1889</v>
      </c>
      <c r="E36" s="759">
        <f>+SUMIFS(TSALIN!H:H,TSALIN!D:D,B36)</f>
        <v>4962279.4372294368</v>
      </c>
      <c r="F36" s="759"/>
      <c r="G36" s="759">
        <f t="shared" si="6"/>
        <v>4962279.4372294368</v>
      </c>
      <c r="H36" s="759">
        <f>+SUMIFS(TSALIN!I:I,TSALIN!D:D,B36)</f>
        <v>496227.94372294378</v>
      </c>
      <c r="I36" s="759">
        <f t="shared" si="7"/>
        <v>4466051.493506493</v>
      </c>
      <c r="J36" s="759">
        <f t="shared" si="8"/>
        <v>446605.14935064933</v>
      </c>
      <c r="K36" s="759">
        <f>+SUMIFS(TSALIN!N:N,TSALIN!D:D,B36)*7000</f>
        <v>84000</v>
      </c>
      <c r="L36" s="759">
        <f>+SUMIFS(TSALIN!J:J,TSALIN!D:D,B36)</f>
        <v>362605.14935064939</v>
      </c>
      <c r="M36" s="230">
        <f t="shared" si="9"/>
        <v>0</v>
      </c>
    </row>
    <row r="37" spans="1:13">
      <c r="A37" s="756">
        <f t="shared" si="5"/>
        <v>18</v>
      </c>
      <c r="B37" s="650" t="s">
        <v>1555</v>
      </c>
      <c r="C37" s="760" t="s">
        <v>1911</v>
      </c>
      <c r="D37" s="760" t="s">
        <v>1890</v>
      </c>
      <c r="E37" s="759">
        <f>+SUMIFS(TSALIN!H:H,TSALIN!D:D,B37)</f>
        <v>487083.33333333337</v>
      </c>
      <c r="F37" s="759"/>
      <c r="G37" s="759">
        <f t="shared" si="6"/>
        <v>487083.33333333337</v>
      </c>
      <c r="H37" s="759">
        <f>+SUMIFS(TSALIN!I:I,TSALIN!D:D,B37)</f>
        <v>48708.333333333336</v>
      </c>
      <c r="I37" s="759">
        <f t="shared" si="7"/>
        <v>438375.00000000006</v>
      </c>
      <c r="J37" s="759">
        <f t="shared" si="8"/>
        <v>43837.500000000007</v>
      </c>
      <c r="K37" s="759">
        <f>+SUMIFS(TSALIN!N:N,TSALIN!D:D,B37)*7000</f>
        <v>14000</v>
      </c>
      <c r="L37" s="759">
        <f>+SUMIFS(TSALIN!J:J,TSALIN!D:D,B37)</f>
        <v>29837.5</v>
      </c>
      <c r="M37" s="230">
        <f t="shared" si="9"/>
        <v>0</v>
      </c>
    </row>
    <row r="38" spans="1:13">
      <c r="A38" s="756">
        <f t="shared" si="5"/>
        <v>19</v>
      </c>
      <c r="B38" s="763" t="s">
        <v>1557</v>
      </c>
      <c r="C38" s="760" t="s">
        <v>1896</v>
      </c>
      <c r="D38" s="760" t="s">
        <v>1891</v>
      </c>
      <c r="E38" s="759">
        <f>+SUMIFS(TSALIN!H:H,TSALIN!D:D,B38)</f>
        <v>4517902.4753949754</v>
      </c>
      <c r="F38" s="759"/>
      <c r="G38" s="759">
        <f t="shared" si="6"/>
        <v>4517902.4753949754</v>
      </c>
      <c r="H38" s="759">
        <f>+SUMIFS(TSALIN!I:I,TSALIN!D:D,B38)</f>
        <v>451790.2475394975</v>
      </c>
      <c r="I38" s="759">
        <f t="shared" si="7"/>
        <v>4066112.2278554779</v>
      </c>
      <c r="J38" s="759">
        <f t="shared" si="8"/>
        <v>406611.22278554784</v>
      </c>
      <c r="K38" s="759">
        <f>+SUMIFS(TSALIN!N:N,TSALIN!D:D,B38)*7000</f>
        <v>84000</v>
      </c>
      <c r="L38" s="759">
        <f>+SUMIFS(TSALIN!J:J,TSALIN!D:D,B38)</f>
        <v>322611.22278554778</v>
      </c>
      <c r="M38" s="230">
        <f t="shared" si="9"/>
        <v>0</v>
      </c>
    </row>
    <row r="39" spans="1:13">
      <c r="A39" s="756">
        <f t="shared" si="5"/>
        <v>20</v>
      </c>
      <c r="B39" s="657" t="s">
        <v>1559</v>
      </c>
      <c r="C39" s="760" t="s">
        <v>1895</v>
      </c>
      <c r="D39" s="760" t="s">
        <v>1892</v>
      </c>
      <c r="E39" s="759">
        <f>+SUMIFS(TSALIN!H:H,TSALIN!D:D,B39)</f>
        <v>3678930.264550264</v>
      </c>
      <c r="F39" s="759"/>
      <c r="G39" s="759">
        <f t="shared" si="6"/>
        <v>3678930.264550264</v>
      </c>
      <c r="H39" s="759">
        <f>+SUMIFS(TSALIN!I:I,TSALIN!D:D,B39)</f>
        <v>367893.02645502647</v>
      </c>
      <c r="I39" s="759">
        <f t="shared" si="7"/>
        <v>3311037.2380952374</v>
      </c>
      <c r="J39" s="759">
        <f t="shared" si="8"/>
        <v>331103.72380952374</v>
      </c>
      <c r="K39" s="759">
        <f>+SUMIFS(TSALIN!N:N,TSALIN!D:D,B39)*7000</f>
        <v>70000</v>
      </c>
      <c r="L39" s="759">
        <f>+SUMIFS(TSALIN!J:J,TSALIN!D:D,B39)</f>
        <v>261103.72380952383</v>
      </c>
      <c r="M39" s="230">
        <f t="shared" si="9"/>
        <v>0</v>
      </c>
    </row>
    <row r="40" spans="1:13">
      <c r="A40" s="756">
        <f t="shared" si="5"/>
        <v>21</v>
      </c>
      <c r="B40" s="764" t="s">
        <v>1561</v>
      </c>
      <c r="C40" s="765" t="s">
        <v>1894</v>
      </c>
      <c r="D40" s="765" t="s">
        <v>1893</v>
      </c>
      <c r="E40" s="759">
        <f>+SUMIFS(TSALIN!H:H,TSALIN!D:D,B40)</f>
        <v>3528120.8619191917</v>
      </c>
      <c r="F40" s="759"/>
      <c r="G40" s="759">
        <f t="shared" si="6"/>
        <v>3528120.8619191917</v>
      </c>
      <c r="H40" s="759">
        <f>+SUMIFS(TSALIN!I:I,TSALIN!D:D,B40)</f>
        <v>352812.08619191922</v>
      </c>
      <c r="I40" s="759">
        <f t="shared" si="7"/>
        <v>3175308.7757272725</v>
      </c>
      <c r="J40" s="759">
        <f t="shared" si="8"/>
        <v>317530.87757272727</v>
      </c>
      <c r="K40" s="759">
        <f>+SUMIFS(TSALIN!N:N,TSALIN!D:D,B40)*7000</f>
        <v>70000</v>
      </c>
      <c r="L40" s="759">
        <f>+SUMIFS(TSALIN!J:J,TSALIN!D:D,B40)</f>
        <v>247530.87757272727</v>
      </c>
      <c r="M40" s="230">
        <f t="shared" si="9"/>
        <v>0</v>
      </c>
    </row>
    <row r="41" spans="1:13">
      <c r="A41" s="756">
        <f t="shared" si="5"/>
        <v>22</v>
      </c>
      <c r="B41" s="766" t="s">
        <v>1600</v>
      </c>
      <c r="C41" s="766" t="s">
        <v>1912</v>
      </c>
      <c r="D41" s="766" t="s">
        <v>1913</v>
      </c>
      <c r="E41" s="759">
        <f>+SUMIFS(TSALIN!H:H,TSALIN!D:D,B41)</f>
        <v>1145329.6703296704</v>
      </c>
      <c r="F41" s="767"/>
      <c r="G41" s="767">
        <f t="shared" si="1"/>
        <v>1145329.6703296704</v>
      </c>
      <c r="H41" s="767">
        <f>+SUMIFS(TSALIN!I:I,TSALIN!D:D,B41)</f>
        <v>114532.96703296705</v>
      </c>
      <c r="I41" s="767">
        <f t="shared" si="2"/>
        <v>1030796.7032967034</v>
      </c>
      <c r="J41" s="767">
        <f t="shared" si="3"/>
        <v>103079.67032967035</v>
      </c>
      <c r="K41" s="767">
        <f>+SUMIFS(TSALIN!N:N,TSALIN!D:D,B41)*7000</f>
        <v>21000</v>
      </c>
      <c r="L41" s="767">
        <f>+SUMIFS(TSALIN!J:J,TSALIN!D:D,B41)</f>
        <v>82079.670329670334</v>
      </c>
      <c r="M41" s="230">
        <f t="shared" si="4"/>
        <v>0</v>
      </c>
    </row>
    <row r="42" spans="1:13">
      <c r="A42" s="756">
        <f t="shared" si="5"/>
        <v>23</v>
      </c>
      <c r="B42" s="766" t="s">
        <v>1590</v>
      </c>
      <c r="C42" s="766" t="s">
        <v>1914</v>
      </c>
      <c r="D42" s="766" t="s">
        <v>1915</v>
      </c>
      <c r="E42" s="759">
        <f>+SUMIFS(TSALIN!H:H,TSALIN!D:D,B42)</f>
        <v>355000.00000000006</v>
      </c>
      <c r="F42" s="767"/>
      <c r="G42" s="767">
        <f t="shared" si="1"/>
        <v>355000.00000000006</v>
      </c>
      <c r="H42" s="767">
        <f>+SUMIFS(TSALIN!I:I,TSALIN!D:D,B42)</f>
        <v>35500.000000000007</v>
      </c>
      <c r="I42" s="767">
        <f t="shared" si="2"/>
        <v>319500.00000000006</v>
      </c>
      <c r="J42" s="767">
        <f t="shared" si="3"/>
        <v>31950.000000000007</v>
      </c>
      <c r="K42" s="767">
        <f>+SUMIFS(TSALIN!N:N,TSALIN!D:D,B42)*7000</f>
        <v>7000</v>
      </c>
      <c r="L42" s="767">
        <f>+SUMIFS(TSALIN!J:J,TSALIN!D:D,B42)</f>
        <v>24950.000000000007</v>
      </c>
      <c r="M42" s="230">
        <f t="shared" si="4"/>
        <v>0</v>
      </c>
    </row>
    <row r="43" spans="1:13">
      <c r="A43" s="756">
        <f t="shared" si="5"/>
        <v>24</v>
      </c>
      <c r="B43" s="766" t="s">
        <v>1916</v>
      </c>
      <c r="C43" s="766" t="s">
        <v>1917</v>
      </c>
      <c r="D43" s="766" t="s">
        <v>1918</v>
      </c>
      <c r="E43" s="759">
        <f>+SUMIFS(TSALIN!H:H,TSALIN!D:D,B43)</f>
        <v>610393.93939393945</v>
      </c>
      <c r="F43" s="767"/>
      <c r="G43" s="767">
        <f t="shared" ref="G43" si="10">+E43+F43</f>
        <v>610393.93939393945</v>
      </c>
      <c r="H43" s="767">
        <f>+SUMIFS(TSALIN!I:I,TSALIN!D:D,B43)</f>
        <v>61039.393939393951</v>
      </c>
      <c r="I43" s="767">
        <f t="shared" ref="I43" si="11">+G43-H43</f>
        <v>549354.54545454553</v>
      </c>
      <c r="J43" s="767">
        <f t="shared" ref="J43" si="12">+I43*0.1</f>
        <v>54935.454545454559</v>
      </c>
      <c r="K43" s="767">
        <f>+SUMIFS(TSALIN!N:N,TSALIN!D:D,B43)*7000</f>
        <v>14000</v>
      </c>
      <c r="L43" s="767">
        <f>+SUMIFS(TSALIN!J:J,TSALIN!D:D,B43)</f>
        <v>40935.454545454551</v>
      </c>
      <c r="M43" s="230">
        <f t="shared" ref="M43" si="13">+J43-K43-L43</f>
        <v>0</v>
      </c>
    </row>
    <row r="44" spans="1:13">
      <c r="A44" s="756">
        <f t="shared" si="5"/>
        <v>25</v>
      </c>
      <c r="B44" s="766" t="s">
        <v>1592</v>
      </c>
      <c r="C44" s="766" t="s">
        <v>1919</v>
      </c>
      <c r="D44" s="766" t="s">
        <v>1920</v>
      </c>
      <c r="E44" s="759">
        <f>+SUMIFS(TSALIN!H:H,TSALIN!D:D,B44)</f>
        <v>2768223.8295038296</v>
      </c>
      <c r="F44" s="767"/>
      <c r="G44" s="767">
        <f t="shared" si="1"/>
        <v>2768223.8295038296</v>
      </c>
      <c r="H44" s="767">
        <f>+SUMIFS(TSALIN!I:I,TSALIN!D:D,B44)</f>
        <v>276822.38295038295</v>
      </c>
      <c r="I44" s="767">
        <f t="shared" si="2"/>
        <v>2491401.4465534468</v>
      </c>
      <c r="J44" s="767">
        <f t="shared" si="3"/>
        <v>249140.14465534469</v>
      </c>
      <c r="K44" s="767">
        <f>+SUMIFS(TSALIN!N:N,TSALIN!D:D,B44)*7000</f>
        <v>49000</v>
      </c>
      <c r="L44" s="767">
        <f>+SUMIFS(TSALIN!J:J,TSALIN!D:D,B44)</f>
        <v>200140.14465534466</v>
      </c>
      <c r="M44" s="230">
        <f t="shared" si="4"/>
        <v>0</v>
      </c>
    </row>
    <row r="45" spans="1:13">
      <c r="A45" s="756">
        <f t="shared" si="5"/>
        <v>26</v>
      </c>
      <c r="B45" s="766" t="s">
        <v>2130</v>
      </c>
      <c r="C45" s="766" t="s">
        <v>2131</v>
      </c>
      <c r="D45" s="766" t="s">
        <v>2132</v>
      </c>
      <c r="E45" s="759">
        <f>+SUMIFS(TSALIN!H:H,TSALIN!D:D,B45)</f>
        <v>1033107.2727272727</v>
      </c>
      <c r="F45" s="767"/>
      <c r="G45" s="767">
        <f t="shared" si="1"/>
        <v>1033107.2727272727</v>
      </c>
      <c r="H45" s="767">
        <f>+SUMIFS(TSALIN!I:I,TSALIN!D:D,B45)</f>
        <v>103310.72727272728</v>
      </c>
      <c r="I45" s="767">
        <f t="shared" si="2"/>
        <v>929796.54545454541</v>
      </c>
      <c r="J45" s="767">
        <f t="shared" si="3"/>
        <v>92979.654545454541</v>
      </c>
      <c r="K45" s="767">
        <f>+SUMIFS(TSALIN!N:N,TSALIN!D:D,B45)*7000</f>
        <v>21000</v>
      </c>
      <c r="L45" s="767">
        <f>+SUMIFS(TSALIN!J:J,TSALIN!D:D,B45)</f>
        <v>71979.654545454556</v>
      </c>
      <c r="M45" s="230">
        <f t="shared" si="4"/>
        <v>0</v>
      </c>
    </row>
    <row r="46" spans="1:13">
      <c r="A46" s="756">
        <f t="shared" si="5"/>
        <v>27</v>
      </c>
      <c r="B46" s="459" t="s">
        <v>2158</v>
      </c>
      <c r="C46" s="766" t="s">
        <v>2595</v>
      </c>
      <c r="D46" s="766" t="s">
        <v>2596</v>
      </c>
      <c r="E46" s="759">
        <f>+SUMIFS(TSALIN!H:H,TSALIN!D:D,B46)</f>
        <v>1000000</v>
      </c>
      <c r="F46" s="767"/>
      <c r="G46" s="767">
        <f t="shared" ref="G46:G53" si="14">+E46+F46</f>
        <v>1000000</v>
      </c>
      <c r="H46" s="767">
        <f>+SUMIFS(TSALIN!I:I,TSALIN!D:D,B46)</f>
        <v>100000</v>
      </c>
      <c r="I46" s="767">
        <f t="shared" ref="I46:I53" si="15">+G46-H46</f>
        <v>900000</v>
      </c>
      <c r="J46" s="767">
        <f t="shared" ref="J46:J53" si="16">+I46*0.1</f>
        <v>90000</v>
      </c>
      <c r="K46" s="767">
        <f>+SUMIFS(TSALIN!N:N,TSALIN!D:D,B46)*7000</f>
        <v>14000</v>
      </c>
      <c r="L46" s="767">
        <f>+SUMIFS(TSALIN!J:J,TSALIN!D:D,B46)</f>
        <v>76000</v>
      </c>
      <c r="M46" s="230">
        <f t="shared" si="4"/>
        <v>0</v>
      </c>
    </row>
    <row r="47" spans="1:13">
      <c r="A47" s="756">
        <f t="shared" si="5"/>
        <v>28</v>
      </c>
      <c r="B47" s="459" t="s">
        <v>2162</v>
      </c>
      <c r="C47" s="766" t="s">
        <v>2597</v>
      </c>
      <c r="D47" s="766" t="s">
        <v>2598</v>
      </c>
      <c r="E47" s="759">
        <f>+SUMIFS(TSALIN!H:H,TSALIN!D:D,B47)</f>
        <v>742682.18181818188</v>
      </c>
      <c r="F47" s="767"/>
      <c r="G47" s="767">
        <f t="shared" si="14"/>
        <v>742682.18181818188</v>
      </c>
      <c r="H47" s="767">
        <f>+SUMIFS(TSALIN!I:I,TSALIN!D:D,B47)</f>
        <v>74268.2181818182</v>
      </c>
      <c r="I47" s="767">
        <f t="shared" si="15"/>
        <v>668413.96363636362</v>
      </c>
      <c r="J47" s="767">
        <f t="shared" si="16"/>
        <v>66841.396363636362</v>
      </c>
      <c r="K47" s="767">
        <f>+SUMIFS(TSALIN!N:N,TSALIN!D:D,B47)*7000</f>
        <v>14000</v>
      </c>
      <c r="L47" s="767">
        <f>+SUMIFS(TSALIN!J:J,TSALIN!D:D,B47)</f>
        <v>52841.396363636377</v>
      </c>
      <c r="M47" s="230">
        <f t="shared" si="4"/>
        <v>0</v>
      </c>
    </row>
    <row r="48" spans="1:13">
      <c r="A48" s="756">
        <f t="shared" si="5"/>
        <v>29</v>
      </c>
      <c r="B48" s="459" t="s">
        <v>2164</v>
      </c>
      <c r="C48" s="766" t="s">
        <v>2615</v>
      </c>
      <c r="D48" s="766" t="s">
        <v>2616</v>
      </c>
      <c r="E48" s="759">
        <f>+SUMIFS(TSALIN!H:H,TSALIN!D:D,B48)</f>
        <v>702253.63636363635</v>
      </c>
      <c r="F48" s="767"/>
      <c r="G48" s="767">
        <f t="shared" si="14"/>
        <v>702253.63636363635</v>
      </c>
      <c r="H48" s="767">
        <f>+SUMIFS(TSALIN!I:I,TSALIN!D:D,B48)</f>
        <v>70225.363636363647</v>
      </c>
      <c r="I48" s="767">
        <f t="shared" si="15"/>
        <v>632028.27272727271</v>
      </c>
      <c r="J48" s="767">
        <f t="shared" si="16"/>
        <v>63202.827272727271</v>
      </c>
      <c r="K48" s="767">
        <f>+SUMIFS(TSALIN!N:N,TSALIN!D:D,B48)*7000</f>
        <v>14000</v>
      </c>
      <c r="L48" s="767">
        <f>+SUMIFS(TSALIN!J:J,TSALIN!D:D,B48)</f>
        <v>49202.827272727271</v>
      </c>
      <c r="M48" s="230">
        <f t="shared" si="4"/>
        <v>0</v>
      </c>
    </row>
    <row r="49" spans="1:13">
      <c r="A49" s="768"/>
      <c r="B49" s="766"/>
      <c r="C49" s="880"/>
      <c r="D49" s="880"/>
      <c r="E49" s="759">
        <f>+SUMIFS(TSALIN!H:H,TSALIN!D:D,B49)</f>
        <v>0</v>
      </c>
      <c r="F49" s="767"/>
      <c r="G49" s="767">
        <f t="shared" si="14"/>
        <v>0</v>
      </c>
      <c r="H49" s="767">
        <f>+SUMIFS(TSALIN!I:I,TSALIN!D:D,B49)</f>
        <v>0</v>
      </c>
      <c r="I49" s="767">
        <f t="shared" si="15"/>
        <v>0</v>
      </c>
      <c r="J49" s="767">
        <f t="shared" si="16"/>
        <v>0</v>
      </c>
      <c r="K49" s="767">
        <f>+SUMIFS(TSALIN!N:N,TSALIN!D:D,B49)*7000</f>
        <v>0</v>
      </c>
      <c r="L49" s="767">
        <f>+SUMIFS(TSALIN!J:J,TSALIN!D:D,B49)</f>
        <v>0</v>
      </c>
      <c r="M49" s="230">
        <f t="shared" si="4"/>
        <v>0</v>
      </c>
    </row>
    <row r="50" spans="1:13">
      <c r="A50" s="768"/>
      <c r="B50" s="766"/>
      <c r="C50" s="880"/>
      <c r="D50" s="880"/>
      <c r="E50" s="759">
        <f>+SUMIFS(TSALIN!H:H,TSALIN!D:D,B50)</f>
        <v>0</v>
      </c>
      <c r="F50" s="767"/>
      <c r="G50" s="767">
        <f t="shared" si="14"/>
        <v>0</v>
      </c>
      <c r="H50" s="767">
        <f>+SUMIFS(TSALIN!I:I,TSALIN!D:D,B50)</f>
        <v>0</v>
      </c>
      <c r="I50" s="767">
        <f t="shared" si="15"/>
        <v>0</v>
      </c>
      <c r="J50" s="767">
        <f t="shared" si="16"/>
        <v>0</v>
      </c>
      <c r="K50" s="767">
        <f>+SUMIFS(TSALIN!N:N,TSALIN!D:D,B50)*7000</f>
        <v>0</v>
      </c>
      <c r="L50" s="767">
        <f>+SUMIFS(TSALIN!J:J,TSALIN!D:D,B50)</f>
        <v>0</v>
      </c>
      <c r="M50" s="230">
        <f t="shared" si="4"/>
        <v>0</v>
      </c>
    </row>
    <row r="51" spans="1:13">
      <c r="A51" s="768"/>
      <c r="B51" s="766"/>
      <c r="C51" s="880"/>
      <c r="D51" s="880"/>
      <c r="E51" s="759">
        <f>+SUMIFS(TSALIN!H:H,TSALIN!D:D,B51)</f>
        <v>0</v>
      </c>
      <c r="F51" s="767"/>
      <c r="G51" s="767">
        <f t="shared" si="14"/>
        <v>0</v>
      </c>
      <c r="H51" s="767">
        <f>+SUMIFS(TSALIN!I:I,TSALIN!D:D,B51)</f>
        <v>0</v>
      </c>
      <c r="I51" s="767">
        <f t="shared" si="15"/>
        <v>0</v>
      </c>
      <c r="J51" s="767">
        <f t="shared" si="16"/>
        <v>0</v>
      </c>
      <c r="K51" s="767">
        <f>+SUMIFS(TSALIN!N:N,TSALIN!D:D,B51)*7000</f>
        <v>0</v>
      </c>
      <c r="L51" s="767">
        <f>+SUMIFS(TSALIN!J:J,TSALIN!D:D,B51)</f>
        <v>0</v>
      </c>
      <c r="M51" s="230">
        <f t="shared" si="4"/>
        <v>0</v>
      </c>
    </row>
    <row r="52" spans="1:13">
      <c r="A52" s="768"/>
      <c r="B52" s="766"/>
      <c r="C52" s="880"/>
      <c r="D52" s="880"/>
      <c r="E52" s="759">
        <f>+SUMIFS(TSALIN!H:H,TSALIN!D:D,B52)</f>
        <v>0</v>
      </c>
      <c r="F52" s="767"/>
      <c r="G52" s="767">
        <f t="shared" si="14"/>
        <v>0</v>
      </c>
      <c r="H52" s="767">
        <f>+SUMIFS(TSALIN!I:I,TSALIN!D:D,B52)</f>
        <v>0</v>
      </c>
      <c r="I52" s="767">
        <f t="shared" si="15"/>
        <v>0</v>
      </c>
      <c r="J52" s="767">
        <f t="shared" si="16"/>
        <v>0</v>
      </c>
      <c r="K52" s="767">
        <f>+SUMIFS(TSALIN!N:N,TSALIN!D:D,B52)*7000</f>
        <v>0</v>
      </c>
      <c r="L52" s="767">
        <f>+SUMIFS(TSALIN!J:J,TSALIN!D:D,B52)</f>
        <v>0</v>
      </c>
      <c r="M52" s="230">
        <f t="shared" si="4"/>
        <v>0</v>
      </c>
    </row>
    <row r="53" spans="1:13">
      <c r="A53" s="768"/>
      <c r="B53" s="766"/>
      <c r="C53" s="880"/>
      <c r="D53" s="880"/>
      <c r="E53" s="759">
        <f>+SUMIFS(TSALIN!H:H,TSALIN!D:D,B53)</f>
        <v>0</v>
      </c>
      <c r="F53" s="767"/>
      <c r="G53" s="767">
        <f t="shared" si="14"/>
        <v>0</v>
      </c>
      <c r="H53" s="767">
        <f>+SUMIFS(TSALIN!I:I,TSALIN!D:D,B53)</f>
        <v>0</v>
      </c>
      <c r="I53" s="767">
        <f t="shared" si="15"/>
        <v>0</v>
      </c>
      <c r="J53" s="767">
        <f t="shared" si="16"/>
        <v>0</v>
      </c>
      <c r="K53" s="767">
        <f>+SUMIFS(TSALIN!N:N,TSALIN!D:D,B53)*7000</f>
        <v>0</v>
      </c>
      <c r="L53" s="767">
        <f>+SUMIFS(TSALIN!J:J,TSALIN!D:D,B53)</f>
        <v>0</v>
      </c>
      <c r="M53" s="230">
        <f t="shared" si="4"/>
        <v>0</v>
      </c>
    </row>
    <row r="54" spans="1:13">
      <c r="A54" s="768"/>
      <c r="B54" s="766"/>
      <c r="C54" s="1034" t="s">
        <v>21</v>
      </c>
      <c r="D54" s="1034"/>
      <c r="E54" s="768">
        <f>SUM(E20:E53)</f>
        <v>132535051.60610096</v>
      </c>
      <c r="F54" s="768">
        <f t="shared" ref="F54:K54" si="17">SUM(F20:F53)</f>
        <v>0</v>
      </c>
      <c r="G54" s="768">
        <f>SUM(G20:G53)</f>
        <v>132535051.60610096</v>
      </c>
      <c r="H54" s="768">
        <f t="shared" si="17"/>
        <v>13166545.166664222</v>
      </c>
      <c r="I54" s="768">
        <f t="shared" si="17"/>
        <v>119368506.4394367</v>
      </c>
      <c r="J54" s="768">
        <f t="shared" si="17"/>
        <v>11936850.643943669</v>
      </c>
      <c r="K54" s="768">
        <f t="shared" si="17"/>
        <v>1596000</v>
      </c>
      <c r="L54" s="768">
        <f>SUM(L20:L53)</f>
        <v>10340850.643943667</v>
      </c>
    </row>
    <row r="55" spans="1:13">
      <c r="E55" s="15">
        <v>132535051.62</v>
      </c>
      <c r="F55" s="15"/>
      <c r="G55" s="15"/>
      <c r="H55" s="15">
        <v>13166545.18</v>
      </c>
      <c r="I55" s="15">
        <v>119368506.48999999</v>
      </c>
      <c r="J55" s="15"/>
      <c r="K55" s="15">
        <v>1596000</v>
      </c>
      <c r="L55" s="15">
        <v>10340850.640000001</v>
      </c>
    </row>
    <row r="56" spans="1:13">
      <c r="B56" s="331" t="s">
        <v>1866</v>
      </c>
      <c r="E56" s="230">
        <f>+E54-E55</f>
        <v>-1.3899043202400208E-2</v>
      </c>
      <c r="H56" s="230">
        <f>+H55-H54</f>
        <v>1.3335777446627617E-2</v>
      </c>
      <c r="I56" s="230">
        <f>+I55-I54</f>
        <v>5.056329071521759E-2</v>
      </c>
      <c r="K56" s="230">
        <f>+K55-K54</f>
        <v>0</v>
      </c>
      <c r="L56" s="230">
        <f>+L55-L54</f>
        <v>-3.9436668157577515E-3</v>
      </c>
    </row>
    <row r="57" spans="1:13">
      <c r="B57" s="769"/>
    </row>
    <row r="58" spans="1:13">
      <c r="B58" s="331" t="s">
        <v>1867</v>
      </c>
      <c r="G58" s="230" t="s">
        <v>1868</v>
      </c>
    </row>
    <row r="60" spans="1:13">
      <c r="B60" s="331" t="s">
        <v>1869</v>
      </c>
      <c r="C60" s="40"/>
      <c r="G60" s="230" t="s">
        <v>1870</v>
      </c>
    </row>
    <row r="61" spans="1:13">
      <c r="B61" s="769"/>
    </row>
    <row r="62" spans="1:13">
      <c r="A62" s="1035" t="s">
        <v>1871</v>
      </c>
      <c r="B62" s="1035"/>
      <c r="C62" s="1035"/>
      <c r="D62" s="1035"/>
      <c r="E62" s="1035"/>
      <c r="F62" s="1035"/>
      <c r="G62" s="1035"/>
      <c r="H62" s="1035"/>
      <c r="I62" s="1035"/>
      <c r="J62" s="1035"/>
      <c r="K62" s="1035"/>
      <c r="L62" s="1035"/>
    </row>
  </sheetData>
  <sheetProtection password="DFC0" sheet="1" objects="1" scenarios="1"/>
  <mergeCells count="20">
    <mergeCell ref="K17:K18"/>
    <mergeCell ref="L17:L18"/>
    <mergeCell ref="C54:D54"/>
    <mergeCell ref="A62:L62"/>
    <mergeCell ref="H13:K13"/>
    <mergeCell ref="H14:K14"/>
    <mergeCell ref="A17:A19"/>
    <mergeCell ref="B17:D17"/>
    <mergeCell ref="E17:E18"/>
    <mergeCell ref="F17:F18"/>
    <mergeCell ref="G17:G18"/>
    <mergeCell ref="H17:H18"/>
    <mergeCell ref="I17:I18"/>
    <mergeCell ref="J17:J18"/>
    <mergeCell ref="H12:K12"/>
    <mergeCell ref="A6:L6"/>
    <mergeCell ref="A7:L7"/>
    <mergeCell ref="H9:K9"/>
    <mergeCell ref="H10:K10"/>
    <mergeCell ref="H11:K11"/>
  </mergeCells>
  <pageMargins left="0.7" right="0.19" top="0.75" bottom="0.75" header="0.3" footer="0.3"/>
  <pageSetup scale="71" fitToHeight="0" orientation="landscape" horizontalDpi="0" verticalDpi="0" r:id="rId1"/>
  <drawing r:id="rId2"/>
</worksheet>
</file>

<file path=xl/worksheets/sheet26.xml><?xml version="1.0" encoding="utf-8"?>
<worksheet xmlns="http://schemas.openxmlformats.org/spreadsheetml/2006/main" xmlns:r="http://schemas.openxmlformats.org/officeDocument/2006/relationships">
  <sheetPr>
    <pageSetUpPr fitToPage="1"/>
  </sheetPr>
  <dimension ref="A1:R1464"/>
  <sheetViews>
    <sheetView topLeftCell="E1" workbookViewId="0">
      <selection activeCell="J1" sqref="J1:P16"/>
    </sheetView>
  </sheetViews>
  <sheetFormatPr defaultRowHeight="12.75" outlineLevelRow="1"/>
  <cols>
    <col min="1" max="1" width="9.140625" style="231"/>
    <col min="2" max="2" width="3.28515625" style="449" customWidth="1"/>
    <col min="3" max="3" width="3.42578125" style="449" customWidth="1"/>
    <col min="4" max="4" width="48.5703125" style="331" customWidth="1"/>
    <col min="5" max="5" width="8.7109375" style="331" customWidth="1"/>
    <col min="6" max="6" width="10.85546875" style="331" customWidth="1"/>
    <col min="7" max="7" width="13.5703125" style="455" customWidth="1"/>
    <col min="8" max="8" width="14.5703125" style="335" bestFit="1" customWidth="1"/>
    <col min="9" max="9" width="5.42578125" style="230" customWidth="1"/>
    <col min="10" max="10" width="12.7109375" style="231" customWidth="1"/>
    <col min="11" max="11" width="11.7109375" style="231" bestFit="1" customWidth="1"/>
    <col min="12" max="13" width="12.140625" style="231" customWidth="1"/>
    <col min="14" max="14" width="12.7109375" style="231" customWidth="1"/>
    <col min="15" max="17" width="12.140625" style="231" customWidth="1"/>
    <col min="18" max="18" width="12.5703125" style="231" bestFit="1" customWidth="1"/>
    <col min="19" max="19" width="12.140625" style="231" customWidth="1"/>
    <col min="20" max="16384" width="9.140625" style="231"/>
  </cols>
  <sheetData>
    <row r="1" spans="2:18" ht="12.75" customHeight="1" outlineLevel="1">
      <c r="B1" s="445"/>
      <c r="C1" s="445"/>
      <c r="D1" s="445"/>
      <c r="E1" s="486"/>
      <c r="F1" s="1066" t="s">
        <v>1984</v>
      </c>
      <c r="G1" s="1066"/>
      <c r="H1" s="1066"/>
      <c r="J1" s="446" t="s">
        <v>298</v>
      </c>
      <c r="K1" s="447"/>
      <c r="L1" s="448" t="s">
        <v>1985</v>
      </c>
      <c r="M1" s="1021" t="s">
        <v>1986</v>
      </c>
      <c r="N1" s="1022"/>
      <c r="O1" s="1021" t="s">
        <v>1987</v>
      </c>
      <c r="P1" s="1022"/>
    </row>
    <row r="2" spans="2:18" ht="12.75" customHeight="1" outlineLevel="1">
      <c r="D2" s="445"/>
      <c r="E2" s="1067" t="s">
        <v>1988</v>
      </c>
      <c r="F2" s="1067"/>
      <c r="G2" s="1067"/>
      <c r="H2" s="1067"/>
      <c r="J2" s="450" t="s">
        <v>1989</v>
      </c>
      <c r="K2" s="450" t="s">
        <v>1990</v>
      </c>
      <c r="L2" s="448" t="s">
        <v>1991</v>
      </c>
      <c r="M2" s="451" t="s">
        <v>1992</v>
      </c>
      <c r="N2" s="451" t="s">
        <v>1993</v>
      </c>
      <c r="O2" s="451" t="s">
        <v>1992</v>
      </c>
      <c r="P2" s="451" t="s">
        <v>1993</v>
      </c>
    </row>
    <row r="3" spans="2:18" ht="18.75" outlineLevel="1">
      <c r="G3" s="452" t="s">
        <v>1994</v>
      </c>
      <c r="H3" s="453" t="s">
        <v>1995</v>
      </c>
      <c r="J3" s="454">
        <v>42705</v>
      </c>
      <c r="K3" s="454">
        <v>42735</v>
      </c>
      <c r="L3" s="376"/>
      <c r="M3" s="382">
        <f>+SUMIFS(JURNAL!G:G,JURNAL!E:E,120600,JURNAL!C:C,"&gt;="&amp;J3,JURNAL!C:C,"&lt;="&amp;K3)-L3</f>
        <v>0</v>
      </c>
      <c r="N3" s="382">
        <f>+SUMIFS(JURNAL!H:H,JURNAL!E:E,310500,JURNAL!C:C,"&gt;="&amp;J3,JURNAL!C:C,"&lt;="&amp;K3)</f>
        <v>0</v>
      </c>
      <c r="O3" s="382">
        <f>+STAT1!H25</f>
        <v>0</v>
      </c>
      <c r="P3" s="382">
        <f>+STAT1!I111</f>
        <v>50666182.486447811</v>
      </c>
    </row>
    <row r="4" spans="2:18" ht="21" outlineLevel="1" thickBot="1">
      <c r="B4" s="1068" t="s">
        <v>1996</v>
      </c>
      <c r="C4" s="1068"/>
      <c r="D4" s="1068"/>
      <c r="E4" s="1068"/>
      <c r="F4" s="1068"/>
      <c r="G4" s="1068"/>
      <c r="H4" s="1068"/>
      <c r="J4" s="454">
        <v>42736</v>
      </c>
      <c r="K4" s="454">
        <v>42766</v>
      </c>
      <c r="L4" s="376"/>
      <c r="M4" s="382">
        <f>+SUMIFS(JURNAL!G:G,JURNAL!E:E,120600,JURNAL!C:C,"&gt;="&amp;J4,JURNAL!C:C,"&lt;="&amp;K4)-L4</f>
        <v>935327.47542000003</v>
      </c>
      <c r="N4" s="382">
        <f>+SUMIFS(JURNAL!H:H,JURNAL!E:E,310500,JURNAL!C:C,"&gt;="&amp;J4,JURNAL!C:C,"&lt;="&amp;K4)</f>
        <v>3484414.4527635509</v>
      </c>
      <c r="O4" s="382">
        <f>+IF((O3+L4+M4-P3-N4)&gt;0,(O3+L4+M4-P3-N4),0)</f>
        <v>0</v>
      </c>
      <c r="P4" s="382">
        <f>+IF((P3+N4-O3-L4-M4)&gt;0,(P3+N4-O3-L4-M4),0)</f>
        <v>53215269.463791363</v>
      </c>
    </row>
    <row r="5" spans="2:18" ht="13.5" outlineLevel="1" thickTop="1">
      <c r="J5" s="454">
        <v>42767</v>
      </c>
      <c r="K5" s="454">
        <v>42794</v>
      </c>
      <c r="L5" s="382"/>
      <c r="M5" s="382">
        <f>+SUMIFS(JURNAL!G:G,JURNAL!E:E,120600,JURNAL!C:C,"&gt;="&amp;J5,JURNAL!C:C,"&lt;="&amp;K5)-L5</f>
        <v>1013827.5517000001</v>
      </c>
      <c r="N5" s="382">
        <f>+SUMIFS(JURNAL!H:H,JURNAL!E:E,310500,JURNAL!C:C,"&gt;="&amp;J5,JURNAL!C:C,"&lt;="&amp;K5)</f>
        <v>5476394.6368155219</v>
      </c>
      <c r="O5" s="382">
        <f t="shared" ref="O5:O15" si="0">+IF((O4+L5+M5-P4-N5)&gt;0,(O4+L5+M5-P4-N5),0)</f>
        <v>0</v>
      </c>
      <c r="P5" s="382">
        <f t="shared" ref="P5:P15" si="1">+IF((P4+N5-O4-L5-M5)&gt;0,(P4+N5-O4-L5-M5),0)</f>
        <v>57677836.548906885</v>
      </c>
    </row>
    <row r="6" spans="2:18" outlineLevel="1">
      <c r="B6" s="1069" t="s">
        <v>1997</v>
      </c>
      <c r="C6" s="1070"/>
      <c r="D6" s="1070"/>
      <c r="E6" s="1070"/>
      <c r="F6" s="1070"/>
      <c r="G6" s="1070"/>
      <c r="H6" s="1071"/>
      <c r="J6" s="454">
        <v>42795</v>
      </c>
      <c r="K6" s="454">
        <v>42825</v>
      </c>
      <c r="L6" s="382"/>
      <c r="M6" s="382">
        <f>+SUMIFS(JURNAL!G:G,JURNAL!E:E,120600,JURNAL!C:C,"&gt;="&amp;J6,JURNAL!C:C,"&lt;="&amp;K6)-L6</f>
        <v>635912.00959999999</v>
      </c>
      <c r="N6" s="382">
        <f>+SUMIFS(JURNAL!H:H,JURNAL!E:E,310500,JURNAL!C:C,"&gt;="&amp;J6,JURNAL!C:C,"&lt;="&amp;K6)</f>
        <v>667609.99971570005</v>
      </c>
      <c r="O6" s="382">
        <f t="shared" si="0"/>
        <v>0</v>
      </c>
      <c r="P6" s="382">
        <f t="shared" si="1"/>
        <v>57709534.539022587</v>
      </c>
    </row>
    <row r="7" spans="2:18" outlineLevel="1">
      <c r="B7" s="1041" t="str">
        <f>+CONCATENATE('company '!B7,'company '!C7)</f>
        <v>Регистрийн дугаар:|_2_|_0_|_1_|_8_|_9_|_4_|_2_|</v>
      </c>
      <c r="C7" s="1042"/>
      <c r="D7" s="1043"/>
      <c r="E7" s="1044" t="str">
        <f>+CONCATENATE('company '!B6,'company '!C6)</f>
        <v>Компанийн нэр:ШИНЭСТ ХК</v>
      </c>
      <c r="F7" s="1045"/>
      <c r="G7" s="1045"/>
      <c r="H7" s="1046"/>
      <c r="J7" s="454">
        <v>42826</v>
      </c>
      <c r="K7" s="454">
        <v>42855</v>
      </c>
      <c r="L7" s="382"/>
      <c r="M7" s="382">
        <f>+SUMIFS(JURNAL!G:G,JURNAL!E:E,120600,JURNAL!C:C,"&gt;="&amp;J7,JURNAL!C:C,"&lt;="&amp;K7)-L7</f>
        <v>1426020.4945454544</v>
      </c>
      <c r="N7" s="382">
        <f>+SUMIFS(JURNAL!H:H,JURNAL!E:E,310500,JURNAL!C:C,"&gt;="&amp;J7,JURNAL!C:C,"&lt;="&amp;K7)</f>
        <v>1708322.8162250454</v>
      </c>
      <c r="O7" s="382">
        <f t="shared" si="0"/>
        <v>0</v>
      </c>
      <c r="P7" s="382">
        <f t="shared" si="1"/>
        <v>57991836.860702179</v>
      </c>
    </row>
    <row r="8" spans="2:18" outlineLevel="1">
      <c r="J8" s="454">
        <v>42856</v>
      </c>
      <c r="K8" s="454">
        <v>42886</v>
      </c>
      <c r="L8" s="382"/>
      <c r="M8" s="382">
        <f>+SUMIFS(JURNAL!G:G,JURNAL!E:E,120600,JURNAL!C:C,"&gt;="&amp;J8,JURNAL!C:C,"&lt;="&amp;K8)-L8</f>
        <v>695037.94449999987</v>
      </c>
      <c r="N8" s="382">
        <f>+SUMIFS(JURNAL!H:H,JURNAL!E:E,310500,JURNAL!C:C,"&gt;="&amp;J8,JURNAL!C:C,"&lt;="&amp;K8)</f>
        <v>3271041.6352173495</v>
      </c>
      <c r="O8" s="382">
        <f t="shared" si="0"/>
        <v>0</v>
      </c>
      <c r="P8" s="382">
        <f t="shared" si="1"/>
        <v>60567840.551419526</v>
      </c>
    </row>
    <row r="9" spans="2:18" outlineLevel="1">
      <c r="B9" s="1069" t="str">
        <f>+CONCATENATE('company '!B9,'company '!C9)</f>
        <v>Хаяг: Аймаг, хотУлаанбаатар</v>
      </c>
      <c r="C9" s="1070"/>
      <c r="D9" s="1071"/>
      <c r="E9" s="1088" t="str">
        <f>+CONCATENATE('company '!B10,'company '!C10)</f>
        <v>Сум, дүүрэг:Хан уул дүүрэг</v>
      </c>
      <c r="F9" s="1089"/>
      <c r="G9" s="1089"/>
      <c r="H9" s="1091"/>
      <c r="J9" s="454">
        <v>42887</v>
      </c>
      <c r="K9" s="454">
        <v>42916</v>
      </c>
      <c r="L9" s="382">
        <v>1000000</v>
      </c>
      <c r="M9" s="382">
        <f>+SUMIFS(JURNAL!G:G,JURNAL!E:E,120600,JURNAL!C:C,"&gt;="&amp;J9,JURNAL!C:C,"&lt;="&amp;K9)-L9</f>
        <v>338556.17574500013</v>
      </c>
      <c r="N9" s="382">
        <f>+SUMIFS(JURNAL!H:H,JURNAL!E:E,310500,JURNAL!C:C,"&gt;="&amp;J9,JURNAL!C:C,"&lt;="&amp;K9)</f>
        <v>2387707.5456319</v>
      </c>
      <c r="O9" s="382">
        <f t="shared" si="0"/>
        <v>0</v>
      </c>
      <c r="P9" s="382">
        <f t="shared" si="1"/>
        <v>61616991.921306424</v>
      </c>
    </row>
    <row r="10" spans="2:18" outlineLevel="1">
      <c r="B10" s="1069" t="str">
        <f>+CONCATENATE('company '!B11,'company '!C11)</f>
        <v xml:space="preserve">Баг, хороо:3-р хороо </v>
      </c>
      <c r="C10" s="1070"/>
      <c r="D10" s="1071"/>
      <c r="E10" s="1088" t="str">
        <f>+CONCATENATE('company '!B12,'company '!C12)</f>
        <v>Гудамж, хороолол:Эв нэгдэлийн гудамж</v>
      </c>
      <c r="F10" s="1089"/>
      <c r="G10" s="1089"/>
      <c r="H10" s="1091"/>
      <c r="J10" s="454">
        <v>42917</v>
      </c>
      <c r="K10" s="454">
        <v>42947</v>
      </c>
      <c r="L10" s="382"/>
      <c r="M10" s="382">
        <f>+SUMIFS(JURNAL!G:G,JURNAL!E:E,120600,JURNAL!C:C,"&gt;="&amp;J10,JURNAL!C:C,"&lt;="&amp;K10)-L10</f>
        <v>622983.84000000008</v>
      </c>
      <c r="N10" s="382">
        <f>+SUMIFS(JURNAL!H:H,JURNAL!E:E,310500,JURNAL!C:C,"&gt;="&amp;J10,JURNAL!C:C,"&lt;="&amp;K10)</f>
        <v>2466701.7265825099</v>
      </c>
      <c r="O10" s="382">
        <f t="shared" si="0"/>
        <v>0</v>
      </c>
      <c r="P10" s="382">
        <f t="shared" si="1"/>
        <v>63460709.807888933</v>
      </c>
    </row>
    <row r="11" spans="2:18" outlineLevel="1">
      <c r="B11" s="1069" t="str">
        <f>+CONCATENATE('company '!B13,'company '!C13)</f>
        <v xml:space="preserve">Байр:Шинэст ХК -н өөрийн байр </v>
      </c>
      <c r="C11" s="1070"/>
      <c r="D11" s="1071"/>
      <c r="E11" s="1088" t="str">
        <f>+CONCATENATE('[4]company '!B14,'[4]company '!C14)</f>
        <v>Хашаа, хаалга:</v>
      </c>
      <c r="F11" s="1089"/>
      <c r="G11" s="1089"/>
      <c r="H11" s="1091"/>
      <c r="J11" s="454">
        <v>42948</v>
      </c>
      <c r="K11" s="454">
        <v>42978</v>
      </c>
      <c r="L11" s="382"/>
      <c r="M11" s="382">
        <f>+SUMIFS(JURNAL!G:G,JURNAL!E:E,120600,JURNAL!C:C,"&gt;="&amp;J11,JURNAL!C:C,"&lt;="&amp;K11)-L11</f>
        <v>299179.56</v>
      </c>
      <c r="N11" s="382">
        <f>+SUMIFS(JURNAL!H:H,JURNAL!E:E,310500,JURNAL!C:C,"&gt;="&amp;J11,JURNAL!C:C,"&lt;="&amp;K11)</f>
        <v>14574801.424291302</v>
      </c>
      <c r="O11" s="382">
        <f t="shared" si="0"/>
        <v>0</v>
      </c>
      <c r="P11" s="382">
        <f>+IF((P10+N11-O10-L11-M11)&gt;0,(P10+N11-O10-L11-M11),0)</f>
        <v>77736331.672180235</v>
      </c>
      <c r="Q11" s="80"/>
    </row>
    <row r="12" spans="2:18" outlineLevel="1">
      <c r="B12" s="1092" t="str">
        <f>+CONCATENATE('company '!B15,'company '!C15,'company '!C16)</f>
        <v>Утас:7011441499119765 99066093 86001044</v>
      </c>
      <c r="C12" s="1093"/>
      <c r="D12" s="1094"/>
      <c r="E12" s="1095" t="str">
        <f>+CONCATENATE('[4]company '!B17,'[4]company '!C17)</f>
        <v>Факс:</v>
      </c>
      <c r="F12" s="1096"/>
      <c r="G12" s="1096"/>
      <c r="H12" s="1097"/>
      <c r="J12" s="454">
        <v>42979</v>
      </c>
      <c r="K12" s="454">
        <v>43008</v>
      </c>
      <c r="L12" s="382"/>
      <c r="M12" s="382">
        <f>+SUMIFS(JURNAL!G:G,JURNAL!E:E,120600,JURNAL!C:C,"&gt;="&amp;J12,JURNAL!C:C,"&lt;="&amp;K12)-L12</f>
        <v>492391.71900000004</v>
      </c>
      <c r="N12" s="382">
        <f>+SUMIFS(JURNAL!H:H,JURNAL!E:E,310500,JURNAL!C:C,"&gt;="&amp;J12,JURNAL!C:C,"&lt;="&amp;K12)</f>
        <v>1326218.9069439201</v>
      </c>
      <c r="O12" s="382">
        <f t="shared" si="0"/>
        <v>0</v>
      </c>
      <c r="P12" s="382">
        <f t="shared" si="1"/>
        <v>78570158.860124156</v>
      </c>
      <c r="Q12" s="80">
        <f>+STAT3!W111</f>
        <v>78570158.864014611</v>
      </c>
      <c r="R12" s="80">
        <f>+Q12-P12</f>
        <v>3.8904547691345215E-3</v>
      </c>
    </row>
    <row r="13" spans="2:18" outlineLevel="1">
      <c r="B13" s="1098" t="str">
        <f>+CONCATENATE('company '!B18)</f>
        <v>Шуудангийн хайрцаг:</v>
      </c>
      <c r="C13" s="1098"/>
      <c r="D13" s="1098"/>
      <c r="E13" s="1099"/>
      <c r="F13" s="1099"/>
      <c r="G13" s="1099"/>
      <c r="H13" s="1099"/>
      <c r="J13" s="454">
        <v>43009</v>
      </c>
      <c r="K13" s="454">
        <v>43039</v>
      </c>
      <c r="L13" s="382"/>
      <c r="M13" s="382">
        <f>+SUMIFS(JURNAL!G:G,JURNAL!E:E,120600,JURNAL!C:C,"&gt;="&amp;J13,JURNAL!C:C,"&lt;="&amp;K13)-L13</f>
        <v>219145.47999999998</v>
      </c>
      <c r="N13" s="382">
        <f>+SUMIFS(JURNAL!H:H,JURNAL!E:E,310500,JURNAL!C:C,"&gt;="&amp;J13,JURNAL!C:C,"&lt;="&amp;K13)</f>
        <v>3080279.04</v>
      </c>
      <c r="O13" s="382">
        <f t="shared" si="0"/>
        <v>0</v>
      </c>
      <c r="P13" s="382">
        <f t="shared" si="1"/>
        <v>81431292.420124158</v>
      </c>
    </row>
    <row r="14" spans="2:18" outlineLevel="1">
      <c r="B14" s="1100"/>
      <c r="C14" s="1100"/>
      <c r="D14" s="1100"/>
      <c r="E14" s="1101"/>
      <c r="F14" s="1101"/>
      <c r="G14" s="1101"/>
      <c r="H14" s="1101"/>
      <c r="J14" s="454">
        <v>43040</v>
      </c>
      <c r="K14" s="454">
        <v>43069</v>
      </c>
      <c r="L14" s="376"/>
      <c r="M14" s="382">
        <f>+SUMIFS(JURNAL!G:G,JURNAL!E:E,120600,JURNAL!C:C,"&gt;="&amp;J14,JURNAL!C:C,"&lt;="&amp;K14)-L14</f>
        <v>323462.75</v>
      </c>
      <c r="N14" s="382">
        <f>+SUMIFS(JURNAL!H:H,JURNAL!E:E,310500,JURNAL!C:C,"&gt;="&amp;J14,JURNAL!C:C,"&lt;="&amp;K14)</f>
        <v>2730719.45</v>
      </c>
      <c r="O14" s="382">
        <f t="shared" si="0"/>
        <v>0</v>
      </c>
      <c r="P14" s="382">
        <f t="shared" si="1"/>
        <v>83838549.120124161</v>
      </c>
      <c r="R14" s="80"/>
    </row>
    <row r="15" spans="2:18" outlineLevel="1">
      <c r="B15" s="1069" t="s">
        <v>1998</v>
      </c>
      <c r="C15" s="1070"/>
      <c r="D15" s="1070"/>
      <c r="E15" s="1070"/>
      <c r="F15" s="1070"/>
      <c r="G15" s="1070"/>
      <c r="H15" s="1071"/>
      <c r="J15" s="454">
        <v>43070</v>
      </c>
      <c r="K15" s="454">
        <v>43100</v>
      </c>
      <c r="L15" s="382">
        <v>17000000</v>
      </c>
      <c r="M15" s="382">
        <f>+SUMIFS(JURNAL!G:G,JURNAL!E:E,120600,JURNAL!C:C,"&gt;="&amp;J15,JURNAL!C:C,"&lt;="&amp;K15)-L15</f>
        <v>1228605.169090908</v>
      </c>
      <c r="N15" s="382">
        <f>+SUMIFS(JURNAL!H:H,JURNAL!E:E,310500,JURNAL!C:C,"&gt;="&amp;J15,JURNAL!C:C,"&lt;="&amp;K15)</f>
        <v>1576790.9085236364</v>
      </c>
      <c r="O15" s="382">
        <f t="shared" si="0"/>
        <v>0</v>
      </c>
      <c r="P15" s="382">
        <f t="shared" si="1"/>
        <v>67186734.859556884</v>
      </c>
      <c r="Q15" s="80">
        <v>67186734.640000001</v>
      </c>
      <c r="R15" s="80">
        <f>+P15-Q15</f>
        <v>0.21955688297748566</v>
      </c>
    </row>
    <row r="16" spans="2:18" outlineLevel="1">
      <c r="B16" s="1084"/>
      <c r="C16" s="1069" t="s">
        <v>1999</v>
      </c>
      <c r="D16" s="1071"/>
      <c r="E16" s="1088" t="s">
        <v>2000</v>
      </c>
      <c r="F16" s="1089"/>
      <c r="G16" s="1091"/>
      <c r="H16" s="456"/>
      <c r="J16" s="454" t="s">
        <v>2001</v>
      </c>
      <c r="K16" s="454"/>
      <c r="L16" s="382">
        <f>SUM(L4:L15)</f>
        <v>18000000</v>
      </c>
      <c r="M16" s="382">
        <f>SUM(M4:M15)</f>
        <v>8230450.1696013622</v>
      </c>
      <c r="N16" s="382">
        <f>SUM(N4:N15)</f>
        <v>42751002.542710431</v>
      </c>
      <c r="O16" s="382"/>
      <c r="P16" s="382"/>
    </row>
    <row r="17" spans="2:10" outlineLevel="1">
      <c r="B17" s="1085"/>
      <c r="C17" s="1069" t="str">
        <f>+CONCATENATE(E17,H17)</f>
        <v>Тайлант үе:1-сар</v>
      </c>
      <c r="D17" s="1071"/>
      <c r="E17" s="1081" t="s">
        <v>46</v>
      </c>
      <c r="F17" s="1082"/>
      <c r="G17" s="1083"/>
      <c r="H17" s="429" t="s">
        <v>2266</v>
      </c>
    </row>
    <row r="18" spans="2:10" outlineLevel="1">
      <c r="B18" s="1086"/>
      <c r="C18" s="1081" t="s">
        <v>2002</v>
      </c>
      <c r="D18" s="1083"/>
      <c r="E18" s="1081" t="s">
        <v>2003</v>
      </c>
      <c r="F18" s="1082"/>
      <c r="G18" s="1083"/>
      <c r="H18" s="429"/>
    </row>
    <row r="19" spans="2:10" outlineLevel="1">
      <c r="B19" s="487"/>
      <c r="C19" s="487"/>
      <c r="D19" s="487"/>
      <c r="E19" s="487"/>
      <c r="F19" s="487"/>
      <c r="G19" s="457"/>
      <c r="H19" s="458"/>
    </row>
    <row r="20" spans="2:10" outlineLevel="1">
      <c r="B20" s="1102" t="s">
        <v>2004</v>
      </c>
      <c r="C20" s="1102"/>
      <c r="D20" s="1102"/>
      <c r="E20" s="459"/>
      <c r="F20" s="487" t="s">
        <v>2005</v>
      </c>
      <c r="G20" s="457"/>
      <c r="H20" s="458" t="s">
        <v>2006</v>
      </c>
    </row>
    <row r="21" spans="2:10" outlineLevel="1">
      <c r="B21" s="487"/>
      <c r="C21" s="487"/>
      <c r="D21" s="487"/>
      <c r="E21" s="487"/>
      <c r="F21" s="487"/>
      <c r="G21" s="457"/>
      <c r="H21" s="458"/>
    </row>
    <row r="22" spans="2:10" outlineLevel="1">
      <c r="B22" s="487"/>
      <c r="C22" s="487"/>
      <c r="D22" s="487"/>
      <c r="E22" s="487"/>
      <c r="F22" s="487"/>
      <c r="G22" s="457"/>
      <c r="H22" s="458"/>
    </row>
    <row r="23" spans="2:10" ht="21.75" customHeight="1" outlineLevel="1">
      <c r="B23" s="1053" t="s">
        <v>2007</v>
      </c>
      <c r="C23" s="1053"/>
      <c r="D23" s="1053"/>
      <c r="E23" s="1053"/>
      <c r="F23" s="1053"/>
      <c r="G23" s="1053"/>
      <c r="H23" s="1053"/>
    </row>
    <row r="24" spans="2:10" outlineLevel="1">
      <c r="B24" s="1072" t="s">
        <v>2008</v>
      </c>
      <c r="C24" s="1073"/>
      <c r="D24" s="1073"/>
      <c r="E24" s="1073"/>
      <c r="F24" s="1074"/>
      <c r="G24" s="460" t="s">
        <v>2009</v>
      </c>
      <c r="H24" s="461">
        <f>+H25+H26</f>
        <v>34844144.527993508</v>
      </c>
    </row>
    <row r="25" spans="2:10" ht="12.75" customHeight="1" outlineLevel="1">
      <c r="B25" s="1078" t="s">
        <v>2010</v>
      </c>
      <c r="C25" s="1079"/>
      <c r="D25" s="1079"/>
      <c r="E25" s="1079"/>
      <c r="F25" s="1080"/>
      <c r="G25" s="460" t="s">
        <v>99</v>
      </c>
      <c r="H25" s="429"/>
    </row>
    <row r="26" spans="2:10" ht="12.75" customHeight="1" outlineLevel="1">
      <c r="B26" s="1078" t="s">
        <v>2011</v>
      </c>
      <c r="C26" s="1079"/>
      <c r="D26" s="1079"/>
      <c r="E26" s="1079"/>
      <c r="F26" s="1080"/>
      <c r="G26" s="460" t="s">
        <v>2012</v>
      </c>
      <c r="H26" s="429">
        <f>+H27+H33+H53</f>
        <v>34844144.527993508</v>
      </c>
    </row>
    <row r="27" spans="2:10" outlineLevel="1">
      <c r="B27" s="1084"/>
      <c r="C27" s="1072" t="s">
        <v>2013</v>
      </c>
      <c r="D27" s="1073"/>
      <c r="E27" s="1073"/>
      <c r="F27" s="1074"/>
      <c r="G27" s="460" t="s">
        <v>2014</v>
      </c>
      <c r="H27" s="461">
        <f>+H28+H29+H30+H31+H32</f>
        <v>34844144.527993508</v>
      </c>
    </row>
    <row r="28" spans="2:10" ht="12.75" customHeight="1" outlineLevel="1">
      <c r="B28" s="1085"/>
      <c r="C28" s="1075" t="s">
        <v>2015</v>
      </c>
      <c r="D28" s="1081" t="s">
        <v>2016</v>
      </c>
      <c r="E28" s="1082"/>
      <c r="F28" s="1083"/>
      <c r="G28" s="460" t="s">
        <v>173</v>
      </c>
      <c r="H28" s="429">
        <f>+SUMIFS(JURNAL!H:H,JURNAL!E:E,510000,JURNAL!C:C,"&gt;="&amp;J4,JURNAL!C:C,"&lt;="&amp;K4)+SUMIFS(JURNAL!H:H,JURNAL!E:E,510100,JURNAL!C:C,"&gt;="&amp;J4,JURNAL!C:C,"&lt;="&amp;K4)</f>
        <v>34844144.527993508</v>
      </c>
      <c r="J28" s="230"/>
    </row>
    <row r="29" spans="2:10" outlineLevel="1">
      <c r="B29" s="1085"/>
      <c r="C29" s="1076"/>
      <c r="D29" s="1047" t="s">
        <v>2017</v>
      </c>
      <c r="E29" s="1048"/>
      <c r="F29" s="1049"/>
      <c r="G29" s="462" t="s">
        <v>174</v>
      </c>
      <c r="H29" s="429"/>
    </row>
    <row r="30" spans="2:10" outlineLevel="1">
      <c r="B30" s="1085"/>
      <c r="C30" s="1076"/>
      <c r="D30" s="1047" t="s">
        <v>837</v>
      </c>
      <c r="E30" s="1048"/>
      <c r="F30" s="1049"/>
      <c r="G30" s="462" t="s">
        <v>904</v>
      </c>
      <c r="H30" s="429"/>
    </row>
    <row r="31" spans="2:10" outlineLevel="1">
      <c r="B31" s="1085"/>
      <c r="C31" s="1076"/>
      <c r="D31" s="1047" t="s">
        <v>2018</v>
      </c>
      <c r="E31" s="1048"/>
      <c r="F31" s="1049"/>
      <c r="G31" s="462" t="s">
        <v>906</v>
      </c>
      <c r="H31" s="429"/>
    </row>
    <row r="32" spans="2:10" outlineLevel="1">
      <c r="B32" s="1085"/>
      <c r="C32" s="1077"/>
      <c r="D32" s="1047" t="s">
        <v>2019</v>
      </c>
      <c r="E32" s="1048"/>
      <c r="F32" s="1049"/>
      <c r="G32" s="462" t="s">
        <v>908</v>
      </c>
      <c r="H32" s="429"/>
    </row>
    <row r="33" spans="2:8" outlineLevel="1">
      <c r="B33" s="1085"/>
      <c r="C33" s="1072" t="s">
        <v>2020</v>
      </c>
      <c r="D33" s="1073"/>
      <c r="E33" s="1073"/>
      <c r="F33" s="1074"/>
      <c r="G33" s="460" t="s">
        <v>2021</v>
      </c>
      <c r="H33" s="461">
        <f>+H34+H35+H36+H37+H38+H39+H40+H41+H42+H43+H44+H45+H46+H47+H48</f>
        <v>0</v>
      </c>
    </row>
    <row r="34" spans="2:8" ht="12.75" customHeight="1" outlineLevel="1">
      <c r="B34" s="1085"/>
      <c r="C34" s="1075" t="s">
        <v>2015</v>
      </c>
      <c r="D34" s="1047" t="s">
        <v>2022</v>
      </c>
      <c r="E34" s="1048"/>
      <c r="F34" s="1049"/>
      <c r="G34" s="462" t="s">
        <v>912</v>
      </c>
      <c r="H34" s="429"/>
    </row>
    <row r="35" spans="2:8" ht="12.75" customHeight="1" outlineLevel="1">
      <c r="B35" s="1085"/>
      <c r="C35" s="1076"/>
      <c r="D35" s="1047" t="s">
        <v>2023</v>
      </c>
      <c r="E35" s="1048"/>
      <c r="F35" s="1049"/>
      <c r="G35" s="462" t="s">
        <v>914</v>
      </c>
      <c r="H35" s="429"/>
    </row>
    <row r="36" spans="2:8" ht="12.75" customHeight="1" outlineLevel="1">
      <c r="B36" s="1085"/>
      <c r="C36" s="1076"/>
      <c r="D36" s="1047" t="s">
        <v>2024</v>
      </c>
      <c r="E36" s="1048"/>
      <c r="F36" s="1049"/>
      <c r="G36" s="462" t="s">
        <v>916</v>
      </c>
      <c r="H36" s="429"/>
    </row>
    <row r="37" spans="2:8" ht="12.75" customHeight="1" outlineLevel="1">
      <c r="B37" s="1085"/>
      <c r="C37" s="1076"/>
      <c r="D37" s="1047" t="s">
        <v>2025</v>
      </c>
      <c r="E37" s="1048"/>
      <c r="F37" s="1049"/>
      <c r="G37" s="462" t="s">
        <v>918</v>
      </c>
      <c r="H37" s="429"/>
    </row>
    <row r="38" spans="2:8" ht="12.75" customHeight="1" outlineLevel="1">
      <c r="B38" s="1085"/>
      <c r="C38" s="1076"/>
      <c r="D38" s="1047" t="s">
        <v>2026</v>
      </c>
      <c r="E38" s="1048"/>
      <c r="F38" s="1049"/>
      <c r="G38" s="462" t="s">
        <v>920</v>
      </c>
      <c r="H38" s="429"/>
    </row>
    <row r="39" spans="2:8" ht="12.75" customHeight="1" outlineLevel="1">
      <c r="B39" s="1085"/>
      <c r="C39" s="1076"/>
      <c r="D39" s="1047" t="s">
        <v>2027</v>
      </c>
      <c r="E39" s="1048"/>
      <c r="F39" s="1049"/>
      <c r="G39" s="462" t="s">
        <v>922</v>
      </c>
      <c r="H39" s="429"/>
    </row>
    <row r="40" spans="2:8" ht="12.75" customHeight="1" outlineLevel="1">
      <c r="B40" s="1085"/>
      <c r="C40" s="1076"/>
      <c r="D40" s="1047" t="s">
        <v>2028</v>
      </c>
      <c r="E40" s="1048"/>
      <c r="F40" s="1049"/>
      <c r="G40" s="462" t="s">
        <v>924</v>
      </c>
      <c r="H40" s="429"/>
    </row>
    <row r="41" spans="2:8" ht="12.75" customHeight="1" outlineLevel="1">
      <c r="B41" s="1085"/>
      <c r="C41" s="1076"/>
      <c r="D41" s="1047" t="s">
        <v>2029</v>
      </c>
      <c r="E41" s="1048"/>
      <c r="F41" s="1049"/>
      <c r="G41" s="462" t="s">
        <v>926</v>
      </c>
      <c r="H41" s="429"/>
    </row>
    <row r="42" spans="2:8" outlineLevel="1">
      <c r="B42" s="1085"/>
      <c r="C42" s="1076"/>
      <c r="D42" s="1047" t="s">
        <v>2030</v>
      </c>
      <c r="E42" s="1048"/>
      <c r="F42" s="1049"/>
      <c r="G42" s="462" t="s">
        <v>928</v>
      </c>
      <c r="H42" s="429"/>
    </row>
    <row r="43" spans="2:8" ht="12.75" customHeight="1" outlineLevel="1">
      <c r="B43" s="1085"/>
      <c r="C43" s="1076"/>
      <c r="D43" s="1047" t="s">
        <v>2031</v>
      </c>
      <c r="E43" s="1048"/>
      <c r="F43" s="1049"/>
      <c r="G43" s="462" t="s">
        <v>930</v>
      </c>
      <c r="H43" s="429"/>
    </row>
    <row r="44" spans="2:8" outlineLevel="1">
      <c r="B44" s="1085"/>
      <c r="C44" s="1076"/>
      <c r="D44" s="1047" t="s">
        <v>2032</v>
      </c>
      <c r="E44" s="1048"/>
      <c r="F44" s="1049"/>
      <c r="G44" s="462" t="s">
        <v>932</v>
      </c>
      <c r="H44" s="429"/>
    </row>
    <row r="45" spans="2:8" ht="12.75" customHeight="1" outlineLevel="1">
      <c r="B45" s="1085"/>
      <c r="C45" s="1076"/>
      <c r="D45" s="1047" t="s">
        <v>2033</v>
      </c>
      <c r="E45" s="1048"/>
      <c r="F45" s="1049"/>
      <c r="G45" s="462" t="s">
        <v>934</v>
      </c>
      <c r="H45" s="429"/>
    </row>
    <row r="46" spans="2:8" ht="12.75" customHeight="1" outlineLevel="1">
      <c r="B46" s="1085"/>
      <c r="C46" s="1076"/>
      <c r="D46" s="1047" t="s">
        <v>2034</v>
      </c>
      <c r="E46" s="1048"/>
      <c r="F46" s="1049"/>
      <c r="G46" s="462" t="s">
        <v>936</v>
      </c>
      <c r="H46" s="429"/>
    </row>
    <row r="47" spans="2:8" ht="12.75" customHeight="1" outlineLevel="1">
      <c r="B47" s="1085"/>
      <c r="C47" s="1076"/>
      <c r="D47" s="1047" t="s">
        <v>2035</v>
      </c>
      <c r="E47" s="1048"/>
      <c r="F47" s="1049"/>
      <c r="G47" s="462" t="s">
        <v>944</v>
      </c>
      <c r="H47" s="429"/>
    </row>
    <row r="48" spans="2:8" ht="12.75" customHeight="1" outlineLevel="1">
      <c r="B48" s="1086"/>
      <c r="C48" s="1077"/>
      <c r="D48" s="1047" t="s">
        <v>2036</v>
      </c>
      <c r="E48" s="1048"/>
      <c r="F48" s="1049"/>
      <c r="G48" s="462" t="s">
        <v>946</v>
      </c>
      <c r="H48" s="429"/>
    </row>
    <row r="49" spans="2:8" outlineLevel="1">
      <c r="B49" s="1072" t="s">
        <v>2037</v>
      </c>
      <c r="C49" s="1073"/>
      <c r="D49" s="1073"/>
      <c r="E49" s="1073"/>
      <c r="F49" s="1074"/>
      <c r="G49" s="460" t="s">
        <v>2038</v>
      </c>
      <c r="H49" s="461">
        <f>+H27+H33</f>
        <v>34844144.527993508</v>
      </c>
    </row>
    <row r="50" spans="2:8" outlineLevel="1">
      <c r="B50" s="1072" t="s">
        <v>2039</v>
      </c>
      <c r="C50" s="1073"/>
      <c r="D50" s="1073"/>
      <c r="E50" s="1073"/>
      <c r="F50" s="1074"/>
      <c r="G50" s="460" t="s">
        <v>2040</v>
      </c>
      <c r="H50" s="461">
        <f>+H49*0.1</f>
        <v>3484414.452799351</v>
      </c>
    </row>
    <row r="51" spans="2:8" outlineLevel="1">
      <c r="B51" s="1081" t="s">
        <v>2041</v>
      </c>
      <c r="C51" s="1082"/>
      <c r="D51" s="1082"/>
      <c r="E51" s="1082"/>
      <c r="F51" s="1083"/>
      <c r="G51" s="460" t="s">
        <v>2042</v>
      </c>
      <c r="H51" s="429"/>
    </row>
    <row r="52" spans="2:8" outlineLevel="1">
      <c r="B52" s="1081" t="s">
        <v>2043</v>
      </c>
      <c r="C52" s="1082"/>
      <c r="D52" s="1082"/>
      <c r="E52" s="1082"/>
      <c r="F52" s="1083"/>
      <c r="G52" s="460" t="s">
        <v>2044</v>
      </c>
      <c r="H52" s="429"/>
    </row>
    <row r="53" spans="2:8" outlineLevel="1">
      <c r="B53" s="1072" t="s">
        <v>2045</v>
      </c>
      <c r="C53" s="1073"/>
      <c r="D53" s="1073"/>
      <c r="E53" s="1073"/>
      <c r="F53" s="1074"/>
      <c r="G53" s="460" t="s">
        <v>2046</v>
      </c>
      <c r="H53" s="461">
        <f>+H51+H52</f>
        <v>0</v>
      </c>
    </row>
    <row r="54" spans="2:8" outlineLevel="1">
      <c r="B54" s="1072" t="s">
        <v>2039</v>
      </c>
      <c r="C54" s="1073"/>
      <c r="D54" s="1073"/>
      <c r="E54" s="1073"/>
      <c r="F54" s="1074"/>
      <c r="G54" s="460" t="s">
        <v>2047</v>
      </c>
      <c r="H54" s="461">
        <f>+H53*0%</f>
        <v>0</v>
      </c>
    </row>
    <row r="55" spans="2:8" outlineLevel="1">
      <c r="B55" s="1072" t="s">
        <v>2048</v>
      </c>
      <c r="C55" s="1073"/>
      <c r="D55" s="1073"/>
      <c r="E55" s="1073"/>
      <c r="F55" s="1074"/>
      <c r="G55" s="460" t="s">
        <v>2049</v>
      </c>
      <c r="H55" s="461">
        <f>+H50+H54</f>
        <v>3484414.452799351</v>
      </c>
    </row>
    <row r="56" spans="2:8" outlineLevel="1"/>
    <row r="57" spans="2:8" ht="24.75" customHeight="1" outlineLevel="1">
      <c r="B57" s="1053" t="s">
        <v>2050</v>
      </c>
      <c r="C57" s="1053"/>
      <c r="D57" s="1053"/>
      <c r="E57" s="1053"/>
      <c r="F57" s="1053"/>
      <c r="G57" s="1053"/>
      <c r="H57" s="1053"/>
    </row>
    <row r="58" spans="2:8" outlineLevel="1">
      <c r="B58" s="1072" t="s">
        <v>2051</v>
      </c>
      <c r="C58" s="1073"/>
      <c r="D58" s="1073"/>
      <c r="E58" s="1073"/>
      <c r="F58" s="1074"/>
      <c r="G58" s="460" t="s">
        <v>2052</v>
      </c>
      <c r="H58" s="429"/>
    </row>
    <row r="59" spans="2:8" ht="12.75" customHeight="1" outlineLevel="1">
      <c r="B59" s="1078" t="s">
        <v>2053</v>
      </c>
      <c r="C59" s="1079"/>
      <c r="D59" s="1079"/>
      <c r="E59" s="1079"/>
      <c r="F59" s="1080"/>
      <c r="G59" s="460" t="s">
        <v>2054</v>
      </c>
      <c r="H59" s="429">
        <f>+H60+H61+H62+H63</f>
        <v>9353274.7542000003</v>
      </c>
    </row>
    <row r="60" spans="2:8" ht="12.75" customHeight="1" outlineLevel="1">
      <c r="B60" s="1075" t="s">
        <v>2015</v>
      </c>
      <c r="C60" s="1047" t="s">
        <v>2055</v>
      </c>
      <c r="D60" s="1048"/>
      <c r="E60" s="1048"/>
      <c r="F60" s="1049"/>
      <c r="G60" s="460" t="s">
        <v>2056</v>
      </c>
      <c r="H60" s="429"/>
    </row>
    <row r="61" spans="2:8" ht="12.75" customHeight="1" outlineLevel="1">
      <c r="B61" s="1076"/>
      <c r="C61" s="1047" t="s">
        <v>2057</v>
      </c>
      <c r="D61" s="1048"/>
      <c r="E61" s="1048"/>
      <c r="F61" s="1049"/>
      <c r="G61" s="460" t="s">
        <v>2058</v>
      </c>
      <c r="H61" s="429">
        <f>+M4*10</f>
        <v>9353274.7542000003</v>
      </c>
    </row>
    <row r="62" spans="2:8" ht="12.75" customHeight="1" outlineLevel="1">
      <c r="B62" s="1076"/>
      <c r="C62" s="1047" t="s">
        <v>2059</v>
      </c>
      <c r="D62" s="1048"/>
      <c r="E62" s="1048"/>
      <c r="F62" s="1049"/>
      <c r="G62" s="460" t="s">
        <v>2060</v>
      </c>
      <c r="H62" s="429"/>
    </row>
    <row r="63" spans="2:8" ht="12.75" customHeight="1" outlineLevel="1">
      <c r="B63" s="1077"/>
      <c r="C63" s="1047" t="s">
        <v>2061</v>
      </c>
      <c r="D63" s="1048"/>
      <c r="E63" s="1048"/>
      <c r="F63" s="1049"/>
      <c r="G63" s="460" t="s">
        <v>2062</v>
      </c>
      <c r="H63" s="429"/>
    </row>
    <row r="64" spans="2:8" outlineLevel="1">
      <c r="B64" s="1072" t="s">
        <v>2063</v>
      </c>
      <c r="C64" s="1073"/>
      <c r="D64" s="1073"/>
      <c r="E64" s="1073"/>
      <c r="F64" s="1074"/>
      <c r="G64" s="460" t="s">
        <v>2064</v>
      </c>
      <c r="H64" s="461">
        <f>+H59*0.1</f>
        <v>935327.47542000003</v>
      </c>
    </row>
    <row r="65" spans="2:8" outlineLevel="1">
      <c r="B65" s="1072" t="s">
        <v>2065</v>
      </c>
      <c r="C65" s="1073"/>
      <c r="D65" s="1073"/>
      <c r="E65" s="1073"/>
      <c r="F65" s="1074"/>
      <c r="G65" s="460" t="s">
        <v>2066</v>
      </c>
      <c r="H65" s="461">
        <f>+H66+H67+H68+H69+H70+H71</f>
        <v>0</v>
      </c>
    </row>
    <row r="66" spans="2:8" ht="12.75" customHeight="1" outlineLevel="1">
      <c r="B66" s="1075" t="s">
        <v>2015</v>
      </c>
      <c r="C66" s="1047" t="s">
        <v>2067</v>
      </c>
      <c r="D66" s="1048"/>
      <c r="E66" s="1048"/>
      <c r="F66" s="1049"/>
      <c r="G66" s="460" t="s">
        <v>2068</v>
      </c>
      <c r="H66" s="429"/>
    </row>
    <row r="67" spans="2:8" ht="12.75" customHeight="1" outlineLevel="1">
      <c r="B67" s="1076"/>
      <c r="C67" s="1047" t="s">
        <v>2069</v>
      </c>
      <c r="D67" s="1048"/>
      <c r="E67" s="1048"/>
      <c r="F67" s="1049"/>
      <c r="G67" s="460" t="s">
        <v>2070</v>
      </c>
      <c r="H67" s="429"/>
    </row>
    <row r="68" spans="2:8" ht="12.75" customHeight="1" outlineLevel="1">
      <c r="B68" s="1076"/>
      <c r="C68" s="1047" t="s">
        <v>2071</v>
      </c>
      <c r="D68" s="1048"/>
      <c r="E68" s="1048"/>
      <c r="F68" s="1049"/>
      <c r="G68" s="460" t="s">
        <v>2072</v>
      </c>
      <c r="H68" s="429"/>
    </row>
    <row r="69" spans="2:8" ht="12.75" customHeight="1" outlineLevel="1">
      <c r="B69" s="1076"/>
      <c r="C69" s="1047" t="s">
        <v>2073</v>
      </c>
      <c r="D69" s="1048"/>
      <c r="E69" s="1048"/>
      <c r="F69" s="1049"/>
      <c r="G69" s="460" t="s">
        <v>2074</v>
      </c>
      <c r="H69" s="429"/>
    </row>
    <row r="70" spans="2:8" ht="12.75" customHeight="1" outlineLevel="1">
      <c r="B70" s="1076"/>
      <c r="C70" s="1047" t="s">
        <v>2075</v>
      </c>
      <c r="D70" s="1048"/>
      <c r="E70" s="1048"/>
      <c r="F70" s="1049"/>
      <c r="G70" s="460" t="s">
        <v>2076</v>
      </c>
      <c r="H70" s="429"/>
    </row>
    <row r="71" spans="2:8" ht="12.75" customHeight="1" outlineLevel="1">
      <c r="B71" s="1077"/>
      <c r="C71" s="1047" t="s">
        <v>2077</v>
      </c>
      <c r="D71" s="1048"/>
      <c r="E71" s="1048"/>
      <c r="F71" s="1049"/>
      <c r="G71" s="460" t="s">
        <v>2078</v>
      </c>
      <c r="H71" s="429"/>
    </row>
    <row r="72" spans="2:8" outlineLevel="1">
      <c r="B72" s="1072" t="s">
        <v>2079</v>
      </c>
      <c r="C72" s="1073"/>
      <c r="D72" s="1073"/>
      <c r="E72" s="1073"/>
      <c r="F72" s="1074"/>
      <c r="G72" s="460" t="s">
        <v>2080</v>
      </c>
      <c r="H72" s="461">
        <f>+H64-H65</f>
        <v>935327.47542000003</v>
      </c>
    </row>
    <row r="73" spans="2:8" outlineLevel="1"/>
    <row r="74" spans="2:8" ht="22.5" customHeight="1" outlineLevel="1">
      <c r="B74" s="1053" t="s">
        <v>2081</v>
      </c>
      <c r="C74" s="1053"/>
      <c r="D74" s="1053"/>
      <c r="E74" s="1053"/>
      <c r="F74" s="1053"/>
      <c r="G74" s="1053"/>
      <c r="H74" s="1053"/>
    </row>
    <row r="75" spans="2:8" ht="12.75" customHeight="1" outlineLevel="1">
      <c r="B75" s="1047" t="s">
        <v>2082</v>
      </c>
      <c r="C75" s="1048"/>
      <c r="D75" s="1048"/>
      <c r="E75" s="1048"/>
      <c r="F75" s="1049"/>
      <c r="G75" s="460" t="s">
        <v>2083</v>
      </c>
      <c r="H75" s="429"/>
    </row>
    <row r="76" spans="2:8" ht="12.75" customHeight="1" outlineLevel="1">
      <c r="B76" s="1047" t="s">
        <v>2084</v>
      </c>
      <c r="C76" s="1048"/>
      <c r="D76" s="1048"/>
      <c r="E76" s="1048"/>
      <c r="F76" s="1049"/>
      <c r="G76" s="460" t="s">
        <v>2085</v>
      </c>
      <c r="H76" s="429"/>
    </row>
    <row r="77" spans="2:8" ht="12.75" customHeight="1" outlineLevel="1">
      <c r="B77" s="1050" t="s">
        <v>2086</v>
      </c>
      <c r="C77" s="1051"/>
      <c r="D77" s="1051"/>
      <c r="E77" s="1051"/>
      <c r="F77" s="1052"/>
      <c r="G77" s="460" t="s">
        <v>2087</v>
      </c>
      <c r="H77" s="429">
        <f>+(H75+H76)*0.1</f>
        <v>0</v>
      </c>
    </row>
    <row r="78" spans="2:8" ht="12.75" customHeight="1" outlineLevel="1">
      <c r="B78" s="1047" t="s">
        <v>2088</v>
      </c>
      <c r="C78" s="1048"/>
      <c r="D78" s="1048"/>
      <c r="E78" s="1048"/>
      <c r="F78" s="1049"/>
      <c r="G78" s="460" t="s">
        <v>2089</v>
      </c>
      <c r="H78" s="429"/>
    </row>
    <row r="79" spans="2:8" ht="12.75" customHeight="1" outlineLevel="1">
      <c r="B79" s="1047" t="s">
        <v>2090</v>
      </c>
      <c r="C79" s="1048"/>
      <c r="D79" s="1048"/>
      <c r="E79" s="1048"/>
      <c r="F79" s="1049"/>
      <c r="G79" s="460" t="s">
        <v>2091</v>
      </c>
      <c r="H79" s="429"/>
    </row>
    <row r="80" spans="2:8" ht="12.75" customHeight="1" outlineLevel="1">
      <c r="B80" s="1050" t="s">
        <v>2092</v>
      </c>
      <c r="C80" s="1051"/>
      <c r="D80" s="1051"/>
      <c r="E80" s="1051"/>
      <c r="F80" s="1052"/>
      <c r="G80" s="460" t="s">
        <v>2093</v>
      </c>
      <c r="H80" s="429">
        <f>+(H78+H79)*0.1</f>
        <v>0</v>
      </c>
    </row>
    <row r="81" spans="2:10" outlineLevel="1"/>
    <row r="82" spans="2:10" ht="12.75" customHeight="1" outlineLevel="1">
      <c r="B82" s="1053" t="s">
        <v>2094</v>
      </c>
      <c r="C82" s="1053"/>
      <c r="D82" s="1053"/>
      <c r="E82" s="1053"/>
      <c r="F82" s="1053"/>
      <c r="G82" s="1053"/>
      <c r="H82" s="1053"/>
    </row>
    <row r="83" spans="2:10" ht="12.75" customHeight="1" outlineLevel="1">
      <c r="B83" s="1050" t="s">
        <v>2095</v>
      </c>
      <c r="C83" s="1051"/>
      <c r="D83" s="1051"/>
      <c r="E83" s="1051"/>
      <c r="F83" s="1052"/>
      <c r="G83" s="460" t="s">
        <v>2096</v>
      </c>
      <c r="H83" s="429">
        <f>+H55+H77</f>
        <v>3484414.452799351</v>
      </c>
    </row>
    <row r="84" spans="2:10" ht="12.75" customHeight="1" outlineLevel="1">
      <c r="B84" s="1050" t="s">
        <v>2097</v>
      </c>
      <c r="C84" s="1051"/>
      <c r="D84" s="1051"/>
      <c r="E84" s="1051"/>
      <c r="F84" s="1052"/>
      <c r="G84" s="460" t="s">
        <v>2098</v>
      </c>
      <c r="H84" s="429">
        <f>+H72+H80</f>
        <v>935327.47542000003</v>
      </c>
    </row>
    <row r="85" spans="2:10" outlineLevel="1"/>
    <row r="86" spans="2:10" ht="12.75" customHeight="1" outlineLevel="1">
      <c r="B86" s="1053" t="s">
        <v>2099</v>
      </c>
      <c r="C86" s="1053"/>
      <c r="D86" s="1053"/>
      <c r="E86" s="1053"/>
      <c r="F86" s="1053"/>
      <c r="G86" s="1053"/>
      <c r="H86" s="1053"/>
    </row>
    <row r="87" spans="2:10" ht="12.75" customHeight="1" outlineLevel="1">
      <c r="B87" s="1047" t="s">
        <v>2100</v>
      </c>
      <c r="C87" s="1048"/>
      <c r="D87" s="1048"/>
      <c r="E87" s="1048"/>
      <c r="F87" s="1049"/>
      <c r="G87" s="460" t="s">
        <v>2101</v>
      </c>
      <c r="H87" s="429"/>
    </row>
    <row r="88" spans="2:10" ht="12.75" customHeight="1" outlineLevel="1">
      <c r="B88" s="1050" t="s">
        <v>2102</v>
      </c>
      <c r="C88" s="1051"/>
      <c r="D88" s="1051"/>
      <c r="E88" s="1051"/>
      <c r="F88" s="1052"/>
      <c r="G88" s="460" t="s">
        <v>2103</v>
      </c>
      <c r="H88" s="429">
        <f>+H87*0.1</f>
        <v>0</v>
      </c>
    </row>
    <row r="89" spans="2:10" ht="12.75" customHeight="1" outlineLevel="1">
      <c r="B89" s="1047" t="s">
        <v>2104</v>
      </c>
      <c r="C89" s="1048"/>
      <c r="D89" s="1048"/>
      <c r="E89" s="1048"/>
      <c r="F89" s="1049"/>
      <c r="G89" s="460" t="s">
        <v>2105</v>
      </c>
      <c r="H89" s="429"/>
    </row>
    <row r="90" spans="2:10" ht="12.75" customHeight="1" outlineLevel="1">
      <c r="B90" s="1050" t="s">
        <v>2092</v>
      </c>
      <c r="C90" s="1051"/>
      <c r="D90" s="1051"/>
      <c r="E90" s="1051"/>
      <c r="F90" s="1052"/>
      <c r="G90" s="460" t="s">
        <v>2106</v>
      </c>
      <c r="H90" s="429">
        <f>+H89*0.1</f>
        <v>0</v>
      </c>
    </row>
    <row r="91" spans="2:10" outlineLevel="1"/>
    <row r="92" spans="2:10" ht="12.75" customHeight="1" outlineLevel="1">
      <c r="B92" s="1053" t="s">
        <v>2107</v>
      </c>
      <c r="C92" s="1053"/>
      <c r="D92" s="1053"/>
      <c r="E92" s="1053"/>
      <c r="F92" s="1053"/>
      <c r="G92" s="1053"/>
      <c r="H92" s="1053"/>
    </row>
    <row r="93" spans="2:10" outlineLevel="1">
      <c r="B93" s="1054" t="s">
        <v>1322</v>
      </c>
      <c r="C93" s="1054"/>
      <c r="D93" s="1055" t="s">
        <v>2108</v>
      </c>
      <c r="E93" s="1056"/>
      <c r="F93" s="1057"/>
      <c r="G93" s="460" t="s">
        <v>2109</v>
      </c>
      <c r="H93" s="429">
        <f>+H83-H88</f>
        <v>3484414.452799351</v>
      </c>
    </row>
    <row r="94" spans="2:10" outlineLevel="1">
      <c r="B94" s="1054"/>
      <c r="C94" s="1054"/>
      <c r="D94" s="1055" t="s">
        <v>2110</v>
      </c>
      <c r="E94" s="1056"/>
      <c r="F94" s="1057"/>
      <c r="G94" s="460" t="s">
        <v>2111</v>
      </c>
      <c r="H94" s="429">
        <f>+H84-H90</f>
        <v>935327.47542000003</v>
      </c>
    </row>
    <row r="95" spans="2:10" outlineLevel="1">
      <c r="B95" s="1054"/>
      <c r="C95" s="1054"/>
      <c r="D95" s="1055" t="s">
        <v>2112</v>
      </c>
      <c r="E95" s="1056"/>
      <c r="F95" s="1057"/>
      <c r="G95" s="460" t="s">
        <v>2113</v>
      </c>
      <c r="H95" s="429">
        <f>+H93-H94</f>
        <v>2549086.9773793509</v>
      </c>
      <c r="J95" s="80"/>
    </row>
    <row r="96" spans="2:10" outlineLevel="1">
      <c r="B96" s="1054"/>
      <c r="C96" s="1054"/>
      <c r="D96" s="1055" t="s">
        <v>2114</v>
      </c>
      <c r="E96" s="1056"/>
      <c r="F96" s="1057"/>
      <c r="G96" s="460" t="s">
        <v>2115</v>
      </c>
      <c r="H96" s="429"/>
    </row>
    <row r="97" spans="2:11" outlineLevel="1"/>
    <row r="98" spans="2:11" ht="12.75" customHeight="1" outlineLevel="1">
      <c r="B98" s="1062" t="s">
        <v>2116</v>
      </c>
      <c r="C98" s="1062"/>
      <c r="D98" s="1062"/>
      <c r="E98" s="1062"/>
      <c r="F98" s="1062"/>
      <c r="G98" s="463" t="s">
        <v>2117</v>
      </c>
      <c r="H98" s="464" t="s">
        <v>2118</v>
      </c>
    </row>
    <row r="99" spans="2:11" outlineLevel="1">
      <c r="B99" s="1058" t="s">
        <v>2119</v>
      </c>
      <c r="C99" s="1058"/>
      <c r="D99" s="1058"/>
      <c r="E99" s="465" t="s">
        <v>1079</v>
      </c>
      <c r="F99" s="466">
        <v>1</v>
      </c>
      <c r="G99" s="467">
        <f>+O3</f>
        <v>0</v>
      </c>
      <c r="H99" s="468"/>
    </row>
    <row r="100" spans="2:11" outlineLevel="1">
      <c r="B100" s="1058"/>
      <c r="C100" s="1058"/>
      <c r="D100" s="1058"/>
      <c r="E100" s="465" t="s">
        <v>1080</v>
      </c>
      <c r="F100" s="466">
        <f>+F99+1</f>
        <v>2</v>
      </c>
      <c r="G100" s="469"/>
      <c r="H100" s="470">
        <f>+STAT1!I111</f>
        <v>50666182.486447811</v>
      </c>
      <c r="J100" s="230"/>
      <c r="K100" s="80"/>
    </row>
    <row r="101" spans="2:11" outlineLevel="1">
      <c r="B101" s="1058" t="s">
        <v>2120</v>
      </c>
      <c r="C101" s="1058"/>
      <c r="D101" s="1058"/>
      <c r="E101" s="465" t="s">
        <v>1079</v>
      </c>
      <c r="F101" s="466">
        <f t="shared" ref="F101:F114" si="2">+F100+1</f>
        <v>3</v>
      </c>
      <c r="G101" s="467"/>
      <c r="H101" s="468"/>
    </row>
    <row r="102" spans="2:11" outlineLevel="1">
      <c r="B102" s="1058"/>
      <c r="C102" s="1058"/>
      <c r="D102" s="1058"/>
      <c r="E102" s="465" t="s">
        <v>1080</v>
      </c>
      <c r="F102" s="466">
        <f t="shared" si="2"/>
        <v>4</v>
      </c>
      <c r="G102" s="469"/>
      <c r="H102" s="470">
        <f>+H95</f>
        <v>2549086.9773793509</v>
      </c>
    </row>
    <row r="103" spans="2:11" outlineLevel="1">
      <c r="B103" s="1059" t="s">
        <v>1085</v>
      </c>
      <c r="C103" s="1060"/>
      <c r="D103" s="1060"/>
      <c r="E103" s="1061"/>
      <c r="F103" s="466">
        <f t="shared" si="2"/>
        <v>5</v>
      </c>
      <c r="G103" s="467">
        <f>L4</f>
        <v>0</v>
      </c>
      <c r="H103" s="468"/>
      <c r="J103" s="80"/>
      <c r="K103" s="230"/>
    </row>
    <row r="104" spans="2:11" ht="12.75" customHeight="1" outlineLevel="1">
      <c r="B104" s="1063" t="s">
        <v>2121</v>
      </c>
      <c r="C104" s="1064"/>
      <c r="D104" s="1064"/>
      <c r="E104" s="1065"/>
      <c r="F104" s="466">
        <f t="shared" si="2"/>
        <v>6</v>
      </c>
      <c r="G104" s="472"/>
      <c r="H104" s="468"/>
    </row>
    <row r="105" spans="2:11" ht="12.75" customHeight="1" outlineLevel="1">
      <c r="B105" s="1063" t="s">
        <v>2121</v>
      </c>
      <c r="C105" s="1064"/>
      <c r="D105" s="1064"/>
      <c r="E105" s="1065"/>
      <c r="F105" s="466">
        <f t="shared" si="2"/>
        <v>7</v>
      </c>
      <c r="G105" s="469"/>
      <c r="H105" s="471"/>
    </row>
    <row r="106" spans="2:11" outlineLevel="1">
      <c r="B106" s="1058" t="s">
        <v>2122</v>
      </c>
      <c r="C106" s="1058"/>
      <c r="D106" s="1058"/>
      <c r="E106" s="465" t="s">
        <v>1079</v>
      </c>
      <c r="F106" s="466">
        <f t="shared" si="2"/>
        <v>8</v>
      </c>
      <c r="G106" s="472"/>
      <c r="H106" s="468"/>
    </row>
    <row r="107" spans="2:11" outlineLevel="1">
      <c r="B107" s="1058"/>
      <c r="C107" s="1058"/>
      <c r="D107" s="1058"/>
      <c r="E107" s="465" t="s">
        <v>1080</v>
      </c>
      <c r="F107" s="466">
        <f t="shared" si="2"/>
        <v>9</v>
      </c>
      <c r="G107" s="469"/>
      <c r="H107" s="471"/>
    </row>
    <row r="108" spans="2:11" outlineLevel="1">
      <c r="B108" s="1058" t="s">
        <v>2123</v>
      </c>
      <c r="C108" s="1058"/>
      <c r="D108" s="1058"/>
      <c r="E108" s="465" t="s">
        <v>1079</v>
      </c>
      <c r="F108" s="466">
        <f t="shared" si="2"/>
        <v>10</v>
      </c>
      <c r="G108" s="472"/>
      <c r="H108" s="468"/>
    </row>
    <row r="109" spans="2:11" outlineLevel="1">
      <c r="B109" s="1058"/>
      <c r="C109" s="1058"/>
      <c r="D109" s="1058"/>
      <c r="E109" s="465" t="s">
        <v>1080</v>
      </c>
      <c r="F109" s="466">
        <f t="shared" si="2"/>
        <v>11</v>
      </c>
      <c r="G109" s="469"/>
      <c r="H109" s="471"/>
    </row>
    <row r="110" spans="2:11" outlineLevel="1">
      <c r="B110" s="1059" t="s">
        <v>2124</v>
      </c>
      <c r="C110" s="1060"/>
      <c r="D110" s="1060"/>
      <c r="E110" s="1061"/>
      <c r="F110" s="466">
        <f t="shared" si="2"/>
        <v>12</v>
      </c>
      <c r="G110" s="472"/>
      <c r="H110" s="468"/>
    </row>
    <row r="111" spans="2:11" outlineLevel="1">
      <c r="B111" s="1058" t="s">
        <v>2125</v>
      </c>
      <c r="C111" s="1058"/>
      <c r="D111" s="1058"/>
      <c r="E111" s="465" t="s">
        <v>1079</v>
      </c>
      <c r="F111" s="466">
        <f t="shared" si="2"/>
        <v>13</v>
      </c>
      <c r="G111" s="472"/>
      <c r="H111" s="468"/>
    </row>
    <row r="112" spans="2:11" outlineLevel="1">
      <c r="B112" s="1058"/>
      <c r="C112" s="1058"/>
      <c r="D112" s="1058"/>
      <c r="E112" s="465" t="s">
        <v>1080</v>
      </c>
      <c r="F112" s="466">
        <f t="shared" si="2"/>
        <v>14</v>
      </c>
      <c r="G112" s="469"/>
      <c r="H112" s="471"/>
    </row>
    <row r="113" spans="1:11" outlineLevel="1">
      <c r="B113" s="1058" t="s">
        <v>2126</v>
      </c>
      <c r="C113" s="1058"/>
      <c r="D113" s="1058"/>
      <c r="E113" s="465" t="s">
        <v>1079</v>
      </c>
      <c r="F113" s="466">
        <f t="shared" si="2"/>
        <v>15</v>
      </c>
      <c r="G113" s="467">
        <f>IF((G99+G101+G103-H100-H102)&gt;0,(G99+G101+G103-H100-H102),0)</f>
        <v>0</v>
      </c>
      <c r="H113" s="468"/>
    </row>
    <row r="114" spans="1:11" outlineLevel="1">
      <c r="B114" s="1058"/>
      <c r="C114" s="1058"/>
      <c r="D114" s="1058"/>
      <c r="E114" s="465" t="s">
        <v>1080</v>
      </c>
      <c r="F114" s="466">
        <f t="shared" si="2"/>
        <v>16</v>
      </c>
      <c r="G114" s="473"/>
      <c r="H114" s="520">
        <f>+IF((H100+H102-G99-G101-G103)&gt;0,(H100+H102-G99-G101-G103),0)</f>
        <v>53215269.463827163</v>
      </c>
      <c r="J114" s="231">
        <v>53215268.479999997</v>
      </c>
      <c r="K114" s="80">
        <f>+J114-H114</f>
        <v>-0.98382716625928879</v>
      </c>
    </row>
    <row r="115" spans="1:11" outlineLevel="1"/>
    <row r="116" spans="1:11" outlineLevel="1"/>
    <row r="117" spans="1:11" outlineLevel="1">
      <c r="B117" s="331" t="s">
        <v>2127</v>
      </c>
      <c r="E117" s="331" t="s">
        <v>1090</v>
      </c>
    </row>
    <row r="118" spans="1:11" outlineLevel="1">
      <c r="B118" s="331"/>
    </row>
    <row r="119" spans="1:11" outlineLevel="1">
      <c r="B119" s="331" t="str">
        <f>+CONCATENATE('[4]company '!B25," . . . . . . . . . . . . . . . . . .  ... . . . .. . . . ",'[4]company '!C25)</f>
        <v>Ерөнхий захирал . . . . . . . . . . . . . . . . . .  ... . . . .. . . . /Г.Солонго /</v>
      </c>
      <c r="E119" s="331" t="s">
        <v>2128</v>
      </c>
    </row>
    <row r="120" spans="1:11" outlineLevel="1">
      <c r="B120" s="331"/>
    </row>
    <row r="121" spans="1:11" outlineLevel="1">
      <c r="B121" s="331" t="str">
        <f>+CONCATENATE('[4]company '!B28,". . . . . . . . . . . . . . . . . . . . ",'[4]company '!C28)</f>
        <v>Ерөнхий нягтлан бодогч. . . . . . . . . . . . . . . . . . . . /Б.Түмэндэлгэр/</v>
      </c>
    </row>
    <row r="122" spans="1:11">
      <c r="A122" s="231" t="s">
        <v>2648</v>
      </c>
    </row>
    <row r="123" spans="1:11" hidden="1" outlineLevel="1">
      <c r="B123" s="445"/>
      <c r="C123" s="445"/>
      <c r="D123" s="445"/>
      <c r="E123" s="486"/>
      <c r="F123" s="1066" t="s">
        <v>1984</v>
      </c>
      <c r="G123" s="1066"/>
      <c r="H123" s="1066"/>
    </row>
    <row r="124" spans="1:11" hidden="1" outlineLevel="1">
      <c r="D124" s="445"/>
      <c r="E124" s="1067" t="s">
        <v>1988</v>
      </c>
      <c r="F124" s="1067"/>
      <c r="G124" s="1067"/>
      <c r="H124" s="1067"/>
    </row>
    <row r="125" spans="1:11" ht="18.75" hidden="1" outlineLevel="1">
      <c r="G125" s="452" t="s">
        <v>1994</v>
      </c>
      <c r="H125" s="453" t="s">
        <v>1995</v>
      </c>
    </row>
    <row r="126" spans="1:11" ht="21" hidden="1" outlineLevel="1" thickBot="1">
      <c r="B126" s="1068" t="s">
        <v>1996</v>
      </c>
      <c r="C126" s="1068"/>
      <c r="D126" s="1068"/>
      <c r="E126" s="1068"/>
      <c r="F126" s="1068"/>
      <c r="G126" s="1068"/>
      <c r="H126" s="1068"/>
    </row>
    <row r="127" spans="1:11" ht="13.5" hidden="1" outlineLevel="1" thickTop="1"/>
    <row r="128" spans="1:11" hidden="1" outlineLevel="1">
      <c r="B128" s="1069" t="s">
        <v>1997</v>
      </c>
      <c r="C128" s="1070"/>
      <c r="D128" s="1070"/>
      <c r="E128" s="1070"/>
      <c r="F128" s="1070"/>
      <c r="G128" s="1070"/>
      <c r="H128" s="1071"/>
    </row>
    <row r="129" spans="2:8" hidden="1" outlineLevel="1">
      <c r="B129" s="1041" t="str">
        <f>+CONCATENATE('company '!B129,'company '!C129)</f>
        <v/>
      </c>
      <c r="C129" s="1042"/>
      <c r="D129" s="1043"/>
      <c r="E129" s="1044" t="str">
        <f>+CONCATENATE('company '!B128,'company '!C128)</f>
        <v/>
      </c>
      <c r="F129" s="1045"/>
      <c r="G129" s="1045"/>
      <c r="H129" s="1046"/>
    </row>
    <row r="130" spans="2:8" hidden="1" outlineLevel="1">
      <c r="B130" s="1041" t="str">
        <f>+CONCATENATE('company '!B130,'company '!C130)</f>
        <v/>
      </c>
      <c r="C130" s="1042"/>
      <c r="D130" s="1043"/>
      <c r="E130" s="1044" t="str">
        <f>+CONCATENATE('company '!B129,'company '!C129)</f>
        <v/>
      </c>
      <c r="F130" s="1045"/>
      <c r="G130" s="1045"/>
      <c r="H130" s="1046"/>
    </row>
    <row r="131" spans="2:8" hidden="1" outlineLevel="1">
      <c r="B131" s="449" t="s">
        <v>2278</v>
      </c>
      <c r="D131" s="567"/>
      <c r="E131" s="331" t="s">
        <v>2279</v>
      </c>
      <c r="G131" s="411"/>
    </row>
    <row r="132" spans="2:8" hidden="1" outlineLevel="1">
      <c r="B132" s="1069"/>
      <c r="C132" s="1070"/>
      <c r="D132" s="1087"/>
      <c r="E132" s="1088"/>
      <c r="F132" s="1089"/>
      <c r="G132" s="1090"/>
      <c r="H132" s="1091"/>
    </row>
    <row r="133" spans="2:8" hidden="1" outlineLevel="1">
      <c r="B133" s="1069" t="s">
        <v>2280</v>
      </c>
      <c r="C133" s="1070"/>
      <c r="D133" s="1071"/>
      <c r="E133" s="1088" t="s">
        <v>2281</v>
      </c>
      <c r="F133" s="1089"/>
      <c r="G133" s="1089"/>
      <c r="H133" s="1091"/>
    </row>
    <row r="134" spans="2:8" hidden="1" outlineLevel="1">
      <c r="B134" s="1069" t="s">
        <v>2282</v>
      </c>
      <c r="C134" s="1070"/>
      <c r="D134" s="1071"/>
      <c r="E134" s="1088" t="s">
        <v>2283</v>
      </c>
      <c r="F134" s="1089"/>
      <c r="G134" s="1089"/>
      <c r="H134" s="1091"/>
    </row>
    <row r="135" spans="2:8" hidden="1" outlineLevel="1">
      <c r="B135" s="1092" t="s">
        <v>2284</v>
      </c>
      <c r="C135" s="1093"/>
      <c r="D135" s="1094"/>
      <c r="E135" s="1095" t="s">
        <v>1283</v>
      </c>
      <c r="F135" s="1096"/>
      <c r="G135" s="1096"/>
      <c r="H135" s="1097"/>
    </row>
    <row r="136" spans="2:8" hidden="1" outlineLevel="1">
      <c r="B136" s="1098" t="s">
        <v>2285</v>
      </c>
      <c r="C136" s="1098"/>
      <c r="D136" s="1098"/>
      <c r="E136" s="1099" t="s">
        <v>1285</v>
      </c>
      <c r="F136" s="1099"/>
      <c r="G136" s="1099"/>
      <c r="H136" s="1099"/>
    </row>
    <row r="137" spans="2:8" hidden="1" outlineLevel="1">
      <c r="B137" s="1069" t="s">
        <v>1286</v>
      </c>
      <c r="C137" s="1070"/>
      <c r="D137" s="1070"/>
      <c r="E137" s="1103"/>
      <c r="F137" s="1103"/>
      <c r="G137" s="1103"/>
      <c r="H137" s="1087"/>
    </row>
    <row r="138" spans="2:8" hidden="1" outlineLevel="1">
      <c r="B138" s="1084"/>
      <c r="C138" s="1069" t="s">
        <v>1999</v>
      </c>
      <c r="D138" s="1071"/>
      <c r="E138" s="1088" t="s">
        <v>2000</v>
      </c>
      <c r="F138" s="1089"/>
      <c r="G138" s="1091"/>
      <c r="H138" s="456"/>
    </row>
    <row r="139" spans="2:8" hidden="1" outlineLevel="1">
      <c r="B139" s="1085"/>
      <c r="C139" s="1069" t="str">
        <f>+CONCATENATE(E139,H139)</f>
        <v>Тайлант үе:2-сар</v>
      </c>
      <c r="D139" s="1071"/>
      <c r="E139" s="1081" t="s">
        <v>46</v>
      </c>
      <c r="F139" s="1082"/>
      <c r="G139" s="1083"/>
      <c r="H139" s="429" t="s">
        <v>2267</v>
      </c>
    </row>
    <row r="140" spans="2:8" hidden="1" outlineLevel="1">
      <c r="B140" s="1086"/>
      <c r="C140" s="1081" t="s">
        <v>2002</v>
      </c>
      <c r="D140" s="1083"/>
      <c r="E140" s="1081" t="s">
        <v>2003</v>
      </c>
      <c r="F140" s="1082"/>
      <c r="G140" s="1083"/>
      <c r="H140" s="429"/>
    </row>
    <row r="141" spans="2:8" hidden="1" outlineLevel="1">
      <c r="B141" s="487"/>
      <c r="C141" s="487"/>
      <c r="D141" s="487"/>
      <c r="E141" s="487"/>
      <c r="F141" s="487"/>
      <c r="G141" s="457"/>
      <c r="H141" s="458"/>
    </row>
    <row r="142" spans="2:8" hidden="1" outlineLevel="1">
      <c r="B142" s="1102" t="s">
        <v>2004</v>
      </c>
      <c r="C142" s="1102"/>
      <c r="D142" s="1102"/>
      <c r="E142" s="459"/>
      <c r="F142" s="487" t="s">
        <v>2005</v>
      </c>
      <c r="G142" s="457"/>
      <c r="H142" s="458" t="s">
        <v>2006</v>
      </c>
    </row>
    <row r="143" spans="2:8" hidden="1" outlineLevel="1">
      <c r="B143" s="487"/>
      <c r="C143" s="487"/>
      <c r="D143" s="487"/>
      <c r="E143" s="487"/>
      <c r="F143" s="487"/>
      <c r="G143" s="457"/>
      <c r="H143" s="458"/>
    </row>
    <row r="144" spans="2:8" hidden="1" outlineLevel="1">
      <c r="B144" s="487"/>
      <c r="C144" s="487"/>
      <c r="D144" s="487"/>
      <c r="E144" s="487"/>
      <c r="F144" s="487"/>
      <c r="G144" s="457"/>
      <c r="H144" s="458"/>
    </row>
    <row r="145" spans="2:8" ht="21.75" hidden="1" customHeight="1" outlineLevel="1">
      <c r="B145" s="1053" t="s">
        <v>2007</v>
      </c>
      <c r="C145" s="1053"/>
      <c r="D145" s="1053"/>
      <c r="E145" s="1053"/>
      <c r="F145" s="1053"/>
      <c r="G145" s="1053"/>
      <c r="H145" s="1053"/>
    </row>
    <row r="146" spans="2:8" hidden="1" outlineLevel="1">
      <c r="B146" s="1072" t="s">
        <v>2008</v>
      </c>
      <c r="C146" s="1073"/>
      <c r="D146" s="1073"/>
      <c r="E146" s="1073"/>
      <c r="F146" s="1074"/>
      <c r="G146" s="460" t="s">
        <v>2009</v>
      </c>
      <c r="H146" s="461">
        <f>+H147+H148</f>
        <v>54763946.368155219</v>
      </c>
    </row>
    <row r="147" spans="2:8" hidden="1" outlineLevel="1">
      <c r="B147" s="1078" t="s">
        <v>2010</v>
      </c>
      <c r="C147" s="1079"/>
      <c r="D147" s="1079"/>
      <c r="E147" s="1079"/>
      <c r="F147" s="1080"/>
      <c r="G147" s="460" t="s">
        <v>99</v>
      </c>
      <c r="H147" s="429"/>
    </row>
    <row r="148" spans="2:8" hidden="1" outlineLevel="1">
      <c r="B148" s="1078" t="s">
        <v>2011</v>
      </c>
      <c r="C148" s="1079"/>
      <c r="D148" s="1079"/>
      <c r="E148" s="1079"/>
      <c r="F148" s="1080"/>
      <c r="G148" s="460" t="s">
        <v>2012</v>
      </c>
      <c r="H148" s="429">
        <f>+H149+H155+H175</f>
        <v>54763946.368155219</v>
      </c>
    </row>
    <row r="149" spans="2:8" hidden="1" outlineLevel="1">
      <c r="B149" s="1084"/>
      <c r="C149" s="1072" t="s">
        <v>2013</v>
      </c>
      <c r="D149" s="1073"/>
      <c r="E149" s="1073"/>
      <c r="F149" s="1074"/>
      <c r="G149" s="460" t="s">
        <v>2014</v>
      </c>
      <c r="H149" s="461">
        <f>+H150+H151+H152+H153+H154</f>
        <v>54763946.368155219</v>
      </c>
    </row>
    <row r="150" spans="2:8" hidden="1" outlineLevel="1">
      <c r="B150" s="1085"/>
      <c r="C150" s="1075" t="s">
        <v>2015</v>
      </c>
      <c r="D150" s="1081" t="s">
        <v>2016</v>
      </c>
      <c r="E150" s="1082"/>
      <c r="F150" s="1083"/>
      <c r="G150" s="460" t="s">
        <v>173</v>
      </c>
      <c r="H150" s="429">
        <f>+SUMIFS(JURNAL!H:H,JURNAL!E:E,510000,JURNAL!C:C,"&gt;="&amp;J5,JURNAL!C:C,"&lt;="&amp;K5)+SUMIFS(JURNAL!H:H,JURNAL!E:E,510100,JURNAL!C:C,"&gt;="&amp;J5,JURNAL!C:C,"&lt;="&amp;K5)</f>
        <v>54763946.368155219</v>
      </c>
    </row>
    <row r="151" spans="2:8" hidden="1" outlineLevel="1">
      <c r="B151" s="1085"/>
      <c r="C151" s="1076"/>
      <c r="D151" s="1047" t="s">
        <v>2017</v>
      </c>
      <c r="E151" s="1048"/>
      <c r="F151" s="1049"/>
      <c r="G151" s="462" t="s">
        <v>174</v>
      </c>
      <c r="H151" s="429"/>
    </row>
    <row r="152" spans="2:8" hidden="1" outlineLevel="1">
      <c r="B152" s="1085"/>
      <c r="C152" s="1076"/>
      <c r="D152" s="1047" t="s">
        <v>837</v>
      </c>
      <c r="E152" s="1048"/>
      <c r="F152" s="1049"/>
      <c r="G152" s="462" t="s">
        <v>904</v>
      </c>
      <c r="H152" s="429"/>
    </row>
    <row r="153" spans="2:8" hidden="1" outlineLevel="1">
      <c r="B153" s="1085"/>
      <c r="C153" s="1076"/>
      <c r="D153" s="1047" t="s">
        <v>2018</v>
      </c>
      <c r="E153" s="1048"/>
      <c r="F153" s="1049"/>
      <c r="G153" s="462" t="s">
        <v>906</v>
      </c>
      <c r="H153" s="429"/>
    </row>
    <row r="154" spans="2:8" hidden="1" outlineLevel="1">
      <c r="B154" s="1085"/>
      <c r="C154" s="1077"/>
      <c r="D154" s="1047" t="s">
        <v>2019</v>
      </c>
      <c r="E154" s="1048"/>
      <c r="F154" s="1049"/>
      <c r="G154" s="462" t="s">
        <v>908</v>
      </c>
      <c r="H154" s="429"/>
    </row>
    <row r="155" spans="2:8" hidden="1" outlineLevel="1">
      <c r="B155" s="1085"/>
      <c r="C155" s="1072" t="s">
        <v>2020</v>
      </c>
      <c r="D155" s="1073"/>
      <c r="E155" s="1073"/>
      <c r="F155" s="1074"/>
      <c r="G155" s="460" t="s">
        <v>2021</v>
      </c>
      <c r="H155" s="461">
        <f>+H156+H157+H158+H159+H160+H161+H162+H163+H164+H165+H166+H167+H168+H169+H170</f>
        <v>0</v>
      </c>
    </row>
    <row r="156" spans="2:8" hidden="1" outlineLevel="1">
      <c r="B156" s="1085"/>
      <c r="C156" s="1075" t="s">
        <v>2015</v>
      </c>
      <c r="D156" s="1047" t="s">
        <v>2022</v>
      </c>
      <c r="E156" s="1048"/>
      <c r="F156" s="1049"/>
      <c r="G156" s="462" t="s">
        <v>912</v>
      </c>
      <c r="H156" s="429"/>
    </row>
    <row r="157" spans="2:8" hidden="1" outlineLevel="1">
      <c r="B157" s="1085"/>
      <c r="C157" s="1076"/>
      <c r="D157" s="1047" t="s">
        <v>2023</v>
      </c>
      <c r="E157" s="1048"/>
      <c r="F157" s="1049"/>
      <c r="G157" s="462" t="s">
        <v>914</v>
      </c>
      <c r="H157" s="429"/>
    </row>
    <row r="158" spans="2:8" hidden="1" outlineLevel="1">
      <c r="B158" s="1085"/>
      <c r="C158" s="1076"/>
      <c r="D158" s="1047" t="s">
        <v>2024</v>
      </c>
      <c r="E158" s="1048"/>
      <c r="F158" s="1049"/>
      <c r="G158" s="462" t="s">
        <v>916</v>
      </c>
      <c r="H158" s="429"/>
    </row>
    <row r="159" spans="2:8" hidden="1" outlineLevel="1">
      <c r="B159" s="1085"/>
      <c r="C159" s="1076"/>
      <c r="D159" s="1047" t="s">
        <v>2025</v>
      </c>
      <c r="E159" s="1048"/>
      <c r="F159" s="1049"/>
      <c r="G159" s="462" t="s">
        <v>918</v>
      </c>
      <c r="H159" s="429"/>
    </row>
    <row r="160" spans="2:8" hidden="1" outlineLevel="1">
      <c r="B160" s="1085"/>
      <c r="C160" s="1076"/>
      <c r="D160" s="1047" t="s">
        <v>2026</v>
      </c>
      <c r="E160" s="1048"/>
      <c r="F160" s="1049"/>
      <c r="G160" s="462" t="s">
        <v>920</v>
      </c>
      <c r="H160" s="429"/>
    </row>
    <row r="161" spans="2:8" hidden="1" outlineLevel="1">
      <c r="B161" s="1085"/>
      <c r="C161" s="1076"/>
      <c r="D161" s="1047" t="s">
        <v>2027</v>
      </c>
      <c r="E161" s="1048"/>
      <c r="F161" s="1049"/>
      <c r="G161" s="462" t="s">
        <v>922</v>
      </c>
      <c r="H161" s="429"/>
    </row>
    <row r="162" spans="2:8" hidden="1" outlineLevel="1">
      <c r="B162" s="1085"/>
      <c r="C162" s="1076"/>
      <c r="D162" s="1047" t="s">
        <v>2028</v>
      </c>
      <c r="E162" s="1048"/>
      <c r="F162" s="1049"/>
      <c r="G162" s="462" t="s">
        <v>924</v>
      </c>
      <c r="H162" s="429"/>
    </row>
    <row r="163" spans="2:8" hidden="1" outlineLevel="1">
      <c r="B163" s="1085"/>
      <c r="C163" s="1076"/>
      <c r="D163" s="1047" t="s">
        <v>2029</v>
      </c>
      <c r="E163" s="1048"/>
      <c r="F163" s="1049"/>
      <c r="G163" s="462" t="s">
        <v>926</v>
      </c>
      <c r="H163" s="429"/>
    </row>
    <row r="164" spans="2:8" hidden="1" outlineLevel="1">
      <c r="B164" s="1085"/>
      <c r="C164" s="1076"/>
      <c r="D164" s="1047" t="s">
        <v>2030</v>
      </c>
      <c r="E164" s="1048"/>
      <c r="F164" s="1049"/>
      <c r="G164" s="462" t="s">
        <v>928</v>
      </c>
      <c r="H164" s="429"/>
    </row>
    <row r="165" spans="2:8" hidden="1" outlineLevel="1">
      <c r="B165" s="1085"/>
      <c r="C165" s="1076"/>
      <c r="D165" s="1047" t="s">
        <v>2031</v>
      </c>
      <c r="E165" s="1048"/>
      <c r="F165" s="1049"/>
      <c r="G165" s="462" t="s">
        <v>930</v>
      </c>
      <c r="H165" s="429"/>
    </row>
    <row r="166" spans="2:8" hidden="1" outlineLevel="1">
      <c r="B166" s="1085"/>
      <c r="C166" s="1076"/>
      <c r="D166" s="1047" t="s">
        <v>2032</v>
      </c>
      <c r="E166" s="1048"/>
      <c r="F166" s="1049"/>
      <c r="G166" s="462" t="s">
        <v>932</v>
      </c>
      <c r="H166" s="429"/>
    </row>
    <row r="167" spans="2:8" hidden="1" outlineLevel="1">
      <c r="B167" s="1085"/>
      <c r="C167" s="1076"/>
      <c r="D167" s="1047" t="s">
        <v>2033</v>
      </c>
      <c r="E167" s="1048"/>
      <c r="F167" s="1049"/>
      <c r="G167" s="462" t="s">
        <v>934</v>
      </c>
      <c r="H167" s="429"/>
    </row>
    <row r="168" spans="2:8" hidden="1" outlineLevel="1">
      <c r="B168" s="1085"/>
      <c r="C168" s="1076"/>
      <c r="D168" s="1047" t="s">
        <v>2034</v>
      </c>
      <c r="E168" s="1048"/>
      <c r="F168" s="1049"/>
      <c r="G168" s="462" t="s">
        <v>936</v>
      </c>
      <c r="H168" s="429"/>
    </row>
    <row r="169" spans="2:8" hidden="1" outlineLevel="1">
      <c r="B169" s="1085"/>
      <c r="C169" s="1076"/>
      <c r="D169" s="1047" t="s">
        <v>2035</v>
      </c>
      <c r="E169" s="1048"/>
      <c r="F169" s="1049"/>
      <c r="G169" s="462" t="s">
        <v>944</v>
      </c>
      <c r="H169" s="429"/>
    </row>
    <row r="170" spans="2:8" hidden="1" outlineLevel="1">
      <c r="B170" s="1086"/>
      <c r="C170" s="1077"/>
      <c r="D170" s="1047" t="s">
        <v>2036</v>
      </c>
      <c r="E170" s="1048"/>
      <c r="F170" s="1049"/>
      <c r="G170" s="462" t="s">
        <v>946</v>
      </c>
      <c r="H170" s="429"/>
    </row>
    <row r="171" spans="2:8" hidden="1" outlineLevel="1">
      <c r="B171" s="1072" t="s">
        <v>2037</v>
      </c>
      <c r="C171" s="1073"/>
      <c r="D171" s="1073"/>
      <c r="E171" s="1073"/>
      <c r="F171" s="1074"/>
      <c r="G171" s="460" t="s">
        <v>2038</v>
      </c>
      <c r="H171" s="461">
        <f>+H149+H155</f>
        <v>54763946.368155219</v>
      </c>
    </row>
    <row r="172" spans="2:8" hidden="1" outlineLevel="1">
      <c r="B172" s="1072" t="s">
        <v>2039</v>
      </c>
      <c r="C172" s="1073"/>
      <c r="D172" s="1073"/>
      <c r="E172" s="1073"/>
      <c r="F172" s="1074"/>
      <c r="G172" s="460" t="s">
        <v>2040</v>
      </c>
      <c r="H172" s="461">
        <f>+H171*0.1</f>
        <v>5476394.6368155219</v>
      </c>
    </row>
    <row r="173" spans="2:8" hidden="1" outlineLevel="1">
      <c r="B173" s="1081" t="s">
        <v>2041</v>
      </c>
      <c r="C173" s="1082"/>
      <c r="D173" s="1082"/>
      <c r="E173" s="1082"/>
      <c r="F173" s="1083"/>
      <c r="G173" s="460" t="s">
        <v>2042</v>
      </c>
      <c r="H173" s="429"/>
    </row>
    <row r="174" spans="2:8" hidden="1" outlineLevel="1">
      <c r="B174" s="1081" t="s">
        <v>2043</v>
      </c>
      <c r="C174" s="1082"/>
      <c r="D174" s="1082"/>
      <c r="E174" s="1082"/>
      <c r="F174" s="1083"/>
      <c r="G174" s="460" t="s">
        <v>2044</v>
      </c>
      <c r="H174" s="429"/>
    </row>
    <row r="175" spans="2:8" hidden="1" outlineLevel="1">
      <c r="B175" s="1072" t="s">
        <v>2045</v>
      </c>
      <c r="C175" s="1073"/>
      <c r="D175" s="1073"/>
      <c r="E175" s="1073"/>
      <c r="F175" s="1074"/>
      <c r="G175" s="460" t="s">
        <v>2046</v>
      </c>
      <c r="H175" s="461">
        <f>+H173+H174</f>
        <v>0</v>
      </c>
    </row>
    <row r="176" spans="2:8" hidden="1" outlineLevel="1">
      <c r="B176" s="1072" t="s">
        <v>2039</v>
      </c>
      <c r="C176" s="1073"/>
      <c r="D176" s="1073"/>
      <c r="E176" s="1073"/>
      <c r="F176" s="1074"/>
      <c r="G176" s="460" t="s">
        <v>2047</v>
      </c>
      <c r="H176" s="461">
        <f>+H175*0%</f>
        <v>0</v>
      </c>
    </row>
    <row r="177" spans="2:8" hidden="1" outlineLevel="1">
      <c r="B177" s="1072" t="s">
        <v>2048</v>
      </c>
      <c r="C177" s="1073"/>
      <c r="D177" s="1073"/>
      <c r="E177" s="1073"/>
      <c r="F177" s="1074"/>
      <c r="G177" s="460" t="s">
        <v>2049</v>
      </c>
      <c r="H177" s="461">
        <f>+H172+H176</f>
        <v>5476394.6368155219</v>
      </c>
    </row>
    <row r="178" spans="2:8" hidden="1" outlineLevel="1"/>
    <row r="179" spans="2:8" ht="25.5" hidden="1" customHeight="1" outlineLevel="1">
      <c r="B179" s="1053" t="s">
        <v>2050</v>
      </c>
      <c r="C179" s="1053"/>
      <c r="D179" s="1053"/>
      <c r="E179" s="1053"/>
      <c r="F179" s="1053"/>
      <c r="G179" s="1053"/>
      <c r="H179" s="1053"/>
    </row>
    <row r="180" spans="2:8" hidden="1" outlineLevel="1">
      <c r="B180" s="1072" t="s">
        <v>2051</v>
      </c>
      <c r="C180" s="1073"/>
      <c r="D180" s="1073"/>
      <c r="E180" s="1073"/>
      <c r="F180" s="1074"/>
      <c r="G180" s="460" t="s">
        <v>2052</v>
      </c>
      <c r="H180" s="429"/>
    </row>
    <row r="181" spans="2:8" hidden="1" outlineLevel="1">
      <c r="B181" s="1078" t="s">
        <v>2053</v>
      </c>
      <c r="C181" s="1079"/>
      <c r="D181" s="1079"/>
      <c r="E181" s="1079"/>
      <c r="F181" s="1080"/>
      <c r="G181" s="460" t="s">
        <v>2054</v>
      </c>
      <c r="H181" s="429">
        <f>+H182+H183+H184+H185</f>
        <v>10138275.517000001</v>
      </c>
    </row>
    <row r="182" spans="2:8" hidden="1" outlineLevel="1">
      <c r="B182" s="1075" t="s">
        <v>2015</v>
      </c>
      <c r="C182" s="1047" t="s">
        <v>2055</v>
      </c>
      <c r="D182" s="1048"/>
      <c r="E182" s="1048"/>
      <c r="F182" s="1049"/>
      <c r="G182" s="460" t="s">
        <v>2056</v>
      </c>
      <c r="H182" s="429"/>
    </row>
    <row r="183" spans="2:8" hidden="1" outlineLevel="1">
      <c r="B183" s="1076"/>
      <c r="C183" s="1047" t="s">
        <v>2057</v>
      </c>
      <c r="D183" s="1048"/>
      <c r="E183" s="1048"/>
      <c r="F183" s="1049"/>
      <c r="G183" s="460" t="s">
        <v>2058</v>
      </c>
      <c r="H183" s="429">
        <f>+M5*10</f>
        <v>10138275.517000001</v>
      </c>
    </row>
    <row r="184" spans="2:8" hidden="1" outlineLevel="1">
      <c r="B184" s="1076"/>
      <c r="C184" s="1047" t="s">
        <v>2059</v>
      </c>
      <c r="D184" s="1048"/>
      <c r="E184" s="1048"/>
      <c r="F184" s="1049"/>
      <c r="G184" s="460" t="s">
        <v>2060</v>
      </c>
      <c r="H184" s="429"/>
    </row>
    <row r="185" spans="2:8" hidden="1" outlineLevel="1">
      <c r="B185" s="1077"/>
      <c r="C185" s="1047" t="s">
        <v>2061</v>
      </c>
      <c r="D185" s="1048"/>
      <c r="E185" s="1048"/>
      <c r="F185" s="1049"/>
      <c r="G185" s="460" t="s">
        <v>2062</v>
      </c>
      <c r="H185" s="429"/>
    </row>
    <row r="186" spans="2:8" hidden="1" outlineLevel="1">
      <c r="B186" s="1072" t="s">
        <v>2063</v>
      </c>
      <c r="C186" s="1073"/>
      <c r="D186" s="1073"/>
      <c r="E186" s="1073"/>
      <c r="F186" s="1074"/>
      <c r="G186" s="460" t="s">
        <v>2064</v>
      </c>
      <c r="H186" s="461">
        <f>+H181*0.1</f>
        <v>1013827.5517000002</v>
      </c>
    </row>
    <row r="187" spans="2:8" hidden="1" outlineLevel="1">
      <c r="B187" s="1072" t="s">
        <v>2065</v>
      </c>
      <c r="C187" s="1073"/>
      <c r="D187" s="1073"/>
      <c r="E187" s="1073"/>
      <c r="F187" s="1074"/>
      <c r="G187" s="460" t="s">
        <v>2066</v>
      </c>
      <c r="H187" s="461">
        <f>+H188+H189+H190+H191+H192+H193</f>
        <v>0</v>
      </c>
    </row>
    <row r="188" spans="2:8" hidden="1" outlineLevel="1">
      <c r="B188" s="1075" t="s">
        <v>2015</v>
      </c>
      <c r="C188" s="1047" t="s">
        <v>2067</v>
      </c>
      <c r="D188" s="1048"/>
      <c r="E188" s="1048"/>
      <c r="F188" s="1049"/>
      <c r="G188" s="460" t="s">
        <v>2068</v>
      </c>
      <c r="H188" s="429"/>
    </row>
    <row r="189" spans="2:8" hidden="1" outlineLevel="1">
      <c r="B189" s="1076"/>
      <c r="C189" s="1047" t="s">
        <v>2069</v>
      </c>
      <c r="D189" s="1048"/>
      <c r="E189" s="1048"/>
      <c r="F189" s="1049"/>
      <c r="G189" s="460" t="s">
        <v>2070</v>
      </c>
      <c r="H189" s="429"/>
    </row>
    <row r="190" spans="2:8" hidden="1" outlineLevel="1">
      <c r="B190" s="1076"/>
      <c r="C190" s="1047" t="s">
        <v>2071</v>
      </c>
      <c r="D190" s="1048"/>
      <c r="E190" s="1048"/>
      <c r="F190" s="1049"/>
      <c r="G190" s="460" t="s">
        <v>2072</v>
      </c>
      <c r="H190" s="429"/>
    </row>
    <row r="191" spans="2:8" hidden="1" outlineLevel="1">
      <c r="B191" s="1076"/>
      <c r="C191" s="1047" t="s">
        <v>2073</v>
      </c>
      <c r="D191" s="1048"/>
      <c r="E191" s="1048"/>
      <c r="F191" s="1049"/>
      <c r="G191" s="460" t="s">
        <v>2074</v>
      </c>
      <c r="H191" s="429"/>
    </row>
    <row r="192" spans="2:8" hidden="1" outlineLevel="1">
      <c r="B192" s="1076"/>
      <c r="C192" s="1047" t="s">
        <v>2075</v>
      </c>
      <c r="D192" s="1048"/>
      <c r="E192" s="1048"/>
      <c r="F192" s="1049"/>
      <c r="G192" s="460" t="s">
        <v>2076</v>
      </c>
      <c r="H192" s="429"/>
    </row>
    <row r="193" spans="2:8" hidden="1" outlineLevel="1">
      <c r="B193" s="1077"/>
      <c r="C193" s="1047" t="s">
        <v>2077</v>
      </c>
      <c r="D193" s="1048"/>
      <c r="E193" s="1048"/>
      <c r="F193" s="1049"/>
      <c r="G193" s="460" t="s">
        <v>2078</v>
      </c>
      <c r="H193" s="429"/>
    </row>
    <row r="194" spans="2:8" hidden="1" outlineLevel="1">
      <c r="B194" s="1072" t="s">
        <v>2079</v>
      </c>
      <c r="C194" s="1073"/>
      <c r="D194" s="1073"/>
      <c r="E194" s="1073"/>
      <c r="F194" s="1074"/>
      <c r="G194" s="460" t="s">
        <v>2080</v>
      </c>
      <c r="H194" s="461">
        <f>+H186-H187</f>
        <v>1013827.5517000002</v>
      </c>
    </row>
    <row r="195" spans="2:8" hidden="1" outlineLevel="1"/>
    <row r="196" spans="2:8" ht="21" hidden="1" customHeight="1" outlineLevel="1">
      <c r="B196" s="1053" t="s">
        <v>2081</v>
      </c>
      <c r="C196" s="1053"/>
      <c r="D196" s="1053"/>
      <c r="E196" s="1053"/>
      <c r="F196" s="1053"/>
      <c r="G196" s="1053"/>
      <c r="H196" s="1053"/>
    </row>
    <row r="197" spans="2:8" hidden="1" outlineLevel="1">
      <c r="B197" s="1047" t="s">
        <v>2082</v>
      </c>
      <c r="C197" s="1048"/>
      <c r="D197" s="1048"/>
      <c r="E197" s="1048"/>
      <c r="F197" s="1049"/>
      <c r="G197" s="460" t="s">
        <v>2083</v>
      </c>
      <c r="H197" s="429"/>
    </row>
    <row r="198" spans="2:8" hidden="1" outlineLevel="1">
      <c r="B198" s="1047" t="s">
        <v>2084</v>
      </c>
      <c r="C198" s="1048"/>
      <c r="D198" s="1048"/>
      <c r="E198" s="1048"/>
      <c r="F198" s="1049"/>
      <c r="G198" s="460" t="s">
        <v>2085</v>
      </c>
      <c r="H198" s="429"/>
    </row>
    <row r="199" spans="2:8" hidden="1" outlineLevel="1">
      <c r="B199" s="1050" t="s">
        <v>2086</v>
      </c>
      <c r="C199" s="1051"/>
      <c r="D199" s="1051"/>
      <c r="E199" s="1051"/>
      <c r="F199" s="1052"/>
      <c r="G199" s="460" t="s">
        <v>2087</v>
      </c>
      <c r="H199" s="429">
        <f>+(H197+H198)*0.1</f>
        <v>0</v>
      </c>
    </row>
    <row r="200" spans="2:8" hidden="1" outlineLevel="1">
      <c r="B200" s="1047" t="s">
        <v>2088</v>
      </c>
      <c r="C200" s="1048"/>
      <c r="D200" s="1048"/>
      <c r="E200" s="1048"/>
      <c r="F200" s="1049"/>
      <c r="G200" s="460" t="s">
        <v>2089</v>
      </c>
      <c r="H200" s="429"/>
    </row>
    <row r="201" spans="2:8" hidden="1" outlineLevel="1">
      <c r="B201" s="1047" t="s">
        <v>2090</v>
      </c>
      <c r="C201" s="1048"/>
      <c r="D201" s="1048"/>
      <c r="E201" s="1048"/>
      <c r="F201" s="1049"/>
      <c r="G201" s="460" t="s">
        <v>2091</v>
      </c>
      <c r="H201" s="429"/>
    </row>
    <row r="202" spans="2:8" hidden="1" outlineLevel="1">
      <c r="B202" s="1050" t="s">
        <v>2092</v>
      </c>
      <c r="C202" s="1051"/>
      <c r="D202" s="1051"/>
      <c r="E202" s="1051"/>
      <c r="F202" s="1052"/>
      <c r="G202" s="460" t="s">
        <v>2093</v>
      </c>
      <c r="H202" s="429">
        <f>+(H200+H201)*0.1</f>
        <v>0</v>
      </c>
    </row>
    <row r="203" spans="2:8" hidden="1" outlineLevel="1"/>
    <row r="204" spans="2:8" hidden="1" outlineLevel="1">
      <c r="B204" s="1053" t="s">
        <v>2094</v>
      </c>
      <c r="C204" s="1053"/>
      <c r="D204" s="1053"/>
      <c r="E204" s="1053"/>
      <c r="F204" s="1053"/>
      <c r="G204" s="1053"/>
      <c r="H204" s="1053"/>
    </row>
    <row r="205" spans="2:8" hidden="1" outlineLevel="1">
      <c r="B205" s="1050" t="s">
        <v>2095</v>
      </c>
      <c r="C205" s="1051"/>
      <c r="D205" s="1051"/>
      <c r="E205" s="1051"/>
      <c r="F205" s="1052"/>
      <c r="G205" s="460" t="s">
        <v>2096</v>
      </c>
      <c r="H205" s="429">
        <f>+H177+H199</f>
        <v>5476394.6368155219</v>
      </c>
    </row>
    <row r="206" spans="2:8" hidden="1" outlineLevel="1">
      <c r="B206" s="1050" t="s">
        <v>2097</v>
      </c>
      <c r="C206" s="1051"/>
      <c r="D206" s="1051"/>
      <c r="E206" s="1051"/>
      <c r="F206" s="1052"/>
      <c r="G206" s="460" t="s">
        <v>2098</v>
      </c>
      <c r="H206" s="429">
        <f>+H194+H202</f>
        <v>1013827.5517000002</v>
      </c>
    </row>
    <row r="207" spans="2:8" hidden="1" outlineLevel="1"/>
    <row r="208" spans="2:8" hidden="1" outlineLevel="1">
      <c r="B208" s="1053" t="s">
        <v>2099</v>
      </c>
      <c r="C208" s="1053"/>
      <c r="D208" s="1053"/>
      <c r="E208" s="1053"/>
      <c r="F208" s="1053"/>
      <c r="G208" s="1053"/>
      <c r="H208" s="1053"/>
    </row>
    <row r="209" spans="2:8" hidden="1" outlineLevel="1">
      <c r="B209" s="1047" t="s">
        <v>2100</v>
      </c>
      <c r="C209" s="1048"/>
      <c r="D209" s="1048"/>
      <c r="E209" s="1048"/>
      <c r="F209" s="1049"/>
      <c r="G209" s="460" t="s">
        <v>2101</v>
      </c>
      <c r="H209" s="429"/>
    </row>
    <row r="210" spans="2:8" hidden="1" outlineLevel="1">
      <c r="B210" s="1050" t="s">
        <v>2102</v>
      </c>
      <c r="C210" s="1051"/>
      <c r="D210" s="1051"/>
      <c r="E210" s="1051"/>
      <c r="F210" s="1052"/>
      <c r="G210" s="460" t="s">
        <v>2103</v>
      </c>
      <c r="H210" s="429">
        <f>+H209*0.1</f>
        <v>0</v>
      </c>
    </row>
    <row r="211" spans="2:8" hidden="1" outlineLevel="1">
      <c r="B211" s="1047" t="s">
        <v>2104</v>
      </c>
      <c r="C211" s="1048"/>
      <c r="D211" s="1048"/>
      <c r="E211" s="1048"/>
      <c r="F211" s="1049"/>
      <c r="G211" s="460" t="s">
        <v>2105</v>
      </c>
      <c r="H211" s="429"/>
    </row>
    <row r="212" spans="2:8" hidden="1" outlineLevel="1">
      <c r="B212" s="1050" t="s">
        <v>2092</v>
      </c>
      <c r="C212" s="1051"/>
      <c r="D212" s="1051"/>
      <c r="E212" s="1051"/>
      <c r="F212" s="1052"/>
      <c r="G212" s="460" t="s">
        <v>2106</v>
      </c>
      <c r="H212" s="429">
        <f>+H211*0.1</f>
        <v>0</v>
      </c>
    </row>
    <row r="213" spans="2:8" hidden="1" outlineLevel="1"/>
    <row r="214" spans="2:8" hidden="1" outlineLevel="1">
      <c r="B214" s="1053" t="s">
        <v>2107</v>
      </c>
      <c r="C214" s="1053"/>
      <c r="D214" s="1053"/>
      <c r="E214" s="1053"/>
      <c r="F214" s="1053"/>
      <c r="G214" s="1053"/>
      <c r="H214" s="1053"/>
    </row>
    <row r="215" spans="2:8" hidden="1" outlineLevel="1">
      <c r="B215" s="1054" t="s">
        <v>1322</v>
      </c>
      <c r="C215" s="1054"/>
      <c r="D215" s="1055" t="s">
        <v>2108</v>
      </c>
      <c r="E215" s="1056"/>
      <c r="F215" s="1057"/>
      <c r="G215" s="460" t="s">
        <v>2109</v>
      </c>
      <c r="H215" s="429">
        <f>+H205-H210</f>
        <v>5476394.6368155219</v>
      </c>
    </row>
    <row r="216" spans="2:8" hidden="1" outlineLevel="1">
      <c r="B216" s="1054"/>
      <c r="C216" s="1054"/>
      <c r="D216" s="1055" t="s">
        <v>2110</v>
      </c>
      <c r="E216" s="1056"/>
      <c r="F216" s="1057"/>
      <c r="G216" s="460" t="s">
        <v>2111</v>
      </c>
      <c r="H216" s="429">
        <f>+H206-H212</f>
        <v>1013827.5517000002</v>
      </c>
    </row>
    <row r="217" spans="2:8" hidden="1" outlineLevel="1">
      <c r="B217" s="1054"/>
      <c r="C217" s="1054"/>
      <c r="D217" s="1055" t="s">
        <v>2112</v>
      </c>
      <c r="E217" s="1056"/>
      <c r="F217" s="1057"/>
      <c r="G217" s="460" t="s">
        <v>2113</v>
      </c>
      <c r="H217" s="429">
        <f>+H215-H216</f>
        <v>4462567.0851155221</v>
      </c>
    </row>
    <row r="218" spans="2:8" hidden="1" outlineLevel="1">
      <c r="B218" s="1054"/>
      <c r="C218" s="1054"/>
      <c r="D218" s="1055" t="s">
        <v>2114</v>
      </c>
      <c r="E218" s="1056"/>
      <c r="F218" s="1057"/>
      <c r="G218" s="460" t="s">
        <v>2115</v>
      </c>
      <c r="H218" s="429"/>
    </row>
    <row r="219" spans="2:8" hidden="1" outlineLevel="1"/>
    <row r="220" spans="2:8" hidden="1" outlineLevel="1">
      <c r="B220" s="1062" t="s">
        <v>2116</v>
      </c>
      <c r="C220" s="1062"/>
      <c r="D220" s="1062"/>
      <c r="E220" s="1062"/>
      <c r="F220" s="1062"/>
      <c r="G220" s="463" t="s">
        <v>2117</v>
      </c>
      <c r="H220" s="464" t="s">
        <v>2118</v>
      </c>
    </row>
    <row r="221" spans="2:8" hidden="1" outlineLevel="1">
      <c r="B221" s="1058" t="s">
        <v>2119</v>
      </c>
      <c r="C221" s="1058"/>
      <c r="D221" s="1058"/>
      <c r="E221" s="465" t="s">
        <v>1079</v>
      </c>
      <c r="F221" s="466">
        <v>1</v>
      </c>
      <c r="G221" s="467">
        <f>+O4</f>
        <v>0</v>
      </c>
      <c r="H221" s="468"/>
    </row>
    <row r="222" spans="2:8" hidden="1" outlineLevel="1">
      <c r="B222" s="1058"/>
      <c r="C222" s="1058"/>
      <c r="D222" s="1058"/>
      <c r="E222" s="465" t="s">
        <v>1080</v>
      </c>
      <c r="F222" s="466">
        <f>+F221+1</f>
        <v>2</v>
      </c>
      <c r="G222" s="469"/>
      <c r="H222" s="470">
        <f>+P4</f>
        <v>53215269.463791363</v>
      </c>
    </row>
    <row r="223" spans="2:8" hidden="1" outlineLevel="1">
      <c r="B223" s="1058" t="s">
        <v>2120</v>
      </c>
      <c r="C223" s="1058"/>
      <c r="D223" s="1058"/>
      <c r="E223" s="465" t="s">
        <v>1079</v>
      </c>
      <c r="F223" s="466">
        <f t="shared" ref="F223:F236" si="3">+F222+1</f>
        <v>3</v>
      </c>
      <c r="G223" s="467"/>
      <c r="H223" s="468"/>
    </row>
    <row r="224" spans="2:8" hidden="1" outlineLevel="1">
      <c r="B224" s="1058"/>
      <c r="C224" s="1058"/>
      <c r="D224" s="1058"/>
      <c r="E224" s="465" t="s">
        <v>1080</v>
      </c>
      <c r="F224" s="466">
        <f t="shared" si="3"/>
        <v>4</v>
      </c>
      <c r="G224" s="469"/>
      <c r="H224" s="470">
        <f>+H217</f>
        <v>4462567.0851155221</v>
      </c>
    </row>
    <row r="225" spans="2:11" hidden="1" outlineLevel="1">
      <c r="B225" s="1059" t="s">
        <v>1085</v>
      </c>
      <c r="C225" s="1060"/>
      <c r="D225" s="1060"/>
      <c r="E225" s="1061"/>
      <c r="F225" s="466">
        <f t="shared" si="3"/>
        <v>5</v>
      </c>
      <c r="G225" s="467">
        <f>+L5</f>
        <v>0</v>
      </c>
      <c r="H225" s="468"/>
    </row>
    <row r="226" spans="2:11" hidden="1" outlineLevel="1">
      <c r="B226" s="1063" t="s">
        <v>2121</v>
      </c>
      <c r="C226" s="1064"/>
      <c r="D226" s="1064"/>
      <c r="E226" s="1065"/>
      <c r="F226" s="466">
        <f t="shared" si="3"/>
        <v>6</v>
      </c>
      <c r="G226" s="472"/>
      <c r="H226" s="468"/>
    </row>
    <row r="227" spans="2:11" hidden="1" outlineLevel="1">
      <c r="B227" s="1063" t="s">
        <v>2121</v>
      </c>
      <c r="C227" s="1064"/>
      <c r="D227" s="1064"/>
      <c r="E227" s="1065"/>
      <c r="F227" s="466">
        <f t="shared" si="3"/>
        <v>7</v>
      </c>
      <c r="G227" s="469"/>
      <c r="H227" s="471"/>
    </row>
    <row r="228" spans="2:11" hidden="1" outlineLevel="1">
      <c r="B228" s="1058" t="s">
        <v>2122</v>
      </c>
      <c r="C228" s="1058"/>
      <c r="D228" s="1058"/>
      <c r="E228" s="465" t="s">
        <v>1079</v>
      </c>
      <c r="F228" s="466">
        <f t="shared" si="3"/>
        <v>8</v>
      </c>
      <c r="G228" s="472"/>
      <c r="H228" s="468"/>
    </row>
    <row r="229" spans="2:11" hidden="1" outlineLevel="1">
      <c r="B229" s="1058"/>
      <c r="C229" s="1058"/>
      <c r="D229" s="1058"/>
      <c r="E229" s="465" t="s">
        <v>1080</v>
      </c>
      <c r="F229" s="466">
        <f t="shared" si="3"/>
        <v>9</v>
      </c>
      <c r="G229" s="469"/>
      <c r="H229" s="471"/>
    </row>
    <row r="230" spans="2:11" hidden="1" outlineLevel="1">
      <c r="B230" s="1058" t="s">
        <v>2123</v>
      </c>
      <c r="C230" s="1058"/>
      <c r="D230" s="1058"/>
      <c r="E230" s="465" t="s">
        <v>1079</v>
      </c>
      <c r="F230" s="466">
        <f t="shared" si="3"/>
        <v>10</v>
      </c>
      <c r="G230" s="472"/>
      <c r="H230" s="468"/>
    </row>
    <row r="231" spans="2:11" hidden="1" outlineLevel="1">
      <c r="B231" s="1058"/>
      <c r="C231" s="1058"/>
      <c r="D231" s="1058"/>
      <c r="E231" s="465" t="s">
        <v>1080</v>
      </c>
      <c r="F231" s="466">
        <f t="shared" si="3"/>
        <v>11</v>
      </c>
      <c r="G231" s="469"/>
      <c r="H231" s="471"/>
    </row>
    <row r="232" spans="2:11" hidden="1" outlineLevel="1">
      <c r="B232" s="1059" t="s">
        <v>2124</v>
      </c>
      <c r="C232" s="1060"/>
      <c r="D232" s="1060"/>
      <c r="E232" s="1061"/>
      <c r="F232" s="466">
        <f t="shared" si="3"/>
        <v>12</v>
      </c>
      <c r="G232" s="472"/>
      <c r="H232" s="468"/>
    </row>
    <row r="233" spans="2:11" hidden="1" outlineLevel="1">
      <c r="B233" s="1058" t="s">
        <v>2125</v>
      </c>
      <c r="C233" s="1058"/>
      <c r="D233" s="1058"/>
      <c r="E233" s="465" t="s">
        <v>1079</v>
      </c>
      <c r="F233" s="466">
        <f t="shared" si="3"/>
        <v>13</v>
      </c>
      <c r="G233" s="472"/>
      <c r="H233" s="468"/>
    </row>
    <row r="234" spans="2:11" hidden="1" outlineLevel="1">
      <c r="B234" s="1058"/>
      <c r="C234" s="1058"/>
      <c r="D234" s="1058"/>
      <c r="E234" s="465" t="s">
        <v>1080</v>
      </c>
      <c r="F234" s="466">
        <f t="shared" si="3"/>
        <v>14</v>
      </c>
      <c r="G234" s="469"/>
      <c r="H234" s="471"/>
    </row>
    <row r="235" spans="2:11" hidden="1" outlineLevel="1">
      <c r="B235" s="1058" t="s">
        <v>2126</v>
      </c>
      <c r="C235" s="1058"/>
      <c r="D235" s="1058"/>
      <c r="E235" s="465" t="s">
        <v>1079</v>
      </c>
      <c r="F235" s="466">
        <f t="shared" si="3"/>
        <v>15</v>
      </c>
      <c r="G235" s="467">
        <f>IF((G221+G223+G225-H222-H224)&gt;0,(G221+G223+G225-H222-H224),0)</f>
        <v>0</v>
      </c>
      <c r="H235" s="468"/>
    </row>
    <row r="236" spans="2:11" hidden="1" outlineLevel="1">
      <c r="B236" s="1058"/>
      <c r="C236" s="1058"/>
      <c r="D236" s="1058"/>
      <c r="E236" s="465" t="s">
        <v>1080</v>
      </c>
      <c r="F236" s="466">
        <f t="shared" si="3"/>
        <v>16</v>
      </c>
      <c r="G236" s="473"/>
      <c r="H236" s="520">
        <f>+IF((H222+H224-G221-G223-G225)&gt;0,(H222+H224-G221-G223-G225),0)</f>
        <v>57677836.548906885</v>
      </c>
      <c r="J236" s="230"/>
      <c r="K236" s="80"/>
    </row>
    <row r="237" spans="2:11" hidden="1" outlineLevel="1"/>
    <row r="238" spans="2:11" hidden="1" outlineLevel="1"/>
    <row r="239" spans="2:11" hidden="1" outlineLevel="1">
      <c r="B239" s="331" t="s">
        <v>2127</v>
      </c>
      <c r="E239" s="331" t="s">
        <v>1090</v>
      </c>
    </row>
    <row r="240" spans="2:11" hidden="1" outlineLevel="1">
      <c r="B240" s="331"/>
    </row>
    <row r="241" spans="1:8" hidden="1" outlineLevel="1">
      <c r="B241" s="331" t="str">
        <f>+CONCATENATE('[4]company '!B147," . . . . . . . . . . . . . . . . . .  ... . . . .. . . . ",'[4]company '!C147)</f>
        <v xml:space="preserve"> . . . . . . . . . . . . . . . . . .  ... . . . .. . . . </v>
      </c>
      <c r="E241" s="331" t="s">
        <v>2128</v>
      </c>
    </row>
    <row r="242" spans="1:8" hidden="1" outlineLevel="1">
      <c r="B242" s="331"/>
    </row>
    <row r="243" spans="1:8" hidden="1" outlineLevel="1">
      <c r="B243" s="331" t="str">
        <f>+CONCATENATE('[4]company '!B150,". . . . . . . . . . . . . . . . . . . . ",'[4]company '!C150)</f>
        <v xml:space="preserve">. . . . . . . . . . . . . . . . . . . . </v>
      </c>
    </row>
    <row r="244" spans="1:8" collapsed="1">
      <c r="A244" s="231" t="s">
        <v>2649</v>
      </c>
    </row>
    <row r="245" spans="1:8" hidden="1" outlineLevel="1">
      <c r="B245" s="445"/>
      <c r="C245" s="445"/>
      <c r="D245" s="445"/>
      <c r="E245" s="486"/>
      <c r="F245" s="1066" t="s">
        <v>1984</v>
      </c>
      <c r="G245" s="1066"/>
      <c r="H245" s="1066"/>
    </row>
    <row r="246" spans="1:8" hidden="1" outlineLevel="1">
      <c r="D246" s="445"/>
      <c r="E246" s="1067" t="s">
        <v>1988</v>
      </c>
      <c r="F246" s="1067"/>
      <c r="G246" s="1067"/>
      <c r="H246" s="1067"/>
    </row>
    <row r="247" spans="1:8" ht="18.75" hidden="1" outlineLevel="1">
      <c r="G247" s="452" t="s">
        <v>1994</v>
      </c>
      <c r="H247" s="453" t="s">
        <v>1995</v>
      </c>
    </row>
    <row r="248" spans="1:8" ht="21" hidden="1" outlineLevel="1" thickBot="1">
      <c r="B248" s="1068" t="s">
        <v>1996</v>
      </c>
      <c r="C248" s="1068"/>
      <c r="D248" s="1068"/>
      <c r="E248" s="1068"/>
      <c r="F248" s="1068"/>
      <c r="G248" s="1068"/>
      <c r="H248" s="1068"/>
    </row>
    <row r="249" spans="1:8" ht="13.5" hidden="1" outlineLevel="1" thickTop="1"/>
    <row r="250" spans="1:8" hidden="1" outlineLevel="1">
      <c r="B250" s="1069" t="s">
        <v>1997</v>
      </c>
      <c r="C250" s="1070"/>
      <c r="D250" s="1070"/>
      <c r="E250" s="1070"/>
      <c r="F250" s="1070"/>
      <c r="G250" s="1070"/>
      <c r="H250" s="1071"/>
    </row>
    <row r="251" spans="1:8" hidden="1" outlineLevel="1">
      <c r="B251" s="1041" t="s">
        <v>2278</v>
      </c>
      <c r="C251" s="1042"/>
      <c r="D251" s="1043"/>
      <c r="E251" s="1044" t="s">
        <v>2279</v>
      </c>
      <c r="F251" s="1045"/>
      <c r="G251" s="1045"/>
      <c r="H251" s="1046"/>
    </row>
    <row r="252" spans="1:8" hidden="1" outlineLevel="1"/>
    <row r="253" spans="1:8" hidden="1" outlineLevel="1">
      <c r="B253" s="1069" t="s">
        <v>2280</v>
      </c>
      <c r="C253" s="1070"/>
      <c r="D253" s="1071"/>
      <c r="E253" s="1088" t="s">
        <v>2281</v>
      </c>
      <c r="F253" s="1089"/>
      <c r="G253" s="1089"/>
      <c r="H253" s="1091"/>
    </row>
    <row r="254" spans="1:8" hidden="1" outlineLevel="1">
      <c r="B254" s="1069" t="s">
        <v>2282</v>
      </c>
      <c r="C254" s="1070"/>
      <c r="D254" s="1071"/>
      <c r="E254" s="1088" t="s">
        <v>2283</v>
      </c>
      <c r="F254" s="1089"/>
      <c r="G254" s="1089"/>
      <c r="H254" s="1091"/>
    </row>
    <row r="255" spans="1:8" hidden="1" outlineLevel="1">
      <c r="B255" s="1069" t="s">
        <v>2284</v>
      </c>
      <c r="C255" s="1070"/>
      <c r="D255" s="1071"/>
      <c r="E255" s="1088" t="s">
        <v>1283</v>
      </c>
      <c r="F255" s="1089"/>
      <c r="G255" s="1089"/>
      <c r="H255" s="1091"/>
    </row>
    <row r="256" spans="1:8" hidden="1" outlineLevel="1">
      <c r="B256" s="1092" t="s">
        <v>2285</v>
      </c>
      <c r="C256" s="1093"/>
      <c r="D256" s="1094"/>
      <c r="E256" s="1095" t="s">
        <v>1285</v>
      </c>
      <c r="F256" s="1096"/>
      <c r="G256" s="1096"/>
      <c r="H256" s="1097"/>
    </row>
    <row r="257" spans="2:8" hidden="1" outlineLevel="1">
      <c r="B257" s="1098" t="s">
        <v>1286</v>
      </c>
      <c r="C257" s="1098"/>
      <c r="D257" s="1098"/>
      <c r="E257" s="1099"/>
      <c r="F257" s="1099"/>
      <c r="G257" s="1099"/>
      <c r="H257" s="1099"/>
    </row>
    <row r="258" spans="2:8" hidden="1" outlineLevel="1">
      <c r="B258" s="1100"/>
      <c r="C258" s="1100"/>
      <c r="D258" s="1100"/>
      <c r="E258" s="1101"/>
      <c r="F258" s="1101"/>
      <c r="G258" s="1101"/>
      <c r="H258" s="1101"/>
    </row>
    <row r="259" spans="2:8" hidden="1" outlineLevel="1">
      <c r="B259" s="1069" t="s">
        <v>1998</v>
      </c>
      <c r="C259" s="1070"/>
      <c r="D259" s="1070"/>
      <c r="E259" s="1070"/>
      <c r="F259" s="1070"/>
      <c r="G259" s="1070"/>
      <c r="H259" s="1071"/>
    </row>
    <row r="260" spans="2:8" hidden="1" outlineLevel="1">
      <c r="B260" s="1084"/>
      <c r="C260" s="1069" t="s">
        <v>1999</v>
      </c>
      <c r="D260" s="1071"/>
      <c r="E260" s="1088" t="s">
        <v>2000</v>
      </c>
      <c r="F260" s="1089"/>
      <c r="G260" s="1091"/>
      <c r="H260" s="456"/>
    </row>
    <row r="261" spans="2:8" hidden="1" outlineLevel="1">
      <c r="B261" s="1085"/>
      <c r="C261" s="1069" t="str">
        <f>+CONCATENATE('[4]company '!B267,"-""03 сар")</f>
        <v>-"03 сар</v>
      </c>
      <c r="D261" s="1071"/>
      <c r="E261" s="1081" t="s">
        <v>46</v>
      </c>
      <c r="F261" s="1082"/>
      <c r="G261" s="1083"/>
      <c r="H261" s="429" t="s">
        <v>2268</v>
      </c>
    </row>
    <row r="262" spans="2:8" hidden="1" outlineLevel="1">
      <c r="B262" s="1086"/>
      <c r="C262" s="1081" t="s">
        <v>2002</v>
      </c>
      <c r="D262" s="1083"/>
      <c r="E262" s="1081" t="s">
        <v>2003</v>
      </c>
      <c r="F262" s="1082"/>
      <c r="G262" s="1083"/>
      <c r="H262" s="429"/>
    </row>
    <row r="263" spans="2:8" hidden="1" outlineLevel="1">
      <c r="B263" s="487"/>
      <c r="C263" s="487"/>
      <c r="D263" s="487"/>
      <c r="E263" s="487"/>
      <c r="F263" s="487"/>
      <c r="G263" s="457"/>
      <c r="H263" s="458"/>
    </row>
    <row r="264" spans="2:8" hidden="1" outlineLevel="1">
      <c r="B264" s="1102" t="s">
        <v>2004</v>
      </c>
      <c r="C264" s="1102"/>
      <c r="D264" s="1102"/>
      <c r="E264" s="459"/>
      <c r="F264" s="487" t="s">
        <v>2005</v>
      </c>
      <c r="G264" s="457"/>
      <c r="H264" s="458" t="s">
        <v>2006</v>
      </c>
    </row>
    <row r="265" spans="2:8" hidden="1" outlineLevel="1">
      <c r="B265" s="487"/>
      <c r="C265" s="487"/>
      <c r="D265" s="487"/>
      <c r="E265" s="487"/>
      <c r="F265" s="487"/>
      <c r="G265" s="457"/>
      <c r="H265" s="458"/>
    </row>
    <row r="266" spans="2:8" hidden="1" outlineLevel="1">
      <c r="B266" s="487"/>
      <c r="C266" s="487"/>
      <c r="D266" s="487"/>
      <c r="E266" s="487"/>
      <c r="F266" s="487"/>
      <c r="G266" s="457"/>
      <c r="H266" s="458"/>
    </row>
    <row r="267" spans="2:8" ht="23.25" hidden="1" customHeight="1" outlineLevel="1">
      <c r="B267" s="1053" t="s">
        <v>2007</v>
      </c>
      <c r="C267" s="1053"/>
      <c r="D267" s="1053"/>
      <c r="E267" s="1053"/>
      <c r="F267" s="1053"/>
      <c r="G267" s="1053"/>
      <c r="H267" s="1053"/>
    </row>
    <row r="268" spans="2:8" hidden="1" outlineLevel="1">
      <c r="B268" s="1072" t="s">
        <v>2008</v>
      </c>
      <c r="C268" s="1073"/>
      <c r="D268" s="1073"/>
      <c r="E268" s="1073"/>
      <c r="F268" s="1074"/>
      <c r="G268" s="460" t="s">
        <v>2009</v>
      </c>
      <c r="H268" s="461">
        <f>+H269+H270</f>
        <v>6676099.99969</v>
      </c>
    </row>
    <row r="269" spans="2:8" hidden="1" outlineLevel="1">
      <c r="B269" s="1078" t="s">
        <v>2010</v>
      </c>
      <c r="C269" s="1079"/>
      <c r="D269" s="1079"/>
      <c r="E269" s="1079"/>
      <c r="F269" s="1080"/>
      <c r="G269" s="460" t="s">
        <v>99</v>
      </c>
      <c r="H269" s="429"/>
    </row>
    <row r="270" spans="2:8" hidden="1" outlineLevel="1">
      <c r="B270" s="1078" t="s">
        <v>2011</v>
      </c>
      <c r="C270" s="1079"/>
      <c r="D270" s="1079"/>
      <c r="E270" s="1079"/>
      <c r="F270" s="1080"/>
      <c r="G270" s="460" t="s">
        <v>2012</v>
      </c>
      <c r="H270" s="429">
        <f>+H271+H277+H297</f>
        <v>6676099.99969</v>
      </c>
    </row>
    <row r="271" spans="2:8" hidden="1" outlineLevel="1">
      <c r="B271" s="1084"/>
      <c r="C271" s="1072" t="s">
        <v>2013</v>
      </c>
      <c r="D271" s="1073"/>
      <c r="E271" s="1073"/>
      <c r="F271" s="1074"/>
      <c r="G271" s="460" t="s">
        <v>2014</v>
      </c>
      <c r="H271" s="461">
        <f>+H272+H273+H274+H275+H276</f>
        <v>6676099.99969</v>
      </c>
    </row>
    <row r="272" spans="2:8" hidden="1" outlineLevel="1">
      <c r="B272" s="1085"/>
      <c r="C272" s="1075" t="s">
        <v>2015</v>
      </c>
      <c r="D272" s="1081" t="s">
        <v>2016</v>
      </c>
      <c r="E272" s="1082"/>
      <c r="F272" s="1083"/>
      <c r="G272" s="460" t="s">
        <v>173</v>
      </c>
      <c r="H272" s="429">
        <f>+SUMIFS(JURNAL!H:H,JURNAL!E:E,510000,JURNAL!C:C,"&gt;="&amp;J6,JURNAL!C:C,"&lt;="&amp;K6)+SUMIFS(JURNAL!H:H,JURNAL!E:E,510100,JURNAL!C:C,"&gt;="&amp;J6,JURNAL!C:C,"&lt;="&amp;K6)</f>
        <v>6676099.99969</v>
      </c>
    </row>
    <row r="273" spans="2:8" hidden="1" outlineLevel="1">
      <c r="B273" s="1085"/>
      <c r="C273" s="1076"/>
      <c r="D273" s="1047" t="s">
        <v>2017</v>
      </c>
      <c r="E273" s="1048"/>
      <c r="F273" s="1049"/>
      <c r="G273" s="462" t="s">
        <v>174</v>
      </c>
      <c r="H273" s="429"/>
    </row>
    <row r="274" spans="2:8" hidden="1" outlineLevel="1">
      <c r="B274" s="1085"/>
      <c r="C274" s="1076"/>
      <c r="D274" s="1047" t="s">
        <v>837</v>
      </c>
      <c r="E274" s="1048"/>
      <c r="F274" s="1049"/>
      <c r="G274" s="462" t="s">
        <v>904</v>
      </c>
      <c r="H274" s="429"/>
    </row>
    <row r="275" spans="2:8" hidden="1" outlineLevel="1">
      <c r="B275" s="1085"/>
      <c r="C275" s="1076"/>
      <c r="D275" s="1047" t="s">
        <v>2018</v>
      </c>
      <c r="E275" s="1048"/>
      <c r="F275" s="1049"/>
      <c r="G275" s="462" t="s">
        <v>906</v>
      </c>
      <c r="H275" s="429"/>
    </row>
    <row r="276" spans="2:8" hidden="1" outlineLevel="1">
      <c r="B276" s="1085"/>
      <c r="C276" s="1077"/>
      <c r="D276" s="1047" t="s">
        <v>2019</v>
      </c>
      <c r="E276" s="1048"/>
      <c r="F276" s="1049"/>
      <c r="G276" s="462" t="s">
        <v>908</v>
      </c>
      <c r="H276" s="429"/>
    </row>
    <row r="277" spans="2:8" hidden="1" outlineLevel="1">
      <c r="B277" s="1085"/>
      <c r="C277" s="1072" t="s">
        <v>2020</v>
      </c>
      <c r="D277" s="1073"/>
      <c r="E277" s="1073"/>
      <c r="F277" s="1074"/>
      <c r="G277" s="460" t="s">
        <v>2021</v>
      </c>
      <c r="H277" s="461">
        <f>+H278+H279+H280+H281+H282+H283+H284+H285+H286+H287+H288+H289+H290+H291+H292</f>
        <v>0</v>
      </c>
    </row>
    <row r="278" spans="2:8" hidden="1" outlineLevel="1">
      <c r="B278" s="1085"/>
      <c r="C278" s="1075" t="s">
        <v>2015</v>
      </c>
      <c r="D278" s="1047" t="s">
        <v>2022</v>
      </c>
      <c r="E278" s="1048"/>
      <c r="F278" s="1049"/>
      <c r="G278" s="462" t="s">
        <v>912</v>
      </c>
      <c r="H278" s="429"/>
    </row>
    <row r="279" spans="2:8" hidden="1" outlineLevel="1">
      <c r="B279" s="1085"/>
      <c r="C279" s="1076"/>
      <c r="D279" s="1047" t="s">
        <v>2023</v>
      </c>
      <c r="E279" s="1048"/>
      <c r="F279" s="1049"/>
      <c r="G279" s="462" t="s">
        <v>914</v>
      </c>
      <c r="H279" s="429"/>
    </row>
    <row r="280" spans="2:8" hidden="1" outlineLevel="1">
      <c r="B280" s="1085"/>
      <c r="C280" s="1076"/>
      <c r="D280" s="1047" t="s">
        <v>2024</v>
      </c>
      <c r="E280" s="1048"/>
      <c r="F280" s="1049"/>
      <c r="G280" s="462" t="s">
        <v>916</v>
      </c>
      <c r="H280" s="429"/>
    </row>
    <row r="281" spans="2:8" hidden="1" outlineLevel="1">
      <c r="B281" s="1085"/>
      <c r="C281" s="1076"/>
      <c r="D281" s="1047" t="s">
        <v>2025</v>
      </c>
      <c r="E281" s="1048"/>
      <c r="F281" s="1049"/>
      <c r="G281" s="462" t="s">
        <v>918</v>
      </c>
      <c r="H281" s="429"/>
    </row>
    <row r="282" spans="2:8" hidden="1" outlineLevel="1">
      <c r="B282" s="1085"/>
      <c r="C282" s="1076"/>
      <c r="D282" s="1047" t="s">
        <v>2026</v>
      </c>
      <c r="E282" s="1048"/>
      <c r="F282" s="1049"/>
      <c r="G282" s="462" t="s">
        <v>920</v>
      </c>
      <c r="H282" s="429"/>
    </row>
    <row r="283" spans="2:8" hidden="1" outlineLevel="1">
      <c r="B283" s="1085"/>
      <c r="C283" s="1076"/>
      <c r="D283" s="1047" t="s">
        <v>2027</v>
      </c>
      <c r="E283" s="1048"/>
      <c r="F283" s="1049"/>
      <c r="G283" s="462" t="s">
        <v>922</v>
      </c>
      <c r="H283" s="429"/>
    </row>
    <row r="284" spans="2:8" hidden="1" outlineLevel="1">
      <c r="B284" s="1085"/>
      <c r="C284" s="1076"/>
      <c r="D284" s="1047" t="s">
        <v>2028</v>
      </c>
      <c r="E284" s="1048"/>
      <c r="F284" s="1049"/>
      <c r="G284" s="462" t="s">
        <v>924</v>
      </c>
      <c r="H284" s="429"/>
    </row>
    <row r="285" spans="2:8" hidden="1" outlineLevel="1">
      <c r="B285" s="1085"/>
      <c r="C285" s="1076"/>
      <c r="D285" s="1047" t="s">
        <v>2029</v>
      </c>
      <c r="E285" s="1048"/>
      <c r="F285" s="1049"/>
      <c r="G285" s="462" t="s">
        <v>926</v>
      </c>
      <c r="H285" s="429"/>
    </row>
    <row r="286" spans="2:8" hidden="1" outlineLevel="1">
      <c r="B286" s="1085"/>
      <c r="C286" s="1076"/>
      <c r="D286" s="1047" t="s">
        <v>2030</v>
      </c>
      <c r="E286" s="1048"/>
      <c r="F286" s="1049"/>
      <c r="G286" s="462" t="s">
        <v>928</v>
      </c>
      <c r="H286" s="429"/>
    </row>
    <row r="287" spans="2:8" hidden="1" outlineLevel="1">
      <c r="B287" s="1085"/>
      <c r="C287" s="1076"/>
      <c r="D287" s="1047" t="s">
        <v>2031</v>
      </c>
      <c r="E287" s="1048"/>
      <c r="F287" s="1049"/>
      <c r="G287" s="462" t="s">
        <v>930</v>
      </c>
      <c r="H287" s="429"/>
    </row>
    <row r="288" spans="2:8" hidden="1" outlineLevel="1">
      <c r="B288" s="1085"/>
      <c r="C288" s="1076"/>
      <c r="D288" s="1047" t="s">
        <v>2032</v>
      </c>
      <c r="E288" s="1048"/>
      <c r="F288" s="1049"/>
      <c r="G288" s="462" t="s">
        <v>932</v>
      </c>
      <c r="H288" s="429"/>
    </row>
    <row r="289" spans="2:8" hidden="1" outlineLevel="1">
      <c r="B289" s="1085"/>
      <c r="C289" s="1076"/>
      <c r="D289" s="1047" t="s">
        <v>2033</v>
      </c>
      <c r="E289" s="1048"/>
      <c r="F289" s="1049"/>
      <c r="G289" s="462" t="s">
        <v>934</v>
      </c>
      <c r="H289" s="429"/>
    </row>
    <row r="290" spans="2:8" hidden="1" outlineLevel="1">
      <c r="B290" s="1085"/>
      <c r="C290" s="1076"/>
      <c r="D290" s="1047" t="s">
        <v>2034</v>
      </c>
      <c r="E290" s="1048"/>
      <c r="F290" s="1049"/>
      <c r="G290" s="462" t="s">
        <v>936</v>
      </c>
      <c r="H290" s="429"/>
    </row>
    <row r="291" spans="2:8" hidden="1" outlineLevel="1">
      <c r="B291" s="1085"/>
      <c r="C291" s="1076"/>
      <c r="D291" s="1047" t="s">
        <v>2035</v>
      </c>
      <c r="E291" s="1048"/>
      <c r="F291" s="1049"/>
      <c r="G291" s="462" t="s">
        <v>944</v>
      </c>
      <c r="H291" s="429"/>
    </row>
    <row r="292" spans="2:8" hidden="1" outlineLevel="1">
      <c r="B292" s="1086"/>
      <c r="C292" s="1077"/>
      <c r="D292" s="1047" t="s">
        <v>2036</v>
      </c>
      <c r="E292" s="1048"/>
      <c r="F292" s="1049"/>
      <c r="G292" s="462" t="s">
        <v>946</v>
      </c>
      <c r="H292" s="429"/>
    </row>
    <row r="293" spans="2:8" hidden="1" outlineLevel="1">
      <c r="B293" s="1072" t="s">
        <v>2037</v>
      </c>
      <c r="C293" s="1073"/>
      <c r="D293" s="1073"/>
      <c r="E293" s="1073"/>
      <c r="F293" s="1074"/>
      <c r="G293" s="460" t="s">
        <v>2038</v>
      </c>
      <c r="H293" s="461">
        <f>+H271+H277</f>
        <v>6676099.99969</v>
      </c>
    </row>
    <row r="294" spans="2:8" hidden="1" outlineLevel="1">
      <c r="B294" s="1072" t="s">
        <v>2039</v>
      </c>
      <c r="C294" s="1073"/>
      <c r="D294" s="1073"/>
      <c r="E294" s="1073"/>
      <c r="F294" s="1074"/>
      <c r="G294" s="460" t="s">
        <v>2040</v>
      </c>
      <c r="H294" s="461">
        <f>+H293*0.1</f>
        <v>667609.999969</v>
      </c>
    </row>
    <row r="295" spans="2:8" hidden="1" outlineLevel="1">
      <c r="B295" s="1081" t="s">
        <v>2041</v>
      </c>
      <c r="C295" s="1082"/>
      <c r="D295" s="1082"/>
      <c r="E295" s="1082"/>
      <c r="F295" s="1083"/>
      <c r="G295" s="460" t="s">
        <v>2042</v>
      </c>
      <c r="H295" s="429"/>
    </row>
    <row r="296" spans="2:8" hidden="1" outlineLevel="1">
      <c r="B296" s="1081" t="s">
        <v>2043</v>
      </c>
      <c r="C296" s="1082"/>
      <c r="D296" s="1082"/>
      <c r="E296" s="1082"/>
      <c r="F296" s="1083"/>
      <c r="G296" s="460" t="s">
        <v>2044</v>
      </c>
      <c r="H296" s="429"/>
    </row>
    <row r="297" spans="2:8" hidden="1" outlineLevel="1">
      <c r="B297" s="1072" t="s">
        <v>2045</v>
      </c>
      <c r="C297" s="1073"/>
      <c r="D297" s="1073"/>
      <c r="E297" s="1073"/>
      <c r="F297" s="1074"/>
      <c r="G297" s="460" t="s">
        <v>2046</v>
      </c>
      <c r="H297" s="461">
        <f>+H295+H296</f>
        <v>0</v>
      </c>
    </row>
    <row r="298" spans="2:8" hidden="1" outlineLevel="1">
      <c r="B298" s="1072" t="s">
        <v>2039</v>
      </c>
      <c r="C298" s="1073"/>
      <c r="D298" s="1073"/>
      <c r="E298" s="1073"/>
      <c r="F298" s="1074"/>
      <c r="G298" s="460" t="s">
        <v>2047</v>
      </c>
      <c r="H298" s="461">
        <f>+H297*0%</f>
        <v>0</v>
      </c>
    </row>
    <row r="299" spans="2:8" hidden="1" outlineLevel="1">
      <c r="B299" s="1072" t="s">
        <v>2048</v>
      </c>
      <c r="C299" s="1073"/>
      <c r="D299" s="1073"/>
      <c r="E299" s="1073"/>
      <c r="F299" s="1074"/>
      <c r="G299" s="460" t="s">
        <v>2049</v>
      </c>
      <c r="H299" s="461">
        <f>+H294+H298</f>
        <v>667609.999969</v>
      </c>
    </row>
    <row r="300" spans="2:8" hidden="1" outlineLevel="1"/>
    <row r="301" spans="2:8" ht="21.75" hidden="1" customHeight="1" outlineLevel="1">
      <c r="B301" s="1053" t="s">
        <v>2050</v>
      </c>
      <c r="C301" s="1053"/>
      <c r="D301" s="1053"/>
      <c r="E301" s="1053"/>
      <c r="F301" s="1053"/>
      <c r="G301" s="1053"/>
      <c r="H301" s="1053"/>
    </row>
    <row r="302" spans="2:8" hidden="1" outlineLevel="1">
      <c r="B302" s="1072" t="s">
        <v>2051</v>
      </c>
      <c r="C302" s="1073"/>
      <c r="D302" s="1073"/>
      <c r="E302" s="1073"/>
      <c r="F302" s="1074"/>
      <c r="G302" s="460" t="s">
        <v>2052</v>
      </c>
      <c r="H302" s="429"/>
    </row>
    <row r="303" spans="2:8" hidden="1" outlineLevel="1">
      <c r="B303" s="1078" t="s">
        <v>2053</v>
      </c>
      <c r="C303" s="1079"/>
      <c r="D303" s="1079"/>
      <c r="E303" s="1079"/>
      <c r="F303" s="1080"/>
      <c r="G303" s="460" t="s">
        <v>2054</v>
      </c>
      <c r="H303" s="429">
        <f>+H304+H305+H306+H307</f>
        <v>6359120.0959999999</v>
      </c>
    </row>
    <row r="304" spans="2:8" hidden="1" outlineLevel="1">
      <c r="B304" s="1075" t="s">
        <v>2015</v>
      </c>
      <c r="C304" s="1047" t="s">
        <v>2055</v>
      </c>
      <c r="D304" s="1048"/>
      <c r="E304" s="1048"/>
      <c r="F304" s="1049"/>
      <c r="G304" s="460" t="s">
        <v>2056</v>
      </c>
      <c r="H304" s="429"/>
    </row>
    <row r="305" spans="2:8" hidden="1" outlineLevel="1">
      <c r="B305" s="1076"/>
      <c r="C305" s="1047" t="s">
        <v>2057</v>
      </c>
      <c r="D305" s="1048"/>
      <c r="E305" s="1048"/>
      <c r="F305" s="1049"/>
      <c r="G305" s="460" t="s">
        <v>2058</v>
      </c>
      <c r="H305" s="429">
        <f>+M6*10</f>
        <v>6359120.0959999999</v>
      </c>
    </row>
    <row r="306" spans="2:8" hidden="1" outlineLevel="1">
      <c r="B306" s="1076"/>
      <c r="C306" s="1047" t="s">
        <v>2059</v>
      </c>
      <c r="D306" s="1048"/>
      <c r="E306" s="1048"/>
      <c r="F306" s="1049"/>
      <c r="G306" s="460" t="s">
        <v>2060</v>
      </c>
      <c r="H306" s="429"/>
    </row>
    <row r="307" spans="2:8" hidden="1" outlineLevel="1">
      <c r="B307" s="1077"/>
      <c r="C307" s="1047" t="s">
        <v>2061</v>
      </c>
      <c r="D307" s="1048"/>
      <c r="E307" s="1048"/>
      <c r="F307" s="1049"/>
      <c r="G307" s="460" t="s">
        <v>2062</v>
      </c>
      <c r="H307" s="429"/>
    </row>
    <row r="308" spans="2:8" hidden="1" outlineLevel="1">
      <c r="B308" s="1072" t="s">
        <v>2063</v>
      </c>
      <c r="C308" s="1073"/>
      <c r="D308" s="1073"/>
      <c r="E308" s="1073"/>
      <c r="F308" s="1074"/>
      <c r="G308" s="460" t="s">
        <v>2064</v>
      </c>
      <c r="H308" s="461">
        <f>+H303*0.1</f>
        <v>635912.00959999999</v>
      </c>
    </row>
    <row r="309" spans="2:8" hidden="1" outlineLevel="1">
      <c r="B309" s="1072" t="s">
        <v>2065</v>
      </c>
      <c r="C309" s="1073"/>
      <c r="D309" s="1073"/>
      <c r="E309" s="1073"/>
      <c r="F309" s="1074"/>
      <c r="G309" s="460" t="s">
        <v>2066</v>
      </c>
      <c r="H309" s="461">
        <f>+H310+H311+H312+H313+H314+H315</f>
        <v>0</v>
      </c>
    </row>
    <row r="310" spans="2:8" hidden="1" outlineLevel="1">
      <c r="B310" s="1075" t="s">
        <v>2015</v>
      </c>
      <c r="C310" s="1047" t="s">
        <v>2067</v>
      </c>
      <c r="D310" s="1048"/>
      <c r="E310" s="1048"/>
      <c r="F310" s="1049"/>
      <c r="G310" s="460" t="s">
        <v>2068</v>
      </c>
      <c r="H310" s="429"/>
    </row>
    <row r="311" spans="2:8" hidden="1" outlineLevel="1">
      <c r="B311" s="1076"/>
      <c r="C311" s="1047" t="s">
        <v>2069</v>
      </c>
      <c r="D311" s="1048"/>
      <c r="E311" s="1048"/>
      <c r="F311" s="1049"/>
      <c r="G311" s="460" t="s">
        <v>2070</v>
      </c>
      <c r="H311" s="429"/>
    </row>
    <row r="312" spans="2:8" hidden="1" outlineLevel="1">
      <c r="B312" s="1076"/>
      <c r="C312" s="1047" t="s">
        <v>2071</v>
      </c>
      <c r="D312" s="1048"/>
      <c r="E312" s="1048"/>
      <c r="F312" s="1049"/>
      <c r="G312" s="460" t="s">
        <v>2072</v>
      </c>
      <c r="H312" s="429"/>
    </row>
    <row r="313" spans="2:8" hidden="1" outlineLevel="1">
      <c r="B313" s="1076"/>
      <c r="C313" s="1047" t="s">
        <v>2073</v>
      </c>
      <c r="D313" s="1048"/>
      <c r="E313" s="1048"/>
      <c r="F313" s="1049"/>
      <c r="G313" s="460" t="s">
        <v>2074</v>
      </c>
      <c r="H313" s="429"/>
    </row>
    <row r="314" spans="2:8" hidden="1" outlineLevel="1">
      <c r="B314" s="1076"/>
      <c r="C314" s="1047" t="s">
        <v>2075</v>
      </c>
      <c r="D314" s="1048"/>
      <c r="E314" s="1048"/>
      <c r="F314" s="1049"/>
      <c r="G314" s="460" t="s">
        <v>2076</v>
      </c>
      <c r="H314" s="429"/>
    </row>
    <row r="315" spans="2:8" hidden="1" outlineLevel="1">
      <c r="B315" s="1077"/>
      <c r="C315" s="1047" t="s">
        <v>2077</v>
      </c>
      <c r="D315" s="1048"/>
      <c r="E315" s="1048"/>
      <c r="F315" s="1049"/>
      <c r="G315" s="460" t="s">
        <v>2078</v>
      </c>
      <c r="H315" s="429"/>
    </row>
    <row r="316" spans="2:8" hidden="1" outlineLevel="1">
      <c r="B316" s="1072" t="s">
        <v>2079</v>
      </c>
      <c r="C316" s="1073"/>
      <c r="D316" s="1073"/>
      <c r="E316" s="1073"/>
      <c r="F316" s="1074"/>
      <c r="G316" s="460" t="s">
        <v>2080</v>
      </c>
      <c r="H316" s="461">
        <f>+H308-H309</f>
        <v>635912.00959999999</v>
      </c>
    </row>
    <row r="317" spans="2:8" hidden="1" outlineLevel="1"/>
    <row r="318" spans="2:8" ht="24.75" hidden="1" customHeight="1" outlineLevel="1">
      <c r="B318" s="1053" t="s">
        <v>2081</v>
      </c>
      <c r="C318" s="1053"/>
      <c r="D318" s="1053"/>
      <c r="E318" s="1053"/>
      <c r="F318" s="1053"/>
      <c r="G318" s="1053"/>
      <c r="H318" s="1053"/>
    </row>
    <row r="319" spans="2:8" hidden="1" outlineLevel="1">
      <c r="B319" s="1047" t="s">
        <v>2082</v>
      </c>
      <c r="C319" s="1048"/>
      <c r="D319" s="1048"/>
      <c r="E319" s="1048"/>
      <c r="F319" s="1049"/>
      <c r="G319" s="460" t="s">
        <v>2083</v>
      </c>
      <c r="H319" s="429"/>
    </row>
    <row r="320" spans="2:8" hidden="1" outlineLevel="1">
      <c r="B320" s="1047" t="s">
        <v>2084</v>
      </c>
      <c r="C320" s="1048"/>
      <c r="D320" s="1048"/>
      <c r="E320" s="1048"/>
      <c r="F320" s="1049"/>
      <c r="G320" s="460" t="s">
        <v>2085</v>
      </c>
      <c r="H320" s="429"/>
    </row>
    <row r="321" spans="2:8" hidden="1" outlineLevel="1">
      <c r="B321" s="1050" t="s">
        <v>2086</v>
      </c>
      <c r="C321" s="1051"/>
      <c r="D321" s="1051"/>
      <c r="E321" s="1051"/>
      <c r="F321" s="1052"/>
      <c r="G321" s="460" t="s">
        <v>2087</v>
      </c>
      <c r="H321" s="429">
        <f>+(H319+H320)*0.1</f>
        <v>0</v>
      </c>
    </row>
    <row r="322" spans="2:8" hidden="1" outlineLevel="1">
      <c r="B322" s="1047" t="s">
        <v>2088</v>
      </c>
      <c r="C322" s="1048"/>
      <c r="D322" s="1048"/>
      <c r="E322" s="1048"/>
      <c r="F322" s="1049"/>
      <c r="G322" s="460" t="s">
        <v>2089</v>
      </c>
      <c r="H322" s="429"/>
    </row>
    <row r="323" spans="2:8" hidden="1" outlineLevel="1">
      <c r="B323" s="1047" t="s">
        <v>2090</v>
      </c>
      <c r="C323" s="1048"/>
      <c r="D323" s="1048"/>
      <c r="E323" s="1048"/>
      <c r="F323" s="1049"/>
      <c r="G323" s="460" t="s">
        <v>2091</v>
      </c>
      <c r="H323" s="429"/>
    </row>
    <row r="324" spans="2:8" hidden="1" outlineLevel="1">
      <c r="B324" s="1050" t="s">
        <v>2092</v>
      </c>
      <c r="C324" s="1051"/>
      <c r="D324" s="1051"/>
      <c r="E324" s="1051"/>
      <c r="F324" s="1052"/>
      <c r="G324" s="460" t="s">
        <v>2093</v>
      </c>
      <c r="H324" s="429">
        <f>+(H322+H323)*0.1</f>
        <v>0</v>
      </c>
    </row>
    <row r="325" spans="2:8" hidden="1" outlineLevel="1"/>
    <row r="326" spans="2:8" hidden="1" outlineLevel="1">
      <c r="B326" s="1053" t="s">
        <v>2094</v>
      </c>
      <c r="C326" s="1053"/>
      <c r="D326" s="1053"/>
      <c r="E326" s="1053"/>
      <c r="F326" s="1053"/>
      <c r="G326" s="1053"/>
      <c r="H326" s="1053"/>
    </row>
    <row r="327" spans="2:8" hidden="1" outlineLevel="1">
      <c r="B327" s="1050" t="s">
        <v>2095</v>
      </c>
      <c r="C327" s="1051"/>
      <c r="D327" s="1051"/>
      <c r="E327" s="1051"/>
      <c r="F327" s="1052"/>
      <c r="G327" s="460" t="s">
        <v>2096</v>
      </c>
      <c r="H327" s="429">
        <f>+H299+H321</f>
        <v>667609.999969</v>
      </c>
    </row>
    <row r="328" spans="2:8" hidden="1" outlineLevel="1">
      <c r="B328" s="1050" t="s">
        <v>2097</v>
      </c>
      <c r="C328" s="1051"/>
      <c r="D328" s="1051"/>
      <c r="E328" s="1051"/>
      <c r="F328" s="1052"/>
      <c r="G328" s="460" t="s">
        <v>2098</v>
      </c>
      <c r="H328" s="429">
        <f>+H316+H324</f>
        <v>635912.00959999999</v>
      </c>
    </row>
    <row r="329" spans="2:8" hidden="1" outlineLevel="1"/>
    <row r="330" spans="2:8" hidden="1" outlineLevel="1">
      <c r="B330" s="1053" t="s">
        <v>2099</v>
      </c>
      <c r="C330" s="1053"/>
      <c r="D330" s="1053"/>
      <c r="E330" s="1053"/>
      <c r="F330" s="1053"/>
      <c r="G330" s="1053"/>
      <c r="H330" s="1053"/>
    </row>
    <row r="331" spans="2:8" hidden="1" outlineLevel="1">
      <c r="B331" s="1047" t="s">
        <v>2100</v>
      </c>
      <c r="C331" s="1048"/>
      <c r="D331" s="1048"/>
      <c r="E331" s="1048"/>
      <c r="F331" s="1049"/>
      <c r="G331" s="460" t="s">
        <v>2101</v>
      </c>
      <c r="H331" s="429"/>
    </row>
    <row r="332" spans="2:8" hidden="1" outlineLevel="1">
      <c r="B332" s="1050" t="s">
        <v>2102</v>
      </c>
      <c r="C332" s="1051"/>
      <c r="D332" s="1051"/>
      <c r="E332" s="1051"/>
      <c r="F332" s="1052"/>
      <c r="G332" s="460" t="s">
        <v>2103</v>
      </c>
      <c r="H332" s="429">
        <f>+H331*0.1</f>
        <v>0</v>
      </c>
    </row>
    <row r="333" spans="2:8" hidden="1" outlineLevel="1">
      <c r="B333" s="1047" t="s">
        <v>2104</v>
      </c>
      <c r="C333" s="1048"/>
      <c r="D333" s="1048"/>
      <c r="E333" s="1048"/>
      <c r="F333" s="1049"/>
      <c r="G333" s="460" t="s">
        <v>2105</v>
      </c>
      <c r="H333" s="429"/>
    </row>
    <row r="334" spans="2:8" hidden="1" outlineLevel="1">
      <c r="B334" s="1050" t="s">
        <v>2092</v>
      </c>
      <c r="C334" s="1051"/>
      <c r="D334" s="1051"/>
      <c r="E334" s="1051"/>
      <c r="F334" s="1052"/>
      <c r="G334" s="460" t="s">
        <v>2106</v>
      </c>
      <c r="H334" s="429">
        <f>+H333*0.1</f>
        <v>0</v>
      </c>
    </row>
    <row r="335" spans="2:8" hidden="1" outlineLevel="1"/>
    <row r="336" spans="2:8" hidden="1" outlineLevel="1">
      <c r="B336" s="1053" t="s">
        <v>2107</v>
      </c>
      <c r="C336" s="1053"/>
      <c r="D336" s="1053"/>
      <c r="E336" s="1053"/>
      <c r="F336" s="1053"/>
      <c r="G336" s="1053"/>
      <c r="H336" s="1053"/>
    </row>
    <row r="337" spans="2:8" hidden="1" outlineLevel="1">
      <c r="B337" s="1054" t="s">
        <v>1322</v>
      </c>
      <c r="C337" s="1054"/>
      <c r="D337" s="1055" t="s">
        <v>2108</v>
      </c>
      <c r="E337" s="1056"/>
      <c r="F337" s="1057"/>
      <c r="G337" s="460" t="s">
        <v>2109</v>
      </c>
      <c r="H337" s="429">
        <f>+H327-H332</f>
        <v>667609.999969</v>
      </c>
    </row>
    <row r="338" spans="2:8" hidden="1" outlineLevel="1">
      <c r="B338" s="1054"/>
      <c r="C338" s="1054"/>
      <c r="D338" s="1055" t="s">
        <v>2110</v>
      </c>
      <c r="E338" s="1056"/>
      <c r="F338" s="1057"/>
      <c r="G338" s="460" t="s">
        <v>2111</v>
      </c>
      <c r="H338" s="429">
        <f>+H328-H334</f>
        <v>635912.00959999999</v>
      </c>
    </row>
    <row r="339" spans="2:8" hidden="1" outlineLevel="1">
      <c r="B339" s="1054"/>
      <c r="C339" s="1054"/>
      <c r="D339" s="1055" t="s">
        <v>2112</v>
      </c>
      <c r="E339" s="1056"/>
      <c r="F339" s="1057"/>
      <c r="G339" s="460" t="s">
        <v>2113</v>
      </c>
      <c r="H339" s="429">
        <f>+H337-H338</f>
        <v>31697.990369000006</v>
      </c>
    </row>
    <row r="340" spans="2:8" hidden="1" outlineLevel="1">
      <c r="B340" s="1054"/>
      <c r="C340" s="1054"/>
      <c r="D340" s="1055" t="s">
        <v>2114</v>
      </c>
      <c r="E340" s="1056"/>
      <c r="F340" s="1057"/>
      <c r="G340" s="460" t="s">
        <v>2115</v>
      </c>
      <c r="H340" s="429"/>
    </row>
    <row r="341" spans="2:8" hidden="1" outlineLevel="1"/>
    <row r="342" spans="2:8" hidden="1" outlineLevel="1">
      <c r="B342" s="1062" t="s">
        <v>2116</v>
      </c>
      <c r="C342" s="1062"/>
      <c r="D342" s="1062"/>
      <c r="E342" s="1062"/>
      <c r="F342" s="1062"/>
      <c r="G342" s="463" t="s">
        <v>2117</v>
      </c>
      <c r="H342" s="464" t="s">
        <v>2118</v>
      </c>
    </row>
    <row r="343" spans="2:8" hidden="1" outlineLevel="1">
      <c r="B343" s="1058" t="s">
        <v>2119</v>
      </c>
      <c r="C343" s="1058"/>
      <c r="D343" s="1058"/>
      <c r="E343" s="465" t="s">
        <v>1079</v>
      </c>
      <c r="F343" s="466">
        <v>1</v>
      </c>
      <c r="G343" s="467">
        <f>+O5</f>
        <v>0</v>
      </c>
      <c r="H343" s="468"/>
    </row>
    <row r="344" spans="2:8" hidden="1" outlineLevel="1">
      <c r="B344" s="1058"/>
      <c r="C344" s="1058"/>
      <c r="D344" s="1058"/>
      <c r="E344" s="465" t="s">
        <v>1080</v>
      </c>
      <c r="F344" s="466">
        <f>+F343+1</f>
        <v>2</v>
      </c>
      <c r="G344" s="469"/>
      <c r="H344" s="470">
        <f>+P5</f>
        <v>57677836.548906885</v>
      </c>
    </row>
    <row r="345" spans="2:8" hidden="1" outlineLevel="1">
      <c r="B345" s="1058" t="s">
        <v>2120</v>
      </c>
      <c r="C345" s="1058"/>
      <c r="D345" s="1058"/>
      <c r="E345" s="465" t="s">
        <v>1079</v>
      </c>
      <c r="F345" s="466">
        <f t="shared" ref="F345:F358" si="4">+F344+1</f>
        <v>3</v>
      </c>
      <c r="G345" s="467"/>
      <c r="H345" s="468"/>
    </row>
    <row r="346" spans="2:8" hidden="1" outlineLevel="1">
      <c r="B346" s="1058"/>
      <c r="C346" s="1058"/>
      <c r="D346" s="1058"/>
      <c r="E346" s="465" t="s">
        <v>1080</v>
      </c>
      <c r="F346" s="466">
        <f t="shared" si="4"/>
        <v>4</v>
      </c>
      <c r="G346" s="469"/>
      <c r="H346" s="470">
        <f>+H339</f>
        <v>31697.990369000006</v>
      </c>
    </row>
    <row r="347" spans="2:8" hidden="1" outlineLevel="1">
      <c r="B347" s="1059" t="s">
        <v>1085</v>
      </c>
      <c r="C347" s="1060"/>
      <c r="D347" s="1060"/>
      <c r="E347" s="1061"/>
      <c r="F347" s="466">
        <f t="shared" si="4"/>
        <v>5</v>
      </c>
      <c r="G347" s="467">
        <f>+L6</f>
        <v>0</v>
      </c>
      <c r="H347" s="468"/>
    </row>
    <row r="348" spans="2:8" hidden="1" outlineLevel="1">
      <c r="B348" s="1063" t="s">
        <v>2121</v>
      </c>
      <c r="C348" s="1064"/>
      <c r="D348" s="1064"/>
      <c r="E348" s="1065"/>
      <c r="F348" s="466">
        <f t="shared" si="4"/>
        <v>6</v>
      </c>
      <c r="G348" s="472"/>
      <c r="H348" s="468"/>
    </row>
    <row r="349" spans="2:8" hidden="1" outlineLevel="1">
      <c r="B349" s="1063" t="s">
        <v>2121</v>
      </c>
      <c r="C349" s="1064"/>
      <c r="D349" s="1064"/>
      <c r="E349" s="1065"/>
      <c r="F349" s="466">
        <f t="shared" si="4"/>
        <v>7</v>
      </c>
      <c r="G349" s="469"/>
      <c r="H349" s="471"/>
    </row>
    <row r="350" spans="2:8" hidden="1" outlineLevel="1">
      <c r="B350" s="1058" t="s">
        <v>2122</v>
      </c>
      <c r="C350" s="1058"/>
      <c r="D350" s="1058"/>
      <c r="E350" s="465" t="s">
        <v>1079</v>
      </c>
      <c r="F350" s="466">
        <f t="shared" si="4"/>
        <v>8</v>
      </c>
      <c r="G350" s="472"/>
      <c r="H350" s="468"/>
    </row>
    <row r="351" spans="2:8" hidden="1" outlineLevel="1">
      <c r="B351" s="1058"/>
      <c r="C351" s="1058"/>
      <c r="D351" s="1058"/>
      <c r="E351" s="465" t="s">
        <v>1080</v>
      </c>
      <c r="F351" s="466">
        <f t="shared" si="4"/>
        <v>9</v>
      </c>
      <c r="G351" s="469"/>
      <c r="H351" s="471"/>
    </row>
    <row r="352" spans="2:8" hidden="1" outlineLevel="1">
      <c r="B352" s="1058" t="s">
        <v>2123</v>
      </c>
      <c r="C352" s="1058"/>
      <c r="D352" s="1058"/>
      <c r="E352" s="465" t="s">
        <v>1079</v>
      </c>
      <c r="F352" s="466">
        <f t="shared" si="4"/>
        <v>10</v>
      </c>
      <c r="G352" s="472"/>
      <c r="H352" s="468"/>
    </row>
    <row r="353" spans="1:11" hidden="1" outlineLevel="1">
      <c r="B353" s="1058"/>
      <c r="C353" s="1058"/>
      <c r="D353" s="1058"/>
      <c r="E353" s="465" t="s">
        <v>1080</v>
      </c>
      <c r="F353" s="466">
        <f t="shared" si="4"/>
        <v>11</v>
      </c>
      <c r="G353" s="469"/>
      <c r="H353" s="471"/>
    </row>
    <row r="354" spans="1:11" hidden="1" outlineLevel="1">
      <c r="B354" s="1059" t="s">
        <v>2124</v>
      </c>
      <c r="C354" s="1060"/>
      <c r="D354" s="1060"/>
      <c r="E354" s="1061"/>
      <c r="F354" s="466">
        <f t="shared" si="4"/>
        <v>12</v>
      </c>
      <c r="G354" s="472"/>
      <c r="H354" s="468"/>
    </row>
    <row r="355" spans="1:11" hidden="1" outlineLevel="1">
      <c r="B355" s="1058" t="s">
        <v>2125</v>
      </c>
      <c r="C355" s="1058"/>
      <c r="D355" s="1058"/>
      <c r="E355" s="465" t="s">
        <v>1079</v>
      </c>
      <c r="F355" s="466">
        <f t="shared" si="4"/>
        <v>13</v>
      </c>
      <c r="G355" s="472"/>
      <c r="H355" s="468"/>
    </row>
    <row r="356" spans="1:11" hidden="1" outlineLevel="1">
      <c r="B356" s="1058"/>
      <c r="C356" s="1058"/>
      <c r="D356" s="1058"/>
      <c r="E356" s="465" t="s">
        <v>1080</v>
      </c>
      <c r="F356" s="466">
        <f t="shared" si="4"/>
        <v>14</v>
      </c>
      <c r="G356" s="469"/>
      <c r="H356" s="471"/>
    </row>
    <row r="357" spans="1:11" hidden="1" outlineLevel="1">
      <c r="B357" s="1058" t="s">
        <v>2126</v>
      </c>
      <c r="C357" s="1058"/>
      <c r="D357" s="1058"/>
      <c r="E357" s="465" t="s">
        <v>1079</v>
      </c>
      <c r="F357" s="466">
        <f t="shared" si="4"/>
        <v>15</v>
      </c>
      <c r="G357" s="467">
        <f>IF((G343+G345+G347-H344-H346)&gt;0,(G343+G345+G347-H344-H346),0)</f>
        <v>0</v>
      </c>
      <c r="H357" s="468"/>
    </row>
    <row r="358" spans="1:11" hidden="1" outlineLevel="1">
      <c r="B358" s="1058"/>
      <c r="C358" s="1058"/>
      <c r="D358" s="1058"/>
      <c r="E358" s="465" t="s">
        <v>1080</v>
      </c>
      <c r="F358" s="466">
        <f t="shared" si="4"/>
        <v>16</v>
      </c>
      <c r="G358" s="473"/>
      <c r="H358" s="520">
        <f>+IF((H344+H346-G343-G345-G347)&gt;0,(H344+H346-G343-G345-G347),0)</f>
        <v>57709534.539275885</v>
      </c>
      <c r="J358" s="80">
        <f>+P6</f>
        <v>57709534.539022587</v>
      </c>
      <c r="K358" s="80">
        <f>+J358-H358</f>
        <v>-2.5329738855361938E-4</v>
      </c>
    </row>
    <row r="359" spans="1:11" hidden="1" outlineLevel="1">
      <c r="K359" s="80">
        <f>+K358+K236+K114</f>
        <v>-0.98408046364784241</v>
      </c>
    </row>
    <row r="360" spans="1:11" hidden="1" outlineLevel="1"/>
    <row r="361" spans="1:11" hidden="1" outlineLevel="1">
      <c r="B361" s="331" t="s">
        <v>2127</v>
      </c>
      <c r="E361" s="331" t="s">
        <v>1090</v>
      </c>
    </row>
    <row r="362" spans="1:11" hidden="1" outlineLevel="1">
      <c r="B362" s="331"/>
    </row>
    <row r="363" spans="1:11" hidden="1" outlineLevel="1">
      <c r="B363" s="331" t="str">
        <f>+CONCATENATE('[4]company '!B269," . . . . . . . . . . . . . . . . . .  ... . . . .. . . . ",'[4]company '!C269)</f>
        <v xml:space="preserve"> . . . . . . . . . . . . . . . . . .  ... . . . .. . . . </v>
      </c>
      <c r="E363" s="331" t="s">
        <v>2128</v>
      </c>
    </row>
    <row r="364" spans="1:11" collapsed="1">
      <c r="A364" s="231" t="s">
        <v>2650</v>
      </c>
      <c r="B364" s="331"/>
    </row>
    <row r="365" spans="1:11" hidden="1" outlineLevel="1">
      <c r="B365" s="331" t="str">
        <f>+CONCATENATE('[4]company '!B272,". . . . . . . . . . . . . . . . . . . . ",'[4]company '!C272)</f>
        <v xml:space="preserve">. . . . . . . . . . . . . . . . . . . . </v>
      </c>
    </row>
    <row r="366" spans="1:11" hidden="1" outlineLevel="1"/>
    <row r="367" spans="1:11" hidden="1" outlineLevel="1">
      <c r="B367" s="445"/>
      <c r="C367" s="445"/>
      <c r="D367" s="445"/>
      <c r="E367" s="486"/>
      <c r="F367" s="1066" t="s">
        <v>1984</v>
      </c>
      <c r="G367" s="1066"/>
      <c r="H367" s="1066"/>
    </row>
    <row r="368" spans="1:11" hidden="1" outlineLevel="1">
      <c r="D368" s="445"/>
      <c r="E368" s="1067" t="s">
        <v>1988</v>
      </c>
      <c r="F368" s="1067"/>
      <c r="G368" s="1067"/>
      <c r="H368" s="1067"/>
    </row>
    <row r="369" spans="2:8" ht="18.75" hidden="1" outlineLevel="1">
      <c r="G369" s="452" t="s">
        <v>1994</v>
      </c>
      <c r="H369" s="453" t="s">
        <v>1995</v>
      </c>
    </row>
    <row r="370" spans="2:8" ht="21" hidden="1" outlineLevel="1" thickBot="1">
      <c r="B370" s="1068" t="s">
        <v>1996</v>
      </c>
      <c r="C370" s="1068"/>
      <c r="D370" s="1068"/>
      <c r="E370" s="1068"/>
      <c r="F370" s="1068"/>
      <c r="G370" s="1068"/>
      <c r="H370" s="1068"/>
    </row>
    <row r="371" spans="2:8" ht="13.5" hidden="1" outlineLevel="1" thickTop="1"/>
    <row r="372" spans="2:8" hidden="1" outlineLevel="1">
      <c r="B372" s="1069" t="s">
        <v>1997</v>
      </c>
      <c r="C372" s="1070"/>
      <c r="D372" s="1070"/>
      <c r="E372" s="1070"/>
      <c r="F372" s="1070"/>
      <c r="G372" s="1070"/>
      <c r="H372" s="1071"/>
    </row>
    <row r="373" spans="2:8" hidden="1" outlineLevel="1">
      <c r="B373" s="1041" t="s">
        <v>2278</v>
      </c>
      <c r="C373" s="1042"/>
      <c r="D373" s="1043"/>
      <c r="E373" s="1044" t="s">
        <v>2279</v>
      </c>
      <c r="F373" s="1045"/>
      <c r="G373" s="1045"/>
      <c r="H373" s="1046"/>
    </row>
    <row r="374" spans="2:8" hidden="1" outlineLevel="1"/>
    <row r="375" spans="2:8" hidden="1" outlineLevel="1">
      <c r="B375" s="1069" t="s">
        <v>2280</v>
      </c>
      <c r="C375" s="1070"/>
      <c r="D375" s="1071"/>
      <c r="E375" s="1088" t="s">
        <v>2281</v>
      </c>
      <c r="F375" s="1089"/>
      <c r="G375" s="1089"/>
      <c r="H375" s="1091"/>
    </row>
    <row r="376" spans="2:8" hidden="1" outlineLevel="1">
      <c r="B376" s="1069" t="s">
        <v>2282</v>
      </c>
      <c r="C376" s="1070"/>
      <c r="D376" s="1071"/>
      <c r="E376" s="1088" t="s">
        <v>2283</v>
      </c>
      <c r="F376" s="1089"/>
      <c r="G376" s="1089"/>
      <c r="H376" s="1091"/>
    </row>
    <row r="377" spans="2:8" hidden="1" outlineLevel="1">
      <c r="B377" s="1069" t="s">
        <v>2284</v>
      </c>
      <c r="C377" s="1070"/>
      <c r="D377" s="1071"/>
      <c r="E377" s="1088" t="s">
        <v>1283</v>
      </c>
      <c r="F377" s="1089"/>
      <c r="G377" s="1089"/>
      <c r="H377" s="1091"/>
    </row>
    <row r="378" spans="2:8" hidden="1" outlineLevel="1">
      <c r="B378" s="1092" t="s">
        <v>2285</v>
      </c>
      <c r="C378" s="1093"/>
      <c r="D378" s="1094"/>
      <c r="E378" s="1095" t="s">
        <v>1285</v>
      </c>
      <c r="F378" s="1096"/>
      <c r="G378" s="1096"/>
      <c r="H378" s="1097"/>
    </row>
    <row r="379" spans="2:8" hidden="1" outlineLevel="1">
      <c r="B379" s="1098" t="s">
        <v>1286</v>
      </c>
      <c r="C379" s="1098"/>
      <c r="D379" s="1098"/>
      <c r="E379" s="1099"/>
      <c r="F379" s="1099"/>
      <c r="G379" s="1099"/>
      <c r="H379" s="1099"/>
    </row>
    <row r="380" spans="2:8" hidden="1" outlineLevel="1">
      <c r="B380" s="1100"/>
      <c r="C380" s="1100"/>
      <c r="D380" s="1100"/>
      <c r="E380" s="1101"/>
      <c r="F380" s="1101"/>
      <c r="G380" s="1101"/>
      <c r="H380" s="1101"/>
    </row>
    <row r="381" spans="2:8" hidden="1" outlineLevel="1">
      <c r="B381" s="1069" t="s">
        <v>1998</v>
      </c>
      <c r="C381" s="1070"/>
      <c r="D381" s="1070"/>
      <c r="E381" s="1070"/>
      <c r="F381" s="1070"/>
      <c r="G381" s="1070"/>
      <c r="H381" s="1071"/>
    </row>
    <row r="382" spans="2:8" hidden="1" outlineLevel="1">
      <c r="B382" s="1084"/>
      <c r="C382" s="1069" t="s">
        <v>1999</v>
      </c>
      <c r="D382" s="1071"/>
      <c r="E382" s="1088" t="s">
        <v>2000</v>
      </c>
      <c r="F382" s="1089"/>
      <c r="G382" s="1091"/>
      <c r="H382" s="456"/>
    </row>
    <row r="383" spans="2:8" hidden="1" outlineLevel="1">
      <c r="B383" s="1085"/>
      <c r="C383" s="1069" t="str">
        <f>+CONCATENATE('[4]company '!B389,"-""04 сар")</f>
        <v>-"04 сар</v>
      </c>
      <c r="D383" s="1071"/>
      <c r="E383" s="1081" t="s">
        <v>46</v>
      </c>
      <c r="F383" s="1082"/>
      <c r="G383" s="1083"/>
      <c r="H383" s="429" t="s">
        <v>2269</v>
      </c>
    </row>
    <row r="384" spans="2:8" hidden="1" outlineLevel="1">
      <c r="B384" s="1086"/>
      <c r="C384" s="1081" t="s">
        <v>2002</v>
      </c>
      <c r="D384" s="1083"/>
      <c r="E384" s="1081" t="s">
        <v>2003</v>
      </c>
      <c r="F384" s="1082"/>
      <c r="G384" s="1083"/>
      <c r="H384" s="429"/>
    </row>
    <row r="385" spans="2:8" hidden="1" outlineLevel="1">
      <c r="B385" s="487"/>
      <c r="C385" s="487"/>
      <c r="D385" s="487"/>
      <c r="E385" s="487"/>
      <c r="F385" s="487"/>
      <c r="G385" s="457"/>
      <c r="H385" s="458"/>
    </row>
    <row r="386" spans="2:8" hidden="1" outlineLevel="1">
      <c r="B386" s="1102" t="s">
        <v>2004</v>
      </c>
      <c r="C386" s="1102"/>
      <c r="D386" s="1102"/>
      <c r="E386" s="459"/>
      <c r="F386" s="487" t="s">
        <v>2005</v>
      </c>
      <c r="G386" s="457"/>
      <c r="H386" s="458" t="s">
        <v>2006</v>
      </c>
    </row>
    <row r="387" spans="2:8" hidden="1" outlineLevel="1">
      <c r="B387" s="487"/>
      <c r="C387" s="487"/>
      <c r="D387" s="487"/>
      <c r="E387" s="487"/>
      <c r="F387" s="487"/>
      <c r="G387" s="457"/>
      <c r="H387" s="458"/>
    </row>
    <row r="388" spans="2:8" hidden="1" outlineLevel="1">
      <c r="B388" s="487"/>
      <c r="C388" s="487"/>
      <c r="D388" s="487"/>
      <c r="E388" s="487"/>
      <c r="F388" s="487"/>
      <c r="G388" s="457"/>
      <c r="H388" s="458"/>
    </row>
    <row r="389" spans="2:8" ht="21.75" hidden="1" customHeight="1" outlineLevel="1">
      <c r="B389" s="1053" t="s">
        <v>2007</v>
      </c>
      <c r="C389" s="1053"/>
      <c r="D389" s="1053"/>
      <c r="E389" s="1053"/>
      <c r="F389" s="1053"/>
      <c r="G389" s="1053"/>
      <c r="H389" s="1053"/>
    </row>
    <row r="390" spans="2:8" hidden="1" outlineLevel="1">
      <c r="B390" s="1072" t="s">
        <v>2008</v>
      </c>
      <c r="C390" s="1073"/>
      <c r="D390" s="1073"/>
      <c r="E390" s="1073"/>
      <c r="F390" s="1074"/>
      <c r="G390" s="460" t="s">
        <v>2009</v>
      </c>
      <c r="H390" s="461">
        <f>+H391+H392</f>
        <v>17083228.163950454</v>
      </c>
    </row>
    <row r="391" spans="2:8" hidden="1" outlineLevel="1">
      <c r="B391" s="1078" t="s">
        <v>2010</v>
      </c>
      <c r="C391" s="1079"/>
      <c r="D391" s="1079"/>
      <c r="E391" s="1079"/>
      <c r="F391" s="1080"/>
      <c r="G391" s="460" t="s">
        <v>99</v>
      </c>
      <c r="H391" s="429"/>
    </row>
    <row r="392" spans="2:8" hidden="1" outlineLevel="1">
      <c r="B392" s="1078" t="s">
        <v>2011</v>
      </c>
      <c r="C392" s="1079"/>
      <c r="D392" s="1079"/>
      <c r="E392" s="1079"/>
      <c r="F392" s="1080"/>
      <c r="G392" s="460" t="s">
        <v>2012</v>
      </c>
      <c r="H392" s="429">
        <f>+H393+H399+H419</f>
        <v>17083228.163950454</v>
      </c>
    </row>
    <row r="393" spans="2:8" hidden="1" outlineLevel="1">
      <c r="B393" s="1084"/>
      <c r="C393" s="1072" t="s">
        <v>2013</v>
      </c>
      <c r="D393" s="1073"/>
      <c r="E393" s="1073"/>
      <c r="F393" s="1074"/>
      <c r="G393" s="460" t="s">
        <v>2014</v>
      </c>
      <c r="H393" s="461">
        <f>+H394+H395+H396+H397+H398</f>
        <v>17083228.163950454</v>
      </c>
    </row>
    <row r="394" spans="2:8" hidden="1" outlineLevel="1">
      <c r="B394" s="1085"/>
      <c r="C394" s="1075" t="s">
        <v>2015</v>
      </c>
      <c r="D394" s="1081" t="s">
        <v>2016</v>
      </c>
      <c r="E394" s="1082"/>
      <c r="F394" s="1083"/>
      <c r="G394" s="460" t="s">
        <v>173</v>
      </c>
      <c r="H394" s="429">
        <f>+SUMIFS(JURNAL!H:H,JURNAL!E:E,510000,JURNAL!C:C,"&gt;="&amp;J7,JURNAL!C:C,"&lt;="&amp;K7)+SUMIFS(JURNAL!H:H,JURNAL!E:E,510100,JURNAL!C:C,"&gt;="&amp;J7,JURNAL!C:C,"&lt;="&amp;K7)</f>
        <v>17083228.163950454</v>
      </c>
    </row>
    <row r="395" spans="2:8" hidden="1" outlineLevel="1">
      <c r="B395" s="1085"/>
      <c r="C395" s="1076"/>
      <c r="D395" s="1047" t="s">
        <v>2017</v>
      </c>
      <c r="E395" s="1048"/>
      <c r="F395" s="1049"/>
      <c r="G395" s="462" t="s">
        <v>174</v>
      </c>
      <c r="H395" s="429"/>
    </row>
    <row r="396" spans="2:8" hidden="1" outlineLevel="1">
      <c r="B396" s="1085"/>
      <c r="C396" s="1076"/>
      <c r="D396" s="1047" t="s">
        <v>837</v>
      </c>
      <c r="E396" s="1048"/>
      <c r="F396" s="1049"/>
      <c r="G396" s="462" t="s">
        <v>904</v>
      </c>
      <c r="H396" s="429"/>
    </row>
    <row r="397" spans="2:8" hidden="1" outlineLevel="1">
      <c r="B397" s="1085"/>
      <c r="C397" s="1076"/>
      <c r="D397" s="1047" t="s">
        <v>2018</v>
      </c>
      <c r="E397" s="1048"/>
      <c r="F397" s="1049"/>
      <c r="G397" s="462" t="s">
        <v>906</v>
      </c>
      <c r="H397" s="429"/>
    </row>
    <row r="398" spans="2:8" hidden="1" outlineLevel="1">
      <c r="B398" s="1085"/>
      <c r="C398" s="1077"/>
      <c r="D398" s="1047" t="s">
        <v>2019</v>
      </c>
      <c r="E398" s="1048"/>
      <c r="F398" s="1049"/>
      <c r="G398" s="462" t="s">
        <v>908</v>
      </c>
      <c r="H398" s="429"/>
    </row>
    <row r="399" spans="2:8" hidden="1" outlineLevel="1">
      <c r="B399" s="1085"/>
      <c r="C399" s="1072" t="s">
        <v>2020</v>
      </c>
      <c r="D399" s="1073"/>
      <c r="E399" s="1073"/>
      <c r="F399" s="1074"/>
      <c r="G399" s="460" t="s">
        <v>2021</v>
      </c>
      <c r="H399" s="461">
        <f>+H400+H401+H402+H403+H404+H405+H406+H407+H408+H409+H410+H411+H412+H413+H414</f>
        <v>0</v>
      </c>
    </row>
    <row r="400" spans="2:8" hidden="1" outlineLevel="1">
      <c r="B400" s="1085"/>
      <c r="C400" s="1075" t="s">
        <v>2015</v>
      </c>
      <c r="D400" s="1047" t="s">
        <v>2022</v>
      </c>
      <c r="E400" s="1048"/>
      <c r="F400" s="1049"/>
      <c r="G400" s="462" t="s">
        <v>912</v>
      </c>
      <c r="H400" s="429"/>
    </row>
    <row r="401" spans="2:8" hidden="1" outlineLevel="1">
      <c r="B401" s="1085"/>
      <c r="C401" s="1076"/>
      <c r="D401" s="1047" t="s">
        <v>2023</v>
      </c>
      <c r="E401" s="1048"/>
      <c r="F401" s="1049"/>
      <c r="G401" s="462" t="s">
        <v>914</v>
      </c>
      <c r="H401" s="429"/>
    </row>
    <row r="402" spans="2:8" hidden="1" outlineLevel="1">
      <c r="B402" s="1085"/>
      <c r="C402" s="1076"/>
      <c r="D402" s="1047" t="s">
        <v>2024</v>
      </c>
      <c r="E402" s="1048"/>
      <c r="F402" s="1049"/>
      <c r="G402" s="462" t="s">
        <v>916</v>
      </c>
      <c r="H402" s="429"/>
    </row>
    <row r="403" spans="2:8" hidden="1" outlineLevel="1">
      <c r="B403" s="1085"/>
      <c r="C403" s="1076"/>
      <c r="D403" s="1047" t="s">
        <v>2025</v>
      </c>
      <c r="E403" s="1048"/>
      <c r="F403" s="1049"/>
      <c r="G403" s="462" t="s">
        <v>918</v>
      </c>
      <c r="H403" s="429"/>
    </row>
    <row r="404" spans="2:8" hidden="1" outlineLevel="1">
      <c r="B404" s="1085"/>
      <c r="C404" s="1076"/>
      <c r="D404" s="1047" t="s">
        <v>2026</v>
      </c>
      <c r="E404" s="1048"/>
      <c r="F404" s="1049"/>
      <c r="G404" s="462" t="s">
        <v>920</v>
      </c>
      <c r="H404" s="429"/>
    </row>
    <row r="405" spans="2:8" hidden="1" outlineLevel="1">
      <c r="B405" s="1085"/>
      <c r="C405" s="1076"/>
      <c r="D405" s="1047" t="s">
        <v>2027</v>
      </c>
      <c r="E405" s="1048"/>
      <c r="F405" s="1049"/>
      <c r="G405" s="462" t="s">
        <v>922</v>
      </c>
      <c r="H405" s="429"/>
    </row>
    <row r="406" spans="2:8" hidden="1" outlineLevel="1">
      <c r="B406" s="1085"/>
      <c r="C406" s="1076"/>
      <c r="D406" s="1047" t="s">
        <v>2028</v>
      </c>
      <c r="E406" s="1048"/>
      <c r="F406" s="1049"/>
      <c r="G406" s="462" t="s">
        <v>924</v>
      </c>
      <c r="H406" s="429"/>
    </row>
    <row r="407" spans="2:8" hidden="1" outlineLevel="1">
      <c r="B407" s="1085"/>
      <c r="C407" s="1076"/>
      <c r="D407" s="1047" t="s">
        <v>2029</v>
      </c>
      <c r="E407" s="1048"/>
      <c r="F407" s="1049"/>
      <c r="G407" s="462" t="s">
        <v>926</v>
      </c>
      <c r="H407" s="429"/>
    </row>
    <row r="408" spans="2:8" hidden="1" outlineLevel="1">
      <c r="B408" s="1085"/>
      <c r="C408" s="1076"/>
      <c r="D408" s="1047" t="s">
        <v>2030</v>
      </c>
      <c r="E408" s="1048"/>
      <c r="F408" s="1049"/>
      <c r="G408" s="462" t="s">
        <v>928</v>
      </c>
      <c r="H408" s="429"/>
    </row>
    <row r="409" spans="2:8" hidden="1" outlineLevel="1">
      <c r="B409" s="1085"/>
      <c r="C409" s="1076"/>
      <c r="D409" s="1047" t="s">
        <v>2031</v>
      </c>
      <c r="E409" s="1048"/>
      <c r="F409" s="1049"/>
      <c r="G409" s="462" t="s">
        <v>930</v>
      </c>
      <c r="H409" s="429"/>
    </row>
    <row r="410" spans="2:8" hidden="1" outlineLevel="1">
      <c r="B410" s="1085"/>
      <c r="C410" s="1076"/>
      <c r="D410" s="1047" t="s">
        <v>2032</v>
      </c>
      <c r="E410" s="1048"/>
      <c r="F410" s="1049"/>
      <c r="G410" s="462" t="s">
        <v>932</v>
      </c>
      <c r="H410" s="429"/>
    </row>
    <row r="411" spans="2:8" hidden="1" outlineLevel="1">
      <c r="B411" s="1085"/>
      <c r="C411" s="1076"/>
      <c r="D411" s="1047" t="s">
        <v>2033</v>
      </c>
      <c r="E411" s="1048"/>
      <c r="F411" s="1049"/>
      <c r="G411" s="462" t="s">
        <v>934</v>
      </c>
      <c r="H411" s="429"/>
    </row>
    <row r="412" spans="2:8" hidden="1" outlineLevel="1">
      <c r="B412" s="1085"/>
      <c r="C412" s="1076"/>
      <c r="D412" s="1047" t="s">
        <v>2034</v>
      </c>
      <c r="E412" s="1048"/>
      <c r="F412" s="1049"/>
      <c r="G412" s="462" t="s">
        <v>936</v>
      </c>
      <c r="H412" s="429"/>
    </row>
    <row r="413" spans="2:8" hidden="1" outlineLevel="1">
      <c r="B413" s="1085"/>
      <c r="C413" s="1076"/>
      <c r="D413" s="1047" t="s">
        <v>2035</v>
      </c>
      <c r="E413" s="1048"/>
      <c r="F413" s="1049"/>
      <c r="G413" s="462" t="s">
        <v>944</v>
      </c>
      <c r="H413" s="429"/>
    </row>
    <row r="414" spans="2:8" hidden="1" outlineLevel="1">
      <c r="B414" s="1086"/>
      <c r="C414" s="1077"/>
      <c r="D414" s="1047" t="s">
        <v>2036</v>
      </c>
      <c r="E414" s="1048"/>
      <c r="F414" s="1049"/>
      <c r="G414" s="462" t="s">
        <v>946</v>
      </c>
      <c r="H414" s="429"/>
    </row>
    <row r="415" spans="2:8" hidden="1" outlineLevel="1">
      <c r="B415" s="1072" t="s">
        <v>2037</v>
      </c>
      <c r="C415" s="1073"/>
      <c r="D415" s="1073"/>
      <c r="E415" s="1073"/>
      <c r="F415" s="1074"/>
      <c r="G415" s="460" t="s">
        <v>2038</v>
      </c>
      <c r="H415" s="461">
        <f>+H393+H399</f>
        <v>17083228.163950454</v>
      </c>
    </row>
    <row r="416" spans="2:8" hidden="1" outlineLevel="1">
      <c r="B416" s="1072" t="s">
        <v>2039</v>
      </c>
      <c r="C416" s="1073"/>
      <c r="D416" s="1073"/>
      <c r="E416" s="1073"/>
      <c r="F416" s="1074"/>
      <c r="G416" s="460" t="s">
        <v>2040</v>
      </c>
      <c r="H416" s="461">
        <f>+H415*0.1</f>
        <v>1708322.8163950455</v>
      </c>
    </row>
    <row r="417" spans="2:8" hidden="1" outlineLevel="1">
      <c r="B417" s="1081" t="s">
        <v>2041</v>
      </c>
      <c r="C417" s="1082"/>
      <c r="D417" s="1082"/>
      <c r="E417" s="1082"/>
      <c r="F417" s="1083"/>
      <c r="G417" s="460" t="s">
        <v>2042</v>
      </c>
      <c r="H417" s="429"/>
    </row>
    <row r="418" spans="2:8" hidden="1" outlineLevel="1">
      <c r="B418" s="1081" t="s">
        <v>2043</v>
      </c>
      <c r="C418" s="1082"/>
      <c r="D418" s="1082"/>
      <c r="E418" s="1082"/>
      <c r="F418" s="1083"/>
      <c r="G418" s="460" t="s">
        <v>2044</v>
      </c>
      <c r="H418" s="429"/>
    </row>
    <row r="419" spans="2:8" hidden="1" outlineLevel="1">
      <c r="B419" s="1072" t="s">
        <v>2045</v>
      </c>
      <c r="C419" s="1073"/>
      <c r="D419" s="1073"/>
      <c r="E419" s="1073"/>
      <c r="F419" s="1074"/>
      <c r="G419" s="460" t="s">
        <v>2046</v>
      </c>
      <c r="H419" s="461">
        <f>+H417+H418</f>
        <v>0</v>
      </c>
    </row>
    <row r="420" spans="2:8" hidden="1" outlineLevel="1">
      <c r="B420" s="1072" t="s">
        <v>2039</v>
      </c>
      <c r="C420" s="1073"/>
      <c r="D420" s="1073"/>
      <c r="E420" s="1073"/>
      <c r="F420" s="1074"/>
      <c r="G420" s="460" t="s">
        <v>2047</v>
      </c>
      <c r="H420" s="461">
        <f>+H419*0%</f>
        <v>0</v>
      </c>
    </row>
    <row r="421" spans="2:8" hidden="1" outlineLevel="1">
      <c r="B421" s="1072" t="s">
        <v>2048</v>
      </c>
      <c r="C421" s="1073"/>
      <c r="D421" s="1073"/>
      <c r="E421" s="1073"/>
      <c r="F421" s="1074"/>
      <c r="G421" s="460" t="s">
        <v>2049</v>
      </c>
      <c r="H421" s="461">
        <f>+H416+H420</f>
        <v>1708322.8163950455</v>
      </c>
    </row>
    <row r="422" spans="2:8" hidden="1" outlineLevel="1"/>
    <row r="423" spans="2:8" ht="25.5" hidden="1" customHeight="1" outlineLevel="1">
      <c r="B423" s="1053" t="s">
        <v>2050</v>
      </c>
      <c r="C423" s="1053"/>
      <c r="D423" s="1053"/>
      <c r="E423" s="1053"/>
      <c r="F423" s="1053"/>
      <c r="G423" s="1053"/>
      <c r="H423" s="1053"/>
    </row>
    <row r="424" spans="2:8" hidden="1" outlineLevel="1">
      <c r="B424" s="1072" t="s">
        <v>2051</v>
      </c>
      <c r="C424" s="1073"/>
      <c r="D424" s="1073"/>
      <c r="E424" s="1073"/>
      <c r="F424" s="1074"/>
      <c r="G424" s="460" t="s">
        <v>2052</v>
      </c>
      <c r="H424" s="429"/>
    </row>
    <row r="425" spans="2:8" hidden="1" outlineLevel="1">
      <c r="B425" s="1078" t="s">
        <v>2053</v>
      </c>
      <c r="C425" s="1079"/>
      <c r="D425" s="1079"/>
      <c r="E425" s="1079"/>
      <c r="F425" s="1080"/>
      <c r="G425" s="460" t="s">
        <v>2054</v>
      </c>
      <c r="H425" s="429">
        <f>+H426+H427+H428+H429</f>
        <v>14260204.945454543</v>
      </c>
    </row>
    <row r="426" spans="2:8" hidden="1" outlineLevel="1">
      <c r="B426" s="1075" t="s">
        <v>2015</v>
      </c>
      <c r="C426" s="1047" t="s">
        <v>2055</v>
      </c>
      <c r="D426" s="1048"/>
      <c r="E426" s="1048"/>
      <c r="F426" s="1049"/>
      <c r="G426" s="460" t="s">
        <v>2056</v>
      </c>
      <c r="H426" s="429"/>
    </row>
    <row r="427" spans="2:8" hidden="1" outlineLevel="1">
      <c r="B427" s="1076"/>
      <c r="C427" s="1047" t="s">
        <v>2057</v>
      </c>
      <c r="D427" s="1048"/>
      <c r="E427" s="1048"/>
      <c r="F427" s="1049"/>
      <c r="G427" s="460" t="s">
        <v>2058</v>
      </c>
      <c r="H427" s="429">
        <f>+M7*10</f>
        <v>14260204.945454543</v>
      </c>
    </row>
    <row r="428" spans="2:8" hidden="1" outlineLevel="1">
      <c r="B428" s="1076"/>
      <c r="C428" s="1047" t="s">
        <v>2059</v>
      </c>
      <c r="D428" s="1048"/>
      <c r="E428" s="1048"/>
      <c r="F428" s="1049"/>
      <c r="G428" s="460" t="s">
        <v>2060</v>
      </c>
      <c r="H428" s="429"/>
    </row>
    <row r="429" spans="2:8" hidden="1" outlineLevel="1">
      <c r="B429" s="1077"/>
      <c r="C429" s="1047" t="s">
        <v>2061</v>
      </c>
      <c r="D429" s="1048"/>
      <c r="E429" s="1048"/>
      <c r="F429" s="1049"/>
      <c r="G429" s="460" t="s">
        <v>2062</v>
      </c>
      <c r="H429" s="429"/>
    </row>
    <row r="430" spans="2:8" hidden="1" outlineLevel="1">
      <c r="B430" s="1072" t="s">
        <v>2063</v>
      </c>
      <c r="C430" s="1073"/>
      <c r="D430" s="1073"/>
      <c r="E430" s="1073"/>
      <c r="F430" s="1074"/>
      <c r="G430" s="460" t="s">
        <v>2064</v>
      </c>
      <c r="H430" s="461">
        <f>+H425*0.1</f>
        <v>1426020.4945454544</v>
      </c>
    </row>
    <row r="431" spans="2:8" hidden="1" outlineLevel="1">
      <c r="B431" s="1072" t="s">
        <v>2065</v>
      </c>
      <c r="C431" s="1073"/>
      <c r="D431" s="1073"/>
      <c r="E431" s="1073"/>
      <c r="F431" s="1074"/>
      <c r="G431" s="460" t="s">
        <v>2066</v>
      </c>
      <c r="H431" s="461">
        <f>+H432+H433+H434+H435+H436+H437</f>
        <v>0</v>
      </c>
    </row>
    <row r="432" spans="2:8" hidden="1" outlineLevel="1">
      <c r="B432" s="1075" t="s">
        <v>2015</v>
      </c>
      <c r="C432" s="1047" t="s">
        <v>2067</v>
      </c>
      <c r="D432" s="1048"/>
      <c r="E432" s="1048"/>
      <c r="F432" s="1049"/>
      <c r="G432" s="460" t="s">
        <v>2068</v>
      </c>
      <c r="H432" s="429"/>
    </row>
    <row r="433" spans="2:8" hidden="1" outlineLevel="1">
      <c r="B433" s="1076"/>
      <c r="C433" s="1047" t="s">
        <v>2069</v>
      </c>
      <c r="D433" s="1048"/>
      <c r="E433" s="1048"/>
      <c r="F433" s="1049"/>
      <c r="G433" s="460" t="s">
        <v>2070</v>
      </c>
      <c r="H433" s="429"/>
    </row>
    <row r="434" spans="2:8" hidden="1" outlineLevel="1">
      <c r="B434" s="1076"/>
      <c r="C434" s="1047" t="s">
        <v>2071</v>
      </c>
      <c r="D434" s="1048"/>
      <c r="E434" s="1048"/>
      <c r="F434" s="1049"/>
      <c r="G434" s="460" t="s">
        <v>2072</v>
      </c>
      <c r="H434" s="429"/>
    </row>
    <row r="435" spans="2:8" hidden="1" outlineLevel="1">
      <c r="B435" s="1076"/>
      <c r="C435" s="1047" t="s">
        <v>2073</v>
      </c>
      <c r="D435" s="1048"/>
      <c r="E435" s="1048"/>
      <c r="F435" s="1049"/>
      <c r="G435" s="460" t="s">
        <v>2074</v>
      </c>
      <c r="H435" s="429"/>
    </row>
    <row r="436" spans="2:8" hidden="1" outlineLevel="1">
      <c r="B436" s="1076"/>
      <c r="C436" s="1047" t="s">
        <v>2075</v>
      </c>
      <c r="D436" s="1048"/>
      <c r="E436" s="1048"/>
      <c r="F436" s="1049"/>
      <c r="G436" s="460" t="s">
        <v>2076</v>
      </c>
      <c r="H436" s="429"/>
    </row>
    <row r="437" spans="2:8" hidden="1" outlineLevel="1">
      <c r="B437" s="1077"/>
      <c r="C437" s="1047" t="s">
        <v>2077</v>
      </c>
      <c r="D437" s="1048"/>
      <c r="E437" s="1048"/>
      <c r="F437" s="1049"/>
      <c r="G437" s="460" t="s">
        <v>2078</v>
      </c>
      <c r="H437" s="429"/>
    </row>
    <row r="438" spans="2:8" hidden="1" outlineLevel="1">
      <c r="B438" s="1072" t="s">
        <v>2079</v>
      </c>
      <c r="C438" s="1073"/>
      <c r="D438" s="1073"/>
      <c r="E438" s="1073"/>
      <c r="F438" s="1074"/>
      <c r="G438" s="460" t="s">
        <v>2080</v>
      </c>
      <c r="H438" s="461">
        <f>+H430-H431</f>
        <v>1426020.4945454544</v>
      </c>
    </row>
    <row r="439" spans="2:8" hidden="1" outlineLevel="1"/>
    <row r="440" spans="2:8" ht="22.5" hidden="1" customHeight="1" outlineLevel="1">
      <c r="B440" s="1053" t="s">
        <v>2081</v>
      </c>
      <c r="C440" s="1053"/>
      <c r="D440" s="1053"/>
      <c r="E440" s="1053"/>
      <c r="F440" s="1053"/>
      <c r="G440" s="1053"/>
      <c r="H440" s="1053"/>
    </row>
    <row r="441" spans="2:8" hidden="1" outlineLevel="1">
      <c r="B441" s="1047" t="s">
        <v>2082</v>
      </c>
      <c r="C441" s="1048"/>
      <c r="D441" s="1048"/>
      <c r="E441" s="1048"/>
      <c r="F441" s="1049"/>
      <c r="G441" s="460" t="s">
        <v>2083</v>
      </c>
      <c r="H441" s="429"/>
    </row>
    <row r="442" spans="2:8" hidden="1" outlineLevel="1">
      <c r="B442" s="1047" t="s">
        <v>2084</v>
      </c>
      <c r="C442" s="1048"/>
      <c r="D442" s="1048"/>
      <c r="E442" s="1048"/>
      <c r="F442" s="1049"/>
      <c r="G442" s="460" t="s">
        <v>2085</v>
      </c>
      <c r="H442" s="429"/>
    </row>
    <row r="443" spans="2:8" hidden="1" outlineLevel="1">
      <c r="B443" s="1050" t="s">
        <v>2086</v>
      </c>
      <c r="C443" s="1051"/>
      <c r="D443" s="1051"/>
      <c r="E443" s="1051"/>
      <c r="F443" s="1052"/>
      <c r="G443" s="460" t="s">
        <v>2087</v>
      </c>
      <c r="H443" s="429">
        <f>+(H441+H442)*0.1</f>
        <v>0</v>
      </c>
    </row>
    <row r="444" spans="2:8" hidden="1" outlineLevel="1">
      <c r="B444" s="1047" t="s">
        <v>2088</v>
      </c>
      <c r="C444" s="1048"/>
      <c r="D444" s="1048"/>
      <c r="E444" s="1048"/>
      <c r="F444" s="1049"/>
      <c r="G444" s="460" t="s">
        <v>2089</v>
      </c>
      <c r="H444" s="429"/>
    </row>
    <row r="445" spans="2:8" hidden="1" outlineLevel="1">
      <c r="B445" s="1047" t="s">
        <v>2090</v>
      </c>
      <c r="C445" s="1048"/>
      <c r="D445" s="1048"/>
      <c r="E445" s="1048"/>
      <c r="F445" s="1049"/>
      <c r="G445" s="460" t="s">
        <v>2091</v>
      </c>
      <c r="H445" s="429"/>
    </row>
    <row r="446" spans="2:8" hidden="1" outlineLevel="1">
      <c r="B446" s="1050" t="s">
        <v>2092</v>
      </c>
      <c r="C446" s="1051"/>
      <c r="D446" s="1051"/>
      <c r="E446" s="1051"/>
      <c r="F446" s="1052"/>
      <c r="G446" s="460" t="s">
        <v>2093</v>
      </c>
      <c r="H446" s="429">
        <f>+(H444+H445)*0.1</f>
        <v>0</v>
      </c>
    </row>
    <row r="447" spans="2:8" hidden="1" outlineLevel="1"/>
    <row r="448" spans="2:8" hidden="1" outlineLevel="1">
      <c r="B448" s="1053" t="s">
        <v>2094</v>
      </c>
      <c r="C448" s="1053"/>
      <c r="D448" s="1053"/>
      <c r="E448" s="1053"/>
      <c r="F448" s="1053"/>
      <c r="G448" s="1053"/>
      <c r="H448" s="1053"/>
    </row>
    <row r="449" spans="2:8" hidden="1" outlineLevel="1">
      <c r="B449" s="1050" t="s">
        <v>2095</v>
      </c>
      <c r="C449" s="1051"/>
      <c r="D449" s="1051"/>
      <c r="E449" s="1051"/>
      <c r="F449" s="1052"/>
      <c r="G449" s="460" t="s">
        <v>2096</v>
      </c>
      <c r="H449" s="429">
        <f>+H421+H443</f>
        <v>1708322.8163950455</v>
      </c>
    </row>
    <row r="450" spans="2:8" hidden="1" outlineLevel="1">
      <c r="B450" s="1050" t="s">
        <v>2097</v>
      </c>
      <c r="C450" s="1051"/>
      <c r="D450" s="1051"/>
      <c r="E450" s="1051"/>
      <c r="F450" s="1052"/>
      <c r="G450" s="460" t="s">
        <v>2098</v>
      </c>
      <c r="H450" s="429">
        <f>+H438+H446</f>
        <v>1426020.4945454544</v>
      </c>
    </row>
    <row r="451" spans="2:8" hidden="1" outlineLevel="1"/>
    <row r="452" spans="2:8" hidden="1" outlineLevel="1">
      <c r="B452" s="1053" t="s">
        <v>2099</v>
      </c>
      <c r="C452" s="1053"/>
      <c r="D452" s="1053"/>
      <c r="E452" s="1053"/>
      <c r="F452" s="1053"/>
      <c r="G452" s="1053"/>
      <c r="H452" s="1053"/>
    </row>
    <row r="453" spans="2:8" hidden="1" outlineLevel="1">
      <c r="B453" s="1047" t="s">
        <v>2100</v>
      </c>
      <c r="C453" s="1048"/>
      <c r="D453" s="1048"/>
      <c r="E453" s="1048"/>
      <c r="F453" s="1049"/>
      <c r="G453" s="460" t="s">
        <v>2101</v>
      </c>
      <c r="H453" s="429"/>
    </row>
    <row r="454" spans="2:8" hidden="1" outlineLevel="1">
      <c r="B454" s="1050" t="s">
        <v>2102</v>
      </c>
      <c r="C454" s="1051"/>
      <c r="D454" s="1051"/>
      <c r="E454" s="1051"/>
      <c r="F454" s="1052"/>
      <c r="G454" s="460" t="s">
        <v>2103</v>
      </c>
      <c r="H454" s="429">
        <f>+H453*0.1</f>
        <v>0</v>
      </c>
    </row>
    <row r="455" spans="2:8" hidden="1" outlineLevel="1">
      <c r="B455" s="1047" t="s">
        <v>2104</v>
      </c>
      <c r="C455" s="1048"/>
      <c r="D455" s="1048"/>
      <c r="E455" s="1048"/>
      <c r="F455" s="1049"/>
      <c r="G455" s="460" t="s">
        <v>2105</v>
      </c>
      <c r="H455" s="429"/>
    </row>
    <row r="456" spans="2:8" hidden="1" outlineLevel="1">
      <c r="B456" s="1050" t="s">
        <v>2092</v>
      </c>
      <c r="C456" s="1051"/>
      <c r="D456" s="1051"/>
      <c r="E456" s="1051"/>
      <c r="F456" s="1052"/>
      <c r="G456" s="460" t="s">
        <v>2106</v>
      </c>
      <c r="H456" s="429">
        <f>+H455*0.1</f>
        <v>0</v>
      </c>
    </row>
    <row r="457" spans="2:8" hidden="1" outlineLevel="1"/>
    <row r="458" spans="2:8" hidden="1" outlineLevel="1">
      <c r="B458" s="1053" t="s">
        <v>2107</v>
      </c>
      <c r="C458" s="1053"/>
      <c r="D458" s="1053"/>
      <c r="E458" s="1053"/>
      <c r="F458" s="1053"/>
      <c r="G458" s="1053"/>
      <c r="H458" s="1053"/>
    </row>
    <row r="459" spans="2:8" hidden="1" outlineLevel="1">
      <c r="B459" s="1054" t="s">
        <v>1322</v>
      </c>
      <c r="C459" s="1054"/>
      <c r="D459" s="1055" t="s">
        <v>2108</v>
      </c>
      <c r="E459" s="1056"/>
      <c r="F459" s="1057"/>
      <c r="G459" s="460" t="s">
        <v>2109</v>
      </c>
      <c r="H459" s="429">
        <f>+H449-H454</f>
        <v>1708322.8163950455</v>
      </c>
    </row>
    <row r="460" spans="2:8" hidden="1" outlineLevel="1">
      <c r="B460" s="1054"/>
      <c r="C460" s="1054"/>
      <c r="D460" s="1055" t="s">
        <v>2110</v>
      </c>
      <c r="E460" s="1056"/>
      <c r="F460" s="1057"/>
      <c r="G460" s="460" t="s">
        <v>2111</v>
      </c>
      <c r="H460" s="429">
        <f>+H450-H456</f>
        <v>1426020.4945454544</v>
      </c>
    </row>
    <row r="461" spans="2:8" hidden="1" outlineLevel="1">
      <c r="B461" s="1054"/>
      <c r="C461" s="1054"/>
      <c r="D461" s="1055" t="s">
        <v>2112</v>
      </c>
      <c r="E461" s="1056"/>
      <c r="F461" s="1057"/>
      <c r="G461" s="460" t="s">
        <v>2113</v>
      </c>
      <c r="H461" s="429">
        <f>+H459-H460</f>
        <v>282302.3218495911</v>
      </c>
    </row>
    <row r="462" spans="2:8" hidden="1" outlineLevel="1">
      <c r="B462" s="1054"/>
      <c r="C462" s="1054"/>
      <c r="D462" s="1055" t="s">
        <v>2114</v>
      </c>
      <c r="E462" s="1056"/>
      <c r="F462" s="1057"/>
      <c r="G462" s="460" t="s">
        <v>2115</v>
      </c>
      <c r="H462" s="429"/>
    </row>
    <row r="463" spans="2:8" hidden="1" outlineLevel="1"/>
    <row r="464" spans="2:8" hidden="1" outlineLevel="1">
      <c r="B464" s="1062" t="s">
        <v>2116</v>
      </c>
      <c r="C464" s="1062"/>
      <c r="D464" s="1062"/>
      <c r="E464" s="1062"/>
      <c r="F464" s="1062"/>
      <c r="G464" s="463" t="s">
        <v>2117</v>
      </c>
      <c r="H464" s="464" t="s">
        <v>2118</v>
      </c>
    </row>
    <row r="465" spans="2:11" hidden="1" outlineLevel="1">
      <c r="B465" s="1058" t="s">
        <v>2119</v>
      </c>
      <c r="C465" s="1058"/>
      <c r="D465" s="1058"/>
      <c r="E465" s="465" t="s">
        <v>1079</v>
      </c>
      <c r="F465" s="466">
        <v>1</v>
      </c>
      <c r="G465" s="467">
        <f>+O6</f>
        <v>0</v>
      </c>
      <c r="H465" s="468"/>
    </row>
    <row r="466" spans="2:11" hidden="1" outlineLevel="1">
      <c r="B466" s="1058"/>
      <c r="C466" s="1058"/>
      <c r="D466" s="1058"/>
      <c r="E466" s="465" t="s">
        <v>1080</v>
      </c>
      <c r="F466" s="466">
        <f>+F465+1</f>
        <v>2</v>
      </c>
      <c r="G466" s="469"/>
      <c r="H466" s="470">
        <f>+P6</f>
        <v>57709534.539022587</v>
      </c>
    </row>
    <row r="467" spans="2:11" hidden="1" outlineLevel="1">
      <c r="B467" s="1058" t="s">
        <v>2120</v>
      </c>
      <c r="C467" s="1058"/>
      <c r="D467" s="1058"/>
      <c r="E467" s="465" t="s">
        <v>1079</v>
      </c>
      <c r="F467" s="466">
        <f t="shared" ref="F467:F480" si="5">+F466+1</f>
        <v>3</v>
      </c>
      <c r="G467" s="467"/>
      <c r="H467" s="468"/>
    </row>
    <row r="468" spans="2:11" hidden="1" outlineLevel="1">
      <c r="B468" s="1058"/>
      <c r="C468" s="1058"/>
      <c r="D468" s="1058"/>
      <c r="E468" s="465" t="s">
        <v>1080</v>
      </c>
      <c r="F468" s="466">
        <f t="shared" si="5"/>
        <v>4</v>
      </c>
      <c r="G468" s="469"/>
      <c r="H468" s="470">
        <f>+H461</f>
        <v>282302.3218495911</v>
      </c>
    </row>
    <row r="469" spans="2:11" hidden="1" outlineLevel="1">
      <c r="B469" s="1059" t="s">
        <v>1085</v>
      </c>
      <c r="C469" s="1060"/>
      <c r="D469" s="1060"/>
      <c r="E469" s="1061"/>
      <c r="F469" s="466">
        <f t="shared" si="5"/>
        <v>5</v>
      </c>
      <c r="G469" s="467">
        <f>+L7</f>
        <v>0</v>
      </c>
      <c r="H469" s="468"/>
    </row>
    <row r="470" spans="2:11" hidden="1" outlineLevel="1">
      <c r="B470" s="1063" t="s">
        <v>2121</v>
      </c>
      <c r="C470" s="1064"/>
      <c r="D470" s="1064"/>
      <c r="E470" s="1065"/>
      <c r="F470" s="466">
        <f t="shared" si="5"/>
        <v>6</v>
      </c>
      <c r="G470" s="472"/>
      <c r="H470" s="468"/>
    </row>
    <row r="471" spans="2:11" hidden="1" outlineLevel="1">
      <c r="B471" s="1063" t="s">
        <v>2121</v>
      </c>
      <c r="C471" s="1064"/>
      <c r="D471" s="1064"/>
      <c r="E471" s="1065"/>
      <c r="F471" s="466">
        <f t="shared" si="5"/>
        <v>7</v>
      </c>
      <c r="G471" s="469"/>
      <c r="H471" s="471"/>
    </row>
    <row r="472" spans="2:11" hidden="1" outlineLevel="1">
      <c r="B472" s="1058" t="s">
        <v>2122</v>
      </c>
      <c r="C472" s="1058"/>
      <c r="D472" s="1058"/>
      <c r="E472" s="465" t="s">
        <v>1079</v>
      </c>
      <c r="F472" s="466">
        <f t="shared" si="5"/>
        <v>8</v>
      </c>
      <c r="G472" s="472"/>
      <c r="H472" s="468"/>
    </row>
    <row r="473" spans="2:11" hidden="1" outlineLevel="1">
      <c r="B473" s="1058"/>
      <c r="C473" s="1058"/>
      <c r="D473" s="1058"/>
      <c r="E473" s="465" t="s">
        <v>1080</v>
      </c>
      <c r="F473" s="466">
        <f t="shared" si="5"/>
        <v>9</v>
      </c>
      <c r="G473" s="469"/>
      <c r="H473" s="471"/>
    </row>
    <row r="474" spans="2:11" hidden="1" outlineLevel="1">
      <c r="B474" s="1058" t="s">
        <v>2123</v>
      </c>
      <c r="C474" s="1058"/>
      <c r="D474" s="1058"/>
      <c r="E474" s="465" t="s">
        <v>1079</v>
      </c>
      <c r="F474" s="466">
        <f t="shared" si="5"/>
        <v>10</v>
      </c>
      <c r="G474" s="472"/>
      <c r="H474" s="468"/>
    </row>
    <row r="475" spans="2:11" hidden="1" outlineLevel="1">
      <c r="B475" s="1058"/>
      <c r="C475" s="1058"/>
      <c r="D475" s="1058"/>
      <c r="E475" s="465" t="s">
        <v>1080</v>
      </c>
      <c r="F475" s="466">
        <f t="shared" si="5"/>
        <v>11</v>
      </c>
      <c r="G475" s="469"/>
      <c r="H475" s="471"/>
    </row>
    <row r="476" spans="2:11" hidden="1" outlineLevel="1">
      <c r="B476" s="1059" t="s">
        <v>2124</v>
      </c>
      <c r="C476" s="1060"/>
      <c r="D476" s="1060"/>
      <c r="E476" s="1061"/>
      <c r="F476" s="466">
        <f t="shared" si="5"/>
        <v>12</v>
      </c>
      <c r="G476" s="472"/>
      <c r="H476" s="468"/>
    </row>
    <row r="477" spans="2:11" hidden="1" outlineLevel="1">
      <c r="B477" s="1058" t="s">
        <v>2125</v>
      </c>
      <c r="C477" s="1058"/>
      <c r="D477" s="1058"/>
      <c r="E477" s="465" t="s">
        <v>1079</v>
      </c>
      <c r="F477" s="466">
        <f t="shared" si="5"/>
        <v>13</v>
      </c>
      <c r="G477" s="472"/>
      <c r="H477" s="468"/>
    </row>
    <row r="478" spans="2:11" hidden="1" outlineLevel="1">
      <c r="B478" s="1058"/>
      <c r="C478" s="1058"/>
      <c r="D478" s="1058"/>
      <c r="E478" s="465" t="s">
        <v>1080</v>
      </c>
      <c r="F478" s="466">
        <f t="shared" si="5"/>
        <v>14</v>
      </c>
      <c r="G478" s="469"/>
      <c r="H478" s="471"/>
    </row>
    <row r="479" spans="2:11" hidden="1" outlineLevel="1">
      <c r="B479" s="1058" t="s">
        <v>2126</v>
      </c>
      <c r="C479" s="1058"/>
      <c r="D479" s="1058"/>
      <c r="E479" s="465" t="s">
        <v>1079</v>
      </c>
      <c r="F479" s="466">
        <f t="shared" si="5"/>
        <v>15</v>
      </c>
      <c r="G479" s="467">
        <f>IF((G465+G467+G469-H466-H468)&gt;0,(G465+G467+G469-H466-H468),0)</f>
        <v>0</v>
      </c>
      <c r="H479" s="468"/>
    </row>
    <row r="480" spans="2:11" hidden="1" outlineLevel="1">
      <c r="B480" s="1058"/>
      <c r="C480" s="1058"/>
      <c r="D480" s="1058"/>
      <c r="E480" s="465" t="s">
        <v>1080</v>
      </c>
      <c r="F480" s="466">
        <f t="shared" si="5"/>
        <v>16</v>
      </c>
      <c r="G480" s="473"/>
      <c r="H480" s="520">
        <f>+IF((H466+H468-G465-G467-G469)&gt;0,(H466+H468-G465-G467-G469),0)</f>
        <v>57991836.860872179</v>
      </c>
      <c r="J480" s="80">
        <f>+P7</f>
        <v>57991836.860702179</v>
      </c>
      <c r="K480" s="80">
        <f>+H480-J480</f>
        <v>1.6999989748001099E-4</v>
      </c>
    </row>
    <row r="481" spans="1:8" hidden="1" outlineLevel="1"/>
    <row r="482" spans="1:8" hidden="1" outlineLevel="1"/>
    <row r="483" spans="1:8" hidden="1" outlineLevel="1">
      <c r="B483" s="331" t="s">
        <v>2127</v>
      </c>
      <c r="E483" s="331" t="s">
        <v>1090</v>
      </c>
    </row>
    <row r="484" spans="1:8" hidden="1" outlineLevel="1">
      <c r="B484" s="331"/>
    </row>
    <row r="485" spans="1:8" hidden="1" outlineLevel="1">
      <c r="B485" s="331" t="str">
        <f>+CONCATENATE('[4]company '!B391," . . . . . . . . . . . . . . . . . .  ... . . . .. . . . ",'[4]company '!C391)</f>
        <v xml:space="preserve"> . . . . . . . . . . . . . . . . . .  ... . . . .. . . . </v>
      </c>
      <c r="E485" s="331" t="s">
        <v>2128</v>
      </c>
    </row>
    <row r="486" spans="1:8" hidden="1" outlineLevel="1">
      <c r="B486" s="331"/>
    </row>
    <row r="487" spans="1:8" hidden="1" outlineLevel="1">
      <c r="B487" s="331" t="str">
        <f>+CONCATENATE('[4]company '!B394,". . . . . . . . . . . . . . . . . . . . ",'[4]company '!C394)</f>
        <v xml:space="preserve">. . . . . . . . . . . . . . . . . . . . </v>
      </c>
    </row>
    <row r="488" spans="1:8" collapsed="1">
      <c r="A488" s="231" t="s">
        <v>2651</v>
      </c>
    </row>
    <row r="489" spans="1:8" hidden="1" outlineLevel="1">
      <c r="B489" s="445"/>
      <c r="C489" s="445"/>
      <c r="D489" s="445"/>
      <c r="E489" s="486"/>
      <c r="F489" s="1066" t="s">
        <v>1984</v>
      </c>
      <c r="G489" s="1066"/>
      <c r="H489" s="1066"/>
    </row>
    <row r="490" spans="1:8" hidden="1" outlineLevel="1">
      <c r="D490" s="445"/>
      <c r="E490" s="1067" t="s">
        <v>1988</v>
      </c>
      <c r="F490" s="1067"/>
      <c r="G490" s="1067"/>
      <c r="H490" s="1067"/>
    </row>
    <row r="491" spans="1:8" ht="18.75" hidden="1" outlineLevel="1">
      <c r="G491" s="452" t="s">
        <v>1994</v>
      </c>
      <c r="H491" s="453" t="s">
        <v>1995</v>
      </c>
    </row>
    <row r="492" spans="1:8" ht="21" hidden="1" outlineLevel="1" thickBot="1">
      <c r="B492" s="1068" t="s">
        <v>1996</v>
      </c>
      <c r="C492" s="1068"/>
      <c r="D492" s="1068"/>
      <c r="E492" s="1068"/>
      <c r="F492" s="1068"/>
      <c r="G492" s="1068"/>
      <c r="H492" s="1068"/>
    </row>
    <row r="493" spans="1:8" ht="13.5" hidden="1" outlineLevel="1" thickTop="1"/>
    <row r="494" spans="1:8" hidden="1" outlineLevel="1">
      <c r="B494" s="1069" t="s">
        <v>1997</v>
      </c>
      <c r="C494" s="1070"/>
      <c r="D494" s="1070"/>
      <c r="E494" s="1070"/>
      <c r="F494" s="1070"/>
      <c r="G494" s="1070"/>
      <c r="H494" s="1071"/>
    </row>
    <row r="495" spans="1:8" hidden="1" outlineLevel="1">
      <c r="B495" s="1041" t="s">
        <v>2278</v>
      </c>
      <c r="C495" s="1042"/>
      <c r="D495" s="1043"/>
      <c r="E495" s="1044" t="s">
        <v>2279</v>
      </c>
      <c r="F495" s="1045"/>
      <c r="G495" s="1045"/>
      <c r="H495" s="1046"/>
    </row>
    <row r="496" spans="1:8" hidden="1" outlineLevel="1"/>
    <row r="497" spans="2:8" hidden="1" outlineLevel="1">
      <c r="B497" s="1069" t="s">
        <v>2280</v>
      </c>
      <c r="C497" s="1070"/>
      <c r="D497" s="1071"/>
      <c r="E497" s="1088" t="s">
        <v>2281</v>
      </c>
      <c r="F497" s="1089"/>
      <c r="G497" s="1089"/>
      <c r="H497" s="1091"/>
    </row>
    <row r="498" spans="2:8" hidden="1" outlineLevel="1">
      <c r="B498" s="1069" t="s">
        <v>2282</v>
      </c>
      <c r="C498" s="1070"/>
      <c r="D498" s="1071"/>
      <c r="E498" s="1088" t="s">
        <v>2283</v>
      </c>
      <c r="F498" s="1089"/>
      <c r="G498" s="1089"/>
      <c r="H498" s="1091"/>
    </row>
    <row r="499" spans="2:8" hidden="1" outlineLevel="1">
      <c r="B499" s="1069" t="s">
        <v>2284</v>
      </c>
      <c r="C499" s="1070"/>
      <c r="D499" s="1071"/>
      <c r="E499" s="1088" t="s">
        <v>1283</v>
      </c>
      <c r="F499" s="1089"/>
      <c r="G499" s="1089"/>
      <c r="H499" s="1091"/>
    </row>
    <row r="500" spans="2:8" hidden="1" outlineLevel="1">
      <c r="B500" s="1092" t="s">
        <v>2285</v>
      </c>
      <c r="C500" s="1093"/>
      <c r="D500" s="1094"/>
      <c r="E500" s="1095" t="s">
        <v>1285</v>
      </c>
      <c r="F500" s="1096"/>
      <c r="G500" s="1096"/>
      <c r="H500" s="1097"/>
    </row>
    <row r="501" spans="2:8" hidden="1" outlineLevel="1">
      <c r="B501" s="1098" t="s">
        <v>1286</v>
      </c>
      <c r="C501" s="1098"/>
      <c r="D501" s="1098"/>
      <c r="E501" s="1099"/>
      <c r="F501" s="1099"/>
      <c r="G501" s="1099"/>
      <c r="H501" s="1099"/>
    </row>
    <row r="502" spans="2:8" hidden="1" outlineLevel="1">
      <c r="B502" s="1100"/>
      <c r="C502" s="1100"/>
      <c r="D502" s="1100"/>
      <c r="E502" s="1101"/>
      <c r="F502" s="1101"/>
      <c r="G502" s="1101"/>
      <c r="H502" s="1101"/>
    </row>
    <row r="503" spans="2:8" hidden="1" outlineLevel="1">
      <c r="B503" s="1069" t="s">
        <v>1998</v>
      </c>
      <c r="C503" s="1070"/>
      <c r="D503" s="1070"/>
      <c r="E503" s="1070"/>
      <c r="F503" s="1070"/>
      <c r="G503" s="1070"/>
      <c r="H503" s="1071"/>
    </row>
    <row r="504" spans="2:8" hidden="1" outlineLevel="1">
      <c r="B504" s="1084"/>
      <c r="C504" s="1069" t="s">
        <v>1999</v>
      </c>
      <c r="D504" s="1071"/>
      <c r="E504" s="1088" t="s">
        <v>2000</v>
      </c>
      <c r="F504" s="1089"/>
      <c r="G504" s="1091"/>
      <c r="H504" s="456"/>
    </row>
    <row r="505" spans="2:8" hidden="1" outlineLevel="1">
      <c r="B505" s="1085"/>
      <c r="C505" s="1069" t="str">
        <f>+CONCATENATE('[4]company '!B511,"-""05 сар")</f>
        <v>-"05 сар</v>
      </c>
      <c r="D505" s="1071"/>
      <c r="E505" s="1081" t="s">
        <v>46</v>
      </c>
      <c r="F505" s="1082"/>
      <c r="G505" s="1083"/>
      <c r="H505" s="429" t="s">
        <v>2270</v>
      </c>
    </row>
    <row r="506" spans="2:8" hidden="1" outlineLevel="1">
      <c r="B506" s="1086"/>
      <c r="C506" s="1081" t="s">
        <v>2002</v>
      </c>
      <c r="D506" s="1083"/>
      <c r="E506" s="1081" t="s">
        <v>2003</v>
      </c>
      <c r="F506" s="1082"/>
      <c r="G506" s="1083"/>
      <c r="H506" s="429"/>
    </row>
    <row r="507" spans="2:8" hidden="1" outlineLevel="1">
      <c r="B507" s="487"/>
      <c r="C507" s="487"/>
      <c r="D507" s="487"/>
      <c r="E507" s="487"/>
      <c r="F507" s="487"/>
      <c r="G507" s="457"/>
      <c r="H507" s="458"/>
    </row>
    <row r="508" spans="2:8" hidden="1" outlineLevel="1">
      <c r="B508" s="1102" t="s">
        <v>2004</v>
      </c>
      <c r="C508" s="1102"/>
      <c r="D508" s="1102"/>
      <c r="E508" s="459"/>
      <c r="F508" s="487" t="s">
        <v>2005</v>
      </c>
      <c r="G508" s="457"/>
      <c r="H508" s="458" t="s">
        <v>2006</v>
      </c>
    </row>
    <row r="509" spans="2:8" hidden="1" outlineLevel="1">
      <c r="B509" s="487"/>
      <c r="C509" s="487"/>
      <c r="D509" s="487"/>
      <c r="E509" s="487"/>
      <c r="F509" s="487"/>
      <c r="G509" s="457"/>
      <c r="H509" s="458"/>
    </row>
    <row r="510" spans="2:8" hidden="1" outlineLevel="1">
      <c r="B510" s="487"/>
      <c r="C510" s="487"/>
      <c r="D510" s="487"/>
      <c r="E510" s="487"/>
      <c r="F510" s="487"/>
      <c r="G510" s="457"/>
      <c r="H510" s="458"/>
    </row>
    <row r="511" spans="2:8" hidden="1" outlineLevel="1">
      <c r="B511" s="1053" t="s">
        <v>2007</v>
      </c>
      <c r="C511" s="1053"/>
      <c r="D511" s="1053"/>
      <c r="E511" s="1053"/>
      <c r="F511" s="1053"/>
      <c r="G511" s="1053"/>
      <c r="H511" s="1053"/>
    </row>
    <row r="512" spans="2:8" hidden="1" outlineLevel="1">
      <c r="B512" s="1072" t="s">
        <v>2008</v>
      </c>
      <c r="C512" s="1073"/>
      <c r="D512" s="1073"/>
      <c r="E512" s="1073"/>
      <c r="F512" s="1074"/>
      <c r="G512" s="460" t="s">
        <v>2009</v>
      </c>
      <c r="H512" s="461">
        <f>+H513+H514</f>
        <v>32710416.352173496</v>
      </c>
    </row>
    <row r="513" spans="2:8" hidden="1" outlineLevel="1">
      <c r="B513" s="1078" t="s">
        <v>2010</v>
      </c>
      <c r="C513" s="1079"/>
      <c r="D513" s="1079"/>
      <c r="E513" s="1079"/>
      <c r="F513" s="1080"/>
      <c r="G513" s="460" t="s">
        <v>99</v>
      </c>
      <c r="H513" s="429"/>
    </row>
    <row r="514" spans="2:8" hidden="1" outlineLevel="1">
      <c r="B514" s="1078" t="s">
        <v>2011</v>
      </c>
      <c r="C514" s="1079"/>
      <c r="D514" s="1079"/>
      <c r="E514" s="1079"/>
      <c r="F514" s="1080"/>
      <c r="G514" s="460" t="s">
        <v>2012</v>
      </c>
      <c r="H514" s="429">
        <f>+H515+H521+H541</f>
        <v>32710416.352173496</v>
      </c>
    </row>
    <row r="515" spans="2:8" hidden="1" outlineLevel="1">
      <c r="B515" s="1084"/>
      <c r="C515" s="1072" t="s">
        <v>2013</v>
      </c>
      <c r="D515" s="1073"/>
      <c r="E515" s="1073"/>
      <c r="F515" s="1074"/>
      <c r="G515" s="460" t="s">
        <v>2014</v>
      </c>
      <c r="H515" s="461">
        <f>+H516+H517+H518+H519+H520</f>
        <v>32710416.352173496</v>
      </c>
    </row>
    <row r="516" spans="2:8" hidden="1" outlineLevel="1">
      <c r="B516" s="1085"/>
      <c r="C516" s="1075" t="s">
        <v>2015</v>
      </c>
      <c r="D516" s="1081" t="s">
        <v>2016</v>
      </c>
      <c r="E516" s="1082"/>
      <c r="F516" s="1083"/>
      <c r="G516" s="460" t="s">
        <v>173</v>
      </c>
      <c r="H516" s="429">
        <f>+SUMIFS(JURNAL!H:H,JURNAL!E:E,510000,JURNAL!C:C,"&gt;="&amp;J8,JURNAL!C:C,"&lt;="&amp;K8)+SUMIFS(JURNAL!H:H,JURNAL!E:E,510100,JURNAL!C:C,"&gt;="&amp;J8,JURNAL!C:C,"&lt;="&amp;K8)</f>
        <v>32710416.352173496</v>
      </c>
    </row>
    <row r="517" spans="2:8" hidden="1" outlineLevel="1">
      <c r="B517" s="1085"/>
      <c r="C517" s="1076"/>
      <c r="D517" s="1047" t="s">
        <v>2017</v>
      </c>
      <c r="E517" s="1048"/>
      <c r="F517" s="1049"/>
      <c r="G517" s="462" t="s">
        <v>174</v>
      </c>
      <c r="H517" s="429"/>
    </row>
    <row r="518" spans="2:8" hidden="1" outlineLevel="1">
      <c r="B518" s="1085"/>
      <c r="C518" s="1076"/>
      <c r="D518" s="1047" t="s">
        <v>837</v>
      </c>
      <c r="E518" s="1048"/>
      <c r="F518" s="1049"/>
      <c r="G518" s="462" t="s">
        <v>904</v>
      </c>
      <c r="H518" s="429"/>
    </row>
    <row r="519" spans="2:8" hidden="1" outlineLevel="1">
      <c r="B519" s="1085"/>
      <c r="C519" s="1076"/>
      <c r="D519" s="1047" t="s">
        <v>2018</v>
      </c>
      <c r="E519" s="1048"/>
      <c r="F519" s="1049"/>
      <c r="G519" s="462" t="s">
        <v>906</v>
      </c>
      <c r="H519" s="429"/>
    </row>
    <row r="520" spans="2:8" hidden="1" outlineLevel="1">
      <c r="B520" s="1085"/>
      <c r="C520" s="1077"/>
      <c r="D520" s="1047" t="s">
        <v>2019</v>
      </c>
      <c r="E520" s="1048"/>
      <c r="F520" s="1049"/>
      <c r="G520" s="462" t="s">
        <v>908</v>
      </c>
      <c r="H520" s="429"/>
    </row>
    <row r="521" spans="2:8" hidden="1" outlineLevel="1">
      <c r="B521" s="1085"/>
      <c r="C521" s="1072" t="s">
        <v>2020</v>
      </c>
      <c r="D521" s="1073"/>
      <c r="E521" s="1073"/>
      <c r="F521" s="1074"/>
      <c r="G521" s="460" t="s">
        <v>2021</v>
      </c>
      <c r="H521" s="461">
        <f>+H522+H523+H524+H525+H526+H527+H528+H529+H530+H531+H532+H533+H534+H535+H536</f>
        <v>0</v>
      </c>
    </row>
    <row r="522" spans="2:8" hidden="1" outlineLevel="1">
      <c r="B522" s="1085"/>
      <c r="C522" s="1075" t="s">
        <v>2015</v>
      </c>
      <c r="D522" s="1047" t="s">
        <v>2022</v>
      </c>
      <c r="E522" s="1048"/>
      <c r="F522" s="1049"/>
      <c r="G522" s="462" t="s">
        <v>912</v>
      </c>
      <c r="H522" s="429"/>
    </row>
    <row r="523" spans="2:8" hidden="1" outlineLevel="1">
      <c r="B523" s="1085"/>
      <c r="C523" s="1076"/>
      <c r="D523" s="1047" t="s">
        <v>2023</v>
      </c>
      <c r="E523" s="1048"/>
      <c r="F523" s="1049"/>
      <c r="G523" s="462" t="s">
        <v>914</v>
      </c>
      <c r="H523" s="429"/>
    </row>
    <row r="524" spans="2:8" hidden="1" outlineLevel="1">
      <c r="B524" s="1085"/>
      <c r="C524" s="1076"/>
      <c r="D524" s="1047" t="s">
        <v>2024</v>
      </c>
      <c r="E524" s="1048"/>
      <c r="F524" s="1049"/>
      <c r="G524" s="462" t="s">
        <v>916</v>
      </c>
      <c r="H524" s="429"/>
    </row>
    <row r="525" spans="2:8" hidden="1" outlineLevel="1">
      <c r="B525" s="1085"/>
      <c r="C525" s="1076"/>
      <c r="D525" s="1047" t="s">
        <v>2025</v>
      </c>
      <c r="E525" s="1048"/>
      <c r="F525" s="1049"/>
      <c r="G525" s="462" t="s">
        <v>918</v>
      </c>
      <c r="H525" s="429"/>
    </row>
    <row r="526" spans="2:8" hidden="1" outlineLevel="1">
      <c r="B526" s="1085"/>
      <c r="C526" s="1076"/>
      <c r="D526" s="1047" t="s">
        <v>2026</v>
      </c>
      <c r="E526" s="1048"/>
      <c r="F526" s="1049"/>
      <c r="G526" s="462" t="s">
        <v>920</v>
      </c>
      <c r="H526" s="429"/>
    </row>
    <row r="527" spans="2:8" hidden="1" outlineLevel="1">
      <c r="B527" s="1085"/>
      <c r="C527" s="1076"/>
      <c r="D527" s="1047" t="s">
        <v>2027</v>
      </c>
      <c r="E527" s="1048"/>
      <c r="F527" s="1049"/>
      <c r="G527" s="462" t="s">
        <v>922</v>
      </c>
      <c r="H527" s="429"/>
    </row>
    <row r="528" spans="2:8" hidden="1" outlineLevel="1">
      <c r="B528" s="1085"/>
      <c r="C528" s="1076"/>
      <c r="D528" s="1047" t="s">
        <v>2028</v>
      </c>
      <c r="E528" s="1048"/>
      <c r="F528" s="1049"/>
      <c r="G528" s="462" t="s">
        <v>924</v>
      </c>
      <c r="H528" s="429"/>
    </row>
    <row r="529" spans="2:8" hidden="1" outlineLevel="1">
      <c r="B529" s="1085"/>
      <c r="C529" s="1076"/>
      <c r="D529" s="1047" t="s">
        <v>2029</v>
      </c>
      <c r="E529" s="1048"/>
      <c r="F529" s="1049"/>
      <c r="G529" s="462" t="s">
        <v>926</v>
      </c>
      <c r="H529" s="429"/>
    </row>
    <row r="530" spans="2:8" hidden="1" outlineLevel="1">
      <c r="B530" s="1085"/>
      <c r="C530" s="1076"/>
      <c r="D530" s="1047" t="s">
        <v>2030</v>
      </c>
      <c r="E530" s="1048"/>
      <c r="F530" s="1049"/>
      <c r="G530" s="462" t="s">
        <v>928</v>
      </c>
      <c r="H530" s="429"/>
    </row>
    <row r="531" spans="2:8" hidden="1" outlineLevel="1">
      <c r="B531" s="1085"/>
      <c r="C531" s="1076"/>
      <c r="D531" s="1047" t="s">
        <v>2031</v>
      </c>
      <c r="E531" s="1048"/>
      <c r="F531" s="1049"/>
      <c r="G531" s="462" t="s">
        <v>930</v>
      </c>
      <c r="H531" s="429"/>
    </row>
    <row r="532" spans="2:8" hidden="1" outlineLevel="1">
      <c r="B532" s="1085"/>
      <c r="C532" s="1076"/>
      <c r="D532" s="1047" t="s">
        <v>2032</v>
      </c>
      <c r="E532" s="1048"/>
      <c r="F532" s="1049"/>
      <c r="G532" s="462" t="s">
        <v>932</v>
      </c>
      <c r="H532" s="429"/>
    </row>
    <row r="533" spans="2:8" hidden="1" outlineLevel="1">
      <c r="B533" s="1085"/>
      <c r="C533" s="1076"/>
      <c r="D533" s="1047" t="s">
        <v>2033</v>
      </c>
      <c r="E533" s="1048"/>
      <c r="F533" s="1049"/>
      <c r="G533" s="462" t="s">
        <v>934</v>
      </c>
      <c r="H533" s="429"/>
    </row>
    <row r="534" spans="2:8" hidden="1" outlineLevel="1">
      <c r="B534" s="1085"/>
      <c r="C534" s="1076"/>
      <c r="D534" s="1047" t="s">
        <v>2034</v>
      </c>
      <c r="E534" s="1048"/>
      <c r="F534" s="1049"/>
      <c r="G534" s="462" t="s">
        <v>936</v>
      </c>
      <c r="H534" s="429"/>
    </row>
    <row r="535" spans="2:8" hidden="1" outlineLevel="1">
      <c r="B535" s="1085"/>
      <c r="C535" s="1076"/>
      <c r="D535" s="1047" t="s">
        <v>2035</v>
      </c>
      <c r="E535" s="1048"/>
      <c r="F535" s="1049"/>
      <c r="G535" s="462" t="s">
        <v>944</v>
      </c>
      <c r="H535" s="429"/>
    </row>
    <row r="536" spans="2:8" hidden="1" outlineLevel="1">
      <c r="B536" s="1086"/>
      <c r="C536" s="1077"/>
      <c r="D536" s="1047" t="s">
        <v>2036</v>
      </c>
      <c r="E536" s="1048"/>
      <c r="F536" s="1049"/>
      <c r="G536" s="462" t="s">
        <v>946</v>
      </c>
      <c r="H536" s="429"/>
    </row>
    <row r="537" spans="2:8" hidden="1" outlineLevel="1">
      <c r="B537" s="1072" t="s">
        <v>2037</v>
      </c>
      <c r="C537" s="1073"/>
      <c r="D537" s="1073"/>
      <c r="E537" s="1073"/>
      <c r="F537" s="1074"/>
      <c r="G537" s="460" t="s">
        <v>2038</v>
      </c>
      <c r="H537" s="461">
        <f>+H515+H521</f>
        <v>32710416.352173496</v>
      </c>
    </row>
    <row r="538" spans="2:8" hidden="1" outlineLevel="1">
      <c r="B538" s="1072" t="s">
        <v>2039</v>
      </c>
      <c r="C538" s="1073"/>
      <c r="D538" s="1073"/>
      <c r="E538" s="1073"/>
      <c r="F538" s="1074"/>
      <c r="G538" s="460" t="s">
        <v>2040</v>
      </c>
      <c r="H538" s="461">
        <f>+H537*0.1</f>
        <v>3271041.63521735</v>
      </c>
    </row>
    <row r="539" spans="2:8" hidden="1" outlineLevel="1">
      <c r="B539" s="1081" t="s">
        <v>2041</v>
      </c>
      <c r="C539" s="1082"/>
      <c r="D539" s="1082"/>
      <c r="E539" s="1082"/>
      <c r="F539" s="1083"/>
      <c r="G539" s="460" t="s">
        <v>2042</v>
      </c>
      <c r="H539" s="429"/>
    </row>
    <row r="540" spans="2:8" hidden="1" outlineLevel="1">
      <c r="B540" s="1081" t="s">
        <v>2043</v>
      </c>
      <c r="C540" s="1082"/>
      <c r="D540" s="1082"/>
      <c r="E540" s="1082"/>
      <c r="F540" s="1083"/>
      <c r="G540" s="460" t="s">
        <v>2044</v>
      </c>
      <c r="H540" s="429"/>
    </row>
    <row r="541" spans="2:8" hidden="1" outlineLevel="1">
      <c r="B541" s="1072" t="s">
        <v>2045</v>
      </c>
      <c r="C541" s="1073"/>
      <c r="D541" s="1073"/>
      <c r="E541" s="1073"/>
      <c r="F541" s="1074"/>
      <c r="G541" s="460" t="s">
        <v>2046</v>
      </c>
      <c r="H541" s="461">
        <f>+H539+H540</f>
        <v>0</v>
      </c>
    </row>
    <row r="542" spans="2:8" hidden="1" outlineLevel="1">
      <c r="B542" s="1072" t="s">
        <v>2039</v>
      </c>
      <c r="C542" s="1073"/>
      <c r="D542" s="1073"/>
      <c r="E542" s="1073"/>
      <c r="F542" s="1074"/>
      <c r="G542" s="460" t="s">
        <v>2047</v>
      </c>
      <c r="H542" s="461">
        <f>+H541*0%</f>
        <v>0</v>
      </c>
    </row>
    <row r="543" spans="2:8" hidden="1" outlineLevel="1">
      <c r="B543" s="1072" t="s">
        <v>2048</v>
      </c>
      <c r="C543" s="1073"/>
      <c r="D543" s="1073"/>
      <c r="E543" s="1073"/>
      <c r="F543" s="1074"/>
      <c r="G543" s="460" t="s">
        <v>2049</v>
      </c>
      <c r="H543" s="461">
        <f>+H538+H542</f>
        <v>3271041.63521735</v>
      </c>
    </row>
    <row r="544" spans="2:8" hidden="1" outlineLevel="1"/>
    <row r="545" spans="2:8" hidden="1" outlineLevel="1">
      <c r="B545" s="1053" t="s">
        <v>2050</v>
      </c>
      <c r="C545" s="1053"/>
      <c r="D545" s="1053"/>
      <c r="E545" s="1053"/>
      <c r="F545" s="1053"/>
      <c r="G545" s="1053"/>
      <c r="H545" s="1053"/>
    </row>
    <row r="546" spans="2:8" hidden="1" outlineLevel="1">
      <c r="B546" s="1072" t="s">
        <v>2051</v>
      </c>
      <c r="C546" s="1073"/>
      <c r="D546" s="1073"/>
      <c r="E546" s="1073"/>
      <c r="F546" s="1074"/>
      <c r="G546" s="460" t="s">
        <v>2052</v>
      </c>
      <c r="H546" s="429"/>
    </row>
    <row r="547" spans="2:8" hidden="1" outlineLevel="1">
      <c r="B547" s="1078" t="s">
        <v>2053</v>
      </c>
      <c r="C547" s="1079"/>
      <c r="D547" s="1079"/>
      <c r="E547" s="1079"/>
      <c r="F547" s="1080"/>
      <c r="G547" s="460" t="s">
        <v>2054</v>
      </c>
      <c r="H547" s="429">
        <f>+H548+H549+H550+H551</f>
        <v>6950379.4449999984</v>
      </c>
    </row>
    <row r="548" spans="2:8" hidden="1" outlineLevel="1">
      <c r="B548" s="1075" t="s">
        <v>2015</v>
      </c>
      <c r="C548" s="1047" t="s">
        <v>2055</v>
      </c>
      <c r="D548" s="1048"/>
      <c r="E548" s="1048"/>
      <c r="F548" s="1049"/>
      <c r="G548" s="460" t="s">
        <v>2056</v>
      </c>
      <c r="H548" s="429"/>
    </row>
    <row r="549" spans="2:8" hidden="1" outlineLevel="1">
      <c r="B549" s="1076"/>
      <c r="C549" s="1047" t="s">
        <v>2057</v>
      </c>
      <c r="D549" s="1048"/>
      <c r="E549" s="1048"/>
      <c r="F549" s="1049"/>
      <c r="G549" s="460" t="s">
        <v>2058</v>
      </c>
      <c r="H549" s="429">
        <f>+M8*10</f>
        <v>6950379.4449999984</v>
      </c>
    </row>
    <row r="550" spans="2:8" hidden="1" outlineLevel="1">
      <c r="B550" s="1076"/>
      <c r="C550" s="1047" t="s">
        <v>2059</v>
      </c>
      <c r="D550" s="1048"/>
      <c r="E550" s="1048"/>
      <c r="F550" s="1049"/>
      <c r="G550" s="460" t="s">
        <v>2060</v>
      </c>
      <c r="H550" s="429"/>
    </row>
    <row r="551" spans="2:8" hidden="1" outlineLevel="1">
      <c r="B551" s="1077"/>
      <c r="C551" s="1047" t="s">
        <v>2061</v>
      </c>
      <c r="D551" s="1048"/>
      <c r="E551" s="1048"/>
      <c r="F551" s="1049"/>
      <c r="G551" s="460" t="s">
        <v>2062</v>
      </c>
      <c r="H551" s="429"/>
    </row>
    <row r="552" spans="2:8" hidden="1" outlineLevel="1">
      <c r="B552" s="1072" t="s">
        <v>2063</v>
      </c>
      <c r="C552" s="1073"/>
      <c r="D552" s="1073"/>
      <c r="E552" s="1073"/>
      <c r="F552" s="1074"/>
      <c r="G552" s="460" t="s">
        <v>2064</v>
      </c>
      <c r="H552" s="461">
        <f>+H547*0.1</f>
        <v>695037.94449999987</v>
      </c>
    </row>
    <row r="553" spans="2:8" hidden="1" outlineLevel="1">
      <c r="B553" s="1072" t="s">
        <v>2065</v>
      </c>
      <c r="C553" s="1073"/>
      <c r="D553" s="1073"/>
      <c r="E553" s="1073"/>
      <c r="F553" s="1074"/>
      <c r="G553" s="460" t="s">
        <v>2066</v>
      </c>
      <c r="H553" s="461">
        <f>+H554+H555+H556+H557+H558+H559</f>
        <v>0</v>
      </c>
    </row>
    <row r="554" spans="2:8" hidden="1" outlineLevel="1">
      <c r="B554" s="1075" t="s">
        <v>2015</v>
      </c>
      <c r="C554" s="1047" t="s">
        <v>2067</v>
      </c>
      <c r="D554" s="1048"/>
      <c r="E554" s="1048"/>
      <c r="F554" s="1049"/>
      <c r="G554" s="460" t="s">
        <v>2068</v>
      </c>
      <c r="H554" s="429"/>
    </row>
    <row r="555" spans="2:8" hidden="1" outlineLevel="1">
      <c r="B555" s="1076"/>
      <c r="C555" s="1047" t="s">
        <v>2069</v>
      </c>
      <c r="D555" s="1048"/>
      <c r="E555" s="1048"/>
      <c r="F555" s="1049"/>
      <c r="G555" s="460" t="s">
        <v>2070</v>
      </c>
      <c r="H555" s="429"/>
    </row>
    <row r="556" spans="2:8" hidden="1" outlineLevel="1">
      <c r="B556" s="1076"/>
      <c r="C556" s="1047" t="s">
        <v>2071</v>
      </c>
      <c r="D556" s="1048"/>
      <c r="E556" s="1048"/>
      <c r="F556" s="1049"/>
      <c r="G556" s="460" t="s">
        <v>2072</v>
      </c>
      <c r="H556" s="429"/>
    </row>
    <row r="557" spans="2:8" hidden="1" outlineLevel="1">
      <c r="B557" s="1076"/>
      <c r="C557" s="1047" t="s">
        <v>2073</v>
      </c>
      <c r="D557" s="1048"/>
      <c r="E557" s="1048"/>
      <c r="F557" s="1049"/>
      <c r="G557" s="460" t="s">
        <v>2074</v>
      </c>
      <c r="H557" s="429"/>
    </row>
    <row r="558" spans="2:8" hidden="1" outlineLevel="1">
      <c r="B558" s="1076"/>
      <c r="C558" s="1047" t="s">
        <v>2075</v>
      </c>
      <c r="D558" s="1048"/>
      <c r="E558" s="1048"/>
      <c r="F558" s="1049"/>
      <c r="G558" s="460" t="s">
        <v>2076</v>
      </c>
      <c r="H558" s="429"/>
    </row>
    <row r="559" spans="2:8" hidden="1" outlineLevel="1">
      <c r="B559" s="1077"/>
      <c r="C559" s="1047" t="s">
        <v>2077</v>
      </c>
      <c r="D559" s="1048"/>
      <c r="E559" s="1048"/>
      <c r="F559" s="1049"/>
      <c r="G559" s="460" t="s">
        <v>2078</v>
      </c>
      <c r="H559" s="429"/>
    </row>
    <row r="560" spans="2:8" hidden="1" outlineLevel="1">
      <c r="B560" s="1072" t="s">
        <v>2079</v>
      </c>
      <c r="C560" s="1073"/>
      <c r="D560" s="1073"/>
      <c r="E560" s="1073"/>
      <c r="F560" s="1074"/>
      <c r="G560" s="460" t="s">
        <v>2080</v>
      </c>
      <c r="H560" s="461">
        <f>+H552-H553</f>
        <v>695037.94449999987</v>
      </c>
    </row>
    <row r="561" spans="2:8" hidden="1" outlineLevel="1"/>
    <row r="562" spans="2:8" hidden="1" outlineLevel="1">
      <c r="B562" s="1053" t="s">
        <v>2081</v>
      </c>
      <c r="C562" s="1053"/>
      <c r="D562" s="1053"/>
      <c r="E562" s="1053"/>
      <c r="F562" s="1053"/>
      <c r="G562" s="1053"/>
      <c r="H562" s="1053"/>
    </row>
    <row r="563" spans="2:8" hidden="1" outlineLevel="1">
      <c r="B563" s="1047" t="s">
        <v>2082</v>
      </c>
      <c r="C563" s="1048"/>
      <c r="D563" s="1048"/>
      <c r="E563" s="1048"/>
      <c r="F563" s="1049"/>
      <c r="G563" s="460" t="s">
        <v>2083</v>
      </c>
      <c r="H563" s="429"/>
    </row>
    <row r="564" spans="2:8" hidden="1" outlineLevel="1">
      <c r="B564" s="1047" t="s">
        <v>2084</v>
      </c>
      <c r="C564" s="1048"/>
      <c r="D564" s="1048"/>
      <c r="E564" s="1048"/>
      <c r="F564" s="1049"/>
      <c r="G564" s="460" t="s">
        <v>2085</v>
      </c>
      <c r="H564" s="429"/>
    </row>
    <row r="565" spans="2:8" hidden="1" outlineLevel="1">
      <c r="B565" s="1050" t="s">
        <v>2086</v>
      </c>
      <c r="C565" s="1051"/>
      <c r="D565" s="1051"/>
      <c r="E565" s="1051"/>
      <c r="F565" s="1052"/>
      <c r="G565" s="460" t="s">
        <v>2087</v>
      </c>
      <c r="H565" s="429">
        <f>+(H563+H564)*0.1</f>
        <v>0</v>
      </c>
    </row>
    <row r="566" spans="2:8" hidden="1" outlineLevel="1">
      <c r="B566" s="1047" t="s">
        <v>2088</v>
      </c>
      <c r="C566" s="1048"/>
      <c r="D566" s="1048"/>
      <c r="E566" s="1048"/>
      <c r="F566" s="1049"/>
      <c r="G566" s="460" t="s">
        <v>2089</v>
      </c>
      <c r="H566" s="429"/>
    </row>
    <row r="567" spans="2:8" hidden="1" outlineLevel="1">
      <c r="B567" s="1047" t="s">
        <v>2090</v>
      </c>
      <c r="C567" s="1048"/>
      <c r="D567" s="1048"/>
      <c r="E567" s="1048"/>
      <c r="F567" s="1049"/>
      <c r="G567" s="460" t="s">
        <v>2091</v>
      </c>
      <c r="H567" s="429"/>
    </row>
    <row r="568" spans="2:8" hidden="1" outlineLevel="1">
      <c r="B568" s="1050" t="s">
        <v>2092</v>
      </c>
      <c r="C568" s="1051"/>
      <c r="D568" s="1051"/>
      <c r="E568" s="1051"/>
      <c r="F568" s="1052"/>
      <c r="G568" s="460" t="s">
        <v>2093</v>
      </c>
      <c r="H568" s="429">
        <f>+(H566+H567)*0.1</f>
        <v>0</v>
      </c>
    </row>
    <row r="569" spans="2:8" hidden="1" outlineLevel="1"/>
    <row r="570" spans="2:8" hidden="1" outlineLevel="1">
      <c r="B570" s="1053" t="s">
        <v>2094</v>
      </c>
      <c r="C570" s="1053"/>
      <c r="D570" s="1053"/>
      <c r="E570" s="1053"/>
      <c r="F570" s="1053"/>
      <c r="G570" s="1053"/>
      <c r="H570" s="1053"/>
    </row>
    <row r="571" spans="2:8" hidden="1" outlineLevel="1">
      <c r="B571" s="1050" t="s">
        <v>2095</v>
      </c>
      <c r="C571" s="1051"/>
      <c r="D571" s="1051"/>
      <c r="E571" s="1051"/>
      <c r="F571" s="1052"/>
      <c r="G571" s="460" t="s">
        <v>2096</v>
      </c>
      <c r="H571" s="429">
        <f>+H543+H565</f>
        <v>3271041.63521735</v>
      </c>
    </row>
    <row r="572" spans="2:8" hidden="1" outlineLevel="1">
      <c r="B572" s="1050" t="s">
        <v>2097</v>
      </c>
      <c r="C572" s="1051"/>
      <c r="D572" s="1051"/>
      <c r="E572" s="1051"/>
      <c r="F572" s="1052"/>
      <c r="G572" s="460" t="s">
        <v>2098</v>
      </c>
      <c r="H572" s="429">
        <f>+H560+H568</f>
        <v>695037.94449999987</v>
      </c>
    </row>
    <row r="573" spans="2:8" hidden="1" outlineLevel="1"/>
    <row r="574" spans="2:8" hidden="1" outlineLevel="1">
      <c r="B574" s="1053" t="s">
        <v>2099</v>
      </c>
      <c r="C574" s="1053"/>
      <c r="D574" s="1053"/>
      <c r="E574" s="1053"/>
      <c r="F574" s="1053"/>
      <c r="G574" s="1053"/>
      <c r="H574" s="1053"/>
    </row>
    <row r="575" spans="2:8" hidden="1" outlineLevel="1">
      <c r="B575" s="1047" t="s">
        <v>2100</v>
      </c>
      <c r="C575" s="1048"/>
      <c r="D575" s="1048"/>
      <c r="E575" s="1048"/>
      <c r="F575" s="1049"/>
      <c r="G575" s="460" t="s">
        <v>2101</v>
      </c>
      <c r="H575" s="429"/>
    </row>
    <row r="576" spans="2:8" hidden="1" outlineLevel="1">
      <c r="B576" s="1050" t="s">
        <v>2102</v>
      </c>
      <c r="C576" s="1051"/>
      <c r="D576" s="1051"/>
      <c r="E576" s="1051"/>
      <c r="F576" s="1052"/>
      <c r="G576" s="460" t="s">
        <v>2103</v>
      </c>
      <c r="H576" s="429">
        <f>+H575*0.1</f>
        <v>0</v>
      </c>
    </row>
    <row r="577" spans="2:8" hidden="1" outlineLevel="1">
      <c r="B577" s="1047" t="s">
        <v>2104</v>
      </c>
      <c r="C577" s="1048"/>
      <c r="D577" s="1048"/>
      <c r="E577" s="1048"/>
      <c r="F577" s="1049"/>
      <c r="G577" s="460" t="s">
        <v>2105</v>
      </c>
      <c r="H577" s="429"/>
    </row>
    <row r="578" spans="2:8" hidden="1" outlineLevel="1">
      <c r="B578" s="1050" t="s">
        <v>2092</v>
      </c>
      <c r="C578" s="1051"/>
      <c r="D578" s="1051"/>
      <c r="E578" s="1051"/>
      <c r="F578" s="1052"/>
      <c r="G578" s="460" t="s">
        <v>2106</v>
      </c>
      <c r="H578" s="429">
        <f>+H577*0.1</f>
        <v>0</v>
      </c>
    </row>
    <row r="579" spans="2:8" hidden="1" outlineLevel="1"/>
    <row r="580" spans="2:8" hidden="1" outlineLevel="1">
      <c r="B580" s="1053" t="s">
        <v>2107</v>
      </c>
      <c r="C580" s="1053"/>
      <c r="D580" s="1053"/>
      <c r="E580" s="1053"/>
      <c r="F580" s="1053"/>
      <c r="G580" s="1053"/>
      <c r="H580" s="1053"/>
    </row>
    <row r="581" spans="2:8" hidden="1" outlineLevel="1">
      <c r="B581" s="1054" t="s">
        <v>1322</v>
      </c>
      <c r="C581" s="1054"/>
      <c r="D581" s="1055" t="s">
        <v>2108</v>
      </c>
      <c r="E581" s="1056"/>
      <c r="F581" s="1057"/>
      <c r="G581" s="460" t="s">
        <v>2109</v>
      </c>
      <c r="H581" s="429">
        <f>+H571-H576</f>
        <v>3271041.63521735</v>
      </c>
    </row>
    <row r="582" spans="2:8" hidden="1" outlineLevel="1">
      <c r="B582" s="1054"/>
      <c r="C582" s="1054"/>
      <c r="D582" s="1055" t="s">
        <v>2110</v>
      </c>
      <c r="E582" s="1056"/>
      <c r="F582" s="1057"/>
      <c r="G582" s="460" t="s">
        <v>2111</v>
      </c>
      <c r="H582" s="429">
        <f>+H572-H578</f>
        <v>695037.94449999987</v>
      </c>
    </row>
    <row r="583" spans="2:8" hidden="1" outlineLevel="1">
      <c r="B583" s="1054"/>
      <c r="C583" s="1054"/>
      <c r="D583" s="1055" t="s">
        <v>2112</v>
      </c>
      <c r="E583" s="1056"/>
      <c r="F583" s="1057"/>
      <c r="G583" s="460" t="s">
        <v>2113</v>
      </c>
      <c r="H583" s="429">
        <f>+H581-H582</f>
        <v>2576003.6907173502</v>
      </c>
    </row>
    <row r="584" spans="2:8" hidden="1" outlineLevel="1">
      <c r="B584" s="1054"/>
      <c r="C584" s="1054"/>
      <c r="D584" s="1055" t="s">
        <v>2114</v>
      </c>
      <c r="E584" s="1056"/>
      <c r="F584" s="1057"/>
      <c r="G584" s="460" t="s">
        <v>2115</v>
      </c>
      <c r="H584" s="429"/>
    </row>
    <row r="585" spans="2:8" hidden="1" outlineLevel="1"/>
    <row r="586" spans="2:8" hidden="1" outlineLevel="1">
      <c r="B586" s="1062" t="s">
        <v>2116</v>
      </c>
      <c r="C586" s="1062"/>
      <c r="D586" s="1062"/>
      <c r="E586" s="1062"/>
      <c r="F586" s="1062"/>
      <c r="G586" s="463" t="s">
        <v>2117</v>
      </c>
      <c r="H586" s="464" t="s">
        <v>2118</v>
      </c>
    </row>
    <row r="587" spans="2:8" hidden="1" outlineLevel="1">
      <c r="B587" s="1058" t="s">
        <v>2119</v>
      </c>
      <c r="C587" s="1058"/>
      <c r="D587" s="1058"/>
      <c r="E587" s="465" t="s">
        <v>1079</v>
      </c>
      <c r="F587" s="466">
        <v>1</v>
      </c>
      <c r="G587" s="467">
        <f>+O7</f>
        <v>0</v>
      </c>
      <c r="H587" s="468"/>
    </row>
    <row r="588" spans="2:8" hidden="1" outlineLevel="1">
      <c r="B588" s="1058"/>
      <c r="C588" s="1058"/>
      <c r="D588" s="1058"/>
      <c r="E588" s="465" t="s">
        <v>1080</v>
      </c>
      <c r="F588" s="466">
        <f>+F587+1</f>
        <v>2</v>
      </c>
      <c r="G588" s="469"/>
      <c r="H588" s="470">
        <f>+P7</f>
        <v>57991836.860702179</v>
      </c>
    </row>
    <row r="589" spans="2:8" hidden="1" outlineLevel="1">
      <c r="B589" s="1058" t="s">
        <v>2120</v>
      </c>
      <c r="C589" s="1058"/>
      <c r="D589" s="1058"/>
      <c r="E589" s="465" t="s">
        <v>1079</v>
      </c>
      <c r="F589" s="466">
        <f t="shared" ref="F589:F602" si="6">+F588+1</f>
        <v>3</v>
      </c>
      <c r="G589" s="467"/>
      <c r="H589" s="468"/>
    </row>
    <row r="590" spans="2:8" hidden="1" outlineLevel="1">
      <c r="B590" s="1058"/>
      <c r="C590" s="1058"/>
      <c r="D590" s="1058"/>
      <c r="E590" s="465" t="s">
        <v>1080</v>
      </c>
      <c r="F590" s="466">
        <f t="shared" si="6"/>
        <v>4</v>
      </c>
      <c r="G590" s="469"/>
      <c r="H590" s="470">
        <f>+H583</f>
        <v>2576003.6907173502</v>
      </c>
    </row>
    <row r="591" spans="2:8" hidden="1" outlineLevel="1">
      <c r="B591" s="1059" t="s">
        <v>1085</v>
      </c>
      <c r="C591" s="1060"/>
      <c r="D591" s="1060"/>
      <c r="E591" s="1061"/>
      <c r="F591" s="466">
        <f t="shared" si="6"/>
        <v>5</v>
      </c>
      <c r="G591" s="467">
        <f>+L8</f>
        <v>0</v>
      </c>
      <c r="H591" s="468"/>
    </row>
    <row r="592" spans="2:8" hidden="1" outlineLevel="1">
      <c r="B592" s="1063" t="s">
        <v>2121</v>
      </c>
      <c r="C592" s="1064"/>
      <c r="D592" s="1064"/>
      <c r="E592" s="1065"/>
      <c r="F592" s="466">
        <f t="shared" si="6"/>
        <v>6</v>
      </c>
      <c r="G592" s="472"/>
      <c r="H592" s="468"/>
    </row>
    <row r="593" spans="2:11" hidden="1" outlineLevel="1">
      <c r="B593" s="1063" t="s">
        <v>2121</v>
      </c>
      <c r="C593" s="1064"/>
      <c r="D593" s="1064"/>
      <c r="E593" s="1065"/>
      <c r="F593" s="466">
        <f t="shared" si="6"/>
        <v>7</v>
      </c>
      <c r="G593" s="469"/>
      <c r="H593" s="471"/>
    </row>
    <row r="594" spans="2:11" hidden="1" outlineLevel="1">
      <c r="B594" s="1058" t="s">
        <v>2122</v>
      </c>
      <c r="C594" s="1058"/>
      <c r="D594" s="1058"/>
      <c r="E594" s="465" t="s">
        <v>1079</v>
      </c>
      <c r="F594" s="466">
        <f t="shared" si="6"/>
        <v>8</v>
      </c>
      <c r="G594" s="472"/>
      <c r="H594" s="468"/>
    </row>
    <row r="595" spans="2:11" hidden="1" outlineLevel="1">
      <c r="B595" s="1058"/>
      <c r="C595" s="1058"/>
      <c r="D595" s="1058"/>
      <c r="E595" s="465" t="s">
        <v>1080</v>
      </c>
      <c r="F595" s="466">
        <f t="shared" si="6"/>
        <v>9</v>
      </c>
      <c r="G595" s="469"/>
      <c r="H595" s="471"/>
    </row>
    <row r="596" spans="2:11" hidden="1" outlineLevel="1">
      <c r="B596" s="1058" t="s">
        <v>2123</v>
      </c>
      <c r="C596" s="1058"/>
      <c r="D596" s="1058"/>
      <c r="E596" s="465" t="s">
        <v>1079</v>
      </c>
      <c r="F596" s="466">
        <f t="shared" si="6"/>
        <v>10</v>
      </c>
      <c r="G596" s="472"/>
      <c r="H596" s="468"/>
    </row>
    <row r="597" spans="2:11" hidden="1" outlineLevel="1">
      <c r="B597" s="1058"/>
      <c r="C597" s="1058"/>
      <c r="D597" s="1058"/>
      <c r="E597" s="465" t="s">
        <v>1080</v>
      </c>
      <c r="F597" s="466">
        <f t="shared" si="6"/>
        <v>11</v>
      </c>
      <c r="G597" s="469"/>
      <c r="H597" s="471"/>
    </row>
    <row r="598" spans="2:11" hidden="1" outlineLevel="1">
      <c r="B598" s="1059" t="s">
        <v>2124</v>
      </c>
      <c r="C598" s="1060"/>
      <c r="D598" s="1060"/>
      <c r="E598" s="1061"/>
      <c r="F598" s="466">
        <f t="shared" si="6"/>
        <v>12</v>
      </c>
      <c r="G598" s="472"/>
      <c r="H598" s="468"/>
    </row>
    <row r="599" spans="2:11" hidden="1" outlineLevel="1">
      <c r="B599" s="1058" t="s">
        <v>2125</v>
      </c>
      <c r="C599" s="1058"/>
      <c r="D599" s="1058"/>
      <c r="E599" s="465" t="s">
        <v>1079</v>
      </c>
      <c r="F599" s="466">
        <f t="shared" si="6"/>
        <v>13</v>
      </c>
      <c r="G599" s="472"/>
      <c r="H599" s="468"/>
    </row>
    <row r="600" spans="2:11" hidden="1" outlineLevel="1">
      <c r="B600" s="1058"/>
      <c r="C600" s="1058"/>
      <c r="D600" s="1058"/>
      <c r="E600" s="465" t="s">
        <v>1080</v>
      </c>
      <c r="F600" s="466">
        <f t="shared" si="6"/>
        <v>14</v>
      </c>
      <c r="G600" s="469"/>
      <c r="H600" s="471"/>
    </row>
    <row r="601" spans="2:11" hidden="1" outlineLevel="1">
      <c r="B601" s="1058" t="s">
        <v>2126</v>
      </c>
      <c r="C601" s="1058"/>
      <c r="D601" s="1058"/>
      <c r="E601" s="465" t="s">
        <v>1079</v>
      </c>
      <c r="F601" s="466">
        <f t="shared" si="6"/>
        <v>15</v>
      </c>
      <c r="G601" s="467">
        <f>IF((G587+G589+G591-H588-H590)&gt;0,(G587+G589+G591-H588-H590),0)</f>
        <v>0</v>
      </c>
      <c r="H601" s="468"/>
    </row>
    <row r="602" spans="2:11" hidden="1" outlineLevel="1">
      <c r="B602" s="1058"/>
      <c r="C602" s="1058"/>
      <c r="D602" s="1058"/>
      <c r="E602" s="465" t="s">
        <v>1080</v>
      </c>
      <c r="F602" s="466">
        <f t="shared" si="6"/>
        <v>16</v>
      </c>
      <c r="G602" s="473"/>
      <c r="H602" s="520">
        <f>+IF((H588+H590-G587-G589-G591)&gt;0,(H588+H590-G587-G589-G591),0)</f>
        <v>60567840.551419526</v>
      </c>
      <c r="J602" s="80">
        <f>+P8</f>
        <v>60567840.551419526</v>
      </c>
      <c r="K602" s="80">
        <f>+H602-J602</f>
        <v>0</v>
      </c>
    </row>
    <row r="603" spans="2:11" hidden="1" outlineLevel="1"/>
    <row r="604" spans="2:11" hidden="1" outlineLevel="1"/>
    <row r="605" spans="2:11" hidden="1" outlineLevel="1">
      <c r="B605" s="331" t="s">
        <v>2127</v>
      </c>
      <c r="E605" s="331" t="s">
        <v>1090</v>
      </c>
    </row>
    <row r="606" spans="2:11" hidden="1" outlineLevel="1">
      <c r="B606" s="331"/>
    </row>
    <row r="607" spans="2:11" hidden="1" outlineLevel="1">
      <c r="B607" s="331" t="str">
        <f>+CONCATENATE('[4]company '!B513," . . . . . . . . . . . . . . . . . .  ... . . . .. . . . ",'[4]company '!C513)</f>
        <v xml:space="preserve"> . . . . . . . . . . . . . . . . . .  ... . . . .. . . . </v>
      </c>
      <c r="E607" s="331" t="s">
        <v>2128</v>
      </c>
    </row>
    <row r="608" spans="2:11" hidden="1" outlineLevel="1">
      <c r="B608" s="331"/>
    </row>
    <row r="609" spans="1:8" hidden="1" outlineLevel="1">
      <c r="B609" s="331" t="str">
        <f>+CONCATENATE('[4]company '!B516,". . . . . . . . . . . . . . . . . . . . ",'[4]company '!C516)</f>
        <v xml:space="preserve">. . . . . . . . . . . . . . . . . . . . </v>
      </c>
    </row>
    <row r="610" spans="1:8" collapsed="1">
      <c r="A610" s="231" t="s">
        <v>2652</v>
      </c>
    </row>
    <row r="611" spans="1:8" hidden="1" outlineLevel="1">
      <c r="B611" s="445"/>
      <c r="C611" s="445"/>
      <c r="D611" s="445"/>
      <c r="E611" s="486"/>
      <c r="F611" s="1066" t="s">
        <v>1984</v>
      </c>
      <c r="G611" s="1066"/>
      <c r="H611" s="1066"/>
    </row>
    <row r="612" spans="1:8" hidden="1" outlineLevel="1">
      <c r="D612" s="445"/>
      <c r="E612" s="1067" t="s">
        <v>1988</v>
      </c>
      <c r="F612" s="1067"/>
      <c r="G612" s="1067"/>
      <c r="H612" s="1067"/>
    </row>
    <row r="613" spans="1:8" ht="18.75" hidden="1" outlineLevel="1">
      <c r="G613" s="452" t="s">
        <v>1994</v>
      </c>
      <c r="H613" s="453" t="s">
        <v>1995</v>
      </c>
    </row>
    <row r="614" spans="1:8" ht="21" hidden="1" outlineLevel="1" thickBot="1">
      <c r="B614" s="1068" t="s">
        <v>1996</v>
      </c>
      <c r="C614" s="1068"/>
      <c r="D614" s="1068"/>
      <c r="E614" s="1068"/>
      <c r="F614" s="1068"/>
      <c r="G614" s="1068"/>
      <c r="H614" s="1068"/>
    </row>
    <row r="615" spans="1:8" ht="13.5" hidden="1" outlineLevel="1" thickTop="1"/>
    <row r="616" spans="1:8" hidden="1" outlineLevel="1">
      <c r="B616" s="1069" t="s">
        <v>1997</v>
      </c>
      <c r="C616" s="1070"/>
      <c r="D616" s="1070"/>
      <c r="E616" s="1070"/>
      <c r="F616" s="1070"/>
      <c r="G616" s="1070"/>
      <c r="H616" s="1071"/>
    </row>
    <row r="617" spans="1:8" hidden="1" outlineLevel="1">
      <c r="B617" s="1041" t="s">
        <v>2278</v>
      </c>
      <c r="C617" s="1042"/>
      <c r="D617" s="1043"/>
      <c r="E617" s="1044" t="s">
        <v>2279</v>
      </c>
      <c r="F617" s="1045"/>
      <c r="G617" s="1045"/>
      <c r="H617" s="1046"/>
    </row>
    <row r="618" spans="1:8" hidden="1" outlineLevel="1"/>
    <row r="619" spans="1:8" hidden="1" outlineLevel="1">
      <c r="B619" s="1069" t="s">
        <v>2280</v>
      </c>
      <c r="C619" s="1070"/>
      <c r="D619" s="1071"/>
      <c r="E619" s="1088" t="s">
        <v>2281</v>
      </c>
      <c r="F619" s="1089"/>
      <c r="G619" s="1089"/>
      <c r="H619" s="1091"/>
    </row>
    <row r="620" spans="1:8" hidden="1" outlineLevel="1">
      <c r="B620" s="1069" t="s">
        <v>2282</v>
      </c>
      <c r="C620" s="1070"/>
      <c r="D620" s="1071"/>
      <c r="E620" s="1088" t="s">
        <v>2283</v>
      </c>
      <c r="F620" s="1089"/>
      <c r="G620" s="1089"/>
      <c r="H620" s="1091"/>
    </row>
    <row r="621" spans="1:8" hidden="1" outlineLevel="1">
      <c r="B621" s="1069" t="s">
        <v>2284</v>
      </c>
      <c r="C621" s="1070"/>
      <c r="D621" s="1071"/>
      <c r="E621" s="1088" t="s">
        <v>1283</v>
      </c>
      <c r="F621" s="1089"/>
      <c r="G621" s="1089"/>
      <c r="H621" s="1091"/>
    </row>
    <row r="622" spans="1:8" hidden="1" outlineLevel="1">
      <c r="B622" s="1092" t="s">
        <v>2285</v>
      </c>
      <c r="C622" s="1093"/>
      <c r="D622" s="1094"/>
      <c r="E622" s="1095" t="s">
        <v>1285</v>
      </c>
      <c r="F622" s="1096"/>
      <c r="G622" s="1096"/>
      <c r="H622" s="1097"/>
    </row>
    <row r="623" spans="1:8" hidden="1" outlineLevel="1">
      <c r="B623" s="1098" t="s">
        <v>1286</v>
      </c>
      <c r="C623" s="1098"/>
      <c r="D623" s="1098"/>
      <c r="E623" s="1099"/>
      <c r="F623" s="1099"/>
      <c r="G623" s="1099"/>
      <c r="H623" s="1099"/>
    </row>
    <row r="624" spans="1:8" hidden="1" outlineLevel="1">
      <c r="B624" s="1100"/>
      <c r="C624" s="1100"/>
      <c r="D624" s="1100"/>
      <c r="E624" s="1101"/>
      <c r="F624" s="1101"/>
      <c r="G624" s="1101"/>
      <c r="H624" s="1101"/>
    </row>
    <row r="625" spans="2:8" hidden="1" outlineLevel="1">
      <c r="B625" s="1069" t="s">
        <v>1998</v>
      </c>
      <c r="C625" s="1070"/>
      <c r="D625" s="1070"/>
      <c r="E625" s="1070"/>
      <c r="F625" s="1070"/>
      <c r="G625" s="1070"/>
      <c r="H625" s="1071"/>
    </row>
    <row r="626" spans="2:8" hidden="1" outlineLevel="1">
      <c r="B626" s="1084"/>
      <c r="C626" s="1069" t="s">
        <v>1999</v>
      </c>
      <c r="D626" s="1071"/>
      <c r="E626" s="1088" t="s">
        <v>2000</v>
      </c>
      <c r="F626" s="1089"/>
      <c r="G626" s="1091"/>
      <c r="H626" s="456"/>
    </row>
    <row r="627" spans="2:8" hidden="1" outlineLevel="1">
      <c r="B627" s="1085"/>
      <c r="C627" s="1069" t="str">
        <f>+CONCATENATE('[4]company '!B633,"-""06 сар")</f>
        <v>-"06 сар</v>
      </c>
      <c r="D627" s="1071"/>
      <c r="E627" s="1081" t="s">
        <v>46</v>
      </c>
      <c r="F627" s="1082"/>
      <c r="G627" s="1083"/>
      <c r="H627" s="429" t="s">
        <v>2271</v>
      </c>
    </row>
    <row r="628" spans="2:8" hidden="1" outlineLevel="1">
      <c r="B628" s="1086"/>
      <c r="C628" s="1081" t="s">
        <v>2002</v>
      </c>
      <c r="D628" s="1083"/>
      <c r="E628" s="1081" t="s">
        <v>2003</v>
      </c>
      <c r="F628" s="1082"/>
      <c r="G628" s="1083"/>
      <c r="H628" s="429"/>
    </row>
    <row r="629" spans="2:8" hidden="1" outlineLevel="1">
      <c r="B629" s="487"/>
      <c r="C629" s="487"/>
      <c r="D629" s="487"/>
      <c r="E629" s="487"/>
      <c r="F629" s="487"/>
      <c r="G629" s="457"/>
      <c r="H629" s="458"/>
    </row>
    <row r="630" spans="2:8" hidden="1" outlineLevel="1">
      <c r="B630" s="1102" t="s">
        <v>2004</v>
      </c>
      <c r="C630" s="1102"/>
      <c r="D630" s="1102"/>
      <c r="E630" s="459"/>
      <c r="F630" s="487" t="s">
        <v>2005</v>
      </c>
      <c r="G630" s="457"/>
      <c r="H630" s="458" t="s">
        <v>2006</v>
      </c>
    </row>
    <row r="631" spans="2:8" hidden="1" outlineLevel="1">
      <c r="B631" s="487"/>
      <c r="C631" s="487"/>
      <c r="D631" s="487"/>
      <c r="E631" s="487"/>
      <c r="F631" s="487"/>
      <c r="G631" s="457"/>
      <c r="H631" s="458"/>
    </row>
    <row r="632" spans="2:8" hidden="1" outlineLevel="1">
      <c r="B632" s="487"/>
      <c r="C632" s="487"/>
      <c r="D632" s="487"/>
      <c r="E632" s="487"/>
      <c r="F632" s="487"/>
      <c r="G632" s="457"/>
      <c r="H632" s="458"/>
    </row>
    <row r="633" spans="2:8" ht="22.5" hidden="1" customHeight="1" outlineLevel="1">
      <c r="B633" s="1053" t="s">
        <v>2007</v>
      </c>
      <c r="C633" s="1053"/>
      <c r="D633" s="1053"/>
      <c r="E633" s="1053"/>
      <c r="F633" s="1053"/>
      <c r="G633" s="1053"/>
      <c r="H633" s="1053"/>
    </row>
    <row r="634" spans="2:8" hidden="1" outlineLevel="1">
      <c r="B634" s="1072" t="s">
        <v>2008</v>
      </c>
      <c r="C634" s="1073"/>
      <c r="D634" s="1073"/>
      <c r="E634" s="1073"/>
      <c r="F634" s="1074"/>
      <c r="G634" s="460" t="s">
        <v>2009</v>
      </c>
      <c r="H634" s="461">
        <f>+H635+H636</f>
        <v>23877075.456319001</v>
      </c>
    </row>
    <row r="635" spans="2:8" hidden="1" outlineLevel="1">
      <c r="B635" s="1078" t="s">
        <v>2010</v>
      </c>
      <c r="C635" s="1079"/>
      <c r="D635" s="1079"/>
      <c r="E635" s="1079"/>
      <c r="F635" s="1080"/>
      <c r="G635" s="460" t="s">
        <v>99</v>
      </c>
      <c r="H635" s="429"/>
    </row>
    <row r="636" spans="2:8" hidden="1" outlineLevel="1">
      <c r="B636" s="1078" t="s">
        <v>2011</v>
      </c>
      <c r="C636" s="1079"/>
      <c r="D636" s="1079"/>
      <c r="E636" s="1079"/>
      <c r="F636" s="1080"/>
      <c r="G636" s="460" t="s">
        <v>2012</v>
      </c>
      <c r="H636" s="429">
        <f>+H637+H643+H663</f>
        <v>23877075.456319001</v>
      </c>
    </row>
    <row r="637" spans="2:8" hidden="1" outlineLevel="1">
      <c r="B637" s="1084"/>
      <c r="C637" s="1072" t="s">
        <v>2013</v>
      </c>
      <c r="D637" s="1073"/>
      <c r="E637" s="1073"/>
      <c r="F637" s="1074"/>
      <c r="G637" s="460" t="s">
        <v>2014</v>
      </c>
      <c r="H637" s="461">
        <f>+H638+H639+H640+H641+H642</f>
        <v>23877075.456319001</v>
      </c>
    </row>
    <row r="638" spans="2:8" hidden="1" outlineLevel="1">
      <c r="B638" s="1085"/>
      <c r="C638" s="1075" t="s">
        <v>2015</v>
      </c>
      <c r="D638" s="1081" t="s">
        <v>2016</v>
      </c>
      <c r="E638" s="1082"/>
      <c r="F638" s="1083"/>
      <c r="G638" s="460" t="s">
        <v>173</v>
      </c>
      <c r="H638" s="429">
        <f>+SUMIFS(JURNAL!H:H,JURNAL!E:E,510000,JURNAL!C:C,"&gt;="&amp;J9,JURNAL!C:C,"&lt;="&amp;K9)+SUMIFS(JURNAL!H:H,JURNAL!E:E,510100,JURNAL!C:C,"&gt;="&amp;J9,JURNAL!C:C,"&lt;="&amp;K9)</f>
        <v>23877075.456319001</v>
      </c>
    </row>
    <row r="639" spans="2:8" hidden="1" outlineLevel="1">
      <c r="B639" s="1085"/>
      <c r="C639" s="1076"/>
      <c r="D639" s="1047" t="s">
        <v>2017</v>
      </c>
      <c r="E639" s="1048"/>
      <c r="F639" s="1049"/>
      <c r="G639" s="462" t="s">
        <v>174</v>
      </c>
      <c r="H639" s="429"/>
    </row>
    <row r="640" spans="2:8" hidden="1" outlineLevel="1">
      <c r="B640" s="1085"/>
      <c r="C640" s="1076"/>
      <c r="D640" s="1047" t="s">
        <v>837</v>
      </c>
      <c r="E640" s="1048"/>
      <c r="F640" s="1049"/>
      <c r="G640" s="462" t="s">
        <v>904</v>
      </c>
      <c r="H640" s="429"/>
    </row>
    <row r="641" spans="2:8" hidden="1" outlineLevel="1">
      <c r="B641" s="1085"/>
      <c r="C641" s="1076"/>
      <c r="D641" s="1047" t="s">
        <v>2018</v>
      </c>
      <c r="E641" s="1048"/>
      <c r="F641" s="1049"/>
      <c r="G641" s="462" t="s">
        <v>906</v>
      </c>
      <c r="H641" s="429"/>
    </row>
    <row r="642" spans="2:8" hidden="1" outlineLevel="1">
      <c r="B642" s="1085"/>
      <c r="C642" s="1077"/>
      <c r="D642" s="1047" t="s">
        <v>2019</v>
      </c>
      <c r="E642" s="1048"/>
      <c r="F642" s="1049"/>
      <c r="G642" s="462" t="s">
        <v>908</v>
      </c>
      <c r="H642" s="429"/>
    </row>
    <row r="643" spans="2:8" hidden="1" outlineLevel="1">
      <c r="B643" s="1085"/>
      <c r="C643" s="1072" t="s">
        <v>2020</v>
      </c>
      <c r="D643" s="1073"/>
      <c r="E643" s="1073"/>
      <c r="F643" s="1074"/>
      <c r="G643" s="460" t="s">
        <v>2021</v>
      </c>
      <c r="H643" s="461">
        <f>+H644+H645+H646+H647+H648+H649+H650+H651+H652+H653+H654+H655+H656+H657+H658</f>
        <v>0</v>
      </c>
    </row>
    <row r="644" spans="2:8" hidden="1" outlineLevel="1">
      <c r="B644" s="1085"/>
      <c r="C644" s="1075" t="s">
        <v>2015</v>
      </c>
      <c r="D644" s="1047" t="s">
        <v>2022</v>
      </c>
      <c r="E644" s="1048"/>
      <c r="F644" s="1049"/>
      <c r="G644" s="462" t="s">
        <v>912</v>
      </c>
      <c r="H644" s="429"/>
    </row>
    <row r="645" spans="2:8" hidden="1" outlineLevel="1">
      <c r="B645" s="1085"/>
      <c r="C645" s="1076"/>
      <c r="D645" s="1047" t="s">
        <v>2023</v>
      </c>
      <c r="E645" s="1048"/>
      <c r="F645" s="1049"/>
      <c r="G645" s="462" t="s">
        <v>914</v>
      </c>
      <c r="H645" s="429"/>
    </row>
    <row r="646" spans="2:8" hidden="1" outlineLevel="1">
      <c r="B646" s="1085"/>
      <c r="C646" s="1076"/>
      <c r="D646" s="1047" t="s">
        <v>2024</v>
      </c>
      <c r="E646" s="1048"/>
      <c r="F646" s="1049"/>
      <c r="G646" s="462" t="s">
        <v>916</v>
      </c>
      <c r="H646" s="429"/>
    </row>
    <row r="647" spans="2:8" hidden="1" outlineLevel="1">
      <c r="B647" s="1085"/>
      <c r="C647" s="1076"/>
      <c r="D647" s="1047" t="s">
        <v>2025</v>
      </c>
      <c r="E647" s="1048"/>
      <c r="F647" s="1049"/>
      <c r="G647" s="462" t="s">
        <v>918</v>
      </c>
      <c r="H647" s="429"/>
    </row>
    <row r="648" spans="2:8" hidden="1" outlineLevel="1">
      <c r="B648" s="1085"/>
      <c r="C648" s="1076"/>
      <c r="D648" s="1047" t="s">
        <v>2026</v>
      </c>
      <c r="E648" s="1048"/>
      <c r="F648" s="1049"/>
      <c r="G648" s="462" t="s">
        <v>920</v>
      </c>
      <c r="H648" s="429"/>
    </row>
    <row r="649" spans="2:8" hidden="1" outlineLevel="1">
      <c r="B649" s="1085"/>
      <c r="C649" s="1076"/>
      <c r="D649" s="1047" t="s">
        <v>2027</v>
      </c>
      <c r="E649" s="1048"/>
      <c r="F649" s="1049"/>
      <c r="G649" s="462" t="s">
        <v>922</v>
      </c>
      <c r="H649" s="429"/>
    </row>
    <row r="650" spans="2:8" hidden="1" outlineLevel="1">
      <c r="B650" s="1085"/>
      <c r="C650" s="1076"/>
      <c r="D650" s="1047" t="s">
        <v>2028</v>
      </c>
      <c r="E650" s="1048"/>
      <c r="F650" s="1049"/>
      <c r="G650" s="462" t="s">
        <v>924</v>
      </c>
      <c r="H650" s="429"/>
    </row>
    <row r="651" spans="2:8" hidden="1" outlineLevel="1">
      <c r="B651" s="1085"/>
      <c r="C651" s="1076"/>
      <c r="D651" s="1047" t="s">
        <v>2029</v>
      </c>
      <c r="E651" s="1048"/>
      <c r="F651" s="1049"/>
      <c r="G651" s="462" t="s">
        <v>926</v>
      </c>
      <c r="H651" s="429"/>
    </row>
    <row r="652" spans="2:8" hidden="1" outlineLevel="1">
      <c r="B652" s="1085"/>
      <c r="C652" s="1076"/>
      <c r="D652" s="1047" t="s">
        <v>2030</v>
      </c>
      <c r="E652" s="1048"/>
      <c r="F652" s="1049"/>
      <c r="G652" s="462" t="s">
        <v>928</v>
      </c>
      <c r="H652" s="429"/>
    </row>
    <row r="653" spans="2:8" hidden="1" outlineLevel="1">
      <c r="B653" s="1085"/>
      <c r="C653" s="1076"/>
      <c r="D653" s="1047" t="s">
        <v>2031</v>
      </c>
      <c r="E653" s="1048"/>
      <c r="F653" s="1049"/>
      <c r="G653" s="462" t="s">
        <v>930</v>
      </c>
      <c r="H653" s="429"/>
    </row>
    <row r="654" spans="2:8" hidden="1" outlineLevel="1">
      <c r="B654" s="1085"/>
      <c r="C654" s="1076"/>
      <c r="D654" s="1047" t="s">
        <v>2032</v>
      </c>
      <c r="E654" s="1048"/>
      <c r="F654" s="1049"/>
      <c r="G654" s="462" t="s">
        <v>932</v>
      </c>
      <c r="H654" s="429"/>
    </row>
    <row r="655" spans="2:8" hidden="1" outlineLevel="1">
      <c r="B655" s="1085"/>
      <c r="C655" s="1076"/>
      <c r="D655" s="1047" t="s">
        <v>2033</v>
      </c>
      <c r="E655" s="1048"/>
      <c r="F655" s="1049"/>
      <c r="G655" s="462" t="s">
        <v>934</v>
      </c>
      <c r="H655" s="429"/>
    </row>
    <row r="656" spans="2:8" hidden="1" outlineLevel="1">
      <c r="B656" s="1085"/>
      <c r="C656" s="1076"/>
      <c r="D656" s="1047" t="s">
        <v>2034</v>
      </c>
      <c r="E656" s="1048"/>
      <c r="F656" s="1049"/>
      <c r="G656" s="462" t="s">
        <v>936</v>
      </c>
      <c r="H656" s="429"/>
    </row>
    <row r="657" spans="2:8" hidden="1" outlineLevel="1">
      <c r="B657" s="1085"/>
      <c r="C657" s="1076"/>
      <c r="D657" s="1047" t="s">
        <v>2035</v>
      </c>
      <c r="E657" s="1048"/>
      <c r="F657" s="1049"/>
      <c r="G657" s="462" t="s">
        <v>944</v>
      </c>
      <c r="H657" s="429"/>
    </row>
    <row r="658" spans="2:8" hidden="1" outlineLevel="1">
      <c r="B658" s="1086"/>
      <c r="C658" s="1077"/>
      <c r="D658" s="1047" t="s">
        <v>2036</v>
      </c>
      <c r="E658" s="1048"/>
      <c r="F658" s="1049"/>
      <c r="G658" s="462" t="s">
        <v>946</v>
      </c>
      <c r="H658" s="429"/>
    </row>
    <row r="659" spans="2:8" hidden="1" outlineLevel="1">
      <c r="B659" s="1072" t="s">
        <v>2037</v>
      </c>
      <c r="C659" s="1073"/>
      <c r="D659" s="1073"/>
      <c r="E659" s="1073"/>
      <c r="F659" s="1074"/>
      <c r="G659" s="460" t="s">
        <v>2038</v>
      </c>
      <c r="H659" s="461">
        <f>+H637+H643</f>
        <v>23877075.456319001</v>
      </c>
    </row>
    <row r="660" spans="2:8" hidden="1" outlineLevel="1">
      <c r="B660" s="1072" t="s">
        <v>2039</v>
      </c>
      <c r="C660" s="1073"/>
      <c r="D660" s="1073"/>
      <c r="E660" s="1073"/>
      <c r="F660" s="1074"/>
      <c r="G660" s="460" t="s">
        <v>2040</v>
      </c>
      <c r="H660" s="461">
        <f>+H659*0.1</f>
        <v>2387707.5456319</v>
      </c>
    </row>
    <row r="661" spans="2:8" hidden="1" outlineLevel="1">
      <c r="B661" s="1081" t="s">
        <v>2041</v>
      </c>
      <c r="C661" s="1082"/>
      <c r="D661" s="1082"/>
      <c r="E661" s="1082"/>
      <c r="F661" s="1083"/>
      <c r="G661" s="460" t="s">
        <v>2042</v>
      </c>
      <c r="H661" s="429"/>
    </row>
    <row r="662" spans="2:8" hidden="1" outlineLevel="1">
      <c r="B662" s="1081" t="s">
        <v>2043</v>
      </c>
      <c r="C662" s="1082"/>
      <c r="D662" s="1082"/>
      <c r="E662" s="1082"/>
      <c r="F662" s="1083"/>
      <c r="G662" s="460" t="s">
        <v>2044</v>
      </c>
      <c r="H662" s="429"/>
    </row>
    <row r="663" spans="2:8" hidden="1" outlineLevel="1">
      <c r="B663" s="1072" t="s">
        <v>2045</v>
      </c>
      <c r="C663" s="1073"/>
      <c r="D663" s="1073"/>
      <c r="E663" s="1073"/>
      <c r="F663" s="1074"/>
      <c r="G663" s="460" t="s">
        <v>2046</v>
      </c>
      <c r="H663" s="461">
        <f>+H661+H662</f>
        <v>0</v>
      </c>
    </row>
    <row r="664" spans="2:8" hidden="1" outlineLevel="1">
      <c r="B664" s="1072" t="s">
        <v>2039</v>
      </c>
      <c r="C664" s="1073"/>
      <c r="D664" s="1073"/>
      <c r="E664" s="1073"/>
      <c r="F664" s="1074"/>
      <c r="G664" s="460" t="s">
        <v>2047</v>
      </c>
      <c r="H664" s="461">
        <f>+H663*0%</f>
        <v>0</v>
      </c>
    </row>
    <row r="665" spans="2:8" hidden="1" outlineLevel="1">
      <c r="B665" s="1072" t="s">
        <v>2048</v>
      </c>
      <c r="C665" s="1073"/>
      <c r="D665" s="1073"/>
      <c r="E665" s="1073"/>
      <c r="F665" s="1074"/>
      <c r="G665" s="460" t="s">
        <v>2049</v>
      </c>
      <c r="H665" s="461">
        <f>+H660+H664</f>
        <v>2387707.5456319</v>
      </c>
    </row>
    <row r="666" spans="2:8" hidden="1" outlineLevel="1"/>
    <row r="667" spans="2:8" ht="21.75" hidden="1" customHeight="1" outlineLevel="1">
      <c r="B667" s="1053" t="s">
        <v>2050</v>
      </c>
      <c r="C667" s="1053"/>
      <c r="D667" s="1053"/>
      <c r="E667" s="1053"/>
      <c r="F667" s="1053"/>
      <c r="G667" s="1053"/>
      <c r="H667" s="1053"/>
    </row>
    <row r="668" spans="2:8" hidden="1" outlineLevel="1">
      <c r="B668" s="1072" t="s">
        <v>2051</v>
      </c>
      <c r="C668" s="1073"/>
      <c r="D668" s="1073"/>
      <c r="E668" s="1073"/>
      <c r="F668" s="1074"/>
      <c r="G668" s="460" t="s">
        <v>2052</v>
      </c>
      <c r="H668" s="429"/>
    </row>
    <row r="669" spans="2:8" hidden="1" outlineLevel="1">
      <c r="B669" s="1078" t="s">
        <v>2053</v>
      </c>
      <c r="C669" s="1079"/>
      <c r="D669" s="1079"/>
      <c r="E669" s="1079"/>
      <c r="F669" s="1080"/>
      <c r="G669" s="460" t="s">
        <v>2054</v>
      </c>
      <c r="H669" s="429">
        <f>+H670+H671+H672+H673</f>
        <v>3385561.7574500013</v>
      </c>
    </row>
    <row r="670" spans="2:8" hidden="1" outlineLevel="1">
      <c r="B670" s="1075" t="s">
        <v>2015</v>
      </c>
      <c r="C670" s="1047" t="s">
        <v>2055</v>
      </c>
      <c r="D670" s="1048"/>
      <c r="E670" s="1048"/>
      <c r="F670" s="1049"/>
      <c r="G670" s="460" t="s">
        <v>2056</v>
      </c>
      <c r="H670" s="429"/>
    </row>
    <row r="671" spans="2:8" hidden="1" outlineLevel="1">
      <c r="B671" s="1076"/>
      <c r="C671" s="1047" t="s">
        <v>2057</v>
      </c>
      <c r="D671" s="1048"/>
      <c r="E671" s="1048"/>
      <c r="F671" s="1049"/>
      <c r="G671" s="460" t="s">
        <v>2058</v>
      </c>
      <c r="H671" s="429">
        <f>+M9*10</f>
        <v>3385561.7574500013</v>
      </c>
    </row>
    <row r="672" spans="2:8" hidden="1" outlineLevel="1">
      <c r="B672" s="1076"/>
      <c r="C672" s="1047" t="s">
        <v>2059</v>
      </c>
      <c r="D672" s="1048"/>
      <c r="E672" s="1048"/>
      <c r="F672" s="1049"/>
      <c r="G672" s="460" t="s">
        <v>2060</v>
      </c>
      <c r="H672" s="429"/>
    </row>
    <row r="673" spans="2:8" hidden="1" outlineLevel="1">
      <c r="B673" s="1077"/>
      <c r="C673" s="1047" t="s">
        <v>2061</v>
      </c>
      <c r="D673" s="1048"/>
      <c r="E673" s="1048"/>
      <c r="F673" s="1049"/>
      <c r="G673" s="460" t="s">
        <v>2062</v>
      </c>
      <c r="H673" s="429"/>
    </row>
    <row r="674" spans="2:8" hidden="1" outlineLevel="1">
      <c r="B674" s="1072" t="s">
        <v>2063</v>
      </c>
      <c r="C674" s="1073"/>
      <c r="D674" s="1073"/>
      <c r="E674" s="1073"/>
      <c r="F674" s="1074"/>
      <c r="G674" s="460" t="s">
        <v>2064</v>
      </c>
      <c r="H674" s="461">
        <f>+H669*0.1</f>
        <v>338556.17574500013</v>
      </c>
    </row>
    <row r="675" spans="2:8" hidden="1" outlineLevel="1">
      <c r="B675" s="1072" t="s">
        <v>2065</v>
      </c>
      <c r="C675" s="1073"/>
      <c r="D675" s="1073"/>
      <c r="E675" s="1073"/>
      <c r="F675" s="1074"/>
      <c r="G675" s="460" t="s">
        <v>2066</v>
      </c>
      <c r="H675" s="461">
        <f>+H676+H677+H678+H679+H680+H681</f>
        <v>0</v>
      </c>
    </row>
    <row r="676" spans="2:8" hidden="1" outlineLevel="1">
      <c r="B676" s="1075" t="s">
        <v>2015</v>
      </c>
      <c r="C676" s="1047" t="s">
        <v>2067</v>
      </c>
      <c r="D676" s="1048"/>
      <c r="E676" s="1048"/>
      <c r="F676" s="1049"/>
      <c r="G676" s="460" t="s">
        <v>2068</v>
      </c>
      <c r="H676" s="429"/>
    </row>
    <row r="677" spans="2:8" hidden="1" outlineLevel="1">
      <c r="B677" s="1076"/>
      <c r="C677" s="1047" t="s">
        <v>2069</v>
      </c>
      <c r="D677" s="1048"/>
      <c r="E677" s="1048"/>
      <c r="F677" s="1049"/>
      <c r="G677" s="460" t="s">
        <v>2070</v>
      </c>
      <c r="H677" s="429"/>
    </row>
    <row r="678" spans="2:8" hidden="1" outlineLevel="1">
      <c r="B678" s="1076"/>
      <c r="C678" s="1047" t="s">
        <v>2071</v>
      </c>
      <c r="D678" s="1048"/>
      <c r="E678" s="1048"/>
      <c r="F678" s="1049"/>
      <c r="G678" s="460" t="s">
        <v>2072</v>
      </c>
      <c r="H678" s="429"/>
    </row>
    <row r="679" spans="2:8" hidden="1" outlineLevel="1">
      <c r="B679" s="1076"/>
      <c r="C679" s="1047" t="s">
        <v>2073</v>
      </c>
      <c r="D679" s="1048"/>
      <c r="E679" s="1048"/>
      <c r="F679" s="1049"/>
      <c r="G679" s="460" t="s">
        <v>2074</v>
      </c>
      <c r="H679" s="429"/>
    </row>
    <row r="680" spans="2:8" hidden="1" outlineLevel="1">
      <c r="B680" s="1076"/>
      <c r="C680" s="1047" t="s">
        <v>2075</v>
      </c>
      <c r="D680" s="1048"/>
      <c r="E680" s="1048"/>
      <c r="F680" s="1049"/>
      <c r="G680" s="460" t="s">
        <v>2076</v>
      </c>
      <c r="H680" s="429"/>
    </row>
    <row r="681" spans="2:8" hidden="1" outlineLevel="1">
      <c r="B681" s="1077"/>
      <c r="C681" s="1047" t="s">
        <v>2077</v>
      </c>
      <c r="D681" s="1048"/>
      <c r="E681" s="1048"/>
      <c r="F681" s="1049"/>
      <c r="G681" s="460" t="s">
        <v>2078</v>
      </c>
      <c r="H681" s="429"/>
    </row>
    <row r="682" spans="2:8" hidden="1" outlineLevel="1">
      <c r="B682" s="1072" t="s">
        <v>2079</v>
      </c>
      <c r="C682" s="1073"/>
      <c r="D682" s="1073"/>
      <c r="E682" s="1073"/>
      <c r="F682" s="1074"/>
      <c r="G682" s="460" t="s">
        <v>2080</v>
      </c>
      <c r="H682" s="461">
        <f>+H674-H675</f>
        <v>338556.17574500013</v>
      </c>
    </row>
    <row r="683" spans="2:8" hidden="1" outlineLevel="1"/>
    <row r="684" spans="2:8" ht="21.75" hidden="1" customHeight="1" outlineLevel="1">
      <c r="B684" s="1053" t="s">
        <v>2081</v>
      </c>
      <c r="C684" s="1053"/>
      <c r="D684" s="1053"/>
      <c r="E684" s="1053"/>
      <c r="F684" s="1053"/>
      <c r="G684" s="1053"/>
      <c r="H684" s="1053"/>
    </row>
    <row r="685" spans="2:8" hidden="1" outlineLevel="1">
      <c r="B685" s="1047" t="s">
        <v>2082</v>
      </c>
      <c r="C685" s="1048"/>
      <c r="D685" s="1048"/>
      <c r="E685" s="1048"/>
      <c r="F685" s="1049"/>
      <c r="G685" s="460" t="s">
        <v>2083</v>
      </c>
      <c r="H685" s="429"/>
    </row>
    <row r="686" spans="2:8" hidden="1" outlineLevel="1">
      <c r="B686" s="1047" t="s">
        <v>2084</v>
      </c>
      <c r="C686" s="1048"/>
      <c r="D686" s="1048"/>
      <c r="E686" s="1048"/>
      <c r="F686" s="1049"/>
      <c r="G686" s="460" t="s">
        <v>2085</v>
      </c>
      <c r="H686" s="429"/>
    </row>
    <row r="687" spans="2:8" hidden="1" outlineLevel="1">
      <c r="B687" s="1050" t="s">
        <v>2086</v>
      </c>
      <c r="C687" s="1051"/>
      <c r="D687" s="1051"/>
      <c r="E687" s="1051"/>
      <c r="F687" s="1052"/>
      <c r="G687" s="460" t="s">
        <v>2087</v>
      </c>
      <c r="H687" s="429">
        <f>+(H685+H686)*0.1</f>
        <v>0</v>
      </c>
    </row>
    <row r="688" spans="2:8" hidden="1" outlineLevel="1">
      <c r="B688" s="1047" t="s">
        <v>2088</v>
      </c>
      <c r="C688" s="1048"/>
      <c r="D688" s="1048"/>
      <c r="E688" s="1048"/>
      <c r="F688" s="1049"/>
      <c r="G688" s="460" t="s">
        <v>2089</v>
      </c>
      <c r="H688" s="429"/>
    </row>
    <row r="689" spans="2:8" hidden="1" outlineLevel="1">
      <c r="B689" s="1047" t="s">
        <v>2090</v>
      </c>
      <c r="C689" s="1048"/>
      <c r="D689" s="1048"/>
      <c r="E689" s="1048"/>
      <c r="F689" s="1049"/>
      <c r="G689" s="460" t="s">
        <v>2091</v>
      </c>
      <c r="H689" s="429"/>
    </row>
    <row r="690" spans="2:8" hidden="1" outlineLevel="1">
      <c r="B690" s="1050" t="s">
        <v>2092</v>
      </c>
      <c r="C690" s="1051"/>
      <c r="D690" s="1051"/>
      <c r="E690" s="1051"/>
      <c r="F690" s="1052"/>
      <c r="G690" s="460" t="s">
        <v>2093</v>
      </c>
      <c r="H690" s="429">
        <f>+(H688+H689)*0.1</f>
        <v>0</v>
      </c>
    </row>
    <row r="691" spans="2:8" hidden="1" outlineLevel="1"/>
    <row r="692" spans="2:8" hidden="1" outlineLevel="1">
      <c r="B692" s="1053" t="s">
        <v>2094</v>
      </c>
      <c r="C692" s="1053"/>
      <c r="D692" s="1053"/>
      <c r="E692" s="1053"/>
      <c r="F692" s="1053"/>
      <c r="G692" s="1053"/>
      <c r="H692" s="1053"/>
    </row>
    <row r="693" spans="2:8" hidden="1" outlineLevel="1">
      <c r="B693" s="1050" t="s">
        <v>2095</v>
      </c>
      <c r="C693" s="1051"/>
      <c r="D693" s="1051"/>
      <c r="E693" s="1051"/>
      <c r="F693" s="1052"/>
      <c r="G693" s="460" t="s">
        <v>2096</v>
      </c>
      <c r="H693" s="429">
        <f>+H665+H687</f>
        <v>2387707.5456319</v>
      </c>
    </row>
    <row r="694" spans="2:8" hidden="1" outlineLevel="1">
      <c r="B694" s="1050" t="s">
        <v>2097</v>
      </c>
      <c r="C694" s="1051"/>
      <c r="D694" s="1051"/>
      <c r="E694" s="1051"/>
      <c r="F694" s="1052"/>
      <c r="G694" s="460" t="s">
        <v>2098</v>
      </c>
      <c r="H694" s="429">
        <f>+H682+H690</f>
        <v>338556.17574500013</v>
      </c>
    </row>
    <row r="695" spans="2:8" hidden="1" outlineLevel="1"/>
    <row r="696" spans="2:8" hidden="1" outlineLevel="1">
      <c r="B696" s="1053" t="s">
        <v>2099</v>
      </c>
      <c r="C696" s="1053"/>
      <c r="D696" s="1053"/>
      <c r="E696" s="1053"/>
      <c r="F696" s="1053"/>
      <c r="G696" s="1053"/>
      <c r="H696" s="1053"/>
    </row>
    <row r="697" spans="2:8" hidden="1" outlineLevel="1">
      <c r="B697" s="1047" t="s">
        <v>2100</v>
      </c>
      <c r="C697" s="1048"/>
      <c r="D697" s="1048"/>
      <c r="E697" s="1048"/>
      <c r="F697" s="1049"/>
      <c r="G697" s="460" t="s">
        <v>2101</v>
      </c>
      <c r="H697" s="429"/>
    </row>
    <row r="698" spans="2:8" hidden="1" outlineLevel="1">
      <c r="B698" s="1050" t="s">
        <v>2102</v>
      </c>
      <c r="C698" s="1051"/>
      <c r="D698" s="1051"/>
      <c r="E698" s="1051"/>
      <c r="F698" s="1052"/>
      <c r="G698" s="460" t="s">
        <v>2103</v>
      </c>
      <c r="H698" s="429">
        <f>+H697*0.1</f>
        <v>0</v>
      </c>
    </row>
    <row r="699" spans="2:8" hidden="1" outlineLevel="1">
      <c r="B699" s="1047" t="s">
        <v>2104</v>
      </c>
      <c r="C699" s="1048"/>
      <c r="D699" s="1048"/>
      <c r="E699" s="1048"/>
      <c r="F699" s="1049"/>
      <c r="G699" s="460" t="s">
        <v>2105</v>
      </c>
      <c r="H699" s="429"/>
    </row>
    <row r="700" spans="2:8" hidden="1" outlineLevel="1">
      <c r="B700" s="1050" t="s">
        <v>2092</v>
      </c>
      <c r="C700" s="1051"/>
      <c r="D700" s="1051"/>
      <c r="E700" s="1051"/>
      <c r="F700" s="1052"/>
      <c r="G700" s="460" t="s">
        <v>2106</v>
      </c>
      <c r="H700" s="429">
        <f>+H699*0.1</f>
        <v>0</v>
      </c>
    </row>
    <row r="701" spans="2:8" hidden="1" outlineLevel="1"/>
    <row r="702" spans="2:8" hidden="1" outlineLevel="1">
      <c r="B702" s="1053" t="s">
        <v>2107</v>
      </c>
      <c r="C702" s="1053"/>
      <c r="D702" s="1053"/>
      <c r="E702" s="1053"/>
      <c r="F702" s="1053"/>
      <c r="G702" s="1053"/>
      <c r="H702" s="1053"/>
    </row>
    <row r="703" spans="2:8" hidden="1" outlineLevel="1">
      <c r="B703" s="1054" t="s">
        <v>1322</v>
      </c>
      <c r="C703" s="1054"/>
      <c r="D703" s="1055" t="s">
        <v>2108</v>
      </c>
      <c r="E703" s="1056"/>
      <c r="F703" s="1057"/>
      <c r="G703" s="460" t="s">
        <v>2109</v>
      </c>
      <c r="H703" s="429">
        <f>+H693-H698</f>
        <v>2387707.5456319</v>
      </c>
    </row>
    <row r="704" spans="2:8" hidden="1" outlineLevel="1">
      <c r="B704" s="1054"/>
      <c r="C704" s="1054"/>
      <c r="D704" s="1055" t="s">
        <v>2110</v>
      </c>
      <c r="E704" s="1056"/>
      <c r="F704" s="1057"/>
      <c r="G704" s="460" t="s">
        <v>2111</v>
      </c>
      <c r="H704" s="429">
        <f>+H694-H700</f>
        <v>338556.17574500013</v>
      </c>
    </row>
    <row r="705" spans="2:8" hidden="1" outlineLevel="1">
      <c r="B705" s="1054"/>
      <c r="C705" s="1054"/>
      <c r="D705" s="1055" t="s">
        <v>2112</v>
      </c>
      <c r="E705" s="1056"/>
      <c r="F705" s="1057"/>
      <c r="G705" s="460" t="s">
        <v>2113</v>
      </c>
      <c r="H705" s="429">
        <f>+H703-H704</f>
        <v>2049151.3698868998</v>
      </c>
    </row>
    <row r="706" spans="2:8" hidden="1" outlineLevel="1">
      <c r="B706" s="1054"/>
      <c r="C706" s="1054"/>
      <c r="D706" s="1055" t="s">
        <v>2114</v>
      </c>
      <c r="E706" s="1056"/>
      <c r="F706" s="1057"/>
      <c r="G706" s="460" t="s">
        <v>2115</v>
      </c>
      <c r="H706" s="429"/>
    </row>
    <row r="707" spans="2:8" hidden="1" outlineLevel="1"/>
    <row r="708" spans="2:8" hidden="1" outlineLevel="1">
      <c r="B708" s="1062" t="s">
        <v>2116</v>
      </c>
      <c r="C708" s="1062"/>
      <c r="D708" s="1062"/>
      <c r="E708" s="1062"/>
      <c r="F708" s="1062"/>
      <c r="G708" s="463" t="s">
        <v>2117</v>
      </c>
      <c r="H708" s="464" t="s">
        <v>2118</v>
      </c>
    </row>
    <row r="709" spans="2:8" hidden="1" outlineLevel="1">
      <c r="B709" s="1058" t="s">
        <v>2119</v>
      </c>
      <c r="C709" s="1058"/>
      <c r="D709" s="1058"/>
      <c r="E709" s="465" t="s">
        <v>1079</v>
      </c>
      <c r="F709" s="466">
        <v>1</v>
      </c>
      <c r="G709" s="467">
        <f>+O8</f>
        <v>0</v>
      </c>
      <c r="H709" s="468"/>
    </row>
    <row r="710" spans="2:8" hidden="1" outlineLevel="1">
      <c r="B710" s="1058"/>
      <c r="C710" s="1058"/>
      <c r="D710" s="1058"/>
      <c r="E710" s="465" t="s">
        <v>1080</v>
      </c>
      <c r="F710" s="466">
        <f>+F709+1</f>
        <v>2</v>
      </c>
      <c r="G710" s="469"/>
      <c r="H710" s="470">
        <f>+P8</f>
        <v>60567840.551419526</v>
      </c>
    </row>
    <row r="711" spans="2:8" hidden="1" outlineLevel="1">
      <c r="B711" s="1058" t="s">
        <v>2120</v>
      </c>
      <c r="C711" s="1058"/>
      <c r="D711" s="1058"/>
      <c r="E711" s="465" t="s">
        <v>1079</v>
      </c>
      <c r="F711" s="466">
        <f t="shared" ref="F711:F724" si="7">+F710+1</f>
        <v>3</v>
      </c>
      <c r="G711" s="467"/>
      <c r="H711" s="468"/>
    </row>
    <row r="712" spans="2:8" hidden="1" outlineLevel="1">
      <c r="B712" s="1058"/>
      <c r="C712" s="1058"/>
      <c r="D712" s="1058"/>
      <c r="E712" s="465" t="s">
        <v>1080</v>
      </c>
      <c r="F712" s="466">
        <f t="shared" si="7"/>
        <v>4</v>
      </c>
      <c r="G712" s="469"/>
      <c r="H712" s="470">
        <f>+H705</f>
        <v>2049151.3698868998</v>
      </c>
    </row>
    <row r="713" spans="2:8" hidden="1" outlineLevel="1">
      <c r="B713" s="1059" t="s">
        <v>1085</v>
      </c>
      <c r="C713" s="1060"/>
      <c r="D713" s="1060"/>
      <c r="E713" s="1061"/>
      <c r="F713" s="466">
        <f t="shared" si="7"/>
        <v>5</v>
      </c>
      <c r="G713" s="467">
        <f>+L9</f>
        <v>1000000</v>
      </c>
      <c r="H713" s="468"/>
    </row>
    <row r="714" spans="2:8" hidden="1" outlineLevel="1">
      <c r="B714" s="1063" t="s">
        <v>2121</v>
      </c>
      <c r="C714" s="1064"/>
      <c r="D714" s="1064"/>
      <c r="E714" s="1065"/>
      <c r="F714" s="466">
        <f t="shared" si="7"/>
        <v>6</v>
      </c>
      <c r="G714" s="472"/>
      <c r="H714" s="468"/>
    </row>
    <row r="715" spans="2:8" hidden="1" outlineLevel="1">
      <c r="B715" s="1063" t="s">
        <v>2121</v>
      </c>
      <c r="C715" s="1064"/>
      <c r="D715" s="1064"/>
      <c r="E715" s="1065"/>
      <c r="F715" s="466">
        <f t="shared" si="7"/>
        <v>7</v>
      </c>
      <c r="G715" s="469"/>
      <c r="H715" s="471"/>
    </row>
    <row r="716" spans="2:8" hidden="1" outlineLevel="1">
      <c r="B716" s="1058" t="s">
        <v>2122</v>
      </c>
      <c r="C716" s="1058"/>
      <c r="D716" s="1058"/>
      <c r="E716" s="465" t="s">
        <v>1079</v>
      </c>
      <c r="F716" s="466">
        <f t="shared" si="7"/>
        <v>8</v>
      </c>
      <c r="G716" s="472"/>
      <c r="H716" s="468"/>
    </row>
    <row r="717" spans="2:8" hidden="1" outlineLevel="1">
      <c r="B717" s="1058"/>
      <c r="C717" s="1058"/>
      <c r="D717" s="1058"/>
      <c r="E717" s="465" t="s">
        <v>1080</v>
      </c>
      <c r="F717" s="466">
        <f t="shared" si="7"/>
        <v>9</v>
      </c>
      <c r="G717" s="469"/>
      <c r="H717" s="471"/>
    </row>
    <row r="718" spans="2:8" hidden="1" outlineLevel="1">
      <c r="B718" s="1058" t="s">
        <v>2123</v>
      </c>
      <c r="C718" s="1058"/>
      <c r="D718" s="1058"/>
      <c r="E718" s="465" t="s">
        <v>1079</v>
      </c>
      <c r="F718" s="466">
        <f t="shared" si="7"/>
        <v>10</v>
      </c>
      <c r="G718" s="472"/>
      <c r="H718" s="468"/>
    </row>
    <row r="719" spans="2:8" hidden="1" outlineLevel="1">
      <c r="B719" s="1058"/>
      <c r="C719" s="1058"/>
      <c r="D719" s="1058"/>
      <c r="E719" s="465" t="s">
        <v>1080</v>
      </c>
      <c r="F719" s="466">
        <f t="shared" si="7"/>
        <v>11</v>
      </c>
      <c r="G719" s="469"/>
      <c r="H719" s="471"/>
    </row>
    <row r="720" spans="2:8" hidden="1" outlineLevel="1">
      <c r="B720" s="1059" t="s">
        <v>2124</v>
      </c>
      <c r="C720" s="1060"/>
      <c r="D720" s="1060"/>
      <c r="E720" s="1061"/>
      <c r="F720" s="466">
        <f t="shared" si="7"/>
        <v>12</v>
      </c>
      <c r="G720" s="472"/>
      <c r="H720" s="468"/>
    </row>
    <row r="721" spans="1:11" hidden="1" outlineLevel="1">
      <c r="B721" s="1058" t="s">
        <v>2125</v>
      </c>
      <c r="C721" s="1058"/>
      <c r="D721" s="1058"/>
      <c r="E721" s="465" t="s">
        <v>1079</v>
      </c>
      <c r="F721" s="466">
        <f t="shared" si="7"/>
        <v>13</v>
      </c>
      <c r="G721" s="472"/>
      <c r="H721" s="468"/>
    </row>
    <row r="722" spans="1:11" hidden="1" outlineLevel="1">
      <c r="B722" s="1058"/>
      <c r="C722" s="1058"/>
      <c r="D722" s="1058"/>
      <c r="E722" s="465" t="s">
        <v>1080</v>
      </c>
      <c r="F722" s="466">
        <f t="shared" si="7"/>
        <v>14</v>
      </c>
      <c r="G722" s="469"/>
      <c r="H722" s="471"/>
    </row>
    <row r="723" spans="1:11" hidden="1" outlineLevel="1">
      <c r="B723" s="1058" t="s">
        <v>2126</v>
      </c>
      <c r="C723" s="1058"/>
      <c r="D723" s="1058"/>
      <c r="E723" s="465" t="s">
        <v>1079</v>
      </c>
      <c r="F723" s="466">
        <f t="shared" si="7"/>
        <v>15</v>
      </c>
      <c r="G723" s="467">
        <f>IF((G709+G711+G713-H710-H712)&gt;0,(G709+G711+G713-H710-H712),0)</f>
        <v>0</v>
      </c>
      <c r="H723" s="468"/>
    </row>
    <row r="724" spans="1:11" hidden="1" outlineLevel="1">
      <c r="B724" s="1058"/>
      <c r="C724" s="1058"/>
      <c r="D724" s="1058"/>
      <c r="E724" s="465" t="s">
        <v>1080</v>
      </c>
      <c r="F724" s="466">
        <f t="shared" si="7"/>
        <v>16</v>
      </c>
      <c r="G724" s="473"/>
      <c r="H724" s="520">
        <f>+IF((H710+H712-G709-G711-G713)&gt;0,(H710+H712-G709-G711-G713),0)</f>
        <v>61616991.921306424</v>
      </c>
      <c r="J724" s="80">
        <f>+STAT2!W111</f>
        <v>61616991.926196888</v>
      </c>
      <c r="K724" s="80">
        <f>++J724-H724</f>
        <v>4.8904642462730408E-3</v>
      </c>
    </row>
    <row r="725" spans="1:11" hidden="1" outlineLevel="1"/>
    <row r="726" spans="1:11" hidden="1" outlineLevel="1"/>
    <row r="727" spans="1:11" hidden="1" outlineLevel="1">
      <c r="B727" s="331" t="s">
        <v>2127</v>
      </c>
      <c r="E727" s="331" t="s">
        <v>1090</v>
      </c>
    </row>
    <row r="728" spans="1:11" hidden="1" outlineLevel="1">
      <c r="B728" s="331"/>
    </row>
    <row r="729" spans="1:11" hidden="1" outlineLevel="1">
      <c r="B729" s="331" t="str">
        <f>+CONCATENATE('[4]company '!B635," . . . . . . . . . . . . . . . . . .  ... . . . .. . . . ",'[4]company '!C635)</f>
        <v xml:space="preserve"> . . . . . . . . . . . . . . . . . .  ... . . . .. . . . </v>
      </c>
      <c r="E729" s="331" t="s">
        <v>2128</v>
      </c>
    </row>
    <row r="730" spans="1:11" hidden="1" outlineLevel="1">
      <c r="B730" s="331"/>
    </row>
    <row r="731" spans="1:11" hidden="1" outlineLevel="1">
      <c r="B731" s="331" t="str">
        <f>+CONCATENATE('[4]company '!B638,". . . . . . . . . . . . . . . . . . . . ",'[4]company '!C638)</f>
        <v xml:space="preserve">. . . . . . . . . . . . . . . . . . . . </v>
      </c>
    </row>
    <row r="732" spans="1:11" collapsed="1">
      <c r="A732" s="231" t="s">
        <v>2653</v>
      </c>
    </row>
    <row r="733" spans="1:11" hidden="1" outlineLevel="1">
      <c r="B733" s="445"/>
      <c r="C733" s="445"/>
      <c r="D733" s="445"/>
      <c r="E733" s="486"/>
      <c r="F733" s="1066" t="s">
        <v>1984</v>
      </c>
      <c r="G733" s="1066"/>
      <c r="H733" s="1066"/>
    </row>
    <row r="734" spans="1:11" hidden="1" outlineLevel="1">
      <c r="D734" s="445"/>
      <c r="E734" s="1067" t="s">
        <v>1988</v>
      </c>
      <c r="F734" s="1067"/>
      <c r="G734" s="1067"/>
      <c r="H734" s="1067"/>
    </row>
    <row r="735" spans="1:11" ht="18.75" hidden="1" outlineLevel="1">
      <c r="G735" s="452" t="s">
        <v>1994</v>
      </c>
      <c r="H735" s="453" t="s">
        <v>1995</v>
      </c>
    </row>
    <row r="736" spans="1:11" ht="21" hidden="1" outlineLevel="1" thickBot="1">
      <c r="B736" s="1068" t="s">
        <v>1996</v>
      </c>
      <c r="C736" s="1068"/>
      <c r="D736" s="1068"/>
      <c r="E736" s="1068"/>
      <c r="F736" s="1068"/>
      <c r="G736" s="1068"/>
      <c r="H736" s="1068"/>
    </row>
    <row r="737" spans="2:8" ht="13.5" hidden="1" outlineLevel="1" thickTop="1"/>
    <row r="738" spans="2:8" hidden="1" outlineLevel="1">
      <c r="B738" s="1069" t="s">
        <v>1997</v>
      </c>
      <c r="C738" s="1070"/>
      <c r="D738" s="1070"/>
      <c r="E738" s="1070"/>
      <c r="F738" s="1070"/>
      <c r="G738" s="1070"/>
      <c r="H738" s="1071"/>
    </row>
    <row r="739" spans="2:8" hidden="1" outlineLevel="1">
      <c r="B739" s="1041" t="s">
        <v>2278</v>
      </c>
      <c r="C739" s="1042"/>
      <c r="D739" s="1043"/>
      <c r="E739" s="1044" t="s">
        <v>2279</v>
      </c>
      <c r="F739" s="1045"/>
      <c r="G739" s="1045"/>
      <c r="H739" s="1046"/>
    </row>
    <row r="740" spans="2:8" hidden="1" outlineLevel="1"/>
    <row r="741" spans="2:8" hidden="1" outlineLevel="1">
      <c r="B741" s="1069" t="s">
        <v>2280</v>
      </c>
      <c r="C741" s="1070"/>
      <c r="D741" s="1071"/>
      <c r="E741" s="1088" t="s">
        <v>2281</v>
      </c>
      <c r="F741" s="1089"/>
      <c r="G741" s="1089"/>
      <c r="H741" s="1091"/>
    </row>
    <row r="742" spans="2:8" hidden="1" outlineLevel="1">
      <c r="B742" s="1069" t="s">
        <v>2282</v>
      </c>
      <c r="C742" s="1070"/>
      <c r="D742" s="1071"/>
      <c r="E742" s="1088" t="s">
        <v>2283</v>
      </c>
      <c r="F742" s="1089"/>
      <c r="G742" s="1089"/>
      <c r="H742" s="1091"/>
    </row>
    <row r="743" spans="2:8" hidden="1" outlineLevel="1">
      <c r="B743" s="1069" t="s">
        <v>2284</v>
      </c>
      <c r="C743" s="1070"/>
      <c r="D743" s="1071"/>
      <c r="E743" s="1088" t="s">
        <v>1283</v>
      </c>
      <c r="F743" s="1089"/>
      <c r="G743" s="1089"/>
      <c r="H743" s="1091"/>
    </row>
    <row r="744" spans="2:8" hidden="1" outlineLevel="1">
      <c r="B744" s="1092" t="s">
        <v>2285</v>
      </c>
      <c r="C744" s="1093"/>
      <c r="D744" s="1094"/>
      <c r="E744" s="1095" t="s">
        <v>1285</v>
      </c>
      <c r="F744" s="1096"/>
      <c r="G744" s="1096"/>
      <c r="H744" s="1097"/>
    </row>
    <row r="745" spans="2:8" hidden="1" outlineLevel="1">
      <c r="B745" s="1098" t="s">
        <v>1286</v>
      </c>
      <c r="C745" s="1098"/>
      <c r="D745" s="1098"/>
      <c r="E745" s="1099"/>
      <c r="F745" s="1099"/>
      <c r="G745" s="1099"/>
      <c r="H745" s="1099"/>
    </row>
    <row r="746" spans="2:8" hidden="1" outlineLevel="1">
      <c r="B746" s="1100"/>
      <c r="C746" s="1100"/>
      <c r="D746" s="1100"/>
      <c r="E746" s="1101"/>
      <c r="F746" s="1101"/>
      <c r="G746" s="1101"/>
      <c r="H746" s="1101"/>
    </row>
    <row r="747" spans="2:8" hidden="1" outlineLevel="1">
      <c r="B747" s="1069" t="s">
        <v>1998</v>
      </c>
      <c r="C747" s="1070"/>
      <c r="D747" s="1070"/>
      <c r="E747" s="1070"/>
      <c r="F747" s="1070"/>
      <c r="G747" s="1070"/>
      <c r="H747" s="1071"/>
    </row>
    <row r="748" spans="2:8" hidden="1" outlineLevel="1">
      <c r="B748" s="1084"/>
      <c r="C748" s="1069" t="s">
        <v>1999</v>
      </c>
      <c r="D748" s="1071"/>
      <c r="E748" s="1088" t="s">
        <v>2000</v>
      </c>
      <c r="F748" s="1089"/>
      <c r="G748" s="1091"/>
      <c r="H748" s="456"/>
    </row>
    <row r="749" spans="2:8" hidden="1" outlineLevel="1">
      <c r="B749" s="1085"/>
      <c r="C749" s="1069" t="str">
        <f>+CONCATENATE('[4]company '!B755,"-""07 сар")</f>
        <v>-"07 сар</v>
      </c>
      <c r="D749" s="1071"/>
      <c r="E749" s="1081" t="s">
        <v>46</v>
      </c>
      <c r="F749" s="1082"/>
      <c r="G749" s="1083"/>
      <c r="H749" s="429" t="s">
        <v>2272</v>
      </c>
    </row>
    <row r="750" spans="2:8" hidden="1" outlineLevel="1">
      <c r="B750" s="1086"/>
      <c r="C750" s="1081" t="s">
        <v>2002</v>
      </c>
      <c r="D750" s="1083"/>
      <c r="E750" s="1081" t="s">
        <v>2003</v>
      </c>
      <c r="F750" s="1082"/>
      <c r="G750" s="1083"/>
      <c r="H750" s="429"/>
    </row>
    <row r="751" spans="2:8" hidden="1" outlineLevel="1">
      <c r="B751" s="487"/>
      <c r="C751" s="487"/>
      <c r="D751" s="487"/>
      <c r="E751" s="487"/>
      <c r="F751" s="487"/>
      <c r="G751" s="457"/>
      <c r="H751" s="458"/>
    </row>
    <row r="752" spans="2:8" hidden="1" outlineLevel="1">
      <c r="B752" s="1102" t="s">
        <v>2004</v>
      </c>
      <c r="C752" s="1102"/>
      <c r="D752" s="1102"/>
      <c r="E752" s="459"/>
      <c r="F752" s="487" t="s">
        <v>2005</v>
      </c>
      <c r="G752" s="457"/>
      <c r="H752" s="458" t="s">
        <v>2006</v>
      </c>
    </row>
    <row r="753" spans="2:8" hidden="1" outlineLevel="1">
      <c r="B753" s="487"/>
      <c r="C753" s="487"/>
      <c r="D753" s="487"/>
      <c r="E753" s="487"/>
      <c r="F753" s="487"/>
      <c r="G753" s="457"/>
      <c r="H753" s="458"/>
    </row>
    <row r="754" spans="2:8" hidden="1" outlineLevel="1">
      <c r="B754" s="487"/>
      <c r="C754" s="487"/>
      <c r="D754" s="487"/>
      <c r="E754" s="487"/>
      <c r="F754" s="487"/>
      <c r="G754" s="457"/>
      <c r="H754" s="458"/>
    </row>
    <row r="755" spans="2:8" ht="25.5" hidden="1" customHeight="1" outlineLevel="1">
      <c r="B755" s="1053" t="s">
        <v>2007</v>
      </c>
      <c r="C755" s="1053"/>
      <c r="D755" s="1053"/>
      <c r="E755" s="1053"/>
      <c r="F755" s="1053"/>
      <c r="G755" s="1053"/>
      <c r="H755" s="1053"/>
    </row>
    <row r="756" spans="2:8" hidden="1" outlineLevel="1">
      <c r="B756" s="1072" t="s">
        <v>2008</v>
      </c>
      <c r="C756" s="1073"/>
      <c r="D756" s="1073"/>
      <c r="E756" s="1073"/>
      <c r="F756" s="1074"/>
      <c r="G756" s="460" t="s">
        <v>2009</v>
      </c>
      <c r="H756" s="461">
        <f>+H757+H758</f>
        <v>24667017.265970096</v>
      </c>
    </row>
    <row r="757" spans="2:8" hidden="1" outlineLevel="1">
      <c r="B757" s="1078" t="s">
        <v>2010</v>
      </c>
      <c r="C757" s="1079"/>
      <c r="D757" s="1079"/>
      <c r="E757" s="1079"/>
      <c r="F757" s="1080"/>
      <c r="G757" s="460" t="s">
        <v>99</v>
      </c>
      <c r="H757" s="429"/>
    </row>
    <row r="758" spans="2:8" hidden="1" outlineLevel="1">
      <c r="B758" s="1078" t="s">
        <v>2011</v>
      </c>
      <c r="C758" s="1079"/>
      <c r="D758" s="1079"/>
      <c r="E758" s="1079"/>
      <c r="F758" s="1080"/>
      <c r="G758" s="460" t="s">
        <v>2012</v>
      </c>
      <c r="H758" s="429">
        <f>+H759+H765+H785</f>
        <v>24667017.265970096</v>
      </c>
    </row>
    <row r="759" spans="2:8" hidden="1" outlineLevel="1">
      <c r="B759" s="1084"/>
      <c r="C759" s="1072" t="s">
        <v>2013</v>
      </c>
      <c r="D759" s="1073"/>
      <c r="E759" s="1073"/>
      <c r="F759" s="1074"/>
      <c r="G759" s="460" t="s">
        <v>2014</v>
      </c>
      <c r="H759" s="461">
        <f>+H760+H761+H762+H763+H764</f>
        <v>24667017.265970096</v>
      </c>
    </row>
    <row r="760" spans="2:8" hidden="1" outlineLevel="1">
      <c r="B760" s="1085"/>
      <c r="C760" s="1075" t="s">
        <v>2015</v>
      </c>
      <c r="D760" s="1081" t="s">
        <v>2016</v>
      </c>
      <c r="E760" s="1082"/>
      <c r="F760" s="1083"/>
      <c r="G760" s="460" t="s">
        <v>173</v>
      </c>
      <c r="H760" s="429">
        <f>+SUMIFS(JURNAL!H:H,JURNAL!E:E,510000,JURNAL!C:C,"&gt;="&amp;J10,JURNAL!C:C,"&lt;="&amp;K10)+SUMIFS(JURNAL!H:H,JURNAL!E:E,510100,JURNAL!C:C,"&gt;="&amp;J10,JURNAL!C:C,"&lt;="&amp;K10)</f>
        <v>24667017.265970096</v>
      </c>
    </row>
    <row r="761" spans="2:8" hidden="1" outlineLevel="1">
      <c r="B761" s="1085"/>
      <c r="C761" s="1076"/>
      <c r="D761" s="1047" t="s">
        <v>2017</v>
      </c>
      <c r="E761" s="1048"/>
      <c r="F761" s="1049"/>
      <c r="G761" s="462" t="s">
        <v>174</v>
      </c>
      <c r="H761" s="429"/>
    </row>
    <row r="762" spans="2:8" hidden="1" outlineLevel="1">
      <c r="B762" s="1085"/>
      <c r="C762" s="1076"/>
      <c r="D762" s="1047" t="s">
        <v>837</v>
      </c>
      <c r="E762" s="1048"/>
      <c r="F762" s="1049"/>
      <c r="G762" s="462" t="s">
        <v>904</v>
      </c>
      <c r="H762" s="429"/>
    </row>
    <row r="763" spans="2:8" hidden="1" outlineLevel="1">
      <c r="B763" s="1085"/>
      <c r="C763" s="1076"/>
      <c r="D763" s="1047" t="s">
        <v>2018</v>
      </c>
      <c r="E763" s="1048"/>
      <c r="F763" s="1049"/>
      <c r="G763" s="462" t="s">
        <v>906</v>
      </c>
      <c r="H763" s="429"/>
    </row>
    <row r="764" spans="2:8" hidden="1" outlineLevel="1">
      <c r="B764" s="1085"/>
      <c r="C764" s="1077"/>
      <c r="D764" s="1047" t="s">
        <v>2019</v>
      </c>
      <c r="E764" s="1048"/>
      <c r="F764" s="1049"/>
      <c r="G764" s="462" t="s">
        <v>908</v>
      </c>
      <c r="H764" s="429"/>
    </row>
    <row r="765" spans="2:8" hidden="1" outlineLevel="1">
      <c r="B765" s="1085"/>
      <c r="C765" s="1072" t="s">
        <v>2020</v>
      </c>
      <c r="D765" s="1073"/>
      <c r="E765" s="1073"/>
      <c r="F765" s="1074"/>
      <c r="G765" s="460" t="s">
        <v>2021</v>
      </c>
      <c r="H765" s="461">
        <f>+H766+H767+H768+H769+H770+H771+H772+H773+H774+H775+H776+H777+H778+H779+H780</f>
        <v>0</v>
      </c>
    </row>
    <row r="766" spans="2:8" hidden="1" outlineLevel="1">
      <c r="B766" s="1085"/>
      <c r="C766" s="1075" t="s">
        <v>2015</v>
      </c>
      <c r="D766" s="1047" t="s">
        <v>2022</v>
      </c>
      <c r="E766" s="1048"/>
      <c r="F766" s="1049"/>
      <c r="G766" s="462" t="s">
        <v>912</v>
      </c>
      <c r="H766" s="429"/>
    </row>
    <row r="767" spans="2:8" hidden="1" outlineLevel="1">
      <c r="B767" s="1085"/>
      <c r="C767" s="1076"/>
      <c r="D767" s="1047" t="s">
        <v>2023</v>
      </c>
      <c r="E767" s="1048"/>
      <c r="F767" s="1049"/>
      <c r="G767" s="462" t="s">
        <v>914</v>
      </c>
      <c r="H767" s="429"/>
    </row>
    <row r="768" spans="2:8" hidden="1" outlineLevel="1">
      <c r="B768" s="1085"/>
      <c r="C768" s="1076"/>
      <c r="D768" s="1047" t="s">
        <v>2024</v>
      </c>
      <c r="E768" s="1048"/>
      <c r="F768" s="1049"/>
      <c r="G768" s="462" t="s">
        <v>916</v>
      </c>
      <c r="H768" s="429"/>
    </row>
    <row r="769" spans="2:8" hidden="1" outlineLevel="1">
      <c r="B769" s="1085"/>
      <c r="C769" s="1076"/>
      <c r="D769" s="1047" t="s">
        <v>2025</v>
      </c>
      <c r="E769" s="1048"/>
      <c r="F769" s="1049"/>
      <c r="G769" s="462" t="s">
        <v>918</v>
      </c>
      <c r="H769" s="429"/>
    </row>
    <row r="770" spans="2:8" hidden="1" outlineLevel="1">
      <c r="B770" s="1085"/>
      <c r="C770" s="1076"/>
      <c r="D770" s="1047" t="s">
        <v>2026</v>
      </c>
      <c r="E770" s="1048"/>
      <c r="F770" s="1049"/>
      <c r="G770" s="462" t="s">
        <v>920</v>
      </c>
      <c r="H770" s="429"/>
    </row>
    <row r="771" spans="2:8" hidden="1" outlineLevel="1">
      <c r="B771" s="1085"/>
      <c r="C771" s="1076"/>
      <c r="D771" s="1047" t="s">
        <v>2027</v>
      </c>
      <c r="E771" s="1048"/>
      <c r="F771" s="1049"/>
      <c r="G771" s="462" t="s">
        <v>922</v>
      </c>
      <c r="H771" s="429"/>
    </row>
    <row r="772" spans="2:8" hidden="1" outlineLevel="1">
      <c r="B772" s="1085"/>
      <c r="C772" s="1076"/>
      <c r="D772" s="1047" t="s">
        <v>2028</v>
      </c>
      <c r="E772" s="1048"/>
      <c r="F772" s="1049"/>
      <c r="G772" s="462" t="s">
        <v>924</v>
      </c>
      <c r="H772" s="429"/>
    </row>
    <row r="773" spans="2:8" hidden="1" outlineLevel="1">
      <c r="B773" s="1085"/>
      <c r="C773" s="1076"/>
      <c r="D773" s="1047" t="s">
        <v>2029</v>
      </c>
      <c r="E773" s="1048"/>
      <c r="F773" s="1049"/>
      <c r="G773" s="462" t="s">
        <v>926</v>
      </c>
      <c r="H773" s="429"/>
    </row>
    <row r="774" spans="2:8" hidden="1" outlineLevel="1">
      <c r="B774" s="1085"/>
      <c r="C774" s="1076"/>
      <c r="D774" s="1047" t="s">
        <v>2030</v>
      </c>
      <c r="E774" s="1048"/>
      <c r="F774" s="1049"/>
      <c r="G774" s="462" t="s">
        <v>928</v>
      </c>
      <c r="H774" s="429"/>
    </row>
    <row r="775" spans="2:8" hidden="1" outlineLevel="1">
      <c r="B775" s="1085"/>
      <c r="C775" s="1076"/>
      <c r="D775" s="1047" t="s">
        <v>2031</v>
      </c>
      <c r="E775" s="1048"/>
      <c r="F775" s="1049"/>
      <c r="G775" s="462" t="s">
        <v>930</v>
      </c>
      <c r="H775" s="429"/>
    </row>
    <row r="776" spans="2:8" hidden="1" outlineLevel="1">
      <c r="B776" s="1085"/>
      <c r="C776" s="1076"/>
      <c r="D776" s="1047" t="s">
        <v>2032</v>
      </c>
      <c r="E776" s="1048"/>
      <c r="F776" s="1049"/>
      <c r="G776" s="462" t="s">
        <v>932</v>
      </c>
      <c r="H776" s="429"/>
    </row>
    <row r="777" spans="2:8" hidden="1" outlineLevel="1">
      <c r="B777" s="1085"/>
      <c r="C777" s="1076"/>
      <c r="D777" s="1047" t="s">
        <v>2033</v>
      </c>
      <c r="E777" s="1048"/>
      <c r="F777" s="1049"/>
      <c r="G777" s="462" t="s">
        <v>934</v>
      </c>
      <c r="H777" s="429"/>
    </row>
    <row r="778" spans="2:8" hidden="1" outlineLevel="1">
      <c r="B778" s="1085"/>
      <c r="C778" s="1076"/>
      <c r="D778" s="1047" t="s">
        <v>2034</v>
      </c>
      <c r="E778" s="1048"/>
      <c r="F778" s="1049"/>
      <c r="G778" s="462" t="s">
        <v>936</v>
      </c>
      <c r="H778" s="429"/>
    </row>
    <row r="779" spans="2:8" hidden="1" outlineLevel="1">
      <c r="B779" s="1085"/>
      <c r="C779" s="1076"/>
      <c r="D779" s="1047" t="s">
        <v>2035</v>
      </c>
      <c r="E779" s="1048"/>
      <c r="F779" s="1049"/>
      <c r="G779" s="462" t="s">
        <v>944</v>
      </c>
      <c r="H779" s="429"/>
    </row>
    <row r="780" spans="2:8" hidden="1" outlineLevel="1">
      <c r="B780" s="1086"/>
      <c r="C780" s="1077"/>
      <c r="D780" s="1047" t="s">
        <v>2036</v>
      </c>
      <c r="E780" s="1048"/>
      <c r="F780" s="1049"/>
      <c r="G780" s="462" t="s">
        <v>946</v>
      </c>
      <c r="H780" s="429"/>
    </row>
    <row r="781" spans="2:8" hidden="1" outlineLevel="1">
      <c r="B781" s="1072" t="s">
        <v>2037</v>
      </c>
      <c r="C781" s="1073"/>
      <c r="D781" s="1073"/>
      <c r="E781" s="1073"/>
      <c r="F781" s="1074"/>
      <c r="G781" s="460" t="s">
        <v>2038</v>
      </c>
      <c r="H781" s="461">
        <f>+H759+H765</f>
        <v>24667017.265970096</v>
      </c>
    </row>
    <row r="782" spans="2:8" hidden="1" outlineLevel="1">
      <c r="B782" s="1072" t="s">
        <v>2039</v>
      </c>
      <c r="C782" s="1073"/>
      <c r="D782" s="1073"/>
      <c r="E782" s="1073"/>
      <c r="F782" s="1074"/>
      <c r="G782" s="460" t="s">
        <v>2040</v>
      </c>
      <c r="H782" s="461">
        <f>+H781*0.1</f>
        <v>2466701.7265970097</v>
      </c>
    </row>
    <row r="783" spans="2:8" hidden="1" outlineLevel="1">
      <c r="B783" s="1081" t="s">
        <v>2041</v>
      </c>
      <c r="C783" s="1082"/>
      <c r="D783" s="1082"/>
      <c r="E783" s="1082"/>
      <c r="F783" s="1083"/>
      <c r="G783" s="460" t="s">
        <v>2042</v>
      </c>
      <c r="H783" s="429"/>
    </row>
    <row r="784" spans="2:8" hidden="1" outlineLevel="1">
      <c r="B784" s="1081" t="s">
        <v>2043</v>
      </c>
      <c r="C784" s="1082"/>
      <c r="D784" s="1082"/>
      <c r="E784" s="1082"/>
      <c r="F784" s="1083"/>
      <c r="G784" s="460" t="s">
        <v>2044</v>
      </c>
      <c r="H784" s="429"/>
    </row>
    <row r="785" spans="2:8" hidden="1" outlineLevel="1">
      <c r="B785" s="1072" t="s">
        <v>2045</v>
      </c>
      <c r="C785" s="1073"/>
      <c r="D785" s="1073"/>
      <c r="E785" s="1073"/>
      <c r="F785" s="1074"/>
      <c r="G785" s="460" t="s">
        <v>2046</v>
      </c>
      <c r="H785" s="461">
        <f>+H783+H784</f>
        <v>0</v>
      </c>
    </row>
    <row r="786" spans="2:8" hidden="1" outlineLevel="1">
      <c r="B786" s="1072" t="s">
        <v>2039</v>
      </c>
      <c r="C786" s="1073"/>
      <c r="D786" s="1073"/>
      <c r="E786" s="1073"/>
      <c r="F786" s="1074"/>
      <c r="G786" s="460" t="s">
        <v>2047</v>
      </c>
      <c r="H786" s="461">
        <f>+H785*0%</f>
        <v>0</v>
      </c>
    </row>
    <row r="787" spans="2:8" hidden="1" outlineLevel="1">
      <c r="B787" s="1072" t="s">
        <v>2048</v>
      </c>
      <c r="C787" s="1073"/>
      <c r="D787" s="1073"/>
      <c r="E787" s="1073"/>
      <c r="F787" s="1074"/>
      <c r="G787" s="460" t="s">
        <v>2049</v>
      </c>
      <c r="H787" s="461">
        <f>+H782+H786</f>
        <v>2466701.7265970097</v>
      </c>
    </row>
    <row r="788" spans="2:8" hidden="1" outlineLevel="1"/>
    <row r="789" spans="2:8" ht="20.25" hidden="1" customHeight="1" outlineLevel="1">
      <c r="B789" s="1053" t="s">
        <v>2050</v>
      </c>
      <c r="C789" s="1053"/>
      <c r="D789" s="1053"/>
      <c r="E789" s="1053"/>
      <c r="F789" s="1053"/>
      <c r="G789" s="1053"/>
      <c r="H789" s="1053"/>
    </row>
    <row r="790" spans="2:8" hidden="1" outlineLevel="1">
      <c r="B790" s="1072" t="s">
        <v>2051</v>
      </c>
      <c r="C790" s="1073"/>
      <c r="D790" s="1073"/>
      <c r="E790" s="1073"/>
      <c r="F790" s="1074"/>
      <c r="G790" s="460" t="s">
        <v>2052</v>
      </c>
      <c r="H790" s="429"/>
    </row>
    <row r="791" spans="2:8" hidden="1" outlineLevel="1">
      <c r="B791" s="1078" t="s">
        <v>2053</v>
      </c>
      <c r="C791" s="1079"/>
      <c r="D791" s="1079"/>
      <c r="E791" s="1079"/>
      <c r="F791" s="1080"/>
      <c r="G791" s="460" t="s">
        <v>2054</v>
      </c>
      <c r="H791" s="429">
        <f>+H792+H793+H794+H795</f>
        <v>6229838.4000000004</v>
      </c>
    </row>
    <row r="792" spans="2:8" hidden="1" outlineLevel="1">
      <c r="B792" s="1075" t="s">
        <v>2015</v>
      </c>
      <c r="C792" s="1047" t="s">
        <v>2055</v>
      </c>
      <c r="D792" s="1048"/>
      <c r="E792" s="1048"/>
      <c r="F792" s="1049"/>
      <c r="G792" s="460" t="s">
        <v>2056</v>
      </c>
      <c r="H792" s="429"/>
    </row>
    <row r="793" spans="2:8" hidden="1" outlineLevel="1">
      <c r="B793" s="1076"/>
      <c r="C793" s="1047" t="s">
        <v>2057</v>
      </c>
      <c r="D793" s="1048"/>
      <c r="E793" s="1048"/>
      <c r="F793" s="1049"/>
      <c r="G793" s="460" t="s">
        <v>2058</v>
      </c>
      <c r="H793" s="429">
        <f>+M10*10</f>
        <v>6229838.4000000004</v>
      </c>
    </row>
    <row r="794" spans="2:8" hidden="1" outlineLevel="1">
      <c r="B794" s="1076"/>
      <c r="C794" s="1047" t="s">
        <v>2059</v>
      </c>
      <c r="D794" s="1048"/>
      <c r="E794" s="1048"/>
      <c r="F794" s="1049"/>
      <c r="G794" s="460" t="s">
        <v>2060</v>
      </c>
      <c r="H794" s="429"/>
    </row>
    <row r="795" spans="2:8" hidden="1" outlineLevel="1">
      <c r="B795" s="1077"/>
      <c r="C795" s="1047" t="s">
        <v>2061</v>
      </c>
      <c r="D795" s="1048"/>
      <c r="E795" s="1048"/>
      <c r="F795" s="1049"/>
      <c r="G795" s="460" t="s">
        <v>2062</v>
      </c>
      <c r="H795" s="429"/>
    </row>
    <row r="796" spans="2:8" hidden="1" outlineLevel="1">
      <c r="B796" s="1072" t="s">
        <v>2063</v>
      </c>
      <c r="C796" s="1073"/>
      <c r="D796" s="1073"/>
      <c r="E796" s="1073"/>
      <c r="F796" s="1074"/>
      <c r="G796" s="460" t="s">
        <v>2064</v>
      </c>
      <c r="H796" s="461">
        <f>+H791*0.1</f>
        <v>622983.84000000008</v>
      </c>
    </row>
    <row r="797" spans="2:8" hidden="1" outlineLevel="1">
      <c r="B797" s="1072" t="s">
        <v>2065</v>
      </c>
      <c r="C797" s="1073"/>
      <c r="D797" s="1073"/>
      <c r="E797" s="1073"/>
      <c r="F797" s="1074"/>
      <c r="G797" s="460" t="s">
        <v>2066</v>
      </c>
      <c r="H797" s="461">
        <f>+H798+H799+H800+H801+H802+H803</f>
        <v>0</v>
      </c>
    </row>
    <row r="798" spans="2:8" hidden="1" outlineLevel="1">
      <c r="B798" s="1075" t="s">
        <v>2015</v>
      </c>
      <c r="C798" s="1047" t="s">
        <v>2067</v>
      </c>
      <c r="D798" s="1048"/>
      <c r="E798" s="1048"/>
      <c r="F798" s="1049"/>
      <c r="G798" s="460" t="s">
        <v>2068</v>
      </c>
      <c r="H798" s="429"/>
    </row>
    <row r="799" spans="2:8" hidden="1" outlineLevel="1">
      <c r="B799" s="1076"/>
      <c r="C799" s="1047" t="s">
        <v>2069</v>
      </c>
      <c r="D799" s="1048"/>
      <c r="E799" s="1048"/>
      <c r="F799" s="1049"/>
      <c r="G799" s="460" t="s">
        <v>2070</v>
      </c>
      <c r="H799" s="429"/>
    </row>
    <row r="800" spans="2:8" hidden="1" outlineLevel="1">
      <c r="B800" s="1076"/>
      <c r="C800" s="1047" t="s">
        <v>2071</v>
      </c>
      <c r="D800" s="1048"/>
      <c r="E800" s="1048"/>
      <c r="F800" s="1049"/>
      <c r="G800" s="460" t="s">
        <v>2072</v>
      </c>
      <c r="H800" s="429"/>
    </row>
    <row r="801" spans="2:8" hidden="1" outlineLevel="1">
      <c r="B801" s="1076"/>
      <c r="C801" s="1047" t="s">
        <v>2073</v>
      </c>
      <c r="D801" s="1048"/>
      <c r="E801" s="1048"/>
      <c r="F801" s="1049"/>
      <c r="G801" s="460" t="s">
        <v>2074</v>
      </c>
      <c r="H801" s="429"/>
    </row>
    <row r="802" spans="2:8" hidden="1" outlineLevel="1">
      <c r="B802" s="1076"/>
      <c r="C802" s="1047" t="s">
        <v>2075</v>
      </c>
      <c r="D802" s="1048"/>
      <c r="E802" s="1048"/>
      <c r="F802" s="1049"/>
      <c r="G802" s="460" t="s">
        <v>2076</v>
      </c>
      <c r="H802" s="429"/>
    </row>
    <row r="803" spans="2:8" hidden="1" outlineLevel="1">
      <c r="B803" s="1077"/>
      <c r="C803" s="1047" t="s">
        <v>2077</v>
      </c>
      <c r="D803" s="1048"/>
      <c r="E803" s="1048"/>
      <c r="F803" s="1049"/>
      <c r="G803" s="460" t="s">
        <v>2078</v>
      </c>
      <c r="H803" s="429"/>
    </row>
    <row r="804" spans="2:8" hidden="1" outlineLevel="1">
      <c r="B804" s="1072" t="s">
        <v>2079</v>
      </c>
      <c r="C804" s="1073"/>
      <c r="D804" s="1073"/>
      <c r="E804" s="1073"/>
      <c r="F804" s="1074"/>
      <c r="G804" s="460" t="s">
        <v>2080</v>
      </c>
      <c r="H804" s="461">
        <f>+H796-H797</f>
        <v>622983.84000000008</v>
      </c>
    </row>
    <row r="805" spans="2:8" hidden="1" outlineLevel="1"/>
    <row r="806" spans="2:8" ht="24.75" hidden="1" customHeight="1" outlineLevel="1">
      <c r="B806" s="1053" t="s">
        <v>2081</v>
      </c>
      <c r="C806" s="1053"/>
      <c r="D806" s="1053"/>
      <c r="E806" s="1053"/>
      <c r="F806" s="1053"/>
      <c r="G806" s="1053"/>
      <c r="H806" s="1053"/>
    </row>
    <row r="807" spans="2:8" hidden="1" outlineLevel="1">
      <c r="B807" s="1047" t="s">
        <v>2082</v>
      </c>
      <c r="C807" s="1048"/>
      <c r="D807" s="1048"/>
      <c r="E807" s="1048"/>
      <c r="F807" s="1049"/>
      <c r="G807" s="460" t="s">
        <v>2083</v>
      </c>
      <c r="H807" s="429"/>
    </row>
    <row r="808" spans="2:8" hidden="1" outlineLevel="1">
      <c r="B808" s="1047" t="s">
        <v>2084</v>
      </c>
      <c r="C808" s="1048"/>
      <c r="D808" s="1048"/>
      <c r="E808" s="1048"/>
      <c r="F808" s="1049"/>
      <c r="G808" s="460" t="s">
        <v>2085</v>
      </c>
      <c r="H808" s="429"/>
    </row>
    <row r="809" spans="2:8" hidden="1" outlineLevel="1">
      <c r="B809" s="1050" t="s">
        <v>2086</v>
      </c>
      <c r="C809" s="1051"/>
      <c r="D809" s="1051"/>
      <c r="E809" s="1051"/>
      <c r="F809" s="1052"/>
      <c r="G809" s="460" t="s">
        <v>2087</v>
      </c>
      <c r="H809" s="429">
        <f>+(H807+H808)*0.1</f>
        <v>0</v>
      </c>
    </row>
    <row r="810" spans="2:8" hidden="1" outlineLevel="1">
      <c r="B810" s="1047" t="s">
        <v>2088</v>
      </c>
      <c r="C810" s="1048"/>
      <c r="D810" s="1048"/>
      <c r="E810" s="1048"/>
      <c r="F810" s="1049"/>
      <c r="G810" s="460" t="s">
        <v>2089</v>
      </c>
      <c r="H810" s="429"/>
    </row>
    <row r="811" spans="2:8" hidden="1" outlineLevel="1">
      <c r="B811" s="1047" t="s">
        <v>2090</v>
      </c>
      <c r="C811" s="1048"/>
      <c r="D811" s="1048"/>
      <c r="E811" s="1048"/>
      <c r="F811" s="1049"/>
      <c r="G811" s="460" t="s">
        <v>2091</v>
      </c>
      <c r="H811" s="429"/>
    </row>
    <row r="812" spans="2:8" hidden="1" outlineLevel="1">
      <c r="B812" s="1050" t="s">
        <v>2092</v>
      </c>
      <c r="C812" s="1051"/>
      <c r="D812" s="1051"/>
      <c r="E812" s="1051"/>
      <c r="F812" s="1052"/>
      <c r="G812" s="460" t="s">
        <v>2093</v>
      </c>
      <c r="H812" s="429">
        <f>+(H810+H811)*0.1</f>
        <v>0</v>
      </c>
    </row>
    <row r="813" spans="2:8" hidden="1" outlineLevel="1"/>
    <row r="814" spans="2:8" hidden="1" outlineLevel="1">
      <c r="B814" s="1053" t="s">
        <v>2094</v>
      </c>
      <c r="C814" s="1053"/>
      <c r="D814" s="1053"/>
      <c r="E814" s="1053"/>
      <c r="F814" s="1053"/>
      <c r="G814" s="1053"/>
      <c r="H814" s="1053"/>
    </row>
    <row r="815" spans="2:8" hidden="1" outlineLevel="1">
      <c r="B815" s="1050" t="s">
        <v>2095</v>
      </c>
      <c r="C815" s="1051"/>
      <c r="D815" s="1051"/>
      <c r="E815" s="1051"/>
      <c r="F815" s="1052"/>
      <c r="G815" s="460" t="s">
        <v>2096</v>
      </c>
      <c r="H815" s="429">
        <f>+H787+H809</f>
        <v>2466701.7265970097</v>
      </c>
    </row>
    <row r="816" spans="2:8" hidden="1" outlineLevel="1">
      <c r="B816" s="1050" t="s">
        <v>2097</v>
      </c>
      <c r="C816" s="1051"/>
      <c r="D816" s="1051"/>
      <c r="E816" s="1051"/>
      <c r="F816" s="1052"/>
      <c r="G816" s="460" t="s">
        <v>2098</v>
      </c>
      <c r="H816" s="429">
        <f>+H804+H812</f>
        <v>622983.84000000008</v>
      </c>
    </row>
    <row r="817" spans="2:8" hidden="1" outlineLevel="1"/>
    <row r="818" spans="2:8" hidden="1" outlineLevel="1">
      <c r="B818" s="1053" t="s">
        <v>2099</v>
      </c>
      <c r="C818" s="1053"/>
      <c r="D818" s="1053"/>
      <c r="E818" s="1053"/>
      <c r="F818" s="1053"/>
      <c r="G818" s="1053"/>
      <c r="H818" s="1053"/>
    </row>
    <row r="819" spans="2:8" hidden="1" outlineLevel="1">
      <c r="B819" s="1047" t="s">
        <v>2100</v>
      </c>
      <c r="C819" s="1048"/>
      <c r="D819" s="1048"/>
      <c r="E819" s="1048"/>
      <c r="F819" s="1049"/>
      <c r="G819" s="460" t="s">
        <v>2101</v>
      </c>
      <c r="H819" s="429"/>
    </row>
    <row r="820" spans="2:8" hidden="1" outlineLevel="1">
      <c r="B820" s="1050" t="s">
        <v>2102</v>
      </c>
      <c r="C820" s="1051"/>
      <c r="D820" s="1051"/>
      <c r="E820" s="1051"/>
      <c r="F820" s="1052"/>
      <c r="G820" s="460" t="s">
        <v>2103</v>
      </c>
      <c r="H820" s="429">
        <f>+H819*0.1</f>
        <v>0</v>
      </c>
    </row>
    <row r="821" spans="2:8" hidden="1" outlineLevel="1">
      <c r="B821" s="1047" t="s">
        <v>2104</v>
      </c>
      <c r="C821" s="1048"/>
      <c r="D821" s="1048"/>
      <c r="E821" s="1048"/>
      <c r="F821" s="1049"/>
      <c r="G821" s="460" t="s">
        <v>2105</v>
      </c>
      <c r="H821" s="429"/>
    </row>
    <row r="822" spans="2:8" hidden="1" outlineLevel="1">
      <c r="B822" s="1050" t="s">
        <v>2092</v>
      </c>
      <c r="C822" s="1051"/>
      <c r="D822" s="1051"/>
      <c r="E822" s="1051"/>
      <c r="F822" s="1052"/>
      <c r="G822" s="460" t="s">
        <v>2106</v>
      </c>
      <c r="H822" s="429">
        <f>+H821*0.1</f>
        <v>0</v>
      </c>
    </row>
    <row r="823" spans="2:8" hidden="1" outlineLevel="1"/>
    <row r="824" spans="2:8" hidden="1" outlineLevel="1">
      <c r="B824" s="1053" t="s">
        <v>2107</v>
      </c>
      <c r="C824" s="1053"/>
      <c r="D824" s="1053"/>
      <c r="E824" s="1053"/>
      <c r="F824" s="1053"/>
      <c r="G824" s="1053"/>
      <c r="H824" s="1053"/>
    </row>
    <row r="825" spans="2:8" hidden="1" outlineLevel="1">
      <c r="B825" s="1054" t="s">
        <v>1322</v>
      </c>
      <c r="C825" s="1054"/>
      <c r="D825" s="1055" t="s">
        <v>2108</v>
      </c>
      <c r="E825" s="1056"/>
      <c r="F825" s="1057"/>
      <c r="G825" s="460" t="s">
        <v>2109</v>
      </c>
      <c r="H825" s="429">
        <f>+H815-H820</f>
        <v>2466701.7265970097</v>
      </c>
    </row>
    <row r="826" spans="2:8" hidden="1" outlineLevel="1">
      <c r="B826" s="1054"/>
      <c r="C826" s="1054"/>
      <c r="D826" s="1055" t="s">
        <v>2110</v>
      </c>
      <c r="E826" s="1056"/>
      <c r="F826" s="1057"/>
      <c r="G826" s="460" t="s">
        <v>2111</v>
      </c>
      <c r="H826" s="429">
        <f>+H816-H822</f>
        <v>622983.84000000008</v>
      </c>
    </row>
    <row r="827" spans="2:8" hidden="1" outlineLevel="1">
      <c r="B827" s="1054"/>
      <c r="C827" s="1054"/>
      <c r="D827" s="1055" t="s">
        <v>2112</v>
      </c>
      <c r="E827" s="1056"/>
      <c r="F827" s="1057"/>
      <c r="G827" s="460" t="s">
        <v>2113</v>
      </c>
      <c r="H827" s="429">
        <f>+H825-H826</f>
        <v>1843717.8865970096</v>
      </c>
    </row>
    <row r="828" spans="2:8" hidden="1" outlineLevel="1">
      <c r="B828" s="1054"/>
      <c r="C828" s="1054"/>
      <c r="D828" s="1055" t="s">
        <v>2114</v>
      </c>
      <c r="E828" s="1056"/>
      <c r="F828" s="1057"/>
      <c r="G828" s="460" t="s">
        <v>2115</v>
      </c>
      <c r="H828" s="429"/>
    </row>
    <row r="829" spans="2:8" hidden="1" outlineLevel="1"/>
    <row r="830" spans="2:8" hidden="1" outlineLevel="1">
      <c r="B830" s="1062" t="s">
        <v>2116</v>
      </c>
      <c r="C830" s="1062"/>
      <c r="D830" s="1062"/>
      <c r="E830" s="1062"/>
      <c r="F830" s="1062"/>
      <c r="G830" s="463" t="s">
        <v>2117</v>
      </c>
      <c r="H830" s="464" t="s">
        <v>2118</v>
      </c>
    </row>
    <row r="831" spans="2:8" hidden="1" outlineLevel="1">
      <c r="B831" s="1058" t="s">
        <v>2119</v>
      </c>
      <c r="C831" s="1058"/>
      <c r="D831" s="1058"/>
      <c r="E831" s="465" t="s">
        <v>1079</v>
      </c>
      <c r="F831" s="466">
        <v>1</v>
      </c>
      <c r="G831" s="467">
        <f>+O9</f>
        <v>0</v>
      </c>
      <c r="H831" s="468"/>
    </row>
    <row r="832" spans="2:8" hidden="1" outlineLevel="1">
      <c r="B832" s="1058"/>
      <c r="C832" s="1058"/>
      <c r="D832" s="1058"/>
      <c r="E832" s="465" t="s">
        <v>1080</v>
      </c>
      <c r="F832" s="466">
        <f>+F831+1</f>
        <v>2</v>
      </c>
      <c r="G832" s="469"/>
      <c r="H832" s="470">
        <f>+P9</f>
        <v>61616991.921306424</v>
      </c>
    </row>
    <row r="833" spans="2:11" hidden="1" outlineLevel="1">
      <c r="B833" s="1058" t="s">
        <v>2120</v>
      </c>
      <c r="C833" s="1058"/>
      <c r="D833" s="1058"/>
      <c r="E833" s="465" t="s">
        <v>1079</v>
      </c>
      <c r="F833" s="466">
        <f t="shared" ref="F833:F846" si="8">+F832+1</f>
        <v>3</v>
      </c>
      <c r="G833" s="467"/>
      <c r="H833" s="468"/>
    </row>
    <row r="834" spans="2:11" hidden="1" outlineLevel="1">
      <c r="B834" s="1058"/>
      <c r="C834" s="1058"/>
      <c r="D834" s="1058"/>
      <c r="E834" s="465" t="s">
        <v>1080</v>
      </c>
      <c r="F834" s="466">
        <f t="shared" si="8"/>
        <v>4</v>
      </c>
      <c r="G834" s="469"/>
      <c r="H834" s="470">
        <f>+H827</f>
        <v>1843717.8865970096</v>
      </c>
    </row>
    <row r="835" spans="2:11" hidden="1" outlineLevel="1">
      <c r="B835" s="1059" t="s">
        <v>1085</v>
      </c>
      <c r="C835" s="1060"/>
      <c r="D835" s="1060"/>
      <c r="E835" s="1061"/>
      <c r="F835" s="466">
        <f t="shared" si="8"/>
        <v>5</v>
      </c>
      <c r="G835" s="467">
        <f>+L10</f>
        <v>0</v>
      </c>
      <c r="H835" s="468"/>
    </row>
    <row r="836" spans="2:11" hidden="1" outlineLevel="1">
      <c r="B836" s="1063" t="s">
        <v>2121</v>
      </c>
      <c r="C836" s="1064"/>
      <c r="D836" s="1064"/>
      <c r="E836" s="1065"/>
      <c r="F836" s="466">
        <f t="shared" si="8"/>
        <v>6</v>
      </c>
      <c r="G836" s="472"/>
      <c r="H836" s="468"/>
    </row>
    <row r="837" spans="2:11" hidden="1" outlineLevel="1">
      <c r="B837" s="1063" t="s">
        <v>2121</v>
      </c>
      <c r="C837" s="1064"/>
      <c r="D837" s="1064"/>
      <c r="E837" s="1065"/>
      <c r="F837" s="466">
        <f t="shared" si="8"/>
        <v>7</v>
      </c>
      <c r="G837" s="469"/>
      <c r="H837" s="471"/>
    </row>
    <row r="838" spans="2:11" hidden="1" outlineLevel="1">
      <c r="B838" s="1058" t="s">
        <v>2122</v>
      </c>
      <c r="C838" s="1058"/>
      <c r="D838" s="1058"/>
      <c r="E838" s="465" t="s">
        <v>1079</v>
      </c>
      <c r="F838" s="466">
        <f t="shared" si="8"/>
        <v>8</v>
      </c>
      <c r="G838" s="472"/>
      <c r="H838" s="468"/>
    </row>
    <row r="839" spans="2:11" hidden="1" outlineLevel="1">
      <c r="B839" s="1058"/>
      <c r="C839" s="1058"/>
      <c r="D839" s="1058"/>
      <c r="E839" s="465" t="s">
        <v>1080</v>
      </c>
      <c r="F839" s="466">
        <f t="shared" si="8"/>
        <v>9</v>
      </c>
      <c r="G839" s="469"/>
      <c r="H839" s="471"/>
    </row>
    <row r="840" spans="2:11" hidden="1" outlineLevel="1">
      <c r="B840" s="1058" t="s">
        <v>2123</v>
      </c>
      <c r="C840" s="1058"/>
      <c r="D840" s="1058"/>
      <c r="E840" s="465" t="s">
        <v>1079</v>
      </c>
      <c r="F840" s="466">
        <f t="shared" si="8"/>
        <v>10</v>
      </c>
      <c r="G840" s="472"/>
      <c r="H840" s="468"/>
    </row>
    <row r="841" spans="2:11" hidden="1" outlineLevel="1">
      <c r="B841" s="1058"/>
      <c r="C841" s="1058"/>
      <c r="D841" s="1058"/>
      <c r="E841" s="465" t="s">
        <v>1080</v>
      </c>
      <c r="F841" s="466">
        <f t="shared" si="8"/>
        <v>11</v>
      </c>
      <c r="G841" s="469"/>
      <c r="H841" s="471"/>
    </row>
    <row r="842" spans="2:11" hidden="1" outlineLevel="1">
      <c r="B842" s="1059" t="s">
        <v>2124</v>
      </c>
      <c r="C842" s="1060"/>
      <c r="D842" s="1060"/>
      <c r="E842" s="1061"/>
      <c r="F842" s="466">
        <f t="shared" si="8"/>
        <v>12</v>
      </c>
      <c r="G842" s="472"/>
      <c r="H842" s="468"/>
    </row>
    <row r="843" spans="2:11" hidden="1" outlineLevel="1">
      <c r="B843" s="1058" t="s">
        <v>2125</v>
      </c>
      <c r="C843" s="1058"/>
      <c r="D843" s="1058"/>
      <c r="E843" s="465" t="s">
        <v>1079</v>
      </c>
      <c r="F843" s="466">
        <f t="shared" si="8"/>
        <v>13</v>
      </c>
      <c r="G843" s="472"/>
      <c r="H843" s="468"/>
    </row>
    <row r="844" spans="2:11" hidden="1" outlineLevel="1">
      <c r="B844" s="1058"/>
      <c r="C844" s="1058"/>
      <c r="D844" s="1058"/>
      <c r="E844" s="465" t="s">
        <v>1080</v>
      </c>
      <c r="F844" s="466">
        <f t="shared" si="8"/>
        <v>14</v>
      </c>
      <c r="G844" s="469"/>
      <c r="H844" s="471"/>
    </row>
    <row r="845" spans="2:11" hidden="1" outlineLevel="1">
      <c r="B845" s="1058" t="s">
        <v>2126</v>
      </c>
      <c r="C845" s="1058"/>
      <c r="D845" s="1058"/>
      <c r="E845" s="465" t="s">
        <v>1079</v>
      </c>
      <c r="F845" s="466">
        <f t="shared" si="8"/>
        <v>15</v>
      </c>
      <c r="G845" s="467">
        <f>IF((G831+G833+G835-H832-H834)&gt;0,(G831+G833+G835-H832-H834),0)</f>
        <v>0</v>
      </c>
      <c r="H845" s="468"/>
    </row>
    <row r="846" spans="2:11" hidden="1" outlineLevel="1">
      <c r="B846" s="1058"/>
      <c r="C846" s="1058"/>
      <c r="D846" s="1058"/>
      <c r="E846" s="465" t="s">
        <v>1080</v>
      </c>
      <c r="F846" s="466">
        <f t="shared" si="8"/>
        <v>16</v>
      </c>
      <c r="G846" s="473"/>
      <c r="H846" s="520">
        <f>+IF((H832+H834-G831-G833-G835)&gt;0,(H832+H834-G831-G833-G835),0)</f>
        <v>63460709.807903431</v>
      </c>
      <c r="J846" s="80">
        <f>+P10</f>
        <v>63460709.807888933</v>
      </c>
      <c r="K846" s="80">
        <f>+J846-H846</f>
        <v>-1.449882984161377E-5</v>
      </c>
    </row>
    <row r="847" spans="2:11" hidden="1" outlineLevel="1"/>
    <row r="848" spans="2:11" hidden="1" outlineLevel="1"/>
    <row r="849" spans="1:8" hidden="1" outlineLevel="1">
      <c r="B849" s="331" t="s">
        <v>2127</v>
      </c>
      <c r="E849" s="331" t="s">
        <v>1090</v>
      </c>
    </row>
    <row r="850" spans="1:8" hidden="1" outlineLevel="1">
      <c r="B850" s="331"/>
    </row>
    <row r="851" spans="1:8" hidden="1" outlineLevel="1">
      <c r="B851" s="331" t="str">
        <f>+CONCATENATE('[4]company '!B757," . . . . . . . . . . . . . . . . . .  ... . . . .. . . . ",'[4]company '!C757)</f>
        <v xml:space="preserve"> . . . . . . . . . . . . . . . . . .  ... . . . .. . . . </v>
      </c>
      <c r="E851" s="331" t="s">
        <v>2128</v>
      </c>
    </row>
    <row r="852" spans="1:8" hidden="1" outlineLevel="1">
      <c r="B852" s="331"/>
    </row>
    <row r="853" spans="1:8" hidden="1" outlineLevel="1">
      <c r="B853" s="331" t="str">
        <f>+CONCATENATE('[4]company '!B760,". . . . . . . . . . . . . . . . . . . . ",'[4]company '!C760)</f>
        <v xml:space="preserve">. . . . . . . . . . . . . . . . . . . . </v>
      </c>
    </row>
    <row r="854" spans="1:8" collapsed="1">
      <c r="A854" s="231" t="s">
        <v>2654</v>
      </c>
    </row>
    <row r="855" spans="1:8" hidden="1" outlineLevel="1">
      <c r="B855" s="445"/>
      <c r="C855" s="445"/>
      <c r="D855" s="445"/>
      <c r="E855" s="486"/>
      <c r="F855" s="1066" t="s">
        <v>1984</v>
      </c>
      <c r="G855" s="1066"/>
      <c r="H855" s="1066"/>
    </row>
    <row r="856" spans="1:8" hidden="1" outlineLevel="1">
      <c r="D856" s="445"/>
      <c r="E856" s="1067" t="s">
        <v>1988</v>
      </c>
      <c r="F856" s="1067"/>
      <c r="G856" s="1067"/>
      <c r="H856" s="1067"/>
    </row>
    <row r="857" spans="1:8" ht="18.75" hidden="1" outlineLevel="1">
      <c r="G857" s="452" t="s">
        <v>1994</v>
      </c>
      <c r="H857" s="453" t="s">
        <v>1995</v>
      </c>
    </row>
    <row r="858" spans="1:8" ht="21" hidden="1" outlineLevel="1" thickBot="1">
      <c r="B858" s="1068" t="s">
        <v>1996</v>
      </c>
      <c r="C858" s="1068"/>
      <c r="D858" s="1068"/>
      <c r="E858" s="1068"/>
      <c r="F858" s="1068"/>
      <c r="G858" s="1068"/>
      <c r="H858" s="1068"/>
    </row>
    <row r="859" spans="1:8" ht="13.5" hidden="1" outlineLevel="1" thickTop="1"/>
    <row r="860" spans="1:8" hidden="1" outlineLevel="1">
      <c r="B860" s="1069" t="s">
        <v>1997</v>
      </c>
      <c r="C860" s="1070"/>
      <c r="D860" s="1070"/>
      <c r="E860" s="1070"/>
      <c r="F860" s="1070"/>
      <c r="G860" s="1070"/>
      <c r="H860" s="1071"/>
    </row>
    <row r="861" spans="1:8" hidden="1" outlineLevel="1">
      <c r="B861" s="1041" t="s">
        <v>2278</v>
      </c>
      <c r="C861" s="1042"/>
      <c r="D861" s="1043"/>
      <c r="E861" s="1044" t="s">
        <v>2279</v>
      </c>
      <c r="F861" s="1045"/>
      <c r="G861" s="1045"/>
      <c r="H861" s="1046"/>
    </row>
    <row r="862" spans="1:8" hidden="1" outlineLevel="1"/>
    <row r="863" spans="1:8" hidden="1" outlineLevel="1">
      <c r="B863" s="1069" t="s">
        <v>2280</v>
      </c>
      <c r="C863" s="1070"/>
      <c r="D863" s="1071"/>
      <c r="E863" s="1088" t="s">
        <v>2281</v>
      </c>
      <c r="F863" s="1089"/>
      <c r="G863" s="1089"/>
      <c r="H863" s="1091"/>
    </row>
    <row r="864" spans="1:8" hidden="1" outlineLevel="1">
      <c r="B864" s="1069" t="s">
        <v>2282</v>
      </c>
      <c r="C864" s="1070"/>
      <c r="D864" s="1071"/>
      <c r="E864" s="1088" t="s">
        <v>2283</v>
      </c>
      <c r="F864" s="1089"/>
      <c r="G864" s="1089"/>
      <c r="H864" s="1091"/>
    </row>
    <row r="865" spans="2:8" hidden="1" outlineLevel="1">
      <c r="B865" s="1069" t="s">
        <v>2284</v>
      </c>
      <c r="C865" s="1070"/>
      <c r="D865" s="1071"/>
      <c r="E865" s="1088" t="s">
        <v>1283</v>
      </c>
      <c r="F865" s="1089"/>
      <c r="G865" s="1089"/>
      <c r="H865" s="1091"/>
    </row>
    <row r="866" spans="2:8" hidden="1" outlineLevel="1">
      <c r="B866" s="1092" t="s">
        <v>2285</v>
      </c>
      <c r="C866" s="1093"/>
      <c r="D866" s="1094"/>
      <c r="E866" s="1095" t="s">
        <v>1285</v>
      </c>
      <c r="F866" s="1096"/>
      <c r="G866" s="1096"/>
      <c r="H866" s="1097"/>
    </row>
    <row r="867" spans="2:8" hidden="1" outlineLevel="1">
      <c r="B867" s="1098" t="s">
        <v>1286</v>
      </c>
      <c r="C867" s="1098"/>
      <c r="D867" s="1098"/>
      <c r="E867" s="1099"/>
      <c r="F867" s="1099"/>
      <c r="G867" s="1099"/>
      <c r="H867" s="1099"/>
    </row>
    <row r="868" spans="2:8" hidden="1" outlineLevel="1">
      <c r="B868" s="1100"/>
      <c r="C868" s="1100"/>
      <c r="D868" s="1100"/>
      <c r="E868" s="1101"/>
      <c r="F868" s="1101"/>
      <c r="G868" s="1101"/>
      <c r="H868" s="1101"/>
    </row>
    <row r="869" spans="2:8" hidden="1" outlineLevel="1">
      <c r="B869" s="1069" t="s">
        <v>1998</v>
      </c>
      <c r="C869" s="1070"/>
      <c r="D869" s="1070"/>
      <c r="E869" s="1070"/>
      <c r="F869" s="1070"/>
      <c r="G869" s="1070"/>
      <c r="H869" s="1071"/>
    </row>
    <row r="870" spans="2:8" hidden="1" outlineLevel="1">
      <c r="B870" s="1084"/>
      <c r="C870" s="1069" t="s">
        <v>1999</v>
      </c>
      <c r="D870" s="1071"/>
      <c r="E870" s="1088" t="s">
        <v>2000</v>
      </c>
      <c r="F870" s="1089"/>
      <c r="G870" s="1091"/>
      <c r="H870" s="456"/>
    </row>
    <row r="871" spans="2:8" hidden="1" outlineLevel="1">
      <c r="B871" s="1085"/>
      <c r="C871" s="1069" t="str">
        <f>+CONCATENATE('[4]company '!B877,"-""08 сар")</f>
        <v>-"08 сар</v>
      </c>
      <c r="D871" s="1071"/>
      <c r="E871" s="1081" t="s">
        <v>46</v>
      </c>
      <c r="F871" s="1082"/>
      <c r="G871" s="1083"/>
      <c r="H871" s="429" t="s">
        <v>2273</v>
      </c>
    </row>
    <row r="872" spans="2:8" hidden="1" outlineLevel="1">
      <c r="B872" s="1086"/>
      <c r="C872" s="1081" t="s">
        <v>2002</v>
      </c>
      <c r="D872" s="1083"/>
      <c r="E872" s="1081" t="s">
        <v>2003</v>
      </c>
      <c r="F872" s="1082"/>
      <c r="G872" s="1083"/>
      <c r="H872" s="429"/>
    </row>
    <row r="873" spans="2:8" hidden="1" outlineLevel="1">
      <c r="B873" s="487"/>
      <c r="C873" s="487"/>
      <c r="D873" s="487"/>
      <c r="E873" s="487"/>
      <c r="F873" s="487"/>
      <c r="G873" s="457"/>
      <c r="H873" s="458"/>
    </row>
    <row r="874" spans="2:8" hidden="1" outlineLevel="1">
      <c r="B874" s="1102" t="s">
        <v>2004</v>
      </c>
      <c r="C874" s="1102"/>
      <c r="D874" s="1102"/>
      <c r="E874" s="459"/>
      <c r="F874" s="487" t="s">
        <v>2005</v>
      </c>
      <c r="G874" s="457"/>
      <c r="H874" s="458" t="s">
        <v>2006</v>
      </c>
    </row>
    <row r="875" spans="2:8" hidden="1" outlineLevel="1">
      <c r="B875" s="487"/>
      <c r="C875" s="487"/>
      <c r="D875" s="487"/>
      <c r="E875" s="487"/>
      <c r="F875" s="487"/>
      <c r="G875" s="457"/>
      <c r="H875" s="458"/>
    </row>
    <row r="876" spans="2:8" hidden="1" outlineLevel="1">
      <c r="B876" s="487"/>
      <c r="C876" s="487"/>
      <c r="D876" s="487"/>
      <c r="E876" s="487"/>
      <c r="F876" s="487"/>
      <c r="G876" s="457"/>
      <c r="H876" s="458"/>
    </row>
    <row r="877" spans="2:8" ht="24.75" hidden="1" customHeight="1" outlineLevel="1">
      <c r="B877" s="1053" t="s">
        <v>2007</v>
      </c>
      <c r="C877" s="1053"/>
      <c r="D877" s="1053"/>
      <c r="E877" s="1053"/>
      <c r="F877" s="1053"/>
      <c r="G877" s="1053"/>
      <c r="H877" s="1053"/>
    </row>
    <row r="878" spans="2:8" hidden="1" outlineLevel="1">
      <c r="B878" s="1072" t="s">
        <v>2008</v>
      </c>
      <c r="C878" s="1073"/>
      <c r="D878" s="1073"/>
      <c r="E878" s="1073"/>
      <c r="F878" s="1074"/>
      <c r="G878" s="460" t="s">
        <v>2009</v>
      </c>
      <c r="H878" s="461">
        <f>+H879+H880</f>
        <v>145748014.33779702</v>
      </c>
    </row>
    <row r="879" spans="2:8" hidden="1" outlineLevel="1">
      <c r="B879" s="1078" t="s">
        <v>2010</v>
      </c>
      <c r="C879" s="1079"/>
      <c r="D879" s="1079"/>
      <c r="E879" s="1079"/>
      <c r="F879" s="1080"/>
      <c r="G879" s="460" t="s">
        <v>99</v>
      </c>
      <c r="H879" s="429"/>
    </row>
    <row r="880" spans="2:8" hidden="1" outlineLevel="1">
      <c r="B880" s="1078" t="s">
        <v>2011</v>
      </c>
      <c r="C880" s="1079"/>
      <c r="D880" s="1079"/>
      <c r="E880" s="1079"/>
      <c r="F880" s="1080"/>
      <c r="G880" s="460" t="s">
        <v>2012</v>
      </c>
      <c r="H880" s="429">
        <f>+H881+H887+H907</f>
        <v>145748014.33779702</v>
      </c>
    </row>
    <row r="881" spans="2:8" hidden="1" outlineLevel="1">
      <c r="B881" s="1084"/>
      <c r="C881" s="1072" t="s">
        <v>2013</v>
      </c>
      <c r="D881" s="1073"/>
      <c r="E881" s="1073"/>
      <c r="F881" s="1074"/>
      <c r="G881" s="460" t="s">
        <v>2014</v>
      </c>
      <c r="H881" s="461">
        <f>+H882+H883+H884+H885+H886</f>
        <v>145748014.33779702</v>
      </c>
    </row>
    <row r="882" spans="2:8" hidden="1" outlineLevel="1">
      <c r="B882" s="1085"/>
      <c r="C882" s="1075" t="s">
        <v>2015</v>
      </c>
      <c r="D882" s="1081" t="s">
        <v>2016</v>
      </c>
      <c r="E882" s="1082"/>
      <c r="F882" s="1083"/>
      <c r="G882" s="460" t="s">
        <v>173</v>
      </c>
      <c r="H882" s="429">
        <f>+SUMIFS(JURNAL!H:H,JURNAL!E:E,510000,JURNAL!C:C,"&gt;="&amp;J11,JURNAL!C:C,"&lt;="&amp;K11)+SUMIFS(JURNAL!H:H,JURNAL!E:E,510100,JURNAL!C:C,"&gt;="&amp;J11,JURNAL!C:C,"&lt;="&amp;K11)</f>
        <v>145748014.33779702</v>
      </c>
    </row>
    <row r="883" spans="2:8" hidden="1" outlineLevel="1">
      <c r="B883" s="1085"/>
      <c r="C883" s="1076"/>
      <c r="D883" s="1047" t="s">
        <v>2017</v>
      </c>
      <c r="E883" s="1048"/>
      <c r="F883" s="1049"/>
      <c r="G883" s="462" t="s">
        <v>174</v>
      </c>
      <c r="H883" s="429"/>
    </row>
    <row r="884" spans="2:8" hidden="1" outlineLevel="1">
      <c r="B884" s="1085"/>
      <c r="C884" s="1076"/>
      <c r="D884" s="1047" t="s">
        <v>837</v>
      </c>
      <c r="E884" s="1048"/>
      <c r="F884" s="1049"/>
      <c r="G884" s="462" t="s">
        <v>904</v>
      </c>
      <c r="H884" s="429"/>
    </row>
    <row r="885" spans="2:8" hidden="1" outlineLevel="1">
      <c r="B885" s="1085"/>
      <c r="C885" s="1076"/>
      <c r="D885" s="1047" t="s">
        <v>2018</v>
      </c>
      <c r="E885" s="1048"/>
      <c r="F885" s="1049"/>
      <c r="G885" s="462" t="s">
        <v>906</v>
      </c>
      <c r="H885" s="429"/>
    </row>
    <row r="886" spans="2:8" hidden="1" outlineLevel="1">
      <c r="B886" s="1085"/>
      <c r="C886" s="1077"/>
      <c r="D886" s="1047" t="s">
        <v>2019</v>
      </c>
      <c r="E886" s="1048"/>
      <c r="F886" s="1049"/>
      <c r="G886" s="462" t="s">
        <v>908</v>
      </c>
      <c r="H886" s="429"/>
    </row>
    <row r="887" spans="2:8" hidden="1" outlineLevel="1">
      <c r="B887" s="1085"/>
      <c r="C887" s="1072" t="s">
        <v>2020</v>
      </c>
      <c r="D887" s="1073"/>
      <c r="E887" s="1073"/>
      <c r="F887" s="1074"/>
      <c r="G887" s="460" t="s">
        <v>2021</v>
      </c>
      <c r="H887" s="461">
        <f>+H888+H889+H890+H891+H892+H893+H894+H895+H896+H897+H898+H899+H900+H901+H902</f>
        <v>0</v>
      </c>
    </row>
    <row r="888" spans="2:8" hidden="1" outlineLevel="1">
      <c r="B888" s="1085"/>
      <c r="C888" s="1075" t="s">
        <v>2015</v>
      </c>
      <c r="D888" s="1047" t="s">
        <v>2022</v>
      </c>
      <c r="E888" s="1048"/>
      <c r="F888" s="1049"/>
      <c r="G888" s="462" t="s">
        <v>912</v>
      </c>
      <c r="H888" s="429"/>
    </row>
    <row r="889" spans="2:8" hidden="1" outlineLevel="1">
      <c r="B889" s="1085"/>
      <c r="C889" s="1076"/>
      <c r="D889" s="1047" t="s">
        <v>2023</v>
      </c>
      <c r="E889" s="1048"/>
      <c r="F889" s="1049"/>
      <c r="G889" s="462" t="s">
        <v>914</v>
      </c>
      <c r="H889" s="429"/>
    </row>
    <row r="890" spans="2:8" hidden="1" outlineLevel="1">
      <c r="B890" s="1085"/>
      <c r="C890" s="1076"/>
      <c r="D890" s="1047" t="s">
        <v>2024</v>
      </c>
      <c r="E890" s="1048"/>
      <c r="F890" s="1049"/>
      <c r="G890" s="462" t="s">
        <v>916</v>
      </c>
      <c r="H890" s="429"/>
    </row>
    <row r="891" spans="2:8" hidden="1" outlineLevel="1">
      <c r="B891" s="1085"/>
      <c r="C891" s="1076"/>
      <c r="D891" s="1047" t="s">
        <v>2025</v>
      </c>
      <c r="E891" s="1048"/>
      <c r="F891" s="1049"/>
      <c r="G891" s="462" t="s">
        <v>918</v>
      </c>
      <c r="H891" s="429"/>
    </row>
    <row r="892" spans="2:8" hidden="1" outlineLevel="1">
      <c r="B892" s="1085"/>
      <c r="C892" s="1076"/>
      <c r="D892" s="1047" t="s">
        <v>2026</v>
      </c>
      <c r="E892" s="1048"/>
      <c r="F892" s="1049"/>
      <c r="G892" s="462" t="s">
        <v>920</v>
      </c>
      <c r="H892" s="429"/>
    </row>
    <row r="893" spans="2:8" hidden="1" outlineLevel="1">
      <c r="B893" s="1085"/>
      <c r="C893" s="1076"/>
      <c r="D893" s="1047" t="s">
        <v>2027</v>
      </c>
      <c r="E893" s="1048"/>
      <c r="F893" s="1049"/>
      <c r="G893" s="462" t="s">
        <v>922</v>
      </c>
      <c r="H893" s="429"/>
    </row>
    <row r="894" spans="2:8" hidden="1" outlineLevel="1">
      <c r="B894" s="1085"/>
      <c r="C894" s="1076"/>
      <c r="D894" s="1047" t="s">
        <v>2028</v>
      </c>
      <c r="E894" s="1048"/>
      <c r="F894" s="1049"/>
      <c r="G894" s="462" t="s">
        <v>924</v>
      </c>
      <c r="H894" s="429"/>
    </row>
    <row r="895" spans="2:8" hidden="1" outlineLevel="1">
      <c r="B895" s="1085"/>
      <c r="C895" s="1076"/>
      <c r="D895" s="1047" t="s">
        <v>2029</v>
      </c>
      <c r="E895" s="1048"/>
      <c r="F895" s="1049"/>
      <c r="G895" s="462" t="s">
        <v>926</v>
      </c>
      <c r="H895" s="429"/>
    </row>
    <row r="896" spans="2:8" hidden="1" outlineLevel="1">
      <c r="B896" s="1085"/>
      <c r="C896" s="1076"/>
      <c r="D896" s="1047" t="s">
        <v>2030</v>
      </c>
      <c r="E896" s="1048"/>
      <c r="F896" s="1049"/>
      <c r="G896" s="462" t="s">
        <v>928</v>
      </c>
      <c r="H896" s="429"/>
    </row>
    <row r="897" spans="2:8" hidden="1" outlineLevel="1">
      <c r="B897" s="1085"/>
      <c r="C897" s="1076"/>
      <c r="D897" s="1047" t="s">
        <v>2031</v>
      </c>
      <c r="E897" s="1048"/>
      <c r="F897" s="1049"/>
      <c r="G897" s="462" t="s">
        <v>930</v>
      </c>
      <c r="H897" s="429"/>
    </row>
    <row r="898" spans="2:8" hidden="1" outlineLevel="1">
      <c r="B898" s="1085"/>
      <c r="C898" s="1076"/>
      <c r="D898" s="1047" t="s">
        <v>2032</v>
      </c>
      <c r="E898" s="1048"/>
      <c r="F898" s="1049"/>
      <c r="G898" s="462" t="s">
        <v>932</v>
      </c>
      <c r="H898" s="429"/>
    </row>
    <row r="899" spans="2:8" hidden="1" outlineLevel="1">
      <c r="B899" s="1085"/>
      <c r="C899" s="1076"/>
      <c r="D899" s="1047" t="s">
        <v>2033</v>
      </c>
      <c r="E899" s="1048"/>
      <c r="F899" s="1049"/>
      <c r="G899" s="462" t="s">
        <v>934</v>
      </c>
      <c r="H899" s="429"/>
    </row>
    <row r="900" spans="2:8" hidden="1" outlineLevel="1">
      <c r="B900" s="1085"/>
      <c r="C900" s="1076"/>
      <c r="D900" s="1047" t="s">
        <v>2034</v>
      </c>
      <c r="E900" s="1048"/>
      <c r="F900" s="1049"/>
      <c r="G900" s="462" t="s">
        <v>936</v>
      </c>
      <c r="H900" s="429"/>
    </row>
    <row r="901" spans="2:8" hidden="1" outlineLevel="1">
      <c r="B901" s="1085"/>
      <c r="C901" s="1076"/>
      <c r="D901" s="1047" t="s">
        <v>2035</v>
      </c>
      <c r="E901" s="1048"/>
      <c r="F901" s="1049"/>
      <c r="G901" s="462" t="s">
        <v>944</v>
      </c>
      <c r="H901" s="429"/>
    </row>
    <row r="902" spans="2:8" hidden="1" outlineLevel="1">
      <c r="B902" s="1086"/>
      <c r="C902" s="1077"/>
      <c r="D902" s="1047" t="s">
        <v>2036</v>
      </c>
      <c r="E902" s="1048"/>
      <c r="F902" s="1049"/>
      <c r="G902" s="462" t="s">
        <v>946</v>
      </c>
      <c r="H902" s="429"/>
    </row>
    <row r="903" spans="2:8" hidden="1" outlineLevel="1">
      <c r="B903" s="1072" t="s">
        <v>2037</v>
      </c>
      <c r="C903" s="1073"/>
      <c r="D903" s="1073"/>
      <c r="E903" s="1073"/>
      <c r="F903" s="1074"/>
      <c r="G903" s="460" t="s">
        <v>2038</v>
      </c>
      <c r="H903" s="461">
        <f>+H881+H887</f>
        <v>145748014.33779702</v>
      </c>
    </row>
    <row r="904" spans="2:8" hidden="1" outlineLevel="1">
      <c r="B904" s="1072" t="s">
        <v>2039</v>
      </c>
      <c r="C904" s="1073"/>
      <c r="D904" s="1073"/>
      <c r="E904" s="1073"/>
      <c r="F904" s="1074"/>
      <c r="G904" s="460" t="s">
        <v>2040</v>
      </c>
      <c r="H904" s="461">
        <f>+H903*0.1</f>
        <v>14574801.433779702</v>
      </c>
    </row>
    <row r="905" spans="2:8" hidden="1" outlineLevel="1">
      <c r="B905" s="1081" t="s">
        <v>2041</v>
      </c>
      <c r="C905" s="1082"/>
      <c r="D905" s="1082"/>
      <c r="E905" s="1082"/>
      <c r="F905" s="1083"/>
      <c r="G905" s="460" t="s">
        <v>2042</v>
      </c>
      <c r="H905" s="429"/>
    </row>
    <row r="906" spans="2:8" hidden="1" outlineLevel="1">
      <c r="B906" s="1081" t="s">
        <v>2043</v>
      </c>
      <c r="C906" s="1082"/>
      <c r="D906" s="1082"/>
      <c r="E906" s="1082"/>
      <c r="F906" s="1083"/>
      <c r="G906" s="460" t="s">
        <v>2044</v>
      </c>
      <c r="H906" s="429"/>
    </row>
    <row r="907" spans="2:8" hidden="1" outlineLevel="1">
      <c r="B907" s="1072" t="s">
        <v>2045</v>
      </c>
      <c r="C907" s="1073"/>
      <c r="D907" s="1073"/>
      <c r="E907" s="1073"/>
      <c r="F907" s="1074"/>
      <c r="G907" s="460" t="s">
        <v>2046</v>
      </c>
      <c r="H907" s="461">
        <f>+H905+H906</f>
        <v>0</v>
      </c>
    </row>
    <row r="908" spans="2:8" hidden="1" outlineLevel="1">
      <c r="B908" s="1072" t="s">
        <v>2039</v>
      </c>
      <c r="C908" s="1073"/>
      <c r="D908" s="1073"/>
      <c r="E908" s="1073"/>
      <c r="F908" s="1074"/>
      <c r="G908" s="460" t="s">
        <v>2047</v>
      </c>
      <c r="H908" s="461">
        <f>+H907*0%</f>
        <v>0</v>
      </c>
    </row>
    <row r="909" spans="2:8" hidden="1" outlineLevel="1">
      <c r="B909" s="1072" t="s">
        <v>2048</v>
      </c>
      <c r="C909" s="1073"/>
      <c r="D909" s="1073"/>
      <c r="E909" s="1073"/>
      <c r="F909" s="1074"/>
      <c r="G909" s="460" t="s">
        <v>2049</v>
      </c>
      <c r="H909" s="461">
        <f>+H904+H908</f>
        <v>14574801.433779702</v>
      </c>
    </row>
    <row r="910" spans="2:8" hidden="1" outlineLevel="1"/>
    <row r="911" spans="2:8" ht="22.5" hidden="1" customHeight="1" outlineLevel="1">
      <c r="B911" s="1053" t="s">
        <v>2050</v>
      </c>
      <c r="C911" s="1053"/>
      <c r="D911" s="1053"/>
      <c r="E911" s="1053"/>
      <c r="F911" s="1053"/>
      <c r="G911" s="1053"/>
      <c r="H911" s="1053"/>
    </row>
    <row r="912" spans="2:8" hidden="1" outlineLevel="1">
      <c r="B912" s="1072" t="s">
        <v>2051</v>
      </c>
      <c r="C912" s="1073"/>
      <c r="D912" s="1073"/>
      <c r="E912" s="1073"/>
      <c r="F912" s="1074"/>
      <c r="G912" s="460" t="s">
        <v>2052</v>
      </c>
      <c r="H912" s="429"/>
    </row>
    <row r="913" spans="2:8" hidden="1" outlineLevel="1">
      <c r="B913" s="1078" t="s">
        <v>2053</v>
      </c>
      <c r="C913" s="1079"/>
      <c r="D913" s="1079"/>
      <c r="E913" s="1079"/>
      <c r="F913" s="1080"/>
      <c r="G913" s="460" t="s">
        <v>2054</v>
      </c>
      <c r="H913" s="429">
        <f>+H914+H915+H916+H917</f>
        <v>2991795.6</v>
      </c>
    </row>
    <row r="914" spans="2:8" hidden="1" outlineLevel="1">
      <c r="B914" s="1075" t="s">
        <v>2015</v>
      </c>
      <c r="C914" s="1047" t="s">
        <v>2055</v>
      </c>
      <c r="D914" s="1048"/>
      <c r="E914" s="1048"/>
      <c r="F914" s="1049"/>
      <c r="G914" s="460" t="s">
        <v>2056</v>
      </c>
      <c r="H914" s="429"/>
    </row>
    <row r="915" spans="2:8" hidden="1" outlineLevel="1">
      <c r="B915" s="1076"/>
      <c r="C915" s="1047" t="s">
        <v>2057</v>
      </c>
      <c r="D915" s="1048"/>
      <c r="E915" s="1048"/>
      <c r="F915" s="1049"/>
      <c r="G915" s="460" t="s">
        <v>2058</v>
      </c>
      <c r="H915" s="429">
        <f>+M11*10</f>
        <v>2991795.6</v>
      </c>
    </row>
    <row r="916" spans="2:8" hidden="1" outlineLevel="1">
      <c r="B916" s="1076"/>
      <c r="C916" s="1047" t="s">
        <v>2059</v>
      </c>
      <c r="D916" s="1048"/>
      <c r="E916" s="1048"/>
      <c r="F916" s="1049"/>
      <c r="G916" s="460" t="s">
        <v>2060</v>
      </c>
      <c r="H916" s="429"/>
    </row>
    <row r="917" spans="2:8" hidden="1" outlineLevel="1">
      <c r="B917" s="1077"/>
      <c r="C917" s="1047" t="s">
        <v>2061</v>
      </c>
      <c r="D917" s="1048"/>
      <c r="E917" s="1048"/>
      <c r="F917" s="1049"/>
      <c r="G917" s="460" t="s">
        <v>2062</v>
      </c>
      <c r="H917" s="429"/>
    </row>
    <row r="918" spans="2:8" hidden="1" outlineLevel="1">
      <c r="B918" s="1072" t="s">
        <v>2063</v>
      </c>
      <c r="C918" s="1073"/>
      <c r="D918" s="1073"/>
      <c r="E918" s="1073"/>
      <c r="F918" s="1074"/>
      <c r="G918" s="460" t="s">
        <v>2064</v>
      </c>
      <c r="H918" s="461">
        <f>+H913*0.1</f>
        <v>299179.56</v>
      </c>
    </row>
    <row r="919" spans="2:8" hidden="1" outlineLevel="1">
      <c r="B919" s="1072" t="s">
        <v>2065</v>
      </c>
      <c r="C919" s="1073"/>
      <c r="D919" s="1073"/>
      <c r="E919" s="1073"/>
      <c r="F919" s="1074"/>
      <c r="G919" s="460" t="s">
        <v>2066</v>
      </c>
      <c r="H919" s="461">
        <f>+H920+H921+H922+H923+H924+H925</f>
        <v>0</v>
      </c>
    </row>
    <row r="920" spans="2:8" hidden="1" outlineLevel="1">
      <c r="B920" s="1075" t="s">
        <v>2015</v>
      </c>
      <c r="C920" s="1047" t="s">
        <v>2067</v>
      </c>
      <c r="D920" s="1048"/>
      <c r="E920" s="1048"/>
      <c r="F920" s="1049"/>
      <c r="G920" s="460" t="s">
        <v>2068</v>
      </c>
      <c r="H920" s="429"/>
    </row>
    <row r="921" spans="2:8" hidden="1" outlineLevel="1">
      <c r="B921" s="1076"/>
      <c r="C921" s="1047" t="s">
        <v>2069</v>
      </c>
      <c r="D921" s="1048"/>
      <c r="E921" s="1048"/>
      <c r="F921" s="1049"/>
      <c r="G921" s="460" t="s">
        <v>2070</v>
      </c>
      <c r="H921" s="429"/>
    </row>
    <row r="922" spans="2:8" hidden="1" outlineLevel="1">
      <c r="B922" s="1076"/>
      <c r="C922" s="1047" t="s">
        <v>2071</v>
      </c>
      <c r="D922" s="1048"/>
      <c r="E922" s="1048"/>
      <c r="F922" s="1049"/>
      <c r="G922" s="460" t="s">
        <v>2072</v>
      </c>
      <c r="H922" s="429"/>
    </row>
    <row r="923" spans="2:8" hidden="1" outlineLevel="1">
      <c r="B923" s="1076"/>
      <c r="C923" s="1047" t="s">
        <v>2073</v>
      </c>
      <c r="D923" s="1048"/>
      <c r="E923" s="1048"/>
      <c r="F923" s="1049"/>
      <c r="G923" s="460" t="s">
        <v>2074</v>
      </c>
      <c r="H923" s="429"/>
    </row>
    <row r="924" spans="2:8" hidden="1" outlineLevel="1">
      <c r="B924" s="1076"/>
      <c r="C924" s="1047" t="s">
        <v>2075</v>
      </c>
      <c r="D924" s="1048"/>
      <c r="E924" s="1048"/>
      <c r="F924" s="1049"/>
      <c r="G924" s="460" t="s">
        <v>2076</v>
      </c>
      <c r="H924" s="429"/>
    </row>
    <row r="925" spans="2:8" hidden="1" outlineLevel="1">
      <c r="B925" s="1077"/>
      <c r="C925" s="1047" t="s">
        <v>2077</v>
      </c>
      <c r="D925" s="1048"/>
      <c r="E925" s="1048"/>
      <c r="F925" s="1049"/>
      <c r="G925" s="460" t="s">
        <v>2078</v>
      </c>
      <c r="H925" s="429"/>
    </row>
    <row r="926" spans="2:8" hidden="1" outlineLevel="1">
      <c r="B926" s="1072" t="s">
        <v>2079</v>
      </c>
      <c r="C926" s="1073"/>
      <c r="D926" s="1073"/>
      <c r="E926" s="1073"/>
      <c r="F926" s="1074"/>
      <c r="G926" s="460" t="s">
        <v>2080</v>
      </c>
      <c r="H926" s="461">
        <f>+H918-H919</f>
        <v>299179.56</v>
      </c>
    </row>
    <row r="927" spans="2:8" hidden="1" outlineLevel="1"/>
    <row r="928" spans="2:8" ht="24" hidden="1" customHeight="1" outlineLevel="1">
      <c r="B928" s="1053" t="s">
        <v>2081</v>
      </c>
      <c r="C928" s="1053"/>
      <c r="D928" s="1053"/>
      <c r="E928" s="1053"/>
      <c r="F928" s="1053"/>
      <c r="G928" s="1053"/>
      <c r="H928" s="1053"/>
    </row>
    <row r="929" spans="2:8" hidden="1" outlineLevel="1">
      <c r="B929" s="1047" t="s">
        <v>2082</v>
      </c>
      <c r="C929" s="1048"/>
      <c r="D929" s="1048"/>
      <c r="E929" s="1048"/>
      <c r="F929" s="1049"/>
      <c r="G929" s="460" t="s">
        <v>2083</v>
      </c>
      <c r="H929" s="429"/>
    </row>
    <row r="930" spans="2:8" hidden="1" outlineLevel="1">
      <c r="B930" s="1047" t="s">
        <v>2084</v>
      </c>
      <c r="C930" s="1048"/>
      <c r="D930" s="1048"/>
      <c r="E930" s="1048"/>
      <c r="F930" s="1049"/>
      <c r="G930" s="460" t="s">
        <v>2085</v>
      </c>
      <c r="H930" s="429"/>
    </row>
    <row r="931" spans="2:8" hidden="1" outlineLevel="1">
      <c r="B931" s="1050" t="s">
        <v>2086</v>
      </c>
      <c r="C931" s="1051"/>
      <c r="D931" s="1051"/>
      <c r="E931" s="1051"/>
      <c r="F931" s="1052"/>
      <c r="G931" s="460" t="s">
        <v>2087</v>
      </c>
      <c r="H931" s="429">
        <f>+(H929+H930)*0.1</f>
        <v>0</v>
      </c>
    </row>
    <row r="932" spans="2:8" hidden="1" outlineLevel="1">
      <c r="B932" s="1047" t="s">
        <v>2088</v>
      </c>
      <c r="C932" s="1048"/>
      <c r="D932" s="1048"/>
      <c r="E932" s="1048"/>
      <c r="F932" s="1049"/>
      <c r="G932" s="460" t="s">
        <v>2089</v>
      </c>
      <c r="H932" s="429"/>
    </row>
    <row r="933" spans="2:8" hidden="1" outlineLevel="1">
      <c r="B933" s="1047" t="s">
        <v>2090</v>
      </c>
      <c r="C933" s="1048"/>
      <c r="D933" s="1048"/>
      <c r="E933" s="1048"/>
      <c r="F933" s="1049"/>
      <c r="G933" s="460" t="s">
        <v>2091</v>
      </c>
      <c r="H933" s="429"/>
    </row>
    <row r="934" spans="2:8" hidden="1" outlineLevel="1">
      <c r="B934" s="1050" t="s">
        <v>2092</v>
      </c>
      <c r="C934" s="1051"/>
      <c r="D934" s="1051"/>
      <c r="E934" s="1051"/>
      <c r="F934" s="1052"/>
      <c r="G934" s="460" t="s">
        <v>2093</v>
      </c>
      <c r="H934" s="429">
        <f>+(H932+H933)*0.1</f>
        <v>0</v>
      </c>
    </row>
    <row r="935" spans="2:8" hidden="1" outlineLevel="1"/>
    <row r="936" spans="2:8" hidden="1" outlineLevel="1">
      <c r="B936" s="1053" t="s">
        <v>2094</v>
      </c>
      <c r="C936" s="1053"/>
      <c r="D936" s="1053"/>
      <c r="E936" s="1053"/>
      <c r="F936" s="1053"/>
      <c r="G936" s="1053"/>
      <c r="H936" s="1053"/>
    </row>
    <row r="937" spans="2:8" hidden="1" outlineLevel="1">
      <c r="B937" s="1050" t="s">
        <v>2095</v>
      </c>
      <c r="C937" s="1051"/>
      <c r="D937" s="1051"/>
      <c r="E937" s="1051"/>
      <c r="F937" s="1052"/>
      <c r="G937" s="460" t="s">
        <v>2096</v>
      </c>
      <c r="H937" s="429">
        <f>+H909+H931</f>
        <v>14574801.433779702</v>
      </c>
    </row>
    <row r="938" spans="2:8" hidden="1" outlineLevel="1">
      <c r="B938" s="1050" t="s">
        <v>2097</v>
      </c>
      <c r="C938" s="1051"/>
      <c r="D938" s="1051"/>
      <c r="E938" s="1051"/>
      <c r="F938" s="1052"/>
      <c r="G938" s="460" t="s">
        <v>2098</v>
      </c>
      <c r="H938" s="429">
        <f>+H926+H934</f>
        <v>299179.56</v>
      </c>
    </row>
    <row r="939" spans="2:8" hidden="1" outlineLevel="1"/>
    <row r="940" spans="2:8" hidden="1" outlineLevel="1">
      <c r="B940" s="1053" t="s">
        <v>2099</v>
      </c>
      <c r="C940" s="1053"/>
      <c r="D940" s="1053"/>
      <c r="E940" s="1053"/>
      <c r="F940" s="1053"/>
      <c r="G940" s="1053"/>
      <c r="H940" s="1053"/>
    </row>
    <row r="941" spans="2:8" hidden="1" outlineLevel="1">
      <c r="B941" s="1047" t="s">
        <v>2100</v>
      </c>
      <c r="C941" s="1048"/>
      <c r="D941" s="1048"/>
      <c r="E941" s="1048"/>
      <c r="F941" s="1049"/>
      <c r="G941" s="460" t="s">
        <v>2101</v>
      </c>
      <c r="H941" s="429"/>
    </row>
    <row r="942" spans="2:8" hidden="1" outlineLevel="1">
      <c r="B942" s="1050" t="s">
        <v>2102</v>
      </c>
      <c r="C942" s="1051"/>
      <c r="D942" s="1051"/>
      <c r="E942" s="1051"/>
      <c r="F942" s="1052"/>
      <c r="G942" s="460" t="s">
        <v>2103</v>
      </c>
      <c r="H942" s="429">
        <f>+H941*0.1</f>
        <v>0</v>
      </c>
    </row>
    <row r="943" spans="2:8" hidden="1" outlineLevel="1">
      <c r="B943" s="1047" t="s">
        <v>2104</v>
      </c>
      <c r="C943" s="1048"/>
      <c r="D943" s="1048"/>
      <c r="E943" s="1048"/>
      <c r="F943" s="1049"/>
      <c r="G943" s="460" t="s">
        <v>2105</v>
      </c>
      <c r="H943" s="429"/>
    </row>
    <row r="944" spans="2:8" hidden="1" outlineLevel="1">
      <c r="B944" s="1050" t="s">
        <v>2092</v>
      </c>
      <c r="C944" s="1051"/>
      <c r="D944" s="1051"/>
      <c r="E944" s="1051"/>
      <c r="F944" s="1052"/>
      <c r="G944" s="460" t="s">
        <v>2106</v>
      </c>
      <c r="H944" s="429">
        <f>+H943*0.1</f>
        <v>0</v>
      </c>
    </row>
    <row r="945" spans="2:8" hidden="1" outlineLevel="1"/>
    <row r="946" spans="2:8" hidden="1" outlineLevel="1">
      <c r="B946" s="1053" t="s">
        <v>2107</v>
      </c>
      <c r="C946" s="1053"/>
      <c r="D946" s="1053"/>
      <c r="E946" s="1053"/>
      <c r="F946" s="1053"/>
      <c r="G946" s="1053"/>
      <c r="H946" s="1053"/>
    </row>
    <row r="947" spans="2:8" hidden="1" outlineLevel="1">
      <c r="B947" s="1054" t="s">
        <v>1322</v>
      </c>
      <c r="C947" s="1054"/>
      <c r="D947" s="1055" t="s">
        <v>2108</v>
      </c>
      <c r="E947" s="1056"/>
      <c r="F947" s="1057"/>
      <c r="G947" s="460" t="s">
        <v>2109</v>
      </c>
      <c r="H947" s="429">
        <f>+H937-H942</f>
        <v>14574801.433779702</v>
      </c>
    </row>
    <row r="948" spans="2:8" hidden="1" outlineLevel="1">
      <c r="B948" s="1054"/>
      <c r="C948" s="1054"/>
      <c r="D948" s="1055" t="s">
        <v>2110</v>
      </c>
      <c r="E948" s="1056"/>
      <c r="F948" s="1057"/>
      <c r="G948" s="460" t="s">
        <v>2111</v>
      </c>
      <c r="H948" s="429">
        <f>+H938-H944</f>
        <v>299179.56</v>
      </c>
    </row>
    <row r="949" spans="2:8" hidden="1" outlineLevel="1">
      <c r="B949" s="1054"/>
      <c r="C949" s="1054"/>
      <c r="D949" s="1055" t="s">
        <v>2112</v>
      </c>
      <c r="E949" s="1056"/>
      <c r="F949" s="1057"/>
      <c r="G949" s="460" t="s">
        <v>2113</v>
      </c>
      <c r="H949" s="429">
        <f>+H947-H948</f>
        <v>14275621.873779701</v>
      </c>
    </row>
    <row r="950" spans="2:8" hidden="1" outlineLevel="1">
      <c r="B950" s="1054"/>
      <c r="C950" s="1054"/>
      <c r="D950" s="1055" t="s">
        <v>2114</v>
      </c>
      <c r="E950" s="1056"/>
      <c r="F950" s="1057"/>
      <c r="G950" s="460" t="s">
        <v>2115</v>
      </c>
      <c r="H950" s="429"/>
    </row>
    <row r="951" spans="2:8" hidden="1" outlineLevel="1"/>
    <row r="952" spans="2:8" hidden="1" outlineLevel="1">
      <c r="B952" s="1062" t="s">
        <v>2116</v>
      </c>
      <c r="C952" s="1062"/>
      <c r="D952" s="1062"/>
      <c r="E952" s="1062"/>
      <c r="F952" s="1062"/>
      <c r="G952" s="463" t="s">
        <v>2117</v>
      </c>
      <c r="H952" s="464" t="s">
        <v>2118</v>
      </c>
    </row>
    <row r="953" spans="2:8" hidden="1" outlineLevel="1">
      <c r="B953" s="1058" t="s">
        <v>2119</v>
      </c>
      <c r="C953" s="1058"/>
      <c r="D953" s="1058"/>
      <c r="E953" s="465" t="s">
        <v>1079</v>
      </c>
      <c r="F953" s="466">
        <v>1</v>
      </c>
      <c r="G953" s="467">
        <f>+O10</f>
        <v>0</v>
      </c>
      <c r="H953" s="468"/>
    </row>
    <row r="954" spans="2:8" hidden="1" outlineLevel="1">
      <c r="B954" s="1058"/>
      <c r="C954" s="1058"/>
      <c r="D954" s="1058"/>
      <c r="E954" s="465" t="s">
        <v>1080</v>
      </c>
      <c r="F954" s="466">
        <f>+F953+1</f>
        <v>2</v>
      </c>
      <c r="G954" s="469"/>
      <c r="H954" s="470">
        <f>+P10</f>
        <v>63460709.807888933</v>
      </c>
    </row>
    <row r="955" spans="2:8" hidden="1" outlineLevel="1">
      <c r="B955" s="1058" t="s">
        <v>2120</v>
      </c>
      <c r="C955" s="1058"/>
      <c r="D955" s="1058"/>
      <c r="E955" s="465" t="s">
        <v>1079</v>
      </c>
      <c r="F955" s="466">
        <f t="shared" ref="F955:F968" si="9">+F954+1</f>
        <v>3</v>
      </c>
      <c r="G955" s="467"/>
      <c r="H955" s="468"/>
    </row>
    <row r="956" spans="2:8" hidden="1" outlineLevel="1">
      <c r="B956" s="1058"/>
      <c r="C956" s="1058"/>
      <c r="D956" s="1058"/>
      <c r="E956" s="465" t="s">
        <v>1080</v>
      </c>
      <c r="F956" s="466">
        <f t="shared" si="9"/>
        <v>4</v>
      </c>
      <c r="G956" s="469"/>
      <c r="H956" s="470">
        <f>+H949</f>
        <v>14275621.873779701</v>
      </c>
    </row>
    <row r="957" spans="2:8" hidden="1" outlineLevel="1">
      <c r="B957" s="1059" t="s">
        <v>1085</v>
      </c>
      <c r="C957" s="1060"/>
      <c r="D957" s="1060"/>
      <c r="E957" s="1061"/>
      <c r="F957" s="466">
        <f t="shared" si="9"/>
        <v>5</v>
      </c>
      <c r="G957" s="467">
        <f>+L11</f>
        <v>0</v>
      </c>
      <c r="H957" s="468"/>
    </row>
    <row r="958" spans="2:8" hidden="1" outlineLevel="1">
      <c r="B958" s="1063" t="s">
        <v>2121</v>
      </c>
      <c r="C958" s="1064"/>
      <c r="D958" s="1064"/>
      <c r="E958" s="1065"/>
      <c r="F958" s="466">
        <f t="shared" si="9"/>
        <v>6</v>
      </c>
      <c r="G958" s="472"/>
      <c r="H958" s="468"/>
    </row>
    <row r="959" spans="2:8" hidden="1" outlineLevel="1">
      <c r="B959" s="1063" t="s">
        <v>2121</v>
      </c>
      <c r="C959" s="1064"/>
      <c r="D959" s="1064"/>
      <c r="E959" s="1065"/>
      <c r="F959" s="466">
        <f t="shared" si="9"/>
        <v>7</v>
      </c>
      <c r="G959" s="469"/>
      <c r="H959" s="471"/>
    </row>
    <row r="960" spans="2:8" hidden="1" outlineLevel="1">
      <c r="B960" s="1058" t="s">
        <v>2122</v>
      </c>
      <c r="C960" s="1058"/>
      <c r="D960" s="1058"/>
      <c r="E960" s="465" t="s">
        <v>1079</v>
      </c>
      <c r="F960" s="466">
        <f t="shared" si="9"/>
        <v>8</v>
      </c>
      <c r="G960" s="472"/>
      <c r="H960" s="468"/>
    </row>
    <row r="961" spans="1:11" hidden="1" outlineLevel="1">
      <c r="B961" s="1058"/>
      <c r="C961" s="1058"/>
      <c r="D961" s="1058"/>
      <c r="E961" s="465" t="s">
        <v>1080</v>
      </c>
      <c r="F961" s="466">
        <f t="shared" si="9"/>
        <v>9</v>
      </c>
      <c r="G961" s="469"/>
      <c r="H961" s="471"/>
    </row>
    <row r="962" spans="1:11" hidden="1" outlineLevel="1">
      <c r="B962" s="1058" t="s">
        <v>2123</v>
      </c>
      <c r="C962" s="1058"/>
      <c r="D962" s="1058"/>
      <c r="E962" s="465" t="s">
        <v>1079</v>
      </c>
      <c r="F962" s="466">
        <f t="shared" si="9"/>
        <v>10</v>
      </c>
      <c r="G962" s="472"/>
      <c r="H962" s="468"/>
    </row>
    <row r="963" spans="1:11" hidden="1" outlineLevel="1">
      <c r="B963" s="1058"/>
      <c r="C963" s="1058"/>
      <c r="D963" s="1058"/>
      <c r="E963" s="465" t="s">
        <v>1080</v>
      </c>
      <c r="F963" s="466">
        <f t="shared" si="9"/>
        <v>11</v>
      </c>
      <c r="G963" s="469"/>
      <c r="H963" s="471"/>
    </row>
    <row r="964" spans="1:11" hidden="1" outlineLevel="1">
      <c r="B964" s="1059" t="s">
        <v>2124</v>
      </c>
      <c r="C964" s="1060"/>
      <c r="D964" s="1060"/>
      <c r="E964" s="1061"/>
      <c r="F964" s="466">
        <f t="shared" si="9"/>
        <v>12</v>
      </c>
      <c r="G964" s="472"/>
      <c r="H964" s="468"/>
    </row>
    <row r="965" spans="1:11" hidden="1" outlineLevel="1">
      <c r="B965" s="1058" t="s">
        <v>2125</v>
      </c>
      <c r="C965" s="1058"/>
      <c r="D965" s="1058"/>
      <c r="E965" s="465" t="s">
        <v>1079</v>
      </c>
      <c r="F965" s="466">
        <f t="shared" si="9"/>
        <v>13</v>
      </c>
      <c r="G965" s="472"/>
      <c r="H965" s="468"/>
    </row>
    <row r="966" spans="1:11" hidden="1" outlineLevel="1">
      <c r="B966" s="1058"/>
      <c r="C966" s="1058"/>
      <c r="D966" s="1058"/>
      <c r="E966" s="465" t="s">
        <v>1080</v>
      </c>
      <c r="F966" s="466">
        <f t="shared" si="9"/>
        <v>14</v>
      </c>
      <c r="G966" s="469"/>
      <c r="H966" s="471"/>
    </row>
    <row r="967" spans="1:11" hidden="1" outlineLevel="1">
      <c r="B967" s="1058" t="s">
        <v>2126</v>
      </c>
      <c r="C967" s="1058"/>
      <c r="D967" s="1058"/>
      <c r="E967" s="465" t="s">
        <v>1079</v>
      </c>
      <c r="F967" s="466">
        <f t="shared" si="9"/>
        <v>15</v>
      </c>
      <c r="G967" s="467">
        <f>IF((G953+G955+G957-H954-H956)&gt;0,(G953+G955+G957-H954-H956),0)</f>
        <v>0</v>
      </c>
      <c r="H967" s="468"/>
    </row>
    <row r="968" spans="1:11" hidden="1" outlineLevel="1">
      <c r="B968" s="1058"/>
      <c r="C968" s="1058"/>
      <c r="D968" s="1058"/>
      <c r="E968" s="465" t="s">
        <v>1080</v>
      </c>
      <c r="F968" s="466">
        <f t="shared" si="9"/>
        <v>16</v>
      </c>
      <c r="G968" s="473"/>
      <c r="H968" s="520">
        <f>+IF((H954+H956-G953-G955-G957)&gt;0,(H954+H956-G953-G955-G957),0)</f>
        <v>77736331.681668639</v>
      </c>
      <c r="J968" s="80">
        <f>+P11</f>
        <v>77736331.672180235</v>
      </c>
      <c r="K968" s="80">
        <f>+J968-H968</f>
        <v>-9.4884037971496582E-3</v>
      </c>
    </row>
    <row r="969" spans="1:11" hidden="1" outlineLevel="1"/>
    <row r="970" spans="1:11" hidden="1" outlineLevel="1"/>
    <row r="971" spans="1:11" hidden="1" outlineLevel="1">
      <c r="B971" s="331" t="s">
        <v>2127</v>
      </c>
      <c r="E971" s="331" t="s">
        <v>1090</v>
      </c>
    </row>
    <row r="972" spans="1:11" hidden="1" outlineLevel="1">
      <c r="B972" s="331"/>
    </row>
    <row r="973" spans="1:11" hidden="1" outlineLevel="1">
      <c r="B973" s="331" t="str">
        <f>+CONCATENATE('[4]company '!B879," . . . . . . . . . . . . . . . . . .  ... . . . .. . . . ",'[4]company '!C879)</f>
        <v xml:space="preserve"> . . . . . . . . . . . . . . . . . .  ... . . . .. . . . </v>
      </c>
      <c r="E973" s="331" t="s">
        <v>2128</v>
      </c>
    </row>
    <row r="974" spans="1:11" hidden="1" outlineLevel="1">
      <c r="B974" s="331"/>
    </row>
    <row r="975" spans="1:11" hidden="1" outlineLevel="1">
      <c r="B975" s="331" t="str">
        <f>+CONCATENATE('[4]company '!B882,". . . . . . . . . . . . . . . . . . . . ",'[4]company '!C882)</f>
        <v xml:space="preserve">. . . . . . . . . . . . . . . . . . . . </v>
      </c>
    </row>
    <row r="976" spans="1:11" collapsed="1">
      <c r="A976" s="231" t="s">
        <v>2655</v>
      </c>
    </row>
    <row r="977" spans="2:8" hidden="1" outlineLevel="1">
      <c r="B977" s="445"/>
      <c r="C977" s="445"/>
      <c r="D977" s="445"/>
      <c r="E977" s="486"/>
      <c r="F977" s="1066" t="s">
        <v>1984</v>
      </c>
      <c r="G977" s="1066"/>
      <c r="H977" s="1066"/>
    </row>
    <row r="978" spans="2:8" hidden="1" outlineLevel="1">
      <c r="D978" s="445"/>
      <c r="E978" s="1067" t="s">
        <v>1988</v>
      </c>
      <c r="F978" s="1067"/>
      <c r="G978" s="1067"/>
      <c r="H978" s="1067"/>
    </row>
    <row r="979" spans="2:8" ht="18.75" hidden="1" outlineLevel="1">
      <c r="G979" s="452" t="s">
        <v>1994</v>
      </c>
      <c r="H979" s="453" t="s">
        <v>1995</v>
      </c>
    </row>
    <row r="980" spans="2:8" ht="21" hidden="1" outlineLevel="1" thickBot="1">
      <c r="B980" s="1068" t="s">
        <v>1996</v>
      </c>
      <c r="C980" s="1068"/>
      <c r="D980" s="1068"/>
      <c r="E980" s="1068"/>
      <c r="F980" s="1068"/>
      <c r="G980" s="1068"/>
      <c r="H980" s="1068"/>
    </row>
    <row r="981" spans="2:8" ht="13.5" hidden="1" outlineLevel="1" thickTop="1"/>
    <row r="982" spans="2:8" hidden="1" outlineLevel="1">
      <c r="B982" s="1069" t="s">
        <v>1997</v>
      </c>
      <c r="C982" s="1070"/>
      <c r="D982" s="1070"/>
      <c r="E982" s="1070"/>
      <c r="F982" s="1070"/>
      <c r="G982" s="1070"/>
      <c r="H982" s="1071"/>
    </row>
    <row r="983" spans="2:8" hidden="1" outlineLevel="1">
      <c r="B983" s="1041" t="s">
        <v>2278</v>
      </c>
      <c r="C983" s="1042"/>
      <c r="D983" s="1043"/>
      <c r="E983" s="1044" t="s">
        <v>2279</v>
      </c>
      <c r="F983" s="1045"/>
      <c r="G983" s="1045"/>
      <c r="H983" s="1046"/>
    </row>
    <row r="984" spans="2:8" hidden="1" outlineLevel="1"/>
    <row r="985" spans="2:8" hidden="1" outlineLevel="1">
      <c r="B985" s="1069" t="s">
        <v>2280</v>
      </c>
      <c r="C985" s="1070"/>
      <c r="D985" s="1071"/>
      <c r="E985" s="1088" t="s">
        <v>2281</v>
      </c>
      <c r="F985" s="1089"/>
      <c r="G985" s="1089"/>
      <c r="H985" s="1091"/>
    </row>
    <row r="986" spans="2:8" hidden="1" outlineLevel="1">
      <c r="B986" s="1069" t="s">
        <v>2282</v>
      </c>
      <c r="C986" s="1070"/>
      <c r="D986" s="1071"/>
      <c r="E986" s="1088" t="s">
        <v>2283</v>
      </c>
      <c r="F986" s="1089"/>
      <c r="G986" s="1089"/>
      <c r="H986" s="1091"/>
    </row>
    <row r="987" spans="2:8" hidden="1" outlineLevel="1">
      <c r="B987" s="1069" t="s">
        <v>2284</v>
      </c>
      <c r="C987" s="1070"/>
      <c r="D987" s="1071"/>
      <c r="E987" s="1088" t="s">
        <v>1283</v>
      </c>
      <c r="F987" s="1089"/>
      <c r="G987" s="1089"/>
      <c r="H987" s="1091"/>
    </row>
    <row r="988" spans="2:8" hidden="1" outlineLevel="1">
      <c r="B988" s="1092" t="s">
        <v>2285</v>
      </c>
      <c r="C988" s="1093"/>
      <c r="D988" s="1094"/>
      <c r="E988" s="1095" t="s">
        <v>1285</v>
      </c>
      <c r="F988" s="1096"/>
      <c r="G988" s="1096"/>
      <c r="H988" s="1097"/>
    </row>
    <row r="989" spans="2:8" hidden="1" outlineLevel="1">
      <c r="B989" s="1098" t="s">
        <v>1286</v>
      </c>
      <c r="C989" s="1098"/>
      <c r="D989" s="1098"/>
      <c r="E989" s="1099"/>
      <c r="F989" s="1099"/>
      <c r="G989" s="1099"/>
      <c r="H989" s="1099"/>
    </row>
    <row r="990" spans="2:8" hidden="1" outlineLevel="1">
      <c r="B990" s="1100"/>
      <c r="C990" s="1100"/>
      <c r="D990" s="1100"/>
      <c r="E990" s="1101"/>
      <c r="F990" s="1101"/>
      <c r="G990" s="1101"/>
      <c r="H990" s="1101"/>
    </row>
    <row r="991" spans="2:8" hidden="1" outlineLevel="1">
      <c r="B991" s="1069" t="s">
        <v>1998</v>
      </c>
      <c r="C991" s="1070"/>
      <c r="D991" s="1070"/>
      <c r="E991" s="1070"/>
      <c r="F991" s="1070"/>
      <c r="G991" s="1070"/>
      <c r="H991" s="1071"/>
    </row>
    <row r="992" spans="2:8" hidden="1" outlineLevel="1">
      <c r="B992" s="1084"/>
      <c r="C992" s="1069" t="s">
        <v>1999</v>
      </c>
      <c r="D992" s="1071"/>
      <c r="E992" s="1088" t="s">
        <v>2000</v>
      </c>
      <c r="F992" s="1089"/>
      <c r="G992" s="1091"/>
      <c r="H992" s="456"/>
    </row>
    <row r="993" spans="2:8" hidden="1" outlineLevel="1">
      <c r="B993" s="1085"/>
      <c r="C993" s="1069" t="str">
        <f>+CONCATENATE('[4]company '!B999,"-""09 сар")</f>
        <v>-"09 сар</v>
      </c>
      <c r="D993" s="1071"/>
      <c r="E993" s="1081" t="s">
        <v>46</v>
      </c>
      <c r="F993" s="1082"/>
      <c r="G993" s="1083"/>
      <c r="H993" s="429" t="s">
        <v>2274</v>
      </c>
    </row>
    <row r="994" spans="2:8" hidden="1" outlineLevel="1">
      <c r="B994" s="1086"/>
      <c r="C994" s="1081" t="s">
        <v>2002</v>
      </c>
      <c r="D994" s="1083"/>
      <c r="E994" s="1081" t="s">
        <v>2003</v>
      </c>
      <c r="F994" s="1082"/>
      <c r="G994" s="1083"/>
      <c r="H994" s="429"/>
    </row>
    <row r="995" spans="2:8" hidden="1" outlineLevel="1">
      <c r="B995" s="487"/>
      <c r="C995" s="487"/>
      <c r="D995" s="487"/>
      <c r="E995" s="487"/>
      <c r="F995" s="487"/>
      <c r="G995" s="457"/>
      <c r="H995" s="458"/>
    </row>
    <row r="996" spans="2:8" hidden="1" outlineLevel="1">
      <c r="B996" s="1102" t="s">
        <v>2004</v>
      </c>
      <c r="C996" s="1102"/>
      <c r="D996" s="1102"/>
      <c r="E996" s="459"/>
      <c r="F996" s="487" t="s">
        <v>2005</v>
      </c>
      <c r="G996" s="457"/>
      <c r="H996" s="458" t="s">
        <v>2006</v>
      </c>
    </row>
    <row r="997" spans="2:8" hidden="1" outlineLevel="1">
      <c r="B997" s="487"/>
      <c r="C997" s="487"/>
      <c r="D997" s="487"/>
      <c r="E997" s="487"/>
      <c r="F997" s="487"/>
      <c r="G997" s="457"/>
      <c r="H997" s="458"/>
    </row>
    <row r="998" spans="2:8" hidden="1" outlineLevel="1">
      <c r="B998" s="487"/>
      <c r="C998" s="487"/>
      <c r="D998" s="487"/>
      <c r="E998" s="487"/>
      <c r="F998" s="487"/>
      <c r="G998" s="457"/>
      <c r="H998" s="458"/>
    </row>
    <row r="999" spans="2:8" ht="20.25" hidden="1" customHeight="1" outlineLevel="1">
      <c r="B999" s="1053" t="s">
        <v>2007</v>
      </c>
      <c r="C999" s="1053"/>
      <c r="D999" s="1053"/>
      <c r="E999" s="1053"/>
      <c r="F999" s="1053"/>
      <c r="G999" s="1053"/>
      <c r="H999" s="1053"/>
    </row>
    <row r="1000" spans="2:8" hidden="1" outlineLevel="1">
      <c r="B1000" s="1072" t="s">
        <v>2008</v>
      </c>
      <c r="C1000" s="1073"/>
      <c r="D1000" s="1073"/>
      <c r="E1000" s="1073"/>
      <c r="F1000" s="1074"/>
      <c r="G1000" s="460" t="s">
        <v>2009</v>
      </c>
      <c r="H1000" s="461">
        <f>+H1001+H1002</f>
        <v>13262189.0794392</v>
      </c>
    </row>
    <row r="1001" spans="2:8" hidden="1" outlineLevel="1">
      <c r="B1001" s="1078" t="s">
        <v>2010</v>
      </c>
      <c r="C1001" s="1079"/>
      <c r="D1001" s="1079"/>
      <c r="E1001" s="1079"/>
      <c r="F1001" s="1080"/>
      <c r="G1001" s="460" t="s">
        <v>99</v>
      </c>
      <c r="H1001" s="429"/>
    </row>
    <row r="1002" spans="2:8" hidden="1" outlineLevel="1">
      <c r="B1002" s="1078" t="s">
        <v>2011</v>
      </c>
      <c r="C1002" s="1079"/>
      <c r="D1002" s="1079"/>
      <c r="E1002" s="1079"/>
      <c r="F1002" s="1080"/>
      <c r="G1002" s="460" t="s">
        <v>2012</v>
      </c>
      <c r="H1002" s="429">
        <f>+H1003+H1009+H1029</f>
        <v>13262189.0794392</v>
      </c>
    </row>
    <row r="1003" spans="2:8" hidden="1" outlineLevel="1">
      <c r="B1003" s="1084"/>
      <c r="C1003" s="1072" t="s">
        <v>2013</v>
      </c>
      <c r="D1003" s="1073"/>
      <c r="E1003" s="1073"/>
      <c r="F1003" s="1074"/>
      <c r="G1003" s="460" t="s">
        <v>2014</v>
      </c>
      <c r="H1003" s="461">
        <f>+H1004+H1005+H1006+H1007+H1008</f>
        <v>13262189.0794392</v>
      </c>
    </row>
    <row r="1004" spans="2:8" hidden="1" outlineLevel="1">
      <c r="B1004" s="1085"/>
      <c r="C1004" s="1075" t="s">
        <v>2015</v>
      </c>
      <c r="D1004" s="1081" t="s">
        <v>2016</v>
      </c>
      <c r="E1004" s="1082"/>
      <c r="F1004" s="1083"/>
      <c r="G1004" s="460" t="s">
        <v>173</v>
      </c>
      <c r="H1004" s="429">
        <f>+SUMIFS(JURNAL!H:H,JURNAL!E:E,510000,JURNAL!C:C,"&gt;="&amp;J12,JURNAL!C:C,"&lt;="&amp;K12)+SUMIFS(JURNAL!H:H,JURNAL!E:E,510100,JURNAL!C:C,"&gt;="&amp;J12,JURNAL!C:C,"&lt;="&amp;K12)</f>
        <v>13262189.0794392</v>
      </c>
    </row>
    <row r="1005" spans="2:8" hidden="1" outlineLevel="1">
      <c r="B1005" s="1085"/>
      <c r="C1005" s="1076"/>
      <c r="D1005" s="1047" t="s">
        <v>2017</v>
      </c>
      <c r="E1005" s="1048"/>
      <c r="F1005" s="1049"/>
      <c r="G1005" s="462" t="s">
        <v>174</v>
      </c>
      <c r="H1005" s="429"/>
    </row>
    <row r="1006" spans="2:8" hidden="1" outlineLevel="1">
      <c r="B1006" s="1085"/>
      <c r="C1006" s="1076"/>
      <c r="D1006" s="1047" t="s">
        <v>837</v>
      </c>
      <c r="E1006" s="1048"/>
      <c r="F1006" s="1049"/>
      <c r="G1006" s="462" t="s">
        <v>904</v>
      </c>
      <c r="H1006" s="429"/>
    </row>
    <row r="1007" spans="2:8" hidden="1" outlineLevel="1">
      <c r="B1007" s="1085"/>
      <c r="C1007" s="1076"/>
      <c r="D1007" s="1047" t="s">
        <v>2018</v>
      </c>
      <c r="E1007" s="1048"/>
      <c r="F1007" s="1049"/>
      <c r="G1007" s="462" t="s">
        <v>906</v>
      </c>
      <c r="H1007" s="429"/>
    </row>
    <row r="1008" spans="2:8" hidden="1" outlineLevel="1">
      <c r="B1008" s="1085"/>
      <c r="C1008" s="1077"/>
      <c r="D1008" s="1047" t="s">
        <v>2019</v>
      </c>
      <c r="E1008" s="1048"/>
      <c r="F1008" s="1049"/>
      <c r="G1008" s="462" t="s">
        <v>908</v>
      </c>
      <c r="H1008" s="429"/>
    </row>
    <row r="1009" spans="2:8" hidden="1" outlineLevel="1">
      <c r="B1009" s="1085"/>
      <c r="C1009" s="1072" t="s">
        <v>2020</v>
      </c>
      <c r="D1009" s="1073"/>
      <c r="E1009" s="1073"/>
      <c r="F1009" s="1074"/>
      <c r="G1009" s="460" t="s">
        <v>2021</v>
      </c>
      <c r="H1009" s="461">
        <f>+H1010+H1011+H1012+H1013+H1014+H1015+H1016+H1017+H1018+H1019+H1020+H1021+H1022+H1023+H1024</f>
        <v>0</v>
      </c>
    </row>
    <row r="1010" spans="2:8" hidden="1" outlineLevel="1">
      <c r="B1010" s="1085"/>
      <c r="C1010" s="1075" t="s">
        <v>2015</v>
      </c>
      <c r="D1010" s="1047" t="s">
        <v>2022</v>
      </c>
      <c r="E1010" s="1048"/>
      <c r="F1010" s="1049"/>
      <c r="G1010" s="462" t="s">
        <v>912</v>
      </c>
      <c r="H1010" s="429"/>
    </row>
    <row r="1011" spans="2:8" hidden="1" outlineLevel="1">
      <c r="B1011" s="1085"/>
      <c r="C1011" s="1076"/>
      <c r="D1011" s="1047" t="s">
        <v>2023</v>
      </c>
      <c r="E1011" s="1048"/>
      <c r="F1011" s="1049"/>
      <c r="G1011" s="462" t="s">
        <v>914</v>
      </c>
      <c r="H1011" s="429"/>
    </row>
    <row r="1012" spans="2:8" hidden="1" outlineLevel="1">
      <c r="B1012" s="1085"/>
      <c r="C1012" s="1076"/>
      <c r="D1012" s="1047" t="s">
        <v>2024</v>
      </c>
      <c r="E1012" s="1048"/>
      <c r="F1012" s="1049"/>
      <c r="G1012" s="462" t="s">
        <v>916</v>
      </c>
      <c r="H1012" s="429"/>
    </row>
    <row r="1013" spans="2:8" hidden="1" outlineLevel="1">
      <c r="B1013" s="1085"/>
      <c r="C1013" s="1076"/>
      <c r="D1013" s="1047" t="s">
        <v>2025</v>
      </c>
      <c r="E1013" s="1048"/>
      <c r="F1013" s="1049"/>
      <c r="G1013" s="462" t="s">
        <v>918</v>
      </c>
      <c r="H1013" s="429"/>
    </row>
    <row r="1014" spans="2:8" hidden="1" outlineLevel="1">
      <c r="B1014" s="1085"/>
      <c r="C1014" s="1076"/>
      <c r="D1014" s="1047" t="s">
        <v>2026</v>
      </c>
      <c r="E1014" s="1048"/>
      <c r="F1014" s="1049"/>
      <c r="G1014" s="462" t="s">
        <v>920</v>
      </c>
      <c r="H1014" s="429"/>
    </row>
    <row r="1015" spans="2:8" hidden="1" outlineLevel="1">
      <c r="B1015" s="1085"/>
      <c r="C1015" s="1076"/>
      <c r="D1015" s="1047" t="s">
        <v>2027</v>
      </c>
      <c r="E1015" s="1048"/>
      <c r="F1015" s="1049"/>
      <c r="G1015" s="462" t="s">
        <v>922</v>
      </c>
      <c r="H1015" s="429"/>
    </row>
    <row r="1016" spans="2:8" hidden="1" outlineLevel="1">
      <c r="B1016" s="1085"/>
      <c r="C1016" s="1076"/>
      <c r="D1016" s="1047" t="s">
        <v>2028</v>
      </c>
      <c r="E1016" s="1048"/>
      <c r="F1016" s="1049"/>
      <c r="G1016" s="462" t="s">
        <v>924</v>
      </c>
      <c r="H1016" s="429"/>
    </row>
    <row r="1017" spans="2:8" hidden="1" outlineLevel="1">
      <c r="B1017" s="1085"/>
      <c r="C1017" s="1076"/>
      <c r="D1017" s="1047" t="s">
        <v>2029</v>
      </c>
      <c r="E1017" s="1048"/>
      <c r="F1017" s="1049"/>
      <c r="G1017" s="462" t="s">
        <v>926</v>
      </c>
      <c r="H1017" s="429"/>
    </row>
    <row r="1018" spans="2:8" hidden="1" outlineLevel="1">
      <c r="B1018" s="1085"/>
      <c r="C1018" s="1076"/>
      <c r="D1018" s="1047" t="s">
        <v>2030</v>
      </c>
      <c r="E1018" s="1048"/>
      <c r="F1018" s="1049"/>
      <c r="G1018" s="462" t="s">
        <v>928</v>
      </c>
      <c r="H1018" s="429"/>
    </row>
    <row r="1019" spans="2:8" hidden="1" outlineLevel="1">
      <c r="B1019" s="1085"/>
      <c r="C1019" s="1076"/>
      <c r="D1019" s="1047" t="s">
        <v>2031</v>
      </c>
      <c r="E1019" s="1048"/>
      <c r="F1019" s="1049"/>
      <c r="G1019" s="462" t="s">
        <v>930</v>
      </c>
      <c r="H1019" s="429"/>
    </row>
    <row r="1020" spans="2:8" hidden="1" outlineLevel="1">
      <c r="B1020" s="1085"/>
      <c r="C1020" s="1076"/>
      <c r="D1020" s="1047" t="s">
        <v>2032</v>
      </c>
      <c r="E1020" s="1048"/>
      <c r="F1020" s="1049"/>
      <c r="G1020" s="462" t="s">
        <v>932</v>
      </c>
      <c r="H1020" s="429"/>
    </row>
    <row r="1021" spans="2:8" hidden="1" outlineLevel="1">
      <c r="B1021" s="1085"/>
      <c r="C1021" s="1076"/>
      <c r="D1021" s="1047" t="s">
        <v>2033</v>
      </c>
      <c r="E1021" s="1048"/>
      <c r="F1021" s="1049"/>
      <c r="G1021" s="462" t="s">
        <v>934</v>
      </c>
      <c r="H1021" s="429"/>
    </row>
    <row r="1022" spans="2:8" hidden="1" outlineLevel="1">
      <c r="B1022" s="1085"/>
      <c r="C1022" s="1076"/>
      <c r="D1022" s="1047" t="s">
        <v>2034</v>
      </c>
      <c r="E1022" s="1048"/>
      <c r="F1022" s="1049"/>
      <c r="G1022" s="462" t="s">
        <v>936</v>
      </c>
      <c r="H1022" s="429"/>
    </row>
    <row r="1023" spans="2:8" hidden="1" outlineLevel="1">
      <c r="B1023" s="1085"/>
      <c r="C1023" s="1076"/>
      <c r="D1023" s="1047" t="s">
        <v>2035</v>
      </c>
      <c r="E1023" s="1048"/>
      <c r="F1023" s="1049"/>
      <c r="G1023" s="462" t="s">
        <v>944</v>
      </c>
      <c r="H1023" s="429"/>
    </row>
    <row r="1024" spans="2:8" hidden="1" outlineLevel="1">
      <c r="B1024" s="1086"/>
      <c r="C1024" s="1077"/>
      <c r="D1024" s="1047" t="s">
        <v>2036</v>
      </c>
      <c r="E1024" s="1048"/>
      <c r="F1024" s="1049"/>
      <c r="G1024" s="462" t="s">
        <v>946</v>
      </c>
      <c r="H1024" s="429"/>
    </row>
    <row r="1025" spans="2:8" hidden="1" outlineLevel="1">
      <c r="B1025" s="1072" t="s">
        <v>2037</v>
      </c>
      <c r="C1025" s="1073"/>
      <c r="D1025" s="1073"/>
      <c r="E1025" s="1073"/>
      <c r="F1025" s="1074"/>
      <c r="G1025" s="460" t="s">
        <v>2038</v>
      </c>
      <c r="H1025" s="461">
        <f>+H1003+H1009</f>
        <v>13262189.0794392</v>
      </c>
    </row>
    <row r="1026" spans="2:8" hidden="1" outlineLevel="1">
      <c r="B1026" s="1072" t="s">
        <v>2039</v>
      </c>
      <c r="C1026" s="1073"/>
      <c r="D1026" s="1073"/>
      <c r="E1026" s="1073"/>
      <c r="F1026" s="1074"/>
      <c r="G1026" s="460" t="s">
        <v>2040</v>
      </c>
      <c r="H1026" s="461">
        <f>+H1025*0.1</f>
        <v>1326218.9079439202</v>
      </c>
    </row>
    <row r="1027" spans="2:8" hidden="1" outlineLevel="1">
      <c r="B1027" s="1081" t="s">
        <v>2041</v>
      </c>
      <c r="C1027" s="1082"/>
      <c r="D1027" s="1082"/>
      <c r="E1027" s="1082"/>
      <c r="F1027" s="1083"/>
      <c r="G1027" s="460" t="s">
        <v>2042</v>
      </c>
      <c r="H1027" s="429"/>
    </row>
    <row r="1028" spans="2:8" hidden="1" outlineLevel="1">
      <c r="B1028" s="1081" t="s">
        <v>2043</v>
      </c>
      <c r="C1028" s="1082"/>
      <c r="D1028" s="1082"/>
      <c r="E1028" s="1082"/>
      <c r="F1028" s="1083"/>
      <c r="G1028" s="460" t="s">
        <v>2044</v>
      </c>
      <c r="H1028" s="429"/>
    </row>
    <row r="1029" spans="2:8" hidden="1" outlineLevel="1">
      <c r="B1029" s="1072" t="s">
        <v>2045</v>
      </c>
      <c r="C1029" s="1073"/>
      <c r="D1029" s="1073"/>
      <c r="E1029" s="1073"/>
      <c r="F1029" s="1074"/>
      <c r="G1029" s="460" t="s">
        <v>2046</v>
      </c>
      <c r="H1029" s="461">
        <f>+H1027+H1028</f>
        <v>0</v>
      </c>
    </row>
    <row r="1030" spans="2:8" hidden="1" outlineLevel="1">
      <c r="B1030" s="1072" t="s">
        <v>2039</v>
      </c>
      <c r="C1030" s="1073"/>
      <c r="D1030" s="1073"/>
      <c r="E1030" s="1073"/>
      <c r="F1030" s="1074"/>
      <c r="G1030" s="460" t="s">
        <v>2047</v>
      </c>
      <c r="H1030" s="461">
        <f>+H1029*0%</f>
        <v>0</v>
      </c>
    </row>
    <row r="1031" spans="2:8" hidden="1" outlineLevel="1">
      <c r="B1031" s="1072" t="s">
        <v>2048</v>
      </c>
      <c r="C1031" s="1073"/>
      <c r="D1031" s="1073"/>
      <c r="E1031" s="1073"/>
      <c r="F1031" s="1074"/>
      <c r="G1031" s="460" t="s">
        <v>2049</v>
      </c>
      <c r="H1031" s="461">
        <f>+H1026+H1030</f>
        <v>1326218.9079439202</v>
      </c>
    </row>
    <row r="1032" spans="2:8" hidden="1" outlineLevel="1"/>
    <row r="1033" spans="2:8" ht="24" hidden="1" customHeight="1" outlineLevel="1">
      <c r="B1033" s="1053" t="s">
        <v>2050</v>
      </c>
      <c r="C1033" s="1053"/>
      <c r="D1033" s="1053"/>
      <c r="E1033" s="1053"/>
      <c r="F1033" s="1053"/>
      <c r="G1033" s="1053"/>
      <c r="H1033" s="1053"/>
    </row>
    <row r="1034" spans="2:8" hidden="1" outlineLevel="1">
      <c r="B1034" s="1072" t="s">
        <v>2051</v>
      </c>
      <c r="C1034" s="1073"/>
      <c r="D1034" s="1073"/>
      <c r="E1034" s="1073"/>
      <c r="F1034" s="1074"/>
      <c r="G1034" s="460" t="s">
        <v>2052</v>
      </c>
      <c r="H1034" s="429"/>
    </row>
    <row r="1035" spans="2:8" hidden="1" outlineLevel="1">
      <c r="B1035" s="1078" t="s">
        <v>2053</v>
      </c>
      <c r="C1035" s="1079"/>
      <c r="D1035" s="1079"/>
      <c r="E1035" s="1079"/>
      <c r="F1035" s="1080"/>
      <c r="G1035" s="460" t="s">
        <v>2054</v>
      </c>
      <c r="H1035" s="429">
        <f>+H1036+H1037+H1038+H1039</f>
        <v>4923917.1900000004</v>
      </c>
    </row>
    <row r="1036" spans="2:8" hidden="1" outlineLevel="1">
      <c r="B1036" s="1075" t="s">
        <v>2015</v>
      </c>
      <c r="C1036" s="1047" t="s">
        <v>2055</v>
      </c>
      <c r="D1036" s="1048"/>
      <c r="E1036" s="1048"/>
      <c r="F1036" s="1049"/>
      <c r="G1036" s="460" t="s">
        <v>2056</v>
      </c>
      <c r="H1036" s="429"/>
    </row>
    <row r="1037" spans="2:8" hidden="1" outlineLevel="1">
      <c r="B1037" s="1076"/>
      <c r="C1037" s="1047" t="s">
        <v>2057</v>
      </c>
      <c r="D1037" s="1048"/>
      <c r="E1037" s="1048"/>
      <c r="F1037" s="1049"/>
      <c r="G1037" s="460" t="s">
        <v>2058</v>
      </c>
      <c r="H1037" s="429">
        <f>+M12*10</f>
        <v>4923917.1900000004</v>
      </c>
    </row>
    <row r="1038" spans="2:8" hidden="1" outlineLevel="1">
      <c r="B1038" s="1076"/>
      <c r="C1038" s="1047" t="s">
        <v>2059</v>
      </c>
      <c r="D1038" s="1048"/>
      <c r="E1038" s="1048"/>
      <c r="F1038" s="1049"/>
      <c r="G1038" s="460" t="s">
        <v>2060</v>
      </c>
      <c r="H1038" s="429"/>
    </row>
    <row r="1039" spans="2:8" hidden="1" outlineLevel="1">
      <c r="B1039" s="1077"/>
      <c r="C1039" s="1047" t="s">
        <v>2061</v>
      </c>
      <c r="D1039" s="1048"/>
      <c r="E1039" s="1048"/>
      <c r="F1039" s="1049"/>
      <c r="G1039" s="460" t="s">
        <v>2062</v>
      </c>
      <c r="H1039" s="429"/>
    </row>
    <row r="1040" spans="2:8" hidden="1" outlineLevel="1">
      <c r="B1040" s="1072" t="s">
        <v>2063</v>
      </c>
      <c r="C1040" s="1073"/>
      <c r="D1040" s="1073"/>
      <c r="E1040" s="1073"/>
      <c r="F1040" s="1074"/>
      <c r="G1040" s="460" t="s">
        <v>2064</v>
      </c>
      <c r="H1040" s="461">
        <f>+H1035*0.1</f>
        <v>492391.71900000004</v>
      </c>
    </row>
    <row r="1041" spans="2:8" hidden="1" outlineLevel="1">
      <c r="B1041" s="1072" t="s">
        <v>2065</v>
      </c>
      <c r="C1041" s="1073"/>
      <c r="D1041" s="1073"/>
      <c r="E1041" s="1073"/>
      <c r="F1041" s="1074"/>
      <c r="G1041" s="460" t="s">
        <v>2066</v>
      </c>
      <c r="H1041" s="461">
        <f>+H1042+H1043+H1044+H1045+H1046+H1047</f>
        <v>0</v>
      </c>
    </row>
    <row r="1042" spans="2:8" hidden="1" outlineLevel="1">
      <c r="B1042" s="1075" t="s">
        <v>2015</v>
      </c>
      <c r="C1042" s="1047" t="s">
        <v>2067</v>
      </c>
      <c r="D1042" s="1048"/>
      <c r="E1042" s="1048"/>
      <c r="F1042" s="1049"/>
      <c r="G1042" s="460" t="s">
        <v>2068</v>
      </c>
      <c r="H1042" s="429"/>
    </row>
    <row r="1043" spans="2:8" hidden="1" outlineLevel="1">
      <c r="B1043" s="1076"/>
      <c r="C1043" s="1047" t="s">
        <v>2069</v>
      </c>
      <c r="D1043" s="1048"/>
      <c r="E1043" s="1048"/>
      <c r="F1043" s="1049"/>
      <c r="G1043" s="460" t="s">
        <v>2070</v>
      </c>
      <c r="H1043" s="429"/>
    </row>
    <row r="1044" spans="2:8" hidden="1" outlineLevel="1">
      <c r="B1044" s="1076"/>
      <c r="C1044" s="1047" t="s">
        <v>2071</v>
      </c>
      <c r="D1044" s="1048"/>
      <c r="E1044" s="1048"/>
      <c r="F1044" s="1049"/>
      <c r="G1044" s="460" t="s">
        <v>2072</v>
      </c>
      <c r="H1044" s="429"/>
    </row>
    <row r="1045" spans="2:8" hidden="1" outlineLevel="1">
      <c r="B1045" s="1076"/>
      <c r="C1045" s="1047" t="s">
        <v>2073</v>
      </c>
      <c r="D1045" s="1048"/>
      <c r="E1045" s="1048"/>
      <c r="F1045" s="1049"/>
      <c r="G1045" s="460" t="s">
        <v>2074</v>
      </c>
      <c r="H1045" s="429"/>
    </row>
    <row r="1046" spans="2:8" hidden="1" outlineLevel="1">
      <c r="B1046" s="1076"/>
      <c r="C1046" s="1047" t="s">
        <v>2075</v>
      </c>
      <c r="D1046" s="1048"/>
      <c r="E1046" s="1048"/>
      <c r="F1046" s="1049"/>
      <c r="G1046" s="460" t="s">
        <v>2076</v>
      </c>
      <c r="H1046" s="429"/>
    </row>
    <row r="1047" spans="2:8" hidden="1" outlineLevel="1">
      <c r="B1047" s="1077"/>
      <c r="C1047" s="1047" t="s">
        <v>2077</v>
      </c>
      <c r="D1047" s="1048"/>
      <c r="E1047" s="1048"/>
      <c r="F1047" s="1049"/>
      <c r="G1047" s="460" t="s">
        <v>2078</v>
      </c>
      <c r="H1047" s="429"/>
    </row>
    <row r="1048" spans="2:8" hidden="1" outlineLevel="1">
      <c r="B1048" s="1072" t="s">
        <v>2079</v>
      </c>
      <c r="C1048" s="1073"/>
      <c r="D1048" s="1073"/>
      <c r="E1048" s="1073"/>
      <c r="F1048" s="1074"/>
      <c r="G1048" s="460" t="s">
        <v>2080</v>
      </c>
      <c r="H1048" s="461">
        <f>+H1040-H1041</f>
        <v>492391.71900000004</v>
      </c>
    </row>
    <row r="1049" spans="2:8" hidden="1" outlineLevel="1"/>
    <row r="1050" spans="2:8" ht="24" hidden="1" customHeight="1" outlineLevel="1">
      <c r="B1050" s="1053" t="s">
        <v>2081</v>
      </c>
      <c r="C1050" s="1053"/>
      <c r="D1050" s="1053"/>
      <c r="E1050" s="1053"/>
      <c r="F1050" s="1053"/>
      <c r="G1050" s="1053"/>
      <c r="H1050" s="1053"/>
    </row>
    <row r="1051" spans="2:8" hidden="1" outlineLevel="1">
      <c r="B1051" s="1047" t="s">
        <v>2082</v>
      </c>
      <c r="C1051" s="1048"/>
      <c r="D1051" s="1048"/>
      <c r="E1051" s="1048"/>
      <c r="F1051" s="1049"/>
      <c r="G1051" s="460" t="s">
        <v>2083</v>
      </c>
      <c r="H1051" s="429"/>
    </row>
    <row r="1052" spans="2:8" hidden="1" outlineLevel="1">
      <c r="B1052" s="1047" t="s">
        <v>2084</v>
      </c>
      <c r="C1052" s="1048"/>
      <c r="D1052" s="1048"/>
      <c r="E1052" s="1048"/>
      <c r="F1052" s="1049"/>
      <c r="G1052" s="460" t="s">
        <v>2085</v>
      </c>
      <c r="H1052" s="429"/>
    </row>
    <row r="1053" spans="2:8" hidden="1" outlineLevel="1">
      <c r="B1053" s="1050" t="s">
        <v>2086</v>
      </c>
      <c r="C1053" s="1051"/>
      <c r="D1053" s="1051"/>
      <c r="E1053" s="1051"/>
      <c r="F1053" s="1052"/>
      <c r="G1053" s="460" t="s">
        <v>2087</v>
      </c>
      <c r="H1053" s="429">
        <f>+(H1051+H1052)*0.1</f>
        <v>0</v>
      </c>
    </row>
    <row r="1054" spans="2:8" hidden="1" outlineLevel="1">
      <c r="B1054" s="1047" t="s">
        <v>2088</v>
      </c>
      <c r="C1054" s="1048"/>
      <c r="D1054" s="1048"/>
      <c r="E1054" s="1048"/>
      <c r="F1054" s="1049"/>
      <c r="G1054" s="460" t="s">
        <v>2089</v>
      </c>
      <c r="H1054" s="429"/>
    </row>
    <row r="1055" spans="2:8" hidden="1" outlineLevel="1">
      <c r="B1055" s="1047" t="s">
        <v>2090</v>
      </c>
      <c r="C1055" s="1048"/>
      <c r="D1055" s="1048"/>
      <c r="E1055" s="1048"/>
      <c r="F1055" s="1049"/>
      <c r="G1055" s="460" t="s">
        <v>2091</v>
      </c>
      <c r="H1055" s="429"/>
    </row>
    <row r="1056" spans="2:8" hidden="1" outlineLevel="1">
      <c r="B1056" s="1050" t="s">
        <v>2092</v>
      </c>
      <c r="C1056" s="1051"/>
      <c r="D1056" s="1051"/>
      <c r="E1056" s="1051"/>
      <c r="F1056" s="1052"/>
      <c r="G1056" s="460" t="s">
        <v>2093</v>
      </c>
      <c r="H1056" s="429">
        <f>+(H1054+H1055)*0.1</f>
        <v>0</v>
      </c>
    </row>
    <row r="1057" spans="2:8" hidden="1" outlineLevel="1"/>
    <row r="1058" spans="2:8" hidden="1" outlineLevel="1">
      <c r="B1058" s="1053" t="s">
        <v>2094</v>
      </c>
      <c r="C1058" s="1053"/>
      <c r="D1058" s="1053"/>
      <c r="E1058" s="1053"/>
      <c r="F1058" s="1053"/>
      <c r="G1058" s="1053"/>
      <c r="H1058" s="1053"/>
    </row>
    <row r="1059" spans="2:8" hidden="1" outlineLevel="1">
      <c r="B1059" s="1050" t="s">
        <v>2095</v>
      </c>
      <c r="C1059" s="1051"/>
      <c r="D1059" s="1051"/>
      <c r="E1059" s="1051"/>
      <c r="F1059" s="1052"/>
      <c r="G1059" s="460" t="s">
        <v>2096</v>
      </c>
      <c r="H1059" s="429">
        <f>+H1031+H1053</f>
        <v>1326218.9079439202</v>
      </c>
    </row>
    <row r="1060" spans="2:8" hidden="1" outlineLevel="1">
      <c r="B1060" s="1050" t="s">
        <v>2097</v>
      </c>
      <c r="C1060" s="1051"/>
      <c r="D1060" s="1051"/>
      <c r="E1060" s="1051"/>
      <c r="F1060" s="1052"/>
      <c r="G1060" s="460" t="s">
        <v>2098</v>
      </c>
      <c r="H1060" s="429">
        <f>+H1048+H1056</f>
        <v>492391.71900000004</v>
      </c>
    </row>
    <row r="1061" spans="2:8" hidden="1" outlineLevel="1"/>
    <row r="1062" spans="2:8" hidden="1" outlineLevel="1">
      <c r="B1062" s="1053" t="s">
        <v>2099</v>
      </c>
      <c r="C1062" s="1053"/>
      <c r="D1062" s="1053"/>
      <c r="E1062" s="1053"/>
      <c r="F1062" s="1053"/>
      <c r="G1062" s="1053"/>
      <c r="H1062" s="1053"/>
    </row>
    <row r="1063" spans="2:8" hidden="1" outlineLevel="1">
      <c r="B1063" s="1047" t="s">
        <v>2100</v>
      </c>
      <c r="C1063" s="1048"/>
      <c r="D1063" s="1048"/>
      <c r="E1063" s="1048"/>
      <c r="F1063" s="1049"/>
      <c r="G1063" s="460" t="s">
        <v>2101</v>
      </c>
      <c r="H1063" s="429"/>
    </row>
    <row r="1064" spans="2:8" hidden="1" outlineLevel="1">
      <c r="B1064" s="1050" t="s">
        <v>2102</v>
      </c>
      <c r="C1064" s="1051"/>
      <c r="D1064" s="1051"/>
      <c r="E1064" s="1051"/>
      <c r="F1064" s="1052"/>
      <c r="G1064" s="460" t="s">
        <v>2103</v>
      </c>
      <c r="H1064" s="429">
        <f>+H1063*0.1</f>
        <v>0</v>
      </c>
    </row>
    <row r="1065" spans="2:8" hidden="1" outlineLevel="1">
      <c r="B1065" s="1047" t="s">
        <v>2104</v>
      </c>
      <c r="C1065" s="1048"/>
      <c r="D1065" s="1048"/>
      <c r="E1065" s="1048"/>
      <c r="F1065" s="1049"/>
      <c r="G1065" s="460" t="s">
        <v>2105</v>
      </c>
      <c r="H1065" s="429"/>
    </row>
    <row r="1066" spans="2:8" hidden="1" outlineLevel="1">
      <c r="B1066" s="1050" t="s">
        <v>2092</v>
      </c>
      <c r="C1066" s="1051"/>
      <c r="D1066" s="1051"/>
      <c r="E1066" s="1051"/>
      <c r="F1066" s="1052"/>
      <c r="G1066" s="460" t="s">
        <v>2106</v>
      </c>
      <c r="H1066" s="429">
        <f>+H1065*0.1</f>
        <v>0</v>
      </c>
    </row>
    <row r="1067" spans="2:8" hidden="1" outlineLevel="1"/>
    <row r="1068" spans="2:8" hidden="1" outlineLevel="1">
      <c r="B1068" s="1053" t="s">
        <v>2107</v>
      </c>
      <c r="C1068" s="1053"/>
      <c r="D1068" s="1053"/>
      <c r="E1068" s="1053"/>
      <c r="F1068" s="1053"/>
      <c r="G1068" s="1053"/>
      <c r="H1068" s="1053"/>
    </row>
    <row r="1069" spans="2:8" hidden="1" outlineLevel="1">
      <c r="B1069" s="1054" t="s">
        <v>1322</v>
      </c>
      <c r="C1069" s="1054"/>
      <c r="D1069" s="1055" t="s">
        <v>2108</v>
      </c>
      <c r="E1069" s="1056"/>
      <c r="F1069" s="1057"/>
      <c r="G1069" s="460" t="s">
        <v>2109</v>
      </c>
      <c r="H1069" s="429">
        <f>+H1059-H1064</f>
        <v>1326218.9079439202</v>
      </c>
    </row>
    <row r="1070" spans="2:8" hidden="1" outlineLevel="1">
      <c r="B1070" s="1054"/>
      <c r="C1070" s="1054"/>
      <c r="D1070" s="1055" t="s">
        <v>2110</v>
      </c>
      <c r="E1070" s="1056"/>
      <c r="F1070" s="1057"/>
      <c r="G1070" s="460" t="s">
        <v>2111</v>
      </c>
      <c r="H1070" s="429">
        <f>+H1060-H1066</f>
        <v>492391.71900000004</v>
      </c>
    </row>
    <row r="1071" spans="2:8" hidden="1" outlineLevel="1">
      <c r="B1071" s="1054"/>
      <c r="C1071" s="1054"/>
      <c r="D1071" s="1055" t="s">
        <v>2112</v>
      </c>
      <c r="E1071" s="1056"/>
      <c r="F1071" s="1057"/>
      <c r="G1071" s="460" t="s">
        <v>2113</v>
      </c>
      <c r="H1071" s="429">
        <f>+H1069-H1070</f>
        <v>833827.18894392019</v>
      </c>
    </row>
    <row r="1072" spans="2:8" hidden="1" outlineLevel="1">
      <c r="B1072" s="1054"/>
      <c r="C1072" s="1054"/>
      <c r="D1072" s="1055" t="s">
        <v>2114</v>
      </c>
      <c r="E1072" s="1056"/>
      <c r="F1072" s="1057"/>
      <c r="G1072" s="460" t="s">
        <v>2115</v>
      </c>
      <c r="H1072" s="429"/>
    </row>
    <row r="1073" spans="2:8" hidden="1" outlineLevel="1"/>
    <row r="1074" spans="2:8" hidden="1" outlineLevel="1">
      <c r="B1074" s="1062" t="s">
        <v>2116</v>
      </c>
      <c r="C1074" s="1062"/>
      <c r="D1074" s="1062"/>
      <c r="E1074" s="1062"/>
      <c r="F1074" s="1062"/>
      <c r="G1074" s="463" t="s">
        <v>2117</v>
      </c>
      <c r="H1074" s="464" t="s">
        <v>2118</v>
      </c>
    </row>
    <row r="1075" spans="2:8" hidden="1" outlineLevel="1">
      <c r="B1075" s="1058" t="s">
        <v>2119</v>
      </c>
      <c r="C1075" s="1058"/>
      <c r="D1075" s="1058"/>
      <c r="E1075" s="465" t="s">
        <v>1079</v>
      </c>
      <c r="F1075" s="466">
        <v>1</v>
      </c>
      <c r="G1075" s="467">
        <f>+O11</f>
        <v>0</v>
      </c>
      <c r="H1075" s="468"/>
    </row>
    <row r="1076" spans="2:8" hidden="1" outlineLevel="1">
      <c r="B1076" s="1058"/>
      <c r="C1076" s="1058"/>
      <c r="D1076" s="1058"/>
      <c r="E1076" s="465" t="s">
        <v>1080</v>
      </c>
      <c r="F1076" s="466">
        <f>+F1075+1</f>
        <v>2</v>
      </c>
      <c r="G1076" s="469"/>
      <c r="H1076" s="470">
        <f>+P11</f>
        <v>77736331.672180235</v>
      </c>
    </row>
    <row r="1077" spans="2:8" hidden="1" outlineLevel="1">
      <c r="B1077" s="1058" t="s">
        <v>2120</v>
      </c>
      <c r="C1077" s="1058"/>
      <c r="D1077" s="1058"/>
      <c r="E1077" s="465" t="s">
        <v>1079</v>
      </c>
      <c r="F1077" s="466">
        <f t="shared" ref="F1077:F1090" si="10">+F1076+1</f>
        <v>3</v>
      </c>
      <c r="G1077" s="467"/>
      <c r="H1077" s="468"/>
    </row>
    <row r="1078" spans="2:8" hidden="1" outlineLevel="1">
      <c r="B1078" s="1058"/>
      <c r="C1078" s="1058"/>
      <c r="D1078" s="1058"/>
      <c r="E1078" s="465" t="s">
        <v>1080</v>
      </c>
      <c r="F1078" s="466">
        <f t="shared" si="10"/>
        <v>4</v>
      </c>
      <c r="G1078" s="469"/>
      <c r="H1078" s="470">
        <f>+H1071</f>
        <v>833827.18894392019</v>
      </c>
    </row>
    <row r="1079" spans="2:8" hidden="1" outlineLevel="1">
      <c r="B1079" s="1059" t="s">
        <v>1085</v>
      </c>
      <c r="C1079" s="1060"/>
      <c r="D1079" s="1060"/>
      <c r="E1079" s="1061"/>
      <c r="F1079" s="466">
        <f t="shared" si="10"/>
        <v>5</v>
      </c>
      <c r="G1079" s="467">
        <f>+L12</f>
        <v>0</v>
      </c>
      <c r="H1079" s="468"/>
    </row>
    <row r="1080" spans="2:8" hidden="1" outlineLevel="1">
      <c r="B1080" s="1063" t="s">
        <v>2121</v>
      </c>
      <c r="C1080" s="1064"/>
      <c r="D1080" s="1064"/>
      <c r="E1080" s="1065"/>
      <c r="F1080" s="466">
        <f t="shared" si="10"/>
        <v>6</v>
      </c>
      <c r="G1080" s="472"/>
      <c r="H1080" s="468"/>
    </row>
    <row r="1081" spans="2:8" hidden="1" outlineLevel="1">
      <c r="B1081" s="1063" t="s">
        <v>2121</v>
      </c>
      <c r="C1081" s="1064"/>
      <c r="D1081" s="1064"/>
      <c r="E1081" s="1065"/>
      <c r="F1081" s="466">
        <f t="shared" si="10"/>
        <v>7</v>
      </c>
      <c r="G1081" s="469"/>
      <c r="H1081" s="471"/>
    </row>
    <row r="1082" spans="2:8" hidden="1" outlineLevel="1">
      <c r="B1082" s="1058" t="s">
        <v>2122</v>
      </c>
      <c r="C1082" s="1058"/>
      <c r="D1082" s="1058"/>
      <c r="E1082" s="465" t="s">
        <v>1079</v>
      </c>
      <c r="F1082" s="466">
        <f t="shared" si="10"/>
        <v>8</v>
      </c>
      <c r="G1082" s="472"/>
      <c r="H1082" s="468"/>
    </row>
    <row r="1083" spans="2:8" hidden="1" outlineLevel="1">
      <c r="B1083" s="1058"/>
      <c r="C1083" s="1058"/>
      <c r="D1083" s="1058"/>
      <c r="E1083" s="465" t="s">
        <v>1080</v>
      </c>
      <c r="F1083" s="466">
        <f t="shared" si="10"/>
        <v>9</v>
      </c>
      <c r="G1083" s="469"/>
      <c r="H1083" s="471"/>
    </row>
    <row r="1084" spans="2:8" hidden="1" outlineLevel="1">
      <c r="B1084" s="1058" t="s">
        <v>2123</v>
      </c>
      <c r="C1084" s="1058"/>
      <c r="D1084" s="1058"/>
      <c r="E1084" s="465" t="s">
        <v>1079</v>
      </c>
      <c r="F1084" s="466">
        <f t="shared" si="10"/>
        <v>10</v>
      </c>
      <c r="G1084" s="472"/>
      <c r="H1084" s="468"/>
    </row>
    <row r="1085" spans="2:8" hidden="1" outlineLevel="1">
      <c r="B1085" s="1058"/>
      <c r="C1085" s="1058"/>
      <c r="D1085" s="1058"/>
      <c r="E1085" s="465" t="s">
        <v>1080</v>
      </c>
      <c r="F1085" s="466">
        <f t="shared" si="10"/>
        <v>11</v>
      </c>
      <c r="G1085" s="469"/>
      <c r="H1085" s="471"/>
    </row>
    <row r="1086" spans="2:8" hidden="1" outlineLevel="1">
      <c r="B1086" s="1059" t="s">
        <v>2124</v>
      </c>
      <c r="C1086" s="1060"/>
      <c r="D1086" s="1060"/>
      <c r="E1086" s="1061"/>
      <c r="F1086" s="466">
        <f t="shared" si="10"/>
        <v>12</v>
      </c>
      <c r="G1086" s="472"/>
      <c r="H1086" s="468"/>
    </row>
    <row r="1087" spans="2:8" hidden="1" outlineLevel="1">
      <c r="B1087" s="1058" t="s">
        <v>2125</v>
      </c>
      <c r="C1087" s="1058"/>
      <c r="D1087" s="1058"/>
      <c r="E1087" s="465" t="s">
        <v>1079</v>
      </c>
      <c r="F1087" s="466">
        <f t="shared" si="10"/>
        <v>13</v>
      </c>
      <c r="G1087" s="472"/>
      <c r="H1087" s="468"/>
    </row>
    <row r="1088" spans="2:8" hidden="1" outlineLevel="1">
      <c r="B1088" s="1058"/>
      <c r="C1088" s="1058"/>
      <c r="D1088" s="1058"/>
      <c r="E1088" s="465" t="s">
        <v>1080</v>
      </c>
      <c r="F1088" s="466">
        <f t="shared" si="10"/>
        <v>14</v>
      </c>
      <c r="G1088" s="469"/>
      <c r="H1088" s="471"/>
    </row>
    <row r="1089" spans="1:11" hidden="1" outlineLevel="1">
      <c r="B1089" s="1058" t="s">
        <v>2126</v>
      </c>
      <c r="C1089" s="1058"/>
      <c r="D1089" s="1058"/>
      <c r="E1089" s="465" t="s">
        <v>1079</v>
      </c>
      <c r="F1089" s="466">
        <f t="shared" si="10"/>
        <v>15</v>
      </c>
      <c r="G1089" s="467">
        <f>IF((G1075+G1077+G1079-H1076-H1078)&gt;0,(G1075+G1077+G1079-H1076-H1078),0)</f>
        <v>0</v>
      </c>
      <c r="H1089" s="468"/>
    </row>
    <row r="1090" spans="1:11" hidden="1" outlineLevel="1">
      <c r="B1090" s="1058"/>
      <c r="C1090" s="1058"/>
      <c r="D1090" s="1058"/>
      <c r="E1090" s="465" t="s">
        <v>1080</v>
      </c>
      <c r="F1090" s="466">
        <f t="shared" si="10"/>
        <v>16</v>
      </c>
      <c r="G1090" s="473"/>
      <c r="H1090" s="520">
        <f>+IF((H1076+H1078-G1075-G1077-G1079)&gt;0,(H1076+H1078-G1075-G1077-G1079),0)</f>
        <v>78570158.861124158</v>
      </c>
      <c r="J1090" s="80">
        <f>+STAT3!W111</f>
        <v>78570158.864014611</v>
      </c>
      <c r="K1090" s="80">
        <f>+J1090-H1090</f>
        <v>2.8904527425765991E-3</v>
      </c>
    </row>
    <row r="1091" spans="1:11" hidden="1" outlineLevel="1"/>
    <row r="1092" spans="1:11" hidden="1" outlineLevel="1"/>
    <row r="1093" spans="1:11" hidden="1" outlineLevel="1">
      <c r="B1093" s="331" t="s">
        <v>2127</v>
      </c>
      <c r="E1093" s="331" t="s">
        <v>1090</v>
      </c>
    </row>
    <row r="1094" spans="1:11" hidden="1" outlineLevel="1">
      <c r="B1094" s="331"/>
    </row>
    <row r="1095" spans="1:11" hidden="1" outlineLevel="1">
      <c r="B1095" s="331" t="str">
        <f>+CONCATENATE('[4]company '!B1001," . . . . . . . . . . . . . . . . . .  ... . . . .. . . . ",'[4]company '!C1001)</f>
        <v xml:space="preserve"> . . . . . . . . . . . . . . . . . .  ... . . . .. . . . </v>
      </c>
      <c r="E1095" s="331" t="s">
        <v>2128</v>
      </c>
    </row>
    <row r="1096" spans="1:11" hidden="1" outlineLevel="1">
      <c r="B1096" s="331"/>
    </row>
    <row r="1097" spans="1:11" hidden="1" outlineLevel="1">
      <c r="B1097" s="331" t="str">
        <f>+CONCATENATE('[4]company '!B1004,". . . . . . . . . . . . . . . . . . . . ",'[4]company '!C1004)</f>
        <v xml:space="preserve">. . . . . . . . . . . . . . . . . . . . </v>
      </c>
    </row>
    <row r="1098" spans="1:11" collapsed="1">
      <c r="A1098" s="231" t="s">
        <v>2656</v>
      </c>
    </row>
    <row r="1099" spans="1:11" hidden="1" outlineLevel="1">
      <c r="B1099" s="445"/>
      <c r="C1099" s="445"/>
      <c r="D1099" s="445"/>
      <c r="E1099" s="486"/>
      <c r="F1099" s="1066" t="s">
        <v>1984</v>
      </c>
      <c r="G1099" s="1066"/>
      <c r="H1099" s="1066"/>
    </row>
    <row r="1100" spans="1:11" hidden="1" outlineLevel="1">
      <c r="D1100" s="445"/>
      <c r="E1100" s="1067" t="s">
        <v>1988</v>
      </c>
      <c r="F1100" s="1067"/>
      <c r="G1100" s="1067"/>
      <c r="H1100" s="1067"/>
    </row>
    <row r="1101" spans="1:11" ht="18.75" hidden="1" outlineLevel="1">
      <c r="G1101" s="452" t="s">
        <v>1994</v>
      </c>
      <c r="H1101" s="453" t="s">
        <v>1995</v>
      </c>
    </row>
    <row r="1102" spans="1:11" ht="21" hidden="1" outlineLevel="1" thickBot="1">
      <c r="B1102" s="1068" t="s">
        <v>1996</v>
      </c>
      <c r="C1102" s="1068"/>
      <c r="D1102" s="1068"/>
      <c r="E1102" s="1068"/>
      <c r="F1102" s="1068"/>
      <c r="G1102" s="1068"/>
      <c r="H1102" s="1068"/>
    </row>
    <row r="1103" spans="1:11" ht="13.5" hidden="1" outlineLevel="1" thickTop="1"/>
    <row r="1104" spans="1:11" hidden="1" outlineLevel="1">
      <c r="B1104" s="1069" t="s">
        <v>1997</v>
      </c>
      <c r="C1104" s="1070"/>
      <c r="D1104" s="1070"/>
      <c r="E1104" s="1070"/>
      <c r="F1104" s="1070"/>
      <c r="G1104" s="1070"/>
      <c r="H1104" s="1071"/>
    </row>
    <row r="1105" spans="2:8" hidden="1" outlineLevel="1">
      <c r="B1105" s="1041" t="s">
        <v>2278</v>
      </c>
      <c r="C1105" s="1042"/>
      <c r="D1105" s="1043"/>
      <c r="E1105" s="1044" t="s">
        <v>2279</v>
      </c>
      <c r="F1105" s="1045"/>
      <c r="G1105" s="1045"/>
      <c r="H1105" s="1046"/>
    </row>
    <row r="1106" spans="2:8" hidden="1" outlineLevel="1"/>
    <row r="1107" spans="2:8" hidden="1" outlineLevel="1">
      <c r="B1107" s="1069" t="s">
        <v>2280</v>
      </c>
      <c r="C1107" s="1070"/>
      <c r="D1107" s="1071"/>
      <c r="E1107" s="1088" t="s">
        <v>2281</v>
      </c>
      <c r="F1107" s="1089"/>
      <c r="G1107" s="1089"/>
      <c r="H1107" s="1091"/>
    </row>
    <row r="1108" spans="2:8" hidden="1" outlineLevel="1">
      <c r="B1108" s="1069" t="s">
        <v>2282</v>
      </c>
      <c r="C1108" s="1070"/>
      <c r="D1108" s="1071"/>
      <c r="E1108" s="1088" t="s">
        <v>2283</v>
      </c>
      <c r="F1108" s="1089"/>
      <c r="G1108" s="1089"/>
      <c r="H1108" s="1091"/>
    </row>
    <row r="1109" spans="2:8" hidden="1" outlineLevel="1">
      <c r="B1109" s="1069" t="s">
        <v>2284</v>
      </c>
      <c r="C1109" s="1070"/>
      <c r="D1109" s="1071"/>
      <c r="E1109" s="1088" t="s">
        <v>1283</v>
      </c>
      <c r="F1109" s="1089"/>
      <c r="G1109" s="1089"/>
      <c r="H1109" s="1091"/>
    </row>
    <row r="1110" spans="2:8" hidden="1" outlineLevel="1">
      <c r="B1110" s="1092" t="s">
        <v>2285</v>
      </c>
      <c r="C1110" s="1093"/>
      <c r="D1110" s="1094"/>
      <c r="E1110" s="1095" t="s">
        <v>1285</v>
      </c>
      <c r="F1110" s="1096"/>
      <c r="G1110" s="1096"/>
      <c r="H1110" s="1097"/>
    </row>
    <row r="1111" spans="2:8" hidden="1" outlineLevel="1">
      <c r="B1111" s="1098" t="s">
        <v>1286</v>
      </c>
      <c r="C1111" s="1098"/>
      <c r="D1111" s="1098"/>
      <c r="E1111" s="1099"/>
      <c r="F1111" s="1099"/>
      <c r="G1111" s="1099"/>
      <c r="H1111" s="1099"/>
    </row>
    <row r="1112" spans="2:8" hidden="1" outlineLevel="1">
      <c r="B1112" s="1100"/>
      <c r="C1112" s="1100"/>
      <c r="D1112" s="1100"/>
      <c r="E1112" s="1101"/>
      <c r="F1112" s="1101"/>
      <c r="G1112" s="1101"/>
      <c r="H1112" s="1101"/>
    </row>
    <row r="1113" spans="2:8" hidden="1" outlineLevel="1">
      <c r="B1113" s="1069" t="s">
        <v>1998</v>
      </c>
      <c r="C1113" s="1070"/>
      <c r="D1113" s="1070"/>
      <c r="E1113" s="1070"/>
      <c r="F1113" s="1070"/>
      <c r="G1113" s="1070"/>
      <c r="H1113" s="1071"/>
    </row>
    <row r="1114" spans="2:8" hidden="1" outlineLevel="1">
      <c r="B1114" s="1084"/>
      <c r="C1114" s="1069" t="s">
        <v>1999</v>
      </c>
      <c r="D1114" s="1071"/>
      <c r="E1114" s="1088" t="s">
        <v>2000</v>
      </c>
      <c r="F1114" s="1089"/>
      <c r="G1114" s="1091"/>
      <c r="H1114" s="456"/>
    </row>
    <row r="1115" spans="2:8" hidden="1" outlineLevel="1">
      <c r="B1115" s="1085"/>
      <c r="C1115" s="1069" t="str">
        <f>+CONCATENATE('[4]company '!B1121,"-""10 сар")</f>
        <v>-"10 сар</v>
      </c>
      <c r="D1115" s="1071"/>
      <c r="E1115" s="1081" t="s">
        <v>46</v>
      </c>
      <c r="F1115" s="1082"/>
      <c r="G1115" s="1083"/>
      <c r="H1115" s="429" t="s">
        <v>2275</v>
      </c>
    </row>
    <row r="1116" spans="2:8" hidden="1" outlineLevel="1">
      <c r="B1116" s="1086"/>
      <c r="C1116" s="1081" t="s">
        <v>2002</v>
      </c>
      <c r="D1116" s="1083"/>
      <c r="E1116" s="1081" t="s">
        <v>2003</v>
      </c>
      <c r="F1116" s="1082"/>
      <c r="G1116" s="1083"/>
      <c r="H1116" s="429"/>
    </row>
    <row r="1117" spans="2:8" hidden="1" outlineLevel="1">
      <c r="B1117" s="487"/>
      <c r="C1117" s="487"/>
      <c r="D1117" s="487"/>
      <c r="E1117" s="487"/>
      <c r="F1117" s="487"/>
      <c r="G1117" s="457"/>
      <c r="H1117" s="458"/>
    </row>
    <row r="1118" spans="2:8" hidden="1" outlineLevel="1">
      <c r="B1118" s="1102" t="s">
        <v>2004</v>
      </c>
      <c r="C1118" s="1102"/>
      <c r="D1118" s="1102"/>
      <c r="E1118" s="459"/>
      <c r="F1118" s="487" t="s">
        <v>2005</v>
      </c>
      <c r="G1118" s="457"/>
      <c r="H1118" s="458" t="s">
        <v>2006</v>
      </c>
    </row>
    <row r="1119" spans="2:8" hidden="1" outlineLevel="1">
      <c r="B1119" s="487"/>
      <c r="C1119" s="487"/>
      <c r="D1119" s="487"/>
      <c r="E1119" s="487"/>
      <c r="F1119" s="487"/>
      <c r="G1119" s="457"/>
      <c r="H1119" s="458"/>
    </row>
    <row r="1120" spans="2:8" hidden="1" outlineLevel="1">
      <c r="B1120" s="487"/>
      <c r="C1120" s="487"/>
      <c r="D1120" s="487"/>
      <c r="E1120" s="487"/>
      <c r="F1120" s="487"/>
      <c r="G1120" s="457"/>
      <c r="H1120" s="458"/>
    </row>
    <row r="1121" spans="2:8" ht="21.75" hidden="1" customHeight="1" outlineLevel="1">
      <c r="B1121" s="1053" t="s">
        <v>2007</v>
      </c>
      <c r="C1121" s="1053"/>
      <c r="D1121" s="1053"/>
      <c r="E1121" s="1053"/>
      <c r="F1121" s="1053"/>
      <c r="G1121" s="1053"/>
      <c r="H1121" s="1053"/>
    </row>
    <row r="1122" spans="2:8" hidden="1" outlineLevel="1">
      <c r="B1122" s="1072" t="s">
        <v>2008</v>
      </c>
      <c r="C1122" s="1073"/>
      <c r="D1122" s="1073"/>
      <c r="E1122" s="1073"/>
      <c r="F1122" s="1074"/>
      <c r="G1122" s="460" t="s">
        <v>2009</v>
      </c>
      <c r="H1122" s="461">
        <f>+H1123+H1124</f>
        <v>30802790.960000001</v>
      </c>
    </row>
    <row r="1123" spans="2:8" hidden="1" outlineLevel="1">
      <c r="B1123" s="1078" t="s">
        <v>2010</v>
      </c>
      <c r="C1123" s="1079"/>
      <c r="D1123" s="1079"/>
      <c r="E1123" s="1079"/>
      <c r="F1123" s="1080"/>
      <c r="G1123" s="460" t="s">
        <v>99</v>
      </c>
      <c r="H1123" s="429"/>
    </row>
    <row r="1124" spans="2:8" hidden="1" outlineLevel="1">
      <c r="B1124" s="1078" t="s">
        <v>2011</v>
      </c>
      <c r="C1124" s="1079"/>
      <c r="D1124" s="1079"/>
      <c r="E1124" s="1079"/>
      <c r="F1124" s="1080"/>
      <c r="G1124" s="460" t="s">
        <v>2012</v>
      </c>
      <c r="H1124" s="429">
        <f>+H1125+H1131+H1151</f>
        <v>30802790.960000001</v>
      </c>
    </row>
    <row r="1125" spans="2:8" hidden="1" outlineLevel="1">
      <c r="B1125" s="1084"/>
      <c r="C1125" s="1072" t="s">
        <v>2013</v>
      </c>
      <c r="D1125" s="1073"/>
      <c r="E1125" s="1073"/>
      <c r="F1125" s="1074"/>
      <c r="G1125" s="460" t="s">
        <v>2014</v>
      </c>
      <c r="H1125" s="461">
        <f>+H1126+H1127+H1128+H1129+H1130</f>
        <v>30802790.960000001</v>
      </c>
    </row>
    <row r="1126" spans="2:8" hidden="1" outlineLevel="1">
      <c r="B1126" s="1085"/>
      <c r="C1126" s="1075" t="s">
        <v>2015</v>
      </c>
      <c r="D1126" s="1081" t="s">
        <v>2016</v>
      </c>
      <c r="E1126" s="1082"/>
      <c r="F1126" s="1083"/>
      <c r="G1126" s="460" t="s">
        <v>173</v>
      </c>
      <c r="H1126" s="429">
        <f>+SUMIFS(JURNAL!H:H,JURNAL!E:E,510000,JURNAL!C:C,"&gt;="&amp;J13,JURNAL!C:C,"&lt;="&amp;K13)+SUMIFS(JURNAL!H:H,JURNAL!E:E,510100,JURNAL!C:C,"&gt;="&amp;J13,JURNAL!C:C,"&lt;="&amp;K13)</f>
        <v>30802790.960000001</v>
      </c>
    </row>
    <row r="1127" spans="2:8" hidden="1" outlineLevel="1">
      <c r="B1127" s="1085"/>
      <c r="C1127" s="1076"/>
      <c r="D1127" s="1047" t="s">
        <v>2017</v>
      </c>
      <c r="E1127" s="1048"/>
      <c r="F1127" s="1049"/>
      <c r="G1127" s="462" t="s">
        <v>174</v>
      </c>
      <c r="H1127" s="429"/>
    </row>
    <row r="1128" spans="2:8" hidden="1" outlineLevel="1">
      <c r="B1128" s="1085"/>
      <c r="C1128" s="1076"/>
      <c r="D1128" s="1047" t="s">
        <v>837</v>
      </c>
      <c r="E1128" s="1048"/>
      <c r="F1128" s="1049"/>
      <c r="G1128" s="462" t="s">
        <v>904</v>
      </c>
      <c r="H1128" s="429"/>
    </row>
    <row r="1129" spans="2:8" hidden="1" outlineLevel="1">
      <c r="B1129" s="1085"/>
      <c r="C1129" s="1076"/>
      <c r="D1129" s="1047" t="s">
        <v>2018</v>
      </c>
      <c r="E1129" s="1048"/>
      <c r="F1129" s="1049"/>
      <c r="G1129" s="462" t="s">
        <v>906</v>
      </c>
      <c r="H1129" s="429"/>
    </row>
    <row r="1130" spans="2:8" hidden="1" outlineLevel="1">
      <c r="B1130" s="1085"/>
      <c r="C1130" s="1077"/>
      <c r="D1130" s="1047" t="s">
        <v>2019</v>
      </c>
      <c r="E1130" s="1048"/>
      <c r="F1130" s="1049"/>
      <c r="G1130" s="462" t="s">
        <v>908</v>
      </c>
      <c r="H1130" s="429"/>
    </row>
    <row r="1131" spans="2:8" hidden="1" outlineLevel="1">
      <c r="B1131" s="1085"/>
      <c r="C1131" s="1072" t="s">
        <v>2020</v>
      </c>
      <c r="D1131" s="1073"/>
      <c r="E1131" s="1073"/>
      <c r="F1131" s="1074"/>
      <c r="G1131" s="460" t="s">
        <v>2021</v>
      </c>
      <c r="H1131" s="461">
        <f>+H1132+H1133+H1134+H1135+H1136+H1137+H1138+H1139+H1140+H1141+H1142+H1143+H1144+H1145+H1146</f>
        <v>0</v>
      </c>
    </row>
    <row r="1132" spans="2:8" hidden="1" outlineLevel="1">
      <c r="B1132" s="1085"/>
      <c r="C1132" s="1075" t="s">
        <v>2015</v>
      </c>
      <c r="D1132" s="1047" t="s">
        <v>2022</v>
      </c>
      <c r="E1132" s="1048"/>
      <c r="F1132" s="1049"/>
      <c r="G1132" s="462" t="s">
        <v>912</v>
      </c>
      <c r="H1132" s="429"/>
    </row>
    <row r="1133" spans="2:8" hidden="1" outlineLevel="1">
      <c r="B1133" s="1085"/>
      <c r="C1133" s="1076"/>
      <c r="D1133" s="1047" t="s">
        <v>2023</v>
      </c>
      <c r="E1133" s="1048"/>
      <c r="F1133" s="1049"/>
      <c r="G1133" s="462" t="s">
        <v>914</v>
      </c>
      <c r="H1133" s="429"/>
    </row>
    <row r="1134" spans="2:8" hidden="1" outlineLevel="1">
      <c r="B1134" s="1085"/>
      <c r="C1134" s="1076"/>
      <c r="D1134" s="1047" t="s">
        <v>2024</v>
      </c>
      <c r="E1134" s="1048"/>
      <c r="F1134" s="1049"/>
      <c r="G1134" s="462" t="s">
        <v>916</v>
      </c>
      <c r="H1134" s="429"/>
    </row>
    <row r="1135" spans="2:8" hidden="1" outlineLevel="1">
      <c r="B1135" s="1085"/>
      <c r="C1135" s="1076"/>
      <c r="D1135" s="1047" t="s">
        <v>2025</v>
      </c>
      <c r="E1135" s="1048"/>
      <c r="F1135" s="1049"/>
      <c r="G1135" s="462" t="s">
        <v>918</v>
      </c>
      <c r="H1135" s="429"/>
    </row>
    <row r="1136" spans="2:8" hidden="1" outlineLevel="1">
      <c r="B1136" s="1085"/>
      <c r="C1136" s="1076"/>
      <c r="D1136" s="1047" t="s">
        <v>2026</v>
      </c>
      <c r="E1136" s="1048"/>
      <c r="F1136" s="1049"/>
      <c r="G1136" s="462" t="s">
        <v>920</v>
      </c>
      <c r="H1136" s="429"/>
    </row>
    <row r="1137" spans="2:8" hidden="1" outlineLevel="1">
      <c r="B1137" s="1085"/>
      <c r="C1137" s="1076"/>
      <c r="D1137" s="1047" t="s">
        <v>2027</v>
      </c>
      <c r="E1137" s="1048"/>
      <c r="F1137" s="1049"/>
      <c r="G1137" s="462" t="s">
        <v>922</v>
      </c>
      <c r="H1137" s="429"/>
    </row>
    <row r="1138" spans="2:8" hidden="1" outlineLevel="1">
      <c r="B1138" s="1085"/>
      <c r="C1138" s="1076"/>
      <c r="D1138" s="1047" t="s">
        <v>2028</v>
      </c>
      <c r="E1138" s="1048"/>
      <c r="F1138" s="1049"/>
      <c r="G1138" s="462" t="s">
        <v>924</v>
      </c>
      <c r="H1138" s="429"/>
    </row>
    <row r="1139" spans="2:8" hidden="1" outlineLevel="1">
      <c r="B1139" s="1085"/>
      <c r="C1139" s="1076"/>
      <c r="D1139" s="1047" t="s">
        <v>2029</v>
      </c>
      <c r="E1139" s="1048"/>
      <c r="F1139" s="1049"/>
      <c r="G1139" s="462" t="s">
        <v>926</v>
      </c>
      <c r="H1139" s="429"/>
    </row>
    <row r="1140" spans="2:8" hidden="1" outlineLevel="1">
      <c r="B1140" s="1085"/>
      <c r="C1140" s="1076"/>
      <c r="D1140" s="1047" t="s">
        <v>2030</v>
      </c>
      <c r="E1140" s="1048"/>
      <c r="F1140" s="1049"/>
      <c r="G1140" s="462" t="s">
        <v>928</v>
      </c>
      <c r="H1140" s="429"/>
    </row>
    <row r="1141" spans="2:8" hidden="1" outlineLevel="1">
      <c r="B1141" s="1085"/>
      <c r="C1141" s="1076"/>
      <c r="D1141" s="1047" t="s">
        <v>2031</v>
      </c>
      <c r="E1141" s="1048"/>
      <c r="F1141" s="1049"/>
      <c r="G1141" s="462" t="s">
        <v>930</v>
      </c>
      <c r="H1141" s="429"/>
    </row>
    <row r="1142" spans="2:8" hidden="1" outlineLevel="1">
      <c r="B1142" s="1085"/>
      <c r="C1142" s="1076"/>
      <c r="D1142" s="1047" t="s">
        <v>2032</v>
      </c>
      <c r="E1142" s="1048"/>
      <c r="F1142" s="1049"/>
      <c r="G1142" s="462" t="s">
        <v>932</v>
      </c>
      <c r="H1142" s="429"/>
    </row>
    <row r="1143" spans="2:8" hidden="1" outlineLevel="1">
      <c r="B1143" s="1085"/>
      <c r="C1143" s="1076"/>
      <c r="D1143" s="1047" t="s">
        <v>2033</v>
      </c>
      <c r="E1143" s="1048"/>
      <c r="F1143" s="1049"/>
      <c r="G1143" s="462" t="s">
        <v>934</v>
      </c>
      <c r="H1143" s="429"/>
    </row>
    <row r="1144" spans="2:8" hidden="1" outlineLevel="1">
      <c r="B1144" s="1085"/>
      <c r="C1144" s="1076"/>
      <c r="D1144" s="1047" t="s">
        <v>2034</v>
      </c>
      <c r="E1144" s="1048"/>
      <c r="F1144" s="1049"/>
      <c r="G1144" s="462" t="s">
        <v>936</v>
      </c>
      <c r="H1144" s="429"/>
    </row>
    <row r="1145" spans="2:8" hidden="1" outlineLevel="1">
      <c r="B1145" s="1085"/>
      <c r="C1145" s="1076"/>
      <c r="D1145" s="1047" t="s">
        <v>2035</v>
      </c>
      <c r="E1145" s="1048"/>
      <c r="F1145" s="1049"/>
      <c r="G1145" s="462" t="s">
        <v>944</v>
      </c>
      <c r="H1145" s="429"/>
    </row>
    <row r="1146" spans="2:8" hidden="1" outlineLevel="1">
      <c r="B1146" s="1086"/>
      <c r="C1146" s="1077"/>
      <c r="D1146" s="1047" t="s">
        <v>2036</v>
      </c>
      <c r="E1146" s="1048"/>
      <c r="F1146" s="1049"/>
      <c r="G1146" s="462" t="s">
        <v>946</v>
      </c>
      <c r="H1146" s="429"/>
    </row>
    <row r="1147" spans="2:8" hidden="1" outlineLevel="1">
      <c r="B1147" s="1072" t="s">
        <v>2037</v>
      </c>
      <c r="C1147" s="1073"/>
      <c r="D1147" s="1073"/>
      <c r="E1147" s="1073"/>
      <c r="F1147" s="1074"/>
      <c r="G1147" s="460" t="s">
        <v>2038</v>
      </c>
      <c r="H1147" s="461">
        <f>+H1125+H1131</f>
        <v>30802790.960000001</v>
      </c>
    </row>
    <row r="1148" spans="2:8" hidden="1" outlineLevel="1">
      <c r="B1148" s="1072" t="s">
        <v>2039</v>
      </c>
      <c r="C1148" s="1073"/>
      <c r="D1148" s="1073"/>
      <c r="E1148" s="1073"/>
      <c r="F1148" s="1074"/>
      <c r="G1148" s="460" t="s">
        <v>2040</v>
      </c>
      <c r="H1148" s="461">
        <f>+H1147*0.1</f>
        <v>3080279.0960000004</v>
      </c>
    </row>
    <row r="1149" spans="2:8" hidden="1" outlineLevel="1">
      <c r="B1149" s="1081" t="s">
        <v>2041</v>
      </c>
      <c r="C1149" s="1082"/>
      <c r="D1149" s="1082"/>
      <c r="E1149" s="1082"/>
      <c r="F1149" s="1083"/>
      <c r="G1149" s="460" t="s">
        <v>2042</v>
      </c>
      <c r="H1149" s="429"/>
    </row>
    <row r="1150" spans="2:8" hidden="1" outlineLevel="1">
      <c r="B1150" s="1081" t="s">
        <v>2043</v>
      </c>
      <c r="C1150" s="1082"/>
      <c r="D1150" s="1082"/>
      <c r="E1150" s="1082"/>
      <c r="F1150" s="1083"/>
      <c r="G1150" s="460" t="s">
        <v>2044</v>
      </c>
      <c r="H1150" s="429"/>
    </row>
    <row r="1151" spans="2:8" hidden="1" outlineLevel="1">
      <c r="B1151" s="1072" t="s">
        <v>2045</v>
      </c>
      <c r="C1151" s="1073"/>
      <c r="D1151" s="1073"/>
      <c r="E1151" s="1073"/>
      <c r="F1151" s="1074"/>
      <c r="G1151" s="460" t="s">
        <v>2046</v>
      </c>
      <c r="H1151" s="461">
        <f>+H1149+H1150</f>
        <v>0</v>
      </c>
    </row>
    <row r="1152" spans="2:8" hidden="1" outlineLevel="1">
      <c r="B1152" s="1072" t="s">
        <v>2039</v>
      </c>
      <c r="C1152" s="1073"/>
      <c r="D1152" s="1073"/>
      <c r="E1152" s="1073"/>
      <c r="F1152" s="1074"/>
      <c r="G1152" s="460" t="s">
        <v>2047</v>
      </c>
      <c r="H1152" s="461">
        <f>+H1151*0%</f>
        <v>0</v>
      </c>
    </row>
    <row r="1153" spans="2:8" hidden="1" outlineLevel="1">
      <c r="B1153" s="1072" t="s">
        <v>2048</v>
      </c>
      <c r="C1153" s="1073"/>
      <c r="D1153" s="1073"/>
      <c r="E1153" s="1073"/>
      <c r="F1153" s="1074"/>
      <c r="G1153" s="460" t="s">
        <v>2049</v>
      </c>
      <c r="H1153" s="461">
        <f>+H1148+H1152</f>
        <v>3080279.0960000004</v>
      </c>
    </row>
    <row r="1154" spans="2:8" hidden="1" outlineLevel="1"/>
    <row r="1155" spans="2:8" ht="21" hidden="1" customHeight="1" outlineLevel="1">
      <c r="B1155" s="1053" t="s">
        <v>2050</v>
      </c>
      <c r="C1155" s="1053"/>
      <c r="D1155" s="1053"/>
      <c r="E1155" s="1053"/>
      <c r="F1155" s="1053"/>
      <c r="G1155" s="1053"/>
      <c r="H1155" s="1053"/>
    </row>
    <row r="1156" spans="2:8" hidden="1" outlineLevel="1">
      <c r="B1156" s="1072" t="s">
        <v>2051</v>
      </c>
      <c r="C1156" s="1073"/>
      <c r="D1156" s="1073"/>
      <c r="E1156" s="1073"/>
      <c r="F1156" s="1074"/>
      <c r="G1156" s="460" t="s">
        <v>2052</v>
      </c>
      <c r="H1156" s="429"/>
    </row>
    <row r="1157" spans="2:8" hidden="1" outlineLevel="1">
      <c r="B1157" s="1078" t="s">
        <v>2053</v>
      </c>
      <c r="C1157" s="1079"/>
      <c r="D1157" s="1079"/>
      <c r="E1157" s="1079"/>
      <c r="F1157" s="1080"/>
      <c r="G1157" s="460" t="s">
        <v>2054</v>
      </c>
      <c r="H1157" s="429">
        <f>+H1158+H1159+H1160+H1161</f>
        <v>2191454.7999999998</v>
      </c>
    </row>
    <row r="1158" spans="2:8" hidden="1" outlineLevel="1">
      <c r="B1158" s="1075" t="s">
        <v>2015</v>
      </c>
      <c r="C1158" s="1047" t="s">
        <v>2055</v>
      </c>
      <c r="D1158" s="1048"/>
      <c r="E1158" s="1048"/>
      <c r="F1158" s="1049"/>
      <c r="G1158" s="460" t="s">
        <v>2056</v>
      </c>
      <c r="H1158" s="429"/>
    </row>
    <row r="1159" spans="2:8" hidden="1" outlineLevel="1">
      <c r="B1159" s="1076"/>
      <c r="C1159" s="1047" t="s">
        <v>2057</v>
      </c>
      <c r="D1159" s="1048"/>
      <c r="E1159" s="1048"/>
      <c r="F1159" s="1049"/>
      <c r="G1159" s="460" t="s">
        <v>2058</v>
      </c>
      <c r="H1159" s="429">
        <f>+M13*10</f>
        <v>2191454.7999999998</v>
      </c>
    </row>
    <row r="1160" spans="2:8" hidden="1" outlineLevel="1">
      <c r="B1160" s="1076"/>
      <c r="C1160" s="1047" t="s">
        <v>2059</v>
      </c>
      <c r="D1160" s="1048"/>
      <c r="E1160" s="1048"/>
      <c r="F1160" s="1049"/>
      <c r="G1160" s="460" t="s">
        <v>2060</v>
      </c>
      <c r="H1160" s="429"/>
    </row>
    <row r="1161" spans="2:8" hidden="1" outlineLevel="1">
      <c r="B1161" s="1077"/>
      <c r="C1161" s="1047" t="s">
        <v>2061</v>
      </c>
      <c r="D1161" s="1048"/>
      <c r="E1161" s="1048"/>
      <c r="F1161" s="1049"/>
      <c r="G1161" s="460" t="s">
        <v>2062</v>
      </c>
      <c r="H1161" s="429"/>
    </row>
    <row r="1162" spans="2:8" hidden="1" outlineLevel="1">
      <c r="B1162" s="1072" t="s">
        <v>2063</v>
      </c>
      <c r="C1162" s="1073"/>
      <c r="D1162" s="1073"/>
      <c r="E1162" s="1073"/>
      <c r="F1162" s="1074"/>
      <c r="G1162" s="460" t="s">
        <v>2064</v>
      </c>
      <c r="H1162" s="461">
        <f>+H1157*0.1</f>
        <v>219145.47999999998</v>
      </c>
    </row>
    <row r="1163" spans="2:8" hidden="1" outlineLevel="1">
      <c r="B1163" s="1072" t="s">
        <v>2065</v>
      </c>
      <c r="C1163" s="1073"/>
      <c r="D1163" s="1073"/>
      <c r="E1163" s="1073"/>
      <c r="F1163" s="1074"/>
      <c r="G1163" s="460" t="s">
        <v>2066</v>
      </c>
      <c r="H1163" s="461">
        <f>+H1164+H1165+H1166+H1167+H1168+H1169</f>
        <v>0</v>
      </c>
    </row>
    <row r="1164" spans="2:8" hidden="1" outlineLevel="1">
      <c r="B1164" s="1075" t="s">
        <v>2015</v>
      </c>
      <c r="C1164" s="1047" t="s">
        <v>2067</v>
      </c>
      <c r="D1164" s="1048"/>
      <c r="E1164" s="1048"/>
      <c r="F1164" s="1049"/>
      <c r="G1164" s="460" t="s">
        <v>2068</v>
      </c>
      <c r="H1164" s="429"/>
    </row>
    <row r="1165" spans="2:8" hidden="1" outlineLevel="1">
      <c r="B1165" s="1076"/>
      <c r="C1165" s="1047" t="s">
        <v>2069</v>
      </c>
      <c r="D1165" s="1048"/>
      <c r="E1165" s="1048"/>
      <c r="F1165" s="1049"/>
      <c r="G1165" s="460" t="s">
        <v>2070</v>
      </c>
      <c r="H1165" s="429"/>
    </row>
    <row r="1166" spans="2:8" hidden="1" outlineLevel="1">
      <c r="B1166" s="1076"/>
      <c r="C1166" s="1047" t="s">
        <v>2071</v>
      </c>
      <c r="D1166" s="1048"/>
      <c r="E1166" s="1048"/>
      <c r="F1166" s="1049"/>
      <c r="G1166" s="460" t="s">
        <v>2072</v>
      </c>
      <c r="H1166" s="429"/>
    </row>
    <row r="1167" spans="2:8" hidden="1" outlineLevel="1">
      <c r="B1167" s="1076"/>
      <c r="C1167" s="1047" t="s">
        <v>2073</v>
      </c>
      <c r="D1167" s="1048"/>
      <c r="E1167" s="1048"/>
      <c r="F1167" s="1049"/>
      <c r="G1167" s="460" t="s">
        <v>2074</v>
      </c>
      <c r="H1167" s="429"/>
    </row>
    <row r="1168" spans="2:8" hidden="1" outlineLevel="1">
      <c r="B1168" s="1076"/>
      <c r="C1168" s="1047" t="s">
        <v>2075</v>
      </c>
      <c r="D1168" s="1048"/>
      <c r="E1168" s="1048"/>
      <c r="F1168" s="1049"/>
      <c r="G1168" s="460" t="s">
        <v>2076</v>
      </c>
      <c r="H1168" s="429"/>
    </row>
    <row r="1169" spans="2:8" hidden="1" outlineLevel="1">
      <c r="B1169" s="1077"/>
      <c r="C1169" s="1047" t="s">
        <v>2077</v>
      </c>
      <c r="D1169" s="1048"/>
      <c r="E1169" s="1048"/>
      <c r="F1169" s="1049"/>
      <c r="G1169" s="460" t="s">
        <v>2078</v>
      </c>
      <c r="H1169" s="429"/>
    </row>
    <row r="1170" spans="2:8" hidden="1" outlineLevel="1">
      <c r="B1170" s="1072" t="s">
        <v>2079</v>
      </c>
      <c r="C1170" s="1073"/>
      <c r="D1170" s="1073"/>
      <c r="E1170" s="1073"/>
      <c r="F1170" s="1074"/>
      <c r="G1170" s="460" t="s">
        <v>2080</v>
      </c>
      <c r="H1170" s="461">
        <f>+H1162-H1163</f>
        <v>219145.47999999998</v>
      </c>
    </row>
    <row r="1171" spans="2:8" hidden="1" outlineLevel="1"/>
    <row r="1172" spans="2:8" ht="21.75" hidden="1" customHeight="1" outlineLevel="1">
      <c r="B1172" s="1053" t="s">
        <v>2081</v>
      </c>
      <c r="C1172" s="1053"/>
      <c r="D1172" s="1053"/>
      <c r="E1172" s="1053"/>
      <c r="F1172" s="1053"/>
      <c r="G1172" s="1053"/>
      <c r="H1172" s="1053"/>
    </row>
    <row r="1173" spans="2:8" hidden="1" outlineLevel="1">
      <c r="B1173" s="1047" t="s">
        <v>2082</v>
      </c>
      <c r="C1173" s="1048"/>
      <c r="D1173" s="1048"/>
      <c r="E1173" s="1048"/>
      <c r="F1173" s="1049"/>
      <c r="G1173" s="460" t="s">
        <v>2083</v>
      </c>
      <c r="H1173" s="429"/>
    </row>
    <row r="1174" spans="2:8" hidden="1" outlineLevel="1">
      <c r="B1174" s="1047" t="s">
        <v>2084</v>
      </c>
      <c r="C1174" s="1048"/>
      <c r="D1174" s="1048"/>
      <c r="E1174" s="1048"/>
      <c r="F1174" s="1049"/>
      <c r="G1174" s="460" t="s">
        <v>2085</v>
      </c>
      <c r="H1174" s="429"/>
    </row>
    <row r="1175" spans="2:8" hidden="1" outlineLevel="1">
      <c r="B1175" s="1050" t="s">
        <v>2086</v>
      </c>
      <c r="C1175" s="1051"/>
      <c r="D1175" s="1051"/>
      <c r="E1175" s="1051"/>
      <c r="F1175" s="1052"/>
      <c r="G1175" s="460" t="s">
        <v>2087</v>
      </c>
      <c r="H1175" s="429">
        <f>+(H1173+H1174)*0.1</f>
        <v>0</v>
      </c>
    </row>
    <row r="1176" spans="2:8" hidden="1" outlineLevel="1">
      <c r="B1176" s="1047" t="s">
        <v>2088</v>
      </c>
      <c r="C1176" s="1048"/>
      <c r="D1176" s="1048"/>
      <c r="E1176" s="1048"/>
      <c r="F1176" s="1049"/>
      <c r="G1176" s="460" t="s">
        <v>2089</v>
      </c>
      <c r="H1176" s="429"/>
    </row>
    <row r="1177" spans="2:8" hidden="1" outlineLevel="1">
      <c r="B1177" s="1047" t="s">
        <v>2090</v>
      </c>
      <c r="C1177" s="1048"/>
      <c r="D1177" s="1048"/>
      <c r="E1177" s="1048"/>
      <c r="F1177" s="1049"/>
      <c r="G1177" s="460" t="s">
        <v>2091</v>
      </c>
      <c r="H1177" s="429"/>
    </row>
    <row r="1178" spans="2:8" hidden="1" outlineLevel="1">
      <c r="B1178" s="1050" t="s">
        <v>2092</v>
      </c>
      <c r="C1178" s="1051"/>
      <c r="D1178" s="1051"/>
      <c r="E1178" s="1051"/>
      <c r="F1178" s="1052"/>
      <c r="G1178" s="460" t="s">
        <v>2093</v>
      </c>
      <c r="H1178" s="429">
        <f>+(H1176+H1177)*0.1</f>
        <v>0</v>
      </c>
    </row>
    <row r="1179" spans="2:8" hidden="1" outlineLevel="1"/>
    <row r="1180" spans="2:8" hidden="1" outlineLevel="1">
      <c r="B1180" s="1053" t="s">
        <v>2094</v>
      </c>
      <c r="C1180" s="1053"/>
      <c r="D1180" s="1053"/>
      <c r="E1180" s="1053"/>
      <c r="F1180" s="1053"/>
      <c r="G1180" s="1053"/>
      <c r="H1180" s="1053"/>
    </row>
    <row r="1181" spans="2:8" hidden="1" outlineLevel="1">
      <c r="B1181" s="1050" t="s">
        <v>2095</v>
      </c>
      <c r="C1181" s="1051"/>
      <c r="D1181" s="1051"/>
      <c r="E1181" s="1051"/>
      <c r="F1181" s="1052"/>
      <c r="G1181" s="460" t="s">
        <v>2096</v>
      </c>
      <c r="H1181" s="429">
        <f>+H1153+H1175</f>
        <v>3080279.0960000004</v>
      </c>
    </row>
    <row r="1182" spans="2:8" hidden="1" outlineLevel="1">
      <c r="B1182" s="1050" t="s">
        <v>2097</v>
      </c>
      <c r="C1182" s="1051"/>
      <c r="D1182" s="1051"/>
      <c r="E1182" s="1051"/>
      <c r="F1182" s="1052"/>
      <c r="G1182" s="460" t="s">
        <v>2098</v>
      </c>
      <c r="H1182" s="429">
        <f>+H1170+H1178</f>
        <v>219145.47999999998</v>
      </c>
    </row>
    <row r="1183" spans="2:8" hidden="1" outlineLevel="1"/>
    <row r="1184" spans="2:8" hidden="1" outlineLevel="1">
      <c r="B1184" s="1053" t="s">
        <v>2099</v>
      </c>
      <c r="C1184" s="1053"/>
      <c r="D1184" s="1053"/>
      <c r="E1184" s="1053"/>
      <c r="F1184" s="1053"/>
      <c r="G1184" s="1053"/>
      <c r="H1184" s="1053"/>
    </row>
    <row r="1185" spans="2:8" hidden="1" outlineLevel="1">
      <c r="B1185" s="1047" t="s">
        <v>2100</v>
      </c>
      <c r="C1185" s="1048"/>
      <c r="D1185" s="1048"/>
      <c r="E1185" s="1048"/>
      <c r="F1185" s="1049"/>
      <c r="G1185" s="460" t="s">
        <v>2101</v>
      </c>
      <c r="H1185" s="429"/>
    </row>
    <row r="1186" spans="2:8" hidden="1" outlineLevel="1">
      <c r="B1186" s="1050" t="s">
        <v>2102</v>
      </c>
      <c r="C1186" s="1051"/>
      <c r="D1186" s="1051"/>
      <c r="E1186" s="1051"/>
      <c r="F1186" s="1052"/>
      <c r="G1186" s="460" t="s">
        <v>2103</v>
      </c>
      <c r="H1186" s="429">
        <f>+H1185*0.1</f>
        <v>0</v>
      </c>
    </row>
    <row r="1187" spans="2:8" hidden="1" outlineLevel="1">
      <c r="B1187" s="1047" t="s">
        <v>2104</v>
      </c>
      <c r="C1187" s="1048"/>
      <c r="D1187" s="1048"/>
      <c r="E1187" s="1048"/>
      <c r="F1187" s="1049"/>
      <c r="G1187" s="460" t="s">
        <v>2105</v>
      </c>
      <c r="H1187" s="429"/>
    </row>
    <row r="1188" spans="2:8" hidden="1" outlineLevel="1">
      <c r="B1188" s="1050" t="s">
        <v>2092</v>
      </c>
      <c r="C1188" s="1051"/>
      <c r="D1188" s="1051"/>
      <c r="E1188" s="1051"/>
      <c r="F1188" s="1052"/>
      <c r="G1188" s="460" t="s">
        <v>2106</v>
      </c>
      <c r="H1188" s="429">
        <f>+H1187*0.1</f>
        <v>0</v>
      </c>
    </row>
    <row r="1189" spans="2:8" hidden="1" outlineLevel="1"/>
    <row r="1190" spans="2:8" hidden="1" outlineLevel="1">
      <c r="B1190" s="1053" t="s">
        <v>2107</v>
      </c>
      <c r="C1190" s="1053"/>
      <c r="D1190" s="1053"/>
      <c r="E1190" s="1053"/>
      <c r="F1190" s="1053"/>
      <c r="G1190" s="1053"/>
      <c r="H1190" s="1053"/>
    </row>
    <row r="1191" spans="2:8" hidden="1" outlineLevel="1">
      <c r="B1191" s="1054" t="s">
        <v>1322</v>
      </c>
      <c r="C1191" s="1054"/>
      <c r="D1191" s="1055" t="s">
        <v>2108</v>
      </c>
      <c r="E1191" s="1056"/>
      <c r="F1191" s="1057"/>
      <c r="G1191" s="460" t="s">
        <v>2109</v>
      </c>
      <c r="H1191" s="429">
        <f>+H1181-H1186</f>
        <v>3080279.0960000004</v>
      </c>
    </row>
    <row r="1192" spans="2:8" hidden="1" outlineLevel="1">
      <c r="B1192" s="1054"/>
      <c r="C1192" s="1054"/>
      <c r="D1192" s="1055" t="s">
        <v>2110</v>
      </c>
      <c r="E1192" s="1056"/>
      <c r="F1192" s="1057"/>
      <c r="G1192" s="460" t="s">
        <v>2111</v>
      </c>
      <c r="H1192" s="429">
        <f>+H1182-H1188</f>
        <v>219145.47999999998</v>
      </c>
    </row>
    <row r="1193" spans="2:8" hidden="1" outlineLevel="1">
      <c r="B1193" s="1054"/>
      <c r="C1193" s="1054"/>
      <c r="D1193" s="1055" t="s">
        <v>2112</v>
      </c>
      <c r="E1193" s="1056"/>
      <c r="F1193" s="1057"/>
      <c r="G1193" s="460" t="s">
        <v>2113</v>
      </c>
      <c r="H1193" s="429">
        <f>+H1191-H1192</f>
        <v>2861133.6160000004</v>
      </c>
    </row>
    <row r="1194" spans="2:8" hidden="1" outlineLevel="1">
      <c r="B1194" s="1054"/>
      <c r="C1194" s="1054"/>
      <c r="D1194" s="1055" t="s">
        <v>2114</v>
      </c>
      <c r="E1194" s="1056"/>
      <c r="F1194" s="1057"/>
      <c r="G1194" s="460" t="s">
        <v>2115</v>
      </c>
      <c r="H1194" s="429"/>
    </row>
    <row r="1195" spans="2:8" hidden="1" outlineLevel="1"/>
    <row r="1196" spans="2:8" hidden="1" outlineLevel="1">
      <c r="B1196" s="1062" t="s">
        <v>2116</v>
      </c>
      <c r="C1196" s="1062"/>
      <c r="D1196" s="1062"/>
      <c r="E1196" s="1062"/>
      <c r="F1196" s="1062"/>
      <c r="G1196" s="463" t="s">
        <v>2117</v>
      </c>
      <c r="H1196" s="464" t="s">
        <v>2118</v>
      </c>
    </row>
    <row r="1197" spans="2:8" hidden="1" outlineLevel="1">
      <c r="B1197" s="1058" t="s">
        <v>2119</v>
      </c>
      <c r="C1197" s="1058"/>
      <c r="D1197" s="1058"/>
      <c r="E1197" s="465" t="s">
        <v>1079</v>
      </c>
      <c r="F1197" s="466">
        <v>1</v>
      </c>
      <c r="G1197" s="467">
        <f>+O12</f>
        <v>0</v>
      </c>
      <c r="H1197" s="468"/>
    </row>
    <row r="1198" spans="2:8" hidden="1" outlineLevel="1">
      <c r="B1198" s="1058"/>
      <c r="C1198" s="1058"/>
      <c r="D1198" s="1058"/>
      <c r="E1198" s="465" t="s">
        <v>1080</v>
      </c>
      <c r="F1198" s="466">
        <f>+F1197+1</f>
        <v>2</v>
      </c>
      <c r="G1198" s="469"/>
      <c r="H1198" s="470">
        <f>+P12</f>
        <v>78570158.860124156</v>
      </c>
    </row>
    <row r="1199" spans="2:8" hidden="1" outlineLevel="1">
      <c r="B1199" s="1058" t="s">
        <v>2120</v>
      </c>
      <c r="C1199" s="1058"/>
      <c r="D1199" s="1058"/>
      <c r="E1199" s="465" t="s">
        <v>1079</v>
      </c>
      <c r="F1199" s="466">
        <f t="shared" ref="F1199:F1212" si="11">+F1198+1</f>
        <v>3</v>
      </c>
      <c r="G1199" s="467"/>
      <c r="H1199" s="468"/>
    </row>
    <row r="1200" spans="2:8" hidden="1" outlineLevel="1">
      <c r="B1200" s="1058"/>
      <c r="C1200" s="1058"/>
      <c r="D1200" s="1058"/>
      <c r="E1200" s="465" t="s">
        <v>1080</v>
      </c>
      <c r="F1200" s="466">
        <f t="shared" si="11"/>
        <v>4</v>
      </c>
      <c r="G1200" s="469"/>
      <c r="H1200" s="470">
        <f>+H1193</f>
        <v>2861133.6160000004</v>
      </c>
    </row>
    <row r="1201" spans="2:11" hidden="1" outlineLevel="1">
      <c r="B1201" s="1059" t="s">
        <v>1085</v>
      </c>
      <c r="C1201" s="1060"/>
      <c r="D1201" s="1060"/>
      <c r="E1201" s="1061"/>
      <c r="F1201" s="466">
        <f t="shared" si="11"/>
        <v>5</v>
      </c>
      <c r="G1201" s="467">
        <f>+L13</f>
        <v>0</v>
      </c>
      <c r="H1201" s="468"/>
    </row>
    <row r="1202" spans="2:11" hidden="1" outlineLevel="1">
      <c r="B1202" s="1063" t="s">
        <v>2121</v>
      </c>
      <c r="C1202" s="1064"/>
      <c r="D1202" s="1064"/>
      <c r="E1202" s="1065"/>
      <c r="F1202" s="466">
        <f t="shared" si="11"/>
        <v>6</v>
      </c>
      <c r="G1202" s="472"/>
      <c r="H1202" s="468"/>
    </row>
    <row r="1203" spans="2:11" hidden="1" outlineLevel="1">
      <c r="B1203" s="1063" t="s">
        <v>2121</v>
      </c>
      <c r="C1203" s="1064"/>
      <c r="D1203" s="1064"/>
      <c r="E1203" s="1065"/>
      <c r="F1203" s="466">
        <f t="shared" si="11"/>
        <v>7</v>
      </c>
      <c r="G1203" s="469"/>
      <c r="H1203" s="471"/>
    </row>
    <row r="1204" spans="2:11" hidden="1" outlineLevel="1">
      <c r="B1204" s="1058" t="s">
        <v>2122</v>
      </c>
      <c r="C1204" s="1058"/>
      <c r="D1204" s="1058"/>
      <c r="E1204" s="465" t="s">
        <v>1079</v>
      </c>
      <c r="F1204" s="466">
        <f t="shared" si="11"/>
        <v>8</v>
      </c>
      <c r="G1204" s="472"/>
      <c r="H1204" s="468"/>
    </row>
    <row r="1205" spans="2:11" hidden="1" outlineLevel="1">
      <c r="B1205" s="1058"/>
      <c r="C1205" s="1058"/>
      <c r="D1205" s="1058"/>
      <c r="E1205" s="465" t="s">
        <v>1080</v>
      </c>
      <c r="F1205" s="466">
        <f t="shared" si="11"/>
        <v>9</v>
      </c>
      <c r="G1205" s="469"/>
      <c r="H1205" s="471"/>
    </row>
    <row r="1206" spans="2:11" hidden="1" outlineLevel="1">
      <c r="B1206" s="1058" t="s">
        <v>2123</v>
      </c>
      <c r="C1206" s="1058"/>
      <c r="D1206" s="1058"/>
      <c r="E1206" s="465" t="s">
        <v>1079</v>
      </c>
      <c r="F1206" s="466">
        <f t="shared" si="11"/>
        <v>10</v>
      </c>
      <c r="G1206" s="472"/>
      <c r="H1206" s="468"/>
    </row>
    <row r="1207" spans="2:11" hidden="1" outlineLevel="1">
      <c r="B1207" s="1058"/>
      <c r="C1207" s="1058"/>
      <c r="D1207" s="1058"/>
      <c r="E1207" s="465" t="s">
        <v>1080</v>
      </c>
      <c r="F1207" s="466">
        <f t="shared" si="11"/>
        <v>11</v>
      </c>
      <c r="G1207" s="469"/>
      <c r="H1207" s="471"/>
    </row>
    <row r="1208" spans="2:11" hidden="1" outlineLevel="1">
      <c r="B1208" s="1059" t="s">
        <v>2124</v>
      </c>
      <c r="C1208" s="1060"/>
      <c r="D1208" s="1060"/>
      <c r="E1208" s="1061"/>
      <c r="F1208" s="466">
        <f t="shared" si="11"/>
        <v>12</v>
      </c>
      <c r="G1208" s="472"/>
      <c r="H1208" s="468"/>
    </row>
    <row r="1209" spans="2:11" hidden="1" outlineLevel="1">
      <c r="B1209" s="1058" t="s">
        <v>2125</v>
      </c>
      <c r="C1209" s="1058"/>
      <c r="D1209" s="1058"/>
      <c r="E1209" s="465" t="s">
        <v>1079</v>
      </c>
      <c r="F1209" s="466">
        <f t="shared" si="11"/>
        <v>13</v>
      </c>
      <c r="G1209" s="472"/>
      <c r="H1209" s="468"/>
    </row>
    <row r="1210" spans="2:11" hidden="1" outlineLevel="1">
      <c r="B1210" s="1058"/>
      <c r="C1210" s="1058"/>
      <c r="D1210" s="1058"/>
      <c r="E1210" s="465" t="s">
        <v>1080</v>
      </c>
      <c r="F1210" s="466">
        <f t="shared" si="11"/>
        <v>14</v>
      </c>
      <c r="G1210" s="469"/>
      <c r="H1210" s="471"/>
    </row>
    <row r="1211" spans="2:11" hidden="1" outlineLevel="1">
      <c r="B1211" s="1058" t="s">
        <v>2126</v>
      </c>
      <c r="C1211" s="1058"/>
      <c r="D1211" s="1058"/>
      <c r="E1211" s="465" t="s">
        <v>1079</v>
      </c>
      <c r="F1211" s="466">
        <f t="shared" si="11"/>
        <v>15</v>
      </c>
      <c r="G1211" s="467">
        <f>IF((G1197+G1199+G1201-H1198-H1200)&gt;0,(G1197+G1199+G1201-H1198-H1200),0)</f>
        <v>0</v>
      </c>
      <c r="H1211" s="468"/>
    </row>
    <row r="1212" spans="2:11" hidden="1" outlineLevel="1">
      <c r="B1212" s="1058"/>
      <c r="C1212" s="1058"/>
      <c r="D1212" s="1058"/>
      <c r="E1212" s="465" t="s">
        <v>1080</v>
      </c>
      <c r="F1212" s="466">
        <f t="shared" si="11"/>
        <v>16</v>
      </c>
      <c r="G1212" s="473"/>
      <c r="H1212" s="520">
        <f>+IF((H1198+H1200-G1197-G1199-G1201)&gt;0,(H1198+H1200-G1197-G1199-G1201),0)</f>
        <v>81431292.476124153</v>
      </c>
      <c r="J1212" s="80">
        <f>+P13</f>
        <v>81431292.420124158</v>
      </c>
      <c r="K1212" s="80">
        <f>+J1212-H1212</f>
        <v>-5.5999994277954102E-2</v>
      </c>
    </row>
    <row r="1213" spans="2:11" hidden="1" outlineLevel="1"/>
    <row r="1214" spans="2:11" hidden="1" outlineLevel="1"/>
    <row r="1215" spans="2:11" hidden="1" outlineLevel="1">
      <c r="B1215" s="331" t="s">
        <v>2127</v>
      </c>
      <c r="E1215" s="331" t="s">
        <v>1090</v>
      </c>
    </row>
    <row r="1216" spans="2:11" hidden="1" outlineLevel="1">
      <c r="B1216" s="331"/>
    </row>
    <row r="1217" spans="1:8" hidden="1" outlineLevel="1">
      <c r="B1217" s="331" t="str">
        <f>+CONCATENATE('[4]company '!B1123," . . . . . . . . . . . . . . . . . .  ... . . . .. . . . ",'[4]company '!C1123)</f>
        <v xml:space="preserve"> . . . . . . . . . . . . . . . . . .  ... . . . .. . . . </v>
      </c>
      <c r="E1217" s="331" t="s">
        <v>2128</v>
      </c>
    </row>
    <row r="1218" spans="1:8" hidden="1" outlineLevel="1">
      <c r="B1218" s="331"/>
    </row>
    <row r="1219" spans="1:8" hidden="1" outlineLevel="1">
      <c r="B1219" s="331" t="str">
        <f>+CONCATENATE('[4]company '!B1126,". . . . . . . . . . . . . . . . . . . . ",'[4]company '!C1126)</f>
        <v xml:space="preserve">. . . . . . . . . . . . . . . . . . . . </v>
      </c>
    </row>
    <row r="1220" spans="1:8" collapsed="1">
      <c r="A1220" s="231" t="s">
        <v>2657</v>
      </c>
    </row>
    <row r="1221" spans="1:8" hidden="1" outlineLevel="1">
      <c r="B1221" s="445"/>
      <c r="C1221" s="445"/>
      <c r="D1221" s="445"/>
      <c r="E1221" s="486"/>
      <c r="F1221" s="1066" t="s">
        <v>1984</v>
      </c>
      <c r="G1221" s="1066"/>
      <c r="H1221" s="1066"/>
    </row>
    <row r="1222" spans="1:8" hidden="1" outlineLevel="1">
      <c r="D1222" s="445"/>
      <c r="E1222" s="1067" t="s">
        <v>1988</v>
      </c>
      <c r="F1222" s="1067"/>
      <c r="G1222" s="1067"/>
      <c r="H1222" s="1067"/>
    </row>
    <row r="1223" spans="1:8" ht="18.75" hidden="1" outlineLevel="1">
      <c r="G1223" s="452" t="s">
        <v>1994</v>
      </c>
      <c r="H1223" s="453" t="s">
        <v>1995</v>
      </c>
    </row>
    <row r="1224" spans="1:8" ht="21" hidden="1" outlineLevel="1" thickBot="1">
      <c r="B1224" s="1068" t="s">
        <v>1996</v>
      </c>
      <c r="C1224" s="1068"/>
      <c r="D1224" s="1068"/>
      <c r="E1224" s="1068"/>
      <c r="F1224" s="1068"/>
      <c r="G1224" s="1068"/>
      <c r="H1224" s="1068"/>
    </row>
    <row r="1225" spans="1:8" ht="13.5" hidden="1" outlineLevel="1" thickTop="1"/>
    <row r="1226" spans="1:8" hidden="1" outlineLevel="1">
      <c r="B1226" s="1069" t="s">
        <v>1997</v>
      </c>
      <c r="C1226" s="1070"/>
      <c r="D1226" s="1070"/>
      <c r="E1226" s="1070"/>
      <c r="F1226" s="1070"/>
      <c r="G1226" s="1070"/>
      <c r="H1226" s="1071"/>
    </row>
    <row r="1227" spans="1:8" hidden="1" outlineLevel="1">
      <c r="B1227" s="1041" t="s">
        <v>2278</v>
      </c>
      <c r="C1227" s="1042"/>
      <c r="D1227" s="1043"/>
      <c r="E1227" s="1044" t="s">
        <v>2279</v>
      </c>
      <c r="F1227" s="1045"/>
      <c r="G1227" s="1045"/>
      <c r="H1227" s="1046"/>
    </row>
    <row r="1228" spans="1:8" hidden="1" outlineLevel="1"/>
    <row r="1229" spans="1:8" hidden="1" outlineLevel="1">
      <c r="B1229" s="1069" t="s">
        <v>2280</v>
      </c>
      <c r="C1229" s="1070"/>
      <c r="D1229" s="1071"/>
      <c r="E1229" s="1088" t="s">
        <v>2281</v>
      </c>
      <c r="F1229" s="1089"/>
      <c r="G1229" s="1089"/>
      <c r="H1229" s="1091"/>
    </row>
    <row r="1230" spans="1:8" hidden="1" outlineLevel="1">
      <c r="B1230" s="1069" t="s">
        <v>2282</v>
      </c>
      <c r="C1230" s="1070"/>
      <c r="D1230" s="1071"/>
      <c r="E1230" s="1088" t="s">
        <v>2283</v>
      </c>
      <c r="F1230" s="1089"/>
      <c r="G1230" s="1089"/>
      <c r="H1230" s="1091"/>
    </row>
    <row r="1231" spans="1:8" hidden="1" outlineLevel="1">
      <c r="B1231" s="1069" t="s">
        <v>2284</v>
      </c>
      <c r="C1231" s="1070"/>
      <c r="D1231" s="1071"/>
      <c r="E1231" s="1088" t="s">
        <v>1283</v>
      </c>
      <c r="F1231" s="1089"/>
      <c r="G1231" s="1089"/>
      <c r="H1231" s="1091"/>
    </row>
    <row r="1232" spans="1:8" hidden="1" outlineLevel="1">
      <c r="B1232" s="1092" t="s">
        <v>2285</v>
      </c>
      <c r="C1232" s="1093"/>
      <c r="D1232" s="1094"/>
      <c r="E1232" s="1095" t="s">
        <v>1285</v>
      </c>
      <c r="F1232" s="1096"/>
      <c r="G1232" s="1096"/>
      <c r="H1232" s="1097"/>
    </row>
    <row r="1233" spans="2:8" hidden="1" outlineLevel="1">
      <c r="B1233" s="1098" t="s">
        <v>1286</v>
      </c>
      <c r="C1233" s="1098"/>
      <c r="D1233" s="1098"/>
      <c r="E1233" s="1099"/>
      <c r="F1233" s="1099"/>
      <c r="G1233" s="1099"/>
      <c r="H1233" s="1099"/>
    </row>
    <row r="1234" spans="2:8" hidden="1" outlineLevel="1">
      <c r="B1234" s="1100"/>
      <c r="C1234" s="1100"/>
      <c r="D1234" s="1100"/>
      <c r="E1234" s="1101"/>
      <c r="F1234" s="1101"/>
      <c r="G1234" s="1101"/>
      <c r="H1234" s="1101"/>
    </row>
    <row r="1235" spans="2:8" hidden="1" outlineLevel="1">
      <c r="B1235" s="1069" t="s">
        <v>1998</v>
      </c>
      <c r="C1235" s="1070"/>
      <c r="D1235" s="1070"/>
      <c r="E1235" s="1070"/>
      <c r="F1235" s="1070"/>
      <c r="G1235" s="1070"/>
      <c r="H1235" s="1071"/>
    </row>
    <row r="1236" spans="2:8" hidden="1" outlineLevel="1">
      <c r="B1236" s="1084"/>
      <c r="C1236" s="1069" t="s">
        <v>1999</v>
      </c>
      <c r="D1236" s="1071"/>
      <c r="E1236" s="1088" t="s">
        <v>2000</v>
      </c>
      <c r="F1236" s="1089"/>
      <c r="G1236" s="1091"/>
      <c r="H1236" s="456"/>
    </row>
    <row r="1237" spans="2:8" hidden="1" outlineLevel="1">
      <c r="B1237" s="1085"/>
      <c r="C1237" s="1069" t="str">
        <f>+CONCATENATE('[4]company '!B1243,"-""11 сар")</f>
        <v>-"11 сар</v>
      </c>
      <c r="D1237" s="1071"/>
      <c r="E1237" s="1081" t="s">
        <v>46</v>
      </c>
      <c r="F1237" s="1082"/>
      <c r="G1237" s="1083"/>
      <c r="H1237" s="429" t="s">
        <v>2276</v>
      </c>
    </row>
    <row r="1238" spans="2:8" hidden="1" outlineLevel="1">
      <c r="B1238" s="1086"/>
      <c r="C1238" s="1081" t="s">
        <v>2002</v>
      </c>
      <c r="D1238" s="1083"/>
      <c r="E1238" s="1081" t="s">
        <v>2003</v>
      </c>
      <c r="F1238" s="1082"/>
      <c r="G1238" s="1083"/>
      <c r="H1238" s="429"/>
    </row>
    <row r="1239" spans="2:8" hidden="1" outlineLevel="1">
      <c r="B1239" s="487"/>
      <c r="C1239" s="487"/>
      <c r="D1239" s="487"/>
      <c r="E1239" s="487"/>
      <c r="F1239" s="487"/>
      <c r="G1239" s="457"/>
      <c r="H1239" s="458"/>
    </row>
    <row r="1240" spans="2:8" hidden="1" outlineLevel="1">
      <c r="B1240" s="1102" t="s">
        <v>2004</v>
      </c>
      <c r="C1240" s="1102"/>
      <c r="D1240" s="1102"/>
      <c r="E1240" s="459"/>
      <c r="F1240" s="487" t="s">
        <v>2005</v>
      </c>
      <c r="G1240" s="457"/>
      <c r="H1240" s="458" t="s">
        <v>2006</v>
      </c>
    </row>
    <row r="1241" spans="2:8" hidden="1" outlineLevel="1">
      <c r="B1241" s="487"/>
      <c r="C1241" s="487"/>
      <c r="D1241" s="487"/>
      <c r="E1241" s="487"/>
      <c r="F1241" s="487"/>
      <c r="G1241" s="457"/>
      <c r="H1241" s="458"/>
    </row>
    <row r="1242" spans="2:8" hidden="1" outlineLevel="1">
      <c r="B1242" s="487"/>
      <c r="C1242" s="487"/>
      <c r="D1242" s="487"/>
      <c r="E1242" s="487"/>
      <c r="F1242" s="487"/>
      <c r="G1242" s="457"/>
      <c r="H1242" s="458"/>
    </row>
    <row r="1243" spans="2:8" ht="23.25" hidden="1" customHeight="1" outlineLevel="1">
      <c r="B1243" s="1053" t="s">
        <v>2007</v>
      </c>
      <c r="C1243" s="1053"/>
      <c r="D1243" s="1053"/>
      <c r="E1243" s="1053"/>
      <c r="F1243" s="1053"/>
      <c r="G1243" s="1053"/>
      <c r="H1243" s="1053"/>
    </row>
    <row r="1244" spans="2:8" hidden="1" outlineLevel="1">
      <c r="B1244" s="1072" t="s">
        <v>2008</v>
      </c>
      <c r="C1244" s="1073"/>
      <c r="D1244" s="1073"/>
      <c r="E1244" s="1073"/>
      <c r="F1244" s="1074"/>
      <c r="G1244" s="460" t="s">
        <v>2009</v>
      </c>
      <c r="H1244" s="461">
        <f>+H1245+H1246</f>
        <v>27307194.550000001</v>
      </c>
    </row>
    <row r="1245" spans="2:8" hidden="1" outlineLevel="1">
      <c r="B1245" s="1078" t="s">
        <v>2010</v>
      </c>
      <c r="C1245" s="1079"/>
      <c r="D1245" s="1079"/>
      <c r="E1245" s="1079"/>
      <c r="F1245" s="1080"/>
      <c r="G1245" s="460" t="s">
        <v>99</v>
      </c>
      <c r="H1245" s="429"/>
    </row>
    <row r="1246" spans="2:8" hidden="1" outlineLevel="1">
      <c r="B1246" s="1078" t="s">
        <v>2011</v>
      </c>
      <c r="C1246" s="1079"/>
      <c r="D1246" s="1079"/>
      <c r="E1246" s="1079"/>
      <c r="F1246" s="1080"/>
      <c r="G1246" s="460" t="s">
        <v>2012</v>
      </c>
      <c r="H1246" s="429">
        <f>+H1247+H1253+H1273</f>
        <v>27307194.550000001</v>
      </c>
    </row>
    <row r="1247" spans="2:8" hidden="1" outlineLevel="1">
      <c r="B1247" s="1084"/>
      <c r="C1247" s="1072" t="s">
        <v>2013</v>
      </c>
      <c r="D1247" s="1073"/>
      <c r="E1247" s="1073"/>
      <c r="F1247" s="1074"/>
      <c r="G1247" s="460" t="s">
        <v>2014</v>
      </c>
      <c r="H1247" s="461">
        <f>+H1248+H1249+H1250+H1251+H1252</f>
        <v>27307194.550000001</v>
      </c>
    </row>
    <row r="1248" spans="2:8" hidden="1" outlineLevel="1">
      <c r="B1248" s="1085"/>
      <c r="C1248" s="1075" t="s">
        <v>2015</v>
      </c>
      <c r="D1248" s="1081" t="s">
        <v>2016</v>
      </c>
      <c r="E1248" s="1082"/>
      <c r="F1248" s="1083"/>
      <c r="G1248" s="460" t="s">
        <v>173</v>
      </c>
      <c r="H1248" s="429">
        <f>+SUMIFS(JURNAL!H:H,JURNAL!E:E,510000,JURNAL!C:C,"&gt;="&amp;J14,JURNAL!C:C,"&lt;="&amp;K14)+SUMIFS(JURNAL!H:H,JURNAL!E:E,510100,JURNAL!C:C,"&gt;="&amp;J14,JURNAL!C:C,"&lt;="&amp;K14)</f>
        <v>27307194.550000001</v>
      </c>
    </row>
    <row r="1249" spans="2:8" hidden="1" outlineLevel="1">
      <c r="B1249" s="1085"/>
      <c r="C1249" s="1076"/>
      <c r="D1249" s="1047" t="s">
        <v>2017</v>
      </c>
      <c r="E1249" s="1048"/>
      <c r="F1249" s="1049"/>
      <c r="G1249" s="462" t="s">
        <v>174</v>
      </c>
      <c r="H1249" s="429"/>
    </row>
    <row r="1250" spans="2:8" hidden="1" outlineLevel="1">
      <c r="B1250" s="1085"/>
      <c r="C1250" s="1076"/>
      <c r="D1250" s="1047" t="s">
        <v>837</v>
      </c>
      <c r="E1250" s="1048"/>
      <c r="F1250" s="1049"/>
      <c r="G1250" s="462" t="s">
        <v>904</v>
      </c>
      <c r="H1250" s="429"/>
    </row>
    <row r="1251" spans="2:8" hidden="1" outlineLevel="1">
      <c r="B1251" s="1085"/>
      <c r="C1251" s="1076"/>
      <c r="D1251" s="1047" t="s">
        <v>2018</v>
      </c>
      <c r="E1251" s="1048"/>
      <c r="F1251" s="1049"/>
      <c r="G1251" s="462" t="s">
        <v>906</v>
      </c>
      <c r="H1251" s="429"/>
    </row>
    <row r="1252" spans="2:8" hidden="1" outlineLevel="1">
      <c r="B1252" s="1085"/>
      <c r="C1252" s="1077"/>
      <c r="D1252" s="1047" t="s">
        <v>2019</v>
      </c>
      <c r="E1252" s="1048"/>
      <c r="F1252" s="1049"/>
      <c r="G1252" s="462" t="s">
        <v>908</v>
      </c>
      <c r="H1252" s="429"/>
    </row>
    <row r="1253" spans="2:8" hidden="1" outlineLevel="1">
      <c r="B1253" s="1085"/>
      <c r="C1253" s="1072" t="s">
        <v>2020</v>
      </c>
      <c r="D1253" s="1073"/>
      <c r="E1253" s="1073"/>
      <c r="F1253" s="1074"/>
      <c r="G1253" s="460" t="s">
        <v>2021</v>
      </c>
      <c r="H1253" s="461">
        <f>+H1254+H1255+H1256+H1257+H1258+H1259+H1260+H1261+H1262+H1263+H1264+H1265+H1266+H1267+H1268</f>
        <v>0</v>
      </c>
    </row>
    <row r="1254" spans="2:8" hidden="1" outlineLevel="1">
      <c r="B1254" s="1085"/>
      <c r="C1254" s="1075" t="s">
        <v>2015</v>
      </c>
      <c r="D1254" s="1047" t="s">
        <v>2022</v>
      </c>
      <c r="E1254" s="1048"/>
      <c r="F1254" s="1049"/>
      <c r="G1254" s="462" t="s">
        <v>912</v>
      </c>
      <c r="H1254" s="429"/>
    </row>
    <row r="1255" spans="2:8" hidden="1" outlineLevel="1">
      <c r="B1255" s="1085"/>
      <c r="C1255" s="1076"/>
      <c r="D1255" s="1047" t="s">
        <v>2023</v>
      </c>
      <c r="E1255" s="1048"/>
      <c r="F1255" s="1049"/>
      <c r="G1255" s="462" t="s">
        <v>914</v>
      </c>
      <c r="H1255" s="429"/>
    </row>
    <row r="1256" spans="2:8" hidden="1" outlineLevel="1">
      <c r="B1256" s="1085"/>
      <c r="C1256" s="1076"/>
      <c r="D1256" s="1047" t="s">
        <v>2024</v>
      </c>
      <c r="E1256" s="1048"/>
      <c r="F1256" s="1049"/>
      <c r="G1256" s="462" t="s">
        <v>916</v>
      </c>
      <c r="H1256" s="429"/>
    </row>
    <row r="1257" spans="2:8" hidden="1" outlineLevel="1">
      <c r="B1257" s="1085"/>
      <c r="C1257" s="1076"/>
      <c r="D1257" s="1047" t="s">
        <v>2025</v>
      </c>
      <c r="E1257" s="1048"/>
      <c r="F1257" s="1049"/>
      <c r="G1257" s="462" t="s">
        <v>918</v>
      </c>
      <c r="H1257" s="429"/>
    </row>
    <row r="1258" spans="2:8" hidden="1" outlineLevel="1">
      <c r="B1258" s="1085"/>
      <c r="C1258" s="1076"/>
      <c r="D1258" s="1047" t="s">
        <v>2026</v>
      </c>
      <c r="E1258" s="1048"/>
      <c r="F1258" s="1049"/>
      <c r="G1258" s="462" t="s">
        <v>920</v>
      </c>
      <c r="H1258" s="429"/>
    </row>
    <row r="1259" spans="2:8" hidden="1" outlineLevel="1">
      <c r="B1259" s="1085"/>
      <c r="C1259" s="1076"/>
      <c r="D1259" s="1047" t="s">
        <v>2027</v>
      </c>
      <c r="E1259" s="1048"/>
      <c r="F1259" s="1049"/>
      <c r="G1259" s="462" t="s">
        <v>922</v>
      </c>
      <c r="H1259" s="429"/>
    </row>
    <row r="1260" spans="2:8" hidden="1" outlineLevel="1">
      <c r="B1260" s="1085"/>
      <c r="C1260" s="1076"/>
      <c r="D1260" s="1047" t="s">
        <v>2028</v>
      </c>
      <c r="E1260" s="1048"/>
      <c r="F1260" s="1049"/>
      <c r="G1260" s="462" t="s">
        <v>924</v>
      </c>
      <c r="H1260" s="429"/>
    </row>
    <row r="1261" spans="2:8" hidden="1" outlineLevel="1">
      <c r="B1261" s="1085"/>
      <c r="C1261" s="1076"/>
      <c r="D1261" s="1047" t="s">
        <v>2029</v>
      </c>
      <c r="E1261" s="1048"/>
      <c r="F1261" s="1049"/>
      <c r="G1261" s="462" t="s">
        <v>926</v>
      </c>
      <c r="H1261" s="429"/>
    </row>
    <row r="1262" spans="2:8" hidden="1" outlineLevel="1">
      <c r="B1262" s="1085"/>
      <c r="C1262" s="1076"/>
      <c r="D1262" s="1047" t="s">
        <v>2030</v>
      </c>
      <c r="E1262" s="1048"/>
      <c r="F1262" s="1049"/>
      <c r="G1262" s="462" t="s">
        <v>928</v>
      </c>
      <c r="H1262" s="429"/>
    </row>
    <row r="1263" spans="2:8" hidden="1" outlineLevel="1">
      <c r="B1263" s="1085"/>
      <c r="C1263" s="1076"/>
      <c r="D1263" s="1047" t="s">
        <v>2031</v>
      </c>
      <c r="E1263" s="1048"/>
      <c r="F1263" s="1049"/>
      <c r="G1263" s="462" t="s">
        <v>930</v>
      </c>
      <c r="H1263" s="429"/>
    </row>
    <row r="1264" spans="2:8" hidden="1" outlineLevel="1">
      <c r="B1264" s="1085"/>
      <c r="C1264" s="1076"/>
      <c r="D1264" s="1047" t="s">
        <v>2032</v>
      </c>
      <c r="E1264" s="1048"/>
      <c r="F1264" s="1049"/>
      <c r="G1264" s="462" t="s">
        <v>932</v>
      </c>
      <c r="H1264" s="429"/>
    </row>
    <row r="1265" spans="2:8" hidden="1" outlineLevel="1">
      <c r="B1265" s="1085"/>
      <c r="C1265" s="1076"/>
      <c r="D1265" s="1047" t="s">
        <v>2033</v>
      </c>
      <c r="E1265" s="1048"/>
      <c r="F1265" s="1049"/>
      <c r="G1265" s="462" t="s">
        <v>934</v>
      </c>
      <c r="H1265" s="429"/>
    </row>
    <row r="1266" spans="2:8" hidden="1" outlineLevel="1">
      <c r="B1266" s="1085"/>
      <c r="C1266" s="1076"/>
      <c r="D1266" s="1047" t="s">
        <v>2034</v>
      </c>
      <c r="E1266" s="1048"/>
      <c r="F1266" s="1049"/>
      <c r="G1266" s="462" t="s">
        <v>936</v>
      </c>
      <c r="H1266" s="429"/>
    </row>
    <row r="1267" spans="2:8" hidden="1" outlineLevel="1">
      <c r="B1267" s="1085"/>
      <c r="C1267" s="1076"/>
      <c r="D1267" s="1047" t="s">
        <v>2035</v>
      </c>
      <c r="E1267" s="1048"/>
      <c r="F1267" s="1049"/>
      <c r="G1267" s="462" t="s">
        <v>944</v>
      </c>
      <c r="H1267" s="429"/>
    </row>
    <row r="1268" spans="2:8" hidden="1" outlineLevel="1">
      <c r="B1268" s="1086"/>
      <c r="C1268" s="1077"/>
      <c r="D1268" s="1047" t="s">
        <v>2036</v>
      </c>
      <c r="E1268" s="1048"/>
      <c r="F1268" s="1049"/>
      <c r="G1268" s="462" t="s">
        <v>946</v>
      </c>
      <c r="H1268" s="429"/>
    </row>
    <row r="1269" spans="2:8" hidden="1" outlineLevel="1">
      <c r="B1269" s="1072" t="s">
        <v>2037</v>
      </c>
      <c r="C1269" s="1073"/>
      <c r="D1269" s="1073"/>
      <c r="E1269" s="1073"/>
      <c r="F1269" s="1074"/>
      <c r="G1269" s="460" t="s">
        <v>2038</v>
      </c>
      <c r="H1269" s="461">
        <f>+H1247+H1253</f>
        <v>27307194.550000001</v>
      </c>
    </row>
    <row r="1270" spans="2:8" hidden="1" outlineLevel="1">
      <c r="B1270" s="1072" t="s">
        <v>2039</v>
      </c>
      <c r="C1270" s="1073"/>
      <c r="D1270" s="1073"/>
      <c r="E1270" s="1073"/>
      <c r="F1270" s="1074"/>
      <c r="G1270" s="460" t="s">
        <v>2040</v>
      </c>
      <c r="H1270" s="461">
        <f>+H1269*0.1</f>
        <v>2730719.4550000001</v>
      </c>
    </row>
    <row r="1271" spans="2:8" hidden="1" outlineLevel="1">
      <c r="B1271" s="1081" t="s">
        <v>2041</v>
      </c>
      <c r="C1271" s="1082"/>
      <c r="D1271" s="1082"/>
      <c r="E1271" s="1082"/>
      <c r="F1271" s="1083"/>
      <c r="G1271" s="460" t="s">
        <v>2042</v>
      </c>
      <c r="H1271" s="429"/>
    </row>
    <row r="1272" spans="2:8" hidden="1" outlineLevel="1">
      <c r="B1272" s="1081" t="s">
        <v>2043</v>
      </c>
      <c r="C1272" s="1082"/>
      <c r="D1272" s="1082"/>
      <c r="E1272" s="1082"/>
      <c r="F1272" s="1083"/>
      <c r="G1272" s="460" t="s">
        <v>2044</v>
      </c>
      <c r="H1272" s="429"/>
    </row>
    <row r="1273" spans="2:8" hidden="1" outlineLevel="1">
      <c r="B1273" s="1072" t="s">
        <v>2045</v>
      </c>
      <c r="C1273" s="1073"/>
      <c r="D1273" s="1073"/>
      <c r="E1273" s="1073"/>
      <c r="F1273" s="1074"/>
      <c r="G1273" s="460" t="s">
        <v>2046</v>
      </c>
      <c r="H1273" s="461">
        <f>+H1271+H1272</f>
        <v>0</v>
      </c>
    </row>
    <row r="1274" spans="2:8" hidden="1" outlineLevel="1">
      <c r="B1274" s="1072" t="s">
        <v>2039</v>
      </c>
      <c r="C1274" s="1073"/>
      <c r="D1274" s="1073"/>
      <c r="E1274" s="1073"/>
      <c r="F1274" s="1074"/>
      <c r="G1274" s="460" t="s">
        <v>2047</v>
      </c>
      <c r="H1274" s="461">
        <f>+H1273*0%</f>
        <v>0</v>
      </c>
    </row>
    <row r="1275" spans="2:8" hidden="1" outlineLevel="1">
      <c r="B1275" s="1072" t="s">
        <v>2048</v>
      </c>
      <c r="C1275" s="1073"/>
      <c r="D1275" s="1073"/>
      <c r="E1275" s="1073"/>
      <c r="F1275" s="1074"/>
      <c r="G1275" s="460" t="s">
        <v>2049</v>
      </c>
      <c r="H1275" s="461">
        <f>+H1270+H1274</f>
        <v>2730719.4550000001</v>
      </c>
    </row>
    <row r="1276" spans="2:8" hidden="1" outlineLevel="1"/>
    <row r="1277" spans="2:8" ht="21" hidden="1" customHeight="1" outlineLevel="1">
      <c r="B1277" s="1053" t="s">
        <v>2050</v>
      </c>
      <c r="C1277" s="1053"/>
      <c r="D1277" s="1053"/>
      <c r="E1277" s="1053"/>
      <c r="F1277" s="1053"/>
      <c r="G1277" s="1053"/>
      <c r="H1277" s="1053"/>
    </row>
    <row r="1278" spans="2:8" hidden="1" outlineLevel="1">
      <c r="B1278" s="1072" t="s">
        <v>2051</v>
      </c>
      <c r="C1278" s="1073"/>
      <c r="D1278" s="1073"/>
      <c r="E1278" s="1073"/>
      <c r="F1278" s="1074"/>
      <c r="G1278" s="460" t="s">
        <v>2052</v>
      </c>
      <c r="H1278" s="429"/>
    </row>
    <row r="1279" spans="2:8" hidden="1" outlineLevel="1">
      <c r="B1279" s="1078" t="s">
        <v>2053</v>
      </c>
      <c r="C1279" s="1079"/>
      <c r="D1279" s="1079"/>
      <c r="E1279" s="1079"/>
      <c r="F1279" s="1080"/>
      <c r="G1279" s="460" t="s">
        <v>2054</v>
      </c>
      <c r="H1279" s="429">
        <f>+H1280+H1281+H1282+H1283</f>
        <v>3234627.5</v>
      </c>
    </row>
    <row r="1280" spans="2:8" hidden="1" outlineLevel="1">
      <c r="B1280" s="1075" t="s">
        <v>2015</v>
      </c>
      <c r="C1280" s="1047" t="s">
        <v>2055</v>
      </c>
      <c r="D1280" s="1048"/>
      <c r="E1280" s="1048"/>
      <c r="F1280" s="1049"/>
      <c r="G1280" s="460" t="s">
        <v>2056</v>
      </c>
      <c r="H1280" s="429"/>
    </row>
    <row r="1281" spans="2:8" hidden="1" outlineLevel="1">
      <c r="B1281" s="1076"/>
      <c r="C1281" s="1047" t="s">
        <v>2057</v>
      </c>
      <c r="D1281" s="1048"/>
      <c r="E1281" s="1048"/>
      <c r="F1281" s="1049"/>
      <c r="G1281" s="460" t="s">
        <v>2058</v>
      </c>
      <c r="H1281" s="429">
        <f>+M14*10</f>
        <v>3234627.5</v>
      </c>
    </row>
    <row r="1282" spans="2:8" hidden="1" outlineLevel="1">
      <c r="B1282" s="1076"/>
      <c r="C1282" s="1047" t="s">
        <v>2059</v>
      </c>
      <c r="D1282" s="1048"/>
      <c r="E1282" s="1048"/>
      <c r="F1282" s="1049"/>
      <c r="G1282" s="460" t="s">
        <v>2060</v>
      </c>
      <c r="H1282" s="429"/>
    </row>
    <row r="1283" spans="2:8" hidden="1" outlineLevel="1">
      <c r="B1283" s="1077"/>
      <c r="C1283" s="1047" t="s">
        <v>2061</v>
      </c>
      <c r="D1283" s="1048"/>
      <c r="E1283" s="1048"/>
      <c r="F1283" s="1049"/>
      <c r="G1283" s="460" t="s">
        <v>2062</v>
      </c>
      <c r="H1283" s="429"/>
    </row>
    <row r="1284" spans="2:8" hidden="1" outlineLevel="1">
      <c r="B1284" s="1072" t="s">
        <v>2063</v>
      </c>
      <c r="C1284" s="1073"/>
      <c r="D1284" s="1073"/>
      <c r="E1284" s="1073"/>
      <c r="F1284" s="1074"/>
      <c r="G1284" s="460" t="s">
        <v>2064</v>
      </c>
      <c r="H1284" s="461">
        <f>+H1279*0.1</f>
        <v>323462.75</v>
      </c>
    </row>
    <row r="1285" spans="2:8" hidden="1" outlineLevel="1">
      <c r="B1285" s="1072" t="s">
        <v>2065</v>
      </c>
      <c r="C1285" s="1073"/>
      <c r="D1285" s="1073"/>
      <c r="E1285" s="1073"/>
      <c r="F1285" s="1074"/>
      <c r="G1285" s="460" t="s">
        <v>2066</v>
      </c>
      <c r="H1285" s="461">
        <f>+H1286+H1287+H1288+H1289+H1290+H1291</f>
        <v>0</v>
      </c>
    </row>
    <row r="1286" spans="2:8" hidden="1" outlineLevel="1">
      <c r="B1286" s="1075" t="s">
        <v>2015</v>
      </c>
      <c r="C1286" s="1047" t="s">
        <v>2067</v>
      </c>
      <c r="D1286" s="1048"/>
      <c r="E1286" s="1048"/>
      <c r="F1286" s="1049"/>
      <c r="G1286" s="460" t="s">
        <v>2068</v>
      </c>
      <c r="H1286" s="429"/>
    </row>
    <row r="1287" spans="2:8" hidden="1" outlineLevel="1">
      <c r="B1287" s="1076"/>
      <c r="C1287" s="1047" t="s">
        <v>2069</v>
      </c>
      <c r="D1287" s="1048"/>
      <c r="E1287" s="1048"/>
      <c r="F1287" s="1049"/>
      <c r="G1287" s="460" t="s">
        <v>2070</v>
      </c>
      <c r="H1287" s="429"/>
    </row>
    <row r="1288" spans="2:8" hidden="1" outlineLevel="1">
      <c r="B1288" s="1076"/>
      <c r="C1288" s="1047" t="s">
        <v>2071</v>
      </c>
      <c r="D1288" s="1048"/>
      <c r="E1288" s="1048"/>
      <c r="F1288" s="1049"/>
      <c r="G1288" s="460" t="s">
        <v>2072</v>
      </c>
      <c r="H1288" s="429"/>
    </row>
    <row r="1289" spans="2:8" hidden="1" outlineLevel="1">
      <c r="B1289" s="1076"/>
      <c r="C1289" s="1047" t="s">
        <v>2073</v>
      </c>
      <c r="D1289" s="1048"/>
      <c r="E1289" s="1048"/>
      <c r="F1289" s="1049"/>
      <c r="G1289" s="460" t="s">
        <v>2074</v>
      </c>
      <c r="H1289" s="429"/>
    </row>
    <row r="1290" spans="2:8" hidden="1" outlineLevel="1">
      <c r="B1290" s="1076"/>
      <c r="C1290" s="1047" t="s">
        <v>2075</v>
      </c>
      <c r="D1290" s="1048"/>
      <c r="E1290" s="1048"/>
      <c r="F1290" s="1049"/>
      <c r="G1290" s="460" t="s">
        <v>2076</v>
      </c>
      <c r="H1290" s="429"/>
    </row>
    <row r="1291" spans="2:8" hidden="1" outlineLevel="1">
      <c r="B1291" s="1077"/>
      <c r="C1291" s="1047" t="s">
        <v>2077</v>
      </c>
      <c r="D1291" s="1048"/>
      <c r="E1291" s="1048"/>
      <c r="F1291" s="1049"/>
      <c r="G1291" s="460" t="s">
        <v>2078</v>
      </c>
      <c r="H1291" s="429"/>
    </row>
    <row r="1292" spans="2:8" hidden="1" outlineLevel="1">
      <c r="B1292" s="1072" t="s">
        <v>2079</v>
      </c>
      <c r="C1292" s="1073"/>
      <c r="D1292" s="1073"/>
      <c r="E1292" s="1073"/>
      <c r="F1292" s="1074"/>
      <c r="G1292" s="460" t="s">
        <v>2080</v>
      </c>
      <c r="H1292" s="461">
        <f>+H1284-H1285</f>
        <v>323462.75</v>
      </c>
    </row>
    <row r="1293" spans="2:8" hidden="1" outlineLevel="1"/>
    <row r="1294" spans="2:8" ht="21.75" hidden="1" customHeight="1" outlineLevel="1">
      <c r="B1294" s="1053" t="s">
        <v>2081</v>
      </c>
      <c r="C1294" s="1053"/>
      <c r="D1294" s="1053"/>
      <c r="E1294" s="1053"/>
      <c r="F1294" s="1053"/>
      <c r="G1294" s="1053"/>
      <c r="H1294" s="1053"/>
    </row>
    <row r="1295" spans="2:8" hidden="1" outlineLevel="1">
      <c r="B1295" s="1047" t="s">
        <v>2082</v>
      </c>
      <c r="C1295" s="1048"/>
      <c r="D1295" s="1048"/>
      <c r="E1295" s="1048"/>
      <c r="F1295" s="1049"/>
      <c r="G1295" s="460" t="s">
        <v>2083</v>
      </c>
      <c r="H1295" s="429"/>
    </row>
    <row r="1296" spans="2:8" hidden="1" outlineLevel="1">
      <c r="B1296" s="1047" t="s">
        <v>2084</v>
      </c>
      <c r="C1296" s="1048"/>
      <c r="D1296" s="1048"/>
      <c r="E1296" s="1048"/>
      <c r="F1296" s="1049"/>
      <c r="G1296" s="460" t="s">
        <v>2085</v>
      </c>
      <c r="H1296" s="429"/>
    </row>
    <row r="1297" spans="2:8" hidden="1" outlineLevel="1">
      <c r="B1297" s="1050" t="s">
        <v>2086</v>
      </c>
      <c r="C1297" s="1051"/>
      <c r="D1297" s="1051"/>
      <c r="E1297" s="1051"/>
      <c r="F1297" s="1052"/>
      <c r="G1297" s="460" t="s">
        <v>2087</v>
      </c>
      <c r="H1297" s="429">
        <f>+(H1295+H1296)*0.1</f>
        <v>0</v>
      </c>
    </row>
    <row r="1298" spans="2:8" hidden="1" outlineLevel="1">
      <c r="B1298" s="1047" t="s">
        <v>2088</v>
      </c>
      <c r="C1298" s="1048"/>
      <c r="D1298" s="1048"/>
      <c r="E1298" s="1048"/>
      <c r="F1298" s="1049"/>
      <c r="G1298" s="460" t="s">
        <v>2089</v>
      </c>
      <c r="H1298" s="429"/>
    </row>
    <row r="1299" spans="2:8" hidden="1" outlineLevel="1">
      <c r="B1299" s="1047" t="s">
        <v>2090</v>
      </c>
      <c r="C1299" s="1048"/>
      <c r="D1299" s="1048"/>
      <c r="E1299" s="1048"/>
      <c r="F1299" s="1049"/>
      <c r="G1299" s="460" t="s">
        <v>2091</v>
      </c>
      <c r="H1299" s="429"/>
    </row>
    <row r="1300" spans="2:8" hidden="1" outlineLevel="1">
      <c r="B1300" s="1050" t="s">
        <v>2092</v>
      </c>
      <c r="C1300" s="1051"/>
      <c r="D1300" s="1051"/>
      <c r="E1300" s="1051"/>
      <c r="F1300" s="1052"/>
      <c r="G1300" s="460" t="s">
        <v>2093</v>
      </c>
      <c r="H1300" s="429">
        <f>+(H1298+H1299)*0.1</f>
        <v>0</v>
      </c>
    </row>
    <row r="1301" spans="2:8" hidden="1" outlineLevel="1"/>
    <row r="1302" spans="2:8" hidden="1" outlineLevel="1">
      <c r="B1302" s="1053" t="s">
        <v>2094</v>
      </c>
      <c r="C1302" s="1053"/>
      <c r="D1302" s="1053"/>
      <c r="E1302" s="1053"/>
      <c r="F1302" s="1053"/>
      <c r="G1302" s="1053"/>
      <c r="H1302" s="1053"/>
    </row>
    <row r="1303" spans="2:8" hidden="1" outlineLevel="1">
      <c r="B1303" s="1050" t="s">
        <v>2095</v>
      </c>
      <c r="C1303" s="1051"/>
      <c r="D1303" s="1051"/>
      <c r="E1303" s="1051"/>
      <c r="F1303" s="1052"/>
      <c r="G1303" s="460" t="s">
        <v>2096</v>
      </c>
      <c r="H1303" s="429">
        <f>+H1275+H1297</f>
        <v>2730719.4550000001</v>
      </c>
    </row>
    <row r="1304" spans="2:8" hidden="1" outlineLevel="1">
      <c r="B1304" s="1050" t="s">
        <v>2097</v>
      </c>
      <c r="C1304" s="1051"/>
      <c r="D1304" s="1051"/>
      <c r="E1304" s="1051"/>
      <c r="F1304" s="1052"/>
      <c r="G1304" s="460" t="s">
        <v>2098</v>
      </c>
      <c r="H1304" s="429">
        <f>+H1292+H1300</f>
        <v>323462.75</v>
      </c>
    </row>
    <row r="1305" spans="2:8" hidden="1" outlineLevel="1"/>
    <row r="1306" spans="2:8" hidden="1" outlineLevel="1">
      <c r="B1306" s="1053" t="s">
        <v>2099</v>
      </c>
      <c r="C1306" s="1053"/>
      <c r="D1306" s="1053"/>
      <c r="E1306" s="1053"/>
      <c r="F1306" s="1053"/>
      <c r="G1306" s="1053"/>
      <c r="H1306" s="1053"/>
    </row>
    <row r="1307" spans="2:8" hidden="1" outlineLevel="1">
      <c r="B1307" s="1047" t="s">
        <v>2100</v>
      </c>
      <c r="C1307" s="1048"/>
      <c r="D1307" s="1048"/>
      <c r="E1307" s="1048"/>
      <c r="F1307" s="1049"/>
      <c r="G1307" s="460" t="s">
        <v>2101</v>
      </c>
      <c r="H1307" s="429"/>
    </row>
    <row r="1308" spans="2:8" hidden="1" outlineLevel="1">
      <c r="B1308" s="1050" t="s">
        <v>2102</v>
      </c>
      <c r="C1308" s="1051"/>
      <c r="D1308" s="1051"/>
      <c r="E1308" s="1051"/>
      <c r="F1308" s="1052"/>
      <c r="G1308" s="460" t="s">
        <v>2103</v>
      </c>
      <c r="H1308" s="429">
        <f>+H1307*0.1</f>
        <v>0</v>
      </c>
    </row>
    <row r="1309" spans="2:8" hidden="1" outlineLevel="1">
      <c r="B1309" s="1047" t="s">
        <v>2104</v>
      </c>
      <c r="C1309" s="1048"/>
      <c r="D1309" s="1048"/>
      <c r="E1309" s="1048"/>
      <c r="F1309" s="1049"/>
      <c r="G1309" s="460" t="s">
        <v>2105</v>
      </c>
      <c r="H1309" s="429"/>
    </row>
    <row r="1310" spans="2:8" hidden="1" outlineLevel="1">
      <c r="B1310" s="1050" t="s">
        <v>2092</v>
      </c>
      <c r="C1310" s="1051"/>
      <c r="D1310" s="1051"/>
      <c r="E1310" s="1051"/>
      <c r="F1310" s="1052"/>
      <c r="G1310" s="460" t="s">
        <v>2106</v>
      </c>
      <c r="H1310" s="429">
        <f>+H1309*0.1</f>
        <v>0</v>
      </c>
    </row>
    <row r="1311" spans="2:8" hidden="1" outlineLevel="1"/>
    <row r="1312" spans="2:8" hidden="1" outlineLevel="1">
      <c r="B1312" s="1053" t="s">
        <v>2107</v>
      </c>
      <c r="C1312" s="1053"/>
      <c r="D1312" s="1053"/>
      <c r="E1312" s="1053"/>
      <c r="F1312" s="1053"/>
      <c r="G1312" s="1053"/>
      <c r="H1312" s="1053"/>
    </row>
    <row r="1313" spans="2:8" hidden="1" outlineLevel="1">
      <c r="B1313" s="1054" t="s">
        <v>1322</v>
      </c>
      <c r="C1313" s="1054"/>
      <c r="D1313" s="1055" t="s">
        <v>2108</v>
      </c>
      <c r="E1313" s="1056"/>
      <c r="F1313" s="1057"/>
      <c r="G1313" s="460" t="s">
        <v>2109</v>
      </c>
      <c r="H1313" s="429">
        <f>+H1303-H1308</f>
        <v>2730719.4550000001</v>
      </c>
    </row>
    <row r="1314" spans="2:8" hidden="1" outlineLevel="1">
      <c r="B1314" s="1054"/>
      <c r="C1314" s="1054"/>
      <c r="D1314" s="1055" t="s">
        <v>2110</v>
      </c>
      <c r="E1314" s="1056"/>
      <c r="F1314" s="1057"/>
      <c r="G1314" s="460" t="s">
        <v>2111</v>
      </c>
      <c r="H1314" s="429">
        <f>+H1304-H1310</f>
        <v>323462.75</v>
      </c>
    </row>
    <row r="1315" spans="2:8" hidden="1" outlineLevel="1">
      <c r="B1315" s="1054"/>
      <c r="C1315" s="1054"/>
      <c r="D1315" s="1055" t="s">
        <v>2112</v>
      </c>
      <c r="E1315" s="1056"/>
      <c r="F1315" s="1057"/>
      <c r="G1315" s="460" t="s">
        <v>2113</v>
      </c>
      <c r="H1315" s="429">
        <f>+H1313-H1314</f>
        <v>2407256.7050000001</v>
      </c>
    </row>
    <row r="1316" spans="2:8" hidden="1" outlineLevel="1">
      <c r="B1316" s="1054"/>
      <c r="C1316" s="1054"/>
      <c r="D1316" s="1055" t="s">
        <v>2114</v>
      </c>
      <c r="E1316" s="1056"/>
      <c r="F1316" s="1057"/>
      <c r="G1316" s="460" t="s">
        <v>2115</v>
      </c>
      <c r="H1316" s="429"/>
    </row>
    <row r="1317" spans="2:8" hidden="1" outlineLevel="1"/>
    <row r="1318" spans="2:8" hidden="1" outlineLevel="1">
      <c r="B1318" s="1062" t="s">
        <v>2116</v>
      </c>
      <c r="C1318" s="1062"/>
      <c r="D1318" s="1062"/>
      <c r="E1318" s="1062"/>
      <c r="F1318" s="1062"/>
      <c r="G1318" s="463" t="s">
        <v>2117</v>
      </c>
      <c r="H1318" s="464" t="s">
        <v>2118</v>
      </c>
    </row>
    <row r="1319" spans="2:8" hidden="1" outlineLevel="1">
      <c r="B1319" s="1058" t="s">
        <v>2119</v>
      </c>
      <c r="C1319" s="1058"/>
      <c r="D1319" s="1058"/>
      <c r="E1319" s="465" t="s">
        <v>1079</v>
      </c>
      <c r="F1319" s="466">
        <v>1</v>
      </c>
      <c r="G1319" s="467">
        <f>+O13</f>
        <v>0</v>
      </c>
      <c r="H1319" s="468"/>
    </row>
    <row r="1320" spans="2:8" hidden="1" outlineLevel="1">
      <c r="B1320" s="1058"/>
      <c r="C1320" s="1058"/>
      <c r="D1320" s="1058"/>
      <c r="E1320" s="465" t="s">
        <v>1080</v>
      </c>
      <c r="F1320" s="466">
        <f>+F1319+1</f>
        <v>2</v>
      </c>
      <c r="G1320" s="469"/>
      <c r="H1320" s="470">
        <f>+P13</f>
        <v>81431292.420124158</v>
      </c>
    </row>
    <row r="1321" spans="2:8" hidden="1" outlineLevel="1">
      <c r="B1321" s="1058" t="s">
        <v>2120</v>
      </c>
      <c r="C1321" s="1058"/>
      <c r="D1321" s="1058"/>
      <c r="E1321" s="465" t="s">
        <v>1079</v>
      </c>
      <c r="F1321" s="466">
        <f t="shared" ref="F1321:F1334" si="12">+F1320+1</f>
        <v>3</v>
      </c>
      <c r="G1321" s="467"/>
      <c r="H1321" s="468"/>
    </row>
    <row r="1322" spans="2:8" hidden="1" outlineLevel="1">
      <c r="B1322" s="1058"/>
      <c r="C1322" s="1058"/>
      <c r="D1322" s="1058"/>
      <c r="E1322" s="465" t="s">
        <v>1080</v>
      </c>
      <c r="F1322" s="466">
        <f t="shared" si="12"/>
        <v>4</v>
      </c>
      <c r="G1322" s="469"/>
      <c r="H1322" s="470">
        <f>+H1315</f>
        <v>2407256.7050000001</v>
      </c>
    </row>
    <row r="1323" spans="2:8" hidden="1" outlineLevel="1">
      <c r="B1323" s="1059" t="s">
        <v>1085</v>
      </c>
      <c r="C1323" s="1060"/>
      <c r="D1323" s="1060"/>
      <c r="E1323" s="1061"/>
      <c r="F1323" s="466">
        <f t="shared" si="12"/>
        <v>5</v>
      </c>
      <c r="G1323" s="467">
        <f>+L14</f>
        <v>0</v>
      </c>
      <c r="H1323" s="468"/>
    </row>
    <row r="1324" spans="2:8" hidden="1" outlineLevel="1">
      <c r="B1324" s="1063" t="s">
        <v>2121</v>
      </c>
      <c r="C1324" s="1064"/>
      <c r="D1324" s="1064"/>
      <c r="E1324" s="1065"/>
      <c r="F1324" s="466">
        <f t="shared" si="12"/>
        <v>6</v>
      </c>
      <c r="G1324" s="472"/>
      <c r="H1324" s="468"/>
    </row>
    <row r="1325" spans="2:8" hidden="1" outlineLevel="1">
      <c r="B1325" s="1063" t="s">
        <v>2121</v>
      </c>
      <c r="C1325" s="1064"/>
      <c r="D1325" s="1064"/>
      <c r="E1325" s="1065"/>
      <c r="F1325" s="466">
        <f t="shared" si="12"/>
        <v>7</v>
      </c>
      <c r="G1325" s="469"/>
      <c r="H1325" s="471"/>
    </row>
    <row r="1326" spans="2:8" hidden="1" outlineLevel="1">
      <c r="B1326" s="1058" t="s">
        <v>2122</v>
      </c>
      <c r="C1326" s="1058"/>
      <c r="D1326" s="1058"/>
      <c r="E1326" s="465" t="s">
        <v>1079</v>
      </c>
      <c r="F1326" s="466">
        <f t="shared" si="12"/>
        <v>8</v>
      </c>
      <c r="G1326" s="472"/>
      <c r="H1326" s="468"/>
    </row>
    <row r="1327" spans="2:8" hidden="1" outlineLevel="1">
      <c r="B1327" s="1058"/>
      <c r="C1327" s="1058"/>
      <c r="D1327" s="1058"/>
      <c r="E1327" s="465" t="s">
        <v>1080</v>
      </c>
      <c r="F1327" s="466">
        <f t="shared" si="12"/>
        <v>9</v>
      </c>
      <c r="G1327" s="469"/>
      <c r="H1327" s="471"/>
    </row>
    <row r="1328" spans="2:8" hidden="1" outlineLevel="1">
      <c r="B1328" s="1058" t="s">
        <v>2123</v>
      </c>
      <c r="C1328" s="1058"/>
      <c r="D1328" s="1058"/>
      <c r="E1328" s="465" t="s">
        <v>1079</v>
      </c>
      <c r="F1328" s="466">
        <f t="shared" si="12"/>
        <v>10</v>
      </c>
      <c r="G1328" s="472"/>
      <c r="H1328" s="468"/>
    </row>
    <row r="1329" spans="1:11" hidden="1" outlineLevel="1">
      <c r="B1329" s="1058"/>
      <c r="C1329" s="1058"/>
      <c r="D1329" s="1058"/>
      <c r="E1329" s="465" t="s">
        <v>1080</v>
      </c>
      <c r="F1329" s="466">
        <f t="shared" si="12"/>
        <v>11</v>
      </c>
      <c r="G1329" s="469"/>
      <c r="H1329" s="471"/>
    </row>
    <row r="1330" spans="1:11" hidden="1" outlineLevel="1">
      <c r="B1330" s="1059" t="s">
        <v>2124</v>
      </c>
      <c r="C1330" s="1060"/>
      <c r="D1330" s="1060"/>
      <c r="E1330" s="1061"/>
      <c r="F1330" s="466">
        <f t="shared" si="12"/>
        <v>12</v>
      </c>
      <c r="G1330" s="472"/>
      <c r="H1330" s="468"/>
    </row>
    <row r="1331" spans="1:11" hidden="1" outlineLevel="1">
      <c r="B1331" s="1058" t="s">
        <v>2125</v>
      </c>
      <c r="C1331" s="1058"/>
      <c r="D1331" s="1058"/>
      <c r="E1331" s="465" t="s">
        <v>1079</v>
      </c>
      <c r="F1331" s="466">
        <f t="shared" si="12"/>
        <v>13</v>
      </c>
      <c r="G1331" s="472"/>
      <c r="H1331" s="468"/>
    </row>
    <row r="1332" spans="1:11" hidden="1" outlineLevel="1">
      <c r="B1332" s="1058"/>
      <c r="C1332" s="1058"/>
      <c r="D1332" s="1058"/>
      <c r="E1332" s="465" t="s">
        <v>1080</v>
      </c>
      <c r="F1332" s="466">
        <f t="shared" si="12"/>
        <v>14</v>
      </c>
      <c r="G1332" s="469"/>
      <c r="H1332" s="471"/>
    </row>
    <row r="1333" spans="1:11" hidden="1" outlineLevel="1">
      <c r="B1333" s="1058" t="s">
        <v>2126</v>
      </c>
      <c r="C1333" s="1058"/>
      <c r="D1333" s="1058"/>
      <c r="E1333" s="465" t="s">
        <v>1079</v>
      </c>
      <c r="F1333" s="466">
        <f t="shared" si="12"/>
        <v>15</v>
      </c>
      <c r="G1333" s="467">
        <f>IF((G1319+G1321+G1323-H1320-H1322)&gt;0,(G1319+G1321+G1323-H1320-H1322),0)</f>
        <v>0</v>
      </c>
      <c r="H1333" s="468"/>
    </row>
    <row r="1334" spans="1:11" hidden="1" outlineLevel="1">
      <c r="B1334" s="1058"/>
      <c r="C1334" s="1058"/>
      <c r="D1334" s="1058"/>
      <c r="E1334" s="465" t="s">
        <v>1080</v>
      </c>
      <c r="F1334" s="466">
        <f t="shared" si="12"/>
        <v>16</v>
      </c>
      <c r="G1334" s="473"/>
      <c r="H1334" s="520">
        <f>+IF((H1320+H1322-G1319-G1321-G1323)&gt;0,(H1320+H1322-G1319-G1321-G1323),0)</f>
        <v>83838549.125124156</v>
      </c>
      <c r="J1334" s="80">
        <f>+P14</f>
        <v>83838549.120124161</v>
      </c>
      <c r="K1334" s="80">
        <f>+J1334-H1334</f>
        <v>-4.999995231628418E-3</v>
      </c>
    </row>
    <row r="1335" spans="1:11" hidden="1" outlineLevel="1"/>
    <row r="1336" spans="1:11" hidden="1" outlineLevel="1"/>
    <row r="1337" spans="1:11" hidden="1" outlineLevel="1">
      <c r="B1337" s="331" t="s">
        <v>2127</v>
      </c>
      <c r="E1337" s="331" t="s">
        <v>1090</v>
      </c>
    </row>
    <row r="1338" spans="1:11" hidden="1" outlineLevel="1">
      <c r="B1338" s="331"/>
    </row>
    <row r="1339" spans="1:11" hidden="1" outlineLevel="1">
      <c r="B1339" s="331" t="str">
        <f>+CONCATENATE('[4]company '!B1245," . . . . . . . . . . . . . . . . . .  ... . . . .. . . . ",'[4]company '!C1245)</f>
        <v xml:space="preserve"> . . . . . . . . . . . . . . . . . .  ... . . . .. . . . </v>
      </c>
      <c r="E1339" s="331" t="s">
        <v>2128</v>
      </c>
    </row>
    <row r="1340" spans="1:11" hidden="1" outlineLevel="1">
      <c r="B1340" s="331"/>
    </row>
    <row r="1341" spans="1:11" hidden="1" outlineLevel="1">
      <c r="B1341" s="331" t="str">
        <f>+CONCATENATE('[4]company '!B1248,". . . . . . . . . . . . . . . . . . . . ",'[4]company '!C1248)</f>
        <v xml:space="preserve">. . . . . . . . . . . . . . . . . . . . </v>
      </c>
    </row>
    <row r="1342" spans="1:11" collapsed="1">
      <c r="A1342" s="231" t="s">
        <v>2658</v>
      </c>
    </row>
    <row r="1343" spans="1:11" outlineLevel="1">
      <c r="B1343" s="445"/>
      <c r="C1343" s="445"/>
      <c r="D1343" s="445"/>
      <c r="E1343" s="486"/>
      <c r="F1343" s="1066" t="s">
        <v>1984</v>
      </c>
      <c r="G1343" s="1066"/>
      <c r="H1343" s="1066"/>
    </row>
    <row r="1344" spans="1:11" outlineLevel="1">
      <c r="D1344" s="445"/>
      <c r="E1344" s="1067" t="s">
        <v>1988</v>
      </c>
      <c r="F1344" s="1067"/>
      <c r="G1344" s="1067"/>
      <c r="H1344" s="1067"/>
    </row>
    <row r="1345" spans="2:8" ht="18.75" outlineLevel="1">
      <c r="G1345" s="452" t="s">
        <v>1994</v>
      </c>
      <c r="H1345" s="453" t="s">
        <v>1995</v>
      </c>
    </row>
    <row r="1346" spans="2:8" ht="21" outlineLevel="1" thickBot="1">
      <c r="B1346" s="1068" t="s">
        <v>1996</v>
      </c>
      <c r="C1346" s="1068"/>
      <c r="D1346" s="1068"/>
      <c r="E1346" s="1068"/>
      <c r="F1346" s="1068"/>
      <c r="G1346" s="1068"/>
      <c r="H1346" s="1068"/>
    </row>
    <row r="1347" spans="2:8" ht="13.5" outlineLevel="1" thickTop="1"/>
    <row r="1348" spans="2:8" outlineLevel="1">
      <c r="B1348" s="1069" t="s">
        <v>1997</v>
      </c>
      <c r="C1348" s="1070"/>
      <c r="D1348" s="1070"/>
      <c r="E1348" s="1070"/>
      <c r="F1348" s="1070"/>
      <c r="G1348" s="1070"/>
      <c r="H1348" s="1071"/>
    </row>
    <row r="1349" spans="2:8" outlineLevel="1">
      <c r="B1349" s="1041" t="s">
        <v>2278</v>
      </c>
      <c r="C1349" s="1042"/>
      <c r="D1349" s="1043"/>
      <c r="E1349" s="1044" t="s">
        <v>2279</v>
      </c>
      <c r="F1349" s="1045"/>
      <c r="G1349" s="1045"/>
      <c r="H1349" s="1046"/>
    </row>
    <row r="1350" spans="2:8" outlineLevel="1"/>
    <row r="1351" spans="2:8" outlineLevel="1">
      <c r="B1351" s="1069" t="s">
        <v>2280</v>
      </c>
      <c r="C1351" s="1070"/>
      <c r="D1351" s="1071"/>
      <c r="E1351" s="1088" t="s">
        <v>2281</v>
      </c>
      <c r="F1351" s="1089"/>
      <c r="G1351" s="1089"/>
      <c r="H1351" s="1091"/>
    </row>
    <row r="1352" spans="2:8" outlineLevel="1">
      <c r="B1352" s="1069" t="s">
        <v>2282</v>
      </c>
      <c r="C1352" s="1070"/>
      <c r="D1352" s="1071"/>
      <c r="E1352" s="1088" t="s">
        <v>2283</v>
      </c>
      <c r="F1352" s="1089"/>
      <c r="G1352" s="1089"/>
      <c r="H1352" s="1091"/>
    </row>
    <row r="1353" spans="2:8" outlineLevel="1">
      <c r="B1353" s="1069" t="s">
        <v>2284</v>
      </c>
      <c r="C1353" s="1070"/>
      <c r="D1353" s="1071"/>
      <c r="E1353" s="1088" t="s">
        <v>1283</v>
      </c>
      <c r="F1353" s="1089"/>
      <c r="G1353" s="1089"/>
      <c r="H1353" s="1091"/>
    </row>
    <row r="1354" spans="2:8" outlineLevel="1">
      <c r="B1354" s="1092" t="s">
        <v>2285</v>
      </c>
      <c r="C1354" s="1093"/>
      <c r="D1354" s="1094"/>
      <c r="E1354" s="1095" t="s">
        <v>1285</v>
      </c>
      <c r="F1354" s="1096"/>
      <c r="G1354" s="1096"/>
      <c r="H1354" s="1097"/>
    </row>
    <row r="1355" spans="2:8" outlineLevel="1">
      <c r="B1355" s="1098" t="s">
        <v>1286</v>
      </c>
      <c r="C1355" s="1098"/>
      <c r="D1355" s="1098"/>
      <c r="E1355" s="1099"/>
      <c r="F1355" s="1099"/>
      <c r="G1355" s="1099"/>
      <c r="H1355" s="1099"/>
    </row>
    <row r="1356" spans="2:8" outlineLevel="1">
      <c r="B1356" s="1100"/>
      <c r="C1356" s="1100"/>
      <c r="D1356" s="1100"/>
      <c r="E1356" s="1101"/>
      <c r="F1356" s="1101"/>
      <c r="G1356" s="1101"/>
      <c r="H1356" s="1101"/>
    </row>
    <row r="1357" spans="2:8" outlineLevel="1">
      <c r="B1357" s="1069" t="s">
        <v>1998</v>
      </c>
      <c r="C1357" s="1070"/>
      <c r="D1357" s="1070"/>
      <c r="E1357" s="1070"/>
      <c r="F1357" s="1070"/>
      <c r="G1357" s="1070"/>
      <c r="H1357" s="1071"/>
    </row>
    <row r="1358" spans="2:8" outlineLevel="1">
      <c r="B1358" s="1084"/>
      <c r="C1358" s="1069" t="s">
        <v>1999</v>
      </c>
      <c r="D1358" s="1071"/>
      <c r="E1358" s="1088" t="s">
        <v>2000</v>
      </c>
      <c r="F1358" s="1089"/>
      <c r="G1358" s="1091"/>
      <c r="H1358" s="456"/>
    </row>
    <row r="1359" spans="2:8" outlineLevel="1">
      <c r="B1359" s="1085"/>
      <c r="C1359" s="1069" t="str">
        <f>+CONCATENATE('[4]company '!B1365,"-""12 сар")</f>
        <v>-"12 сар</v>
      </c>
      <c r="D1359" s="1071"/>
      <c r="E1359" s="1081" t="s">
        <v>46</v>
      </c>
      <c r="F1359" s="1082"/>
      <c r="G1359" s="1083"/>
      <c r="H1359" s="429" t="s">
        <v>2277</v>
      </c>
    </row>
    <row r="1360" spans="2:8" outlineLevel="1">
      <c r="B1360" s="1086"/>
      <c r="C1360" s="1081" t="s">
        <v>2002</v>
      </c>
      <c r="D1360" s="1083"/>
      <c r="E1360" s="1081" t="s">
        <v>2003</v>
      </c>
      <c r="F1360" s="1082"/>
      <c r="G1360" s="1083"/>
      <c r="H1360" s="429"/>
    </row>
    <row r="1361" spans="2:8" outlineLevel="1">
      <c r="B1361" s="487"/>
      <c r="C1361" s="487"/>
      <c r="D1361" s="487"/>
      <c r="E1361" s="487"/>
      <c r="F1361" s="487"/>
      <c r="G1361" s="457"/>
      <c r="H1361" s="458"/>
    </row>
    <row r="1362" spans="2:8" outlineLevel="1">
      <c r="B1362" s="1102" t="s">
        <v>2004</v>
      </c>
      <c r="C1362" s="1102"/>
      <c r="D1362" s="1102"/>
      <c r="E1362" s="459"/>
      <c r="F1362" s="487" t="s">
        <v>2005</v>
      </c>
      <c r="G1362" s="457"/>
      <c r="H1362" s="458" t="s">
        <v>2006</v>
      </c>
    </row>
    <row r="1363" spans="2:8" outlineLevel="1">
      <c r="B1363" s="487"/>
      <c r="C1363" s="487"/>
      <c r="D1363" s="487"/>
      <c r="E1363" s="487"/>
      <c r="F1363" s="487"/>
      <c r="G1363" s="457"/>
      <c r="H1363" s="458"/>
    </row>
    <row r="1364" spans="2:8" outlineLevel="1">
      <c r="B1364" s="487"/>
      <c r="C1364" s="487"/>
      <c r="D1364" s="487"/>
      <c r="E1364" s="487"/>
      <c r="F1364" s="487"/>
      <c r="G1364" s="457"/>
      <c r="H1364" s="458"/>
    </row>
    <row r="1365" spans="2:8" ht="26.25" customHeight="1" outlineLevel="1">
      <c r="B1365" s="1053" t="s">
        <v>2007</v>
      </c>
      <c r="C1365" s="1053"/>
      <c r="D1365" s="1053"/>
      <c r="E1365" s="1053"/>
      <c r="F1365" s="1053"/>
      <c r="G1365" s="1053"/>
      <c r="H1365" s="1053"/>
    </row>
    <row r="1366" spans="2:8" outlineLevel="1">
      <c r="B1366" s="1072" t="s">
        <v>2008</v>
      </c>
      <c r="C1366" s="1073"/>
      <c r="D1366" s="1073"/>
      <c r="E1366" s="1073"/>
      <c r="F1366" s="1074"/>
      <c r="G1366" s="460" t="s">
        <v>2009</v>
      </c>
      <c r="H1366" s="461">
        <f>+H1367+H1368</f>
        <v>15767909.093636364</v>
      </c>
    </row>
    <row r="1367" spans="2:8" outlineLevel="1">
      <c r="B1367" s="1078" t="s">
        <v>2010</v>
      </c>
      <c r="C1367" s="1079"/>
      <c r="D1367" s="1079"/>
      <c r="E1367" s="1079"/>
      <c r="F1367" s="1080"/>
      <c r="G1367" s="460" t="s">
        <v>99</v>
      </c>
      <c r="H1367" s="429"/>
    </row>
    <row r="1368" spans="2:8" outlineLevel="1">
      <c r="B1368" s="1078" t="s">
        <v>2011</v>
      </c>
      <c r="C1368" s="1079"/>
      <c r="D1368" s="1079"/>
      <c r="E1368" s="1079"/>
      <c r="F1368" s="1080"/>
      <c r="G1368" s="460" t="s">
        <v>2012</v>
      </c>
      <c r="H1368" s="429">
        <f>+H1369+H1375+H1395</f>
        <v>15767909.093636364</v>
      </c>
    </row>
    <row r="1369" spans="2:8" outlineLevel="1">
      <c r="B1369" s="1084"/>
      <c r="C1369" s="1072" t="s">
        <v>2013</v>
      </c>
      <c r="D1369" s="1073"/>
      <c r="E1369" s="1073"/>
      <c r="F1369" s="1074"/>
      <c r="G1369" s="460" t="s">
        <v>2014</v>
      </c>
      <c r="H1369" s="461">
        <f>+H1370+H1371+H1372+H1373+H1374</f>
        <v>15767909.093636364</v>
      </c>
    </row>
    <row r="1370" spans="2:8" outlineLevel="1">
      <c r="B1370" s="1085"/>
      <c r="C1370" s="1075" t="s">
        <v>2015</v>
      </c>
      <c r="D1370" s="1081" t="s">
        <v>2016</v>
      </c>
      <c r="E1370" s="1082"/>
      <c r="F1370" s="1083"/>
      <c r="G1370" s="460" t="s">
        <v>173</v>
      </c>
      <c r="H1370" s="429">
        <f>+SUMIFS(JURNAL!H:H,JURNAL!E:E,510000,JURNAL!C:C,"&gt;="&amp;J15,JURNAL!C:C,"&lt;="&amp;K15)+SUMIFS(JURNAL!H:H,JURNAL!E:E,510100,JURNAL!C:C,"&gt;="&amp;J15,JURNAL!C:C,"&lt;="&amp;K15)</f>
        <v>15767909.093636364</v>
      </c>
    </row>
    <row r="1371" spans="2:8" outlineLevel="1">
      <c r="B1371" s="1085"/>
      <c r="C1371" s="1076"/>
      <c r="D1371" s="1047" t="s">
        <v>2017</v>
      </c>
      <c r="E1371" s="1048"/>
      <c r="F1371" s="1049"/>
      <c r="G1371" s="462" t="s">
        <v>174</v>
      </c>
      <c r="H1371" s="429"/>
    </row>
    <row r="1372" spans="2:8" outlineLevel="1">
      <c r="B1372" s="1085"/>
      <c r="C1372" s="1076"/>
      <c r="D1372" s="1047" t="s">
        <v>837</v>
      </c>
      <c r="E1372" s="1048"/>
      <c r="F1372" s="1049"/>
      <c r="G1372" s="462" t="s">
        <v>904</v>
      </c>
      <c r="H1372" s="429"/>
    </row>
    <row r="1373" spans="2:8" outlineLevel="1">
      <c r="B1373" s="1085"/>
      <c r="C1373" s="1076"/>
      <c r="D1373" s="1047" t="s">
        <v>2018</v>
      </c>
      <c r="E1373" s="1048"/>
      <c r="F1373" s="1049"/>
      <c r="G1373" s="462" t="s">
        <v>906</v>
      </c>
      <c r="H1373" s="429"/>
    </row>
    <row r="1374" spans="2:8" outlineLevel="1">
      <c r="B1374" s="1085"/>
      <c r="C1374" s="1077"/>
      <c r="D1374" s="1047" t="s">
        <v>2019</v>
      </c>
      <c r="E1374" s="1048"/>
      <c r="F1374" s="1049"/>
      <c r="G1374" s="462" t="s">
        <v>908</v>
      </c>
      <c r="H1374" s="429"/>
    </row>
    <row r="1375" spans="2:8" outlineLevel="1">
      <c r="B1375" s="1085"/>
      <c r="C1375" s="1072" t="s">
        <v>2020</v>
      </c>
      <c r="D1375" s="1073"/>
      <c r="E1375" s="1073"/>
      <c r="F1375" s="1074"/>
      <c r="G1375" s="460" t="s">
        <v>2021</v>
      </c>
      <c r="H1375" s="461">
        <f>+H1376+H1377+H1378+H1379+H1380+H1381+H1382+H1383+H1384+H1385+H1386+H1387+H1388+H1389+H1390</f>
        <v>0</v>
      </c>
    </row>
    <row r="1376" spans="2:8" outlineLevel="1">
      <c r="B1376" s="1085"/>
      <c r="C1376" s="1075" t="s">
        <v>2015</v>
      </c>
      <c r="D1376" s="1047" t="s">
        <v>2022</v>
      </c>
      <c r="E1376" s="1048"/>
      <c r="F1376" s="1049"/>
      <c r="G1376" s="462" t="s">
        <v>912</v>
      </c>
      <c r="H1376" s="429"/>
    </row>
    <row r="1377" spans="2:8" outlineLevel="1">
      <c r="B1377" s="1085"/>
      <c r="C1377" s="1076"/>
      <c r="D1377" s="1047" t="s">
        <v>2023</v>
      </c>
      <c r="E1377" s="1048"/>
      <c r="F1377" s="1049"/>
      <c r="G1377" s="462" t="s">
        <v>914</v>
      </c>
      <c r="H1377" s="429"/>
    </row>
    <row r="1378" spans="2:8" outlineLevel="1">
      <c r="B1378" s="1085"/>
      <c r="C1378" s="1076"/>
      <c r="D1378" s="1047" t="s">
        <v>2024</v>
      </c>
      <c r="E1378" s="1048"/>
      <c r="F1378" s="1049"/>
      <c r="G1378" s="462" t="s">
        <v>916</v>
      </c>
      <c r="H1378" s="429"/>
    </row>
    <row r="1379" spans="2:8" outlineLevel="1">
      <c r="B1379" s="1085"/>
      <c r="C1379" s="1076"/>
      <c r="D1379" s="1047" t="s">
        <v>2025</v>
      </c>
      <c r="E1379" s="1048"/>
      <c r="F1379" s="1049"/>
      <c r="G1379" s="462" t="s">
        <v>918</v>
      </c>
      <c r="H1379" s="429"/>
    </row>
    <row r="1380" spans="2:8" outlineLevel="1">
      <c r="B1380" s="1085"/>
      <c r="C1380" s="1076"/>
      <c r="D1380" s="1047" t="s">
        <v>2026</v>
      </c>
      <c r="E1380" s="1048"/>
      <c r="F1380" s="1049"/>
      <c r="G1380" s="462" t="s">
        <v>920</v>
      </c>
      <c r="H1380" s="429"/>
    </row>
    <row r="1381" spans="2:8" outlineLevel="1">
      <c r="B1381" s="1085"/>
      <c r="C1381" s="1076"/>
      <c r="D1381" s="1047" t="s">
        <v>2027</v>
      </c>
      <c r="E1381" s="1048"/>
      <c r="F1381" s="1049"/>
      <c r="G1381" s="462" t="s">
        <v>922</v>
      </c>
      <c r="H1381" s="429"/>
    </row>
    <row r="1382" spans="2:8" outlineLevel="1">
      <c r="B1382" s="1085"/>
      <c r="C1382" s="1076"/>
      <c r="D1382" s="1047" t="s">
        <v>2028</v>
      </c>
      <c r="E1382" s="1048"/>
      <c r="F1382" s="1049"/>
      <c r="G1382" s="462" t="s">
        <v>924</v>
      </c>
      <c r="H1382" s="429"/>
    </row>
    <row r="1383" spans="2:8" outlineLevel="1">
      <c r="B1383" s="1085"/>
      <c r="C1383" s="1076"/>
      <c r="D1383" s="1047" t="s">
        <v>2029</v>
      </c>
      <c r="E1383" s="1048"/>
      <c r="F1383" s="1049"/>
      <c r="G1383" s="462" t="s">
        <v>926</v>
      </c>
      <c r="H1383" s="429"/>
    </row>
    <row r="1384" spans="2:8" outlineLevel="1">
      <c r="B1384" s="1085"/>
      <c r="C1384" s="1076"/>
      <c r="D1384" s="1047" t="s">
        <v>2030</v>
      </c>
      <c r="E1384" s="1048"/>
      <c r="F1384" s="1049"/>
      <c r="G1384" s="462" t="s">
        <v>928</v>
      </c>
      <c r="H1384" s="429"/>
    </row>
    <row r="1385" spans="2:8" outlineLevel="1">
      <c r="B1385" s="1085"/>
      <c r="C1385" s="1076"/>
      <c r="D1385" s="1047" t="s">
        <v>2031</v>
      </c>
      <c r="E1385" s="1048"/>
      <c r="F1385" s="1049"/>
      <c r="G1385" s="462" t="s">
        <v>930</v>
      </c>
      <c r="H1385" s="429"/>
    </row>
    <row r="1386" spans="2:8" outlineLevel="1">
      <c r="B1386" s="1085"/>
      <c r="C1386" s="1076"/>
      <c r="D1386" s="1047" t="s">
        <v>2032</v>
      </c>
      <c r="E1386" s="1048"/>
      <c r="F1386" s="1049"/>
      <c r="G1386" s="462" t="s">
        <v>932</v>
      </c>
      <c r="H1386" s="429"/>
    </row>
    <row r="1387" spans="2:8" outlineLevel="1">
      <c r="B1387" s="1085"/>
      <c r="C1387" s="1076"/>
      <c r="D1387" s="1047" t="s">
        <v>2033</v>
      </c>
      <c r="E1387" s="1048"/>
      <c r="F1387" s="1049"/>
      <c r="G1387" s="462" t="s">
        <v>934</v>
      </c>
      <c r="H1387" s="429"/>
    </row>
    <row r="1388" spans="2:8" outlineLevel="1">
      <c r="B1388" s="1085"/>
      <c r="C1388" s="1076"/>
      <c r="D1388" s="1047" t="s">
        <v>2034</v>
      </c>
      <c r="E1388" s="1048"/>
      <c r="F1388" s="1049"/>
      <c r="G1388" s="462" t="s">
        <v>936</v>
      </c>
      <c r="H1388" s="429"/>
    </row>
    <row r="1389" spans="2:8" outlineLevel="1">
      <c r="B1389" s="1085"/>
      <c r="C1389" s="1076"/>
      <c r="D1389" s="1047" t="s">
        <v>2035</v>
      </c>
      <c r="E1389" s="1048"/>
      <c r="F1389" s="1049"/>
      <c r="G1389" s="462" t="s">
        <v>944</v>
      </c>
      <c r="H1389" s="429"/>
    </row>
    <row r="1390" spans="2:8" outlineLevel="1">
      <c r="B1390" s="1086"/>
      <c r="C1390" s="1077"/>
      <c r="D1390" s="1047" t="s">
        <v>2036</v>
      </c>
      <c r="E1390" s="1048"/>
      <c r="F1390" s="1049"/>
      <c r="G1390" s="462" t="s">
        <v>946</v>
      </c>
      <c r="H1390" s="429"/>
    </row>
    <row r="1391" spans="2:8" outlineLevel="1">
      <c r="B1391" s="1072" t="s">
        <v>2037</v>
      </c>
      <c r="C1391" s="1073"/>
      <c r="D1391" s="1073"/>
      <c r="E1391" s="1073"/>
      <c r="F1391" s="1074"/>
      <c r="G1391" s="460" t="s">
        <v>2038</v>
      </c>
      <c r="H1391" s="461">
        <f>+H1369+H1375</f>
        <v>15767909.093636364</v>
      </c>
    </row>
    <row r="1392" spans="2:8" outlineLevel="1">
      <c r="B1392" s="1072" t="s">
        <v>2039</v>
      </c>
      <c r="C1392" s="1073"/>
      <c r="D1392" s="1073"/>
      <c r="E1392" s="1073"/>
      <c r="F1392" s="1074"/>
      <c r="G1392" s="460" t="s">
        <v>2040</v>
      </c>
      <c r="H1392" s="461">
        <f>+H1391*0.1</f>
        <v>1576790.9093636365</v>
      </c>
    </row>
    <row r="1393" spans="2:8" outlineLevel="1">
      <c r="B1393" s="1081" t="s">
        <v>2041</v>
      </c>
      <c r="C1393" s="1082"/>
      <c r="D1393" s="1082"/>
      <c r="E1393" s="1082"/>
      <c r="F1393" s="1083"/>
      <c r="G1393" s="460" t="s">
        <v>2042</v>
      </c>
      <c r="H1393" s="429"/>
    </row>
    <row r="1394" spans="2:8" outlineLevel="1">
      <c r="B1394" s="1081" t="s">
        <v>2043</v>
      </c>
      <c r="C1394" s="1082"/>
      <c r="D1394" s="1082"/>
      <c r="E1394" s="1082"/>
      <c r="F1394" s="1083"/>
      <c r="G1394" s="460" t="s">
        <v>2044</v>
      </c>
      <c r="H1394" s="429"/>
    </row>
    <row r="1395" spans="2:8" outlineLevel="1">
      <c r="B1395" s="1072" t="s">
        <v>2045</v>
      </c>
      <c r="C1395" s="1073"/>
      <c r="D1395" s="1073"/>
      <c r="E1395" s="1073"/>
      <c r="F1395" s="1074"/>
      <c r="G1395" s="460" t="s">
        <v>2046</v>
      </c>
      <c r="H1395" s="461">
        <f>+H1393+H1394</f>
        <v>0</v>
      </c>
    </row>
    <row r="1396" spans="2:8" outlineLevel="1">
      <c r="B1396" s="1072" t="s">
        <v>2039</v>
      </c>
      <c r="C1396" s="1073"/>
      <c r="D1396" s="1073"/>
      <c r="E1396" s="1073"/>
      <c r="F1396" s="1074"/>
      <c r="G1396" s="460" t="s">
        <v>2047</v>
      </c>
      <c r="H1396" s="461">
        <f>+H1395*0%</f>
        <v>0</v>
      </c>
    </row>
    <row r="1397" spans="2:8" outlineLevel="1">
      <c r="B1397" s="1072" t="s">
        <v>2048</v>
      </c>
      <c r="C1397" s="1073"/>
      <c r="D1397" s="1073"/>
      <c r="E1397" s="1073"/>
      <c r="F1397" s="1074"/>
      <c r="G1397" s="460" t="s">
        <v>2049</v>
      </c>
      <c r="H1397" s="461">
        <f>+H1392+H1396</f>
        <v>1576790.9093636365</v>
      </c>
    </row>
    <row r="1398" spans="2:8" outlineLevel="1"/>
    <row r="1399" spans="2:8" ht="22.5" customHeight="1" outlineLevel="1">
      <c r="B1399" s="1053" t="s">
        <v>2050</v>
      </c>
      <c r="C1399" s="1053"/>
      <c r="D1399" s="1053"/>
      <c r="E1399" s="1053"/>
      <c r="F1399" s="1053"/>
      <c r="G1399" s="1053"/>
      <c r="H1399" s="1053"/>
    </row>
    <row r="1400" spans="2:8" outlineLevel="1">
      <c r="B1400" s="1072" t="s">
        <v>2051</v>
      </c>
      <c r="C1400" s="1073"/>
      <c r="D1400" s="1073"/>
      <c r="E1400" s="1073"/>
      <c r="F1400" s="1074"/>
      <c r="G1400" s="460" t="s">
        <v>2052</v>
      </c>
      <c r="H1400" s="429"/>
    </row>
    <row r="1401" spans="2:8" outlineLevel="1">
      <c r="B1401" s="1078" t="s">
        <v>2053</v>
      </c>
      <c r="C1401" s="1079"/>
      <c r="D1401" s="1079"/>
      <c r="E1401" s="1079"/>
      <c r="F1401" s="1080"/>
      <c r="G1401" s="460" t="s">
        <v>2054</v>
      </c>
      <c r="H1401" s="429">
        <f>+H1402+H1403+H1404+H1405</f>
        <v>12286051.69090908</v>
      </c>
    </row>
    <row r="1402" spans="2:8" outlineLevel="1">
      <c r="B1402" s="1075" t="s">
        <v>2015</v>
      </c>
      <c r="C1402" s="1047" t="s">
        <v>2055</v>
      </c>
      <c r="D1402" s="1048"/>
      <c r="E1402" s="1048"/>
      <c r="F1402" s="1049"/>
      <c r="G1402" s="460" t="s">
        <v>2056</v>
      </c>
      <c r="H1402" s="429"/>
    </row>
    <row r="1403" spans="2:8" outlineLevel="1">
      <c r="B1403" s="1076"/>
      <c r="C1403" s="1047" t="s">
        <v>2057</v>
      </c>
      <c r="D1403" s="1048"/>
      <c r="E1403" s="1048"/>
      <c r="F1403" s="1049"/>
      <c r="G1403" s="460" t="s">
        <v>2058</v>
      </c>
      <c r="H1403" s="429">
        <f>+M15*10</f>
        <v>12286051.69090908</v>
      </c>
    </row>
    <row r="1404" spans="2:8" outlineLevel="1">
      <c r="B1404" s="1076"/>
      <c r="C1404" s="1047" t="s">
        <v>2059</v>
      </c>
      <c r="D1404" s="1048"/>
      <c r="E1404" s="1048"/>
      <c r="F1404" s="1049"/>
      <c r="G1404" s="460" t="s">
        <v>2060</v>
      </c>
      <c r="H1404" s="429"/>
    </row>
    <row r="1405" spans="2:8" outlineLevel="1">
      <c r="B1405" s="1077"/>
      <c r="C1405" s="1047" t="s">
        <v>2061</v>
      </c>
      <c r="D1405" s="1048"/>
      <c r="E1405" s="1048"/>
      <c r="F1405" s="1049"/>
      <c r="G1405" s="460" t="s">
        <v>2062</v>
      </c>
      <c r="H1405" s="429"/>
    </row>
    <row r="1406" spans="2:8" outlineLevel="1">
      <c r="B1406" s="1072" t="s">
        <v>2063</v>
      </c>
      <c r="C1406" s="1073"/>
      <c r="D1406" s="1073"/>
      <c r="E1406" s="1073"/>
      <c r="F1406" s="1074"/>
      <c r="G1406" s="460" t="s">
        <v>2064</v>
      </c>
      <c r="H1406" s="461">
        <f>+H1401*0.1</f>
        <v>1228605.169090908</v>
      </c>
    </row>
    <row r="1407" spans="2:8" outlineLevel="1">
      <c r="B1407" s="1072" t="s">
        <v>2065</v>
      </c>
      <c r="C1407" s="1073"/>
      <c r="D1407" s="1073"/>
      <c r="E1407" s="1073"/>
      <c r="F1407" s="1074"/>
      <c r="G1407" s="460" t="s">
        <v>2066</v>
      </c>
      <c r="H1407" s="461">
        <f>+H1408+H1409+H1410+H1411+H1412+H1413</f>
        <v>0</v>
      </c>
    </row>
    <row r="1408" spans="2:8" outlineLevel="1">
      <c r="B1408" s="1075" t="s">
        <v>2015</v>
      </c>
      <c r="C1408" s="1047" t="s">
        <v>2067</v>
      </c>
      <c r="D1408" s="1048"/>
      <c r="E1408" s="1048"/>
      <c r="F1408" s="1049"/>
      <c r="G1408" s="460" t="s">
        <v>2068</v>
      </c>
      <c r="H1408" s="429"/>
    </row>
    <row r="1409" spans="2:8" outlineLevel="1">
      <c r="B1409" s="1076"/>
      <c r="C1409" s="1047" t="s">
        <v>2069</v>
      </c>
      <c r="D1409" s="1048"/>
      <c r="E1409" s="1048"/>
      <c r="F1409" s="1049"/>
      <c r="G1409" s="460" t="s">
        <v>2070</v>
      </c>
      <c r="H1409" s="429"/>
    </row>
    <row r="1410" spans="2:8" outlineLevel="1">
      <c r="B1410" s="1076"/>
      <c r="C1410" s="1047" t="s">
        <v>2071</v>
      </c>
      <c r="D1410" s="1048"/>
      <c r="E1410" s="1048"/>
      <c r="F1410" s="1049"/>
      <c r="G1410" s="460" t="s">
        <v>2072</v>
      </c>
      <c r="H1410" s="429"/>
    </row>
    <row r="1411" spans="2:8" outlineLevel="1">
      <c r="B1411" s="1076"/>
      <c r="C1411" s="1047" t="s">
        <v>2073</v>
      </c>
      <c r="D1411" s="1048"/>
      <c r="E1411" s="1048"/>
      <c r="F1411" s="1049"/>
      <c r="G1411" s="460" t="s">
        <v>2074</v>
      </c>
      <c r="H1411" s="429"/>
    </row>
    <row r="1412" spans="2:8" outlineLevel="1">
      <c r="B1412" s="1076"/>
      <c r="C1412" s="1047" t="s">
        <v>2075</v>
      </c>
      <c r="D1412" s="1048"/>
      <c r="E1412" s="1048"/>
      <c r="F1412" s="1049"/>
      <c r="G1412" s="460" t="s">
        <v>2076</v>
      </c>
      <c r="H1412" s="429"/>
    </row>
    <row r="1413" spans="2:8" outlineLevel="1">
      <c r="B1413" s="1077"/>
      <c r="C1413" s="1047" t="s">
        <v>2077</v>
      </c>
      <c r="D1413" s="1048"/>
      <c r="E1413" s="1048"/>
      <c r="F1413" s="1049"/>
      <c r="G1413" s="460" t="s">
        <v>2078</v>
      </c>
      <c r="H1413" s="429"/>
    </row>
    <row r="1414" spans="2:8" outlineLevel="1">
      <c r="B1414" s="1072" t="s">
        <v>2079</v>
      </c>
      <c r="C1414" s="1073"/>
      <c r="D1414" s="1073"/>
      <c r="E1414" s="1073"/>
      <c r="F1414" s="1074"/>
      <c r="G1414" s="460" t="s">
        <v>2080</v>
      </c>
      <c r="H1414" s="461">
        <f>+H1406-H1407</f>
        <v>1228605.169090908</v>
      </c>
    </row>
    <row r="1415" spans="2:8" outlineLevel="1"/>
    <row r="1416" spans="2:8" ht="19.5" customHeight="1" outlineLevel="1">
      <c r="B1416" s="1053" t="s">
        <v>2081</v>
      </c>
      <c r="C1416" s="1053"/>
      <c r="D1416" s="1053"/>
      <c r="E1416" s="1053"/>
      <c r="F1416" s="1053"/>
      <c r="G1416" s="1053"/>
      <c r="H1416" s="1053"/>
    </row>
    <row r="1417" spans="2:8" outlineLevel="1">
      <c r="B1417" s="1047" t="s">
        <v>2082</v>
      </c>
      <c r="C1417" s="1048"/>
      <c r="D1417" s="1048"/>
      <c r="E1417" s="1048"/>
      <c r="F1417" s="1049"/>
      <c r="G1417" s="460" t="s">
        <v>2083</v>
      </c>
      <c r="H1417" s="429"/>
    </row>
    <row r="1418" spans="2:8" outlineLevel="1">
      <c r="B1418" s="1047" t="s">
        <v>2084</v>
      </c>
      <c r="C1418" s="1048"/>
      <c r="D1418" s="1048"/>
      <c r="E1418" s="1048"/>
      <c r="F1418" s="1049"/>
      <c r="G1418" s="460" t="s">
        <v>2085</v>
      </c>
      <c r="H1418" s="429"/>
    </row>
    <row r="1419" spans="2:8" outlineLevel="1">
      <c r="B1419" s="1050" t="s">
        <v>2086</v>
      </c>
      <c r="C1419" s="1051"/>
      <c r="D1419" s="1051"/>
      <c r="E1419" s="1051"/>
      <c r="F1419" s="1052"/>
      <c r="G1419" s="460" t="s">
        <v>2087</v>
      </c>
      <c r="H1419" s="429">
        <f>+(H1417+H1418)*0.1</f>
        <v>0</v>
      </c>
    </row>
    <row r="1420" spans="2:8" outlineLevel="1">
      <c r="B1420" s="1047" t="s">
        <v>2088</v>
      </c>
      <c r="C1420" s="1048"/>
      <c r="D1420" s="1048"/>
      <c r="E1420" s="1048"/>
      <c r="F1420" s="1049"/>
      <c r="G1420" s="460" t="s">
        <v>2089</v>
      </c>
      <c r="H1420" s="429"/>
    </row>
    <row r="1421" spans="2:8" outlineLevel="1">
      <c r="B1421" s="1047" t="s">
        <v>2090</v>
      </c>
      <c r="C1421" s="1048"/>
      <c r="D1421" s="1048"/>
      <c r="E1421" s="1048"/>
      <c r="F1421" s="1049"/>
      <c r="G1421" s="460" t="s">
        <v>2091</v>
      </c>
      <c r="H1421" s="429"/>
    </row>
    <row r="1422" spans="2:8" outlineLevel="1">
      <c r="B1422" s="1050" t="s">
        <v>2092</v>
      </c>
      <c r="C1422" s="1051"/>
      <c r="D1422" s="1051"/>
      <c r="E1422" s="1051"/>
      <c r="F1422" s="1052"/>
      <c r="G1422" s="460" t="s">
        <v>2093</v>
      </c>
      <c r="H1422" s="429">
        <f>+(H1420+H1421)*0.1</f>
        <v>0</v>
      </c>
    </row>
    <row r="1423" spans="2:8" outlineLevel="1"/>
    <row r="1424" spans="2:8" outlineLevel="1">
      <c r="B1424" s="1053" t="s">
        <v>2094</v>
      </c>
      <c r="C1424" s="1053"/>
      <c r="D1424" s="1053"/>
      <c r="E1424" s="1053"/>
      <c r="F1424" s="1053"/>
      <c r="G1424" s="1053"/>
      <c r="H1424" s="1053"/>
    </row>
    <row r="1425" spans="2:8" outlineLevel="1">
      <c r="B1425" s="1050" t="s">
        <v>2095</v>
      </c>
      <c r="C1425" s="1051"/>
      <c r="D1425" s="1051"/>
      <c r="E1425" s="1051"/>
      <c r="F1425" s="1052"/>
      <c r="G1425" s="460" t="s">
        <v>2096</v>
      </c>
      <c r="H1425" s="429">
        <f>+H1397+H1419</f>
        <v>1576790.9093636365</v>
      </c>
    </row>
    <row r="1426" spans="2:8" outlineLevel="1">
      <c r="B1426" s="1050" t="s">
        <v>2097</v>
      </c>
      <c r="C1426" s="1051"/>
      <c r="D1426" s="1051"/>
      <c r="E1426" s="1051"/>
      <c r="F1426" s="1052"/>
      <c r="G1426" s="460" t="s">
        <v>2098</v>
      </c>
      <c r="H1426" s="429">
        <f>+H1414+H1422</f>
        <v>1228605.169090908</v>
      </c>
    </row>
    <row r="1427" spans="2:8" outlineLevel="1"/>
    <row r="1428" spans="2:8" outlineLevel="1">
      <c r="B1428" s="1053" t="s">
        <v>2099</v>
      </c>
      <c r="C1428" s="1053"/>
      <c r="D1428" s="1053"/>
      <c r="E1428" s="1053"/>
      <c r="F1428" s="1053"/>
      <c r="G1428" s="1053"/>
      <c r="H1428" s="1053"/>
    </row>
    <row r="1429" spans="2:8" outlineLevel="1">
      <c r="B1429" s="1047" t="s">
        <v>2100</v>
      </c>
      <c r="C1429" s="1048"/>
      <c r="D1429" s="1048"/>
      <c r="E1429" s="1048"/>
      <c r="F1429" s="1049"/>
      <c r="G1429" s="460" t="s">
        <v>2101</v>
      </c>
      <c r="H1429" s="429"/>
    </row>
    <row r="1430" spans="2:8" outlineLevel="1">
      <c r="B1430" s="1050" t="s">
        <v>2102</v>
      </c>
      <c r="C1430" s="1051"/>
      <c r="D1430" s="1051"/>
      <c r="E1430" s="1051"/>
      <c r="F1430" s="1052"/>
      <c r="G1430" s="460" t="s">
        <v>2103</v>
      </c>
      <c r="H1430" s="429">
        <f>+H1429*0.1</f>
        <v>0</v>
      </c>
    </row>
    <row r="1431" spans="2:8" outlineLevel="1">
      <c r="B1431" s="1047" t="s">
        <v>2104</v>
      </c>
      <c r="C1431" s="1048"/>
      <c r="D1431" s="1048"/>
      <c r="E1431" s="1048"/>
      <c r="F1431" s="1049"/>
      <c r="G1431" s="460" t="s">
        <v>2105</v>
      </c>
      <c r="H1431" s="429"/>
    </row>
    <row r="1432" spans="2:8" outlineLevel="1">
      <c r="B1432" s="1050" t="s">
        <v>2092</v>
      </c>
      <c r="C1432" s="1051"/>
      <c r="D1432" s="1051"/>
      <c r="E1432" s="1051"/>
      <c r="F1432" s="1052"/>
      <c r="G1432" s="460" t="s">
        <v>2106</v>
      </c>
      <c r="H1432" s="429">
        <f>+H1431*0.1</f>
        <v>0</v>
      </c>
    </row>
    <row r="1433" spans="2:8" outlineLevel="1"/>
    <row r="1434" spans="2:8" outlineLevel="1">
      <c r="B1434" s="1053" t="s">
        <v>2107</v>
      </c>
      <c r="C1434" s="1053"/>
      <c r="D1434" s="1053"/>
      <c r="E1434" s="1053"/>
      <c r="F1434" s="1053"/>
      <c r="G1434" s="1053"/>
      <c r="H1434" s="1053"/>
    </row>
    <row r="1435" spans="2:8" outlineLevel="1">
      <c r="B1435" s="1054" t="s">
        <v>1322</v>
      </c>
      <c r="C1435" s="1054"/>
      <c r="D1435" s="1055" t="s">
        <v>2108</v>
      </c>
      <c r="E1435" s="1056"/>
      <c r="F1435" s="1057"/>
      <c r="G1435" s="460" t="s">
        <v>2109</v>
      </c>
      <c r="H1435" s="429">
        <f>+H1425-H1430</f>
        <v>1576790.9093636365</v>
      </c>
    </row>
    <row r="1436" spans="2:8" outlineLevel="1">
      <c r="B1436" s="1054"/>
      <c r="C1436" s="1054"/>
      <c r="D1436" s="1055" t="s">
        <v>2110</v>
      </c>
      <c r="E1436" s="1056"/>
      <c r="F1436" s="1057"/>
      <c r="G1436" s="460" t="s">
        <v>2111</v>
      </c>
      <c r="H1436" s="429">
        <f>+H1426-H1432</f>
        <v>1228605.169090908</v>
      </c>
    </row>
    <row r="1437" spans="2:8" outlineLevel="1">
      <c r="B1437" s="1054"/>
      <c r="C1437" s="1054"/>
      <c r="D1437" s="1055" t="s">
        <v>2112</v>
      </c>
      <c r="E1437" s="1056"/>
      <c r="F1437" s="1057"/>
      <c r="G1437" s="460" t="s">
        <v>2113</v>
      </c>
      <c r="H1437" s="429">
        <f>+H1435-H1436</f>
        <v>348185.74027272849</v>
      </c>
    </row>
    <row r="1438" spans="2:8" outlineLevel="1">
      <c r="B1438" s="1054"/>
      <c r="C1438" s="1054"/>
      <c r="D1438" s="1055" t="s">
        <v>2114</v>
      </c>
      <c r="E1438" s="1056"/>
      <c r="F1438" s="1057"/>
      <c r="G1438" s="460" t="s">
        <v>2115</v>
      </c>
      <c r="H1438" s="429"/>
    </row>
    <row r="1439" spans="2:8" outlineLevel="1"/>
    <row r="1440" spans="2:8" outlineLevel="1">
      <c r="B1440" s="1062" t="s">
        <v>2116</v>
      </c>
      <c r="C1440" s="1062"/>
      <c r="D1440" s="1062"/>
      <c r="E1440" s="1062"/>
      <c r="F1440" s="1062"/>
      <c r="G1440" s="463" t="s">
        <v>2117</v>
      </c>
      <c r="H1440" s="464" t="s">
        <v>2118</v>
      </c>
    </row>
    <row r="1441" spans="2:11" outlineLevel="1">
      <c r="B1441" s="1058" t="s">
        <v>2119</v>
      </c>
      <c r="C1441" s="1058"/>
      <c r="D1441" s="1058"/>
      <c r="E1441" s="465" t="s">
        <v>1079</v>
      </c>
      <c r="F1441" s="466">
        <v>1</v>
      </c>
      <c r="G1441" s="467">
        <f>+O14</f>
        <v>0</v>
      </c>
      <c r="H1441" s="468"/>
    </row>
    <row r="1442" spans="2:11" outlineLevel="1">
      <c r="B1442" s="1058"/>
      <c r="C1442" s="1058"/>
      <c r="D1442" s="1058"/>
      <c r="E1442" s="465" t="s">
        <v>1080</v>
      </c>
      <c r="F1442" s="466">
        <f>+F1441+1</f>
        <v>2</v>
      </c>
      <c r="G1442" s="469"/>
      <c r="H1442" s="470">
        <f>+P14</f>
        <v>83838549.120124161</v>
      </c>
    </row>
    <row r="1443" spans="2:11" outlineLevel="1">
      <c r="B1443" s="1058" t="s">
        <v>2120</v>
      </c>
      <c r="C1443" s="1058"/>
      <c r="D1443" s="1058"/>
      <c r="E1443" s="465" t="s">
        <v>1079</v>
      </c>
      <c r="F1443" s="466">
        <f t="shared" ref="F1443:F1456" si="13">+F1442+1</f>
        <v>3</v>
      </c>
      <c r="G1443" s="467"/>
      <c r="H1443" s="468"/>
    </row>
    <row r="1444" spans="2:11" outlineLevel="1">
      <c r="B1444" s="1058"/>
      <c r="C1444" s="1058"/>
      <c r="D1444" s="1058"/>
      <c r="E1444" s="465" t="s">
        <v>1080</v>
      </c>
      <c r="F1444" s="466">
        <f t="shared" si="13"/>
        <v>4</v>
      </c>
      <c r="G1444" s="469"/>
      <c r="H1444" s="470">
        <f>+H1437</f>
        <v>348185.74027272849</v>
      </c>
    </row>
    <row r="1445" spans="2:11" outlineLevel="1">
      <c r="B1445" s="1059" t="s">
        <v>1085</v>
      </c>
      <c r="C1445" s="1060"/>
      <c r="D1445" s="1060"/>
      <c r="E1445" s="1061"/>
      <c r="F1445" s="466">
        <f t="shared" si="13"/>
        <v>5</v>
      </c>
      <c r="G1445" s="467">
        <f>+L15</f>
        <v>17000000</v>
      </c>
      <c r="H1445" s="468"/>
    </row>
    <row r="1446" spans="2:11" outlineLevel="1">
      <c r="B1446" s="1063" t="s">
        <v>2121</v>
      </c>
      <c r="C1446" s="1064"/>
      <c r="D1446" s="1064"/>
      <c r="E1446" s="1065"/>
      <c r="F1446" s="466">
        <f t="shared" si="13"/>
        <v>6</v>
      </c>
      <c r="G1446" s="472"/>
      <c r="H1446" s="468"/>
    </row>
    <row r="1447" spans="2:11" outlineLevel="1">
      <c r="B1447" s="1063" t="s">
        <v>2121</v>
      </c>
      <c r="C1447" s="1064"/>
      <c r="D1447" s="1064"/>
      <c r="E1447" s="1065"/>
      <c r="F1447" s="466">
        <f t="shared" si="13"/>
        <v>7</v>
      </c>
      <c r="G1447" s="469"/>
      <c r="H1447" s="471"/>
    </row>
    <row r="1448" spans="2:11" outlineLevel="1">
      <c r="B1448" s="1058" t="s">
        <v>2122</v>
      </c>
      <c r="C1448" s="1058"/>
      <c r="D1448" s="1058"/>
      <c r="E1448" s="465" t="s">
        <v>1079</v>
      </c>
      <c r="F1448" s="466">
        <f t="shared" si="13"/>
        <v>8</v>
      </c>
      <c r="G1448" s="472"/>
      <c r="H1448" s="468"/>
    </row>
    <row r="1449" spans="2:11" outlineLevel="1">
      <c r="B1449" s="1058"/>
      <c r="C1449" s="1058"/>
      <c r="D1449" s="1058"/>
      <c r="E1449" s="465" t="s">
        <v>1080</v>
      </c>
      <c r="F1449" s="466">
        <f t="shared" si="13"/>
        <v>9</v>
      </c>
      <c r="G1449" s="469"/>
      <c r="H1449" s="471"/>
    </row>
    <row r="1450" spans="2:11" outlineLevel="1">
      <c r="B1450" s="1058" t="s">
        <v>2123</v>
      </c>
      <c r="C1450" s="1058"/>
      <c r="D1450" s="1058"/>
      <c r="E1450" s="465" t="s">
        <v>1079</v>
      </c>
      <c r="F1450" s="466">
        <f t="shared" si="13"/>
        <v>10</v>
      </c>
      <c r="G1450" s="472"/>
      <c r="H1450" s="468"/>
    </row>
    <row r="1451" spans="2:11" outlineLevel="1">
      <c r="B1451" s="1058"/>
      <c r="C1451" s="1058"/>
      <c r="D1451" s="1058"/>
      <c r="E1451" s="465" t="s">
        <v>1080</v>
      </c>
      <c r="F1451" s="466">
        <f t="shared" si="13"/>
        <v>11</v>
      </c>
      <c r="G1451" s="469"/>
      <c r="H1451" s="471"/>
    </row>
    <row r="1452" spans="2:11" outlineLevel="1">
      <c r="B1452" s="1059" t="s">
        <v>2124</v>
      </c>
      <c r="C1452" s="1060"/>
      <c r="D1452" s="1060"/>
      <c r="E1452" s="1061"/>
      <c r="F1452" s="466">
        <f t="shared" si="13"/>
        <v>12</v>
      </c>
      <c r="G1452" s="472"/>
      <c r="H1452" s="468"/>
    </row>
    <row r="1453" spans="2:11" outlineLevel="1">
      <c r="B1453" s="1058" t="s">
        <v>2125</v>
      </c>
      <c r="C1453" s="1058"/>
      <c r="D1453" s="1058"/>
      <c r="E1453" s="465" t="s">
        <v>1079</v>
      </c>
      <c r="F1453" s="466">
        <f t="shared" si="13"/>
        <v>13</v>
      </c>
      <c r="G1453" s="472"/>
      <c r="H1453" s="468"/>
    </row>
    <row r="1454" spans="2:11" outlineLevel="1">
      <c r="B1454" s="1058"/>
      <c r="C1454" s="1058"/>
      <c r="D1454" s="1058"/>
      <c r="E1454" s="465" t="s">
        <v>1080</v>
      </c>
      <c r="F1454" s="466">
        <f t="shared" si="13"/>
        <v>14</v>
      </c>
      <c r="G1454" s="469"/>
      <c r="H1454" s="471"/>
    </row>
    <row r="1455" spans="2:11" outlineLevel="1">
      <c r="B1455" s="1058" t="s">
        <v>2126</v>
      </c>
      <c r="C1455" s="1058"/>
      <c r="D1455" s="1058"/>
      <c r="E1455" s="465" t="s">
        <v>1079</v>
      </c>
      <c r="F1455" s="466">
        <f t="shared" si="13"/>
        <v>15</v>
      </c>
      <c r="G1455" s="467">
        <f>IF((G1441+G1443+G1445-H1442-H1444)&gt;0,(G1441+G1443+G1445-H1442-H1444),0)</f>
        <v>0</v>
      </c>
      <c r="H1455" s="468"/>
    </row>
    <row r="1456" spans="2:11" outlineLevel="1">
      <c r="B1456" s="1058"/>
      <c r="C1456" s="1058"/>
      <c r="D1456" s="1058"/>
      <c r="E1456" s="465" t="s">
        <v>1080</v>
      </c>
      <c r="F1456" s="466">
        <f t="shared" si="13"/>
        <v>16</v>
      </c>
      <c r="G1456" s="473"/>
      <c r="H1456" s="520">
        <f>+IF((H1442+H1444-G1441-G1443-G1445)&gt;0,(H1442+H1444-G1441-G1443-G1445),0)</f>
        <v>67186734.860396892</v>
      </c>
      <c r="J1456" s="80">
        <f>+P15</f>
        <v>67186734.859556884</v>
      </c>
      <c r="K1456" s="80">
        <f>+J1456-H1456</f>
        <v>-8.4000825881958008E-4</v>
      </c>
    </row>
    <row r="1457" spans="1:5" outlineLevel="1"/>
    <row r="1458" spans="1:5" outlineLevel="1"/>
    <row r="1459" spans="1:5" outlineLevel="1">
      <c r="B1459" s="331" t="s">
        <v>2127</v>
      </c>
      <c r="E1459" s="331" t="s">
        <v>1090</v>
      </c>
    </row>
    <row r="1460" spans="1:5" outlineLevel="1">
      <c r="B1460" s="331"/>
    </row>
    <row r="1461" spans="1:5" outlineLevel="1">
      <c r="B1461" s="331"/>
      <c r="E1461" s="331" t="s">
        <v>2128</v>
      </c>
    </row>
    <row r="1462" spans="1:5" outlineLevel="1">
      <c r="B1462" s="331"/>
    </row>
    <row r="1463" spans="1:5" outlineLevel="1">
      <c r="B1463" s="331"/>
    </row>
    <row r="1464" spans="1:5">
      <c r="A1464" s="231" t="s">
        <v>2659</v>
      </c>
    </row>
  </sheetData>
  <sheetProtection password="DFC0" sheet="1" objects="1" scenarios="1"/>
  <mergeCells count="1358">
    <mergeCell ref="B1453:D1454"/>
    <mergeCell ref="B1455:D1456"/>
    <mergeCell ref="B1440:F1440"/>
    <mergeCell ref="B1441:D1442"/>
    <mergeCell ref="B1443:D1444"/>
    <mergeCell ref="B1445:E1445"/>
    <mergeCell ref="B1446:E1446"/>
    <mergeCell ref="B1447:E1447"/>
    <mergeCell ref="B1448:D1449"/>
    <mergeCell ref="B1450:D1451"/>
    <mergeCell ref="B1452:E1452"/>
    <mergeCell ref="B1425:F1425"/>
    <mergeCell ref="B1426:F1426"/>
    <mergeCell ref="B1428:H1428"/>
    <mergeCell ref="B1429:F1429"/>
    <mergeCell ref="B1430:F1430"/>
    <mergeCell ref="B1431:F1431"/>
    <mergeCell ref="B1432:F1432"/>
    <mergeCell ref="B1434:H1434"/>
    <mergeCell ref="B1435:C1438"/>
    <mergeCell ref="D1435:F1435"/>
    <mergeCell ref="D1436:F1436"/>
    <mergeCell ref="D1437:F1437"/>
    <mergeCell ref="D1438:F1438"/>
    <mergeCell ref="B1414:F1414"/>
    <mergeCell ref="B1416:H1416"/>
    <mergeCell ref="B1417:F1417"/>
    <mergeCell ref="B1418:F1418"/>
    <mergeCell ref="B1419:F1419"/>
    <mergeCell ref="B1420:F1420"/>
    <mergeCell ref="B1421:F1421"/>
    <mergeCell ref="B1422:F1422"/>
    <mergeCell ref="B1424:H1424"/>
    <mergeCell ref="B1406:F1406"/>
    <mergeCell ref="B1407:F1407"/>
    <mergeCell ref="B1408:B1413"/>
    <mergeCell ref="C1408:F1408"/>
    <mergeCell ref="C1409:F1409"/>
    <mergeCell ref="C1410:F1410"/>
    <mergeCell ref="C1411:F1411"/>
    <mergeCell ref="C1412:F1412"/>
    <mergeCell ref="C1413:F1413"/>
    <mergeCell ref="B1395:F1395"/>
    <mergeCell ref="B1396:F1396"/>
    <mergeCell ref="B1397:F1397"/>
    <mergeCell ref="B1399:H1399"/>
    <mergeCell ref="B1400:F1400"/>
    <mergeCell ref="B1401:F1401"/>
    <mergeCell ref="B1402:B1405"/>
    <mergeCell ref="C1402:F1402"/>
    <mergeCell ref="C1403:F1403"/>
    <mergeCell ref="C1404:F1404"/>
    <mergeCell ref="C1405:F1405"/>
    <mergeCell ref="D1386:F1386"/>
    <mergeCell ref="D1387:F1387"/>
    <mergeCell ref="D1388:F1388"/>
    <mergeCell ref="D1389:F1389"/>
    <mergeCell ref="D1390:F1390"/>
    <mergeCell ref="B1391:F1391"/>
    <mergeCell ref="B1392:F1392"/>
    <mergeCell ref="B1393:F1393"/>
    <mergeCell ref="B1394:F1394"/>
    <mergeCell ref="B1365:H1365"/>
    <mergeCell ref="B1366:F1366"/>
    <mergeCell ref="B1367:F1367"/>
    <mergeCell ref="B1368:F1368"/>
    <mergeCell ref="B1369:B1390"/>
    <mergeCell ref="C1369:F1369"/>
    <mergeCell ref="C1370:C1374"/>
    <mergeCell ref="D1370:F1370"/>
    <mergeCell ref="D1371:F1371"/>
    <mergeCell ref="D1372:F1372"/>
    <mergeCell ref="D1373:F1373"/>
    <mergeCell ref="D1374:F1374"/>
    <mergeCell ref="C1375:F1375"/>
    <mergeCell ref="C1376:C1390"/>
    <mergeCell ref="D1376:F1376"/>
    <mergeCell ref="D1377:F1377"/>
    <mergeCell ref="D1378:F1378"/>
    <mergeCell ref="D1379:F1379"/>
    <mergeCell ref="D1380:F1380"/>
    <mergeCell ref="D1381:F1381"/>
    <mergeCell ref="D1382:F1382"/>
    <mergeCell ref="D1383:F1383"/>
    <mergeCell ref="D1384:F1384"/>
    <mergeCell ref="D1385:F1385"/>
    <mergeCell ref="B1357:H1357"/>
    <mergeCell ref="B1358:B1360"/>
    <mergeCell ref="C1358:D1358"/>
    <mergeCell ref="E1358:G1358"/>
    <mergeCell ref="C1359:D1359"/>
    <mergeCell ref="E1359:G1359"/>
    <mergeCell ref="C1360:D1360"/>
    <mergeCell ref="E1360:G1360"/>
    <mergeCell ref="B1362:D1362"/>
    <mergeCell ref="B1352:D1352"/>
    <mergeCell ref="E1352:H1352"/>
    <mergeCell ref="B1353:D1353"/>
    <mergeCell ref="E1353:H1353"/>
    <mergeCell ref="B1354:D1354"/>
    <mergeCell ref="E1354:H1354"/>
    <mergeCell ref="B1355:D1355"/>
    <mergeCell ref="E1355:H1355"/>
    <mergeCell ref="B1356:D1356"/>
    <mergeCell ref="E1356:H1356"/>
    <mergeCell ref="B1331:D1332"/>
    <mergeCell ref="B1333:D1334"/>
    <mergeCell ref="F1343:H1343"/>
    <mergeCell ref="E1344:H1344"/>
    <mergeCell ref="B1346:H1346"/>
    <mergeCell ref="B1348:H1348"/>
    <mergeCell ref="B1349:D1349"/>
    <mergeCell ref="E1349:H1349"/>
    <mergeCell ref="B1351:D1351"/>
    <mergeCell ref="E1351:H1351"/>
    <mergeCell ref="B1318:F1318"/>
    <mergeCell ref="B1319:D1320"/>
    <mergeCell ref="B1321:D1322"/>
    <mergeCell ref="B1323:E1323"/>
    <mergeCell ref="B1324:E1324"/>
    <mergeCell ref="B1325:E1325"/>
    <mergeCell ref="B1326:D1327"/>
    <mergeCell ref="B1328:D1329"/>
    <mergeCell ref="B1330:E1330"/>
    <mergeCell ref="B1303:F1303"/>
    <mergeCell ref="B1304:F1304"/>
    <mergeCell ref="B1306:H1306"/>
    <mergeCell ref="B1307:F1307"/>
    <mergeCell ref="B1308:F1308"/>
    <mergeCell ref="B1309:F1309"/>
    <mergeCell ref="B1310:F1310"/>
    <mergeCell ref="B1312:H1312"/>
    <mergeCell ref="B1313:C1316"/>
    <mergeCell ref="D1313:F1313"/>
    <mergeCell ref="D1314:F1314"/>
    <mergeCell ref="D1315:F1315"/>
    <mergeCell ref="D1316:F1316"/>
    <mergeCell ref="B1292:F1292"/>
    <mergeCell ref="B1294:H1294"/>
    <mergeCell ref="B1295:F1295"/>
    <mergeCell ref="B1296:F1296"/>
    <mergeCell ref="B1297:F1297"/>
    <mergeCell ref="B1298:F1298"/>
    <mergeCell ref="B1299:F1299"/>
    <mergeCell ref="B1300:F1300"/>
    <mergeCell ref="B1302:H1302"/>
    <mergeCell ref="B1284:F1284"/>
    <mergeCell ref="B1285:F1285"/>
    <mergeCell ref="B1286:B1291"/>
    <mergeCell ref="C1286:F1286"/>
    <mergeCell ref="C1287:F1287"/>
    <mergeCell ref="C1288:F1288"/>
    <mergeCell ref="C1289:F1289"/>
    <mergeCell ref="C1290:F1290"/>
    <mergeCell ref="C1291:F1291"/>
    <mergeCell ref="B1273:F1273"/>
    <mergeCell ref="B1274:F1274"/>
    <mergeCell ref="B1275:F1275"/>
    <mergeCell ref="B1277:H1277"/>
    <mergeCell ref="B1278:F1278"/>
    <mergeCell ref="B1279:F1279"/>
    <mergeCell ref="B1280:B1283"/>
    <mergeCell ref="C1280:F1280"/>
    <mergeCell ref="C1281:F1281"/>
    <mergeCell ref="C1282:F1282"/>
    <mergeCell ref="C1283:F1283"/>
    <mergeCell ref="D1264:F1264"/>
    <mergeCell ref="D1265:F1265"/>
    <mergeCell ref="D1266:F1266"/>
    <mergeCell ref="D1267:F1267"/>
    <mergeCell ref="D1268:F1268"/>
    <mergeCell ref="B1269:F1269"/>
    <mergeCell ref="B1270:F1270"/>
    <mergeCell ref="B1271:F1271"/>
    <mergeCell ref="B1272:F1272"/>
    <mergeCell ref="B1243:H1243"/>
    <mergeCell ref="B1244:F1244"/>
    <mergeCell ref="B1245:F1245"/>
    <mergeCell ref="B1246:F1246"/>
    <mergeCell ref="B1247:B1268"/>
    <mergeCell ref="C1247:F1247"/>
    <mergeCell ref="C1248:C1252"/>
    <mergeCell ref="D1248:F1248"/>
    <mergeCell ref="D1249:F1249"/>
    <mergeCell ref="D1250:F1250"/>
    <mergeCell ref="D1251:F1251"/>
    <mergeCell ref="D1252:F1252"/>
    <mergeCell ref="C1253:F1253"/>
    <mergeCell ref="C1254:C1268"/>
    <mergeCell ref="D1254:F1254"/>
    <mergeCell ref="D1255:F1255"/>
    <mergeCell ref="D1256:F1256"/>
    <mergeCell ref="D1257:F1257"/>
    <mergeCell ref="D1258:F1258"/>
    <mergeCell ref="D1259:F1259"/>
    <mergeCell ref="D1260:F1260"/>
    <mergeCell ref="D1261:F1261"/>
    <mergeCell ref="D1262:F1262"/>
    <mergeCell ref="D1263:F1263"/>
    <mergeCell ref="B1235:H1235"/>
    <mergeCell ref="B1236:B1238"/>
    <mergeCell ref="C1236:D1236"/>
    <mergeCell ref="E1236:G1236"/>
    <mergeCell ref="C1237:D1237"/>
    <mergeCell ref="E1237:G1237"/>
    <mergeCell ref="C1238:D1238"/>
    <mergeCell ref="E1238:G1238"/>
    <mergeCell ref="B1240:D1240"/>
    <mergeCell ref="B1230:D1230"/>
    <mergeCell ref="E1230:H1230"/>
    <mergeCell ref="B1231:D1231"/>
    <mergeCell ref="E1231:H1231"/>
    <mergeCell ref="B1232:D1232"/>
    <mergeCell ref="E1232:H1232"/>
    <mergeCell ref="B1233:D1233"/>
    <mergeCell ref="E1233:H1233"/>
    <mergeCell ref="B1234:D1234"/>
    <mergeCell ref="E1234:H1234"/>
    <mergeCell ref="B1209:D1210"/>
    <mergeCell ref="B1211:D1212"/>
    <mergeCell ref="F1221:H1221"/>
    <mergeCell ref="E1222:H1222"/>
    <mergeCell ref="B1224:H1224"/>
    <mergeCell ref="B1226:H1226"/>
    <mergeCell ref="B1227:D1227"/>
    <mergeCell ref="E1227:H1227"/>
    <mergeCell ref="B1229:D1229"/>
    <mergeCell ref="E1229:H1229"/>
    <mergeCell ref="B1196:F1196"/>
    <mergeCell ref="B1197:D1198"/>
    <mergeCell ref="B1199:D1200"/>
    <mergeCell ref="B1201:E1201"/>
    <mergeCell ref="B1202:E1202"/>
    <mergeCell ref="B1203:E1203"/>
    <mergeCell ref="B1204:D1205"/>
    <mergeCell ref="B1206:D1207"/>
    <mergeCell ref="B1208:E1208"/>
    <mergeCell ref="B1181:F1181"/>
    <mergeCell ref="B1182:F1182"/>
    <mergeCell ref="B1184:H1184"/>
    <mergeCell ref="B1185:F1185"/>
    <mergeCell ref="B1186:F1186"/>
    <mergeCell ref="B1187:F1187"/>
    <mergeCell ref="B1188:F1188"/>
    <mergeCell ref="B1190:H1190"/>
    <mergeCell ref="B1191:C1194"/>
    <mergeCell ref="D1191:F1191"/>
    <mergeCell ref="D1192:F1192"/>
    <mergeCell ref="D1193:F1193"/>
    <mergeCell ref="D1194:F1194"/>
    <mergeCell ref="B1170:F1170"/>
    <mergeCell ref="B1172:H1172"/>
    <mergeCell ref="B1173:F1173"/>
    <mergeCell ref="B1174:F1174"/>
    <mergeCell ref="B1175:F1175"/>
    <mergeCell ref="B1176:F1176"/>
    <mergeCell ref="B1177:F1177"/>
    <mergeCell ref="B1178:F1178"/>
    <mergeCell ref="B1180:H1180"/>
    <mergeCell ref="B1162:F1162"/>
    <mergeCell ref="B1163:F1163"/>
    <mergeCell ref="B1164:B1169"/>
    <mergeCell ref="C1164:F1164"/>
    <mergeCell ref="C1165:F1165"/>
    <mergeCell ref="C1166:F1166"/>
    <mergeCell ref="C1167:F1167"/>
    <mergeCell ref="C1168:F1168"/>
    <mergeCell ref="C1169:F1169"/>
    <mergeCell ref="B1151:F1151"/>
    <mergeCell ref="B1152:F1152"/>
    <mergeCell ref="B1153:F1153"/>
    <mergeCell ref="B1155:H1155"/>
    <mergeCell ref="B1156:F1156"/>
    <mergeCell ref="B1157:F1157"/>
    <mergeCell ref="B1158:B1161"/>
    <mergeCell ref="C1158:F1158"/>
    <mergeCell ref="C1159:F1159"/>
    <mergeCell ref="C1160:F1160"/>
    <mergeCell ref="C1161:F1161"/>
    <mergeCell ref="D1142:F1142"/>
    <mergeCell ref="D1143:F1143"/>
    <mergeCell ref="D1144:F1144"/>
    <mergeCell ref="D1145:F1145"/>
    <mergeCell ref="D1146:F1146"/>
    <mergeCell ref="B1147:F1147"/>
    <mergeCell ref="B1148:F1148"/>
    <mergeCell ref="B1149:F1149"/>
    <mergeCell ref="B1150:F1150"/>
    <mergeCell ref="B1121:H1121"/>
    <mergeCell ref="B1122:F1122"/>
    <mergeCell ref="B1123:F1123"/>
    <mergeCell ref="B1124:F1124"/>
    <mergeCell ref="B1125:B1146"/>
    <mergeCell ref="C1125:F1125"/>
    <mergeCell ref="C1126:C1130"/>
    <mergeCell ref="D1126:F1126"/>
    <mergeCell ref="D1127:F1127"/>
    <mergeCell ref="D1128:F1128"/>
    <mergeCell ref="D1129:F1129"/>
    <mergeCell ref="D1130:F1130"/>
    <mergeCell ref="C1131:F1131"/>
    <mergeCell ref="C1132:C1146"/>
    <mergeCell ref="D1132:F1132"/>
    <mergeCell ref="D1133:F1133"/>
    <mergeCell ref="D1134:F1134"/>
    <mergeCell ref="D1135:F1135"/>
    <mergeCell ref="D1136:F1136"/>
    <mergeCell ref="D1137:F1137"/>
    <mergeCell ref="D1138:F1138"/>
    <mergeCell ref="D1139:F1139"/>
    <mergeCell ref="D1140:F1140"/>
    <mergeCell ref="D1141:F1141"/>
    <mergeCell ref="B1113:H1113"/>
    <mergeCell ref="B1114:B1116"/>
    <mergeCell ref="C1114:D1114"/>
    <mergeCell ref="E1114:G1114"/>
    <mergeCell ref="C1115:D1115"/>
    <mergeCell ref="E1115:G1115"/>
    <mergeCell ref="C1116:D1116"/>
    <mergeCell ref="E1116:G1116"/>
    <mergeCell ref="B1118:D1118"/>
    <mergeCell ref="B1108:D1108"/>
    <mergeCell ref="E1108:H1108"/>
    <mergeCell ref="B1109:D1109"/>
    <mergeCell ref="E1109:H1109"/>
    <mergeCell ref="B1110:D1110"/>
    <mergeCell ref="E1110:H1110"/>
    <mergeCell ref="B1111:D1111"/>
    <mergeCell ref="E1111:H1111"/>
    <mergeCell ref="B1112:D1112"/>
    <mergeCell ref="E1112:H1112"/>
    <mergeCell ref="B1087:D1088"/>
    <mergeCell ref="B1089:D1090"/>
    <mergeCell ref="F1099:H1099"/>
    <mergeCell ref="E1100:H1100"/>
    <mergeCell ref="B1102:H1102"/>
    <mergeCell ref="B1104:H1104"/>
    <mergeCell ref="B1105:D1105"/>
    <mergeCell ref="E1105:H1105"/>
    <mergeCell ref="B1107:D1107"/>
    <mergeCell ref="E1107:H1107"/>
    <mergeCell ref="B1074:F1074"/>
    <mergeCell ref="B1075:D1076"/>
    <mergeCell ref="B1077:D1078"/>
    <mergeCell ref="B1079:E1079"/>
    <mergeCell ref="B1080:E1080"/>
    <mergeCell ref="B1081:E1081"/>
    <mergeCell ref="B1082:D1083"/>
    <mergeCell ref="B1084:D1085"/>
    <mergeCell ref="B1086:E1086"/>
    <mergeCell ref="B1059:F1059"/>
    <mergeCell ref="B1060:F1060"/>
    <mergeCell ref="B1062:H1062"/>
    <mergeCell ref="B1063:F1063"/>
    <mergeCell ref="B1064:F1064"/>
    <mergeCell ref="B1065:F1065"/>
    <mergeCell ref="B1066:F1066"/>
    <mergeCell ref="B1068:H1068"/>
    <mergeCell ref="B1069:C1072"/>
    <mergeCell ref="D1069:F1069"/>
    <mergeCell ref="D1070:F1070"/>
    <mergeCell ref="D1071:F1071"/>
    <mergeCell ref="D1072:F1072"/>
    <mergeCell ref="B1048:F1048"/>
    <mergeCell ref="B1050:H1050"/>
    <mergeCell ref="B1051:F1051"/>
    <mergeCell ref="B1052:F1052"/>
    <mergeCell ref="B1053:F1053"/>
    <mergeCell ref="B1054:F1054"/>
    <mergeCell ref="B1055:F1055"/>
    <mergeCell ref="B1056:F1056"/>
    <mergeCell ref="B1058:H1058"/>
    <mergeCell ref="B1040:F1040"/>
    <mergeCell ref="B1041:F1041"/>
    <mergeCell ref="B1042:B1047"/>
    <mergeCell ref="C1042:F1042"/>
    <mergeCell ref="C1043:F1043"/>
    <mergeCell ref="C1044:F1044"/>
    <mergeCell ref="C1045:F1045"/>
    <mergeCell ref="C1046:F1046"/>
    <mergeCell ref="C1047:F1047"/>
    <mergeCell ref="B1029:F1029"/>
    <mergeCell ref="B1030:F1030"/>
    <mergeCell ref="B1031:F1031"/>
    <mergeCell ref="B1033:H1033"/>
    <mergeCell ref="B1034:F1034"/>
    <mergeCell ref="B1035:F1035"/>
    <mergeCell ref="B1036:B1039"/>
    <mergeCell ref="C1036:F1036"/>
    <mergeCell ref="C1037:F1037"/>
    <mergeCell ref="C1038:F1038"/>
    <mergeCell ref="C1039:F1039"/>
    <mergeCell ref="D1020:F1020"/>
    <mergeCell ref="D1021:F1021"/>
    <mergeCell ref="D1022:F1022"/>
    <mergeCell ref="D1023:F1023"/>
    <mergeCell ref="D1024:F1024"/>
    <mergeCell ref="B1025:F1025"/>
    <mergeCell ref="B1026:F1026"/>
    <mergeCell ref="B1027:F1027"/>
    <mergeCell ref="B1028:F1028"/>
    <mergeCell ref="B999:H999"/>
    <mergeCell ref="B1000:F1000"/>
    <mergeCell ref="B1001:F1001"/>
    <mergeCell ref="B1002:F1002"/>
    <mergeCell ref="B1003:B1024"/>
    <mergeCell ref="C1003:F1003"/>
    <mergeCell ref="C1004:C1008"/>
    <mergeCell ref="D1004:F1004"/>
    <mergeCell ref="D1005:F1005"/>
    <mergeCell ref="D1006:F1006"/>
    <mergeCell ref="D1007:F1007"/>
    <mergeCell ref="D1008:F1008"/>
    <mergeCell ref="C1009:F1009"/>
    <mergeCell ref="C1010:C1024"/>
    <mergeCell ref="D1010:F1010"/>
    <mergeCell ref="D1011:F1011"/>
    <mergeCell ref="D1012:F1012"/>
    <mergeCell ref="D1013:F1013"/>
    <mergeCell ref="D1014:F1014"/>
    <mergeCell ref="D1015:F1015"/>
    <mergeCell ref="D1016:F1016"/>
    <mergeCell ref="D1017:F1017"/>
    <mergeCell ref="D1018:F1018"/>
    <mergeCell ref="D1019:F1019"/>
    <mergeCell ref="B991:H991"/>
    <mergeCell ref="B992:B994"/>
    <mergeCell ref="C992:D992"/>
    <mergeCell ref="E992:G992"/>
    <mergeCell ref="C993:D993"/>
    <mergeCell ref="E993:G993"/>
    <mergeCell ref="C994:D994"/>
    <mergeCell ref="E994:G994"/>
    <mergeCell ref="B996:D996"/>
    <mergeCell ref="B986:D986"/>
    <mergeCell ref="E986:H986"/>
    <mergeCell ref="B987:D987"/>
    <mergeCell ref="E987:H987"/>
    <mergeCell ref="B988:D988"/>
    <mergeCell ref="E988:H988"/>
    <mergeCell ref="B989:D989"/>
    <mergeCell ref="E989:H989"/>
    <mergeCell ref="B990:D990"/>
    <mergeCell ref="E990:H990"/>
    <mergeCell ref="B965:D966"/>
    <mergeCell ref="B967:D968"/>
    <mergeCell ref="F977:H977"/>
    <mergeCell ref="E978:H978"/>
    <mergeCell ref="B980:H980"/>
    <mergeCell ref="B982:H982"/>
    <mergeCell ref="B983:D983"/>
    <mergeCell ref="E983:H983"/>
    <mergeCell ref="B985:D985"/>
    <mergeCell ref="E985:H985"/>
    <mergeCell ref="B952:F952"/>
    <mergeCell ref="B953:D954"/>
    <mergeCell ref="B955:D956"/>
    <mergeCell ref="B957:E957"/>
    <mergeCell ref="B958:E958"/>
    <mergeCell ref="B959:E959"/>
    <mergeCell ref="B960:D961"/>
    <mergeCell ref="B962:D963"/>
    <mergeCell ref="B964:E964"/>
    <mergeCell ref="B937:F937"/>
    <mergeCell ref="B938:F938"/>
    <mergeCell ref="B940:H940"/>
    <mergeCell ref="B941:F941"/>
    <mergeCell ref="B942:F942"/>
    <mergeCell ref="B943:F943"/>
    <mergeCell ref="B944:F944"/>
    <mergeCell ref="B946:H946"/>
    <mergeCell ref="B947:C950"/>
    <mergeCell ref="D947:F947"/>
    <mergeCell ref="D948:F948"/>
    <mergeCell ref="D949:F949"/>
    <mergeCell ref="D950:F950"/>
    <mergeCell ref="B926:F926"/>
    <mergeCell ref="B928:H928"/>
    <mergeCell ref="B929:F929"/>
    <mergeCell ref="B930:F930"/>
    <mergeCell ref="B931:F931"/>
    <mergeCell ref="B932:F932"/>
    <mergeCell ref="B933:F933"/>
    <mergeCell ref="B934:F934"/>
    <mergeCell ref="B936:H936"/>
    <mergeCell ref="B918:F918"/>
    <mergeCell ref="B919:F919"/>
    <mergeCell ref="B920:B925"/>
    <mergeCell ref="C920:F920"/>
    <mergeCell ref="C921:F921"/>
    <mergeCell ref="C922:F922"/>
    <mergeCell ref="C923:F923"/>
    <mergeCell ref="C924:F924"/>
    <mergeCell ref="C925:F925"/>
    <mergeCell ref="B907:F907"/>
    <mergeCell ref="B908:F908"/>
    <mergeCell ref="B909:F909"/>
    <mergeCell ref="B911:H911"/>
    <mergeCell ref="B912:F912"/>
    <mergeCell ref="B913:F913"/>
    <mergeCell ref="B914:B917"/>
    <mergeCell ref="C914:F914"/>
    <mergeCell ref="C915:F915"/>
    <mergeCell ref="C916:F916"/>
    <mergeCell ref="C917:F917"/>
    <mergeCell ref="D898:F898"/>
    <mergeCell ref="D899:F899"/>
    <mergeCell ref="D900:F900"/>
    <mergeCell ref="D901:F901"/>
    <mergeCell ref="D902:F902"/>
    <mergeCell ref="B903:F903"/>
    <mergeCell ref="B904:F904"/>
    <mergeCell ref="B905:F905"/>
    <mergeCell ref="B906:F906"/>
    <mergeCell ref="B877:H877"/>
    <mergeCell ref="B878:F878"/>
    <mergeCell ref="B879:F879"/>
    <mergeCell ref="B880:F880"/>
    <mergeCell ref="B881:B902"/>
    <mergeCell ref="C881:F881"/>
    <mergeCell ref="C882:C886"/>
    <mergeCell ref="D882:F882"/>
    <mergeCell ref="D883:F883"/>
    <mergeCell ref="D884:F884"/>
    <mergeCell ref="D885:F885"/>
    <mergeCell ref="D886:F886"/>
    <mergeCell ref="C887:F887"/>
    <mergeCell ref="C888:C902"/>
    <mergeCell ref="D888:F888"/>
    <mergeCell ref="D889:F889"/>
    <mergeCell ref="D890:F890"/>
    <mergeCell ref="D891:F891"/>
    <mergeCell ref="D892:F892"/>
    <mergeCell ref="D893:F893"/>
    <mergeCell ref="D894:F894"/>
    <mergeCell ref="D895:F895"/>
    <mergeCell ref="D896:F896"/>
    <mergeCell ref="D897:F897"/>
    <mergeCell ref="B869:H869"/>
    <mergeCell ref="B870:B872"/>
    <mergeCell ref="C870:D870"/>
    <mergeCell ref="E870:G870"/>
    <mergeCell ref="C871:D871"/>
    <mergeCell ref="E871:G871"/>
    <mergeCell ref="C872:D872"/>
    <mergeCell ref="E872:G872"/>
    <mergeCell ref="B874:D874"/>
    <mergeCell ref="B864:D864"/>
    <mergeCell ref="E864:H864"/>
    <mergeCell ref="B865:D865"/>
    <mergeCell ref="E865:H865"/>
    <mergeCell ref="B866:D866"/>
    <mergeCell ref="E866:H866"/>
    <mergeCell ref="B867:D867"/>
    <mergeCell ref="E867:H867"/>
    <mergeCell ref="B868:D868"/>
    <mergeCell ref="E868:H868"/>
    <mergeCell ref="B843:D844"/>
    <mergeCell ref="B845:D846"/>
    <mergeCell ref="F855:H855"/>
    <mergeCell ref="E856:H856"/>
    <mergeCell ref="B858:H858"/>
    <mergeCell ref="B860:H860"/>
    <mergeCell ref="B861:D861"/>
    <mergeCell ref="E861:H861"/>
    <mergeCell ref="B863:D863"/>
    <mergeCell ref="E863:H863"/>
    <mergeCell ref="B830:F830"/>
    <mergeCell ref="B831:D832"/>
    <mergeCell ref="B833:D834"/>
    <mergeCell ref="B835:E835"/>
    <mergeCell ref="B836:E836"/>
    <mergeCell ref="B837:E837"/>
    <mergeCell ref="B838:D839"/>
    <mergeCell ref="B840:D841"/>
    <mergeCell ref="B842:E842"/>
    <mergeCell ref="B815:F815"/>
    <mergeCell ref="B816:F816"/>
    <mergeCell ref="B818:H818"/>
    <mergeCell ref="B819:F819"/>
    <mergeCell ref="B820:F820"/>
    <mergeCell ref="B821:F821"/>
    <mergeCell ref="B822:F822"/>
    <mergeCell ref="B824:H824"/>
    <mergeCell ref="B825:C828"/>
    <mergeCell ref="D825:F825"/>
    <mergeCell ref="D826:F826"/>
    <mergeCell ref="D827:F827"/>
    <mergeCell ref="D828:F828"/>
    <mergeCell ref="B804:F804"/>
    <mergeCell ref="B806:H806"/>
    <mergeCell ref="B807:F807"/>
    <mergeCell ref="B808:F808"/>
    <mergeCell ref="B809:F809"/>
    <mergeCell ref="B810:F810"/>
    <mergeCell ref="B811:F811"/>
    <mergeCell ref="B812:F812"/>
    <mergeCell ref="B814:H814"/>
    <mergeCell ref="B796:F796"/>
    <mergeCell ref="B797:F797"/>
    <mergeCell ref="B798:B803"/>
    <mergeCell ref="C798:F798"/>
    <mergeCell ref="C799:F799"/>
    <mergeCell ref="C800:F800"/>
    <mergeCell ref="C801:F801"/>
    <mergeCell ref="C802:F802"/>
    <mergeCell ref="C803:F803"/>
    <mergeCell ref="B785:F785"/>
    <mergeCell ref="B786:F786"/>
    <mergeCell ref="B787:F787"/>
    <mergeCell ref="B789:H789"/>
    <mergeCell ref="B790:F790"/>
    <mergeCell ref="B791:F791"/>
    <mergeCell ref="B792:B795"/>
    <mergeCell ref="C792:F792"/>
    <mergeCell ref="C793:F793"/>
    <mergeCell ref="C794:F794"/>
    <mergeCell ref="C795:F795"/>
    <mergeCell ref="D776:F776"/>
    <mergeCell ref="D777:F777"/>
    <mergeCell ref="D778:F778"/>
    <mergeCell ref="D779:F779"/>
    <mergeCell ref="D780:F780"/>
    <mergeCell ref="B781:F781"/>
    <mergeCell ref="B782:F782"/>
    <mergeCell ref="B783:F783"/>
    <mergeCell ref="B784:F784"/>
    <mergeCell ref="B755:H755"/>
    <mergeCell ref="B756:F756"/>
    <mergeCell ref="B757:F757"/>
    <mergeCell ref="B758:F758"/>
    <mergeCell ref="B759:B780"/>
    <mergeCell ref="C759:F759"/>
    <mergeCell ref="C760:C764"/>
    <mergeCell ref="D760:F760"/>
    <mergeCell ref="D761:F761"/>
    <mergeCell ref="D762:F762"/>
    <mergeCell ref="D763:F763"/>
    <mergeCell ref="D764:F764"/>
    <mergeCell ref="C765:F765"/>
    <mergeCell ref="C766:C780"/>
    <mergeCell ref="D766:F766"/>
    <mergeCell ref="D767:F767"/>
    <mergeCell ref="D768:F768"/>
    <mergeCell ref="D769:F769"/>
    <mergeCell ref="D770:F770"/>
    <mergeCell ref="D771:F771"/>
    <mergeCell ref="D772:F772"/>
    <mergeCell ref="D773:F773"/>
    <mergeCell ref="D774:F774"/>
    <mergeCell ref="D775:F775"/>
    <mergeCell ref="B747:H747"/>
    <mergeCell ref="B748:B750"/>
    <mergeCell ref="C748:D748"/>
    <mergeCell ref="E748:G748"/>
    <mergeCell ref="C749:D749"/>
    <mergeCell ref="E749:G749"/>
    <mergeCell ref="C750:D750"/>
    <mergeCell ref="E750:G750"/>
    <mergeCell ref="B752:D752"/>
    <mergeCell ref="B742:D742"/>
    <mergeCell ref="E742:H742"/>
    <mergeCell ref="B743:D743"/>
    <mergeCell ref="E743:H743"/>
    <mergeCell ref="B744:D744"/>
    <mergeCell ref="E744:H744"/>
    <mergeCell ref="B745:D745"/>
    <mergeCell ref="E745:H745"/>
    <mergeCell ref="B746:D746"/>
    <mergeCell ref="E746:H746"/>
    <mergeCell ref="B721:D722"/>
    <mergeCell ref="B723:D724"/>
    <mergeCell ref="F733:H733"/>
    <mergeCell ref="E734:H734"/>
    <mergeCell ref="B736:H736"/>
    <mergeCell ref="B738:H738"/>
    <mergeCell ref="B739:D739"/>
    <mergeCell ref="E739:H739"/>
    <mergeCell ref="B741:D741"/>
    <mergeCell ref="E741:H741"/>
    <mergeCell ref="B708:F708"/>
    <mergeCell ref="B709:D710"/>
    <mergeCell ref="B711:D712"/>
    <mergeCell ref="B713:E713"/>
    <mergeCell ref="B714:E714"/>
    <mergeCell ref="B715:E715"/>
    <mergeCell ref="B716:D717"/>
    <mergeCell ref="B718:D719"/>
    <mergeCell ref="B720:E720"/>
    <mergeCell ref="B693:F693"/>
    <mergeCell ref="B694:F694"/>
    <mergeCell ref="B696:H696"/>
    <mergeCell ref="B697:F697"/>
    <mergeCell ref="B698:F698"/>
    <mergeCell ref="B699:F699"/>
    <mergeCell ref="B700:F700"/>
    <mergeCell ref="B702:H702"/>
    <mergeCell ref="B703:C706"/>
    <mergeCell ref="D703:F703"/>
    <mergeCell ref="D704:F704"/>
    <mergeCell ref="D705:F705"/>
    <mergeCell ref="D706:F706"/>
    <mergeCell ref="B682:F682"/>
    <mergeCell ref="B684:H684"/>
    <mergeCell ref="B685:F685"/>
    <mergeCell ref="B686:F686"/>
    <mergeCell ref="B687:F687"/>
    <mergeCell ref="B688:F688"/>
    <mergeCell ref="B689:F689"/>
    <mergeCell ref="B690:F690"/>
    <mergeCell ref="B692:H692"/>
    <mergeCell ref="B674:F674"/>
    <mergeCell ref="B675:F675"/>
    <mergeCell ref="B676:B681"/>
    <mergeCell ref="C676:F676"/>
    <mergeCell ref="C677:F677"/>
    <mergeCell ref="C678:F678"/>
    <mergeCell ref="C679:F679"/>
    <mergeCell ref="C680:F680"/>
    <mergeCell ref="C681:F681"/>
    <mergeCell ref="B663:F663"/>
    <mergeCell ref="B664:F664"/>
    <mergeCell ref="B665:F665"/>
    <mergeCell ref="B667:H667"/>
    <mergeCell ref="B668:F668"/>
    <mergeCell ref="B669:F669"/>
    <mergeCell ref="B670:B673"/>
    <mergeCell ref="C670:F670"/>
    <mergeCell ref="C671:F671"/>
    <mergeCell ref="C672:F672"/>
    <mergeCell ref="C673:F673"/>
    <mergeCell ref="D654:F654"/>
    <mergeCell ref="D655:F655"/>
    <mergeCell ref="D656:F656"/>
    <mergeCell ref="D657:F657"/>
    <mergeCell ref="D658:F658"/>
    <mergeCell ref="B659:F659"/>
    <mergeCell ref="B660:F660"/>
    <mergeCell ref="B661:F661"/>
    <mergeCell ref="B662:F662"/>
    <mergeCell ref="B633:H633"/>
    <mergeCell ref="B634:F634"/>
    <mergeCell ref="B635:F635"/>
    <mergeCell ref="B636:F636"/>
    <mergeCell ref="B637:B658"/>
    <mergeCell ref="C637:F637"/>
    <mergeCell ref="C638:C642"/>
    <mergeCell ref="D638:F638"/>
    <mergeCell ref="D639:F639"/>
    <mergeCell ref="D640:F640"/>
    <mergeCell ref="D641:F641"/>
    <mergeCell ref="D642:F642"/>
    <mergeCell ref="C643:F643"/>
    <mergeCell ref="C644:C658"/>
    <mergeCell ref="D644:F644"/>
    <mergeCell ref="D645:F645"/>
    <mergeCell ref="D646:F646"/>
    <mergeCell ref="D647:F647"/>
    <mergeCell ref="D648:F648"/>
    <mergeCell ref="D649:F649"/>
    <mergeCell ref="D650:F650"/>
    <mergeCell ref="D651:F651"/>
    <mergeCell ref="D652:F652"/>
    <mergeCell ref="D653:F653"/>
    <mergeCell ref="B625:H625"/>
    <mergeCell ref="B626:B628"/>
    <mergeCell ref="C626:D626"/>
    <mergeCell ref="E626:G626"/>
    <mergeCell ref="C627:D627"/>
    <mergeCell ref="E627:G627"/>
    <mergeCell ref="C628:D628"/>
    <mergeCell ref="E628:G628"/>
    <mergeCell ref="B630:D630"/>
    <mergeCell ref="B620:D620"/>
    <mergeCell ref="E620:H620"/>
    <mergeCell ref="B621:D621"/>
    <mergeCell ref="E621:H621"/>
    <mergeCell ref="B622:D622"/>
    <mergeCell ref="E622:H622"/>
    <mergeCell ref="B623:D623"/>
    <mergeCell ref="E623:H623"/>
    <mergeCell ref="B624:D624"/>
    <mergeCell ref="E624:H624"/>
    <mergeCell ref="B599:D600"/>
    <mergeCell ref="B601:D602"/>
    <mergeCell ref="F611:H611"/>
    <mergeCell ref="E612:H612"/>
    <mergeCell ref="B614:H614"/>
    <mergeCell ref="B616:H616"/>
    <mergeCell ref="B617:D617"/>
    <mergeCell ref="E617:H617"/>
    <mergeCell ref="B619:D619"/>
    <mergeCell ref="E619:H619"/>
    <mergeCell ref="B586:F586"/>
    <mergeCell ref="B587:D588"/>
    <mergeCell ref="B589:D590"/>
    <mergeCell ref="B591:E591"/>
    <mergeCell ref="B592:E592"/>
    <mergeCell ref="B593:E593"/>
    <mergeCell ref="B594:D595"/>
    <mergeCell ref="B596:D597"/>
    <mergeCell ref="B598:E598"/>
    <mergeCell ref="B571:F571"/>
    <mergeCell ref="B572:F572"/>
    <mergeCell ref="B574:H574"/>
    <mergeCell ref="B575:F575"/>
    <mergeCell ref="B576:F576"/>
    <mergeCell ref="B577:F577"/>
    <mergeCell ref="B578:F578"/>
    <mergeCell ref="B580:H580"/>
    <mergeCell ref="B581:C584"/>
    <mergeCell ref="D581:F581"/>
    <mergeCell ref="D582:F582"/>
    <mergeCell ref="D583:F583"/>
    <mergeCell ref="D584:F584"/>
    <mergeCell ref="B560:F560"/>
    <mergeCell ref="B562:H562"/>
    <mergeCell ref="B563:F563"/>
    <mergeCell ref="B564:F564"/>
    <mergeCell ref="B565:F565"/>
    <mergeCell ref="B566:F566"/>
    <mergeCell ref="B567:F567"/>
    <mergeCell ref="B568:F568"/>
    <mergeCell ref="B570:H570"/>
    <mergeCell ref="B552:F552"/>
    <mergeCell ref="B553:F553"/>
    <mergeCell ref="B554:B559"/>
    <mergeCell ref="C554:F554"/>
    <mergeCell ref="C555:F555"/>
    <mergeCell ref="C556:F556"/>
    <mergeCell ref="C557:F557"/>
    <mergeCell ref="C558:F558"/>
    <mergeCell ref="C559:F559"/>
    <mergeCell ref="B541:F541"/>
    <mergeCell ref="B542:F542"/>
    <mergeCell ref="B543:F543"/>
    <mergeCell ref="B545:H545"/>
    <mergeCell ref="B546:F546"/>
    <mergeCell ref="B547:F547"/>
    <mergeCell ref="B548:B551"/>
    <mergeCell ref="C548:F548"/>
    <mergeCell ref="C549:F549"/>
    <mergeCell ref="C550:F550"/>
    <mergeCell ref="C551:F551"/>
    <mergeCell ref="D532:F532"/>
    <mergeCell ref="D533:F533"/>
    <mergeCell ref="D534:F534"/>
    <mergeCell ref="D535:F535"/>
    <mergeCell ref="D536:F536"/>
    <mergeCell ref="B537:F537"/>
    <mergeCell ref="B538:F538"/>
    <mergeCell ref="B539:F539"/>
    <mergeCell ref="B540:F540"/>
    <mergeCell ref="B511:H511"/>
    <mergeCell ref="B512:F512"/>
    <mergeCell ref="B513:F513"/>
    <mergeCell ref="B514:F514"/>
    <mergeCell ref="B515:B536"/>
    <mergeCell ref="C515:F515"/>
    <mergeCell ref="C516:C520"/>
    <mergeCell ref="D516:F516"/>
    <mergeCell ref="D517:F517"/>
    <mergeCell ref="D518:F518"/>
    <mergeCell ref="D519:F519"/>
    <mergeCell ref="D520:F520"/>
    <mergeCell ref="C521:F521"/>
    <mergeCell ref="C522:C536"/>
    <mergeCell ref="D522:F522"/>
    <mergeCell ref="D523:F523"/>
    <mergeCell ref="D524:F524"/>
    <mergeCell ref="D525:F525"/>
    <mergeCell ref="D526:F526"/>
    <mergeCell ref="D527:F527"/>
    <mergeCell ref="D528:F528"/>
    <mergeCell ref="D529:F529"/>
    <mergeCell ref="D530:F530"/>
    <mergeCell ref="D531:F531"/>
    <mergeCell ref="B503:H503"/>
    <mergeCell ref="B504:B506"/>
    <mergeCell ref="C504:D504"/>
    <mergeCell ref="E504:G504"/>
    <mergeCell ref="C505:D505"/>
    <mergeCell ref="E505:G505"/>
    <mergeCell ref="C506:D506"/>
    <mergeCell ref="E506:G506"/>
    <mergeCell ref="B508:D508"/>
    <mergeCell ref="B498:D498"/>
    <mergeCell ref="E498:H498"/>
    <mergeCell ref="B499:D499"/>
    <mergeCell ref="E499:H499"/>
    <mergeCell ref="B500:D500"/>
    <mergeCell ref="E500:H500"/>
    <mergeCell ref="B501:D501"/>
    <mergeCell ref="E501:H501"/>
    <mergeCell ref="B502:D502"/>
    <mergeCell ref="E502:H502"/>
    <mergeCell ref="B477:D478"/>
    <mergeCell ref="B479:D480"/>
    <mergeCell ref="F489:H489"/>
    <mergeCell ref="E490:H490"/>
    <mergeCell ref="B492:H492"/>
    <mergeCell ref="B494:H494"/>
    <mergeCell ref="B495:D495"/>
    <mergeCell ref="E495:H495"/>
    <mergeCell ref="B497:D497"/>
    <mergeCell ref="E497:H497"/>
    <mergeCell ref="B464:F464"/>
    <mergeCell ref="B465:D466"/>
    <mergeCell ref="B467:D468"/>
    <mergeCell ref="B469:E469"/>
    <mergeCell ref="B470:E470"/>
    <mergeCell ref="B471:E471"/>
    <mergeCell ref="B472:D473"/>
    <mergeCell ref="B474:D475"/>
    <mergeCell ref="B476:E476"/>
    <mergeCell ref="B449:F449"/>
    <mergeCell ref="B450:F450"/>
    <mergeCell ref="B452:H452"/>
    <mergeCell ref="B453:F453"/>
    <mergeCell ref="B454:F454"/>
    <mergeCell ref="B455:F455"/>
    <mergeCell ref="B456:F456"/>
    <mergeCell ref="B458:H458"/>
    <mergeCell ref="B459:C462"/>
    <mergeCell ref="D459:F459"/>
    <mergeCell ref="D460:F460"/>
    <mergeCell ref="D461:F461"/>
    <mergeCell ref="D462:F462"/>
    <mergeCell ref="B438:F438"/>
    <mergeCell ref="B440:H440"/>
    <mergeCell ref="B441:F441"/>
    <mergeCell ref="B442:F442"/>
    <mergeCell ref="B443:F443"/>
    <mergeCell ref="B444:F444"/>
    <mergeCell ref="B445:F445"/>
    <mergeCell ref="B446:F446"/>
    <mergeCell ref="B448:H448"/>
    <mergeCell ref="B430:F430"/>
    <mergeCell ref="B431:F431"/>
    <mergeCell ref="B432:B437"/>
    <mergeCell ref="C432:F432"/>
    <mergeCell ref="C433:F433"/>
    <mergeCell ref="C434:F434"/>
    <mergeCell ref="C435:F435"/>
    <mergeCell ref="C436:F436"/>
    <mergeCell ref="C437:F437"/>
    <mergeCell ref="B419:F419"/>
    <mergeCell ref="B420:F420"/>
    <mergeCell ref="B421:F421"/>
    <mergeCell ref="B423:H423"/>
    <mergeCell ref="B424:F424"/>
    <mergeCell ref="B425:F425"/>
    <mergeCell ref="B426:B429"/>
    <mergeCell ref="C426:F426"/>
    <mergeCell ref="C427:F427"/>
    <mergeCell ref="C428:F428"/>
    <mergeCell ref="C429:F429"/>
    <mergeCell ref="D410:F410"/>
    <mergeCell ref="D411:F411"/>
    <mergeCell ref="D412:F412"/>
    <mergeCell ref="D413:F413"/>
    <mergeCell ref="D414:F414"/>
    <mergeCell ref="B415:F415"/>
    <mergeCell ref="B416:F416"/>
    <mergeCell ref="B417:F417"/>
    <mergeCell ref="B418:F418"/>
    <mergeCell ref="B389:H389"/>
    <mergeCell ref="B390:F390"/>
    <mergeCell ref="B391:F391"/>
    <mergeCell ref="B392:F392"/>
    <mergeCell ref="B393:B414"/>
    <mergeCell ref="C393:F393"/>
    <mergeCell ref="C394:C398"/>
    <mergeCell ref="D394:F394"/>
    <mergeCell ref="D395:F395"/>
    <mergeCell ref="D396:F396"/>
    <mergeCell ref="D397:F397"/>
    <mergeCell ref="D398:F398"/>
    <mergeCell ref="C399:F399"/>
    <mergeCell ref="C400:C414"/>
    <mergeCell ref="D400:F400"/>
    <mergeCell ref="D401:F401"/>
    <mergeCell ref="D402:F402"/>
    <mergeCell ref="D403:F403"/>
    <mergeCell ref="D404:F404"/>
    <mergeCell ref="D405:F405"/>
    <mergeCell ref="D406:F406"/>
    <mergeCell ref="D407:F407"/>
    <mergeCell ref="D408:F408"/>
    <mergeCell ref="D409:F409"/>
    <mergeCell ref="B381:H381"/>
    <mergeCell ref="B382:B384"/>
    <mergeCell ref="C382:D382"/>
    <mergeCell ref="E382:G382"/>
    <mergeCell ref="C383:D383"/>
    <mergeCell ref="E383:G383"/>
    <mergeCell ref="C384:D384"/>
    <mergeCell ref="E384:G384"/>
    <mergeCell ref="B386:D386"/>
    <mergeCell ref="B376:D376"/>
    <mergeCell ref="E376:H376"/>
    <mergeCell ref="B377:D377"/>
    <mergeCell ref="E377:H377"/>
    <mergeCell ref="B378:D378"/>
    <mergeCell ref="E378:H378"/>
    <mergeCell ref="B379:D379"/>
    <mergeCell ref="E379:H379"/>
    <mergeCell ref="B380:D380"/>
    <mergeCell ref="E380:H380"/>
    <mergeCell ref="B355:D356"/>
    <mergeCell ref="B357:D358"/>
    <mergeCell ref="F367:H367"/>
    <mergeCell ref="E368:H368"/>
    <mergeCell ref="B370:H370"/>
    <mergeCell ref="B372:H372"/>
    <mergeCell ref="B373:D373"/>
    <mergeCell ref="E373:H373"/>
    <mergeCell ref="B375:D375"/>
    <mergeCell ref="E375:H375"/>
    <mergeCell ref="B342:F342"/>
    <mergeCell ref="B343:D344"/>
    <mergeCell ref="B345:D346"/>
    <mergeCell ref="B347:E347"/>
    <mergeCell ref="B348:E348"/>
    <mergeCell ref="B349:E349"/>
    <mergeCell ref="B350:D351"/>
    <mergeCell ref="B352:D353"/>
    <mergeCell ref="B354:E354"/>
    <mergeCell ref="B327:F327"/>
    <mergeCell ref="B328:F328"/>
    <mergeCell ref="B330:H330"/>
    <mergeCell ref="B331:F331"/>
    <mergeCell ref="B332:F332"/>
    <mergeCell ref="B333:F333"/>
    <mergeCell ref="B334:F334"/>
    <mergeCell ref="B336:H336"/>
    <mergeCell ref="B337:C340"/>
    <mergeCell ref="D337:F337"/>
    <mergeCell ref="D338:F338"/>
    <mergeCell ref="D339:F339"/>
    <mergeCell ref="D340:F340"/>
    <mergeCell ref="B316:F316"/>
    <mergeCell ref="B318:H318"/>
    <mergeCell ref="B319:F319"/>
    <mergeCell ref="B320:F320"/>
    <mergeCell ref="B321:F321"/>
    <mergeCell ref="B322:F322"/>
    <mergeCell ref="B323:F323"/>
    <mergeCell ref="B324:F324"/>
    <mergeCell ref="B326:H326"/>
    <mergeCell ref="B308:F308"/>
    <mergeCell ref="B309:F309"/>
    <mergeCell ref="B310:B315"/>
    <mergeCell ref="C310:F310"/>
    <mergeCell ref="C311:F311"/>
    <mergeCell ref="C312:F312"/>
    <mergeCell ref="C313:F313"/>
    <mergeCell ref="C314:F314"/>
    <mergeCell ref="C315:F315"/>
    <mergeCell ref="B297:F297"/>
    <mergeCell ref="B298:F298"/>
    <mergeCell ref="B299:F299"/>
    <mergeCell ref="B301:H301"/>
    <mergeCell ref="B302:F302"/>
    <mergeCell ref="B303:F303"/>
    <mergeCell ref="B304:B307"/>
    <mergeCell ref="C304:F304"/>
    <mergeCell ref="C305:F305"/>
    <mergeCell ref="C306:F306"/>
    <mergeCell ref="C307:F307"/>
    <mergeCell ref="D288:F288"/>
    <mergeCell ref="D289:F289"/>
    <mergeCell ref="D290:F290"/>
    <mergeCell ref="D291:F291"/>
    <mergeCell ref="D292:F292"/>
    <mergeCell ref="B293:F293"/>
    <mergeCell ref="B294:F294"/>
    <mergeCell ref="B295:F295"/>
    <mergeCell ref="B296:F296"/>
    <mergeCell ref="B267:H267"/>
    <mergeCell ref="B268:F268"/>
    <mergeCell ref="B269:F269"/>
    <mergeCell ref="B270:F270"/>
    <mergeCell ref="B271:B292"/>
    <mergeCell ref="C271:F271"/>
    <mergeCell ref="C272:C276"/>
    <mergeCell ref="D272:F272"/>
    <mergeCell ref="D273:F273"/>
    <mergeCell ref="D274:F274"/>
    <mergeCell ref="D275:F275"/>
    <mergeCell ref="D276:F276"/>
    <mergeCell ref="C277:F277"/>
    <mergeCell ref="C278:C292"/>
    <mergeCell ref="D278:F278"/>
    <mergeCell ref="D279:F279"/>
    <mergeCell ref="D280:F280"/>
    <mergeCell ref="D281:F281"/>
    <mergeCell ref="D282:F282"/>
    <mergeCell ref="D283:F283"/>
    <mergeCell ref="D284:F284"/>
    <mergeCell ref="D285:F285"/>
    <mergeCell ref="D286:F286"/>
    <mergeCell ref="D287:F287"/>
    <mergeCell ref="B259:H259"/>
    <mergeCell ref="B260:B262"/>
    <mergeCell ref="C260:D260"/>
    <mergeCell ref="E260:G260"/>
    <mergeCell ref="C261:D261"/>
    <mergeCell ref="E261:G261"/>
    <mergeCell ref="C262:D262"/>
    <mergeCell ref="E262:G262"/>
    <mergeCell ref="B264:D264"/>
    <mergeCell ref="B254:D254"/>
    <mergeCell ref="E254:H254"/>
    <mergeCell ref="B255:D255"/>
    <mergeCell ref="E255:H255"/>
    <mergeCell ref="B256:D256"/>
    <mergeCell ref="E256:H256"/>
    <mergeCell ref="B257:D257"/>
    <mergeCell ref="E257:H257"/>
    <mergeCell ref="B258:D258"/>
    <mergeCell ref="E258:H258"/>
    <mergeCell ref="B233:D234"/>
    <mergeCell ref="B235:D236"/>
    <mergeCell ref="F245:H245"/>
    <mergeCell ref="E246:H246"/>
    <mergeCell ref="B248:H248"/>
    <mergeCell ref="B250:H250"/>
    <mergeCell ref="B251:D251"/>
    <mergeCell ref="E251:H251"/>
    <mergeCell ref="B253:D253"/>
    <mergeCell ref="E253:H253"/>
    <mergeCell ref="B220:F220"/>
    <mergeCell ref="B221:D222"/>
    <mergeCell ref="B223:D224"/>
    <mergeCell ref="B225:E225"/>
    <mergeCell ref="B226:E226"/>
    <mergeCell ref="B227:E227"/>
    <mergeCell ref="B228:D229"/>
    <mergeCell ref="B230:D231"/>
    <mergeCell ref="B232:E232"/>
    <mergeCell ref="B205:F205"/>
    <mergeCell ref="B206:F206"/>
    <mergeCell ref="B208:H208"/>
    <mergeCell ref="B209:F209"/>
    <mergeCell ref="B210:F210"/>
    <mergeCell ref="B211:F211"/>
    <mergeCell ref="B212:F212"/>
    <mergeCell ref="B214:H214"/>
    <mergeCell ref="B215:C218"/>
    <mergeCell ref="D215:F215"/>
    <mergeCell ref="D216:F216"/>
    <mergeCell ref="D217:F217"/>
    <mergeCell ref="D218:F218"/>
    <mergeCell ref="B194:F194"/>
    <mergeCell ref="B196:H196"/>
    <mergeCell ref="B197:F197"/>
    <mergeCell ref="B198:F198"/>
    <mergeCell ref="B199:F199"/>
    <mergeCell ref="B200:F200"/>
    <mergeCell ref="B201:F201"/>
    <mergeCell ref="B202:F202"/>
    <mergeCell ref="B204:H204"/>
    <mergeCell ref="B186:F186"/>
    <mergeCell ref="B187:F187"/>
    <mergeCell ref="B188:B193"/>
    <mergeCell ref="C188:F188"/>
    <mergeCell ref="C189:F189"/>
    <mergeCell ref="C190:F190"/>
    <mergeCell ref="C191:F191"/>
    <mergeCell ref="C192:F192"/>
    <mergeCell ref="C193:F193"/>
    <mergeCell ref="B176:F176"/>
    <mergeCell ref="B177:F177"/>
    <mergeCell ref="B179:H179"/>
    <mergeCell ref="B180:F180"/>
    <mergeCell ref="B181:F181"/>
    <mergeCell ref="B182:B185"/>
    <mergeCell ref="C182:F182"/>
    <mergeCell ref="C183:F183"/>
    <mergeCell ref="C184:F184"/>
    <mergeCell ref="C185:F185"/>
    <mergeCell ref="D167:F167"/>
    <mergeCell ref="D168:F168"/>
    <mergeCell ref="D169:F169"/>
    <mergeCell ref="D170:F170"/>
    <mergeCell ref="B171:F171"/>
    <mergeCell ref="B172:F172"/>
    <mergeCell ref="B173:F173"/>
    <mergeCell ref="B174:F174"/>
    <mergeCell ref="B175:F175"/>
    <mergeCell ref="B146:F146"/>
    <mergeCell ref="B147:F147"/>
    <mergeCell ref="B148:F148"/>
    <mergeCell ref="B149:B170"/>
    <mergeCell ref="C149:F149"/>
    <mergeCell ref="C150:C154"/>
    <mergeCell ref="D150:F150"/>
    <mergeCell ref="D151:F151"/>
    <mergeCell ref="D152:F152"/>
    <mergeCell ref="D153:F153"/>
    <mergeCell ref="D154:F154"/>
    <mergeCell ref="C155:F155"/>
    <mergeCell ref="C156:C170"/>
    <mergeCell ref="D156:F156"/>
    <mergeCell ref="D157:F157"/>
    <mergeCell ref="D158:F158"/>
    <mergeCell ref="D159:F159"/>
    <mergeCell ref="D160:F160"/>
    <mergeCell ref="D161:F161"/>
    <mergeCell ref="D162:F162"/>
    <mergeCell ref="D163:F163"/>
    <mergeCell ref="D164:F164"/>
    <mergeCell ref="D165:F165"/>
    <mergeCell ref="D166:F166"/>
    <mergeCell ref="B138:B140"/>
    <mergeCell ref="C138:D138"/>
    <mergeCell ref="E138:G138"/>
    <mergeCell ref="C139:D139"/>
    <mergeCell ref="E139:G139"/>
    <mergeCell ref="C140:D140"/>
    <mergeCell ref="E140:G140"/>
    <mergeCell ref="B142:D142"/>
    <mergeCell ref="B145:H145"/>
    <mergeCell ref="B133:D133"/>
    <mergeCell ref="E133:H133"/>
    <mergeCell ref="B134:D134"/>
    <mergeCell ref="E134:H134"/>
    <mergeCell ref="B135:D135"/>
    <mergeCell ref="E135:H135"/>
    <mergeCell ref="B136:D136"/>
    <mergeCell ref="E136:H136"/>
    <mergeCell ref="B137:H137"/>
    <mergeCell ref="B132:D132"/>
    <mergeCell ref="E132:H132"/>
    <mergeCell ref="F1:H1"/>
    <mergeCell ref="M1:N1"/>
    <mergeCell ref="O1:P1"/>
    <mergeCell ref="E2:H2"/>
    <mergeCell ref="B4:H4"/>
    <mergeCell ref="B6:H6"/>
    <mergeCell ref="B11:D11"/>
    <mergeCell ref="E11:H11"/>
    <mergeCell ref="B12:D12"/>
    <mergeCell ref="E12:H12"/>
    <mergeCell ref="B13:D13"/>
    <mergeCell ref="E13:H13"/>
    <mergeCell ref="B7:D7"/>
    <mergeCell ref="E7:H7"/>
    <mergeCell ref="B9:D9"/>
    <mergeCell ref="E9:H9"/>
    <mergeCell ref="B10:D10"/>
    <mergeCell ref="E10:H10"/>
    <mergeCell ref="B14:D14"/>
    <mergeCell ref="E14:H14"/>
    <mergeCell ref="B15:H15"/>
    <mergeCell ref="B16:B18"/>
    <mergeCell ref="C16:D16"/>
    <mergeCell ref="E16:G16"/>
    <mergeCell ref="C17:D17"/>
    <mergeCell ref="E17:G17"/>
    <mergeCell ref="C18:D18"/>
    <mergeCell ref="E18:G18"/>
    <mergeCell ref="B20:D20"/>
    <mergeCell ref="B23:H23"/>
    <mergeCell ref="B24:F24"/>
    <mergeCell ref="B25:F25"/>
    <mergeCell ref="B26:F26"/>
    <mergeCell ref="B27:B48"/>
    <mergeCell ref="C27:F27"/>
    <mergeCell ref="C28:C32"/>
    <mergeCell ref="D28:F28"/>
    <mergeCell ref="D29:F29"/>
    <mergeCell ref="D30:F30"/>
    <mergeCell ref="D31:F31"/>
    <mergeCell ref="D32:F32"/>
    <mergeCell ref="C33:F33"/>
    <mergeCell ref="C34:C48"/>
    <mergeCell ref="D34:F34"/>
    <mergeCell ref="D35:F35"/>
    <mergeCell ref="D36:F36"/>
    <mergeCell ref="D37:F37"/>
    <mergeCell ref="D38:F38"/>
    <mergeCell ref="D45:F45"/>
    <mergeCell ref="D46:F46"/>
    <mergeCell ref="D47:F47"/>
    <mergeCell ref="D48:F48"/>
    <mergeCell ref="B49:F49"/>
    <mergeCell ref="B50:F50"/>
    <mergeCell ref="D39:F39"/>
    <mergeCell ref="D40:F40"/>
    <mergeCell ref="D41:F41"/>
    <mergeCell ref="D42:F42"/>
    <mergeCell ref="D43:F43"/>
    <mergeCell ref="D44:F44"/>
    <mergeCell ref="B58:F58"/>
    <mergeCell ref="B59:F59"/>
    <mergeCell ref="B60:B63"/>
    <mergeCell ref="C60:F60"/>
    <mergeCell ref="C61:F61"/>
    <mergeCell ref="C62:F62"/>
    <mergeCell ref="C63:F63"/>
    <mergeCell ref="B51:F51"/>
    <mergeCell ref="B52:F52"/>
    <mergeCell ref="B53:F53"/>
    <mergeCell ref="B54:F54"/>
    <mergeCell ref="B55:F55"/>
    <mergeCell ref="B57:H57"/>
    <mergeCell ref="B64:F64"/>
    <mergeCell ref="B65:F65"/>
    <mergeCell ref="B66:B71"/>
    <mergeCell ref="C66:F66"/>
    <mergeCell ref="C67:F67"/>
    <mergeCell ref="C68:F68"/>
    <mergeCell ref="C69:F69"/>
    <mergeCell ref="C70:F70"/>
    <mergeCell ref="C71:F71"/>
    <mergeCell ref="B79:F79"/>
    <mergeCell ref="B80:F80"/>
    <mergeCell ref="B82:H82"/>
    <mergeCell ref="B83:F83"/>
    <mergeCell ref="B84:F84"/>
    <mergeCell ref="B86:H86"/>
    <mergeCell ref="B72:F72"/>
    <mergeCell ref="B74:H74"/>
    <mergeCell ref="B75:F75"/>
    <mergeCell ref="B76:F76"/>
    <mergeCell ref="B77:F77"/>
    <mergeCell ref="B78:F78"/>
    <mergeCell ref="B130:D130"/>
    <mergeCell ref="E130:H130"/>
    <mergeCell ref="B87:F87"/>
    <mergeCell ref="B88:F88"/>
    <mergeCell ref="B89:F89"/>
    <mergeCell ref="B90:F90"/>
    <mergeCell ref="B92:H92"/>
    <mergeCell ref="B93:C96"/>
    <mergeCell ref="D93:F93"/>
    <mergeCell ref="D94:F94"/>
    <mergeCell ref="D95:F95"/>
    <mergeCell ref="D96:F96"/>
    <mergeCell ref="B106:D107"/>
    <mergeCell ref="B108:D109"/>
    <mergeCell ref="B110:E110"/>
    <mergeCell ref="B111:D112"/>
    <mergeCell ref="B113:D114"/>
    <mergeCell ref="B98:F98"/>
    <mergeCell ref="B99:D100"/>
    <mergeCell ref="B101:D102"/>
    <mergeCell ref="B103:E103"/>
    <mergeCell ref="B104:E104"/>
    <mergeCell ref="B105:E105"/>
    <mergeCell ref="F123:H123"/>
    <mergeCell ref="E124:H124"/>
    <mergeCell ref="B126:H126"/>
    <mergeCell ref="B128:H128"/>
    <mergeCell ref="B129:D129"/>
    <mergeCell ref="E129:H129"/>
  </mergeCells>
  <pageMargins left="0.7" right="0.7" top="0.75" bottom="0.75" header="0.3" footer="0.3"/>
  <pageSetup scale="63" fitToHeight="0" orientation="portrait" horizontalDpi="0" verticalDpi="0" r:id="rId1"/>
  <ignoredErrors>
    <ignoredError sqref="G25:G52 B58:H81 B87:H96 G147:G177 B180:H202 G209:G211 G269:G297 G302:G316 G319:G324 B331:H340" numberStoredAsText="1"/>
  </ignoredErrors>
  <drawing r:id="rId2"/>
</worksheet>
</file>

<file path=xl/worksheets/sheet27.xml><?xml version="1.0" encoding="utf-8"?>
<worksheet xmlns="http://schemas.openxmlformats.org/spreadsheetml/2006/main" xmlns:r="http://schemas.openxmlformats.org/officeDocument/2006/relationships">
  <sheetPr>
    <pageSetUpPr fitToPage="1"/>
  </sheetPr>
  <dimension ref="A1:P32"/>
  <sheetViews>
    <sheetView topLeftCell="A12" workbookViewId="0">
      <selection activeCell="M21" sqref="M21"/>
    </sheetView>
  </sheetViews>
  <sheetFormatPr defaultRowHeight="15"/>
  <cols>
    <col min="1" max="1" width="7.7109375" style="240" customWidth="1"/>
    <col min="2" max="2" width="5.5703125" style="240" customWidth="1"/>
    <col min="3" max="3" width="9.140625" style="240" customWidth="1"/>
    <col min="4" max="10" width="4" style="240" customWidth="1"/>
    <col min="11" max="11" width="6.42578125" style="240" customWidth="1"/>
    <col min="12" max="12" width="3.85546875" style="240" customWidth="1"/>
    <col min="13" max="13" width="9.140625" style="240"/>
    <col min="14" max="14" width="17" style="240" customWidth="1"/>
    <col min="15" max="15" width="4.5703125" style="240" customWidth="1"/>
    <col min="16" max="16384" width="9.140625" style="240"/>
  </cols>
  <sheetData>
    <row r="1" spans="1:14">
      <c r="M1" s="182" t="s">
        <v>1301</v>
      </c>
      <c r="N1" s="182"/>
    </row>
    <row r="2" spans="1:14">
      <c r="M2" s="182" t="s">
        <v>1302</v>
      </c>
      <c r="N2" s="182"/>
    </row>
    <row r="3" spans="1:14">
      <c r="M3" s="127" t="s">
        <v>1303</v>
      </c>
      <c r="N3" s="127"/>
    </row>
    <row r="4" spans="1:14" s="241" customFormat="1" ht="19.5" customHeight="1">
      <c r="A4" s="241" t="s">
        <v>1304</v>
      </c>
      <c r="D4" s="242" t="str">
        <f>+[3]Company!C7</f>
        <v>|_2_|_0_|_1_|_8_|_9_|_4_|_2_|</v>
      </c>
    </row>
    <row r="5" spans="1:14" s="241" customFormat="1" ht="19.5" customHeight="1">
      <c r="A5" s="241" t="s">
        <v>1305</v>
      </c>
      <c r="B5" s="241" t="str">
        <f>CONCATENATE([3]Company!C13,", ",[3]Company!C12,", ",[3]Company!C11,", ",[3]Company!C10)</f>
        <v>Шинэст ХК -н өөрийн байр , Эв нэгдэлийн гудамж, 3-р хороо , Хан уул дүүрэг</v>
      </c>
      <c r="D5" s="242"/>
    </row>
    <row r="6" spans="1:14" ht="21" customHeight="1">
      <c r="A6" s="240" t="s">
        <v>1306</v>
      </c>
    </row>
    <row r="7" spans="1:14" s="245" customFormat="1" ht="24" customHeight="1">
      <c r="A7" s="243" t="str">
        <f>CONCATENATE("Утас: ",[3]Company!C15,", ",[3]Company!C16,", ","                            ","Факс: ",[3]Company!C17)</f>
        <v>Утас: 70114414, 99119765 99066093 86001044,                             Факс: 70114404</v>
      </c>
      <c r="B7" s="243"/>
      <c r="C7" s="244"/>
      <c r="D7" s="244"/>
    </row>
    <row r="8" spans="1:14">
      <c r="A8" s="240" t="s">
        <v>1307</v>
      </c>
    </row>
    <row r="11" spans="1:14" ht="98.25" customHeight="1"/>
    <row r="12" spans="1:14" ht="33.75" customHeight="1">
      <c r="A12" s="246" t="s">
        <v>1211</v>
      </c>
      <c r="C12" s="247"/>
      <c r="D12" s="248"/>
      <c r="E12" s="247"/>
      <c r="F12" s="247"/>
      <c r="G12" s="247"/>
      <c r="H12" s="248"/>
      <c r="J12" s="249" t="str">
        <f>+Table133[[#Headers],[ШИНЭСТ ХК]]</f>
        <v>ШИНЭСТ ХК</v>
      </c>
      <c r="L12" s="247"/>
      <c r="M12" s="250"/>
    </row>
    <row r="13" spans="1:14" ht="27">
      <c r="C13" s="251"/>
      <c r="D13" s="1104">
        <v>2017</v>
      </c>
      <c r="E13" s="1104"/>
      <c r="F13" s="1104"/>
      <c r="G13" s="252" t="s">
        <v>1308</v>
      </c>
      <c r="I13" s="252"/>
      <c r="J13" s="253">
        <v>4</v>
      </c>
      <c r="K13" s="254" t="s">
        <v>1309</v>
      </c>
      <c r="M13" s="251"/>
    </row>
    <row r="14" spans="1:14" ht="25.5">
      <c r="C14" s="251"/>
      <c r="D14" s="252"/>
      <c r="E14" s="255" t="s">
        <v>1310</v>
      </c>
      <c r="F14" s="252"/>
      <c r="G14" s="252"/>
      <c r="H14" s="252"/>
      <c r="I14" s="252"/>
      <c r="J14" s="252"/>
      <c r="K14" s="252"/>
      <c r="L14" s="251"/>
      <c r="M14" s="251"/>
    </row>
    <row r="25" spans="1:16">
      <c r="P25" s="256"/>
    </row>
    <row r="29" spans="1:16" ht="31.5" customHeight="1">
      <c r="A29" s="1105" t="s">
        <v>1311</v>
      </c>
      <c r="B29" s="1106"/>
      <c r="C29" s="1106"/>
      <c r="D29" s="1106"/>
      <c r="E29" s="1106"/>
      <c r="F29" s="1107"/>
      <c r="G29" s="1108" t="s">
        <v>1312</v>
      </c>
      <c r="H29" s="1109"/>
      <c r="I29" s="1109"/>
      <c r="J29" s="1109"/>
      <c r="K29" s="1110"/>
      <c r="L29" s="1108" t="s">
        <v>1313</v>
      </c>
      <c r="M29" s="1109"/>
      <c r="N29" s="1110"/>
    </row>
    <row r="30" spans="1:16" ht="22.5" customHeight="1">
      <c r="A30" s="1111"/>
      <c r="B30" s="1112"/>
      <c r="C30" s="1112"/>
      <c r="D30" s="1112"/>
      <c r="E30" s="1112"/>
      <c r="F30" s="1113"/>
      <c r="G30" s="1114"/>
      <c r="H30" s="1115"/>
      <c r="I30" s="1115"/>
      <c r="J30" s="1115"/>
      <c r="K30" s="1116"/>
      <c r="L30" s="1114"/>
      <c r="M30" s="1115"/>
      <c r="N30" s="1116"/>
    </row>
    <row r="31" spans="1:16" ht="22.5" customHeight="1">
      <c r="A31" s="1111"/>
      <c r="B31" s="1112"/>
      <c r="C31" s="1112"/>
      <c r="D31" s="1112"/>
      <c r="E31" s="1112"/>
      <c r="F31" s="1113"/>
      <c r="G31" s="1111"/>
      <c r="H31" s="1112"/>
      <c r="I31" s="1112"/>
      <c r="J31" s="1112"/>
      <c r="K31" s="1113"/>
      <c r="L31" s="1111"/>
      <c r="M31" s="1112"/>
      <c r="N31" s="1113"/>
    </row>
    <row r="32" spans="1:16" ht="22.5" customHeight="1">
      <c r="A32" s="1111"/>
      <c r="B32" s="1112"/>
      <c r="C32" s="1112"/>
      <c r="D32" s="1112"/>
      <c r="E32" s="1112"/>
      <c r="F32" s="1113"/>
      <c r="G32" s="1111"/>
      <c r="H32" s="1112"/>
      <c r="I32" s="1112"/>
      <c r="J32" s="1112"/>
      <c r="K32" s="1113"/>
      <c r="L32" s="1111"/>
      <c r="M32" s="1112"/>
      <c r="N32" s="1113"/>
    </row>
  </sheetData>
  <sheetProtection password="DFC0" sheet="1" objects="1" scenarios="1"/>
  <mergeCells count="13">
    <mergeCell ref="A31:F31"/>
    <mergeCell ref="G31:K31"/>
    <mergeCell ref="L31:N31"/>
    <mergeCell ref="A32:F32"/>
    <mergeCell ref="G32:K32"/>
    <mergeCell ref="L32:N32"/>
    <mergeCell ref="D13:F13"/>
    <mergeCell ref="A29:F29"/>
    <mergeCell ref="G29:K29"/>
    <mergeCell ref="L29:N29"/>
    <mergeCell ref="A30:F30"/>
    <mergeCell ref="G30:K30"/>
    <mergeCell ref="L30:N30"/>
  </mergeCells>
  <pageMargins left="0.7" right="0.7" top="0.75" bottom="0.75" header="0.3" footer="0.3"/>
  <pageSetup scale="89" orientation="portrait" horizontalDpi="0" verticalDpi="0" r:id="rId1"/>
</worksheet>
</file>

<file path=xl/worksheets/sheet28.xml><?xml version="1.0" encoding="utf-8"?>
<worksheet xmlns="http://schemas.openxmlformats.org/spreadsheetml/2006/main" xmlns:r="http://schemas.openxmlformats.org/officeDocument/2006/relationships">
  <sheetPr>
    <pageSetUpPr fitToPage="1"/>
  </sheetPr>
  <dimension ref="A2:K39"/>
  <sheetViews>
    <sheetView topLeftCell="A11" workbookViewId="0">
      <selection activeCell="J24" sqref="J24"/>
    </sheetView>
  </sheetViews>
  <sheetFormatPr defaultRowHeight="18" customHeight="1"/>
  <cols>
    <col min="1" max="1" width="9.140625" style="1"/>
    <col min="2" max="2" width="15.140625" style="1" customWidth="1"/>
    <col min="3" max="3" width="9.42578125" style="1" customWidth="1"/>
    <col min="4" max="4" width="5.7109375" style="1" customWidth="1"/>
    <col min="5" max="5" width="4.85546875" style="1" customWidth="1"/>
    <col min="6" max="6" width="7.5703125" style="1" customWidth="1"/>
    <col min="7" max="7" width="5.140625" style="1" customWidth="1"/>
    <col min="8" max="9" width="9.140625" style="1"/>
    <col min="10" max="10" width="2.7109375" style="1" customWidth="1"/>
    <col min="11" max="11" width="12.28515625" style="1" customWidth="1"/>
    <col min="12" max="16384" width="9.140625" style="1"/>
  </cols>
  <sheetData>
    <row r="2" spans="1:11" s="261" customFormat="1" ht="18" customHeight="1">
      <c r="C2" s="1117" t="str">
        <f>+CONCATENATE('company '!C6,"-ний ")</f>
        <v xml:space="preserve">ШИНЭСТ ХК-ний </v>
      </c>
      <c r="D2" s="1117"/>
      <c r="E2" s="1117"/>
      <c r="F2" s="1117"/>
      <c r="G2" s="1117"/>
      <c r="H2" s="1117"/>
      <c r="I2" s="896"/>
    </row>
    <row r="3" spans="1:11" s="261" customFormat="1" ht="18" customHeight="1">
      <c r="C3" s="261">
        <v>2017</v>
      </c>
      <c r="D3" s="261" t="s">
        <v>1314</v>
      </c>
    </row>
    <row r="4" spans="1:11" s="261" customFormat="1" ht="18" customHeight="1">
      <c r="C4" s="261" t="s">
        <v>1315</v>
      </c>
    </row>
    <row r="6" spans="1:11" s="2" customFormat="1" ht="18" customHeight="1">
      <c r="E6" s="897" t="str">
        <f>+'company '!C22</f>
        <v>2017 оны 12 сарын 31</v>
      </c>
      <c r="F6" s="898"/>
      <c r="G6" s="897"/>
    </row>
    <row r="8" spans="1:11" ht="18" customHeight="1">
      <c r="A8" s="1" t="s">
        <v>1316</v>
      </c>
      <c r="B8" s="899" t="str">
        <f>+'company '!C26</f>
        <v>Дашдэмбэрэл</v>
      </c>
      <c r="C8" s="1" t="s">
        <v>1317</v>
      </c>
      <c r="D8" s="1118" t="str">
        <f>+'company '!C27</f>
        <v>Бахдамдэмбэрэл</v>
      </c>
      <c r="E8" s="1118"/>
      <c r="F8" s="1118"/>
      <c r="G8" s="1" t="s">
        <v>1318</v>
      </c>
      <c r="K8" s="899" t="str">
        <f>+'company '!C29</f>
        <v>Батсуурь</v>
      </c>
    </row>
    <row r="9" spans="1:11" ht="18" customHeight="1">
      <c r="A9" s="1" t="s">
        <v>1317</v>
      </c>
      <c r="B9" s="900" t="str">
        <f>+'company '!C30</f>
        <v>Түмэндэлгэр</v>
      </c>
      <c r="C9" s="1" t="str">
        <f>CONCATENATE("бид манай аж ахуйн нэгжийн  ",'company '!C22,"-ийн")</f>
        <v>бид манай аж ахуйн нэгжийн  2017 оны 12 сарын 31-ийн</v>
      </c>
      <c r="D9" s="901"/>
      <c r="E9" s="901"/>
      <c r="F9" s="901"/>
      <c r="I9" s="2"/>
    </row>
    <row r="10" spans="1:11" ht="18" customHeight="1">
      <c r="A10" s="1" t="s">
        <v>1319</v>
      </c>
    </row>
    <row r="11" spans="1:11" ht="18" customHeight="1">
      <c r="A11" s="1" t="s">
        <v>1320</v>
      </c>
    </row>
    <row r="12" spans="1:11" ht="18" customHeight="1">
      <c r="A12" s="1" t="s">
        <v>1321</v>
      </c>
    </row>
    <row r="13" spans="1:11" ht="18" customHeight="1">
      <c r="A13" s="1" t="s">
        <v>1322</v>
      </c>
    </row>
    <row r="14" spans="1:11" ht="18" customHeight="1">
      <c r="A14" s="2">
        <v>1</v>
      </c>
      <c r="B14" s="1" t="s">
        <v>1323</v>
      </c>
    </row>
    <row r="15" spans="1:11" ht="18" customHeight="1">
      <c r="A15" s="2"/>
      <c r="B15" s="1" t="s">
        <v>1324</v>
      </c>
    </row>
    <row r="16" spans="1:11" ht="18" customHeight="1">
      <c r="A16" s="2">
        <v>2</v>
      </c>
      <c r="B16" s="1" t="s">
        <v>1325</v>
      </c>
    </row>
    <row r="17" spans="1:8" ht="15">
      <c r="A17" s="2">
        <v>3</v>
      </c>
      <c r="B17" s="1" t="s">
        <v>1326</v>
      </c>
    </row>
    <row r="18" spans="1:8" ht="15">
      <c r="A18" s="2"/>
      <c r="B18" s="1" t="s">
        <v>1327</v>
      </c>
    </row>
    <row r="19" spans="1:8" ht="15">
      <c r="A19" s="2">
        <v>4</v>
      </c>
      <c r="B19" s="1" t="s">
        <v>1328</v>
      </c>
    </row>
    <row r="20" spans="1:8" ht="15">
      <c r="A20" s="2"/>
      <c r="B20" s="1" t="s">
        <v>1329</v>
      </c>
    </row>
    <row r="21" spans="1:8" ht="15">
      <c r="A21" s="2">
        <v>5</v>
      </c>
      <c r="B21" s="1" t="s">
        <v>1330</v>
      </c>
    </row>
    <row r="22" spans="1:8" ht="15">
      <c r="A22" s="2"/>
      <c r="B22" s="1" t="s">
        <v>1331</v>
      </c>
    </row>
    <row r="23" spans="1:8" ht="15">
      <c r="A23" s="2">
        <v>6</v>
      </c>
      <c r="B23" s="1" t="s">
        <v>1332</v>
      </c>
    </row>
    <row r="24" spans="1:8" ht="15">
      <c r="A24" s="2"/>
      <c r="B24" s="1" t="s">
        <v>1333</v>
      </c>
    </row>
    <row r="29" spans="1:8" ht="15">
      <c r="B29" s="1" t="s">
        <v>1316</v>
      </c>
      <c r="H29" s="1" t="str">
        <f>+'company '!C25</f>
        <v>/Д.Бахдамдэмбэрэл /</v>
      </c>
    </row>
    <row r="31" spans="1:8" ht="15">
      <c r="B31" s="1" t="s">
        <v>1334</v>
      </c>
      <c r="H31" s="1" t="str">
        <f>+'company '!C28</f>
        <v>/Б.Түмэндэлгэр/</v>
      </c>
    </row>
    <row r="39" spans="11:11" ht="18" customHeight="1">
      <c r="K39" s="1">
        <v>2</v>
      </c>
    </row>
  </sheetData>
  <sheetProtection password="DFC0" sheet="1" objects="1" scenarios="1"/>
  <mergeCells count="2">
    <mergeCell ref="C2:H2"/>
    <mergeCell ref="D8:F8"/>
  </mergeCells>
  <pageMargins left="0.7" right="0.7" top="0.75" bottom="0.75" header="0.3" footer="0.3"/>
  <pageSetup orientation="portrait" horizontalDpi="0" verticalDpi="0" r:id="rId1"/>
</worksheet>
</file>

<file path=xl/worksheets/sheet29.xml><?xml version="1.0" encoding="utf-8"?>
<worksheet xmlns="http://schemas.openxmlformats.org/spreadsheetml/2006/main" xmlns:r="http://schemas.openxmlformats.org/officeDocument/2006/relationships">
  <sheetPr>
    <pageSetUpPr fitToPage="1"/>
  </sheetPr>
  <dimension ref="A1:R537"/>
  <sheetViews>
    <sheetView topLeftCell="F497" workbookViewId="0">
      <selection activeCell="K508" sqref="K508"/>
    </sheetView>
  </sheetViews>
  <sheetFormatPr defaultRowHeight="12.75"/>
  <cols>
    <col min="1" max="1" width="6.28515625" style="315" customWidth="1"/>
    <col min="2" max="2" width="15.7109375" style="331" customWidth="1"/>
    <col min="3" max="3" width="6.5703125" style="331" customWidth="1"/>
    <col min="4" max="4" width="6.85546875" style="331" customWidth="1"/>
    <col min="5" max="5" width="6.5703125" style="331" customWidth="1"/>
    <col min="6" max="6" width="8.85546875" style="331" customWidth="1"/>
    <col min="7" max="7" width="14" style="230" customWidth="1"/>
    <col min="8" max="8" width="14.28515625" style="230" bestFit="1" customWidth="1"/>
    <col min="9" max="9" width="15.42578125" style="230" customWidth="1"/>
    <col min="10" max="10" width="14.42578125" style="230" customWidth="1"/>
    <col min="11" max="11" width="14.28515625" style="230" bestFit="1" customWidth="1"/>
    <col min="12" max="12" width="13.42578125" style="230" customWidth="1"/>
    <col min="13" max="13" width="12.85546875" style="230" bestFit="1" customWidth="1"/>
    <col min="14" max="14" width="14.28515625" style="230" bestFit="1" customWidth="1"/>
    <col min="15" max="15" width="13" style="230" customWidth="1"/>
    <col min="16" max="16" width="14.28515625" style="230" bestFit="1" customWidth="1"/>
    <col min="17" max="18" width="13" style="230" customWidth="1"/>
    <col min="19" max="16384" width="9.140625" style="230"/>
  </cols>
  <sheetData>
    <row r="1" spans="1:12">
      <c r="L1" s="230" t="s">
        <v>2286</v>
      </c>
    </row>
    <row r="2" spans="1:12" ht="18.75">
      <c r="C2" s="895" t="s">
        <v>2287</v>
      </c>
      <c r="D2" s="521"/>
      <c r="E2" s="521"/>
      <c r="F2" s="521"/>
      <c r="G2" s="522"/>
      <c r="H2" s="522"/>
    </row>
    <row r="4" spans="1:12">
      <c r="A4" s="523" t="str">
        <f>+CONCATENATE(Table133[[#Headers],[ШИНЭСТ ХК]])</f>
        <v>ШИНЭСТ ХК</v>
      </c>
      <c r="B4" s="524"/>
      <c r="C4" s="524"/>
      <c r="I4" s="525" t="str">
        <f>+'company '!C22</f>
        <v>2017 оны 12 сарын 31</v>
      </c>
      <c r="J4" s="525"/>
      <c r="K4" s="525"/>
    </row>
    <row r="5" spans="1:12">
      <c r="A5" s="526" t="s">
        <v>2288</v>
      </c>
    </row>
    <row r="6" spans="1:12">
      <c r="A6" s="526"/>
    </row>
    <row r="7" spans="1:12">
      <c r="A7" s="526" t="s">
        <v>2289</v>
      </c>
    </row>
    <row r="8" spans="1:12">
      <c r="A8" s="526"/>
    </row>
    <row r="9" spans="1:12">
      <c r="A9" s="526" t="s">
        <v>2290</v>
      </c>
      <c r="B9" s="524" t="str">
        <f>+'company '!C19</f>
        <v>|_3_|_6_|_1_|_0_|_0_|_0_|  -  Барилга, гэр ахуйн модон эдлэл үйлдвэрлэх</v>
      </c>
      <c r="C9" s="524"/>
      <c r="D9" s="524"/>
      <c r="E9" s="524"/>
      <c r="F9" s="524"/>
      <c r="G9" s="525"/>
      <c r="H9" s="525"/>
      <c r="I9" s="525"/>
      <c r="J9" s="20"/>
    </row>
    <row r="10" spans="1:12">
      <c r="A10" s="526" t="s">
        <v>2291</v>
      </c>
      <c r="B10" s="527"/>
      <c r="C10" s="527"/>
      <c r="D10" s="527"/>
      <c r="E10" s="527"/>
      <c r="F10" s="527"/>
      <c r="G10" s="528"/>
      <c r="H10" s="528"/>
      <c r="I10" s="528"/>
      <c r="J10" s="20"/>
    </row>
    <row r="11" spans="1:12">
      <c r="A11" s="526" t="s">
        <v>2292</v>
      </c>
      <c r="B11" s="527"/>
      <c r="C11" s="527"/>
      <c r="D11" s="527"/>
      <c r="E11" s="527"/>
      <c r="F11" s="527"/>
      <c r="G11" s="528"/>
      <c r="H11" s="528"/>
      <c r="I11" s="528"/>
      <c r="J11" s="20"/>
    </row>
    <row r="12" spans="1:12">
      <c r="A12" s="526"/>
    </row>
    <row r="13" spans="1:12">
      <c r="A13" s="526" t="s">
        <v>2293</v>
      </c>
    </row>
    <row r="14" spans="1:12">
      <c r="A14" s="526"/>
    </row>
    <row r="15" spans="1:12">
      <c r="A15" s="526" t="s">
        <v>2290</v>
      </c>
      <c r="B15" s="524"/>
      <c r="C15" s="524"/>
      <c r="D15" s="524"/>
      <c r="E15" s="524"/>
      <c r="F15" s="331" t="s">
        <v>2291</v>
      </c>
      <c r="G15" s="525"/>
      <c r="H15" s="525"/>
      <c r="I15" s="525"/>
      <c r="J15" s="525"/>
      <c r="K15" s="525"/>
    </row>
    <row r="16" spans="1:12">
      <c r="A16" s="526" t="s">
        <v>2292</v>
      </c>
      <c r="B16" s="524"/>
      <c r="C16" s="524"/>
      <c r="D16" s="524"/>
      <c r="E16" s="524"/>
    </row>
    <row r="17" spans="1:11">
      <c r="A17" s="526"/>
    </row>
    <row r="18" spans="1:11">
      <c r="A18" s="526" t="s">
        <v>2294</v>
      </c>
    </row>
    <row r="19" spans="1:11">
      <c r="A19" s="526"/>
    </row>
    <row r="20" spans="1:11">
      <c r="A20" s="526" t="s">
        <v>2290</v>
      </c>
      <c r="B20" s="524"/>
      <c r="C20" s="524"/>
      <c r="D20" s="524"/>
      <c r="E20" s="524"/>
      <c r="F20" s="524"/>
      <c r="G20" s="525"/>
      <c r="H20" s="525"/>
      <c r="I20" s="525"/>
      <c r="J20" s="20"/>
    </row>
    <row r="21" spans="1:11">
      <c r="A21" s="526" t="s">
        <v>2291</v>
      </c>
      <c r="B21" s="527"/>
      <c r="C21" s="527"/>
      <c r="D21" s="527"/>
      <c r="E21" s="527"/>
      <c r="F21" s="527"/>
      <c r="G21" s="528"/>
      <c r="H21" s="528"/>
      <c r="I21" s="528"/>
      <c r="J21" s="20"/>
    </row>
    <row r="22" spans="1:11">
      <c r="A22" s="526" t="s">
        <v>2292</v>
      </c>
      <c r="B22" s="527"/>
      <c r="C22" s="527"/>
      <c r="D22" s="527"/>
      <c r="E22" s="527"/>
      <c r="F22" s="527"/>
      <c r="G22" s="528"/>
      <c r="H22" s="528"/>
      <c r="I22" s="528"/>
      <c r="J22" s="20"/>
    </row>
    <row r="25" spans="1:11">
      <c r="A25" s="1119" t="s">
        <v>2295</v>
      </c>
      <c r="B25" s="1119"/>
      <c r="C25" s="1119"/>
      <c r="D25" s="1119"/>
      <c r="E25" s="1119"/>
      <c r="F25" s="1119"/>
      <c r="G25" s="1119"/>
      <c r="H25" s="1119"/>
      <c r="I25" s="1119"/>
      <c r="J25" s="1119"/>
      <c r="K25" s="1119"/>
    </row>
    <row r="27" spans="1:11">
      <c r="A27" s="582" t="s">
        <v>2669</v>
      </c>
      <c r="B27" s="747"/>
      <c r="C27" s="747"/>
      <c r="D27" s="747"/>
      <c r="E27" s="747"/>
      <c r="F27" s="747"/>
      <c r="G27" s="747"/>
      <c r="H27" s="747"/>
      <c r="I27" s="747"/>
      <c r="J27" s="747"/>
      <c r="K27" s="747"/>
    </row>
    <row r="28" spans="1:11">
      <c r="A28" s="582" t="s">
        <v>2669</v>
      </c>
    </row>
    <row r="29" spans="1:11">
      <c r="A29" s="582" t="s">
        <v>2669</v>
      </c>
    </row>
    <row r="30" spans="1:11">
      <c r="A30" s="582" t="s">
        <v>2669</v>
      </c>
    </row>
    <row r="31" spans="1:11">
      <c r="A31" s="582" t="s">
        <v>2669</v>
      </c>
    </row>
    <row r="32" spans="1:11">
      <c r="A32" s="582" t="s">
        <v>2669</v>
      </c>
    </row>
    <row r="33" spans="1:11">
      <c r="A33" s="582" t="s">
        <v>2669</v>
      </c>
    </row>
    <row r="34" spans="1:11">
      <c r="A34" s="582" t="s">
        <v>2669</v>
      </c>
    </row>
    <row r="35" spans="1:11">
      <c r="A35" s="582" t="s">
        <v>2669</v>
      </c>
    </row>
    <row r="36" spans="1:11">
      <c r="A36" s="582" t="s">
        <v>2669</v>
      </c>
    </row>
    <row r="37" spans="1:11">
      <c r="A37" s="582" t="s">
        <v>2669</v>
      </c>
    </row>
    <row r="38" spans="1:11">
      <c r="A38" s="582" t="s">
        <v>2669</v>
      </c>
    </row>
    <row r="40" spans="1:11">
      <c r="A40" s="1119" t="s">
        <v>2296</v>
      </c>
      <c r="B40" s="1119"/>
      <c r="C40" s="1119"/>
      <c r="D40" s="1119"/>
      <c r="E40" s="1119"/>
      <c r="F40" s="1119"/>
      <c r="G40" s="1119"/>
      <c r="H40" s="1119"/>
      <c r="I40" s="1119"/>
      <c r="J40" s="1119"/>
      <c r="K40" s="1119"/>
    </row>
    <row r="41" spans="1:11">
      <c r="A41" s="526"/>
    </row>
    <row r="42" spans="1:11">
      <c r="A42" s="582" t="s">
        <v>2669</v>
      </c>
    </row>
    <row r="43" spans="1:11">
      <c r="A43" s="582" t="s">
        <v>2669</v>
      </c>
    </row>
    <row r="44" spans="1:11">
      <c r="A44" s="582" t="s">
        <v>2669</v>
      </c>
    </row>
    <row r="45" spans="1:11">
      <c r="A45" s="582" t="s">
        <v>2669</v>
      </c>
    </row>
    <row r="46" spans="1:11">
      <c r="A46" s="582" t="s">
        <v>2669</v>
      </c>
    </row>
    <row r="47" spans="1:11">
      <c r="A47" s="582" t="s">
        <v>2669</v>
      </c>
    </row>
    <row r="48" spans="1:11">
      <c r="A48" s="582" t="s">
        <v>2669</v>
      </c>
    </row>
    <row r="49" spans="1:14">
      <c r="A49" s="582" t="s">
        <v>2669</v>
      </c>
    </row>
    <row r="50" spans="1:14">
      <c r="A50" s="582" t="s">
        <v>2669</v>
      </c>
    </row>
    <row r="51" spans="1:14">
      <c r="A51" s="582" t="s">
        <v>2669</v>
      </c>
    </row>
    <row r="52" spans="1:14">
      <c r="A52" s="582" t="s">
        <v>2669</v>
      </c>
    </row>
    <row r="54" spans="1:14">
      <c r="A54" s="1119" t="s">
        <v>2297</v>
      </c>
      <c r="B54" s="1119"/>
      <c r="C54" s="1119"/>
      <c r="D54" s="1119"/>
      <c r="E54" s="1119"/>
      <c r="F54" s="1119"/>
      <c r="G54" s="1119"/>
      <c r="H54" s="1119"/>
      <c r="I54" s="1119"/>
      <c r="J54" s="1119"/>
      <c r="K54" s="1119"/>
      <c r="L54" s="230" t="s">
        <v>2298</v>
      </c>
    </row>
    <row r="56" spans="1:14">
      <c r="A56" s="529" t="s">
        <v>1</v>
      </c>
      <c r="B56" s="1120" t="s">
        <v>2299</v>
      </c>
      <c r="C56" s="1121"/>
      <c r="D56" s="1121"/>
      <c r="E56" s="1121"/>
      <c r="F56" s="1121"/>
      <c r="G56" s="1122"/>
      <c r="H56" s="1123" t="s">
        <v>2300</v>
      </c>
      <c r="I56" s="1124"/>
      <c r="J56" s="1123" t="s">
        <v>2301</v>
      </c>
      <c r="K56" s="1124"/>
    </row>
    <row r="57" spans="1:14">
      <c r="A57" s="529">
        <v>1</v>
      </c>
      <c r="B57" s="1120" t="s">
        <v>2302</v>
      </c>
      <c r="C57" s="1121"/>
      <c r="D57" s="1121"/>
      <c r="E57" s="1121"/>
      <c r="F57" s="1121"/>
      <c r="G57" s="1122"/>
      <c r="H57" s="1123">
        <f>+STAT1!H4+STAT1!H5</f>
        <v>253980371.77299997</v>
      </c>
      <c r="I57" s="1124"/>
      <c r="J57" s="1123">
        <f>+STAT4!V4+STAT4!V5</f>
        <v>303425202.49663329</v>
      </c>
      <c r="K57" s="1124"/>
    </row>
    <row r="58" spans="1:14">
      <c r="A58" s="529">
        <v>2</v>
      </c>
      <c r="B58" s="1120" t="s">
        <v>2303</v>
      </c>
      <c r="C58" s="1121"/>
      <c r="D58" s="1121"/>
      <c r="E58" s="1121"/>
      <c r="F58" s="1121"/>
      <c r="G58" s="1122"/>
      <c r="H58" s="1123">
        <f>+SUM(STAT1!H6:H16)</f>
        <v>1039527.5631000288</v>
      </c>
      <c r="I58" s="1124"/>
      <c r="J58" s="1123">
        <f>+SUM(STAT4!V6:V16)</f>
        <v>936220.8200000287</v>
      </c>
      <c r="K58" s="1124"/>
    </row>
    <row r="59" spans="1:14">
      <c r="A59" s="529">
        <v>3</v>
      </c>
      <c r="B59" s="1120" t="s">
        <v>2304</v>
      </c>
      <c r="C59" s="1121"/>
      <c r="D59" s="1121"/>
      <c r="E59" s="1121"/>
      <c r="F59" s="1121"/>
      <c r="G59" s="1122"/>
      <c r="H59" s="1123"/>
      <c r="I59" s="1124"/>
      <c r="J59" s="1123"/>
      <c r="K59" s="1124"/>
    </row>
    <row r="60" spans="1:14">
      <c r="A60" s="529">
        <v>4</v>
      </c>
      <c r="B60" s="1120" t="s">
        <v>2305</v>
      </c>
      <c r="C60" s="1121"/>
      <c r="D60" s="1121"/>
      <c r="E60" s="1121"/>
      <c r="F60" s="1121"/>
      <c r="G60" s="1122"/>
      <c r="H60" s="1123">
        <f>SUM(H57:I59)</f>
        <v>255019899.33610001</v>
      </c>
      <c r="I60" s="1124"/>
      <c r="J60" s="1123">
        <f>SUM(J57:K59)</f>
        <v>304361423.31663334</v>
      </c>
      <c r="K60" s="1124"/>
      <c r="M60" s="230">
        <f>+SUM(STAT4!V4:V16)</f>
        <v>304361423.31663334</v>
      </c>
      <c r="N60" s="230">
        <f>+J60-M60</f>
        <v>0</v>
      </c>
    </row>
    <row r="62" spans="1:14">
      <c r="A62" s="1119" t="s">
        <v>2306</v>
      </c>
      <c r="B62" s="1119"/>
      <c r="C62" s="1119"/>
      <c r="D62" s="1119"/>
      <c r="E62" s="1119"/>
      <c r="F62" s="1119"/>
      <c r="G62" s="1119"/>
      <c r="H62" s="1119"/>
      <c r="I62" s="1119"/>
      <c r="J62" s="1119"/>
      <c r="K62" s="1119"/>
    </row>
    <row r="63" spans="1:14">
      <c r="A63" s="526" t="s">
        <v>2307</v>
      </c>
    </row>
    <row r="64" spans="1:14">
      <c r="A64" s="530" t="s">
        <v>1</v>
      </c>
      <c r="B64" s="531" t="s">
        <v>49</v>
      </c>
      <c r="C64" s="532"/>
      <c r="D64" s="532"/>
      <c r="E64" s="532"/>
      <c r="F64" s="532"/>
      <c r="G64" s="533" t="s">
        <v>2308</v>
      </c>
      <c r="H64" s="1125" t="s">
        <v>544</v>
      </c>
      <c r="I64" s="1126"/>
      <c r="J64" s="1125" t="s">
        <v>2309</v>
      </c>
      <c r="K64" s="1126"/>
    </row>
    <row r="65" spans="1:14">
      <c r="A65" s="529">
        <v>1</v>
      </c>
      <c r="B65" s="1120" t="s">
        <v>2300</v>
      </c>
      <c r="C65" s="1121"/>
      <c r="D65" s="1121"/>
      <c r="E65" s="1121"/>
      <c r="F65" s="1122"/>
      <c r="G65" s="534">
        <f>+STAT1!H18+STAT1!H19</f>
        <v>2644403.0000789911</v>
      </c>
      <c r="H65" s="1123"/>
      <c r="I65" s="1124"/>
      <c r="J65" s="1123">
        <f>+G65-H65</f>
        <v>2644403.0000789911</v>
      </c>
      <c r="K65" s="1124"/>
    </row>
    <row r="66" spans="1:14">
      <c r="A66" s="529">
        <f>+A65+1</f>
        <v>2</v>
      </c>
      <c r="B66" s="1120" t="s">
        <v>2310</v>
      </c>
      <c r="C66" s="1121"/>
      <c r="D66" s="1121"/>
      <c r="E66" s="1121"/>
      <c r="F66" s="1122"/>
      <c r="G66" s="534">
        <f>+STAT1!J18+STAT2!J18+STAT3!J18+STAT4!J18+STAT1!N18+STAT2!N18+STAT3!N18+STAT4!N18</f>
        <v>29044680</v>
      </c>
      <c r="H66" s="1123"/>
      <c r="I66" s="1124"/>
      <c r="J66" s="1123">
        <f t="shared" ref="J66:J69" si="0">+G66-H66</f>
        <v>29044680</v>
      </c>
      <c r="K66" s="1124"/>
    </row>
    <row r="67" spans="1:14">
      <c r="A67" s="529">
        <f t="shared" ref="A67" si="1">+A66+1</f>
        <v>3</v>
      </c>
      <c r="B67" s="1120" t="s">
        <v>2311</v>
      </c>
      <c r="C67" s="1121"/>
      <c r="D67" s="1121"/>
      <c r="E67" s="1121"/>
      <c r="F67" s="1122"/>
      <c r="G67" s="534">
        <f>+STAT1!K18+STAT2!K18+STAT3!K18+STAT4!K18+STAT1!O18+STAT2!O18+STAT3!O18+STAT4!O18</f>
        <v>29044679.99791</v>
      </c>
      <c r="H67" s="1123">
        <f>+H68+H69</f>
        <v>0</v>
      </c>
      <c r="I67" s="1124"/>
      <c r="J67" s="1123">
        <f t="shared" si="0"/>
        <v>29044679.99791</v>
      </c>
      <c r="K67" s="1124"/>
    </row>
    <row r="68" spans="1:14">
      <c r="A68" s="529"/>
      <c r="B68" s="535"/>
      <c r="C68" s="1120" t="s">
        <v>2312</v>
      </c>
      <c r="D68" s="1121"/>
      <c r="E68" s="1121"/>
      <c r="F68" s="1122"/>
      <c r="G68" s="534">
        <f>+STAT1!K23+STAT1!K24+STAT1!O23+STAT1!O24+STAT2!K18+STAT2!K19+STAT2!O18+STAT2!O19+STAT3!K23+STAT3!K24+STAT3!O23+STAT3!O24+STAT4!K18+STAT4!K19+STAT4!O18+STAT4!O19</f>
        <v>14897799.998734999</v>
      </c>
      <c r="H68" s="1123"/>
      <c r="I68" s="1124"/>
      <c r="J68" s="1123">
        <f t="shared" si="0"/>
        <v>14897799.998734999</v>
      </c>
      <c r="K68" s="1124"/>
    </row>
    <row r="69" spans="1:14">
      <c r="A69" s="529"/>
      <c r="B69" s="536"/>
      <c r="C69" s="1120" t="s">
        <v>2313</v>
      </c>
      <c r="D69" s="1121"/>
      <c r="E69" s="1121"/>
      <c r="F69" s="1122"/>
      <c r="G69" s="537"/>
      <c r="H69" s="1123"/>
      <c r="I69" s="1124"/>
      <c r="J69" s="1123">
        <f t="shared" si="0"/>
        <v>0</v>
      </c>
      <c r="K69" s="1124"/>
    </row>
    <row r="70" spans="1:14">
      <c r="A70" s="529">
        <v>4</v>
      </c>
      <c r="B70" s="1120" t="s">
        <v>2301</v>
      </c>
      <c r="C70" s="1121"/>
      <c r="D70" s="1121"/>
      <c r="E70" s="1121"/>
      <c r="F70" s="1122"/>
      <c r="G70" s="537">
        <f>+G65+G66-G67</f>
        <v>2644403.0021689907</v>
      </c>
      <c r="H70" s="1123"/>
      <c r="I70" s="1124"/>
      <c r="J70" s="1123">
        <f t="shared" ref="J70" si="2">+G70-H70</f>
        <v>2644403.0021689907</v>
      </c>
      <c r="K70" s="1124"/>
      <c r="M70" s="230">
        <f>+STAT4!V18+STAT4!V19</f>
        <v>2644403.0021689907</v>
      </c>
      <c r="N70" s="230">
        <f>+J70-M70</f>
        <v>0</v>
      </c>
    </row>
    <row r="72" spans="1:14">
      <c r="A72" s="526" t="s">
        <v>2314</v>
      </c>
    </row>
    <row r="73" spans="1:14">
      <c r="A73" s="529" t="s">
        <v>1</v>
      </c>
      <c r="B73" s="1120" t="s">
        <v>2315</v>
      </c>
      <c r="C73" s="1121"/>
      <c r="D73" s="1121"/>
      <c r="E73" s="1121"/>
      <c r="F73" s="1121"/>
      <c r="G73" s="1122"/>
      <c r="H73" s="1123" t="s">
        <v>2300</v>
      </c>
      <c r="I73" s="1124"/>
      <c r="J73" s="1123" t="s">
        <v>2301</v>
      </c>
      <c r="K73" s="1124"/>
    </row>
    <row r="74" spans="1:14">
      <c r="A74" s="529">
        <v>1</v>
      </c>
      <c r="B74" s="1120" t="s">
        <v>2316</v>
      </c>
      <c r="C74" s="1121"/>
      <c r="D74" s="1121"/>
      <c r="E74" s="1121"/>
      <c r="F74" s="1121"/>
      <c r="G74" s="1122"/>
      <c r="H74" s="1123">
        <f>+STAT1!H26</f>
        <v>0</v>
      </c>
      <c r="I74" s="1124"/>
      <c r="J74" s="1123">
        <f>+STAT4!V26</f>
        <v>99989.61</v>
      </c>
      <c r="K74" s="1124"/>
    </row>
    <row r="75" spans="1:14">
      <c r="A75" s="529">
        <f>+A74+1</f>
        <v>2</v>
      </c>
      <c r="B75" s="1120" t="s">
        <v>2317</v>
      </c>
      <c r="C75" s="1121"/>
      <c r="D75" s="1121"/>
      <c r="E75" s="1121"/>
      <c r="F75" s="1121"/>
      <c r="G75" s="1122"/>
      <c r="H75" s="1123">
        <f>+STAT1!H26</f>
        <v>0</v>
      </c>
      <c r="I75" s="1124"/>
      <c r="J75" s="1123">
        <f>+STAT4!V25</f>
        <v>0</v>
      </c>
      <c r="K75" s="1124"/>
    </row>
    <row r="76" spans="1:14">
      <c r="A76" s="529">
        <f t="shared" ref="A76:A78" si="3">+A75+1</f>
        <v>3</v>
      </c>
      <c r="B76" s="1120" t="s">
        <v>2318</v>
      </c>
      <c r="C76" s="1121"/>
      <c r="D76" s="1121"/>
      <c r="E76" s="1121"/>
      <c r="F76" s="1121"/>
      <c r="G76" s="1122"/>
      <c r="H76" s="1123">
        <f>+STAT1!H28</f>
        <v>391433.69999999925</v>
      </c>
      <c r="I76" s="1124"/>
      <c r="J76" s="1123">
        <f>+STAT4!V28</f>
        <v>82442.467626456171</v>
      </c>
      <c r="K76" s="1124"/>
    </row>
    <row r="77" spans="1:14">
      <c r="A77" s="529">
        <f t="shared" si="3"/>
        <v>4</v>
      </c>
      <c r="B77" s="535" t="s">
        <v>2319</v>
      </c>
      <c r="C77" s="527"/>
      <c r="D77" s="527"/>
      <c r="E77" s="527"/>
      <c r="F77" s="527"/>
      <c r="G77" s="538"/>
      <c r="H77" s="1123">
        <f>+STAT1!H27</f>
        <v>194165.4299999997</v>
      </c>
      <c r="I77" s="1124"/>
      <c r="J77" s="1123">
        <f>+STAT4!V27</f>
        <v>53998.168364020996</v>
      </c>
      <c r="K77" s="1124"/>
    </row>
    <row r="78" spans="1:14">
      <c r="A78" s="529">
        <f t="shared" si="3"/>
        <v>5</v>
      </c>
      <c r="B78" s="1120" t="s">
        <v>2305</v>
      </c>
      <c r="C78" s="1121"/>
      <c r="D78" s="1121"/>
      <c r="E78" s="1121"/>
      <c r="F78" s="1121"/>
      <c r="G78" s="1122"/>
      <c r="H78" s="1123">
        <f>SUM(H74:I77)</f>
        <v>585599.12999999896</v>
      </c>
      <c r="I78" s="1124"/>
      <c r="J78" s="1123">
        <f>SUM(J74:K77)</f>
        <v>236430.24599047715</v>
      </c>
      <c r="K78" s="1124"/>
      <c r="M78" s="230">
        <f>+SUM(STAT4!V25:V29)</f>
        <v>236430.24599047715</v>
      </c>
      <c r="N78" s="230">
        <f>+J78-M78</f>
        <v>0</v>
      </c>
    </row>
    <row r="80" spans="1:14">
      <c r="A80" s="526" t="s">
        <v>2320</v>
      </c>
    </row>
    <row r="81" spans="1:14">
      <c r="A81" s="529" t="s">
        <v>1</v>
      </c>
      <c r="B81" s="1120" t="s">
        <v>2315</v>
      </c>
      <c r="C81" s="1121"/>
      <c r="D81" s="1121"/>
      <c r="E81" s="1121"/>
      <c r="F81" s="1121"/>
      <c r="G81" s="1122"/>
      <c r="H81" s="1123" t="s">
        <v>2300</v>
      </c>
      <c r="I81" s="1124"/>
      <c r="J81" s="1123" t="s">
        <v>2301</v>
      </c>
      <c r="K81" s="1124"/>
    </row>
    <row r="82" spans="1:14">
      <c r="A82" s="529">
        <v>1</v>
      </c>
      <c r="B82" s="1127" t="s">
        <v>2321</v>
      </c>
      <c r="C82" s="1128"/>
      <c r="D82" s="1128"/>
      <c r="E82" s="1128"/>
      <c r="F82" s="1128"/>
      <c r="G82" s="1129"/>
      <c r="H82" s="1123">
        <f>+STAT1!H31</f>
        <v>980000.00623000006</v>
      </c>
      <c r="I82" s="1124"/>
      <c r="J82" s="1123">
        <f>+STAT4!V31</f>
        <v>980000.00407000002</v>
      </c>
      <c r="K82" s="1124"/>
    </row>
    <row r="83" spans="1:14">
      <c r="A83" s="529">
        <f>+A82+1</f>
        <v>2</v>
      </c>
      <c r="B83" s="1120" t="s">
        <v>2322</v>
      </c>
      <c r="C83" s="1121"/>
      <c r="D83" s="1121"/>
      <c r="E83" s="1121"/>
      <c r="F83" s="1121"/>
      <c r="G83" s="1122"/>
      <c r="H83" s="1123">
        <f>+STAT1!H30</f>
        <v>0</v>
      </c>
      <c r="I83" s="1124"/>
      <c r="J83" s="1123">
        <f>+STAT4!V30</f>
        <v>0</v>
      </c>
      <c r="K83" s="1124"/>
    </row>
    <row r="84" spans="1:14">
      <c r="A84" s="529">
        <f t="shared" ref="A84:A89" si="4">+A83+1</f>
        <v>3</v>
      </c>
      <c r="B84" s="1120" t="s">
        <v>2323</v>
      </c>
      <c r="C84" s="1121"/>
      <c r="D84" s="1121"/>
      <c r="E84" s="1121"/>
      <c r="F84" s="1121"/>
      <c r="G84" s="1122"/>
      <c r="H84" s="1123"/>
      <c r="I84" s="1124"/>
      <c r="J84" s="1123"/>
      <c r="K84" s="1124"/>
    </row>
    <row r="85" spans="1:14">
      <c r="A85" s="529">
        <f t="shared" si="4"/>
        <v>4</v>
      </c>
      <c r="B85" s="535" t="s">
        <v>2324</v>
      </c>
      <c r="C85" s="527"/>
      <c r="D85" s="527"/>
      <c r="E85" s="527"/>
      <c r="F85" s="527"/>
      <c r="G85" s="538"/>
      <c r="H85" s="1123"/>
      <c r="I85" s="1124"/>
      <c r="J85" s="1123"/>
      <c r="K85" s="1124"/>
    </row>
    <row r="86" spans="1:14">
      <c r="A86" s="529">
        <f t="shared" si="4"/>
        <v>5</v>
      </c>
      <c r="B86" s="535" t="s">
        <v>2325</v>
      </c>
      <c r="C86" s="527"/>
      <c r="D86" s="527"/>
      <c r="E86" s="527"/>
      <c r="F86" s="527"/>
      <c r="G86" s="538"/>
      <c r="H86" s="1123"/>
      <c r="I86" s="1124"/>
      <c r="J86" s="1123"/>
      <c r="K86" s="1124"/>
    </row>
    <row r="87" spans="1:14">
      <c r="A87" s="529">
        <f t="shared" si="4"/>
        <v>6</v>
      </c>
      <c r="B87" s="535" t="s">
        <v>2326</v>
      </c>
      <c r="C87" s="527"/>
      <c r="D87" s="527"/>
      <c r="E87" s="527"/>
      <c r="F87" s="527"/>
      <c r="G87" s="538"/>
      <c r="H87" s="1123">
        <f>+STAT1!H30</f>
        <v>0</v>
      </c>
      <c r="I87" s="1124"/>
      <c r="J87" s="1123"/>
      <c r="K87" s="1124"/>
    </row>
    <row r="88" spans="1:14">
      <c r="A88" s="529">
        <f t="shared" si="4"/>
        <v>7</v>
      </c>
      <c r="B88" s="535" t="s">
        <v>2584</v>
      </c>
      <c r="C88" s="527"/>
      <c r="D88" s="527"/>
      <c r="E88" s="527"/>
      <c r="F88" s="527"/>
      <c r="G88" s="538"/>
      <c r="H88" s="1123">
        <f>+STAT1!H32+STAT1!H33</f>
        <v>0</v>
      </c>
      <c r="I88" s="1124"/>
      <c r="J88" s="1123">
        <f>+STAT4!V33+STAT4!V32</f>
        <v>8</v>
      </c>
      <c r="K88" s="1124"/>
    </row>
    <row r="89" spans="1:14">
      <c r="A89" s="529">
        <f t="shared" si="4"/>
        <v>8</v>
      </c>
      <c r="B89" s="1120" t="s">
        <v>2305</v>
      </c>
      <c r="C89" s="1121"/>
      <c r="D89" s="1121"/>
      <c r="E89" s="1121"/>
      <c r="F89" s="1121"/>
      <c r="G89" s="1122"/>
      <c r="H89" s="1123">
        <f>SUM(H82:I88)</f>
        <v>980000.00623000006</v>
      </c>
      <c r="I89" s="1124"/>
      <c r="J89" s="1123">
        <f>SUM(J82:K88)</f>
        <v>980008.00407000002</v>
      </c>
      <c r="K89" s="1124"/>
      <c r="M89" s="230">
        <f>+SUM(STAT4!V30:V33)</f>
        <v>980008.00407000002</v>
      </c>
      <c r="N89" s="230">
        <f>+M89-J89</f>
        <v>0</v>
      </c>
    </row>
    <row r="91" spans="1:14">
      <c r="A91" s="1130" t="s">
        <v>2327</v>
      </c>
      <c r="B91" s="1130"/>
      <c r="C91" s="1130"/>
      <c r="D91" s="1130"/>
      <c r="E91" s="1130"/>
      <c r="F91" s="1130"/>
      <c r="G91" s="1130"/>
      <c r="H91" s="1130"/>
      <c r="I91" s="1130"/>
      <c r="J91" s="1130"/>
      <c r="K91" s="1130"/>
    </row>
    <row r="92" spans="1:14">
      <c r="A92" s="580" t="s">
        <v>2670</v>
      </c>
      <c r="B92" s="547"/>
      <c r="C92" s="547"/>
      <c r="D92" s="547"/>
      <c r="E92" s="547"/>
      <c r="F92" s="547"/>
      <c r="G92" s="20"/>
      <c r="H92" s="20"/>
      <c r="I92" s="20"/>
      <c r="J92" s="20"/>
      <c r="K92" s="20"/>
    </row>
    <row r="93" spans="1:14">
      <c r="A93" s="580" t="s">
        <v>2670</v>
      </c>
      <c r="B93" s="547"/>
      <c r="C93" s="547"/>
      <c r="D93" s="547"/>
      <c r="E93" s="547"/>
      <c r="F93" s="547"/>
      <c r="G93" s="20"/>
      <c r="H93" s="20"/>
      <c r="I93" s="20"/>
      <c r="J93" s="20"/>
      <c r="K93" s="20"/>
    </row>
    <row r="95" spans="1:14">
      <c r="A95" s="1119" t="s">
        <v>2328</v>
      </c>
      <c r="B95" s="1119"/>
      <c r="C95" s="1119"/>
      <c r="D95" s="1119"/>
      <c r="E95" s="1119"/>
      <c r="F95" s="1119"/>
      <c r="G95" s="1119"/>
      <c r="H95" s="1119"/>
      <c r="I95" s="1119"/>
      <c r="J95" s="1119"/>
      <c r="K95" s="1119"/>
      <c r="L95" s="230" t="s">
        <v>2329</v>
      </c>
    </row>
    <row r="97" spans="1:14">
      <c r="A97" s="529" t="s">
        <v>1</v>
      </c>
      <c r="B97" s="1120" t="s">
        <v>2330</v>
      </c>
      <c r="C97" s="1121"/>
      <c r="D97" s="1121"/>
      <c r="E97" s="1121"/>
      <c r="F97" s="1121"/>
      <c r="G97" s="1122"/>
      <c r="H97" s="1123" t="s">
        <v>2300</v>
      </c>
      <c r="I97" s="1124"/>
      <c r="J97" s="1123" t="s">
        <v>2301</v>
      </c>
      <c r="K97" s="1124"/>
    </row>
    <row r="98" spans="1:14">
      <c r="A98" s="529">
        <v>1</v>
      </c>
      <c r="B98" s="1120"/>
      <c r="C98" s="1121"/>
      <c r="D98" s="1121"/>
      <c r="E98" s="1121"/>
      <c r="F98" s="1121"/>
      <c r="G98" s="1122"/>
      <c r="H98" s="1123"/>
      <c r="I98" s="1124"/>
      <c r="J98" s="1123"/>
      <c r="K98" s="1124"/>
    </row>
    <row r="99" spans="1:14">
      <c r="A99" s="529">
        <v>2</v>
      </c>
      <c r="B99" s="1120"/>
      <c r="C99" s="1121"/>
      <c r="D99" s="1121"/>
      <c r="E99" s="1121"/>
      <c r="F99" s="1121"/>
      <c r="G99" s="1122"/>
      <c r="H99" s="1123"/>
      <c r="I99" s="1124"/>
      <c r="J99" s="1123"/>
      <c r="K99" s="1124"/>
    </row>
    <row r="100" spans="1:14">
      <c r="A100" s="529">
        <v>4</v>
      </c>
      <c r="B100" s="1120" t="s">
        <v>2305</v>
      </c>
      <c r="C100" s="1121"/>
      <c r="D100" s="1121"/>
      <c r="E100" s="1121"/>
      <c r="F100" s="1121"/>
      <c r="G100" s="1122"/>
      <c r="H100" s="1123"/>
      <c r="I100" s="1124"/>
      <c r="J100" s="1123"/>
      <c r="K100" s="1124"/>
    </row>
    <row r="102" spans="1:14">
      <c r="A102" s="1119" t="s">
        <v>2331</v>
      </c>
      <c r="B102" s="1119"/>
      <c r="C102" s="1119"/>
      <c r="D102" s="1119"/>
      <c r="E102" s="1119"/>
      <c r="F102" s="1119"/>
      <c r="G102" s="1119"/>
      <c r="H102" s="1119"/>
      <c r="I102" s="1119"/>
      <c r="J102" s="1119"/>
      <c r="K102" s="1119"/>
    </row>
    <row r="104" spans="1:14" ht="25.5">
      <c r="A104" s="529" t="s">
        <v>1</v>
      </c>
      <c r="B104" s="536" t="s">
        <v>2332</v>
      </c>
      <c r="C104" s="1131" t="s">
        <v>2333</v>
      </c>
      <c r="D104" s="1131"/>
      <c r="E104" s="1131" t="s">
        <v>2334</v>
      </c>
      <c r="F104" s="1131"/>
      <c r="G104" s="539" t="s">
        <v>2335</v>
      </c>
      <c r="H104" s="537" t="s">
        <v>2336</v>
      </c>
      <c r="I104" s="539" t="s">
        <v>2337</v>
      </c>
      <c r="J104" s="539" t="s">
        <v>616</v>
      </c>
      <c r="K104" s="537" t="s">
        <v>2305</v>
      </c>
    </row>
    <row r="105" spans="1:14" ht="38.25">
      <c r="A105" s="529">
        <v>1</v>
      </c>
      <c r="B105" s="540" t="s">
        <v>2338</v>
      </c>
      <c r="C105" s="1120">
        <f>+STAT1!H36</f>
        <v>481074542.74849999</v>
      </c>
      <c r="D105" s="1122"/>
      <c r="E105" s="1120">
        <f>+STAT1!H46+STAT1!H47+STAT1!H48</f>
        <v>0</v>
      </c>
      <c r="F105" s="1122"/>
      <c r="G105" s="537">
        <f>+STAT1!H57+STAT1!H58+STAT1!H59+STAT1!H60+STAT1!H61</f>
        <v>301063893.82913899</v>
      </c>
      <c r="H105" s="537">
        <f>+STAT1!H62</f>
        <v>153515785.43000001</v>
      </c>
      <c r="I105" s="537">
        <f>+STAT1!H63+STAT1!H64</f>
        <v>7593223.6013954021</v>
      </c>
      <c r="J105" s="537">
        <f>+STAT1!H65</f>
        <v>0</v>
      </c>
      <c r="K105" s="537">
        <f>SUM(C105:J105)</f>
        <v>943247445.6090343</v>
      </c>
      <c r="M105" s="230">
        <f>+SUM(STAT1!H57:H65)+STAT1!H36</f>
        <v>943247445.60903442</v>
      </c>
      <c r="N105" s="230">
        <f>+K105-M105</f>
        <v>0</v>
      </c>
    </row>
    <row r="106" spans="1:14" ht="24.75" customHeight="1">
      <c r="A106" s="529">
        <v>2</v>
      </c>
      <c r="B106" s="540" t="s">
        <v>2339</v>
      </c>
      <c r="C106" s="1120">
        <f>+STAT1!J36+STAT2!J36+STAT3!J36+STAT4!J36+STAT1!N36+STAT2!N36+STAT3!N36+STAT4!N36</f>
        <v>0</v>
      </c>
      <c r="D106" s="1122"/>
      <c r="E106" s="1120">
        <f>+STAT1!J46+STAT2!J46+STAT3!J46+STAT4!J46+STAT1!N46+STAT2!N46+STAT3!N46+STAT4!N46+STAT1!J47+STAT2!J47+STAT3!J47+STAT4!J47+STAT1!N47+STAT2!N47+STAT3!N47+STAT4!N47</f>
        <v>1022278775.0344024</v>
      </c>
      <c r="F106" s="1122"/>
      <c r="G106" s="537">
        <f>+STAT1!J57+STAT2!J57+STAT3!J57+STAT4!J57+STAT1!N57+STAT2!N57+STAT3!N57+STAT4!N57+STAT1!J58+STAT2!J58+STAT3!J58+STAT4!J58+STAT1!N58+STAT2!N58+STAT3!N58+STAT4!N58</f>
        <v>1022278775.0344025</v>
      </c>
      <c r="H106" s="537">
        <f>+STAT1!J62+STAT2!J62+STAT3!J62+STAT4!J62+STAT1!N62+STAT2!N62+STAT3!N62+STAT4!N62</f>
        <v>26944445.456104547</v>
      </c>
      <c r="I106" s="537">
        <f>+STAT1!J63+STAT2!J63+STAT3!J63+STAT4!J63+STAT1!N63+STAT2!N63+STAT3!N63+STAT4!N63</f>
        <v>905429.09</v>
      </c>
      <c r="J106" s="537">
        <f>+STAT1!J65+STAT2!J65+STAT3!J65+STAT4!J65+STAT1!N65+STAT2!N65+STAT3!N65+STAT4!N65</f>
        <v>0</v>
      </c>
      <c r="K106" s="537">
        <f t="shared" ref="K106:K112" si="5">SUM(C106:J106)</f>
        <v>2072407424.6149092</v>
      </c>
    </row>
    <row r="107" spans="1:14">
      <c r="A107" s="529">
        <v>3</v>
      </c>
      <c r="B107" s="540" t="s">
        <v>2340</v>
      </c>
      <c r="C107" s="1120">
        <f>+STAT1!K36+STAT2!K36+STAT3!K36+STAT4!K36+STAT1!O36+STAT2!O36+STAT3!O36+STAT4!O36</f>
        <v>333814365.9692623</v>
      </c>
      <c r="D107" s="1122"/>
      <c r="E107" s="1120">
        <f>+STAT1!K46+STAT2!K46+STAT3!K46+STAT4!K46+STAT1!O46+STAT2!O46+STAT3!O46+STAT4!O46+STAT1!K47+STAT2!K47+STAT3!K47+STAT4!K47+STAT1!O47+STAT2!O47+STAT3!O47+STAT4!O47</f>
        <v>1022278775.0344025</v>
      </c>
      <c r="F107" s="1122"/>
      <c r="G107" s="537">
        <f>+STAT1!K57+STAT2!K57+STAT3!K57+STAT4!K57+STAT1!O57+STAT2!O57+STAT3!O57+STAT4!O57+STAT1!K58+STAT2!K58+STAT3!K58+STAT4!K58+STAT1!O58+STAT2!O58+STAT3!O58+STAT4!O58</f>
        <v>747721765.31301522</v>
      </c>
      <c r="H107" s="537">
        <f>+STAT1!K62+STAT2!K62+STAT3!K62+STAT4!K62+STAT1!O62+STAT2!O62+STAT3!O62+STAT4!O62</f>
        <v>40965271.215319134</v>
      </c>
      <c r="I107" s="537">
        <f>+STAT1!K63+STAT2!K63+STAT3!K63+STAT4!K63+STAT1!O63+STAT2!O63+STAT3!O63+STAT4!O63</f>
        <v>2012728.0354545454</v>
      </c>
      <c r="J107" s="537">
        <f>+STAT1!K65+STAT2!K65+STAT3!K65+STAT4!K65+STAT1!O65+STAT2!O65+STAT3!O65+STAT4!O65</f>
        <v>0</v>
      </c>
      <c r="K107" s="537">
        <f t="shared" si="5"/>
        <v>2146792905.5674536</v>
      </c>
    </row>
    <row r="108" spans="1:14" ht="38.25">
      <c r="A108" s="529">
        <v>4</v>
      </c>
      <c r="B108" s="540" t="s">
        <v>2341</v>
      </c>
      <c r="C108" s="1123">
        <f>+C105+C106-C107</f>
        <v>147260176.77923769</v>
      </c>
      <c r="D108" s="1124"/>
      <c r="E108" s="1123">
        <f>+E105+E106-E107</f>
        <v>0</v>
      </c>
      <c r="F108" s="1124"/>
      <c r="G108" s="535">
        <f>+G105+G106-G107</f>
        <v>575620903.55052638</v>
      </c>
      <c r="H108" s="535">
        <f>+H105+H106-H107</f>
        <v>139494959.67078543</v>
      </c>
      <c r="I108" s="535">
        <f>+I105+I106-I107</f>
        <v>6485924.6559408568</v>
      </c>
      <c r="J108" s="535">
        <f>+J105+J106-J107</f>
        <v>0</v>
      </c>
      <c r="K108" s="537">
        <f t="shared" si="5"/>
        <v>868861964.65649045</v>
      </c>
    </row>
    <row r="109" spans="1:14" ht="25.5">
      <c r="A109" s="529">
        <v>5</v>
      </c>
      <c r="B109" s="540" t="s">
        <v>2342</v>
      </c>
      <c r="C109" s="1120"/>
      <c r="D109" s="1122"/>
      <c r="E109" s="1120"/>
      <c r="F109" s="1122"/>
      <c r="G109" s="537"/>
      <c r="H109" s="537"/>
      <c r="I109" s="537"/>
      <c r="J109" s="537"/>
      <c r="K109" s="537">
        <f t="shared" si="5"/>
        <v>0</v>
      </c>
    </row>
    <row r="110" spans="1:14" ht="38.25">
      <c r="A110" s="529">
        <v>6</v>
      </c>
      <c r="B110" s="540" t="s">
        <v>2343</v>
      </c>
      <c r="C110" s="1120"/>
      <c r="D110" s="1122"/>
      <c r="E110" s="1120"/>
      <c r="F110" s="1122"/>
      <c r="G110" s="537"/>
      <c r="H110" s="537"/>
      <c r="I110" s="537"/>
      <c r="J110" s="537"/>
      <c r="K110" s="537">
        <f t="shared" si="5"/>
        <v>0</v>
      </c>
    </row>
    <row r="111" spans="1:14" ht="25.5">
      <c r="A111" s="529">
        <v>7</v>
      </c>
      <c r="B111" s="540" t="s">
        <v>2344</v>
      </c>
      <c r="C111" s="1120"/>
      <c r="D111" s="1122"/>
      <c r="E111" s="1120"/>
      <c r="F111" s="1122"/>
      <c r="G111" s="537"/>
      <c r="H111" s="537"/>
      <c r="I111" s="537"/>
      <c r="J111" s="537"/>
      <c r="K111" s="537">
        <f t="shared" si="5"/>
        <v>0</v>
      </c>
    </row>
    <row r="112" spans="1:14">
      <c r="A112" s="541">
        <v>7.1</v>
      </c>
      <c r="B112" s="540" t="s">
        <v>14</v>
      </c>
      <c r="C112" s="1120">
        <f>+STAT1!H36</f>
        <v>481074542.74849999</v>
      </c>
      <c r="D112" s="1122"/>
      <c r="E112" s="535">
        <f>+E105</f>
        <v>0</v>
      </c>
      <c r="F112" s="538"/>
      <c r="G112" s="535">
        <f t="shared" ref="G112" si="6">+G105</f>
        <v>301063893.82913899</v>
      </c>
      <c r="H112" s="538"/>
      <c r="I112" s="535">
        <f t="shared" ref="I112" si="7">+I105</f>
        <v>7593223.6013954021</v>
      </c>
      <c r="J112" s="538"/>
      <c r="K112" s="537">
        <f t="shared" si="5"/>
        <v>789731660.17903435</v>
      </c>
    </row>
    <row r="113" spans="1:14">
      <c r="A113" s="541">
        <v>7.2</v>
      </c>
      <c r="B113" s="540" t="s">
        <v>15</v>
      </c>
      <c r="C113" s="1120">
        <f>+STAT4!V36</f>
        <v>147260176.77923775</v>
      </c>
      <c r="D113" s="1122"/>
      <c r="E113" s="1120">
        <f>+STAT4!V46+STAT4!V47+STAT4!V48+STAT4!V55+STAT4!V56</f>
        <v>0</v>
      </c>
      <c r="F113" s="1122"/>
      <c r="G113" s="537">
        <f>+SUM(STAT4!V57:V61)</f>
        <v>575620903.55052626</v>
      </c>
      <c r="H113" s="537">
        <f>+STAT4!V62</f>
        <v>139494959.67078546</v>
      </c>
      <c r="I113" s="537">
        <f>+STAT4!V63+STAT4!V64</f>
        <v>6485924.6559408577</v>
      </c>
      <c r="J113" s="537">
        <f>+STAT4!V65</f>
        <v>0</v>
      </c>
      <c r="K113" s="537">
        <f>SUM(C113:J113)</f>
        <v>868861964.65649033</v>
      </c>
      <c r="M113" s="230">
        <f>+SUM(STAT4!V57:V65)+STAT4!V36+STAT4!V55+STAT4!V56+STAT4!V46+STAT4!V47+STAT4!V48</f>
        <v>868861964.65649033</v>
      </c>
      <c r="N113" s="230">
        <f>+K113-M113</f>
        <v>0</v>
      </c>
    </row>
    <row r="115" spans="1:14">
      <c r="A115" s="1132" t="s">
        <v>2345</v>
      </c>
      <c r="B115" s="1132"/>
      <c r="C115" s="1132"/>
      <c r="D115" s="1132"/>
      <c r="E115" s="1132"/>
      <c r="F115" s="1132"/>
      <c r="G115" s="1132"/>
      <c r="H115" s="1132"/>
      <c r="I115" s="1132"/>
      <c r="J115" s="1132"/>
      <c r="K115" s="1132"/>
    </row>
    <row r="117" spans="1:14">
      <c r="A117" s="1133" t="s">
        <v>2346</v>
      </c>
      <c r="B117" s="1133"/>
      <c r="C117" s="1133"/>
      <c r="D117" s="1133"/>
      <c r="E117" s="1133"/>
      <c r="F117" s="1133"/>
      <c r="G117" s="1133"/>
      <c r="H117" s="1133"/>
      <c r="I117" s="1133"/>
      <c r="J117" s="1133"/>
      <c r="K117" s="1133"/>
    </row>
    <row r="119" spans="1:14">
      <c r="A119" s="526" t="s">
        <v>2670</v>
      </c>
    </row>
    <row r="120" spans="1:14">
      <c r="A120" s="582" t="s">
        <v>2670</v>
      </c>
    </row>
    <row r="121" spans="1:14">
      <c r="A121" s="582" t="s">
        <v>2670</v>
      </c>
    </row>
    <row r="122" spans="1:14">
      <c r="A122" s="582" t="s">
        <v>2670</v>
      </c>
    </row>
    <row r="124" spans="1:14">
      <c r="A124" s="1119" t="s">
        <v>2347</v>
      </c>
      <c r="B124" s="1119"/>
      <c r="C124" s="1119"/>
      <c r="D124" s="1119"/>
      <c r="E124" s="1119"/>
      <c r="F124" s="1119"/>
      <c r="G124" s="1119"/>
      <c r="H124" s="1119"/>
      <c r="I124" s="1119"/>
      <c r="J124" s="1119"/>
      <c r="K124" s="1119"/>
    </row>
    <row r="126" spans="1:14">
      <c r="A126" s="529" t="s">
        <v>1</v>
      </c>
      <c r="B126" s="1120" t="s">
        <v>2315</v>
      </c>
      <c r="C126" s="1121"/>
      <c r="D126" s="1121"/>
      <c r="E126" s="1121"/>
      <c r="F126" s="1121"/>
      <c r="G126" s="1122"/>
      <c r="H126" s="1123" t="s">
        <v>2300</v>
      </c>
      <c r="I126" s="1124"/>
      <c r="J126" s="1123" t="s">
        <v>2301</v>
      </c>
      <c r="K126" s="1124"/>
    </row>
    <row r="127" spans="1:14">
      <c r="A127" s="529">
        <v>1</v>
      </c>
      <c r="B127" s="1120" t="s">
        <v>2348</v>
      </c>
      <c r="C127" s="1121"/>
      <c r="D127" s="1121"/>
      <c r="E127" s="1121"/>
      <c r="F127" s="1121"/>
      <c r="G127" s="1122"/>
      <c r="H127" s="1123">
        <f>+STAT1!H69+STAT1!H70+STAT1!H71+STAT1!H72</f>
        <v>50000000.010500021</v>
      </c>
      <c r="I127" s="1124"/>
      <c r="J127" s="1123">
        <f>+STAT4!V69+STAT4!V70+STAT4!V71+STAT4!V72</f>
        <v>50000000.010500021</v>
      </c>
      <c r="K127" s="1124"/>
    </row>
    <row r="128" spans="1:14">
      <c r="A128" s="529">
        <f>+A127+1</f>
        <v>2</v>
      </c>
      <c r="B128" s="1120" t="s">
        <v>2349</v>
      </c>
      <c r="C128" s="1121"/>
      <c r="D128" s="1121"/>
      <c r="E128" s="1121"/>
      <c r="F128" s="1121"/>
      <c r="G128" s="1122"/>
      <c r="H128" s="1123"/>
      <c r="I128" s="1124"/>
      <c r="J128" s="1123"/>
      <c r="K128" s="1124"/>
    </row>
    <row r="129" spans="1:17">
      <c r="A129" s="529">
        <f t="shared" ref="A129:A131" si="8">+A128+1</f>
        <v>3</v>
      </c>
      <c r="B129" s="1120" t="s">
        <v>2350</v>
      </c>
      <c r="C129" s="1121"/>
      <c r="D129" s="1121"/>
      <c r="E129" s="1121"/>
      <c r="F129" s="1121"/>
      <c r="G129" s="1122"/>
      <c r="H129" s="1123"/>
      <c r="I129" s="1124"/>
      <c r="J129" s="1123"/>
      <c r="K129" s="1124"/>
    </row>
    <row r="130" spans="1:17">
      <c r="A130" s="529">
        <f t="shared" si="8"/>
        <v>4</v>
      </c>
      <c r="B130" s="535"/>
      <c r="C130" s="527"/>
      <c r="D130" s="527"/>
      <c r="E130" s="527"/>
      <c r="F130" s="527"/>
      <c r="G130" s="538"/>
      <c r="H130" s="1123"/>
      <c r="I130" s="1124"/>
      <c r="J130" s="1123"/>
      <c r="K130" s="1124"/>
    </row>
    <row r="131" spans="1:17">
      <c r="A131" s="529">
        <f t="shared" si="8"/>
        <v>5</v>
      </c>
      <c r="B131" s="1120" t="s">
        <v>2305</v>
      </c>
      <c r="C131" s="1121"/>
      <c r="D131" s="1121"/>
      <c r="E131" s="1121"/>
      <c r="F131" s="1121"/>
      <c r="G131" s="1122"/>
      <c r="H131" s="1123">
        <f>SUM(H127:I130)</f>
        <v>50000000.010500021</v>
      </c>
      <c r="I131" s="1124"/>
      <c r="J131" s="1123">
        <f>SUM(J127:K130)</f>
        <v>50000000.010500021</v>
      </c>
      <c r="K131" s="1124"/>
      <c r="M131" s="230">
        <f>+SUM(STAT4!V69:V72)</f>
        <v>50000000.010500021</v>
      </c>
      <c r="N131" s="230">
        <f>+J131-M131</f>
        <v>0</v>
      </c>
    </row>
    <row r="132" spans="1:17">
      <c r="L132" s="230" t="s">
        <v>2351</v>
      </c>
    </row>
    <row r="133" spans="1:17">
      <c r="A133" s="1119" t="s">
        <v>2352</v>
      </c>
      <c r="B133" s="1119"/>
      <c r="C133" s="1119"/>
      <c r="D133" s="1119"/>
      <c r="E133" s="1119"/>
      <c r="F133" s="1119"/>
      <c r="G133" s="1119"/>
      <c r="H133" s="1119"/>
      <c r="I133" s="1119"/>
      <c r="J133" s="1119"/>
      <c r="K133" s="1119"/>
      <c r="L133" s="542"/>
      <c r="M133" s="542"/>
      <c r="N133" s="542"/>
    </row>
    <row r="135" spans="1:17" ht="25.5">
      <c r="A135" s="529" t="s">
        <v>1</v>
      </c>
      <c r="B135" s="1134" t="s">
        <v>49</v>
      </c>
      <c r="C135" s="1134"/>
      <c r="D135" s="1134"/>
      <c r="E135" s="1134"/>
      <c r="F135" s="1134"/>
      <c r="G135" s="539" t="s">
        <v>2353</v>
      </c>
      <c r="H135" s="539" t="s">
        <v>664</v>
      </c>
      <c r="I135" s="539" t="s">
        <v>2354</v>
      </c>
      <c r="J135" s="539" t="s">
        <v>2355</v>
      </c>
      <c r="K135" s="539" t="s">
        <v>2356</v>
      </c>
      <c r="L135" s="539" t="s">
        <v>2357</v>
      </c>
      <c r="M135" s="539" t="s">
        <v>2358</v>
      </c>
      <c r="N135" s="539" t="s">
        <v>2305</v>
      </c>
    </row>
    <row r="136" spans="1:17">
      <c r="A136" s="543">
        <v>1</v>
      </c>
      <c r="B136" s="1135" t="s">
        <v>2359</v>
      </c>
      <c r="C136" s="1135"/>
      <c r="D136" s="1135"/>
      <c r="E136" s="1135"/>
      <c r="F136" s="1135"/>
      <c r="G136" s="537"/>
      <c r="H136" s="537"/>
      <c r="I136" s="537"/>
      <c r="J136" s="537"/>
      <c r="K136" s="537"/>
      <c r="L136" s="537"/>
      <c r="M136" s="537"/>
      <c r="N136" s="537"/>
    </row>
    <row r="137" spans="1:17">
      <c r="A137" s="541">
        <v>1.1000000000000001</v>
      </c>
      <c r="B137" s="1134" t="s">
        <v>2300</v>
      </c>
      <c r="C137" s="1134"/>
      <c r="D137" s="1134"/>
      <c r="E137" s="1134"/>
      <c r="F137" s="1134"/>
      <c r="G137" s="537"/>
      <c r="H137" s="537">
        <f>+STAT1!H75</f>
        <v>1172805331</v>
      </c>
      <c r="I137" s="537">
        <f>+STAT1!H77</f>
        <v>709587375.44000006</v>
      </c>
      <c r="J137" s="537">
        <f>+STAT1!H78</f>
        <v>174300000</v>
      </c>
      <c r="K137" s="537">
        <f>+STAT1!H76</f>
        <v>8844705.1799999997</v>
      </c>
      <c r="L137" s="537">
        <f>+STAT1!H79</f>
        <v>17111038.23</v>
      </c>
      <c r="M137" s="537">
        <f>+STAT1!H81</f>
        <v>0</v>
      </c>
      <c r="N137" s="537">
        <f>SUM(G137:M137)</f>
        <v>2082648449.8500001</v>
      </c>
      <c r="P137" s="230">
        <f>+SUM(STAT1!H74:H81)</f>
        <v>2082648449.8500001</v>
      </c>
      <c r="Q137" s="230">
        <f>+N137-P137</f>
        <v>0</v>
      </c>
    </row>
    <row r="138" spans="1:17">
      <c r="A138" s="541">
        <v>1.2</v>
      </c>
      <c r="B138" s="1134" t="s">
        <v>2339</v>
      </c>
      <c r="C138" s="1134"/>
      <c r="D138" s="1134"/>
      <c r="E138" s="1134"/>
      <c r="F138" s="1134"/>
      <c r="G138" s="537">
        <f>SUM(G139:G142)</f>
        <v>0</v>
      </c>
      <c r="H138" s="537">
        <f>SUM(H139:H142)</f>
        <v>0</v>
      </c>
      <c r="I138" s="537">
        <f t="shared" ref="I138:M138" si="9">SUM(I139:I142)</f>
        <v>0</v>
      </c>
      <c r="J138" s="537">
        <f t="shared" si="9"/>
        <v>0</v>
      </c>
      <c r="K138" s="537">
        <f t="shared" si="9"/>
        <v>0</v>
      </c>
      <c r="L138" s="537">
        <f t="shared" si="9"/>
        <v>0</v>
      </c>
      <c r="M138" s="537">
        <f t="shared" si="9"/>
        <v>0</v>
      </c>
      <c r="N138" s="537">
        <f t="shared" ref="N138:N161" si="10">SUM(G138:M138)</f>
        <v>0</v>
      </c>
    </row>
    <row r="139" spans="1:17">
      <c r="A139" s="529"/>
      <c r="B139" s="536"/>
      <c r="C139" s="1134" t="s">
        <v>2360</v>
      </c>
      <c r="D139" s="1134"/>
      <c r="E139" s="1134"/>
      <c r="F139" s="1134"/>
      <c r="G139" s="537"/>
      <c r="H139" s="537"/>
      <c r="I139" s="537"/>
      <c r="J139" s="537"/>
      <c r="K139" s="537"/>
      <c r="L139" s="537"/>
      <c r="M139" s="537"/>
      <c r="N139" s="537">
        <f t="shared" si="10"/>
        <v>0</v>
      </c>
    </row>
    <row r="140" spans="1:17">
      <c r="A140" s="529"/>
      <c r="B140" s="536"/>
      <c r="C140" s="1134" t="s">
        <v>2361</v>
      </c>
      <c r="D140" s="1134"/>
      <c r="E140" s="1134"/>
      <c r="F140" s="1134"/>
      <c r="G140" s="537"/>
      <c r="H140" s="537"/>
      <c r="I140" s="537"/>
      <c r="J140" s="537"/>
      <c r="K140" s="537"/>
      <c r="L140" s="537"/>
      <c r="M140" s="537"/>
      <c r="N140" s="537">
        <f t="shared" si="10"/>
        <v>0</v>
      </c>
    </row>
    <row r="141" spans="1:17">
      <c r="A141" s="529"/>
      <c r="B141" s="536"/>
      <c r="C141" s="1134" t="s">
        <v>2362</v>
      </c>
      <c r="D141" s="1134"/>
      <c r="E141" s="1134"/>
      <c r="F141" s="1134"/>
      <c r="G141" s="537"/>
      <c r="H141" s="537"/>
      <c r="I141" s="537"/>
      <c r="J141" s="537"/>
      <c r="K141" s="537"/>
      <c r="L141" s="537"/>
      <c r="M141" s="537"/>
      <c r="N141" s="537">
        <f t="shared" si="10"/>
        <v>0</v>
      </c>
    </row>
    <row r="142" spans="1:17">
      <c r="A142" s="529"/>
      <c r="B142" s="536"/>
      <c r="C142" s="1134" t="s">
        <v>2363</v>
      </c>
      <c r="D142" s="1134"/>
      <c r="E142" s="1134"/>
      <c r="F142" s="1134"/>
      <c r="G142" s="537"/>
      <c r="H142" s="537"/>
      <c r="I142" s="537"/>
      <c r="J142" s="537"/>
      <c r="K142" s="537"/>
      <c r="L142" s="537"/>
      <c r="M142" s="537"/>
      <c r="N142" s="537">
        <f t="shared" si="10"/>
        <v>0</v>
      </c>
    </row>
    <row r="143" spans="1:17">
      <c r="A143" s="541">
        <v>1.3</v>
      </c>
      <c r="B143" s="1134" t="s">
        <v>2364</v>
      </c>
      <c r="C143" s="1134"/>
      <c r="D143" s="1134"/>
      <c r="E143" s="1134"/>
      <c r="F143" s="1134"/>
      <c r="G143" s="537">
        <f>SUM(G144:G147)</f>
        <v>0</v>
      </c>
      <c r="H143" s="537">
        <f t="shared" ref="H143:N143" si="11">SUM(H144:H147)</f>
        <v>0</v>
      </c>
      <c r="I143" s="537">
        <f t="shared" si="11"/>
        <v>0</v>
      </c>
      <c r="J143" s="537">
        <f t="shared" si="11"/>
        <v>0</v>
      </c>
      <c r="K143" s="537">
        <f t="shared" si="11"/>
        <v>0</v>
      </c>
      <c r="L143" s="537">
        <f t="shared" si="11"/>
        <v>0</v>
      </c>
      <c r="M143" s="537">
        <f t="shared" si="11"/>
        <v>0</v>
      </c>
      <c r="N143" s="537">
        <f t="shared" si="11"/>
        <v>0</v>
      </c>
    </row>
    <row r="144" spans="1:17">
      <c r="A144" s="529"/>
      <c r="B144" s="536"/>
      <c r="C144" s="1134" t="s">
        <v>2365</v>
      </c>
      <c r="D144" s="1134"/>
      <c r="E144" s="1134"/>
      <c r="F144" s="1134"/>
      <c r="G144" s="537"/>
      <c r="H144" s="537"/>
      <c r="I144" s="537"/>
      <c r="J144" s="537"/>
      <c r="K144" s="537"/>
      <c r="L144" s="537"/>
      <c r="M144" s="537"/>
      <c r="N144" s="537">
        <f t="shared" si="10"/>
        <v>0</v>
      </c>
    </row>
    <row r="145" spans="1:17">
      <c r="A145" s="529"/>
      <c r="B145" s="536"/>
      <c r="C145" s="1134" t="s">
        <v>2366</v>
      </c>
      <c r="D145" s="1134"/>
      <c r="E145" s="1134"/>
      <c r="F145" s="1134"/>
      <c r="G145" s="537"/>
      <c r="H145" s="537"/>
      <c r="I145" s="537"/>
      <c r="J145" s="537"/>
      <c r="K145" s="537"/>
      <c r="L145" s="537"/>
      <c r="M145" s="537"/>
      <c r="N145" s="537">
        <f t="shared" si="10"/>
        <v>0</v>
      </c>
    </row>
    <row r="146" spans="1:17">
      <c r="A146" s="529"/>
      <c r="B146" s="536"/>
      <c r="C146" s="1134" t="s">
        <v>2367</v>
      </c>
      <c r="D146" s="1134"/>
      <c r="E146" s="1134"/>
      <c r="F146" s="1134"/>
      <c r="G146" s="537"/>
      <c r="H146" s="537"/>
      <c r="I146" s="537"/>
      <c r="J146" s="537"/>
      <c r="K146" s="537"/>
      <c r="L146" s="537"/>
      <c r="M146" s="537"/>
      <c r="N146" s="537">
        <f t="shared" si="10"/>
        <v>0</v>
      </c>
    </row>
    <row r="147" spans="1:17">
      <c r="A147" s="529"/>
      <c r="B147" s="536"/>
      <c r="C147" s="1120"/>
      <c r="D147" s="1121"/>
      <c r="E147" s="1121"/>
      <c r="F147" s="1122"/>
      <c r="G147" s="537"/>
      <c r="H147" s="537"/>
      <c r="I147" s="537"/>
      <c r="J147" s="537"/>
      <c r="K147" s="537"/>
      <c r="L147" s="537"/>
      <c r="M147" s="537"/>
      <c r="N147" s="537">
        <f t="shared" si="10"/>
        <v>0</v>
      </c>
    </row>
    <row r="148" spans="1:17">
      <c r="A148" s="541">
        <v>1.4</v>
      </c>
      <c r="B148" s="1120" t="s">
        <v>2368</v>
      </c>
      <c r="C148" s="1121"/>
      <c r="D148" s="1121"/>
      <c r="E148" s="1121"/>
      <c r="F148" s="1122"/>
      <c r="G148" s="537"/>
      <c r="H148" s="537"/>
      <c r="I148" s="537"/>
      <c r="J148" s="537"/>
      <c r="K148" s="537"/>
      <c r="L148" s="537"/>
      <c r="M148" s="537"/>
      <c r="N148" s="537">
        <f t="shared" si="10"/>
        <v>0</v>
      </c>
    </row>
    <row r="149" spans="1:17">
      <c r="A149" s="541">
        <v>1.5</v>
      </c>
      <c r="B149" s="1131" t="s">
        <v>2369</v>
      </c>
      <c r="C149" s="1131"/>
      <c r="D149" s="1131"/>
      <c r="E149" s="1131"/>
      <c r="F149" s="1131"/>
      <c r="G149" s="537"/>
      <c r="H149" s="537"/>
      <c r="I149" s="537"/>
      <c r="J149" s="537"/>
      <c r="K149" s="537"/>
      <c r="L149" s="537"/>
      <c r="M149" s="537"/>
      <c r="N149" s="537">
        <f t="shared" si="10"/>
        <v>0</v>
      </c>
    </row>
    <row r="150" spans="1:17">
      <c r="A150" s="541">
        <v>1.6</v>
      </c>
      <c r="B150" s="1120" t="s">
        <v>2301</v>
      </c>
      <c r="C150" s="1121"/>
      <c r="D150" s="1121"/>
      <c r="E150" s="1121"/>
      <c r="F150" s="1122"/>
      <c r="G150" s="537"/>
      <c r="H150" s="537">
        <f>+H137+H138-H143</f>
        <v>1172805331</v>
      </c>
      <c r="I150" s="537">
        <f t="shared" ref="I150:M150" si="12">+I137+I138-I143</f>
        <v>709587375.44000006</v>
      </c>
      <c r="J150" s="537">
        <f t="shared" si="12"/>
        <v>174300000</v>
      </c>
      <c r="K150" s="537">
        <f t="shared" si="12"/>
        <v>8844705.1799999997</v>
      </c>
      <c r="L150" s="537">
        <f t="shared" si="12"/>
        <v>17111038.23</v>
      </c>
      <c r="M150" s="537">
        <f t="shared" si="12"/>
        <v>0</v>
      </c>
      <c r="N150" s="537">
        <f t="shared" si="10"/>
        <v>2082648449.8500001</v>
      </c>
      <c r="P150" s="230">
        <f>+SUM(STAT4!V74:V81)</f>
        <v>2082648449.8500001</v>
      </c>
      <c r="Q150" s="230">
        <f>+N150-P150</f>
        <v>0</v>
      </c>
    </row>
    <row r="151" spans="1:17">
      <c r="A151" s="543">
        <v>2</v>
      </c>
      <c r="B151" s="1135" t="s">
        <v>2370</v>
      </c>
      <c r="C151" s="1135"/>
      <c r="D151" s="1135"/>
      <c r="E151" s="1135"/>
      <c r="F151" s="1135"/>
      <c r="G151" s="537"/>
      <c r="H151" s="537"/>
      <c r="I151" s="537"/>
      <c r="J151" s="537"/>
      <c r="K151" s="537"/>
      <c r="L151" s="537"/>
      <c r="M151" s="537"/>
      <c r="N151" s="537">
        <f t="shared" si="10"/>
        <v>0</v>
      </c>
    </row>
    <row r="152" spans="1:17">
      <c r="A152" s="541">
        <v>2.1</v>
      </c>
      <c r="B152" s="1120" t="s">
        <v>2300</v>
      </c>
      <c r="C152" s="1121"/>
      <c r="D152" s="1121"/>
      <c r="E152" s="1121"/>
      <c r="F152" s="1122"/>
      <c r="G152" s="537"/>
      <c r="H152" s="537">
        <f>+STAT1!I85</f>
        <v>606939167.42999995</v>
      </c>
      <c r="I152" s="537">
        <f>+STAT1!I87</f>
        <v>440548707.46999997</v>
      </c>
      <c r="J152" s="537">
        <f>+STAT1!I88</f>
        <v>42780000</v>
      </c>
      <c r="K152" s="537">
        <f>+STAT1!I86</f>
        <v>7092744.9999999991</v>
      </c>
      <c r="L152" s="537">
        <f>+STAT1!I91</f>
        <v>17078821.600000001</v>
      </c>
      <c r="M152" s="537">
        <f>+STAT1!I89</f>
        <v>0</v>
      </c>
      <c r="N152" s="537">
        <f t="shared" si="10"/>
        <v>1114439441.4999998</v>
      </c>
      <c r="P152" s="230">
        <f>+SUM(STAT1!I85:I91)</f>
        <v>1114439441.4999998</v>
      </c>
      <c r="Q152" s="230">
        <f>+N152-P152</f>
        <v>0</v>
      </c>
    </row>
    <row r="153" spans="1:17">
      <c r="A153" s="541">
        <v>2.2000000000000002</v>
      </c>
      <c r="B153" s="1120" t="s">
        <v>2339</v>
      </c>
      <c r="C153" s="1121"/>
      <c r="D153" s="1121"/>
      <c r="E153" s="1121"/>
      <c r="F153" s="1122"/>
      <c r="G153" s="537">
        <f>+SUM(G154:G156)</f>
        <v>0</v>
      </c>
      <c r="H153" s="537">
        <f t="shared" ref="H153:M153" si="13">+SUM(H154:H156)</f>
        <v>26647500</v>
      </c>
      <c r="I153" s="537">
        <f t="shared" si="13"/>
        <v>66753192.890000001</v>
      </c>
      <c r="J153" s="537">
        <f t="shared" si="13"/>
        <v>16980000</v>
      </c>
      <c r="K153" s="537">
        <f t="shared" si="13"/>
        <v>292290.88</v>
      </c>
      <c r="L153" s="537">
        <f t="shared" si="13"/>
        <v>32216.629999998841</v>
      </c>
      <c r="M153" s="537">
        <f t="shared" si="13"/>
        <v>0</v>
      </c>
      <c r="N153" s="537">
        <f t="shared" si="10"/>
        <v>110705200.39999999</v>
      </c>
    </row>
    <row r="154" spans="1:17">
      <c r="A154" s="529"/>
      <c r="B154" s="536"/>
      <c r="C154" s="1120" t="s">
        <v>2371</v>
      </c>
      <c r="D154" s="1121"/>
      <c r="E154" s="1121"/>
      <c r="F154" s="1122"/>
      <c r="G154" s="537"/>
      <c r="H154" s="537">
        <f>+STAT1!K85+STAT2!K85+STAT3!K85+STAT4!K85+STAT1!O85+STAT2!O85+STAT3!O85+STAT4!O85</f>
        <v>26647500</v>
      </c>
      <c r="I154" s="537">
        <f>+STAT1!K87+STAT2!K87+STAT3!K87+STAT4!K87+STAT1!O87+STAT2!O87+STAT3!O87+STAT4!O87</f>
        <v>66753192.890000001</v>
      </c>
      <c r="J154" s="537">
        <f>+STAT1!K88+STAT2!K88+STAT3!K88+STAT4!K88+STAT1!O88+STAT2!O88+STAT3!O88+STAT4!O88</f>
        <v>16980000</v>
      </c>
      <c r="K154" s="537">
        <f>+STAT1!K86+STAT2!K86+STAT3!K86+STAT4!K86+STAT1!O86+STAT2!O86+STAT3!O86+STAT4!O86</f>
        <v>292290.88</v>
      </c>
      <c r="L154" s="537">
        <f>+STAT1!K91+STAT2!K91+STAT3!K91+STAT4!K91+STAT1!O91+STAT2!O91+STAT3!O91+STAT4!O91-STAT4!J91</f>
        <v>32216.629999998841</v>
      </c>
      <c r="M154" s="537">
        <f>+STAT1!K89+STAT2!K89+STAT3!K89+STAT4!K89+STAT1!O89+STAT2!O89+STAT3!O89+STAT4!O89</f>
        <v>0</v>
      </c>
      <c r="N154" s="537">
        <f>SUM(G154:M154)</f>
        <v>110705200.39999999</v>
      </c>
    </row>
    <row r="155" spans="1:17">
      <c r="A155" s="529"/>
      <c r="B155" s="536"/>
      <c r="C155" s="1120" t="s">
        <v>2372</v>
      </c>
      <c r="D155" s="1121"/>
      <c r="E155" s="1121"/>
      <c r="F155" s="1122"/>
      <c r="G155" s="537"/>
      <c r="H155" s="537"/>
      <c r="I155" s="537"/>
      <c r="J155" s="537"/>
      <c r="K155" s="537"/>
      <c r="L155" s="537"/>
      <c r="M155" s="537"/>
      <c r="N155" s="537">
        <f t="shared" si="10"/>
        <v>0</v>
      </c>
    </row>
    <row r="156" spans="1:17">
      <c r="A156" s="529"/>
      <c r="B156" s="536"/>
      <c r="C156" s="1120" t="s">
        <v>2373</v>
      </c>
      <c r="D156" s="1121"/>
      <c r="E156" s="1121"/>
      <c r="F156" s="1122"/>
      <c r="G156" s="537"/>
      <c r="H156" s="537"/>
      <c r="I156" s="537"/>
      <c r="J156" s="537"/>
      <c r="K156" s="537"/>
      <c r="L156" s="537"/>
      <c r="M156" s="537"/>
      <c r="N156" s="537">
        <f t="shared" si="10"/>
        <v>0</v>
      </c>
    </row>
    <row r="157" spans="1:17">
      <c r="A157" s="541">
        <v>2.2999999999999998</v>
      </c>
      <c r="B157" s="1120" t="s">
        <v>2374</v>
      </c>
      <c r="C157" s="1121"/>
      <c r="D157" s="1121"/>
      <c r="E157" s="1121"/>
      <c r="F157" s="1122"/>
      <c r="G157" s="537">
        <f>+SUM(G158:G160)</f>
        <v>0</v>
      </c>
      <c r="H157" s="537">
        <f t="shared" ref="H157:M157" si="14">+SUM(H158:H160)</f>
        <v>0</v>
      </c>
      <c r="I157" s="537">
        <f t="shared" si="14"/>
        <v>0</v>
      </c>
      <c r="J157" s="537">
        <f t="shared" si="14"/>
        <v>0</v>
      </c>
      <c r="K157" s="537">
        <f t="shared" si="14"/>
        <v>0</v>
      </c>
      <c r="L157" s="537">
        <f t="shared" si="14"/>
        <v>0</v>
      </c>
      <c r="M157" s="537">
        <f t="shared" si="14"/>
        <v>0</v>
      </c>
      <c r="N157" s="537">
        <f t="shared" si="10"/>
        <v>0</v>
      </c>
    </row>
    <row r="158" spans="1:17">
      <c r="A158" s="529"/>
      <c r="B158" s="536"/>
      <c r="C158" s="1120" t="s">
        <v>2375</v>
      </c>
      <c r="D158" s="1121"/>
      <c r="E158" s="1121"/>
      <c r="F158" s="1122"/>
      <c r="G158" s="537"/>
      <c r="H158" s="537"/>
      <c r="I158" s="537"/>
      <c r="J158" s="537"/>
      <c r="K158" s="537"/>
      <c r="L158" s="537"/>
      <c r="M158" s="537"/>
      <c r="N158" s="537">
        <f t="shared" si="10"/>
        <v>0</v>
      </c>
    </row>
    <row r="159" spans="1:17">
      <c r="A159" s="529"/>
      <c r="B159" s="536"/>
      <c r="C159" s="1120" t="s">
        <v>2376</v>
      </c>
      <c r="D159" s="1121"/>
      <c r="E159" s="1121"/>
      <c r="F159" s="1122"/>
      <c r="G159" s="537"/>
      <c r="H159" s="537"/>
      <c r="I159" s="537"/>
      <c r="J159" s="537"/>
      <c r="K159" s="537"/>
      <c r="L159" s="537"/>
      <c r="M159" s="537"/>
      <c r="N159" s="537">
        <f t="shared" si="10"/>
        <v>0</v>
      </c>
    </row>
    <row r="160" spans="1:17">
      <c r="A160" s="529"/>
      <c r="B160" s="536"/>
      <c r="C160" s="1120" t="s">
        <v>2377</v>
      </c>
      <c r="D160" s="1121"/>
      <c r="E160" s="1121"/>
      <c r="F160" s="1122"/>
      <c r="G160" s="537"/>
      <c r="H160" s="537"/>
      <c r="I160" s="537"/>
      <c r="J160" s="537"/>
      <c r="K160" s="537"/>
      <c r="L160" s="537"/>
      <c r="M160" s="537"/>
      <c r="N160" s="537">
        <f t="shared" si="10"/>
        <v>0</v>
      </c>
    </row>
    <row r="161" spans="1:17">
      <c r="A161" s="541">
        <v>2.4</v>
      </c>
      <c r="B161" s="1120" t="s">
        <v>2301</v>
      </c>
      <c r="C161" s="1121"/>
      <c r="D161" s="1121"/>
      <c r="E161" s="1121"/>
      <c r="F161" s="1122"/>
      <c r="G161" s="537">
        <f>+G152+G153-G157</f>
        <v>0</v>
      </c>
      <c r="H161" s="537">
        <f t="shared" ref="H161:M161" si="15">+H152+H153-H157</f>
        <v>633586667.42999995</v>
      </c>
      <c r="I161" s="537">
        <f t="shared" si="15"/>
        <v>507301900.35999995</v>
      </c>
      <c r="J161" s="537">
        <f t="shared" si="15"/>
        <v>59760000</v>
      </c>
      <c r="K161" s="537">
        <f t="shared" si="15"/>
        <v>7385035.879999999</v>
      </c>
      <c r="L161" s="537">
        <f>+L152+L153-L157</f>
        <v>17111038.23</v>
      </c>
      <c r="M161" s="537">
        <f t="shared" si="15"/>
        <v>0</v>
      </c>
      <c r="N161" s="537">
        <f t="shared" si="10"/>
        <v>1225144641.9000001</v>
      </c>
      <c r="P161" s="230">
        <f>+SUM(STAT4!W85:W91)</f>
        <v>1225144641.8999999</v>
      </c>
      <c r="Q161" s="230">
        <f>+N161-P161</f>
        <v>0</v>
      </c>
    </row>
    <row r="162" spans="1:17">
      <c r="A162" s="543">
        <v>3</v>
      </c>
      <c r="B162" s="1135" t="s">
        <v>2378</v>
      </c>
      <c r="C162" s="1135"/>
      <c r="D162" s="1135"/>
      <c r="E162" s="1135"/>
      <c r="F162" s="1135"/>
      <c r="G162" s="537"/>
      <c r="H162" s="537"/>
      <c r="I162" s="537"/>
      <c r="J162" s="537"/>
      <c r="K162" s="537"/>
      <c r="L162" s="537"/>
      <c r="M162" s="537"/>
      <c r="N162" s="537">
        <f>SUM(G162:M162)</f>
        <v>0</v>
      </c>
    </row>
    <row r="163" spans="1:17">
      <c r="A163" s="541">
        <v>3.1</v>
      </c>
      <c r="B163" s="1120" t="s">
        <v>2379</v>
      </c>
      <c r="C163" s="1121"/>
      <c r="D163" s="1121"/>
      <c r="E163" s="1121"/>
      <c r="F163" s="1122"/>
      <c r="G163" s="537">
        <f>+G137-G152</f>
        <v>0</v>
      </c>
      <c r="H163" s="537">
        <f>+H137-H152</f>
        <v>565866163.57000005</v>
      </c>
      <c r="I163" s="537">
        <f t="shared" ref="I163:M163" si="16">+I137-I152</f>
        <v>269038667.97000009</v>
      </c>
      <c r="J163" s="537">
        <f t="shared" si="16"/>
        <v>131520000</v>
      </c>
      <c r="K163" s="537">
        <f t="shared" si="16"/>
        <v>1751960.1800000006</v>
      </c>
      <c r="L163" s="537">
        <f>+L137-L152</f>
        <v>32216.629999998957</v>
      </c>
      <c r="M163" s="537">
        <f t="shared" si="16"/>
        <v>0</v>
      </c>
      <c r="N163" s="537">
        <f>+N137-N152</f>
        <v>968209008.35000038</v>
      </c>
    </row>
    <row r="164" spans="1:17">
      <c r="A164" s="541">
        <v>3.2</v>
      </c>
      <c r="B164" s="1120" t="s">
        <v>2380</v>
      </c>
      <c r="C164" s="1121"/>
      <c r="D164" s="1121"/>
      <c r="E164" s="1121"/>
      <c r="F164" s="1122"/>
      <c r="G164" s="537">
        <f>+G148-G162</f>
        <v>0</v>
      </c>
      <c r="H164" s="537">
        <f>+H150-H161</f>
        <v>539218663.57000005</v>
      </c>
      <c r="I164" s="537">
        <f t="shared" ref="I164:N164" si="17">+I150-I161</f>
        <v>202285475.0800001</v>
      </c>
      <c r="J164" s="537">
        <f t="shared" si="17"/>
        <v>114540000</v>
      </c>
      <c r="K164" s="537">
        <f t="shared" si="17"/>
        <v>1459669.3000000007</v>
      </c>
      <c r="L164" s="537">
        <f t="shared" si="17"/>
        <v>0</v>
      </c>
      <c r="M164" s="537">
        <f t="shared" si="17"/>
        <v>0</v>
      </c>
      <c r="N164" s="537">
        <f t="shared" si="17"/>
        <v>857503807.95000005</v>
      </c>
    </row>
    <row r="166" spans="1:17">
      <c r="A166" s="1133" t="s">
        <v>2381</v>
      </c>
      <c r="B166" s="1133"/>
      <c r="C166" s="1133"/>
      <c r="D166" s="1133"/>
      <c r="E166" s="1133"/>
      <c r="F166" s="1133"/>
      <c r="G166" s="1133"/>
      <c r="H166" s="1133"/>
      <c r="I166" s="1133"/>
      <c r="J166" s="1133"/>
      <c r="K166" s="1133"/>
      <c r="L166" s="1133"/>
      <c r="M166" s="1133"/>
      <c r="N166" s="1133"/>
    </row>
    <row r="167" spans="1:17">
      <c r="L167" s="230" t="s">
        <v>2382</v>
      </c>
    </row>
    <row r="168" spans="1:17">
      <c r="A168" s="1119" t="s">
        <v>2383</v>
      </c>
      <c r="B168" s="1119"/>
      <c r="C168" s="1119"/>
      <c r="D168" s="1119"/>
      <c r="E168" s="1119"/>
      <c r="F168" s="1119"/>
      <c r="G168" s="1119"/>
      <c r="H168" s="1119"/>
      <c r="I168" s="1119"/>
      <c r="J168" s="1119"/>
      <c r="K168" s="1119"/>
      <c r="L168" s="542"/>
      <c r="M168" s="542"/>
      <c r="N168" s="542"/>
    </row>
    <row r="170" spans="1:17" ht="25.5">
      <c r="A170" s="529" t="s">
        <v>1</v>
      </c>
      <c r="B170" s="1134" t="s">
        <v>49</v>
      </c>
      <c r="C170" s="1134"/>
      <c r="D170" s="1134"/>
      <c r="E170" s="1134"/>
      <c r="F170" s="1134"/>
      <c r="G170" s="539"/>
      <c r="H170" s="539"/>
      <c r="I170" s="539"/>
      <c r="J170" s="539"/>
      <c r="K170" s="539"/>
      <c r="L170" s="539"/>
      <c r="M170" s="539" t="s">
        <v>2384</v>
      </c>
      <c r="N170" s="539" t="s">
        <v>2305</v>
      </c>
    </row>
    <row r="171" spans="1:17">
      <c r="A171" s="543">
        <v>1</v>
      </c>
      <c r="B171" s="1135" t="s">
        <v>2385</v>
      </c>
      <c r="C171" s="1135"/>
      <c r="D171" s="1135"/>
      <c r="E171" s="1135"/>
      <c r="F171" s="1135"/>
      <c r="G171" s="537"/>
      <c r="H171" s="537"/>
      <c r="I171" s="537"/>
      <c r="J171" s="537"/>
      <c r="K171" s="537"/>
      <c r="L171" s="537"/>
      <c r="M171" s="537"/>
      <c r="N171" s="537"/>
    </row>
    <row r="172" spans="1:17">
      <c r="A172" s="541">
        <v>1.1000000000000001</v>
      </c>
      <c r="B172" s="1134" t="s">
        <v>2300</v>
      </c>
      <c r="C172" s="1134"/>
      <c r="D172" s="1134"/>
      <c r="E172" s="1134"/>
      <c r="F172" s="1134"/>
      <c r="G172" s="537"/>
      <c r="H172" s="537"/>
      <c r="I172" s="537"/>
      <c r="J172" s="537"/>
      <c r="K172" s="537"/>
      <c r="L172" s="537"/>
      <c r="M172" s="537"/>
      <c r="N172" s="537"/>
    </row>
    <row r="173" spans="1:17">
      <c r="A173" s="541">
        <v>1.2</v>
      </c>
      <c r="B173" s="1134" t="s">
        <v>2339</v>
      </c>
      <c r="C173" s="1134"/>
      <c r="D173" s="1134"/>
      <c r="E173" s="1134"/>
      <c r="F173" s="1134"/>
      <c r="G173" s="537"/>
      <c r="H173" s="537"/>
      <c r="I173" s="537"/>
      <c r="J173" s="537"/>
      <c r="K173" s="537"/>
      <c r="L173" s="537"/>
      <c r="M173" s="537"/>
      <c r="N173" s="537"/>
    </row>
    <row r="174" spans="1:17">
      <c r="A174" s="529"/>
      <c r="B174" s="536"/>
      <c r="C174" s="1134" t="s">
        <v>2360</v>
      </c>
      <c r="D174" s="1134"/>
      <c r="E174" s="1134"/>
      <c r="F174" s="1134"/>
      <c r="G174" s="537"/>
      <c r="H174" s="537"/>
      <c r="I174" s="537"/>
      <c r="J174" s="537"/>
      <c r="K174" s="537"/>
      <c r="L174" s="537"/>
      <c r="M174" s="537"/>
      <c r="N174" s="537"/>
    </row>
    <row r="175" spans="1:17">
      <c r="A175" s="529"/>
      <c r="B175" s="536"/>
      <c r="C175" s="1134" t="s">
        <v>2361</v>
      </c>
      <c r="D175" s="1134"/>
      <c r="E175" s="1134"/>
      <c r="F175" s="1134"/>
      <c r="G175" s="537"/>
      <c r="H175" s="537"/>
      <c r="I175" s="537"/>
      <c r="J175" s="537"/>
      <c r="K175" s="537"/>
      <c r="L175" s="537"/>
      <c r="M175" s="537"/>
      <c r="N175" s="537"/>
    </row>
    <row r="176" spans="1:17">
      <c r="A176" s="529"/>
      <c r="B176" s="536"/>
      <c r="C176" s="1134" t="s">
        <v>2362</v>
      </c>
      <c r="D176" s="1134"/>
      <c r="E176" s="1134"/>
      <c r="F176" s="1134"/>
      <c r="G176" s="537"/>
      <c r="H176" s="537"/>
      <c r="I176" s="537"/>
      <c r="J176" s="537"/>
      <c r="K176" s="537"/>
      <c r="L176" s="537"/>
      <c r="M176" s="537"/>
      <c r="N176" s="537"/>
    </row>
    <row r="177" spans="1:14">
      <c r="A177" s="529"/>
      <c r="B177" s="536"/>
      <c r="C177" s="1134" t="s">
        <v>2363</v>
      </c>
      <c r="D177" s="1134"/>
      <c r="E177" s="1134"/>
      <c r="F177" s="1134"/>
      <c r="G177" s="537"/>
      <c r="H177" s="537"/>
      <c r="I177" s="537"/>
      <c r="J177" s="537"/>
      <c r="K177" s="537"/>
      <c r="L177" s="537"/>
      <c r="M177" s="537"/>
      <c r="N177" s="537"/>
    </row>
    <row r="178" spans="1:14">
      <c r="A178" s="541">
        <v>1.3</v>
      </c>
      <c r="B178" s="1134" t="s">
        <v>2364</v>
      </c>
      <c r="C178" s="1134"/>
      <c r="D178" s="1134"/>
      <c r="E178" s="1134"/>
      <c r="F178" s="1134"/>
      <c r="G178" s="537"/>
      <c r="H178" s="537"/>
      <c r="I178" s="537"/>
      <c r="J178" s="537"/>
      <c r="K178" s="537"/>
      <c r="L178" s="537"/>
      <c r="M178" s="537"/>
      <c r="N178" s="537"/>
    </row>
    <row r="179" spans="1:14">
      <c r="A179" s="529"/>
      <c r="B179" s="536"/>
      <c r="C179" s="1134" t="s">
        <v>2365</v>
      </c>
      <c r="D179" s="1134"/>
      <c r="E179" s="1134"/>
      <c r="F179" s="1134"/>
      <c r="G179" s="537"/>
      <c r="H179" s="537"/>
      <c r="I179" s="537"/>
      <c r="J179" s="537"/>
      <c r="K179" s="537"/>
      <c r="L179" s="537"/>
      <c r="M179" s="537"/>
      <c r="N179" s="537"/>
    </row>
    <row r="180" spans="1:14">
      <c r="A180" s="529"/>
      <c r="B180" s="536"/>
      <c r="C180" s="1134" t="s">
        <v>2366</v>
      </c>
      <c r="D180" s="1134"/>
      <c r="E180" s="1134"/>
      <c r="F180" s="1134"/>
      <c r="G180" s="537"/>
      <c r="H180" s="537"/>
      <c r="I180" s="537"/>
      <c r="J180" s="537"/>
      <c r="K180" s="537"/>
      <c r="L180" s="537"/>
      <c r="M180" s="537"/>
      <c r="N180" s="537"/>
    </row>
    <row r="181" spans="1:14">
      <c r="A181" s="529"/>
      <c r="B181" s="536"/>
      <c r="C181" s="1134" t="s">
        <v>2367</v>
      </c>
      <c r="D181" s="1134"/>
      <c r="E181" s="1134"/>
      <c r="F181" s="1134"/>
      <c r="G181" s="537"/>
      <c r="H181" s="537"/>
      <c r="I181" s="537"/>
      <c r="J181" s="537"/>
      <c r="K181" s="537"/>
      <c r="L181" s="537"/>
      <c r="M181" s="537"/>
      <c r="N181" s="537"/>
    </row>
    <row r="182" spans="1:14">
      <c r="A182" s="529"/>
      <c r="B182" s="536"/>
      <c r="C182" s="1120"/>
      <c r="D182" s="1121"/>
      <c r="E182" s="1121"/>
      <c r="F182" s="1122"/>
      <c r="G182" s="537"/>
      <c r="H182" s="537"/>
      <c r="I182" s="537"/>
      <c r="J182" s="537"/>
      <c r="K182" s="537"/>
      <c r="L182" s="537"/>
      <c r="M182" s="537"/>
      <c r="N182" s="537"/>
    </row>
    <row r="183" spans="1:14">
      <c r="A183" s="541">
        <v>1.4</v>
      </c>
      <c r="B183" s="1120" t="s">
        <v>2301</v>
      </c>
      <c r="C183" s="1121"/>
      <c r="D183" s="1121"/>
      <c r="E183" s="1121"/>
      <c r="F183" s="1122"/>
      <c r="G183" s="537"/>
      <c r="H183" s="537"/>
      <c r="I183" s="537"/>
      <c r="J183" s="537"/>
      <c r="K183" s="537"/>
      <c r="L183" s="537"/>
      <c r="M183" s="537"/>
      <c r="N183" s="537"/>
    </row>
    <row r="184" spans="1:14">
      <c r="A184" s="543">
        <v>2</v>
      </c>
      <c r="B184" s="1135" t="s">
        <v>2386</v>
      </c>
      <c r="C184" s="1135"/>
      <c r="D184" s="1135"/>
      <c r="E184" s="1135"/>
      <c r="F184" s="1135"/>
      <c r="G184" s="537"/>
      <c r="H184" s="537"/>
      <c r="I184" s="537"/>
      <c r="J184" s="537"/>
      <c r="K184" s="537"/>
      <c r="L184" s="537"/>
      <c r="M184" s="537"/>
      <c r="N184" s="537"/>
    </row>
    <row r="185" spans="1:14">
      <c r="A185" s="541">
        <v>2.1</v>
      </c>
      <c r="B185" s="1120" t="s">
        <v>2300</v>
      </c>
      <c r="C185" s="1121"/>
      <c r="D185" s="1121"/>
      <c r="E185" s="1121"/>
      <c r="F185" s="1122"/>
      <c r="G185" s="537"/>
      <c r="H185" s="537"/>
      <c r="I185" s="537"/>
      <c r="J185" s="537"/>
      <c r="K185" s="537"/>
      <c r="L185" s="537"/>
      <c r="M185" s="537"/>
      <c r="N185" s="537"/>
    </row>
    <row r="186" spans="1:14">
      <c r="A186" s="541">
        <v>2.2000000000000002</v>
      </c>
      <c r="B186" s="1120" t="s">
        <v>2339</v>
      </c>
      <c r="C186" s="1121"/>
      <c r="D186" s="1121"/>
      <c r="E186" s="1121"/>
      <c r="F186" s="1122"/>
      <c r="G186" s="537"/>
      <c r="H186" s="537"/>
      <c r="I186" s="537"/>
      <c r="J186" s="537"/>
      <c r="K186" s="537"/>
      <c r="L186" s="537"/>
      <c r="M186" s="537"/>
      <c r="N186" s="537"/>
    </row>
    <row r="187" spans="1:14">
      <c r="A187" s="529"/>
      <c r="B187" s="536"/>
      <c r="C187" s="1120" t="s">
        <v>2387</v>
      </c>
      <c r="D187" s="1121"/>
      <c r="E187" s="1121"/>
      <c r="F187" s="1122"/>
      <c r="G187" s="537"/>
      <c r="H187" s="537"/>
      <c r="I187" s="537"/>
      <c r="J187" s="537"/>
      <c r="K187" s="537"/>
      <c r="L187" s="537"/>
      <c r="M187" s="537"/>
      <c r="N187" s="537"/>
    </row>
    <row r="188" spans="1:14">
      <c r="A188" s="529"/>
      <c r="B188" s="536"/>
      <c r="C188" s="1120" t="s">
        <v>2372</v>
      </c>
      <c r="D188" s="1121"/>
      <c r="E188" s="1121"/>
      <c r="F188" s="1122"/>
      <c r="G188" s="537"/>
      <c r="H188" s="537"/>
      <c r="I188" s="537"/>
      <c r="J188" s="537"/>
      <c r="K188" s="537"/>
      <c r="L188" s="537"/>
      <c r="M188" s="537"/>
      <c r="N188" s="537"/>
    </row>
    <row r="189" spans="1:14">
      <c r="A189" s="529"/>
      <c r="B189" s="536"/>
      <c r="C189" s="1120" t="s">
        <v>2373</v>
      </c>
      <c r="D189" s="1121"/>
      <c r="E189" s="1121"/>
      <c r="F189" s="1122"/>
      <c r="G189" s="537"/>
      <c r="H189" s="537"/>
      <c r="I189" s="537"/>
      <c r="J189" s="537"/>
      <c r="K189" s="537"/>
      <c r="L189" s="537"/>
      <c r="M189" s="537"/>
      <c r="N189" s="537"/>
    </row>
    <row r="190" spans="1:14">
      <c r="A190" s="541">
        <v>2.2999999999999998</v>
      </c>
      <c r="B190" s="1120" t="s">
        <v>2374</v>
      </c>
      <c r="C190" s="1121"/>
      <c r="D190" s="1121"/>
      <c r="E190" s="1121"/>
      <c r="F190" s="1122"/>
      <c r="G190" s="537"/>
      <c r="H190" s="537"/>
      <c r="I190" s="537"/>
      <c r="J190" s="537"/>
      <c r="K190" s="537"/>
      <c r="L190" s="537"/>
      <c r="M190" s="537"/>
      <c r="N190" s="537"/>
    </row>
    <row r="191" spans="1:14">
      <c r="A191" s="529"/>
      <c r="B191" s="536"/>
      <c r="C191" s="1120" t="s">
        <v>2388</v>
      </c>
      <c r="D191" s="1121"/>
      <c r="E191" s="1121"/>
      <c r="F191" s="1122"/>
      <c r="G191" s="537"/>
      <c r="H191" s="537"/>
      <c r="I191" s="537"/>
      <c r="J191" s="537"/>
      <c r="K191" s="537"/>
      <c r="L191" s="537"/>
      <c r="M191" s="537"/>
      <c r="N191" s="537"/>
    </row>
    <row r="192" spans="1:14">
      <c r="A192" s="529"/>
      <c r="B192" s="536"/>
      <c r="C192" s="1120" t="s">
        <v>2376</v>
      </c>
      <c r="D192" s="1121"/>
      <c r="E192" s="1121"/>
      <c r="F192" s="1122"/>
      <c r="G192" s="537"/>
      <c r="H192" s="537"/>
      <c r="I192" s="537"/>
      <c r="J192" s="537"/>
      <c r="K192" s="537"/>
      <c r="L192" s="537"/>
      <c r="M192" s="537"/>
      <c r="N192" s="537"/>
    </row>
    <row r="193" spans="1:14">
      <c r="A193" s="529"/>
      <c r="B193" s="536"/>
      <c r="C193" s="1120" t="s">
        <v>2377</v>
      </c>
      <c r="D193" s="1121"/>
      <c r="E193" s="1121"/>
      <c r="F193" s="1122"/>
      <c r="G193" s="537"/>
      <c r="H193" s="537"/>
      <c r="I193" s="537"/>
      <c r="J193" s="537"/>
      <c r="K193" s="537"/>
      <c r="L193" s="537"/>
      <c r="M193" s="537"/>
      <c r="N193" s="537"/>
    </row>
    <row r="194" spans="1:14">
      <c r="A194" s="529"/>
      <c r="B194" s="1120" t="s">
        <v>2301</v>
      </c>
      <c r="C194" s="1121"/>
      <c r="D194" s="1121"/>
      <c r="E194" s="1121"/>
      <c r="F194" s="1122"/>
      <c r="G194" s="537"/>
      <c r="H194" s="537"/>
      <c r="I194" s="537"/>
      <c r="J194" s="537"/>
      <c r="K194" s="537"/>
      <c r="L194" s="537"/>
      <c r="M194" s="537"/>
      <c r="N194" s="537"/>
    </row>
    <row r="195" spans="1:14">
      <c r="A195" s="543">
        <v>3</v>
      </c>
      <c r="B195" s="1135" t="s">
        <v>2378</v>
      </c>
      <c r="C195" s="1135"/>
      <c r="D195" s="1135"/>
      <c r="E195" s="1135"/>
      <c r="F195" s="1135"/>
      <c r="G195" s="537"/>
      <c r="H195" s="537"/>
      <c r="I195" s="537"/>
      <c r="J195" s="537"/>
      <c r="K195" s="537"/>
      <c r="L195" s="537"/>
      <c r="M195" s="537"/>
      <c r="N195" s="537"/>
    </row>
    <row r="196" spans="1:14">
      <c r="A196" s="541">
        <v>3.1</v>
      </c>
      <c r="B196" s="1120" t="s">
        <v>2379</v>
      </c>
      <c r="C196" s="1121"/>
      <c r="D196" s="1121"/>
      <c r="E196" s="1121"/>
      <c r="F196" s="1122"/>
      <c r="G196" s="537"/>
      <c r="H196" s="537"/>
      <c r="I196" s="537"/>
      <c r="J196" s="537"/>
      <c r="K196" s="537"/>
      <c r="L196" s="537"/>
      <c r="M196" s="537"/>
      <c r="N196" s="537"/>
    </row>
    <row r="197" spans="1:14">
      <c r="A197" s="541">
        <v>3.2</v>
      </c>
      <c r="B197" s="1120" t="s">
        <v>2380</v>
      </c>
      <c r="C197" s="1121"/>
      <c r="D197" s="1121"/>
      <c r="E197" s="1121"/>
      <c r="F197" s="1122"/>
      <c r="G197" s="537"/>
      <c r="H197" s="537"/>
      <c r="I197" s="537"/>
      <c r="J197" s="537"/>
      <c r="K197" s="537"/>
      <c r="L197" s="537"/>
      <c r="M197" s="537"/>
      <c r="N197" s="537"/>
    </row>
    <row r="199" spans="1:14">
      <c r="A199" s="1133" t="s">
        <v>2389</v>
      </c>
      <c r="B199" s="1133"/>
      <c r="C199" s="1133"/>
      <c r="D199" s="1133"/>
      <c r="E199" s="1133"/>
      <c r="F199" s="1133"/>
      <c r="G199" s="1133"/>
      <c r="H199" s="1133"/>
      <c r="I199" s="1133"/>
      <c r="J199" s="1133"/>
      <c r="K199" s="1133"/>
      <c r="L199" s="1133"/>
      <c r="M199" s="1133"/>
      <c r="N199" s="1133"/>
    </row>
    <row r="201" spans="1:14">
      <c r="A201" s="1136" t="s">
        <v>2390</v>
      </c>
      <c r="B201" s="1136"/>
      <c r="C201" s="1136"/>
      <c r="D201" s="1136"/>
      <c r="E201" s="1136"/>
      <c r="F201" s="1136"/>
      <c r="G201" s="1136"/>
      <c r="H201" s="1136"/>
      <c r="I201" s="1136"/>
      <c r="J201" s="1136"/>
      <c r="K201" s="1136"/>
      <c r="L201" s="230" t="s">
        <v>2391</v>
      </c>
    </row>
    <row r="203" spans="1:14" ht="38.25">
      <c r="A203" s="530" t="s">
        <v>1</v>
      </c>
      <c r="B203" s="1145" t="s">
        <v>2392</v>
      </c>
      <c r="C203" s="1145"/>
      <c r="D203" s="1145"/>
      <c r="E203" s="1145"/>
      <c r="F203" s="1145"/>
      <c r="G203" s="1145"/>
      <c r="H203" s="544" t="s">
        <v>2393</v>
      </c>
      <c r="I203" s="544" t="s">
        <v>2394</v>
      </c>
      <c r="J203" s="544" t="s">
        <v>2395</v>
      </c>
      <c r="K203" s="539" t="s">
        <v>2396</v>
      </c>
    </row>
    <row r="204" spans="1:14">
      <c r="A204" s="529">
        <v>1</v>
      </c>
      <c r="B204" s="1123"/>
      <c r="C204" s="1146"/>
      <c r="D204" s="1146"/>
      <c r="E204" s="1146"/>
      <c r="F204" s="1146"/>
      <c r="G204" s="1124"/>
      <c r="H204" s="537"/>
      <c r="I204" s="537"/>
      <c r="J204" s="537"/>
      <c r="K204" s="537"/>
    </row>
    <row r="205" spans="1:14">
      <c r="A205" s="529">
        <v>2</v>
      </c>
      <c r="B205" s="1123"/>
      <c r="C205" s="1146"/>
      <c r="D205" s="1146"/>
      <c r="E205" s="1146"/>
      <c r="F205" s="1146"/>
      <c r="G205" s="1124"/>
      <c r="H205" s="537"/>
      <c r="I205" s="537"/>
      <c r="J205" s="537"/>
      <c r="K205" s="537"/>
    </row>
    <row r="206" spans="1:14">
      <c r="A206" s="529">
        <v>3</v>
      </c>
      <c r="B206" s="1120" t="s">
        <v>2305</v>
      </c>
      <c r="C206" s="1121"/>
      <c r="D206" s="1121"/>
      <c r="E206" s="1121"/>
      <c r="F206" s="1121"/>
      <c r="G206" s="1122"/>
      <c r="H206" s="537"/>
      <c r="I206" s="537"/>
      <c r="J206" s="537"/>
      <c r="K206" s="537"/>
    </row>
    <row r="208" spans="1:14">
      <c r="A208" s="1136" t="s">
        <v>2397</v>
      </c>
      <c r="B208" s="1136"/>
      <c r="C208" s="1136"/>
      <c r="D208" s="1136"/>
      <c r="E208" s="1136"/>
      <c r="F208" s="1136"/>
      <c r="G208" s="1136"/>
      <c r="H208" s="1136"/>
      <c r="I208" s="1136"/>
      <c r="J208" s="1136"/>
      <c r="K208" s="1136"/>
    </row>
    <row r="210" spans="1:11">
      <c r="A210" s="1137" t="s">
        <v>1</v>
      </c>
      <c r="B210" s="1139" t="s">
        <v>2398</v>
      </c>
      <c r="C210" s="1140"/>
      <c r="D210" s="1140"/>
      <c r="E210" s="1140"/>
      <c r="F210" s="1140"/>
      <c r="G210" s="1141"/>
      <c r="H210" s="1123" t="s">
        <v>2300</v>
      </c>
      <c r="I210" s="1124"/>
      <c r="J210" s="1123" t="s">
        <v>2301</v>
      </c>
      <c r="K210" s="1124"/>
    </row>
    <row r="211" spans="1:11">
      <c r="A211" s="1138"/>
      <c r="B211" s="1142"/>
      <c r="C211" s="1143"/>
      <c r="D211" s="1143"/>
      <c r="E211" s="1143"/>
      <c r="F211" s="1143"/>
      <c r="G211" s="1144"/>
      <c r="H211" s="545" t="s">
        <v>2178</v>
      </c>
      <c r="I211" s="545" t="s">
        <v>996</v>
      </c>
      <c r="J211" s="545" t="s">
        <v>2178</v>
      </c>
      <c r="K211" s="539" t="s">
        <v>996</v>
      </c>
    </row>
    <row r="212" spans="1:11">
      <c r="A212" s="529">
        <f>+A211+1</f>
        <v>1</v>
      </c>
      <c r="B212" s="1120"/>
      <c r="C212" s="1121"/>
      <c r="D212" s="1121"/>
      <c r="E212" s="1121"/>
      <c r="F212" s="1121"/>
      <c r="G212" s="1122"/>
      <c r="H212" s="534"/>
      <c r="I212" s="534"/>
      <c r="J212" s="534"/>
      <c r="K212" s="534"/>
    </row>
    <row r="213" spans="1:11">
      <c r="A213" s="529">
        <f t="shared" ref="A213" si="18">+A212+1</f>
        <v>2</v>
      </c>
      <c r="B213" s="1120"/>
      <c r="C213" s="1121"/>
      <c r="D213" s="1121"/>
      <c r="E213" s="1121"/>
      <c r="F213" s="1121"/>
      <c r="G213" s="1122"/>
      <c r="H213" s="534"/>
      <c r="I213" s="534"/>
      <c r="J213" s="534"/>
      <c r="K213" s="534"/>
    </row>
    <row r="214" spans="1:11">
      <c r="A214" s="529">
        <v>3</v>
      </c>
      <c r="B214" s="1120" t="s">
        <v>2305</v>
      </c>
      <c r="C214" s="1121"/>
      <c r="D214" s="1121"/>
      <c r="E214" s="1121"/>
      <c r="F214" s="1121"/>
      <c r="G214" s="1122"/>
      <c r="H214" s="534"/>
      <c r="I214" s="534"/>
      <c r="J214" s="534"/>
      <c r="K214" s="534"/>
    </row>
    <row r="215" spans="1:11">
      <c r="A215" s="546"/>
      <c r="B215" s="547"/>
      <c r="C215" s="547"/>
      <c r="D215" s="547"/>
      <c r="E215" s="547"/>
      <c r="F215" s="547"/>
      <c r="G215" s="547"/>
      <c r="H215" s="548"/>
      <c r="I215" s="548"/>
      <c r="J215" s="548"/>
      <c r="K215" s="548"/>
    </row>
    <row r="216" spans="1:11">
      <c r="A216" s="1147" t="s">
        <v>2399</v>
      </c>
      <c r="B216" s="1147"/>
      <c r="C216" s="1147"/>
      <c r="D216" s="1147"/>
      <c r="E216" s="1147"/>
      <c r="F216" s="1147"/>
      <c r="G216" s="1147"/>
      <c r="H216" s="1147"/>
      <c r="I216" s="1147"/>
      <c r="J216" s="1147"/>
      <c r="K216" s="1147"/>
    </row>
    <row r="217" spans="1:11">
      <c r="A217" s="580" t="s">
        <v>2670</v>
      </c>
      <c r="B217" s="547"/>
      <c r="C217" s="547"/>
      <c r="D217" s="547"/>
      <c r="E217" s="547"/>
      <c r="F217" s="547"/>
      <c r="G217" s="547"/>
      <c r="H217" s="548"/>
      <c r="I217" s="548"/>
      <c r="J217" s="548"/>
      <c r="K217" s="548"/>
    </row>
    <row r="218" spans="1:11">
      <c r="A218" s="580" t="s">
        <v>2670</v>
      </c>
      <c r="B218" s="547"/>
      <c r="C218" s="547"/>
      <c r="D218" s="547"/>
      <c r="E218" s="547"/>
      <c r="F218" s="547"/>
      <c r="G218" s="20"/>
      <c r="H218" s="20"/>
      <c r="I218" s="20"/>
      <c r="J218" s="20"/>
      <c r="K218" s="20"/>
    </row>
    <row r="220" spans="1:11">
      <c r="A220" s="1136" t="s">
        <v>2400</v>
      </c>
      <c r="B220" s="1136"/>
      <c r="C220" s="1136"/>
      <c r="D220" s="1136"/>
      <c r="E220" s="1136"/>
      <c r="F220" s="1136"/>
      <c r="G220" s="1136"/>
      <c r="H220" s="1136"/>
      <c r="I220" s="1136"/>
      <c r="J220" s="1136"/>
      <c r="K220" s="1136"/>
    </row>
    <row r="222" spans="1:11">
      <c r="A222" s="1137" t="s">
        <v>1</v>
      </c>
      <c r="B222" s="1139" t="s">
        <v>2398</v>
      </c>
      <c r="C222" s="1140"/>
      <c r="D222" s="1140"/>
      <c r="E222" s="1140"/>
      <c r="F222" s="1140"/>
      <c r="G222" s="1141"/>
      <c r="H222" s="1123" t="s">
        <v>2300</v>
      </c>
      <c r="I222" s="1124"/>
      <c r="J222" s="1123" t="s">
        <v>2301</v>
      </c>
      <c r="K222" s="1124"/>
    </row>
    <row r="223" spans="1:11" ht="38.25">
      <c r="A223" s="1138"/>
      <c r="B223" s="1142"/>
      <c r="C223" s="1143"/>
      <c r="D223" s="1143"/>
      <c r="E223" s="1143"/>
      <c r="F223" s="1143"/>
      <c r="G223" s="1144"/>
      <c r="H223" s="545" t="s">
        <v>2401</v>
      </c>
      <c r="I223" s="545" t="s">
        <v>2402</v>
      </c>
      <c r="J223" s="545" t="s">
        <v>2401</v>
      </c>
      <c r="K223" s="539" t="s">
        <v>2402</v>
      </c>
    </row>
    <row r="224" spans="1:11">
      <c r="A224" s="529">
        <f>+A223+1</f>
        <v>1</v>
      </c>
      <c r="B224" s="1120"/>
      <c r="C224" s="1121"/>
      <c r="D224" s="1121"/>
      <c r="E224" s="1121"/>
      <c r="F224" s="1121"/>
      <c r="G224" s="1122"/>
      <c r="H224" s="534"/>
      <c r="I224" s="534"/>
      <c r="J224" s="534"/>
      <c r="K224" s="534"/>
    </row>
    <row r="225" spans="1:11">
      <c r="A225" s="529">
        <f t="shared" ref="A225:A227" si="19">+A224+1</f>
        <v>2</v>
      </c>
      <c r="B225" s="1120"/>
      <c r="C225" s="1121"/>
      <c r="D225" s="1121"/>
      <c r="E225" s="1121"/>
      <c r="F225" s="1121"/>
      <c r="G225" s="1122"/>
      <c r="H225" s="534"/>
      <c r="I225" s="534"/>
      <c r="J225" s="534"/>
      <c r="K225" s="534"/>
    </row>
    <row r="226" spans="1:11">
      <c r="A226" s="529">
        <f t="shared" si="19"/>
        <v>3</v>
      </c>
      <c r="B226" s="535"/>
      <c r="C226" s="527"/>
      <c r="D226" s="527"/>
      <c r="E226" s="527"/>
      <c r="F226" s="527"/>
      <c r="G226" s="538"/>
      <c r="H226" s="534"/>
      <c r="I226" s="534"/>
      <c r="J226" s="534"/>
      <c r="K226" s="534"/>
    </row>
    <row r="227" spans="1:11">
      <c r="A227" s="529">
        <f t="shared" si="19"/>
        <v>4</v>
      </c>
      <c r="B227" s="1120" t="s">
        <v>2305</v>
      </c>
      <c r="C227" s="1121"/>
      <c r="D227" s="1121"/>
      <c r="E227" s="1121"/>
      <c r="F227" s="1121"/>
      <c r="G227" s="1122"/>
      <c r="H227" s="534"/>
      <c r="I227" s="534"/>
      <c r="J227" s="534"/>
      <c r="K227" s="534"/>
    </row>
    <row r="229" spans="1:11">
      <c r="A229" s="1148" t="s">
        <v>2403</v>
      </c>
      <c r="B229" s="1148"/>
      <c r="C229" s="1148"/>
      <c r="D229" s="1148"/>
      <c r="E229" s="1148"/>
      <c r="F229" s="1148"/>
      <c r="G229" s="1148"/>
      <c r="H229" s="1148"/>
      <c r="I229" s="1148"/>
      <c r="J229" s="1148"/>
      <c r="K229" s="1148"/>
    </row>
    <row r="230" spans="1:11">
      <c r="A230" s="549"/>
      <c r="B230" s="550"/>
      <c r="C230" s="550"/>
      <c r="D230" s="550"/>
      <c r="E230" s="550"/>
      <c r="F230" s="550"/>
      <c r="G230" s="550"/>
      <c r="H230" s="550"/>
      <c r="I230" s="550"/>
      <c r="J230" s="550"/>
      <c r="K230" s="550"/>
    </row>
    <row r="231" spans="1:11">
      <c r="A231" s="580" t="s">
        <v>2670</v>
      </c>
      <c r="B231" s="581"/>
      <c r="C231" s="581"/>
      <c r="D231" s="581"/>
      <c r="E231" s="581"/>
      <c r="F231" s="581"/>
      <c r="G231" s="581"/>
      <c r="H231" s="581"/>
      <c r="I231" s="581"/>
      <c r="J231" s="581"/>
      <c r="K231" s="581"/>
    </row>
    <row r="232" spans="1:11">
      <c r="A232" s="580" t="s">
        <v>2670</v>
      </c>
      <c r="B232" s="581"/>
      <c r="C232" s="581"/>
      <c r="D232" s="581"/>
      <c r="E232" s="581"/>
      <c r="F232" s="581"/>
      <c r="G232" s="581"/>
      <c r="H232" s="581"/>
      <c r="I232" s="581"/>
      <c r="J232" s="581"/>
      <c r="K232" s="581"/>
    </row>
    <row r="233" spans="1:11">
      <c r="A233" s="580" t="s">
        <v>2670</v>
      </c>
      <c r="B233" s="581"/>
      <c r="C233" s="581"/>
      <c r="D233" s="581"/>
      <c r="E233" s="581"/>
      <c r="F233" s="581"/>
      <c r="G233" s="581"/>
      <c r="H233" s="581"/>
      <c r="I233" s="581"/>
      <c r="J233" s="581"/>
      <c r="K233" s="581"/>
    </row>
    <row r="235" spans="1:11">
      <c r="A235" s="1136" t="s">
        <v>2404</v>
      </c>
      <c r="B235" s="1136"/>
      <c r="C235" s="1136"/>
      <c r="D235" s="1136"/>
      <c r="E235" s="1136"/>
      <c r="F235" s="1136"/>
      <c r="G235" s="1136"/>
      <c r="H235" s="1136"/>
      <c r="I235" s="1136"/>
      <c r="J235" s="1136"/>
      <c r="K235" s="1136"/>
    </row>
    <row r="237" spans="1:11">
      <c r="A237" s="1148" t="s">
        <v>2405</v>
      </c>
      <c r="B237" s="1148"/>
      <c r="C237" s="1148"/>
      <c r="D237" s="1148"/>
      <c r="E237" s="1148"/>
      <c r="F237" s="1148"/>
      <c r="G237" s="1148"/>
      <c r="H237" s="1148"/>
      <c r="I237" s="1148"/>
      <c r="J237" s="1148"/>
      <c r="K237" s="1148"/>
    </row>
    <row r="238" spans="1:11">
      <c r="A238" s="580" t="s">
        <v>2670</v>
      </c>
      <c r="B238" s="581"/>
      <c r="C238" s="581"/>
      <c r="D238" s="581"/>
      <c r="E238" s="581"/>
      <c r="F238" s="581"/>
      <c r="G238" s="581"/>
      <c r="H238" s="581"/>
      <c r="I238" s="581"/>
      <c r="J238" s="581"/>
      <c r="K238" s="581"/>
    </row>
    <row r="239" spans="1:11">
      <c r="A239" s="580" t="s">
        <v>2670</v>
      </c>
      <c r="B239" s="581"/>
      <c r="C239" s="581"/>
      <c r="D239" s="581"/>
      <c r="E239" s="581"/>
      <c r="F239" s="581"/>
      <c r="G239" s="581"/>
      <c r="H239" s="581"/>
      <c r="I239" s="581"/>
      <c r="J239" s="581"/>
      <c r="K239" s="581"/>
    </row>
    <row r="240" spans="1:11">
      <c r="A240" s="580" t="s">
        <v>2670</v>
      </c>
      <c r="B240" s="581"/>
      <c r="C240" s="581"/>
      <c r="D240" s="581"/>
      <c r="E240" s="581"/>
      <c r="F240" s="581"/>
      <c r="G240" s="581"/>
      <c r="H240" s="581"/>
      <c r="I240" s="581"/>
      <c r="J240" s="581"/>
      <c r="K240" s="581"/>
    </row>
    <row r="241" spans="1:12">
      <c r="A241" s="580" t="s">
        <v>2670</v>
      </c>
      <c r="B241" s="581"/>
      <c r="C241" s="581"/>
      <c r="D241" s="581"/>
      <c r="E241" s="581"/>
      <c r="F241" s="581"/>
      <c r="G241" s="581"/>
      <c r="H241" s="581"/>
      <c r="I241" s="581"/>
      <c r="J241" s="581"/>
      <c r="K241" s="581"/>
    </row>
    <row r="242" spans="1:12">
      <c r="A242" s="580" t="s">
        <v>2670</v>
      </c>
      <c r="B242" s="581"/>
      <c r="C242" s="581"/>
      <c r="D242" s="581"/>
      <c r="E242" s="581"/>
      <c r="F242" s="581"/>
      <c r="G242" s="581"/>
      <c r="H242" s="581"/>
      <c r="I242" s="581"/>
      <c r="J242" s="581"/>
      <c r="K242" s="581"/>
    </row>
    <row r="243" spans="1:12">
      <c r="A243" s="580" t="s">
        <v>2670</v>
      </c>
      <c r="B243" s="581"/>
      <c r="C243" s="581"/>
      <c r="D243" s="581"/>
      <c r="E243" s="581"/>
      <c r="F243" s="581"/>
      <c r="G243" s="581"/>
      <c r="H243" s="581"/>
      <c r="I243" s="581"/>
      <c r="J243" s="581"/>
      <c r="K243" s="581"/>
    </row>
    <row r="244" spans="1:12">
      <c r="A244" s="580" t="s">
        <v>2670</v>
      </c>
      <c r="B244" s="581"/>
      <c r="C244" s="581"/>
      <c r="D244" s="581"/>
      <c r="E244" s="581"/>
      <c r="F244" s="581"/>
      <c r="G244" s="581"/>
      <c r="H244" s="581"/>
      <c r="I244" s="581"/>
      <c r="J244" s="581"/>
      <c r="K244" s="581"/>
    </row>
    <row r="246" spans="1:12">
      <c r="A246" s="1136" t="s">
        <v>2406</v>
      </c>
      <c r="B246" s="1136"/>
      <c r="C246" s="1136"/>
      <c r="D246" s="1136"/>
      <c r="E246" s="1136"/>
      <c r="F246" s="1136"/>
      <c r="G246" s="1136"/>
      <c r="H246" s="1136"/>
      <c r="I246" s="1136"/>
      <c r="J246" s="1136"/>
      <c r="K246" s="1136"/>
      <c r="L246" s="230" t="s">
        <v>2407</v>
      </c>
    </row>
    <row r="248" spans="1:12">
      <c r="A248" s="529" t="s">
        <v>1</v>
      </c>
      <c r="B248" s="1120" t="s">
        <v>2315</v>
      </c>
      <c r="C248" s="1121"/>
      <c r="D248" s="1121"/>
      <c r="E248" s="1121"/>
      <c r="F248" s="1121"/>
      <c r="G248" s="1122"/>
      <c r="H248" s="1123" t="s">
        <v>2300</v>
      </c>
      <c r="I248" s="1124"/>
      <c r="J248" s="1123" t="s">
        <v>2301</v>
      </c>
      <c r="K248" s="1124"/>
    </row>
    <row r="249" spans="1:12">
      <c r="A249" s="529">
        <v>1</v>
      </c>
      <c r="B249" s="1120"/>
      <c r="C249" s="1121"/>
      <c r="D249" s="1121"/>
      <c r="E249" s="1121"/>
      <c r="F249" s="1121"/>
      <c r="G249" s="1122"/>
      <c r="H249" s="1123"/>
      <c r="I249" s="1124"/>
      <c r="J249" s="1123"/>
      <c r="K249" s="1124"/>
    </row>
    <row r="250" spans="1:12">
      <c r="A250" s="529">
        <f>+A249+1</f>
        <v>2</v>
      </c>
      <c r="B250" s="1120"/>
      <c r="C250" s="1121"/>
      <c r="D250" s="1121"/>
      <c r="E250" s="1121"/>
      <c r="F250" s="1121"/>
      <c r="G250" s="1122"/>
      <c r="H250" s="1123"/>
      <c r="I250" s="1124"/>
      <c r="J250" s="1123"/>
      <c r="K250" s="1124"/>
    </row>
    <row r="251" spans="1:12">
      <c r="A251" s="529">
        <f t="shared" ref="A251" si="20">+A250+1</f>
        <v>3</v>
      </c>
      <c r="B251" s="1120" t="s">
        <v>2305</v>
      </c>
      <c r="C251" s="1121"/>
      <c r="D251" s="1121"/>
      <c r="E251" s="1121"/>
      <c r="F251" s="1121"/>
      <c r="G251" s="1122"/>
      <c r="H251" s="1123"/>
      <c r="I251" s="1124"/>
      <c r="J251" s="1123"/>
      <c r="K251" s="1124"/>
    </row>
    <row r="253" spans="1:12">
      <c r="A253" s="1149" t="s">
        <v>2408</v>
      </c>
      <c r="B253" s="1149"/>
      <c r="C253" s="1149"/>
      <c r="D253" s="1149"/>
      <c r="E253" s="1149"/>
      <c r="F253" s="1149"/>
      <c r="G253" s="1149"/>
      <c r="H253" s="1149"/>
      <c r="I253" s="1149"/>
      <c r="J253" s="1149"/>
      <c r="K253" s="1149"/>
    </row>
    <row r="254" spans="1:12">
      <c r="A254" s="580" t="s">
        <v>2670</v>
      </c>
      <c r="B254" s="581"/>
      <c r="C254" s="581"/>
      <c r="D254" s="581"/>
      <c r="E254" s="581"/>
      <c r="F254" s="581"/>
      <c r="G254" s="581"/>
      <c r="H254" s="581"/>
      <c r="I254" s="581"/>
      <c r="J254" s="581"/>
      <c r="K254" s="581"/>
    </row>
    <row r="255" spans="1:12">
      <c r="A255" s="580" t="s">
        <v>2670</v>
      </c>
      <c r="B255" s="581"/>
      <c r="C255" s="581"/>
      <c r="D255" s="581"/>
      <c r="E255" s="581"/>
      <c r="F255" s="581"/>
      <c r="G255" s="581"/>
      <c r="H255" s="581"/>
      <c r="I255" s="581"/>
      <c r="J255" s="581"/>
      <c r="K255" s="581"/>
    </row>
    <row r="256" spans="1:12">
      <c r="A256" s="580" t="s">
        <v>2670</v>
      </c>
      <c r="B256" s="581"/>
      <c r="C256" s="581"/>
      <c r="D256" s="581"/>
      <c r="E256" s="581"/>
      <c r="F256" s="581"/>
      <c r="G256" s="581"/>
      <c r="H256" s="581"/>
      <c r="I256" s="581"/>
      <c r="J256" s="581"/>
      <c r="K256" s="581"/>
    </row>
    <row r="258" spans="1:11">
      <c r="A258" s="1136" t="s">
        <v>2409</v>
      </c>
      <c r="B258" s="1136"/>
      <c r="C258" s="1136"/>
      <c r="D258" s="1136"/>
      <c r="E258" s="1136"/>
      <c r="F258" s="1136"/>
      <c r="G258" s="1136"/>
      <c r="H258" s="1136"/>
      <c r="I258" s="1136"/>
      <c r="J258" s="1136"/>
      <c r="K258" s="1136"/>
    </row>
    <row r="260" spans="1:11">
      <c r="A260" s="526" t="s">
        <v>2410</v>
      </c>
    </row>
    <row r="261" spans="1:11">
      <c r="A261" s="529" t="s">
        <v>1</v>
      </c>
      <c r="B261" s="1120" t="s">
        <v>2315</v>
      </c>
      <c r="C261" s="1121"/>
      <c r="D261" s="1121"/>
      <c r="E261" s="1121"/>
      <c r="F261" s="1121"/>
      <c r="G261" s="1122"/>
      <c r="H261" s="1123" t="s">
        <v>2300</v>
      </c>
      <c r="I261" s="1124"/>
      <c r="J261" s="1123" t="s">
        <v>2301</v>
      </c>
      <c r="K261" s="1124"/>
    </row>
    <row r="262" spans="1:11">
      <c r="A262" s="529">
        <v>1</v>
      </c>
      <c r="B262" s="1150" t="s">
        <v>2411</v>
      </c>
      <c r="C262" s="1151"/>
      <c r="D262" s="1151"/>
      <c r="E262" s="1151"/>
      <c r="F262" s="1151"/>
      <c r="G262" s="1152"/>
      <c r="H262" s="1123">
        <f>+STAT1!I105+STAT1!I106+STAT1!I107</f>
        <v>0</v>
      </c>
      <c r="I262" s="1124"/>
      <c r="J262" s="1123">
        <f>+STAT4!W105+STAT4!W106+STAT4!W107</f>
        <v>3499027.4596000081</v>
      </c>
      <c r="K262" s="1124"/>
    </row>
    <row r="263" spans="1:11">
      <c r="A263" s="529">
        <f>+A262+1</f>
        <v>2</v>
      </c>
      <c r="B263" s="1150" t="s">
        <v>2412</v>
      </c>
      <c r="C263" s="1151"/>
      <c r="D263" s="1151"/>
      <c r="E263" s="1151"/>
      <c r="F263" s="1151"/>
      <c r="G263" s="1152"/>
      <c r="H263" s="1123"/>
      <c r="I263" s="1124"/>
      <c r="J263" s="1123"/>
      <c r="K263" s="1124"/>
    </row>
    <row r="264" spans="1:11">
      <c r="A264" s="529">
        <f t="shared" ref="A264:A265" si="21">+A263+1</f>
        <v>3</v>
      </c>
      <c r="B264" s="551"/>
      <c r="C264" s="552"/>
      <c r="D264" s="552"/>
      <c r="E264" s="552"/>
      <c r="F264" s="552"/>
      <c r="G264" s="553"/>
      <c r="H264" s="554"/>
      <c r="I264" s="555"/>
      <c r="J264" s="554"/>
      <c r="K264" s="555"/>
    </row>
    <row r="265" spans="1:11">
      <c r="A265" s="529">
        <f t="shared" si="21"/>
        <v>4</v>
      </c>
      <c r="B265" s="1120" t="s">
        <v>2305</v>
      </c>
      <c r="C265" s="1121"/>
      <c r="D265" s="1121"/>
      <c r="E265" s="1121"/>
      <c r="F265" s="1121"/>
      <c r="G265" s="1122"/>
      <c r="H265" s="1123">
        <f>SUM(H262:I264)</f>
        <v>0</v>
      </c>
      <c r="I265" s="1124"/>
      <c r="J265" s="1123">
        <f>SUM(J262:K264)</f>
        <v>3499027.4596000081</v>
      </c>
      <c r="K265" s="1124"/>
    </row>
    <row r="267" spans="1:11">
      <c r="A267" s="526" t="s">
        <v>2413</v>
      </c>
    </row>
    <row r="268" spans="1:11">
      <c r="A268" s="529" t="s">
        <v>1</v>
      </c>
      <c r="B268" s="1123" t="s">
        <v>2315</v>
      </c>
      <c r="C268" s="1146"/>
      <c r="D268" s="1146"/>
      <c r="E268" s="1146"/>
      <c r="F268" s="1146"/>
      <c r="G268" s="1124"/>
      <c r="H268" s="1123" t="s">
        <v>2300</v>
      </c>
      <c r="I268" s="1124"/>
      <c r="J268" s="1123" t="s">
        <v>2301</v>
      </c>
      <c r="K268" s="1124"/>
    </row>
    <row r="269" spans="1:11">
      <c r="A269" s="529">
        <v>1</v>
      </c>
      <c r="B269" s="1150" t="s">
        <v>2414</v>
      </c>
      <c r="C269" s="1151"/>
      <c r="D269" s="1151"/>
      <c r="E269" s="1151"/>
      <c r="F269" s="1151"/>
      <c r="G269" s="1152"/>
      <c r="H269" s="1123">
        <f>+STAT1!I112</f>
        <v>10.391999999992549</v>
      </c>
      <c r="I269" s="1124"/>
      <c r="J269" s="1123">
        <f>+STAT4!W112</f>
        <v>1.999999992548851E-3</v>
      </c>
      <c r="K269" s="1124"/>
    </row>
    <row r="270" spans="1:11">
      <c r="A270" s="529">
        <f>+A269+1</f>
        <v>2</v>
      </c>
      <c r="B270" s="551" t="s">
        <v>2415</v>
      </c>
      <c r="C270" s="552"/>
      <c r="D270" s="552"/>
      <c r="E270" s="552"/>
      <c r="F270" s="552"/>
      <c r="G270" s="553"/>
      <c r="H270" s="1123">
        <f>+STAT1!I111</f>
        <v>50666182.486447811</v>
      </c>
      <c r="I270" s="1124"/>
      <c r="J270" s="1123">
        <f>+STAT4!W111</f>
        <v>67186734.859556884</v>
      </c>
      <c r="K270" s="1124"/>
    </row>
    <row r="271" spans="1:11">
      <c r="A271" s="529">
        <f t="shared" ref="A271:A275" si="22">+A270+1</f>
        <v>3</v>
      </c>
      <c r="B271" s="551" t="s">
        <v>2416</v>
      </c>
      <c r="C271" s="552"/>
      <c r="D271" s="552"/>
      <c r="E271" s="552"/>
      <c r="F271" s="552"/>
      <c r="G271" s="553"/>
      <c r="H271" s="1123">
        <f>+STAT1!I113</f>
        <v>0</v>
      </c>
      <c r="I271" s="1124"/>
      <c r="J271" s="1123">
        <f>+STAT4!W113</f>
        <v>0</v>
      </c>
      <c r="K271" s="1124"/>
    </row>
    <row r="272" spans="1:11">
      <c r="A272" s="529">
        <f t="shared" si="22"/>
        <v>4</v>
      </c>
      <c r="B272" s="551" t="s">
        <v>2417</v>
      </c>
      <c r="C272" s="552"/>
      <c r="D272" s="552"/>
      <c r="E272" s="552"/>
      <c r="F272" s="552"/>
      <c r="G272" s="553"/>
      <c r="H272" s="1123">
        <f>+STAT1!I114</f>
        <v>0</v>
      </c>
      <c r="I272" s="1124"/>
      <c r="J272" s="1123">
        <f>+STAT4!W114</f>
        <v>0</v>
      </c>
      <c r="K272" s="1124"/>
    </row>
    <row r="273" spans="1:14">
      <c r="A273" s="529">
        <f t="shared" si="22"/>
        <v>5</v>
      </c>
      <c r="B273" s="551" t="s">
        <v>2418</v>
      </c>
      <c r="C273" s="552"/>
      <c r="D273" s="552"/>
      <c r="E273" s="552"/>
      <c r="F273" s="552"/>
      <c r="G273" s="553"/>
      <c r="H273" s="1123">
        <f>+STAT1!I115</f>
        <v>0</v>
      </c>
      <c r="I273" s="1124"/>
      <c r="J273" s="1123">
        <f>+STAT4!W115</f>
        <v>0</v>
      </c>
      <c r="K273" s="1124"/>
    </row>
    <row r="274" spans="1:14">
      <c r="A274" s="529">
        <f t="shared" si="22"/>
        <v>6</v>
      </c>
      <c r="B274" s="1150"/>
      <c r="C274" s="1151"/>
      <c r="D274" s="1151"/>
      <c r="E274" s="1151"/>
      <c r="F274" s="1151"/>
      <c r="G274" s="1152"/>
      <c r="H274" s="1123"/>
      <c r="I274" s="1124"/>
      <c r="J274" s="1123"/>
      <c r="K274" s="1124"/>
    </row>
    <row r="275" spans="1:14">
      <c r="A275" s="529">
        <f t="shared" si="22"/>
        <v>7</v>
      </c>
      <c r="B275" s="1120" t="s">
        <v>2305</v>
      </c>
      <c r="C275" s="1121"/>
      <c r="D275" s="1121"/>
      <c r="E275" s="1121"/>
      <c r="F275" s="1121"/>
      <c r="G275" s="1122"/>
      <c r="H275" s="1123">
        <f>SUM(H269:I274)</f>
        <v>50666192.878447808</v>
      </c>
      <c r="I275" s="1124"/>
      <c r="J275" s="1123">
        <f>SUM(J269:K274)</f>
        <v>67186734.861556888</v>
      </c>
      <c r="K275" s="1124"/>
      <c r="M275" s="230">
        <f>+SUM(STAT4!W111:W115)</f>
        <v>67186734.861556888</v>
      </c>
      <c r="N275" s="230">
        <f>+M275-J275</f>
        <v>0</v>
      </c>
    </row>
    <row r="277" spans="1:14">
      <c r="A277" s="526" t="s">
        <v>2419</v>
      </c>
    </row>
    <row r="278" spans="1:14">
      <c r="A278" s="1137" t="s">
        <v>1</v>
      </c>
      <c r="B278" s="1139" t="s">
        <v>2315</v>
      </c>
      <c r="C278" s="1140"/>
      <c r="D278" s="1140"/>
      <c r="E278" s="1140"/>
      <c r="F278" s="1140"/>
      <c r="G278" s="1141"/>
      <c r="H278" s="1123" t="s">
        <v>2300</v>
      </c>
      <c r="I278" s="1124"/>
      <c r="J278" s="1123" t="s">
        <v>2301</v>
      </c>
      <c r="K278" s="1124"/>
    </row>
    <row r="279" spans="1:14">
      <c r="A279" s="1138"/>
      <c r="B279" s="1142"/>
      <c r="C279" s="1143"/>
      <c r="D279" s="1143"/>
      <c r="E279" s="1143"/>
      <c r="F279" s="1143"/>
      <c r="G279" s="1144"/>
      <c r="H279" s="556" t="s">
        <v>2420</v>
      </c>
      <c r="I279" s="556" t="s">
        <v>2421</v>
      </c>
      <c r="J279" s="556" t="s">
        <v>2420</v>
      </c>
      <c r="K279" s="556" t="s">
        <v>2421</v>
      </c>
    </row>
    <row r="280" spans="1:14">
      <c r="A280" s="529">
        <v>1</v>
      </c>
      <c r="B280" s="1150" t="s">
        <v>2411</v>
      </c>
      <c r="C280" s="1151"/>
      <c r="D280" s="1151"/>
      <c r="E280" s="1151"/>
      <c r="F280" s="1151"/>
      <c r="G280" s="1152"/>
      <c r="H280" s="534">
        <f>+STAT1!I109+STAT1!I117</f>
        <v>186587427</v>
      </c>
      <c r="I280" s="534"/>
      <c r="J280" s="534">
        <f>+STAT4!W109+STAT4!W117</f>
        <v>93279242.000000015</v>
      </c>
      <c r="K280" s="534"/>
    </row>
    <row r="281" spans="1:14">
      <c r="A281" s="529">
        <f>+A280+1</f>
        <v>2</v>
      </c>
      <c r="B281" s="1150" t="s">
        <v>2412</v>
      </c>
      <c r="C281" s="1151"/>
      <c r="D281" s="1151"/>
      <c r="E281" s="1151"/>
      <c r="F281" s="1151"/>
      <c r="G281" s="1152"/>
      <c r="H281" s="534"/>
      <c r="I281" s="534"/>
      <c r="J281" s="534"/>
      <c r="K281" s="534"/>
    </row>
    <row r="282" spans="1:14">
      <c r="A282" s="529">
        <f t="shared" ref="A282:A283" si="23">+A281+1</f>
        <v>3</v>
      </c>
      <c r="B282" s="551"/>
      <c r="C282" s="552"/>
      <c r="D282" s="552"/>
      <c r="E282" s="552"/>
      <c r="F282" s="552"/>
      <c r="G282" s="553"/>
      <c r="H282" s="556"/>
      <c r="I282" s="556"/>
      <c r="J282" s="556"/>
      <c r="K282" s="556"/>
    </row>
    <row r="283" spans="1:14">
      <c r="A283" s="529">
        <f t="shared" si="23"/>
        <v>4</v>
      </c>
      <c r="B283" s="1120" t="s">
        <v>2305</v>
      </c>
      <c r="C283" s="1121"/>
      <c r="D283" s="1121"/>
      <c r="E283" s="1121"/>
      <c r="F283" s="1121"/>
      <c r="G283" s="1122"/>
      <c r="H283" s="534">
        <f>SUM(H280:H282)</f>
        <v>186587427</v>
      </c>
      <c r="I283" s="534"/>
      <c r="J283" s="534">
        <f>SUM(J280:J282)</f>
        <v>93279242.000000015</v>
      </c>
      <c r="K283" s="534"/>
    </row>
    <row r="285" spans="1:14">
      <c r="A285" s="526" t="s">
        <v>2422</v>
      </c>
    </row>
    <row r="286" spans="1:14" ht="38.25">
      <c r="A286" s="530" t="s">
        <v>1</v>
      </c>
      <c r="B286" s="1153" t="s">
        <v>2423</v>
      </c>
      <c r="C286" s="1154"/>
      <c r="D286" s="1154"/>
      <c r="E286" s="1154"/>
      <c r="F286" s="1155"/>
      <c r="G286" s="533" t="s">
        <v>2300</v>
      </c>
      <c r="H286" s="533" t="s">
        <v>2310</v>
      </c>
      <c r="I286" s="544" t="s">
        <v>2424</v>
      </c>
      <c r="J286" s="544" t="s">
        <v>2425</v>
      </c>
      <c r="K286" s="544" t="s">
        <v>2301</v>
      </c>
    </row>
    <row r="287" spans="1:14">
      <c r="A287" s="529">
        <v>1</v>
      </c>
      <c r="B287" s="1120" t="s">
        <v>2426</v>
      </c>
      <c r="C287" s="1121"/>
      <c r="D287" s="1121"/>
      <c r="E287" s="1121"/>
      <c r="F287" s="1122"/>
      <c r="G287" s="537"/>
      <c r="H287" s="537"/>
      <c r="I287" s="537"/>
      <c r="J287" s="537"/>
      <c r="K287" s="537"/>
    </row>
    <row r="288" spans="1:14">
      <c r="A288" s="529">
        <f>+A287+1</f>
        <v>2</v>
      </c>
      <c r="B288" s="1120" t="s">
        <v>2427</v>
      </c>
      <c r="C288" s="1121"/>
      <c r="D288" s="1121"/>
      <c r="E288" s="1121"/>
      <c r="F288" s="1122"/>
      <c r="G288" s="537"/>
      <c r="H288" s="537"/>
      <c r="I288" s="537"/>
      <c r="J288" s="537"/>
      <c r="K288" s="537"/>
    </row>
    <row r="289" spans="1:14">
      <c r="A289" s="529">
        <f t="shared" ref="A289:A290" si="24">+A288+1</f>
        <v>3</v>
      </c>
      <c r="B289" s="1120"/>
      <c r="C289" s="1121"/>
      <c r="D289" s="1121"/>
      <c r="E289" s="1121"/>
      <c r="F289" s="1122"/>
      <c r="G289" s="537"/>
      <c r="H289" s="537"/>
      <c r="I289" s="537"/>
      <c r="J289" s="537"/>
      <c r="K289" s="537"/>
    </row>
    <row r="290" spans="1:14">
      <c r="A290" s="529">
        <f t="shared" si="24"/>
        <v>4</v>
      </c>
      <c r="B290" s="1120" t="s">
        <v>2305</v>
      </c>
      <c r="C290" s="1121"/>
      <c r="D290" s="1121"/>
      <c r="E290" s="1121"/>
      <c r="F290" s="1122"/>
      <c r="G290" s="537"/>
      <c r="H290" s="537"/>
      <c r="I290" s="537"/>
      <c r="J290" s="537"/>
      <c r="K290" s="537"/>
    </row>
    <row r="292" spans="1:14">
      <c r="A292" s="1149" t="s">
        <v>2428</v>
      </c>
      <c r="B292" s="1149"/>
      <c r="C292" s="1149"/>
      <c r="D292" s="1149"/>
      <c r="E292" s="1149"/>
      <c r="F292" s="1149"/>
      <c r="G292" s="1149"/>
      <c r="H292" s="1149"/>
      <c r="I292" s="1149"/>
      <c r="J292" s="1149"/>
      <c r="K292" s="1149"/>
      <c r="L292" s="230" t="s">
        <v>2429</v>
      </c>
    </row>
    <row r="293" spans="1:14">
      <c r="A293" s="580" t="s">
        <v>2670</v>
      </c>
      <c r="B293" s="581"/>
      <c r="C293" s="581"/>
      <c r="D293" s="581"/>
      <c r="E293" s="581"/>
      <c r="F293" s="581"/>
      <c r="G293" s="581"/>
      <c r="H293" s="581"/>
      <c r="I293" s="581"/>
      <c r="J293" s="581"/>
      <c r="K293" s="581"/>
    </row>
    <row r="294" spans="1:14">
      <c r="A294" s="580" t="s">
        <v>2670</v>
      </c>
      <c r="B294" s="581"/>
      <c r="C294" s="581"/>
      <c r="D294" s="581"/>
      <c r="E294" s="581"/>
      <c r="F294" s="581"/>
      <c r="G294" s="581"/>
      <c r="H294" s="581"/>
      <c r="I294" s="581"/>
      <c r="J294" s="581"/>
      <c r="K294" s="581"/>
    </row>
    <row r="296" spans="1:14">
      <c r="A296" s="526" t="s">
        <v>2430</v>
      </c>
    </row>
    <row r="297" spans="1:14">
      <c r="A297" s="529" t="s">
        <v>1</v>
      </c>
      <c r="B297" s="1123" t="s">
        <v>2315</v>
      </c>
      <c r="C297" s="1146"/>
      <c r="D297" s="1146"/>
      <c r="E297" s="1146"/>
      <c r="F297" s="1146"/>
      <c r="G297" s="1124"/>
      <c r="H297" s="1123" t="s">
        <v>2300</v>
      </c>
      <c r="I297" s="1124"/>
      <c r="J297" s="1123" t="s">
        <v>2301</v>
      </c>
      <c r="K297" s="1124"/>
    </row>
    <row r="298" spans="1:14">
      <c r="A298" s="529">
        <v>1</v>
      </c>
      <c r="B298" s="1150"/>
      <c r="C298" s="1151"/>
      <c r="D298" s="1151"/>
      <c r="E298" s="1151"/>
      <c r="F298" s="1151"/>
      <c r="G298" s="1152"/>
      <c r="H298" s="1123"/>
      <c r="I298" s="1124"/>
      <c r="J298" s="1123"/>
      <c r="K298" s="1124"/>
    </row>
    <row r="299" spans="1:14">
      <c r="A299" s="529">
        <f>+A298+1</f>
        <v>2</v>
      </c>
      <c r="B299" s="1150"/>
      <c r="C299" s="1151"/>
      <c r="D299" s="1151"/>
      <c r="E299" s="1151"/>
      <c r="F299" s="1151"/>
      <c r="G299" s="1152"/>
      <c r="H299" s="1123">
        <f>+STAT1!I117</f>
        <v>106705368</v>
      </c>
      <c r="I299" s="1124"/>
      <c r="J299" s="1123">
        <f>+STAT4!W117</f>
        <v>70822909</v>
      </c>
      <c r="K299" s="1124"/>
    </row>
    <row r="300" spans="1:14">
      <c r="A300" s="529">
        <f>+A299+1</f>
        <v>3</v>
      </c>
      <c r="B300" s="1120" t="s">
        <v>2305</v>
      </c>
      <c r="C300" s="1121"/>
      <c r="D300" s="1121"/>
      <c r="E300" s="1121"/>
      <c r="F300" s="1121"/>
      <c r="G300" s="1122"/>
      <c r="H300" s="1123">
        <f>SUM(H298:I299)</f>
        <v>106705368</v>
      </c>
      <c r="I300" s="1124"/>
      <c r="J300" s="1123">
        <f>SUM(J298:K299)</f>
        <v>70822909</v>
      </c>
      <c r="K300" s="1124"/>
      <c r="M300" s="230">
        <f>+STAT4!W117+STAT4!W125</f>
        <v>188970633.09467706</v>
      </c>
      <c r="N300" s="230">
        <f>+J300-M300</f>
        <v>-118147724.09467706</v>
      </c>
    </row>
    <row r="302" spans="1:14">
      <c r="A302" s="1149" t="s">
        <v>2431</v>
      </c>
      <c r="B302" s="1149"/>
      <c r="C302" s="1149"/>
      <c r="D302" s="1149"/>
      <c r="E302" s="1149"/>
      <c r="F302" s="1149"/>
      <c r="G302" s="1149"/>
      <c r="H302" s="1149"/>
      <c r="I302" s="1149"/>
      <c r="J302" s="1149"/>
      <c r="K302" s="1149"/>
    </row>
    <row r="303" spans="1:14">
      <c r="A303" s="580" t="s">
        <v>2670</v>
      </c>
      <c r="B303" s="581"/>
      <c r="C303" s="581"/>
      <c r="D303" s="581"/>
      <c r="E303" s="581"/>
      <c r="F303" s="581"/>
      <c r="G303" s="581"/>
      <c r="H303" s="581"/>
      <c r="I303" s="581"/>
      <c r="J303" s="581"/>
      <c r="K303" s="581"/>
    </row>
    <row r="304" spans="1:14">
      <c r="A304" s="580" t="s">
        <v>2670</v>
      </c>
      <c r="B304" s="581"/>
      <c r="C304" s="581"/>
      <c r="D304" s="581"/>
      <c r="E304" s="581"/>
      <c r="F304" s="581"/>
      <c r="G304" s="581"/>
      <c r="H304" s="581"/>
      <c r="I304" s="581"/>
      <c r="J304" s="581"/>
      <c r="K304" s="581"/>
    </row>
    <row r="306" spans="1:11">
      <c r="A306" s="526" t="s">
        <v>2432</v>
      </c>
    </row>
    <row r="307" spans="1:11">
      <c r="A307" s="1137" t="s">
        <v>1</v>
      </c>
      <c r="B307" s="1139" t="s">
        <v>2315</v>
      </c>
      <c r="C307" s="1140"/>
      <c r="D307" s="1140"/>
      <c r="E307" s="1140"/>
      <c r="F307" s="1140"/>
      <c r="G307" s="1141"/>
      <c r="H307" s="1123" t="s">
        <v>2300</v>
      </c>
      <c r="I307" s="1124"/>
      <c r="J307" s="1123" t="s">
        <v>2301</v>
      </c>
      <c r="K307" s="1124"/>
    </row>
    <row r="308" spans="1:11">
      <c r="A308" s="1138"/>
      <c r="B308" s="1142"/>
      <c r="C308" s="1143"/>
      <c r="D308" s="1143"/>
      <c r="E308" s="1143"/>
      <c r="F308" s="1143"/>
      <c r="G308" s="1144"/>
      <c r="H308" s="556" t="s">
        <v>2420</v>
      </c>
      <c r="I308" s="556" t="s">
        <v>2421</v>
      </c>
      <c r="J308" s="556" t="s">
        <v>2420</v>
      </c>
      <c r="K308" s="556" t="s">
        <v>2421</v>
      </c>
    </row>
    <row r="309" spans="1:11">
      <c r="A309" s="529">
        <v>1</v>
      </c>
      <c r="B309" s="1150" t="s">
        <v>2433</v>
      </c>
      <c r="C309" s="1151"/>
      <c r="D309" s="1151"/>
      <c r="E309" s="1151"/>
      <c r="F309" s="1151"/>
      <c r="G309" s="1152"/>
      <c r="H309" s="534"/>
      <c r="I309" s="534"/>
      <c r="J309" s="534"/>
      <c r="K309" s="534"/>
    </row>
    <row r="310" spans="1:11">
      <c r="A310" s="1156"/>
      <c r="B310" s="551"/>
      <c r="C310" s="551" t="s">
        <v>2434</v>
      </c>
      <c r="D310" s="552"/>
      <c r="E310" s="552"/>
      <c r="F310" s="552"/>
      <c r="G310" s="557"/>
      <c r="H310" s="534"/>
      <c r="I310" s="534"/>
      <c r="J310" s="534"/>
      <c r="K310" s="534"/>
    </row>
    <row r="311" spans="1:11">
      <c r="A311" s="1157"/>
      <c r="B311" s="558"/>
      <c r="C311" s="552" t="s">
        <v>2435</v>
      </c>
      <c r="D311" s="552"/>
      <c r="E311" s="552"/>
      <c r="F311" s="552"/>
      <c r="G311" s="553"/>
      <c r="H311" s="556"/>
      <c r="I311" s="556"/>
      <c r="J311" s="556"/>
      <c r="K311" s="556"/>
    </row>
    <row r="312" spans="1:11">
      <c r="A312" s="1158"/>
      <c r="B312" s="558"/>
      <c r="C312" s="552" t="s">
        <v>2436</v>
      </c>
      <c r="D312" s="552"/>
      <c r="E312" s="552"/>
      <c r="F312" s="552"/>
      <c r="G312" s="553"/>
      <c r="H312" s="556"/>
      <c r="I312" s="556"/>
      <c r="J312" s="556"/>
      <c r="K312" s="556"/>
    </row>
    <row r="313" spans="1:11">
      <c r="A313" s="529">
        <v>2</v>
      </c>
      <c r="B313" s="1159" t="s">
        <v>2437</v>
      </c>
      <c r="C313" s="1160"/>
      <c r="D313" s="1160"/>
      <c r="E313" s="1160"/>
      <c r="F313" s="1160"/>
      <c r="G313" s="1161"/>
      <c r="H313" s="556"/>
      <c r="I313" s="556"/>
      <c r="J313" s="556"/>
      <c r="K313" s="556"/>
    </row>
    <row r="314" spans="1:11">
      <c r="A314" s="529">
        <v>3</v>
      </c>
      <c r="B314" s="1120" t="s">
        <v>2305</v>
      </c>
      <c r="C314" s="1121"/>
      <c r="D314" s="1121"/>
      <c r="E314" s="1121"/>
      <c r="F314" s="1121"/>
      <c r="G314" s="1122"/>
      <c r="H314" s="534"/>
      <c r="I314" s="534"/>
      <c r="J314" s="534"/>
      <c r="K314" s="534"/>
    </row>
    <row r="316" spans="1:11">
      <c r="A316" s="1149" t="s">
        <v>2438</v>
      </c>
      <c r="B316" s="1149"/>
      <c r="C316" s="1149"/>
      <c r="D316" s="1149"/>
      <c r="E316" s="1149"/>
      <c r="F316" s="1149"/>
      <c r="G316" s="1149"/>
      <c r="H316" s="1149"/>
      <c r="I316" s="1149"/>
      <c r="J316" s="1149"/>
      <c r="K316" s="1149"/>
    </row>
    <row r="317" spans="1:11">
      <c r="A317" s="580" t="s">
        <v>2670</v>
      </c>
      <c r="B317" s="581"/>
      <c r="C317" s="581"/>
      <c r="D317" s="581"/>
      <c r="E317" s="581"/>
      <c r="F317" s="581"/>
      <c r="G317" s="581"/>
      <c r="H317" s="581"/>
      <c r="I317" s="581"/>
      <c r="J317" s="581"/>
      <c r="K317" s="581"/>
    </row>
    <row r="318" spans="1:11">
      <c r="A318" s="580" t="s">
        <v>2670</v>
      </c>
      <c r="B318" s="581"/>
      <c r="C318" s="581"/>
      <c r="D318" s="581"/>
      <c r="E318" s="581"/>
      <c r="F318" s="581"/>
      <c r="G318" s="581"/>
      <c r="H318" s="581"/>
      <c r="I318" s="581"/>
      <c r="J318" s="581"/>
      <c r="K318" s="581"/>
    </row>
    <row r="319" spans="1:11">
      <c r="A319" s="580" t="s">
        <v>2670</v>
      </c>
      <c r="B319" s="581"/>
      <c r="C319" s="581"/>
      <c r="D319" s="581"/>
      <c r="E319" s="581"/>
      <c r="F319" s="581"/>
      <c r="G319" s="581"/>
      <c r="H319" s="581"/>
      <c r="I319" s="581"/>
      <c r="J319" s="581"/>
      <c r="K319" s="581"/>
    </row>
    <row r="320" spans="1:11">
      <c r="A320" s="580" t="s">
        <v>2670</v>
      </c>
      <c r="B320" s="581"/>
      <c r="C320" s="581"/>
      <c r="D320" s="581"/>
      <c r="E320" s="581"/>
      <c r="F320" s="581"/>
      <c r="G320" s="581"/>
      <c r="H320" s="581"/>
      <c r="I320" s="581"/>
      <c r="J320" s="581"/>
      <c r="K320" s="581"/>
    </row>
    <row r="322" spans="1:12">
      <c r="A322" s="1136" t="s">
        <v>2439</v>
      </c>
      <c r="B322" s="1136"/>
      <c r="C322" s="1136"/>
      <c r="D322" s="1136"/>
      <c r="E322" s="1136"/>
      <c r="F322" s="1136"/>
      <c r="G322" s="1136"/>
      <c r="H322" s="1136"/>
      <c r="I322" s="1136"/>
      <c r="J322" s="1136"/>
      <c r="K322" s="1136"/>
    </row>
    <row r="324" spans="1:12">
      <c r="A324" s="526" t="s">
        <v>2440</v>
      </c>
    </row>
    <row r="325" spans="1:12" ht="25.5">
      <c r="A325" s="530" t="s">
        <v>1</v>
      </c>
      <c r="B325" s="1153" t="s">
        <v>49</v>
      </c>
      <c r="C325" s="1154"/>
      <c r="D325" s="1154"/>
      <c r="E325" s="1154"/>
      <c r="F325" s="1155"/>
      <c r="G325" s="1125" t="s">
        <v>2441</v>
      </c>
      <c r="H325" s="1126"/>
      <c r="I325" s="1125" t="s">
        <v>2442</v>
      </c>
      <c r="J325" s="1126"/>
      <c r="K325" s="544" t="s">
        <v>2443</v>
      </c>
    </row>
    <row r="326" spans="1:12" ht="25.5">
      <c r="A326" s="529"/>
      <c r="B326" s="1120"/>
      <c r="C326" s="1121"/>
      <c r="D326" s="1121"/>
      <c r="E326" s="1121"/>
      <c r="F326" s="1122"/>
      <c r="G326" s="537" t="s">
        <v>2444</v>
      </c>
      <c r="H326" s="539" t="s">
        <v>2445</v>
      </c>
      <c r="I326" s="537" t="s">
        <v>2444</v>
      </c>
      <c r="J326" s="539" t="s">
        <v>2445</v>
      </c>
      <c r="K326" s="537"/>
    </row>
    <row r="327" spans="1:12">
      <c r="A327" s="529">
        <f>+A326+1</f>
        <v>1</v>
      </c>
      <c r="B327" s="1120" t="s">
        <v>2300</v>
      </c>
      <c r="C327" s="1121"/>
      <c r="D327" s="1121"/>
      <c r="E327" s="1121"/>
      <c r="F327" s="1122"/>
      <c r="G327" s="537"/>
      <c r="H327" s="537">
        <f>+STAT1!I133</f>
        <v>30701981.399999999</v>
      </c>
      <c r="I327" s="537"/>
      <c r="J327" s="537"/>
      <c r="K327" s="537">
        <f>+STAT4!W133</f>
        <v>30701981.399999999</v>
      </c>
    </row>
    <row r="328" spans="1:12">
      <c r="A328" s="529">
        <f>+A327+1</f>
        <v>2</v>
      </c>
      <c r="B328" s="535" t="s">
        <v>2310</v>
      </c>
      <c r="C328" s="527"/>
      <c r="D328" s="527"/>
      <c r="E328" s="527"/>
      <c r="F328" s="538"/>
      <c r="G328" s="537"/>
      <c r="H328" s="537"/>
      <c r="I328" s="537"/>
      <c r="J328" s="537"/>
      <c r="K328" s="537"/>
    </row>
    <row r="329" spans="1:12">
      <c r="A329" s="529">
        <f t="shared" ref="A329:A330" si="25">+A328+1</f>
        <v>3</v>
      </c>
      <c r="B329" s="535" t="s">
        <v>2311</v>
      </c>
      <c r="C329" s="527"/>
      <c r="D329" s="527"/>
      <c r="E329" s="527"/>
      <c r="F329" s="538"/>
      <c r="G329" s="537"/>
      <c r="H329" s="537"/>
      <c r="I329" s="537"/>
      <c r="J329" s="537"/>
      <c r="K329" s="537"/>
    </row>
    <row r="330" spans="1:12">
      <c r="A330" s="529">
        <f t="shared" si="25"/>
        <v>4</v>
      </c>
      <c r="B330" s="1120" t="s">
        <v>2301</v>
      </c>
      <c r="C330" s="1121"/>
      <c r="D330" s="1121"/>
      <c r="E330" s="1121"/>
      <c r="F330" s="1122"/>
      <c r="G330" s="537"/>
      <c r="H330" s="537">
        <f>+H327+H328-H329</f>
        <v>30701981.399999999</v>
      </c>
      <c r="I330" s="537"/>
      <c r="J330" s="537"/>
      <c r="K330" s="537">
        <f>+K327+K328-K329</f>
        <v>30701981.399999999</v>
      </c>
    </row>
    <row r="332" spans="1:12">
      <c r="A332" s="526" t="s">
        <v>2446</v>
      </c>
    </row>
    <row r="333" spans="1:12" ht="63.75">
      <c r="A333" s="530" t="s">
        <v>1</v>
      </c>
      <c r="B333" s="1153" t="s">
        <v>49</v>
      </c>
      <c r="C333" s="1154"/>
      <c r="D333" s="1154"/>
      <c r="E333" s="1154"/>
      <c r="F333" s="1155"/>
      <c r="G333" s="544" t="s">
        <v>2447</v>
      </c>
      <c r="H333" s="1125" t="s">
        <v>2448</v>
      </c>
      <c r="I333" s="1126"/>
      <c r="J333" s="1125" t="s">
        <v>2305</v>
      </c>
      <c r="K333" s="1126"/>
    </row>
    <row r="334" spans="1:12">
      <c r="A334" s="529">
        <v>1</v>
      </c>
      <c r="B334" s="1120" t="s">
        <v>2300</v>
      </c>
      <c r="C334" s="1121"/>
      <c r="D334" s="1121"/>
      <c r="E334" s="1121"/>
      <c r="F334" s="1122"/>
      <c r="G334" s="534">
        <f>+STAT1!I134</f>
        <v>680931312.63</v>
      </c>
      <c r="H334" s="1123"/>
      <c r="I334" s="1124"/>
      <c r="J334" s="1123">
        <f>+G334+H334</f>
        <v>680931312.63</v>
      </c>
      <c r="K334" s="1124"/>
    </row>
    <row r="335" spans="1:12">
      <c r="A335" s="529">
        <f>+A334+1</f>
        <v>2</v>
      </c>
      <c r="B335" s="1120" t="s">
        <v>2310</v>
      </c>
      <c r="C335" s="1121"/>
      <c r="D335" s="1121"/>
      <c r="E335" s="1121"/>
      <c r="F335" s="1122"/>
      <c r="G335" s="534">
        <f>SUM(G336:G337)</f>
        <v>0</v>
      </c>
      <c r="H335" s="1123">
        <v>0</v>
      </c>
      <c r="I335" s="1124"/>
      <c r="J335" s="1123">
        <v>0</v>
      </c>
      <c r="K335" s="1124"/>
    </row>
    <row r="336" spans="1:12">
      <c r="A336" s="529"/>
      <c r="B336" s="1127" t="s">
        <v>2449</v>
      </c>
      <c r="C336" s="1128"/>
      <c r="D336" s="1128"/>
      <c r="E336" s="1128"/>
      <c r="F336" s="1129"/>
      <c r="G336" s="534"/>
      <c r="H336" s="1123"/>
      <c r="I336" s="1124"/>
      <c r="J336" s="1123"/>
      <c r="K336" s="1124"/>
      <c r="L336" s="230" t="s">
        <v>2450</v>
      </c>
    </row>
    <row r="337" spans="1:11">
      <c r="A337" s="529"/>
      <c r="B337" s="1131" t="s">
        <v>2451</v>
      </c>
      <c r="C337" s="1131"/>
      <c r="D337" s="1131"/>
      <c r="E337" s="1131"/>
      <c r="F337" s="1131"/>
      <c r="G337" s="537"/>
      <c r="H337" s="1123"/>
      <c r="I337" s="1124"/>
      <c r="J337" s="1123"/>
      <c r="K337" s="1124"/>
    </row>
    <row r="338" spans="1:11">
      <c r="A338" s="529">
        <v>3</v>
      </c>
      <c r="B338" s="1134" t="s">
        <v>2452</v>
      </c>
      <c r="C338" s="1134"/>
      <c r="D338" s="1134"/>
      <c r="E338" s="1134"/>
      <c r="F338" s="1134"/>
      <c r="G338" s="537">
        <f>SUM(G339:G341)</f>
        <v>0</v>
      </c>
      <c r="H338" s="1123">
        <v>0</v>
      </c>
      <c r="I338" s="1124"/>
      <c r="J338" s="1123">
        <v>0</v>
      </c>
      <c r="K338" s="1124"/>
    </row>
    <row r="339" spans="1:11">
      <c r="A339" s="529"/>
      <c r="B339" s="1131" t="s">
        <v>2449</v>
      </c>
      <c r="C339" s="1131"/>
      <c r="D339" s="1131"/>
      <c r="E339" s="1131"/>
      <c r="F339" s="1131"/>
      <c r="G339" s="537"/>
      <c r="H339" s="1123"/>
      <c r="I339" s="1124"/>
      <c r="J339" s="1123"/>
      <c r="K339" s="1124"/>
    </row>
    <row r="340" spans="1:11">
      <c r="A340" s="529"/>
      <c r="B340" s="1131" t="s">
        <v>2453</v>
      </c>
      <c r="C340" s="1131"/>
      <c r="D340" s="1131"/>
      <c r="E340" s="1131"/>
      <c r="F340" s="1131"/>
      <c r="G340" s="537"/>
      <c r="H340" s="1123"/>
      <c r="I340" s="1124"/>
      <c r="J340" s="1123"/>
      <c r="K340" s="1124"/>
    </row>
    <row r="341" spans="1:11">
      <c r="A341" s="529"/>
      <c r="B341" s="1131" t="s">
        <v>2454</v>
      </c>
      <c r="C341" s="1131"/>
      <c r="D341" s="1131"/>
      <c r="E341" s="1131"/>
      <c r="F341" s="1131"/>
      <c r="G341" s="537"/>
      <c r="H341" s="1123"/>
      <c r="I341" s="1124"/>
      <c r="J341" s="1123"/>
      <c r="K341" s="1124"/>
    </row>
    <row r="342" spans="1:11">
      <c r="A342" s="529">
        <v>4</v>
      </c>
      <c r="B342" s="1131" t="s">
        <v>15</v>
      </c>
      <c r="C342" s="1131"/>
      <c r="D342" s="1131"/>
      <c r="E342" s="1131"/>
      <c r="F342" s="1131"/>
      <c r="G342" s="537">
        <f>+G334+G335-G338</f>
        <v>680931312.63</v>
      </c>
      <c r="H342" s="1123"/>
      <c r="I342" s="1124"/>
      <c r="J342" s="1123">
        <v>680931312.63</v>
      </c>
      <c r="K342" s="1124"/>
    </row>
    <row r="344" spans="1:11">
      <c r="A344" s="526" t="s">
        <v>2455</v>
      </c>
    </row>
    <row r="345" spans="1:11" ht="25.5">
      <c r="A345" s="529" t="s">
        <v>1</v>
      </c>
      <c r="B345" s="1120" t="s">
        <v>49</v>
      </c>
      <c r="C345" s="1121"/>
      <c r="D345" s="1121"/>
      <c r="E345" s="1121"/>
      <c r="F345" s="1121"/>
      <c r="G345" s="1122"/>
      <c r="H345" s="539" t="s">
        <v>2300</v>
      </c>
      <c r="I345" s="539" t="s">
        <v>2456</v>
      </c>
      <c r="J345" s="539" t="s">
        <v>2457</v>
      </c>
      <c r="K345" s="539" t="s">
        <v>15</v>
      </c>
    </row>
    <row r="346" spans="1:11">
      <c r="A346" s="529">
        <v>1</v>
      </c>
      <c r="B346" s="1162" t="s">
        <v>2458</v>
      </c>
      <c r="C346" s="1163"/>
      <c r="D346" s="1163"/>
      <c r="E346" s="1163"/>
      <c r="F346" s="1163"/>
      <c r="G346" s="1164"/>
      <c r="H346" s="534"/>
      <c r="I346" s="534"/>
      <c r="J346" s="534"/>
      <c r="K346" s="534"/>
    </row>
    <row r="347" spans="1:11">
      <c r="A347" s="529">
        <f>+A346+1</f>
        <v>2</v>
      </c>
      <c r="B347" s="1162" t="s">
        <v>2459</v>
      </c>
      <c r="C347" s="1163"/>
      <c r="D347" s="1163"/>
      <c r="E347" s="1163"/>
      <c r="F347" s="1163"/>
      <c r="G347" s="1164"/>
      <c r="H347" s="534"/>
      <c r="I347" s="534"/>
      <c r="J347" s="534"/>
      <c r="K347" s="534"/>
    </row>
    <row r="348" spans="1:11">
      <c r="A348" s="529">
        <f t="shared" ref="A348:A349" si="26">+A347+1</f>
        <v>3</v>
      </c>
      <c r="B348" s="551" t="s">
        <v>1225</v>
      </c>
      <c r="C348" s="552"/>
      <c r="D348" s="552"/>
      <c r="E348" s="552"/>
      <c r="F348" s="552"/>
      <c r="G348" s="553"/>
      <c r="H348" s="556"/>
      <c r="I348" s="556"/>
      <c r="J348" s="556"/>
      <c r="K348" s="556"/>
    </row>
    <row r="349" spans="1:11">
      <c r="A349" s="529">
        <f t="shared" si="26"/>
        <v>4</v>
      </c>
      <c r="B349" s="1120" t="s">
        <v>2305</v>
      </c>
      <c r="C349" s="1121"/>
      <c r="D349" s="1121"/>
      <c r="E349" s="1121"/>
      <c r="F349" s="1121"/>
      <c r="G349" s="1122"/>
      <c r="H349" s="534"/>
      <c r="I349" s="534"/>
      <c r="J349" s="534"/>
      <c r="K349" s="534"/>
    </row>
    <row r="351" spans="1:11">
      <c r="A351" s="526" t="s">
        <v>2460</v>
      </c>
    </row>
    <row r="353" spans="1:14">
      <c r="A353" s="1149" t="s">
        <v>2461</v>
      </c>
      <c r="B353" s="1149"/>
      <c r="C353" s="1149"/>
      <c r="D353" s="1149"/>
      <c r="E353" s="1149"/>
      <c r="F353" s="1149"/>
      <c r="G353" s="1149"/>
      <c r="H353" s="1149"/>
      <c r="I353" s="1149"/>
      <c r="J353" s="1149"/>
      <c r="K353" s="1149"/>
    </row>
    <row r="354" spans="1:14">
      <c r="A354" s="580" t="s">
        <v>2670</v>
      </c>
      <c r="B354" s="581"/>
      <c r="C354" s="581"/>
      <c r="D354" s="581"/>
      <c r="E354" s="581"/>
      <c r="F354" s="581"/>
      <c r="G354" s="581"/>
      <c r="H354" s="581"/>
      <c r="I354" s="581"/>
      <c r="J354" s="581"/>
      <c r="K354" s="581"/>
    </row>
    <row r="355" spans="1:14">
      <c r="A355" s="580" t="s">
        <v>2670</v>
      </c>
      <c r="B355" s="581"/>
      <c r="C355" s="581"/>
      <c r="D355" s="581"/>
      <c r="E355" s="581"/>
      <c r="F355" s="581"/>
      <c r="G355" s="581"/>
      <c r="H355" s="581"/>
      <c r="I355" s="581"/>
      <c r="J355" s="581"/>
      <c r="K355" s="581"/>
    </row>
    <row r="356" spans="1:14">
      <c r="A356" s="580" t="s">
        <v>2670</v>
      </c>
      <c r="B356" s="581"/>
      <c r="C356" s="581"/>
      <c r="D356" s="581"/>
      <c r="E356" s="581"/>
      <c r="F356" s="581"/>
      <c r="G356" s="581"/>
      <c r="H356" s="581"/>
      <c r="I356" s="581"/>
      <c r="J356" s="581"/>
      <c r="K356" s="581"/>
    </row>
    <row r="357" spans="1:14">
      <c r="A357" s="580" t="s">
        <v>2670</v>
      </c>
      <c r="B357" s="581"/>
      <c r="C357" s="581"/>
      <c r="D357" s="581"/>
      <c r="E357" s="581"/>
      <c r="F357" s="581"/>
      <c r="G357" s="581"/>
      <c r="H357" s="581"/>
      <c r="I357" s="581"/>
      <c r="J357" s="581"/>
      <c r="K357" s="581"/>
    </row>
    <row r="359" spans="1:14">
      <c r="A359" s="1136" t="s">
        <v>2462</v>
      </c>
      <c r="B359" s="1136"/>
      <c r="C359" s="1136"/>
      <c r="D359" s="1136"/>
      <c r="E359" s="1136"/>
      <c r="F359" s="1136"/>
      <c r="G359" s="1136"/>
      <c r="H359" s="1136"/>
      <c r="I359" s="1136"/>
      <c r="J359" s="1136"/>
      <c r="K359" s="1136"/>
    </row>
    <row r="361" spans="1:14">
      <c r="A361" s="529" t="s">
        <v>1</v>
      </c>
      <c r="B361" s="1120" t="s">
        <v>49</v>
      </c>
      <c r="C361" s="1121"/>
      <c r="D361" s="1121"/>
      <c r="E361" s="1121"/>
      <c r="F361" s="1121"/>
      <c r="G361" s="1122"/>
      <c r="H361" s="1123" t="s">
        <v>2463</v>
      </c>
      <c r="I361" s="1124"/>
      <c r="J361" s="1123" t="s">
        <v>2464</v>
      </c>
      <c r="K361" s="1124"/>
    </row>
    <row r="362" spans="1:14">
      <c r="A362" s="543">
        <v>1</v>
      </c>
      <c r="B362" s="1167" t="s">
        <v>2465</v>
      </c>
      <c r="C362" s="1151"/>
      <c r="D362" s="1151"/>
      <c r="E362" s="1151"/>
      <c r="F362" s="1151"/>
      <c r="G362" s="1152"/>
      <c r="H362" s="1123"/>
      <c r="I362" s="1124"/>
      <c r="J362" s="1123"/>
      <c r="K362" s="1124"/>
    </row>
    <row r="363" spans="1:14">
      <c r="A363" s="1165">
        <v>1.1000000000000001</v>
      </c>
      <c r="B363" s="1150" t="s">
        <v>2229</v>
      </c>
      <c r="C363" s="1151"/>
      <c r="D363" s="1151"/>
      <c r="E363" s="1151"/>
      <c r="F363" s="1151"/>
      <c r="G363" s="1152"/>
      <c r="H363" s="1123">
        <f>+IS!D7</f>
        <v>458303751.75</v>
      </c>
      <c r="I363" s="1124"/>
      <c r="J363" s="1123">
        <f>+STAT1!T140+STAT2!T140+STAT3!T140+STAT4!T140</f>
        <v>272091054.27512431</v>
      </c>
      <c r="K363" s="1124"/>
    </row>
    <row r="364" spans="1:14">
      <c r="A364" s="1166"/>
      <c r="B364" s="1150"/>
      <c r="C364" s="1151"/>
      <c r="D364" s="1151"/>
      <c r="E364" s="1151"/>
      <c r="F364" s="1151"/>
      <c r="G364" s="1152"/>
      <c r="H364" s="1123"/>
      <c r="I364" s="1124"/>
      <c r="J364" s="1123"/>
      <c r="K364" s="1124"/>
    </row>
    <row r="365" spans="1:14">
      <c r="A365" s="1165">
        <v>1.2</v>
      </c>
      <c r="B365" s="1150" t="s">
        <v>2466</v>
      </c>
      <c r="C365" s="1151"/>
      <c r="D365" s="1151"/>
      <c r="E365" s="1151"/>
      <c r="F365" s="1151"/>
      <c r="G365" s="1152"/>
      <c r="H365" s="1123">
        <v>0</v>
      </c>
      <c r="I365" s="1124"/>
      <c r="J365" s="1123">
        <f>+STAT1!T141+STAT2!S141+STAT3!T141+STAT4!T141</f>
        <v>155418971.88</v>
      </c>
      <c r="K365" s="1124"/>
    </row>
    <row r="366" spans="1:14">
      <c r="A366" s="1166"/>
      <c r="B366" s="1150"/>
      <c r="C366" s="1151"/>
      <c r="D366" s="1151"/>
      <c r="E366" s="1151"/>
      <c r="F366" s="1151"/>
      <c r="G366" s="1152"/>
      <c r="H366" s="1123"/>
      <c r="I366" s="1124"/>
      <c r="J366" s="1123"/>
      <c r="K366" s="1124"/>
    </row>
    <row r="367" spans="1:14">
      <c r="A367" s="541">
        <v>1.3</v>
      </c>
      <c r="B367" s="1150" t="s">
        <v>2467</v>
      </c>
      <c r="C367" s="1151"/>
      <c r="D367" s="1151"/>
      <c r="E367" s="1151"/>
      <c r="F367" s="1151"/>
      <c r="G367" s="1152"/>
      <c r="H367" s="1123">
        <f>+H365+H363</f>
        <v>458303751.75</v>
      </c>
      <c r="I367" s="1124"/>
      <c r="J367" s="1123">
        <f>+J365+J363</f>
        <v>427510026.15512431</v>
      </c>
      <c r="K367" s="1124"/>
      <c r="M367" s="230">
        <f>+IS!I7</f>
        <v>427510026.15512431</v>
      </c>
      <c r="N367" s="230">
        <f>+J367-M367</f>
        <v>0</v>
      </c>
    </row>
    <row r="368" spans="1:14">
      <c r="A368" s="543">
        <v>2</v>
      </c>
      <c r="B368" s="1167" t="s">
        <v>2468</v>
      </c>
      <c r="C368" s="1168"/>
      <c r="D368" s="1168"/>
      <c r="E368" s="1168"/>
      <c r="F368" s="1168"/>
      <c r="G368" s="1169"/>
      <c r="H368" s="1123"/>
      <c r="I368" s="1124"/>
      <c r="J368" s="1123"/>
      <c r="K368" s="1124"/>
      <c r="L368" s="230" t="s">
        <v>2469</v>
      </c>
    </row>
    <row r="369" spans="1:14">
      <c r="A369" s="543">
        <v>3</v>
      </c>
      <c r="B369" s="1170" t="s">
        <v>2470</v>
      </c>
      <c r="C369" s="1171"/>
      <c r="D369" s="1171"/>
      <c r="E369" s="1171"/>
      <c r="F369" s="1171"/>
      <c r="G369" s="1172"/>
      <c r="H369" s="1123"/>
      <c r="I369" s="1124"/>
      <c r="J369" s="1123"/>
      <c r="K369" s="1124"/>
    </row>
    <row r="370" spans="1:14">
      <c r="A370" s="543">
        <v>4</v>
      </c>
      <c r="B370" s="1170" t="s">
        <v>2471</v>
      </c>
      <c r="C370" s="1171"/>
      <c r="D370" s="1171"/>
      <c r="E370" s="1171"/>
      <c r="F370" s="1171"/>
      <c r="G370" s="1172"/>
      <c r="H370" s="1123"/>
      <c r="I370" s="1124"/>
      <c r="J370" s="1123"/>
      <c r="K370" s="1124"/>
    </row>
    <row r="371" spans="1:14">
      <c r="A371" s="1173">
        <v>4.0999999999999996</v>
      </c>
      <c r="B371" s="1120" t="s">
        <v>2472</v>
      </c>
      <c r="C371" s="1121"/>
      <c r="D371" s="1121"/>
      <c r="E371" s="1121"/>
      <c r="F371" s="1121"/>
      <c r="G371" s="1122"/>
      <c r="H371" s="1123">
        <v>271139823.25999999</v>
      </c>
      <c r="I371" s="1124"/>
      <c r="J371" s="1123">
        <f>+STAT1!U151+STAT2!U151+STAT3!U151+STAT4!U151</f>
        <v>182804303.33468902</v>
      </c>
      <c r="K371" s="1124"/>
    </row>
    <row r="372" spans="1:14">
      <c r="A372" s="1173"/>
      <c r="B372" s="1174"/>
      <c r="C372" s="1175"/>
      <c r="D372" s="1175"/>
      <c r="E372" s="1175"/>
      <c r="F372" s="1175"/>
      <c r="G372" s="1176"/>
      <c r="H372" s="1123"/>
      <c r="I372" s="1124"/>
      <c r="J372" s="1123"/>
      <c r="K372" s="1124"/>
    </row>
    <row r="373" spans="1:14">
      <c r="A373" s="1173">
        <v>4.2</v>
      </c>
      <c r="B373" s="1120" t="s">
        <v>2473</v>
      </c>
      <c r="C373" s="1121"/>
      <c r="D373" s="1121"/>
      <c r="E373" s="1121"/>
      <c r="F373" s="1121"/>
      <c r="G373" s="1122"/>
      <c r="H373" s="1123"/>
      <c r="I373" s="1124"/>
      <c r="J373" s="1123">
        <f>+STAT3!U152+STAT2!U152+STAT1!U152+STAT4!U152</f>
        <v>127847329.22250006</v>
      </c>
      <c r="K373" s="1124"/>
    </row>
    <row r="374" spans="1:14">
      <c r="A374" s="1173"/>
      <c r="B374" s="1174"/>
      <c r="C374" s="1175"/>
      <c r="D374" s="1175"/>
      <c r="E374" s="1175"/>
      <c r="F374" s="1175"/>
      <c r="G374" s="1176"/>
      <c r="H374" s="1123"/>
      <c r="I374" s="1124"/>
      <c r="J374" s="1123"/>
      <c r="K374" s="1124"/>
    </row>
    <row r="375" spans="1:14">
      <c r="A375" s="559">
        <v>4.3</v>
      </c>
      <c r="B375" s="1120" t="s">
        <v>2474</v>
      </c>
      <c r="C375" s="1121"/>
      <c r="D375" s="1121"/>
      <c r="E375" s="1121"/>
      <c r="F375" s="1121"/>
      <c r="G375" s="1122"/>
      <c r="H375" s="1123">
        <f>+H373+H371</f>
        <v>271139823.25999999</v>
      </c>
      <c r="I375" s="1124"/>
      <c r="J375" s="1123">
        <f>+J373+J371</f>
        <v>310651632.55718911</v>
      </c>
      <c r="K375" s="1124"/>
      <c r="M375" s="230">
        <f>+IS!I8</f>
        <v>310651632.55718911</v>
      </c>
      <c r="N375" s="230">
        <f>+J375-M375</f>
        <v>0</v>
      </c>
    </row>
    <row r="377" spans="1:14">
      <c r="A377" s="1177" t="s">
        <v>2475</v>
      </c>
      <c r="B377" s="1177"/>
      <c r="C377" s="1177"/>
      <c r="D377" s="1177"/>
      <c r="E377" s="1177"/>
      <c r="F377" s="1177"/>
      <c r="G377" s="1177"/>
      <c r="H377" s="1177"/>
      <c r="I377" s="1177"/>
      <c r="J377" s="1177"/>
      <c r="K377" s="1177"/>
    </row>
    <row r="378" spans="1:14">
      <c r="A378" s="1133" t="s">
        <v>2476</v>
      </c>
      <c r="B378" s="1133"/>
      <c r="C378" s="1133"/>
      <c r="D378" s="1133"/>
      <c r="E378" s="1133"/>
      <c r="F378" s="1133"/>
      <c r="G378" s="1133"/>
      <c r="H378" s="1133"/>
      <c r="I378" s="1133"/>
      <c r="J378" s="1133"/>
      <c r="K378" s="1133"/>
    </row>
    <row r="380" spans="1:14">
      <c r="A380" s="1136" t="s">
        <v>2477</v>
      </c>
      <c r="B380" s="1136"/>
      <c r="C380" s="1136"/>
      <c r="D380" s="1136"/>
      <c r="E380" s="1136"/>
      <c r="F380" s="1136"/>
      <c r="G380" s="1136"/>
      <c r="H380" s="1136"/>
      <c r="I380" s="1136"/>
      <c r="J380" s="1136"/>
      <c r="K380" s="1136"/>
    </row>
    <row r="382" spans="1:14">
      <c r="A382" s="526" t="s">
        <v>2478</v>
      </c>
    </row>
    <row r="383" spans="1:14">
      <c r="A383" s="529" t="s">
        <v>1</v>
      </c>
      <c r="B383" s="1120" t="s">
        <v>2479</v>
      </c>
      <c r="C383" s="1121"/>
      <c r="D383" s="1121"/>
      <c r="E383" s="1121"/>
      <c r="F383" s="1121"/>
      <c r="G383" s="1122"/>
      <c r="H383" s="1123" t="s">
        <v>2463</v>
      </c>
      <c r="I383" s="1124"/>
      <c r="J383" s="1123" t="s">
        <v>2464</v>
      </c>
      <c r="K383" s="1124"/>
    </row>
    <row r="384" spans="1:14">
      <c r="A384" s="529">
        <v>1</v>
      </c>
      <c r="B384" s="1150" t="s">
        <v>2237</v>
      </c>
      <c r="C384" s="1151"/>
      <c r="D384" s="1151"/>
      <c r="E384" s="1151"/>
      <c r="F384" s="1151"/>
      <c r="G384" s="1152"/>
      <c r="H384" s="1123">
        <f>+IS!D11</f>
        <v>8727.52</v>
      </c>
      <c r="I384" s="1124"/>
      <c r="J384" s="1123">
        <f>+IS!I11</f>
        <v>0</v>
      </c>
      <c r="K384" s="1124"/>
    </row>
    <row r="385" spans="1:11">
      <c r="A385" s="529">
        <f>+A384+1</f>
        <v>2</v>
      </c>
      <c r="B385" s="1150"/>
      <c r="C385" s="1151"/>
      <c r="D385" s="1151"/>
      <c r="E385" s="1151"/>
      <c r="F385" s="1151"/>
      <c r="G385" s="1152"/>
      <c r="H385" s="1123"/>
      <c r="I385" s="1124"/>
      <c r="J385" s="1123"/>
      <c r="K385" s="1124"/>
    </row>
    <row r="386" spans="1:11">
      <c r="A386" s="529">
        <f>+A385+1</f>
        <v>3</v>
      </c>
      <c r="B386" s="1120" t="s">
        <v>2305</v>
      </c>
      <c r="C386" s="1121"/>
      <c r="D386" s="1121"/>
      <c r="E386" s="1121"/>
      <c r="F386" s="1121"/>
      <c r="G386" s="1122"/>
      <c r="H386" s="1123">
        <f>SUM(H384:I385)</f>
        <v>8727.52</v>
      </c>
      <c r="I386" s="1124"/>
      <c r="J386" s="1123">
        <f>SUM(J384:K385)</f>
        <v>0</v>
      </c>
      <c r="K386" s="1124"/>
    </row>
    <row r="388" spans="1:11">
      <c r="A388" s="526" t="s">
        <v>2480</v>
      </c>
    </row>
    <row r="389" spans="1:11">
      <c r="A389" s="529" t="s">
        <v>1</v>
      </c>
      <c r="B389" s="1120" t="s">
        <v>2315</v>
      </c>
      <c r="C389" s="1121"/>
      <c r="D389" s="1121"/>
      <c r="E389" s="1121"/>
      <c r="F389" s="1121"/>
      <c r="G389" s="1122"/>
      <c r="H389" s="1123" t="s">
        <v>2463</v>
      </c>
      <c r="I389" s="1124"/>
      <c r="J389" s="1123" t="s">
        <v>2464</v>
      </c>
      <c r="K389" s="1124"/>
    </row>
    <row r="390" spans="1:11">
      <c r="A390" s="529">
        <v>1</v>
      </c>
      <c r="B390" s="1127" t="s">
        <v>2481</v>
      </c>
      <c r="C390" s="1128"/>
      <c r="D390" s="1128"/>
      <c r="E390" s="1128"/>
      <c r="F390" s="1128"/>
      <c r="G390" s="1129"/>
      <c r="H390" s="554"/>
      <c r="I390" s="555">
        <f>+IS!D19</f>
        <v>2912714.06</v>
      </c>
      <c r="J390" s="554"/>
      <c r="K390" s="555">
        <f>+IS!I19</f>
        <v>-368390.30999999994</v>
      </c>
    </row>
    <row r="391" spans="1:11">
      <c r="A391" s="529">
        <f>+A390+1</f>
        <v>2</v>
      </c>
      <c r="B391" s="1127" t="s">
        <v>2482</v>
      </c>
      <c r="C391" s="1128"/>
      <c r="D391" s="1128"/>
      <c r="E391" s="1128"/>
      <c r="F391" s="1128"/>
      <c r="G391" s="1129"/>
      <c r="H391" s="554"/>
      <c r="I391" s="555"/>
      <c r="J391" s="554"/>
      <c r="K391" s="555"/>
    </row>
    <row r="392" spans="1:11">
      <c r="A392" s="529">
        <f t="shared" ref="A392:A394" si="27">+A391+1</f>
        <v>3</v>
      </c>
      <c r="B392" s="1127" t="s">
        <v>2483</v>
      </c>
      <c r="C392" s="1128"/>
      <c r="D392" s="1128"/>
      <c r="E392" s="1128"/>
      <c r="F392" s="1128"/>
      <c r="G392" s="1129"/>
      <c r="H392" s="1123"/>
      <c r="I392" s="1124"/>
      <c r="J392" s="1123"/>
      <c r="K392" s="1124"/>
    </row>
    <row r="393" spans="1:11">
      <c r="A393" s="529">
        <f t="shared" si="27"/>
        <v>4</v>
      </c>
      <c r="B393" s="1127" t="s">
        <v>2484</v>
      </c>
      <c r="C393" s="1128"/>
      <c r="D393" s="1128"/>
      <c r="E393" s="1128"/>
      <c r="F393" s="1128"/>
      <c r="G393" s="1129"/>
      <c r="H393" s="1123"/>
      <c r="I393" s="1124"/>
      <c r="J393" s="1123"/>
      <c r="K393" s="1124"/>
    </row>
    <row r="394" spans="1:11">
      <c r="A394" s="529">
        <f t="shared" si="27"/>
        <v>5</v>
      </c>
      <c r="B394" s="1120" t="s">
        <v>2305</v>
      </c>
      <c r="C394" s="1121"/>
      <c r="D394" s="1121"/>
      <c r="E394" s="1121"/>
      <c r="F394" s="1121"/>
      <c r="G394" s="1122"/>
      <c r="H394" s="1123">
        <f>SUM(H390:I393)</f>
        <v>2912714.06</v>
      </c>
      <c r="I394" s="1124"/>
      <c r="J394" s="1123">
        <f>SUM(J390:K393)</f>
        <v>-368390.30999999994</v>
      </c>
      <c r="K394" s="1124"/>
    </row>
    <row r="396" spans="1:11">
      <c r="A396" s="526" t="s">
        <v>2485</v>
      </c>
    </row>
    <row r="397" spans="1:11">
      <c r="A397" s="529" t="s">
        <v>1</v>
      </c>
      <c r="B397" s="1120" t="s">
        <v>2486</v>
      </c>
      <c r="C397" s="1121"/>
      <c r="D397" s="1121"/>
      <c r="E397" s="1121"/>
      <c r="F397" s="1121"/>
      <c r="G397" s="1122"/>
      <c r="H397" s="1123" t="s">
        <v>2463</v>
      </c>
      <c r="I397" s="1124"/>
      <c r="J397" s="1123" t="s">
        <v>2464</v>
      </c>
      <c r="K397" s="1124"/>
    </row>
    <row r="398" spans="1:11">
      <c r="A398" s="529">
        <v>1</v>
      </c>
      <c r="B398" s="1127" t="s">
        <v>2487</v>
      </c>
      <c r="C398" s="1128"/>
      <c r="D398" s="1128"/>
      <c r="E398" s="1128"/>
      <c r="F398" s="1128"/>
      <c r="G398" s="1129"/>
      <c r="H398" s="554"/>
      <c r="I398" s="555"/>
      <c r="J398" s="554"/>
      <c r="K398" s="555"/>
    </row>
    <row r="399" spans="1:11">
      <c r="A399" s="529">
        <f>+A398+1</f>
        <v>2</v>
      </c>
      <c r="B399" s="1127" t="s">
        <v>2488</v>
      </c>
      <c r="C399" s="1128"/>
      <c r="D399" s="1128"/>
      <c r="E399" s="1128"/>
      <c r="F399" s="1128"/>
      <c r="G399" s="1129"/>
      <c r="H399" s="554"/>
      <c r="I399" s="555"/>
      <c r="J399" s="554"/>
      <c r="K399" s="555"/>
    </row>
    <row r="400" spans="1:11">
      <c r="A400" s="529">
        <f t="shared" ref="A400:A402" si="28">+A399+1</f>
        <v>3</v>
      </c>
      <c r="B400" s="1127" t="s">
        <v>2489</v>
      </c>
      <c r="C400" s="1128"/>
      <c r="D400" s="1128"/>
      <c r="E400" s="1128"/>
      <c r="F400" s="1128"/>
      <c r="G400" s="1129"/>
      <c r="H400" s="1123"/>
      <c r="I400" s="1124"/>
      <c r="J400" s="1123"/>
      <c r="K400" s="1124"/>
    </row>
    <row r="401" spans="1:12">
      <c r="A401" s="529">
        <f t="shared" si="28"/>
        <v>4</v>
      </c>
      <c r="B401" s="1127" t="s">
        <v>2490</v>
      </c>
      <c r="C401" s="1128"/>
      <c r="D401" s="1128"/>
      <c r="E401" s="1128"/>
      <c r="F401" s="1128"/>
      <c r="G401" s="1129"/>
      <c r="H401" s="1123"/>
      <c r="I401" s="1124"/>
      <c r="J401" s="1123"/>
      <c r="K401" s="1124"/>
    </row>
    <row r="402" spans="1:12">
      <c r="A402" s="529">
        <f t="shared" si="28"/>
        <v>5</v>
      </c>
      <c r="B402" s="1120" t="s">
        <v>2305</v>
      </c>
      <c r="C402" s="1121"/>
      <c r="D402" s="1121"/>
      <c r="E402" s="1121"/>
      <c r="F402" s="1121"/>
      <c r="G402" s="1122"/>
      <c r="H402" s="1123"/>
      <c r="I402" s="1124"/>
      <c r="J402" s="1123"/>
      <c r="K402" s="1124"/>
    </row>
    <row r="404" spans="1:12">
      <c r="A404" s="1136" t="s">
        <v>2491</v>
      </c>
      <c r="B404" s="1136"/>
      <c r="C404" s="1136"/>
      <c r="D404" s="1136"/>
      <c r="E404" s="1136"/>
      <c r="F404" s="1136"/>
      <c r="G404" s="1136"/>
      <c r="H404" s="1136"/>
      <c r="I404" s="1136"/>
      <c r="J404" s="1136"/>
      <c r="K404" s="1136"/>
    </row>
    <row r="406" spans="1:12">
      <c r="A406" s="526" t="s">
        <v>2492</v>
      </c>
    </row>
    <row r="407" spans="1:12">
      <c r="A407" s="1137" t="s">
        <v>1</v>
      </c>
      <c r="B407" s="1139" t="s">
        <v>2493</v>
      </c>
      <c r="C407" s="1140"/>
      <c r="D407" s="1140"/>
      <c r="E407" s="1140"/>
      <c r="F407" s="1140"/>
      <c r="G407" s="1141"/>
      <c r="H407" s="1123" t="s">
        <v>2463</v>
      </c>
      <c r="I407" s="1124"/>
      <c r="J407" s="1123" t="s">
        <v>2464</v>
      </c>
      <c r="K407" s="1124"/>
    </row>
    <row r="408" spans="1:12">
      <c r="A408" s="1138"/>
      <c r="B408" s="1142"/>
      <c r="C408" s="1143"/>
      <c r="D408" s="1143"/>
      <c r="E408" s="1143"/>
      <c r="F408" s="1143"/>
      <c r="G408" s="1144"/>
      <c r="H408" s="556" t="s">
        <v>2494</v>
      </c>
      <c r="I408" s="556" t="s">
        <v>2495</v>
      </c>
      <c r="J408" s="556" t="s">
        <v>2494</v>
      </c>
      <c r="K408" s="556" t="s">
        <v>2495</v>
      </c>
    </row>
    <row r="409" spans="1:12">
      <c r="A409" s="529">
        <v>1</v>
      </c>
      <c r="B409" s="1150" t="s">
        <v>2496</v>
      </c>
      <c r="C409" s="1151"/>
      <c r="D409" s="1151"/>
      <c r="E409" s="1151"/>
      <c r="F409" s="1151"/>
      <c r="G409" s="1152"/>
      <c r="H409" s="534"/>
      <c r="I409" s="534">
        <v>105946388.61</v>
      </c>
      <c r="J409" s="534"/>
      <c r="K409" s="534">
        <f>+STAT1!U155+STAT2!U155+STAT3!U155+STAT4!U155</f>
        <v>58994321.192674369</v>
      </c>
    </row>
    <row r="410" spans="1:12">
      <c r="A410" s="529">
        <f>+A409+1</f>
        <v>2</v>
      </c>
      <c r="B410" s="1150" t="s">
        <v>2497</v>
      </c>
      <c r="C410" s="1151"/>
      <c r="D410" s="1151"/>
      <c r="E410" s="1151"/>
      <c r="F410" s="1151"/>
      <c r="G410" s="1152"/>
      <c r="H410" s="534"/>
      <c r="I410" s="534">
        <v>16518439.029999999</v>
      </c>
      <c r="J410" s="534"/>
      <c r="K410" s="534">
        <f>+STAT1!U156+STAT2!U156+STAT3!U156+STAT4!U156</f>
        <v>7563372.7032683995</v>
      </c>
    </row>
    <row r="411" spans="1:12">
      <c r="A411" s="529">
        <f t="shared" ref="A411:A415" si="29">+A410+1</f>
        <v>3</v>
      </c>
      <c r="B411" s="1150" t="s">
        <v>2498</v>
      </c>
      <c r="C411" s="1151"/>
      <c r="D411" s="1151"/>
      <c r="E411" s="1151"/>
      <c r="F411" s="1151"/>
      <c r="G411" s="1152"/>
      <c r="H411" s="534"/>
      <c r="I411" s="534">
        <v>11224322</v>
      </c>
      <c r="J411" s="534"/>
      <c r="K411" s="534">
        <f>+SUM(STAT1!U182:U185)+SUM(STAT2!U182:U185)+SUM(STAT3!U182:U185)+SUM(STAT4!U182:U185)</f>
        <v>14836482</v>
      </c>
    </row>
    <row r="412" spans="1:12">
      <c r="A412" s="529">
        <f t="shared" si="29"/>
        <v>4</v>
      </c>
      <c r="B412" s="1150" t="s">
        <v>2499</v>
      </c>
      <c r="C412" s="1151"/>
      <c r="D412" s="1151"/>
      <c r="E412" s="1151"/>
      <c r="F412" s="1151"/>
      <c r="G412" s="1152"/>
      <c r="H412" s="534"/>
      <c r="I412" s="534">
        <v>0</v>
      </c>
      <c r="J412" s="534"/>
      <c r="K412" s="534">
        <f>+STAT1!U162+STAT2!U162+STAT3!U162+STAT4!U162</f>
        <v>0</v>
      </c>
    </row>
    <row r="413" spans="1:12">
      <c r="A413" s="529">
        <f t="shared" si="29"/>
        <v>5</v>
      </c>
      <c r="B413" s="1150" t="s">
        <v>2500</v>
      </c>
      <c r="C413" s="1151"/>
      <c r="D413" s="1151"/>
      <c r="E413" s="1151"/>
      <c r="F413" s="1151"/>
      <c r="G413" s="1152"/>
      <c r="H413" s="534"/>
      <c r="I413" s="534">
        <v>549673.68999999994</v>
      </c>
      <c r="J413" s="534"/>
      <c r="K413" s="534">
        <f>+STAT1!U180+STAT2!U180+STAT3!U180+STAT4!U180</f>
        <v>390062.72000000003</v>
      </c>
    </row>
    <row r="414" spans="1:12">
      <c r="A414" s="529">
        <f t="shared" si="29"/>
        <v>6</v>
      </c>
      <c r="B414" s="1150" t="s">
        <v>2501</v>
      </c>
      <c r="C414" s="1151"/>
      <c r="D414" s="1151"/>
      <c r="E414" s="1151"/>
      <c r="F414" s="1151"/>
      <c r="G414" s="1152"/>
      <c r="H414" s="534"/>
      <c r="I414" s="534">
        <v>635754.54</v>
      </c>
      <c r="J414" s="534"/>
      <c r="K414" s="534">
        <f>+STAT1!U168+STAT1!U169+STAT2!U168+STAT2!U169+STAT3!U168+STAT3!U169+STAT4!U168+STAT4!U169</f>
        <v>510186.37</v>
      </c>
    </row>
    <row r="415" spans="1:12">
      <c r="A415" s="529">
        <f t="shared" si="29"/>
        <v>7</v>
      </c>
      <c r="B415" s="1150" t="s">
        <v>2502</v>
      </c>
      <c r="C415" s="1151"/>
      <c r="D415" s="1151"/>
      <c r="E415" s="1151"/>
      <c r="F415" s="1151"/>
      <c r="G415" s="1152"/>
      <c r="H415" s="534"/>
      <c r="I415" s="534"/>
      <c r="J415" s="534"/>
      <c r="K415" s="534">
        <f>+SUM(STAT1!U177:U179)+SUM(STAT2!U177:U179)+SUM(STAT3!U177:U179)+SUM(STAT4!U177:U179)</f>
        <v>0</v>
      </c>
    </row>
    <row r="416" spans="1:12">
      <c r="A416" s="529">
        <f>+A415+1</f>
        <v>8</v>
      </c>
      <c r="B416" s="1120" t="s">
        <v>2503</v>
      </c>
      <c r="C416" s="1121"/>
      <c r="D416" s="1121"/>
      <c r="E416" s="1121"/>
      <c r="F416" s="1121"/>
      <c r="G416" s="1122"/>
      <c r="H416" s="534"/>
      <c r="I416" s="534"/>
      <c r="J416" s="534"/>
      <c r="K416" s="534"/>
      <c r="L416" s="230" t="s">
        <v>2504</v>
      </c>
    </row>
    <row r="417" spans="1:14">
      <c r="A417" s="529">
        <f t="shared" ref="A417:A431" si="30">+A416+1</f>
        <v>9</v>
      </c>
      <c r="B417" s="1120" t="s">
        <v>2505</v>
      </c>
      <c r="C417" s="1121"/>
      <c r="D417" s="1121"/>
      <c r="E417" s="1121"/>
      <c r="F417" s="1121"/>
      <c r="G417" s="1122"/>
      <c r="H417" s="537"/>
      <c r="I417" s="537"/>
      <c r="J417" s="537"/>
      <c r="K417" s="537"/>
    </row>
    <row r="418" spans="1:14">
      <c r="A418" s="529">
        <f t="shared" si="30"/>
        <v>10</v>
      </c>
      <c r="B418" s="1120" t="s">
        <v>2506</v>
      </c>
      <c r="C418" s="1121"/>
      <c r="D418" s="1121"/>
      <c r="E418" s="1121"/>
      <c r="F418" s="1121"/>
      <c r="G418" s="1122"/>
      <c r="H418" s="537"/>
      <c r="I418" s="537"/>
      <c r="J418" s="537"/>
      <c r="K418" s="537">
        <f>+SUM(STAT1!U175:U176)+SUM(STAT2!U175:U176)+SUM(STAT3!U175:U176)+SUM(STAT4!U175:U176)</f>
        <v>0</v>
      </c>
    </row>
    <row r="419" spans="1:14">
      <c r="A419" s="529">
        <f t="shared" si="30"/>
        <v>11</v>
      </c>
      <c r="B419" s="1120" t="s">
        <v>2507</v>
      </c>
      <c r="C419" s="1121"/>
      <c r="D419" s="1121"/>
      <c r="E419" s="1121"/>
      <c r="F419" s="1121"/>
      <c r="G419" s="1122"/>
      <c r="H419" s="537"/>
      <c r="I419" s="537">
        <v>36051259.909999996</v>
      </c>
      <c r="J419" s="537"/>
      <c r="K419" s="537">
        <f>+SUM(STAT1!U157:U159)+SUM(STAT2!U157:U159)+SUM(STAT3!U157:U159)+SUM(STAT4!U157:U159)</f>
        <v>2625813.944000002</v>
      </c>
    </row>
    <row r="420" spans="1:14">
      <c r="A420" s="529">
        <f t="shared" si="30"/>
        <v>12</v>
      </c>
      <c r="B420" s="1120" t="s">
        <v>2508</v>
      </c>
      <c r="C420" s="1121"/>
      <c r="D420" s="1121"/>
      <c r="E420" s="1121"/>
      <c r="F420" s="1121"/>
      <c r="G420" s="1122"/>
      <c r="H420" s="537"/>
      <c r="I420" s="537">
        <v>1883420.04</v>
      </c>
      <c r="J420" s="537"/>
      <c r="K420" s="537">
        <f>+SUM(STAT1!U164:U165)+SUM(STAT2!U164:U165)+SUM(STAT3!U164:U165)+SUM(STAT4!U164:U165)</f>
        <v>882854.82000000007</v>
      </c>
    </row>
    <row r="421" spans="1:14">
      <c r="A421" s="529">
        <f t="shared" si="30"/>
        <v>13</v>
      </c>
      <c r="B421" s="1120" t="s">
        <v>2509</v>
      </c>
      <c r="C421" s="1121"/>
      <c r="D421" s="1121"/>
      <c r="E421" s="1121"/>
      <c r="F421" s="1121"/>
      <c r="G421" s="1122"/>
      <c r="H421" s="537"/>
      <c r="I421" s="537">
        <v>115127670.43000001</v>
      </c>
      <c r="J421" s="537"/>
      <c r="K421" s="537">
        <f>+STAT1!U166+STAT2!U166+STAT3!U166+STAT4!U166</f>
        <v>27504351.250000004</v>
      </c>
    </row>
    <row r="422" spans="1:14">
      <c r="A422" s="529">
        <f t="shared" si="30"/>
        <v>14</v>
      </c>
      <c r="B422" s="1120" t="s">
        <v>2510</v>
      </c>
      <c r="C422" s="1121"/>
      <c r="D422" s="1121"/>
      <c r="E422" s="1121"/>
      <c r="F422" s="1121"/>
      <c r="G422" s="1122"/>
      <c r="H422" s="537"/>
      <c r="I422" s="537"/>
      <c r="J422" s="537"/>
      <c r="K422" s="537"/>
    </row>
    <row r="423" spans="1:14">
      <c r="A423" s="529">
        <f t="shared" si="30"/>
        <v>15</v>
      </c>
      <c r="B423" s="1120" t="s">
        <v>2511</v>
      </c>
      <c r="C423" s="1121"/>
      <c r="D423" s="1121"/>
      <c r="E423" s="1121"/>
      <c r="F423" s="1121"/>
      <c r="G423" s="1122"/>
      <c r="H423" s="537"/>
      <c r="I423" s="537">
        <v>18000000</v>
      </c>
      <c r="J423" s="537"/>
      <c r="K423" s="565">
        <f>+STAT1!U193+STAT2!U193+STAT3!U193+STAT4!U193</f>
        <v>18000000</v>
      </c>
    </row>
    <row r="424" spans="1:14">
      <c r="A424" s="529">
        <f t="shared" si="30"/>
        <v>16</v>
      </c>
      <c r="B424" s="1120" t="s">
        <v>2512</v>
      </c>
      <c r="C424" s="1121"/>
      <c r="D424" s="1121"/>
      <c r="E424" s="1121"/>
      <c r="F424" s="1121"/>
      <c r="G424" s="1122"/>
      <c r="H424" s="537"/>
      <c r="I424" s="537">
        <v>288864.53999999998</v>
      </c>
      <c r="J424" s="537"/>
      <c r="K424" s="537">
        <f>+STAT1!U189+STAT2!U189+STAT3!U189+STAT4!U189</f>
        <v>668258</v>
      </c>
    </row>
    <row r="425" spans="1:14">
      <c r="A425" s="529">
        <f t="shared" si="30"/>
        <v>17</v>
      </c>
      <c r="B425" s="1120" t="s">
        <v>2199</v>
      </c>
      <c r="C425" s="1121"/>
      <c r="D425" s="1121"/>
      <c r="E425" s="1121"/>
      <c r="F425" s="1121"/>
      <c r="G425" s="1122"/>
      <c r="H425" s="537"/>
      <c r="I425" s="537"/>
      <c r="J425" s="537"/>
      <c r="K425" s="537"/>
    </row>
    <row r="426" spans="1:14">
      <c r="A426" s="529">
        <f t="shared" si="30"/>
        <v>18</v>
      </c>
      <c r="B426" s="1120" t="s">
        <v>2513</v>
      </c>
      <c r="C426" s="1121"/>
      <c r="D426" s="1121"/>
      <c r="E426" s="1121"/>
      <c r="F426" s="1121"/>
      <c r="G426" s="1122"/>
      <c r="H426" s="537"/>
      <c r="I426" s="537">
        <v>4725332.76</v>
      </c>
      <c r="J426" s="537"/>
      <c r="K426" s="537">
        <f>+STAT1!U170+STAT1!U171+STAT2!U170+STAT2!U171+STAT3!U170+STAT3!U171+STAT4!U170+STAT4!U171</f>
        <v>2202844.71</v>
      </c>
    </row>
    <row r="427" spans="1:14">
      <c r="A427" s="529">
        <f t="shared" si="30"/>
        <v>19</v>
      </c>
      <c r="B427" s="1120" t="s">
        <v>2514</v>
      </c>
      <c r="C427" s="1121"/>
      <c r="D427" s="1121"/>
      <c r="E427" s="1121"/>
      <c r="F427" s="1121"/>
      <c r="G427" s="1122"/>
      <c r="H427" s="537"/>
      <c r="I427" s="537"/>
      <c r="J427" s="537"/>
      <c r="K427" s="537"/>
    </row>
    <row r="428" spans="1:14">
      <c r="A428" s="529">
        <f t="shared" si="30"/>
        <v>20</v>
      </c>
      <c r="B428" s="1120" t="s">
        <v>2515</v>
      </c>
      <c r="C428" s="1121"/>
      <c r="D428" s="1121"/>
      <c r="E428" s="1121"/>
      <c r="F428" s="1121"/>
      <c r="G428" s="1122"/>
      <c r="H428" s="537"/>
      <c r="I428" s="537"/>
      <c r="J428" s="537"/>
      <c r="K428" s="537">
        <f>+STAT1!U167+STAT2!U167+STAT3!U167+STAT4!U167</f>
        <v>89100</v>
      </c>
    </row>
    <row r="429" spans="1:14">
      <c r="A429" s="529">
        <f t="shared" si="30"/>
        <v>21</v>
      </c>
      <c r="B429" s="1120" t="s">
        <v>1231</v>
      </c>
      <c r="C429" s="1121"/>
      <c r="D429" s="1121"/>
      <c r="E429" s="1121"/>
      <c r="F429" s="1121"/>
      <c r="G429" s="1122"/>
      <c r="H429" s="537"/>
      <c r="I429" s="537">
        <v>54786563.530000001</v>
      </c>
      <c r="J429" s="537"/>
      <c r="K429" s="537">
        <f>+STAT3!U173+STAT2!U173+STAT1!U173+STAT4!U173+STAT3!U191+STAT2!U191+STAT1!U191+STAT4!U191+STAT3!U195+STAT2!U195+STAT1!U195+STAT4!U195+STAT3!U188+STAT2!U188+STAT1!U188+STAT4!U188</f>
        <v>36340821.325779997</v>
      </c>
    </row>
    <row r="430" spans="1:14">
      <c r="A430" s="529">
        <f t="shared" si="30"/>
        <v>22</v>
      </c>
      <c r="B430" s="1120"/>
      <c r="C430" s="1121"/>
      <c r="D430" s="1121"/>
      <c r="E430" s="1121"/>
      <c r="F430" s="1121"/>
      <c r="G430" s="1122"/>
      <c r="H430" s="537"/>
      <c r="I430" s="537"/>
      <c r="J430" s="537"/>
      <c r="K430" s="537"/>
    </row>
    <row r="431" spans="1:14">
      <c r="A431" s="529">
        <f t="shared" si="30"/>
        <v>23</v>
      </c>
      <c r="B431" s="1120" t="s">
        <v>2305</v>
      </c>
      <c r="C431" s="1121"/>
      <c r="D431" s="1121"/>
      <c r="E431" s="1121"/>
      <c r="F431" s="1121"/>
      <c r="G431" s="1122"/>
      <c r="H431" s="564">
        <f t="shared" ref="H431:I431" si="31">SUM(H409:H430)</f>
        <v>0</v>
      </c>
      <c r="I431" s="564">
        <f t="shared" si="31"/>
        <v>365737689.08000004</v>
      </c>
      <c r="J431" s="564">
        <f>SUM(J409:J430)</f>
        <v>0</v>
      </c>
      <c r="K431" s="564">
        <f>SUM(K409:K430)</f>
        <v>170608469.03572276</v>
      </c>
      <c r="M431" s="230">
        <f>+IS!I15+IS!I16</f>
        <v>170608469.03572276</v>
      </c>
      <c r="N431" s="230">
        <f>+J431+K431-M431</f>
        <v>0</v>
      </c>
    </row>
    <row r="433" spans="1:11">
      <c r="A433" s="526" t="s">
        <v>2516</v>
      </c>
    </row>
    <row r="434" spans="1:11">
      <c r="A434" s="529" t="s">
        <v>1</v>
      </c>
      <c r="B434" s="1123" t="s">
        <v>2479</v>
      </c>
      <c r="C434" s="1146"/>
      <c r="D434" s="1146"/>
      <c r="E434" s="1146"/>
      <c r="F434" s="1146"/>
      <c r="G434" s="1124"/>
      <c r="H434" s="1123" t="s">
        <v>2463</v>
      </c>
      <c r="I434" s="1124"/>
      <c r="J434" s="1123" t="s">
        <v>2464</v>
      </c>
      <c r="K434" s="1124"/>
    </row>
    <row r="435" spans="1:11">
      <c r="A435" s="529">
        <v>1</v>
      </c>
      <c r="B435" s="1150" t="s">
        <v>2517</v>
      </c>
      <c r="C435" s="1151"/>
      <c r="D435" s="1151"/>
      <c r="E435" s="1151"/>
      <c r="F435" s="1151"/>
      <c r="G435" s="1152"/>
      <c r="H435" s="1123"/>
      <c r="I435" s="1124"/>
      <c r="J435" s="1123"/>
      <c r="K435" s="1124"/>
    </row>
    <row r="436" spans="1:11">
      <c r="A436" s="529">
        <f>+A435+1</f>
        <v>2</v>
      </c>
      <c r="B436" s="552" t="s">
        <v>2518</v>
      </c>
      <c r="C436" s="552"/>
      <c r="D436" s="552"/>
      <c r="E436" s="552"/>
      <c r="F436" s="552"/>
      <c r="G436" s="553"/>
      <c r="H436" s="554"/>
      <c r="I436" s="555"/>
      <c r="J436" s="554"/>
      <c r="K436" s="555"/>
    </row>
    <row r="437" spans="1:11">
      <c r="A437" s="529">
        <f t="shared" ref="A437:A439" si="32">+A436+1</f>
        <v>3</v>
      </c>
      <c r="B437" s="551" t="s">
        <v>2519</v>
      </c>
      <c r="C437" s="552"/>
      <c r="D437" s="552"/>
      <c r="E437" s="552"/>
      <c r="F437" s="552"/>
      <c r="G437" s="553"/>
      <c r="H437" s="554"/>
      <c r="I437" s="555"/>
      <c r="J437" s="554"/>
      <c r="K437" s="555"/>
    </row>
    <row r="438" spans="1:11">
      <c r="A438" s="529">
        <f t="shared" si="32"/>
        <v>4</v>
      </c>
      <c r="B438" s="1150"/>
      <c r="C438" s="1151"/>
      <c r="D438" s="1151"/>
      <c r="E438" s="1151"/>
      <c r="F438" s="1151"/>
      <c r="G438" s="1152"/>
      <c r="H438" s="1123"/>
      <c r="I438" s="1124"/>
      <c r="J438" s="1123"/>
      <c r="K438" s="1124"/>
    </row>
    <row r="439" spans="1:11">
      <c r="A439" s="529">
        <f t="shared" si="32"/>
        <v>5</v>
      </c>
      <c r="B439" s="1120" t="s">
        <v>2305</v>
      </c>
      <c r="C439" s="1121"/>
      <c r="D439" s="1121"/>
      <c r="E439" s="1121"/>
      <c r="F439" s="1121"/>
      <c r="G439" s="1122"/>
      <c r="H439" s="1123"/>
      <c r="I439" s="1124"/>
      <c r="J439" s="1123"/>
      <c r="K439" s="1124"/>
    </row>
    <row r="441" spans="1:11">
      <c r="A441" s="526" t="s">
        <v>2520</v>
      </c>
    </row>
    <row r="442" spans="1:11">
      <c r="A442" s="1137" t="s">
        <v>1</v>
      </c>
      <c r="B442" s="1139" t="s">
        <v>49</v>
      </c>
      <c r="C442" s="1140"/>
      <c r="D442" s="1140"/>
      <c r="E442" s="1140"/>
      <c r="F442" s="1141"/>
      <c r="G442" s="1178" t="s">
        <v>2521</v>
      </c>
      <c r="H442" s="1125" t="s">
        <v>2522</v>
      </c>
      <c r="I442" s="1180"/>
      <c r="J442" s="1180"/>
      <c r="K442" s="1126"/>
    </row>
    <row r="443" spans="1:11">
      <c r="A443" s="1138"/>
      <c r="B443" s="1142"/>
      <c r="C443" s="1143"/>
      <c r="D443" s="1143"/>
      <c r="E443" s="1143"/>
      <c r="F443" s="1144"/>
      <c r="G443" s="1179"/>
      <c r="H443" s="1123" t="s">
        <v>2463</v>
      </c>
      <c r="I443" s="1124"/>
      <c r="J443" s="1123" t="s">
        <v>2464</v>
      </c>
      <c r="K443" s="1124"/>
    </row>
    <row r="444" spans="1:11">
      <c r="A444" s="529">
        <f>+A443+1</f>
        <v>1</v>
      </c>
      <c r="B444" s="1120" t="s">
        <v>2523</v>
      </c>
      <c r="C444" s="1121"/>
      <c r="D444" s="1121"/>
      <c r="E444" s="1121"/>
      <c r="F444" s="1122"/>
      <c r="G444" s="534"/>
      <c r="H444" s="1123"/>
      <c r="I444" s="1124"/>
      <c r="J444" s="1123"/>
      <c r="K444" s="1124"/>
    </row>
    <row r="445" spans="1:11">
      <c r="A445" s="529"/>
      <c r="B445" s="1120"/>
      <c r="C445" s="1121"/>
      <c r="D445" s="1121"/>
      <c r="E445" s="1121"/>
      <c r="F445" s="1122"/>
      <c r="G445" s="534"/>
      <c r="H445" s="1123"/>
      <c r="I445" s="1124"/>
      <c r="J445" s="1123"/>
      <c r="K445" s="1124"/>
    </row>
    <row r="446" spans="1:11">
      <c r="A446" s="529">
        <v>2</v>
      </c>
      <c r="B446" s="1120" t="s">
        <v>2524</v>
      </c>
      <c r="C446" s="1121"/>
      <c r="D446" s="1121"/>
      <c r="E446" s="1121"/>
      <c r="F446" s="1122"/>
      <c r="G446" s="534"/>
      <c r="H446" s="1123"/>
      <c r="I446" s="1124"/>
      <c r="J446" s="1123"/>
      <c r="K446" s="1124"/>
    </row>
    <row r="447" spans="1:11">
      <c r="A447" s="529"/>
      <c r="B447" s="1120"/>
      <c r="C447" s="1121"/>
      <c r="D447" s="1121"/>
      <c r="E447" s="1121"/>
      <c r="F447" s="1122"/>
      <c r="G447" s="537"/>
      <c r="H447" s="1123"/>
      <c r="I447" s="1124"/>
      <c r="J447" s="1123"/>
      <c r="K447" s="1124"/>
    </row>
    <row r="448" spans="1:11">
      <c r="A448" s="529">
        <v>3</v>
      </c>
      <c r="B448" s="535" t="s">
        <v>2525</v>
      </c>
      <c r="C448" s="527"/>
      <c r="D448" s="527"/>
      <c r="E448" s="527"/>
      <c r="F448" s="538"/>
      <c r="G448" s="537"/>
      <c r="H448" s="554"/>
      <c r="I448" s="555"/>
      <c r="J448" s="554"/>
      <c r="K448" s="555"/>
    </row>
    <row r="449" spans="1:12">
      <c r="A449" s="529"/>
      <c r="B449" s="1120"/>
      <c r="C449" s="1121"/>
      <c r="D449" s="1121"/>
      <c r="E449" s="1121"/>
      <c r="F449" s="1122"/>
      <c r="G449" s="537"/>
      <c r="H449" s="554"/>
      <c r="I449" s="555"/>
      <c r="J449" s="554"/>
      <c r="K449" s="555"/>
    </row>
    <row r="450" spans="1:12">
      <c r="A450" s="529">
        <v>4</v>
      </c>
      <c r="B450" s="1120" t="s">
        <v>2305</v>
      </c>
      <c r="C450" s="1121"/>
      <c r="D450" s="1121"/>
      <c r="E450" s="1121"/>
      <c r="F450" s="1122"/>
      <c r="G450" s="537"/>
      <c r="H450" s="554"/>
      <c r="I450" s="555"/>
      <c r="J450" s="554"/>
      <c r="K450" s="555"/>
    </row>
    <row r="452" spans="1:12">
      <c r="A452" s="1136" t="s">
        <v>2526</v>
      </c>
      <c r="B452" s="1136"/>
      <c r="C452" s="1136"/>
      <c r="D452" s="1136"/>
      <c r="E452" s="1136"/>
      <c r="F452" s="1136"/>
      <c r="G452" s="1136"/>
      <c r="H452" s="1136"/>
      <c r="I452" s="1136"/>
      <c r="J452" s="1136"/>
      <c r="K452" s="1136"/>
      <c r="L452" s="230" t="s">
        <v>2527</v>
      </c>
    </row>
    <row r="454" spans="1:12">
      <c r="A454" s="529" t="s">
        <v>1</v>
      </c>
      <c r="B454" s="1123" t="s">
        <v>49</v>
      </c>
      <c r="C454" s="1146"/>
      <c r="D454" s="1146"/>
      <c r="E454" s="1146"/>
      <c r="F454" s="1146"/>
      <c r="G454" s="1124"/>
      <c r="H454" s="1123" t="s">
        <v>2463</v>
      </c>
      <c r="I454" s="1124"/>
      <c r="J454" s="1123" t="s">
        <v>2464</v>
      </c>
      <c r="K454" s="1124"/>
    </row>
    <row r="455" spans="1:12">
      <c r="A455" s="529">
        <v>1</v>
      </c>
      <c r="B455" s="1150" t="s">
        <v>2528</v>
      </c>
      <c r="C455" s="1151"/>
      <c r="D455" s="1151"/>
      <c r="E455" s="1151"/>
      <c r="F455" s="1151"/>
      <c r="G455" s="1152"/>
      <c r="H455" s="1123"/>
      <c r="I455" s="1124"/>
      <c r="J455" s="1123">
        <f>+STAT3!U214+STAT2!U214+STAT1!U214+STAT4!U214</f>
        <v>0</v>
      </c>
      <c r="K455" s="1124"/>
    </row>
    <row r="456" spans="1:12">
      <c r="A456" s="529">
        <f>+A455+1</f>
        <v>2</v>
      </c>
      <c r="B456" s="1150" t="s">
        <v>2529</v>
      </c>
      <c r="C456" s="1151"/>
      <c r="D456" s="1151"/>
      <c r="E456" s="1151"/>
      <c r="F456" s="1151"/>
      <c r="G456" s="1152"/>
      <c r="H456" s="1123"/>
      <c r="I456" s="1124"/>
      <c r="J456" s="1123"/>
      <c r="K456" s="1124"/>
    </row>
    <row r="457" spans="1:12">
      <c r="A457" s="529">
        <f>+A456+1</f>
        <v>3</v>
      </c>
      <c r="B457" s="1120" t="s">
        <v>2530</v>
      </c>
      <c r="C457" s="1121"/>
      <c r="D457" s="1121"/>
      <c r="E457" s="1121"/>
      <c r="F457" s="1121"/>
      <c r="G457" s="1122"/>
      <c r="H457" s="1123">
        <f>SUM(H455:I456)</f>
        <v>0</v>
      </c>
      <c r="I457" s="1124"/>
      <c r="J457" s="1123">
        <f>SUM(J455:K456)</f>
        <v>0</v>
      </c>
      <c r="K457" s="1124"/>
    </row>
    <row r="459" spans="1:12">
      <c r="A459" s="1149" t="s">
        <v>2531</v>
      </c>
      <c r="B459" s="1149"/>
      <c r="C459" s="1149"/>
      <c r="D459" s="1149"/>
      <c r="E459" s="1149"/>
      <c r="F459" s="1149"/>
      <c r="G459" s="1149"/>
      <c r="H459" s="1149"/>
      <c r="I459" s="1149"/>
      <c r="J459" s="1149"/>
      <c r="K459" s="1149"/>
    </row>
    <row r="460" spans="1:12">
      <c r="A460" s="580" t="s">
        <v>2670</v>
      </c>
      <c r="B460" s="581"/>
      <c r="C460" s="581"/>
      <c r="D460" s="581"/>
      <c r="E460" s="581"/>
      <c r="F460" s="581"/>
      <c r="G460" s="581"/>
      <c r="H460" s="581"/>
      <c r="I460" s="581"/>
      <c r="J460" s="581"/>
      <c r="K460" s="581"/>
    </row>
    <row r="461" spans="1:12">
      <c r="A461" s="580" t="s">
        <v>2670</v>
      </c>
      <c r="B461" s="581"/>
      <c r="C461" s="581"/>
      <c r="D461" s="581"/>
      <c r="E461" s="581"/>
      <c r="F461" s="581"/>
      <c r="G461" s="581"/>
      <c r="H461" s="581"/>
      <c r="I461" s="581"/>
      <c r="J461" s="581"/>
      <c r="K461" s="581"/>
    </row>
    <row r="462" spans="1:12">
      <c r="A462" s="580" t="s">
        <v>2670</v>
      </c>
      <c r="B462" s="581"/>
      <c r="C462" s="581"/>
      <c r="D462" s="581"/>
      <c r="E462" s="581"/>
      <c r="F462" s="581"/>
      <c r="G462" s="581"/>
      <c r="H462" s="581"/>
      <c r="I462" s="581"/>
      <c r="J462" s="581"/>
      <c r="K462" s="581"/>
    </row>
    <row r="463" spans="1:12">
      <c r="A463" s="580" t="s">
        <v>2670</v>
      </c>
      <c r="B463" s="581"/>
      <c r="C463" s="581"/>
      <c r="D463" s="581"/>
      <c r="E463" s="581"/>
      <c r="F463" s="581"/>
      <c r="G463" s="581"/>
      <c r="H463" s="581"/>
      <c r="I463" s="581"/>
      <c r="J463" s="581"/>
      <c r="K463" s="581"/>
    </row>
    <row r="464" spans="1:12">
      <c r="A464" s="580" t="s">
        <v>2670</v>
      </c>
      <c r="B464" s="581"/>
      <c r="C464" s="581"/>
      <c r="D464" s="581"/>
      <c r="E464" s="581"/>
      <c r="F464" s="581"/>
      <c r="G464" s="581"/>
      <c r="H464" s="581"/>
      <c r="I464" s="581"/>
      <c r="J464" s="581"/>
      <c r="K464" s="581"/>
    </row>
    <row r="465" spans="1:11">
      <c r="A465" s="580" t="s">
        <v>2670</v>
      </c>
      <c r="B465" s="581"/>
      <c r="C465" s="581"/>
      <c r="D465" s="581"/>
      <c r="E465" s="581"/>
      <c r="F465" s="581"/>
      <c r="G465" s="581"/>
      <c r="H465" s="581"/>
      <c r="I465" s="581"/>
      <c r="J465" s="581"/>
      <c r="K465" s="581"/>
    </row>
    <row r="467" spans="1:11">
      <c r="A467" s="1136" t="s">
        <v>2532</v>
      </c>
      <c r="B467" s="1136"/>
      <c r="C467" s="1136"/>
      <c r="D467" s="1136"/>
      <c r="E467" s="1136"/>
      <c r="F467" s="1136"/>
      <c r="G467" s="1136"/>
      <c r="H467" s="1136"/>
      <c r="I467" s="1136"/>
      <c r="J467" s="1136"/>
      <c r="K467" s="1136"/>
    </row>
    <row r="468" spans="1:11">
      <c r="A468" s="526" t="s">
        <v>2533</v>
      </c>
    </row>
    <row r="469" spans="1:11" ht="38.25">
      <c r="A469" s="529" t="s">
        <v>1</v>
      </c>
      <c r="B469" s="1123" t="s">
        <v>49</v>
      </c>
      <c r="C469" s="1146"/>
      <c r="D469" s="1146"/>
      <c r="E469" s="1146"/>
      <c r="F469" s="1146"/>
      <c r="G469" s="1124"/>
      <c r="H469" s="539" t="s">
        <v>2534</v>
      </c>
      <c r="I469" s="539" t="s">
        <v>2535</v>
      </c>
      <c r="J469" s="539" t="s">
        <v>2536</v>
      </c>
      <c r="K469" s="539" t="s">
        <v>2537</v>
      </c>
    </row>
    <row r="470" spans="1:11">
      <c r="A470" s="529">
        <v>1</v>
      </c>
      <c r="B470" s="1162" t="s">
        <v>1345</v>
      </c>
      <c r="C470" s="1163"/>
      <c r="D470" s="1163"/>
      <c r="E470" s="1163"/>
      <c r="F470" s="1163"/>
      <c r="G470" s="1164"/>
      <c r="H470" s="534"/>
      <c r="I470" s="534"/>
      <c r="J470" s="534"/>
      <c r="K470" s="534"/>
    </row>
    <row r="471" spans="1:11">
      <c r="A471" s="529">
        <f>+A470+1</f>
        <v>2</v>
      </c>
      <c r="B471" s="1162" t="s">
        <v>2538</v>
      </c>
      <c r="C471" s="1163"/>
      <c r="D471" s="1163"/>
      <c r="E471" s="1163"/>
      <c r="F471" s="1163"/>
      <c r="G471" s="1164"/>
      <c r="H471" s="534"/>
      <c r="I471" s="534"/>
      <c r="J471" s="534"/>
      <c r="K471" s="534"/>
    </row>
    <row r="472" spans="1:11">
      <c r="A472" s="529">
        <f t="shared" ref="A472" si="33">+A471+1</f>
        <v>3</v>
      </c>
      <c r="B472" s="551" t="s">
        <v>2539</v>
      </c>
      <c r="C472" s="552"/>
      <c r="D472" s="552"/>
      <c r="E472" s="552"/>
      <c r="F472" s="552"/>
      <c r="G472" s="553"/>
      <c r="H472" s="556"/>
      <c r="I472" s="556"/>
      <c r="J472" s="556"/>
      <c r="K472" s="556"/>
    </row>
    <row r="474" spans="1:11">
      <c r="A474" s="1181" t="s">
        <v>2540</v>
      </c>
      <c r="B474" s="1181"/>
      <c r="C474" s="1181"/>
      <c r="D474" s="1181"/>
      <c r="E474" s="1181"/>
      <c r="F474" s="1181"/>
      <c r="G474" s="1181"/>
      <c r="H474" s="1181"/>
      <c r="I474" s="1181"/>
      <c r="J474" s="1181"/>
      <c r="K474" s="1181"/>
    </row>
    <row r="475" spans="1:11">
      <c r="A475" s="1181" t="s">
        <v>2541</v>
      </c>
      <c r="B475" s="1181"/>
      <c r="C475" s="1181"/>
      <c r="D475" s="1181"/>
      <c r="E475" s="1181"/>
      <c r="F475" s="1181"/>
      <c r="G475" s="1181"/>
      <c r="H475" s="1181"/>
      <c r="I475" s="1181"/>
      <c r="J475" s="1181"/>
      <c r="K475" s="1181"/>
    </row>
    <row r="477" spans="1:11">
      <c r="A477" s="529" t="s">
        <v>1</v>
      </c>
      <c r="B477" s="1123" t="s">
        <v>2542</v>
      </c>
      <c r="C477" s="1146"/>
      <c r="D477" s="1146"/>
      <c r="E477" s="1146"/>
      <c r="F477" s="1146"/>
      <c r="G477" s="1124"/>
      <c r="H477" s="1123" t="s">
        <v>2463</v>
      </c>
      <c r="I477" s="1124"/>
      <c r="J477" s="1123" t="s">
        <v>2464</v>
      </c>
      <c r="K477" s="1124"/>
    </row>
    <row r="478" spans="1:11">
      <c r="A478" s="529">
        <v>1</v>
      </c>
      <c r="B478" s="1150" t="s">
        <v>2543</v>
      </c>
      <c r="C478" s="1151"/>
      <c r="D478" s="1151"/>
      <c r="E478" s="1151"/>
      <c r="F478" s="1151"/>
      <c r="G478" s="1152"/>
      <c r="H478" s="1123"/>
      <c r="I478" s="1124"/>
      <c r="J478" s="1123"/>
      <c r="K478" s="1124"/>
    </row>
    <row r="479" spans="1:11">
      <c r="A479" s="529">
        <f>+A478+1</f>
        <v>2</v>
      </c>
      <c r="B479" s="1150" t="s">
        <v>2544</v>
      </c>
      <c r="C479" s="1151"/>
      <c r="D479" s="1151"/>
      <c r="E479" s="1151"/>
      <c r="F479" s="1151"/>
      <c r="G479" s="1152"/>
      <c r="H479" s="554"/>
      <c r="I479" s="555"/>
      <c r="J479" s="554"/>
      <c r="K479" s="555"/>
    </row>
    <row r="480" spans="1:11">
      <c r="A480" s="529">
        <f t="shared" ref="A480:A482" si="34">+A479+1</f>
        <v>3</v>
      </c>
      <c r="B480" s="1150" t="s">
        <v>2545</v>
      </c>
      <c r="C480" s="1151"/>
      <c r="D480" s="1151"/>
      <c r="E480" s="1151"/>
      <c r="F480" s="1151"/>
      <c r="G480" s="1152"/>
      <c r="H480" s="554"/>
      <c r="I480" s="555"/>
      <c r="J480" s="554"/>
      <c r="K480" s="555"/>
    </row>
    <row r="481" spans="1:11">
      <c r="A481" s="529">
        <f t="shared" si="34"/>
        <v>4</v>
      </c>
      <c r="B481" s="1150"/>
      <c r="C481" s="1151"/>
      <c r="D481" s="1151"/>
      <c r="E481" s="1151"/>
      <c r="F481" s="1151"/>
      <c r="G481" s="1152"/>
      <c r="H481" s="1123"/>
      <c r="I481" s="1124"/>
      <c r="J481" s="1123"/>
      <c r="K481" s="1124"/>
    </row>
    <row r="482" spans="1:11">
      <c r="A482" s="529">
        <f t="shared" si="34"/>
        <v>5</v>
      </c>
      <c r="B482" s="1120" t="s">
        <v>2305</v>
      </c>
      <c r="C482" s="1121"/>
      <c r="D482" s="1121"/>
      <c r="E482" s="1121"/>
      <c r="F482" s="1121"/>
      <c r="G482" s="1122"/>
      <c r="H482" s="1123"/>
      <c r="I482" s="1124"/>
      <c r="J482" s="1123"/>
      <c r="K482" s="1124"/>
    </row>
    <row r="484" spans="1:11">
      <c r="A484" s="526" t="s">
        <v>2546</v>
      </c>
    </row>
    <row r="486" spans="1:11">
      <c r="A486" s="529" t="s">
        <v>1</v>
      </c>
      <c r="B486" s="1123" t="s">
        <v>2547</v>
      </c>
      <c r="C486" s="1146"/>
      <c r="D486" s="1146"/>
      <c r="E486" s="1124"/>
      <c r="F486" s="1123" t="s">
        <v>2548</v>
      </c>
      <c r="G486" s="1124"/>
      <c r="H486" s="1123" t="s">
        <v>5</v>
      </c>
      <c r="I486" s="1124"/>
      <c r="J486" s="1123" t="s">
        <v>2537</v>
      </c>
      <c r="K486" s="1124"/>
    </row>
    <row r="487" spans="1:11">
      <c r="A487" s="529">
        <v>1</v>
      </c>
      <c r="B487" s="1120"/>
      <c r="C487" s="1121"/>
      <c r="D487" s="1121"/>
      <c r="E487" s="1122"/>
      <c r="F487" s="1123"/>
      <c r="G487" s="1124"/>
      <c r="H487" s="1123"/>
      <c r="I487" s="1124"/>
      <c r="J487" s="1123"/>
      <c r="K487" s="1124"/>
    </row>
    <row r="488" spans="1:11">
      <c r="A488" s="529">
        <v>2</v>
      </c>
      <c r="B488" s="1120"/>
      <c r="C488" s="1121"/>
      <c r="D488" s="1121"/>
      <c r="E488" s="1122"/>
      <c r="F488" s="1123"/>
      <c r="G488" s="1124"/>
      <c r="H488" s="1123"/>
      <c r="I488" s="1124"/>
      <c r="J488" s="1123"/>
      <c r="K488" s="1124"/>
    </row>
    <row r="490" spans="1:11">
      <c r="A490" s="1136" t="s">
        <v>2549</v>
      </c>
      <c r="B490" s="1136"/>
      <c r="C490" s="1136"/>
      <c r="D490" s="1136"/>
      <c r="E490" s="1136"/>
      <c r="F490" s="1136"/>
      <c r="G490" s="1136"/>
      <c r="H490" s="1136"/>
      <c r="I490" s="1136"/>
      <c r="J490" s="1136"/>
      <c r="K490" s="1136"/>
    </row>
    <row r="492" spans="1:11">
      <c r="A492" s="1149" t="s">
        <v>2550</v>
      </c>
      <c r="B492" s="1149"/>
      <c r="C492" s="1149"/>
      <c r="D492" s="1149"/>
      <c r="E492" s="1149"/>
      <c r="F492" s="1149"/>
      <c r="G492" s="1149"/>
      <c r="H492" s="1149"/>
      <c r="I492" s="1149"/>
      <c r="J492" s="1149"/>
      <c r="K492" s="1149"/>
    </row>
    <row r="493" spans="1:11">
      <c r="A493" s="580" t="s">
        <v>2670</v>
      </c>
      <c r="B493" s="581"/>
      <c r="C493" s="581"/>
      <c r="D493" s="581"/>
      <c r="E493" s="581"/>
      <c r="F493" s="581"/>
      <c r="G493" s="581"/>
      <c r="H493" s="581"/>
      <c r="I493" s="581"/>
      <c r="J493" s="581"/>
      <c r="K493" s="581"/>
    </row>
    <row r="494" spans="1:11">
      <c r="A494" s="580" t="s">
        <v>2670</v>
      </c>
      <c r="B494" s="581"/>
      <c r="C494" s="581"/>
      <c r="D494" s="581"/>
      <c r="E494" s="581"/>
      <c r="F494" s="581"/>
      <c r="G494" s="581"/>
      <c r="H494" s="581"/>
      <c r="I494" s="581"/>
      <c r="J494" s="581"/>
      <c r="K494" s="581"/>
    </row>
    <row r="495" spans="1:11">
      <c r="A495" s="580" t="s">
        <v>2670</v>
      </c>
      <c r="B495" s="581"/>
      <c r="C495" s="581"/>
      <c r="D495" s="581"/>
      <c r="E495" s="581"/>
      <c r="F495" s="581"/>
      <c r="G495" s="581"/>
      <c r="H495" s="581"/>
      <c r="I495" s="581"/>
      <c r="J495" s="581"/>
      <c r="K495" s="581"/>
    </row>
    <row r="496" spans="1:11">
      <c r="A496" s="580" t="s">
        <v>2670</v>
      </c>
      <c r="B496" s="581"/>
      <c r="C496" s="581"/>
      <c r="D496" s="581"/>
      <c r="E496" s="581"/>
      <c r="F496" s="581"/>
      <c r="G496" s="581"/>
      <c r="H496" s="581"/>
      <c r="I496" s="581"/>
      <c r="J496" s="581"/>
      <c r="K496" s="581"/>
    </row>
    <row r="497" spans="1:18">
      <c r="A497" s="1136" t="s">
        <v>2551</v>
      </c>
      <c r="B497" s="1136"/>
      <c r="C497" s="1136"/>
      <c r="D497" s="1136"/>
      <c r="E497" s="1136"/>
      <c r="F497" s="1136"/>
      <c r="G497" s="1136"/>
      <c r="H497" s="1136"/>
      <c r="I497" s="1136"/>
      <c r="J497" s="1136"/>
      <c r="K497" s="1136"/>
    </row>
    <row r="499" spans="1:18" ht="31.5" customHeight="1">
      <c r="A499" s="1149" t="s">
        <v>2552</v>
      </c>
      <c r="B499" s="1149"/>
      <c r="C499" s="1149"/>
      <c r="D499" s="1149"/>
      <c r="E499" s="1149"/>
      <c r="F499" s="1149"/>
      <c r="G499" s="1149"/>
      <c r="H499" s="1149"/>
      <c r="I499" s="1149"/>
      <c r="J499" s="1149"/>
      <c r="K499" s="1149"/>
    </row>
    <row r="500" spans="1:18">
      <c r="A500" s="580" t="s">
        <v>2670</v>
      </c>
      <c r="B500" s="581"/>
      <c r="C500" s="581"/>
      <c r="D500" s="581"/>
      <c r="E500" s="581"/>
      <c r="F500" s="581"/>
      <c r="G500" s="581"/>
      <c r="H500" s="581"/>
      <c r="I500" s="581"/>
      <c r="J500" s="581"/>
      <c r="K500" s="581"/>
    </row>
    <row r="501" spans="1:18">
      <c r="A501" s="580" t="s">
        <v>2670</v>
      </c>
      <c r="B501" s="581"/>
      <c r="C501" s="581"/>
      <c r="D501" s="581"/>
      <c r="E501" s="581"/>
      <c r="F501" s="581"/>
      <c r="G501" s="581"/>
      <c r="H501" s="581"/>
      <c r="I501" s="581"/>
      <c r="J501" s="581"/>
      <c r="K501" s="581"/>
    </row>
    <row r="502" spans="1:18">
      <c r="A502" s="580" t="s">
        <v>2670</v>
      </c>
      <c r="B502" s="581"/>
      <c r="C502" s="581"/>
      <c r="D502" s="581"/>
      <c r="E502" s="581"/>
      <c r="F502" s="581"/>
      <c r="G502" s="581"/>
      <c r="H502" s="581"/>
      <c r="I502" s="581"/>
      <c r="J502" s="581"/>
      <c r="K502" s="581"/>
    </row>
    <row r="503" spans="1:18">
      <c r="A503" s="580" t="s">
        <v>2670</v>
      </c>
      <c r="B503" s="581"/>
      <c r="C503" s="581"/>
      <c r="D503" s="581"/>
      <c r="E503" s="581"/>
      <c r="F503" s="581"/>
      <c r="G503" s="581"/>
      <c r="H503" s="581"/>
      <c r="I503" s="581"/>
      <c r="J503" s="581"/>
      <c r="K503" s="581"/>
    </row>
    <row r="504" spans="1:18">
      <c r="L504" s="230" t="s">
        <v>2553</v>
      </c>
    </row>
    <row r="505" spans="1:18">
      <c r="A505" s="1136" t="s">
        <v>2554</v>
      </c>
      <c r="B505" s="1136"/>
      <c r="C505" s="1136"/>
      <c r="D505" s="1136"/>
      <c r="E505" s="1136"/>
      <c r="F505" s="1136"/>
      <c r="G505" s="1136"/>
      <c r="H505" s="1136"/>
      <c r="I505" s="1136"/>
      <c r="J505" s="1136"/>
      <c r="K505" s="1136"/>
      <c r="L505" s="560"/>
      <c r="M505" s="560"/>
      <c r="N505" s="560"/>
      <c r="O505" s="560"/>
      <c r="P505" s="560"/>
      <c r="Q505" s="560"/>
      <c r="R505" s="560"/>
    </row>
    <row r="507" spans="1:18">
      <c r="A507" s="1183" t="s">
        <v>1</v>
      </c>
      <c r="B507" s="1184" t="s">
        <v>49</v>
      </c>
      <c r="C507" s="1185"/>
      <c r="D507" s="1185"/>
      <c r="E507" s="1185"/>
      <c r="F507" s="1186"/>
      <c r="G507" s="1190" t="s">
        <v>2300</v>
      </c>
      <c r="H507" s="1190" t="s">
        <v>2555</v>
      </c>
      <c r="I507" s="1190"/>
      <c r="J507" s="1190"/>
      <c r="K507" s="1190"/>
      <c r="L507" s="1190"/>
      <c r="M507" s="1190"/>
      <c r="N507" s="1190"/>
      <c r="O507" s="1190"/>
      <c r="P507" s="1190"/>
      <c r="Q507" s="1190"/>
      <c r="R507" s="1182" t="s">
        <v>2556</v>
      </c>
    </row>
    <row r="508" spans="1:18" ht="51">
      <c r="A508" s="1183"/>
      <c r="B508" s="1187"/>
      <c r="C508" s="1188"/>
      <c r="D508" s="1188"/>
      <c r="E508" s="1188"/>
      <c r="F508" s="1189"/>
      <c r="G508" s="1190"/>
      <c r="H508" s="539" t="s">
        <v>2557</v>
      </c>
      <c r="I508" s="539" t="s">
        <v>2558</v>
      </c>
      <c r="J508" s="539" t="s">
        <v>2559</v>
      </c>
      <c r="K508" s="539" t="s">
        <v>2560</v>
      </c>
      <c r="L508" s="539" t="s">
        <v>2561</v>
      </c>
      <c r="M508" s="539" t="s">
        <v>2562</v>
      </c>
      <c r="N508" s="539" t="s">
        <v>2563</v>
      </c>
      <c r="O508" s="539" t="s">
        <v>2564</v>
      </c>
      <c r="P508" s="539" t="s">
        <v>2565</v>
      </c>
      <c r="Q508" s="539" t="s">
        <v>5</v>
      </c>
      <c r="R508" s="1182"/>
    </row>
    <row r="509" spans="1:18">
      <c r="A509" s="543">
        <v>1</v>
      </c>
      <c r="B509" s="1170" t="s">
        <v>2566</v>
      </c>
      <c r="C509" s="1171"/>
      <c r="D509" s="1171"/>
      <c r="E509" s="1171"/>
      <c r="F509" s="1172"/>
      <c r="G509" s="537"/>
      <c r="H509" s="537"/>
      <c r="I509" s="537"/>
      <c r="J509" s="537"/>
      <c r="K509" s="537"/>
      <c r="L509" s="537"/>
      <c r="M509" s="537"/>
      <c r="N509" s="537"/>
      <c r="O509" s="537"/>
      <c r="P509" s="537"/>
      <c r="Q509" s="537"/>
      <c r="R509" s="537"/>
    </row>
    <row r="510" spans="1:18">
      <c r="A510" s="541">
        <v>1.1000000000000001</v>
      </c>
      <c r="B510" s="1120" t="s">
        <v>660</v>
      </c>
      <c r="C510" s="1121"/>
      <c r="D510" s="1121"/>
      <c r="E510" s="1121"/>
      <c r="F510" s="1122"/>
      <c r="G510" s="537"/>
      <c r="H510" s="537"/>
      <c r="I510" s="537"/>
      <c r="J510" s="537"/>
      <c r="K510" s="537"/>
      <c r="L510" s="537"/>
      <c r="M510" s="537"/>
      <c r="N510" s="537"/>
      <c r="O510" s="537"/>
      <c r="P510" s="537"/>
      <c r="Q510" s="537"/>
      <c r="R510" s="537"/>
    </row>
    <row r="511" spans="1:18">
      <c r="A511" s="541">
        <v>1.2</v>
      </c>
      <c r="B511" s="1120" t="s">
        <v>664</v>
      </c>
      <c r="C511" s="1121"/>
      <c r="D511" s="1121"/>
      <c r="E511" s="1121"/>
      <c r="F511" s="1122"/>
      <c r="G511" s="537"/>
      <c r="H511" s="537"/>
      <c r="I511" s="537"/>
      <c r="J511" s="537"/>
      <c r="K511" s="537"/>
      <c r="L511" s="537"/>
      <c r="M511" s="537"/>
      <c r="N511" s="537"/>
      <c r="O511" s="537"/>
      <c r="P511" s="537"/>
      <c r="Q511" s="537"/>
      <c r="R511" s="537"/>
    </row>
    <row r="512" spans="1:18">
      <c r="A512" s="541" t="s">
        <v>78</v>
      </c>
      <c r="B512" s="1120" t="s">
        <v>2567</v>
      </c>
      <c r="C512" s="1121"/>
      <c r="D512" s="1121"/>
      <c r="E512" s="1121"/>
      <c r="F512" s="1122"/>
      <c r="G512" s="537"/>
      <c r="H512" s="537"/>
      <c r="I512" s="537"/>
      <c r="J512" s="537"/>
      <c r="K512" s="537"/>
      <c r="L512" s="537"/>
      <c r="M512" s="537"/>
      <c r="N512" s="537"/>
      <c r="O512" s="537"/>
      <c r="P512" s="537"/>
      <c r="Q512" s="537"/>
      <c r="R512" s="537"/>
    </row>
    <row r="513" spans="1:18">
      <c r="A513" s="541" t="s">
        <v>80</v>
      </c>
      <c r="B513" s="535"/>
      <c r="C513" s="527"/>
      <c r="D513" s="1121" t="s">
        <v>2568</v>
      </c>
      <c r="E513" s="1121"/>
      <c r="F513" s="1122"/>
      <c r="G513" s="537"/>
      <c r="H513" s="537"/>
      <c r="I513" s="537"/>
      <c r="J513" s="537"/>
      <c r="K513" s="537"/>
      <c r="L513" s="537"/>
      <c r="M513" s="537"/>
      <c r="N513" s="537"/>
      <c r="O513" s="537"/>
      <c r="P513" s="537"/>
      <c r="Q513" s="537"/>
      <c r="R513" s="537"/>
    </row>
    <row r="514" spans="1:18">
      <c r="A514" s="541">
        <v>1.3</v>
      </c>
      <c r="B514" s="535" t="s">
        <v>2354</v>
      </c>
      <c r="C514" s="527"/>
      <c r="D514" s="527"/>
      <c r="E514" s="527"/>
      <c r="F514" s="538"/>
      <c r="G514" s="537"/>
      <c r="H514" s="537"/>
      <c r="I514" s="537"/>
      <c r="J514" s="537"/>
      <c r="K514" s="537"/>
      <c r="L514" s="537"/>
      <c r="M514" s="537"/>
      <c r="N514" s="537"/>
      <c r="O514" s="537"/>
      <c r="P514" s="537"/>
      <c r="Q514" s="537"/>
      <c r="R514" s="537"/>
    </row>
    <row r="515" spans="1:18">
      <c r="A515" s="541">
        <v>1.4</v>
      </c>
      <c r="B515" s="535" t="s">
        <v>2355</v>
      </c>
      <c r="C515" s="527"/>
      <c r="D515" s="527"/>
      <c r="E515" s="527"/>
      <c r="F515" s="538"/>
      <c r="G515" s="537"/>
      <c r="H515" s="537"/>
      <c r="I515" s="537"/>
      <c r="J515" s="537"/>
      <c r="K515" s="537"/>
      <c r="L515" s="537"/>
      <c r="M515" s="537"/>
      <c r="N515" s="537"/>
      <c r="O515" s="537"/>
      <c r="P515" s="537"/>
      <c r="Q515" s="537"/>
      <c r="R515" s="537"/>
    </row>
    <row r="516" spans="1:18">
      <c r="A516" s="541">
        <v>1.5</v>
      </c>
      <c r="B516" s="535" t="s">
        <v>2356</v>
      </c>
      <c r="C516" s="527"/>
      <c r="D516" s="527"/>
      <c r="E516" s="527"/>
      <c r="F516" s="538"/>
      <c r="G516" s="537"/>
      <c r="H516" s="537"/>
      <c r="I516" s="537"/>
      <c r="J516" s="537"/>
      <c r="K516" s="537"/>
      <c r="L516" s="537"/>
      <c r="M516" s="537"/>
      <c r="N516" s="537"/>
      <c r="O516" s="537"/>
      <c r="P516" s="537"/>
      <c r="Q516" s="537"/>
      <c r="R516" s="537"/>
    </row>
    <row r="517" spans="1:18">
      <c r="A517" s="541">
        <v>1.6</v>
      </c>
      <c r="B517" s="535" t="s">
        <v>2357</v>
      </c>
      <c r="C517" s="527"/>
      <c r="D517" s="527"/>
      <c r="E517" s="527"/>
      <c r="F517" s="538"/>
      <c r="G517" s="537"/>
      <c r="H517" s="537"/>
      <c r="I517" s="537"/>
      <c r="J517" s="537"/>
      <c r="K517" s="537"/>
      <c r="L517" s="537"/>
      <c r="M517" s="537"/>
      <c r="N517" s="537"/>
      <c r="O517" s="537"/>
      <c r="P517" s="537"/>
      <c r="Q517" s="537"/>
      <c r="R517" s="537"/>
    </row>
    <row r="518" spans="1:18">
      <c r="A518" s="541">
        <v>1.7</v>
      </c>
      <c r="B518" s="535" t="s">
        <v>2569</v>
      </c>
      <c r="C518" s="527"/>
      <c r="D518" s="527"/>
      <c r="E518" s="527"/>
      <c r="F518" s="538"/>
      <c r="G518" s="537"/>
      <c r="H518" s="537"/>
      <c r="I518" s="537"/>
      <c r="J518" s="537"/>
      <c r="K518" s="537"/>
      <c r="L518" s="537"/>
      <c r="M518" s="537"/>
      <c r="N518" s="537"/>
      <c r="O518" s="537"/>
      <c r="P518" s="537"/>
      <c r="Q518" s="537"/>
      <c r="R518" s="537"/>
    </row>
    <row r="519" spans="1:18">
      <c r="A519" s="541">
        <v>1.8</v>
      </c>
      <c r="B519" s="535" t="s">
        <v>2570</v>
      </c>
      <c r="C519" s="527"/>
      <c r="D519" s="527"/>
      <c r="E519" s="527"/>
      <c r="F519" s="538"/>
      <c r="G519" s="537"/>
      <c r="H519" s="537"/>
      <c r="I519" s="537"/>
      <c r="J519" s="537"/>
      <c r="K519" s="537"/>
      <c r="L519" s="537"/>
      <c r="M519" s="537"/>
      <c r="N519" s="537"/>
      <c r="O519" s="537"/>
      <c r="P519" s="537"/>
      <c r="Q519" s="537"/>
      <c r="R519" s="537"/>
    </row>
    <row r="520" spans="1:18">
      <c r="A520" s="541">
        <v>1.9</v>
      </c>
      <c r="B520" s="535" t="s">
        <v>2571</v>
      </c>
      <c r="C520" s="527"/>
      <c r="D520" s="527"/>
      <c r="E520" s="527"/>
      <c r="F520" s="538"/>
      <c r="G520" s="537"/>
      <c r="H520" s="537"/>
      <c r="I520" s="537"/>
      <c r="J520" s="537"/>
      <c r="K520" s="537"/>
      <c r="L520" s="537"/>
      <c r="M520" s="537"/>
      <c r="N520" s="537"/>
      <c r="O520" s="537"/>
      <c r="P520" s="537"/>
      <c r="Q520" s="537"/>
      <c r="R520" s="537"/>
    </row>
    <row r="521" spans="1:18">
      <c r="A521" s="561">
        <v>1.1000000000000001</v>
      </c>
      <c r="B521" s="562" t="s">
        <v>2572</v>
      </c>
      <c r="C521" s="527"/>
      <c r="D521" s="527"/>
      <c r="E521" s="527"/>
      <c r="F521" s="538"/>
      <c r="G521" s="537"/>
      <c r="H521" s="537"/>
      <c r="I521" s="537"/>
      <c r="J521" s="537"/>
      <c r="K521" s="537"/>
      <c r="L521" s="537"/>
      <c r="M521" s="537"/>
      <c r="N521" s="537"/>
      <c r="O521" s="537"/>
      <c r="P521" s="537"/>
      <c r="Q521" s="537"/>
      <c r="R521" s="537"/>
    </row>
    <row r="522" spans="1:18">
      <c r="A522" s="543">
        <v>2</v>
      </c>
      <c r="B522" s="1170" t="s">
        <v>2566</v>
      </c>
      <c r="C522" s="1171"/>
      <c r="D522" s="1171"/>
      <c r="E522" s="1171"/>
      <c r="F522" s="1172"/>
      <c r="G522" s="537"/>
      <c r="H522" s="537"/>
      <c r="I522" s="537"/>
      <c r="J522" s="537"/>
      <c r="K522" s="537"/>
      <c r="L522" s="537"/>
      <c r="M522" s="537"/>
      <c r="N522" s="537"/>
      <c r="O522" s="537"/>
      <c r="P522" s="537"/>
      <c r="Q522" s="537"/>
      <c r="R522" s="537"/>
    </row>
    <row r="523" spans="1:18">
      <c r="A523" s="541">
        <v>2.1</v>
      </c>
      <c r="B523" s="1120" t="s">
        <v>2573</v>
      </c>
      <c r="C523" s="1121"/>
      <c r="D523" s="1121"/>
      <c r="E523" s="1121"/>
      <c r="F523" s="1122"/>
      <c r="G523" s="537"/>
      <c r="H523" s="537"/>
      <c r="I523" s="537"/>
      <c r="J523" s="537"/>
      <c r="K523" s="537"/>
      <c r="L523" s="537"/>
      <c r="M523" s="537"/>
      <c r="N523" s="537"/>
      <c r="O523" s="537"/>
      <c r="P523" s="537"/>
      <c r="Q523" s="537"/>
      <c r="R523" s="537"/>
    </row>
    <row r="524" spans="1:18">
      <c r="A524" s="541">
        <v>2.2000000000000002</v>
      </c>
      <c r="B524" s="1120" t="s">
        <v>2574</v>
      </c>
      <c r="C524" s="1121"/>
      <c r="D524" s="1121"/>
      <c r="E524" s="1121"/>
      <c r="F524" s="1122"/>
      <c r="G524" s="537"/>
      <c r="H524" s="537"/>
      <c r="I524" s="537"/>
      <c r="J524" s="537"/>
      <c r="K524" s="537"/>
      <c r="L524" s="537"/>
      <c r="M524" s="537"/>
      <c r="N524" s="537"/>
      <c r="O524" s="537"/>
      <c r="P524" s="537"/>
      <c r="Q524" s="537"/>
      <c r="R524" s="537"/>
    </row>
    <row r="525" spans="1:18">
      <c r="A525" s="541" t="s">
        <v>224</v>
      </c>
      <c r="B525" s="1123" t="s">
        <v>2575</v>
      </c>
      <c r="C525" s="1146"/>
      <c r="D525" s="1146"/>
      <c r="E525" s="1146"/>
      <c r="F525" s="1124"/>
      <c r="G525" s="537"/>
      <c r="H525" s="537"/>
      <c r="I525" s="537"/>
      <c r="J525" s="537"/>
      <c r="K525" s="537"/>
      <c r="L525" s="537"/>
      <c r="M525" s="537"/>
      <c r="N525" s="537"/>
      <c r="O525" s="537"/>
      <c r="P525" s="537"/>
      <c r="Q525" s="537"/>
      <c r="R525" s="537"/>
    </row>
    <row r="526" spans="1:18" ht="15" customHeight="1">
      <c r="A526" s="541" t="s">
        <v>226</v>
      </c>
      <c r="B526" s="1123" t="s">
        <v>2576</v>
      </c>
      <c r="C526" s="1146"/>
      <c r="D526" s="1146"/>
      <c r="E526" s="1146"/>
      <c r="F526" s="1124"/>
      <c r="G526" s="537"/>
      <c r="H526" s="537"/>
      <c r="I526" s="537"/>
      <c r="J526" s="537"/>
      <c r="K526" s="537"/>
      <c r="L526" s="537"/>
      <c r="M526" s="537"/>
      <c r="N526" s="537"/>
      <c r="O526" s="537"/>
      <c r="P526" s="537"/>
      <c r="Q526" s="537"/>
      <c r="R526" s="537"/>
    </row>
    <row r="527" spans="1:18">
      <c r="A527" s="541">
        <v>2.2999999999999998</v>
      </c>
      <c r="B527" s="1120" t="s">
        <v>730</v>
      </c>
      <c r="C527" s="1121"/>
      <c r="D527" s="1121"/>
      <c r="E527" s="1121"/>
      <c r="F527" s="1122"/>
      <c r="G527" s="537"/>
      <c r="H527" s="537"/>
      <c r="I527" s="537"/>
      <c r="J527" s="537"/>
      <c r="K527" s="537"/>
      <c r="L527" s="537"/>
      <c r="M527" s="537"/>
      <c r="N527" s="537"/>
      <c r="O527" s="537"/>
      <c r="P527" s="537"/>
      <c r="Q527" s="537"/>
      <c r="R527" s="537"/>
    </row>
    <row r="528" spans="1:18">
      <c r="A528" s="541">
        <v>2.4</v>
      </c>
      <c r="B528" s="1120" t="s">
        <v>2577</v>
      </c>
      <c r="C528" s="1121"/>
      <c r="D528" s="1121"/>
      <c r="E528" s="1121"/>
      <c r="F528" s="1122"/>
      <c r="G528" s="537"/>
      <c r="H528" s="537"/>
      <c r="I528" s="537"/>
      <c r="J528" s="537"/>
      <c r="K528" s="537"/>
      <c r="L528" s="537"/>
      <c r="M528" s="537"/>
      <c r="N528" s="537"/>
      <c r="O528" s="537"/>
      <c r="P528" s="537"/>
      <c r="Q528" s="537"/>
      <c r="R528" s="537"/>
    </row>
    <row r="529" spans="1:18">
      <c r="A529" s="541">
        <v>2.5</v>
      </c>
      <c r="B529" s="1120" t="s">
        <v>2578</v>
      </c>
      <c r="C529" s="1121"/>
      <c r="D529" s="1121"/>
      <c r="E529" s="1121"/>
      <c r="F529" s="1122"/>
      <c r="G529" s="537"/>
      <c r="H529" s="537"/>
      <c r="I529" s="537"/>
      <c r="J529" s="537"/>
      <c r="K529" s="537"/>
      <c r="L529" s="537"/>
      <c r="M529" s="537"/>
      <c r="N529" s="537"/>
      <c r="O529" s="537"/>
      <c r="P529" s="537"/>
      <c r="Q529" s="537"/>
      <c r="R529" s="537"/>
    </row>
    <row r="530" spans="1:18">
      <c r="A530" s="541">
        <v>2.6</v>
      </c>
      <c r="B530" s="1120" t="s">
        <v>999</v>
      </c>
      <c r="C530" s="1121"/>
      <c r="D530" s="1121"/>
      <c r="E530" s="1121"/>
      <c r="F530" s="1122"/>
      <c r="G530" s="537"/>
      <c r="H530" s="537"/>
      <c r="I530" s="537"/>
      <c r="J530" s="537"/>
      <c r="K530" s="537"/>
      <c r="L530" s="537"/>
      <c r="M530" s="537"/>
      <c r="N530" s="537"/>
      <c r="O530" s="537"/>
      <c r="P530" s="537"/>
      <c r="Q530" s="537"/>
      <c r="R530" s="537"/>
    </row>
    <row r="531" spans="1:18">
      <c r="A531" s="541">
        <v>2.7</v>
      </c>
      <c r="B531" s="1120" t="s">
        <v>2384</v>
      </c>
      <c r="C531" s="1121"/>
      <c r="D531" s="1121"/>
      <c r="E531" s="1121"/>
      <c r="F531" s="1122"/>
      <c r="G531" s="537"/>
      <c r="H531" s="537"/>
      <c r="I531" s="537"/>
      <c r="J531" s="537"/>
      <c r="K531" s="537"/>
      <c r="L531" s="537"/>
      <c r="M531" s="537"/>
      <c r="N531" s="537"/>
      <c r="O531" s="537"/>
      <c r="P531" s="537"/>
      <c r="Q531" s="537"/>
      <c r="R531" s="537"/>
    </row>
    <row r="532" spans="1:18" ht="26.25" customHeight="1">
      <c r="A532" s="563" t="s">
        <v>2579</v>
      </c>
      <c r="B532" s="1131" t="s">
        <v>2580</v>
      </c>
      <c r="C532" s="1131"/>
      <c r="D532" s="1131"/>
      <c r="E532" s="1131"/>
      <c r="F532" s="1131"/>
      <c r="G532" s="537"/>
      <c r="H532" s="537"/>
      <c r="I532" s="537"/>
      <c r="J532" s="537"/>
      <c r="K532" s="537"/>
      <c r="L532" s="537"/>
      <c r="M532" s="537"/>
      <c r="N532" s="537"/>
      <c r="O532" s="537"/>
      <c r="P532" s="537"/>
      <c r="Q532" s="537"/>
      <c r="R532" s="537"/>
    </row>
    <row r="533" spans="1:18">
      <c r="A533" s="559">
        <v>2.8</v>
      </c>
      <c r="B533" s="1170" t="s">
        <v>2581</v>
      </c>
      <c r="C533" s="1171"/>
      <c r="D533" s="1171"/>
      <c r="E533" s="1171"/>
      <c r="F533" s="1172"/>
      <c r="G533" s="537"/>
      <c r="H533" s="537"/>
      <c r="I533" s="537"/>
      <c r="J533" s="537"/>
      <c r="K533" s="537"/>
      <c r="L533" s="537"/>
      <c r="M533" s="537"/>
      <c r="N533" s="537"/>
      <c r="O533" s="537"/>
      <c r="P533" s="537"/>
      <c r="Q533" s="537"/>
      <c r="R533" s="537"/>
    </row>
    <row r="534" spans="1:18">
      <c r="A534" s="543">
        <v>3</v>
      </c>
      <c r="B534" s="1170" t="s">
        <v>2582</v>
      </c>
      <c r="C534" s="1171"/>
      <c r="D534" s="1171"/>
      <c r="E534" s="1171"/>
      <c r="F534" s="1172"/>
      <c r="G534" s="537"/>
      <c r="H534" s="537"/>
      <c r="I534" s="537"/>
      <c r="J534" s="537"/>
      <c r="K534" s="537"/>
      <c r="L534" s="537"/>
      <c r="M534" s="537"/>
      <c r="N534" s="537"/>
      <c r="O534" s="537"/>
      <c r="P534" s="537"/>
      <c r="Q534" s="537"/>
      <c r="R534" s="537"/>
    </row>
    <row r="535" spans="1:18">
      <c r="A535" s="541">
        <v>3.1</v>
      </c>
      <c r="B535" s="1120" t="s">
        <v>2583</v>
      </c>
      <c r="C535" s="1121"/>
      <c r="D535" s="1121"/>
      <c r="E535" s="1121"/>
      <c r="F535" s="1122"/>
      <c r="G535" s="537"/>
      <c r="H535" s="537"/>
      <c r="I535" s="537"/>
      <c r="J535" s="537"/>
      <c r="K535" s="537"/>
      <c r="L535" s="537"/>
      <c r="M535" s="537"/>
      <c r="N535" s="537"/>
      <c r="O535" s="537"/>
      <c r="P535" s="537"/>
      <c r="Q535" s="537"/>
      <c r="R535" s="537"/>
    </row>
    <row r="536" spans="1:18">
      <c r="A536" s="541">
        <v>3.2</v>
      </c>
      <c r="B536" s="1120" t="s">
        <v>2566</v>
      </c>
      <c r="C536" s="1121"/>
      <c r="D536" s="1121"/>
      <c r="E536" s="1121"/>
      <c r="F536" s="1122"/>
      <c r="G536" s="537"/>
      <c r="H536" s="537"/>
      <c r="I536" s="537"/>
      <c r="J536" s="537"/>
      <c r="K536" s="537"/>
      <c r="L536" s="537"/>
      <c r="M536" s="537"/>
      <c r="N536" s="537"/>
      <c r="O536" s="537"/>
      <c r="P536" s="537"/>
      <c r="Q536" s="537"/>
      <c r="R536" s="537"/>
    </row>
    <row r="537" spans="1:18">
      <c r="A537" s="543">
        <v>4</v>
      </c>
      <c r="B537" s="1170" t="s">
        <v>2305</v>
      </c>
      <c r="C537" s="1171"/>
      <c r="D537" s="1171"/>
      <c r="E537" s="1171"/>
      <c r="F537" s="1172"/>
      <c r="G537" s="537"/>
      <c r="H537" s="537"/>
      <c r="I537" s="537"/>
      <c r="J537" s="537"/>
      <c r="K537" s="537"/>
      <c r="L537" s="537"/>
      <c r="M537" s="537"/>
      <c r="N537" s="537"/>
      <c r="O537" s="537"/>
      <c r="P537" s="537"/>
      <c r="Q537" s="537"/>
      <c r="R537" s="537"/>
    </row>
  </sheetData>
  <sheetProtection password="DFC0" sheet="1" objects="1" scenarios="1"/>
  <mergeCells count="574">
    <mergeCell ref="J270:K270"/>
    <mergeCell ref="J271:K271"/>
    <mergeCell ref="J272:K272"/>
    <mergeCell ref="J273:K273"/>
    <mergeCell ref="H364:I364"/>
    <mergeCell ref="A302:K302"/>
    <mergeCell ref="A307:A308"/>
    <mergeCell ref="B307:G308"/>
    <mergeCell ref="H307:I307"/>
    <mergeCell ref="J307:K307"/>
    <mergeCell ref="B309:G309"/>
    <mergeCell ref="B299:G299"/>
    <mergeCell ref="H299:I299"/>
    <mergeCell ref="J299:K299"/>
    <mergeCell ref="B300:G300"/>
    <mergeCell ref="H300:I300"/>
    <mergeCell ref="B349:G349"/>
    <mergeCell ref="A353:K353"/>
    <mergeCell ref="A359:K359"/>
    <mergeCell ref="B361:G361"/>
    <mergeCell ref="H361:I361"/>
    <mergeCell ref="J361:K361"/>
    <mergeCell ref="B342:F342"/>
    <mergeCell ref="H342:I342"/>
    <mergeCell ref="B534:F534"/>
    <mergeCell ref="B535:F535"/>
    <mergeCell ref="B536:F536"/>
    <mergeCell ref="B537:F537"/>
    <mergeCell ref="H273:I273"/>
    <mergeCell ref="H272:I272"/>
    <mergeCell ref="H271:I271"/>
    <mergeCell ref="H270:I270"/>
    <mergeCell ref="H365:I365"/>
    <mergeCell ref="B528:F528"/>
    <mergeCell ref="B529:F529"/>
    <mergeCell ref="B530:F530"/>
    <mergeCell ref="B531:F531"/>
    <mergeCell ref="B532:F532"/>
    <mergeCell ref="B533:F533"/>
    <mergeCell ref="B522:F522"/>
    <mergeCell ref="B523:F523"/>
    <mergeCell ref="B524:F524"/>
    <mergeCell ref="B525:F525"/>
    <mergeCell ref="B526:F526"/>
    <mergeCell ref="B527:F527"/>
    <mergeCell ref="B487:E487"/>
    <mergeCell ref="F487:G487"/>
    <mergeCell ref="H487:I487"/>
    <mergeCell ref="R507:R508"/>
    <mergeCell ref="B509:F509"/>
    <mergeCell ref="B510:F510"/>
    <mergeCell ref="B511:F511"/>
    <mergeCell ref="B512:F512"/>
    <mergeCell ref="D513:F513"/>
    <mergeCell ref="A490:K490"/>
    <mergeCell ref="A492:K492"/>
    <mergeCell ref="A497:K497"/>
    <mergeCell ref="A499:K499"/>
    <mergeCell ref="A505:K505"/>
    <mergeCell ref="A507:A508"/>
    <mergeCell ref="B507:F508"/>
    <mergeCell ref="G507:G508"/>
    <mergeCell ref="H507:Q507"/>
    <mergeCell ref="J487:K487"/>
    <mergeCell ref="B488:E488"/>
    <mergeCell ref="F488:G488"/>
    <mergeCell ref="H488:I488"/>
    <mergeCell ref="J488:K488"/>
    <mergeCell ref="B482:G482"/>
    <mergeCell ref="H482:I482"/>
    <mergeCell ref="J482:K482"/>
    <mergeCell ref="B486:E486"/>
    <mergeCell ref="F486:G486"/>
    <mergeCell ref="H486:I486"/>
    <mergeCell ref="J486:K486"/>
    <mergeCell ref="B478:G478"/>
    <mergeCell ref="H478:I478"/>
    <mergeCell ref="J478:K478"/>
    <mergeCell ref="B479:G479"/>
    <mergeCell ref="B480:G480"/>
    <mergeCell ref="B481:G481"/>
    <mergeCell ref="H481:I481"/>
    <mergeCell ref="J481:K481"/>
    <mergeCell ref="B470:G470"/>
    <mergeCell ref="B471:G471"/>
    <mergeCell ref="A474:K474"/>
    <mergeCell ref="A475:K475"/>
    <mergeCell ref="B477:G477"/>
    <mergeCell ref="H477:I477"/>
    <mergeCell ref="J477:K477"/>
    <mergeCell ref="B457:G457"/>
    <mergeCell ref="H457:I457"/>
    <mergeCell ref="J457:K457"/>
    <mergeCell ref="A459:K459"/>
    <mergeCell ref="A467:K467"/>
    <mergeCell ref="B469:G469"/>
    <mergeCell ref="B455:G455"/>
    <mergeCell ref="H455:I455"/>
    <mergeCell ref="J455:K455"/>
    <mergeCell ref="B456:G456"/>
    <mergeCell ref="H456:I456"/>
    <mergeCell ref="J456:K456"/>
    <mergeCell ref="B449:F449"/>
    <mergeCell ref="B450:F450"/>
    <mergeCell ref="A452:K452"/>
    <mergeCell ref="B454:G454"/>
    <mergeCell ref="H454:I454"/>
    <mergeCell ref="J454:K454"/>
    <mergeCell ref="B446:F446"/>
    <mergeCell ref="H446:I446"/>
    <mergeCell ref="J446:K446"/>
    <mergeCell ref="B447:F447"/>
    <mergeCell ref="H447:I447"/>
    <mergeCell ref="J447:K447"/>
    <mergeCell ref="B444:F444"/>
    <mergeCell ref="H444:I444"/>
    <mergeCell ref="J444:K444"/>
    <mergeCell ref="B445:F445"/>
    <mergeCell ref="H445:I445"/>
    <mergeCell ref="J445:K445"/>
    <mergeCell ref="B439:G439"/>
    <mergeCell ref="H439:I439"/>
    <mergeCell ref="J439:K439"/>
    <mergeCell ref="A442:A443"/>
    <mergeCell ref="B442:F443"/>
    <mergeCell ref="G442:G443"/>
    <mergeCell ref="H442:K442"/>
    <mergeCell ref="H443:I443"/>
    <mergeCell ref="J443:K443"/>
    <mergeCell ref="J434:K434"/>
    <mergeCell ref="B435:G435"/>
    <mergeCell ref="H435:I435"/>
    <mergeCell ref="J435:K435"/>
    <mergeCell ref="B438:G438"/>
    <mergeCell ref="H438:I438"/>
    <mergeCell ref="J438:K438"/>
    <mergeCell ref="B428:G428"/>
    <mergeCell ref="B429:G429"/>
    <mergeCell ref="B430:G430"/>
    <mergeCell ref="B431:G431"/>
    <mergeCell ref="B434:G434"/>
    <mergeCell ref="H434:I434"/>
    <mergeCell ref="B422:G422"/>
    <mergeCell ref="B423:G423"/>
    <mergeCell ref="B424:G424"/>
    <mergeCell ref="B425:G425"/>
    <mergeCell ref="B426:G426"/>
    <mergeCell ref="B427:G427"/>
    <mergeCell ref="B416:G416"/>
    <mergeCell ref="B417:G417"/>
    <mergeCell ref="B418:G418"/>
    <mergeCell ref="B419:G419"/>
    <mergeCell ref="B420:G420"/>
    <mergeCell ref="B421:G421"/>
    <mergeCell ref="B410:G410"/>
    <mergeCell ref="B411:G411"/>
    <mergeCell ref="B412:G412"/>
    <mergeCell ref="B413:G413"/>
    <mergeCell ref="B414:G414"/>
    <mergeCell ref="B415:G415"/>
    <mergeCell ref="A404:K404"/>
    <mergeCell ref="A407:A408"/>
    <mergeCell ref="B407:G408"/>
    <mergeCell ref="H407:I407"/>
    <mergeCell ref="J407:K407"/>
    <mergeCell ref="B409:G409"/>
    <mergeCell ref="B401:G401"/>
    <mergeCell ref="H401:I401"/>
    <mergeCell ref="J401:K401"/>
    <mergeCell ref="B402:G402"/>
    <mergeCell ref="H402:I402"/>
    <mergeCell ref="J402:K402"/>
    <mergeCell ref="B397:G397"/>
    <mergeCell ref="H397:I397"/>
    <mergeCell ref="J397:K397"/>
    <mergeCell ref="B398:G398"/>
    <mergeCell ref="B399:G399"/>
    <mergeCell ref="B400:G400"/>
    <mergeCell ref="H400:I400"/>
    <mergeCell ref="J400:K400"/>
    <mergeCell ref="B393:G393"/>
    <mergeCell ref="H393:I393"/>
    <mergeCell ref="J393:K393"/>
    <mergeCell ref="B394:G394"/>
    <mergeCell ref="H394:I394"/>
    <mergeCell ref="J394:K394"/>
    <mergeCell ref="B389:G389"/>
    <mergeCell ref="H389:I389"/>
    <mergeCell ref="J389:K389"/>
    <mergeCell ref="B390:G390"/>
    <mergeCell ref="B391:G391"/>
    <mergeCell ref="B392:G392"/>
    <mergeCell ref="H392:I392"/>
    <mergeCell ref="J392:K392"/>
    <mergeCell ref="B385:G385"/>
    <mergeCell ref="H385:I385"/>
    <mergeCell ref="J385:K385"/>
    <mergeCell ref="B386:G386"/>
    <mergeCell ref="H386:I386"/>
    <mergeCell ref="J386:K386"/>
    <mergeCell ref="B384:G384"/>
    <mergeCell ref="H384:I384"/>
    <mergeCell ref="J384:K384"/>
    <mergeCell ref="B375:G375"/>
    <mergeCell ref="H375:I375"/>
    <mergeCell ref="J375:K375"/>
    <mergeCell ref="A377:K377"/>
    <mergeCell ref="A378:K378"/>
    <mergeCell ref="A380:K380"/>
    <mergeCell ref="A373:A374"/>
    <mergeCell ref="B373:G373"/>
    <mergeCell ref="H373:I373"/>
    <mergeCell ref="J373:K373"/>
    <mergeCell ref="B374:G374"/>
    <mergeCell ref="H374:I374"/>
    <mergeCell ref="J374:K374"/>
    <mergeCell ref="B383:G383"/>
    <mergeCell ref="H383:I383"/>
    <mergeCell ref="J383:K383"/>
    <mergeCell ref="B370:G370"/>
    <mergeCell ref="H370:I370"/>
    <mergeCell ref="J370:K370"/>
    <mergeCell ref="A371:A372"/>
    <mergeCell ref="B371:G371"/>
    <mergeCell ref="H371:I371"/>
    <mergeCell ref="J371:K371"/>
    <mergeCell ref="B372:G372"/>
    <mergeCell ref="H372:I372"/>
    <mergeCell ref="J372:K372"/>
    <mergeCell ref="A365:A366"/>
    <mergeCell ref="B365:G365"/>
    <mergeCell ref="B366:G366"/>
    <mergeCell ref="B367:G367"/>
    <mergeCell ref="B368:G368"/>
    <mergeCell ref="B369:G369"/>
    <mergeCell ref="B362:G362"/>
    <mergeCell ref="H362:I362"/>
    <mergeCell ref="J362:K362"/>
    <mergeCell ref="A363:A364"/>
    <mergeCell ref="B363:G363"/>
    <mergeCell ref="H363:I363"/>
    <mergeCell ref="J363:K363"/>
    <mergeCell ref="B364:G364"/>
    <mergeCell ref="H369:I369"/>
    <mergeCell ref="J369:K369"/>
    <mergeCell ref="H366:I366"/>
    <mergeCell ref="H367:I367"/>
    <mergeCell ref="H368:I368"/>
    <mergeCell ref="J364:K364"/>
    <mergeCell ref="J365:K365"/>
    <mergeCell ref="J366:K366"/>
    <mergeCell ref="J367:K367"/>
    <mergeCell ref="J368:K368"/>
    <mergeCell ref="J342:K342"/>
    <mergeCell ref="B345:G345"/>
    <mergeCell ref="B346:G346"/>
    <mergeCell ref="B347:G347"/>
    <mergeCell ref="B340:F340"/>
    <mergeCell ref="H340:I340"/>
    <mergeCell ref="J340:K340"/>
    <mergeCell ref="B341:F341"/>
    <mergeCell ref="H341:I341"/>
    <mergeCell ref="J341:K341"/>
    <mergeCell ref="B338:F338"/>
    <mergeCell ref="H338:I338"/>
    <mergeCell ref="J338:K338"/>
    <mergeCell ref="B339:F339"/>
    <mergeCell ref="H339:I339"/>
    <mergeCell ref="J339:K339"/>
    <mergeCell ref="B336:F336"/>
    <mergeCell ref="H336:I336"/>
    <mergeCell ref="J336:K336"/>
    <mergeCell ref="B337:F337"/>
    <mergeCell ref="H337:I337"/>
    <mergeCell ref="J337:K337"/>
    <mergeCell ref="B334:F334"/>
    <mergeCell ref="H334:I334"/>
    <mergeCell ref="J334:K334"/>
    <mergeCell ref="B335:F335"/>
    <mergeCell ref="H335:I335"/>
    <mergeCell ref="J335:K335"/>
    <mergeCell ref="B326:F326"/>
    <mergeCell ref="B327:F327"/>
    <mergeCell ref="B330:F330"/>
    <mergeCell ref="B333:F333"/>
    <mergeCell ref="H333:I333"/>
    <mergeCell ref="J333:K333"/>
    <mergeCell ref="A310:A312"/>
    <mergeCell ref="B313:G313"/>
    <mergeCell ref="B314:G314"/>
    <mergeCell ref="A316:K316"/>
    <mergeCell ref="A322:K322"/>
    <mergeCell ref="B325:F325"/>
    <mergeCell ref="G325:H325"/>
    <mergeCell ref="I325:J325"/>
    <mergeCell ref="J300:K300"/>
    <mergeCell ref="A292:K292"/>
    <mergeCell ref="B297:G297"/>
    <mergeCell ref="H297:I297"/>
    <mergeCell ref="J297:K297"/>
    <mergeCell ref="B298:G298"/>
    <mergeCell ref="H298:I298"/>
    <mergeCell ref="J298:K298"/>
    <mergeCell ref="B283:G283"/>
    <mergeCell ref="B286:F286"/>
    <mergeCell ref="B287:F287"/>
    <mergeCell ref="B288:F288"/>
    <mergeCell ref="B289:F289"/>
    <mergeCell ref="B290:F290"/>
    <mergeCell ref="A278:A279"/>
    <mergeCell ref="B278:G279"/>
    <mergeCell ref="H278:I278"/>
    <mergeCell ref="J278:K278"/>
    <mergeCell ref="B280:G280"/>
    <mergeCell ref="B281:G281"/>
    <mergeCell ref="B274:G274"/>
    <mergeCell ref="H274:I274"/>
    <mergeCell ref="J274:K274"/>
    <mergeCell ref="B275:G275"/>
    <mergeCell ref="H275:I275"/>
    <mergeCell ref="J275:K275"/>
    <mergeCell ref="B268:G268"/>
    <mergeCell ref="H268:I268"/>
    <mergeCell ref="J268:K268"/>
    <mergeCell ref="B269:G269"/>
    <mergeCell ref="H269:I269"/>
    <mergeCell ref="J269:K269"/>
    <mergeCell ref="B263:G263"/>
    <mergeCell ref="H263:I263"/>
    <mergeCell ref="J263:K263"/>
    <mergeCell ref="B265:G265"/>
    <mergeCell ref="H265:I265"/>
    <mergeCell ref="J265:K265"/>
    <mergeCell ref="A253:K253"/>
    <mergeCell ref="A258:K258"/>
    <mergeCell ref="B261:G261"/>
    <mergeCell ref="H261:I261"/>
    <mergeCell ref="J261:K261"/>
    <mergeCell ref="B262:G262"/>
    <mergeCell ref="H262:I262"/>
    <mergeCell ref="J262:K262"/>
    <mergeCell ref="B250:G250"/>
    <mergeCell ref="H250:I250"/>
    <mergeCell ref="J250:K250"/>
    <mergeCell ref="B251:G251"/>
    <mergeCell ref="H251:I251"/>
    <mergeCell ref="J251:K251"/>
    <mergeCell ref="A246:K246"/>
    <mergeCell ref="B248:G248"/>
    <mergeCell ref="H248:I248"/>
    <mergeCell ref="J248:K248"/>
    <mergeCell ref="B249:G249"/>
    <mergeCell ref="H249:I249"/>
    <mergeCell ref="J249:K249"/>
    <mergeCell ref="B224:G224"/>
    <mergeCell ref="B225:G225"/>
    <mergeCell ref="B227:G227"/>
    <mergeCell ref="A229:K229"/>
    <mergeCell ref="A235:K235"/>
    <mergeCell ref="A237:K237"/>
    <mergeCell ref="B212:G212"/>
    <mergeCell ref="B213:G213"/>
    <mergeCell ref="B214:G214"/>
    <mergeCell ref="A216:K216"/>
    <mergeCell ref="A220:K220"/>
    <mergeCell ref="A222:A223"/>
    <mergeCell ref="B222:G223"/>
    <mergeCell ref="H222:I222"/>
    <mergeCell ref="J222:K222"/>
    <mergeCell ref="B206:G206"/>
    <mergeCell ref="A208:K208"/>
    <mergeCell ref="A210:A211"/>
    <mergeCell ref="B210:G211"/>
    <mergeCell ref="H210:I210"/>
    <mergeCell ref="J210:K210"/>
    <mergeCell ref="B197:F197"/>
    <mergeCell ref="A199:N199"/>
    <mergeCell ref="A201:K201"/>
    <mergeCell ref="B203:G203"/>
    <mergeCell ref="B204:G204"/>
    <mergeCell ref="B205:G205"/>
    <mergeCell ref="C191:F191"/>
    <mergeCell ref="C192:F192"/>
    <mergeCell ref="C193:F193"/>
    <mergeCell ref="B194:F194"/>
    <mergeCell ref="B195:F195"/>
    <mergeCell ref="B196:F196"/>
    <mergeCell ref="B185:F185"/>
    <mergeCell ref="B186:F186"/>
    <mergeCell ref="C187:F187"/>
    <mergeCell ref="C188:F188"/>
    <mergeCell ref="C189:F189"/>
    <mergeCell ref="B190:F190"/>
    <mergeCell ref="C179:F179"/>
    <mergeCell ref="C180:F180"/>
    <mergeCell ref="C181:F181"/>
    <mergeCell ref="C182:F182"/>
    <mergeCell ref="B183:F183"/>
    <mergeCell ref="B184:F184"/>
    <mergeCell ref="B173:F173"/>
    <mergeCell ref="C174:F174"/>
    <mergeCell ref="C175:F175"/>
    <mergeCell ref="C176:F176"/>
    <mergeCell ref="C177:F177"/>
    <mergeCell ref="B178:F178"/>
    <mergeCell ref="B164:F164"/>
    <mergeCell ref="A166:N166"/>
    <mergeCell ref="A168:K168"/>
    <mergeCell ref="B170:F170"/>
    <mergeCell ref="B171:F171"/>
    <mergeCell ref="B172:F172"/>
    <mergeCell ref="C158:F158"/>
    <mergeCell ref="C159:F159"/>
    <mergeCell ref="C160:F160"/>
    <mergeCell ref="B161:F161"/>
    <mergeCell ref="B162:F162"/>
    <mergeCell ref="B163:F163"/>
    <mergeCell ref="B152:F152"/>
    <mergeCell ref="B153:F153"/>
    <mergeCell ref="C154:F154"/>
    <mergeCell ref="C155:F155"/>
    <mergeCell ref="C156:F156"/>
    <mergeCell ref="B157:F157"/>
    <mergeCell ref="C146:F146"/>
    <mergeCell ref="C147:F147"/>
    <mergeCell ref="B148:F148"/>
    <mergeCell ref="B149:F149"/>
    <mergeCell ref="B150:F150"/>
    <mergeCell ref="B151:F151"/>
    <mergeCell ref="C140:F140"/>
    <mergeCell ref="C141:F141"/>
    <mergeCell ref="C142:F142"/>
    <mergeCell ref="B143:F143"/>
    <mergeCell ref="C144:F144"/>
    <mergeCell ref="C145:F145"/>
    <mergeCell ref="A133:K133"/>
    <mergeCell ref="B135:F135"/>
    <mergeCell ref="B136:F136"/>
    <mergeCell ref="B137:F137"/>
    <mergeCell ref="B138:F138"/>
    <mergeCell ref="C139:F139"/>
    <mergeCell ref="B129:G129"/>
    <mergeCell ref="H129:I129"/>
    <mergeCell ref="J129:K129"/>
    <mergeCell ref="H130:I130"/>
    <mergeCell ref="J130:K130"/>
    <mergeCell ref="B131:G131"/>
    <mergeCell ref="H131:I131"/>
    <mergeCell ref="J131:K131"/>
    <mergeCell ref="B127:G127"/>
    <mergeCell ref="H127:I127"/>
    <mergeCell ref="J127:K127"/>
    <mergeCell ref="B128:G128"/>
    <mergeCell ref="H128:I128"/>
    <mergeCell ref="J128:K128"/>
    <mergeCell ref="C113:D113"/>
    <mergeCell ref="E113:F113"/>
    <mergeCell ref="A115:K115"/>
    <mergeCell ref="A117:K117"/>
    <mergeCell ref="A124:K124"/>
    <mergeCell ref="B126:G126"/>
    <mergeCell ref="H126:I126"/>
    <mergeCell ref="J126:K126"/>
    <mergeCell ref="C110:D110"/>
    <mergeCell ref="E110:F110"/>
    <mergeCell ref="C111:D111"/>
    <mergeCell ref="E111:F111"/>
    <mergeCell ref="C112:D112"/>
    <mergeCell ref="C107:D107"/>
    <mergeCell ref="E107:F107"/>
    <mergeCell ref="C108:D108"/>
    <mergeCell ref="E108:F108"/>
    <mergeCell ref="C109:D109"/>
    <mergeCell ref="E109:F109"/>
    <mergeCell ref="A102:K102"/>
    <mergeCell ref="C104:D104"/>
    <mergeCell ref="E104:F104"/>
    <mergeCell ref="C105:D105"/>
    <mergeCell ref="E105:F105"/>
    <mergeCell ref="C106:D106"/>
    <mergeCell ref="E106:F106"/>
    <mergeCell ref="B99:G99"/>
    <mergeCell ref="H99:I99"/>
    <mergeCell ref="J99:K99"/>
    <mergeCell ref="B100:G100"/>
    <mergeCell ref="H100:I100"/>
    <mergeCell ref="J100:K100"/>
    <mergeCell ref="A95:K95"/>
    <mergeCell ref="B97:G97"/>
    <mergeCell ref="H97:I97"/>
    <mergeCell ref="J97:K97"/>
    <mergeCell ref="B98:G98"/>
    <mergeCell ref="H98:I98"/>
    <mergeCell ref="J98:K98"/>
    <mergeCell ref="H88:I88"/>
    <mergeCell ref="J88:K88"/>
    <mergeCell ref="B89:G89"/>
    <mergeCell ref="H89:I89"/>
    <mergeCell ref="J89:K89"/>
    <mergeCell ref="A91:K91"/>
    <mergeCell ref="H85:I85"/>
    <mergeCell ref="J85:K85"/>
    <mergeCell ref="H86:I86"/>
    <mergeCell ref="J86:K86"/>
    <mergeCell ref="H87:I87"/>
    <mergeCell ref="J87:K87"/>
    <mergeCell ref="B83:G83"/>
    <mergeCell ref="H83:I83"/>
    <mergeCell ref="J83:K83"/>
    <mergeCell ref="B84:G84"/>
    <mergeCell ref="H84:I84"/>
    <mergeCell ref="J84:K84"/>
    <mergeCell ref="B81:G81"/>
    <mergeCell ref="H81:I81"/>
    <mergeCell ref="J81:K81"/>
    <mergeCell ref="B82:G82"/>
    <mergeCell ref="H82:I82"/>
    <mergeCell ref="J82:K82"/>
    <mergeCell ref="B76:G76"/>
    <mergeCell ref="H76:I76"/>
    <mergeCell ref="J76:K76"/>
    <mergeCell ref="H77:I77"/>
    <mergeCell ref="J77:K77"/>
    <mergeCell ref="B78:G78"/>
    <mergeCell ref="H78:I78"/>
    <mergeCell ref="J78:K78"/>
    <mergeCell ref="B74:G74"/>
    <mergeCell ref="H74:I74"/>
    <mergeCell ref="J74:K74"/>
    <mergeCell ref="B75:G75"/>
    <mergeCell ref="H75:I75"/>
    <mergeCell ref="J75:K75"/>
    <mergeCell ref="B70:F70"/>
    <mergeCell ref="H70:I70"/>
    <mergeCell ref="J70:K70"/>
    <mergeCell ref="B73:G73"/>
    <mergeCell ref="H73:I73"/>
    <mergeCell ref="J73:K73"/>
    <mergeCell ref="C68:F68"/>
    <mergeCell ref="H68:I68"/>
    <mergeCell ref="J68:K68"/>
    <mergeCell ref="C69:F69"/>
    <mergeCell ref="H69:I69"/>
    <mergeCell ref="J69:K69"/>
    <mergeCell ref="B66:F66"/>
    <mergeCell ref="H66:I66"/>
    <mergeCell ref="J66:K66"/>
    <mergeCell ref="B67:F67"/>
    <mergeCell ref="H67:I67"/>
    <mergeCell ref="J67:K67"/>
    <mergeCell ref="A62:K62"/>
    <mergeCell ref="H64:I64"/>
    <mergeCell ref="J64:K64"/>
    <mergeCell ref="B65:F65"/>
    <mergeCell ref="H65:I65"/>
    <mergeCell ref="J65:K65"/>
    <mergeCell ref="B60:G60"/>
    <mergeCell ref="H60:I60"/>
    <mergeCell ref="J60:K60"/>
    <mergeCell ref="B57:G57"/>
    <mergeCell ref="H57:I57"/>
    <mergeCell ref="J57:K57"/>
    <mergeCell ref="B58:G58"/>
    <mergeCell ref="H58:I58"/>
    <mergeCell ref="J58:K58"/>
    <mergeCell ref="A25:K25"/>
    <mergeCell ref="A40:K40"/>
    <mergeCell ref="A54:K54"/>
    <mergeCell ref="B56:G56"/>
    <mergeCell ref="H56:I56"/>
    <mergeCell ref="J56:K56"/>
    <mergeCell ref="B59:G59"/>
    <mergeCell ref="H59:I59"/>
    <mergeCell ref="J59:K59"/>
  </mergeCells>
  <pageMargins left="0.7" right="0.7" top="0.75" bottom="0.75" header="0.3" footer="0.3"/>
  <pageSetup scale="10" orientation="portrait" horizontalDpi="0" verticalDpi="0" r:id="rId1"/>
  <ignoredErrors>
    <ignoredError sqref="H58 P152" formulaRange="1"/>
    <ignoredError sqref="N143" formula="1"/>
  </ignoredErrors>
</worksheet>
</file>

<file path=xl/worksheets/sheet3.xml><?xml version="1.0" encoding="utf-8"?>
<worksheet xmlns="http://schemas.openxmlformats.org/spreadsheetml/2006/main" xmlns:r="http://schemas.openxmlformats.org/officeDocument/2006/relationships">
  <sheetPr>
    <pageSetUpPr fitToPage="1"/>
  </sheetPr>
  <dimension ref="B1:M37"/>
  <sheetViews>
    <sheetView workbookViewId="0">
      <pane xSplit="9" ySplit="2" topLeftCell="J3" activePane="bottomRight" state="frozen"/>
      <selection pane="topRight" activeCell="I1" sqref="I1"/>
      <selection pane="bottomLeft" activeCell="A2" sqref="A2"/>
      <selection pane="bottomRight" activeCell="D7" sqref="D7"/>
    </sheetView>
  </sheetViews>
  <sheetFormatPr defaultRowHeight="12.75"/>
  <cols>
    <col min="1" max="1" width="9.140625" style="21"/>
    <col min="2" max="2" width="7.42578125" style="21" customWidth="1"/>
    <col min="3" max="3" width="26.140625" style="21" customWidth="1"/>
    <col min="4" max="4" width="14.5703125" style="17" customWidth="1"/>
    <col min="5" max="5" width="15.7109375" style="21" bestFit="1" customWidth="1"/>
    <col min="6" max="6" width="15.7109375" style="22" bestFit="1" customWidth="1"/>
    <col min="7" max="7" width="16.42578125" style="22" customWidth="1"/>
    <col min="8" max="8" width="4.28515625" style="21" customWidth="1"/>
    <col min="9" max="9" width="12.85546875" style="21" bestFit="1" customWidth="1"/>
    <col min="10" max="10" width="13.5703125" style="21" bestFit="1" customWidth="1"/>
    <col min="11" max="11" width="11.140625" style="21" customWidth="1"/>
    <col min="12" max="12" width="11.28515625" style="21" customWidth="1"/>
    <col min="13" max="13" width="14.85546875" style="21" customWidth="1"/>
    <col min="14" max="14" width="9.140625" style="21"/>
    <col min="15" max="15" width="9.85546875" style="21" customWidth="1"/>
    <col min="16" max="16" width="9.140625" style="21"/>
    <col min="17" max="17" width="13.5703125" style="21" customWidth="1"/>
    <col min="18" max="16384" width="9.140625" style="21"/>
  </cols>
  <sheetData>
    <row r="1" spans="2:11">
      <c r="D1" s="40" t="str">
        <f>+'company '!B25</f>
        <v>Ерөнхий захирал</v>
      </c>
      <c r="E1" s="39" t="str">
        <f>+'company '!C25</f>
        <v>/Д.Бахдамдэмбэрэл /</v>
      </c>
      <c r="F1" s="134" t="str">
        <f>+'company '!B15</f>
        <v>Утас:</v>
      </c>
      <c r="G1" s="258" t="str">
        <f>+'company '!C15</f>
        <v>70114414</v>
      </c>
    </row>
    <row r="2" spans="2:11">
      <c r="D2" s="39" t="str">
        <f>+'company '!B28</f>
        <v>Нягтлан бодогч</v>
      </c>
      <c r="E2" s="39" t="str">
        <f>+'company '!C28</f>
        <v>/Б.Түмэндэлгэр/</v>
      </c>
      <c r="F2" s="134" t="str">
        <f>+'company '!B16</f>
        <v>Утас:</v>
      </c>
      <c r="G2" s="258" t="str">
        <f>+'company '!C16</f>
        <v>99119765 99066093 86001044</v>
      </c>
    </row>
    <row r="3" spans="2:11" ht="18.75" customHeight="1">
      <c r="H3" s="23"/>
    </row>
    <row r="4" spans="2:11" ht="25.5" customHeight="1">
      <c r="B4" s="48" t="s">
        <v>7</v>
      </c>
      <c r="C4" s="49" t="s">
        <v>2</v>
      </c>
      <c r="D4" s="50" t="s">
        <v>11</v>
      </c>
      <c r="E4" s="51" t="s">
        <v>8</v>
      </c>
      <c r="F4" s="51" t="s">
        <v>9</v>
      </c>
      <c r="G4" s="51" t="s">
        <v>10</v>
      </c>
      <c r="K4" s="17"/>
    </row>
    <row r="5" spans="2:11">
      <c r="B5" s="52">
        <v>100100</v>
      </c>
      <c r="C5" s="52" t="s">
        <v>895</v>
      </c>
      <c r="D5" s="20">
        <v>239926725.96999997</v>
      </c>
      <c r="E5" s="53">
        <f>+SUMIFS(JURNAL!G:G,JURNAL!E:E,B5)</f>
        <v>351450547</v>
      </c>
      <c r="F5" s="53">
        <f>+SUMIFS(JURNAL!H:H,JURNAL!E:E,B5)</f>
        <v>301653462.03436673</v>
      </c>
      <c r="G5" s="54">
        <f>+D5+E5-F5</f>
        <v>289723810.9356333</v>
      </c>
      <c r="I5" s="80"/>
      <c r="J5" s="80">
        <f>+STAT4!V4</f>
        <v>289723810.9356333</v>
      </c>
      <c r="K5" s="17">
        <f>+J5-G5</f>
        <v>0</v>
      </c>
    </row>
    <row r="6" spans="2:11">
      <c r="B6" s="52">
        <v>100200</v>
      </c>
      <c r="C6" s="52" t="s">
        <v>950</v>
      </c>
      <c r="D6" s="20">
        <v>14053645.803000001</v>
      </c>
      <c r="E6" s="53">
        <f>+SUMIFS(JURNAL!G:G,JURNAL!E:E,B6)+STAT1!N5+STAT2!N5+STAT3!N5+STAT4!N5</f>
        <v>95853.792999999598</v>
      </c>
      <c r="F6" s="53">
        <f>+SUMIFS(JURNAL!H:H,JURNAL!E:E,B6)+STAT1!O5+STAT2!O5+STAT3!O5+STAT4!O5</f>
        <v>448108.03499999805</v>
      </c>
      <c r="G6" s="54">
        <f t="shared" ref="G6:G18" si="0">+D6+E6-F6</f>
        <v>13701391.561000003</v>
      </c>
      <c r="I6" s="80"/>
      <c r="J6" s="80">
        <f>+STAT4!V5</f>
        <v>13701391.561000003</v>
      </c>
      <c r="K6" s="230">
        <f t="shared" ref="K6:K18" si="1">+J6-G6</f>
        <v>0</v>
      </c>
    </row>
    <row r="7" spans="2:11">
      <c r="B7" s="52">
        <v>110100</v>
      </c>
      <c r="C7" s="119" t="s">
        <v>1661</v>
      </c>
      <c r="D7" s="20">
        <v>108640.0000000298</v>
      </c>
      <c r="E7" s="53">
        <f>+SUMIFS(JURNAL!G:G,JURNAL!E:E,B7)</f>
        <v>420076236.76999998</v>
      </c>
      <c r="F7" s="53">
        <f>+SUMIFS(JURNAL!H:H,JURNAL!E:E,B7)</f>
        <v>420141579.76999998</v>
      </c>
      <c r="G7" s="54">
        <f>+D7+E7-F7</f>
        <v>43297</v>
      </c>
      <c r="I7" s="80"/>
      <c r="J7" s="80">
        <f>+STAT4!V6</f>
        <v>43297.000000029802</v>
      </c>
      <c r="K7" s="230">
        <f t="shared" si="1"/>
        <v>2.9802322387695313E-8</v>
      </c>
    </row>
    <row r="8" spans="2:11">
      <c r="B8" s="52">
        <f>+STAT1!C7</f>
        <v>110102</v>
      </c>
      <c r="C8" s="119" t="s">
        <v>1662</v>
      </c>
      <c r="D8" s="20">
        <v>32584.129999998957</v>
      </c>
      <c r="E8" s="53">
        <f>+SUMIFS(JURNAL!G:G,JURNAL!E:E,B8)</f>
        <v>0</v>
      </c>
      <c r="F8" s="53">
        <f>+SUMIFS(JURNAL!H:H,JURNAL!E:E,B8)</f>
        <v>16000</v>
      </c>
      <c r="G8" s="54">
        <f t="shared" si="0"/>
        <v>16584.129999998957</v>
      </c>
      <c r="I8" s="80"/>
      <c r="J8" s="80">
        <f>+STAT4!V7</f>
        <v>16584.129999998957</v>
      </c>
      <c r="K8" s="230">
        <f t="shared" si="1"/>
        <v>0</v>
      </c>
    </row>
    <row r="9" spans="2:11">
      <c r="B9" s="52">
        <f>+STAT1!C8</f>
        <v>110103</v>
      </c>
      <c r="C9" s="119" t="s">
        <v>1663</v>
      </c>
      <c r="D9" s="20">
        <v>88499.17</v>
      </c>
      <c r="E9" s="53">
        <f>+SUMIFS(JURNAL!G:G,JURNAL!E:E,B9)</f>
        <v>0</v>
      </c>
      <c r="F9" s="53">
        <f>+SUMIFS(JURNAL!H:H,JURNAL!E:E,B9)</f>
        <v>0</v>
      </c>
      <c r="G9" s="54">
        <f t="shared" si="0"/>
        <v>88499.17</v>
      </c>
      <c r="I9" s="80"/>
      <c r="J9" s="80">
        <f>+STAT4!V8</f>
        <v>88499.17</v>
      </c>
      <c r="K9" s="230">
        <f t="shared" si="1"/>
        <v>0</v>
      </c>
    </row>
    <row r="10" spans="2:11">
      <c r="B10" s="52">
        <f>+STAT1!C9</f>
        <v>110104</v>
      </c>
      <c r="C10" s="119" t="s">
        <v>1664</v>
      </c>
      <c r="D10" s="20">
        <v>27647.96</v>
      </c>
      <c r="E10" s="53">
        <f>+SUMIFS(JURNAL!G:G,JURNAL!E:E,B10)+STAT1!N9+STAT2!N9+STAT3!N9+STAT4!N9</f>
        <v>0</v>
      </c>
      <c r="F10" s="53">
        <f>+SUMIFS(JURNAL!H:H,JURNAL!E:E,B10)+STAT1!O9+STAT2!O9+STAT3!O9+STAT4!O9</f>
        <v>0</v>
      </c>
      <c r="G10" s="54">
        <f t="shared" si="0"/>
        <v>27647.96</v>
      </c>
      <c r="I10" s="80"/>
      <c r="J10" s="80">
        <f>+STAT4!V9</f>
        <v>27647.96</v>
      </c>
      <c r="K10" s="230">
        <f t="shared" si="1"/>
        <v>0</v>
      </c>
    </row>
    <row r="11" spans="2:11">
      <c r="B11" s="52">
        <f>+STAT1!C10</f>
        <v>110105</v>
      </c>
      <c r="C11" s="874" t="s">
        <v>1665</v>
      </c>
      <c r="D11" s="20">
        <v>135889.92000000001</v>
      </c>
      <c r="E11" s="53">
        <f>+SUMIFS(JURNAL!G:G,JURNAL!E:E,B11)+STAT1!N10+STAT2!N10+STAT3!N10+STAT4!N10</f>
        <v>0</v>
      </c>
      <c r="F11" s="53">
        <f>+SUMIFS(JURNAL!H:H,JURNAL!E:E,B11)+STAT1!O10+STAT2!O10+STAT3!O10+STAT4!O10</f>
        <v>0</v>
      </c>
      <c r="G11" s="54">
        <f t="shared" si="0"/>
        <v>135889.92000000001</v>
      </c>
      <c r="I11" s="80"/>
      <c r="J11" s="80">
        <f>+STAT4!V10</f>
        <v>135889.92000000001</v>
      </c>
      <c r="K11" s="230">
        <f t="shared" si="1"/>
        <v>0</v>
      </c>
    </row>
    <row r="12" spans="2:11" s="231" customFormat="1">
      <c r="B12" s="52">
        <f>+STAT1!C11</f>
        <v>110200</v>
      </c>
      <c r="C12" s="875" t="str">
        <f>+STAT1!D11</f>
        <v>Хаан Банк 5022577237</v>
      </c>
      <c r="D12" s="20">
        <v>17426.710000000003</v>
      </c>
      <c r="E12" s="53">
        <f>+SUMIFS(JURNAL!G:G,JURNAL!E:E,B12)+STAT1!N11+STAT2!N11+STAT3!N11+STAT4!N11</f>
        <v>801.91999999999825</v>
      </c>
      <c r="F12" s="53">
        <f>+SUMIFS(JURNAL!H:H,JURNAL!E:E,B12)+STAT1!O11+STAT2!O11+STAT3!O11+STAT4!O11</f>
        <v>1238.7199999999998</v>
      </c>
      <c r="G12" s="54">
        <f t="shared" si="0"/>
        <v>16989.91</v>
      </c>
      <c r="I12" s="80"/>
      <c r="J12" s="80">
        <f>+STAT4!V11</f>
        <v>16989.91</v>
      </c>
      <c r="K12" s="230">
        <f t="shared" si="1"/>
        <v>0</v>
      </c>
    </row>
    <row r="13" spans="2:11" s="231" customFormat="1">
      <c r="B13" s="52">
        <f>+STAT1!C12</f>
        <v>110201</v>
      </c>
      <c r="C13" s="875" t="str">
        <f>+STAT1!D12</f>
        <v>ХХБ БАНК 404187557</v>
      </c>
      <c r="D13" s="20">
        <v>348534.2</v>
      </c>
      <c r="E13" s="53">
        <f>+SUMIFS(JURNAL!G:G,JURNAL!E:E,B13)+STAT1!N12+STAT2!N12+STAT3!N12+STAT4!N12</f>
        <v>16038.4</v>
      </c>
      <c r="F13" s="53">
        <f>+SUMIFS(JURNAL!H:H,JURNAL!E:E,B13)+STAT1!O12+STAT2!O12+STAT3!O12+STAT4!O12</f>
        <v>24774.400000000012</v>
      </c>
      <c r="G13" s="54">
        <f t="shared" si="0"/>
        <v>339798.2</v>
      </c>
      <c r="I13" s="80"/>
      <c r="J13" s="80">
        <f>+STAT4!V12</f>
        <v>339798.2</v>
      </c>
      <c r="K13" s="230">
        <f t="shared" si="1"/>
        <v>0</v>
      </c>
    </row>
    <row r="14" spans="2:11" s="231" customFormat="1">
      <c r="B14" s="52">
        <f>+STAT1!C13</f>
        <v>110202</v>
      </c>
      <c r="C14" s="875" t="str">
        <f>+STAT1!D13</f>
        <v>ГОЛОМТ БАНК 2101004089</v>
      </c>
      <c r="D14" s="20">
        <v>107721.96310000002</v>
      </c>
      <c r="E14" s="53">
        <f>+SUMIFS(JURNAL!G:G,JURNAL!E:E,B14)+STAT1!N13+STAT2!N13+STAT3!N13+STAT4!N13</f>
        <v>4957.01</v>
      </c>
      <c r="F14" s="53">
        <f>+SUMIFS(JURNAL!H:H,JURNAL!E:E,B14)+STAT1!O13+STAT2!O13+STAT3!O13+STAT4!O13</f>
        <v>7657.0531000000083</v>
      </c>
      <c r="G14" s="54">
        <f t="shared" si="0"/>
        <v>105021.92000000001</v>
      </c>
      <c r="I14" s="80"/>
      <c r="J14" s="80">
        <f>+STAT4!V13</f>
        <v>105021.92000000001</v>
      </c>
      <c r="K14" s="230">
        <f t="shared" si="1"/>
        <v>0</v>
      </c>
    </row>
    <row r="15" spans="2:11" s="231" customFormat="1">
      <c r="B15" s="52">
        <f>+STAT1!C14</f>
        <v>110203</v>
      </c>
      <c r="C15" s="875" t="str">
        <f>+STAT1!D14</f>
        <v>ХАС БАНК 5000558440</v>
      </c>
      <c r="D15" s="20">
        <v>129903.67540000001</v>
      </c>
      <c r="E15" s="53">
        <f>+SUMIFS(JURNAL!G:G,JURNAL!E:E,B15)+STAT1!N14+STAT2!N14+STAT3!N14+STAT4!N14</f>
        <v>5977.74</v>
      </c>
      <c r="F15" s="53">
        <f>+SUMIFS(JURNAL!H:H,JURNAL!E:E,B15)+STAT1!O14+STAT2!O14+STAT3!O14+STAT4!O14</f>
        <v>9233.7754000000168</v>
      </c>
      <c r="G15" s="54">
        <f t="shared" si="0"/>
        <v>126647.63999999998</v>
      </c>
      <c r="I15" s="80"/>
      <c r="J15" s="80">
        <f>+STAT4!V14</f>
        <v>126647.64</v>
      </c>
      <c r="K15" s="230">
        <f t="shared" si="1"/>
        <v>0</v>
      </c>
    </row>
    <row r="16" spans="2:11" s="231" customFormat="1">
      <c r="B16" s="52">
        <f>+STAT1!C15</f>
        <v>110204</v>
      </c>
      <c r="C16" s="875" t="str">
        <f>+STAT1!D15</f>
        <v>ХХБ БАНК 406094331</v>
      </c>
      <c r="D16" s="20">
        <v>32139.834600000002</v>
      </c>
      <c r="E16" s="53">
        <f>+SUMIFS(JURNAL!G:G,JURNAL!E:E,B16)+STAT1!N15+STAT2!N15+STAT3!N15+STAT4!N15</f>
        <v>7306.65</v>
      </c>
      <c r="F16" s="53">
        <f>+SUMIFS(JURNAL!H:H,JURNAL!E:E,B16)+STAT1!O15+STAT2!O15+STAT3!O15+STAT4!O15</f>
        <v>14131.514600000006</v>
      </c>
      <c r="G16" s="54">
        <f t="shared" si="0"/>
        <v>25314.969999999998</v>
      </c>
      <c r="I16" s="80"/>
      <c r="J16" s="80">
        <f>+STAT4!V15</f>
        <v>25314.969999999998</v>
      </c>
      <c r="K16" s="230">
        <f t="shared" si="1"/>
        <v>0</v>
      </c>
    </row>
    <row r="17" spans="2:11" s="231" customFormat="1">
      <c r="B17" s="52">
        <f>+STAT1!C16</f>
        <v>110300</v>
      </c>
      <c r="C17" s="875" t="str">
        <f>+STAT1!D16</f>
        <v>ЧИНГИС ХААН БАНК 3920120001</v>
      </c>
      <c r="D17" s="20">
        <v>10540</v>
      </c>
      <c r="E17" s="53">
        <f>+SUMIFS(JURNAL!G:G,JURNAL!E:E,B17)+STAT1!N16+STAT2!N16+STAT3!N16+STAT4!N16</f>
        <v>90</v>
      </c>
      <c r="F17" s="53">
        <f>+SUMIFS(JURNAL!H:H,JURNAL!E:E,B17)+STAT1!O16+STAT2!O16+STAT3!O16+STAT4!O16</f>
        <v>100</v>
      </c>
      <c r="G17" s="54">
        <f t="shared" si="0"/>
        <v>10530</v>
      </c>
      <c r="I17" s="80"/>
      <c r="J17" s="80">
        <f>+STAT4!V16</f>
        <v>10530</v>
      </c>
      <c r="K17" s="230">
        <f t="shared" si="1"/>
        <v>0</v>
      </c>
    </row>
    <row r="18" spans="2:11" s="231" customFormat="1">
      <c r="B18" s="52">
        <f>+STAT1!C17</f>
        <v>900100</v>
      </c>
      <c r="C18" s="875" t="str">
        <f>+STAT1!D17</f>
        <v>Мөнгөн хөрөнгийн клиринг</v>
      </c>
      <c r="D18" s="20">
        <v>0</v>
      </c>
      <c r="E18" s="53">
        <f>+SUMIFS(JURNAL!G:G,JURNAL!E:E,B18)</f>
        <v>0</v>
      </c>
      <c r="F18" s="53">
        <f>+SUMIFS(JURNAL!H:H,JURNAL!E:E,B18)</f>
        <v>0</v>
      </c>
      <c r="G18" s="54">
        <f t="shared" si="0"/>
        <v>0</v>
      </c>
      <c r="I18" s="80"/>
      <c r="J18" s="80">
        <f>+STAT4!V17</f>
        <v>0</v>
      </c>
      <c r="K18" s="230">
        <f t="shared" si="1"/>
        <v>0</v>
      </c>
    </row>
    <row r="19" spans="2:11" ht="15">
      <c r="B19" s="52"/>
      <c r="C19" s="55" t="s">
        <v>6</v>
      </c>
      <c r="D19" s="56">
        <f>SUM(D5:D11)</f>
        <v>254373632.95299998</v>
      </c>
      <c r="E19" s="56">
        <f>SUM(E5:E11)</f>
        <v>771622637.56299996</v>
      </c>
      <c r="F19" s="56">
        <f>SUM(F5:F11)</f>
        <v>722259149.83936667</v>
      </c>
      <c r="G19" s="56">
        <f>SUM(G5:G11)</f>
        <v>303737120.6766333</v>
      </c>
      <c r="K19" s="17"/>
    </row>
    <row r="20" spans="2:11">
      <c r="D20" s="17">
        <f>+SUM(STAT1!H4:H9)</f>
        <v>254237743.03299999</v>
      </c>
    </row>
    <row r="24" spans="2:11">
      <c r="E24" s="80"/>
    </row>
    <row r="33" spans="4:13">
      <c r="D33" s="287"/>
      <c r="E33" s="74"/>
      <c r="F33" s="139"/>
      <c r="G33" s="139"/>
    </row>
    <row r="34" spans="4:13">
      <c r="D34" s="230"/>
      <c r="E34" s="74"/>
      <c r="F34" s="139"/>
      <c r="G34" s="145"/>
      <c r="M34" s="21" t="str">
        <f>IFERROR(VLOOKUP(K34,F34:G37,2,FALSE),"")</f>
        <v/>
      </c>
    </row>
    <row r="35" spans="4:13">
      <c r="D35" s="287"/>
      <c r="F35" s="139"/>
      <c r="G35" s="39"/>
    </row>
    <row r="36" spans="4:13">
      <c r="D36" s="16"/>
      <c r="F36" s="139"/>
      <c r="G36" s="39"/>
    </row>
    <row r="37" spans="4:13">
      <c r="D37" s="16"/>
      <c r="F37" s="139"/>
      <c r="G37" s="39"/>
      <c r="L37" s="21" t="str">
        <f>IFERROR(VLOOKUP(K37,D37:G40,OR(2,4),FALSE),"")</f>
        <v/>
      </c>
    </row>
  </sheetData>
  <sheetProtection password="DFC0" sheet="1" objects="1" scenarios="1"/>
  <conditionalFormatting sqref="B22:C49">
    <cfRule type="expression" dxfId="434" priority="2">
      <formula>$B22&lt;&gt;""</formula>
    </cfRule>
  </conditionalFormatting>
  <conditionalFormatting sqref="D5:D18">
    <cfRule type="expression" dxfId="433" priority="1">
      <formula>$C5&lt;&gt;""</formula>
    </cfRule>
  </conditionalFormatting>
  <pageMargins left="0.7" right="0.7" top="0.75" bottom="0.75" header="0.3" footer="0.3"/>
  <pageSetup scale="52" fitToHeight="0" orientation="portrait" horizontalDpi="0" verticalDpi="0" r:id="rId1"/>
  <ignoredErrors>
    <ignoredError sqref="D20" formulaRange="1"/>
  </ignoredErrors>
</worksheet>
</file>

<file path=xl/worksheets/sheet4.xml><?xml version="1.0" encoding="utf-8"?>
<worksheet xmlns="http://schemas.openxmlformats.org/spreadsheetml/2006/main" xmlns:r="http://schemas.openxmlformats.org/officeDocument/2006/relationships">
  <sheetPr>
    <pageSetUpPr fitToPage="1"/>
  </sheetPr>
  <dimension ref="B1:R5681"/>
  <sheetViews>
    <sheetView workbookViewId="0">
      <pane xSplit="4" ySplit="5" topLeftCell="I43" activePane="bottomRight" state="frozen"/>
      <selection pane="topRight" activeCell="F1" sqref="F1"/>
      <selection pane="bottomLeft" activeCell="A5" sqref="A5"/>
      <selection pane="bottomRight" activeCell="F47" sqref="F47:I47"/>
    </sheetView>
  </sheetViews>
  <sheetFormatPr defaultRowHeight="12.75"/>
  <cols>
    <col min="1" max="1" width="9.85546875" style="17" bestFit="1" customWidth="1"/>
    <col min="2" max="2" width="5.28515625" style="15" customWidth="1"/>
    <col min="3" max="3" width="5.5703125" style="16" customWidth="1"/>
    <col min="4" max="4" width="29.7109375" style="17" customWidth="1"/>
    <col min="5" max="5" width="11" style="284" customWidth="1"/>
    <col min="6" max="7" width="12.7109375" style="17" customWidth="1"/>
    <col min="8" max="8" width="14" style="17" bestFit="1" customWidth="1"/>
    <col min="9" max="9" width="14.28515625" style="18" customWidth="1"/>
    <col min="10" max="10" width="10.5703125" style="16" customWidth="1"/>
    <col min="11" max="11" width="14.140625" style="17" customWidth="1"/>
    <col min="12" max="12" width="12.85546875" style="17" bestFit="1" customWidth="1"/>
    <col min="13" max="14" width="14" style="17" bestFit="1" customWidth="1"/>
    <col min="15" max="15" width="12.5703125" style="17" bestFit="1" customWidth="1"/>
    <col min="16" max="17" width="9.28515625" style="16" customWidth="1"/>
    <col min="18" max="18" width="7.28515625" style="17" customWidth="1"/>
    <col min="19" max="16384" width="9.140625" style="17"/>
  </cols>
  <sheetData>
    <row r="1" spans="2:18">
      <c r="B1" s="77" t="s">
        <v>1497</v>
      </c>
      <c r="C1" s="77"/>
      <c r="D1" s="77"/>
      <c r="E1" s="310" t="s">
        <v>260</v>
      </c>
      <c r="F1" s="78">
        <f>SUM(F6:F13)</f>
        <v>980000.01</v>
      </c>
      <c r="G1" s="78">
        <f>SUM(G6:G13)</f>
        <v>1590182</v>
      </c>
      <c r="H1" s="78">
        <f>SUM(H6:H13)</f>
        <v>1590182.0021600001</v>
      </c>
      <c r="I1" s="78">
        <f>SUM(I6:I13)</f>
        <v>980000.00783999998</v>
      </c>
      <c r="J1" s="77" t="s">
        <v>260</v>
      </c>
      <c r="K1" s="78">
        <f>SUM(K6:K13)</f>
        <v>0</v>
      </c>
      <c r="L1" s="78">
        <f>SUM(L6:L13)</f>
        <v>0</v>
      </c>
      <c r="M1" s="78">
        <f>SUM(M6:M13)</f>
        <v>0</v>
      </c>
      <c r="N1" s="78">
        <f>SUM(N6:N13)</f>
        <v>0</v>
      </c>
      <c r="O1" s="78">
        <f>SUM(O6:O729)</f>
        <v>-2.0099999965168536E-2</v>
      </c>
      <c r="P1" s="176"/>
    </row>
    <row r="2" spans="2:18">
      <c r="E2" s="311" t="s">
        <v>1354</v>
      </c>
      <c r="F2" s="17">
        <f>+STAT1!H31</f>
        <v>980000.00623000006</v>
      </c>
      <c r="G2" s="17">
        <f>+STAT1!J31+STAT2!J31+STAT3!J31</f>
        <v>1590182</v>
      </c>
      <c r="H2" s="17">
        <f>+STAT1!K31+STAT2!K31+STAT3!K31</f>
        <v>1590182.0021600001</v>
      </c>
      <c r="I2" s="18">
        <f>+STAT3!V31</f>
        <v>980000.00407000002</v>
      </c>
      <c r="J2" s="16" t="s">
        <v>1354</v>
      </c>
      <c r="K2" s="17">
        <f>+STAT1!I78+STAT1!I79</f>
        <v>0</v>
      </c>
      <c r="L2" s="230">
        <f>+STAT1!J78+STAT1!J79</f>
        <v>0</v>
      </c>
      <c r="M2" s="230">
        <f>+STAT1!K78+STAT1!K79</f>
        <v>0</v>
      </c>
    </row>
    <row r="3" spans="2:18">
      <c r="B3" s="15">
        <f>+COUNT(B6:B14)</f>
        <v>7</v>
      </c>
      <c r="E3" s="284" t="s">
        <v>1362</v>
      </c>
      <c r="F3" s="17">
        <f>+F2-F1</f>
        <v>-3.7699999520555139E-3</v>
      </c>
      <c r="G3" s="230">
        <f t="shared" ref="G3:H3" si="0">+G2-G1</f>
        <v>0</v>
      </c>
      <c r="H3" s="230">
        <f t="shared" si="0"/>
        <v>0</v>
      </c>
      <c r="I3" s="17">
        <f>+I2-I1</f>
        <v>-3.7699999520555139E-3</v>
      </c>
      <c r="K3" s="17">
        <f>+K2-K1</f>
        <v>0</v>
      </c>
      <c r="L3" s="108" t="s">
        <v>329</v>
      </c>
      <c r="M3" s="109">
        <v>42736</v>
      </c>
      <c r="N3" s="109">
        <v>43100</v>
      </c>
    </row>
    <row r="4" spans="2:18" ht="15" customHeight="1">
      <c r="B4" s="57" t="s">
        <v>1</v>
      </c>
      <c r="C4" s="58" t="s">
        <v>0</v>
      </c>
      <c r="D4" s="59" t="s">
        <v>302</v>
      </c>
      <c r="E4" s="312" t="s">
        <v>299</v>
      </c>
      <c r="F4" s="913" t="s">
        <v>41</v>
      </c>
      <c r="G4" s="913"/>
      <c r="H4" s="913"/>
      <c r="I4" s="913"/>
      <c r="J4" s="58" t="s">
        <v>299</v>
      </c>
      <c r="K4" s="913" t="s">
        <v>42</v>
      </c>
      <c r="L4" s="913"/>
      <c r="M4" s="913"/>
      <c r="N4" s="913"/>
      <c r="O4" s="85" t="s">
        <v>327</v>
      </c>
      <c r="P4" s="177"/>
    </row>
    <row r="5" spans="2:18">
      <c r="B5" s="57"/>
      <c r="C5" s="58"/>
      <c r="D5" s="59"/>
      <c r="E5" s="313" t="s">
        <v>300</v>
      </c>
      <c r="F5" s="60" t="s">
        <v>40</v>
      </c>
      <c r="G5" s="60" t="s">
        <v>3</v>
      </c>
      <c r="H5" s="60" t="s">
        <v>4</v>
      </c>
      <c r="I5" s="76" t="s">
        <v>301</v>
      </c>
      <c r="J5" s="75" t="s">
        <v>300</v>
      </c>
      <c r="K5" s="60" t="s">
        <v>40</v>
      </c>
      <c r="L5" s="60" t="s">
        <v>3</v>
      </c>
      <c r="M5" s="60" t="s">
        <v>4</v>
      </c>
      <c r="N5" s="76" t="s">
        <v>301</v>
      </c>
      <c r="O5" s="83" t="s">
        <v>328</v>
      </c>
      <c r="P5" s="138" t="s">
        <v>261</v>
      </c>
      <c r="Q5" s="16" t="s">
        <v>262</v>
      </c>
    </row>
    <row r="6" spans="2:18">
      <c r="B6" s="15">
        <f>+IF(C6="","",ROW()-5)</f>
        <v>1</v>
      </c>
      <c r="C6" s="16">
        <v>1001</v>
      </c>
      <c r="D6" s="16" t="str">
        <f>+IFERROR(VLOOKUP(C6,DATA!$G$4:$H$2000,2,FALSE),"")</f>
        <v xml:space="preserve">Энхбат </v>
      </c>
      <c r="E6" s="314">
        <v>121200</v>
      </c>
      <c r="F6" s="230"/>
      <c r="G6" s="17">
        <f>+SUMIFS(JURNAL!G:G,JURNAL!E:E,E6,JURNAL!L:L,$C6,JURNAL!C:C,"&gt;="&amp;$M$3,JURNAL!C:C,"&lt;="&amp;$N$3)</f>
        <v>0</v>
      </c>
      <c r="H6" s="19">
        <f>+SUMIFS(JURNAL!H:H,JURNAL!E:E,E6,JURNAL!L:L,$C6,JURNAL!C:C,"&gt;="&amp;$M$3,JURNAL!C:C,"&lt;="&amp;$N$3)</f>
        <v>0</v>
      </c>
      <c r="I6" s="18">
        <f>+F6+G6-H6</f>
        <v>0</v>
      </c>
      <c r="J6" s="16">
        <v>320100</v>
      </c>
      <c r="L6" s="230">
        <f>+SUMIFS(JURNAL!G:G,JURNAL!E:E,J6,JURNAL!L:L,$C6,JURNAL!C:C,"&gt;="&amp;$M$3,JURNAL!C:C,"&lt;="&amp;$N$3)</f>
        <v>0</v>
      </c>
      <c r="M6" s="19">
        <f>+SUMIFS(JURNAL!H:H,JURNAL!E:E,J6,JURNAL!L:L,$C6,JURNAL!C:C,"&gt;="&amp;$M$3,JURNAL!C:C,"&lt;="&amp;$N$3)</f>
        <v>0</v>
      </c>
      <c r="N6" s="73">
        <f t="shared" ref="N6" si="1">+K6+M6-L6</f>
        <v>0</v>
      </c>
      <c r="O6" s="17">
        <f t="shared" ref="O6" si="2">+IF(I6&lt;N6,I6,N6)</f>
        <v>0</v>
      </c>
      <c r="P6" s="16">
        <f>+J6</f>
        <v>320100</v>
      </c>
      <c r="Q6" s="16">
        <f>+E6</f>
        <v>121200</v>
      </c>
      <c r="R6" s="17">
        <f>+IF(O6,1,0)</f>
        <v>0</v>
      </c>
    </row>
    <row r="7" spans="2:18" s="230" customFormat="1">
      <c r="B7" s="15">
        <f t="shared" ref="B7:B13" si="3">+IF(C7="","",ROW()-5)</f>
        <v>2</v>
      </c>
      <c r="C7" s="16">
        <v>1002</v>
      </c>
      <c r="D7" s="16" t="str">
        <f>+IFERROR(VLOOKUP(C7,DATA!$G$4:$H$2000,2,FALSE),"")</f>
        <v>Бурмаа</v>
      </c>
      <c r="E7" s="314">
        <v>121200</v>
      </c>
      <c r="G7" s="230">
        <f>+SUMIFS(JURNAL!G:G,JURNAL!E:E,E7,JURNAL!L:L,$C7,JURNAL!C:C,"&gt;="&amp;$M$3,JURNAL!C:C,"&lt;="&amp;$N$3)</f>
        <v>0</v>
      </c>
      <c r="H7" s="19">
        <f>+SUMIFS(JURNAL!H:H,JURNAL!E:E,E7,JURNAL!L:L,$C7,JURNAL!C:C,"&gt;="&amp;$M$3,JURNAL!C:C,"&lt;="&amp;$N$3)</f>
        <v>0</v>
      </c>
      <c r="I7" s="18">
        <f t="shared" ref="I7:I11" si="4">+F7+G7-H7</f>
        <v>0</v>
      </c>
      <c r="J7" s="16">
        <v>320100</v>
      </c>
      <c r="L7" s="230">
        <f>+SUMIFS(JURNAL!G:G,JURNAL!E:E,J7,JURNAL!L:L,$C7,JURNAL!C:C,"&gt;="&amp;$M$3,JURNAL!C:C,"&lt;="&amp;$N$3)</f>
        <v>0</v>
      </c>
      <c r="M7" s="19">
        <f>+SUMIFS(JURNAL!H:H,JURNAL!E:E,J7,JURNAL!L:L,$C7,JURNAL!C:C,"&gt;="&amp;$M$3,JURNAL!C:C,"&lt;="&amp;$N$3)</f>
        <v>0</v>
      </c>
      <c r="N7" s="73">
        <f t="shared" ref="N7:N11" si="5">+K7+M7-L7</f>
        <v>0</v>
      </c>
      <c r="O7" s="230">
        <f t="shared" ref="O7:O11" si="6">+IF(I7&lt;N7,I7,N7)</f>
        <v>0</v>
      </c>
      <c r="P7" s="16">
        <f t="shared" ref="P7:P11" si="7">+J7</f>
        <v>320100</v>
      </c>
      <c r="Q7" s="16">
        <f t="shared" ref="Q7:Q11" si="8">+E7</f>
        <v>121200</v>
      </c>
      <c r="R7" s="230">
        <f t="shared" ref="R7:R11" si="9">+IF(O7,1,0)</f>
        <v>0</v>
      </c>
    </row>
    <row r="8" spans="2:18" s="230" customFormat="1">
      <c r="B8" s="15">
        <f t="shared" si="3"/>
        <v>3</v>
      </c>
      <c r="C8" s="16">
        <v>1003</v>
      </c>
      <c r="D8" s="16" t="str">
        <f>+IFERROR(VLOOKUP(C8,DATA!$G$4:$H$2000,2,FALSE),"")</f>
        <v>Бахдамдэмбэрэл</v>
      </c>
      <c r="E8" s="314">
        <v>121200</v>
      </c>
      <c r="G8" s="230">
        <f>+SUMIFS(JURNAL!G:G,JURNAL!E:E,E8,JURNAL!L:L,$C8,JURNAL!C:C,"&gt;="&amp;$M$3,JURNAL!C:C,"&lt;="&amp;$N$3)</f>
        <v>0</v>
      </c>
      <c r="H8" s="19">
        <f>+SUMIFS(JURNAL!H:H,JURNAL!E:E,E8,JURNAL!L:L,$C8,JURNAL!C:C,"&gt;="&amp;$M$3,JURNAL!C:C,"&lt;="&amp;$N$3)</f>
        <v>0</v>
      </c>
      <c r="I8" s="18">
        <f t="shared" si="4"/>
        <v>0</v>
      </c>
      <c r="J8" s="16">
        <v>320100</v>
      </c>
      <c r="L8" s="230">
        <f>+SUMIFS(JURNAL!G:G,JURNAL!E:E,J8,JURNAL!L:L,$C8,JURNAL!C:C,"&gt;="&amp;$M$3,JURNAL!C:C,"&lt;="&amp;$N$3)</f>
        <v>0</v>
      </c>
      <c r="M8" s="19">
        <f>+SUMIFS(JURNAL!H:H,JURNAL!E:E,J8,JURNAL!L:L,$C8,JURNAL!C:C,"&gt;="&amp;$M$3,JURNAL!C:C,"&lt;="&amp;$N$3)</f>
        <v>0</v>
      </c>
      <c r="N8" s="73">
        <f t="shared" si="5"/>
        <v>0</v>
      </c>
      <c r="O8" s="230">
        <f t="shared" si="6"/>
        <v>0</v>
      </c>
      <c r="P8" s="16">
        <f t="shared" si="7"/>
        <v>320100</v>
      </c>
      <c r="Q8" s="16">
        <f t="shared" si="8"/>
        <v>121200</v>
      </c>
      <c r="R8" s="230">
        <f t="shared" si="9"/>
        <v>0</v>
      </c>
    </row>
    <row r="9" spans="2:18" s="230" customFormat="1">
      <c r="B9" s="15">
        <f t="shared" si="3"/>
        <v>4</v>
      </c>
      <c r="C9" s="16">
        <v>1004</v>
      </c>
      <c r="D9" s="16" t="str">
        <f>+IFERROR(VLOOKUP(C9,DATA!$G$4:$H$2000,2,FALSE),"")</f>
        <v xml:space="preserve">Түмэндэлгэр </v>
      </c>
      <c r="E9" s="314">
        <v>121200</v>
      </c>
      <c r="G9" s="230">
        <f>+SUMIFS(JURNAL!G:G,JURNAL!E:E,E9,JURNAL!L:L,$C9,JURNAL!C:C,"&gt;="&amp;$M$3,JURNAL!C:C,"&lt;="&amp;$N$3)</f>
        <v>627000</v>
      </c>
      <c r="H9" s="19">
        <f>+SUMIFS(JURNAL!H:H,JURNAL!E:E,E9,JURNAL!L:L,$C9,JURNAL!C:C,"&gt;="&amp;$M$3,JURNAL!C:C,"&lt;="&amp;$N$3)</f>
        <v>627000.00401999999</v>
      </c>
      <c r="I9" s="18">
        <f t="shared" si="4"/>
        <v>-4.0199999930337071E-3</v>
      </c>
      <c r="J9" s="16">
        <v>320100</v>
      </c>
      <c r="L9" s="230">
        <f>+SUMIFS(JURNAL!G:G,JURNAL!E:E,J9,JURNAL!L:L,$C9,JURNAL!C:C,"&gt;="&amp;$M$3,JURNAL!C:C,"&lt;="&amp;$N$3)</f>
        <v>0</v>
      </c>
      <c r="M9" s="19">
        <f>+SUMIFS(JURNAL!H:H,JURNAL!E:E,J9,JURNAL!L:L,$C9,JURNAL!C:C,"&gt;="&amp;$M$3,JURNAL!C:C,"&lt;="&amp;$N$3)</f>
        <v>0</v>
      </c>
      <c r="N9" s="73">
        <f t="shared" si="5"/>
        <v>0</v>
      </c>
      <c r="O9" s="230">
        <f t="shared" si="6"/>
        <v>-4.0199999930337071E-3</v>
      </c>
      <c r="P9" s="16">
        <f t="shared" si="7"/>
        <v>320100</v>
      </c>
      <c r="Q9" s="16">
        <f t="shared" si="8"/>
        <v>121200</v>
      </c>
      <c r="R9" s="230">
        <f t="shared" si="9"/>
        <v>1</v>
      </c>
    </row>
    <row r="10" spans="2:18" s="230" customFormat="1">
      <c r="B10" s="15">
        <f t="shared" si="3"/>
        <v>5</v>
      </c>
      <c r="C10" s="16">
        <v>1005</v>
      </c>
      <c r="D10" s="16" t="str">
        <f>+IFERROR(VLOOKUP(C10,DATA!$G$4:$H$2000,2,FALSE),"")</f>
        <v>Золжаргал</v>
      </c>
      <c r="E10" s="314">
        <v>121200</v>
      </c>
      <c r="F10" s="230">
        <v>980000.01</v>
      </c>
      <c r="G10" s="230">
        <f>+SUMIFS(JURNAL!G:G,JURNAL!E:E,E10,JURNAL!L:L,$C10,JURNAL!C:C,"&gt;="&amp;$M$3,JURNAL!C:C,"&lt;="&amp;$N$3)</f>
        <v>757182</v>
      </c>
      <c r="H10" s="19">
        <f>+SUMIFS(JURNAL!H:H,JURNAL!E:E,E10,JURNAL!L:L,$C10,JURNAL!C:C,"&gt;="&amp;$M$3,JURNAL!C:C,"&lt;="&amp;$N$3)</f>
        <v>757181.99844</v>
      </c>
      <c r="I10" s="18">
        <f t="shared" si="4"/>
        <v>980000.01156000001</v>
      </c>
      <c r="J10" s="16">
        <v>320100</v>
      </c>
      <c r="L10" s="230">
        <f>+SUMIFS(JURNAL!G:G,JURNAL!E:E,J10,JURNAL!L:L,$C10,JURNAL!C:C,"&gt;="&amp;$M$3,JURNAL!C:C,"&lt;="&amp;$N$3)</f>
        <v>0</v>
      </c>
      <c r="M10" s="19">
        <f>+SUMIFS(JURNAL!H:H,JURNAL!E:E,J10,JURNAL!L:L,$C10,JURNAL!C:C,"&gt;="&amp;$M$3,JURNAL!C:C,"&lt;="&amp;$N$3)</f>
        <v>0</v>
      </c>
      <c r="N10" s="73">
        <f t="shared" si="5"/>
        <v>0</v>
      </c>
      <c r="O10" s="230">
        <f t="shared" si="6"/>
        <v>0</v>
      </c>
      <c r="P10" s="16">
        <f t="shared" si="7"/>
        <v>320100</v>
      </c>
      <c r="Q10" s="16">
        <f t="shared" si="8"/>
        <v>121200</v>
      </c>
      <c r="R10" s="230">
        <f t="shared" si="9"/>
        <v>0</v>
      </c>
    </row>
    <row r="11" spans="2:18" s="230" customFormat="1">
      <c r="B11" s="15">
        <f t="shared" si="3"/>
        <v>6</v>
      </c>
      <c r="C11" s="16">
        <v>1006</v>
      </c>
      <c r="D11" s="16" t="str">
        <f>+IFERROR(VLOOKUP(C11,DATA!$G$4:$H$2000,2,FALSE),"")</f>
        <v>Оюундэлгэр /нярав/</v>
      </c>
      <c r="E11" s="876">
        <v>121200</v>
      </c>
      <c r="G11" s="230">
        <f>+SUMIFS(JURNAL!G:G,JURNAL!E:E,E11,JURNAL!L:L,$C11,JURNAL!C:C,"&gt;="&amp;$M$3,JURNAL!C:C,"&lt;="&amp;$N$3)</f>
        <v>0</v>
      </c>
      <c r="H11" s="19">
        <f>+SUMIFS(JURNAL!H:H,JURNAL!E:E,E11,JURNAL!L:L,$C11,JURNAL!C:C,"&gt;="&amp;$M$3,JURNAL!C:C,"&lt;="&amp;$N$3)</f>
        <v>0</v>
      </c>
      <c r="I11" s="18">
        <f t="shared" si="4"/>
        <v>0</v>
      </c>
      <c r="J11" s="16">
        <v>320100</v>
      </c>
      <c r="L11" s="230">
        <f>+SUMIFS(JURNAL!G:G,JURNAL!E:E,J11,JURNAL!L:L,$C11,JURNAL!C:C,"&gt;="&amp;$M$3,JURNAL!C:C,"&lt;="&amp;$N$3)</f>
        <v>0</v>
      </c>
      <c r="M11" s="19">
        <f>+SUMIFS(JURNAL!H:H,JURNAL!E:E,J11,JURNAL!L:L,$C11,JURNAL!C:C,"&gt;="&amp;$M$3,JURNAL!C:C,"&lt;="&amp;$N$3)</f>
        <v>0</v>
      </c>
      <c r="N11" s="73">
        <f t="shared" si="5"/>
        <v>0</v>
      </c>
      <c r="O11" s="230">
        <f t="shared" si="6"/>
        <v>0</v>
      </c>
      <c r="P11" s="16">
        <f t="shared" si="7"/>
        <v>320100</v>
      </c>
      <c r="Q11" s="16">
        <f t="shared" si="8"/>
        <v>121200</v>
      </c>
      <c r="R11" s="230">
        <f t="shared" si="9"/>
        <v>0</v>
      </c>
    </row>
    <row r="12" spans="2:18" s="230" customFormat="1">
      <c r="B12" s="15">
        <f t="shared" si="3"/>
        <v>7</v>
      </c>
      <c r="C12" s="16">
        <v>1007</v>
      </c>
      <c r="D12" s="878" t="str">
        <f>+IFERROR(VLOOKUP(C12,DATA!$G$4:$H$2000,2,FALSE),"")</f>
        <v xml:space="preserve">Нэргүй </v>
      </c>
      <c r="E12" s="314">
        <v>121200</v>
      </c>
      <c r="G12" s="230">
        <f>+SUMIFS(JURNAL!G:G,JURNAL!E:E,E12,JURNAL!L:L,$C12,JURNAL!C:C,"&gt;="&amp;$M$3,JURNAL!C:C,"&lt;="&amp;$N$3)</f>
        <v>206000</v>
      </c>
      <c r="H12" s="19">
        <f>+SUMIFS(JURNAL!H:H,JURNAL!E:E,E12,JURNAL!L:L,$C12,JURNAL!C:C,"&gt;="&amp;$M$3,JURNAL!C:C,"&lt;="&amp;$N$3)</f>
        <v>205999.99970000001</v>
      </c>
      <c r="I12" s="18">
        <f t="shared" ref="I12" si="10">+F12+G12-H12</f>
        <v>2.9999998514540493E-4</v>
      </c>
      <c r="J12" s="16">
        <v>320100</v>
      </c>
      <c r="L12" s="230">
        <f>+SUMIFS(JURNAL!G:G,JURNAL!E:E,J12,JURNAL!L:L,$C12,JURNAL!C:C,"&gt;="&amp;$M$3,JURNAL!C:C,"&lt;="&amp;$N$3)</f>
        <v>0</v>
      </c>
      <c r="M12" s="19">
        <f>+SUMIFS(JURNAL!H:H,JURNAL!E:E,J12,JURNAL!L:L,$C12,JURNAL!C:C,"&gt;="&amp;$M$3,JURNAL!C:C,"&lt;="&amp;$N$3)</f>
        <v>0</v>
      </c>
      <c r="N12" s="73">
        <f t="shared" ref="N12" si="11">+K12+M12-L12</f>
        <v>0</v>
      </c>
      <c r="O12" s="230">
        <f t="shared" ref="O12" si="12">+IF(I12&lt;N12,I12,N12)</f>
        <v>0</v>
      </c>
      <c r="P12" s="16">
        <f t="shared" ref="P12" si="13">+J12</f>
        <v>320100</v>
      </c>
      <c r="Q12" s="16">
        <f t="shared" ref="Q12" si="14">+E12</f>
        <v>121200</v>
      </c>
      <c r="R12" s="230">
        <f t="shared" ref="R12" si="15">+IF(O12,1,0)</f>
        <v>0</v>
      </c>
    </row>
    <row r="13" spans="2:18" s="230" customFormat="1">
      <c r="B13" s="15" t="str">
        <f t="shared" si="3"/>
        <v/>
      </c>
      <c r="C13" s="16"/>
      <c r="D13" s="16" t="str">
        <f>+IFERROR(VLOOKUP(C13,DATA!$G$4:$H$2000,2,FALSE),"")</f>
        <v/>
      </c>
      <c r="E13" s="877"/>
      <c r="H13" s="19"/>
      <c r="I13" s="18"/>
      <c r="J13" s="16"/>
      <c r="M13" s="19"/>
      <c r="N13" s="73"/>
      <c r="P13" s="16"/>
      <c r="Q13" s="16"/>
    </row>
    <row r="14" spans="2:18">
      <c r="B14" s="15" t="str">
        <f t="shared" ref="B14:B43" si="16">+IF(C14="","",ROW()-5)</f>
        <v/>
      </c>
      <c r="D14" s="16"/>
      <c r="E14" s="315"/>
    </row>
    <row r="15" spans="2:18">
      <c r="B15" s="77" t="s">
        <v>1371</v>
      </c>
      <c r="C15" s="77"/>
      <c r="D15" s="77"/>
      <c r="E15" s="310" t="s">
        <v>260</v>
      </c>
      <c r="F15" s="78">
        <f>SUM(F20:F26)</f>
        <v>980000.01</v>
      </c>
      <c r="G15" s="78">
        <f t="shared" ref="G15:O15" si="17">SUM(G20:G26)</f>
        <v>1004682</v>
      </c>
      <c r="H15" s="78">
        <f t="shared" si="17"/>
        <v>1004682.00366</v>
      </c>
      <c r="I15" s="78">
        <f t="shared" si="17"/>
        <v>980000.00633999996</v>
      </c>
      <c r="J15" s="77" t="s">
        <v>260</v>
      </c>
      <c r="K15" s="78">
        <f t="shared" si="17"/>
        <v>0</v>
      </c>
      <c r="L15" s="78">
        <f t="shared" si="17"/>
        <v>0</v>
      </c>
      <c r="M15" s="78">
        <f t="shared" si="17"/>
        <v>0</v>
      </c>
      <c r="N15" s="78">
        <f t="shared" si="17"/>
        <v>0</v>
      </c>
      <c r="O15" s="78">
        <f t="shared" si="17"/>
        <v>-4.0199999930337071E-3</v>
      </c>
      <c r="P15" s="176"/>
    </row>
    <row r="16" spans="2:18">
      <c r="D16" s="230"/>
      <c r="E16" s="311" t="s">
        <v>1354</v>
      </c>
      <c r="F16" s="230">
        <f>+F2</f>
        <v>980000.00623000006</v>
      </c>
      <c r="G16" s="230">
        <f>+STAT1!J11+STAT1!J12+STAT2!J11+STAT2!J12</f>
        <v>0</v>
      </c>
      <c r="H16" s="230">
        <f>+STAT1!K11+STAT1!K12+STAT2!K11+STAT2!K12</f>
        <v>0</v>
      </c>
      <c r="I16" s="18">
        <f>+STAT2!V31</f>
        <v>980000.0025699999</v>
      </c>
      <c r="J16" s="16" t="s">
        <v>1354</v>
      </c>
      <c r="K16" s="230">
        <f>+STAT1!I93</f>
        <v>0</v>
      </c>
      <c r="L16" s="230"/>
      <c r="M16" s="230"/>
      <c r="N16" s="230"/>
      <c r="O16" s="230"/>
    </row>
    <row r="17" spans="2:18">
      <c r="B17" s="15">
        <f>+COUNT(B20:B28)</f>
        <v>7</v>
      </c>
      <c r="D17" s="230"/>
      <c r="E17" s="284" t="s">
        <v>1362</v>
      </c>
      <c r="F17" s="230">
        <f>+F16-F15</f>
        <v>-3.7699999520555139E-3</v>
      </c>
      <c r="G17" s="230"/>
      <c r="H17" s="230"/>
      <c r="I17" s="230">
        <f>+I16-I15</f>
        <v>-3.7700000684708357E-3</v>
      </c>
      <c r="K17" s="230">
        <f>+K16-K15</f>
        <v>0</v>
      </c>
      <c r="L17" s="108" t="s">
        <v>329</v>
      </c>
      <c r="M17" s="109">
        <v>42736</v>
      </c>
      <c r="N17" s="109">
        <v>42916</v>
      </c>
      <c r="O17" s="230"/>
    </row>
    <row r="18" spans="2:18">
      <c r="B18" s="57" t="s">
        <v>1</v>
      </c>
      <c r="C18" s="58" t="s">
        <v>0</v>
      </c>
      <c r="D18" s="59" t="s">
        <v>302</v>
      </c>
      <c r="E18" s="312" t="s">
        <v>299</v>
      </c>
      <c r="F18" s="913" t="s">
        <v>41</v>
      </c>
      <c r="G18" s="913"/>
      <c r="H18" s="913"/>
      <c r="I18" s="913"/>
      <c r="J18" s="58" t="s">
        <v>299</v>
      </c>
      <c r="K18" s="913" t="s">
        <v>42</v>
      </c>
      <c r="L18" s="913"/>
      <c r="M18" s="913"/>
      <c r="N18" s="913"/>
      <c r="O18" s="85" t="s">
        <v>327</v>
      </c>
      <c r="P18" s="177"/>
    </row>
    <row r="19" spans="2:18">
      <c r="B19" s="57"/>
      <c r="C19" s="58"/>
      <c r="D19" s="59"/>
      <c r="E19" s="313" t="s">
        <v>300</v>
      </c>
      <c r="F19" s="60" t="s">
        <v>40</v>
      </c>
      <c r="G19" s="60" t="s">
        <v>3</v>
      </c>
      <c r="H19" s="60" t="s">
        <v>4</v>
      </c>
      <c r="I19" s="76" t="s">
        <v>301</v>
      </c>
      <c r="J19" s="75" t="s">
        <v>300</v>
      </c>
      <c r="K19" s="60" t="s">
        <v>40</v>
      </c>
      <c r="L19" s="60" t="s">
        <v>3</v>
      </c>
      <c r="M19" s="60" t="s">
        <v>4</v>
      </c>
      <c r="N19" s="76" t="s">
        <v>301</v>
      </c>
      <c r="O19" s="83" t="s">
        <v>328</v>
      </c>
      <c r="P19" s="138" t="s">
        <v>261</v>
      </c>
      <c r="Q19" s="16" t="s">
        <v>262</v>
      </c>
    </row>
    <row r="20" spans="2:18">
      <c r="B20" s="15">
        <f>+IF(C6="","",ROW()-19)</f>
        <v>1</v>
      </c>
      <c r="C20" s="16">
        <v>1001</v>
      </c>
      <c r="D20" s="16" t="str">
        <f>+IFERROR(VLOOKUP(C20,DATA!$G$4:$H$2000,2,FALSE),"")</f>
        <v xml:space="preserve">Энхбат </v>
      </c>
      <c r="E20" s="314">
        <v>121200</v>
      </c>
      <c r="F20" s="230">
        <f>+F6</f>
        <v>0</v>
      </c>
      <c r="G20" s="230">
        <f>+SUMIFS(JURNAL!G:G,JURNAL!E:E,E20,JURNAL!L:L,$C20,JURNAL!C:C,"&gt;="&amp;$M$17,JURNAL!C:C,"&lt;="&amp;$N$17)</f>
        <v>0</v>
      </c>
      <c r="H20" s="19">
        <f>+SUMIFS(JURNAL!H:H,JURNAL!E:E,E20,JURNAL!L:L,$C20,JURNAL!C:C,"&gt;="&amp;$M$17,JURNAL!C:C,"&lt;="&amp;$N$17)</f>
        <v>0</v>
      </c>
      <c r="I20" s="18">
        <f>+F20+G20-H20</f>
        <v>0</v>
      </c>
      <c r="J20" s="16">
        <v>320100</v>
      </c>
      <c r="K20" s="230">
        <f>+N6</f>
        <v>0</v>
      </c>
      <c r="L20" s="230">
        <f>+SUMIFS(JURNAL!G:G,JURNAL!E:E,J20,JURNAL!L:L,$C20,JURNAL!C:C,"&gt;="&amp;$M$17,JURNAL!C:C,"&lt;="&amp;$N$17)</f>
        <v>0</v>
      </c>
      <c r="M20" s="19">
        <f>+SUMIFS(JURNAL!H:H,JURNAL!E:E,J20,JURNAL!L:L,$C20,JURNAL!C:C,"&gt;="&amp;$M$17,JURNAL!C:C,"&lt;="&amp;$N$17)</f>
        <v>0</v>
      </c>
      <c r="N20" s="73">
        <f t="shared" ref="N20" si="18">+K20+M20-L20</f>
        <v>0</v>
      </c>
      <c r="O20" s="230">
        <f t="shared" ref="O20" si="19">+IF(I20&lt;N20,I20,N20)</f>
        <v>0</v>
      </c>
      <c r="P20" s="16">
        <f>+J20</f>
        <v>320100</v>
      </c>
      <c r="Q20" s="16">
        <f>+E20</f>
        <v>121200</v>
      </c>
    </row>
    <row r="21" spans="2:18">
      <c r="B21" s="15">
        <f t="shared" ref="B21:B26" si="20">+IF(C7="","",ROW()-19)</f>
        <v>2</v>
      </c>
      <c r="C21" s="16">
        <v>1002</v>
      </c>
      <c r="D21" s="16" t="str">
        <f>+IFERROR(VLOOKUP(C21,DATA!$G$4:$H$2000,2,FALSE),"")</f>
        <v>Бурмаа</v>
      </c>
      <c r="E21" s="314">
        <v>121200</v>
      </c>
      <c r="F21" s="230">
        <f t="shared" ref="F21:F26" si="21">+F7</f>
        <v>0</v>
      </c>
      <c r="G21" s="230">
        <f>+SUMIFS(JURNAL!G:G,JURNAL!E:E,E21,JURNAL!L:L,$C21,JURNAL!C:C,"&gt;="&amp;$M$17,JURNAL!C:C,"&lt;="&amp;$N$17)</f>
        <v>0</v>
      </c>
      <c r="H21" s="19">
        <f>+SUMIFS(JURNAL!H:H,JURNAL!E:E,E21,JURNAL!L:L,$C21,JURNAL!C:C,"&gt;="&amp;$M$17,JURNAL!C:C,"&lt;="&amp;$N$17)</f>
        <v>0</v>
      </c>
      <c r="I21" s="18">
        <f t="shared" ref="I21:I26" si="22">+F21+G21-H21</f>
        <v>0</v>
      </c>
      <c r="J21" s="16">
        <v>320100</v>
      </c>
      <c r="K21" s="230">
        <f t="shared" ref="K21:K26" si="23">+N7</f>
        <v>0</v>
      </c>
      <c r="L21" s="230">
        <f>+SUMIFS(JURNAL!G:G,JURNAL!E:E,J21,JURNAL!L:L,$C21,JURNAL!C:C,"&gt;="&amp;$M$17,JURNAL!C:C,"&lt;="&amp;$N$17)</f>
        <v>0</v>
      </c>
      <c r="M21" s="19">
        <f>+SUMIFS(JURNAL!H:H,JURNAL!E:E,J21,JURNAL!L:L,$C21,JURNAL!C:C,"&gt;="&amp;$M$17,JURNAL!C:C,"&lt;="&amp;$N$17)</f>
        <v>0</v>
      </c>
      <c r="N21" s="73">
        <f t="shared" ref="N21:N26" si="24">+K21+M21-L21</f>
        <v>0</v>
      </c>
      <c r="O21" s="230">
        <f t="shared" ref="O21:O26" si="25">+IF(I21&lt;N21,I21,N21)</f>
        <v>0</v>
      </c>
      <c r="P21" s="16">
        <f t="shared" ref="P21:P26" si="26">+J21</f>
        <v>320100</v>
      </c>
      <c r="Q21" s="16">
        <f t="shared" ref="Q21:Q26" si="27">+E21</f>
        <v>121200</v>
      </c>
    </row>
    <row r="22" spans="2:18" s="230" customFormat="1">
      <c r="B22" s="15">
        <f t="shared" si="20"/>
        <v>3</v>
      </c>
      <c r="C22" s="16">
        <v>1003</v>
      </c>
      <c r="D22" s="16" t="str">
        <f>+IFERROR(VLOOKUP(C22,DATA!$G$4:$H$2000,2,FALSE),"")</f>
        <v>Бахдамдэмбэрэл</v>
      </c>
      <c r="E22" s="314">
        <v>121200</v>
      </c>
      <c r="F22" s="230">
        <f t="shared" si="21"/>
        <v>0</v>
      </c>
      <c r="G22" s="230">
        <f>+SUMIFS(JURNAL!G:G,JURNAL!E:E,E22,JURNAL!L:L,$C22,JURNAL!C:C,"&gt;="&amp;$M$17,JURNAL!C:C,"&lt;="&amp;$N$17)</f>
        <v>0</v>
      </c>
      <c r="H22" s="19">
        <f>+SUMIFS(JURNAL!H:H,JURNAL!E:E,E22,JURNAL!L:L,$C22,JURNAL!C:C,"&gt;="&amp;$M$17,JURNAL!C:C,"&lt;="&amp;$N$17)</f>
        <v>0</v>
      </c>
      <c r="I22" s="18">
        <f t="shared" si="22"/>
        <v>0</v>
      </c>
      <c r="J22" s="16">
        <v>320100</v>
      </c>
      <c r="K22" s="230">
        <f t="shared" si="23"/>
        <v>0</v>
      </c>
      <c r="L22" s="230">
        <f>+SUMIFS(JURNAL!G:G,JURNAL!E:E,J22,JURNAL!L:L,$C22,JURNAL!C:C,"&gt;="&amp;$M$17,JURNAL!C:C,"&lt;="&amp;$N$17)</f>
        <v>0</v>
      </c>
      <c r="M22" s="19">
        <f>+SUMIFS(JURNAL!H:H,JURNAL!E:E,J22,JURNAL!L:L,$C22,JURNAL!C:C,"&gt;="&amp;$M$17,JURNAL!C:C,"&lt;="&amp;$N$17)</f>
        <v>0</v>
      </c>
      <c r="N22" s="73">
        <f t="shared" si="24"/>
        <v>0</v>
      </c>
      <c r="O22" s="230">
        <f t="shared" si="25"/>
        <v>0</v>
      </c>
      <c r="P22" s="16">
        <f t="shared" si="26"/>
        <v>320100</v>
      </c>
      <c r="Q22" s="16">
        <f t="shared" si="27"/>
        <v>121200</v>
      </c>
    </row>
    <row r="23" spans="2:18" s="230" customFormat="1">
      <c r="B23" s="15">
        <f t="shared" si="20"/>
        <v>4</v>
      </c>
      <c r="C23" s="16">
        <v>1004</v>
      </c>
      <c r="D23" s="16" t="str">
        <f>+IFERROR(VLOOKUP(C23,DATA!$G$4:$H$2000,2,FALSE),"")</f>
        <v xml:space="preserve">Түмэндэлгэр </v>
      </c>
      <c r="E23" s="314">
        <v>121200</v>
      </c>
      <c r="F23" s="230">
        <f t="shared" si="21"/>
        <v>0</v>
      </c>
      <c r="G23" s="230">
        <f>+SUMIFS(JURNAL!G:G,JURNAL!E:E,E23,JURNAL!L:L,$C23,JURNAL!C:C,"&gt;="&amp;$M$17,JURNAL!C:C,"&lt;="&amp;$N$17)</f>
        <v>627000</v>
      </c>
      <c r="H23" s="19">
        <f>+SUMIFS(JURNAL!H:H,JURNAL!E:E,E23,JURNAL!L:L,$C23,JURNAL!C:C,"&gt;="&amp;$M$17,JURNAL!C:C,"&lt;="&amp;$N$17)</f>
        <v>627000.00401999999</v>
      </c>
      <c r="I23" s="18">
        <f t="shared" si="22"/>
        <v>-4.0199999930337071E-3</v>
      </c>
      <c r="J23" s="16">
        <v>320100</v>
      </c>
      <c r="K23" s="230">
        <f t="shared" si="23"/>
        <v>0</v>
      </c>
      <c r="L23" s="230">
        <f>+SUMIFS(JURNAL!G:G,JURNAL!E:E,J23,JURNAL!L:L,$C23,JURNAL!C:C,"&gt;="&amp;$M$17,JURNAL!C:C,"&lt;="&amp;$N$17)</f>
        <v>0</v>
      </c>
      <c r="M23" s="19">
        <f>+SUMIFS(JURNAL!H:H,JURNAL!E:E,J23,JURNAL!L:L,$C23,JURNAL!C:C,"&gt;="&amp;$M$17,JURNAL!C:C,"&lt;="&amp;$N$17)</f>
        <v>0</v>
      </c>
      <c r="N23" s="73">
        <f t="shared" si="24"/>
        <v>0</v>
      </c>
      <c r="O23" s="230">
        <f t="shared" si="25"/>
        <v>-4.0199999930337071E-3</v>
      </c>
      <c r="P23" s="16">
        <f t="shared" si="26"/>
        <v>320100</v>
      </c>
      <c r="Q23" s="16">
        <f t="shared" si="27"/>
        <v>121200</v>
      </c>
    </row>
    <row r="24" spans="2:18" s="230" customFormat="1">
      <c r="B24" s="15">
        <f t="shared" si="20"/>
        <v>5</v>
      </c>
      <c r="C24" s="16">
        <v>1005</v>
      </c>
      <c r="D24" s="16" t="str">
        <f>+IFERROR(VLOOKUP(C24,DATA!$G$4:$H$2000,2,FALSE),"")</f>
        <v>Золжаргал</v>
      </c>
      <c r="E24" s="314">
        <v>121200</v>
      </c>
      <c r="F24" s="230">
        <f t="shared" si="21"/>
        <v>980000.01</v>
      </c>
      <c r="G24" s="230">
        <f>+SUMIFS(JURNAL!G:G,JURNAL!E:E,E24,JURNAL!L:L,$C24,JURNAL!C:C,"&gt;="&amp;$M$17,JURNAL!C:C,"&lt;="&amp;$N$17)</f>
        <v>171682</v>
      </c>
      <c r="H24" s="19">
        <f>+SUMIFS(JURNAL!H:H,JURNAL!E:E,E24,JURNAL!L:L,$C24,JURNAL!C:C,"&gt;="&amp;$M$17,JURNAL!C:C,"&lt;="&amp;$N$17)</f>
        <v>171681.99994000001</v>
      </c>
      <c r="I24" s="18">
        <f t="shared" si="22"/>
        <v>980000.01006</v>
      </c>
      <c r="J24" s="16">
        <v>320100</v>
      </c>
      <c r="K24" s="230">
        <f t="shared" si="23"/>
        <v>0</v>
      </c>
      <c r="L24" s="230">
        <f>+SUMIFS(JURNAL!G:G,JURNAL!E:E,J24,JURNAL!L:L,$C24,JURNAL!C:C,"&gt;="&amp;$M$17,JURNAL!C:C,"&lt;="&amp;$N$17)</f>
        <v>0</v>
      </c>
      <c r="M24" s="19">
        <f>+SUMIFS(JURNAL!H:H,JURNAL!E:E,J24,JURNAL!L:L,$C24,JURNAL!C:C,"&gt;="&amp;$M$17,JURNAL!C:C,"&lt;="&amp;$N$17)</f>
        <v>0</v>
      </c>
      <c r="N24" s="73">
        <f t="shared" si="24"/>
        <v>0</v>
      </c>
      <c r="O24" s="230">
        <f t="shared" si="25"/>
        <v>0</v>
      </c>
      <c r="P24" s="16">
        <f t="shared" si="26"/>
        <v>320100</v>
      </c>
      <c r="Q24" s="16">
        <f t="shared" si="27"/>
        <v>121200</v>
      </c>
    </row>
    <row r="25" spans="2:18" s="230" customFormat="1">
      <c r="B25" s="15">
        <f t="shared" si="20"/>
        <v>6</v>
      </c>
      <c r="C25" s="16">
        <v>1006</v>
      </c>
      <c r="D25" s="16" t="str">
        <f>+IFERROR(VLOOKUP(C25,DATA!$G$4:$H$2000,2,FALSE),"")</f>
        <v>Оюундэлгэр /нярав/</v>
      </c>
      <c r="E25" s="876">
        <v>121200</v>
      </c>
      <c r="F25" s="230">
        <f t="shared" si="21"/>
        <v>0</v>
      </c>
      <c r="G25" s="230">
        <f>+SUMIFS(JURNAL!G:G,JURNAL!E:E,E25,JURNAL!L:L,$C25,JURNAL!C:C,"&gt;="&amp;$M$17,JURNAL!C:C,"&lt;="&amp;$N$17)</f>
        <v>0</v>
      </c>
      <c r="H25" s="19">
        <f>+SUMIFS(JURNAL!H:H,JURNAL!E:E,E25,JURNAL!L:L,$C25,JURNAL!C:C,"&gt;="&amp;$M$17,JURNAL!C:C,"&lt;="&amp;$N$17)</f>
        <v>0</v>
      </c>
      <c r="I25" s="18">
        <f t="shared" si="22"/>
        <v>0</v>
      </c>
      <c r="J25" s="16">
        <v>320100</v>
      </c>
      <c r="K25" s="230">
        <f t="shared" si="23"/>
        <v>0</v>
      </c>
      <c r="L25" s="230">
        <f>+SUMIFS(JURNAL!G:G,JURNAL!E:E,J25,JURNAL!L:L,$C25,JURNAL!C:C,"&gt;="&amp;$M$17,JURNAL!C:C,"&lt;="&amp;$N$17)</f>
        <v>0</v>
      </c>
      <c r="M25" s="19">
        <f>+SUMIFS(JURNAL!H:H,JURNAL!E:E,J25,JURNAL!L:L,$C25,JURNAL!C:C,"&gt;="&amp;$M$17,JURNAL!C:C,"&lt;="&amp;$N$17)</f>
        <v>0</v>
      </c>
      <c r="N25" s="73">
        <f t="shared" si="24"/>
        <v>0</v>
      </c>
      <c r="O25" s="230">
        <f t="shared" si="25"/>
        <v>0</v>
      </c>
      <c r="P25" s="16">
        <f t="shared" si="26"/>
        <v>320100</v>
      </c>
      <c r="Q25" s="16">
        <f t="shared" si="27"/>
        <v>121200</v>
      </c>
    </row>
    <row r="26" spans="2:18" s="230" customFormat="1">
      <c r="B26" s="15">
        <f t="shared" si="20"/>
        <v>7</v>
      </c>
      <c r="C26" s="16">
        <v>1007</v>
      </c>
      <c r="D26" s="878" t="str">
        <f>+IFERROR(VLOOKUP(C26,DATA!$G$4:$H$2000,2,FALSE),"")</f>
        <v xml:space="preserve">Нэргүй </v>
      </c>
      <c r="E26" s="314">
        <v>121200</v>
      </c>
      <c r="F26" s="230">
        <f t="shared" si="21"/>
        <v>0</v>
      </c>
      <c r="G26" s="230">
        <f>+SUMIFS(JURNAL!G:G,JURNAL!E:E,E26,JURNAL!L:L,$C26,JURNAL!C:C,"&gt;="&amp;$M$17,JURNAL!C:C,"&lt;="&amp;$N$17)</f>
        <v>206000</v>
      </c>
      <c r="H26" s="19">
        <f>+SUMIFS(JURNAL!H:H,JURNAL!E:E,E26,JURNAL!L:L,$C26,JURNAL!C:C,"&gt;="&amp;$M$17,JURNAL!C:C,"&lt;="&amp;$N$17)</f>
        <v>205999.99970000001</v>
      </c>
      <c r="I26" s="18">
        <f t="shared" si="22"/>
        <v>2.9999998514540493E-4</v>
      </c>
      <c r="J26" s="16">
        <v>320100</v>
      </c>
      <c r="K26" s="230">
        <f t="shared" si="23"/>
        <v>0</v>
      </c>
      <c r="L26" s="230">
        <f>+SUMIFS(JURNAL!G:G,JURNAL!E:E,J26,JURNAL!L:L,$C26,JURNAL!C:C,"&gt;="&amp;$M$17,JURNAL!C:C,"&lt;="&amp;$N$17)</f>
        <v>0</v>
      </c>
      <c r="M26" s="19">
        <f>+SUMIFS(JURNAL!H:H,JURNAL!E:E,J26,JURNAL!L:L,$C26,JURNAL!C:C,"&gt;="&amp;$M$17,JURNAL!C:C,"&lt;="&amp;$N$17)</f>
        <v>0</v>
      </c>
      <c r="N26" s="73">
        <f t="shared" si="24"/>
        <v>0</v>
      </c>
      <c r="O26" s="230">
        <f t="shared" si="25"/>
        <v>0</v>
      </c>
      <c r="P26" s="16">
        <f t="shared" si="26"/>
        <v>320100</v>
      </c>
      <c r="Q26" s="16">
        <f t="shared" si="27"/>
        <v>121200</v>
      </c>
    </row>
    <row r="27" spans="2:18">
      <c r="B27" s="15" t="str">
        <f t="shared" si="16"/>
        <v/>
      </c>
      <c r="C27" s="16" t="str">
        <f>IFERROR(VLOOKUP(DATA!#REF!,DATA!#REF!,1,FALSE),"")</f>
        <v/>
      </c>
      <c r="D27" s="16" t="str">
        <f>IFERROR(VLOOKUP(C27,DATA!#REF!,2,FALSE),"")</f>
        <v/>
      </c>
      <c r="I27" s="17"/>
      <c r="J27" s="17"/>
      <c r="P27" s="17"/>
      <c r="Q27" s="17"/>
    </row>
    <row r="28" spans="2:18">
      <c r="B28" s="15" t="str">
        <f t="shared" si="16"/>
        <v/>
      </c>
      <c r="C28" s="16" t="str">
        <f>IFERROR(VLOOKUP(DATA!#REF!,DATA!#REF!,1,FALSE),"")</f>
        <v/>
      </c>
      <c r="D28" s="16" t="str">
        <f>IFERROR(VLOOKUP(C28,DATA!#REF!,2,FALSE),"")</f>
        <v/>
      </c>
      <c r="I28" s="17"/>
      <c r="J28" s="17"/>
      <c r="P28" s="17"/>
      <c r="Q28" s="17"/>
    </row>
    <row r="29" spans="2:18">
      <c r="B29" s="77" t="s">
        <v>1370</v>
      </c>
      <c r="C29" s="77"/>
      <c r="D29" s="77"/>
      <c r="E29" s="310" t="s">
        <v>260</v>
      </c>
      <c r="F29" s="78">
        <f>SUM(F34:F39)</f>
        <v>980000.01</v>
      </c>
      <c r="G29" s="78">
        <f t="shared" ref="G29:I29" si="28">SUM(G34:G39)</f>
        <v>1384182</v>
      </c>
      <c r="H29" s="78">
        <f t="shared" si="28"/>
        <v>1384182.0024600001</v>
      </c>
      <c r="I29" s="78">
        <f t="shared" si="28"/>
        <v>980000.00754000002</v>
      </c>
      <c r="J29" s="77" t="s">
        <v>260</v>
      </c>
      <c r="K29" s="78">
        <f t="shared" ref="K29:M29" si="29">SUM(K34:K37)</f>
        <v>0</v>
      </c>
      <c r="L29" s="78">
        <f t="shared" si="29"/>
        <v>0</v>
      </c>
      <c r="M29" s="78">
        <f t="shared" si="29"/>
        <v>0</v>
      </c>
      <c r="N29" s="78">
        <f>SUM(N34:N37)</f>
        <v>0</v>
      </c>
      <c r="O29" s="78">
        <f>SUM(O34:O759)</f>
        <v>-4.0199999930337071E-3</v>
      </c>
      <c r="P29" s="176"/>
      <c r="R29" s="230"/>
    </row>
    <row r="30" spans="2:18">
      <c r="D30" s="230"/>
      <c r="E30" s="311" t="s">
        <v>1354</v>
      </c>
      <c r="F30" s="230">
        <f>+F2</f>
        <v>980000.00623000006</v>
      </c>
      <c r="G30" s="230">
        <f>+STAT1!J11+STAT1!J12+STAT2!J11+STAT2!J12+STAT3!J11+STAT3!J12</f>
        <v>0</v>
      </c>
      <c r="H30" s="230">
        <f>+STAT1!K11+STAT1!K12+STAT2!K11+STAT2!K12+STAT3!K11+STAT3!K12</f>
        <v>0</v>
      </c>
      <c r="I30" s="18">
        <f>+STAT3!V31</f>
        <v>980000.00407000002</v>
      </c>
      <c r="J30" s="16" t="s">
        <v>1354</v>
      </c>
      <c r="K30" s="230">
        <f>+STAT1!I108</f>
        <v>0</v>
      </c>
      <c r="L30" s="230"/>
      <c r="M30" s="230"/>
      <c r="N30" s="230"/>
      <c r="O30" s="230"/>
      <c r="R30" s="230"/>
    </row>
    <row r="31" spans="2:18">
      <c r="B31" s="15">
        <f>+COUNT(B34:B43)</f>
        <v>7</v>
      </c>
      <c r="D31" s="230"/>
      <c r="E31" s="284" t="s">
        <v>1362</v>
      </c>
      <c r="F31" s="230">
        <f>+F30-F29</f>
        <v>-3.7699999520555139E-3</v>
      </c>
      <c r="G31" s="230"/>
      <c r="H31" s="230"/>
      <c r="I31" s="230">
        <f>+I30-I29</f>
        <v>-3.4699999960139394E-3</v>
      </c>
      <c r="K31" s="230">
        <f>+K30-K29</f>
        <v>0</v>
      </c>
      <c r="L31" s="108" t="s">
        <v>329</v>
      </c>
      <c r="M31" s="109">
        <v>42736</v>
      </c>
      <c r="N31" s="109">
        <v>43008</v>
      </c>
      <c r="O31" s="230"/>
      <c r="R31" s="230"/>
    </row>
    <row r="32" spans="2:18">
      <c r="B32" s="57" t="s">
        <v>1</v>
      </c>
      <c r="C32" s="58" t="s">
        <v>0</v>
      </c>
      <c r="D32" s="59" t="s">
        <v>302</v>
      </c>
      <c r="E32" s="312" t="s">
        <v>299</v>
      </c>
      <c r="F32" s="913" t="s">
        <v>41</v>
      </c>
      <c r="G32" s="913"/>
      <c r="H32" s="913"/>
      <c r="I32" s="913"/>
      <c r="J32" s="58" t="s">
        <v>299</v>
      </c>
      <c r="K32" s="913" t="s">
        <v>42</v>
      </c>
      <c r="L32" s="913"/>
      <c r="M32" s="913"/>
      <c r="N32" s="913"/>
      <c r="O32" s="85" t="s">
        <v>327</v>
      </c>
      <c r="P32" s="177"/>
      <c r="R32" s="230"/>
    </row>
    <row r="33" spans="2:18">
      <c r="B33" s="57"/>
      <c r="C33" s="58"/>
      <c r="D33" s="59"/>
      <c r="E33" s="313" t="s">
        <v>300</v>
      </c>
      <c r="F33" s="60" t="s">
        <v>40</v>
      </c>
      <c r="G33" s="60" t="s">
        <v>3</v>
      </c>
      <c r="H33" s="60" t="s">
        <v>4</v>
      </c>
      <c r="I33" s="76" t="s">
        <v>301</v>
      </c>
      <c r="J33" s="75" t="s">
        <v>300</v>
      </c>
      <c r="K33" s="60" t="s">
        <v>40</v>
      </c>
      <c r="L33" s="60" t="s">
        <v>3</v>
      </c>
      <c r="M33" s="60" t="s">
        <v>4</v>
      </c>
      <c r="N33" s="76" t="s">
        <v>301</v>
      </c>
      <c r="O33" s="83" t="s">
        <v>328</v>
      </c>
      <c r="P33" s="138" t="s">
        <v>261</v>
      </c>
      <c r="Q33" s="16" t="s">
        <v>262</v>
      </c>
      <c r="R33" s="230"/>
    </row>
    <row r="34" spans="2:18">
      <c r="B34" s="15">
        <f>+IF(C34="","",ROW()-33)</f>
        <v>1</v>
      </c>
      <c r="C34" s="16">
        <v>1001</v>
      </c>
      <c r="D34" s="16" t="str">
        <f>+IFERROR(VLOOKUP(C34,DATA!$G$4:$H$2000,2,FALSE),"")</f>
        <v xml:space="preserve">Энхбат </v>
      </c>
      <c r="E34" s="314">
        <v>121200</v>
      </c>
      <c r="F34" s="230">
        <f>+F6</f>
        <v>0</v>
      </c>
      <c r="G34" s="230">
        <f>SUMIFS(JURNAL!G:G,JURNAL!E:E,E34,JURNAL!L:L,$C34,JURNAL!C:C,"&gt;="&amp;$M$31,JURNAL!C:C,"&lt;="&amp;$N$31)</f>
        <v>0</v>
      </c>
      <c r="H34" s="19">
        <f>+SUMIFS(JURNAL!H:H,JURNAL!E:E,E34,JURNAL!L:L,$C34,JURNAL!C:C,"&gt;="&amp;$M$31,JURNAL!C:C,"&lt;="&amp;$N$31)</f>
        <v>0</v>
      </c>
      <c r="I34" s="18">
        <f>+F34+G34-H34</f>
        <v>0</v>
      </c>
      <c r="J34" s="16">
        <v>320100</v>
      </c>
      <c r="K34" s="230">
        <f>+K6</f>
        <v>0</v>
      </c>
      <c r="L34" s="230">
        <f>SUMIFS(JURNAL!G:G,JURNAL!E:E,J34,JURNAL!L:L,$C34,JURNAL!C:C,"&gt;="&amp;$M$31,JURNAL!C:C,"&lt;="&amp;$N$31)</f>
        <v>0</v>
      </c>
      <c r="M34" s="317">
        <f>SUMIFS(JURNAL!H:H,JURNAL!E:E,J34,JURNAL!L:L,$C34,JURNAL!C:C,"&gt;="&amp;$M$31,JURNAL!C:C,"&lt;="&amp;$N$31)</f>
        <v>0</v>
      </c>
      <c r="N34" s="73">
        <f t="shared" ref="N34:N40" si="30">+K34+M34-L34</f>
        <v>0</v>
      </c>
      <c r="O34" s="230">
        <f t="shared" ref="O34:O36" si="31">+IF(I34&lt;N34,I34,N34)</f>
        <v>0</v>
      </c>
      <c r="P34" s="16">
        <f>+J34</f>
        <v>320100</v>
      </c>
      <c r="Q34" s="16">
        <f>+E34</f>
        <v>121200</v>
      </c>
      <c r="R34" s="230"/>
    </row>
    <row r="35" spans="2:18">
      <c r="B35" s="15">
        <f t="shared" ref="B35:B40" si="32">+IF(C35="","",ROW()-33)</f>
        <v>2</v>
      </c>
      <c r="C35" s="16">
        <v>1002</v>
      </c>
      <c r="D35" s="16" t="str">
        <f>+IFERROR(VLOOKUP(C35,DATA!$G$4:$H$2000,2,FALSE),"")</f>
        <v>Бурмаа</v>
      </c>
      <c r="E35" s="314">
        <v>121200</v>
      </c>
      <c r="F35" s="230">
        <f t="shared" ref="F35:F40" si="33">+F7</f>
        <v>0</v>
      </c>
      <c r="G35" s="230">
        <f>SUMIFS(JURNAL!G:G,JURNAL!E:E,E35,JURNAL!L:L,$C35,JURNAL!C:C,"&gt;="&amp;$M$31,JURNAL!C:C,"&lt;="&amp;$N$31)</f>
        <v>0</v>
      </c>
      <c r="H35" s="19">
        <f>+SUMIFS(JURNAL!H:H,JURNAL!E:E,E35,JURNAL!L:L,$C35,JURNAL!C:C,"&gt;="&amp;$M$31,JURNAL!C:C,"&lt;="&amp;$N$31)</f>
        <v>0</v>
      </c>
      <c r="I35" s="18">
        <f>+F35+G35-H35</f>
        <v>0</v>
      </c>
      <c r="J35" s="16">
        <v>320100</v>
      </c>
      <c r="K35" s="230">
        <f t="shared" ref="K35:K40" si="34">+K7</f>
        <v>0</v>
      </c>
      <c r="L35" s="230">
        <f>SUMIFS(JURNAL!G:G,JURNAL!E:E,J35,JURNAL!L:L,$C35,JURNAL!C:C,"&gt;="&amp;$M$31,JURNAL!C:C,"&lt;="&amp;$N$31)</f>
        <v>0</v>
      </c>
      <c r="M35" s="317">
        <f>SUMIFS(JURNAL!H:H,JURNAL!E:E,J35,JURNAL!L:L,$C35,JURNAL!C:C,"&gt;="&amp;$M$31,JURNAL!C:C,"&lt;="&amp;$N$31)</f>
        <v>0</v>
      </c>
      <c r="N35" s="73">
        <f t="shared" si="30"/>
        <v>0</v>
      </c>
      <c r="O35" s="230">
        <f t="shared" si="31"/>
        <v>0</v>
      </c>
      <c r="P35" s="16">
        <f t="shared" ref="P35:P36" si="35">+J35</f>
        <v>320100</v>
      </c>
      <c r="Q35" s="16">
        <f t="shared" ref="Q35:Q36" si="36">+E35</f>
        <v>121200</v>
      </c>
      <c r="R35" s="230"/>
    </row>
    <row r="36" spans="2:18">
      <c r="B36" s="15">
        <f t="shared" si="32"/>
        <v>3</v>
      </c>
      <c r="C36" s="16">
        <v>1003</v>
      </c>
      <c r="D36" s="16" t="str">
        <f>+IFERROR(VLOOKUP(C36,DATA!$G$4:$H$2000,2,FALSE),"")</f>
        <v>Бахдамдэмбэрэл</v>
      </c>
      <c r="E36" s="314">
        <v>121200</v>
      </c>
      <c r="F36" s="230">
        <f t="shared" si="33"/>
        <v>0</v>
      </c>
      <c r="G36" s="230">
        <f>SUMIFS(JURNAL!G:G,JURNAL!E:E,E36,JURNAL!L:L,$C36,JURNAL!C:C,"&gt;="&amp;$M$31,JURNAL!C:C,"&lt;="&amp;$N$31)</f>
        <v>0</v>
      </c>
      <c r="H36" s="19">
        <f>+SUMIFS(JURNAL!H:H,JURNAL!E:E,E36,JURNAL!L:L,$C36,JURNAL!C:C,"&gt;="&amp;$M$31,JURNAL!C:C,"&lt;="&amp;$N$31)</f>
        <v>0</v>
      </c>
      <c r="I36" s="18">
        <f>+F36+G36-H36</f>
        <v>0</v>
      </c>
      <c r="J36" s="16">
        <v>320100</v>
      </c>
      <c r="K36" s="230">
        <f t="shared" si="34"/>
        <v>0</v>
      </c>
      <c r="L36" s="230">
        <f>SUMIFS(JURNAL!G:G,JURNAL!E:E,J36,JURNAL!L:L,$C36,JURNAL!C:C,"&gt;="&amp;$M$31,JURNAL!C:C,"&lt;="&amp;$N$31)</f>
        <v>0</v>
      </c>
      <c r="M36" s="317">
        <f>SUMIFS(JURNAL!H:H,JURNAL!E:E,J36,JURNAL!L:L,$C36,JURNAL!C:C,"&gt;="&amp;$M$31,JURNAL!C:C,"&lt;="&amp;$N$31)</f>
        <v>0</v>
      </c>
      <c r="N36" s="73">
        <f t="shared" si="30"/>
        <v>0</v>
      </c>
      <c r="O36" s="230">
        <f t="shared" si="31"/>
        <v>0</v>
      </c>
      <c r="P36" s="16">
        <f t="shared" si="35"/>
        <v>320100</v>
      </c>
      <c r="Q36" s="16">
        <f t="shared" si="36"/>
        <v>121200</v>
      </c>
      <c r="R36" s="230"/>
    </row>
    <row r="37" spans="2:18">
      <c r="B37" s="15">
        <f t="shared" si="32"/>
        <v>4</v>
      </c>
      <c r="C37" s="16">
        <v>1004</v>
      </c>
      <c r="D37" s="16" t="str">
        <f>+IFERROR(VLOOKUP(C37,DATA!$G$4:$H$2000,2,FALSE),"")</f>
        <v xml:space="preserve">Түмэндэлгэр </v>
      </c>
      <c r="E37" s="314">
        <v>121200</v>
      </c>
      <c r="F37" s="230">
        <f t="shared" si="33"/>
        <v>0</v>
      </c>
      <c r="G37" s="230">
        <f>SUMIFS(JURNAL!G:G,JURNAL!E:E,E37,JURNAL!L:L,$C37,JURNAL!C:C,"&gt;="&amp;$M$31,JURNAL!C:C,"&lt;="&amp;$N$31)</f>
        <v>627000</v>
      </c>
      <c r="H37" s="19">
        <f>+SUMIFS(JURNAL!H:H,JURNAL!E:E,E37,JURNAL!L:L,$C37,JURNAL!C:C,"&gt;="&amp;$M$31,JURNAL!C:C,"&lt;="&amp;$N$31)</f>
        <v>627000.00401999999</v>
      </c>
      <c r="I37" s="18">
        <f>+F37+G37-H37</f>
        <v>-4.0199999930337071E-3</v>
      </c>
      <c r="J37" s="16">
        <v>320100</v>
      </c>
      <c r="K37" s="230">
        <f t="shared" si="34"/>
        <v>0</v>
      </c>
      <c r="L37" s="230">
        <f>SUMIFS(JURNAL!G:G,JURNAL!E:E,J37,JURNAL!L:L,$C37,JURNAL!C:C,"&gt;="&amp;$M$31,JURNAL!C:C,"&lt;="&amp;$N$31)</f>
        <v>0</v>
      </c>
      <c r="M37" s="317">
        <f>SUMIFS(JURNAL!H:H,JURNAL!E:E,J37,JURNAL!L:L,$C37,JURNAL!C:C,"&gt;="&amp;$M$31,JURNAL!C:C,"&lt;="&amp;$N$31)</f>
        <v>0</v>
      </c>
      <c r="N37" s="73">
        <f t="shared" si="30"/>
        <v>0</v>
      </c>
      <c r="O37" s="230">
        <f t="shared" ref="O37:O40" si="37">+IF(I37&lt;N37,I37,N37)</f>
        <v>-4.0199999930337071E-3</v>
      </c>
      <c r="P37" s="16">
        <f t="shared" ref="P37:P40" si="38">+J37</f>
        <v>320100</v>
      </c>
      <c r="Q37" s="16">
        <f t="shared" ref="Q37:Q40" si="39">+E37</f>
        <v>121200</v>
      </c>
      <c r="R37" s="230"/>
    </row>
    <row r="38" spans="2:18">
      <c r="B38" s="15">
        <f t="shared" si="32"/>
        <v>5</v>
      </c>
      <c r="C38" s="16">
        <v>1005</v>
      </c>
      <c r="D38" s="16" t="str">
        <f>+IFERROR(VLOOKUP(C38,DATA!$G$4:$H$2000,2,FALSE),"")</f>
        <v>Золжаргал</v>
      </c>
      <c r="E38" s="314">
        <v>121200</v>
      </c>
      <c r="F38" s="230">
        <f t="shared" si="33"/>
        <v>980000.01</v>
      </c>
      <c r="G38" s="230">
        <f>SUMIFS(JURNAL!G:G,JURNAL!E:E,E38,JURNAL!L:L,$C38,JURNAL!C:C,"&gt;="&amp;$M$31,JURNAL!C:C,"&lt;="&amp;$N$31)</f>
        <v>757182</v>
      </c>
      <c r="H38" s="19">
        <f>+SUMIFS(JURNAL!H:H,JURNAL!E:E,E38,JURNAL!L:L,$C38,JURNAL!C:C,"&gt;="&amp;$M$31,JURNAL!C:C,"&lt;="&amp;$N$31)</f>
        <v>757181.99844</v>
      </c>
      <c r="I38" s="18">
        <f t="shared" ref="I38:I40" si="40">+F38+G38-H38</f>
        <v>980000.01156000001</v>
      </c>
      <c r="J38" s="16">
        <v>320100</v>
      </c>
      <c r="K38" s="230">
        <f t="shared" si="34"/>
        <v>0</v>
      </c>
      <c r="L38" s="230">
        <f>SUMIFS(JURNAL!G:G,JURNAL!E:E,J38,JURNAL!L:L,$C38,JURNAL!C:C,"&gt;="&amp;$M$31,JURNAL!C:C,"&lt;="&amp;$N$31)</f>
        <v>0</v>
      </c>
      <c r="M38" s="317">
        <f>SUMIFS(JURNAL!H:H,JURNAL!E:E,J38,JURNAL!L:L,$C38,JURNAL!C:C,"&gt;="&amp;$M$31,JURNAL!C:C,"&lt;="&amp;$N$31)</f>
        <v>0</v>
      </c>
      <c r="N38" s="73">
        <f t="shared" si="30"/>
        <v>0</v>
      </c>
      <c r="O38" s="230">
        <f t="shared" si="37"/>
        <v>0</v>
      </c>
      <c r="P38" s="16">
        <f t="shared" si="38"/>
        <v>320100</v>
      </c>
      <c r="Q38" s="16">
        <f t="shared" si="39"/>
        <v>121200</v>
      </c>
      <c r="R38" s="230"/>
    </row>
    <row r="39" spans="2:18">
      <c r="B39" s="15">
        <f t="shared" si="32"/>
        <v>6</v>
      </c>
      <c r="C39" s="16">
        <v>1006</v>
      </c>
      <c r="D39" s="16" t="str">
        <f>+IFERROR(VLOOKUP(C39,DATA!$G$4:$H$2000,2,FALSE),"")</f>
        <v>Оюундэлгэр /нярав/</v>
      </c>
      <c r="E39" s="314">
        <v>121200</v>
      </c>
      <c r="F39" s="230">
        <f t="shared" si="33"/>
        <v>0</v>
      </c>
      <c r="G39" s="230">
        <f>SUMIFS(JURNAL!G:G,JURNAL!E:E,E39,JURNAL!L:L,$C39,JURNAL!C:C,"&gt;="&amp;$M$31,JURNAL!C:C,"&lt;="&amp;$N$31)</f>
        <v>0</v>
      </c>
      <c r="H39" s="19">
        <f>+SUMIFS(JURNAL!H:H,JURNAL!E:E,E39,JURNAL!L:L,$C39,JURNAL!C:C,"&gt;="&amp;$M$31,JURNAL!C:C,"&lt;="&amp;$N$31)</f>
        <v>0</v>
      </c>
      <c r="I39" s="18">
        <f t="shared" si="40"/>
        <v>0</v>
      </c>
      <c r="J39" s="16">
        <v>320100</v>
      </c>
      <c r="K39" s="230">
        <f t="shared" si="34"/>
        <v>0</v>
      </c>
      <c r="L39" s="230">
        <f>SUMIFS(JURNAL!G:G,JURNAL!E:E,J39,JURNAL!L:L,$C39,JURNAL!C:C,"&gt;="&amp;$M$31,JURNAL!C:C,"&lt;="&amp;$N$31)</f>
        <v>0</v>
      </c>
      <c r="M39" s="317">
        <f>SUMIFS(JURNAL!H:H,JURNAL!E:E,J39,JURNAL!L:L,$C39,JURNAL!C:C,"&gt;="&amp;$M$31,JURNAL!C:C,"&lt;="&amp;$N$31)</f>
        <v>0</v>
      </c>
      <c r="N39" s="73">
        <f t="shared" si="30"/>
        <v>0</v>
      </c>
      <c r="O39" s="230">
        <f t="shared" si="37"/>
        <v>0</v>
      </c>
      <c r="P39" s="16">
        <f t="shared" si="38"/>
        <v>320100</v>
      </c>
      <c r="Q39" s="16">
        <f t="shared" si="39"/>
        <v>121200</v>
      </c>
      <c r="R39" s="230"/>
    </row>
    <row r="40" spans="2:18">
      <c r="B40" s="15">
        <f t="shared" si="32"/>
        <v>7</v>
      </c>
      <c r="C40" s="16">
        <v>1007</v>
      </c>
      <c r="D40" s="878" t="str">
        <f>+IFERROR(VLOOKUP(C40,DATA!$G$4:$H$2000,2,FALSE),"")</f>
        <v xml:space="preserve">Нэргүй </v>
      </c>
      <c r="E40" s="314">
        <v>121200</v>
      </c>
      <c r="F40" s="230">
        <f t="shared" si="33"/>
        <v>0</v>
      </c>
      <c r="G40" s="230">
        <f>SUMIFS(JURNAL!G:G,JURNAL!E:E,E40,JURNAL!L:L,$C40,JURNAL!C:C,"&gt;="&amp;$M$31,JURNAL!C:C,"&lt;="&amp;$N$31)</f>
        <v>206000</v>
      </c>
      <c r="H40" s="19">
        <f>+SUMIFS(JURNAL!H:H,JURNAL!E:E,E40,JURNAL!L:L,$C40,JURNAL!C:C,"&gt;="&amp;$M$31,JURNAL!C:C,"&lt;="&amp;$N$31)</f>
        <v>205999.99970000001</v>
      </c>
      <c r="I40" s="18">
        <f t="shared" si="40"/>
        <v>2.9999998514540493E-4</v>
      </c>
      <c r="J40" s="16">
        <v>320100</v>
      </c>
      <c r="K40" s="230">
        <f t="shared" si="34"/>
        <v>0</v>
      </c>
      <c r="L40" s="230">
        <f>SUMIFS(JURNAL!G:G,JURNAL!E:E,J40,JURNAL!L:L,$C40,JURNAL!C:C,"&gt;="&amp;$M$31,JURNAL!C:C,"&lt;="&amp;$N$31)</f>
        <v>0</v>
      </c>
      <c r="M40" s="317">
        <f>SUMIFS(JURNAL!H:H,JURNAL!E:E,J40,JURNAL!L:L,$C40,JURNAL!C:C,"&gt;="&amp;$M$31,JURNAL!C:C,"&lt;="&amp;$N$31)</f>
        <v>0</v>
      </c>
      <c r="N40" s="73">
        <f t="shared" si="30"/>
        <v>0</v>
      </c>
      <c r="O40" s="230">
        <f t="shared" si="37"/>
        <v>0</v>
      </c>
      <c r="P40" s="16">
        <f t="shared" si="38"/>
        <v>320100</v>
      </c>
      <c r="Q40" s="16">
        <f t="shared" si="39"/>
        <v>121200</v>
      </c>
      <c r="R40" s="230"/>
    </row>
    <row r="41" spans="2:18">
      <c r="B41" s="15" t="str">
        <f t="shared" si="16"/>
        <v/>
      </c>
      <c r="C41" s="16" t="str">
        <f>IFERROR(VLOOKUP(DATA!#REF!,DATA!#REF!,1,FALSE),"")</f>
        <v/>
      </c>
      <c r="D41" s="16" t="str">
        <f>IFERROR(VLOOKUP(C41,DATA!#REF!,2,FALSE),"")</f>
        <v/>
      </c>
      <c r="I41" s="17"/>
      <c r="J41" s="17"/>
      <c r="P41" s="17"/>
      <c r="Q41" s="17"/>
    </row>
    <row r="42" spans="2:18">
      <c r="B42" s="15" t="str">
        <f t="shared" si="16"/>
        <v/>
      </c>
      <c r="C42" s="16" t="str">
        <f>IFERROR(VLOOKUP(DATA!#REF!,DATA!#REF!,1,FALSE),"")</f>
        <v/>
      </c>
      <c r="D42" s="16" t="str">
        <f>IFERROR(VLOOKUP(C42,DATA!#REF!,2,FALSE),"")</f>
        <v/>
      </c>
      <c r="I42" s="17"/>
      <c r="J42" s="17"/>
      <c r="P42" s="17"/>
      <c r="Q42" s="17"/>
    </row>
    <row r="43" spans="2:18">
      <c r="B43" s="15" t="str">
        <f t="shared" si="16"/>
        <v/>
      </c>
      <c r="C43" s="16" t="str">
        <f>IFERROR(VLOOKUP(DATA!#REF!,DATA!#REF!,1,FALSE),"")</f>
        <v/>
      </c>
      <c r="D43" s="16" t="str">
        <f>IFERROR(VLOOKUP(C43,DATA!#REF!,2,FALSE),"")</f>
        <v/>
      </c>
      <c r="I43" s="17"/>
      <c r="J43" s="17"/>
      <c r="P43" s="17"/>
      <c r="Q43" s="17"/>
    </row>
    <row r="44" spans="2:18">
      <c r="B44" s="77" t="s">
        <v>2765</v>
      </c>
      <c r="C44" s="77"/>
      <c r="D44" s="77"/>
      <c r="E44" s="310" t="s">
        <v>260</v>
      </c>
      <c r="F44" s="78">
        <f>SUM(F49:F54)</f>
        <v>980000.01</v>
      </c>
      <c r="G44" s="78">
        <f t="shared" ref="G44:I44" si="41">SUM(G49:G54)</f>
        <v>0</v>
      </c>
      <c r="H44" s="78">
        <f t="shared" si="41"/>
        <v>0</v>
      </c>
      <c r="I44" s="78">
        <f t="shared" si="41"/>
        <v>980000.01</v>
      </c>
      <c r="J44" s="77" t="s">
        <v>260</v>
      </c>
      <c r="K44" s="78">
        <f t="shared" ref="K44:M44" si="42">SUM(K49:K52)</f>
        <v>0</v>
      </c>
      <c r="L44" s="78">
        <f t="shared" si="42"/>
        <v>0</v>
      </c>
      <c r="M44" s="78">
        <f t="shared" si="42"/>
        <v>0</v>
      </c>
      <c r="N44" s="78">
        <f>SUM(N49:N52)</f>
        <v>0</v>
      </c>
      <c r="O44" s="78">
        <f>SUM(O49:O774)</f>
        <v>0</v>
      </c>
      <c r="P44" s="176"/>
    </row>
    <row r="45" spans="2:18">
      <c r="D45" s="230"/>
      <c r="E45" s="311" t="s">
        <v>1354</v>
      </c>
      <c r="F45" s="230">
        <f>+F17</f>
        <v>-3.7699999520555139E-3</v>
      </c>
      <c r="G45" s="230">
        <f>+STAT1!J26+STAT1!J27+STAT2!J26+STAT2!J27+STAT3!J26+STAT3!J27</f>
        <v>3100000</v>
      </c>
      <c r="H45" s="230">
        <f>+STAT1!K26+STAT1!K27+STAT2!K26+STAT2!K27+STAT3!K26+STAT3!K27</f>
        <v>0</v>
      </c>
      <c r="I45" s="18">
        <f>+STAT3!V46</f>
        <v>0</v>
      </c>
      <c r="J45" s="16" t="s">
        <v>1354</v>
      </c>
      <c r="K45" s="230">
        <f>+STAT1!I123</f>
        <v>0</v>
      </c>
      <c r="L45" s="230"/>
      <c r="M45" s="230"/>
      <c r="N45" s="230"/>
      <c r="O45" s="230"/>
    </row>
    <row r="46" spans="2:18">
      <c r="B46" s="15">
        <f>+COUNT(B49:B58)</f>
        <v>7</v>
      </c>
      <c r="D46" s="230"/>
      <c r="E46" s="284" t="s">
        <v>1362</v>
      </c>
      <c r="F46" s="230">
        <f>+F45-F44</f>
        <v>-980000.01376999996</v>
      </c>
      <c r="G46" s="230"/>
      <c r="H46" s="230"/>
      <c r="I46" s="230">
        <f>+I45-I44</f>
        <v>-980000.01</v>
      </c>
      <c r="K46" s="230">
        <f>+K45-K44</f>
        <v>0</v>
      </c>
      <c r="L46" s="108" t="s">
        <v>329</v>
      </c>
      <c r="M46" s="109">
        <v>42736</v>
      </c>
      <c r="N46" s="109">
        <v>43100</v>
      </c>
      <c r="O46" s="230"/>
    </row>
    <row r="47" spans="2:18">
      <c r="B47" s="57" t="s">
        <v>1</v>
      </c>
      <c r="C47" s="58" t="s">
        <v>0</v>
      </c>
      <c r="D47" s="59" t="s">
        <v>302</v>
      </c>
      <c r="E47" s="312" t="s">
        <v>299</v>
      </c>
      <c r="F47" s="913" t="s">
        <v>41</v>
      </c>
      <c r="G47" s="913"/>
      <c r="H47" s="913"/>
      <c r="I47" s="913"/>
      <c r="J47" s="58" t="s">
        <v>299</v>
      </c>
      <c r="K47" s="913" t="s">
        <v>42</v>
      </c>
      <c r="L47" s="913"/>
      <c r="M47" s="913"/>
      <c r="N47" s="913"/>
      <c r="O47" s="85" t="s">
        <v>327</v>
      </c>
      <c r="P47" s="177"/>
    </row>
    <row r="48" spans="2:18">
      <c r="B48" s="57"/>
      <c r="C48" s="58"/>
      <c r="D48" s="59"/>
      <c r="E48" s="313" t="s">
        <v>300</v>
      </c>
      <c r="F48" s="60" t="s">
        <v>40</v>
      </c>
      <c r="G48" s="60" t="s">
        <v>3</v>
      </c>
      <c r="H48" s="60" t="s">
        <v>4</v>
      </c>
      <c r="I48" s="76" t="s">
        <v>301</v>
      </c>
      <c r="J48" s="75" t="s">
        <v>300</v>
      </c>
      <c r="K48" s="60" t="s">
        <v>40</v>
      </c>
      <c r="L48" s="60" t="s">
        <v>3</v>
      </c>
      <c r="M48" s="60" t="s">
        <v>4</v>
      </c>
      <c r="N48" s="76" t="s">
        <v>301</v>
      </c>
      <c r="O48" s="770" t="s">
        <v>328</v>
      </c>
      <c r="P48" s="138" t="s">
        <v>261</v>
      </c>
      <c r="Q48" s="16" t="s">
        <v>262</v>
      </c>
    </row>
    <row r="49" spans="2:17">
      <c r="B49" s="15">
        <f>+IF(C49="","",ROW()-48)</f>
        <v>1</v>
      </c>
      <c r="C49" s="16">
        <v>1001</v>
      </c>
      <c r="D49" s="16" t="str">
        <f>+IFERROR(VLOOKUP(C49,DATA!$G$4:$H$2000,2,FALSE),"")</f>
        <v xml:space="preserve">Энхбат </v>
      </c>
      <c r="E49" s="314">
        <v>121200</v>
      </c>
      <c r="F49" s="230">
        <f>+F21</f>
        <v>0</v>
      </c>
      <c r="G49" s="230">
        <f>SUMIFS(JURNAL!G:G,JURNAL!E:E,E49,JURNAL!L:L,$C49,JURNAL!C:C,"&gt;="&amp;$M$49,JURNAL!C:C,"&lt;="&amp;$N$49)</f>
        <v>0</v>
      </c>
      <c r="H49" s="19">
        <f>+SUMIFS(JURNAL!H:H,JURNAL!E:E,E49,JURNAL!L:L,$C49,JURNAL!C:C,"&gt;="&amp;$M$49,JURNAL!C:C,"&lt;="&amp;$N$49)</f>
        <v>0</v>
      </c>
      <c r="I49" s="18">
        <f>+F49+G49-H49</f>
        <v>0</v>
      </c>
      <c r="J49" s="16">
        <v>320100</v>
      </c>
      <c r="K49" s="230">
        <f>+K21</f>
        <v>0</v>
      </c>
      <c r="L49" s="230">
        <f>SUMIFS(JURNAL!G:G,JURNAL!E:E,J49,JURNAL!L:L,$C49,JURNAL!C:C,"&gt;="&amp;$M$31,JURNAL!C:C,"&lt;="&amp;$N$31)</f>
        <v>0</v>
      </c>
      <c r="M49" s="317">
        <f>SUMIFS(JURNAL!H:H,JURNAL!E:E,J49,JURNAL!L:L,$C49,JURNAL!C:C,"&gt;="&amp;$M$31,JURNAL!C:C,"&lt;="&amp;$N$31)</f>
        <v>0</v>
      </c>
      <c r="N49" s="73">
        <f t="shared" ref="N49:N55" si="43">+K49+M49-L49</f>
        <v>0</v>
      </c>
      <c r="O49" s="230">
        <f t="shared" ref="O49:O55" si="44">+IF(I49&lt;N49,I49,N49)</f>
        <v>0</v>
      </c>
      <c r="P49" s="16">
        <f>+J49</f>
        <v>320100</v>
      </c>
      <c r="Q49" s="16">
        <f>+E49</f>
        <v>121200</v>
      </c>
    </row>
    <row r="50" spans="2:17">
      <c r="B50" s="15">
        <f t="shared" ref="B50:B55" si="45">+IF(C50="","",ROW()-48)</f>
        <v>2</v>
      </c>
      <c r="C50" s="16">
        <v>1002</v>
      </c>
      <c r="D50" s="16" t="str">
        <f>+IFERROR(VLOOKUP(C50,DATA!$G$4:$H$2000,2,FALSE),"")</f>
        <v>Бурмаа</v>
      </c>
      <c r="E50" s="314">
        <v>121200</v>
      </c>
      <c r="F50" s="230">
        <f t="shared" ref="F50:F55" si="46">+F22</f>
        <v>0</v>
      </c>
      <c r="G50" s="230">
        <f>SUMIFS(JURNAL!G:G,JURNAL!E:E,E50,JURNAL!L:L,$C50,JURNAL!C:C,"&gt;="&amp;$M$49,JURNAL!C:C,"&lt;="&amp;$N$49)</f>
        <v>0</v>
      </c>
      <c r="H50" s="19">
        <f>+SUMIFS(JURNAL!H:H,JURNAL!E:E,E50,JURNAL!L:L,$C50,JURNAL!C:C,"&gt;="&amp;$M$49,JURNAL!C:C,"&lt;="&amp;$N$49)</f>
        <v>0</v>
      </c>
      <c r="I50" s="18">
        <f>+F50+G50-H50</f>
        <v>0</v>
      </c>
      <c r="J50" s="16">
        <v>320100</v>
      </c>
      <c r="K50" s="230">
        <f t="shared" ref="K50:K55" si="47">+K22</f>
        <v>0</v>
      </c>
      <c r="L50" s="230">
        <f>SUMIFS(JURNAL!G:G,JURNAL!E:E,J50,JURNAL!L:L,$C50,JURNAL!C:C,"&gt;="&amp;$M$31,JURNAL!C:C,"&lt;="&amp;$N$31)</f>
        <v>0</v>
      </c>
      <c r="M50" s="317">
        <f>SUMIFS(JURNAL!H:H,JURNAL!E:E,J50,JURNAL!L:L,$C50,JURNAL!C:C,"&gt;="&amp;$M$31,JURNAL!C:C,"&lt;="&amp;$N$31)</f>
        <v>0</v>
      </c>
      <c r="N50" s="73">
        <f t="shared" si="43"/>
        <v>0</v>
      </c>
      <c r="O50" s="230">
        <f t="shared" si="44"/>
        <v>0</v>
      </c>
      <c r="P50" s="16">
        <f t="shared" ref="P50:P55" si="48">+J50</f>
        <v>320100</v>
      </c>
      <c r="Q50" s="16">
        <f t="shared" ref="Q50:Q55" si="49">+E50</f>
        <v>121200</v>
      </c>
    </row>
    <row r="51" spans="2:17">
      <c r="B51" s="15">
        <f t="shared" si="45"/>
        <v>3</v>
      </c>
      <c r="C51" s="16">
        <v>1003</v>
      </c>
      <c r="D51" s="16" t="str">
        <f>+IFERROR(VLOOKUP(C51,DATA!$G$4:$H$2000,2,FALSE),"")</f>
        <v>Бахдамдэмбэрэл</v>
      </c>
      <c r="E51" s="314">
        <v>121200</v>
      </c>
      <c r="F51" s="230">
        <f t="shared" si="46"/>
        <v>0</v>
      </c>
      <c r="G51" s="230">
        <f>SUMIFS(JURNAL!G:G,JURNAL!E:E,E51,JURNAL!L:L,$C51,JURNAL!C:C,"&gt;="&amp;$M$49,JURNAL!C:C,"&lt;="&amp;$N$49)</f>
        <v>0</v>
      </c>
      <c r="H51" s="19">
        <f>+SUMIFS(JURNAL!H:H,JURNAL!E:E,E51,JURNAL!L:L,$C51,JURNAL!C:C,"&gt;="&amp;$M$49,JURNAL!C:C,"&lt;="&amp;$N$49)</f>
        <v>0</v>
      </c>
      <c r="I51" s="18">
        <f>+F51+G51-H51</f>
        <v>0</v>
      </c>
      <c r="J51" s="16">
        <v>320100</v>
      </c>
      <c r="K51" s="230">
        <f t="shared" si="47"/>
        <v>0</v>
      </c>
      <c r="L51" s="230">
        <f>SUMIFS(JURNAL!G:G,JURNAL!E:E,J51,JURNAL!L:L,$C51,JURNAL!C:C,"&gt;="&amp;$M$31,JURNAL!C:C,"&lt;="&amp;$N$31)</f>
        <v>0</v>
      </c>
      <c r="M51" s="317">
        <f>SUMIFS(JURNAL!H:H,JURNAL!E:E,J51,JURNAL!L:L,$C51,JURNAL!C:C,"&gt;="&amp;$M$31,JURNAL!C:C,"&lt;="&amp;$N$31)</f>
        <v>0</v>
      </c>
      <c r="N51" s="73">
        <f t="shared" si="43"/>
        <v>0</v>
      </c>
      <c r="O51" s="230">
        <f t="shared" si="44"/>
        <v>0</v>
      </c>
      <c r="P51" s="16">
        <f t="shared" si="48"/>
        <v>320100</v>
      </c>
      <c r="Q51" s="16">
        <f t="shared" si="49"/>
        <v>121200</v>
      </c>
    </row>
    <row r="52" spans="2:17">
      <c r="B52" s="15">
        <f t="shared" si="45"/>
        <v>4</v>
      </c>
      <c r="C52" s="16">
        <v>1004</v>
      </c>
      <c r="D52" s="16" t="str">
        <f>+IFERROR(VLOOKUP(C52,DATA!$G$4:$H$2000,2,FALSE),"")</f>
        <v xml:space="preserve">Түмэндэлгэр </v>
      </c>
      <c r="E52" s="314">
        <v>121200</v>
      </c>
      <c r="F52" s="230">
        <f t="shared" si="46"/>
        <v>980000.01</v>
      </c>
      <c r="G52" s="230">
        <f>SUMIFS(JURNAL!G:G,JURNAL!E:E,E52,JURNAL!L:L,$C52,JURNAL!C:C,"&gt;="&amp;$M$49,JURNAL!C:C,"&lt;="&amp;$N$49)</f>
        <v>0</v>
      </c>
      <c r="H52" s="19">
        <f>+SUMIFS(JURNAL!H:H,JURNAL!E:E,E52,JURNAL!L:L,$C52,JURNAL!C:C,"&gt;="&amp;$M$49,JURNAL!C:C,"&lt;="&amp;$N$49)</f>
        <v>0</v>
      </c>
      <c r="I52" s="18">
        <f>+F52+G52-H52</f>
        <v>980000.01</v>
      </c>
      <c r="J52" s="16">
        <v>320100</v>
      </c>
      <c r="K52" s="230">
        <f t="shared" si="47"/>
        <v>0</v>
      </c>
      <c r="L52" s="230">
        <f>SUMIFS(JURNAL!G:G,JURNAL!E:E,J52,JURNAL!L:L,$C52,JURNAL!C:C,"&gt;="&amp;$M$31,JURNAL!C:C,"&lt;="&amp;$N$31)</f>
        <v>0</v>
      </c>
      <c r="M52" s="317">
        <f>SUMIFS(JURNAL!H:H,JURNAL!E:E,J52,JURNAL!L:L,$C52,JURNAL!C:C,"&gt;="&amp;$M$31,JURNAL!C:C,"&lt;="&amp;$N$31)</f>
        <v>0</v>
      </c>
      <c r="N52" s="73">
        <f t="shared" si="43"/>
        <v>0</v>
      </c>
      <c r="O52" s="230">
        <f t="shared" si="44"/>
        <v>0</v>
      </c>
      <c r="P52" s="16">
        <f t="shared" si="48"/>
        <v>320100</v>
      </c>
      <c r="Q52" s="16">
        <f t="shared" si="49"/>
        <v>121200</v>
      </c>
    </row>
    <row r="53" spans="2:17">
      <c r="B53" s="15">
        <f t="shared" si="45"/>
        <v>5</v>
      </c>
      <c r="C53" s="16">
        <v>1005</v>
      </c>
      <c r="D53" s="16" t="str">
        <f>+IFERROR(VLOOKUP(C53,DATA!$G$4:$H$2000,2,FALSE),"")</f>
        <v>Золжаргал</v>
      </c>
      <c r="E53" s="314">
        <v>121200</v>
      </c>
      <c r="F53" s="230">
        <f t="shared" si="46"/>
        <v>0</v>
      </c>
      <c r="G53" s="230">
        <f>SUMIFS(JURNAL!G:G,JURNAL!E:E,E53,JURNAL!L:L,$C53,JURNAL!C:C,"&gt;="&amp;$M$49,JURNAL!C:C,"&lt;="&amp;$N$49)</f>
        <v>0</v>
      </c>
      <c r="H53" s="19">
        <f>+SUMIFS(JURNAL!H:H,JURNAL!E:E,E53,JURNAL!L:L,$C53,JURNAL!C:C,"&gt;="&amp;$M$49,JURNAL!C:C,"&lt;="&amp;$N$49)</f>
        <v>0</v>
      </c>
      <c r="I53" s="18">
        <f t="shared" ref="I53:I55" si="50">+F53+G53-H53</f>
        <v>0</v>
      </c>
      <c r="J53" s="16">
        <v>320100</v>
      </c>
      <c r="K53" s="230">
        <f t="shared" si="47"/>
        <v>0</v>
      </c>
      <c r="L53" s="230">
        <f>SUMIFS(JURNAL!G:G,JURNAL!E:E,J53,JURNAL!L:L,$C53,JURNAL!C:C,"&gt;="&amp;$M$31,JURNAL!C:C,"&lt;="&amp;$N$31)</f>
        <v>0</v>
      </c>
      <c r="M53" s="317">
        <f>SUMIFS(JURNAL!H:H,JURNAL!E:E,J53,JURNAL!L:L,$C53,JURNAL!C:C,"&gt;="&amp;$M$31,JURNAL!C:C,"&lt;="&amp;$N$31)</f>
        <v>0</v>
      </c>
      <c r="N53" s="73">
        <f t="shared" si="43"/>
        <v>0</v>
      </c>
      <c r="O53" s="230">
        <f t="shared" si="44"/>
        <v>0</v>
      </c>
      <c r="P53" s="16">
        <f t="shared" si="48"/>
        <v>320100</v>
      </c>
      <c r="Q53" s="16">
        <f t="shared" si="49"/>
        <v>121200</v>
      </c>
    </row>
    <row r="54" spans="2:17">
      <c r="B54" s="15">
        <f t="shared" si="45"/>
        <v>6</v>
      </c>
      <c r="C54" s="16">
        <v>1006</v>
      </c>
      <c r="D54" s="16" t="str">
        <f>+IFERROR(VLOOKUP(C54,DATA!$G$4:$H$2000,2,FALSE),"")</f>
        <v>Оюундэлгэр /нярав/</v>
      </c>
      <c r="E54" s="314">
        <v>121200</v>
      </c>
      <c r="F54" s="230">
        <f t="shared" si="46"/>
        <v>0</v>
      </c>
      <c r="G54" s="230">
        <f>SUMIFS(JURNAL!G:G,JURNAL!E:E,E54,JURNAL!L:L,$C54,JURNAL!C:C,"&gt;="&amp;$M$49,JURNAL!C:C,"&lt;="&amp;$N$49)</f>
        <v>0</v>
      </c>
      <c r="H54" s="19">
        <f>+SUMIFS(JURNAL!H:H,JURNAL!E:E,E54,JURNAL!L:L,$C54,JURNAL!C:C,"&gt;="&amp;$M$49,JURNAL!C:C,"&lt;="&amp;$N$49)</f>
        <v>0</v>
      </c>
      <c r="I54" s="18">
        <f t="shared" si="50"/>
        <v>0</v>
      </c>
      <c r="J54" s="16">
        <v>320100</v>
      </c>
      <c r="K54" s="230">
        <f t="shared" si="47"/>
        <v>0</v>
      </c>
      <c r="L54" s="230">
        <f>SUMIFS(JURNAL!G:G,JURNAL!E:E,J54,JURNAL!L:L,$C54,JURNAL!C:C,"&gt;="&amp;$M$31,JURNAL!C:C,"&lt;="&amp;$N$31)</f>
        <v>0</v>
      </c>
      <c r="M54" s="317">
        <f>SUMIFS(JURNAL!H:H,JURNAL!E:E,J54,JURNAL!L:L,$C54,JURNAL!C:C,"&gt;="&amp;$M$31,JURNAL!C:C,"&lt;="&amp;$N$31)</f>
        <v>0</v>
      </c>
      <c r="N54" s="73">
        <f t="shared" si="43"/>
        <v>0</v>
      </c>
      <c r="O54" s="230">
        <f t="shared" si="44"/>
        <v>0</v>
      </c>
      <c r="P54" s="16">
        <f t="shared" si="48"/>
        <v>320100</v>
      </c>
      <c r="Q54" s="16">
        <f t="shared" si="49"/>
        <v>121200</v>
      </c>
    </row>
    <row r="55" spans="2:17">
      <c r="B55" s="15">
        <f t="shared" si="45"/>
        <v>7</v>
      </c>
      <c r="C55" s="16">
        <v>1007</v>
      </c>
      <c r="D55" s="878" t="str">
        <f>+IFERROR(VLOOKUP(C55,DATA!$G$4:$H$2000,2,FALSE),"")</f>
        <v xml:space="preserve">Нэргүй </v>
      </c>
      <c r="E55" s="314">
        <v>121200</v>
      </c>
      <c r="F55" s="230">
        <f t="shared" si="46"/>
        <v>0</v>
      </c>
      <c r="G55" s="230">
        <f>SUMIFS(JURNAL!G:G,JURNAL!E:E,E55,JURNAL!L:L,$C55,JURNAL!C:C,"&gt;="&amp;$M$49,JURNAL!C:C,"&lt;="&amp;$N$49)</f>
        <v>0</v>
      </c>
      <c r="H55" s="19">
        <f>+SUMIFS(JURNAL!H:H,JURNAL!E:E,E55,JURNAL!L:L,$C55,JURNAL!C:C,"&gt;="&amp;$M$49,JURNAL!C:C,"&lt;="&amp;$N$49)</f>
        <v>0</v>
      </c>
      <c r="I55" s="18">
        <f t="shared" si="50"/>
        <v>0</v>
      </c>
      <c r="J55" s="16">
        <v>320100</v>
      </c>
      <c r="K55" s="230">
        <f t="shared" si="47"/>
        <v>0</v>
      </c>
      <c r="L55" s="230">
        <f>SUMIFS(JURNAL!G:G,JURNAL!E:E,J55,JURNAL!L:L,$C55,JURNAL!C:C,"&gt;="&amp;$M$31,JURNAL!C:C,"&lt;="&amp;$N$31)</f>
        <v>0</v>
      </c>
      <c r="M55" s="317">
        <f>SUMIFS(JURNAL!H:H,JURNAL!E:E,J55,JURNAL!L:L,$C55,JURNAL!C:C,"&gt;="&amp;$M$31,JURNAL!C:C,"&lt;="&amp;$N$31)</f>
        <v>0</v>
      </c>
      <c r="N55" s="73">
        <f t="shared" si="43"/>
        <v>0</v>
      </c>
      <c r="O55" s="230">
        <f t="shared" si="44"/>
        <v>0</v>
      </c>
      <c r="P55" s="16">
        <f t="shared" si="48"/>
        <v>320100</v>
      </c>
      <c r="Q55" s="16">
        <f t="shared" si="49"/>
        <v>121200</v>
      </c>
    </row>
    <row r="56" spans="2:17">
      <c r="B56" s="15" t="str">
        <f t="shared" ref="B56:B118" si="51">+IF(C56="","",ROW()-5)</f>
        <v/>
      </c>
      <c r="C56" s="16" t="str">
        <f>IFERROR(VLOOKUP(DATA!#REF!,DATA!#REF!,1,FALSE),"")</f>
        <v/>
      </c>
      <c r="D56" s="16" t="str">
        <f>IFERROR(VLOOKUP(C56,DATA!#REF!,2,FALSE),"")</f>
        <v/>
      </c>
      <c r="I56" s="17"/>
      <c r="J56" s="17"/>
      <c r="P56" s="17"/>
      <c r="Q56" s="17"/>
    </row>
    <row r="57" spans="2:17">
      <c r="B57" s="15" t="str">
        <f t="shared" si="51"/>
        <v/>
      </c>
      <c r="C57" s="16" t="str">
        <f>IFERROR(VLOOKUP(DATA!#REF!,DATA!#REF!,1,FALSE),"")</f>
        <v/>
      </c>
      <c r="D57" s="16" t="str">
        <f>IFERROR(VLOOKUP(C57,DATA!#REF!,2,FALSE),"")</f>
        <v/>
      </c>
      <c r="I57" s="17"/>
      <c r="J57" s="17"/>
      <c r="P57" s="17"/>
      <c r="Q57" s="17"/>
    </row>
    <row r="58" spans="2:17">
      <c r="B58" s="15" t="str">
        <f t="shared" si="51"/>
        <v/>
      </c>
      <c r="C58" s="16" t="str">
        <f>IFERROR(VLOOKUP(DATA!#REF!,DATA!#REF!,1,FALSE),"")</f>
        <v/>
      </c>
      <c r="D58" s="16" t="str">
        <f>IFERROR(VLOOKUP(C58,DATA!#REF!,2,FALSE),"")</f>
        <v/>
      </c>
      <c r="I58" s="17"/>
      <c r="J58" s="17"/>
      <c r="P58" s="17"/>
      <c r="Q58" s="17"/>
    </row>
    <row r="59" spans="2:17">
      <c r="B59" s="15" t="str">
        <f t="shared" si="51"/>
        <v/>
      </c>
      <c r="C59" s="16" t="str">
        <f>IFERROR(VLOOKUP(DATA!#REF!,DATA!#REF!,1,FALSE),"")</f>
        <v/>
      </c>
      <c r="D59" s="16" t="str">
        <f>IFERROR(VLOOKUP(C59,DATA!#REF!,2,FALSE),"")</f>
        <v/>
      </c>
      <c r="I59" s="17"/>
      <c r="J59" s="17"/>
      <c r="P59" s="17"/>
      <c r="Q59" s="17"/>
    </row>
    <row r="60" spans="2:17">
      <c r="B60" s="15" t="str">
        <f t="shared" si="51"/>
        <v/>
      </c>
      <c r="C60" s="16" t="str">
        <f>IFERROR(VLOOKUP(DATA!#REF!,DATA!#REF!,1,FALSE),"")</f>
        <v/>
      </c>
      <c r="D60" s="16" t="str">
        <f>IFERROR(VLOOKUP(C60,DATA!#REF!,2,FALSE),"")</f>
        <v/>
      </c>
      <c r="I60" s="17"/>
      <c r="J60" s="17"/>
      <c r="P60" s="17"/>
      <c r="Q60" s="17"/>
    </row>
    <row r="61" spans="2:17">
      <c r="B61" s="15" t="str">
        <f t="shared" si="51"/>
        <v/>
      </c>
      <c r="C61" s="16" t="str">
        <f>IFERROR(VLOOKUP(DATA!#REF!,DATA!#REF!,1,FALSE),"")</f>
        <v/>
      </c>
      <c r="D61" s="16" t="str">
        <f>IFERROR(VLOOKUP(C61,DATA!#REF!,2,FALSE),"")</f>
        <v/>
      </c>
      <c r="I61" s="17"/>
      <c r="J61" s="17"/>
      <c r="P61" s="17"/>
      <c r="Q61" s="17"/>
    </row>
    <row r="62" spans="2:17">
      <c r="B62" s="15" t="str">
        <f t="shared" si="51"/>
        <v/>
      </c>
      <c r="C62" s="16" t="str">
        <f>IFERROR(VLOOKUP(DATA!#REF!,DATA!#REF!,1,FALSE),"")</f>
        <v/>
      </c>
      <c r="D62" s="16" t="str">
        <f>IFERROR(VLOOKUP(C62,DATA!#REF!,2,FALSE),"")</f>
        <v/>
      </c>
      <c r="I62" s="17"/>
      <c r="J62" s="17"/>
      <c r="P62" s="17"/>
      <c r="Q62" s="17"/>
    </row>
    <row r="63" spans="2:17">
      <c r="B63" s="15" t="str">
        <f t="shared" si="51"/>
        <v/>
      </c>
      <c r="C63" s="16" t="str">
        <f>IFERROR(VLOOKUP(DATA!#REF!,DATA!#REF!,1,FALSE),"")</f>
        <v/>
      </c>
      <c r="D63" s="16" t="str">
        <f>IFERROR(VLOOKUP(C63,DATA!#REF!,2,FALSE),"")</f>
        <v/>
      </c>
      <c r="I63" s="17"/>
      <c r="J63" s="17"/>
      <c r="P63" s="17"/>
      <c r="Q63" s="17"/>
    </row>
    <row r="64" spans="2:17">
      <c r="B64" s="15" t="str">
        <f t="shared" si="51"/>
        <v/>
      </c>
      <c r="C64" s="16" t="str">
        <f>IFERROR(VLOOKUP(DATA!#REF!,DATA!#REF!,1,FALSE),"")</f>
        <v/>
      </c>
      <c r="D64" s="16" t="str">
        <f>IFERROR(VLOOKUP(C64,DATA!#REF!,2,FALSE),"")</f>
        <v/>
      </c>
      <c r="I64" s="17"/>
      <c r="J64" s="17"/>
      <c r="P64" s="17"/>
      <c r="Q64" s="17"/>
    </row>
    <row r="65" spans="2:17">
      <c r="B65" s="15" t="str">
        <f t="shared" si="51"/>
        <v/>
      </c>
      <c r="C65" s="16" t="str">
        <f>IFERROR(VLOOKUP(DATA!#REF!,DATA!#REF!,1,FALSE),"")</f>
        <v/>
      </c>
      <c r="D65" s="16" t="str">
        <f>IFERROR(VLOOKUP(C65,DATA!#REF!,2,FALSE),"")</f>
        <v/>
      </c>
      <c r="I65" s="17"/>
      <c r="J65" s="17"/>
      <c r="P65" s="17"/>
      <c r="Q65" s="17"/>
    </row>
    <row r="66" spans="2:17">
      <c r="B66" s="15" t="str">
        <f t="shared" si="51"/>
        <v/>
      </c>
      <c r="C66" s="16" t="str">
        <f>IFERROR(VLOOKUP(DATA!#REF!,DATA!#REF!,1,FALSE),"")</f>
        <v/>
      </c>
      <c r="D66" s="16" t="str">
        <f>IFERROR(VLOOKUP(C66,DATA!#REF!,2,FALSE),"")</f>
        <v/>
      </c>
      <c r="I66" s="17"/>
      <c r="J66" s="17"/>
      <c r="P66" s="17"/>
      <c r="Q66" s="17"/>
    </row>
    <row r="67" spans="2:17">
      <c r="B67" s="15" t="str">
        <f t="shared" si="51"/>
        <v/>
      </c>
      <c r="C67" s="16" t="str">
        <f>IFERROR(VLOOKUP(DATA!#REF!,DATA!#REF!,1,FALSE),"")</f>
        <v/>
      </c>
      <c r="D67" s="16" t="str">
        <f>IFERROR(VLOOKUP(C67,DATA!#REF!,2,FALSE),"")</f>
        <v/>
      </c>
      <c r="I67" s="17"/>
      <c r="J67" s="17"/>
      <c r="P67" s="17"/>
      <c r="Q67" s="17"/>
    </row>
    <row r="68" spans="2:17">
      <c r="B68" s="15" t="str">
        <f t="shared" si="51"/>
        <v/>
      </c>
      <c r="C68" s="16" t="str">
        <f>IFERROR(VLOOKUP(DATA!#REF!,DATA!#REF!,1,FALSE),"")</f>
        <v/>
      </c>
      <c r="D68" s="16" t="str">
        <f>IFERROR(VLOOKUP(C68,DATA!#REF!,2,FALSE),"")</f>
        <v/>
      </c>
      <c r="I68" s="17"/>
      <c r="J68" s="17"/>
      <c r="P68" s="17"/>
      <c r="Q68" s="17"/>
    </row>
    <row r="69" spans="2:17">
      <c r="B69" s="15" t="str">
        <f t="shared" si="51"/>
        <v/>
      </c>
      <c r="C69" s="16" t="str">
        <f>IFERROR(VLOOKUP(DATA!#REF!,DATA!#REF!,1,FALSE),"")</f>
        <v/>
      </c>
      <c r="D69" s="16" t="str">
        <f>IFERROR(VLOOKUP(C69,DATA!#REF!,2,FALSE),"")</f>
        <v/>
      </c>
      <c r="I69" s="17"/>
      <c r="J69" s="17"/>
      <c r="P69" s="17"/>
      <c r="Q69" s="17"/>
    </row>
    <row r="70" spans="2:17">
      <c r="B70" s="15" t="str">
        <f t="shared" si="51"/>
        <v/>
      </c>
      <c r="C70" s="16" t="str">
        <f>IFERROR(VLOOKUP(DATA!#REF!,DATA!#REF!,1,FALSE),"")</f>
        <v/>
      </c>
      <c r="D70" s="16" t="str">
        <f>IFERROR(VLOOKUP(C70,DATA!#REF!,2,FALSE),"")</f>
        <v/>
      </c>
      <c r="I70" s="17"/>
      <c r="J70" s="17"/>
      <c r="P70" s="17"/>
      <c r="Q70" s="17"/>
    </row>
    <row r="71" spans="2:17">
      <c r="B71" s="15" t="str">
        <f t="shared" si="51"/>
        <v/>
      </c>
      <c r="C71" s="16" t="str">
        <f>IFERROR(VLOOKUP(DATA!#REF!,DATA!#REF!,1,FALSE),"")</f>
        <v/>
      </c>
      <c r="D71" s="16" t="str">
        <f>IFERROR(VLOOKUP(C71,DATA!#REF!,2,FALSE),"")</f>
        <v/>
      </c>
      <c r="I71" s="17"/>
      <c r="J71" s="17"/>
      <c r="P71" s="17"/>
      <c r="Q71" s="17"/>
    </row>
    <row r="72" spans="2:17">
      <c r="B72" s="15" t="str">
        <f t="shared" si="51"/>
        <v/>
      </c>
      <c r="C72" s="16" t="str">
        <f>IFERROR(VLOOKUP(DATA!#REF!,DATA!#REF!,1,FALSE),"")</f>
        <v/>
      </c>
      <c r="D72" s="16" t="str">
        <f>IFERROR(VLOOKUP(C72,DATA!#REF!,2,FALSE),"")</f>
        <v/>
      </c>
      <c r="I72" s="17"/>
      <c r="J72" s="17"/>
      <c r="P72" s="17"/>
      <c r="Q72" s="17"/>
    </row>
    <row r="73" spans="2:17">
      <c r="B73" s="15" t="str">
        <f t="shared" si="51"/>
        <v/>
      </c>
      <c r="C73" s="16" t="str">
        <f>IFERROR(VLOOKUP(DATA!#REF!,DATA!#REF!,1,FALSE),"")</f>
        <v/>
      </c>
      <c r="D73" s="16" t="str">
        <f>IFERROR(VLOOKUP(C73,DATA!#REF!,2,FALSE),"")</f>
        <v/>
      </c>
      <c r="I73" s="17"/>
      <c r="J73" s="17"/>
      <c r="P73" s="17"/>
      <c r="Q73" s="17"/>
    </row>
    <row r="74" spans="2:17">
      <c r="B74" s="15" t="str">
        <f t="shared" si="51"/>
        <v/>
      </c>
      <c r="C74" s="16" t="str">
        <f>IFERROR(VLOOKUP(DATA!#REF!,DATA!#REF!,1,FALSE),"")</f>
        <v/>
      </c>
      <c r="D74" s="16" t="str">
        <f>IFERROR(VLOOKUP(C74,DATA!#REF!,2,FALSE),"")</f>
        <v/>
      </c>
      <c r="I74" s="17"/>
      <c r="J74" s="17"/>
      <c r="P74" s="17"/>
      <c r="Q74" s="17"/>
    </row>
    <row r="75" spans="2:17">
      <c r="B75" s="15" t="str">
        <f t="shared" si="51"/>
        <v/>
      </c>
      <c r="C75" s="16" t="str">
        <f>IFERROR(VLOOKUP(DATA!#REF!,DATA!#REF!,1,FALSE),"")</f>
        <v/>
      </c>
      <c r="D75" s="16" t="str">
        <f>IFERROR(VLOOKUP(C75,DATA!#REF!,2,FALSE),"")</f>
        <v/>
      </c>
      <c r="I75" s="17"/>
      <c r="J75" s="17"/>
      <c r="P75" s="17"/>
      <c r="Q75" s="17"/>
    </row>
    <row r="76" spans="2:17">
      <c r="B76" s="15" t="str">
        <f t="shared" si="51"/>
        <v/>
      </c>
      <c r="C76" s="16" t="str">
        <f>IFERROR(VLOOKUP(DATA!#REF!,DATA!#REF!,1,FALSE),"")</f>
        <v/>
      </c>
      <c r="D76" s="16" t="str">
        <f>IFERROR(VLOOKUP(C76,DATA!#REF!,2,FALSE),"")</f>
        <v/>
      </c>
      <c r="I76" s="17"/>
      <c r="J76" s="17"/>
      <c r="P76" s="17"/>
      <c r="Q76" s="17"/>
    </row>
    <row r="77" spans="2:17">
      <c r="B77" s="15" t="str">
        <f t="shared" si="51"/>
        <v/>
      </c>
      <c r="C77" s="16" t="str">
        <f>IFERROR(VLOOKUP(DATA!#REF!,DATA!#REF!,1,FALSE),"")</f>
        <v/>
      </c>
      <c r="D77" s="16" t="str">
        <f>IFERROR(VLOOKUP(C77,DATA!#REF!,2,FALSE),"")</f>
        <v/>
      </c>
      <c r="I77" s="17"/>
      <c r="J77" s="17"/>
      <c r="P77" s="17"/>
      <c r="Q77" s="17"/>
    </row>
    <row r="78" spans="2:17">
      <c r="B78" s="15" t="str">
        <f t="shared" si="51"/>
        <v/>
      </c>
      <c r="C78" s="16" t="str">
        <f>IFERROR(VLOOKUP(DATA!#REF!,DATA!#REF!,1,FALSE),"")</f>
        <v/>
      </c>
      <c r="D78" s="16" t="str">
        <f>IFERROR(VLOOKUP(C78,DATA!#REF!,2,FALSE),"")</f>
        <v/>
      </c>
      <c r="I78" s="17"/>
      <c r="J78" s="17"/>
      <c r="P78" s="17"/>
      <c r="Q78" s="17"/>
    </row>
    <row r="79" spans="2:17">
      <c r="B79" s="15" t="str">
        <f t="shared" si="51"/>
        <v/>
      </c>
      <c r="C79" s="16" t="str">
        <f>IFERROR(VLOOKUP(DATA!#REF!,DATA!#REF!,1,FALSE),"")</f>
        <v/>
      </c>
      <c r="D79" s="16" t="str">
        <f>IFERROR(VLOOKUP(C79,DATA!#REF!,2,FALSE),"")</f>
        <v/>
      </c>
      <c r="I79" s="17"/>
      <c r="J79" s="17"/>
      <c r="P79" s="17"/>
      <c r="Q79" s="17"/>
    </row>
    <row r="80" spans="2:17">
      <c r="B80" s="15" t="str">
        <f t="shared" si="51"/>
        <v/>
      </c>
      <c r="C80" s="16" t="str">
        <f>IFERROR(VLOOKUP(DATA!#REF!,DATA!#REF!,1,FALSE),"")</f>
        <v/>
      </c>
      <c r="D80" s="16" t="str">
        <f>IFERROR(VLOOKUP(C80,DATA!#REF!,2,FALSE),"")</f>
        <v/>
      </c>
      <c r="I80" s="17"/>
      <c r="J80" s="17"/>
      <c r="P80" s="17"/>
      <c r="Q80" s="17"/>
    </row>
    <row r="81" spans="2:17">
      <c r="B81" s="15" t="str">
        <f t="shared" si="51"/>
        <v/>
      </c>
      <c r="C81" s="16" t="str">
        <f>IFERROR(VLOOKUP(DATA!#REF!,DATA!#REF!,1,FALSE),"")</f>
        <v/>
      </c>
      <c r="D81" s="16" t="str">
        <f>IFERROR(VLOOKUP(C81,DATA!#REF!,2,FALSE),"")</f>
        <v/>
      </c>
      <c r="I81" s="17"/>
      <c r="J81" s="17"/>
      <c r="P81" s="17"/>
      <c r="Q81" s="17"/>
    </row>
    <row r="82" spans="2:17">
      <c r="B82" s="15" t="str">
        <f t="shared" si="51"/>
        <v/>
      </c>
      <c r="C82" s="16" t="str">
        <f>IFERROR(VLOOKUP(DATA!#REF!,DATA!#REF!,1,FALSE),"")</f>
        <v/>
      </c>
      <c r="D82" s="16" t="str">
        <f>IFERROR(VLOOKUP(C82,DATA!#REF!,2,FALSE),"")</f>
        <v/>
      </c>
      <c r="I82" s="17"/>
      <c r="J82" s="17"/>
      <c r="P82" s="17"/>
      <c r="Q82" s="17"/>
    </row>
    <row r="83" spans="2:17">
      <c r="B83" s="15" t="str">
        <f t="shared" si="51"/>
        <v/>
      </c>
      <c r="C83" s="16" t="str">
        <f>IFERROR(VLOOKUP(DATA!#REF!,DATA!#REF!,1,FALSE),"")</f>
        <v/>
      </c>
      <c r="D83" s="16" t="str">
        <f>IFERROR(VLOOKUP(C83,DATA!#REF!,2,FALSE),"")</f>
        <v/>
      </c>
      <c r="I83" s="17"/>
      <c r="J83" s="17"/>
      <c r="P83" s="17"/>
      <c r="Q83" s="17"/>
    </row>
    <row r="84" spans="2:17">
      <c r="B84" s="15" t="str">
        <f t="shared" si="51"/>
        <v/>
      </c>
      <c r="C84" s="16" t="str">
        <f>IFERROR(VLOOKUP(DATA!#REF!,DATA!#REF!,1,FALSE),"")</f>
        <v/>
      </c>
      <c r="D84" s="16" t="str">
        <f>IFERROR(VLOOKUP(C84,DATA!#REF!,2,FALSE),"")</f>
        <v/>
      </c>
      <c r="I84" s="17"/>
      <c r="J84" s="17"/>
      <c r="P84" s="17"/>
      <c r="Q84" s="17"/>
    </row>
    <row r="85" spans="2:17">
      <c r="B85" s="15" t="str">
        <f t="shared" si="51"/>
        <v/>
      </c>
      <c r="C85" s="16" t="str">
        <f>IFERROR(VLOOKUP(DATA!#REF!,DATA!#REF!,1,FALSE),"")</f>
        <v/>
      </c>
      <c r="D85" s="16" t="str">
        <f>IFERROR(VLOOKUP(C85,DATA!#REF!,2,FALSE),"")</f>
        <v/>
      </c>
      <c r="I85" s="17"/>
      <c r="J85" s="17"/>
      <c r="P85" s="17"/>
      <c r="Q85" s="17"/>
    </row>
    <row r="86" spans="2:17">
      <c r="B86" s="15" t="str">
        <f t="shared" si="51"/>
        <v/>
      </c>
      <c r="C86" s="16" t="str">
        <f>IFERROR(VLOOKUP(DATA!#REF!,DATA!#REF!,1,FALSE),"")</f>
        <v/>
      </c>
      <c r="D86" s="16" t="str">
        <f>IFERROR(VLOOKUP(C86,DATA!#REF!,2,FALSE),"")</f>
        <v/>
      </c>
      <c r="I86" s="17"/>
      <c r="J86" s="17"/>
      <c r="P86" s="17"/>
      <c r="Q86" s="17"/>
    </row>
    <row r="87" spans="2:17">
      <c r="B87" s="15" t="str">
        <f t="shared" si="51"/>
        <v/>
      </c>
      <c r="C87" s="16" t="str">
        <f>IFERROR(VLOOKUP(DATA!#REF!,DATA!#REF!,1,FALSE),"")</f>
        <v/>
      </c>
      <c r="D87" s="16" t="str">
        <f>IFERROR(VLOOKUP(C87,DATA!#REF!,2,FALSE),"")</f>
        <v/>
      </c>
      <c r="I87" s="17"/>
      <c r="J87" s="17"/>
      <c r="P87" s="17"/>
      <c r="Q87" s="17"/>
    </row>
    <row r="88" spans="2:17">
      <c r="B88" s="15" t="str">
        <f t="shared" si="51"/>
        <v/>
      </c>
      <c r="C88" s="16" t="str">
        <f>IFERROR(VLOOKUP(DATA!#REF!,DATA!#REF!,1,FALSE),"")</f>
        <v/>
      </c>
      <c r="D88" s="16" t="str">
        <f>IFERROR(VLOOKUP(C88,DATA!#REF!,2,FALSE),"")</f>
        <v/>
      </c>
      <c r="I88" s="17"/>
      <c r="J88" s="17"/>
      <c r="P88" s="17"/>
      <c r="Q88" s="17"/>
    </row>
    <row r="89" spans="2:17">
      <c r="B89" s="15" t="str">
        <f t="shared" si="51"/>
        <v/>
      </c>
      <c r="C89" s="16" t="str">
        <f>IFERROR(VLOOKUP(DATA!#REF!,DATA!#REF!,1,FALSE),"")</f>
        <v/>
      </c>
      <c r="D89" s="16" t="str">
        <f>IFERROR(VLOOKUP(C89,DATA!#REF!,2,FALSE),"")</f>
        <v/>
      </c>
      <c r="I89" s="17"/>
      <c r="J89" s="17"/>
      <c r="P89" s="17"/>
      <c r="Q89" s="17"/>
    </row>
    <row r="90" spans="2:17">
      <c r="B90" s="15" t="str">
        <f t="shared" si="51"/>
        <v/>
      </c>
      <c r="C90" s="16" t="str">
        <f>IFERROR(VLOOKUP(DATA!#REF!,DATA!#REF!,1,FALSE),"")</f>
        <v/>
      </c>
      <c r="D90" s="16" t="str">
        <f>IFERROR(VLOOKUP(C90,DATA!#REF!,2,FALSE),"")</f>
        <v/>
      </c>
      <c r="I90" s="17"/>
      <c r="J90" s="17"/>
      <c r="P90" s="17"/>
      <c r="Q90" s="17"/>
    </row>
    <row r="91" spans="2:17">
      <c r="B91" s="15" t="str">
        <f t="shared" si="51"/>
        <v/>
      </c>
      <c r="C91" s="16" t="str">
        <f>IFERROR(VLOOKUP(DATA!#REF!,DATA!#REF!,1,FALSE),"")</f>
        <v/>
      </c>
      <c r="D91" s="16" t="str">
        <f>IFERROR(VLOOKUP(C91,DATA!#REF!,2,FALSE),"")</f>
        <v/>
      </c>
      <c r="I91" s="17"/>
      <c r="J91" s="17"/>
      <c r="P91" s="17"/>
      <c r="Q91" s="17"/>
    </row>
    <row r="92" spans="2:17">
      <c r="B92" s="15" t="str">
        <f t="shared" si="51"/>
        <v/>
      </c>
      <c r="C92" s="16" t="str">
        <f>IFERROR(VLOOKUP(DATA!#REF!,DATA!#REF!,1,FALSE),"")</f>
        <v/>
      </c>
      <c r="D92" s="16" t="str">
        <f>IFERROR(VLOOKUP(C92,DATA!#REF!,2,FALSE),"")</f>
        <v/>
      </c>
      <c r="I92" s="17"/>
      <c r="J92" s="17"/>
      <c r="P92" s="17"/>
      <c r="Q92" s="17"/>
    </row>
    <row r="93" spans="2:17">
      <c r="B93" s="15" t="str">
        <f t="shared" si="51"/>
        <v/>
      </c>
      <c r="C93" s="16" t="str">
        <f>IFERROR(VLOOKUP(DATA!#REF!,DATA!#REF!,1,FALSE),"")</f>
        <v/>
      </c>
      <c r="D93" s="16" t="str">
        <f>IFERROR(VLOOKUP(C93,DATA!#REF!,2,FALSE),"")</f>
        <v/>
      </c>
      <c r="I93" s="17"/>
      <c r="J93" s="17"/>
      <c r="P93" s="17"/>
      <c r="Q93" s="17"/>
    </row>
    <row r="94" spans="2:17">
      <c r="B94" s="15" t="str">
        <f t="shared" si="51"/>
        <v/>
      </c>
      <c r="C94" s="16" t="str">
        <f>IFERROR(VLOOKUP(DATA!#REF!,DATA!#REF!,1,FALSE),"")</f>
        <v/>
      </c>
      <c r="D94" s="16" t="str">
        <f>IFERROR(VLOOKUP(C94,DATA!#REF!,2,FALSE),"")</f>
        <v/>
      </c>
      <c r="I94" s="17"/>
      <c r="J94" s="17"/>
      <c r="P94" s="17"/>
      <c r="Q94" s="17"/>
    </row>
    <row r="95" spans="2:17">
      <c r="B95" s="15" t="str">
        <f t="shared" si="51"/>
        <v/>
      </c>
      <c r="C95" s="16" t="str">
        <f>IFERROR(VLOOKUP(DATA!#REF!,DATA!#REF!,1,FALSE),"")</f>
        <v/>
      </c>
      <c r="D95" s="16" t="str">
        <f>IFERROR(VLOOKUP(C95,DATA!#REF!,2,FALSE),"")</f>
        <v/>
      </c>
      <c r="I95" s="17"/>
      <c r="J95" s="17"/>
      <c r="P95" s="17"/>
      <c r="Q95" s="17"/>
    </row>
    <row r="96" spans="2:17">
      <c r="B96" s="15" t="str">
        <f t="shared" si="51"/>
        <v/>
      </c>
      <c r="C96" s="16" t="str">
        <f>IFERROR(VLOOKUP(DATA!#REF!,DATA!#REF!,1,FALSE),"")</f>
        <v/>
      </c>
      <c r="D96" s="16" t="str">
        <f>IFERROR(VLOOKUP(C96,DATA!#REF!,2,FALSE),"")</f>
        <v/>
      </c>
      <c r="I96" s="17"/>
      <c r="J96" s="17"/>
      <c r="P96" s="17"/>
      <c r="Q96" s="17"/>
    </row>
    <row r="97" spans="2:17">
      <c r="B97" s="15" t="str">
        <f t="shared" si="51"/>
        <v/>
      </c>
      <c r="C97" s="16" t="str">
        <f>IFERROR(VLOOKUP(DATA!#REF!,DATA!#REF!,1,FALSE),"")</f>
        <v/>
      </c>
      <c r="D97" s="16" t="str">
        <f>IFERROR(VLOOKUP(C97,DATA!#REF!,2,FALSE),"")</f>
        <v/>
      </c>
      <c r="I97" s="17"/>
      <c r="J97" s="17"/>
      <c r="P97" s="17"/>
      <c r="Q97" s="17"/>
    </row>
    <row r="98" spans="2:17">
      <c r="B98" s="15" t="str">
        <f t="shared" si="51"/>
        <v/>
      </c>
      <c r="C98" s="16" t="str">
        <f>IFERROR(VLOOKUP(DATA!#REF!,DATA!#REF!,1,FALSE),"")</f>
        <v/>
      </c>
      <c r="D98" s="16" t="str">
        <f>IFERROR(VLOOKUP(C98,DATA!#REF!,2,FALSE),"")</f>
        <v/>
      </c>
      <c r="I98" s="17"/>
      <c r="J98" s="17"/>
      <c r="P98" s="17"/>
      <c r="Q98" s="17"/>
    </row>
    <row r="99" spans="2:17">
      <c r="B99" s="15" t="str">
        <f t="shared" si="51"/>
        <v/>
      </c>
      <c r="C99" s="16" t="str">
        <f>IFERROR(VLOOKUP(DATA!#REF!,DATA!#REF!,1,FALSE),"")</f>
        <v/>
      </c>
      <c r="D99" s="16" t="str">
        <f>IFERROR(VLOOKUP(C99,DATA!#REF!,2,FALSE),"")</f>
        <v/>
      </c>
      <c r="I99" s="17"/>
      <c r="J99" s="17"/>
      <c r="P99" s="17"/>
      <c r="Q99" s="17"/>
    </row>
    <row r="100" spans="2:17">
      <c r="B100" s="15" t="str">
        <f t="shared" si="51"/>
        <v/>
      </c>
      <c r="C100" s="16" t="str">
        <f>IFERROR(VLOOKUP(DATA!#REF!,DATA!#REF!,1,FALSE),"")</f>
        <v/>
      </c>
      <c r="D100" s="16" t="str">
        <f>IFERROR(VLOOKUP(C100,DATA!#REF!,2,FALSE),"")</f>
        <v/>
      </c>
      <c r="I100" s="17"/>
      <c r="J100" s="17"/>
      <c r="P100" s="17"/>
      <c r="Q100" s="17"/>
    </row>
    <row r="101" spans="2:17">
      <c r="B101" s="15" t="str">
        <f t="shared" si="51"/>
        <v/>
      </c>
      <c r="C101" s="16" t="str">
        <f>IFERROR(VLOOKUP(DATA!#REF!,DATA!#REF!,1,FALSE),"")</f>
        <v/>
      </c>
      <c r="D101" s="16" t="str">
        <f>IFERROR(VLOOKUP(C101,DATA!#REF!,2,FALSE),"")</f>
        <v/>
      </c>
      <c r="I101" s="17"/>
      <c r="J101" s="17"/>
      <c r="P101" s="17"/>
      <c r="Q101" s="17"/>
    </row>
    <row r="102" spans="2:17">
      <c r="B102" s="15" t="str">
        <f t="shared" si="51"/>
        <v/>
      </c>
      <c r="C102" s="16" t="str">
        <f>IFERROR(VLOOKUP(DATA!#REF!,DATA!#REF!,1,FALSE),"")</f>
        <v/>
      </c>
      <c r="D102" s="16" t="str">
        <f>IFERROR(VLOOKUP(C102,DATA!#REF!,2,FALSE),"")</f>
        <v/>
      </c>
      <c r="I102" s="17"/>
      <c r="J102" s="17"/>
      <c r="P102" s="17"/>
      <c r="Q102" s="17"/>
    </row>
    <row r="103" spans="2:17">
      <c r="B103" s="15" t="str">
        <f t="shared" si="51"/>
        <v/>
      </c>
      <c r="C103" s="16" t="str">
        <f>IFERROR(VLOOKUP(DATA!#REF!,DATA!#REF!,1,FALSE),"")</f>
        <v/>
      </c>
      <c r="D103" s="16" t="str">
        <f>IFERROR(VLOOKUP(C103,DATA!#REF!,2,FALSE),"")</f>
        <v/>
      </c>
      <c r="I103" s="17"/>
      <c r="J103" s="17"/>
      <c r="P103" s="17"/>
      <c r="Q103" s="17"/>
    </row>
    <row r="104" spans="2:17">
      <c r="B104" s="15" t="str">
        <f t="shared" si="51"/>
        <v/>
      </c>
      <c r="C104" s="16" t="str">
        <f>IFERROR(VLOOKUP(DATA!#REF!,DATA!#REF!,1,FALSE),"")</f>
        <v/>
      </c>
      <c r="D104" s="16" t="str">
        <f>IFERROR(VLOOKUP(C104,DATA!#REF!,2,FALSE),"")</f>
        <v/>
      </c>
      <c r="I104" s="17"/>
      <c r="J104" s="17"/>
      <c r="P104" s="17"/>
      <c r="Q104" s="17"/>
    </row>
    <row r="105" spans="2:17">
      <c r="B105" s="15" t="str">
        <f t="shared" si="51"/>
        <v/>
      </c>
      <c r="C105" s="16" t="str">
        <f>IFERROR(VLOOKUP(DATA!#REF!,DATA!#REF!,1,FALSE),"")</f>
        <v/>
      </c>
      <c r="D105" s="16" t="str">
        <f>IFERROR(VLOOKUP(C105,DATA!#REF!,2,FALSE),"")</f>
        <v/>
      </c>
      <c r="I105" s="17"/>
      <c r="J105" s="17"/>
      <c r="P105" s="17"/>
      <c r="Q105" s="17"/>
    </row>
    <row r="106" spans="2:17">
      <c r="B106" s="15" t="str">
        <f t="shared" si="51"/>
        <v/>
      </c>
      <c r="C106" s="16" t="str">
        <f>IFERROR(VLOOKUP(DATA!#REF!,DATA!#REF!,1,FALSE),"")</f>
        <v/>
      </c>
      <c r="D106" s="16" t="str">
        <f>IFERROR(VLOOKUP(C106,DATA!#REF!,2,FALSE),"")</f>
        <v/>
      </c>
      <c r="I106" s="17"/>
      <c r="J106" s="17"/>
      <c r="P106" s="17"/>
      <c r="Q106" s="17"/>
    </row>
    <row r="107" spans="2:17">
      <c r="B107" s="15" t="str">
        <f t="shared" si="51"/>
        <v/>
      </c>
      <c r="C107" s="16" t="str">
        <f>IFERROR(VLOOKUP(DATA!#REF!,DATA!#REF!,1,FALSE),"")</f>
        <v/>
      </c>
      <c r="D107" s="16" t="str">
        <f>IFERROR(VLOOKUP(C107,DATA!#REF!,2,FALSE),"")</f>
        <v/>
      </c>
      <c r="I107" s="17"/>
      <c r="J107" s="17"/>
      <c r="P107" s="17"/>
      <c r="Q107" s="17"/>
    </row>
    <row r="108" spans="2:17">
      <c r="B108" s="15" t="str">
        <f t="shared" si="51"/>
        <v/>
      </c>
      <c r="C108" s="16" t="str">
        <f>IFERROR(VLOOKUP(DATA!#REF!,DATA!#REF!,1,FALSE),"")</f>
        <v/>
      </c>
      <c r="D108" s="16" t="str">
        <f>IFERROR(VLOOKUP(C108,DATA!#REF!,2,FALSE),"")</f>
        <v/>
      </c>
      <c r="I108" s="17"/>
      <c r="J108" s="17"/>
      <c r="P108" s="17"/>
      <c r="Q108" s="17"/>
    </row>
    <row r="109" spans="2:17">
      <c r="B109" s="15" t="str">
        <f t="shared" si="51"/>
        <v/>
      </c>
      <c r="C109" s="16" t="str">
        <f>IFERROR(VLOOKUP(DATA!#REF!,DATA!#REF!,1,FALSE),"")</f>
        <v/>
      </c>
      <c r="D109" s="16" t="str">
        <f>IFERROR(VLOOKUP(C109,DATA!#REF!,2,FALSE),"")</f>
        <v/>
      </c>
      <c r="I109" s="17"/>
      <c r="J109" s="17"/>
      <c r="P109" s="17"/>
      <c r="Q109" s="17"/>
    </row>
    <row r="110" spans="2:17">
      <c r="B110" s="15" t="str">
        <f t="shared" si="51"/>
        <v/>
      </c>
      <c r="C110" s="16" t="str">
        <f>IFERROR(VLOOKUP(DATA!#REF!,DATA!#REF!,1,FALSE),"")</f>
        <v/>
      </c>
      <c r="D110" s="16" t="str">
        <f>IFERROR(VLOOKUP(C110,DATA!#REF!,2,FALSE),"")</f>
        <v/>
      </c>
      <c r="I110" s="17"/>
      <c r="J110" s="17"/>
      <c r="P110" s="17"/>
      <c r="Q110" s="17"/>
    </row>
    <row r="111" spans="2:17">
      <c r="B111" s="15" t="str">
        <f t="shared" si="51"/>
        <v/>
      </c>
      <c r="C111" s="16" t="str">
        <f>IFERROR(VLOOKUP(DATA!#REF!,DATA!#REF!,1,FALSE),"")</f>
        <v/>
      </c>
      <c r="D111" s="16" t="str">
        <f>IFERROR(VLOOKUP(C111,DATA!#REF!,2,FALSE),"")</f>
        <v/>
      </c>
      <c r="I111" s="17"/>
      <c r="J111" s="17"/>
      <c r="P111" s="17"/>
      <c r="Q111" s="17"/>
    </row>
    <row r="112" spans="2:17">
      <c r="B112" s="15" t="str">
        <f t="shared" si="51"/>
        <v/>
      </c>
      <c r="C112" s="16" t="str">
        <f>IFERROR(VLOOKUP(DATA!#REF!,DATA!#REF!,1,FALSE),"")</f>
        <v/>
      </c>
      <c r="D112" s="16" t="str">
        <f>IFERROR(VLOOKUP(C112,DATA!#REF!,2,FALSE),"")</f>
        <v/>
      </c>
      <c r="I112" s="17"/>
      <c r="J112" s="17"/>
      <c r="P112" s="17"/>
      <c r="Q112" s="17"/>
    </row>
    <row r="113" spans="2:17">
      <c r="B113" s="15" t="str">
        <f t="shared" si="51"/>
        <v/>
      </c>
      <c r="C113" s="16" t="str">
        <f>IFERROR(VLOOKUP(DATA!#REF!,DATA!#REF!,1,FALSE),"")</f>
        <v/>
      </c>
      <c r="D113" s="16" t="str">
        <f>IFERROR(VLOOKUP(C113,DATA!#REF!,2,FALSE),"")</f>
        <v/>
      </c>
      <c r="I113" s="17"/>
      <c r="J113" s="17"/>
      <c r="P113" s="17"/>
      <c r="Q113" s="17"/>
    </row>
    <row r="114" spans="2:17">
      <c r="B114" s="15" t="str">
        <f t="shared" si="51"/>
        <v/>
      </c>
      <c r="C114" s="16" t="str">
        <f>IFERROR(VLOOKUP(DATA!#REF!,DATA!#REF!,1,FALSE),"")</f>
        <v/>
      </c>
      <c r="D114" s="16" t="str">
        <f>IFERROR(VLOOKUP(C114,DATA!#REF!,2,FALSE),"")</f>
        <v/>
      </c>
      <c r="I114" s="17"/>
      <c r="J114" s="17"/>
      <c r="P114" s="17"/>
      <c r="Q114" s="17"/>
    </row>
    <row r="115" spans="2:17">
      <c r="B115" s="15" t="str">
        <f t="shared" si="51"/>
        <v/>
      </c>
      <c r="C115" s="16" t="str">
        <f>IFERROR(VLOOKUP(DATA!#REF!,DATA!#REF!,1,FALSE),"")</f>
        <v/>
      </c>
      <c r="D115" s="16" t="str">
        <f>IFERROR(VLOOKUP(C115,DATA!#REF!,2,FALSE),"")</f>
        <v/>
      </c>
      <c r="I115" s="17"/>
      <c r="J115" s="17"/>
      <c r="P115" s="17"/>
      <c r="Q115" s="17"/>
    </row>
    <row r="116" spans="2:17">
      <c r="B116" s="15" t="str">
        <f t="shared" si="51"/>
        <v/>
      </c>
      <c r="C116" s="16" t="str">
        <f>IFERROR(VLOOKUP(DATA!#REF!,DATA!#REF!,1,FALSE),"")</f>
        <v/>
      </c>
      <c r="D116" s="16" t="str">
        <f>IFERROR(VLOOKUP(C116,DATA!#REF!,2,FALSE),"")</f>
        <v/>
      </c>
      <c r="I116" s="17"/>
      <c r="J116" s="17"/>
      <c r="P116" s="17"/>
      <c r="Q116" s="17"/>
    </row>
    <row r="117" spans="2:17">
      <c r="B117" s="15" t="str">
        <f t="shared" si="51"/>
        <v/>
      </c>
      <c r="C117" s="16" t="str">
        <f>IFERROR(VLOOKUP(DATA!#REF!,DATA!#REF!,1,FALSE),"")</f>
        <v/>
      </c>
      <c r="D117" s="16" t="str">
        <f>IFERROR(VLOOKUP(C117,DATA!#REF!,2,FALSE),"")</f>
        <v/>
      </c>
      <c r="I117" s="17"/>
      <c r="J117" s="17"/>
      <c r="P117" s="17"/>
      <c r="Q117" s="17"/>
    </row>
    <row r="118" spans="2:17">
      <c r="B118" s="15" t="str">
        <f t="shared" si="51"/>
        <v/>
      </c>
      <c r="C118" s="16" t="str">
        <f>IFERROR(VLOOKUP(DATA!#REF!,DATA!#REF!,1,FALSE),"")</f>
        <v/>
      </c>
      <c r="D118" s="16" t="str">
        <f>IFERROR(VLOOKUP(C118,DATA!#REF!,2,FALSE),"")</f>
        <v/>
      </c>
      <c r="I118" s="17"/>
      <c r="J118" s="17"/>
      <c r="P118" s="17"/>
      <c r="Q118" s="17"/>
    </row>
    <row r="119" spans="2:17">
      <c r="B119" s="15" t="str">
        <f t="shared" ref="B119:B182" si="52">+IF(C119="","",ROW()-5)</f>
        <v/>
      </c>
      <c r="C119" s="16" t="str">
        <f>IFERROR(VLOOKUP(DATA!#REF!,DATA!#REF!,1,FALSE),"")</f>
        <v/>
      </c>
      <c r="D119" s="16" t="str">
        <f>IFERROR(VLOOKUP(C119,DATA!#REF!,2,FALSE),"")</f>
        <v/>
      </c>
      <c r="I119" s="17"/>
      <c r="J119" s="17"/>
      <c r="P119" s="17"/>
      <c r="Q119" s="17"/>
    </row>
    <row r="120" spans="2:17">
      <c r="B120" s="15" t="str">
        <f t="shared" si="52"/>
        <v/>
      </c>
      <c r="C120" s="16" t="str">
        <f>IFERROR(VLOOKUP(DATA!#REF!,DATA!#REF!,1,FALSE),"")</f>
        <v/>
      </c>
      <c r="D120" s="16" t="str">
        <f>IFERROR(VLOOKUP(C120,DATA!#REF!,2,FALSE),"")</f>
        <v/>
      </c>
      <c r="I120" s="17"/>
      <c r="J120" s="17"/>
      <c r="P120" s="17"/>
      <c r="Q120" s="17"/>
    </row>
    <row r="121" spans="2:17">
      <c r="B121" s="15" t="str">
        <f t="shared" si="52"/>
        <v/>
      </c>
      <c r="C121" s="16" t="str">
        <f>IFERROR(VLOOKUP(DATA!#REF!,DATA!#REF!,1,FALSE),"")</f>
        <v/>
      </c>
      <c r="D121" s="16" t="str">
        <f>IFERROR(VLOOKUP(C121,DATA!#REF!,2,FALSE),"")</f>
        <v/>
      </c>
      <c r="I121" s="17"/>
      <c r="J121" s="17"/>
      <c r="P121" s="17"/>
      <c r="Q121" s="17"/>
    </row>
    <row r="122" spans="2:17">
      <c r="B122" s="15" t="str">
        <f t="shared" si="52"/>
        <v/>
      </c>
      <c r="C122" s="16" t="str">
        <f>IFERROR(VLOOKUP(DATA!#REF!,DATA!#REF!,1,FALSE),"")</f>
        <v/>
      </c>
      <c r="D122" s="16" t="str">
        <f>IFERROR(VLOOKUP(C122,DATA!#REF!,2,FALSE),"")</f>
        <v/>
      </c>
      <c r="I122" s="17"/>
      <c r="J122" s="17"/>
      <c r="P122" s="17"/>
      <c r="Q122" s="17"/>
    </row>
    <row r="123" spans="2:17">
      <c r="B123" s="15" t="str">
        <f t="shared" si="52"/>
        <v/>
      </c>
      <c r="C123" s="16" t="str">
        <f>IFERROR(VLOOKUP(DATA!#REF!,DATA!#REF!,1,FALSE),"")</f>
        <v/>
      </c>
      <c r="D123" s="16" t="str">
        <f>IFERROR(VLOOKUP(C123,DATA!#REF!,2,FALSE),"")</f>
        <v/>
      </c>
      <c r="I123" s="17"/>
      <c r="J123" s="17"/>
      <c r="P123" s="17"/>
      <c r="Q123" s="17"/>
    </row>
    <row r="124" spans="2:17">
      <c r="B124" s="15" t="str">
        <f t="shared" si="52"/>
        <v/>
      </c>
      <c r="C124" s="16" t="str">
        <f>IFERROR(VLOOKUP(DATA!#REF!,DATA!#REF!,1,FALSE),"")</f>
        <v/>
      </c>
      <c r="D124" s="16" t="str">
        <f>IFERROR(VLOOKUP(C124,DATA!#REF!,2,FALSE),"")</f>
        <v/>
      </c>
      <c r="I124" s="17"/>
      <c r="J124" s="17"/>
      <c r="P124" s="17"/>
      <c r="Q124" s="17"/>
    </row>
    <row r="125" spans="2:17">
      <c r="B125" s="15" t="str">
        <f t="shared" si="52"/>
        <v/>
      </c>
      <c r="C125" s="16" t="str">
        <f>IFERROR(VLOOKUP(DATA!#REF!,DATA!#REF!,1,FALSE),"")</f>
        <v/>
      </c>
      <c r="D125" s="16" t="str">
        <f>IFERROR(VLOOKUP(C125,DATA!#REF!,2,FALSE),"")</f>
        <v/>
      </c>
      <c r="I125" s="17"/>
      <c r="J125" s="17"/>
      <c r="P125" s="17"/>
      <c r="Q125" s="17"/>
    </row>
    <row r="126" spans="2:17">
      <c r="B126" s="15" t="str">
        <f t="shared" si="52"/>
        <v/>
      </c>
      <c r="C126" s="16" t="str">
        <f>IFERROR(VLOOKUP(DATA!#REF!,DATA!#REF!,1,FALSE),"")</f>
        <v/>
      </c>
      <c r="D126" s="16" t="str">
        <f>IFERROR(VLOOKUP(C126,DATA!#REF!,2,FALSE),"")</f>
        <v/>
      </c>
      <c r="I126" s="17"/>
      <c r="J126" s="17"/>
      <c r="P126" s="17"/>
      <c r="Q126" s="17"/>
    </row>
    <row r="127" spans="2:17">
      <c r="B127" s="15" t="str">
        <f t="shared" si="52"/>
        <v/>
      </c>
      <c r="C127" s="16" t="str">
        <f>IFERROR(VLOOKUP(DATA!#REF!,DATA!#REF!,1,FALSE),"")</f>
        <v/>
      </c>
      <c r="D127" s="16" t="str">
        <f>IFERROR(VLOOKUP(C127,DATA!#REF!,2,FALSE),"")</f>
        <v/>
      </c>
      <c r="I127" s="17"/>
      <c r="J127" s="17"/>
      <c r="P127" s="17"/>
      <c r="Q127" s="17"/>
    </row>
    <row r="128" spans="2:17">
      <c r="B128" s="15" t="str">
        <f t="shared" si="52"/>
        <v/>
      </c>
      <c r="C128" s="16" t="str">
        <f>IFERROR(VLOOKUP(DATA!#REF!,DATA!#REF!,1,FALSE),"")</f>
        <v/>
      </c>
      <c r="D128" s="16" t="str">
        <f>IFERROR(VLOOKUP(C128,DATA!#REF!,2,FALSE),"")</f>
        <v/>
      </c>
      <c r="I128" s="17"/>
      <c r="J128" s="17"/>
      <c r="P128" s="17"/>
      <c r="Q128" s="17"/>
    </row>
    <row r="129" spans="2:17">
      <c r="B129" s="15" t="str">
        <f t="shared" si="52"/>
        <v/>
      </c>
      <c r="C129" s="16" t="str">
        <f>IFERROR(VLOOKUP(DATA!#REF!,DATA!#REF!,1,FALSE),"")</f>
        <v/>
      </c>
      <c r="D129" s="16" t="str">
        <f>IFERROR(VLOOKUP(C129,DATA!#REF!,2,FALSE),"")</f>
        <v/>
      </c>
      <c r="I129" s="17"/>
      <c r="J129" s="17"/>
      <c r="P129" s="17"/>
      <c r="Q129" s="17"/>
    </row>
    <row r="130" spans="2:17">
      <c r="B130" s="15" t="str">
        <f t="shared" si="52"/>
        <v/>
      </c>
      <c r="C130" s="16" t="str">
        <f>IFERROR(VLOOKUP(DATA!#REF!,DATA!#REF!,1,FALSE),"")</f>
        <v/>
      </c>
      <c r="D130" s="16" t="str">
        <f>IFERROR(VLOOKUP(C130,DATA!#REF!,2,FALSE),"")</f>
        <v/>
      </c>
      <c r="I130" s="17"/>
      <c r="J130" s="17"/>
      <c r="P130" s="17"/>
      <c r="Q130" s="17"/>
    </row>
    <row r="131" spans="2:17">
      <c r="B131" s="15" t="str">
        <f t="shared" si="52"/>
        <v/>
      </c>
      <c r="C131" s="16" t="str">
        <f>IFERROR(VLOOKUP(DATA!#REF!,DATA!#REF!,1,FALSE),"")</f>
        <v/>
      </c>
      <c r="D131" s="16" t="str">
        <f>IFERROR(VLOOKUP(C131,DATA!#REF!,2,FALSE),"")</f>
        <v/>
      </c>
      <c r="I131" s="17"/>
      <c r="J131" s="17"/>
      <c r="P131" s="17"/>
      <c r="Q131" s="17"/>
    </row>
    <row r="132" spans="2:17">
      <c r="B132" s="15" t="str">
        <f t="shared" si="52"/>
        <v/>
      </c>
      <c r="C132" s="16" t="str">
        <f>IFERROR(VLOOKUP(DATA!#REF!,DATA!#REF!,1,FALSE),"")</f>
        <v/>
      </c>
      <c r="D132" s="16" t="str">
        <f>IFERROR(VLOOKUP(C132,DATA!#REF!,2,FALSE),"")</f>
        <v/>
      </c>
      <c r="I132" s="17"/>
      <c r="J132" s="17"/>
      <c r="P132" s="17"/>
      <c r="Q132" s="17"/>
    </row>
    <row r="133" spans="2:17">
      <c r="B133" s="15" t="str">
        <f t="shared" si="52"/>
        <v/>
      </c>
      <c r="C133" s="16" t="str">
        <f>IFERROR(VLOOKUP(DATA!#REF!,DATA!#REF!,1,FALSE),"")</f>
        <v/>
      </c>
      <c r="D133" s="16" t="str">
        <f>IFERROR(VLOOKUP(C133,DATA!#REF!,2,FALSE),"")</f>
        <v/>
      </c>
      <c r="I133" s="17"/>
      <c r="J133" s="17"/>
      <c r="P133" s="17"/>
      <c r="Q133" s="17"/>
    </row>
    <row r="134" spans="2:17">
      <c r="B134" s="15" t="str">
        <f t="shared" si="52"/>
        <v/>
      </c>
      <c r="C134" s="16" t="str">
        <f>IFERROR(VLOOKUP(DATA!#REF!,DATA!#REF!,1,FALSE),"")</f>
        <v/>
      </c>
      <c r="D134" s="16" t="str">
        <f>IFERROR(VLOOKUP(C134,DATA!#REF!,2,FALSE),"")</f>
        <v/>
      </c>
      <c r="I134" s="17"/>
      <c r="J134" s="17"/>
      <c r="P134" s="17"/>
      <c r="Q134" s="17"/>
    </row>
    <row r="135" spans="2:17">
      <c r="B135" s="15" t="str">
        <f t="shared" si="52"/>
        <v/>
      </c>
      <c r="C135" s="16" t="str">
        <f>IFERROR(VLOOKUP(DATA!#REF!,DATA!#REF!,1,FALSE),"")</f>
        <v/>
      </c>
      <c r="D135" s="16" t="str">
        <f>IFERROR(VLOOKUP(C135,DATA!#REF!,2,FALSE),"")</f>
        <v/>
      </c>
      <c r="I135" s="17"/>
      <c r="J135" s="17"/>
      <c r="P135" s="17"/>
      <c r="Q135" s="17"/>
    </row>
    <row r="136" spans="2:17">
      <c r="B136" s="15" t="str">
        <f t="shared" si="52"/>
        <v/>
      </c>
      <c r="C136" s="16" t="str">
        <f>IFERROR(VLOOKUP(DATA!#REF!,DATA!#REF!,1,FALSE),"")</f>
        <v/>
      </c>
      <c r="D136" s="16" t="str">
        <f>IFERROR(VLOOKUP(C136,DATA!#REF!,2,FALSE),"")</f>
        <v/>
      </c>
      <c r="I136" s="17"/>
      <c r="J136" s="17"/>
      <c r="P136" s="17"/>
      <c r="Q136" s="17"/>
    </row>
    <row r="137" spans="2:17">
      <c r="B137" s="15" t="str">
        <f t="shared" si="52"/>
        <v/>
      </c>
      <c r="C137" s="16" t="str">
        <f>IFERROR(VLOOKUP(DATA!#REF!,DATA!#REF!,1,FALSE),"")</f>
        <v/>
      </c>
      <c r="D137" s="16" t="str">
        <f>IFERROR(VLOOKUP(C137,DATA!#REF!,2,FALSE),"")</f>
        <v/>
      </c>
      <c r="I137" s="17"/>
      <c r="J137" s="17"/>
      <c r="P137" s="17"/>
      <c r="Q137" s="17"/>
    </row>
    <row r="138" spans="2:17">
      <c r="B138" s="15" t="str">
        <f t="shared" si="52"/>
        <v/>
      </c>
      <c r="C138" s="16" t="str">
        <f>IFERROR(VLOOKUP(DATA!#REF!,DATA!#REF!,1,FALSE),"")</f>
        <v/>
      </c>
      <c r="D138" s="16" t="str">
        <f>IFERROR(VLOOKUP(C138,DATA!#REF!,2,FALSE),"")</f>
        <v/>
      </c>
      <c r="I138" s="17"/>
      <c r="J138" s="17"/>
      <c r="P138" s="17"/>
      <c r="Q138" s="17"/>
    </row>
    <row r="139" spans="2:17">
      <c r="B139" s="15" t="str">
        <f t="shared" si="52"/>
        <v/>
      </c>
      <c r="C139" s="16" t="str">
        <f>IFERROR(VLOOKUP(DATA!#REF!,DATA!#REF!,1,FALSE),"")</f>
        <v/>
      </c>
      <c r="D139" s="16" t="str">
        <f>IFERROR(VLOOKUP(C139,DATA!#REF!,2,FALSE),"")</f>
        <v/>
      </c>
      <c r="I139" s="17"/>
      <c r="J139" s="17"/>
      <c r="P139" s="17"/>
      <c r="Q139" s="17"/>
    </row>
    <row r="140" spans="2:17">
      <c r="B140" s="15" t="str">
        <f t="shared" si="52"/>
        <v/>
      </c>
      <c r="C140" s="16" t="str">
        <f>IFERROR(VLOOKUP(DATA!#REF!,DATA!#REF!,1,FALSE),"")</f>
        <v/>
      </c>
      <c r="D140" s="16" t="str">
        <f>IFERROR(VLOOKUP(C140,DATA!#REF!,2,FALSE),"")</f>
        <v/>
      </c>
      <c r="I140" s="17"/>
      <c r="J140" s="17"/>
      <c r="P140" s="17"/>
      <c r="Q140" s="17"/>
    </row>
    <row r="141" spans="2:17">
      <c r="B141" s="15" t="str">
        <f t="shared" si="52"/>
        <v/>
      </c>
      <c r="C141" s="16" t="str">
        <f>IFERROR(VLOOKUP(DATA!#REF!,DATA!#REF!,1,FALSE),"")</f>
        <v/>
      </c>
      <c r="D141" s="16" t="str">
        <f>IFERROR(VLOOKUP(C141,DATA!#REF!,2,FALSE),"")</f>
        <v/>
      </c>
      <c r="I141" s="17"/>
      <c r="J141" s="17"/>
      <c r="P141" s="17"/>
      <c r="Q141" s="17"/>
    </row>
    <row r="142" spans="2:17">
      <c r="B142" s="15" t="str">
        <f t="shared" si="52"/>
        <v/>
      </c>
      <c r="C142" s="16" t="str">
        <f>IFERROR(VLOOKUP(DATA!#REF!,DATA!#REF!,1,FALSE),"")</f>
        <v/>
      </c>
      <c r="D142" s="16" t="str">
        <f>IFERROR(VLOOKUP(C142,DATA!#REF!,2,FALSE),"")</f>
        <v/>
      </c>
      <c r="I142" s="17"/>
      <c r="J142" s="17"/>
      <c r="P142" s="17"/>
      <c r="Q142" s="17"/>
    </row>
    <row r="143" spans="2:17">
      <c r="B143" s="15" t="str">
        <f t="shared" si="52"/>
        <v/>
      </c>
      <c r="C143" s="16" t="str">
        <f>IFERROR(VLOOKUP(DATA!#REF!,DATA!#REF!,1,FALSE),"")</f>
        <v/>
      </c>
      <c r="D143" s="16" t="str">
        <f>IFERROR(VLOOKUP(C143,DATA!#REF!,2,FALSE),"")</f>
        <v/>
      </c>
      <c r="I143" s="17"/>
      <c r="J143" s="17"/>
      <c r="P143" s="17"/>
      <c r="Q143" s="17"/>
    </row>
    <row r="144" spans="2:17">
      <c r="B144" s="15" t="str">
        <f t="shared" si="52"/>
        <v/>
      </c>
      <c r="C144" s="16" t="str">
        <f>IFERROR(VLOOKUP(DATA!#REF!,DATA!#REF!,1,FALSE),"")</f>
        <v/>
      </c>
      <c r="D144" s="16" t="str">
        <f>IFERROR(VLOOKUP(C144,DATA!#REF!,2,FALSE),"")</f>
        <v/>
      </c>
      <c r="I144" s="17"/>
      <c r="J144" s="17"/>
      <c r="P144" s="17"/>
      <c r="Q144" s="17"/>
    </row>
    <row r="145" spans="2:17">
      <c r="B145" s="15" t="str">
        <f t="shared" si="52"/>
        <v/>
      </c>
      <c r="C145" s="16" t="str">
        <f>IFERROR(VLOOKUP(DATA!#REF!,DATA!#REF!,1,FALSE),"")</f>
        <v/>
      </c>
      <c r="D145" s="16" t="str">
        <f>IFERROR(VLOOKUP(C145,DATA!#REF!,2,FALSE),"")</f>
        <v/>
      </c>
      <c r="I145" s="17"/>
      <c r="J145" s="17"/>
      <c r="P145" s="17"/>
      <c r="Q145" s="17"/>
    </row>
    <row r="146" spans="2:17">
      <c r="B146" s="15" t="str">
        <f t="shared" si="52"/>
        <v/>
      </c>
      <c r="C146" s="16" t="str">
        <f>IFERROR(VLOOKUP(DATA!#REF!,DATA!#REF!,1,FALSE),"")</f>
        <v/>
      </c>
      <c r="D146" s="16" t="str">
        <f>IFERROR(VLOOKUP(C146,DATA!#REF!,2,FALSE),"")</f>
        <v/>
      </c>
      <c r="I146" s="17"/>
      <c r="J146" s="17"/>
      <c r="P146" s="17"/>
      <c r="Q146" s="17"/>
    </row>
    <row r="147" spans="2:17">
      <c r="B147" s="15" t="str">
        <f t="shared" si="52"/>
        <v/>
      </c>
      <c r="C147" s="16" t="str">
        <f>IFERROR(VLOOKUP(DATA!#REF!,DATA!#REF!,1,FALSE),"")</f>
        <v/>
      </c>
      <c r="D147" s="16" t="str">
        <f>IFERROR(VLOOKUP(C147,DATA!#REF!,2,FALSE),"")</f>
        <v/>
      </c>
      <c r="I147" s="17"/>
      <c r="J147" s="17"/>
      <c r="P147" s="17"/>
      <c r="Q147" s="17"/>
    </row>
    <row r="148" spans="2:17">
      <c r="B148" s="15" t="str">
        <f t="shared" si="52"/>
        <v/>
      </c>
      <c r="C148" s="16" t="str">
        <f>IFERROR(VLOOKUP(DATA!#REF!,DATA!#REF!,1,FALSE),"")</f>
        <v/>
      </c>
      <c r="D148" s="16" t="str">
        <f>IFERROR(VLOOKUP(C148,DATA!#REF!,2,FALSE),"")</f>
        <v/>
      </c>
      <c r="I148" s="17"/>
      <c r="J148" s="17"/>
      <c r="P148" s="17"/>
      <c r="Q148" s="17"/>
    </row>
    <row r="149" spans="2:17">
      <c r="B149" s="15" t="str">
        <f t="shared" si="52"/>
        <v/>
      </c>
      <c r="C149" s="16" t="str">
        <f>IFERROR(VLOOKUP(DATA!#REF!,DATA!#REF!,1,FALSE),"")</f>
        <v/>
      </c>
      <c r="D149" s="16" t="str">
        <f>IFERROR(VLOOKUP(C149,DATA!#REF!,2,FALSE),"")</f>
        <v/>
      </c>
      <c r="I149" s="17"/>
      <c r="J149" s="17"/>
      <c r="P149" s="17"/>
      <c r="Q149" s="17"/>
    </row>
    <row r="150" spans="2:17">
      <c r="B150" s="15" t="str">
        <f t="shared" si="52"/>
        <v/>
      </c>
      <c r="C150" s="16" t="str">
        <f>IFERROR(VLOOKUP(DATA!#REF!,DATA!#REF!,1,FALSE),"")</f>
        <v/>
      </c>
      <c r="D150" s="16" t="str">
        <f>IFERROR(VLOOKUP(C150,DATA!#REF!,2,FALSE),"")</f>
        <v/>
      </c>
      <c r="I150" s="17"/>
      <c r="J150" s="17"/>
      <c r="P150" s="17"/>
      <c r="Q150" s="17"/>
    </row>
    <row r="151" spans="2:17">
      <c r="B151" s="15" t="str">
        <f t="shared" si="52"/>
        <v/>
      </c>
      <c r="C151" s="16" t="str">
        <f>IFERROR(VLOOKUP(DATA!#REF!,DATA!#REF!,1,FALSE),"")</f>
        <v/>
      </c>
      <c r="D151" s="16" t="str">
        <f>IFERROR(VLOOKUP(C151,DATA!#REF!,2,FALSE),"")</f>
        <v/>
      </c>
      <c r="I151" s="17"/>
      <c r="J151" s="17"/>
      <c r="P151" s="17"/>
      <c r="Q151" s="17"/>
    </row>
    <row r="152" spans="2:17">
      <c r="B152" s="15" t="str">
        <f t="shared" si="52"/>
        <v/>
      </c>
      <c r="C152" s="16" t="str">
        <f>IFERROR(VLOOKUP(DATA!#REF!,DATA!#REF!,1,FALSE),"")</f>
        <v/>
      </c>
      <c r="D152" s="16" t="str">
        <f>IFERROR(VLOOKUP(C152,DATA!#REF!,2,FALSE),"")</f>
        <v/>
      </c>
      <c r="I152" s="17"/>
      <c r="J152" s="17"/>
      <c r="P152" s="17"/>
      <c r="Q152" s="17"/>
    </row>
    <row r="153" spans="2:17">
      <c r="B153" s="15" t="str">
        <f t="shared" si="52"/>
        <v/>
      </c>
      <c r="C153" s="16" t="str">
        <f>IFERROR(VLOOKUP(DATA!#REF!,DATA!#REF!,1,FALSE),"")</f>
        <v/>
      </c>
      <c r="D153" s="16" t="str">
        <f>IFERROR(VLOOKUP(C153,DATA!#REF!,2,FALSE),"")</f>
        <v/>
      </c>
      <c r="I153" s="17"/>
      <c r="J153" s="17"/>
      <c r="P153" s="17"/>
      <c r="Q153" s="17"/>
    </row>
    <row r="154" spans="2:17">
      <c r="B154" s="15" t="str">
        <f t="shared" si="52"/>
        <v/>
      </c>
      <c r="C154" s="16" t="str">
        <f>IFERROR(VLOOKUP(DATA!#REF!,DATA!#REF!,1,FALSE),"")</f>
        <v/>
      </c>
      <c r="D154" s="16" t="str">
        <f>IFERROR(VLOOKUP(C154,DATA!#REF!,2,FALSE),"")</f>
        <v/>
      </c>
      <c r="I154" s="17"/>
      <c r="J154" s="17"/>
      <c r="P154" s="17"/>
      <c r="Q154" s="17"/>
    </row>
    <row r="155" spans="2:17">
      <c r="B155" s="15" t="str">
        <f t="shared" si="52"/>
        <v/>
      </c>
      <c r="C155" s="16" t="str">
        <f>IFERROR(VLOOKUP(DATA!#REF!,DATA!#REF!,1,FALSE),"")</f>
        <v/>
      </c>
      <c r="D155" s="16" t="str">
        <f>IFERROR(VLOOKUP(C155,DATA!#REF!,2,FALSE),"")</f>
        <v/>
      </c>
      <c r="I155" s="17"/>
      <c r="J155" s="17"/>
      <c r="P155" s="17"/>
      <c r="Q155" s="17"/>
    </row>
    <row r="156" spans="2:17">
      <c r="B156" s="15" t="str">
        <f t="shared" si="52"/>
        <v/>
      </c>
      <c r="C156" s="16" t="str">
        <f>IFERROR(VLOOKUP(DATA!#REF!,DATA!#REF!,1,FALSE),"")</f>
        <v/>
      </c>
      <c r="D156" s="16" t="str">
        <f>IFERROR(VLOOKUP(C156,DATA!#REF!,2,FALSE),"")</f>
        <v/>
      </c>
      <c r="I156" s="17"/>
      <c r="J156" s="17"/>
      <c r="P156" s="17"/>
      <c r="Q156" s="17"/>
    </row>
    <row r="157" spans="2:17">
      <c r="B157" s="15" t="str">
        <f t="shared" si="52"/>
        <v/>
      </c>
      <c r="C157" s="16" t="str">
        <f>IFERROR(VLOOKUP(DATA!#REF!,DATA!#REF!,1,FALSE),"")</f>
        <v/>
      </c>
      <c r="D157" s="16" t="str">
        <f>IFERROR(VLOOKUP(C157,DATA!#REF!,2,FALSE),"")</f>
        <v/>
      </c>
      <c r="I157" s="17"/>
      <c r="J157" s="17"/>
      <c r="P157" s="17"/>
      <c r="Q157" s="17"/>
    </row>
    <row r="158" spans="2:17">
      <c r="B158" s="15" t="str">
        <f t="shared" si="52"/>
        <v/>
      </c>
      <c r="C158" s="16" t="str">
        <f>IFERROR(VLOOKUP(DATA!#REF!,DATA!#REF!,1,FALSE),"")</f>
        <v/>
      </c>
      <c r="D158" s="16" t="str">
        <f>IFERROR(VLOOKUP(C158,DATA!#REF!,2,FALSE),"")</f>
        <v/>
      </c>
      <c r="I158" s="17"/>
      <c r="J158" s="17"/>
      <c r="P158" s="17"/>
      <c r="Q158" s="17"/>
    </row>
    <row r="159" spans="2:17">
      <c r="B159" s="15" t="str">
        <f t="shared" si="52"/>
        <v/>
      </c>
      <c r="C159" s="16" t="str">
        <f>IFERROR(VLOOKUP(DATA!#REF!,DATA!#REF!,1,FALSE),"")</f>
        <v/>
      </c>
      <c r="D159" s="16" t="str">
        <f>IFERROR(VLOOKUP(C159,DATA!#REF!,2,FALSE),"")</f>
        <v/>
      </c>
      <c r="I159" s="17"/>
      <c r="J159" s="17"/>
      <c r="P159" s="17"/>
      <c r="Q159" s="17"/>
    </row>
    <row r="160" spans="2:17">
      <c r="B160" s="15" t="str">
        <f t="shared" si="52"/>
        <v/>
      </c>
      <c r="C160" s="16" t="str">
        <f>IFERROR(VLOOKUP(DATA!#REF!,DATA!#REF!,1,FALSE),"")</f>
        <v/>
      </c>
      <c r="D160" s="16" t="str">
        <f>IFERROR(VLOOKUP(C160,DATA!#REF!,2,FALSE),"")</f>
        <v/>
      </c>
      <c r="I160" s="17"/>
      <c r="J160" s="17"/>
      <c r="P160" s="17"/>
      <c r="Q160" s="17"/>
    </row>
    <row r="161" spans="2:17">
      <c r="B161" s="15" t="str">
        <f t="shared" si="52"/>
        <v/>
      </c>
      <c r="C161" s="16" t="str">
        <f>IFERROR(VLOOKUP(DATA!#REF!,DATA!#REF!,1,FALSE),"")</f>
        <v/>
      </c>
      <c r="D161" s="16" t="str">
        <f>IFERROR(VLOOKUP(C161,DATA!#REF!,2,FALSE),"")</f>
        <v/>
      </c>
      <c r="I161" s="17"/>
      <c r="J161" s="17"/>
      <c r="P161" s="17"/>
      <c r="Q161" s="17"/>
    </row>
    <row r="162" spans="2:17">
      <c r="B162" s="15" t="str">
        <f t="shared" si="52"/>
        <v/>
      </c>
      <c r="C162" s="16" t="str">
        <f>IFERROR(VLOOKUP(DATA!#REF!,DATA!#REF!,1,FALSE),"")</f>
        <v/>
      </c>
      <c r="D162" s="16" t="str">
        <f>IFERROR(VLOOKUP(C162,DATA!#REF!,2,FALSE),"")</f>
        <v/>
      </c>
      <c r="I162" s="17"/>
      <c r="J162" s="17"/>
      <c r="P162" s="17"/>
      <c r="Q162" s="17"/>
    </row>
    <row r="163" spans="2:17">
      <c r="B163" s="15" t="str">
        <f t="shared" si="52"/>
        <v/>
      </c>
      <c r="C163" s="16" t="str">
        <f>IFERROR(VLOOKUP(DATA!#REF!,DATA!#REF!,1,FALSE),"")</f>
        <v/>
      </c>
      <c r="D163" s="16" t="str">
        <f>IFERROR(VLOOKUP(C163,DATA!#REF!,2,FALSE),"")</f>
        <v/>
      </c>
      <c r="I163" s="17"/>
      <c r="J163" s="17"/>
      <c r="P163" s="17"/>
      <c r="Q163" s="17"/>
    </row>
    <row r="164" spans="2:17">
      <c r="B164" s="15" t="str">
        <f t="shared" si="52"/>
        <v/>
      </c>
      <c r="C164" s="16" t="str">
        <f>IFERROR(VLOOKUP(DATA!#REF!,DATA!#REF!,1,FALSE),"")</f>
        <v/>
      </c>
      <c r="D164" s="16" t="str">
        <f>IFERROR(VLOOKUP(C164,DATA!#REF!,2,FALSE),"")</f>
        <v/>
      </c>
      <c r="I164" s="17"/>
      <c r="J164" s="17"/>
      <c r="P164" s="17"/>
      <c r="Q164" s="17"/>
    </row>
    <row r="165" spans="2:17">
      <c r="B165" s="15" t="str">
        <f t="shared" si="52"/>
        <v/>
      </c>
      <c r="C165" s="16" t="str">
        <f>IFERROR(VLOOKUP(DATA!#REF!,DATA!#REF!,1,FALSE),"")</f>
        <v/>
      </c>
      <c r="D165" s="16" t="str">
        <f>IFERROR(VLOOKUP(C165,DATA!#REF!,2,FALSE),"")</f>
        <v/>
      </c>
      <c r="I165" s="17"/>
      <c r="J165" s="17"/>
      <c r="P165" s="17"/>
      <c r="Q165" s="17"/>
    </row>
    <row r="166" spans="2:17">
      <c r="B166" s="15" t="str">
        <f t="shared" si="52"/>
        <v/>
      </c>
      <c r="C166" s="16" t="str">
        <f>IFERROR(VLOOKUP(DATA!#REF!,DATA!#REF!,1,FALSE),"")</f>
        <v/>
      </c>
      <c r="D166" s="16" t="str">
        <f>IFERROR(VLOOKUP(C166,DATA!#REF!,2,FALSE),"")</f>
        <v/>
      </c>
      <c r="I166" s="17"/>
      <c r="J166" s="17"/>
      <c r="P166" s="17"/>
      <c r="Q166" s="17"/>
    </row>
    <row r="167" spans="2:17">
      <c r="B167" s="15" t="str">
        <f t="shared" si="52"/>
        <v/>
      </c>
      <c r="C167" s="16" t="str">
        <f>IFERROR(VLOOKUP(DATA!#REF!,DATA!#REF!,1,FALSE),"")</f>
        <v/>
      </c>
      <c r="D167" s="16" t="str">
        <f>IFERROR(VLOOKUP(C167,DATA!#REF!,2,FALSE),"")</f>
        <v/>
      </c>
      <c r="I167" s="17"/>
      <c r="J167" s="17"/>
      <c r="P167" s="17"/>
      <c r="Q167" s="17"/>
    </row>
    <row r="168" spans="2:17">
      <c r="B168" s="15" t="str">
        <f t="shared" si="52"/>
        <v/>
      </c>
      <c r="C168" s="16" t="str">
        <f>IFERROR(VLOOKUP(DATA!#REF!,DATA!#REF!,1,FALSE),"")</f>
        <v/>
      </c>
      <c r="D168" s="16" t="str">
        <f>IFERROR(VLOOKUP(C168,DATA!#REF!,2,FALSE),"")</f>
        <v/>
      </c>
      <c r="I168" s="17"/>
      <c r="J168" s="17"/>
      <c r="P168" s="17"/>
      <c r="Q168" s="17"/>
    </row>
    <row r="169" spans="2:17">
      <c r="B169" s="15" t="str">
        <f t="shared" si="52"/>
        <v/>
      </c>
      <c r="C169" s="16" t="str">
        <f>IFERROR(VLOOKUP(DATA!#REF!,DATA!#REF!,1,FALSE),"")</f>
        <v/>
      </c>
      <c r="D169" s="16" t="str">
        <f>IFERROR(VLOOKUP(C169,DATA!#REF!,2,FALSE),"")</f>
        <v/>
      </c>
      <c r="I169" s="17"/>
      <c r="J169" s="17"/>
      <c r="P169" s="17"/>
      <c r="Q169" s="17"/>
    </row>
    <row r="170" spans="2:17">
      <c r="B170" s="15" t="str">
        <f t="shared" si="52"/>
        <v/>
      </c>
      <c r="C170" s="16" t="str">
        <f>IFERROR(VLOOKUP(DATA!#REF!,DATA!#REF!,1,FALSE),"")</f>
        <v/>
      </c>
      <c r="D170" s="16" t="str">
        <f>IFERROR(VLOOKUP(C170,DATA!#REF!,2,FALSE),"")</f>
        <v/>
      </c>
      <c r="I170" s="17"/>
      <c r="J170" s="17"/>
      <c r="P170" s="17"/>
      <c r="Q170" s="17"/>
    </row>
    <row r="171" spans="2:17">
      <c r="B171" s="15" t="str">
        <f t="shared" si="52"/>
        <v/>
      </c>
      <c r="C171" s="16" t="str">
        <f>IFERROR(VLOOKUP(DATA!#REF!,DATA!#REF!,1,FALSE),"")</f>
        <v/>
      </c>
      <c r="D171" s="16" t="str">
        <f>IFERROR(VLOOKUP(C171,DATA!#REF!,2,FALSE),"")</f>
        <v/>
      </c>
      <c r="I171" s="17"/>
      <c r="J171" s="17"/>
      <c r="P171" s="17"/>
      <c r="Q171" s="17"/>
    </row>
    <row r="172" spans="2:17">
      <c r="B172" s="15" t="str">
        <f t="shared" si="52"/>
        <v/>
      </c>
      <c r="C172" s="16" t="str">
        <f>IFERROR(VLOOKUP(DATA!#REF!,DATA!#REF!,1,FALSE),"")</f>
        <v/>
      </c>
      <c r="D172" s="16" t="str">
        <f>IFERROR(VLOOKUP(C172,DATA!#REF!,2,FALSE),"")</f>
        <v/>
      </c>
      <c r="I172" s="17"/>
      <c r="J172" s="17"/>
      <c r="P172" s="17"/>
      <c r="Q172" s="17"/>
    </row>
    <row r="173" spans="2:17">
      <c r="B173" s="15" t="str">
        <f t="shared" si="52"/>
        <v/>
      </c>
      <c r="C173" s="16" t="str">
        <f>IFERROR(VLOOKUP(DATA!#REF!,DATA!#REF!,1,FALSE),"")</f>
        <v/>
      </c>
      <c r="D173" s="16" t="str">
        <f>IFERROR(VLOOKUP(C173,DATA!#REF!,2,FALSE),"")</f>
        <v/>
      </c>
      <c r="I173" s="17"/>
      <c r="J173" s="17"/>
      <c r="P173" s="17"/>
      <c r="Q173" s="17"/>
    </row>
    <row r="174" spans="2:17">
      <c r="B174" s="15" t="str">
        <f t="shared" si="52"/>
        <v/>
      </c>
      <c r="C174" s="16" t="str">
        <f>IFERROR(VLOOKUP(DATA!#REF!,DATA!#REF!,1,FALSE),"")</f>
        <v/>
      </c>
      <c r="D174" s="16" t="str">
        <f>IFERROR(VLOOKUP(C174,DATA!#REF!,2,FALSE),"")</f>
        <v/>
      </c>
      <c r="I174" s="17"/>
      <c r="J174" s="17"/>
      <c r="P174" s="17"/>
      <c r="Q174" s="17"/>
    </row>
    <row r="175" spans="2:17">
      <c r="B175" s="15" t="str">
        <f t="shared" si="52"/>
        <v/>
      </c>
      <c r="C175" s="16" t="str">
        <f>IFERROR(VLOOKUP(DATA!#REF!,DATA!#REF!,1,FALSE),"")</f>
        <v/>
      </c>
      <c r="D175" s="16" t="str">
        <f>IFERROR(VLOOKUP(C175,DATA!#REF!,2,FALSE),"")</f>
        <v/>
      </c>
      <c r="I175" s="17"/>
      <c r="J175" s="17"/>
      <c r="P175" s="17"/>
      <c r="Q175" s="17"/>
    </row>
    <row r="176" spans="2:17">
      <c r="B176" s="15" t="str">
        <f t="shared" si="52"/>
        <v/>
      </c>
      <c r="C176" s="16" t="str">
        <f>IFERROR(VLOOKUP(DATA!#REF!,DATA!#REF!,1,FALSE),"")</f>
        <v/>
      </c>
      <c r="D176" s="16" t="str">
        <f>IFERROR(VLOOKUP(C176,DATA!#REF!,2,FALSE),"")</f>
        <v/>
      </c>
      <c r="I176" s="17"/>
      <c r="J176" s="17"/>
      <c r="P176" s="17"/>
      <c r="Q176" s="17"/>
    </row>
    <row r="177" spans="2:17">
      <c r="B177" s="15" t="str">
        <f t="shared" si="52"/>
        <v/>
      </c>
      <c r="C177" s="16" t="str">
        <f>IFERROR(VLOOKUP(DATA!#REF!,DATA!#REF!,1,FALSE),"")</f>
        <v/>
      </c>
      <c r="D177" s="16" t="str">
        <f>IFERROR(VLOOKUP(C177,DATA!#REF!,2,FALSE),"")</f>
        <v/>
      </c>
      <c r="I177" s="17"/>
      <c r="J177" s="17"/>
      <c r="P177" s="17"/>
      <c r="Q177" s="17"/>
    </row>
    <row r="178" spans="2:17">
      <c r="B178" s="15" t="str">
        <f t="shared" si="52"/>
        <v/>
      </c>
      <c r="C178" s="16" t="str">
        <f>IFERROR(VLOOKUP(DATA!#REF!,DATA!#REF!,1,FALSE),"")</f>
        <v/>
      </c>
      <c r="D178" s="16" t="str">
        <f>IFERROR(VLOOKUP(C178,DATA!#REF!,2,FALSE),"")</f>
        <v/>
      </c>
      <c r="I178" s="17"/>
      <c r="J178" s="17"/>
      <c r="P178" s="17"/>
      <c r="Q178" s="17"/>
    </row>
    <row r="179" spans="2:17">
      <c r="B179" s="15" t="str">
        <f t="shared" si="52"/>
        <v/>
      </c>
      <c r="C179" s="16" t="str">
        <f>IFERROR(VLOOKUP(DATA!#REF!,DATA!#REF!,1,FALSE),"")</f>
        <v/>
      </c>
      <c r="D179" s="16" t="str">
        <f>IFERROR(VLOOKUP(C179,DATA!#REF!,2,FALSE),"")</f>
        <v/>
      </c>
      <c r="I179" s="17"/>
      <c r="J179" s="17"/>
      <c r="P179" s="17"/>
      <c r="Q179" s="17"/>
    </row>
    <row r="180" spans="2:17">
      <c r="B180" s="15" t="str">
        <f t="shared" si="52"/>
        <v/>
      </c>
      <c r="C180" s="16" t="str">
        <f>IFERROR(VLOOKUP(DATA!#REF!,DATA!#REF!,1,FALSE),"")</f>
        <v/>
      </c>
      <c r="D180" s="16" t="str">
        <f>IFERROR(VLOOKUP(C180,DATA!#REF!,2,FALSE),"")</f>
        <v/>
      </c>
      <c r="I180" s="17"/>
      <c r="J180" s="17"/>
      <c r="P180" s="17"/>
      <c r="Q180" s="17"/>
    </row>
    <row r="181" spans="2:17">
      <c r="B181" s="15" t="str">
        <f t="shared" si="52"/>
        <v/>
      </c>
      <c r="C181" s="16" t="str">
        <f>IFERROR(VLOOKUP(DATA!#REF!,DATA!#REF!,1,FALSE),"")</f>
        <v/>
      </c>
      <c r="D181" s="16" t="str">
        <f>IFERROR(VLOOKUP(C181,DATA!#REF!,2,FALSE),"")</f>
        <v/>
      </c>
      <c r="I181" s="17"/>
      <c r="J181" s="17"/>
      <c r="P181" s="17"/>
      <c r="Q181" s="17"/>
    </row>
    <row r="182" spans="2:17">
      <c r="B182" s="15" t="str">
        <f t="shared" si="52"/>
        <v/>
      </c>
      <c r="C182" s="16" t="str">
        <f>IFERROR(VLOOKUP(DATA!#REF!,DATA!#REF!,1,FALSE),"")</f>
        <v/>
      </c>
      <c r="D182" s="16" t="str">
        <f>IFERROR(VLOOKUP(C182,DATA!#REF!,2,FALSE),"")</f>
        <v/>
      </c>
      <c r="I182" s="17"/>
      <c r="J182" s="17"/>
      <c r="P182" s="17"/>
      <c r="Q182" s="17"/>
    </row>
    <row r="183" spans="2:17">
      <c r="B183" s="15" t="str">
        <f t="shared" ref="B183:B246" si="53">+IF(C183="","",ROW()-5)</f>
        <v/>
      </c>
      <c r="C183" s="16" t="str">
        <f>IFERROR(VLOOKUP(DATA!#REF!,DATA!#REF!,1,FALSE),"")</f>
        <v/>
      </c>
      <c r="D183" s="16" t="str">
        <f>IFERROR(VLOOKUP(C183,DATA!#REF!,2,FALSE),"")</f>
        <v/>
      </c>
      <c r="I183" s="17"/>
      <c r="J183" s="17"/>
      <c r="P183" s="17"/>
      <c r="Q183" s="17"/>
    </row>
    <row r="184" spans="2:17">
      <c r="B184" s="15" t="str">
        <f t="shared" si="53"/>
        <v/>
      </c>
      <c r="C184" s="16" t="str">
        <f>IFERROR(VLOOKUP(DATA!#REF!,DATA!#REF!,1,FALSE),"")</f>
        <v/>
      </c>
      <c r="D184" s="16" t="str">
        <f>IFERROR(VLOOKUP(C184,DATA!#REF!,2,FALSE),"")</f>
        <v/>
      </c>
      <c r="I184" s="17"/>
      <c r="J184" s="17"/>
      <c r="P184" s="17"/>
      <c r="Q184" s="17"/>
    </row>
    <row r="185" spans="2:17">
      <c r="B185" s="15" t="str">
        <f t="shared" si="53"/>
        <v/>
      </c>
      <c r="C185" s="16" t="str">
        <f>IFERROR(VLOOKUP(DATA!#REF!,DATA!#REF!,1,FALSE),"")</f>
        <v/>
      </c>
      <c r="D185" s="16" t="str">
        <f>IFERROR(VLOOKUP(C185,DATA!#REF!,2,FALSE),"")</f>
        <v/>
      </c>
      <c r="I185" s="17"/>
      <c r="J185" s="17"/>
      <c r="P185" s="17"/>
      <c r="Q185" s="17"/>
    </row>
    <row r="186" spans="2:17">
      <c r="B186" s="15" t="str">
        <f t="shared" si="53"/>
        <v/>
      </c>
      <c r="C186" s="16" t="str">
        <f>IFERROR(VLOOKUP(DATA!#REF!,DATA!#REF!,1,FALSE),"")</f>
        <v/>
      </c>
      <c r="D186" s="16" t="str">
        <f>IFERROR(VLOOKUP(C186,DATA!#REF!,2,FALSE),"")</f>
        <v/>
      </c>
      <c r="I186" s="17"/>
      <c r="J186" s="17"/>
      <c r="P186" s="17"/>
      <c r="Q186" s="17"/>
    </row>
    <row r="187" spans="2:17">
      <c r="B187" s="15" t="str">
        <f t="shared" si="53"/>
        <v/>
      </c>
      <c r="C187" s="16" t="str">
        <f>IFERROR(VLOOKUP(DATA!#REF!,DATA!#REF!,1,FALSE),"")</f>
        <v/>
      </c>
      <c r="D187" s="16" t="str">
        <f>IFERROR(VLOOKUP(C187,DATA!#REF!,2,FALSE),"")</f>
        <v/>
      </c>
      <c r="I187" s="17"/>
      <c r="J187" s="17"/>
      <c r="P187" s="17"/>
      <c r="Q187" s="17"/>
    </row>
    <row r="188" spans="2:17">
      <c r="B188" s="15" t="str">
        <f t="shared" si="53"/>
        <v/>
      </c>
      <c r="C188" s="16" t="str">
        <f>IFERROR(VLOOKUP(DATA!#REF!,DATA!#REF!,1,FALSE),"")</f>
        <v/>
      </c>
      <c r="D188" s="16" t="str">
        <f>IFERROR(VLOOKUP(C188,DATA!#REF!,2,FALSE),"")</f>
        <v/>
      </c>
      <c r="I188" s="17"/>
      <c r="J188" s="17"/>
      <c r="P188" s="17"/>
      <c r="Q188" s="17"/>
    </row>
    <row r="189" spans="2:17">
      <c r="B189" s="15" t="str">
        <f t="shared" si="53"/>
        <v/>
      </c>
      <c r="C189" s="16" t="str">
        <f>IFERROR(VLOOKUP(DATA!#REF!,DATA!#REF!,1,FALSE),"")</f>
        <v/>
      </c>
      <c r="D189" s="16" t="str">
        <f>IFERROR(VLOOKUP(C189,DATA!#REF!,2,FALSE),"")</f>
        <v/>
      </c>
      <c r="I189" s="17"/>
      <c r="J189" s="17"/>
      <c r="P189" s="17"/>
      <c r="Q189" s="17"/>
    </row>
    <row r="190" spans="2:17">
      <c r="B190" s="15" t="str">
        <f t="shared" si="53"/>
        <v/>
      </c>
      <c r="C190" s="16" t="str">
        <f>IFERROR(VLOOKUP(DATA!#REF!,DATA!#REF!,1,FALSE),"")</f>
        <v/>
      </c>
      <c r="D190" s="16" t="str">
        <f>IFERROR(VLOOKUP(C190,DATA!#REF!,2,FALSE),"")</f>
        <v/>
      </c>
      <c r="I190" s="17"/>
      <c r="J190" s="17"/>
      <c r="P190" s="17"/>
      <c r="Q190" s="17"/>
    </row>
    <row r="191" spans="2:17">
      <c r="B191" s="15" t="str">
        <f t="shared" si="53"/>
        <v/>
      </c>
      <c r="C191" s="16" t="str">
        <f>IFERROR(VLOOKUP(DATA!#REF!,DATA!#REF!,1,FALSE),"")</f>
        <v/>
      </c>
      <c r="D191" s="16" t="str">
        <f>IFERROR(VLOOKUP(C191,DATA!#REF!,2,FALSE),"")</f>
        <v/>
      </c>
      <c r="I191" s="17"/>
      <c r="J191" s="17"/>
      <c r="P191" s="17"/>
      <c r="Q191" s="17"/>
    </row>
    <row r="192" spans="2:17">
      <c r="B192" s="15" t="str">
        <f t="shared" si="53"/>
        <v/>
      </c>
      <c r="C192" s="16" t="str">
        <f>IFERROR(VLOOKUP(DATA!#REF!,DATA!#REF!,1,FALSE),"")</f>
        <v/>
      </c>
      <c r="D192" s="16" t="str">
        <f>IFERROR(VLOOKUP(C192,DATA!#REF!,2,FALSE),"")</f>
        <v/>
      </c>
      <c r="I192" s="17"/>
      <c r="J192" s="17"/>
      <c r="P192" s="17"/>
      <c r="Q192" s="17"/>
    </row>
    <row r="193" spans="2:17">
      <c r="B193" s="15" t="str">
        <f t="shared" si="53"/>
        <v/>
      </c>
      <c r="C193" s="16" t="str">
        <f>IFERROR(VLOOKUP(DATA!#REF!,DATA!#REF!,1,FALSE),"")</f>
        <v/>
      </c>
      <c r="D193" s="16" t="str">
        <f>IFERROR(VLOOKUP(C193,DATA!#REF!,2,FALSE),"")</f>
        <v/>
      </c>
      <c r="I193" s="17"/>
      <c r="J193" s="17"/>
      <c r="P193" s="17"/>
      <c r="Q193" s="17"/>
    </row>
    <row r="194" spans="2:17">
      <c r="B194" s="15" t="str">
        <f t="shared" si="53"/>
        <v/>
      </c>
      <c r="C194" s="16" t="str">
        <f>IFERROR(VLOOKUP(DATA!#REF!,DATA!#REF!,1,FALSE),"")</f>
        <v/>
      </c>
      <c r="D194" s="16" t="str">
        <f>IFERROR(VLOOKUP(C194,DATA!#REF!,2,FALSE),"")</f>
        <v/>
      </c>
      <c r="I194" s="17"/>
      <c r="J194" s="17"/>
      <c r="P194" s="17"/>
      <c r="Q194" s="17"/>
    </row>
    <row r="195" spans="2:17">
      <c r="B195" s="15" t="str">
        <f t="shared" si="53"/>
        <v/>
      </c>
      <c r="C195" s="16" t="str">
        <f>IFERROR(VLOOKUP(DATA!#REF!,DATA!#REF!,1,FALSE),"")</f>
        <v/>
      </c>
      <c r="D195" s="16" t="str">
        <f>IFERROR(VLOOKUP(C195,DATA!#REF!,2,FALSE),"")</f>
        <v/>
      </c>
      <c r="I195" s="17"/>
      <c r="J195" s="17"/>
      <c r="P195" s="17"/>
      <c r="Q195" s="17"/>
    </row>
    <row r="196" spans="2:17">
      <c r="B196" s="15" t="str">
        <f t="shared" si="53"/>
        <v/>
      </c>
      <c r="C196" s="16" t="str">
        <f>IFERROR(VLOOKUP(DATA!#REF!,DATA!#REF!,1,FALSE),"")</f>
        <v/>
      </c>
      <c r="D196" s="16" t="str">
        <f>IFERROR(VLOOKUP(C196,DATA!#REF!,2,FALSE),"")</f>
        <v/>
      </c>
      <c r="I196" s="17"/>
      <c r="J196" s="17"/>
      <c r="P196" s="17"/>
      <c r="Q196" s="17"/>
    </row>
    <row r="197" spans="2:17">
      <c r="B197" s="15" t="str">
        <f t="shared" si="53"/>
        <v/>
      </c>
      <c r="C197" s="16" t="str">
        <f>IFERROR(VLOOKUP(DATA!#REF!,DATA!#REF!,1,FALSE),"")</f>
        <v/>
      </c>
      <c r="D197" s="16" t="str">
        <f>IFERROR(VLOOKUP(C197,DATA!#REF!,2,FALSE),"")</f>
        <v/>
      </c>
      <c r="I197" s="17"/>
      <c r="J197" s="17"/>
      <c r="P197" s="17"/>
      <c r="Q197" s="17"/>
    </row>
    <row r="198" spans="2:17">
      <c r="B198" s="15" t="str">
        <f t="shared" si="53"/>
        <v/>
      </c>
      <c r="C198" s="16" t="str">
        <f>IFERROR(VLOOKUP(DATA!#REF!,DATA!#REF!,1,FALSE),"")</f>
        <v/>
      </c>
      <c r="D198" s="16" t="str">
        <f>IFERROR(VLOOKUP(C198,DATA!#REF!,2,FALSE),"")</f>
        <v/>
      </c>
      <c r="I198" s="17"/>
      <c r="J198" s="17"/>
      <c r="P198" s="17"/>
      <c r="Q198" s="17"/>
    </row>
    <row r="199" spans="2:17">
      <c r="B199" s="15" t="str">
        <f t="shared" si="53"/>
        <v/>
      </c>
      <c r="C199" s="16" t="str">
        <f>IFERROR(VLOOKUP(DATA!#REF!,DATA!#REF!,1,FALSE),"")</f>
        <v/>
      </c>
      <c r="D199" s="16" t="str">
        <f>IFERROR(VLOOKUP(C199,DATA!#REF!,2,FALSE),"")</f>
        <v/>
      </c>
      <c r="I199" s="17"/>
      <c r="J199" s="17"/>
      <c r="P199" s="17"/>
      <c r="Q199" s="17"/>
    </row>
    <row r="200" spans="2:17">
      <c r="B200" s="15" t="str">
        <f t="shared" si="53"/>
        <v/>
      </c>
      <c r="C200" s="16" t="str">
        <f>IFERROR(VLOOKUP(DATA!#REF!,DATA!#REF!,1,FALSE),"")</f>
        <v/>
      </c>
      <c r="D200" s="16" t="str">
        <f>IFERROR(VLOOKUP(C200,DATA!#REF!,2,FALSE),"")</f>
        <v/>
      </c>
      <c r="I200" s="17"/>
      <c r="J200" s="17"/>
      <c r="P200" s="17"/>
      <c r="Q200" s="17"/>
    </row>
    <row r="201" spans="2:17">
      <c r="B201" s="15" t="str">
        <f t="shared" si="53"/>
        <v/>
      </c>
      <c r="C201" s="16" t="str">
        <f>IFERROR(VLOOKUP(DATA!#REF!,DATA!#REF!,1,FALSE),"")</f>
        <v/>
      </c>
      <c r="D201" s="16" t="str">
        <f>IFERROR(VLOOKUP(C201,DATA!#REF!,2,FALSE),"")</f>
        <v/>
      </c>
      <c r="I201" s="17"/>
      <c r="J201" s="17"/>
      <c r="P201" s="17"/>
      <c r="Q201" s="17"/>
    </row>
    <row r="202" spans="2:17">
      <c r="B202" s="15" t="str">
        <f t="shared" si="53"/>
        <v/>
      </c>
      <c r="C202" s="16" t="str">
        <f>IFERROR(VLOOKUP(DATA!#REF!,DATA!#REF!,1,FALSE),"")</f>
        <v/>
      </c>
      <c r="D202" s="16" t="str">
        <f>IFERROR(VLOOKUP(C202,DATA!#REF!,2,FALSE),"")</f>
        <v/>
      </c>
      <c r="I202" s="17"/>
      <c r="J202" s="17"/>
      <c r="P202" s="17"/>
      <c r="Q202" s="17"/>
    </row>
    <row r="203" spans="2:17">
      <c r="B203" s="15" t="str">
        <f t="shared" si="53"/>
        <v/>
      </c>
      <c r="C203" s="16" t="str">
        <f>IFERROR(VLOOKUP(DATA!#REF!,DATA!#REF!,1,FALSE),"")</f>
        <v/>
      </c>
      <c r="D203" s="16" t="str">
        <f>IFERROR(VLOOKUP(C203,DATA!#REF!,2,FALSE),"")</f>
        <v/>
      </c>
      <c r="I203" s="17"/>
      <c r="J203" s="17"/>
      <c r="P203" s="17"/>
      <c r="Q203" s="17"/>
    </row>
    <row r="204" spans="2:17">
      <c r="B204" s="15" t="str">
        <f t="shared" si="53"/>
        <v/>
      </c>
      <c r="C204" s="16" t="str">
        <f>IFERROR(VLOOKUP(DATA!#REF!,DATA!#REF!,1,FALSE),"")</f>
        <v/>
      </c>
      <c r="D204" s="16" t="str">
        <f>IFERROR(VLOOKUP(C204,DATA!#REF!,2,FALSE),"")</f>
        <v/>
      </c>
      <c r="I204" s="17"/>
      <c r="J204" s="17"/>
      <c r="P204" s="17"/>
      <c r="Q204" s="17"/>
    </row>
    <row r="205" spans="2:17">
      <c r="B205" s="15" t="str">
        <f t="shared" si="53"/>
        <v/>
      </c>
      <c r="C205" s="16" t="str">
        <f>IFERROR(VLOOKUP(DATA!#REF!,DATA!#REF!,1,FALSE),"")</f>
        <v/>
      </c>
      <c r="D205" s="16" t="str">
        <f>IFERROR(VLOOKUP(C205,DATA!#REF!,2,FALSE),"")</f>
        <v/>
      </c>
      <c r="I205" s="17"/>
      <c r="J205" s="17"/>
      <c r="P205" s="17"/>
      <c r="Q205" s="17"/>
    </row>
    <row r="206" spans="2:17">
      <c r="B206" s="15" t="str">
        <f t="shared" si="53"/>
        <v/>
      </c>
      <c r="C206" s="16" t="str">
        <f>IFERROR(VLOOKUP(DATA!#REF!,DATA!#REF!,1,FALSE),"")</f>
        <v/>
      </c>
      <c r="D206" s="16" t="str">
        <f>IFERROR(VLOOKUP(C206,DATA!#REF!,2,FALSE),"")</f>
        <v/>
      </c>
      <c r="I206" s="17"/>
      <c r="J206" s="17"/>
      <c r="P206" s="17"/>
      <c r="Q206" s="17"/>
    </row>
    <row r="207" spans="2:17">
      <c r="B207" s="15" t="str">
        <f t="shared" si="53"/>
        <v/>
      </c>
      <c r="C207" s="16" t="str">
        <f>IFERROR(VLOOKUP(DATA!#REF!,DATA!#REF!,1,FALSE),"")</f>
        <v/>
      </c>
      <c r="D207" s="16" t="str">
        <f>IFERROR(VLOOKUP(C207,DATA!#REF!,2,FALSE),"")</f>
        <v/>
      </c>
      <c r="I207" s="17"/>
      <c r="J207" s="17"/>
      <c r="P207" s="17"/>
      <c r="Q207" s="17"/>
    </row>
    <row r="208" spans="2:17">
      <c r="B208" s="15" t="str">
        <f t="shared" si="53"/>
        <v/>
      </c>
      <c r="C208" s="16" t="str">
        <f>IFERROR(VLOOKUP(DATA!#REF!,DATA!#REF!,1,FALSE),"")</f>
        <v/>
      </c>
      <c r="D208" s="16" t="str">
        <f>IFERROR(VLOOKUP(C208,DATA!#REF!,2,FALSE),"")</f>
        <v/>
      </c>
      <c r="I208" s="17"/>
      <c r="J208" s="17"/>
      <c r="P208" s="17"/>
      <c r="Q208" s="17"/>
    </row>
    <row r="209" spans="2:17">
      <c r="B209" s="15" t="str">
        <f t="shared" si="53"/>
        <v/>
      </c>
      <c r="C209" s="16" t="str">
        <f>IFERROR(VLOOKUP(DATA!#REF!,DATA!#REF!,1,FALSE),"")</f>
        <v/>
      </c>
      <c r="D209" s="16" t="str">
        <f>IFERROR(VLOOKUP(C209,DATA!#REF!,2,FALSE),"")</f>
        <v/>
      </c>
      <c r="I209" s="17"/>
      <c r="J209" s="17"/>
      <c r="P209" s="17"/>
      <c r="Q209" s="17"/>
    </row>
    <row r="210" spans="2:17">
      <c r="B210" s="15" t="str">
        <f t="shared" si="53"/>
        <v/>
      </c>
      <c r="C210" s="16" t="str">
        <f>IFERROR(VLOOKUP(DATA!#REF!,DATA!#REF!,1,FALSE),"")</f>
        <v/>
      </c>
      <c r="D210" s="16" t="str">
        <f>IFERROR(VLOOKUP(C210,DATA!#REF!,2,FALSE),"")</f>
        <v/>
      </c>
      <c r="I210" s="17"/>
      <c r="J210" s="17"/>
      <c r="P210" s="17"/>
      <c r="Q210" s="17"/>
    </row>
    <row r="211" spans="2:17">
      <c r="B211" s="15" t="str">
        <f t="shared" si="53"/>
        <v/>
      </c>
      <c r="C211" s="16" t="str">
        <f>IFERROR(VLOOKUP(DATA!#REF!,DATA!#REF!,1,FALSE),"")</f>
        <v/>
      </c>
      <c r="D211" s="16" t="str">
        <f>IFERROR(VLOOKUP(C211,DATA!#REF!,2,FALSE),"")</f>
        <v/>
      </c>
      <c r="I211" s="17"/>
      <c r="J211" s="17"/>
      <c r="P211" s="17"/>
      <c r="Q211" s="17"/>
    </row>
    <row r="212" spans="2:17">
      <c r="B212" s="15" t="str">
        <f t="shared" si="53"/>
        <v/>
      </c>
      <c r="C212" s="16" t="str">
        <f>IFERROR(VLOOKUP(DATA!#REF!,DATA!#REF!,1,FALSE),"")</f>
        <v/>
      </c>
      <c r="D212" s="16" t="str">
        <f>IFERROR(VLOOKUP(C212,DATA!#REF!,2,FALSE),"")</f>
        <v/>
      </c>
      <c r="I212" s="17"/>
      <c r="J212" s="17"/>
      <c r="P212" s="17"/>
      <c r="Q212" s="17"/>
    </row>
    <row r="213" spans="2:17">
      <c r="B213" s="15" t="str">
        <f t="shared" si="53"/>
        <v/>
      </c>
      <c r="C213" s="16" t="str">
        <f>IFERROR(VLOOKUP(DATA!#REF!,DATA!#REF!,1,FALSE),"")</f>
        <v/>
      </c>
      <c r="D213" s="16" t="str">
        <f>IFERROR(VLOOKUP(C213,DATA!#REF!,2,FALSE),"")</f>
        <v/>
      </c>
      <c r="I213" s="17"/>
      <c r="J213" s="17"/>
      <c r="P213" s="17"/>
      <c r="Q213" s="17"/>
    </row>
    <row r="214" spans="2:17">
      <c r="B214" s="15" t="str">
        <f t="shared" si="53"/>
        <v/>
      </c>
      <c r="C214" s="16" t="str">
        <f>IFERROR(VLOOKUP(DATA!#REF!,DATA!#REF!,1,FALSE),"")</f>
        <v/>
      </c>
      <c r="D214" s="16" t="str">
        <f>IFERROR(VLOOKUP(C214,DATA!#REF!,2,FALSE),"")</f>
        <v/>
      </c>
      <c r="I214" s="17"/>
      <c r="J214" s="17"/>
      <c r="P214" s="17"/>
      <c r="Q214" s="17"/>
    </row>
    <row r="215" spans="2:17">
      <c r="B215" s="15" t="str">
        <f t="shared" si="53"/>
        <v/>
      </c>
      <c r="C215" s="16" t="str">
        <f>IFERROR(VLOOKUP(DATA!#REF!,DATA!#REF!,1,FALSE),"")</f>
        <v/>
      </c>
      <c r="D215" s="16" t="str">
        <f>IFERROR(VLOOKUP(C215,DATA!#REF!,2,FALSE),"")</f>
        <v/>
      </c>
      <c r="I215" s="17"/>
      <c r="J215" s="17"/>
      <c r="P215" s="17"/>
      <c r="Q215" s="17"/>
    </row>
    <row r="216" spans="2:17">
      <c r="B216" s="15" t="str">
        <f t="shared" si="53"/>
        <v/>
      </c>
      <c r="C216" s="16" t="str">
        <f>IFERROR(VLOOKUP(DATA!#REF!,DATA!#REF!,1,FALSE),"")</f>
        <v/>
      </c>
      <c r="D216" s="16" t="str">
        <f>IFERROR(VLOOKUP(C216,DATA!#REF!,2,FALSE),"")</f>
        <v/>
      </c>
      <c r="I216" s="17"/>
      <c r="J216" s="17"/>
      <c r="P216" s="17"/>
      <c r="Q216" s="17"/>
    </row>
    <row r="217" spans="2:17">
      <c r="B217" s="15" t="str">
        <f t="shared" si="53"/>
        <v/>
      </c>
      <c r="C217" s="16" t="str">
        <f>IFERROR(VLOOKUP(DATA!#REF!,DATA!#REF!,1,FALSE),"")</f>
        <v/>
      </c>
      <c r="D217" s="16" t="str">
        <f>IFERROR(VLOOKUP(C217,DATA!#REF!,2,FALSE),"")</f>
        <v/>
      </c>
      <c r="I217" s="17"/>
      <c r="J217" s="17"/>
      <c r="P217" s="17"/>
      <c r="Q217" s="17"/>
    </row>
    <row r="218" spans="2:17">
      <c r="B218" s="15" t="str">
        <f t="shared" si="53"/>
        <v/>
      </c>
      <c r="C218" s="16" t="str">
        <f>IFERROR(VLOOKUP(DATA!#REF!,DATA!#REF!,1,FALSE),"")</f>
        <v/>
      </c>
      <c r="D218" s="16" t="str">
        <f>IFERROR(VLOOKUP(C218,DATA!#REF!,2,FALSE),"")</f>
        <v/>
      </c>
      <c r="I218" s="17"/>
      <c r="J218" s="17"/>
      <c r="P218" s="17"/>
      <c r="Q218" s="17"/>
    </row>
    <row r="219" spans="2:17">
      <c r="B219" s="15" t="str">
        <f t="shared" si="53"/>
        <v/>
      </c>
      <c r="C219" s="16" t="str">
        <f>IFERROR(VLOOKUP(DATA!#REF!,DATA!#REF!,1,FALSE),"")</f>
        <v/>
      </c>
      <c r="D219" s="16" t="str">
        <f>IFERROR(VLOOKUP(C219,DATA!#REF!,2,FALSE),"")</f>
        <v/>
      </c>
      <c r="I219" s="17"/>
      <c r="J219" s="17"/>
      <c r="P219" s="17"/>
      <c r="Q219" s="17"/>
    </row>
    <row r="220" spans="2:17">
      <c r="B220" s="15" t="str">
        <f t="shared" si="53"/>
        <v/>
      </c>
      <c r="C220" s="16" t="str">
        <f>IFERROR(VLOOKUP(DATA!#REF!,DATA!#REF!,1,FALSE),"")</f>
        <v/>
      </c>
      <c r="D220" s="16" t="str">
        <f>IFERROR(VLOOKUP(C220,DATA!#REF!,2,FALSE),"")</f>
        <v/>
      </c>
      <c r="I220" s="17"/>
      <c r="J220" s="17"/>
      <c r="P220" s="17"/>
      <c r="Q220" s="17"/>
    </row>
    <row r="221" spans="2:17">
      <c r="B221" s="15" t="str">
        <f t="shared" si="53"/>
        <v/>
      </c>
      <c r="C221" s="16" t="str">
        <f>IFERROR(VLOOKUP(DATA!#REF!,DATA!#REF!,1,FALSE),"")</f>
        <v/>
      </c>
      <c r="D221" s="16" t="str">
        <f>IFERROR(VLOOKUP(C221,DATA!#REF!,2,FALSE),"")</f>
        <v/>
      </c>
      <c r="I221" s="17"/>
      <c r="J221" s="17"/>
      <c r="P221" s="17"/>
      <c r="Q221" s="17"/>
    </row>
    <row r="222" spans="2:17">
      <c r="B222" s="15" t="str">
        <f t="shared" si="53"/>
        <v/>
      </c>
      <c r="C222" s="16" t="str">
        <f>IFERROR(VLOOKUP(DATA!#REF!,DATA!#REF!,1,FALSE),"")</f>
        <v/>
      </c>
      <c r="D222" s="16" t="str">
        <f>IFERROR(VLOOKUP(C222,DATA!#REF!,2,FALSE),"")</f>
        <v/>
      </c>
      <c r="I222" s="17"/>
      <c r="J222" s="17"/>
      <c r="P222" s="17"/>
      <c r="Q222" s="17"/>
    </row>
    <row r="223" spans="2:17">
      <c r="B223" s="15" t="str">
        <f t="shared" si="53"/>
        <v/>
      </c>
      <c r="C223" s="16" t="str">
        <f>IFERROR(VLOOKUP(DATA!#REF!,DATA!#REF!,1,FALSE),"")</f>
        <v/>
      </c>
      <c r="D223" s="16" t="str">
        <f>IFERROR(VLOOKUP(C223,DATA!#REF!,2,FALSE),"")</f>
        <v/>
      </c>
      <c r="I223" s="17"/>
      <c r="J223" s="17"/>
      <c r="P223" s="17"/>
      <c r="Q223" s="17"/>
    </row>
    <row r="224" spans="2:17">
      <c r="B224" s="15" t="str">
        <f t="shared" si="53"/>
        <v/>
      </c>
      <c r="C224" s="16" t="str">
        <f>IFERROR(VLOOKUP(DATA!#REF!,DATA!#REF!,1,FALSE),"")</f>
        <v/>
      </c>
      <c r="D224" s="16" t="str">
        <f>IFERROR(VLOOKUP(C224,DATA!#REF!,2,FALSE),"")</f>
        <v/>
      </c>
      <c r="I224" s="17"/>
      <c r="J224" s="17"/>
      <c r="P224" s="17"/>
      <c r="Q224" s="17"/>
    </row>
    <row r="225" spans="2:17">
      <c r="B225" s="15" t="str">
        <f t="shared" si="53"/>
        <v/>
      </c>
      <c r="C225" s="16" t="str">
        <f>IFERROR(VLOOKUP(DATA!#REF!,DATA!#REF!,1,FALSE),"")</f>
        <v/>
      </c>
      <c r="D225" s="16" t="str">
        <f>IFERROR(VLOOKUP(C225,DATA!#REF!,2,FALSE),"")</f>
        <v/>
      </c>
      <c r="I225" s="17"/>
      <c r="J225" s="17"/>
      <c r="P225" s="17"/>
      <c r="Q225" s="17"/>
    </row>
    <row r="226" spans="2:17">
      <c r="B226" s="15" t="str">
        <f t="shared" si="53"/>
        <v/>
      </c>
      <c r="C226" s="16" t="str">
        <f>IFERROR(VLOOKUP(DATA!#REF!,DATA!#REF!,1,FALSE),"")</f>
        <v/>
      </c>
      <c r="D226" s="16" t="str">
        <f>IFERROR(VLOOKUP(C226,DATA!#REF!,2,FALSE),"")</f>
        <v/>
      </c>
      <c r="I226" s="17"/>
      <c r="J226" s="17"/>
      <c r="P226" s="17"/>
      <c r="Q226" s="17"/>
    </row>
    <row r="227" spans="2:17">
      <c r="B227" s="15" t="str">
        <f t="shared" si="53"/>
        <v/>
      </c>
      <c r="C227" s="16" t="str">
        <f>IFERROR(VLOOKUP(DATA!#REF!,DATA!#REF!,1,FALSE),"")</f>
        <v/>
      </c>
      <c r="D227" s="16" t="str">
        <f>IFERROR(VLOOKUP(C227,DATA!#REF!,2,FALSE),"")</f>
        <v/>
      </c>
      <c r="I227" s="17"/>
      <c r="J227" s="17"/>
      <c r="P227" s="17"/>
      <c r="Q227" s="17"/>
    </row>
    <row r="228" spans="2:17">
      <c r="B228" s="15" t="str">
        <f t="shared" si="53"/>
        <v/>
      </c>
      <c r="C228" s="16" t="str">
        <f>IFERROR(VLOOKUP(DATA!#REF!,DATA!#REF!,1,FALSE),"")</f>
        <v/>
      </c>
      <c r="D228" s="16" t="str">
        <f>IFERROR(VLOOKUP(C228,DATA!#REF!,2,FALSE),"")</f>
        <v/>
      </c>
      <c r="I228" s="17"/>
      <c r="J228" s="17"/>
      <c r="P228" s="17"/>
      <c r="Q228" s="17"/>
    </row>
    <row r="229" spans="2:17">
      <c r="B229" s="15" t="str">
        <f t="shared" si="53"/>
        <v/>
      </c>
      <c r="C229" s="16" t="str">
        <f>IFERROR(VLOOKUP(DATA!#REF!,DATA!#REF!,1,FALSE),"")</f>
        <v/>
      </c>
      <c r="D229" s="16" t="str">
        <f>IFERROR(VLOOKUP(C229,DATA!#REF!,2,FALSE),"")</f>
        <v/>
      </c>
      <c r="I229" s="17"/>
      <c r="J229" s="17"/>
      <c r="P229" s="17"/>
      <c r="Q229" s="17"/>
    </row>
    <row r="230" spans="2:17">
      <c r="B230" s="15" t="str">
        <f t="shared" si="53"/>
        <v/>
      </c>
      <c r="C230" s="16" t="str">
        <f>IFERROR(VLOOKUP(DATA!#REF!,DATA!#REF!,1,FALSE),"")</f>
        <v/>
      </c>
      <c r="D230" s="16" t="str">
        <f>IFERROR(VLOOKUP(C230,DATA!#REF!,2,FALSE),"")</f>
        <v/>
      </c>
      <c r="I230" s="17"/>
      <c r="J230" s="17"/>
      <c r="P230" s="17"/>
      <c r="Q230" s="17"/>
    </row>
    <row r="231" spans="2:17">
      <c r="B231" s="15" t="str">
        <f t="shared" si="53"/>
        <v/>
      </c>
      <c r="C231" s="16" t="str">
        <f>IFERROR(VLOOKUP(DATA!#REF!,DATA!#REF!,1,FALSE),"")</f>
        <v/>
      </c>
      <c r="D231" s="16" t="str">
        <f>IFERROR(VLOOKUP(C231,DATA!#REF!,2,FALSE),"")</f>
        <v/>
      </c>
      <c r="I231" s="17"/>
      <c r="J231" s="17"/>
      <c r="P231" s="17"/>
      <c r="Q231" s="17"/>
    </row>
    <row r="232" spans="2:17">
      <c r="B232" s="15" t="str">
        <f t="shared" si="53"/>
        <v/>
      </c>
      <c r="C232" s="16" t="str">
        <f>IFERROR(VLOOKUP(DATA!#REF!,DATA!#REF!,1,FALSE),"")</f>
        <v/>
      </c>
      <c r="D232" s="16" t="str">
        <f>IFERROR(VLOOKUP(C232,DATA!#REF!,2,FALSE),"")</f>
        <v/>
      </c>
      <c r="I232" s="17"/>
      <c r="J232" s="17"/>
      <c r="P232" s="17"/>
      <c r="Q232" s="17"/>
    </row>
    <row r="233" spans="2:17">
      <c r="B233" s="15" t="str">
        <f t="shared" si="53"/>
        <v/>
      </c>
      <c r="C233" s="16" t="str">
        <f>IFERROR(VLOOKUP(DATA!#REF!,DATA!#REF!,1,FALSE),"")</f>
        <v/>
      </c>
      <c r="D233" s="16" t="str">
        <f>IFERROR(VLOOKUP(C233,DATA!#REF!,2,FALSE),"")</f>
        <v/>
      </c>
      <c r="I233" s="17"/>
      <c r="J233" s="17"/>
      <c r="P233" s="17"/>
      <c r="Q233" s="17"/>
    </row>
    <row r="234" spans="2:17">
      <c r="B234" s="15" t="str">
        <f t="shared" si="53"/>
        <v/>
      </c>
      <c r="C234" s="16" t="str">
        <f>IFERROR(VLOOKUP(DATA!#REF!,DATA!#REF!,1,FALSE),"")</f>
        <v/>
      </c>
      <c r="D234" s="16" t="str">
        <f>IFERROR(VLOOKUP(C234,DATA!#REF!,2,FALSE),"")</f>
        <v/>
      </c>
      <c r="I234" s="17"/>
      <c r="J234" s="17"/>
      <c r="P234" s="17"/>
      <c r="Q234" s="17"/>
    </row>
    <row r="235" spans="2:17">
      <c r="B235" s="15" t="str">
        <f t="shared" si="53"/>
        <v/>
      </c>
      <c r="C235" s="16" t="str">
        <f>IFERROR(VLOOKUP(DATA!#REF!,DATA!#REF!,1,FALSE),"")</f>
        <v/>
      </c>
      <c r="D235" s="16" t="str">
        <f>IFERROR(VLOOKUP(C235,DATA!#REF!,2,FALSE),"")</f>
        <v/>
      </c>
      <c r="I235" s="17"/>
      <c r="J235" s="17"/>
      <c r="P235" s="17"/>
      <c r="Q235" s="17"/>
    </row>
    <row r="236" spans="2:17">
      <c r="B236" s="15" t="str">
        <f t="shared" si="53"/>
        <v/>
      </c>
      <c r="C236" s="16" t="str">
        <f>IFERROR(VLOOKUP(DATA!#REF!,DATA!#REF!,1,FALSE),"")</f>
        <v/>
      </c>
      <c r="D236" s="16" t="str">
        <f>IFERROR(VLOOKUP(C236,DATA!#REF!,2,FALSE),"")</f>
        <v/>
      </c>
      <c r="I236" s="17"/>
      <c r="J236" s="17"/>
      <c r="P236" s="17"/>
      <c r="Q236" s="17"/>
    </row>
    <row r="237" spans="2:17">
      <c r="B237" s="15" t="str">
        <f t="shared" si="53"/>
        <v/>
      </c>
      <c r="C237" s="16" t="str">
        <f>IFERROR(VLOOKUP(DATA!#REF!,DATA!#REF!,1,FALSE),"")</f>
        <v/>
      </c>
      <c r="D237" s="16" t="str">
        <f>IFERROR(VLOOKUP(C237,DATA!#REF!,2,FALSE),"")</f>
        <v/>
      </c>
      <c r="I237" s="17"/>
      <c r="J237" s="17"/>
      <c r="P237" s="17"/>
      <c r="Q237" s="17"/>
    </row>
    <row r="238" spans="2:17">
      <c r="B238" s="15" t="str">
        <f t="shared" si="53"/>
        <v/>
      </c>
      <c r="C238" s="16" t="str">
        <f>IFERROR(VLOOKUP(DATA!#REF!,DATA!#REF!,1,FALSE),"")</f>
        <v/>
      </c>
      <c r="D238" s="16" t="str">
        <f>IFERROR(VLOOKUP(C238,DATA!#REF!,2,FALSE),"")</f>
        <v/>
      </c>
      <c r="I238" s="17"/>
      <c r="J238" s="17"/>
      <c r="P238" s="17"/>
      <c r="Q238" s="17"/>
    </row>
    <row r="239" spans="2:17">
      <c r="B239" s="15" t="str">
        <f t="shared" si="53"/>
        <v/>
      </c>
      <c r="C239" s="16" t="str">
        <f>IFERROR(VLOOKUP(DATA!#REF!,DATA!#REF!,1,FALSE),"")</f>
        <v/>
      </c>
      <c r="D239" s="16" t="str">
        <f>IFERROR(VLOOKUP(C239,DATA!#REF!,2,FALSE),"")</f>
        <v/>
      </c>
      <c r="I239" s="17"/>
      <c r="J239" s="17"/>
      <c r="P239" s="17"/>
      <c r="Q239" s="17"/>
    </row>
    <row r="240" spans="2:17">
      <c r="B240" s="15" t="str">
        <f t="shared" si="53"/>
        <v/>
      </c>
      <c r="C240" s="16" t="str">
        <f>IFERROR(VLOOKUP(DATA!#REF!,DATA!#REF!,1,FALSE),"")</f>
        <v/>
      </c>
      <c r="D240" s="16" t="str">
        <f>IFERROR(VLOOKUP(C240,DATA!#REF!,2,FALSE),"")</f>
        <v/>
      </c>
      <c r="I240" s="17"/>
      <c r="J240" s="17"/>
      <c r="P240" s="17"/>
      <c r="Q240" s="17"/>
    </row>
    <row r="241" spans="2:17">
      <c r="B241" s="15" t="str">
        <f t="shared" si="53"/>
        <v/>
      </c>
      <c r="C241" s="16" t="str">
        <f>IFERROR(VLOOKUP(DATA!#REF!,DATA!#REF!,1,FALSE),"")</f>
        <v/>
      </c>
      <c r="D241" s="16" t="str">
        <f>IFERROR(VLOOKUP(C241,DATA!#REF!,2,FALSE),"")</f>
        <v/>
      </c>
      <c r="I241" s="17"/>
      <c r="J241" s="17"/>
      <c r="P241" s="17"/>
      <c r="Q241" s="17"/>
    </row>
    <row r="242" spans="2:17">
      <c r="B242" s="15" t="str">
        <f t="shared" si="53"/>
        <v/>
      </c>
      <c r="C242" s="16" t="str">
        <f>IFERROR(VLOOKUP(DATA!#REF!,DATA!#REF!,1,FALSE),"")</f>
        <v/>
      </c>
      <c r="D242" s="16" t="str">
        <f>IFERROR(VLOOKUP(C242,DATA!#REF!,2,FALSE),"")</f>
        <v/>
      </c>
      <c r="I242" s="17"/>
      <c r="J242" s="17"/>
      <c r="P242" s="17"/>
      <c r="Q242" s="17"/>
    </row>
    <row r="243" spans="2:17">
      <c r="B243" s="15" t="str">
        <f t="shared" si="53"/>
        <v/>
      </c>
      <c r="C243" s="16" t="str">
        <f>IFERROR(VLOOKUP(DATA!#REF!,DATA!#REF!,1,FALSE),"")</f>
        <v/>
      </c>
      <c r="D243" s="16" t="str">
        <f>IFERROR(VLOOKUP(C243,DATA!#REF!,2,FALSE),"")</f>
        <v/>
      </c>
      <c r="I243" s="17"/>
      <c r="J243" s="17"/>
      <c r="P243" s="17"/>
      <c r="Q243" s="17"/>
    </row>
    <row r="244" spans="2:17">
      <c r="B244" s="15" t="str">
        <f t="shared" si="53"/>
        <v/>
      </c>
      <c r="C244" s="16" t="str">
        <f>IFERROR(VLOOKUP(DATA!#REF!,DATA!#REF!,1,FALSE),"")</f>
        <v/>
      </c>
      <c r="D244" s="16" t="str">
        <f>IFERROR(VLOOKUP(C244,DATA!#REF!,2,FALSE),"")</f>
        <v/>
      </c>
      <c r="I244" s="17"/>
      <c r="J244" s="17"/>
      <c r="P244" s="17"/>
      <c r="Q244" s="17"/>
    </row>
    <row r="245" spans="2:17">
      <c r="B245" s="15" t="str">
        <f t="shared" si="53"/>
        <v/>
      </c>
      <c r="C245" s="16" t="str">
        <f>IFERROR(VLOOKUP(DATA!#REF!,DATA!#REF!,1,FALSE),"")</f>
        <v/>
      </c>
      <c r="D245" s="16" t="str">
        <f>IFERROR(VLOOKUP(C245,DATA!#REF!,2,FALSE),"")</f>
        <v/>
      </c>
      <c r="I245" s="17"/>
      <c r="J245" s="17"/>
      <c r="P245" s="17"/>
      <c r="Q245" s="17"/>
    </row>
    <row r="246" spans="2:17">
      <c r="B246" s="15" t="str">
        <f t="shared" si="53"/>
        <v/>
      </c>
      <c r="C246" s="16" t="str">
        <f>IFERROR(VLOOKUP(DATA!#REF!,DATA!#REF!,1,FALSE),"")</f>
        <v/>
      </c>
      <c r="D246" s="16" t="str">
        <f>IFERROR(VLOOKUP(C246,DATA!#REF!,2,FALSE),"")</f>
        <v/>
      </c>
      <c r="I246" s="17"/>
      <c r="J246" s="17"/>
      <c r="P246" s="17"/>
      <c r="Q246" s="17"/>
    </row>
    <row r="247" spans="2:17">
      <c r="B247" s="15" t="str">
        <f t="shared" ref="B247:B310" si="54">+IF(C247="","",ROW()-5)</f>
        <v/>
      </c>
      <c r="C247" s="16" t="str">
        <f>IFERROR(VLOOKUP(DATA!#REF!,DATA!#REF!,1,FALSE),"")</f>
        <v/>
      </c>
      <c r="D247" s="16" t="str">
        <f>IFERROR(VLOOKUP(C247,DATA!#REF!,2,FALSE),"")</f>
        <v/>
      </c>
      <c r="I247" s="17"/>
      <c r="J247" s="17"/>
      <c r="P247" s="17"/>
      <c r="Q247" s="17"/>
    </row>
    <row r="248" spans="2:17">
      <c r="B248" s="15" t="str">
        <f t="shared" si="54"/>
        <v/>
      </c>
      <c r="C248" s="16" t="str">
        <f>IFERROR(VLOOKUP(DATA!#REF!,DATA!#REF!,1,FALSE),"")</f>
        <v/>
      </c>
      <c r="D248" s="16" t="str">
        <f>IFERROR(VLOOKUP(C248,DATA!#REF!,2,FALSE),"")</f>
        <v/>
      </c>
      <c r="I248" s="17"/>
      <c r="J248" s="17"/>
      <c r="P248" s="17"/>
      <c r="Q248" s="17"/>
    </row>
    <row r="249" spans="2:17">
      <c r="B249" s="15" t="str">
        <f t="shared" si="54"/>
        <v/>
      </c>
      <c r="C249" s="16" t="str">
        <f>IFERROR(VLOOKUP(DATA!#REF!,DATA!#REF!,1,FALSE),"")</f>
        <v/>
      </c>
      <c r="D249" s="16" t="str">
        <f>IFERROR(VLOOKUP(C249,DATA!#REF!,2,FALSE),"")</f>
        <v/>
      </c>
      <c r="I249" s="17"/>
      <c r="J249" s="17"/>
      <c r="P249" s="17"/>
      <c r="Q249" s="17"/>
    </row>
    <row r="250" spans="2:17">
      <c r="B250" s="15" t="str">
        <f t="shared" si="54"/>
        <v/>
      </c>
      <c r="C250" s="16" t="str">
        <f>IFERROR(VLOOKUP(DATA!#REF!,DATA!#REF!,1,FALSE),"")</f>
        <v/>
      </c>
      <c r="D250" s="16" t="str">
        <f>IFERROR(VLOOKUP(C250,DATA!#REF!,2,FALSE),"")</f>
        <v/>
      </c>
      <c r="I250" s="17"/>
      <c r="J250" s="17"/>
      <c r="P250" s="17"/>
      <c r="Q250" s="17"/>
    </row>
    <row r="251" spans="2:17">
      <c r="B251" s="15" t="str">
        <f t="shared" si="54"/>
        <v/>
      </c>
      <c r="C251" s="16" t="str">
        <f>IFERROR(VLOOKUP(DATA!#REF!,DATA!#REF!,1,FALSE),"")</f>
        <v/>
      </c>
      <c r="D251" s="16" t="str">
        <f>IFERROR(VLOOKUP(C251,DATA!#REF!,2,FALSE),"")</f>
        <v/>
      </c>
      <c r="I251" s="17"/>
      <c r="J251" s="17"/>
      <c r="P251" s="17"/>
      <c r="Q251" s="17"/>
    </row>
    <row r="252" spans="2:17">
      <c r="B252" s="15" t="str">
        <f t="shared" si="54"/>
        <v/>
      </c>
      <c r="C252" s="16" t="str">
        <f>IFERROR(VLOOKUP(DATA!#REF!,DATA!#REF!,1,FALSE),"")</f>
        <v/>
      </c>
      <c r="D252" s="16" t="str">
        <f>IFERROR(VLOOKUP(C252,DATA!#REF!,2,FALSE),"")</f>
        <v/>
      </c>
      <c r="I252" s="17"/>
      <c r="J252" s="17"/>
      <c r="P252" s="17"/>
      <c r="Q252" s="17"/>
    </row>
    <row r="253" spans="2:17">
      <c r="B253" s="15" t="str">
        <f t="shared" si="54"/>
        <v/>
      </c>
      <c r="C253" s="16" t="str">
        <f>IFERROR(VLOOKUP(DATA!#REF!,DATA!#REF!,1,FALSE),"")</f>
        <v/>
      </c>
      <c r="D253" s="16" t="str">
        <f>IFERROR(VLOOKUP(C253,DATA!#REF!,2,FALSE),"")</f>
        <v/>
      </c>
      <c r="I253" s="17"/>
      <c r="J253" s="17"/>
      <c r="P253" s="17"/>
      <c r="Q253" s="17"/>
    </row>
    <row r="254" spans="2:17">
      <c r="B254" s="15" t="str">
        <f t="shared" si="54"/>
        <v/>
      </c>
      <c r="C254" s="16" t="str">
        <f>IFERROR(VLOOKUP(DATA!#REF!,DATA!#REF!,1,FALSE),"")</f>
        <v/>
      </c>
      <c r="D254" s="16" t="str">
        <f>IFERROR(VLOOKUP(C254,DATA!#REF!,2,FALSE),"")</f>
        <v/>
      </c>
      <c r="I254" s="17"/>
      <c r="J254" s="17"/>
      <c r="P254" s="17"/>
      <c r="Q254" s="17"/>
    </row>
    <row r="255" spans="2:17">
      <c r="B255" s="15" t="str">
        <f t="shared" si="54"/>
        <v/>
      </c>
      <c r="C255" s="16" t="str">
        <f>IFERROR(VLOOKUP(DATA!#REF!,DATA!#REF!,1,FALSE),"")</f>
        <v/>
      </c>
      <c r="D255" s="16" t="str">
        <f>IFERROR(VLOOKUP(C255,DATA!#REF!,2,FALSE),"")</f>
        <v/>
      </c>
      <c r="I255" s="17"/>
      <c r="J255" s="17"/>
      <c r="P255" s="17"/>
      <c r="Q255" s="17"/>
    </row>
    <row r="256" spans="2:17">
      <c r="B256" s="15" t="str">
        <f t="shared" si="54"/>
        <v/>
      </c>
      <c r="C256" s="16" t="str">
        <f>IFERROR(VLOOKUP(DATA!#REF!,DATA!#REF!,1,FALSE),"")</f>
        <v/>
      </c>
      <c r="D256" s="16" t="str">
        <f>IFERROR(VLOOKUP(C256,DATA!#REF!,2,FALSE),"")</f>
        <v/>
      </c>
      <c r="I256" s="17"/>
      <c r="J256" s="17"/>
      <c r="P256" s="17"/>
      <c r="Q256" s="17"/>
    </row>
    <row r="257" spans="2:17">
      <c r="B257" s="15" t="str">
        <f t="shared" si="54"/>
        <v/>
      </c>
      <c r="C257" s="16" t="str">
        <f>IFERROR(VLOOKUP(DATA!#REF!,DATA!#REF!,1,FALSE),"")</f>
        <v/>
      </c>
      <c r="D257" s="16" t="str">
        <f>IFERROR(VLOOKUP(C257,DATA!#REF!,2,FALSE),"")</f>
        <v/>
      </c>
      <c r="I257" s="17"/>
      <c r="J257" s="17"/>
      <c r="P257" s="17"/>
      <c r="Q257" s="17"/>
    </row>
    <row r="258" spans="2:17">
      <c r="B258" s="15" t="str">
        <f t="shared" si="54"/>
        <v/>
      </c>
      <c r="C258" s="16" t="str">
        <f>IFERROR(VLOOKUP(DATA!#REF!,DATA!#REF!,1,FALSE),"")</f>
        <v/>
      </c>
      <c r="D258" s="16" t="str">
        <f>IFERROR(VLOOKUP(C258,DATA!#REF!,2,FALSE),"")</f>
        <v/>
      </c>
      <c r="I258" s="17"/>
      <c r="J258" s="17"/>
      <c r="P258" s="17"/>
      <c r="Q258" s="17"/>
    </row>
    <row r="259" spans="2:17">
      <c r="B259" s="15" t="str">
        <f t="shared" si="54"/>
        <v/>
      </c>
      <c r="C259" s="16" t="str">
        <f>IFERROR(VLOOKUP(DATA!#REF!,DATA!#REF!,1,FALSE),"")</f>
        <v/>
      </c>
      <c r="D259" s="16" t="str">
        <f>IFERROR(VLOOKUP(C259,DATA!#REF!,2,FALSE),"")</f>
        <v/>
      </c>
      <c r="I259" s="17"/>
      <c r="J259" s="17"/>
      <c r="P259" s="17"/>
      <c r="Q259" s="17"/>
    </row>
    <row r="260" spans="2:17">
      <c r="B260" s="15" t="str">
        <f t="shared" si="54"/>
        <v/>
      </c>
      <c r="C260" s="16" t="str">
        <f>IFERROR(VLOOKUP(DATA!#REF!,DATA!#REF!,1,FALSE),"")</f>
        <v/>
      </c>
      <c r="D260" s="16" t="str">
        <f>IFERROR(VLOOKUP(C260,DATA!#REF!,2,FALSE),"")</f>
        <v/>
      </c>
      <c r="I260" s="17"/>
      <c r="J260" s="17"/>
      <c r="P260" s="17"/>
      <c r="Q260" s="17"/>
    </row>
    <row r="261" spans="2:17">
      <c r="B261" s="15" t="str">
        <f t="shared" si="54"/>
        <v/>
      </c>
      <c r="C261" s="16" t="str">
        <f>IFERROR(VLOOKUP(DATA!#REF!,DATA!#REF!,1,FALSE),"")</f>
        <v/>
      </c>
      <c r="D261" s="16" t="str">
        <f>IFERROR(VLOOKUP(C261,DATA!#REF!,2,FALSE),"")</f>
        <v/>
      </c>
      <c r="I261" s="17"/>
      <c r="J261" s="17"/>
      <c r="P261" s="17"/>
      <c r="Q261" s="17"/>
    </row>
    <row r="262" spans="2:17">
      <c r="B262" s="15" t="str">
        <f t="shared" si="54"/>
        <v/>
      </c>
      <c r="C262" s="16" t="str">
        <f>IFERROR(VLOOKUP(DATA!#REF!,DATA!#REF!,1,FALSE),"")</f>
        <v/>
      </c>
      <c r="D262" s="16" t="str">
        <f>IFERROR(VLOOKUP(C262,DATA!#REF!,2,FALSE),"")</f>
        <v/>
      </c>
      <c r="I262" s="17"/>
      <c r="J262" s="17"/>
      <c r="P262" s="17"/>
      <c r="Q262" s="17"/>
    </row>
    <row r="263" spans="2:17">
      <c r="B263" s="15" t="str">
        <f t="shared" si="54"/>
        <v/>
      </c>
      <c r="C263" s="16" t="str">
        <f>IFERROR(VLOOKUP(DATA!#REF!,DATA!#REF!,1,FALSE),"")</f>
        <v/>
      </c>
      <c r="D263" s="16" t="str">
        <f>IFERROR(VLOOKUP(C263,DATA!#REF!,2,FALSE),"")</f>
        <v/>
      </c>
      <c r="I263" s="17"/>
      <c r="J263" s="17"/>
      <c r="P263" s="17"/>
      <c r="Q263" s="17"/>
    </row>
    <row r="264" spans="2:17">
      <c r="B264" s="15" t="str">
        <f t="shared" si="54"/>
        <v/>
      </c>
      <c r="C264" s="16" t="str">
        <f>IFERROR(VLOOKUP(DATA!#REF!,DATA!#REF!,1,FALSE),"")</f>
        <v/>
      </c>
      <c r="D264" s="16" t="str">
        <f>IFERROR(VLOOKUP(C264,DATA!#REF!,2,FALSE),"")</f>
        <v/>
      </c>
      <c r="I264" s="17"/>
      <c r="J264" s="17"/>
      <c r="P264" s="17"/>
      <c r="Q264" s="17"/>
    </row>
    <row r="265" spans="2:17">
      <c r="B265" s="15" t="str">
        <f t="shared" si="54"/>
        <v/>
      </c>
      <c r="C265" s="16" t="str">
        <f>IFERROR(VLOOKUP(DATA!#REF!,DATA!#REF!,1,FALSE),"")</f>
        <v/>
      </c>
      <c r="D265" s="16" t="str">
        <f>IFERROR(VLOOKUP(C265,DATA!#REF!,2,FALSE),"")</f>
        <v/>
      </c>
      <c r="I265" s="17"/>
      <c r="J265" s="17"/>
      <c r="P265" s="17"/>
      <c r="Q265" s="17"/>
    </row>
    <row r="266" spans="2:17">
      <c r="B266" s="15" t="str">
        <f t="shared" si="54"/>
        <v/>
      </c>
      <c r="C266" s="16" t="str">
        <f>IFERROR(VLOOKUP(DATA!#REF!,DATA!#REF!,1,FALSE),"")</f>
        <v/>
      </c>
      <c r="D266" s="16" t="str">
        <f>IFERROR(VLOOKUP(C266,DATA!#REF!,2,FALSE),"")</f>
        <v/>
      </c>
      <c r="I266" s="17"/>
      <c r="J266" s="17"/>
      <c r="P266" s="17"/>
      <c r="Q266" s="17"/>
    </row>
    <row r="267" spans="2:17">
      <c r="B267" s="15" t="str">
        <f t="shared" si="54"/>
        <v/>
      </c>
      <c r="C267" s="16" t="str">
        <f>IFERROR(VLOOKUP(DATA!#REF!,DATA!#REF!,1,FALSE),"")</f>
        <v/>
      </c>
      <c r="D267" s="16" t="str">
        <f>IFERROR(VLOOKUP(C267,DATA!#REF!,2,FALSE),"")</f>
        <v/>
      </c>
      <c r="I267" s="17"/>
      <c r="J267" s="17"/>
      <c r="P267" s="17"/>
      <c r="Q267" s="17"/>
    </row>
    <row r="268" spans="2:17">
      <c r="B268" s="15" t="str">
        <f t="shared" si="54"/>
        <v/>
      </c>
      <c r="C268" s="16" t="str">
        <f>IFERROR(VLOOKUP(DATA!#REF!,DATA!#REF!,1,FALSE),"")</f>
        <v/>
      </c>
      <c r="D268" s="16" t="str">
        <f>IFERROR(VLOOKUP(C268,DATA!#REF!,2,FALSE),"")</f>
        <v/>
      </c>
      <c r="I268" s="17"/>
      <c r="J268" s="17"/>
      <c r="P268" s="17"/>
      <c r="Q268" s="17"/>
    </row>
    <row r="269" spans="2:17">
      <c r="B269" s="15" t="str">
        <f t="shared" si="54"/>
        <v/>
      </c>
      <c r="C269" s="16" t="str">
        <f>IFERROR(VLOOKUP(DATA!#REF!,DATA!#REF!,1,FALSE),"")</f>
        <v/>
      </c>
      <c r="D269" s="16" t="str">
        <f>IFERROR(VLOOKUP(C269,DATA!#REF!,2,FALSE),"")</f>
        <v/>
      </c>
      <c r="I269" s="17"/>
      <c r="J269" s="17"/>
      <c r="P269" s="17"/>
      <c r="Q269" s="17"/>
    </row>
    <row r="270" spans="2:17">
      <c r="B270" s="15" t="str">
        <f t="shared" si="54"/>
        <v/>
      </c>
      <c r="C270" s="16" t="str">
        <f>IFERROR(VLOOKUP(DATA!#REF!,DATA!#REF!,1,FALSE),"")</f>
        <v/>
      </c>
      <c r="D270" s="16" t="str">
        <f>IFERROR(VLOOKUP(C270,DATA!#REF!,2,FALSE),"")</f>
        <v/>
      </c>
      <c r="I270" s="17"/>
      <c r="J270" s="17"/>
      <c r="P270" s="17"/>
      <c r="Q270" s="17"/>
    </row>
    <row r="271" spans="2:17">
      <c r="B271" s="15" t="str">
        <f t="shared" si="54"/>
        <v/>
      </c>
      <c r="C271" s="16" t="str">
        <f>IFERROR(VLOOKUP(DATA!#REF!,DATA!#REF!,1,FALSE),"")</f>
        <v/>
      </c>
      <c r="D271" s="16" t="str">
        <f>IFERROR(VLOOKUP(C271,DATA!#REF!,2,FALSE),"")</f>
        <v/>
      </c>
      <c r="I271" s="17"/>
      <c r="J271" s="17"/>
      <c r="P271" s="17"/>
      <c r="Q271" s="17"/>
    </row>
    <row r="272" spans="2:17">
      <c r="B272" s="15" t="str">
        <f t="shared" si="54"/>
        <v/>
      </c>
      <c r="C272" s="16" t="str">
        <f>IFERROR(VLOOKUP(DATA!#REF!,DATA!#REF!,1,FALSE),"")</f>
        <v/>
      </c>
      <c r="D272" s="16" t="str">
        <f>IFERROR(VLOOKUP(C272,DATA!#REF!,2,FALSE),"")</f>
        <v/>
      </c>
      <c r="I272" s="17"/>
      <c r="J272" s="17"/>
      <c r="P272" s="17"/>
      <c r="Q272" s="17"/>
    </row>
    <row r="273" spans="2:17">
      <c r="B273" s="15" t="str">
        <f t="shared" si="54"/>
        <v/>
      </c>
      <c r="C273" s="16" t="str">
        <f>IFERROR(VLOOKUP(DATA!#REF!,DATA!#REF!,1,FALSE),"")</f>
        <v/>
      </c>
      <c r="D273" s="16" t="str">
        <f>IFERROR(VLOOKUP(C273,DATA!#REF!,2,FALSE),"")</f>
        <v/>
      </c>
      <c r="I273" s="17"/>
      <c r="J273" s="17"/>
      <c r="P273" s="17"/>
      <c r="Q273" s="17"/>
    </row>
    <row r="274" spans="2:17">
      <c r="B274" s="15" t="str">
        <f t="shared" si="54"/>
        <v/>
      </c>
      <c r="C274" s="16" t="str">
        <f>IFERROR(VLOOKUP(DATA!#REF!,DATA!#REF!,1,FALSE),"")</f>
        <v/>
      </c>
      <c r="D274" s="16" t="str">
        <f>IFERROR(VLOOKUP(C274,DATA!#REF!,2,FALSE),"")</f>
        <v/>
      </c>
      <c r="I274" s="17"/>
      <c r="J274" s="17"/>
      <c r="P274" s="17"/>
      <c r="Q274" s="17"/>
    </row>
    <row r="275" spans="2:17">
      <c r="B275" s="15" t="str">
        <f t="shared" si="54"/>
        <v/>
      </c>
      <c r="C275" s="16" t="str">
        <f>IFERROR(VLOOKUP(DATA!#REF!,DATA!#REF!,1,FALSE),"")</f>
        <v/>
      </c>
      <c r="D275" s="16" t="str">
        <f>IFERROR(VLOOKUP(C275,DATA!#REF!,2,FALSE),"")</f>
        <v/>
      </c>
      <c r="I275" s="17"/>
      <c r="J275" s="17"/>
      <c r="P275" s="17"/>
      <c r="Q275" s="17"/>
    </row>
    <row r="276" spans="2:17">
      <c r="B276" s="15" t="str">
        <f t="shared" si="54"/>
        <v/>
      </c>
      <c r="C276" s="16" t="str">
        <f>IFERROR(VLOOKUP(DATA!#REF!,DATA!#REF!,1,FALSE),"")</f>
        <v/>
      </c>
      <c r="D276" s="16" t="str">
        <f>IFERROR(VLOOKUP(C276,DATA!#REF!,2,FALSE),"")</f>
        <v/>
      </c>
      <c r="I276" s="17"/>
      <c r="J276" s="17"/>
      <c r="P276" s="17"/>
      <c r="Q276" s="17"/>
    </row>
    <row r="277" spans="2:17">
      <c r="B277" s="15" t="str">
        <f t="shared" si="54"/>
        <v/>
      </c>
      <c r="C277" s="16" t="str">
        <f>IFERROR(VLOOKUP(DATA!#REF!,DATA!#REF!,1,FALSE),"")</f>
        <v/>
      </c>
      <c r="D277" s="16" t="str">
        <f>IFERROR(VLOOKUP(C277,DATA!#REF!,2,FALSE),"")</f>
        <v/>
      </c>
      <c r="I277" s="17"/>
      <c r="J277" s="17"/>
      <c r="P277" s="17"/>
      <c r="Q277" s="17"/>
    </row>
    <row r="278" spans="2:17">
      <c r="B278" s="15" t="str">
        <f t="shared" si="54"/>
        <v/>
      </c>
      <c r="C278" s="16" t="str">
        <f>IFERROR(VLOOKUP(DATA!#REF!,DATA!#REF!,1,FALSE),"")</f>
        <v/>
      </c>
      <c r="D278" s="16" t="str">
        <f>IFERROR(VLOOKUP(C278,DATA!#REF!,2,FALSE),"")</f>
        <v/>
      </c>
      <c r="I278" s="17"/>
      <c r="J278" s="17"/>
      <c r="P278" s="17"/>
      <c r="Q278" s="17"/>
    </row>
    <row r="279" spans="2:17">
      <c r="B279" s="15" t="str">
        <f t="shared" si="54"/>
        <v/>
      </c>
      <c r="C279" s="16" t="str">
        <f>IFERROR(VLOOKUP(DATA!#REF!,DATA!#REF!,1,FALSE),"")</f>
        <v/>
      </c>
      <c r="D279" s="16" t="str">
        <f>IFERROR(VLOOKUP(C279,DATA!#REF!,2,FALSE),"")</f>
        <v/>
      </c>
      <c r="I279" s="17"/>
      <c r="J279" s="17"/>
      <c r="P279" s="17"/>
      <c r="Q279" s="17"/>
    </row>
    <row r="280" spans="2:17">
      <c r="B280" s="15" t="str">
        <f t="shared" si="54"/>
        <v/>
      </c>
      <c r="C280" s="16" t="str">
        <f>IFERROR(VLOOKUP(DATA!#REF!,DATA!#REF!,1,FALSE),"")</f>
        <v/>
      </c>
      <c r="D280" s="16" t="str">
        <f>IFERROR(VLOOKUP(C280,DATA!#REF!,2,FALSE),"")</f>
        <v/>
      </c>
      <c r="I280" s="17"/>
      <c r="J280" s="17"/>
      <c r="P280" s="17"/>
      <c r="Q280" s="17"/>
    </row>
    <row r="281" spans="2:17">
      <c r="B281" s="15" t="str">
        <f t="shared" si="54"/>
        <v/>
      </c>
      <c r="C281" s="16" t="str">
        <f>IFERROR(VLOOKUP(DATA!#REF!,DATA!#REF!,1,FALSE),"")</f>
        <v/>
      </c>
      <c r="D281" s="16" t="str">
        <f>IFERROR(VLOOKUP(C281,DATA!#REF!,2,FALSE),"")</f>
        <v/>
      </c>
      <c r="I281" s="17"/>
      <c r="J281" s="17"/>
      <c r="P281" s="17"/>
      <c r="Q281" s="17"/>
    </row>
    <row r="282" spans="2:17">
      <c r="B282" s="15" t="str">
        <f t="shared" si="54"/>
        <v/>
      </c>
      <c r="C282" s="16" t="str">
        <f>IFERROR(VLOOKUP(DATA!#REF!,DATA!#REF!,1,FALSE),"")</f>
        <v/>
      </c>
      <c r="D282" s="16" t="str">
        <f>IFERROR(VLOOKUP(C282,DATA!#REF!,2,FALSE),"")</f>
        <v/>
      </c>
      <c r="I282" s="17"/>
      <c r="J282" s="17"/>
      <c r="P282" s="17"/>
      <c r="Q282" s="17"/>
    </row>
    <row r="283" spans="2:17">
      <c r="B283" s="15" t="str">
        <f t="shared" si="54"/>
        <v/>
      </c>
      <c r="C283" s="16" t="str">
        <f>IFERROR(VLOOKUP(DATA!#REF!,DATA!#REF!,1,FALSE),"")</f>
        <v/>
      </c>
      <c r="D283" s="16" t="str">
        <f>IFERROR(VLOOKUP(C283,DATA!#REF!,2,FALSE),"")</f>
        <v/>
      </c>
      <c r="I283" s="17"/>
      <c r="J283" s="17"/>
      <c r="P283" s="17"/>
      <c r="Q283" s="17"/>
    </row>
    <row r="284" spans="2:17">
      <c r="B284" s="15" t="str">
        <f t="shared" si="54"/>
        <v/>
      </c>
      <c r="C284" s="16" t="str">
        <f>IFERROR(VLOOKUP(DATA!#REF!,DATA!#REF!,1,FALSE),"")</f>
        <v/>
      </c>
      <c r="D284" s="16" t="str">
        <f>IFERROR(VLOOKUP(C284,DATA!#REF!,2,FALSE),"")</f>
        <v/>
      </c>
      <c r="I284" s="17"/>
      <c r="J284" s="17"/>
      <c r="P284" s="17"/>
      <c r="Q284" s="17"/>
    </row>
    <row r="285" spans="2:17">
      <c r="B285" s="15" t="str">
        <f t="shared" si="54"/>
        <v/>
      </c>
      <c r="C285" s="16" t="str">
        <f>IFERROR(VLOOKUP(DATA!#REF!,DATA!#REF!,1,FALSE),"")</f>
        <v/>
      </c>
      <c r="D285" s="16" t="str">
        <f>IFERROR(VLOOKUP(C285,DATA!#REF!,2,FALSE),"")</f>
        <v/>
      </c>
      <c r="I285" s="17"/>
      <c r="J285" s="17"/>
      <c r="P285" s="17"/>
      <c r="Q285" s="17"/>
    </row>
    <row r="286" spans="2:17">
      <c r="B286" s="15" t="str">
        <f t="shared" si="54"/>
        <v/>
      </c>
      <c r="C286" s="16" t="str">
        <f>IFERROR(VLOOKUP(DATA!#REF!,DATA!#REF!,1,FALSE),"")</f>
        <v/>
      </c>
      <c r="D286" s="16" t="str">
        <f>IFERROR(VLOOKUP(C286,DATA!#REF!,2,FALSE),"")</f>
        <v/>
      </c>
      <c r="I286" s="17"/>
      <c r="J286" s="17"/>
      <c r="P286" s="17"/>
      <c r="Q286" s="17"/>
    </row>
    <row r="287" spans="2:17">
      <c r="B287" s="15" t="str">
        <f t="shared" si="54"/>
        <v/>
      </c>
      <c r="C287" s="16" t="str">
        <f>IFERROR(VLOOKUP(DATA!#REF!,DATA!#REF!,1,FALSE),"")</f>
        <v/>
      </c>
      <c r="D287" s="16" t="str">
        <f>IFERROR(VLOOKUP(C287,DATA!#REF!,2,FALSE),"")</f>
        <v/>
      </c>
      <c r="I287" s="17"/>
      <c r="J287" s="17"/>
      <c r="P287" s="17"/>
      <c r="Q287" s="17"/>
    </row>
    <row r="288" spans="2:17">
      <c r="B288" s="15" t="str">
        <f t="shared" si="54"/>
        <v/>
      </c>
      <c r="C288" s="16" t="str">
        <f>IFERROR(VLOOKUP(DATA!#REF!,DATA!#REF!,1,FALSE),"")</f>
        <v/>
      </c>
      <c r="D288" s="16" t="str">
        <f>IFERROR(VLOOKUP(C288,DATA!#REF!,2,FALSE),"")</f>
        <v/>
      </c>
      <c r="I288" s="17"/>
      <c r="J288" s="17"/>
      <c r="P288" s="17"/>
      <c r="Q288" s="17"/>
    </row>
    <row r="289" spans="2:17">
      <c r="B289" s="15" t="str">
        <f t="shared" si="54"/>
        <v/>
      </c>
      <c r="C289" s="16" t="str">
        <f>IFERROR(VLOOKUP(DATA!#REF!,DATA!#REF!,1,FALSE),"")</f>
        <v/>
      </c>
      <c r="D289" s="16" t="str">
        <f>IFERROR(VLOOKUP(C289,DATA!#REF!,2,FALSE),"")</f>
        <v/>
      </c>
      <c r="I289" s="17"/>
      <c r="J289" s="17"/>
      <c r="P289" s="17"/>
      <c r="Q289" s="17"/>
    </row>
    <row r="290" spans="2:17">
      <c r="B290" s="15" t="str">
        <f t="shared" si="54"/>
        <v/>
      </c>
      <c r="C290" s="16" t="str">
        <f>IFERROR(VLOOKUP(DATA!#REF!,DATA!#REF!,1,FALSE),"")</f>
        <v/>
      </c>
      <c r="D290" s="16" t="str">
        <f>IFERROR(VLOOKUP(C290,DATA!#REF!,2,FALSE),"")</f>
        <v/>
      </c>
      <c r="I290" s="17"/>
      <c r="J290" s="17"/>
      <c r="P290" s="17"/>
      <c r="Q290" s="17"/>
    </row>
    <row r="291" spans="2:17">
      <c r="B291" s="15" t="str">
        <f t="shared" si="54"/>
        <v/>
      </c>
      <c r="C291" s="16" t="str">
        <f>IFERROR(VLOOKUP(DATA!#REF!,DATA!#REF!,1,FALSE),"")</f>
        <v/>
      </c>
      <c r="D291" s="16" t="str">
        <f>IFERROR(VLOOKUP(C291,DATA!#REF!,2,FALSE),"")</f>
        <v/>
      </c>
      <c r="I291" s="17"/>
      <c r="J291" s="17"/>
      <c r="P291" s="17"/>
      <c r="Q291" s="17"/>
    </row>
    <row r="292" spans="2:17">
      <c r="B292" s="15" t="str">
        <f t="shared" si="54"/>
        <v/>
      </c>
      <c r="C292" s="16" t="str">
        <f>IFERROR(VLOOKUP(DATA!#REF!,DATA!#REF!,1,FALSE),"")</f>
        <v/>
      </c>
      <c r="D292" s="16" t="str">
        <f>IFERROR(VLOOKUP(C292,DATA!#REF!,2,FALSE),"")</f>
        <v/>
      </c>
      <c r="I292" s="17"/>
      <c r="J292" s="17"/>
      <c r="P292" s="17"/>
      <c r="Q292" s="17"/>
    </row>
    <row r="293" spans="2:17">
      <c r="B293" s="15" t="str">
        <f t="shared" si="54"/>
        <v/>
      </c>
      <c r="C293" s="16" t="str">
        <f>IFERROR(VLOOKUP(DATA!#REF!,DATA!#REF!,1,FALSE),"")</f>
        <v/>
      </c>
      <c r="D293" s="16" t="str">
        <f>IFERROR(VLOOKUP(C293,DATA!#REF!,2,FALSE),"")</f>
        <v/>
      </c>
      <c r="I293" s="17"/>
      <c r="J293" s="17"/>
      <c r="P293" s="17"/>
      <c r="Q293" s="17"/>
    </row>
    <row r="294" spans="2:17">
      <c r="B294" s="15" t="str">
        <f t="shared" si="54"/>
        <v/>
      </c>
      <c r="C294" s="16" t="str">
        <f>IFERROR(VLOOKUP(DATA!#REF!,DATA!#REF!,1,FALSE),"")</f>
        <v/>
      </c>
      <c r="D294" s="16" t="str">
        <f>IFERROR(VLOOKUP(C294,DATA!#REF!,2,FALSE),"")</f>
        <v/>
      </c>
      <c r="I294" s="17"/>
      <c r="J294" s="17"/>
      <c r="P294" s="17"/>
      <c r="Q294" s="17"/>
    </row>
    <row r="295" spans="2:17">
      <c r="B295" s="15" t="str">
        <f t="shared" si="54"/>
        <v/>
      </c>
      <c r="C295" s="16" t="str">
        <f>IFERROR(VLOOKUP(DATA!#REF!,DATA!#REF!,1,FALSE),"")</f>
        <v/>
      </c>
      <c r="D295" s="16" t="str">
        <f>IFERROR(VLOOKUP(C295,DATA!#REF!,2,FALSE),"")</f>
        <v/>
      </c>
      <c r="I295" s="17"/>
      <c r="J295" s="17"/>
      <c r="P295" s="17"/>
      <c r="Q295" s="17"/>
    </row>
    <row r="296" spans="2:17">
      <c r="B296" s="15" t="str">
        <f t="shared" si="54"/>
        <v/>
      </c>
      <c r="C296" s="16" t="str">
        <f>IFERROR(VLOOKUP(DATA!#REF!,DATA!#REF!,1,FALSE),"")</f>
        <v/>
      </c>
      <c r="D296" s="16" t="str">
        <f>IFERROR(VLOOKUP(C296,DATA!#REF!,2,FALSE),"")</f>
        <v/>
      </c>
      <c r="I296" s="17"/>
      <c r="J296" s="17"/>
      <c r="P296" s="17"/>
      <c r="Q296" s="17"/>
    </row>
    <row r="297" spans="2:17">
      <c r="B297" s="15" t="str">
        <f t="shared" si="54"/>
        <v/>
      </c>
      <c r="C297" s="16" t="str">
        <f>IFERROR(VLOOKUP(DATA!#REF!,DATA!#REF!,1,FALSE),"")</f>
        <v/>
      </c>
      <c r="D297" s="16" t="str">
        <f>IFERROR(VLOOKUP(C297,DATA!#REF!,2,FALSE),"")</f>
        <v/>
      </c>
      <c r="I297" s="17"/>
      <c r="J297" s="17"/>
      <c r="P297" s="17"/>
      <c r="Q297" s="17"/>
    </row>
    <row r="298" spans="2:17">
      <c r="B298" s="15" t="str">
        <f t="shared" si="54"/>
        <v/>
      </c>
      <c r="C298" s="16" t="str">
        <f>IFERROR(VLOOKUP(DATA!#REF!,DATA!#REF!,1,FALSE),"")</f>
        <v/>
      </c>
      <c r="D298" s="16" t="str">
        <f>IFERROR(VLOOKUP(C298,DATA!#REF!,2,FALSE),"")</f>
        <v/>
      </c>
      <c r="I298" s="17"/>
      <c r="J298" s="17"/>
      <c r="P298" s="17"/>
      <c r="Q298" s="17"/>
    </row>
    <row r="299" spans="2:17">
      <c r="B299" s="15" t="str">
        <f t="shared" si="54"/>
        <v/>
      </c>
      <c r="C299" s="16" t="str">
        <f>IFERROR(VLOOKUP(DATA!#REF!,DATA!#REF!,1,FALSE),"")</f>
        <v/>
      </c>
      <c r="D299" s="16" t="str">
        <f>IFERROR(VLOOKUP(C299,DATA!#REF!,2,FALSE),"")</f>
        <v/>
      </c>
      <c r="I299" s="17"/>
      <c r="J299" s="17"/>
      <c r="P299" s="17"/>
      <c r="Q299" s="17"/>
    </row>
    <row r="300" spans="2:17">
      <c r="B300" s="15" t="str">
        <f t="shared" si="54"/>
        <v/>
      </c>
      <c r="C300" s="16" t="str">
        <f>IFERROR(VLOOKUP(DATA!#REF!,DATA!#REF!,1,FALSE),"")</f>
        <v/>
      </c>
      <c r="D300" s="16" t="str">
        <f>IFERROR(VLOOKUP(C300,DATA!#REF!,2,FALSE),"")</f>
        <v/>
      </c>
      <c r="I300" s="17"/>
      <c r="J300" s="17"/>
      <c r="P300" s="17"/>
      <c r="Q300" s="17"/>
    </row>
    <row r="301" spans="2:17">
      <c r="B301" s="15" t="str">
        <f t="shared" si="54"/>
        <v/>
      </c>
      <c r="C301" s="16" t="str">
        <f>IFERROR(VLOOKUP(DATA!#REF!,DATA!#REF!,1,FALSE),"")</f>
        <v/>
      </c>
      <c r="D301" s="16" t="str">
        <f>IFERROR(VLOOKUP(C301,DATA!#REF!,2,FALSE),"")</f>
        <v/>
      </c>
      <c r="I301" s="17"/>
      <c r="J301" s="17"/>
      <c r="P301" s="17"/>
      <c r="Q301" s="17"/>
    </row>
    <row r="302" spans="2:17">
      <c r="B302" s="15" t="str">
        <f t="shared" si="54"/>
        <v/>
      </c>
      <c r="C302" s="16" t="str">
        <f>IFERROR(VLOOKUP(DATA!#REF!,DATA!#REF!,1,FALSE),"")</f>
        <v/>
      </c>
      <c r="D302" s="16" t="str">
        <f>IFERROR(VLOOKUP(C302,DATA!#REF!,2,FALSE),"")</f>
        <v/>
      </c>
      <c r="I302" s="17"/>
      <c r="J302" s="17"/>
      <c r="P302" s="17"/>
      <c r="Q302" s="17"/>
    </row>
    <row r="303" spans="2:17">
      <c r="B303" s="15" t="str">
        <f t="shared" si="54"/>
        <v/>
      </c>
      <c r="C303" s="16" t="str">
        <f>IFERROR(VLOOKUP(DATA!#REF!,DATA!#REF!,1,FALSE),"")</f>
        <v/>
      </c>
      <c r="D303" s="16" t="str">
        <f>IFERROR(VLOOKUP(C303,DATA!#REF!,2,FALSE),"")</f>
        <v/>
      </c>
      <c r="I303" s="17"/>
      <c r="J303" s="17"/>
      <c r="P303" s="17"/>
      <c r="Q303" s="17"/>
    </row>
    <row r="304" spans="2:17">
      <c r="B304" s="15" t="str">
        <f t="shared" si="54"/>
        <v/>
      </c>
      <c r="C304" s="16" t="str">
        <f>IFERROR(VLOOKUP(DATA!#REF!,DATA!#REF!,1,FALSE),"")</f>
        <v/>
      </c>
      <c r="D304" s="16" t="str">
        <f>IFERROR(VLOOKUP(C304,DATA!#REF!,2,FALSE),"")</f>
        <v/>
      </c>
      <c r="I304" s="17"/>
      <c r="J304" s="17"/>
      <c r="P304" s="17"/>
      <c r="Q304" s="17"/>
    </row>
    <row r="305" spans="2:17">
      <c r="B305" s="15" t="str">
        <f t="shared" si="54"/>
        <v/>
      </c>
      <c r="C305" s="16" t="str">
        <f>IFERROR(VLOOKUP(DATA!#REF!,DATA!#REF!,1,FALSE),"")</f>
        <v/>
      </c>
      <c r="D305" s="16" t="str">
        <f>IFERROR(VLOOKUP(C305,DATA!#REF!,2,FALSE),"")</f>
        <v/>
      </c>
      <c r="I305" s="17"/>
      <c r="J305" s="17"/>
      <c r="P305" s="17"/>
      <c r="Q305" s="17"/>
    </row>
    <row r="306" spans="2:17">
      <c r="B306" s="15" t="str">
        <f t="shared" si="54"/>
        <v/>
      </c>
      <c r="C306" s="16" t="str">
        <f>IFERROR(VLOOKUP(DATA!#REF!,DATA!#REF!,1,FALSE),"")</f>
        <v/>
      </c>
      <c r="D306" s="16" t="str">
        <f>IFERROR(VLOOKUP(C306,DATA!#REF!,2,FALSE),"")</f>
        <v/>
      </c>
      <c r="I306" s="17"/>
      <c r="J306" s="17"/>
      <c r="P306" s="17"/>
      <c r="Q306" s="17"/>
    </row>
    <row r="307" spans="2:17">
      <c r="B307" s="15" t="str">
        <f t="shared" si="54"/>
        <v/>
      </c>
      <c r="C307" s="16" t="str">
        <f>IFERROR(VLOOKUP(DATA!#REF!,DATA!#REF!,1,FALSE),"")</f>
        <v/>
      </c>
      <c r="D307" s="16" t="str">
        <f>IFERROR(VLOOKUP(C307,DATA!#REF!,2,FALSE),"")</f>
        <v/>
      </c>
      <c r="I307" s="17"/>
      <c r="J307" s="17"/>
      <c r="P307" s="17"/>
      <c r="Q307" s="17"/>
    </row>
    <row r="308" spans="2:17">
      <c r="B308" s="15" t="str">
        <f t="shared" si="54"/>
        <v/>
      </c>
      <c r="C308" s="16" t="str">
        <f>IFERROR(VLOOKUP(DATA!#REF!,DATA!#REF!,1,FALSE),"")</f>
        <v/>
      </c>
      <c r="D308" s="16" t="str">
        <f>IFERROR(VLOOKUP(C308,DATA!#REF!,2,FALSE),"")</f>
        <v/>
      </c>
      <c r="I308" s="17"/>
      <c r="J308" s="17"/>
      <c r="P308" s="17"/>
      <c r="Q308" s="17"/>
    </row>
    <row r="309" spans="2:17">
      <c r="B309" s="15" t="str">
        <f t="shared" si="54"/>
        <v/>
      </c>
      <c r="C309" s="16" t="str">
        <f>IFERROR(VLOOKUP(DATA!#REF!,DATA!#REF!,1,FALSE),"")</f>
        <v/>
      </c>
      <c r="D309" s="16" t="str">
        <f>IFERROR(VLOOKUP(C309,DATA!#REF!,2,FALSE),"")</f>
        <v/>
      </c>
      <c r="I309" s="17"/>
      <c r="J309" s="17"/>
      <c r="P309" s="17"/>
      <c r="Q309" s="17"/>
    </row>
    <row r="310" spans="2:17">
      <c r="B310" s="15" t="str">
        <f t="shared" si="54"/>
        <v/>
      </c>
      <c r="C310" s="16" t="str">
        <f>IFERROR(VLOOKUP(DATA!#REF!,DATA!#REF!,1,FALSE),"")</f>
        <v/>
      </c>
      <c r="D310" s="16" t="str">
        <f>IFERROR(VLOOKUP(C310,DATA!#REF!,2,FALSE),"")</f>
        <v/>
      </c>
      <c r="I310" s="17"/>
      <c r="J310" s="17"/>
      <c r="P310" s="17"/>
      <c r="Q310" s="17"/>
    </row>
    <row r="311" spans="2:17">
      <c r="B311" s="15" t="str">
        <f t="shared" ref="B311:B374" si="55">+IF(C311="","",ROW()-5)</f>
        <v/>
      </c>
      <c r="C311" s="16" t="str">
        <f>IFERROR(VLOOKUP(DATA!#REF!,DATA!#REF!,1,FALSE),"")</f>
        <v/>
      </c>
      <c r="D311" s="16" t="str">
        <f>IFERROR(VLOOKUP(C311,DATA!#REF!,2,FALSE),"")</f>
        <v/>
      </c>
      <c r="I311" s="17"/>
      <c r="J311" s="17"/>
      <c r="P311" s="17"/>
      <c r="Q311" s="17"/>
    </row>
    <row r="312" spans="2:17">
      <c r="B312" s="15" t="str">
        <f t="shared" si="55"/>
        <v/>
      </c>
      <c r="C312" s="16" t="str">
        <f>IFERROR(VLOOKUP(DATA!#REF!,DATA!#REF!,1,FALSE),"")</f>
        <v/>
      </c>
      <c r="D312" s="16" t="str">
        <f>IFERROR(VLOOKUP(C312,DATA!#REF!,2,FALSE),"")</f>
        <v/>
      </c>
      <c r="I312" s="17"/>
      <c r="J312" s="17"/>
      <c r="P312" s="17"/>
      <c r="Q312" s="17"/>
    </row>
    <row r="313" spans="2:17">
      <c r="B313" s="15" t="str">
        <f t="shared" si="55"/>
        <v/>
      </c>
      <c r="C313" s="16" t="str">
        <f>IFERROR(VLOOKUP(DATA!#REF!,DATA!#REF!,1,FALSE),"")</f>
        <v/>
      </c>
      <c r="D313" s="16" t="str">
        <f>IFERROR(VLOOKUP(C313,DATA!#REF!,2,FALSE),"")</f>
        <v/>
      </c>
      <c r="I313" s="17"/>
      <c r="J313" s="17"/>
      <c r="P313" s="17"/>
      <c r="Q313" s="17"/>
    </row>
    <row r="314" spans="2:17">
      <c r="B314" s="15" t="str">
        <f t="shared" si="55"/>
        <v/>
      </c>
      <c r="C314" s="16" t="str">
        <f>IFERROR(VLOOKUP(DATA!#REF!,DATA!#REF!,1,FALSE),"")</f>
        <v/>
      </c>
      <c r="D314" s="16" t="str">
        <f>IFERROR(VLOOKUP(C314,DATA!#REF!,2,FALSE),"")</f>
        <v/>
      </c>
      <c r="I314" s="17"/>
      <c r="J314" s="17"/>
      <c r="P314" s="17"/>
      <c r="Q314" s="17"/>
    </row>
    <row r="315" spans="2:17">
      <c r="B315" s="15" t="str">
        <f t="shared" si="55"/>
        <v/>
      </c>
      <c r="C315" s="16" t="str">
        <f>IFERROR(VLOOKUP(DATA!#REF!,DATA!#REF!,1,FALSE),"")</f>
        <v/>
      </c>
      <c r="D315" s="16" t="str">
        <f>IFERROR(VLOOKUP(C315,DATA!#REF!,2,FALSE),"")</f>
        <v/>
      </c>
      <c r="I315" s="17"/>
      <c r="J315" s="17"/>
      <c r="P315" s="17"/>
      <c r="Q315" s="17"/>
    </row>
    <row r="316" spans="2:17">
      <c r="B316" s="15" t="str">
        <f t="shared" si="55"/>
        <v/>
      </c>
      <c r="C316" s="16" t="str">
        <f>IFERROR(VLOOKUP(DATA!#REF!,DATA!#REF!,1,FALSE),"")</f>
        <v/>
      </c>
      <c r="D316" s="16" t="str">
        <f>IFERROR(VLOOKUP(C316,DATA!#REF!,2,FALSE),"")</f>
        <v/>
      </c>
      <c r="I316" s="17"/>
      <c r="J316" s="17"/>
      <c r="P316" s="17"/>
      <c r="Q316" s="17"/>
    </row>
    <row r="317" spans="2:17">
      <c r="B317" s="15" t="str">
        <f t="shared" si="55"/>
        <v/>
      </c>
      <c r="C317" s="16" t="str">
        <f>IFERROR(VLOOKUP(DATA!#REF!,DATA!#REF!,1,FALSE),"")</f>
        <v/>
      </c>
      <c r="D317" s="16" t="str">
        <f>IFERROR(VLOOKUP(C317,DATA!#REF!,2,FALSE),"")</f>
        <v/>
      </c>
      <c r="I317" s="17"/>
      <c r="J317" s="17"/>
      <c r="P317" s="17"/>
      <c r="Q317" s="17"/>
    </row>
    <row r="318" spans="2:17">
      <c r="B318" s="15" t="str">
        <f t="shared" si="55"/>
        <v/>
      </c>
      <c r="C318" s="16" t="str">
        <f>IFERROR(VLOOKUP(DATA!#REF!,DATA!#REF!,1,FALSE),"")</f>
        <v/>
      </c>
      <c r="D318" s="16" t="str">
        <f>IFERROR(VLOOKUP(C318,DATA!#REF!,2,FALSE),"")</f>
        <v/>
      </c>
      <c r="I318" s="17"/>
      <c r="J318" s="17"/>
      <c r="P318" s="17"/>
      <c r="Q318" s="17"/>
    </row>
    <row r="319" spans="2:17">
      <c r="B319" s="15" t="str">
        <f t="shared" si="55"/>
        <v/>
      </c>
      <c r="C319" s="16" t="str">
        <f>IFERROR(VLOOKUP(DATA!#REF!,DATA!#REF!,1,FALSE),"")</f>
        <v/>
      </c>
      <c r="D319" s="16" t="str">
        <f>IFERROR(VLOOKUP(C319,DATA!#REF!,2,FALSE),"")</f>
        <v/>
      </c>
      <c r="I319" s="17"/>
      <c r="J319" s="17"/>
      <c r="P319" s="17"/>
      <c r="Q319" s="17"/>
    </row>
    <row r="320" spans="2:17">
      <c r="B320" s="15" t="str">
        <f t="shared" si="55"/>
        <v/>
      </c>
      <c r="C320" s="16" t="str">
        <f>IFERROR(VLOOKUP(DATA!#REF!,DATA!#REF!,1,FALSE),"")</f>
        <v/>
      </c>
      <c r="D320" s="16" t="str">
        <f>IFERROR(VLOOKUP(C320,DATA!#REF!,2,FALSE),"")</f>
        <v/>
      </c>
      <c r="I320" s="17"/>
      <c r="J320" s="17"/>
      <c r="P320" s="17"/>
      <c r="Q320" s="17"/>
    </row>
    <row r="321" spans="2:17">
      <c r="B321" s="15" t="str">
        <f t="shared" si="55"/>
        <v/>
      </c>
      <c r="C321" s="16" t="str">
        <f>IFERROR(VLOOKUP(DATA!#REF!,DATA!#REF!,1,FALSE),"")</f>
        <v/>
      </c>
      <c r="D321" s="16" t="str">
        <f>IFERROR(VLOOKUP(C321,DATA!#REF!,2,FALSE),"")</f>
        <v/>
      </c>
      <c r="I321" s="17"/>
      <c r="J321" s="17"/>
      <c r="P321" s="17"/>
      <c r="Q321" s="17"/>
    </row>
    <row r="322" spans="2:17">
      <c r="B322" s="15" t="str">
        <f t="shared" si="55"/>
        <v/>
      </c>
      <c r="C322" s="16" t="str">
        <f>IFERROR(VLOOKUP(DATA!#REF!,DATA!#REF!,1,FALSE),"")</f>
        <v/>
      </c>
      <c r="D322" s="16" t="str">
        <f>IFERROR(VLOOKUP(C322,DATA!#REF!,2,FALSE),"")</f>
        <v/>
      </c>
      <c r="I322" s="17"/>
      <c r="J322" s="17"/>
      <c r="P322" s="17"/>
      <c r="Q322" s="17"/>
    </row>
    <row r="323" spans="2:17">
      <c r="B323" s="15" t="str">
        <f t="shared" si="55"/>
        <v/>
      </c>
      <c r="C323" s="16" t="str">
        <f>IFERROR(VLOOKUP(DATA!#REF!,DATA!#REF!,1,FALSE),"")</f>
        <v/>
      </c>
      <c r="D323" s="16" t="str">
        <f>IFERROR(VLOOKUP(C323,DATA!#REF!,2,FALSE),"")</f>
        <v/>
      </c>
      <c r="I323" s="17"/>
      <c r="J323" s="17"/>
      <c r="P323" s="17"/>
      <c r="Q323" s="17"/>
    </row>
    <row r="324" spans="2:17">
      <c r="B324" s="15" t="str">
        <f t="shared" si="55"/>
        <v/>
      </c>
      <c r="C324" s="16" t="str">
        <f>IFERROR(VLOOKUP(DATA!#REF!,DATA!#REF!,1,FALSE),"")</f>
        <v/>
      </c>
      <c r="D324" s="16" t="str">
        <f>IFERROR(VLOOKUP(C324,DATA!#REF!,2,FALSE),"")</f>
        <v/>
      </c>
      <c r="I324" s="17"/>
      <c r="J324" s="17"/>
      <c r="P324" s="17"/>
      <c r="Q324" s="17"/>
    </row>
    <row r="325" spans="2:17">
      <c r="B325" s="15" t="str">
        <f t="shared" si="55"/>
        <v/>
      </c>
      <c r="C325" s="16" t="str">
        <f>IFERROR(VLOOKUP(DATA!#REF!,DATA!#REF!,1,FALSE),"")</f>
        <v/>
      </c>
      <c r="D325" s="16" t="str">
        <f>IFERROR(VLOOKUP(C325,DATA!#REF!,2,FALSE),"")</f>
        <v/>
      </c>
      <c r="I325" s="17"/>
      <c r="J325" s="17"/>
      <c r="P325" s="17"/>
      <c r="Q325" s="17"/>
    </row>
    <row r="326" spans="2:17">
      <c r="B326" s="15" t="str">
        <f t="shared" si="55"/>
        <v/>
      </c>
      <c r="C326" s="16" t="str">
        <f>IFERROR(VLOOKUP(DATA!#REF!,DATA!#REF!,1,FALSE),"")</f>
        <v/>
      </c>
      <c r="D326" s="16" t="str">
        <f>IFERROR(VLOOKUP(C326,DATA!#REF!,2,FALSE),"")</f>
        <v/>
      </c>
      <c r="I326" s="17"/>
      <c r="J326" s="17"/>
      <c r="P326" s="17"/>
      <c r="Q326" s="17"/>
    </row>
    <row r="327" spans="2:17">
      <c r="B327" s="15" t="str">
        <f t="shared" si="55"/>
        <v/>
      </c>
      <c r="C327" s="16" t="str">
        <f>IFERROR(VLOOKUP(DATA!#REF!,DATA!#REF!,1,FALSE),"")</f>
        <v/>
      </c>
      <c r="D327" s="16" t="str">
        <f>IFERROR(VLOOKUP(C327,DATA!#REF!,2,FALSE),"")</f>
        <v/>
      </c>
      <c r="I327" s="17"/>
      <c r="J327" s="17"/>
      <c r="P327" s="17"/>
      <c r="Q327" s="17"/>
    </row>
    <row r="328" spans="2:17">
      <c r="B328" s="15" t="str">
        <f t="shared" si="55"/>
        <v/>
      </c>
      <c r="C328" s="16" t="str">
        <f>IFERROR(VLOOKUP(DATA!#REF!,DATA!#REF!,1,FALSE),"")</f>
        <v/>
      </c>
      <c r="D328" s="16" t="str">
        <f>IFERROR(VLOOKUP(C328,DATA!#REF!,2,FALSE),"")</f>
        <v/>
      </c>
      <c r="I328" s="17"/>
      <c r="J328" s="17"/>
      <c r="P328" s="17"/>
      <c r="Q328" s="17"/>
    </row>
    <row r="329" spans="2:17">
      <c r="B329" s="15" t="str">
        <f t="shared" si="55"/>
        <v/>
      </c>
      <c r="C329" s="16" t="str">
        <f>IFERROR(VLOOKUP(DATA!#REF!,DATA!#REF!,1,FALSE),"")</f>
        <v/>
      </c>
      <c r="D329" s="16" t="str">
        <f>IFERROR(VLOOKUP(C329,DATA!#REF!,2,FALSE),"")</f>
        <v/>
      </c>
      <c r="I329" s="17"/>
      <c r="J329" s="17"/>
      <c r="P329" s="17"/>
      <c r="Q329" s="17"/>
    </row>
    <row r="330" spans="2:17">
      <c r="B330" s="15" t="str">
        <f t="shared" si="55"/>
        <v/>
      </c>
      <c r="C330" s="16" t="str">
        <f>IFERROR(VLOOKUP(DATA!#REF!,DATA!#REF!,1,FALSE),"")</f>
        <v/>
      </c>
      <c r="D330" s="16" t="str">
        <f>IFERROR(VLOOKUP(C330,DATA!#REF!,2,FALSE),"")</f>
        <v/>
      </c>
      <c r="I330" s="17"/>
      <c r="J330" s="17"/>
      <c r="P330" s="17"/>
      <c r="Q330" s="17"/>
    </row>
    <row r="331" spans="2:17">
      <c r="B331" s="15" t="str">
        <f t="shared" si="55"/>
        <v/>
      </c>
      <c r="C331" s="16" t="str">
        <f>IFERROR(VLOOKUP(DATA!#REF!,DATA!#REF!,1,FALSE),"")</f>
        <v/>
      </c>
      <c r="D331" s="16" t="str">
        <f>IFERROR(VLOOKUP(C331,DATA!#REF!,2,FALSE),"")</f>
        <v/>
      </c>
      <c r="I331" s="17"/>
      <c r="J331" s="17"/>
      <c r="P331" s="17"/>
      <c r="Q331" s="17"/>
    </row>
    <row r="332" spans="2:17">
      <c r="B332" s="15" t="str">
        <f t="shared" si="55"/>
        <v/>
      </c>
      <c r="C332" s="16" t="str">
        <f>IFERROR(VLOOKUP(DATA!#REF!,DATA!#REF!,1,FALSE),"")</f>
        <v/>
      </c>
      <c r="D332" s="16" t="str">
        <f>IFERROR(VLOOKUP(C332,DATA!#REF!,2,FALSE),"")</f>
        <v/>
      </c>
      <c r="I332" s="17"/>
      <c r="J332" s="17"/>
      <c r="P332" s="17"/>
      <c r="Q332" s="17"/>
    </row>
    <row r="333" spans="2:17">
      <c r="B333" s="15" t="str">
        <f t="shared" si="55"/>
        <v/>
      </c>
      <c r="C333" s="16" t="str">
        <f>IFERROR(VLOOKUP(DATA!#REF!,DATA!#REF!,1,FALSE),"")</f>
        <v/>
      </c>
      <c r="D333" s="16" t="str">
        <f>IFERROR(VLOOKUP(C333,DATA!#REF!,2,FALSE),"")</f>
        <v/>
      </c>
      <c r="I333" s="17"/>
      <c r="J333" s="17"/>
      <c r="P333" s="17"/>
      <c r="Q333" s="17"/>
    </row>
    <row r="334" spans="2:17">
      <c r="B334" s="15" t="str">
        <f t="shared" si="55"/>
        <v/>
      </c>
      <c r="C334" s="16" t="str">
        <f>IFERROR(VLOOKUP(DATA!#REF!,DATA!#REF!,1,FALSE),"")</f>
        <v/>
      </c>
      <c r="D334" s="16" t="str">
        <f>IFERROR(VLOOKUP(C334,DATA!#REF!,2,FALSE),"")</f>
        <v/>
      </c>
      <c r="I334" s="17"/>
      <c r="J334" s="17"/>
      <c r="P334" s="17"/>
      <c r="Q334" s="17"/>
    </row>
    <row r="335" spans="2:17">
      <c r="B335" s="15" t="str">
        <f t="shared" si="55"/>
        <v/>
      </c>
      <c r="C335" s="16" t="str">
        <f>IFERROR(VLOOKUP(DATA!#REF!,DATA!#REF!,1,FALSE),"")</f>
        <v/>
      </c>
      <c r="D335" s="16" t="str">
        <f>IFERROR(VLOOKUP(C335,DATA!#REF!,2,FALSE),"")</f>
        <v/>
      </c>
      <c r="I335" s="17"/>
      <c r="J335" s="17"/>
      <c r="P335" s="17"/>
      <c r="Q335" s="17"/>
    </row>
    <row r="336" spans="2:17">
      <c r="B336" s="15" t="str">
        <f t="shared" si="55"/>
        <v/>
      </c>
      <c r="C336" s="16" t="str">
        <f>IFERROR(VLOOKUP(DATA!#REF!,DATA!#REF!,1,FALSE),"")</f>
        <v/>
      </c>
      <c r="D336" s="16" t="str">
        <f>IFERROR(VLOOKUP(C336,DATA!#REF!,2,FALSE),"")</f>
        <v/>
      </c>
      <c r="I336" s="17"/>
      <c r="J336" s="17"/>
      <c r="P336" s="17"/>
      <c r="Q336" s="17"/>
    </row>
    <row r="337" spans="2:17">
      <c r="B337" s="15" t="str">
        <f t="shared" si="55"/>
        <v/>
      </c>
      <c r="C337" s="16" t="str">
        <f>IFERROR(VLOOKUP(DATA!#REF!,DATA!#REF!,1,FALSE),"")</f>
        <v/>
      </c>
      <c r="D337" s="16" t="str">
        <f>IFERROR(VLOOKUP(C337,DATA!#REF!,2,FALSE),"")</f>
        <v/>
      </c>
      <c r="I337" s="17"/>
      <c r="J337" s="17"/>
      <c r="P337" s="17"/>
      <c r="Q337" s="17"/>
    </row>
    <row r="338" spans="2:17">
      <c r="B338" s="15" t="str">
        <f t="shared" si="55"/>
        <v/>
      </c>
      <c r="C338" s="16" t="str">
        <f>IFERROR(VLOOKUP(DATA!#REF!,DATA!#REF!,1,FALSE),"")</f>
        <v/>
      </c>
      <c r="D338" s="16" t="str">
        <f>IFERROR(VLOOKUP(C338,DATA!#REF!,2,FALSE),"")</f>
        <v/>
      </c>
      <c r="I338" s="17"/>
      <c r="J338" s="17"/>
      <c r="P338" s="17"/>
      <c r="Q338" s="17"/>
    </row>
    <row r="339" spans="2:17">
      <c r="B339" s="15" t="str">
        <f t="shared" si="55"/>
        <v/>
      </c>
      <c r="C339" s="16" t="str">
        <f>IFERROR(VLOOKUP(DATA!#REF!,DATA!#REF!,1,FALSE),"")</f>
        <v/>
      </c>
      <c r="D339" s="16" t="str">
        <f>IFERROR(VLOOKUP(C339,DATA!#REF!,2,FALSE),"")</f>
        <v/>
      </c>
      <c r="I339" s="17"/>
      <c r="J339" s="17"/>
      <c r="P339" s="17"/>
      <c r="Q339" s="17"/>
    </row>
    <row r="340" spans="2:17">
      <c r="B340" s="15" t="str">
        <f t="shared" si="55"/>
        <v/>
      </c>
      <c r="C340" s="16" t="str">
        <f>IFERROR(VLOOKUP(DATA!#REF!,DATA!#REF!,1,FALSE),"")</f>
        <v/>
      </c>
      <c r="D340" s="16" t="str">
        <f>IFERROR(VLOOKUP(C340,DATA!#REF!,2,FALSE),"")</f>
        <v/>
      </c>
      <c r="I340" s="17"/>
      <c r="J340" s="17"/>
      <c r="P340" s="17"/>
      <c r="Q340" s="17"/>
    </row>
    <row r="341" spans="2:17">
      <c r="B341" s="15" t="str">
        <f t="shared" si="55"/>
        <v/>
      </c>
      <c r="C341" s="16" t="str">
        <f>IFERROR(VLOOKUP(DATA!#REF!,DATA!#REF!,1,FALSE),"")</f>
        <v/>
      </c>
      <c r="D341" s="16" t="str">
        <f>IFERROR(VLOOKUP(C341,DATA!#REF!,2,FALSE),"")</f>
        <v/>
      </c>
      <c r="I341" s="17"/>
      <c r="J341" s="17"/>
      <c r="P341" s="17"/>
      <c r="Q341" s="17"/>
    </row>
    <row r="342" spans="2:17">
      <c r="B342" s="15" t="str">
        <f t="shared" si="55"/>
        <v/>
      </c>
      <c r="C342" s="16" t="str">
        <f>IFERROR(VLOOKUP(DATA!#REF!,DATA!#REF!,1,FALSE),"")</f>
        <v/>
      </c>
      <c r="D342" s="16" t="str">
        <f>IFERROR(VLOOKUP(C342,DATA!#REF!,2,FALSE),"")</f>
        <v/>
      </c>
      <c r="I342" s="17"/>
      <c r="J342" s="17"/>
      <c r="P342" s="17"/>
      <c r="Q342" s="17"/>
    </row>
    <row r="343" spans="2:17">
      <c r="B343" s="15" t="str">
        <f t="shared" si="55"/>
        <v/>
      </c>
      <c r="C343" s="16" t="str">
        <f>IFERROR(VLOOKUP(DATA!#REF!,DATA!#REF!,1,FALSE),"")</f>
        <v/>
      </c>
      <c r="D343" s="16" t="str">
        <f>IFERROR(VLOOKUP(C343,DATA!#REF!,2,FALSE),"")</f>
        <v/>
      </c>
      <c r="I343" s="17"/>
      <c r="J343" s="17"/>
      <c r="P343" s="17"/>
      <c r="Q343" s="17"/>
    </row>
    <row r="344" spans="2:17">
      <c r="B344" s="15" t="str">
        <f t="shared" si="55"/>
        <v/>
      </c>
      <c r="C344" s="16" t="str">
        <f>IFERROR(VLOOKUP(DATA!#REF!,DATA!#REF!,1,FALSE),"")</f>
        <v/>
      </c>
      <c r="D344" s="16" t="str">
        <f>IFERROR(VLOOKUP(C344,DATA!#REF!,2,FALSE),"")</f>
        <v/>
      </c>
      <c r="I344" s="17"/>
      <c r="J344" s="17"/>
      <c r="P344" s="17"/>
      <c r="Q344" s="17"/>
    </row>
    <row r="345" spans="2:17">
      <c r="B345" s="15" t="str">
        <f t="shared" si="55"/>
        <v/>
      </c>
      <c r="C345" s="16" t="str">
        <f>IFERROR(VLOOKUP(DATA!#REF!,DATA!#REF!,1,FALSE),"")</f>
        <v/>
      </c>
      <c r="D345" s="16" t="str">
        <f>IFERROR(VLOOKUP(C345,DATA!#REF!,2,FALSE),"")</f>
        <v/>
      </c>
      <c r="I345" s="17"/>
      <c r="J345" s="17"/>
      <c r="P345" s="17"/>
      <c r="Q345" s="17"/>
    </row>
    <row r="346" spans="2:17">
      <c r="B346" s="15" t="str">
        <f t="shared" si="55"/>
        <v/>
      </c>
      <c r="C346" s="16" t="str">
        <f>IFERROR(VLOOKUP(DATA!#REF!,DATA!#REF!,1,FALSE),"")</f>
        <v/>
      </c>
      <c r="D346" s="16" t="str">
        <f>IFERROR(VLOOKUP(C346,DATA!#REF!,2,FALSE),"")</f>
        <v/>
      </c>
      <c r="I346" s="17"/>
      <c r="J346" s="17"/>
      <c r="P346" s="17"/>
      <c r="Q346" s="17"/>
    </row>
    <row r="347" spans="2:17">
      <c r="B347" s="15" t="str">
        <f t="shared" si="55"/>
        <v/>
      </c>
      <c r="C347" s="16" t="str">
        <f>IFERROR(VLOOKUP(DATA!#REF!,DATA!#REF!,1,FALSE),"")</f>
        <v/>
      </c>
      <c r="D347" s="16" t="str">
        <f>IFERROR(VLOOKUP(C347,DATA!#REF!,2,FALSE),"")</f>
        <v/>
      </c>
      <c r="I347" s="17"/>
      <c r="J347" s="17"/>
      <c r="P347" s="17"/>
      <c r="Q347" s="17"/>
    </row>
    <row r="348" spans="2:17">
      <c r="B348" s="15" t="str">
        <f t="shared" si="55"/>
        <v/>
      </c>
      <c r="C348" s="16" t="str">
        <f>IFERROR(VLOOKUP(DATA!#REF!,DATA!#REF!,1,FALSE),"")</f>
        <v/>
      </c>
      <c r="D348" s="16" t="str">
        <f>IFERROR(VLOOKUP(C348,DATA!#REF!,2,FALSE),"")</f>
        <v/>
      </c>
      <c r="I348" s="17"/>
      <c r="J348" s="17"/>
      <c r="P348" s="17"/>
      <c r="Q348" s="17"/>
    </row>
    <row r="349" spans="2:17">
      <c r="B349" s="15" t="str">
        <f t="shared" si="55"/>
        <v/>
      </c>
      <c r="C349" s="16" t="str">
        <f>IFERROR(VLOOKUP(DATA!#REF!,DATA!#REF!,1,FALSE),"")</f>
        <v/>
      </c>
      <c r="D349" s="16" t="str">
        <f>IFERROR(VLOOKUP(C349,DATA!#REF!,2,FALSE),"")</f>
        <v/>
      </c>
      <c r="I349" s="17"/>
      <c r="J349" s="17"/>
      <c r="P349" s="17"/>
      <c r="Q349" s="17"/>
    </row>
    <row r="350" spans="2:17">
      <c r="B350" s="15" t="str">
        <f t="shared" si="55"/>
        <v/>
      </c>
      <c r="C350" s="16" t="str">
        <f>IFERROR(VLOOKUP(DATA!#REF!,DATA!#REF!,1,FALSE),"")</f>
        <v/>
      </c>
      <c r="D350" s="16" t="str">
        <f>IFERROR(VLOOKUP(C350,DATA!#REF!,2,FALSE),"")</f>
        <v/>
      </c>
      <c r="I350" s="17"/>
      <c r="J350" s="17"/>
      <c r="P350" s="17"/>
      <c r="Q350" s="17"/>
    </row>
    <row r="351" spans="2:17">
      <c r="B351" s="15" t="str">
        <f t="shared" si="55"/>
        <v/>
      </c>
      <c r="C351" s="16" t="str">
        <f>IFERROR(VLOOKUP(DATA!#REF!,DATA!#REF!,1,FALSE),"")</f>
        <v/>
      </c>
      <c r="D351" s="16" t="str">
        <f>IFERROR(VLOOKUP(C351,DATA!#REF!,2,FALSE),"")</f>
        <v/>
      </c>
      <c r="I351" s="17"/>
      <c r="J351" s="17"/>
      <c r="P351" s="17"/>
      <c r="Q351" s="17"/>
    </row>
    <row r="352" spans="2:17">
      <c r="B352" s="15" t="str">
        <f t="shared" si="55"/>
        <v/>
      </c>
      <c r="C352" s="16" t="str">
        <f>IFERROR(VLOOKUP(DATA!#REF!,DATA!#REF!,1,FALSE),"")</f>
        <v/>
      </c>
      <c r="D352" s="16" t="str">
        <f>IFERROR(VLOOKUP(C352,DATA!#REF!,2,FALSE),"")</f>
        <v/>
      </c>
      <c r="I352" s="17"/>
      <c r="J352" s="17"/>
      <c r="P352" s="17"/>
      <c r="Q352" s="17"/>
    </row>
    <row r="353" spans="2:17">
      <c r="B353" s="15" t="str">
        <f t="shared" si="55"/>
        <v/>
      </c>
      <c r="C353" s="16" t="str">
        <f>IFERROR(VLOOKUP(DATA!#REF!,DATA!#REF!,1,FALSE),"")</f>
        <v/>
      </c>
      <c r="D353" s="16" t="str">
        <f>IFERROR(VLOOKUP(C353,DATA!#REF!,2,FALSE),"")</f>
        <v/>
      </c>
      <c r="I353" s="17"/>
      <c r="J353" s="17"/>
      <c r="P353" s="17"/>
      <c r="Q353" s="17"/>
    </row>
    <row r="354" spans="2:17">
      <c r="B354" s="15" t="str">
        <f t="shared" si="55"/>
        <v/>
      </c>
      <c r="C354" s="16" t="str">
        <f>IFERROR(VLOOKUP(DATA!#REF!,DATA!#REF!,1,FALSE),"")</f>
        <v/>
      </c>
      <c r="D354" s="16" t="str">
        <f>IFERROR(VLOOKUP(C354,DATA!#REF!,2,FALSE),"")</f>
        <v/>
      </c>
      <c r="I354" s="17"/>
      <c r="J354" s="17"/>
      <c r="P354" s="17"/>
      <c r="Q354" s="17"/>
    </row>
    <row r="355" spans="2:17">
      <c r="B355" s="15" t="str">
        <f t="shared" si="55"/>
        <v/>
      </c>
      <c r="C355" s="16" t="str">
        <f>IFERROR(VLOOKUP(DATA!#REF!,DATA!#REF!,1,FALSE),"")</f>
        <v/>
      </c>
      <c r="D355" s="16" t="str">
        <f>IFERROR(VLOOKUP(C355,DATA!#REF!,2,FALSE),"")</f>
        <v/>
      </c>
      <c r="I355" s="17"/>
      <c r="J355" s="17"/>
      <c r="P355" s="17"/>
      <c r="Q355" s="17"/>
    </row>
    <row r="356" spans="2:17">
      <c r="B356" s="15" t="str">
        <f t="shared" si="55"/>
        <v/>
      </c>
      <c r="C356" s="16" t="str">
        <f>IFERROR(VLOOKUP(DATA!#REF!,DATA!#REF!,1,FALSE),"")</f>
        <v/>
      </c>
      <c r="D356" s="16" t="str">
        <f>IFERROR(VLOOKUP(C356,DATA!#REF!,2,FALSE),"")</f>
        <v/>
      </c>
      <c r="I356" s="17"/>
      <c r="J356" s="17"/>
      <c r="P356" s="17"/>
      <c r="Q356" s="17"/>
    </row>
    <row r="357" spans="2:17">
      <c r="B357" s="15" t="str">
        <f t="shared" si="55"/>
        <v/>
      </c>
      <c r="C357" s="16" t="str">
        <f>IFERROR(VLOOKUP(DATA!#REF!,DATA!#REF!,1,FALSE),"")</f>
        <v/>
      </c>
      <c r="D357" s="16" t="str">
        <f>IFERROR(VLOOKUP(C357,DATA!#REF!,2,FALSE),"")</f>
        <v/>
      </c>
      <c r="I357" s="17"/>
      <c r="J357" s="17"/>
      <c r="P357" s="17"/>
      <c r="Q357" s="17"/>
    </row>
    <row r="358" spans="2:17">
      <c r="B358" s="15" t="str">
        <f t="shared" si="55"/>
        <v/>
      </c>
      <c r="C358" s="16" t="str">
        <f>IFERROR(VLOOKUP(DATA!#REF!,DATA!#REF!,1,FALSE),"")</f>
        <v/>
      </c>
      <c r="D358" s="16" t="str">
        <f>IFERROR(VLOOKUP(C358,DATA!#REF!,2,FALSE),"")</f>
        <v/>
      </c>
      <c r="I358" s="17"/>
      <c r="J358" s="17"/>
      <c r="P358" s="17"/>
      <c r="Q358" s="17"/>
    </row>
    <row r="359" spans="2:17">
      <c r="B359" s="15" t="str">
        <f t="shared" si="55"/>
        <v/>
      </c>
      <c r="C359" s="16" t="str">
        <f>IFERROR(VLOOKUP(DATA!#REF!,DATA!#REF!,1,FALSE),"")</f>
        <v/>
      </c>
      <c r="D359" s="16" t="str">
        <f>IFERROR(VLOOKUP(C359,DATA!#REF!,2,FALSE),"")</f>
        <v/>
      </c>
      <c r="I359" s="17"/>
      <c r="J359" s="17"/>
      <c r="P359" s="17"/>
      <c r="Q359" s="17"/>
    </row>
    <row r="360" spans="2:17">
      <c r="B360" s="15" t="str">
        <f t="shared" si="55"/>
        <v/>
      </c>
      <c r="C360" s="16" t="str">
        <f>IFERROR(VLOOKUP(DATA!#REF!,DATA!#REF!,1,FALSE),"")</f>
        <v/>
      </c>
      <c r="D360" s="16" t="str">
        <f>IFERROR(VLOOKUP(C360,DATA!#REF!,2,FALSE),"")</f>
        <v/>
      </c>
      <c r="I360" s="17"/>
      <c r="J360" s="17"/>
      <c r="P360" s="17"/>
      <c r="Q360" s="17"/>
    </row>
    <row r="361" spans="2:17">
      <c r="B361" s="15" t="str">
        <f t="shared" si="55"/>
        <v/>
      </c>
      <c r="C361" s="16" t="str">
        <f>IFERROR(VLOOKUP(DATA!#REF!,DATA!#REF!,1,FALSE),"")</f>
        <v/>
      </c>
      <c r="D361" s="16" t="str">
        <f>IFERROR(VLOOKUP(C361,DATA!#REF!,2,FALSE),"")</f>
        <v/>
      </c>
      <c r="I361" s="17"/>
      <c r="J361" s="17"/>
      <c r="P361" s="17"/>
      <c r="Q361" s="17"/>
    </row>
    <row r="362" spans="2:17">
      <c r="B362" s="15" t="str">
        <f t="shared" si="55"/>
        <v/>
      </c>
      <c r="C362" s="16" t="str">
        <f>IFERROR(VLOOKUP(DATA!#REF!,DATA!#REF!,1,FALSE),"")</f>
        <v/>
      </c>
      <c r="D362" s="16" t="str">
        <f>IFERROR(VLOOKUP(C362,DATA!#REF!,2,FALSE),"")</f>
        <v/>
      </c>
      <c r="I362" s="17"/>
      <c r="J362" s="17"/>
      <c r="P362" s="17"/>
      <c r="Q362" s="17"/>
    </row>
    <row r="363" spans="2:17">
      <c r="B363" s="15" t="str">
        <f t="shared" si="55"/>
        <v/>
      </c>
      <c r="C363" s="16" t="str">
        <f>IFERROR(VLOOKUP(DATA!#REF!,DATA!#REF!,1,FALSE),"")</f>
        <v/>
      </c>
      <c r="D363" s="16" t="str">
        <f>IFERROR(VLOOKUP(C363,DATA!#REF!,2,FALSE),"")</f>
        <v/>
      </c>
      <c r="I363" s="17"/>
      <c r="J363" s="17"/>
      <c r="P363" s="17"/>
      <c r="Q363" s="17"/>
    </row>
    <row r="364" spans="2:17">
      <c r="B364" s="15" t="str">
        <f t="shared" si="55"/>
        <v/>
      </c>
      <c r="C364" s="16" t="str">
        <f>IFERROR(VLOOKUP(DATA!#REF!,DATA!#REF!,1,FALSE),"")</f>
        <v/>
      </c>
      <c r="D364" s="16" t="str">
        <f>IFERROR(VLOOKUP(C364,DATA!#REF!,2,FALSE),"")</f>
        <v/>
      </c>
      <c r="I364" s="17"/>
      <c r="J364" s="17"/>
      <c r="P364" s="17"/>
      <c r="Q364" s="17"/>
    </row>
    <row r="365" spans="2:17">
      <c r="B365" s="15" t="str">
        <f t="shared" si="55"/>
        <v/>
      </c>
      <c r="C365" s="16" t="str">
        <f>IFERROR(VLOOKUP(DATA!#REF!,DATA!#REF!,1,FALSE),"")</f>
        <v/>
      </c>
      <c r="D365" s="16" t="str">
        <f>IFERROR(VLOOKUP(C365,DATA!#REF!,2,FALSE),"")</f>
        <v/>
      </c>
      <c r="I365" s="17"/>
      <c r="J365" s="17"/>
      <c r="P365" s="17"/>
      <c r="Q365" s="17"/>
    </row>
    <row r="366" spans="2:17">
      <c r="B366" s="15" t="str">
        <f t="shared" si="55"/>
        <v/>
      </c>
      <c r="C366" s="16" t="str">
        <f>IFERROR(VLOOKUP(DATA!#REF!,DATA!#REF!,1,FALSE),"")</f>
        <v/>
      </c>
      <c r="D366" s="16" t="str">
        <f>IFERROR(VLOOKUP(C366,DATA!#REF!,2,FALSE),"")</f>
        <v/>
      </c>
      <c r="I366" s="17"/>
      <c r="J366" s="17"/>
      <c r="P366" s="17"/>
      <c r="Q366" s="17"/>
    </row>
    <row r="367" spans="2:17">
      <c r="B367" s="15" t="str">
        <f t="shared" si="55"/>
        <v/>
      </c>
      <c r="C367" s="16" t="str">
        <f>IFERROR(VLOOKUP(DATA!#REF!,DATA!#REF!,1,FALSE),"")</f>
        <v/>
      </c>
      <c r="D367" s="16" t="str">
        <f>IFERROR(VLOOKUP(C367,DATA!#REF!,2,FALSE),"")</f>
        <v/>
      </c>
      <c r="I367" s="17"/>
      <c r="J367" s="17"/>
      <c r="P367" s="17"/>
      <c r="Q367" s="17"/>
    </row>
    <row r="368" spans="2:17">
      <c r="B368" s="15" t="str">
        <f t="shared" si="55"/>
        <v/>
      </c>
      <c r="C368" s="16" t="str">
        <f>IFERROR(VLOOKUP(DATA!#REF!,DATA!#REF!,1,FALSE),"")</f>
        <v/>
      </c>
      <c r="D368" s="16" t="str">
        <f>IFERROR(VLOOKUP(C368,DATA!#REF!,2,FALSE),"")</f>
        <v/>
      </c>
      <c r="I368" s="17"/>
      <c r="J368" s="17"/>
      <c r="P368" s="17"/>
      <c r="Q368" s="17"/>
    </row>
    <row r="369" spans="2:17">
      <c r="B369" s="15" t="str">
        <f t="shared" si="55"/>
        <v/>
      </c>
      <c r="C369" s="16" t="str">
        <f>IFERROR(VLOOKUP(DATA!#REF!,DATA!#REF!,1,FALSE),"")</f>
        <v/>
      </c>
      <c r="D369" s="16" t="str">
        <f>IFERROR(VLOOKUP(C369,DATA!#REF!,2,FALSE),"")</f>
        <v/>
      </c>
      <c r="I369" s="17"/>
      <c r="J369" s="17"/>
      <c r="P369" s="17"/>
      <c r="Q369" s="17"/>
    </row>
    <row r="370" spans="2:17">
      <c r="B370" s="15" t="str">
        <f t="shared" si="55"/>
        <v/>
      </c>
      <c r="C370" s="16" t="str">
        <f>IFERROR(VLOOKUP(DATA!#REF!,DATA!#REF!,1,FALSE),"")</f>
        <v/>
      </c>
      <c r="D370" s="16" t="str">
        <f>IFERROR(VLOOKUP(C370,DATA!#REF!,2,FALSE),"")</f>
        <v/>
      </c>
      <c r="I370" s="17"/>
      <c r="J370" s="17"/>
      <c r="P370" s="17"/>
      <c r="Q370" s="17"/>
    </row>
    <row r="371" spans="2:17">
      <c r="B371" s="15" t="str">
        <f t="shared" si="55"/>
        <v/>
      </c>
      <c r="C371" s="16" t="str">
        <f>IFERROR(VLOOKUP(DATA!#REF!,DATA!#REF!,1,FALSE),"")</f>
        <v/>
      </c>
      <c r="D371" s="16" t="str">
        <f>IFERROR(VLOOKUP(C371,DATA!#REF!,2,FALSE),"")</f>
        <v/>
      </c>
      <c r="I371" s="17"/>
      <c r="J371" s="17"/>
      <c r="P371" s="17"/>
      <c r="Q371" s="17"/>
    </row>
    <row r="372" spans="2:17">
      <c r="B372" s="15" t="str">
        <f t="shared" si="55"/>
        <v/>
      </c>
      <c r="C372" s="16" t="str">
        <f>IFERROR(VLOOKUP(DATA!#REF!,DATA!#REF!,1,FALSE),"")</f>
        <v/>
      </c>
      <c r="D372" s="16" t="str">
        <f>IFERROR(VLOOKUP(C372,DATA!#REF!,2,FALSE),"")</f>
        <v/>
      </c>
      <c r="I372" s="17"/>
      <c r="J372" s="17"/>
      <c r="P372" s="17"/>
      <c r="Q372" s="17"/>
    </row>
    <row r="373" spans="2:17">
      <c r="B373" s="15" t="str">
        <f t="shared" si="55"/>
        <v/>
      </c>
      <c r="C373" s="16" t="str">
        <f>IFERROR(VLOOKUP(DATA!#REF!,DATA!#REF!,1,FALSE),"")</f>
        <v/>
      </c>
      <c r="D373" s="16" t="str">
        <f>IFERROR(VLOOKUP(C373,DATA!#REF!,2,FALSE),"")</f>
        <v/>
      </c>
      <c r="I373" s="17"/>
      <c r="J373" s="17"/>
      <c r="P373" s="17"/>
      <c r="Q373" s="17"/>
    </row>
    <row r="374" spans="2:17">
      <c r="B374" s="15" t="str">
        <f t="shared" si="55"/>
        <v/>
      </c>
      <c r="C374" s="16" t="str">
        <f>IFERROR(VLOOKUP(DATA!#REF!,DATA!#REF!,1,FALSE),"")</f>
        <v/>
      </c>
      <c r="D374" s="16" t="str">
        <f>IFERROR(VLOOKUP(C374,DATA!#REF!,2,FALSE),"")</f>
        <v/>
      </c>
      <c r="I374" s="17"/>
      <c r="J374" s="17"/>
      <c r="P374" s="17"/>
      <c r="Q374" s="17"/>
    </row>
    <row r="375" spans="2:17">
      <c r="B375" s="15" t="str">
        <f t="shared" ref="B375:B438" si="56">+IF(C375="","",ROW()-5)</f>
        <v/>
      </c>
      <c r="C375" s="16" t="str">
        <f>IFERROR(VLOOKUP(DATA!#REF!,DATA!#REF!,1,FALSE),"")</f>
        <v/>
      </c>
      <c r="D375" s="16" t="str">
        <f>IFERROR(VLOOKUP(C375,DATA!#REF!,2,FALSE),"")</f>
        <v/>
      </c>
      <c r="I375" s="17"/>
      <c r="J375" s="17"/>
      <c r="P375" s="17"/>
      <c r="Q375" s="17"/>
    </row>
    <row r="376" spans="2:17">
      <c r="B376" s="15" t="str">
        <f t="shared" si="56"/>
        <v/>
      </c>
      <c r="C376" s="16" t="str">
        <f>IFERROR(VLOOKUP(DATA!#REF!,DATA!#REF!,1,FALSE),"")</f>
        <v/>
      </c>
      <c r="D376" s="16" t="str">
        <f>IFERROR(VLOOKUP(C376,DATA!#REF!,2,FALSE),"")</f>
        <v/>
      </c>
      <c r="I376" s="17"/>
      <c r="J376" s="17"/>
      <c r="P376" s="17"/>
      <c r="Q376" s="17"/>
    </row>
    <row r="377" spans="2:17">
      <c r="B377" s="15" t="str">
        <f t="shared" si="56"/>
        <v/>
      </c>
      <c r="C377" s="16" t="str">
        <f>IFERROR(VLOOKUP(DATA!#REF!,DATA!#REF!,1,FALSE),"")</f>
        <v/>
      </c>
      <c r="D377" s="16" t="str">
        <f>IFERROR(VLOOKUP(C377,DATA!#REF!,2,FALSE),"")</f>
        <v/>
      </c>
      <c r="I377" s="17"/>
      <c r="J377" s="17"/>
      <c r="P377" s="17"/>
      <c r="Q377" s="17"/>
    </row>
    <row r="378" spans="2:17">
      <c r="B378" s="15" t="str">
        <f t="shared" si="56"/>
        <v/>
      </c>
      <c r="C378" s="16" t="str">
        <f>IFERROR(VLOOKUP(DATA!#REF!,DATA!#REF!,1,FALSE),"")</f>
        <v/>
      </c>
      <c r="D378" s="16" t="str">
        <f>IFERROR(VLOOKUP(C378,DATA!#REF!,2,FALSE),"")</f>
        <v/>
      </c>
      <c r="I378" s="17"/>
      <c r="J378" s="17"/>
      <c r="P378" s="17"/>
      <c r="Q378" s="17"/>
    </row>
    <row r="379" spans="2:17">
      <c r="B379" s="15" t="str">
        <f t="shared" si="56"/>
        <v/>
      </c>
      <c r="C379" s="16" t="str">
        <f>IFERROR(VLOOKUP(DATA!#REF!,DATA!#REF!,1,FALSE),"")</f>
        <v/>
      </c>
      <c r="D379" s="16" t="str">
        <f>IFERROR(VLOOKUP(C379,DATA!#REF!,2,FALSE),"")</f>
        <v/>
      </c>
      <c r="I379" s="17"/>
      <c r="J379" s="17"/>
      <c r="P379" s="17"/>
      <c r="Q379" s="17"/>
    </row>
    <row r="380" spans="2:17">
      <c r="B380" s="15" t="str">
        <f t="shared" si="56"/>
        <v/>
      </c>
      <c r="C380" s="16" t="str">
        <f>IFERROR(VLOOKUP(DATA!#REF!,DATA!#REF!,1,FALSE),"")</f>
        <v/>
      </c>
      <c r="D380" s="16" t="str">
        <f>IFERROR(VLOOKUP(C380,DATA!#REF!,2,FALSE),"")</f>
        <v/>
      </c>
      <c r="I380" s="17"/>
      <c r="J380" s="17"/>
      <c r="P380" s="17"/>
      <c r="Q380" s="17"/>
    </row>
    <row r="381" spans="2:17">
      <c r="B381" s="15" t="str">
        <f t="shared" si="56"/>
        <v/>
      </c>
      <c r="C381" s="16" t="str">
        <f>IFERROR(VLOOKUP(DATA!#REF!,DATA!#REF!,1,FALSE),"")</f>
        <v/>
      </c>
      <c r="D381" s="16" t="str">
        <f>IFERROR(VLOOKUP(C381,DATA!#REF!,2,FALSE),"")</f>
        <v/>
      </c>
      <c r="I381" s="17"/>
      <c r="J381" s="17"/>
      <c r="P381" s="17"/>
      <c r="Q381" s="17"/>
    </row>
    <row r="382" spans="2:17">
      <c r="B382" s="15" t="str">
        <f t="shared" si="56"/>
        <v/>
      </c>
      <c r="C382" s="16" t="str">
        <f>IFERROR(VLOOKUP(DATA!#REF!,DATA!#REF!,1,FALSE),"")</f>
        <v/>
      </c>
      <c r="D382" s="16" t="str">
        <f>IFERROR(VLOOKUP(C382,DATA!#REF!,2,FALSE),"")</f>
        <v/>
      </c>
      <c r="I382" s="17"/>
      <c r="J382" s="17"/>
      <c r="P382" s="17"/>
      <c r="Q382" s="17"/>
    </row>
    <row r="383" spans="2:17">
      <c r="B383" s="15" t="str">
        <f t="shared" si="56"/>
        <v/>
      </c>
      <c r="C383" s="16" t="str">
        <f>IFERROR(VLOOKUP(DATA!#REF!,DATA!#REF!,1,FALSE),"")</f>
        <v/>
      </c>
      <c r="D383" s="16" t="str">
        <f>IFERROR(VLOOKUP(C383,DATA!#REF!,2,FALSE),"")</f>
        <v/>
      </c>
      <c r="I383" s="17"/>
      <c r="J383" s="17"/>
      <c r="P383" s="17"/>
      <c r="Q383" s="17"/>
    </row>
    <row r="384" spans="2:17">
      <c r="B384" s="15" t="str">
        <f t="shared" si="56"/>
        <v/>
      </c>
      <c r="C384" s="16" t="str">
        <f>IFERROR(VLOOKUP(DATA!#REF!,DATA!#REF!,1,FALSE),"")</f>
        <v/>
      </c>
      <c r="D384" s="16" t="str">
        <f>IFERROR(VLOOKUP(C384,DATA!#REF!,2,FALSE),"")</f>
        <v/>
      </c>
      <c r="I384" s="17"/>
      <c r="J384" s="17"/>
      <c r="P384" s="17"/>
      <c r="Q384" s="17"/>
    </row>
    <row r="385" spans="2:17">
      <c r="B385" s="15" t="str">
        <f t="shared" si="56"/>
        <v/>
      </c>
      <c r="C385" s="16" t="str">
        <f>IFERROR(VLOOKUP(DATA!#REF!,DATA!#REF!,1,FALSE),"")</f>
        <v/>
      </c>
      <c r="D385" s="16" t="str">
        <f>IFERROR(VLOOKUP(C385,DATA!#REF!,2,FALSE),"")</f>
        <v/>
      </c>
      <c r="I385" s="17"/>
      <c r="J385" s="17"/>
      <c r="P385" s="17"/>
      <c r="Q385" s="17"/>
    </row>
    <row r="386" spans="2:17">
      <c r="B386" s="15" t="str">
        <f t="shared" si="56"/>
        <v/>
      </c>
      <c r="C386" s="16" t="str">
        <f>IFERROR(VLOOKUP(DATA!#REF!,DATA!#REF!,1,FALSE),"")</f>
        <v/>
      </c>
      <c r="D386" s="16" t="str">
        <f>IFERROR(VLOOKUP(C386,DATA!#REF!,2,FALSE),"")</f>
        <v/>
      </c>
      <c r="I386" s="17"/>
      <c r="J386" s="17"/>
      <c r="P386" s="17"/>
      <c r="Q386" s="17"/>
    </row>
    <row r="387" spans="2:17">
      <c r="B387" s="15" t="str">
        <f t="shared" si="56"/>
        <v/>
      </c>
      <c r="C387" s="16" t="str">
        <f>IFERROR(VLOOKUP(DATA!#REF!,DATA!#REF!,1,FALSE),"")</f>
        <v/>
      </c>
      <c r="D387" s="16" t="str">
        <f>IFERROR(VLOOKUP(C387,DATA!#REF!,2,FALSE),"")</f>
        <v/>
      </c>
      <c r="I387" s="17"/>
      <c r="J387" s="17"/>
      <c r="P387" s="17"/>
      <c r="Q387" s="17"/>
    </row>
    <row r="388" spans="2:17">
      <c r="B388" s="15" t="str">
        <f t="shared" si="56"/>
        <v/>
      </c>
      <c r="C388" s="16" t="str">
        <f>IFERROR(VLOOKUP(DATA!#REF!,DATA!#REF!,1,FALSE),"")</f>
        <v/>
      </c>
      <c r="D388" s="16" t="str">
        <f>IFERROR(VLOOKUP(C388,DATA!#REF!,2,FALSE),"")</f>
        <v/>
      </c>
      <c r="I388" s="17"/>
      <c r="J388" s="17"/>
      <c r="P388" s="17"/>
      <c r="Q388" s="17"/>
    </row>
    <row r="389" spans="2:17">
      <c r="B389" s="15" t="str">
        <f t="shared" si="56"/>
        <v/>
      </c>
      <c r="C389" s="16" t="str">
        <f>IFERROR(VLOOKUP(DATA!#REF!,DATA!#REF!,1,FALSE),"")</f>
        <v/>
      </c>
      <c r="D389" s="16" t="str">
        <f>IFERROR(VLOOKUP(C389,DATA!#REF!,2,FALSE),"")</f>
        <v/>
      </c>
      <c r="I389" s="17"/>
      <c r="J389" s="17"/>
      <c r="P389" s="17"/>
      <c r="Q389" s="17"/>
    </row>
    <row r="390" spans="2:17">
      <c r="B390" s="15" t="str">
        <f t="shared" si="56"/>
        <v/>
      </c>
      <c r="C390" s="16" t="str">
        <f>IFERROR(VLOOKUP(DATA!#REF!,DATA!#REF!,1,FALSE),"")</f>
        <v/>
      </c>
      <c r="D390" s="16" t="str">
        <f>IFERROR(VLOOKUP(C390,DATA!#REF!,2,FALSE),"")</f>
        <v/>
      </c>
      <c r="I390" s="17"/>
      <c r="J390" s="17"/>
      <c r="P390" s="17"/>
      <c r="Q390" s="17"/>
    </row>
    <row r="391" spans="2:17">
      <c r="B391" s="15" t="str">
        <f t="shared" si="56"/>
        <v/>
      </c>
      <c r="C391" s="16" t="str">
        <f>IFERROR(VLOOKUP(DATA!#REF!,DATA!#REF!,1,FALSE),"")</f>
        <v/>
      </c>
      <c r="D391" s="16" t="str">
        <f>IFERROR(VLOOKUP(C391,DATA!#REF!,2,FALSE),"")</f>
        <v/>
      </c>
      <c r="I391" s="17"/>
      <c r="J391" s="17"/>
      <c r="P391" s="17"/>
      <c r="Q391" s="17"/>
    </row>
    <row r="392" spans="2:17">
      <c r="B392" s="15" t="str">
        <f t="shared" si="56"/>
        <v/>
      </c>
      <c r="C392" s="16" t="str">
        <f>IFERROR(VLOOKUP(DATA!#REF!,DATA!#REF!,1,FALSE),"")</f>
        <v/>
      </c>
      <c r="D392" s="16" t="str">
        <f>IFERROR(VLOOKUP(C392,DATA!#REF!,2,FALSE),"")</f>
        <v/>
      </c>
      <c r="I392" s="17"/>
      <c r="J392" s="17"/>
      <c r="P392" s="17"/>
      <c r="Q392" s="17"/>
    </row>
    <row r="393" spans="2:17">
      <c r="B393" s="15" t="str">
        <f t="shared" si="56"/>
        <v/>
      </c>
      <c r="C393" s="16" t="str">
        <f>IFERROR(VLOOKUP(DATA!#REF!,DATA!#REF!,1,FALSE),"")</f>
        <v/>
      </c>
      <c r="D393" s="16" t="str">
        <f>IFERROR(VLOOKUP(C393,DATA!#REF!,2,FALSE),"")</f>
        <v/>
      </c>
      <c r="I393" s="17"/>
      <c r="J393" s="17"/>
      <c r="P393" s="17"/>
      <c r="Q393" s="17"/>
    </row>
    <row r="394" spans="2:17">
      <c r="B394" s="15" t="str">
        <f t="shared" si="56"/>
        <v/>
      </c>
      <c r="C394" s="16" t="str">
        <f>IFERROR(VLOOKUP(DATA!#REF!,DATA!#REF!,1,FALSE),"")</f>
        <v/>
      </c>
      <c r="D394" s="16" t="str">
        <f>IFERROR(VLOOKUP(C394,DATA!#REF!,2,FALSE),"")</f>
        <v/>
      </c>
      <c r="I394" s="17"/>
      <c r="J394" s="17"/>
      <c r="P394" s="17"/>
      <c r="Q394" s="17"/>
    </row>
    <row r="395" spans="2:17">
      <c r="B395" s="15" t="str">
        <f t="shared" si="56"/>
        <v/>
      </c>
      <c r="C395" s="16" t="str">
        <f>IFERROR(VLOOKUP(DATA!#REF!,DATA!#REF!,1,FALSE),"")</f>
        <v/>
      </c>
      <c r="D395" s="16" t="str">
        <f>IFERROR(VLOOKUP(C395,DATA!#REF!,2,FALSE),"")</f>
        <v/>
      </c>
      <c r="I395" s="17"/>
      <c r="J395" s="17"/>
      <c r="P395" s="17"/>
      <c r="Q395" s="17"/>
    </row>
    <row r="396" spans="2:17">
      <c r="B396" s="15" t="str">
        <f t="shared" si="56"/>
        <v/>
      </c>
      <c r="C396" s="16" t="str">
        <f>IFERROR(VLOOKUP(DATA!#REF!,DATA!#REF!,1,FALSE),"")</f>
        <v/>
      </c>
      <c r="D396" s="16" t="str">
        <f>IFERROR(VLOOKUP(C396,DATA!#REF!,2,FALSE),"")</f>
        <v/>
      </c>
      <c r="I396" s="17"/>
      <c r="J396" s="17"/>
      <c r="P396" s="17"/>
      <c r="Q396" s="17"/>
    </row>
    <row r="397" spans="2:17">
      <c r="B397" s="15" t="str">
        <f t="shared" si="56"/>
        <v/>
      </c>
      <c r="C397" s="16" t="str">
        <f>IFERROR(VLOOKUP(DATA!#REF!,DATA!#REF!,1,FALSE),"")</f>
        <v/>
      </c>
      <c r="D397" s="16" t="str">
        <f>IFERROR(VLOOKUP(C397,DATA!#REF!,2,FALSE),"")</f>
        <v/>
      </c>
      <c r="I397" s="17"/>
      <c r="J397" s="17"/>
      <c r="P397" s="17"/>
      <c r="Q397" s="17"/>
    </row>
    <row r="398" spans="2:17">
      <c r="B398" s="15" t="str">
        <f t="shared" si="56"/>
        <v/>
      </c>
      <c r="C398" s="16" t="str">
        <f>IFERROR(VLOOKUP(DATA!#REF!,DATA!#REF!,1,FALSE),"")</f>
        <v/>
      </c>
      <c r="D398" s="16" t="str">
        <f>IFERROR(VLOOKUP(C398,DATA!#REF!,2,FALSE),"")</f>
        <v/>
      </c>
      <c r="I398" s="17"/>
      <c r="J398" s="17"/>
      <c r="P398" s="17"/>
      <c r="Q398" s="17"/>
    </row>
    <row r="399" spans="2:17">
      <c r="B399" s="15" t="str">
        <f t="shared" si="56"/>
        <v/>
      </c>
      <c r="C399" s="16" t="str">
        <f>IFERROR(VLOOKUP(DATA!#REF!,DATA!#REF!,1,FALSE),"")</f>
        <v/>
      </c>
      <c r="D399" s="16" t="str">
        <f>IFERROR(VLOOKUP(C399,DATA!#REF!,2,FALSE),"")</f>
        <v/>
      </c>
      <c r="I399" s="17"/>
      <c r="J399" s="17"/>
      <c r="P399" s="17"/>
      <c r="Q399" s="17"/>
    </row>
    <row r="400" spans="2:17">
      <c r="B400" s="15" t="str">
        <f t="shared" si="56"/>
        <v/>
      </c>
      <c r="C400" s="16" t="str">
        <f>IFERROR(VLOOKUP(DATA!#REF!,DATA!#REF!,1,FALSE),"")</f>
        <v/>
      </c>
      <c r="D400" s="16" t="str">
        <f>IFERROR(VLOOKUP(C400,DATA!#REF!,2,FALSE),"")</f>
        <v/>
      </c>
      <c r="I400" s="17"/>
      <c r="J400" s="17"/>
      <c r="P400" s="17"/>
      <c r="Q400" s="17"/>
    </row>
    <row r="401" spans="2:17">
      <c r="B401" s="15" t="str">
        <f t="shared" si="56"/>
        <v/>
      </c>
      <c r="C401" s="16" t="str">
        <f>IFERROR(VLOOKUP(DATA!#REF!,DATA!#REF!,1,FALSE),"")</f>
        <v/>
      </c>
      <c r="D401" s="16" t="str">
        <f>IFERROR(VLOOKUP(C401,DATA!#REF!,2,FALSE),"")</f>
        <v/>
      </c>
      <c r="I401" s="17"/>
      <c r="J401" s="17"/>
      <c r="P401" s="17"/>
      <c r="Q401" s="17"/>
    </row>
    <row r="402" spans="2:17">
      <c r="B402" s="15" t="str">
        <f t="shared" si="56"/>
        <v/>
      </c>
      <c r="C402" s="16" t="str">
        <f>IFERROR(VLOOKUP(DATA!#REF!,DATA!#REF!,1,FALSE),"")</f>
        <v/>
      </c>
      <c r="D402" s="16" t="str">
        <f>IFERROR(VLOOKUP(C402,DATA!#REF!,2,FALSE),"")</f>
        <v/>
      </c>
      <c r="I402" s="17"/>
      <c r="J402" s="17"/>
      <c r="P402" s="17"/>
      <c r="Q402" s="17"/>
    </row>
    <row r="403" spans="2:17">
      <c r="B403" s="15" t="str">
        <f t="shared" si="56"/>
        <v/>
      </c>
      <c r="C403" s="16" t="str">
        <f>IFERROR(VLOOKUP(DATA!#REF!,DATA!#REF!,1,FALSE),"")</f>
        <v/>
      </c>
      <c r="D403" s="16" t="str">
        <f>IFERROR(VLOOKUP(C403,DATA!#REF!,2,FALSE),"")</f>
        <v/>
      </c>
      <c r="I403" s="17"/>
      <c r="J403" s="17"/>
      <c r="P403" s="17"/>
      <c r="Q403" s="17"/>
    </row>
    <row r="404" spans="2:17">
      <c r="B404" s="15" t="str">
        <f t="shared" si="56"/>
        <v/>
      </c>
      <c r="C404" s="16" t="str">
        <f>IFERROR(VLOOKUP(DATA!#REF!,DATA!#REF!,1,FALSE),"")</f>
        <v/>
      </c>
      <c r="D404" s="16" t="str">
        <f>IFERROR(VLOOKUP(C404,DATA!#REF!,2,FALSE),"")</f>
        <v/>
      </c>
      <c r="I404" s="17"/>
      <c r="J404" s="17"/>
      <c r="P404" s="17"/>
      <c r="Q404" s="17"/>
    </row>
    <row r="405" spans="2:17">
      <c r="B405" s="15" t="str">
        <f t="shared" si="56"/>
        <v/>
      </c>
      <c r="C405" s="16" t="str">
        <f>IFERROR(VLOOKUP(DATA!#REF!,DATA!#REF!,1,FALSE),"")</f>
        <v/>
      </c>
      <c r="D405" s="16" t="str">
        <f>IFERROR(VLOOKUP(C405,DATA!#REF!,2,FALSE),"")</f>
        <v/>
      </c>
      <c r="I405" s="17"/>
      <c r="J405" s="17"/>
      <c r="P405" s="17"/>
      <c r="Q405" s="17"/>
    </row>
    <row r="406" spans="2:17">
      <c r="B406" s="15" t="str">
        <f t="shared" si="56"/>
        <v/>
      </c>
      <c r="C406" s="16" t="str">
        <f>IFERROR(VLOOKUP(DATA!#REF!,DATA!#REF!,1,FALSE),"")</f>
        <v/>
      </c>
      <c r="D406" s="16" t="str">
        <f>IFERROR(VLOOKUP(C406,DATA!#REF!,2,FALSE),"")</f>
        <v/>
      </c>
      <c r="I406" s="17"/>
      <c r="J406" s="17"/>
      <c r="P406" s="17"/>
      <c r="Q406" s="17"/>
    </row>
    <row r="407" spans="2:17">
      <c r="B407" s="15" t="str">
        <f t="shared" si="56"/>
        <v/>
      </c>
      <c r="C407" s="16" t="str">
        <f>IFERROR(VLOOKUP(DATA!#REF!,DATA!#REF!,1,FALSE),"")</f>
        <v/>
      </c>
      <c r="D407" s="16" t="str">
        <f>IFERROR(VLOOKUP(C407,DATA!#REF!,2,FALSE),"")</f>
        <v/>
      </c>
      <c r="I407" s="17"/>
      <c r="J407" s="17"/>
      <c r="P407" s="17"/>
      <c r="Q407" s="17"/>
    </row>
    <row r="408" spans="2:17">
      <c r="B408" s="15" t="str">
        <f t="shared" si="56"/>
        <v/>
      </c>
      <c r="C408" s="16" t="str">
        <f>IFERROR(VLOOKUP(DATA!#REF!,DATA!#REF!,1,FALSE),"")</f>
        <v/>
      </c>
      <c r="D408" s="16" t="str">
        <f>IFERROR(VLOOKUP(C408,DATA!#REF!,2,FALSE),"")</f>
        <v/>
      </c>
      <c r="I408" s="17"/>
      <c r="J408" s="17"/>
      <c r="P408" s="17"/>
      <c r="Q408" s="17"/>
    </row>
    <row r="409" spans="2:17">
      <c r="B409" s="15" t="str">
        <f t="shared" si="56"/>
        <v/>
      </c>
      <c r="C409" s="16" t="str">
        <f>IFERROR(VLOOKUP(DATA!#REF!,DATA!#REF!,1,FALSE),"")</f>
        <v/>
      </c>
      <c r="D409" s="16" t="str">
        <f>IFERROR(VLOOKUP(C409,DATA!#REF!,2,FALSE),"")</f>
        <v/>
      </c>
      <c r="I409" s="17"/>
      <c r="J409" s="17"/>
      <c r="P409" s="17"/>
      <c r="Q409" s="17"/>
    </row>
    <row r="410" spans="2:17">
      <c r="B410" s="15" t="str">
        <f t="shared" si="56"/>
        <v/>
      </c>
      <c r="C410" s="16" t="str">
        <f>IFERROR(VLOOKUP(DATA!#REF!,DATA!#REF!,1,FALSE),"")</f>
        <v/>
      </c>
      <c r="D410" s="16" t="str">
        <f>IFERROR(VLOOKUP(C410,DATA!#REF!,2,FALSE),"")</f>
        <v/>
      </c>
      <c r="I410" s="17"/>
      <c r="J410" s="17"/>
      <c r="P410" s="17"/>
      <c r="Q410" s="17"/>
    </row>
    <row r="411" spans="2:17">
      <c r="B411" s="15" t="str">
        <f t="shared" si="56"/>
        <v/>
      </c>
      <c r="C411" s="16" t="str">
        <f>IFERROR(VLOOKUP(DATA!#REF!,DATA!#REF!,1,FALSE),"")</f>
        <v/>
      </c>
      <c r="D411" s="16" t="str">
        <f>IFERROR(VLOOKUP(C411,DATA!#REF!,2,FALSE),"")</f>
        <v/>
      </c>
      <c r="I411" s="17"/>
      <c r="J411" s="17"/>
      <c r="P411" s="17"/>
      <c r="Q411" s="17"/>
    </row>
    <row r="412" spans="2:17">
      <c r="B412" s="15" t="str">
        <f t="shared" si="56"/>
        <v/>
      </c>
      <c r="C412" s="16" t="str">
        <f>IFERROR(VLOOKUP(DATA!#REF!,DATA!#REF!,1,FALSE),"")</f>
        <v/>
      </c>
      <c r="D412" s="16" t="str">
        <f>IFERROR(VLOOKUP(C412,DATA!#REF!,2,FALSE),"")</f>
        <v/>
      </c>
      <c r="I412" s="17"/>
      <c r="J412" s="17"/>
      <c r="P412" s="17"/>
      <c r="Q412" s="17"/>
    </row>
    <row r="413" spans="2:17">
      <c r="B413" s="15" t="str">
        <f t="shared" si="56"/>
        <v/>
      </c>
      <c r="C413" s="16" t="str">
        <f>IFERROR(VLOOKUP(DATA!#REF!,DATA!#REF!,1,FALSE),"")</f>
        <v/>
      </c>
      <c r="D413" s="16" t="str">
        <f>IFERROR(VLOOKUP(C413,DATA!#REF!,2,FALSE),"")</f>
        <v/>
      </c>
      <c r="I413" s="17"/>
      <c r="J413" s="17"/>
      <c r="P413" s="17"/>
      <c r="Q413" s="17"/>
    </row>
    <row r="414" spans="2:17">
      <c r="B414" s="15" t="str">
        <f t="shared" si="56"/>
        <v/>
      </c>
      <c r="C414" s="16" t="str">
        <f>IFERROR(VLOOKUP(DATA!#REF!,DATA!#REF!,1,FALSE),"")</f>
        <v/>
      </c>
      <c r="D414" s="16" t="str">
        <f>IFERROR(VLOOKUP(C414,DATA!#REF!,2,FALSE),"")</f>
        <v/>
      </c>
      <c r="I414" s="17"/>
      <c r="J414" s="17"/>
      <c r="P414" s="17"/>
      <c r="Q414" s="17"/>
    </row>
    <row r="415" spans="2:17">
      <c r="B415" s="15" t="str">
        <f t="shared" si="56"/>
        <v/>
      </c>
      <c r="C415" s="16" t="str">
        <f>IFERROR(VLOOKUP(DATA!#REF!,DATA!#REF!,1,FALSE),"")</f>
        <v/>
      </c>
      <c r="D415" s="16" t="str">
        <f>IFERROR(VLOOKUP(C415,DATA!#REF!,2,FALSE),"")</f>
        <v/>
      </c>
      <c r="I415" s="17"/>
      <c r="J415" s="17"/>
      <c r="P415" s="17"/>
      <c r="Q415" s="17"/>
    </row>
    <row r="416" spans="2:17">
      <c r="B416" s="15" t="str">
        <f t="shared" si="56"/>
        <v/>
      </c>
      <c r="C416" s="16" t="str">
        <f>IFERROR(VLOOKUP(DATA!#REF!,DATA!#REF!,1,FALSE),"")</f>
        <v/>
      </c>
      <c r="D416" s="16" t="str">
        <f>IFERROR(VLOOKUP(C416,DATA!#REF!,2,FALSE),"")</f>
        <v/>
      </c>
      <c r="I416" s="17"/>
      <c r="J416" s="17"/>
      <c r="P416" s="17"/>
      <c r="Q416" s="17"/>
    </row>
    <row r="417" spans="2:17">
      <c r="B417" s="15" t="str">
        <f t="shared" si="56"/>
        <v/>
      </c>
      <c r="C417" s="16" t="str">
        <f>IFERROR(VLOOKUP(DATA!#REF!,DATA!#REF!,1,FALSE),"")</f>
        <v/>
      </c>
      <c r="D417" s="16" t="str">
        <f>IFERROR(VLOOKUP(C417,DATA!#REF!,2,FALSE),"")</f>
        <v/>
      </c>
      <c r="I417" s="17"/>
      <c r="J417" s="17"/>
      <c r="P417" s="17"/>
      <c r="Q417" s="17"/>
    </row>
    <row r="418" spans="2:17">
      <c r="B418" s="15" t="str">
        <f t="shared" si="56"/>
        <v/>
      </c>
      <c r="C418" s="16" t="str">
        <f>IFERROR(VLOOKUP(DATA!#REF!,DATA!#REF!,1,FALSE),"")</f>
        <v/>
      </c>
      <c r="D418" s="16" t="str">
        <f>IFERROR(VLOOKUP(C418,DATA!#REF!,2,FALSE),"")</f>
        <v/>
      </c>
      <c r="I418" s="17"/>
      <c r="J418" s="17"/>
      <c r="P418" s="17"/>
      <c r="Q418" s="17"/>
    </row>
    <row r="419" spans="2:17">
      <c r="B419" s="15" t="str">
        <f t="shared" si="56"/>
        <v/>
      </c>
      <c r="C419" s="16" t="str">
        <f>IFERROR(VLOOKUP(DATA!#REF!,DATA!#REF!,1,FALSE),"")</f>
        <v/>
      </c>
      <c r="D419" s="16" t="str">
        <f>IFERROR(VLOOKUP(C419,DATA!#REF!,2,FALSE),"")</f>
        <v/>
      </c>
      <c r="I419" s="17"/>
      <c r="J419" s="17"/>
      <c r="P419" s="17"/>
      <c r="Q419" s="17"/>
    </row>
    <row r="420" spans="2:17">
      <c r="B420" s="15" t="str">
        <f t="shared" si="56"/>
        <v/>
      </c>
      <c r="C420" s="16" t="str">
        <f>IFERROR(VLOOKUP(DATA!#REF!,DATA!#REF!,1,FALSE),"")</f>
        <v/>
      </c>
      <c r="D420" s="16" t="str">
        <f>IFERROR(VLOOKUP(C420,DATA!#REF!,2,FALSE),"")</f>
        <v/>
      </c>
      <c r="I420" s="17"/>
      <c r="J420" s="17"/>
      <c r="P420" s="17"/>
      <c r="Q420" s="17"/>
    </row>
    <row r="421" spans="2:17">
      <c r="B421" s="15" t="str">
        <f t="shared" si="56"/>
        <v/>
      </c>
      <c r="C421" s="16" t="str">
        <f>IFERROR(VLOOKUP(DATA!#REF!,DATA!#REF!,1,FALSE),"")</f>
        <v/>
      </c>
      <c r="D421" s="16" t="str">
        <f>IFERROR(VLOOKUP(C421,DATA!#REF!,2,FALSE),"")</f>
        <v/>
      </c>
      <c r="I421" s="17"/>
      <c r="J421" s="17"/>
      <c r="P421" s="17"/>
      <c r="Q421" s="17"/>
    </row>
    <row r="422" spans="2:17">
      <c r="B422" s="15" t="str">
        <f t="shared" si="56"/>
        <v/>
      </c>
      <c r="C422" s="16" t="str">
        <f>IFERROR(VLOOKUP(DATA!#REF!,DATA!#REF!,1,FALSE),"")</f>
        <v/>
      </c>
      <c r="D422" s="16" t="str">
        <f>IFERROR(VLOOKUP(C422,DATA!#REF!,2,FALSE),"")</f>
        <v/>
      </c>
      <c r="I422" s="17"/>
      <c r="J422" s="17"/>
      <c r="P422" s="17"/>
      <c r="Q422" s="17"/>
    </row>
    <row r="423" spans="2:17">
      <c r="B423" s="15" t="str">
        <f t="shared" si="56"/>
        <v/>
      </c>
      <c r="C423" s="16" t="str">
        <f>IFERROR(VLOOKUP(DATA!#REF!,DATA!#REF!,1,FALSE),"")</f>
        <v/>
      </c>
      <c r="D423" s="16" t="str">
        <f>IFERROR(VLOOKUP(C423,DATA!#REF!,2,FALSE),"")</f>
        <v/>
      </c>
      <c r="I423" s="17"/>
      <c r="J423" s="17"/>
      <c r="P423" s="17"/>
      <c r="Q423" s="17"/>
    </row>
    <row r="424" spans="2:17">
      <c r="B424" s="15" t="str">
        <f t="shared" si="56"/>
        <v/>
      </c>
      <c r="C424" s="16" t="str">
        <f>IFERROR(VLOOKUP(DATA!#REF!,DATA!#REF!,1,FALSE),"")</f>
        <v/>
      </c>
      <c r="D424" s="16" t="str">
        <f>IFERROR(VLOOKUP(C424,DATA!#REF!,2,FALSE),"")</f>
        <v/>
      </c>
      <c r="I424" s="17"/>
      <c r="J424" s="17"/>
      <c r="P424" s="17"/>
      <c r="Q424" s="17"/>
    </row>
    <row r="425" spans="2:17">
      <c r="B425" s="15" t="str">
        <f t="shared" si="56"/>
        <v/>
      </c>
      <c r="C425" s="16" t="str">
        <f>IFERROR(VLOOKUP(DATA!#REF!,DATA!#REF!,1,FALSE),"")</f>
        <v/>
      </c>
      <c r="D425" s="16" t="str">
        <f>IFERROR(VLOOKUP(C425,DATA!#REF!,2,FALSE),"")</f>
        <v/>
      </c>
      <c r="I425" s="17"/>
      <c r="J425" s="17"/>
      <c r="P425" s="17"/>
      <c r="Q425" s="17"/>
    </row>
    <row r="426" spans="2:17">
      <c r="B426" s="15" t="str">
        <f t="shared" si="56"/>
        <v/>
      </c>
      <c r="C426" s="16" t="str">
        <f>IFERROR(VLOOKUP(DATA!#REF!,DATA!#REF!,1,FALSE),"")</f>
        <v/>
      </c>
      <c r="D426" s="16" t="str">
        <f>IFERROR(VLOOKUP(C426,DATA!#REF!,2,FALSE),"")</f>
        <v/>
      </c>
      <c r="I426" s="17"/>
      <c r="J426" s="17"/>
      <c r="P426" s="17"/>
      <c r="Q426" s="17"/>
    </row>
    <row r="427" spans="2:17">
      <c r="B427" s="15" t="str">
        <f t="shared" si="56"/>
        <v/>
      </c>
      <c r="C427" s="16" t="str">
        <f>IFERROR(VLOOKUP(DATA!#REF!,DATA!#REF!,1,FALSE),"")</f>
        <v/>
      </c>
      <c r="D427" s="16" t="str">
        <f>IFERROR(VLOOKUP(C427,DATA!#REF!,2,FALSE),"")</f>
        <v/>
      </c>
      <c r="I427" s="17"/>
      <c r="J427" s="17"/>
      <c r="P427" s="17"/>
      <c r="Q427" s="17"/>
    </row>
    <row r="428" spans="2:17">
      <c r="B428" s="15" t="str">
        <f t="shared" si="56"/>
        <v/>
      </c>
      <c r="C428" s="16" t="str">
        <f>IFERROR(VLOOKUP(DATA!#REF!,DATA!#REF!,1,FALSE),"")</f>
        <v/>
      </c>
      <c r="D428" s="16" t="str">
        <f>IFERROR(VLOOKUP(C428,DATA!#REF!,2,FALSE),"")</f>
        <v/>
      </c>
      <c r="I428" s="17"/>
      <c r="J428" s="17"/>
      <c r="P428" s="17"/>
      <c r="Q428" s="17"/>
    </row>
    <row r="429" spans="2:17">
      <c r="B429" s="15" t="str">
        <f t="shared" si="56"/>
        <v/>
      </c>
      <c r="C429" s="16" t="str">
        <f>IFERROR(VLOOKUP(DATA!#REF!,DATA!#REF!,1,FALSE),"")</f>
        <v/>
      </c>
      <c r="D429" s="16" t="str">
        <f>IFERROR(VLOOKUP(C429,DATA!#REF!,2,FALSE),"")</f>
        <v/>
      </c>
      <c r="I429" s="17"/>
      <c r="J429" s="17"/>
      <c r="P429" s="17"/>
      <c r="Q429" s="17"/>
    </row>
    <row r="430" spans="2:17">
      <c r="B430" s="15" t="str">
        <f t="shared" si="56"/>
        <v/>
      </c>
      <c r="C430" s="16" t="str">
        <f>IFERROR(VLOOKUP(DATA!#REF!,DATA!#REF!,1,FALSE),"")</f>
        <v/>
      </c>
      <c r="D430" s="16" t="str">
        <f>IFERROR(VLOOKUP(C430,DATA!#REF!,2,FALSE),"")</f>
        <v/>
      </c>
      <c r="I430" s="17"/>
      <c r="J430" s="17"/>
      <c r="P430" s="17"/>
      <c r="Q430" s="17"/>
    </row>
    <row r="431" spans="2:17">
      <c r="B431" s="15" t="str">
        <f t="shared" si="56"/>
        <v/>
      </c>
      <c r="C431" s="16" t="str">
        <f>IFERROR(VLOOKUP(DATA!#REF!,DATA!#REF!,1,FALSE),"")</f>
        <v/>
      </c>
      <c r="D431" s="16" t="str">
        <f>IFERROR(VLOOKUP(C431,DATA!#REF!,2,FALSE),"")</f>
        <v/>
      </c>
      <c r="I431" s="17"/>
      <c r="J431" s="17"/>
      <c r="P431" s="17"/>
      <c r="Q431" s="17"/>
    </row>
    <row r="432" spans="2:17">
      <c r="B432" s="15" t="str">
        <f t="shared" si="56"/>
        <v/>
      </c>
      <c r="C432" s="16" t="str">
        <f>IFERROR(VLOOKUP(DATA!#REF!,DATA!#REF!,1,FALSE),"")</f>
        <v/>
      </c>
      <c r="D432" s="16" t="str">
        <f>IFERROR(VLOOKUP(C432,DATA!#REF!,2,FALSE),"")</f>
        <v/>
      </c>
      <c r="I432" s="17"/>
      <c r="J432" s="17"/>
      <c r="P432" s="17"/>
      <c r="Q432" s="17"/>
    </row>
    <row r="433" spans="2:17">
      <c r="B433" s="15" t="str">
        <f t="shared" si="56"/>
        <v/>
      </c>
      <c r="C433" s="16" t="str">
        <f>IFERROR(VLOOKUP(DATA!#REF!,DATA!#REF!,1,FALSE),"")</f>
        <v/>
      </c>
      <c r="D433" s="16" t="str">
        <f>IFERROR(VLOOKUP(C433,DATA!#REF!,2,FALSE),"")</f>
        <v/>
      </c>
      <c r="I433" s="17"/>
      <c r="J433" s="17"/>
      <c r="P433" s="17"/>
      <c r="Q433" s="17"/>
    </row>
    <row r="434" spans="2:17">
      <c r="B434" s="15" t="str">
        <f t="shared" si="56"/>
        <v/>
      </c>
      <c r="C434" s="16" t="str">
        <f>IFERROR(VLOOKUP(DATA!#REF!,DATA!#REF!,1,FALSE),"")</f>
        <v/>
      </c>
      <c r="D434" s="16" t="str">
        <f>IFERROR(VLOOKUP(C434,DATA!#REF!,2,FALSE),"")</f>
        <v/>
      </c>
      <c r="I434" s="17"/>
      <c r="J434" s="17"/>
      <c r="P434" s="17"/>
      <c r="Q434" s="17"/>
    </row>
    <row r="435" spans="2:17">
      <c r="B435" s="15" t="str">
        <f t="shared" si="56"/>
        <v/>
      </c>
      <c r="C435" s="16" t="str">
        <f>IFERROR(VLOOKUP(DATA!#REF!,DATA!#REF!,1,FALSE),"")</f>
        <v/>
      </c>
      <c r="D435" s="16" t="str">
        <f>IFERROR(VLOOKUP(C435,DATA!#REF!,2,FALSE),"")</f>
        <v/>
      </c>
      <c r="I435" s="17"/>
      <c r="J435" s="17"/>
      <c r="P435" s="17"/>
      <c r="Q435" s="17"/>
    </row>
    <row r="436" spans="2:17">
      <c r="B436" s="15" t="str">
        <f t="shared" si="56"/>
        <v/>
      </c>
      <c r="C436" s="16" t="str">
        <f>IFERROR(VLOOKUP(DATA!#REF!,DATA!#REF!,1,FALSE),"")</f>
        <v/>
      </c>
      <c r="D436" s="16" t="str">
        <f>IFERROR(VLOOKUP(C436,DATA!#REF!,2,FALSE),"")</f>
        <v/>
      </c>
      <c r="I436" s="17"/>
      <c r="J436" s="17"/>
      <c r="P436" s="17"/>
      <c r="Q436" s="17"/>
    </row>
    <row r="437" spans="2:17">
      <c r="B437" s="15" t="str">
        <f t="shared" si="56"/>
        <v/>
      </c>
      <c r="C437" s="16" t="str">
        <f>IFERROR(VLOOKUP(DATA!#REF!,DATA!#REF!,1,FALSE),"")</f>
        <v/>
      </c>
      <c r="D437" s="16" t="str">
        <f>IFERROR(VLOOKUP(C437,DATA!#REF!,2,FALSE),"")</f>
        <v/>
      </c>
      <c r="I437" s="17"/>
      <c r="J437" s="17"/>
      <c r="P437" s="17"/>
      <c r="Q437" s="17"/>
    </row>
    <row r="438" spans="2:17">
      <c r="B438" s="15" t="str">
        <f t="shared" si="56"/>
        <v/>
      </c>
      <c r="C438" s="16" t="str">
        <f>IFERROR(VLOOKUP(DATA!#REF!,DATA!#REF!,1,FALSE),"")</f>
        <v/>
      </c>
      <c r="D438" s="16" t="str">
        <f>IFERROR(VLOOKUP(C438,DATA!#REF!,2,FALSE),"")</f>
        <v/>
      </c>
      <c r="I438" s="17"/>
      <c r="J438" s="17"/>
      <c r="P438" s="17"/>
      <c r="Q438" s="17"/>
    </row>
    <row r="439" spans="2:17">
      <c r="B439" s="15" t="str">
        <f t="shared" ref="B439:B502" si="57">+IF(C439="","",ROW()-5)</f>
        <v/>
      </c>
      <c r="C439" s="16" t="str">
        <f>IFERROR(VLOOKUP(DATA!#REF!,DATA!#REF!,1,FALSE),"")</f>
        <v/>
      </c>
      <c r="D439" s="16" t="str">
        <f>IFERROR(VLOOKUP(C439,DATA!#REF!,2,FALSE),"")</f>
        <v/>
      </c>
      <c r="I439" s="17"/>
      <c r="J439" s="17"/>
      <c r="P439" s="17"/>
      <c r="Q439" s="17"/>
    </row>
    <row r="440" spans="2:17">
      <c r="B440" s="15" t="str">
        <f t="shared" si="57"/>
        <v/>
      </c>
      <c r="C440" s="16" t="str">
        <f>IFERROR(VLOOKUP(DATA!#REF!,DATA!#REF!,1,FALSE),"")</f>
        <v/>
      </c>
      <c r="D440" s="16" t="str">
        <f>IFERROR(VLOOKUP(C440,DATA!#REF!,2,FALSE),"")</f>
        <v/>
      </c>
      <c r="I440" s="17"/>
      <c r="J440" s="17"/>
      <c r="P440" s="17"/>
      <c r="Q440" s="17"/>
    </row>
    <row r="441" spans="2:17">
      <c r="B441" s="15" t="str">
        <f t="shared" si="57"/>
        <v/>
      </c>
      <c r="C441" s="16" t="str">
        <f>IFERROR(VLOOKUP(DATA!#REF!,DATA!#REF!,1,FALSE),"")</f>
        <v/>
      </c>
      <c r="D441" s="16" t="str">
        <f>IFERROR(VLOOKUP(C441,DATA!#REF!,2,FALSE),"")</f>
        <v/>
      </c>
      <c r="I441" s="17"/>
      <c r="J441" s="17"/>
      <c r="P441" s="17"/>
      <c r="Q441" s="17"/>
    </row>
    <row r="442" spans="2:17">
      <c r="B442" s="15" t="str">
        <f t="shared" si="57"/>
        <v/>
      </c>
      <c r="C442" s="16" t="str">
        <f>IFERROR(VLOOKUP(DATA!#REF!,DATA!#REF!,1,FALSE),"")</f>
        <v/>
      </c>
      <c r="D442" s="16" t="str">
        <f>IFERROR(VLOOKUP(C442,DATA!#REF!,2,FALSE),"")</f>
        <v/>
      </c>
      <c r="I442" s="17"/>
      <c r="J442" s="17"/>
      <c r="P442" s="17"/>
      <c r="Q442" s="17"/>
    </row>
    <row r="443" spans="2:17">
      <c r="B443" s="15" t="str">
        <f t="shared" si="57"/>
        <v/>
      </c>
      <c r="C443" s="16" t="str">
        <f>IFERROR(VLOOKUP(DATA!#REF!,DATA!#REF!,1,FALSE),"")</f>
        <v/>
      </c>
      <c r="D443" s="16" t="str">
        <f>IFERROR(VLOOKUP(C443,DATA!#REF!,2,FALSE),"")</f>
        <v/>
      </c>
      <c r="I443" s="17"/>
      <c r="J443" s="17"/>
      <c r="P443" s="17"/>
      <c r="Q443" s="17"/>
    </row>
    <row r="444" spans="2:17">
      <c r="B444" s="15" t="str">
        <f t="shared" si="57"/>
        <v/>
      </c>
      <c r="C444" s="16" t="str">
        <f>IFERROR(VLOOKUP(DATA!#REF!,DATA!#REF!,1,FALSE),"")</f>
        <v/>
      </c>
      <c r="D444" s="16" t="str">
        <f>IFERROR(VLOOKUP(C444,DATA!#REF!,2,FALSE),"")</f>
        <v/>
      </c>
      <c r="I444" s="17"/>
      <c r="J444" s="17"/>
      <c r="P444" s="17"/>
      <c r="Q444" s="17"/>
    </row>
    <row r="445" spans="2:17">
      <c r="B445" s="15" t="str">
        <f t="shared" si="57"/>
        <v/>
      </c>
      <c r="C445" s="16" t="str">
        <f>IFERROR(VLOOKUP(DATA!#REF!,DATA!#REF!,1,FALSE),"")</f>
        <v/>
      </c>
      <c r="D445" s="16" t="str">
        <f>IFERROR(VLOOKUP(C445,DATA!#REF!,2,FALSE),"")</f>
        <v/>
      </c>
      <c r="I445" s="17"/>
      <c r="J445" s="17"/>
      <c r="P445" s="17"/>
      <c r="Q445" s="17"/>
    </row>
    <row r="446" spans="2:17">
      <c r="B446" s="15" t="str">
        <f t="shared" si="57"/>
        <v/>
      </c>
      <c r="C446" s="16" t="str">
        <f>IFERROR(VLOOKUP(DATA!#REF!,DATA!#REF!,1,FALSE),"")</f>
        <v/>
      </c>
      <c r="D446" s="16" t="str">
        <f>IFERROR(VLOOKUP(C446,DATA!#REF!,2,FALSE),"")</f>
        <v/>
      </c>
      <c r="I446" s="17"/>
      <c r="J446" s="17"/>
      <c r="P446" s="17"/>
      <c r="Q446" s="17"/>
    </row>
    <row r="447" spans="2:17">
      <c r="B447" s="15" t="str">
        <f t="shared" si="57"/>
        <v/>
      </c>
      <c r="C447" s="16" t="str">
        <f>IFERROR(VLOOKUP(DATA!#REF!,DATA!#REF!,1,FALSE),"")</f>
        <v/>
      </c>
      <c r="D447" s="16" t="str">
        <f>IFERROR(VLOOKUP(C447,DATA!#REF!,2,FALSE),"")</f>
        <v/>
      </c>
      <c r="I447" s="17"/>
      <c r="J447" s="17"/>
      <c r="P447" s="17"/>
      <c r="Q447" s="17"/>
    </row>
    <row r="448" spans="2:17">
      <c r="B448" s="15" t="str">
        <f t="shared" si="57"/>
        <v/>
      </c>
      <c r="C448" s="16" t="str">
        <f>IFERROR(VLOOKUP(DATA!#REF!,DATA!#REF!,1,FALSE),"")</f>
        <v/>
      </c>
      <c r="D448" s="16" t="str">
        <f>IFERROR(VLOOKUP(C448,DATA!#REF!,2,FALSE),"")</f>
        <v/>
      </c>
      <c r="I448" s="17"/>
      <c r="J448" s="17"/>
      <c r="P448" s="17"/>
      <c r="Q448" s="17"/>
    </row>
    <row r="449" spans="2:17">
      <c r="B449" s="15" t="str">
        <f t="shared" si="57"/>
        <v/>
      </c>
      <c r="C449" s="16" t="str">
        <f>IFERROR(VLOOKUP(DATA!#REF!,DATA!#REF!,1,FALSE),"")</f>
        <v/>
      </c>
      <c r="D449" s="16" t="str">
        <f>IFERROR(VLOOKUP(C449,DATA!#REF!,2,FALSE),"")</f>
        <v/>
      </c>
      <c r="I449" s="17"/>
      <c r="J449" s="17"/>
      <c r="P449" s="17"/>
      <c r="Q449" s="17"/>
    </row>
    <row r="450" spans="2:17">
      <c r="B450" s="15" t="str">
        <f t="shared" si="57"/>
        <v/>
      </c>
      <c r="C450" s="16" t="str">
        <f>IFERROR(VLOOKUP(DATA!#REF!,DATA!#REF!,1,FALSE),"")</f>
        <v/>
      </c>
      <c r="D450" s="16" t="str">
        <f>IFERROR(VLOOKUP(C450,DATA!#REF!,2,FALSE),"")</f>
        <v/>
      </c>
      <c r="I450" s="17"/>
      <c r="J450" s="17"/>
      <c r="P450" s="17"/>
      <c r="Q450" s="17"/>
    </row>
    <row r="451" spans="2:17">
      <c r="B451" s="15" t="str">
        <f t="shared" si="57"/>
        <v/>
      </c>
      <c r="C451" s="16" t="str">
        <f>IFERROR(VLOOKUP(DATA!#REF!,DATA!#REF!,1,FALSE),"")</f>
        <v/>
      </c>
      <c r="D451" s="16" t="str">
        <f>IFERROR(VLOOKUP(C451,DATA!#REF!,2,FALSE),"")</f>
        <v/>
      </c>
      <c r="I451" s="17"/>
      <c r="J451" s="17"/>
      <c r="P451" s="17"/>
      <c r="Q451" s="17"/>
    </row>
    <row r="452" spans="2:17">
      <c r="B452" s="15" t="str">
        <f t="shared" si="57"/>
        <v/>
      </c>
      <c r="C452" s="16" t="str">
        <f>IFERROR(VLOOKUP(DATA!#REF!,DATA!#REF!,1,FALSE),"")</f>
        <v/>
      </c>
      <c r="D452" s="16" t="str">
        <f>IFERROR(VLOOKUP(C452,DATA!#REF!,2,FALSE),"")</f>
        <v/>
      </c>
      <c r="I452" s="17"/>
      <c r="J452" s="17"/>
      <c r="P452" s="17"/>
      <c r="Q452" s="17"/>
    </row>
    <row r="453" spans="2:17">
      <c r="B453" s="15" t="str">
        <f t="shared" si="57"/>
        <v/>
      </c>
      <c r="C453" s="16" t="str">
        <f>IFERROR(VLOOKUP(DATA!#REF!,DATA!#REF!,1,FALSE),"")</f>
        <v/>
      </c>
      <c r="D453" s="16" t="str">
        <f>IFERROR(VLOOKUP(C453,DATA!#REF!,2,FALSE),"")</f>
        <v/>
      </c>
      <c r="I453" s="17"/>
      <c r="J453" s="17"/>
      <c r="P453" s="17"/>
      <c r="Q453" s="17"/>
    </row>
    <row r="454" spans="2:17">
      <c r="B454" s="15" t="str">
        <f t="shared" si="57"/>
        <v/>
      </c>
      <c r="C454" s="16" t="str">
        <f>IFERROR(VLOOKUP(DATA!#REF!,DATA!#REF!,1,FALSE),"")</f>
        <v/>
      </c>
      <c r="D454" s="16" t="str">
        <f>IFERROR(VLOOKUP(C454,DATA!#REF!,2,FALSE),"")</f>
        <v/>
      </c>
      <c r="I454" s="17"/>
      <c r="J454" s="17"/>
      <c r="P454" s="17"/>
      <c r="Q454" s="17"/>
    </row>
    <row r="455" spans="2:17">
      <c r="B455" s="15" t="str">
        <f t="shared" si="57"/>
        <v/>
      </c>
      <c r="C455" s="16" t="str">
        <f>IFERROR(VLOOKUP(DATA!#REF!,DATA!#REF!,1,FALSE),"")</f>
        <v/>
      </c>
      <c r="D455" s="16" t="str">
        <f>IFERROR(VLOOKUP(C455,DATA!#REF!,2,FALSE),"")</f>
        <v/>
      </c>
      <c r="I455" s="17"/>
      <c r="J455" s="17"/>
      <c r="P455" s="17"/>
      <c r="Q455" s="17"/>
    </row>
    <row r="456" spans="2:17">
      <c r="B456" s="15" t="str">
        <f t="shared" si="57"/>
        <v/>
      </c>
      <c r="C456" s="16" t="str">
        <f>IFERROR(VLOOKUP(DATA!#REF!,DATA!#REF!,1,FALSE),"")</f>
        <v/>
      </c>
      <c r="D456" s="16" t="str">
        <f>IFERROR(VLOOKUP(C456,DATA!#REF!,2,FALSE),"")</f>
        <v/>
      </c>
      <c r="I456" s="17"/>
      <c r="J456" s="17"/>
      <c r="P456" s="17"/>
      <c r="Q456" s="17"/>
    </row>
    <row r="457" spans="2:17">
      <c r="B457" s="15" t="str">
        <f t="shared" si="57"/>
        <v/>
      </c>
      <c r="C457" s="16" t="str">
        <f>IFERROR(VLOOKUP(DATA!#REF!,DATA!#REF!,1,FALSE),"")</f>
        <v/>
      </c>
      <c r="D457" s="16" t="str">
        <f>IFERROR(VLOOKUP(C457,DATA!#REF!,2,FALSE),"")</f>
        <v/>
      </c>
      <c r="I457" s="17"/>
      <c r="J457" s="17"/>
      <c r="P457" s="17"/>
      <c r="Q457" s="17"/>
    </row>
    <row r="458" spans="2:17">
      <c r="B458" s="15" t="str">
        <f t="shared" si="57"/>
        <v/>
      </c>
      <c r="C458" s="16" t="str">
        <f>IFERROR(VLOOKUP(DATA!#REF!,DATA!#REF!,1,FALSE),"")</f>
        <v/>
      </c>
      <c r="D458" s="16" t="str">
        <f>IFERROR(VLOOKUP(C458,DATA!#REF!,2,FALSE),"")</f>
        <v/>
      </c>
      <c r="I458" s="17"/>
      <c r="J458" s="17"/>
      <c r="P458" s="17"/>
      <c r="Q458" s="17"/>
    </row>
    <row r="459" spans="2:17">
      <c r="B459" s="15" t="str">
        <f t="shared" si="57"/>
        <v/>
      </c>
      <c r="C459" s="16" t="str">
        <f>IFERROR(VLOOKUP(DATA!#REF!,DATA!#REF!,1,FALSE),"")</f>
        <v/>
      </c>
      <c r="D459" s="16" t="str">
        <f>IFERROR(VLOOKUP(C459,DATA!#REF!,2,FALSE),"")</f>
        <v/>
      </c>
      <c r="I459" s="17"/>
      <c r="J459" s="17"/>
      <c r="P459" s="17"/>
      <c r="Q459" s="17"/>
    </row>
    <row r="460" spans="2:17">
      <c r="B460" s="15" t="str">
        <f t="shared" si="57"/>
        <v/>
      </c>
      <c r="C460" s="16" t="str">
        <f>IFERROR(VLOOKUP(DATA!#REF!,DATA!#REF!,1,FALSE),"")</f>
        <v/>
      </c>
      <c r="D460" s="16" t="str">
        <f>IFERROR(VLOOKUP(C460,DATA!#REF!,2,FALSE),"")</f>
        <v/>
      </c>
      <c r="I460" s="17"/>
      <c r="J460" s="17"/>
      <c r="P460" s="17"/>
      <c r="Q460" s="17"/>
    </row>
    <row r="461" spans="2:17">
      <c r="B461" s="15" t="str">
        <f t="shared" si="57"/>
        <v/>
      </c>
      <c r="C461" s="16" t="str">
        <f>IFERROR(VLOOKUP(DATA!#REF!,DATA!#REF!,1,FALSE),"")</f>
        <v/>
      </c>
      <c r="D461" s="16" t="str">
        <f>IFERROR(VLOOKUP(C461,DATA!#REF!,2,FALSE),"")</f>
        <v/>
      </c>
      <c r="I461" s="17"/>
      <c r="J461" s="17"/>
      <c r="P461" s="17"/>
      <c r="Q461" s="17"/>
    </row>
    <row r="462" spans="2:17">
      <c r="B462" s="15" t="str">
        <f t="shared" si="57"/>
        <v/>
      </c>
      <c r="C462" s="16" t="str">
        <f>IFERROR(VLOOKUP(DATA!#REF!,DATA!#REF!,1,FALSE),"")</f>
        <v/>
      </c>
      <c r="D462" s="16" t="str">
        <f>IFERROR(VLOOKUP(C462,DATA!#REF!,2,FALSE),"")</f>
        <v/>
      </c>
      <c r="I462" s="17"/>
      <c r="J462" s="17"/>
      <c r="P462" s="17"/>
      <c r="Q462" s="17"/>
    </row>
    <row r="463" spans="2:17">
      <c r="B463" s="15" t="str">
        <f t="shared" si="57"/>
        <v/>
      </c>
      <c r="C463" s="16" t="str">
        <f>IFERROR(VLOOKUP(DATA!#REF!,DATA!#REF!,1,FALSE),"")</f>
        <v/>
      </c>
      <c r="D463" s="16" t="str">
        <f>IFERROR(VLOOKUP(C463,DATA!#REF!,2,FALSE),"")</f>
        <v/>
      </c>
      <c r="I463" s="17"/>
      <c r="J463" s="17"/>
      <c r="P463" s="17"/>
      <c r="Q463" s="17"/>
    </row>
    <row r="464" spans="2:17">
      <c r="B464" s="15" t="str">
        <f t="shared" si="57"/>
        <v/>
      </c>
      <c r="C464" s="16" t="str">
        <f>IFERROR(VLOOKUP(DATA!#REF!,DATA!#REF!,1,FALSE),"")</f>
        <v/>
      </c>
      <c r="D464" s="16" t="str">
        <f>IFERROR(VLOOKUP(C464,DATA!#REF!,2,FALSE),"")</f>
        <v/>
      </c>
      <c r="I464" s="17"/>
      <c r="J464" s="17"/>
      <c r="P464" s="17"/>
      <c r="Q464" s="17"/>
    </row>
    <row r="465" spans="2:17">
      <c r="B465" s="15" t="str">
        <f t="shared" si="57"/>
        <v/>
      </c>
      <c r="C465" s="16" t="str">
        <f>IFERROR(VLOOKUP(DATA!#REF!,DATA!#REF!,1,FALSE),"")</f>
        <v/>
      </c>
      <c r="D465" s="16" t="str">
        <f>IFERROR(VLOOKUP(C465,DATA!#REF!,2,FALSE),"")</f>
        <v/>
      </c>
      <c r="I465" s="17"/>
      <c r="J465" s="17"/>
      <c r="P465" s="17"/>
      <c r="Q465" s="17"/>
    </row>
    <row r="466" spans="2:17">
      <c r="B466" s="15" t="str">
        <f t="shared" si="57"/>
        <v/>
      </c>
      <c r="C466" s="16" t="str">
        <f>IFERROR(VLOOKUP(DATA!#REF!,DATA!#REF!,1,FALSE),"")</f>
        <v/>
      </c>
      <c r="D466" s="16" t="str">
        <f>IFERROR(VLOOKUP(C466,DATA!#REF!,2,FALSE),"")</f>
        <v/>
      </c>
      <c r="I466" s="17"/>
      <c r="J466" s="17"/>
      <c r="P466" s="17"/>
      <c r="Q466" s="17"/>
    </row>
    <row r="467" spans="2:17">
      <c r="B467" s="15" t="str">
        <f t="shared" si="57"/>
        <v/>
      </c>
      <c r="C467" s="16" t="str">
        <f>IFERROR(VLOOKUP(DATA!#REF!,DATA!#REF!,1,FALSE),"")</f>
        <v/>
      </c>
      <c r="D467" s="16" t="str">
        <f>IFERROR(VLOOKUP(C467,DATA!#REF!,2,FALSE),"")</f>
        <v/>
      </c>
      <c r="I467" s="17"/>
      <c r="J467" s="17"/>
      <c r="P467" s="17"/>
      <c r="Q467" s="17"/>
    </row>
    <row r="468" spans="2:17">
      <c r="B468" s="15" t="str">
        <f t="shared" si="57"/>
        <v/>
      </c>
      <c r="C468" s="16" t="str">
        <f>IFERROR(VLOOKUP(DATA!#REF!,DATA!#REF!,1,FALSE),"")</f>
        <v/>
      </c>
      <c r="D468" s="16" t="str">
        <f>IFERROR(VLOOKUP(C468,DATA!#REF!,2,FALSE),"")</f>
        <v/>
      </c>
      <c r="I468" s="17"/>
      <c r="J468" s="17"/>
      <c r="P468" s="17"/>
      <c r="Q468" s="17"/>
    </row>
    <row r="469" spans="2:17">
      <c r="B469" s="15" t="str">
        <f t="shared" si="57"/>
        <v/>
      </c>
      <c r="C469" s="16" t="str">
        <f>IFERROR(VLOOKUP(DATA!#REF!,DATA!#REF!,1,FALSE),"")</f>
        <v/>
      </c>
      <c r="D469" s="16" t="str">
        <f>IFERROR(VLOOKUP(C469,DATA!#REF!,2,FALSE),"")</f>
        <v/>
      </c>
      <c r="I469" s="17"/>
      <c r="J469" s="17"/>
      <c r="P469" s="17"/>
      <c r="Q469" s="17"/>
    </row>
    <row r="470" spans="2:17">
      <c r="B470" s="15" t="str">
        <f t="shared" si="57"/>
        <v/>
      </c>
      <c r="C470" s="16" t="str">
        <f>IFERROR(VLOOKUP(DATA!#REF!,DATA!#REF!,1,FALSE),"")</f>
        <v/>
      </c>
      <c r="D470" s="16" t="str">
        <f>IFERROR(VLOOKUP(C470,DATA!#REF!,2,FALSE),"")</f>
        <v/>
      </c>
      <c r="I470" s="17"/>
      <c r="J470" s="17"/>
      <c r="P470" s="17"/>
      <c r="Q470" s="17"/>
    </row>
    <row r="471" spans="2:17">
      <c r="B471" s="15" t="str">
        <f t="shared" si="57"/>
        <v/>
      </c>
      <c r="C471" s="16" t="str">
        <f>IFERROR(VLOOKUP(DATA!#REF!,DATA!#REF!,1,FALSE),"")</f>
        <v/>
      </c>
      <c r="D471" s="16" t="str">
        <f>IFERROR(VLOOKUP(C471,DATA!#REF!,2,FALSE),"")</f>
        <v/>
      </c>
      <c r="I471" s="17"/>
      <c r="J471" s="17"/>
      <c r="P471" s="17"/>
      <c r="Q471" s="17"/>
    </row>
    <row r="472" spans="2:17">
      <c r="B472" s="15" t="str">
        <f t="shared" si="57"/>
        <v/>
      </c>
      <c r="C472" s="16" t="str">
        <f>IFERROR(VLOOKUP(DATA!#REF!,DATA!#REF!,1,FALSE),"")</f>
        <v/>
      </c>
      <c r="D472" s="16" t="str">
        <f>IFERROR(VLOOKUP(C472,DATA!#REF!,2,FALSE),"")</f>
        <v/>
      </c>
      <c r="I472" s="17"/>
      <c r="J472" s="17"/>
      <c r="P472" s="17"/>
      <c r="Q472" s="17"/>
    </row>
    <row r="473" spans="2:17">
      <c r="B473" s="15" t="str">
        <f t="shared" si="57"/>
        <v/>
      </c>
      <c r="C473" s="16" t="str">
        <f>IFERROR(VLOOKUP(DATA!#REF!,DATA!#REF!,1,FALSE),"")</f>
        <v/>
      </c>
      <c r="D473" s="16" t="str">
        <f>IFERROR(VLOOKUP(C473,DATA!#REF!,2,FALSE),"")</f>
        <v/>
      </c>
      <c r="I473" s="17"/>
      <c r="J473" s="17"/>
      <c r="P473" s="17"/>
      <c r="Q473" s="17"/>
    </row>
    <row r="474" spans="2:17">
      <c r="B474" s="15" t="str">
        <f t="shared" si="57"/>
        <v/>
      </c>
      <c r="C474" s="16" t="str">
        <f>IFERROR(VLOOKUP(DATA!#REF!,DATA!#REF!,1,FALSE),"")</f>
        <v/>
      </c>
      <c r="D474" s="16" t="str">
        <f>IFERROR(VLOOKUP(C474,DATA!#REF!,2,FALSE),"")</f>
        <v/>
      </c>
      <c r="I474" s="17"/>
      <c r="J474" s="17"/>
      <c r="P474" s="17"/>
      <c r="Q474" s="17"/>
    </row>
    <row r="475" spans="2:17">
      <c r="B475" s="15" t="str">
        <f t="shared" si="57"/>
        <v/>
      </c>
      <c r="C475" s="16" t="str">
        <f>IFERROR(VLOOKUP(DATA!#REF!,DATA!#REF!,1,FALSE),"")</f>
        <v/>
      </c>
      <c r="D475" s="16" t="str">
        <f>IFERROR(VLOOKUP(C475,DATA!#REF!,2,FALSE),"")</f>
        <v/>
      </c>
      <c r="I475" s="17"/>
      <c r="J475" s="17"/>
      <c r="P475" s="17"/>
      <c r="Q475" s="17"/>
    </row>
    <row r="476" spans="2:17">
      <c r="B476" s="15" t="str">
        <f t="shared" si="57"/>
        <v/>
      </c>
      <c r="C476" s="16" t="str">
        <f>IFERROR(VLOOKUP(DATA!#REF!,DATA!#REF!,1,FALSE),"")</f>
        <v/>
      </c>
      <c r="D476" s="16" t="str">
        <f>IFERROR(VLOOKUP(C476,DATA!#REF!,2,FALSE),"")</f>
        <v/>
      </c>
      <c r="I476" s="17"/>
      <c r="J476" s="17"/>
      <c r="P476" s="17"/>
      <c r="Q476" s="17"/>
    </row>
    <row r="477" spans="2:17">
      <c r="B477" s="15" t="str">
        <f t="shared" si="57"/>
        <v/>
      </c>
      <c r="C477" s="16" t="str">
        <f>IFERROR(VLOOKUP(DATA!#REF!,DATA!#REF!,1,FALSE),"")</f>
        <v/>
      </c>
      <c r="D477" s="16" t="str">
        <f>IFERROR(VLOOKUP(C477,DATA!#REF!,2,FALSE),"")</f>
        <v/>
      </c>
      <c r="I477" s="17"/>
      <c r="J477" s="17"/>
      <c r="P477" s="17"/>
      <c r="Q477" s="17"/>
    </row>
    <row r="478" spans="2:17">
      <c r="B478" s="15" t="str">
        <f t="shared" si="57"/>
        <v/>
      </c>
      <c r="C478" s="16" t="str">
        <f>IFERROR(VLOOKUP(DATA!#REF!,DATA!#REF!,1,FALSE),"")</f>
        <v/>
      </c>
      <c r="D478" s="16" t="str">
        <f>IFERROR(VLOOKUP(C478,DATA!#REF!,2,FALSE),"")</f>
        <v/>
      </c>
      <c r="I478" s="17"/>
      <c r="J478" s="17"/>
      <c r="P478" s="17"/>
      <c r="Q478" s="17"/>
    </row>
    <row r="479" spans="2:17">
      <c r="B479" s="15" t="str">
        <f t="shared" si="57"/>
        <v/>
      </c>
      <c r="C479" s="16" t="str">
        <f>IFERROR(VLOOKUP(DATA!#REF!,DATA!#REF!,1,FALSE),"")</f>
        <v/>
      </c>
      <c r="D479" s="16" t="str">
        <f>IFERROR(VLOOKUP(C479,DATA!#REF!,2,FALSE),"")</f>
        <v/>
      </c>
      <c r="I479" s="17"/>
      <c r="J479" s="17"/>
      <c r="P479" s="17"/>
      <c r="Q479" s="17"/>
    </row>
    <row r="480" spans="2:17">
      <c r="B480" s="15" t="str">
        <f t="shared" si="57"/>
        <v/>
      </c>
      <c r="C480" s="16" t="str">
        <f>IFERROR(VLOOKUP(DATA!#REF!,DATA!#REF!,1,FALSE),"")</f>
        <v/>
      </c>
      <c r="D480" s="16" t="str">
        <f>IFERROR(VLOOKUP(C480,DATA!#REF!,2,FALSE),"")</f>
        <v/>
      </c>
      <c r="I480" s="17"/>
      <c r="J480" s="17"/>
      <c r="P480" s="17"/>
      <c r="Q480" s="17"/>
    </row>
    <row r="481" spans="2:17">
      <c r="B481" s="15" t="str">
        <f t="shared" si="57"/>
        <v/>
      </c>
      <c r="C481" s="16" t="str">
        <f>IFERROR(VLOOKUP(DATA!#REF!,DATA!#REF!,1,FALSE),"")</f>
        <v/>
      </c>
      <c r="D481" s="16" t="str">
        <f>IFERROR(VLOOKUP(C481,DATA!#REF!,2,FALSE),"")</f>
        <v/>
      </c>
      <c r="I481" s="17"/>
      <c r="J481" s="17"/>
      <c r="P481" s="17"/>
      <c r="Q481" s="17"/>
    </row>
    <row r="482" spans="2:17">
      <c r="B482" s="15" t="str">
        <f t="shared" si="57"/>
        <v/>
      </c>
      <c r="C482" s="16" t="str">
        <f>IFERROR(VLOOKUP(DATA!#REF!,DATA!#REF!,1,FALSE),"")</f>
        <v/>
      </c>
      <c r="D482" s="16" t="str">
        <f>IFERROR(VLOOKUP(C482,DATA!#REF!,2,FALSE),"")</f>
        <v/>
      </c>
      <c r="I482" s="17"/>
      <c r="J482" s="17"/>
      <c r="P482" s="17"/>
      <c r="Q482" s="17"/>
    </row>
    <row r="483" spans="2:17">
      <c r="B483" s="15" t="str">
        <f t="shared" si="57"/>
        <v/>
      </c>
      <c r="C483" s="16" t="str">
        <f>IFERROR(VLOOKUP(DATA!#REF!,DATA!#REF!,1,FALSE),"")</f>
        <v/>
      </c>
      <c r="D483" s="16" t="str">
        <f>IFERROR(VLOOKUP(C483,DATA!#REF!,2,FALSE),"")</f>
        <v/>
      </c>
      <c r="I483" s="17"/>
      <c r="J483" s="17"/>
      <c r="P483" s="17"/>
      <c r="Q483" s="17"/>
    </row>
    <row r="484" spans="2:17">
      <c r="B484" s="15" t="str">
        <f t="shared" si="57"/>
        <v/>
      </c>
      <c r="C484" s="16" t="str">
        <f>IFERROR(VLOOKUP(DATA!#REF!,DATA!#REF!,1,FALSE),"")</f>
        <v/>
      </c>
      <c r="D484" s="16" t="str">
        <f>IFERROR(VLOOKUP(C484,DATA!#REF!,2,FALSE),"")</f>
        <v/>
      </c>
      <c r="I484" s="17"/>
      <c r="J484" s="17"/>
      <c r="P484" s="17"/>
      <c r="Q484" s="17"/>
    </row>
    <row r="485" spans="2:17">
      <c r="B485" s="15" t="str">
        <f t="shared" si="57"/>
        <v/>
      </c>
      <c r="C485" s="16" t="str">
        <f>IFERROR(VLOOKUP(DATA!#REF!,DATA!#REF!,1,FALSE),"")</f>
        <v/>
      </c>
      <c r="D485" s="16" t="str">
        <f>IFERROR(VLOOKUP(C485,DATA!#REF!,2,FALSE),"")</f>
        <v/>
      </c>
      <c r="I485" s="17"/>
      <c r="J485" s="17"/>
      <c r="P485" s="17"/>
      <c r="Q485" s="17"/>
    </row>
    <row r="486" spans="2:17">
      <c r="B486" s="15" t="str">
        <f t="shared" si="57"/>
        <v/>
      </c>
      <c r="C486" s="16" t="str">
        <f>IFERROR(VLOOKUP(DATA!#REF!,DATA!#REF!,1,FALSE),"")</f>
        <v/>
      </c>
      <c r="D486" s="16" t="str">
        <f>IFERROR(VLOOKUP(C486,DATA!#REF!,2,FALSE),"")</f>
        <v/>
      </c>
      <c r="I486" s="17"/>
      <c r="J486" s="17"/>
      <c r="P486" s="17"/>
      <c r="Q486" s="17"/>
    </row>
    <row r="487" spans="2:17">
      <c r="B487" s="15" t="str">
        <f t="shared" si="57"/>
        <v/>
      </c>
      <c r="C487" s="16" t="str">
        <f>IFERROR(VLOOKUP(DATA!#REF!,DATA!#REF!,1,FALSE),"")</f>
        <v/>
      </c>
      <c r="D487" s="16" t="str">
        <f>IFERROR(VLOOKUP(C487,DATA!#REF!,2,FALSE),"")</f>
        <v/>
      </c>
      <c r="I487" s="17"/>
      <c r="J487" s="17"/>
      <c r="P487" s="17"/>
      <c r="Q487" s="17"/>
    </row>
    <row r="488" spans="2:17">
      <c r="B488" s="15" t="str">
        <f t="shared" si="57"/>
        <v/>
      </c>
      <c r="C488" s="16" t="str">
        <f>IFERROR(VLOOKUP(DATA!#REF!,DATA!#REF!,1,FALSE),"")</f>
        <v/>
      </c>
      <c r="D488" s="16" t="str">
        <f>IFERROR(VLOOKUP(C488,DATA!#REF!,2,FALSE),"")</f>
        <v/>
      </c>
      <c r="I488" s="17"/>
      <c r="J488" s="17"/>
      <c r="P488" s="17"/>
      <c r="Q488" s="17"/>
    </row>
    <row r="489" spans="2:17">
      <c r="B489" s="15" t="str">
        <f t="shared" si="57"/>
        <v/>
      </c>
      <c r="C489" s="16" t="str">
        <f>IFERROR(VLOOKUP(DATA!#REF!,DATA!#REF!,1,FALSE),"")</f>
        <v/>
      </c>
      <c r="D489" s="16" t="str">
        <f>IFERROR(VLOOKUP(C489,DATA!#REF!,2,FALSE),"")</f>
        <v/>
      </c>
      <c r="I489" s="17"/>
      <c r="J489" s="17"/>
      <c r="P489" s="17"/>
      <c r="Q489" s="17"/>
    </row>
    <row r="490" spans="2:17">
      <c r="B490" s="15" t="str">
        <f t="shared" si="57"/>
        <v/>
      </c>
      <c r="C490" s="16" t="str">
        <f>IFERROR(VLOOKUP(DATA!#REF!,DATA!#REF!,1,FALSE),"")</f>
        <v/>
      </c>
      <c r="D490" s="16" t="str">
        <f>IFERROR(VLOOKUP(C490,DATA!#REF!,2,FALSE),"")</f>
        <v/>
      </c>
      <c r="I490" s="17"/>
      <c r="J490" s="17"/>
      <c r="P490" s="17"/>
      <c r="Q490" s="17"/>
    </row>
    <row r="491" spans="2:17">
      <c r="B491" s="15" t="str">
        <f t="shared" si="57"/>
        <v/>
      </c>
      <c r="C491" s="16" t="str">
        <f>IFERROR(VLOOKUP(DATA!#REF!,DATA!#REF!,1,FALSE),"")</f>
        <v/>
      </c>
      <c r="D491" s="16" t="str">
        <f>IFERROR(VLOOKUP(C491,DATA!#REF!,2,FALSE),"")</f>
        <v/>
      </c>
      <c r="I491" s="17"/>
      <c r="J491" s="17"/>
      <c r="P491" s="17"/>
      <c r="Q491" s="17"/>
    </row>
    <row r="492" spans="2:17">
      <c r="B492" s="15" t="str">
        <f t="shared" si="57"/>
        <v/>
      </c>
      <c r="C492" s="16" t="str">
        <f>IFERROR(VLOOKUP(DATA!#REF!,DATA!#REF!,1,FALSE),"")</f>
        <v/>
      </c>
      <c r="D492" s="16" t="str">
        <f>IFERROR(VLOOKUP(C492,DATA!#REF!,2,FALSE),"")</f>
        <v/>
      </c>
      <c r="I492" s="17"/>
      <c r="J492" s="17"/>
      <c r="P492" s="17"/>
      <c r="Q492" s="17"/>
    </row>
    <row r="493" spans="2:17">
      <c r="B493" s="15" t="str">
        <f t="shared" si="57"/>
        <v/>
      </c>
      <c r="C493" s="16" t="str">
        <f>IFERROR(VLOOKUP(DATA!#REF!,DATA!#REF!,1,FALSE),"")</f>
        <v/>
      </c>
      <c r="D493" s="16" t="str">
        <f>IFERROR(VLOOKUP(C493,DATA!#REF!,2,FALSE),"")</f>
        <v/>
      </c>
      <c r="I493" s="17"/>
      <c r="J493" s="17"/>
      <c r="P493" s="17"/>
      <c r="Q493" s="17"/>
    </row>
    <row r="494" spans="2:17">
      <c r="B494" s="15" t="str">
        <f t="shared" si="57"/>
        <v/>
      </c>
      <c r="C494" s="16" t="str">
        <f>IFERROR(VLOOKUP(DATA!#REF!,DATA!#REF!,1,FALSE),"")</f>
        <v/>
      </c>
      <c r="D494" s="16" t="str">
        <f>IFERROR(VLOOKUP(C494,DATA!#REF!,2,FALSE),"")</f>
        <v/>
      </c>
      <c r="I494" s="17"/>
      <c r="J494" s="17"/>
      <c r="P494" s="17"/>
      <c r="Q494" s="17"/>
    </row>
    <row r="495" spans="2:17">
      <c r="B495" s="15" t="str">
        <f t="shared" si="57"/>
        <v/>
      </c>
      <c r="C495" s="16" t="str">
        <f>IFERROR(VLOOKUP(DATA!#REF!,DATA!#REF!,1,FALSE),"")</f>
        <v/>
      </c>
      <c r="D495" s="16" t="str">
        <f>IFERROR(VLOOKUP(C495,DATA!#REF!,2,FALSE),"")</f>
        <v/>
      </c>
      <c r="I495" s="17"/>
      <c r="J495" s="17"/>
      <c r="P495" s="17"/>
      <c r="Q495" s="17"/>
    </row>
    <row r="496" spans="2:17">
      <c r="B496" s="15" t="str">
        <f t="shared" si="57"/>
        <v/>
      </c>
      <c r="C496" s="16" t="str">
        <f>IFERROR(VLOOKUP(DATA!#REF!,DATA!#REF!,1,FALSE),"")</f>
        <v/>
      </c>
      <c r="D496" s="16" t="str">
        <f>IFERROR(VLOOKUP(C496,DATA!#REF!,2,FALSE),"")</f>
        <v/>
      </c>
      <c r="I496" s="17"/>
      <c r="J496" s="17"/>
      <c r="P496" s="17"/>
      <c r="Q496" s="17"/>
    </row>
    <row r="497" spans="2:17">
      <c r="B497" s="15" t="str">
        <f t="shared" si="57"/>
        <v/>
      </c>
      <c r="C497" s="16" t="str">
        <f>IFERROR(VLOOKUP(DATA!#REF!,DATA!#REF!,1,FALSE),"")</f>
        <v/>
      </c>
      <c r="D497" s="16" t="str">
        <f>IFERROR(VLOOKUP(C497,DATA!#REF!,2,FALSE),"")</f>
        <v/>
      </c>
      <c r="I497" s="17"/>
      <c r="J497" s="17"/>
      <c r="P497" s="17"/>
      <c r="Q497" s="17"/>
    </row>
    <row r="498" spans="2:17">
      <c r="B498" s="15" t="str">
        <f t="shared" si="57"/>
        <v/>
      </c>
      <c r="C498" s="16" t="str">
        <f>IFERROR(VLOOKUP(DATA!#REF!,DATA!#REF!,1,FALSE),"")</f>
        <v/>
      </c>
      <c r="D498" s="16" t="str">
        <f>IFERROR(VLOOKUP(C498,DATA!#REF!,2,FALSE),"")</f>
        <v/>
      </c>
      <c r="I498" s="17"/>
      <c r="J498" s="17"/>
      <c r="P498" s="17"/>
      <c r="Q498" s="17"/>
    </row>
    <row r="499" spans="2:17">
      <c r="B499" s="15" t="str">
        <f t="shared" si="57"/>
        <v/>
      </c>
      <c r="C499" s="16" t="str">
        <f>IFERROR(VLOOKUP(DATA!#REF!,DATA!#REF!,1,FALSE),"")</f>
        <v/>
      </c>
      <c r="D499" s="16" t="str">
        <f>IFERROR(VLOOKUP(C499,DATA!#REF!,2,FALSE),"")</f>
        <v/>
      </c>
      <c r="I499" s="17"/>
      <c r="J499" s="17"/>
      <c r="P499" s="17"/>
      <c r="Q499" s="17"/>
    </row>
    <row r="500" spans="2:17">
      <c r="B500" s="15" t="str">
        <f t="shared" si="57"/>
        <v/>
      </c>
      <c r="C500" s="16" t="str">
        <f>IFERROR(VLOOKUP(DATA!#REF!,DATA!#REF!,1,FALSE),"")</f>
        <v/>
      </c>
      <c r="D500" s="16" t="str">
        <f>IFERROR(VLOOKUP(C500,DATA!#REF!,2,FALSE),"")</f>
        <v/>
      </c>
      <c r="I500" s="17"/>
      <c r="J500" s="17"/>
      <c r="P500" s="17"/>
      <c r="Q500" s="17"/>
    </row>
    <row r="501" spans="2:17">
      <c r="B501" s="15" t="str">
        <f t="shared" si="57"/>
        <v/>
      </c>
      <c r="C501" s="16" t="str">
        <f>IFERROR(VLOOKUP(DATA!#REF!,DATA!#REF!,1,FALSE),"")</f>
        <v/>
      </c>
      <c r="D501" s="16" t="str">
        <f>IFERROR(VLOOKUP(C501,DATA!#REF!,2,FALSE),"")</f>
        <v/>
      </c>
      <c r="I501" s="17"/>
      <c r="J501" s="17"/>
      <c r="P501" s="17"/>
      <c r="Q501" s="17"/>
    </row>
    <row r="502" spans="2:17">
      <c r="B502" s="15" t="str">
        <f t="shared" si="57"/>
        <v/>
      </c>
      <c r="C502" s="16" t="str">
        <f>IFERROR(VLOOKUP(DATA!#REF!,DATA!#REF!,1,FALSE),"")</f>
        <v/>
      </c>
      <c r="D502" s="16" t="str">
        <f>IFERROR(VLOOKUP(C502,DATA!#REF!,2,FALSE),"")</f>
        <v/>
      </c>
      <c r="I502" s="17"/>
      <c r="J502" s="17"/>
      <c r="P502" s="17"/>
      <c r="Q502" s="17"/>
    </row>
    <row r="503" spans="2:17">
      <c r="B503" s="15" t="str">
        <f t="shared" ref="B503:B566" si="58">+IF(C503="","",ROW()-5)</f>
        <v/>
      </c>
      <c r="C503" s="16" t="str">
        <f>IFERROR(VLOOKUP(DATA!#REF!,DATA!#REF!,1,FALSE),"")</f>
        <v/>
      </c>
      <c r="D503" s="16" t="str">
        <f>IFERROR(VLOOKUP(C503,DATA!#REF!,2,FALSE),"")</f>
        <v/>
      </c>
      <c r="I503" s="17"/>
      <c r="J503" s="17"/>
      <c r="P503" s="17"/>
      <c r="Q503" s="17"/>
    </row>
    <row r="504" spans="2:17">
      <c r="B504" s="15" t="str">
        <f t="shared" si="58"/>
        <v/>
      </c>
      <c r="C504" s="16" t="str">
        <f>IFERROR(VLOOKUP(DATA!#REF!,DATA!#REF!,1,FALSE),"")</f>
        <v/>
      </c>
      <c r="D504" s="16" t="str">
        <f>IFERROR(VLOOKUP(C504,DATA!#REF!,2,FALSE),"")</f>
        <v/>
      </c>
      <c r="I504" s="17"/>
      <c r="J504" s="17"/>
      <c r="P504" s="17"/>
      <c r="Q504" s="17"/>
    </row>
    <row r="505" spans="2:17">
      <c r="B505" s="15" t="str">
        <f t="shared" si="58"/>
        <v/>
      </c>
      <c r="C505" s="16" t="str">
        <f>IFERROR(VLOOKUP(DATA!#REF!,DATA!#REF!,1,FALSE),"")</f>
        <v/>
      </c>
      <c r="D505" s="16" t="str">
        <f>IFERROR(VLOOKUP(C505,DATA!#REF!,2,FALSE),"")</f>
        <v/>
      </c>
      <c r="I505" s="17"/>
      <c r="J505" s="17"/>
      <c r="P505" s="17"/>
      <c r="Q505" s="17"/>
    </row>
    <row r="506" spans="2:17">
      <c r="B506" s="15" t="str">
        <f t="shared" si="58"/>
        <v/>
      </c>
      <c r="C506" s="16" t="str">
        <f>IFERROR(VLOOKUP(DATA!#REF!,DATA!#REF!,1,FALSE),"")</f>
        <v/>
      </c>
      <c r="D506" s="16" t="str">
        <f>IFERROR(VLOOKUP(C506,DATA!#REF!,2,FALSE),"")</f>
        <v/>
      </c>
      <c r="I506" s="17"/>
      <c r="J506" s="17"/>
      <c r="P506" s="17"/>
      <c r="Q506" s="17"/>
    </row>
    <row r="507" spans="2:17">
      <c r="B507" s="15" t="str">
        <f t="shared" si="58"/>
        <v/>
      </c>
      <c r="C507" s="16" t="str">
        <f>IFERROR(VLOOKUP(DATA!#REF!,DATA!#REF!,1,FALSE),"")</f>
        <v/>
      </c>
      <c r="D507" s="16" t="str">
        <f>IFERROR(VLOOKUP(C507,DATA!#REF!,2,FALSE),"")</f>
        <v/>
      </c>
      <c r="I507" s="17"/>
      <c r="J507" s="17"/>
      <c r="P507" s="17"/>
      <c r="Q507" s="17"/>
    </row>
    <row r="508" spans="2:17">
      <c r="B508" s="15" t="str">
        <f t="shared" si="58"/>
        <v/>
      </c>
      <c r="C508" s="16" t="str">
        <f>IFERROR(VLOOKUP(DATA!#REF!,DATA!#REF!,1,FALSE),"")</f>
        <v/>
      </c>
      <c r="D508" s="16" t="str">
        <f>IFERROR(VLOOKUP(C508,DATA!#REF!,2,FALSE),"")</f>
        <v/>
      </c>
      <c r="I508" s="17"/>
      <c r="J508" s="17"/>
      <c r="P508" s="17"/>
      <c r="Q508" s="17"/>
    </row>
    <row r="509" spans="2:17">
      <c r="B509" s="15" t="str">
        <f t="shared" si="58"/>
        <v/>
      </c>
      <c r="C509" s="16" t="str">
        <f>IFERROR(VLOOKUP(DATA!#REF!,DATA!#REF!,1,FALSE),"")</f>
        <v/>
      </c>
      <c r="D509" s="16" t="str">
        <f>IFERROR(VLOOKUP(C509,DATA!#REF!,2,FALSE),"")</f>
        <v/>
      </c>
      <c r="I509" s="17"/>
      <c r="J509" s="17"/>
      <c r="P509" s="17"/>
      <c r="Q509" s="17"/>
    </row>
    <row r="510" spans="2:17">
      <c r="B510" s="15" t="str">
        <f t="shared" si="58"/>
        <v/>
      </c>
      <c r="C510" s="16" t="str">
        <f>IFERROR(VLOOKUP(DATA!#REF!,DATA!#REF!,1,FALSE),"")</f>
        <v/>
      </c>
      <c r="D510" s="16" t="str">
        <f>IFERROR(VLOOKUP(C510,DATA!#REF!,2,FALSE),"")</f>
        <v/>
      </c>
      <c r="I510" s="17"/>
      <c r="J510" s="17"/>
      <c r="P510" s="17"/>
      <c r="Q510" s="17"/>
    </row>
    <row r="511" spans="2:17">
      <c r="B511" s="15" t="str">
        <f t="shared" si="58"/>
        <v/>
      </c>
      <c r="C511" s="16" t="str">
        <f>IFERROR(VLOOKUP(DATA!#REF!,DATA!#REF!,1,FALSE),"")</f>
        <v/>
      </c>
      <c r="D511" s="16" t="str">
        <f>IFERROR(VLOOKUP(C511,DATA!#REF!,2,FALSE),"")</f>
        <v/>
      </c>
      <c r="I511" s="17"/>
      <c r="J511" s="17"/>
      <c r="P511" s="17"/>
      <c r="Q511" s="17"/>
    </row>
    <row r="512" spans="2:17">
      <c r="B512" s="15" t="str">
        <f t="shared" si="58"/>
        <v/>
      </c>
      <c r="C512" s="16" t="str">
        <f>IFERROR(VLOOKUP(DATA!#REF!,DATA!#REF!,1,FALSE),"")</f>
        <v/>
      </c>
      <c r="D512" s="16" t="str">
        <f>IFERROR(VLOOKUP(C512,DATA!#REF!,2,FALSE),"")</f>
        <v/>
      </c>
      <c r="I512" s="17"/>
      <c r="J512" s="17"/>
      <c r="P512" s="17"/>
      <c r="Q512" s="17"/>
    </row>
    <row r="513" spans="2:17">
      <c r="B513" s="15" t="str">
        <f t="shared" si="58"/>
        <v/>
      </c>
      <c r="C513" s="16" t="str">
        <f>IFERROR(VLOOKUP(DATA!#REF!,DATA!#REF!,1,FALSE),"")</f>
        <v/>
      </c>
      <c r="D513" s="16" t="str">
        <f>IFERROR(VLOOKUP(C513,DATA!#REF!,2,FALSE),"")</f>
        <v/>
      </c>
      <c r="I513" s="17"/>
      <c r="J513" s="17"/>
      <c r="P513" s="17"/>
      <c r="Q513" s="17"/>
    </row>
    <row r="514" spans="2:17">
      <c r="B514" s="15" t="str">
        <f t="shared" si="58"/>
        <v/>
      </c>
      <c r="C514" s="16" t="str">
        <f>IFERROR(VLOOKUP(DATA!#REF!,DATA!#REF!,1,FALSE),"")</f>
        <v/>
      </c>
      <c r="D514" s="16" t="str">
        <f>IFERROR(VLOOKUP(C514,DATA!#REF!,2,FALSE),"")</f>
        <v/>
      </c>
      <c r="I514" s="17"/>
      <c r="J514" s="17"/>
      <c r="P514" s="17"/>
      <c r="Q514" s="17"/>
    </row>
    <row r="515" spans="2:17">
      <c r="B515" s="15" t="str">
        <f t="shared" si="58"/>
        <v/>
      </c>
      <c r="C515" s="16" t="str">
        <f>IFERROR(VLOOKUP(DATA!#REF!,DATA!#REF!,1,FALSE),"")</f>
        <v/>
      </c>
      <c r="D515" s="16" t="str">
        <f>IFERROR(VLOOKUP(C515,DATA!#REF!,2,FALSE),"")</f>
        <v/>
      </c>
      <c r="I515" s="17"/>
      <c r="J515" s="17"/>
      <c r="P515" s="17"/>
      <c r="Q515" s="17"/>
    </row>
    <row r="516" spans="2:17">
      <c r="B516" s="15" t="str">
        <f t="shared" si="58"/>
        <v/>
      </c>
      <c r="C516" s="16" t="str">
        <f>IFERROR(VLOOKUP(DATA!#REF!,DATA!#REF!,1,FALSE),"")</f>
        <v/>
      </c>
      <c r="D516" s="16" t="str">
        <f>IFERROR(VLOOKUP(C516,DATA!#REF!,2,FALSE),"")</f>
        <v/>
      </c>
      <c r="I516" s="17"/>
      <c r="J516" s="17"/>
      <c r="P516" s="17"/>
      <c r="Q516" s="17"/>
    </row>
    <row r="517" spans="2:17">
      <c r="B517" s="15" t="str">
        <f t="shared" si="58"/>
        <v/>
      </c>
      <c r="C517" s="16" t="str">
        <f>IFERROR(VLOOKUP(DATA!#REF!,DATA!#REF!,1,FALSE),"")</f>
        <v/>
      </c>
      <c r="D517" s="16" t="str">
        <f>IFERROR(VLOOKUP(C517,DATA!#REF!,2,FALSE),"")</f>
        <v/>
      </c>
      <c r="I517" s="17"/>
      <c r="J517" s="17"/>
      <c r="P517" s="17"/>
      <c r="Q517" s="17"/>
    </row>
    <row r="518" spans="2:17">
      <c r="B518" s="15" t="str">
        <f t="shared" si="58"/>
        <v/>
      </c>
      <c r="C518" s="16" t="str">
        <f>IFERROR(VLOOKUP(DATA!#REF!,DATA!#REF!,1,FALSE),"")</f>
        <v/>
      </c>
      <c r="D518" s="16" t="str">
        <f>IFERROR(VLOOKUP(C518,DATA!#REF!,2,FALSE),"")</f>
        <v/>
      </c>
      <c r="I518" s="17"/>
      <c r="J518" s="17"/>
      <c r="P518" s="17"/>
      <c r="Q518" s="17"/>
    </row>
    <row r="519" spans="2:17">
      <c r="B519" s="15" t="str">
        <f t="shared" si="58"/>
        <v/>
      </c>
      <c r="C519" s="16" t="str">
        <f>IFERROR(VLOOKUP(DATA!#REF!,DATA!#REF!,1,FALSE),"")</f>
        <v/>
      </c>
      <c r="D519" s="16" t="str">
        <f>IFERROR(VLOOKUP(C519,DATA!#REF!,2,FALSE),"")</f>
        <v/>
      </c>
      <c r="I519" s="17"/>
      <c r="J519" s="17"/>
      <c r="P519" s="17"/>
      <c r="Q519" s="17"/>
    </row>
    <row r="520" spans="2:17">
      <c r="B520" s="15" t="str">
        <f t="shared" si="58"/>
        <v/>
      </c>
      <c r="C520" s="16" t="str">
        <f>IFERROR(VLOOKUP(DATA!#REF!,DATA!#REF!,1,FALSE),"")</f>
        <v/>
      </c>
      <c r="D520" s="16" t="str">
        <f>IFERROR(VLOOKUP(C520,DATA!#REF!,2,FALSE),"")</f>
        <v/>
      </c>
      <c r="I520" s="17"/>
      <c r="J520" s="17"/>
      <c r="P520" s="17"/>
      <c r="Q520" s="17"/>
    </row>
    <row r="521" spans="2:17">
      <c r="B521" s="15" t="str">
        <f t="shared" si="58"/>
        <v/>
      </c>
      <c r="C521" s="16" t="str">
        <f>IFERROR(VLOOKUP(DATA!#REF!,DATA!#REF!,1,FALSE),"")</f>
        <v/>
      </c>
      <c r="D521" s="16" t="str">
        <f>IFERROR(VLOOKUP(C521,DATA!#REF!,2,FALSE),"")</f>
        <v/>
      </c>
      <c r="I521" s="17"/>
      <c r="J521" s="17"/>
      <c r="P521" s="17"/>
      <c r="Q521" s="17"/>
    </row>
    <row r="522" spans="2:17">
      <c r="B522" s="15" t="str">
        <f t="shared" si="58"/>
        <v/>
      </c>
      <c r="C522" s="16" t="str">
        <f>IFERROR(VLOOKUP(DATA!#REF!,DATA!#REF!,1,FALSE),"")</f>
        <v/>
      </c>
      <c r="D522" s="16" t="str">
        <f>IFERROR(VLOOKUP(C522,DATA!#REF!,2,FALSE),"")</f>
        <v/>
      </c>
      <c r="I522" s="17"/>
      <c r="J522" s="17"/>
      <c r="P522" s="17"/>
      <c r="Q522" s="17"/>
    </row>
    <row r="523" spans="2:17">
      <c r="B523" s="15" t="str">
        <f t="shared" si="58"/>
        <v/>
      </c>
      <c r="C523" s="16" t="str">
        <f>IFERROR(VLOOKUP(DATA!#REF!,DATA!#REF!,1,FALSE),"")</f>
        <v/>
      </c>
      <c r="D523" s="16" t="str">
        <f>IFERROR(VLOOKUP(C523,DATA!#REF!,2,FALSE),"")</f>
        <v/>
      </c>
      <c r="I523" s="17"/>
      <c r="J523" s="17"/>
      <c r="P523" s="17"/>
      <c r="Q523" s="17"/>
    </row>
    <row r="524" spans="2:17">
      <c r="B524" s="15" t="str">
        <f t="shared" si="58"/>
        <v/>
      </c>
      <c r="C524" s="16" t="str">
        <f>IFERROR(VLOOKUP(DATA!#REF!,DATA!#REF!,1,FALSE),"")</f>
        <v/>
      </c>
      <c r="D524" s="16" t="str">
        <f>IFERROR(VLOOKUP(C524,DATA!#REF!,2,FALSE),"")</f>
        <v/>
      </c>
      <c r="I524" s="17"/>
      <c r="J524" s="17"/>
      <c r="P524" s="17"/>
      <c r="Q524" s="17"/>
    </row>
    <row r="525" spans="2:17">
      <c r="B525" s="15" t="str">
        <f t="shared" si="58"/>
        <v/>
      </c>
      <c r="C525" s="16" t="str">
        <f>IFERROR(VLOOKUP(DATA!#REF!,DATA!#REF!,1,FALSE),"")</f>
        <v/>
      </c>
      <c r="D525" s="16" t="str">
        <f>IFERROR(VLOOKUP(C525,DATA!#REF!,2,FALSE),"")</f>
        <v/>
      </c>
      <c r="I525" s="17"/>
      <c r="J525" s="17"/>
      <c r="P525" s="17"/>
      <c r="Q525" s="17"/>
    </row>
    <row r="526" spans="2:17">
      <c r="B526" s="15" t="str">
        <f t="shared" si="58"/>
        <v/>
      </c>
      <c r="C526" s="16" t="str">
        <f>IFERROR(VLOOKUP(DATA!#REF!,DATA!#REF!,1,FALSE),"")</f>
        <v/>
      </c>
      <c r="D526" s="16" t="str">
        <f>IFERROR(VLOOKUP(C526,DATA!#REF!,2,FALSE),"")</f>
        <v/>
      </c>
      <c r="I526" s="17"/>
      <c r="J526" s="17"/>
      <c r="P526" s="17"/>
      <c r="Q526" s="17"/>
    </row>
    <row r="527" spans="2:17">
      <c r="B527" s="15" t="str">
        <f t="shared" si="58"/>
        <v/>
      </c>
      <c r="C527" s="16" t="str">
        <f>IFERROR(VLOOKUP(DATA!#REF!,DATA!#REF!,1,FALSE),"")</f>
        <v/>
      </c>
      <c r="D527" s="16" t="str">
        <f>IFERROR(VLOOKUP(C527,DATA!#REF!,2,FALSE),"")</f>
        <v/>
      </c>
      <c r="I527" s="17"/>
      <c r="J527" s="17"/>
      <c r="P527" s="17"/>
      <c r="Q527" s="17"/>
    </row>
    <row r="528" spans="2:17">
      <c r="B528" s="15" t="str">
        <f t="shared" si="58"/>
        <v/>
      </c>
      <c r="C528" s="16" t="str">
        <f>IFERROR(VLOOKUP(DATA!#REF!,DATA!#REF!,1,FALSE),"")</f>
        <v/>
      </c>
      <c r="D528" s="16" t="str">
        <f>IFERROR(VLOOKUP(C528,DATA!#REF!,2,FALSE),"")</f>
        <v/>
      </c>
      <c r="I528" s="17"/>
      <c r="J528" s="17"/>
      <c r="P528" s="17"/>
      <c r="Q528" s="17"/>
    </row>
    <row r="529" spans="2:17">
      <c r="B529" s="15" t="str">
        <f t="shared" si="58"/>
        <v/>
      </c>
      <c r="C529" s="16" t="str">
        <f>IFERROR(VLOOKUP(DATA!#REF!,DATA!#REF!,1,FALSE),"")</f>
        <v/>
      </c>
      <c r="D529" s="16" t="str">
        <f>IFERROR(VLOOKUP(C529,DATA!#REF!,2,FALSE),"")</f>
        <v/>
      </c>
      <c r="I529" s="17"/>
      <c r="J529" s="17"/>
      <c r="P529" s="17"/>
      <c r="Q529" s="17"/>
    </row>
    <row r="530" spans="2:17">
      <c r="B530" s="15" t="str">
        <f t="shared" si="58"/>
        <v/>
      </c>
      <c r="C530" s="16" t="str">
        <f>IFERROR(VLOOKUP(DATA!#REF!,DATA!#REF!,1,FALSE),"")</f>
        <v/>
      </c>
      <c r="D530" s="16" t="str">
        <f>IFERROR(VLOOKUP(C530,DATA!#REF!,2,FALSE),"")</f>
        <v/>
      </c>
      <c r="I530" s="17"/>
      <c r="J530" s="17"/>
      <c r="P530" s="17"/>
      <c r="Q530" s="17"/>
    </row>
    <row r="531" spans="2:17">
      <c r="B531" s="15" t="str">
        <f t="shared" si="58"/>
        <v/>
      </c>
      <c r="C531" s="16" t="str">
        <f>IFERROR(VLOOKUP(DATA!#REF!,DATA!#REF!,1,FALSE),"")</f>
        <v/>
      </c>
      <c r="D531" s="16" t="str">
        <f>IFERROR(VLOOKUP(C531,DATA!#REF!,2,FALSE),"")</f>
        <v/>
      </c>
      <c r="I531" s="17"/>
      <c r="J531" s="17"/>
      <c r="P531" s="17"/>
      <c r="Q531" s="17"/>
    </row>
    <row r="532" spans="2:17">
      <c r="B532" s="15" t="str">
        <f t="shared" si="58"/>
        <v/>
      </c>
      <c r="C532" s="16" t="str">
        <f>IFERROR(VLOOKUP(DATA!#REF!,DATA!#REF!,1,FALSE),"")</f>
        <v/>
      </c>
      <c r="D532" s="16" t="str">
        <f>IFERROR(VLOOKUP(C532,DATA!#REF!,2,FALSE),"")</f>
        <v/>
      </c>
      <c r="I532" s="17"/>
      <c r="J532" s="17"/>
      <c r="P532" s="17"/>
      <c r="Q532" s="17"/>
    </row>
    <row r="533" spans="2:17">
      <c r="B533" s="15" t="str">
        <f t="shared" si="58"/>
        <v/>
      </c>
      <c r="C533" s="16" t="str">
        <f>IFERROR(VLOOKUP(DATA!#REF!,DATA!#REF!,1,FALSE),"")</f>
        <v/>
      </c>
      <c r="D533" s="16" t="str">
        <f>IFERROR(VLOOKUP(C533,DATA!#REF!,2,FALSE),"")</f>
        <v/>
      </c>
      <c r="I533" s="17"/>
      <c r="J533" s="17"/>
      <c r="P533" s="17"/>
      <c r="Q533" s="17"/>
    </row>
    <row r="534" spans="2:17">
      <c r="B534" s="15" t="str">
        <f t="shared" si="58"/>
        <v/>
      </c>
      <c r="C534" s="16" t="str">
        <f>IFERROR(VLOOKUP(DATA!#REF!,DATA!#REF!,1,FALSE),"")</f>
        <v/>
      </c>
      <c r="D534" s="16" t="str">
        <f>IFERROR(VLOOKUP(C534,DATA!#REF!,2,FALSE),"")</f>
        <v/>
      </c>
      <c r="I534" s="17"/>
      <c r="J534" s="17"/>
      <c r="P534" s="17"/>
      <c r="Q534" s="17"/>
    </row>
    <row r="535" spans="2:17">
      <c r="B535" s="15" t="str">
        <f t="shared" si="58"/>
        <v/>
      </c>
      <c r="C535" s="16" t="str">
        <f>IFERROR(VLOOKUP(DATA!#REF!,DATA!#REF!,1,FALSE),"")</f>
        <v/>
      </c>
      <c r="D535" s="16" t="str">
        <f>IFERROR(VLOOKUP(C535,DATA!#REF!,2,FALSE),"")</f>
        <v/>
      </c>
      <c r="I535" s="17"/>
      <c r="J535" s="17"/>
      <c r="P535" s="17"/>
      <c r="Q535" s="17"/>
    </row>
    <row r="536" spans="2:17">
      <c r="B536" s="15" t="str">
        <f t="shared" si="58"/>
        <v/>
      </c>
      <c r="C536" s="16" t="str">
        <f>IFERROR(VLOOKUP(DATA!#REF!,DATA!#REF!,1,FALSE),"")</f>
        <v/>
      </c>
      <c r="D536" s="16" t="str">
        <f>IFERROR(VLOOKUP(C536,DATA!#REF!,2,FALSE),"")</f>
        <v/>
      </c>
      <c r="I536" s="17"/>
      <c r="J536" s="17"/>
      <c r="P536" s="17"/>
      <c r="Q536" s="17"/>
    </row>
    <row r="537" spans="2:17">
      <c r="B537" s="15" t="str">
        <f t="shared" si="58"/>
        <v/>
      </c>
      <c r="C537" s="16" t="str">
        <f>IFERROR(VLOOKUP(DATA!#REF!,DATA!#REF!,1,FALSE),"")</f>
        <v/>
      </c>
      <c r="D537" s="16" t="str">
        <f>IFERROR(VLOOKUP(C537,DATA!#REF!,2,FALSE),"")</f>
        <v/>
      </c>
      <c r="I537" s="17"/>
      <c r="J537" s="17"/>
      <c r="P537" s="17"/>
      <c r="Q537" s="17"/>
    </row>
    <row r="538" spans="2:17">
      <c r="B538" s="15" t="str">
        <f t="shared" si="58"/>
        <v/>
      </c>
      <c r="C538" s="16" t="str">
        <f>IFERROR(VLOOKUP(DATA!#REF!,DATA!#REF!,1,FALSE),"")</f>
        <v/>
      </c>
      <c r="D538" s="16" t="str">
        <f>IFERROR(VLOOKUP(C538,DATA!#REF!,2,FALSE),"")</f>
        <v/>
      </c>
      <c r="I538" s="17"/>
      <c r="J538" s="17"/>
      <c r="P538" s="17"/>
      <c r="Q538" s="17"/>
    </row>
    <row r="539" spans="2:17">
      <c r="B539" s="15" t="str">
        <f t="shared" si="58"/>
        <v/>
      </c>
      <c r="C539" s="16" t="str">
        <f>IFERROR(VLOOKUP(DATA!#REF!,DATA!#REF!,1,FALSE),"")</f>
        <v/>
      </c>
      <c r="D539" s="16" t="str">
        <f>IFERROR(VLOOKUP(C539,DATA!#REF!,2,FALSE),"")</f>
        <v/>
      </c>
      <c r="I539" s="17"/>
      <c r="J539" s="17"/>
      <c r="P539" s="17"/>
      <c r="Q539" s="17"/>
    </row>
    <row r="540" spans="2:17">
      <c r="B540" s="15" t="str">
        <f t="shared" si="58"/>
        <v/>
      </c>
      <c r="C540" s="16" t="str">
        <f>IFERROR(VLOOKUP(DATA!#REF!,DATA!#REF!,1,FALSE),"")</f>
        <v/>
      </c>
      <c r="D540" s="16" t="str">
        <f>IFERROR(VLOOKUP(C540,DATA!#REF!,2,FALSE),"")</f>
        <v/>
      </c>
      <c r="I540" s="17"/>
      <c r="J540" s="17"/>
      <c r="P540" s="17"/>
      <c r="Q540" s="17"/>
    </row>
    <row r="541" spans="2:17">
      <c r="B541" s="15" t="str">
        <f t="shared" si="58"/>
        <v/>
      </c>
      <c r="C541" s="16" t="str">
        <f>IFERROR(VLOOKUP(DATA!#REF!,DATA!#REF!,1,FALSE),"")</f>
        <v/>
      </c>
      <c r="D541" s="16" t="str">
        <f>IFERROR(VLOOKUP(C541,DATA!#REF!,2,FALSE),"")</f>
        <v/>
      </c>
      <c r="I541" s="17"/>
      <c r="J541" s="17"/>
      <c r="P541" s="17"/>
      <c r="Q541" s="17"/>
    </row>
    <row r="542" spans="2:17">
      <c r="B542" s="15" t="str">
        <f t="shared" si="58"/>
        <v/>
      </c>
      <c r="C542" s="16" t="str">
        <f>IFERROR(VLOOKUP(DATA!#REF!,DATA!#REF!,1,FALSE),"")</f>
        <v/>
      </c>
      <c r="D542" s="16" t="str">
        <f>IFERROR(VLOOKUP(C542,DATA!#REF!,2,FALSE),"")</f>
        <v/>
      </c>
      <c r="I542" s="17"/>
      <c r="J542" s="17"/>
      <c r="P542" s="17"/>
      <c r="Q542" s="17"/>
    </row>
    <row r="543" spans="2:17">
      <c r="B543" s="15" t="str">
        <f t="shared" si="58"/>
        <v/>
      </c>
      <c r="C543" s="16" t="str">
        <f>IFERROR(VLOOKUP(DATA!#REF!,DATA!#REF!,1,FALSE),"")</f>
        <v/>
      </c>
      <c r="D543" s="16" t="str">
        <f>IFERROR(VLOOKUP(C543,DATA!#REF!,2,FALSE),"")</f>
        <v/>
      </c>
      <c r="I543" s="17"/>
      <c r="J543" s="17"/>
      <c r="P543" s="17"/>
      <c r="Q543" s="17"/>
    </row>
    <row r="544" spans="2:17">
      <c r="B544" s="15" t="str">
        <f t="shared" si="58"/>
        <v/>
      </c>
      <c r="C544" s="16" t="str">
        <f>IFERROR(VLOOKUP(DATA!#REF!,DATA!#REF!,1,FALSE),"")</f>
        <v/>
      </c>
      <c r="D544" s="16" t="str">
        <f>IFERROR(VLOOKUP(C544,DATA!#REF!,2,FALSE),"")</f>
        <v/>
      </c>
      <c r="I544" s="17"/>
      <c r="J544" s="17"/>
      <c r="P544" s="17"/>
      <c r="Q544" s="17"/>
    </row>
    <row r="545" spans="2:17">
      <c r="B545" s="15" t="str">
        <f t="shared" si="58"/>
        <v/>
      </c>
      <c r="C545" s="16" t="str">
        <f>IFERROR(VLOOKUP(DATA!#REF!,DATA!#REF!,1,FALSE),"")</f>
        <v/>
      </c>
      <c r="D545" s="16" t="str">
        <f>IFERROR(VLOOKUP(C545,DATA!#REF!,2,FALSE),"")</f>
        <v/>
      </c>
      <c r="I545" s="17"/>
      <c r="J545" s="17"/>
      <c r="P545" s="17"/>
      <c r="Q545" s="17"/>
    </row>
    <row r="546" spans="2:17">
      <c r="B546" s="15" t="str">
        <f t="shared" si="58"/>
        <v/>
      </c>
      <c r="C546" s="16" t="str">
        <f>IFERROR(VLOOKUP(DATA!#REF!,DATA!#REF!,1,FALSE),"")</f>
        <v/>
      </c>
      <c r="D546" s="16" t="str">
        <f>IFERROR(VLOOKUP(C546,DATA!#REF!,2,FALSE),"")</f>
        <v/>
      </c>
      <c r="I546" s="17"/>
      <c r="J546" s="17"/>
      <c r="P546" s="17"/>
      <c r="Q546" s="17"/>
    </row>
    <row r="547" spans="2:17">
      <c r="B547" s="15" t="str">
        <f t="shared" si="58"/>
        <v/>
      </c>
      <c r="C547" s="16" t="str">
        <f>IFERROR(VLOOKUP(DATA!#REF!,DATA!#REF!,1,FALSE),"")</f>
        <v/>
      </c>
      <c r="D547" s="16" t="str">
        <f>IFERROR(VLOOKUP(C547,DATA!#REF!,2,FALSE),"")</f>
        <v/>
      </c>
      <c r="I547" s="17"/>
      <c r="J547" s="17"/>
      <c r="P547" s="17"/>
      <c r="Q547" s="17"/>
    </row>
    <row r="548" spans="2:17">
      <c r="B548" s="15" t="str">
        <f t="shared" si="58"/>
        <v/>
      </c>
      <c r="C548" s="16" t="str">
        <f>IFERROR(VLOOKUP(DATA!#REF!,DATA!#REF!,1,FALSE),"")</f>
        <v/>
      </c>
      <c r="D548" s="16" t="str">
        <f>IFERROR(VLOOKUP(C548,DATA!#REF!,2,FALSE),"")</f>
        <v/>
      </c>
      <c r="I548" s="17"/>
      <c r="J548" s="17"/>
      <c r="P548" s="17"/>
      <c r="Q548" s="17"/>
    </row>
    <row r="549" spans="2:17">
      <c r="B549" s="15" t="str">
        <f t="shared" si="58"/>
        <v/>
      </c>
      <c r="C549" s="16" t="str">
        <f>IFERROR(VLOOKUP(DATA!#REF!,DATA!#REF!,1,FALSE),"")</f>
        <v/>
      </c>
      <c r="D549" s="16" t="str">
        <f>IFERROR(VLOOKUP(C549,DATA!#REF!,2,FALSE),"")</f>
        <v/>
      </c>
      <c r="I549" s="17"/>
      <c r="J549" s="17"/>
      <c r="P549" s="17"/>
      <c r="Q549" s="17"/>
    </row>
    <row r="550" spans="2:17">
      <c r="B550" s="15" t="str">
        <f t="shared" si="58"/>
        <v/>
      </c>
      <c r="C550" s="16" t="str">
        <f>IFERROR(VLOOKUP(DATA!#REF!,DATA!#REF!,1,FALSE),"")</f>
        <v/>
      </c>
      <c r="D550" s="16" t="str">
        <f>IFERROR(VLOOKUP(C550,DATA!#REF!,2,FALSE),"")</f>
        <v/>
      </c>
      <c r="I550" s="17"/>
      <c r="J550" s="17"/>
      <c r="P550" s="17"/>
      <c r="Q550" s="17"/>
    </row>
    <row r="551" spans="2:17">
      <c r="B551" s="15" t="str">
        <f t="shared" si="58"/>
        <v/>
      </c>
      <c r="C551" s="16" t="str">
        <f>IFERROR(VLOOKUP(DATA!#REF!,DATA!#REF!,1,FALSE),"")</f>
        <v/>
      </c>
      <c r="D551" s="16" t="str">
        <f>IFERROR(VLOOKUP(C551,DATA!#REF!,2,FALSE),"")</f>
        <v/>
      </c>
      <c r="I551" s="17"/>
      <c r="J551" s="17"/>
      <c r="P551" s="17"/>
      <c r="Q551" s="17"/>
    </row>
    <row r="552" spans="2:17">
      <c r="B552" s="15" t="str">
        <f t="shared" si="58"/>
        <v/>
      </c>
      <c r="C552" s="16" t="str">
        <f>IFERROR(VLOOKUP(DATA!#REF!,DATA!#REF!,1,FALSE),"")</f>
        <v/>
      </c>
      <c r="D552" s="16" t="str">
        <f>IFERROR(VLOOKUP(C552,DATA!#REF!,2,FALSE),"")</f>
        <v/>
      </c>
      <c r="I552" s="17"/>
      <c r="J552" s="17"/>
      <c r="P552" s="17"/>
      <c r="Q552" s="17"/>
    </row>
    <row r="553" spans="2:17">
      <c r="B553" s="15" t="str">
        <f t="shared" si="58"/>
        <v/>
      </c>
      <c r="C553" s="16" t="str">
        <f>IFERROR(VLOOKUP(DATA!#REF!,DATA!#REF!,1,FALSE),"")</f>
        <v/>
      </c>
      <c r="D553" s="16" t="str">
        <f>IFERROR(VLOOKUP(C553,DATA!#REF!,2,FALSE),"")</f>
        <v/>
      </c>
      <c r="I553" s="17"/>
      <c r="J553" s="17"/>
      <c r="P553" s="17"/>
      <c r="Q553" s="17"/>
    </row>
    <row r="554" spans="2:17">
      <c r="B554" s="15" t="str">
        <f t="shared" si="58"/>
        <v/>
      </c>
      <c r="C554" s="16" t="str">
        <f>IFERROR(VLOOKUP(DATA!#REF!,DATA!#REF!,1,FALSE),"")</f>
        <v/>
      </c>
      <c r="D554" s="16" t="str">
        <f>IFERROR(VLOOKUP(C554,DATA!#REF!,2,FALSE),"")</f>
        <v/>
      </c>
      <c r="I554" s="17"/>
      <c r="J554" s="17"/>
      <c r="P554" s="17"/>
      <c r="Q554" s="17"/>
    </row>
    <row r="555" spans="2:17">
      <c r="B555" s="15" t="str">
        <f t="shared" si="58"/>
        <v/>
      </c>
      <c r="C555" s="16" t="str">
        <f>IFERROR(VLOOKUP(DATA!#REF!,DATA!#REF!,1,FALSE),"")</f>
        <v/>
      </c>
      <c r="D555" s="16" t="str">
        <f>IFERROR(VLOOKUP(C555,DATA!#REF!,2,FALSE),"")</f>
        <v/>
      </c>
      <c r="I555" s="17"/>
      <c r="J555" s="17"/>
      <c r="P555" s="17"/>
      <c r="Q555" s="17"/>
    </row>
    <row r="556" spans="2:17">
      <c r="B556" s="15" t="str">
        <f t="shared" si="58"/>
        <v/>
      </c>
      <c r="C556" s="16" t="str">
        <f>IFERROR(VLOOKUP(DATA!#REF!,DATA!#REF!,1,FALSE),"")</f>
        <v/>
      </c>
      <c r="D556" s="16" t="str">
        <f>IFERROR(VLOOKUP(C556,DATA!#REF!,2,FALSE),"")</f>
        <v/>
      </c>
      <c r="I556" s="17"/>
      <c r="J556" s="17"/>
      <c r="P556" s="17"/>
      <c r="Q556" s="17"/>
    </row>
    <row r="557" spans="2:17">
      <c r="B557" s="15" t="str">
        <f t="shared" si="58"/>
        <v/>
      </c>
      <c r="C557" s="16" t="str">
        <f>IFERROR(VLOOKUP(DATA!#REF!,DATA!#REF!,1,FALSE),"")</f>
        <v/>
      </c>
      <c r="D557" s="16" t="str">
        <f>IFERROR(VLOOKUP(C557,DATA!#REF!,2,FALSE),"")</f>
        <v/>
      </c>
      <c r="I557" s="17"/>
      <c r="J557" s="17"/>
      <c r="P557" s="17"/>
      <c r="Q557" s="17"/>
    </row>
    <row r="558" spans="2:17">
      <c r="B558" s="15" t="str">
        <f t="shared" si="58"/>
        <v/>
      </c>
      <c r="C558" s="16" t="str">
        <f>IFERROR(VLOOKUP(DATA!#REF!,DATA!#REF!,1,FALSE),"")</f>
        <v/>
      </c>
      <c r="D558" s="16" t="str">
        <f>IFERROR(VLOOKUP(C558,DATA!#REF!,2,FALSE),"")</f>
        <v/>
      </c>
      <c r="I558" s="17"/>
      <c r="J558" s="17"/>
      <c r="P558" s="17"/>
      <c r="Q558" s="17"/>
    </row>
    <row r="559" spans="2:17">
      <c r="B559" s="15" t="str">
        <f t="shared" si="58"/>
        <v/>
      </c>
      <c r="C559" s="16" t="str">
        <f>IFERROR(VLOOKUP(DATA!#REF!,DATA!#REF!,1,FALSE),"")</f>
        <v/>
      </c>
      <c r="D559" s="16" t="str">
        <f>IFERROR(VLOOKUP(C559,DATA!#REF!,2,FALSE),"")</f>
        <v/>
      </c>
      <c r="I559" s="17"/>
      <c r="J559" s="17"/>
      <c r="P559" s="17"/>
      <c r="Q559" s="17"/>
    </row>
    <row r="560" spans="2:17">
      <c r="B560" s="15" t="str">
        <f t="shared" si="58"/>
        <v/>
      </c>
      <c r="C560" s="16" t="str">
        <f>IFERROR(VLOOKUP(DATA!#REF!,DATA!#REF!,1,FALSE),"")</f>
        <v/>
      </c>
      <c r="D560" s="16" t="str">
        <f>IFERROR(VLOOKUP(C560,DATA!#REF!,2,FALSE),"")</f>
        <v/>
      </c>
      <c r="I560" s="17"/>
      <c r="J560" s="17"/>
      <c r="P560" s="17"/>
      <c r="Q560" s="17"/>
    </row>
    <row r="561" spans="2:17">
      <c r="B561" s="15" t="str">
        <f t="shared" si="58"/>
        <v/>
      </c>
      <c r="C561" s="16" t="str">
        <f>IFERROR(VLOOKUP(DATA!#REF!,DATA!#REF!,1,FALSE),"")</f>
        <v/>
      </c>
      <c r="D561" s="16" t="str">
        <f>IFERROR(VLOOKUP(C561,DATA!#REF!,2,FALSE),"")</f>
        <v/>
      </c>
      <c r="I561" s="17"/>
      <c r="J561" s="17"/>
      <c r="P561" s="17"/>
      <c r="Q561" s="17"/>
    </row>
    <row r="562" spans="2:17">
      <c r="B562" s="15" t="str">
        <f t="shared" si="58"/>
        <v/>
      </c>
      <c r="C562" s="16" t="str">
        <f>IFERROR(VLOOKUP(DATA!#REF!,DATA!#REF!,1,FALSE),"")</f>
        <v/>
      </c>
      <c r="D562" s="16" t="str">
        <f>IFERROR(VLOOKUP(C562,DATA!#REF!,2,FALSE),"")</f>
        <v/>
      </c>
      <c r="I562" s="17"/>
      <c r="J562" s="17"/>
      <c r="P562" s="17"/>
      <c r="Q562" s="17"/>
    </row>
    <row r="563" spans="2:17">
      <c r="B563" s="15" t="str">
        <f t="shared" si="58"/>
        <v/>
      </c>
      <c r="C563" s="16" t="str">
        <f>IFERROR(VLOOKUP(DATA!#REF!,DATA!#REF!,1,FALSE),"")</f>
        <v/>
      </c>
      <c r="D563" s="16" t="str">
        <f>IFERROR(VLOOKUP(C563,DATA!#REF!,2,FALSE),"")</f>
        <v/>
      </c>
      <c r="I563" s="17"/>
      <c r="J563" s="17"/>
      <c r="P563" s="17"/>
      <c r="Q563" s="17"/>
    </row>
    <row r="564" spans="2:17">
      <c r="B564" s="15" t="str">
        <f t="shared" si="58"/>
        <v/>
      </c>
      <c r="C564" s="16" t="str">
        <f>IFERROR(VLOOKUP(DATA!#REF!,DATA!#REF!,1,FALSE),"")</f>
        <v/>
      </c>
      <c r="D564" s="16" t="str">
        <f>IFERROR(VLOOKUP(C564,DATA!#REF!,2,FALSE),"")</f>
        <v/>
      </c>
      <c r="I564" s="17"/>
      <c r="J564" s="17"/>
      <c r="P564" s="17"/>
      <c r="Q564" s="17"/>
    </row>
    <row r="565" spans="2:17">
      <c r="B565" s="15" t="str">
        <f t="shared" si="58"/>
        <v/>
      </c>
      <c r="C565" s="16" t="str">
        <f>IFERROR(VLOOKUP(DATA!#REF!,DATA!#REF!,1,FALSE),"")</f>
        <v/>
      </c>
      <c r="D565" s="16" t="str">
        <f>IFERROR(VLOOKUP(C565,DATA!#REF!,2,FALSE),"")</f>
        <v/>
      </c>
      <c r="I565" s="17"/>
      <c r="J565" s="17"/>
      <c r="P565" s="17"/>
      <c r="Q565" s="17"/>
    </row>
    <row r="566" spans="2:17">
      <c r="B566" s="15" t="str">
        <f t="shared" si="58"/>
        <v/>
      </c>
      <c r="C566" s="16" t="str">
        <f>IFERROR(VLOOKUP(DATA!#REF!,DATA!#REF!,1,FALSE),"")</f>
        <v/>
      </c>
      <c r="D566" s="16" t="str">
        <f>IFERROR(VLOOKUP(C566,DATA!#REF!,2,FALSE),"")</f>
        <v/>
      </c>
      <c r="I566" s="17"/>
      <c r="J566" s="17"/>
      <c r="P566" s="17"/>
      <c r="Q566" s="17"/>
    </row>
    <row r="567" spans="2:17">
      <c r="B567" s="15" t="str">
        <f t="shared" ref="B567:B630" si="59">+IF(C567="","",ROW()-5)</f>
        <v/>
      </c>
      <c r="C567" s="16" t="str">
        <f>IFERROR(VLOOKUP(DATA!#REF!,DATA!#REF!,1,FALSE),"")</f>
        <v/>
      </c>
      <c r="D567" s="16" t="str">
        <f>IFERROR(VLOOKUP(C567,DATA!#REF!,2,FALSE),"")</f>
        <v/>
      </c>
      <c r="I567" s="17"/>
      <c r="J567" s="17"/>
      <c r="P567" s="17"/>
      <c r="Q567" s="17"/>
    </row>
    <row r="568" spans="2:17">
      <c r="B568" s="15" t="str">
        <f t="shared" si="59"/>
        <v/>
      </c>
      <c r="C568" s="16" t="str">
        <f>IFERROR(VLOOKUP(DATA!#REF!,DATA!#REF!,1,FALSE),"")</f>
        <v/>
      </c>
      <c r="D568" s="16" t="str">
        <f>IFERROR(VLOOKUP(C568,DATA!#REF!,2,FALSE),"")</f>
        <v/>
      </c>
      <c r="I568" s="17"/>
      <c r="J568" s="17"/>
      <c r="P568" s="17"/>
      <c r="Q568" s="17"/>
    </row>
    <row r="569" spans="2:17">
      <c r="B569" s="15" t="str">
        <f t="shared" si="59"/>
        <v/>
      </c>
      <c r="C569" s="16" t="str">
        <f>IFERROR(VLOOKUP(DATA!#REF!,DATA!#REF!,1,FALSE),"")</f>
        <v/>
      </c>
      <c r="D569" s="16" t="str">
        <f>IFERROR(VLOOKUP(C569,DATA!#REF!,2,FALSE),"")</f>
        <v/>
      </c>
      <c r="I569" s="17"/>
      <c r="J569" s="17"/>
      <c r="P569" s="17"/>
      <c r="Q569" s="17"/>
    </row>
    <row r="570" spans="2:17">
      <c r="B570" s="15" t="str">
        <f t="shared" si="59"/>
        <v/>
      </c>
      <c r="C570" s="16" t="str">
        <f>IFERROR(VLOOKUP(DATA!#REF!,DATA!#REF!,1,FALSE),"")</f>
        <v/>
      </c>
      <c r="D570" s="16" t="str">
        <f>IFERROR(VLOOKUP(C570,DATA!#REF!,2,FALSE),"")</f>
        <v/>
      </c>
      <c r="I570" s="17"/>
      <c r="J570" s="17"/>
      <c r="P570" s="17"/>
      <c r="Q570" s="17"/>
    </row>
    <row r="571" spans="2:17">
      <c r="B571" s="15" t="str">
        <f t="shared" si="59"/>
        <v/>
      </c>
      <c r="C571" s="16" t="str">
        <f>IFERROR(VLOOKUP(DATA!#REF!,DATA!#REF!,1,FALSE),"")</f>
        <v/>
      </c>
      <c r="D571" s="16" t="str">
        <f>IFERROR(VLOOKUP(C571,DATA!#REF!,2,FALSE),"")</f>
        <v/>
      </c>
      <c r="I571" s="17"/>
      <c r="J571" s="17"/>
      <c r="P571" s="17"/>
      <c r="Q571" s="17"/>
    </row>
    <row r="572" spans="2:17">
      <c r="B572" s="15" t="str">
        <f t="shared" si="59"/>
        <v/>
      </c>
      <c r="C572" s="16" t="str">
        <f>IFERROR(VLOOKUP(DATA!#REF!,DATA!#REF!,1,FALSE),"")</f>
        <v/>
      </c>
      <c r="D572" s="16" t="str">
        <f>IFERROR(VLOOKUP(C572,DATA!#REF!,2,FALSE),"")</f>
        <v/>
      </c>
      <c r="I572" s="17"/>
      <c r="J572" s="17"/>
      <c r="P572" s="17"/>
      <c r="Q572" s="17"/>
    </row>
    <row r="573" spans="2:17">
      <c r="B573" s="15" t="str">
        <f t="shared" si="59"/>
        <v/>
      </c>
      <c r="C573" s="16" t="str">
        <f>IFERROR(VLOOKUP(DATA!#REF!,DATA!#REF!,1,FALSE),"")</f>
        <v/>
      </c>
      <c r="D573" s="16" t="str">
        <f>IFERROR(VLOOKUP(C573,DATA!#REF!,2,FALSE),"")</f>
        <v/>
      </c>
      <c r="I573" s="17"/>
      <c r="J573" s="17"/>
      <c r="P573" s="17"/>
      <c r="Q573" s="17"/>
    </row>
    <row r="574" spans="2:17">
      <c r="B574" s="15" t="str">
        <f t="shared" si="59"/>
        <v/>
      </c>
      <c r="C574" s="16" t="str">
        <f>IFERROR(VLOOKUP(DATA!#REF!,DATA!#REF!,1,FALSE),"")</f>
        <v/>
      </c>
      <c r="D574" s="16" t="str">
        <f>IFERROR(VLOOKUP(C574,DATA!#REF!,2,FALSE),"")</f>
        <v/>
      </c>
      <c r="I574" s="17"/>
      <c r="J574" s="17"/>
      <c r="P574" s="17"/>
      <c r="Q574" s="17"/>
    </row>
    <row r="575" spans="2:17">
      <c r="B575" s="15" t="str">
        <f t="shared" si="59"/>
        <v/>
      </c>
      <c r="C575" s="16" t="str">
        <f>IFERROR(VLOOKUP(DATA!#REF!,DATA!#REF!,1,FALSE),"")</f>
        <v/>
      </c>
      <c r="D575" s="16" t="str">
        <f>IFERROR(VLOOKUP(C575,DATA!#REF!,2,FALSE),"")</f>
        <v/>
      </c>
      <c r="I575" s="17"/>
      <c r="J575" s="17"/>
      <c r="P575" s="17"/>
      <c r="Q575" s="17"/>
    </row>
    <row r="576" spans="2:17">
      <c r="B576" s="15" t="str">
        <f t="shared" si="59"/>
        <v/>
      </c>
      <c r="C576" s="16" t="str">
        <f>IFERROR(VLOOKUP(DATA!#REF!,DATA!#REF!,1,FALSE),"")</f>
        <v/>
      </c>
      <c r="D576" s="16" t="str">
        <f>IFERROR(VLOOKUP(C576,DATA!#REF!,2,FALSE),"")</f>
        <v/>
      </c>
      <c r="I576" s="17"/>
      <c r="J576" s="17"/>
      <c r="P576" s="17"/>
      <c r="Q576" s="17"/>
    </row>
    <row r="577" spans="2:17">
      <c r="B577" s="15" t="str">
        <f t="shared" si="59"/>
        <v/>
      </c>
      <c r="C577" s="16" t="str">
        <f>IFERROR(VLOOKUP(DATA!#REF!,DATA!#REF!,1,FALSE),"")</f>
        <v/>
      </c>
      <c r="D577" s="16" t="str">
        <f>IFERROR(VLOOKUP(C577,DATA!#REF!,2,FALSE),"")</f>
        <v/>
      </c>
      <c r="I577" s="17"/>
      <c r="J577" s="17"/>
      <c r="P577" s="17"/>
      <c r="Q577" s="17"/>
    </row>
    <row r="578" spans="2:17">
      <c r="B578" s="15" t="str">
        <f t="shared" si="59"/>
        <v/>
      </c>
      <c r="C578" s="16" t="str">
        <f>IFERROR(VLOOKUP(DATA!#REF!,DATA!#REF!,1,FALSE),"")</f>
        <v/>
      </c>
      <c r="D578" s="16" t="str">
        <f>IFERROR(VLOOKUP(C578,DATA!#REF!,2,FALSE),"")</f>
        <v/>
      </c>
      <c r="I578" s="17"/>
      <c r="J578" s="17"/>
      <c r="P578" s="17"/>
      <c r="Q578" s="17"/>
    </row>
    <row r="579" spans="2:17">
      <c r="B579" s="15" t="str">
        <f t="shared" si="59"/>
        <v/>
      </c>
      <c r="C579" s="16" t="str">
        <f>IFERROR(VLOOKUP(DATA!#REF!,DATA!#REF!,1,FALSE),"")</f>
        <v/>
      </c>
      <c r="D579" s="16" t="str">
        <f>IFERROR(VLOOKUP(C579,DATA!#REF!,2,FALSE),"")</f>
        <v/>
      </c>
      <c r="I579" s="17"/>
      <c r="J579" s="17"/>
      <c r="P579" s="17"/>
      <c r="Q579" s="17"/>
    </row>
    <row r="580" spans="2:17">
      <c r="B580" s="15" t="str">
        <f t="shared" si="59"/>
        <v/>
      </c>
      <c r="C580" s="16" t="str">
        <f>IFERROR(VLOOKUP(DATA!#REF!,DATA!#REF!,1,FALSE),"")</f>
        <v/>
      </c>
      <c r="D580" s="16" t="str">
        <f>IFERROR(VLOOKUP(C580,DATA!#REF!,2,FALSE),"")</f>
        <v/>
      </c>
      <c r="I580" s="17"/>
      <c r="J580" s="17"/>
      <c r="P580" s="17"/>
      <c r="Q580" s="17"/>
    </row>
    <row r="581" spans="2:17">
      <c r="B581" s="15" t="str">
        <f t="shared" si="59"/>
        <v/>
      </c>
      <c r="C581" s="16" t="str">
        <f>IFERROR(VLOOKUP(DATA!#REF!,DATA!#REF!,1,FALSE),"")</f>
        <v/>
      </c>
      <c r="D581" s="16" t="str">
        <f>IFERROR(VLOOKUP(C581,DATA!#REF!,2,FALSE),"")</f>
        <v/>
      </c>
      <c r="I581" s="17"/>
      <c r="J581" s="17"/>
      <c r="P581" s="17"/>
      <c r="Q581" s="17"/>
    </row>
    <row r="582" spans="2:17">
      <c r="B582" s="15" t="str">
        <f t="shared" si="59"/>
        <v/>
      </c>
      <c r="C582" s="16" t="str">
        <f>IFERROR(VLOOKUP(DATA!#REF!,DATA!#REF!,1,FALSE),"")</f>
        <v/>
      </c>
      <c r="D582" s="16" t="str">
        <f>IFERROR(VLOOKUP(C582,DATA!#REF!,2,FALSE),"")</f>
        <v/>
      </c>
      <c r="I582" s="17"/>
      <c r="J582" s="17"/>
      <c r="P582" s="17"/>
      <c r="Q582" s="17"/>
    </row>
    <row r="583" spans="2:17">
      <c r="B583" s="15" t="str">
        <f t="shared" si="59"/>
        <v/>
      </c>
      <c r="C583" s="16" t="str">
        <f>IFERROR(VLOOKUP(DATA!#REF!,DATA!#REF!,1,FALSE),"")</f>
        <v/>
      </c>
      <c r="D583" s="16" t="str">
        <f>IFERROR(VLOOKUP(C583,DATA!#REF!,2,FALSE),"")</f>
        <v/>
      </c>
      <c r="I583" s="17"/>
      <c r="J583" s="17"/>
      <c r="P583" s="17"/>
      <c r="Q583" s="17"/>
    </row>
    <row r="584" spans="2:17">
      <c r="B584" s="15" t="str">
        <f t="shared" si="59"/>
        <v/>
      </c>
      <c r="C584" s="16" t="str">
        <f>IFERROR(VLOOKUP(DATA!#REF!,DATA!#REF!,1,FALSE),"")</f>
        <v/>
      </c>
      <c r="D584" s="16" t="str">
        <f>IFERROR(VLOOKUP(C584,DATA!#REF!,2,FALSE),"")</f>
        <v/>
      </c>
      <c r="I584" s="17"/>
      <c r="J584" s="17"/>
      <c r="P584" s="17"/>
      <c r="Q584" s="17"/>
    </row>
    <row r="585" spans="2:17">
      <c r="B585" s="15" t="str">
        <f t="shared" si="59"/>
        <v/>
      </c>
      <c r="C585" s="16" t="str">
        <f>IFERROR(VLOOKUP(DATA!#REF!,DATA!#REF!,1,FALSE),"")</f>
        <v/>
      </c>
      <c r="D585" s="16" t="str">
        <f>IFERROR(VLOOKUP(C585,DATA!#REF!,2,FALSE),"")</f>
        <v/>
      </c>
      <c r="I585" s="17"/>
      <c r="J585" s="17"/>
      <c r="P585" s="17"/>
      <c r="Q585" s="17"/>
    </row>
    <row r="586" spans="2:17">
      <c r="B586" s="15" t="str">
        <f t="shared" si="59"/>
        <v/>
      </c>
      <c r="C586" s="16" t="str">
        <f>IFERROR(VLOOKUP(DATA!#REF!,DATA!#REF!,1,FALSE),"")</f>
        <v/>
      </c>
      <c r="D586" s="16" t="str">
        <f>IFERROR(VLOOKUP(C586,DATA!#REF!,2,FALSE),"")</f>
        <v/>
      </c>
      <c r="I586" s="17"/>
      <c r="J586" s="17"/>
      <c r="P586" s="17"/>
      <c r="Q586" s="17"/>
    </row>
    <row r="587" spans="2:17">
      <c r="B587" s="15" t="str">
        <f t="shared" si="59"/>
        <v/>
      </c>
      <c r="C587" s="16" t="str">
        <f>IFERROR(VLOOKUP(DATA!#REF!,DATA!#REF!,1,FALSE),"")</f>
        <v/>
      </c>
      <c r="D587" s="16" t="str">
        <f>IFERROR(VLOOKUP(C587,DATA!#REF!,2,FALSE),"")</f>
        <v/>
      </c>
      <c r="I587" s="17"/>
      <c r="J587" s="17"/>
      <c r="P587" s="17"/>
      <c r="Q587" s="17"/>
    </row>
    <row r="588" spans="2:17">
      <c r="B588" s="15" t="str">
        <f t="shared" si="59"/>
        <v/>
      </c>
      <c r="C588" s="16" t="str">
        <f>IFERROR(VLOOKUP(DATA!#REF!,DATA!#REF!,1,FALSE),"")</f>
        <v/>
      </c>
      <c r="D588" s="16" t="str">
        <f>IFERROR(VLOOKUP(C588,DATA!#REF!,2,FALSE),"")</f>
        <v/>
      </c>
      <c r="I588" s="17"/>
      <c r="J588" s="17"/>
      <c r="P588" s="17"/>
      <c r="Q588" s="17"/>
    </row>
    <row r="589" spans="2:17">
      <c r="B589" s="15" t="str">
        <f t="shared" si="59"/>
        <v/>
      </c>
      <c r="C589" s="16" t="str">
        <f>IFERROR(VLOOKUP(DATA!#REF!,DATA!#REF!,1,FALSE),"")</f>
        <v/>
      </c>
      <c r="D589" s="16" t="str">
        <f>IFERROR(VLOOKUP(C589,DATA!#REF!,2,FALSE),"")</f>
        <v/>
      </c>
      <c r="I589" s="17"/>
      <c r="J589" s="17"/>
      <c r="P589" s="17"/>
      <c r="Q589" s="17"/>
    </row>
    <row r="590" spans="2:17">
      <c r="B590" s="15" t="str">
        <f t="shared" si="59"/>
        <v/>
      </c>
      <c r="C590" s="16" t="str">
        <f>IFERROR(VLOOKUP(DATA!#REF!,DATA!#REF!,1,FALSE),"")</f>
        <v/>
      </c>
      <c r="D590" s="16" t="str">
        <f>IFERROR(VLOOKUP(C590,DATA!#REF!,2,FALSE),"")</f>
        <v/>
      </c>
      <c r="I590" s="17"/>
      <c r="J590" s="17"/>
      <c r="P590" s="17"/>
      <c r="Q590" s="17"/>
    </row>
    <row r="591" spans="2:17">
      <c r="B591" s="15" t="str">
        <f t="shared" si="59"/>
        <v/>
      </c>
      <c r="C591" s="16" t="str">
        <f>IFERROR(VLOOKUP(DATA!#REF!,DATA!#REF!,1,FALSE),"")</f>
        <v/>
      </c>
      <c r="D591" s="16" t="str">
        <f>IFERROR(VLOOKUP(C591,DATA!#REF!,2,FALSE),"")</f>
        <v/>
      </c>
      <c r="I591" s="17"/>
      <c r="J591" s="17"/>
      <c r="P591" s="17"/>
      <c r="Q591" s="17"/>
    </row>
    <row r="592" spans="2:17">
      <c r="B592" s="15" t="str">
        <f t="shared" si="59"/>
        <v/>
      </c>
      <c r="C592" s="16" t="str">
        <f>IFERROR(VLOOKUP(DATA!#REF!,DATA!#REF!,1,FALSE),"")</f>
        <v/>
      </c>
      <c r="D592" s="16" t="str">
        <f>IFERROR(VLOOKUP(C592,DATA!#REF!,2,FALSE),"")</f>
        <v/>
      </c>
      <c r="I592" s="17"/>
      <c r="J592" s="17"/>
      <c r="P592" s="17"/>
      <c r="Q592" s="17"/>
    </row>
    <row r="593" spans="2:17">
      <c r="B593" s="15" t="str">
        <f t="shared" si="59"/>
        <v/>
      </c>
      <c r="C593" s="16" t="str">
        <f>IFERROR(VLOOKUP(DATA!#REF!,DATA!#REF!,1,FALSE),"")</f>
        <v/>
      </c>
      <c r="D593" s="16" t="str">
        <f>IFERROR(VLOOKUP(C593,DATA!#REF!,2,FALSE),"")</f>
        <v/>
      </c>
      <c r="I593" s="17"/>
      <c r="J593" s="17"/>
      <c r="P593" s="17"/>
      <c r="Q593" s="17"/>
    </row>
    <row r="594" spans="2:17">
      <c r="B594" s="15" t="str">
        <f t="shared" si="59"/>
        <v/>
      </c>
      <c r="C594" s="16" t="str">
        <f>IFERROR(VLOOKUP(DATA!#REF!,DATA!#REF!,1,FALSE),"")</f>
        <v/>
      </c>
      <c r="D594" s="16" t="str">
        <f>IFERROR(VLOOKUP(C594,DATA!#REF!,2,FALSE),"")</f>
        <v/>
      </c>
      <c r="I594" s="17"/>
      <c r="J594" s="17"/>
      <c r="P594" s="17"/>
      <c r="Q594" s="17"/>
    </row>
    <row r="595" spans="2:17">
      <c r="B595" s="15" t="str">
        <f t="shared" si="59"/>
        <v/>
      </c>
      <c r="C595" s="16" t="str">
        <f>IFERROR(VLOOKUP(DATA!#REF!,DATA!#REF!,1,FALSE),"")</f>
        <v/>
      </c>
      <c r="D595" s="16" t="str">
        <f>IFERROR(VLOOKUP(C595,DATA!#REF!,2,FALSE),"")</f>
        <v/>
      </c>
      <c r="I595" s="17"/>
      <c r="J595" s="17"/>
      <c r="P595" s="17"/>
      <c r="Q595" s="17"/>
    </row>
    <row r="596" spans="2:17">
      <c r="B596" s="15" t="str">
        <f t="shared" si="59"/>
        <v/>
      </c>
      <c r="C596" s="16" t="str">
        <f>IFERROR(VLOOKUP(DATA!#REF!,DATA!#REF!,1,FALSE),"")</f>
        <v/>
      </c>
      <c r="D596" s="16" t="str">
        <f>IFERROR(VLOOKUP(C596,DATA!#REF!,2,FALSE),"")</f>
        <v/>
      </c>
      <c r="I596" s="17"/>
      <c r="J596" s="17"/>
      <c r="P596" s="17"/>
      <c r="Q596" s="17"/>
    </row>
    <row r="597" spans="2:17">
      <c r="B597" s="15" t="str">
        <f t="shared" si="59"/>
        <v/>
      </c>
      <c r="C597" s="16" t="str">
        <f>IFERROR(VLOOKUP(DATA!#REF!,DATA!#REF!,1,FALSE),"")</f>
        <v/>
      </c>
      <c r="D597" s="16" t="str">
        <f>IFERROR(VLOOKUP(C597,DATA!#REF!,2,FALSE),"")</f>
        <v/>
      </c>
      <c r="I597" s="17"/>
      <c r="J597" s="17"/>
      <c r="P597" s="17"/>
      <c r="Q597" s="17"/>
    </row>
    <row r="598" spans="2:17">
      <c r="B598" s="15" t="str">
        <f t="shared" si="59"/>
        <v/>
      </c>
      <c r="C598" s="16" t="str">
        <f>IFERROR(VLOOKUP(DATA!#REF!,DATA!#REF!,1,FALSE),"")</f>
        <v/>
      </c>
      <c r="D598" s="16" t="str">
        <f>IFERROR(VLOOKUP(C598,DATA!#REF!,2,FALSE),"")</f>
        <v/>
      </c>
      <c r="I598" s="17"/>
      <c r="J598" s="17"/>
      <c r="P598" s="17"/>
      <c r="Q598" s="17"/>
    </row>
    <row r="599" spans="2:17">
      <c r="B599" s="15" t="str">
        <f t="shared" si="59"/>
        <v/>
      </c>
      <c r="C599" s="16" t="str">
        <f>IFERROR(VLOOKUP(DATA!#REF!,DATA!#REF!,1,FALSE),"")</f>
        <v/>
      </c>
      <c r="D599" s="16" t="str">
        <f>IFERROR(VLOOKUP(C599,DATA!#REF!,2,FALSE),"")</f>
        <v/>
      </c>
      <c r="I599" s="17"/>
      <c r="J599" s="17"/>
      <c r="P599" s="17"/>
      <c r="Q599" s="17"/>
    </row>
    <row r="600" spans="2:17">
      <c r="B600" s="15" t="str">
        <f t="shared" si="59"/>
        <v/>
      </c>
      <c r="C600" s="16" t="str">
        <f>IFERROR(VLOOKUP(DATA!#REF!,DATA!#REF!,1,FALSE),"")</f>
        <v/>
      </c>
      <c r="D600" s="16" t="str">
        <f>IFERROR(VLOOKUP(C600,DATA!#REF!,2,FALSE),"")</f>
        <v/>
      </c>
      <c r="I600" s="17"/>
      <c r="J600" s="17"/>
      <c r="P600" s="17"/>
      <c r="Q600" s="17"/>
    </row>
    <row r="601" spans="2:17">
      <c r="B601" s="15" t="str">
        <f t="shared" si="59"/>
        <v/>
      </c>
      <c r="C601" s="16" t="str">
        <f>IFERROR(VLOOKUP(DATA!#REF!,DATA!#REF!,1,FALSE),"")</f>
        <v/>
      </c>
      <c r="D601" s="16" t="str">
        <f>IFERROR(VLOOKUP(C601,DATA!#REF!,2,FALSE),"")</f>
        <v/>
      </c>
      <c r="I601" s="17"/>
      <c r="J601" s="17"/>
      <c r="P601" s="17"/>
      <c r="Q601" s="17"/>
    </row>
    <row r="602" spans="2:17">
      <c r="B602" s="15" t="str">
        <f t="shared" si="59"/>
        <v/>
      </c>
      <c r="C602" s="16" t="str">
        <f>IFERROR(VLOOKUP(DATA!#REF!,DATA!#REF!,1,FALSE),"")</f>
        <v/>
      </c>
      <c r="D602" s="16" t="str">
        <f>IFERROR(VLOOKUP(C602,DATA!#REF!,2,FALSE),"")</f>
        <v/>
      </c>
      <c r="I602" s="17"/>
      <c r="J602" s="17"/>
      <c r="P602" s="17"/>
      <c r="Q602" s="17"/>
    </row>
    <row r="603" spans="2:17">
      <c r="B603" s="15" t="str">
        <f t="shared" si="59"/>
        <v/>
      </c>
      <c r="C603" s="16" t="str">
        <f>IFERROR(VLOOKUP(DATA!#REF!,DATA!#REF!,1,FALSE),"")</f>
        <v/>
      </c>
      <c r="D603" s="16" t="str">
        <f>IFERROR(VLOOKUP(C603,DATA!#REF!,2,FALSE),"")</f>
        <v/>
      </c>
      <c r="I603" s="17"/>
      <c r="J603" s="17"/>
      <c r="P603" s="17"/>
      <c r="Q603" s="17"/>
    </row>
    <row r="604" spans="2:17">
      <c r="B604" s="15" t="str">
        <f t="shared" si="59"/>
        <v/>
      </c>
      <c r="C604" s="16" t="str">
        <f>IFERROR(VLOOKUP(DATA!#REF!,DATA!#REF!,1,FALSE),"")</f>
        <v/>
      </c>
      <c r="D604" s="16" t="str">
        <f>IFERROR(VLOOKUP(C604,DATA!#REF!,2,FALSE),"")</f>
        <v/>
      </c>
      <c r="I604" s="17"/>
      <c r="J604" s="17"/>
      <c r="P604" s="17"/>
      <c r="Q604" s="17"/>
    </row>
    <row r="605" spans="2:17">
      <c r="B605" s="15" t="str">
        <f t="shared" si="59"/>
        <v/>
      </c>
      <c r="C605" s="16" t="str">
        <f>IFERROR(VLOOKUP(DATA!#REF!,DATA!#REF!,1,FALSE),"")</f>
        <v/>
      </c>
      <c r="D605" s="16" t="str">
        <f>IFERROR(VLOOKUP(C605,DATA!#REF!,2,FALSE),"")</f>
        <v/>
      </c>
      <c r="I605" s="17"/>
      <c r="J605" s="17"/>
      <c r="P605" s="17"/>
      <c r="Q605" s="17"/>
    </row>
    <row r="606" spans="2:17">
      <c r="B606" s="15" t="str">
        <f t="shared" si="59"/>
        <v/>
      </c>
      <c r="C606" s="16" t="str">
        <f>IFERROR(VLOOKUP(DATA!#REF!,DATA!#REF!,1,FALSE),"")</f>
        <v/>
      </c>
      <c r="D606" s="16" t="str">
        <f>IFERROR(VLOOKUP(C606,DATA!#REF!,2,FALSE),"")</f>
        <v/>
      </c>
      <c r="I606" s="17"/>
      <c r="J606" s="17"/>
      <c r="P606" s="17"/>
      <c r="Q606" s="17"/>
    </row>
    <row r="607" spans="2:17">
      <c r="B607" s="15" t="str">
        <f t="shared" si="59"/>
        <v/>
      </c>
      <c r="C607" s="16" t="str">
        <f>IFERROR(VLOOKUP(DATA!#REF!,DATA!#REF!,1,FALSE),"")</f>
        <v/>
      </c>
      <c r="D607" s="16" t="str">
        <f>IFERROR(VLOOKUP(C607,DATA!#REF!,2,FALSE),"")</f>
        <v/>
      </c>
      <c r="I607" s="17"/>
      <c r="J607" s="17"/>
      <c r="P607" s="17"/>
      <c r="Q607" s="17"/>
    </row>
    <row r="608" spans="2:17">
      <c r="B608" s="15" t="str">
        <f t="shared" si="59"/>
        <v/>
      </c>
      <c r="C608" s="16" t="str">
        <f>IFERROR(VLOOKUP(DATA!#REF!,DATA!#REF!,1,FALSE),"")</f>
        <v/>
      </c>
      <c r="D608" s="16" t="str">
        <f>IFERROR(VLOOKUP(C608,DATA!#REF!,2,FALSE),"")</f>
        <v/>
      </c>
      <c r="I608" s="17"/>
      <c r="J608" s="17"/>
      <c r="P608" s="17"/>
      <c r="Q608" s="17"/>
    </row>
    <row r="609" spans="2:17">
      <c r="B609" s="15" t="str">
        <f t="shared" si="59"/>
        <v/>
      </c>
      <c r="C609" s="16" t="str">
        <f>IFERROR(VLOOKUP(DATA!#REF!,DATA!#REF!,1,FALSE),"")</f>
        <v/>
      </c>
      <c r="D609" s="16" t="str">
        <f>IFERROR(VLOOKUP(C609,DATA!#REF!,2,FALSE),"")</f>
        <v/>
      </c>
      <c r="I609" s="17"/>
      <c r="J609" s="17"/>
      <c r="P609" s="17"/>
      <c r="Q609" s="17"/>
    </row>
    <row r="610" spans="2:17">
      <c r="B610" s="15" t="str">
        <f t="shared" si="59"/>
        <v/>
      </c>
      <c r="C610" s="16" t="str">
        <f>IFERROR(VLOOKUP(DATA!#REF!,DATA!#REF!,1,FALSE),"")</f>
        <v/>
      </c>
      <c r="D610" s="16" t="str">
        <f>IFERROR(VLOOKUP(C610,DATA!#REF!,2,FALSE),"")</f>
        <v/>
      </c>
      <c r="I610" s="17"/>
      <c r="J610" s="17"/>
      <c r="P610" s="17"/>
      <c r="Q610" s="17"/>
    </row>
    <row r="611" spans="2:17">
      <c r="B611" s="15" t="str">
        <f t="shared" si="59"/>
        <v/>
      </c>
      <c r="C611" s="16" t="str">
        <f>IFERROR(VLOOKUP(DATA!#REF!,DATA!#REF!,1,FALSE),"")</f>
        <v/>
      </c>
      <c r="D611" s="16" t="str">
        <f>IFERROR(VLOOKUP(C611,DATA!#REF!,2,FALSE),"")</f>
        <v/>
      </c>
      <c r="I611" s="17"/>
      <c r="J611" s="17"/>
      <c r="P611" s="17"/>
      <c r="Q611" s="17"/>
    </row>
    <row r="612" spans="2:17">
      <c r="B612" s="15" t="str">
        <f t="shared" si="59"/>
        <v/>
      </c>
      <c r="C612" s="16" t="str">
        <f>IFERROR(VLOOKUP(DATA!#REF!,DATA!#REF!,1,FALSE),"")</f>
        <v/>
      </c>
      <c r="D612" s="16" t="str">
        <f>IFERROR(VLOOKUP(C612,DATA!#REF!,2,FALSE),"")</f>
        <v/>
      </c>
      <c r="I612" s="17"/>
      <c r="J612" s="17"/>
      <c r="P612" s="17"/>
      <c r="Q612" s="17"/>
    </row>
    <row r="613" spans="2:17">
      <c r="B613" s="15" t="str">
        <f t="shared" si="59"/>
        <v/>
      </c>
      <c r="C613" s="16" t="str">
        <f>IFERROR(VLOOKUP(DATA!#REF!,DATA!#REF!,1,FALSE),"")</f>
        <v/>
      </c>
      <c r="D613" s="16" t="str">
        <f>IFERROR(VLOOKUP(C613,DATA!#REF!,2,FALSE),"")</f>
        <v/>
      </c>
      <c r="I613" s="17"/>
      <c r="J613" s="17"/>
      <c r="P613" s="17"/>
      <c r="Q613" s="17"/>
    </row>
    <row r="614" spans="2:17">
      <c r="B614" s="15" t="str">
        <f t="shared" si="59"/>
        <v/>
      </c>
      <c r="C614" s="16" t="str">
        <f>IFERROR(VLOOKUP(DATA!#REF!,DATA!#REF!,1,FALSE),"")</f>
        <v/>
      </c>
      <c r="D614" s="16" t="str">
        <f>IFERROR(VLOOKUP(C614,DATA!#REF!,2,FALSE),"")</f>
        <v/>
      </c>
      <c r="I614" s="17"/>
      <c r="J614" s="17"/>
      <c r="P614" s="17"/>
      <c r="Q614" s="17"/>
    </row>
    <row r="615" spans="2:17">
      <c r="B615" s="15" t="str">
        <f t="shared" si="59"/>
        <v/>
      </c>
      <c r="C615" s="16" t="str">
        <f>IFERROR(VLOOKUP(DATA!#REF!,DATA!#REF!,1,FALSE),"")</f>
        <v/>
      </c>
      <c r="D615" s="16" t="str">
        <f>IFERROR(VLOOKUP(C615,DATA!#REF!,2,FALSE),"")</f>
        <v/>
      </c>
      <c r="I615" s="17"/>
      <c r="J615" s="17"/>
      <c r="P615" s="17"/>
      <c r="Q615" s="17"/>
    </row>
    <row r="616" spans="2:17">
      <c r="B616" s="15" t="str">
        <f t="shared" si="59"/>
        <v/>
      </c>
      <c r="C616" s="16" t="str">
        <f>IFERROR(VLOOKUP(DATA!#REF!,DATA!#REF!,1,FALSE),"")</f>
        <v/>
      </c>
      <c r="D616" s="16" t="str">
        <f>IFERROR(VLOOKUP(C616,DATA!#REF!,2,FALSE),"")</f>
        <v/>
      </c>
      <c r="I616" s="17"/>
      <c r="J616" s="17"/>
      <c r="P616" s="17"/>
      <c r="Q616" s="17"/>
    </row>
    <row r="617" spans="2:17">
      <c r="B617" s="15" t="str">
        <f t="shared" si="59"/>
        <v/>
      </c>
      <c r="C617" s="16" t="str">
        <f>IFERROR(VLOOKUP(DATA!#REF!,DATA!#REF!,1,FALSE),"")</f>
        <v/>
      </c>
      <c r="D617" s="16" t="str">
        <f>IFERROR(VLOOKUP(C617,DATA!#REF!,2,FALSE),"")</f>
        <v/>
      </c>
      <c r="I617" s="17"/>
      <c r="J617" s="17"/>
      <c r="P617" s="17"/>
      <c r="Q617" s="17"/>
    </row>
    <row r="618" spans="2:17">
      <c r="B618" s="15" t="str">
        <f t="shared" si="59"/>
        <v/>
      </c>
      <c r="C618" s="16" t="str">
        <f>IFERROR(VLOOKUP(DATA!#REF!,DATA!#REF!,1,FALSE),"")</f>
        <v/>
      </c>
      <c r="D618" s="16" t="str">
        <f>IFERROR(VLOOKUP(C618,DATA!#REF!,2,FALSE),"")</f>
        <v/>
      </c>
      <c r="I618" s="17"/>
      <c r="J618" s="17"/>
      <c r="P618" s="17"/>
      <c r="Q618" s="17"/>
    </row>
    <row r="619" spans="2:17">
      <c r="B619" s="15" t="str">
        <f t="shared" si="59"/>
        <v/>
      </c>
      <c r="C619" s="16" t="str">
        <f>IFERROR(VLOOKUP(DATA!#REF!,DATA!#REF!,1,FALSE),"")</f>
        <v/>
      </c>
      <c r="D619" s="16" t="str">
        <f>IFERROR(VLOOKUP(C619,DATA!#REF!,2,FALSE),"")</f>
        <v/>
      </c>
      <c r="I619" s="17"/>
      <c r="J619" s="17"/>
      <c r="P619" s="17"/>
      <c r="Q619" s="17"/>
    </row>
    <row r="620" spans="2:17">
      <c r="B620" s="15" t="str">
        <f t="shared" si="59"/>
        <v/>
      </c>
      <c r="C620" s="16" t="str">
        <f>IFERROR(VLOOKUP(DATA!#REF!,DATA!#REF!,1,FALSE),"")</f>
        <v/>
      </c>
      <c r="D620" s="16" t="str">
        <f>IFERROR(VLOOKUP(C620,DATA!#REF!,2,FALSE),"")</f>
        <v/>
      </c>
      <c r="I620" s="17"/>
      <c r="J620" s="17"/>
      <c r="P620" s="17"/>
      <c r="Q620" s="17"/>
    </row>
    <row r="621" spans="2:17">
      <c r="B621" s="15" t="str">
        <f t="shared" si="59"/>
        <v/>
      </c>
      <c r="C621" s="16" t="str">
        <f>IFERROR(VLOOKUP(DATA!#REF!,DATA!#REF!,1,FALSE),"")</f>
        <v/>
      </c>
      <c r="D621" s="16" t="str">
        <f>IFERROR(VLOOKUP(C621,DATA!#REF!,2,FALSE),"")</f>
        <v/>
      </c>
      <c r="I621" s="17"/>
      <c r="J621" s="17"/>
      <c r="P621" s="17"/>
      <c r="Q621" s="17"/>
    </row>
    <row r="622" spans="2:17">
      <c r="B622" s="15" t="str">
        <f t="shared" si="59"/>
        <v/>
      </c>
      <c r="C622" s="16" t="str">
        <f>IFERROR(VLOOKUP(DATA!#REF!,DATA!#REF!,1,FALSE),"")</f>
        <v/>
      </c>
      <c r="D622" s="16" t="str">
        <f>IFERROR(VLOOKUP(C622,DATA!#REF!,2,FALSE),"")</f>
        <v/>
      </c>
      <c r="I622" s="17"/>
      <c r="J622" s="17"/>
      <c r="P622" s="17"/>
      <c r="Q622" s="17"/>
    </row>
    <row r="623" spans="2:17">
      <c r="B623" s="15" t="str">
        <f t="shared" si="59"/>
        <v/>
      </c>
      <c r="C623" s="16" t="str">
        <f>IFERROR(VLOOKUP(DATA!#REF!,DATA!#REF!,1,FALSE),"")</f>
        <v/>
      </c>
      <c r="D623" s="16" t="str">
        <f>IFERROR(VLOOKUP(C623,DATA!#REF!,2,FALSE),"")</f>
        <v/>
      </c>
      <c r="I623" s="17"/>
      <c r="J623" s="17"/>
      <c r="P623" s="17"/>
      <c r="Q623" s="17"/>
    </row>
    <row r="624" spans="2:17">
      <c r="B624" s="15" t="str">
        <f t="shared" si="59"/>
        <v/>
      </c>
      <c r="C624" s="16" t="str">
        <f>IFERROR(VLOOKUP(DATA!#REF!,DATA!#REF!,1,FALSE),"")</f>
        <v/>
      </c>
      <c r="D624" s="16" t="str">
        <f>IFERROR(VLOOKUP(C624,DATA!#REF!,2,FALSE),"")</f>
        <v/>
      </c>
      <c r="I624" s="17"/>
      <c r="J624" s="17"/>
      <c r="P624" s="17"/>
      <c r="Q624" s="17"/>
    </row>
    <row r="625" spans="2:17">
      <c r="B625" s="15" t="str">
        <f t="shared" si="59"/>
        <v/>
      </c>
      <c r="C625" s="16" t="str">
        <f>IFERROR(VLOOKUP(DATA!#REF!,DATA!#REF!,1,FALSE),"")</f>
        <v/>
      </c>
      <c r="D625" s="16" t="str">
        <f>IFERROR(VLOOKUP(C625,DATA!#REF!,2,FALSE),"")</f>
        <v/>
      </c>
      <c r="I625" s="17"/>
      <c r="J625" s="17"/>
      <c r="P625" s="17"/>
      <c r="Q625" s="17"/>
    </row>
    <row r="626" spans="2:17">
      <c r="B626" s="15" t="str">
        <f t="shared" si="59"/>
        <v/>
      </c>
      <c r="C626" s="16" t="str">
        <f>IFERROR(VLOOKUP(DATA!#REF!,DATA!#REF!,1,FALSE),"")</f>
        <v/>
      </c>
      <c r="D626" s="16" t="str">
        <f>IFERROR(VLOOKUP(C626,DATA!#REF!,2,FALSE),"")</f>
        <v/>
      </c>
      <c r="I626" s="17"/>
      <c r="J626" s="17"/>
      <c r="P626" s="17"/>
      <c r="Q626" s="17"/>
    </row>
    <row r="627" spans="2:17">
      <c r="B627" s="15" t="str">
        <f t="shared" si="59"/>
        <v/>
      </c>
      <c r="C627" s="16" t="str">
        <f>IFERROR(VLOOKUP(DATA!#REF!,DATA!#REF!,1,FALSE),"")</f>
        <v/>
      </c>
      <c r="D627" s="16" t="str">
        <f>IFERROR(VLOOKUP(C627,DATA!#REF!,2,FALSE),"")</f>
        <v/>
      </c>
      <c r="I627" s="17"/>
      <c r="J627" s="17"/>
      <c r="P627" s="17"/>
      <c r="Q627" s="17"/>
    </row>
    <row r="628" spans="2:17">
      <c r="B628" s="15" t="str">
        <f t="shared" si="59"/>
        <v/>
      </c>
      <c r="C628" s="16" t="str">
        <f>IFERROR(VLOOKUP(DATA!#REF!,DATA!#REF!,1,FALSE),"")</f>
        <v/>
      </c>
      <c r="D628" s="16" t="str">
        <f>IFERROR(VLOOKUP(C628,DATA!#REF!,2,FALSE),"")</f>
        <v/>
      </c>
      <c r="I628" s="17"/>
      <c r="J628" s="17"/>
      <c r="P628" s="17"/>
      <c r="Q628" s="17"/>
    </row>
    <row r="629" spans="2:17">
      <c r="B629" s="15" t="str">
        <f t="shared" si="59"/>
        <v/>
      </c>
      <c r="C629" s="16" t="str">
        <f>IFERROR(VLOOKUP(DATA!#REF!,DATA!#REF!,1,FALSE),"")</f>
        <v/>
      </c>
      <c r="D629" s="16" t="str">
        <f>IFERROR(VLOOKUP(C629,DATA!#REF!,2,FALSE),"")</f>
        <v/>
      </c>
      <c r="I629" s="17"/>
      <c r="J629" s="17"/>
      <c r="P629" s="17"/>
      <c r="Q629" s="17"/>
    </row>
    <row r="630" spans="2:17">
      <c r="B630" s="15" t="str">
        <f t="shared" si="59"/>
        <v/>
      </c>
      <c r="C630" s="16" t="str">
        <f>IFERROR(VLOOKUP(DATA!#REF!,DATA!#REF!,1,FALSE),"")</f>
        <v/>
      </c>
      <c r="D630" s="16" t="str">
        <f>IFERROR(VLOOKUP(C630,DATA!#REF!,2,FALSE),"")</f>
        <v/>
      </c>
      <c r="I630" s="17"/>
      <c r="J630" s="17"/>
      <c r="P630" s="17"/>
      <c r="Q630" s="17"/>
    </row>
    <row r="631" spans="2:17">
      <c r="B631" s="15" t="str">
        <f t="shared" ref="B631:B694" si="60">+IF(C631="","",ROW()-5)</f>
        <v/>
      </c>
      <c r="C631" s="16" t="str">
        <f>IFERROR(VLOOKUP(DATA!#REF!,DATA!#REF!,1,FALSE),"")</f>
        <v/>
      </c>
      <c r="D631" s="16" t="str">
        <f>IFERROR(VLOOKUP(C631,DATA!#REF!,2,FALSE),"")</f>
        <v/>
      </c>
      <c r="I631" s="17"/>
      <c r="J631" s="17"/>
      <c r="P631" s="17"/>
      <c r="Q631" s="17"/>
    </row>
    <row r="632" spans="2:17">
      <c r="B632" s="15" t="str">
        <f t="shared" si="60"/>
        <v/>
      </c>
      <c r="C632" s="16" t="str">
        <f>IFERROR(VLOOKUP(DATA!#REF!,DATA!#REF!,1,FALSE),"")</f>
        <v/>
      </c>
      <c r="D632" s="16" t="str">
        <f>IFERROR(VLOOKUP(C632,DATA!#REF!,2,FALSE),"")</f>
        <v/>
      </c>
      <c r="I632" s="17"/>
      <c r="J632" s="17"/>
      <c r="P632" s="17"/>
      <c r="Q632" s="17"/>
    </row>
    <row r="633" spans="2:17">
      <c r="B633" s="15" t="str">
        <f t="shared" si="60"/>
        <v/>
      </c>
      <c r="C633" s="16" t="str">
        <f>IFERROR(VLOOKUP(DATA!#REF!,DATA!#REF!,1,FALSE),"")</f>
        <v/>
      </c>
      <c r="D633" s="16" t="str">
        <f>IFERROR(VLOOKUP(C633,DATA!#REF!,2,FALSE),"")</f>
        <v/>
      </c>
      <c r="I633" s="17"/>
      <c r="J633" s="17"/>
      <c r="P633" s="17"/>
      <c r="Q633" s="17"/>
    </row>
    <row r="634" spans="2:17">
      <c r="B634" s="15" t="str">
        <f t="shared" si="60"/>
        <v/>
      </c>
      <c r="C634" s="16" t="str">
        <f>IFERROR(VLOOKUP(DATA!#REF!,DATA!#REF!,1,FALSE),"")</f>
        <v/>
      </c>
      <c r="D634" s="16" t="str">
        <f>IFERROR(VLOOKUP(C634,DATA!#REF!,2,FALSE),"")</f>
        <v/>
      </c>
      <c r="I634" s="17"/>
      <c r="J634" s="17"/>
      <c r="P634" s="17"/>
      <c r="Q634" s="17"/>
    </row>
    <row r="635" spans="2:17">
      <c r="B635" s="15" t="str">
        <f t="shared" si="60"/>
        <v/>
      </c>
      <c r="C635" s="16" t="str">
        <f>IFERROR(VLOOKUP(DATA!#REF!,DATA!#REF!,1,FALSE),"")</f>
        <v/>
      </c>
      <c r="D635" s="16" t="str">
        <f>IFERROR(VLOOKUP(C635,DATA!#REF!,2,FALSE),"")</f>
        <v/>
      </c>
      <c r="I635" s="17"/>
      <c r="J635" s="17"/>
      <c r="P635" s="17"/>
      <c r="Q635" s="17"/>
    </row>
    <row r="636" spans="2:17">
      <c r="B636" s="15" t="str">
        <f t="shared" si="60"/>
        <v/>
      </c>
      <c r="C636" s="16" t="str">
        <f>IFERROR(VLOOKUP(DATA!#REF!,DATA!#REF!,1,FALSE),"")</f>
        <v/>
      </c>
      <c r="D636" s="16" t="str">
        <f>IFERROR(VLOOKUP(C636,DATA!#REF!,2,FALSE),"")</f>
        <v/>
      </c>
      <c r="I636" s="17"/>
      <c r="J636" s="17"/>
      <c r="P636" s="17"/>
      <c r="Q636" s="17"/>
    </row>
    <row r="637" spans="2:17">
      <c r="B637" s="15" t="str">
        <f t="shared" si="60"/>
        <v/>
      </c>
      <c r="C637" s="16" t="str">
        <f>IFERROR(VLOOKUP(DATA!#REF!,DATA!#REF!,1,FALSE),"")</f>
        <v/>
      </c>
      <c r="D637" s="16" t="str">
        <f>IFERROR(VLOOKUP(C637,DATA!#REF!,2,FALSE),"")</f>
        <v/>
      </c>
      <c r="I637" s="17"/>
      <c r="J637" s="17"/>
      <c r="P637" s="17"/>
      <c r="Q637" s="17"/>
    </row>
    <row r="638" spans="2:17">
      <c r="B638" s="15" t="str">
        <f t="shared" si="60"/>
        <v/>
      </c>
      <c r="C638" s="16" t="str">
        <f>IFERROR(VLOOKUP(DATA!#REF!,DATA!#REF!,1,FALSE),"")</f>
        <v/>
      </c>
      <c r="D638" s="16" t="str">
        <f>IFERROR(VLOOKUP(C638,DATA!#REF!,2,FALSE),"")</f>
        <v/>
      </c>
      <c r="I638" s="17"/>
      <c r="J638" s="17"/>
      <c r="P638" s="17"/>
      <c r="Q638" s="17"/>
    </row>
    <row r="639" spans="2:17">
      <c r="B639" s="15" t="str">
        <f t="shared" si="60"/>
        <v/>
      </c>
      <c r="C639" s="16" t="str">
        <f>IFERROR(VLOOKUP(DATA!#REF!,DATA!#REF!,1,FALSE),"")</f>
        <v/>
      </c>
      <c r="D639" s="16" t="str">
        <f>IFERROR(VLOOKUP(C639,DATA!#REF!,2,FALSE),"")</f>
        <v/>
      </c>
      <c r="I639" s="17"/>
      <c r="J639" s="17"/>
      <c r="P639" s="17"/>
      <c r="Q639" s="17"/>
    </row>
    <row r="640" spans="2:17">
      <c r="B640" s="15" t="str">
        <f t="shared" si="60"/>
        <v/>
      </c>
      <c r="C640" s="16" t="str">
        <f>IFERROR(VLOOKUP(DATA!#REF!,DATA!#REF!,1,FALSE),"")</f>
        <v/>
      </c>
      <c r="D640" s="16" t="str">
        <f>IFERROR(VLOOKUP(C640,DATA!#REF!,2,FALSE),"")</f>
        <v/>
      </c>
      <c r="I640" s="17"/>
      <c r="J640" s="17"/>
      <c r="P640" s="17"/>
      <c r="Q640" s="17"/>
    </row>
    <row r="641" spans="2:17">
      <c r="B641" s="15" t="str">
        <f t="shared" si="60"/>
        <v/>
      </c>
      <c r="C641" s="16" t="str">
        <f>IFERROR(VLOOKUP(DATA!#REF!,DATA!#REF!,1,FALSE),"")</f>
        <v/>
      </c>
      <c r="D641" s="16" t="str">
        <f>IFERROR(VLOOKUP(C641,DATA!#REF!,2,FALSE),"")</f>
        <v/>
      </c>
      <c r="I641" s="17"/>
      <c r="J641" s="17"/>
      <c r="P641" s="17"/>
      <c r="Q641" s="17"/>
    </row>
    <row r="642" spans="2:17">
      <c r="B642" s="15" t="str">
        <f t="shared" si="60"/>
        <v/>
      </c>
      <c r="C642" s="16" t="str">
        <f>IFERROR(VLOOKUP(DATA!#REF!,DATA!#REF!,1,FALSE),"")</f>
        <v/>
      </c>
      <c r="D642" s="16" t="str">
        <f>IFERROR(VLOOKUP(C642,DATA!#REF!,2,FALSE),"")</f>
        <v/>
      </c>
      <c r="I642" s="17"/>
      <c r="J642" s="17"/>
      <c r="P642" s="17"/>
      <c r="Q642" s="17"/>
    </row>
    <row r="643" spans="2:17">
      <c r="B643" s="15" t="str">
        <f t="shared" si="60"/>
        <v/>
      </c>
      <c r="C643" s="16" t="str">
        <f>IFERROR(VLOOKUP(DATA!#REF!,DATA!#REF!,1,FALSE),"")</f>
        <v/>
      </c>
      <c r="D643" s="16" t="str">
        <f>IFERROR(VLOOKUP(C643,DATA!#REF!,2,FALSE),"")</f>
        <v/>
      </c>
      <c r="I643" s="17"/>
      <c r="J643" s="17"/>
      <c r="P643" s="17"/>
      <c r="Q643" s="17"/>
    </row>
    <row r="644" spans="2:17">
      <c r="B644" s="15" t="str">
        <f t="shared" si="60"/>
        <v/>
      </c>
      <c r="C644" s="16" t="str">
        <f>IFERROR(VLOOKUP(DATA!#REF!,DATA!#REF!,1,FALSE),"")</f>
        <v/>
      </c>
      <c r="D644" s="16" t="str">
        <f>IFERROR(VLOOKUP(C644,DATA!#REF!,2,FALSE),"")</f>
        <v/>
      </c>
      <c r="I644" s="17"/>
      <c r="J644" s="17"/>
      <c r="P644" s="17"/>
      <c r="Q644" s="17"/>
    </row>
    <row r="645" spans="2:17">
      <c r="B645" s="15" t="str">
        <f t="shared" si="60"/>
        <v/>
      </c>
      <c r="C645" s="16" t="str">
        <f>IFERROR(VLOOKUP(DATA!#REF!,DATA!#REF!,1,FALSE),"")</f>
        <v/>
      </c>
      <c r="D645" s="16" t="str">
        <f>IFERROR(VLOOKUP(C645,DATA!#REF!,2,FALSE),"")</f>
        <v/>
      </c>
      <c r="I645" s="17"/>
      <c r="J645" s="17"/>
      <c r="P645" s="17"/>
      <c r="Q645" s="17"/>
    </row>
    <row r="646" spans="2:17">
      <c r="B646" s="15" t="str">
        <f t="shared" si="60"/>
        <v/>
      </c>
      <c r="C646" s="16" t="str">
        <f>IFERROR(VLOOKUP(DATA!#REF!,DATA!#REF!,1,FALSE),"")</f>
        <v/>
      </c>
      <c r="D646" s="16" t="str">
        <f>IFERROR(VLOOKUP(C646,DATA!#REF!,2,FALSE),"")</f>
        <v/>
      </c>
      <c r="I646" s="17"/>
      <c r="J646" s="17"/>
      <c r="P646" s="17"/>
      <c r="Q646" s="17"/>
    </row>
    <row r="647" spans="2:17">
      <c r="B647" s="15" t="str">
        <f t="shared" si="60"/>
        <v/>
      </c>
      <c r="C647" s="16" t="str">
        <f>IFERROR(VLOOKUP(DATA!#REF!,DATA!#REF!,1,FALSE),"")</f>
        <v/>
      </c>
      <c r="D647" s="16" t="str">
        <f>IFERROR(VLOOKUP(C647,DATA!#REF!,2,FALSE),"")</f>
        <v/>
      </c>
      <c r="I647" s="17"/>
      <c r="J647" s="17"/>
      <c r="P647" s="17"/>
      <c r="Q647" s="17"/>
    </row>
    <row r="648" spans="2:17">
      <c r="B648" s="15" t="str">
        <f t="shared" si="60"/>
        <v/>
      </c>
      <c r="C648" s="16" t="str">
        <f>IFERROR(VLOOKUP(DATA!#REF!,DATA!#REF!,1,FALSE),"")</f>
        <v/>
      </c>
      <c r="D648" s="16" t="str">
        <f>IFERROR(VLOOKUP(C648,DATA!#REF!,2,FALSE),"")</f>
        <v/>
      </c>
      <c r="I648" s="17"/>
      <c r="J648" s="17"/>
      <c r="P648" s="17"/>
      <c r="Q648" s="17"/>
    </row>
    <row r="649" spans="2:17">
      <c r="B649" s="15" t="str">
        <f t="shared" si="60"/>
        <v/>
      </c>
      <c r="C649" s="16" t="str">
        <f>IFERROR(VLOOKUP(DATA!#REF!,DATA!#REF!,1,FALSE),"")</f>
        <v/>
      </c>
      <c r="D649" s="16" t="str">
        <f>IFERROR(VLOOKUP(C649,DATA!#REF!,2,FALSE),"")</f>
        <v/>
      </c>
      <c r="I649" s="17"/>
      <c r="J649" s="17"/>
      <c r="P649" s="17"/>
      <c r="Q649" s="17"/>
    </row>
    <row r="650" spans="2:17">
      <c r="B650" s="15" t="str">
        <f t="shared" si="60"/>
        <v/>
      </c>
      <c r="C650" s="16" t="str">
        <f>IFERROR(VLOOKUP(DATA!#REF!,DATA!#REF!,1,FALSE),"")</f>
        <v/>
      </c>
      <c r="D650" s="16" t="str">
        <f>IFERROR(VLOOKUP(C650,DATA!#REF!,2,FALSE),"")</f>
        <v/>
      </c>
      <c r="I650" s="17"/>
      <c r="J650" s="17"/>
      <c r="P650" s="17"/>
      <c r="Q650" s="17"/>
    </row>
    <row r="651" spans="2:17">
      <c r="B651" s="15" t="str">
        <f t="shared" si="60"/>
        <v/>
      </c>
      <c r="C651" s="16" t="str">
        <f>IFERROR(VLOOKUP(DATA!#REF!,DATA!#REF!,1,FALSE),"")</f>
        <v/>
      </c>
      <c r="D651" s="16" t="str">
        <f>IFERROR(VLOOKUP(C651,DATA!#REF!,2,FALSE),"")</f>
        <v/>
      </c>
      <c r="I651" s="17"/>
      <c r="J651" s="17"/>
      <c r="P651" s="17"/>
      <c r="Q651" s="17"/>
    </row>
    <row r="652" spans="2:17">
      <c r="B652" s="15" t="str">
        <f t="shared" si="60"/>
        <v/>
      </c>
      <c r="C652" s="16" t="str">
        <f>IFERROR(VLOOKUP(DATA!#REF!,DATA!#REF!,1,FALSE),"")</f>
        <v/>
      </c>
      <c r="D652" s="16" t="str">
        <f>IFERROR(VLOOKUP(C652,DATA!#REF!,2,FALSE),"")</f>
        <v/>
      </c>
      <c r="I652" s="17"/>
      <c r="J652" s="17"/>
      <c r="P652" s="17"/>
      <c r="Q652" s="17"/>
    </row>
    <row r="653" spans="2:17">
      <c r="B653" s="15" t="str">
        <f t="shared" si="60"/>
        <v/>
      </c>
      <c r="C653" s="16" t="str">
        <f>IFERROR(VLOOKUP(DATA!#REF!,DATA!#REF!,1,FALSE),"")</f>
        <v/>
      </c>
      <c r="D653" s="16" t="str">
        <f>IFERROR(VLOOKUP(C653,DATA!#REF!,2,FALSE),"")</f>
        <v/>
      </c>
      <c r="I653" s="17"/>
      <c r="J653" s="17"/>
      <c r="P653" s="17"/>
      <c r="Q653" s="17"/>
    </row>
    <row r="654" spans="2:17">
      <c r="B654" s="15" t="str">
        <f t="shared" si="60"/>
        <v/>
      </c>
      <c r="C654" s="16" t="str">
        <f>IFERROR(VLOOKUP(DATA!#REF!,DATA!#REF!,1,FALSE),"")</f>
        <v/>
      </c>
      <c r="D654" s="16" t="str">
        <f>IFERROR(VLOOKUP(C654,DATA!#REF!,2,FALSE),"")</f>
        <v/>
      </c>
      <c r="I654" s="17"/>
      <c r="J654" s="17"/>
      <c r="P654" s="17"/>
      <c r="Q654" s="17"/>
    </row>
    <row r="655" spans="2:17">
      <c r="B655" s="15" t="str">
        <f t="shared" si="60"/>
        <v/>
      </c>
      <c r="C655" s="16" t="str">
        <f>IFERROR(VLOOKUP(DATA!#REF!,DATA!#REF!,1,FALSE),"")</f>
        <v/>
      </c>
      <c r="D655" s="16" t="str">
        <f>IFERROR(VLOOKUP(C655,DATA!#REF!,2,FALSE),"")</f>
        <v/>
      </c>
      <c r="I655" s="17"/>
      <c r="J655" s="17"/>
      <c r="P655" s="17"/>
      <c r="Q655" s="17"/>
    </row>
    <row r="656" spans="2:17">
      <c r="B656" s="15" t="str">
        <f t="shared" si="60"/>
        <v/>
      </c>
      <c r="C656" s="16" t="str">
        <f>IFERROR(VLOOKUP(DATA!#REF!,DATA!#REF!,1,FALSE),"")</f>
        <v/>
      </c>
      <c r="D656" s="16" t="str">
        <f>IFERROR(VLOOKUP(C656,DATA!#REF!,2,FALSE),"")</f>
        <v/>
      </c>
      <c r="I656" s="17"/>
      <c r="J656" s="17"/>
      <c r="P656" s="17"/>
      <c r="Q656" s="17"/>
    </row>
    <row r="657" spans="2:17">
      <c r="B657" s="15" t="str">
        <f t="shared" si="60"/>
        <v/>
      </c>
      <c r="C657" s="16" t="str">
        <f>IFERROR(VLOOKUP(DATA!#REF!,DATA!#REF!,1,FALSE),"")</f>
        <v/>
      </c>
      <c r="D657" s="16" t="str">
        <f>IFERROR(VLOOKUP(C657,DATA!#REF!,2,FALSE),"")</f>
        <v/>
      </c>
      <c r="I657" s="17"/>
      <c r="J657" s="17"/>
      <c r="P657" s="17"/>
      <c r="Q657" s="17"/>
    </row>
    <row r="658" spans="2:17">
      <c r="B658" s="15" t="str">
        <f t="shared" si="60"/>
        <v/>
      </c>
      <c r="C658" s="16" t="str">
        <f>IFERROR(VLOOKUP(DATA!#REF!,DATA!#REF!,1,FALSE),"")</f>
        <v/>
      </c>
      <c r="D658" s="16" t="str">
        <f>IFERROR(VLOOKUP(C658,DATA!#REF!,2,FALSE),"")</f>
        <v/>
      </c>
      <c r="I658" s="17"/>
      <c r="J658" s="17"/>
      <c r="P658" s="17"/>
      <c r="Q658" s="17"/>
    </row>
    <row r="659" spans="2:17">
      <c r="B659" s="15" t="str">
        <f t="shared" si="60"/>
        <v/>
      </c>
      <c r="C659" s="16" t="str">
        <f>IFERROR(VLOOKUP(DATA!#REF!,DATA!#REF!,1,FALSE),"")</f>
        <v/>
      </c>
      <c r="D659" s="16" t="str">
        <f>IFERROR(VLOOKUP(C659,DATA!#REF!,2,FALSE),"")</f>
        <v/>
      </c>
      <c r="I659" s="17"/>
      <c r="J659" s="17"/>
      <c r="P659" s="17"/>
      <c r="Q659" s="17"/>
    </row>
    <row r="660" spans="2:17">
      <c r="B660" s="15" t="str">
        <f t="shared" si="60"/>
        <v/>
      </c>
      <c r="C660" s="16" t="str">
        <f>IFERROR(VLOOKUP(DATA!#REF!,DATA!#REF!,1,FALSE),"")</f>
        <v/>
      </c>
      <c r="D660" s="16" t="str">
        <f>IFERROR(VLOOKUP(C660,DATA!#REF!,2,FALSE),"")</f>
        <v/>
      </c>
      <c r="I660" s="17"/>
      <c r="J660" s="17"/>
      <c r="P660" s="17"/>
      <c r="Q660" s="17"/>
    </row>
    <row r="661" spans="2:17">
      <c r="B661" s="15" t="str">
        <f t="shared" si="60"/>
        <v/>
      </c>
      <c r="C661" s="16" t="str">
        <f>IFERROR(VLOOKUP(DATA!#REF!,DATA!#REF!,1,FALSE),"")</f>
        <v/>
      </c>
      <c r="D661" s="16" t="str">
        <f>IFERROR(VLOOKUP(C661,DATA!#REF!,2,FALSE),"")</f>
        <v/>
      </c>
      <c r="I661" s="17"/>
      <c r="J661" s="17"/>
      <c r="P661" s="17"/>
      <c r="Q661" s="17"/>
    </row>
    <row r="662" spans="2:17">
      <c r="B662" s="15" t="str">
        <f t="shared" si="60"/>
        <v/>
      </c>
      <c r="C662" s="16" t="str">
        <f>IFERROR(VLOOKUP(DATA!#REF!,DATA!#REF!,1,FALSE),"")</f>
        <v/>
      </c>
      <c r="D662" s="16" t="str">
        <f>IFERROR(VLOOKUP(C662,DATA!#REF!,2,FALSE),"")</f>
        <v/>
      </c>
      <c r="I662" s="17"/>
      <c r="J662" s="17"/>
      <c r="P662" s="17"/>
      <c r="Q662" s="17"/>
    </row>
    <row r="663" spans="2:17">
      <c r="B663" s="15" t="str">
        <f t="shared" si="60"/>
        <v/>
      </c>
      <c r="C663" s="16" t="str">
        <f>IFERROR(VLOOKUP(DATA!#REF!,DATA!#REF!,1,FALSE),"")</f>
        <v/>
      </c>
      <c r="D663" s="16" t="str">
        <f>IFERROR(VLOOKUP(C663,DATA!#REF!,2,FALSE),"")</f>
        <v/>
      </c>
      <c r="I663" s="17"/>
      <c r="J663" s="17"/>
      <c r="P663" s="17"/>
      <c r="Q663" s="17"/>
    </row>
    <row r="664" spans="2:17">
      <c r="B664" s="15" t="str">
        <f t="shared" si="60"/>
        <v/>
      </c>
      <c r="C664" s="16" t="str">
        <f>IFERROR(VLOOKUP(DATA!#REF!,DATA!#REF!,1,FALSE),"")</f>
        <v/>
      </c>
      <c r="D664" s="16" t="str">
        <f>IFERROR(VLOOKUP(C664,DATA!#REF!,2,FALSE),"")</f>
        <v/>
      </c>
      <c r="I664" s="17"/>
      <c r="J664" s="17"/>
      <c r="P664" s="17"/>
      <c r="Q664" s="17"/>
    </row>
    <row r="665" spans="2:17">
      <c r="B665" s="15" t="str">
        <f t="shared" si="60"/>
        <v/>
      </c>
      <c r="C665" s="16" t="str">
        <f>IFERROR(VLOOKUP(DATA!#REF!,DATA!#REF!,1,FALSE),"")</f>
        <v/>
      </c>
      <c r="D665" s="16" t="str">
        <f>IFERROR(VLOOKUP(C665,DATA!#REF!,2,FALSE),"")</f>
        <v/>
      </c>
      <c r="I665" s="17"/>
      <c r="J665" s="17"/>
      <c r="P665" s="17"/>
      <c r="Q665" s="17"/>
    </row>
    <row r="666" spans="2:17">
      <c r="B666" s="15" t="str">
        <f t="shared" si="60"/>
        <v/>
      </c>
      <c r="C666" s="16" t="str">
        <f>IFERROR(VLOOKUP(DATA!#REF!,DATA!#REF!,1,FALSE),"")</f>
        <v/>
      </c>
      <c r="D666" s="16" t="str">
        <f>IFERROR(VLOOKUP(C666,DATA!#REF!,2,FALSE),"")</f>
        <v/>
      </c>
      <c r="I666" s="17"/>
      <c r="J666" s="17"/>
      <c r="P666" s="17"/>
      <c r="Q666" s="17"/>
    </row>
    <row r="667" spans="2:17">
      <c r="B667" s="15" t="str">
        <f t="shared" si="60"/>
        <v/>
      </c>
      <c r="C667" s="16" t="str">
        <f>IFERROR(VLOOKUP(DATA!#REF!,DATA!#REF!,1,FALSE),"")</f>
        <v/>
      </c>
      <c r="D667" s="16" t="str">
        <f>IFERROR(VLOOKUP(C667,DATA!#REF!,2,FALSE),"")</f>
        <v/>
      </c>
      <c r="I667" s="17"/>
      <c r="J667" s="17"/>
      <c r="P667" s="17"/>
      <c r="Q667" s="17"/>
    </row>
    <row r="668" spans="2:17">
      <c r="B668" s="15" t="str">
        <f t="shared" si="60"/>
        <v/>
      </c>
      <c r="C668" s="16" t="str">
        <f>IFERROR(VLOOKUP(DATA!#REF!,DATA!#REF!,1,FALSE),"")</f>
        <v/>
      </c>
      <c r="D668" s="16" t="str">
        <f>IFERROR(VLOOKUP(C668,DATA!#REF!,2,FALSE),"")</f>
        <v/>
      </c>
      <c r="I668" s="17"/>
      <c r="J668" s="17"/>
      <c r="P668" s="17"/>
      <c r="Q668" s="17"/>
    </row>
    <row r="669" spans="2:17">
      <c r="B669" s="15" t="str">
        <f t="shared" si="60"/>
        <v/>
      </c>
      <c r="C669" s="16" t="str">
        <f>IFERROR(VLOOKUP(DATA!#REF!,DATA!#REF!,1,FALSE),"")</f>
        <v/>
      </c>
      <c r="D669" s="16" t="str">
        <f>IFERROR(VLOOKUP(C669,DATA!#REF!,2,FALSE),"")</f>
        <v/>
      </c>
      <c r="I669" s="17"/>
      <c r="J669" s="17"/>
      <c r="P669" s="17"/>
      <c r="Q669" s="17"/>
    </row>
    <row r="670" spans="2:17">
      <c r="B670" s="15" t="str">
        <f t="shared" si="60"/>
        <v/>
      </c>
      <c r="C670" s="16" t="str">
        <f>IFERROR(VLOOKUP(DATA!#REF!,DATA!#REF!,1,FALSE),"")</f>
        <v/>
      </c>
      <c r="D670" s="16" t="str">
        <f>IFERROR(VLOOKUP(C670,DATA!#REF!,2,FALSE),"")</f>
        <v/>
      </c>
      <c r="I670" s="17"/>
      <c r="J670" s="17"/>
      <c r="P670" s="17"/>
      <c r="Q670" s="17"/>
    </row>
    <row r="671" spans="2:17">
      <c r="B671" s="15" t="str">
        <f t="shared" si="60"/>
        <v/>
      </c>
      <c r="C671" s="16" t="str">
        <f>IFERROR(VLOOKUP(DATA!#REF!,DATA!#REF!,1,FALSE),"")</f>
        <v/>
      </c>
      <c r="D671" s="16" t="str">
        <f>IFERROR(VLOOKUP(C671,DATA!#REF!,2,FALSE),"")</f>
        <v/>
      </c>
      <c r="I671" s="17"/>
      <c r="J671" s="17"/>
      <c r="P671" s="17"/>
      <c r="Q671" s="17"/>
    </row>
    <row r="672" spans="2:17">
      <c r="B672" s="15" t="str">
        <f t="shared" si="60"/>
        <v/>
      </c>
      <c r="C672" s="16" t="str">
        <f>IFERROR(VLOOKUP(DATA!#REF!,DATA!#REF!,1,FALSE),"")</f>
        <v/>
      </c>
      <c r="D672" s="16" t="str">
        <f>IFERROR(VLOOKUP(C672,DATA!#REF!,2,FALSE),"")</f>
        <v/>
      </c>
      <c r="I672" s="17"/>
      <c r="J672" s="17"/>
      <c r="P672" s="17"/>
      <c r="Q672" s="17"/>
    </row>
    <row r="673" spans="2:17">
      <c r="B673" s="15" t="str">
        <f t="shared" si="60"/>
        <v/>
      </c>
      <c r="C673" s="16" t="str">
        <f>IFERROR(VLOOKUP(DATA!#REF!,DATA!#REF!,1,FALSE),"")</f>
        <v/>
      </c>
      <c r="D673" s="16" t="str">
        <f>IFERROR(VLOOKUP(C673,DATA!#REF!,2,FALSE),"")</f>
        <v/>
      </c>
      <c r="I673" s="17"/>
      <c r="J673" s="17"/>
      <c r="P673" s="17"/>
      <c r="Q673" s="17"/>
    </row>
    <row r="674" spans="2:17">
      <c r="B674" s="15" t="str">
        <f t="shared" si="60"/>
        <v/>
      </c>
      <c r="C674" s="16" t="str">
        <f>IFERROR(VLOOKUP(DATA!#REF!,DATA!#REF!,1,FALSE),"")</f>
        <v/>
      </c>
      <c r="D674" s="16" t="str">
        <f>IFERROR(VLOOKUP(C674,DATA!#REF!,2,FALSE),"")</f>
        <v/>
      </c>
      <c r="I674" s="17"/>
      <c r="J674" s="17"/>
      <c r="P674" s="17"/>
      <c r="Q674" s="17"/>
    </row>
    <row r="675" spans="2:17">
      <c r="B675" s="15" t="str">
        <f t="shared" si="60"/>
        <v/>
      </c>
      <c r="C675" s="16" t="str">
        <f>IFERROR(VLOOKUP(DATA!#REF!,DATA!#REF!,1,FALSE),"")</f>
        <v/>
      </c>
      <c r="D675" s="16" t="str">
        <f>IFERROR(VLOOKUP(C675,DATA!#REF!,2,FALSE),"")</f>
        <v/>
      </c>
      <c r="I675" s="17"/>
      <c r="J675" s="17"/>
      <c r="P675" s="17"/>
      <c r="Q675" s="17"/>
    </row>
    <row r="676" spans="2:17">
      <c r="B676" s="15" t="str">
        <f t="shared" si="60"/>
        <v/>
      </c>
      <c r="C676" s="16" t="str">
        <f>IFERROR(VLOOKUP(DATA!#REF!,DATA!#REF!,1,FALSE),"")</f>
        <v/>
      </c>
      <c r="D676" s="16" t="str">
        <f>IFERROR(VLOOKUP(C676,DATA!#REF!,2,FALSE),"")</f>
        <v/>
      </c>
      <c r="I676" s="17"/>
      <c r="J676" s="17"/>
      <c r="P676" s="17"/>
      <c r="Q676" s="17"/>
    </row>
    <row r="677" spans="2:17">
      <c r="B677" s="15" t="str">
        <f t="shared" si="60"/>
        <v/>
      </c>
      <c r="C677" s="16" t="str">
        <f>IFERROR(VLOOKUP(DATA!#REF!,DATA!#REF!,1,FALSE),"")</f>
        <v/>
      </c>
      <c r="D677" s="16" t="str">
        <f>IFERROR(VLOOKUP(C677,DATA!#REF!,2,FALSE),"")</f>
        <v/>
      </c>
      <c r="I677" s="17"/>
      <c r="J677" s="17"/>
      <c r="P677" s="17"/>
      <c r="Q677" s="17"/>
    </row>
    <row r="678" spans="2:17">
      <c r="B678" s="15" t="str">
        <f t="shared" si="60"/>
        <v/>
      </c>
      <c r="C678" s="16" t="str">
        <f>IFERROR(VLOOKUP(DATA!#REF!,DATA!#REF!,1,FALSE),"")</f>
        <v/>
      </c>
      <c r="D678" s="16" t="str">
        <f>IFERROR(VLOOKUP(C678,DATA!#REF!,2,FALSE),"")</f>
        <v/>
      </c>
      <c r="I678" s="17"/>
      <c r="J678" s="17"/>
      <c r="P678" s="17"/>
      <c r="Q678" s="17"/>
    </row>
    <row r="679" spans="2:17">
      <c r="B679" s="15" t="str">
        <f t="shared" si="60"/>
        <v/>
      </c>
      <c r="C679" s="16" t="str">
        <f>IFERROR(VLOOKUP(DATA!#REF!,DATA!#REF!,1,FALSE),"")</f>
        <v/>
      </c>
      <c r="D679" s="16" t="str">
        <f>IFERROR(VLOOKUP(C679,DATA!#REF!,2,FALSE),"")</f>
        <v/>
      </c>
      <c r="I679" s="17"/>
      <c r="J679" s="17"/>
      <c r="P679" s="17"/>
      <c r="Q679" s="17"/>
    </row>
    <row r="680" spans="2:17">
      <c r="B680" s="15" t="str">
        <f t="shared" si="60"/>
        <v/>
      </c>
      <c r="C680" s="16" t="str">
        <f>IFERROR(VLOOKUP(DATA!#REF!,DATA!#REF!,1,FALSE),"")</f>
        <v/>
      </c>
      <c r="D680" s="16" t="str">
        <f>IFERROR(VLOOKUP(C680,DATA!#REF!,2,FALSE),"")</f>
        <v/>
      </c>
      <c r="I680" s="17"/>
      <c r="J680" s="17"/>
      <c r="P680" s="17"/>
      <c r="Q680" s="17"/>
    </row>
    <row r="681" spans="2:17">
      <c r="B681" s="15" t="str">
        <f t="shared" si="60"/>
        <v/>
      </c>
      <c r="C681" s="16" t="str">
        <f>IFERROR(VLOOKUP(DATA!#REF!,DATA!#REF!,1,FALSE),"")</f>
        <v/>
      </c>
      <c r="D681" s="16" t="str">
        <f>IFERROR(VLOOKUP(C681,DATA!#REF!,2,FALSE),"")</f>
        <v/>
      </c>
      <c r="I681" s="17"/>
      <c r="J681" s="17"/>
      <c r="P681" s="17"/>
      <c r="Q681" s="17"/>
    </row>
    <row r="682" spans="2:17">
      <c r="B682" s="15" t="str">
        <f t="shared" si="60"/>
        <v/>
      </c>
      <c r="C682" s="16" t="str">
        <f>IFERROR(VLOOKUP(DATA!#REF!,DATA!#REF!,1,FALSE),"")</f>
        <v/>
      </c>
      <c r="D682" s="16" t="str">
        <f>IFERROR(VLOOKUP(C682,DATA!#REF!,2,FALSE),"")</f>
        <v/>
      </c>
      <c r="I682" s="17"/>
      <c r="J682" s="17"/>
      <c r="P682" s="17"/>
      <c r="Q682" s="17"/>
    </row>
    <row r="683" spans="2:17">
      <c r="B683" s="15" t="str">
        <f t="shared" si="60"/>
        <v/>
      </c>
      <c r="C683" s="16" t="str">
        <f>IFERROR(VLOOKUP(DATA!#REF!,DATA!#REF!,1,FALSE),"")</f>
        <v/>
      </c>
      <c r="D683" s="16" t="str">
        <f>IFERROR(VLOOKUP(C683,DATA!#REF!,2,FALSE),"")</f>
        <v/>
      </c>
      <c r="I683" s="17"/>
      <c r="J683" s="17"/>
      <c r="P683" s="17"/>
      <c r="Q683" s="17"/>
    </row>
    <row r="684" spans="2:17">
      <c r="B684" s="15" t="str">
        <f t="shared" si="60"/>
        <v/>
      </c>
      <c r="C684" s="16" t="str">
        <f>IFERROR(VLOOKUP(DATA!#REF!,DATA!#REF!,1,FALSE),"")</f>
        <v/>
      </c>
      <c r="D684" s="16" t="str">
        <f>IFERROR(VLOOKUP(C684,DATA!#REF!,2,FALSE),"")</f>
        <v/>
      </c>
      <c r="I684" s="17"/>
      <c r="J684" s="17"/>
      <c r="P684" s="17"/>
      <c r="Q684" s="17"/>
    </row>
    <row r="685" spans="2:17">
      <c r="B685" s="15" t="str">
        <f t="shared" si="60"/>
        <v/>
      </c>
      <c r="C685" s="16" t="str">
        <f>IFERROR(VLOOKUP(DATA!#REF!,DATA!#REF!,1,FALSE),"")</f>
        <v/>
      </c>
      <c r="D685" s="16" t="str">
        <f>IFERROR(VLOOKUP(C685,DATA!#REF!,2,FALSE),"")</f>
        <v/>
      </c>
      <c r="I685" s="17"/>
      <c r="J685" s="17"/>
      <c r="P685" s="17"/>
      <c r="Q685" s="17"/>
    </row>
    <row r="686" spans="2:17">
      <c r="B686" s="15" t="str">
        <f t="shared" si="60"/>
        <v/>
      </c>
      <c r="C686" s="16" t="str">
        <f>IFERROR(VLOOKUP(DATA!#REF!,DATA!#REF!,1,FALSE),"")</f>
        <v/>
      </c>
      <c r="D686" s="16" t="str">
        <f>IFERROR(VLOOKUP(C686,DATA!#REF!,2,FALSE),"")</f>
        <v/>
      </c>
      <c r="I686" s="17"/>
      <c r="J686" s="17"/>
      <c r="P686" s="17"/>
      <c r="Q686" s="17"/>
    </row>
    <row r="687" spans="2:17">
      <c r="B687" s="15" t="str">
        <f t="shared" si="60"/>
        <v/>
      </c>
      <c r="C687" s="16" t="str">
        <f>IFERROR(VLOOKUP(DATA!#REF!,DATA!#REF!,1,FALSE),"")</f>
        <v/>
      </c>
      <c r="D687" s="16" t="str">
        <f>IFERROR(VLOOKUP(C687,DATA!#REF!,2,FALSE),"")</f>
        <v/>
      </c>
      <c r="I687" s="17"/>
      <c r="J687" s="17"/>
      <c r="P687" s="17"/>
      <c r="Q687" s="17"/>
    </row>
    <row r="688" spans="2:17">
      <c r="B688" s="15" t="str">
        <f t="shared" si="60"/>
        <v/>
      </c>
      <c r="C688" s="16" t="str">
        <f>IFERROR(VLOOKUP(DATA!#REF!,DATA!#REF!,1,FALSE),"")</f>
        <v/>
      </c>
      <c r="D688" s="16" t="str">
        <f>IFERROR(VLOOKUP(C688,DATA!#REF!,2,FALSE),"")</f>
        <v/>
      </c>
      <c r="I688" s="17"/>
      <c r="J688" s="17"/>
      <c r="P688" s="17"/>
      <c r="Q688" s="17"/>
    </row>
    <row r="689" spans="2:17">
      <c r="B689" s="15" t="str">
        <f t="shared" si="60"/>
        <v/>
      </c>
      <c r="C689" s="16" t="str">
        <f>IFERROR(VLOOKUP(DATA!#REF!,DATA!#REF!,1,FALSE),"")</f>
        <v/>
      </c>
      <c r="D689" s="16" t="str">
        <f>IFERROR(VLOOKUP(C689,DATA!#REF!,2,FALSE),"")</f>
        <v/>
      </c>
      <c r="I689" s="17"/>
      <c r="J689" s="17"/>
      <c r="P689" s="17"/>
      <c r="Q689" s="17"/>
    </row>
    <row r="690" spans="2:17">
      <c r="B690" s="15" t="str">
        <f t="shared" si="60"/>
        <v/>
      </c>
      <c r="C690" s="16" t="str">
        <f>IFERROR(VLOOKUP(DATA!#REF!,DATA!#REF!,1,FALSE),"")</f>
        <v/>
      </c>
      <c r="D690" s="16" t="str">
        <f>IFERROR(VLOOKUP(C690,DATA!#REF!,2,FALSE),"")</f>
        <v/>
      </c>
      <c r="I690" s="17"/>
      <c r="J690" s="17"/>
      <c r="P690" s="17"/>
      <c r="Q690" s="17"/>
    </row>
    <row r="691" spans="2:17">
      <c r="B691" s="15" t="str">
        <f t="shared" si="60"/>
        <v/>
      </c>
      <c r="C691" s="16" t="str">
        <f>IFERROR(VLOOKUP(DATA!#REF!,DATA!#REF!,1,FALSE),"")</f>
        <v/>
      </c>
      <c r="D691" s="16" t="str">
        <f>IFERROR(VLOOKUP(C691,DATA!#REF!,2,FALSE),"")</f>
        <v/>
      </c>
      <c r="I691" s="17"/>
      <c r="J691" s="17"/>
      <c r="P691" s="17"/>
      <c r="Q691" s="17"/>
    </row>
    <row r="692" spans="2:17">
      <c r="B692" s="15" t="str">
        <f t="shared" si="60"/>
        <v/>
      </c>
      <c r="C692" s="16" t="str">
        <f>IFERROR(VLOOKUP(DATA!#REF!,DATA!#REF!,1,FALSE),"")</f>
        <v/>
      </c>
      <c r="D692" s="16" t="str">
        <f>IFERROR(VLOOKUP(C692,DATA!#REF!,2,FALSE),"")</f>
        <v/>
      </c>
      <c r="I692" s="17"/>
      <c r="J692" s="17"/>
      <c r="P692" s="17"/>
      <c r="Q692" s="17"/>
    </row>
    <row r="693" spans="2:17">
      <c r="B693" s="15" t="str">
        <f t="shared" si="60"/>
        <v/>
      </c>
      <c r="C693" s="16" t="str">
        <f>IFERROR(VLOOKUP(DATA!#REF!,DATA!#REF!,1,FALSE),"")</f>
        <v/>
      </c>
      <c r="D693" s="16" t="str">
        <f>IFERROR(VLOOKUP(C693,DATA!#REF!,2,FALSE),"")</f>
        <v/>
      </c>
      <c r="I693" s="17"/>
      <c r="J693" s="17"/>
      <c r="P693" s="17"/>
      <c r="Q693" s="17"/>
    </row>
    <row r="694" spans="2:17">
      <c r="B694" s="15" t="str">
        <f t="shared" si="60"/>
        <v/>
      </c>
      <c r="C694" s="16" t="str">
        <f>IFERROR(VLOOKUP(DATA!#REF!,DATA!#REF!,1,FALSE),"")</f>
        <v/>
      </c>
      <c r="D694" s="16" t="str">
        <f>IFERROR(VLOOKUP(C694,DATA!#REF!,2,FALSE),"")</f>
        <v/>
      </c>
      <c r="I694" s="17"/>
      <c r="J694" s="17"/>
      <c r="P694" s="17"/>
      <c r="Q694" s="17"/>
    </row>
    <row r="695" spans="2:17">
      <c r="B695" s="15" t="str">
        <f t="shared" ref="B695:B758" si="61">+IF(C695="","",ROW()-5)</f>
        <v/>
      </c>
      <c r="C695" s="16" t="str">
        <f>IFERROR(VLOOKUP(DATA!#REF!,DATA!#REF!,1,FALSE),"")</f>
        <v/>
      </c>
      <c r="D695" s="16" t="str">
        <f>IFERROR(VLOOKUP(C695,DATA!#REF!,2,FALSE),"")</f>
        <v/>
      </c>
      <c r="I695" s="17"/>
      <c r="J695" s="17"/>
      <c r="P695" s="17"/>
      <c r="Q695" s="17"/>
    </row>
    <row r="696" spans="2:17">
      <c r="B696" s="15" t="str">
        <f t="shared" si="61"/>
        <v/>
      </c>
      <c r="C696" s="16" t="str">
        <f>IFERROR(VLOOKUP(DATA!#REF!,DATA!#REF!,1,FALSE),"")</f>
        <v/>
      </c>
      <c r="D696" s="16" t="str">
        <f>IFERROR(VLOOKUP(C696,DATA!#REF!,2,FALSE),"")</f>
        <v/>
      </c>
      <c r="I696" s="17"/>
      <c r="J696" s="17"/>
      <c r="P696" s="17"/>
      <c r="Q696" s="17"/>
    </row>
    <row r="697" spans="2:17">
      <c r="B697" s="15" t="str">
        <f t="shared" si="61"/>
        <v/>
      </c>
      <c r="C697" s="16" t="str">
        <f>IFERROR(VLOOKUP(DATA!#REF!,DATA!#REF!,1,FALSE),"")</f>
        <v/>
      </c>
      <c r="D697" s="16" t="str">
        <f>IFERROR(VLOOKUP(C697,DATA!#REF!,2,FALSE),"")</f>
        <v/>
      </c>
      <c r="I697" s="17"/>
      <c r="J697" s="17"/>
      <c r="P697" s="17"/>
      <c r="Q697" s="17"/>
    </row>
    <row r="698" spans="2:17">
      <c r="B698" s="15" t="str">
        <f t="shared" si="61"/>
        <v/>
      </c>
      <c r="C698" s="16" t="str">
        <f>IFERROR(VLOOKUP(DATA!#REF!,DATA!#REF!,1,FALSE),"")</f>
        <v/>
      </c>
      <c r="D698" s="16" t="str">
        <f>IFERROR(VLOOKUP(C698,DATA!#REF!,2,FALSE),"")</f>
        <v/>
      </c>
      <c r="I698" s="17"/>
      <c r="J698" s="17"/>
      <c r="P698" s="17"/>
      <c r="Q698" s="17"/>
    </row>
    <row r="699" spans="2:17">
      <c r="B699" s="15" t="str">
        <f t="shared" si="61"/>
        <v/>
      </c>
      <c r="C699" s="16" t="str">
        <f>IFERROR(VLOOKUP(DATA!#REF!,DATA!#REF!,1,FALSE),"")</f>
        <v/>
      </c>
      <c r="D699" s="16" t="str">
        <f>IFERROR(VLOOKUP(C699,DATA!#REF!,2,FALSE),"")</f>
        <v/>
      </c>
      <c r="I699" s="17"/>
      <c r="J699" s="17"/>
      <c r="P699" s="17"/>
      <c r="Q699" s="17"/>
    </row>
    <row r="700" spans="2:17">
      <c r="B700" s="15" t="str">
        <f t="shared" si="61"/>
        <v/>
      </c>
      <c r="C700" s="16" t="str">
        <f>IFERROR(VLOOKUP(DATA!#REF!,DATA!#REF!,1,FALSE),"")</f>
        <v/>
      </c>
      <c r="D700" s="16" t="str">
        <f>IFERROR(VLOOKUP(C700,DATA!#REF!,2,FALSE),"")</f>
        <v/>
      </c>
      <c r="I700" s="17"/>
      <c r="J700" s="17"/>
      <c r="P700" s="17"/>
      <c r="Q700" s="17"/>
    </row>
    <row r="701" spans="2:17">
      <c r="B701" s="15" t="str">
        <f t="shared" si="61"/>
        <v/>
      </c>
      <c r="C701" s="16" t="str">
        <f>IFERROR(VLOOKUP(DATA!#REF!,DATA!#REF!,1,FALSE),"")</f>
        <v/>
      </c>
      <c r="D701" s="16" t="str">
        <f>IFERROR(VLOOKUP(C701,DATA!#REF!,2,FALSE),"")</f>
        <v/>
      </c>
      <c r="I701" s="17"/>
      <c r="J701" s="17"/>
      <c r="P701" s="17"/>
      <c r="Q701" s="17"/>
    </row>
    <row r="702" spans="2:17">
      <c r="B702" s="15" t="str">
        <f t="shared" si="61"/>
        <v/>
      </c>
      <c r="C702" s="16" t="str">
        <f>IFERROR(VLOOKUP(DATA!#REF!,DATA!#REF!,1,FALSE),"")</f>
        <v/>
      </c>
      <c r="D702" s="16" t="str">
        <f>IFERROR(VLOOKUP(C702,DATA!#REF!,2,FALSE),"")</f>
        <v/>
      </c>
      <c r="I702" s="17"/>
      <c r="J702" s="17"/>
      <c r="P702" s="17"/>
      <c r="Q702" s="17"/>
    </row>
    <row r="703" spans="2:17">
      <c r="B703" s="15" t="str">
        <f t="shared" si="61"/>
        <v/>
      </c>
      <c r="C703" s="16" t="str">
        <f>IFERROR(VLOOKUP(DATA!#REF!,DATA!#REF!,1,FALSE),"")</f>
        <v/>
      </c>
      <c r="D703" s="16" t="str">
        <f>IFERROR(VLOOKUP(C703,DATA!#REF!,2,FALSE),"")</f>
        <v/>
      </c>
      <c r="I703" s="17"/>
      <c r="J703" s="17"/>
      <c r="P703" s="17"/>
      <c r="Q703" s="17"/>
    </row>
    <row r="704" spans="2:17">
      <c r="B704" s="15" t="str">
        <f t="shared" si="61"/>
        <v/>
      </c>
      <c r="C704" s="16" t="str">
        <f>IFERROR(VLOOKUP(DATA!#REF!,DATA!#REF!,1,FALSE),"")</f>
        <v/>
      </c>
      <c r="D704" s="16" t="str">
        <f>IFERROR(VLOOKUP(C704,DATA!#REF!,2,FALSE),"")</f>
        <v/>
      </c>
      <c r="I704" s="17"/>
      <c r="J704" s="17"/>
      <c r="P704" s="17"/>
      <c r="Q704" s="17"/>
    </row>
    <row r="705" spans="2:17">
      <c r="B705" s="15" t="str">
        <f t="shared" si="61"/>
        <v/>
      </c>
      <c r="C705" s="16" t="str">
        <f>IFERROR(VLOOKUP(DATA!#REF!,DATA!#REF!,1,FALSE),"")</f>
        <v/>
      </c>
      <c r="D705" s="16" t="str">
        <f>IFERROR(VLOOKUP(C705,DATA!#REF!,2,FALSE),"")</f>
        <v/>
      </c>
      <c r="I705" s="17"/>
      <c r="J705" s="17"/>
      <c r="P705" s="17"/>
      <c r="Q705" s="17"/>
    </row>
    <row r="706" spans="2:17">
      <c r="B706" s="15" t="str">
        <f t="shared" si="61"/>
        <v/>
      </c>
      <c r="C706" s="16" t="str">
        <f>IFERROR(VLOOKUP(DATA!#REF!,DATA!#REF!,1,FALSE),"")</f>
        <v/>
      </c>
      <c r="D706" s="16" t="str">
        <f>IFERROR(VLOOKUP(C706,DATA!#REF!,2,FALSE),"")</f>
        <v/>
      </c>
      <c r="I706" s="17"/>
      <c r="J706" s="17"/>
      <c r="P706" s="17"/>
      <c r="Q706" s="17"/>
    </row>
    <row r="707" spans="2:17">
      <c r="B707" s="15" t="str">
        <f t="shared" si="61"/>
        <v/>
      </c>
      <c r="C707" s="16" t="str">
        <f>IFERROR(VLOOKUP(DATA!#REF!,DATA!#REF!,1,FALSE),"")</f>
        <v/>
      </c>
      <c r="D707" s="16" t="str">
        <f>IFERROR(VLOOKUP(C707,DATA!#REF!,2,FALSE),"")</f>
        <v/>
      </c>
      <c r="I707" s="17"/>
      <c r="J707" s="17"/>
      <c r="P707" s="17"/>
      <c r="Q707" s="17"/>
    </row>
    <row r="708" spans="2:17">
      <c r="B708" s="15" t="str">
        <f t="shared" si="61"/>
        <v/>
      </c>
      <c r="C708" s="16" t="str">
        <f>IFERROR(VLOOKUP(DATA!#REF!,DATA!#REF!,1,FALSE),"")</f>
        <v/>
      </c>
      <c r="D708" s="16" t="str">
        <f>IFERROR(VLOOKUP(C708,DATA!#REF!,2,FALSE),"")</f>
        <v/>
      </c>
      <c r="I708" s="17"/>
      <c r="J708" s="17"/>
      <c r="P708" s="17"/>
      <c r="Q708" s="17"/>
    </row>
    <row r="709" spans="2:17">
      <c r="B709" s="15" t="str">
        <f t="shared" si="61"/>
        <v/>
      </c>
      <c r="C709" s="16" t="str">
        <f>IFERROR(VLOOKUP(DATA!#REF!,DATA!#REF!,1,FALSE),"")</f>
        <v/>
      </c>
      <c r="D709" s="16" t="str">
        <f>IFERROR(VLOOKUP(C709,DATA!#REF!,2,FALSE),"")</f>
        <v/>
      </c>
      <c r="I709" s="17"/>
      <c r="J709" s="17"/>
      <c r="P709" s="17"/>
      <c r="Q709" s="17"/>
    </row>
    <row r="710" spans="2:17">
      <c r="B710" s="15" t="str">
        <f t="shared" si="61"/>
        <v/>
      </c>
      <c r="C710" s="16" t="str">
        <f>IFERROR(VLOOKUP(DATA!#REF!,DATA!#REF!,1,FALSE),"")</f>
        <v/>
      </c>
      <c r="D710" s="16" t="str">
        <f>IFERROR(VLOOKUP(C710,DATA!#REF!,2,FALSE),"")</f>
        <v/>
      </c>
      <c r="I710" s="17"/>
      <c r="J710" s="17"/>
      <c r="P710" s="17"/>
      <c r="Q710" s="17"/>
    </row>
    <row r="711" spans="2:17">
      <c r="B711" s="15" t="str">
        <f t="shared" si="61"/>
        <v/>
      </c>
      <c r="C711" s="16" t="str">
        <f>IFERROR(VLOOKUP(DATA!#REF!,DATA!#REF!,1,FALSE),"")</f>
        <v/>
      </c>
      <c r="D711" s="16" t="str">
        <f>IFERROR(VLOOKUP(C711,DATA!#REF!,2,FALSE),"")</f>
        <v/>
      </c>
      <c r="I711" s="17"/>
      <c r="J711" s="17"/>
      <c r="P711" s="17"/>
      <c r="Q711" s="17"/>
    </row>
    <row r="712" spans="2:17">
      <c r="B712" s="15" t="str">
        <f t="shared" si="61"/>
        <v/>
      </c>
      <c r="C712" s="16" t="str">
        <f>IFERROR(VLOOKUP(DATA!#REF!,DATA!#REF!,1,FALSE),"")</f>
        <v/>
      </c>
      <c r="D712" s="16" t="str">
        <f>IFERROR(VLOOKUP(C712,DATA!#REF!,2,FALSE),"")</f>
        <v/>
      </c>
      <c r="I712" s="17"/>
      <c r="J712" s="17"/>
      <c r="P712" s="17"/>
      <c r="Q712" s="17"/>
    </row>
    <row r="713" spans="2:17">
      <c r="B713" s="15" t="str">
        <f t="shared" si="61"/>
        <v/>
      </c>
      <c r="C713" s="16" t="str">
        <f>IFERROR(VLOOKUP(DATA!#REF!,DATA!#REF!,1,FALSE),"")</f>
        <v/>
      </c>
      <c r="D713" s="16" t="str">
        <f>IFERROR(VLOOKUP(C713,DATA!#REF!,2,FALSE),"")</f>
        <v/>
      </c>
      <c r="I713" s="17"/>
      <c r="J713" s="17"/>
      <c r="P713" s="17"/>
      <c r="Q713" s="17"/>
    </row>
    <row r="714" spans="2:17">
      <c r="B714" s="15" t="str">
        <f t="shared" si="61"/>
        <v/>
      </c>
      <c r="C714" s="16" t="str">
        <f>IFERROR(VLOOKUP(DATA!#REF!,DATA!#REF!,1,FALSE),"")</f>
        <v/>
      </c>
      <c r="D714" s="16" t="str">
        <f>IFERROR(VLOOKUP(C714,DATA!#REF!,2,FALSE),"")</f>
        <v/>
      </c>
      <c r="I714" s="17"/>
      <c r="J714" s="17"/>
      <c r="P714" s="17"/>
      <c r="Q714" s="17"/>
    </row>
    <row r="715" spans="2:17">
      <c r="B715" s="15" t="str">
        <f t="shared" si="61"/>
        <v/>
      </c>
      <c r="C715" s="16" t="str">
        <f>IFERROR(VLOOKUP(DATA!#REF!,DATA!#REF!,1,FALSE),"")</f>
        <v/>
      </c>
      <c r="D715" s="16" t="str">
        <f>IFERROR(VLOOKUP(C715,DATA!#REF!,2,FALSE),"")</f>
        <v/>
      </c>
      <c r="I715" s="17"/>
      <c r="J715" s="17"/>
      <c r="P715" s="17"/>
      <c r="Q715" s="17"/>
    </row>
    <row r="716" spans="2:17">
      <c r="B716" s="15" t="str">
        <f t="shared" si="61"/>
        <v/>
      </c>
      <c r="C716" s="16" t="str">
        <f>IFERROR(VLOOKUP(DATA!#REF!,DATA!#REF!,1,FALSE),"")</f>
        <v/>
      </c>
      <c r="D716" s="16" t="str">
        <f>IFERROR(VLOOKUP(C716,DATA!#REF!,2,FALSE),"")</f>
        <v/>
      </c>
      <c r="I716" s="17"/>
      <c r="J716" s="17"/>
      <c r="P716" s="17"/>
      <c r="Q716" s="17"/>
    </row>
    <row r="717" spans="2:17">
      <c r="B717" s="15" t="str">
        <f t="shared" si="61"/>
        <v/>
      </c>
      <c r="C717" s="16" t="str">
        <f>IFERROR(VLOOKUP(DATA!#REF!,DATA!#REF!,1,FALSE),"")</f>
        <v/>
      </c>
      <c r="D717" s="16" t="str">
        <f>IFERROR(VLOOKUP(C717,DATA!#REF!,2,FALSE),"")</f>
        <v/>
      </c>
      <c r="I717" s="17"/>
      <c r="J717" s="17"/>
      <c r="P717" s="17"/>
      <c r="Q717" s="17"/>
    </row>
    <row r="718" spans="2:17">
      <c r="B718" s="15" t="str">
        <f t="shared" si="61"/>
        <v/>
      </c>
      <c r="C718" s="16" t="str">
        <f>IFERROR(VLOOKUP(DATA!#REF!,DATA!#REF!,1,FALSE),"")</f>
        <v/>
      </c>
      <c r="D718" s="16" t="str">
        <f>IFERROR(VLOOKUP(C718,DATA!#REF!,2,FALSE),"")</f>
        <v/>
      </c>
      <c r="I718" s="17"/>
      <c r="J718" s="17"/>
      <c r="P718" s="17"/>
      <c r="Q718" s="17"/>
    </row>
    <row r="719" spans="2:17">
      <c r="B719" s="15" t="str">
        <f t="shared" si="61"/>
        <v/>
      </c>
      <c r="C719" s="16" t="str">
        <f>IFERROR(VLOOKUP(DATA!#REF!,DATA!#REF!,1,FALSE),"")</f>
        <v/>
      </c>
      <c r="D719" s="16" t="str">
        <f>IFERROR(VLOOKUP(C719,DATA!#REF!,2,FALSE),"")</f>
        <v/>
      </c>
      <c r="I719" s="17"/>
      <c r="J719" s="17"/>
      <c r="P719" s="17"/>
      <c r="Q719" s="17"/>
    </row>
    <row r="720" spans="2:17">
      <c r="B720" s="15" t="str">
        <f t="shared" si="61"/>
        <v/>
      </c>
      <c r="C720" s="16" t="str">
        <f>IFERROR(VLOOKUP(DATA!#REF!,DATA!#REF!,1,FALSE),"")</f>
        <v/>
      </c>
      <c r="D720" s="16" t="str">
        <f>IFERROR(VLOOKUP(C720,DATA!#REF!,2,FALSE),"")</f>
        <v/>
      </c>
      <c r="I720" s="17"/>
      <c r="J720" s="17"/>
      <c r="P720" s="17"/>
      <c r="Q720" s="17"/>
    </row>
    <row r="721" spans="2:17">
      <c r="B721" s="15" t="str">
        <f t="shared" si="61"/>
        <v/>
      </c>
      <c r="C721" s="16" t="str">
        <f>IFERROR(VLOOKUP(DATA!#REF!,DATA!#REF!,1,FALSE),"")</f>
        <v/>
      </c>
      <c r="D721" s="16" t="str">
        <f>IFERROR(VLOOKUP(C721,DATA!#REF!,2,FALSE),"")</f>
        <v/>
      </c>
      <c r="I721" s="17"/>
      <c r="J721" s="17"/>
      <c r="P721" s="17"/>
      <c r="Q721" s="17"/>
    </row>
    <row r="722" spans="2:17">
      <c r="B722" s="15" t="str">
        <f t="shared" si="61"/>
        <v/>
      </c>
      <c r="C722" s="16" t="str">
        <f>IFERROR(VLOOKUP(DATA!#REF!,DATA!#REF!,1,FALSE),"")</f>
        <v/>
      </c>
      <c r="D722" s="16" t="str">
        <f>IFERROR(VLOOKUP(C722,DATA!#REF!,2,FALSE),"")</f>
        <v/>
      </c>
      <c r="I722" s="17"/>
      <c r="J722" s="17"/>
      <c r="P722" s="17"/>
      <c r="Q722" s="17"/>
    </row>
    <row r="723" spans="2:17">
      <c r="B723" s="15" t="str">
        <f t="shared" si="61"/>
        <v/>
      </c>
      <c r="C723" s="16" t="str">
        <f>IFERROR(VLOOKUP(DATA!#REF!,DATA!#REF!,1,FALSE),"")</f>
        <v/>
      </c>
      <c r="D723" s="16" t="str">
        <f>IFERROR(VLOOKUP(C723,DATA!#REF!,2,FALSE),"")</f>
        <v/>
      </c>
      <c r="I723" s="17"/>
      <c r="J723" s="17"/>
      <c r="P723" s="17"/>
      <c r="Q723" s="17"/>
    </row>
    <row r="724" spans="2:17">
      <c r="B724" s="15" t="str">
        <f t="shared" si="61"/>
        <v/>
      </c>
      <c r="C724" s="16" t="str">
        <f>IFERROR(VLOOKUP(DATA!#REF!,DATA!#REF!,1,FALSE),"")</f>
        <v/>
      </c>
      <c r="D724" s="16" t="str">
        <f>IFERROR(VLOOKUP(C724,DATA!#REF!,2,FALSE),"")</f>
        <v/>
      </c>
      <c r="I724" s="17"/>
      <c r="J724" s="17"/>
      <c r="P724" s="17"/>
      <c r="Q724" s="17"/>
    </row>
    <row r="725" spans="2:17">
      <c r="B725" s="15" t="str">
        <f t="shared" si="61"/>
        <v/>
      </c>
      <c r="C725" s="16" t="str">
        <f>IFERROR(VLOOKUP(DATA!#REF!,DATA!#REF!,1,FALSE),"")</f>
        <v/>
      </c>
      <c r="D725" s="16" t="str">
        <f>IFERROR(VLOOKUP(C725,DATA!#REF!,2,FALSE),"")</f>
        <v/>
      </c>
      <c r="I725" s="17"/>
      <c r="J725" s="17"/>
      <c r="P725" s="17"/>
      <c r="Q725" s="17"/>
    </row>
    <row r="726" spans="2:17">
      <c r="B726" s="15" t="str">
        <f t="shared" si="61"/>
        <v/>
      </c>
      <c r="C726" s="16" t="str">
        <f>IFERROR(VLOOKUP(DATA!#REF!,DATA!#REF!,1,FALSE),"")</f>
        <v/>
      </c>
      <c r="D726" s="16" t="str">
        <f>IFERROR(VLOOKUP(C726,DATA!#REF!,2,FALSE),"")</f>
        <v/>
      </c>
      <c r="I726" s="17"/>
      <c r="J726" s="17"/>
      <c r="P726" s="17"/>
      <c r="Q726" s="17"/>
    </row>
    <row r="727" spans="2:17">
      <c r="B727" s="15" t="str">
        <f t="shared" si="61"/>
        <v/>
      </c>
      <c r="C727" s="16" t="str">
        <f>IFERROR(VLOOKUP(DATA!#REF!,DATA!#REF!,1,FALSE),"")</f>
        <v/>
      </c>
      <c r="D727" s="16" t="str">
        <f>IFERROR(VLOOKUP(C727,DATA!#REF!,2,FALSE),"")</f>
        <v/>
      </c>
      <c r="I727" s="17"/>
      <c r="J727" s="17"/>
      <c r="P727" s="17"/>
      <c r="Q727" s="17"/>
    </row>
    <row r="728" spans="2:17">
      <c r="B728" s="15" t="str">
        <f t="shared" si="61"/>
        <v/>
      </c>
      <c r="C728" s="16" t="str">
        <f>IFERROR(VLOOKUP(DATA!#REF!,DATA!#REF!,1,FALSE),"")</f>
        <v/>
      </c>
      <c r="D728" s="16" t="str">
        <f>IFERROR(VLOOKUP(C728,DATA!#REF!,2,FALSE),"")</f>
        <v/>
      </c>
      <c r="I728" s="17"/>
      <c r="J728" s="17"/>
      <c r="P728" s="17"/>
      <c r="Q728" s="17"/>
    </row>
    <row r="729" spans="2:17">
      <c r="B729" s="15" t="str">
        <f t="shared" si="61"/>
        <v/>
      </c>
      <c r="C729" s="16" t="str">
        <f>IFERROR(VLOOKUP(DATA!#REF!,DATA!#REF!,1,FALSE),"")</f>
        <v/>
      </c>
      <c r="D729" s="16" t="str">
        <f>IFERROR(VLOOKUP(C729,DATA!#REF!,2,FALSE),"")</f>
        <v/>
      </c>
      <c r="I729" s="17"/>
      <c r="J729" s="17"/>
      <c r="P729" s="17"/>
      <c r="Q729" s="17"/>
    </row>
    <row r="730" spans="2:17">
      <c r="B730" s="15" t="str">
        <f t="shared" si="61"/>
        <v/>
      </c>
      <c r="C730" s="16" t="str">
        <f>IFERROR(VLOOKUP(DATA!#REF!,DATA!#REF!,1,FALSE),"")</f>
        <v/>
      </c>
      <c r="D730" s="16" t="str">
        <f>IFERROR(VLOOKUP(C730,DATA!#REF!,2,FALSE),"")</f>
        <v/>
      </c>
      <c r="I730" s="17"/>
      <c r="J730" s="17"/>
      <c r="P730" s="17"/>
      <c r="Q730" s="17"/>
    </row>
    <row r="731" spans="2:17">
      <c r="B731" s="15" t="str">
        <f t="shared" si="61"/>
        <v/>
      </c>
      <c r="C731" s="16" t="str">
        <f>IFERROR(VLOOKUP(DATA!#REF!,DATA!#REF!,1,FALSE),"")</f>
        <v/>
      </c>
      <c r="D731" s="16" t="str">
        <f>IFERROR(VLOOKUP(C731,DATA!#REF!,2,FALSE),"")</f>
        <v/>
      </c>
      <c r="I731" s="17"/>
      <c r="J731" s="17"/>
      <c r="P731" s="17"/>
      <c r="Q731" s="17"/>
    </row>
    <row r="732" spans="2:17">
      <c r="B732" s="15" t="str">
        <f t="shared" si="61"/>
        <v/>
      </c>
      <c r="C732" s="16" t="str">
        <f>IFERROR(VLOOKUP(DATA!#REF!,DATA!#REF!,1,FALSE),"")</f>
        <v/>
      </c>
      <c r="D732" s="16" t="str">
        <f>IFERROR(VLOOKUP(C732,DATA!#REF!,2,FALSE),"")</f>
        <v/>
      </c>
      <c r="I732" s="17"/>
      <c r="J732" s="17"/>
      <c r="P732" s="17"/>
      <c r="Q732" s="17"/>
    </row>
    <row r="733" spans="2:17">
      <c r="B733" s="15" t="str">
        <f t="shared" si="61"/>
        <v/>
      </c>
      <c r="C733" s="16" t="str">
        <f>IFERROR(VLOOKUP(DATA!#REF!,DATA!#REF!,1,FALSE),"")</f>
        <v/>
      </c>
      <c r="D733" s="16" t="str">
        <f>IFERROR(VLOOKUP(C733,DATA!#REF!,2,FALSE),"")</f>
        <v/>
      </c>
      <c r="I733" s="17"/>
      <c r="J733" s="17"/>
      <c r="P733" s="17"/>
      <c r="Q733" s="17"/>
    </row>
    <row r="734" spans="2:17">
      <c r="B734" s="15" t="str">
        <f t="shared" si="61"/>
        <v/>
      </c>
      <c r="C734" s="16" t="str">
        <f>IFERROR(VLOOKUP(DATA!#REF!,DATA!#REF!,1,FALSE),"")</f>
        <v/>
      </c>
      <c r="D734" s="16" t="str">
        <f>IFERROR(VLOOKUP(C734,DATA!#REF!,2,FALSE),"")</f>
        <v/>
      </c>
      <c r="I734" s="17"/>
      <c r="J734" s="17"/>
      <c r="P734" s="17"/>
      <c r="Q734" s="17"/>
    </row>
    <row r="735" spans="2:17">
      <c r="B735" s="15" t="str">
        <f t="shared" si="61"/>
        <v/>
      </c>
      <c r="C735" s="16" t="str">
        <f>IFERROR(VLOOKUP(DATA!#REF!,DATA!#REF!,1,FALSE),"")</f>
        <v/>
      </c>
      <c r="D735" s="16" t="str">
        <f>IFERROR(VLOOKUP(C735,DATA!#REF!,2,FALSE),"")</f>
        <v/>
      </c>
      <c r="I735" s="17"/>
      <c r="J735" s="17"/>
      <c r="P735" s="17"/>
      <c r="Q735" s="17"/>
    </row>
    <row r="736" spans="2:17">
      <c r="B736" s="15" t="str">
        <f t="shared" si="61"/>
        <v/>
      </c>
      <c r="C736" s="16" t="str">
        <f>IFERROR(VLOOKUP(DATA!#REF!,DATA!#REF!,1,FALSE),"")</f>
        <v/>
      </c>
      <c r="D736" s="16" t="str">
        <f>IFERROR(VLOOKUP(C736,DATA!#REF!,2,FALSE),"")</f>
        <v/>
      </c>
      <c r="I736" s="17"/>
      <c r="J736" s="17"/>
      <c r="P736" s="17"/>
      <c r="Q736" s="17"/>
    </row>
    <row r="737" spans="2:17">
      <c r="B737" s="15" t="str">
        <f t="shared" si="61"/>
        <v/>
      </c>
      <c r="C737" s="16" t="str">
        <f>IFERROR(VLOOKUP(DATA!#REF!,DATA!#REF!,1,FALSE),"")</f>
        <v/>
      </c>
      <c r="D737" s="16" t="str">
        <f>IFERROR(VLOOKUP(C737,DATA!#REF!,2,FALSE),"")</f>
        <v/>
      </c>
      <c r="I737" s="17"/>
      <c r="J737" s="17"/>
      <c r="P737" s="17"/>
      <c r="Q737" s="17"/>
    </row>
    <row r="738" spans="2:17">
      <c r="B738" s="15" t="str">
        <f t="shared" si="61"/>
        <v/>
      </c>
      <c r="C738" s="16" t="str">
        <f>IFERROR(VLOOKUP(DATA!#REF!,DATA!#REF!,1,FALSE),"")</f>
        <v/>
      </c>
      <c r="D738" s="16" t="str">
        <f>IFERROR(VLOOKUP(C738,DATA!#REF!,2,FALSE),"")</f>
        <v/>
      </c>
      <c r="I738" s="17"/>
      <c r="J738" s="17"/>
      <c r="P738" s="17"/>
      <c r="Q738" s="17"/>
    </row>
    <row r="739" spans="2:17">
      <c r="B739" s="15" t="str">
        <f t="shared" si="61"/>
        <v/>
      </c>
      <c r="C739" s="16" t="str">
        <f>IFERROR(VLOOKUP(DATA!#REF!,DATA!#REF!,1,FALSE),"")</f>
        <v/>
      </c>
      <c r="D739" s="16" t="str">
        <f>IFERROR(VLOOKUP(C739,DATA!#REF!,2,FALSE),"")</f>
        <v/>
      </c>
      <c r="I739" s="17"/>
      <c r="J739" s="17"/>
      <c r="P739" s="17"/>
      <c r="Q739" s="17"/>
    </row>
    <row r="740" spans="2:17">
      <c r="B740" s="15" t="str">
        <f t="shared" si="61"/>
        <v/>
      </c>
      <c r="C740" s="16" t="str">
        <f>IFERROR(VLOOKUP(DATA!#REF!,DATA!#REF!,1,FALSE),"")</f>
        <v/>
      </c>
      <c r="D740" s="16" t="str">
        <f>IFERROR(VLOOKUP(C740,DATA!#REF!,2,FALSE),"")</f>
        <v/>
      </c>
      <c r="I740" s="17"/>
      <c r="J740" s="17"/>
      <c r="P740" s="17"/>
      <c r="Q740" s="17"/>
    </row>
    <row r="741" spans="2:17">
      <c r="B741" s="15" t="str">
        <f t="shared" si="61"/>
        <v/>
      </c>
      <c r="C741" s="16" t="str">
        <f>IFERROR(VLOOKUP(DATA!#REF!,DATA!#REF!,1,FALSE),"")</f>
        <v/>
      </c>
      <c r="D741" s="16" t="str">
        <f>IFERROR(VLOOKUP(C741,DATA!#REF!,2,FALSE),"")</f>
        <v/>
      </c>
      <c r="I741" s="17"/>
      <c r="J741" s="17"/>
      <c r="P741" s="17"/>
      <c r="Q741" s="17"/>
    </row>
    <row r="742" spans="2:17">
      <c r="B742" s="15" t="str">
        <f t="shared" si="61"/>
        <v/>
      </c>
      <c r="C742" s="16" t="str">
        <f>IFERROR(VLOOKUP(DATA!#REF!,DATA!#REF!,1,FALSE),"")</f>
        <v/>
      </c>
      <c r="D742" s="16" t="str">
        <f>IFERROR(VLOOKUP(C742,DATA!#REF!,2,FALSE),"")</f>
        <v/>
      </c>
      <c r="I742" s="17"/>
      <c r="J742" s="17"/>
      <c r="P742" s="17"/>
      <c r="Q742" s="17"/>
    </row>
    <row r="743" spans="2:17">
      <c r="B743" s="15" t="str">
        <f t="shared" si="61"/>
        <v/>
      </c>
      <c r="C743" s="16" t="str">
        <f>IFERROR(VLOOKUP(DATA!#REF!,DATA!#REF!,1,FALSE),"")</f>
        <v/>
      </c>
      <c r="D743" s="16" t="str">
        <f>IFERROR(VLOOKUP(C743,DATA!#REF!,2,FALSE),"")</f>
        <v/>
      </c>
      <c r="I743" s="17"/>
      <c r="J743" s="17"/>
      <c r="P743" s="17"/>
      <c r="Q743" s="17"/>
    </row>
    <row r="744" spans="2:17">
      <c r="B744" s="15" t="str">
        <f t="shared" si="61"/>
        <v/>
      </c>
      <c r="C744" s="16" t="str">
        <f>IFERROR(VLOOKUP(DATA!#REF!,DATA!#REF!,1,FALSE),"")</f>
        <v/>
      </c>
      <c r="D744" s="16" t="str">
        <f>IFERROR(VLOOKUP(C744,DATA!#REF!,2,FALSE),"")</f>
        <v/>
      </c>
      <c r="I744" s="17"/>
      <c r="J744" s="17"/>
      <c r="P744" s="17"/>
      <c r="Q744" s="17"/>
    </row>
    <row r="745" spans="2:17">
      <c r="B745" s="15" t="str">
        <f t="shared" si="61"/>
        <v/>
      </c>
      <c r="C745" s="16" t="str">
        <f>IFERROR(VLOOKUP(DATA!#REF!,DATA!#REF!,1,FALSE),"")</f>
        <v/>
      </c>
      <c r="D745" s="16" t="str">
        <f>IFERROR(VLOOKUP(C745,DATA!#REF!,2,FALSE),"")</f>
        <v/>
      </c>
      <c r="I745" s="17"/>
      <c r="J745" s="17"/>
      <c r="P745" s="17"/>
      <c r="Q745" s="17"/>
    </row>
    <row r="746" spans="2:17">
      <c r="B746" s="15" t="str">
        <f t="shared" si="61"/>
        <v/>
      </c>
      <c r="C746" s="16" t="str">
        <f>IFERROR(VLOOKUP(DATA!#REF!,DATA!#REF!,1,FALSE),"")</f>
        <v/>
      </c>
      <c r="D746" s="16" t="str">
        <f>IFERROR(VLOOKUP(C746,DATA!#REF!,2,FALSE),"")</f>
        <v/>
      </c>
      <c r="I746" s="17"/>
      <c r="J746" s="17"/>
      <c r="P746" s="17"/>
      <c r="Q746" s="17"/>
    </row>
    <row r="747" spans="2:17">
      <c r="B747" s="15" t="str">
        <f t="shared" si="61"/>
        <v/>
      </c>
      <c r="C747" s="16" t="str">
        <f>IFERROR(VLOOKUP(DATA!#REF!,DATA!#REF!,1,FALSE),"")</f>
        <v/>
      </c>
      <c r="D747" s="16" t="str">
        <f>IFERROR(VLOOKUP(C747,DATA!#REF!,2,FALSE),"")</f>
        <v/>
      </c>
      <c r="I747" s="17"/>
      <c r="J747" s="17"/>
      <c r="P747" s="17"/>
      <c r="Q747" s="17"/>
    </row>
    <row r="748" spans="2:17">
      <c r="B748" s="15" t="str">
        <f t="shared" si="61"/>
        <v/>
      </c>
      <c r="C748" s="16" t="str">
        <f>IFERROR(VLOOKUP(DATA!#REF!,DATA!#REF!,1,FALSE),"")</f>
        <v/>
      </c>
      <c r="D748" s="16" t="str">
        <f>IFERROR(VLOOKUP(C748,DATA!#REF!,2,FALSE),"")</f>
        <v/>
      </c>
      <c r="I748" s="17"/>
      <c r="J748" s="17"/>
      <c r="P748" s="17"/>
      <c r="Q748" s="17"/>
    </row>
    <row r="749" spans="2:17">
      <c r="B749" s="15" t="str">
        <f t="shared" si="61"/>
        <v/>
      </c>
      <c r="C749" s="16" t="str">
        <f>IFERROR(VLOOKUP(DATA!#REF!,DATA!#REF!,1,FALSE),"")</f>
        <v/>
      </c>
      <c r="D749" s="16" t="str">
        <f>IFERROR(VLOOKUP(C749,DATA!#REF!,2,FALSE),"")</f>
        <v/>
      </c>
      <c r="I749" s="17"/>
      <c r="J749" s="17"/>
      <c r="P749" s="17"/>
      <c r="Q749" s="17"/>
    </row>
    <row r="750" spans="2:17">
      <c r="B750" s="15" t="str">
        <f t="shared" si="61"/>
        <v/>
      </c>
      <c r="C750" s="16" t="str">
        <f>IFERROR(VLOOKUP(DATA!#REF!,DATA!#REF!,1,FALSE),"")</f>
        <v/>
      </c>
      <c r="D750" s="16" t="str">
        <f>IFERROR(VLOOKUP(C750,DATA!#REF!,2,FALSE),"")</f>
        <v/>
      </c>
      <c r="I750" s="17"/>
      <c r="J750" s="17"/>
      <c r="P750" s="17"/>
      <c r="Q750" s="17"/>
    </row>
    <row r="751" spans="2:17">
      <c r="B751" s="15" t="str">
        <f t="shared" si="61"/>
        <v/>
      </c>
      <c r="C751" s="16" t="str">
        <f>IFERROR(VLOOKUP(DATA!#REF!,DATA!#REF!,1,FALSE),"")</f>
        <v/>
      </c>
      <c r="D751" s="16" t="str">
        <f>IFERROR(VLOOKUP(C751,DATA!#REF!,2,FALSE),"")</f>
        <v/>
      </c>
      <c r="I751" s="17"/>
      <c r="J751" s="17"/>
      <c r="P751" s="17"/>
      <c r="Q751" s="17"/>
    </row>
    <row r="752" spans="2:17">
      <c r="B752" s="15" t="str">
        <f t="shared" si="61"/>
        <v/>
      </c>
      <c r="C752" s="16" t="str">
        <f>IFERROR(VLOOKUP(DATA!#REF!,DATA!#REF!,1,FALSE),"")</f>
        <v/>
      </c>
      <c r="D752" s="16" t="str">
        <f>IFERROR(VLOOKUP(C752,DATA!#REF!,2,FALSE),"")</f>
        <v/>
      </c>
      <c r="I752" s="17"/>
      <c r="J752" s="17"/>
      <c r="P752" s="17"/>
      <c r="Q752" s="17"/>
    </row>
    <row r="753" spans="2:17">
      <c r="B753" s="15" t="str">
        <f t="shared" si="61"/>
        <v/>
      </c>
      <c r="C753" s="16" t="str">
        <f>IFERROR(VLOOKUP(DATA!#REF!,DATA!#REF!,1,FALSE),"")</f>
        <v/>
      </c>
      <c r="D753" s="16" t="str">
        <f>IFERROR(VLOOKUP(C753,DATA!#REF!,2,FALSE),"")</f>
        <v/>
      </c>
      <c r="I753" s="17"/>
      <c r="J753" s="17"/>
      <c r="P753" s="17"/>
      <c r="Q753" s="17"/>
    </row>
    <row r="754" spans="2:17">
      <c r="B754" s="15" t="str">
        <f t="shared" si="61"/>
        <v/>
      </c>
      <c r="C754" s="16" t="str">
        <f>IFERROR(VLOOKUP(DATA!#REF!,DATA!#REF!,1,FALSE),"")</f>
        <v/>
      </c>
      <c r="D754" s="16" t="str">
        <f>IFERROR(VLOOKUP(C754,DATA!#REF!,2,FALSE),"")</f>
        <v/>
      </c>
      <c r="I754" s="17"/>
      <c r="J754" s="17"/>
      <c r="P754" s="17"/>
      <c r="Q754" s="17"/>
    </row>
    <row r="755" spans="2:17">
      <c r="B755" s="15" t="str">
        <f t="shared" si="61"/>
        <v/>
      </c>
      <c r="C755" s="16" t="str">
        <f>IFERROR(VLOOKUP(DATA!#REF!,DATA!#REF!,1,FALSE),"")</f>
        <v/>
      </c>
      <c r="D755" s="16" t="str">
        <f>IFERROR(VLOOKUP(C755,DATA!#REF!,2,FALSE),"")</f>
        <v/>
      </c>
      <c r="I755" s="17"/>
      <c r="J755" s="17"/>
      <c r="P755" s="17"/>
      <c r="Q755" s="17"/>
    </row>
    <row r="756" spans="2:17">
      <c r="B756" s="15" t="str">
        <f t="shared" si="61"/>
        <v/>
      </c>
      <c r="C756" s="16" t="str">
        <f>IFERROR(VLOOKUP(DATA!#REF!,DATA!#REF!,1,FALSE),"")</f>
        <v/>
      </c>
      <c r="D756" s="16" t="str">
        <f>IFERROR(VLOOKUP(C756,DATA!#REF!,2,FALSE),"")</f>
        <v/>
      </c>
      <c r="I756" s="17"/>
      <c r="J756" s="17"/>
      <c r="P756" s="17"/>
      <c r="Q756" s="17"/>
    </row>
    <row r="757" spans="2:17">
      <c r="B757" s="15" t="str">
        <f t="shared" si="61"/>
        <v/>
      </c>
      <c r="C757" s="16" t="str">
        <f>IFERROR(VLOOKUP(DATA!#REF!,DATA!#REF!,1,FALSE),"")</f>
        <v/>
      </c>
      <c r="D757" s="16" t="str">
        <f>IFERROR(VLOOKUP(C757,DATA!#REF!,2,FALSE),"")</f>
        <v/>
      </c>
      <c r="I757" s="17"/>
      <c r="J757" s="17"/>
      <c r="P757" s="17"/>
      <c r="Q757" s="17"/>
    </row>
    <row r="758" spans="2:17">
      <c r="B758" s="15" t="str">
        <f t="shared" si="61"/>
        <v/>
      </c>
      <c r="C758" s="16" t="str">
        <f>IFERROR(VLOOKUP(DATA!#REF!,DATA!#REF!,1,FALSE),"")</f>
        <v/>
      </c>
      <c r="D758" s="16" t="str">
        <f>IFERROR(VLOOKUP(C758,DATA!#REF!,2,FALSE),"")</f>
        <v/>
      </c>
      <c r="I758" s="17"/>
      <c r="J758" s="17"/>
      <c r="P758" s="17"/>
      <c r="Q758" s="17"/>
    </row>
    <row r="759" spans="2:17">
      <c r="B759" s="15" t="str">
        <f t="shared" ref="B759:B822" si="62">+IF(C759="","",ROW()-5)</f>
        <v/>
      </c>
      <c r="C759" s="16" t="str">
        <f>IFERROR(VLOOKUP(DATA!#REF!,DATA!#REF!,1,FALSE),"")</f>
        <v/>
      </c>
      <c r="D759" s="16" t="str">
        <f>IFERROR(VLOOKUP(C759,DATA!#REF!,2,FALSE),"")</f>
        <v/>
      </c>
      <c r="I759" s="17"/>
      <c r="J759" s="17"/>
      <c r="P759" s="17"/>
      <c r="Q759" s="17"/>
    </row>
    <row r="760" spans="2:17">
      <c r="B760" s="15" t="str">
        <f t="shared" si="62"/>
        <v/>
      </c>
      <c r="C760" s="16" t="str">
        <f>IFERROR(VLOOKUP(DATA!#REF!,DATA!#REF!,1,FALSE),"")</f>
        <v/>
      </c>
      <c r="D760" s="16" t="str">
        <f>IFERROR(VLOOKUP(C760,DATA!#REF!,2,FALSE),"")</f>
        <v/>
      </c>
      <c r="I760" s="17"/>
      <c r="J760" s="17"/>
      <c r="P760" s="17"/>
      <c r="Q760" s="17"/>
    </row>
    <row r="761" spans="2:17">
      <c r="B761" s="15" t="str">
        <f t="shared" si="62"/>
        <v/>
      </c>
      <c r="C761" s="16" t="str">
        <f>IFERROR(VLOOKUP(DATA!#REF!,DATA!#REF!,1,FALSE),"")</f>
        <v/>
      </c>
      <c r="D761" s="16" t="str">
        <f>IFERROR(VLOOKUP(C761,DATA!#REF!,2,FALSE),"")</f>
        <v/>
      </c>
      <c r="I761" s="17"/>
      <c r="J761" s="17"/>
      <c r="P761" s="17"/>
      <c r="Q761" s="17"/>
    </row>
    <row r="762" spans="2:17">
      <c r="B762" s="15" t="str">
        <f t="shared" si="62"/>
        <v/>
      </c>
      <c r="C762" s="16" t="str">
        <f>IFERROR(VLOOKUP(DATA!#REF!,DATA!#REF!,1,FALSE),"")</f>
        <v/>
      </c>
      <c r="D762" s="16" t="str">
        <f>IFERROR(VLOOKUP(C762,DATA!#REF!,2,FALSE),"")</f>
        <v/>
      </c>
      <c r="I762" s="17"/>
      <c r="J762" s="17"/>
      <c r="P762" s="17"/>
      <c r="Q762" s="17"/>
    </row>
    <row r="763" spans="2:17">
      <c r="B763" s="15" t="str">
        <f t="shared" si="62"/>
        <v/>
      </c>
      <c r="C763" s="16" t="str">
        <f>IFERROR(VLOOKUP(DATA!#REF!,DATA!#REF!,1,FALSE),"")</f>
        <v/>
      </c>
      <c r="D763" s="16" t="str">
        <f>IFERROR(VLOOKUP(C763,DATA!#REF!,2,FALSE),"")</f>
        <v/>
      </c>
      <c r="I763" s="17"/>
      <c r="J763" s="17"/>
      <c r="P763" s="17"/>
      <c r="Q763" s="17"/>
    </row>
    <row r="764" spans="2:17">
      <c r="B764" s="15" t="str">
        <f t="shared" si="62"/>
        <v/>
      </c>
      <c r="C764" s="16" t="str">
        <f>IFERROR(VLOOKUP(DATA!#REF!,DATA!#REF!,1,FALSE),"")</f>
        <v/>
      </c>
      <c r="D764" s="16" t="str">
        <f>IFERROR(VLOOKUP(C764,DATA!#REF!,2,FALSE),"")</f>
        <v/>
      </c>
      <c r="I764" s="17"/>
      <c r="J764" s="17"/>
      <c r="P764" s="17"/>
      <c r="Q764" s="17"/>
    </row>
    <row r="765" spans="2:17">
      <c r="B765" s="15" t="str">
        <f t="shared" si="62"/>
        <v/>
      </c>
      <c r="C765" s="16" t="str">
        <f>IFERROR(VLOOKUP(DATA!#REF!,DATA!#REF!,1,FALSE),"")</f>
        <v/>
      </c>
      <c r="D765" s="16" t="str">
        <f>IFERROR(VLOOKUP(C765,DATA!#REF!,2,FALSE),"")</f>
        <v/>
      </c>
      <c r="I765" s="17"/>
      <c r="J765" s="17"/>
      <c r="P765" s="17"/>
      <c r="Q765" s="17"/>
    </row>
    <row r="766" spans="2:17">
      <c r="B766" s="15" t="str">
        <f t="shared" si="62"/>
        <v/>
      </c>
      <c r="C766" s="16" t="str">
        <f>IFERROR(VLOOKUP(DATA!#REF!,DATA!#REF!,1,FALSE),"")</f>
        <v/>
      </c>
      <c r="D766" s="16" t="str">
        <f>IFERROR(VLOOKUP(C766,DATA!#REF!,2,FALSE),"")</f>
        <v/>
      </c>
      <c r="I766" s="17"/>
      <c r="J766" s="17"/>
      <c r="P766" s="17"/>
      <c r="Q766" s="17"/>
    </row>
    <row r="767" spans="2:17">
      <c r="B767" s="15" t="str">
        <f t="shared" si="62"/>
        <v/>
      </c>
      <c r="C767" s="16" t="str">
        <f>IFERROR(VLOOKUP(DATA!#REF!,DATA!#REF!,1,FALSE),"")</f>
        <v/>
      </c>
      <c r="D767" s="16" t="str">
        <f>IFERROR(VLOOKUP(C767,DATA!#REF!,2,FALSE),"")</f>
        <v/>
      </c>
      <c r="I767" s="17"/>
      <c r="J767" s="17"/>
      <c r="P767" s="17"/>
      <c r="Q767" s="17"/>
    </row>
    <row r="768" spans="2:17">
      <c r="B768" s="15" t="str">
        <f t="shared" si="62"/>
        <v/>
      </c>
      <c r="C768" s="16" t="str">
        <f>IFERROR(VLOOKUP(DATA!#REF!,DATA!#REF!,1,FALSE),"")</f>
        <v/>
      </c>
      <c r="D768" s="16" t="str">
        <f>IFERROR(VLOOKUP(C768,DATA!#REF!,2,FALSE),"")</f>
        <v/>
      </c>
      <c r="I768" s="17"/>
      <c r="J768" s="17"/>
      <c r="P768" s="17"/>
      <c r="Q768" s="17"/>
    </row>
    <row r="769" spans="2:17">
      <c r="B769" s="15" t="str">
        <f t="shared" si="62"/>
        <v/>
      </c>
      <c r="C769" s="16" t="str">
        <f>IFERROR(VLOOKUP(DATA!#REF!,DATA!#REF!,1,FALSE),"")</f>
        <v/>
      </c>
      <c r="D769" s="16" t="str">
        <f>IFERROR(VLOOKUP(C769,DATA!#REF!,2,FALSE),"")</f>
        <v/>
      </c>
      <c r="I769" s="17"/>
      <c r="J769" s="17"/>
      <c r="P769" s="17"/>
      <c r="Q769" s="17"/>
    </row>
    <row r="770" spans="2:17">
      <c r="B770" s="15" t="str">
        <f t="shared" si="62"/>
        <v/>
      </c>
      <c r="C770" s="16" t="str">
        <f>IFERROR(VLOOKUP(DATA!#REF!,DATA!#REF!,1,FALSE),"")</f>
        <v/>
      </c>
      <c r="D770" s="16" t="str">
        <f>IFERROR(VLOOKUP(C770,DATA!#REF!,2,FALSE),"")</f>
        <v/>
      </c>
      <c r="I770" s="17"/>
      <c r="J770" s="17"/>
      <c r="P770" s="17"/>
      <c r="Q770" s="17"/>
    </row>
    <row r="771" spans="2:17">
      <c r="B771" s="15" t="str">
        <f t="shared" si="62"/>
        <v/>
      </c>
      <c r="C771" s="16" t="str">
        <f>IFERROR(VLOOKUP(DATA!#REF!,DATA!#REF!,1,FALSE),"")</f>
        <v/>
      </c>
      <c r="D771" s="16" t="str">
        <f>IFERROR(VLOOKUP(C771,DATA!#REF!,2,FALSE),"")</f>
        <v/>
      </c>
      <c r="I771" s="17"/>
      <c r="J771" s="17"/>
      <c r="P771" s="17"/>
      <c r="Q771" s="17"/>
    </row>
    <row r="772" spans="2:17">
      <c r="B772" s="15" t="str">
        <f t="shared" si="62"/>
        <v/>
      </c>
      <c r="C772" s="16" t="str">
        <f>IFERROR(VLOOKUP(DATA!#REF!,DATA!#REF!,1,FALSE),"")</f>
        <v/>
      </c>
      <c r="D772" s="16" t="str">
        <f>IFERROR(VLOOKUP(C772,DATA!#REF!,2,FALSE),"")</f>
        <v/>
      </c>
      <c r="I772" s="17"/>
      <c r="J772" s="17"/>
      <c r="P772" s="17"/>
      <c r="Q772" s="17"/>
    </row>
    <row r="773" spans="2:17">
      <c r="B773" s="15" t="str">
        <f t="shared" si="62"/>
        <v/>
      </c>
      <c r="C773" s="16" t="str">
        <f>IFERROR(VLOOKUP(DATA!#REF!,DATA!#REF!,1,FALSE),"")</f>
        <v/>
      </c>
      <c r="D773" s="16" t="str">
        <f>IFERROR(VLOOKUP(C773,DATA!#REF!,2,FALSE),"")</f>
        <v/>
      </c>
      <c r="I773" s="17"/>
      <c r="J773" s="17"/>
      <c r="P773" s="17"/>
      <c r="Q773" s="17"/>
    </row>
    <row r="774" spans="2:17">
      <c r="B774" s="15" t="str">
        <f t="shared" si="62"/>
        <v/>
      </c>
      <c r="C774" s="16" t="str">
        <f>IFERROR(VLOOKUP(DATA!#REF!,DATA!#REF!,1,FALSE),"")</f>
        <v/>
      </c>
      <c r="D774" s="16" t="str">
        <f>IFERROR(VLOOKUP(C774,DATA!#REF!,2,FALSE),"")</f>
        <v/>
      </c>
      <c r="I774" s="17"/>
      <c r="J774" s="17"/>
      <c r="P774" s="17"/>
      <c r="Q774" s="17"/>
    </row>
    <row r="775" spans="2:17">
      <c r="B775" s="15" t="str">
        <f t="shared" si="62"/>
        <v/>
      </c>
      <c r="C775" s="16" t="str">
        <f>IFERROR(VLOOKUP(DATA!#REF!,DATA!#REF!,1,FALSE),"")</f>
        <v/>
      </c>
      <c r="D775" s="16" t="str">
        <f>IFERROR(VLOOKUP(C775,DATA!#REF!,2,FALSE),"")</f>
        <v/>
      </c>
      <c r="I775" s="17"/>
      <c r="J775" s="17"/>
      <c r="P775" s="17"/>
      <c r="Q775" s="17"/>
    </row>
    <row r="776" spans="2:17">
      <c r="B776" s="15" t="str">
        <f t="shared" si="62"/>
        <v/>
      </c>
      <c r="C776" s="16" t="str">
        <f>IFERROR(VLOOKUP(DATA!#REF!,DATA!#REF!,1,FALSE),"")</f>
        <v/>
      </c>
      <c r="D776" s="16" t="str">
        <f>IFERROR(VLOOKUP(C776,DATA!#REF!,2,FALSE),"")</f>
        <v/>
      </c>
      <c r="I776" s="17"/>
      <c r="J776" s="17"/>
      <c r="P776" s="17"/>
      <c r="Q776" s="17"/>
    </row>
    <row r="777" spans="2:17">
      <c r="B777" s="15" t="str">
        <f t="shared" si="62"/>
        <v/>
      </c>
      <c r="C777" s="16" t="str">
        <f>IFERROR(VLOOKUP(DATA!#REF!,DATA!#REF!,1,FALSE),"")</f>
        <v/>
      </c>
      <c r="D777" s="16" t="str">
        <f>IFERROR(VLOOKUP(C777,DATA!#REF!,2,FALSE),"")</f>
        <v/>
      </c>
      <c r="I777" s="17"/>
      <c r="J777" s="17"/>
      <c r="P777" s="17"/>
      <c r="Q777" s="17"/>
    </row>
    <row r="778" spans="2:17">
      <c r="B778" s="15" t="str">
        <f t="shared" si="62"/>
        <v/>
      </c>
      <c r="C778" s="16" t="str">
        <f>IFERROR(VLOOKUP(DATA!#REF!,DATA!#REF!,1,FALSE),"")</f>
        <v/>
      </c>
      <c r="D778" s="16" t="str">
        <f>IFERROR(VLOOKUP(C778,DATA!#REF!,2,FALSE),"")</f>
        <v/>
      </c>
      <c r="I778" s="17"/>
      <c r="J778" s="17"/>
      <c r="P778" s="17"/>
      <c r="Q778" s="17"/>
    </row>
    <row r="779" spans="2:17">
      <c r="B779" s="15" t="str">
        <f t="shared" si="62"/>
        <v/>
      </c>
      <c r="C779" s="16" t="str">
        <f>IFERROR(VLOOKUP(DATA!#REF!,DATA!#REF!,1,FALSE),"")</f>
        <v/>
      </c>
      <c r="D779" s="16" t="str">
        <f>IFERROR(VLOOKUP(C779,DATA!#REF!,2,FALSE),"")</f>
        <v/>
      </c>
      <c r="I779" s="17"/>
      <c r="J779" s="17"/>
      <c r="P779" s="17"/>
      <c r="Q779" s="17"/>
    </row>
    <row r="780" spans="2:17">
      <c r="B780" s="15" t="str">
        <f t="shared" si="62"/>
        <v/>
      </c>
      <c r="C780" s="16" t="str">
        <f>IFERROR(VLOOKUP(DATA!#REF!,DATA!#REF!,1,FALSE),"")</f>
        <v/>
      </c>
      <c r="D780" s="16" t="str">
        <f>IFERROR(VLOOKUP(C780,DATA!#REF!,2,FALSE),"")</f>
        <v/>
      </c>
      <c r="I780" s="17"/>
      <c r="J780" s="17"/>
      <c r="P780" s="17"/>
      <c r="Q780" s="17"/>
    </row>
    <row r="781" spans="2:17">
      <c r="B781" s="15" t="str">
        <f t="shared" si="62"/>
        <v/>
      </c>
      <c r="C781" s="16" t="str">
        <f>IFERROR(VLOOKUP(DATA!#REF!,DATA!#REF!,1,FALSE),"")</f>
        <v/>
      </c>
      <c r="D781" s="16" t="str">
        <f>IFERROR(VLOOKUP(C781,DATA!#REF!,2,FALSE),"")</f>
        <v/>
      </c>
      <c r="I781" s="17"/>
      <c r="J781" s="17"/>
      <c r="P781" s="17"/>
      <c r="Q781" s="17"/>
    </row>
    <row r="782" spans="2:17">
      <c r="B782" s="15" t="str">
        <f t="shared" si="62"/>
        <v/>
      </c>
      <c r="C782" s="16" t="str">
        <f>IFERROR(VLOOKUP(DATA!#REF!,DATA!#REF!,1,FALSE),"")</f>
        <v/>
      </c>
      <c r="D782" s="16" t="str">
        <f>IFERROR(VLOOKUP(C782,DATA!#REF!,2,FALSE),"")</f>
        <v/>
      </c>
      <c r="I782" s="17"/>
      <c r="J782" s="17"/>
      <c r="P782" s="17"/>
      <c r="Q782" s="17"/>
    </row>
    <row r="783" spans="2:17">
      <c r="B783" s="15" t="str">
        <f t="shared" si="62"/>
        <v/>
      </c>
      <c r="C783" s="16" t="str">
        <f>IFERROR(VLOOKUP(DATA!#REF!,DATA!#REF!,1,FALSE),"")</f>
        <v/>
      </c>
      <c r="D783" s="16" t="str">
        <f>IFERROR(VLOOKUP(C783,DATA!#REF!,2,FALSE),"")</f>
        <v/>
      </c>
      <c r="I783" s="17"/>
      <c r="J783" s="17"/>
      <c r="P783" s="17"/>
      <c r="Q783" s="17"/>
    </row>
    <row r="784" spans="2:17">
      <c r="B784" s="15" t="str">
        <f t="shared" si="62"/>
        <v/>
      </c>
      <c r="C784" s="16" t="str">
        <f>IFERROR(VLOOKUP(DATA!#REF!,DATA!#REF!,1,FALSE),"")</f>
        <v/>
      </c>
      <c r="D784" s="16" t="str">
        <f>IFERROR(VLOOKUP(C784,DATA!#REF!,2,FALSE),"")</f>
        <v/>
      </c>
      <c r="I784" s="17"/>
      <c r="J784" s="17"/>
      <c r="P784" s="17"/>
      <c r="Q784" s="17"/>
    </row>
    <row r="785" spans="2:17">
      <c r="B785" s="15" t="str">
        <f t="shared" si="62"/>
        <v/>
      </c>
      <c r="C785" s="16" t="str">
        <f>IFERROR(VLOOKUP(DATA!#REF!,DATA!#REF!,1,FALSE),"")</f>
        <v/>
      </c>
      <c r="D785" s="16" t="str">
        <f>IFERROR(VLOOKUP(C785,DATA!#REF!,2,FALSE),"")</f>
        <v/>
      </c>
      <c r="I785" s="17"/>
      <c r="J785" s="17"/>
      <c r="P785" s="17"/>
      <c r="Q785" s="17"/>
    </row>
    <row r="786" spans="2:17">
      <c r="B786" s="15" t="str">
        <f t="shared" si="62"/>
        <v/>
      </c>
      <c r="C786" s="16" t="str">
        <f>IFERROR(VLOOKUP(DATA!#REF!,DATA!#REF!,1,FALSE),"")</f>
        <v/>
      </c>
      <c r="D786" s="16" t="str">
        <f>IFERROR(VLOOKUP(C786,DATA!#REF!,2,FALSE),"")</f>
        <v/>
      </c>
      <c r="I786" s="17"/>
      <c r="J786" s="17"/>
      <c r="P786" s="17"/>
      <c r="Q786" s="17"/>
    </row>
    <row r="787" spans="2:17">
      <c r="B787" s="15" t="str">
        <f t="shared" si="62"/>
        <v/>
      </c>
      <c r="C787" s="16" t="str">
        <f>IFERROR(VLOOKUP(DATA!#REF!,DATA!#REF!,1,FALSE),"")</f>
        <v/>
      </c>
      <c r="D787" s="16" t="str">
        <f>IFERROR(VLOOKUP(C787,DATA!#REF!,2,FALSE),"")</f>
        <v/>
      </c>
      <c r="I787" s="17"/>
      <c r="J787" s="17"/>
      <c r="P787" s="17"/>
      <c r="Q787" s="17"/>
    </row>
    <row r="788" spans="2:17">
      <c r="B788" s="15" t="str">
        <f t="shared" si="62"/>
        <v/>
      </c>
      <c r="C788" s="16" t="str">
        <f>IFERROR(VLOOKUP(DATA!#REF!,DATA!#REF!,1,FALSE),"")</f>
        <v/>
      </c>
      <c r="D788" s="16" t="str">
        <f>IFERROR(VLOOKUP(C788,DATA!#REF!,2,FALSE),"")</f>
        <v/>
      </c>
      <c r="I788" s="17"/>
      <c r="J788" s="17"/>
      <c r="P788" s="17"/>
      <c r="Q788" s="17"/>
    </row>
    <row r="789" spans="2:17">
      <c r="B789" s="15" t="str">
        <f t="shared" si="62"/>
        <v/>
      </c>
      <c r="C789" s="16" t="str">
        <f>IFERROR(VLOOKUP(DATA!#REF!,DATA!#REF!,1,FALSE),"")</f>
        <v/>
      </c>
      <c r="D789" s="16" t="str">
        <f>IFERROR(VLOOKUP(C789,DATA!#REF!,2,FALSE),"")</f>
        <v/>
      </c>
      <c r="I789" s="17"/>
      <c r="J789" s="17"/>
      <c r="P789" s="17"/>
      <c r="Q789" s="17"/>
    </row>
    <row r="790" spans="2:17">
      <c r="B790" s="15" t="str">
        <f t="shared" si="62"/>
        <v/>
      </c>
      <c r="C790" s="16" t="str">
        <f>IFERROR(VLOOKUP(DATA!#REF!,DATA!#REF!,1,FALSE),"")</f>
        <v/>
      </c>
      <c r="D790" s="16" t="str">
        <f>IFERROR(VLOOKUP(C790,DATA!#REF!,2,FALSE),"")</f>
        <v/>
      </c>
      <c r="I790" s="17"/>
      <c r="J790" s="17"/>
      <c r="P790" s="17"/>
      <c r="Q790" s="17"/>
    </row>
    <row r="791" spans="2:17">
      <c r="B791" s="15" t="str">
        <f t="shared" si="62"/>
        <v/>
      </c>
      <c r="C791" s="16" t="str">
        <f>IFERROR(VLOOKUP(DATA!#REF!,DATA!#REF!,1,FALSE),"")</f>
        <v/>
      </c>
      <c r="D791" s="16" t="str">
        <f>IFERROR(VLOOKUP(C791,DATA!#REF!,2,FALSE),"")</f>
        <v/>
      </c>
      <c r="I791" s="17"/>
      <c r="J791" s="17"/>
      <c r="P791" s="17"/>
      <c r="Q791" s="17"/>
    </row>
    <row r="792" spans="2:17">
      <c r="B792" s="15" t="str">
        <f t="shared" si="62"/>
        <v/>
      </c>
      <c r="C792" s="16" t="str">
        <f>IFERROR(VLOOKUP(DATA!#REF!,DATA!#REF!,1,FALSE),"")</f>
        <v/>
      </c>
      <c r="D792" s="16" t="str">
        <f>IFERROR(VLOOKUP(C792,DATA!#REF!,2,FALSE),"")</f>
        <v/>
      </c>
      <c r="I792" s="17"/>
      <c r="J792" s="17"/>
      <c r="P792" s="17"/>
      <c r="Q792" s="17"/>
    </row>
    <row r="793" spans="2:17">
      <c r="B793" s="15" t="str">
        <f t="shared" si="62"/>
        <v/>
      </c>
      <c r="C793" s="16" t="str">
        <f>IFERROR(VLOOKUP(DATA!#REF!,DATA!#REF!,1,FALSE),"")</f>
        <v/>
      </c>
      <c r="D793" s="16" t="str">
        <f>IFERROR(VLOOKUP(C793,DATA!#REF!,2,FALSE),"")</f>
        <v/>
      </c>
      <c r="I793" s="17"/>
      <c r="J793" s="17"/>
      <c r="P793" s="17"/>
      <c r="Q793" s="17"/>
    </row>
    <row r="794" spans="2:17">
      <c r="B794" s="15" t="str">
        <f t="shared" si="62"/>
        <v/>
      </c>
      <c r="C794" s="16" t="str">
        <f>IFERROR(VLOOKUP(DATA!#REF!,DATA!#REF!,1,FALSE),"")</f>
        <v/>
      </c>
      <c r="D794" s="16" t="str">
        <f>IFERROR(VLOOKUP(C794,DATA!#REF!,2,FALSE),"")</f>
        <v/>
      </c>
      <c r="I794" s="17"/>
      <c r="J794" s="17"/>
      <c r="P794" s="17"/>
      <c r="Q794" s="17"/>
    </row>
    <row r="795" spans="2:17">
      <c r="B795" s="15" t="str">
        <f t="shared" si="62"/>
        <v/>
      </c>
      <c r="C795" s="16" t="str">
        <f>IFERROR(VLOOKUP(DATA!#REF!,DATA!#REF!,1,FALSE),"")</f>
        <v/>
      </c>
      <c r="D795" s="16" t="str">
        <f>IFERROR(VLOOKUP(C795,DATA!#REF!,2,FALSE),"")</f>
        <v/>
      </c>
      <c r="I795" s="17"/>
      <c r="J795" s="17"/>
      <c r="P795" s="17"/>
      <c r="Q795" s="17"/>
    </row>
    <row r="796" spans="2:17">
      <c r="B796" s="15" t="str">
        <f t="shared" si="62"/>
        <v/>
      </c>
      <c r="C796" s="16" t="str">
        <f>IFERROR(VLOOKUP(DATA!#REF!,DATA!#REF!,1,FALSE),"")</f>
        <v/>
      </c>
      <c r="D796" s="16" t="str">
        <f>IFERROR(VLOOKUP(C796,DATA!#REF!,2,FALSE),"")</f>
        <v/>
      </c>
      <c r="I796" s="17"/>
      <c r="J796" s="17"/>
      <c r="P796" s="17"/>
      <c r="Q796" s="17"/>
    </row>
    <row r="797" spans="2:17">
      <c r="B797" s="15" t="str">
        <f t="shared" si="62"/>
        <v/>
      </c>
      <c r="C797" s="16" t="str">
        <f>IFERROR(VLOOKUP(DATA!#REF!,DATA!#REF!,1,FALSE),"")</f>
        <v/>
      </c>
      <c r="D797" s="16" t="str">
        <f>IFERROR(VLOOKUP(C797,DATA!#REF!,2,FALSE),"")</f>
        <v/>
      </c>
      <c r="I797" s="17"/>
      <c r="J797" s="17"/>
      <c r="P797" s="17"/>
      <c r="Q797" s="17"/>
    </row>
    <row r="798" spans="2:17">
      <c r="B798" s="15" t="str">
        <f t="shared" si="62"/>
        <v/>
      </c>
      <c r="C798" s="16" t="str">
        <f>IFERROR(VLOOKUP(DATA!#REF!,DATA!#REF!,1,FALSE),"")</f>
        <v/>
      </c>
      <c r="D798" s="16" t="str">
        <f>IFERROR(VLOOKUP(C798,DATA!#REF!,2,FALSE),"")</f>
        <v/>
      </c>
      <c r="I798" s="17"/>
      <c r="J798" s="17"/>
      <c r="P798" s="17"/>
      <c r="Q798" s="17"/>
    </row>
    <row r="799" spans="2:17">
      <c r="B799" s="15" t="str">
        <f t="shared" si="62"/>
        <v/>
      </c>
      <c r="C799" s="16" t="str">
        <f>IFERROR(VLOOKUP(DATA!#REF!,DATA!#REF!,1,FALSE),"")</f>
        <v/>
      </c>
      <c r="D799" s="16" t="str">
        <f>IFERROR(VLOOKUP(C799,DATA!#REF!,2,FALSE),"")</f>
        <v/>
      </c>
      <c r="I799" s="17"/>
      <c r="J799" s="17"/>
      <c r="P799" s="17"/>
      <c r="Q799" s="17"/>
    </row>
    <row r="800" spans="2:17">
      <c r="B800" s="15" t="str">
        <f t="shared" si="62"/>
        <v/>
      </c>
      <c r="C800" s="16" t="str">
        <f>IFERROR(VLOOKUP(DATA!#REF!,DATA!#REF!,1,FALSE),"")</f>
        <v/>
      </c>
      <c r="D800" s="16" t="str">
        <f>IFERROR(VLOOKUP(C800,DATA!#REF!,2,FALSE),"")</f>
        <v/>
      </c>
      <c r="I800" s="17"/>
      <c r="J800" s="17"/>
      <c r="P800" s="17"/>
      <c r="Q800" s="17"/>
    </row>
    <row r="801" spans="2:17">
      <c r="B801" s="15" t="str">
        <f t="shared" si="62"/>
        <v/>
      </c>
      <c r="C801" s="16" t="str">
        <f>IFERROR(VLOOKUP(DATA!#REF!,DATA!#REF!,1,FALSE),"")</f>
        <v/>
      </c>
      <c r="D801" s="16" t="str">
        <f>IFERROR(VLOOKUP(C801,DATA!#REF!,2,FALSE),"")</f>
        <v/>
      </c>
      <c r="I801" s="17"/>
      <c r="J801" s="17"/>
      <c r="P801" s="17"/>
      <c r="Q801" s="17"/>
    </row>
    <row r="802" spans="2:17">
      <c r="B802" s="15" t="str">
        <f t="shared" si="62"/>
        <v/>
      </c>
      <c r="C802" s="16" t="str">
        <f>IFERROR(VLOOKUP(DATA!#REF!,DATA!#REF!,1,FALSE),"")</f>
        <v/>
      </c>
      <c r="D802" s="16" t="str">
        <f>IFERROR(VLOOKUP(C802,DATA!#REF!,2,FALSE),"")</f>
        <v/>
      </c>
      <c r="I802" s="17"/>
      <c r="J802" s="17"/>
      <c r="P802" s="17"/>
      <c r="Q802" s="17"/>
    </row>
    <row r="803" spans="2:17">
      <c r="B803" s="15" t="str">
        <f t="shared" si="62"/>
        <v/>
      </c>
      <c r="C803" s="16" t="str">
        <f>IFERROR(VLOOKUP(DATA!#REF!,DATA!#REF!,1,FALSE),"")</f>
        <v/>
      </c>
      <c r="D803" s="16" t="str">
        <f>IFERROR(VLOOKUP(C803,DATA!#REF!,2,FALSE),"")</f>
        <v/>
      </c>
      <c r="I803" s="17"/>
      <c r="J803" s="17"/>
      <c r="P803" s="17"/>
      <c r="Q803" s="17"/>
    </row>
    <row r="804" spans="2:17">
      <c r="B804" s="15" t="str">
        <f t="shared" si="62"/>
        <v/>
      </c>
      <c r="C804" s="16" t="str">
        <f>IFERROR(VLOOKUP(DATA!#REF!,DATA!#REF!,1,FALSE),"")</f>
        <v/>
      </c>
      <c r="D804" s="16" t="str">
        <f>IFERROR(VLOOKUP(C804,DATA!#REF!,2,FALSE),"")</f>
        <v/>
      </c>
      <c r="I804" s="17"/>
      <c r="J804" s="17"/>
      <c r="P804" s="17"/>
      <c r="Q804" s="17"/>
    </row>
    <row r="805" spans="2:17">
      <c r="B805" s="15" t="str">
        <f t="shared" si="62"/>
        <v/>
      </c>
      <c r="C805" s="16" t="str">
        <f>IFERROR(VLOOKUP(DATA!#REF!,DATA!#REF!,1,FALSE),"")</f>
        <v/>
      </c>
      <c r="D805" s="16" t="str">
        <f>IFERROR(VLOOKUP(C805,DATA!#REF!,2,FALSE),"")</f>
        <v/>
      </c>
      <c r="I805" s="17"/>
      <c r="J805" s="17"/>
      <c r="P805" s="17"/>
      <c r="Q805" s="17"/>
    </row>
    <row r="806" spans="2:17">
      <c r="B806" s="15" t="str">
        <f t="shared" si="62"/>
        <v/>
      </c>
      <c r="C806" s="16" t="str">
        <f>IFERROR(VLOOKUP(DATA!#REF!,DATA!#REF!,1,FALSE),"")</f>
        <v/>
      </c>
      <c r="D806" s="16" t="str">
        <f>IFERROR(VLOOKUP(C806,DATA!#REF!,2,FALSE),"")</f>
        <v/>
      </c>
      <c r="I806" s="17"/>
      <c r="J806" s="17"/>
      <c r="P806" s="17"/>
      <c r="Q806" s="17"/>
    </row>
    <row r="807" spans="2:17">
      <c r="B807" s="15" t="str">
        <f t="shared" si="62"/>
        <v/>
      </c>
      <c r="C807" s="16" t="str">
        <f>IFERROR(VLOOKUP(DATA!#REF!,DATA!#REF!,1,FALSE),"")</f>
        <v/>
      </c>
      <c r="D807" s="16" t="str">
        <f>IFERROR(VLOOKUP(C807,DATA!#REF!,2,FALSE),"")</f>
        <v/>
      </c>
      <c r="I807" s="17"/>
      <c r="J807" s="17"/>
      <c r="P807" s="17"/>
      <c r="Q807" s="17"/>
    </row>
    <row r="808" spans="2:17">
      <c r="B808" s="15" t="str">
        <f t="shared" si="62"/>
        <v/>
      </c>
      <c r="C808" s="16" t="str">
        <f>IFERROR(VLOOKUP(DATA!#REF!,DATA!#REF!,1,FALSE),"")</f>
        <v/>
      </c>
      <c r="D808" s="16" t="str">
        <f>IFERROR(VLOOKUP(C808,DATA!#REF!,2,FALSE),"")</f>
        <v/>
      </c>
      <c r="I808" s="17"/>
      <c r="J808" s="17"/>
      <c r="P808" s="17"/>
      <c r="Q808" s="17"/>
    </row>
    <row r="809" spans="2:17">
      <c r="B809" s="15" t="str">
        <f t="shared" si="62"/>
        <v/>
      </c>
      <c r="C809" s="16" t="str">
        <f>IFERROR(VLOOKUP(DATA!#REF!,DATA!#REF!,1,FALSE),"")</f>
        <v/>
      </c>
      <c r="D809" s="16" t="str">
        <f>IFERROR(VLOOKUP(C809,DATA!#REF!,2,FALSE),"")</f>
        <v/>
      </c>
      <c r="I809" s="17"/>
      <c r="J809" s="17"/>
      <c r="P809" s="17"/>
      <c r="Q809" s="17"/>
    </row>
    <row r="810" spans="2:17">
      <c r="B810" s="15" t="str">
        <f t="shared" si="62"/>
        <v/>
      </c>
      <c r="C810" s="16" t="str">
        <f>IFERROR(VLOOKUP(DATA!#REF!,DATA!#REF!,1,FALSE),"")</f>
        <v/>
      </c>
      <c r="D810" s="16" t="str">
        <f>IFERROR(VLOOKUP(C810,DATA!#REF!,2,FALSE),"")</f>
        <v/>
      </c>
      <c r="I810" s="17"/>
      <c r="J810" s="17"/>
      <c r="P810" s="17"/>
      <c r="Q810" s="17"/>
    </row>
    <row r="811" spans="2:17">
      <c r="B811" s="15" t="str">
        <f t="shared" si="62"/>
        <v/>
      </c>
      <c r="C811" s="16" t="str">
        <f>IFERROR(VLOOKUP(DATA!#REF!,DATA!#REF!,1,FALSE),"")</f>
        <v/>
      </c>
      <c r="D811" s="16" t="str">
        <f>IFERROR(VLOOKUP(C811,DATA!#REF!,2,FALSE),"")</f>
        <v/>
      </c>
      <c r="I811" s="17"/>
      <c r="J811" s="17"/>
      <c r="P811" s="17"/>
      <c r="Q811" s="17"/>
    </row>
    <row r="812" spans="2:17">
      <c r="B812" s="15" t="str">
        <f t="shared" si="62"/>
        <v/>
      </c>
      <c r="C812" s="16" t="str">
        <f>IFERROR(VLOOKUP(DATA!#REF!,DATA!#REF!,1,FALSE),"")</f>
        <v/>
      </c>
      <c r="D812" s="16" t="str">
        <f>IFERROR(VLOOKUP(C812,DATA!#REF!,2,FALSE),"")</f>
        <v/>
      </c>
      <c r="I812" s="17"/>
      <c r="J812" s="17"/>
      <c r="P812" s="17"/>
      <c r="Q812" s="17"/>
    </row>
    <row r="813" spans="2:17">
      <c r="B813" s="15" t="str">
        <f t="shared" si="62"/>
        <v/>
      </c>
      <c r="C813" s="16" t="str">
        <f>IFERROR(VLOOKUP(DATA!#REF!,DATA!#REF!,1,FALSE),"")</f>
        <v/>
      </c>
      <c r="D813" s="16" t="str">
        <f>IFERROR(VLOOKUP(C813,DATA!#REF!,2,FALSE),"")</f>
        <v/>
      </c>
      <c r="I813" s="17"/>
      <c r="J813" s="17"/>
      <c r="P813" s="17"/>
      <c r="Q813" s="17"/>
    </row>
    <row r="814" spans="2:17">
      <c r="B814" s="15" t="str">
        <f t="shared" si="62"/>
        <v/>
      </c>
      <c r="C814" s="16" t="str">
        <f>IFERROR(VLOOKUP(DATA!#REF!,DATA!#REF!,1,FALSE),"")</f>
        <v/>
      </c>
      <c r="D814" s="16" t="str">
        <f>IFERROR(VLOOKUP(C814,DATA!#REF!,2,FALSE),"")</f>
        <v/>
      </c>
      <c r="I814" s="17"/>
      <c r="J814" s="17"/>
      <c r="P814" s="17"/>
      <c r="Q814" s="17"/>
    </row>
    <row r="815" spans="2:17">
      <c r="B815" s="15" t="str">
        <f t="shared" si="62"/>
        <v/>
      </c>
      <c r="C815" s="16" t="str">
        <f>IFERROR(VLOOKUP(DATA!#REF!,DATA!#REF!,1,FALSE),"")</f>
        <v/>
      </c>
      <c r="D815" s="16" t="str">
        <f>IFERROR(VLOOKUP(C815,DATA!#REF!,2,FALSE),"")</f>
        <v/>
      </c>
      <c r="I815" s="17"/>
      <c r="J815" s="17"/>
      <c r="P815" s="17"/>
      <c r="Q815" s="17"/>
    </row>
    <row r="816" spans="2:17">
      <c r="B816" s="15" t="str">
        <f t="shared" si="62"/>
        <v/>
      </c>
      <c r="C816" s="16" t="str">
        <f>IFERROR(VLOOKUP(DATA!#REF!,DATA!#REF!,1,FALSE),"")</f>
        <v/>
      </c>
      <c r="D816" s="16" t="str">
        <f>IFERROR(VLOOKUP(C816,DATA!#REF!,2,FALSE),"")</f>
        <v/>
      </c>
      <c r="I816" s="17"/>
      <c r="J816" s="17"/>
      <c r="P816" s="17"/>
      <c r="Q816" s="17"/>
    </row>
    <row r="817" spans="2:17">
      <c r="B817" s="15" t="str">
        <f t="shared" si="62"/>
        <v/>
      </c>
      <c r="C817" s="16" t="str">
        <f>IFERROR(VLOOKUP(DATA!#REF!,DATA!#REF!,1,FALSE),"")</f>
        <v/>
      </c>
      <c r="D817" s="16" t="str">
        <f>IFERROR(VLOOKUP(C817,DATA!#REF!,2,FALSE),"")</f>
        <v/>
      </c>
      <c r="I817" s="17"/>
      <c r="J817" s="17"/>
      <c r="P817" s="17"/>
      <c r="Q817" s="17"/>
    </row>
    <row r="818" spans="2:17">
      <c r="B818" s="15" t="str">
        <f t="shared" si="62"/>
        <v/>
      </c>
      <c r="C818" s="16" t="str">
        <f>IFERROR(VLOOKUP(DATA!#REF!,DATA!#REF!,1,FALSE),"")</f>
        <v/>
      </c>
      <c r="D818" s="16" t="str">
        <f>IFERROR(VLOOKUP(C818,DATA!#REF!,2,FALSE),"")</f>
        <v/>
      </c>
      <c r="I818" s="17"/>
      <c r="J818" s="17"/>
      <c r="P818" s="17"/>
      <c r="Q818" s="17"/>
    </row>
    <row r="819" spans="2:17">
      <c r="B819" s="15" t="str">
        <f t="shared" si="62"/>
        <v/>
      </c>
      <c r="C819" s="16" t="str">
        <f>IFERROR(VLOOKUP(DATA!#REF!,DATA!#REF!,1,FALSE),"")</f>
        <v/>
      </c>
      <c r="D819" s="16" t="str">
        <f>IFERROR(VLOOKUP(C819,DATA!#REF!,2,FALSE),"")</f>
        <v/>
      </c>
      <c r="I819" s="17"/>
      <c r="J819" s="17"/>
      <c r="P819" s="17"/>
      <c r="Q819" s="17"/>
    </row>
    <row r="820" spans="2:17">
      <c r="B820" s="15" t="str">
        <f t="shared" si="62"/>
        <v/>
      </c>
      <c r="C820" s="16" t="str">
        <f>IFERROR(VLOOKUP(DATA!#REF!,DATA!#REF!,1,FALSE),"")</f>
        <v/>
      </c>
      <c r="D820" s="16" t="str">
        <f>IFERROR(VLOOKUP(C820,DATA!#REF!,2,FALSE),"")</f>
        <v/>
      </c>
      <c r="I820" s="17"/>
      <c r="J820" s="17"/>
      <c r="P820" s="17"/>
      <c r="Q820" s="17"/>
    </row>
    <row r="821" spans="2:17">
      <c r="B821" s="15" t="str">
        <f t="shared" si="62"/>
        <v/>
      </c>
      <c r="C821" s="16" t="str">
        <f>IFERROR(VLOOKUP(DATA!#REF!,DATA!#REF!,1,FALSE),"")</f>
        <v/>
      </c>
      <c r="D821" s="16" t="str">
        <f>IFERROR(VLOOKUP(C821,DATA!#REF!,2,FALSE),"")</f>
        <v/>
      </c>
      <c r="I821" s="17"/>
      <c r="J821" s="17"/>
      <c r="P821" s="17"/>
      <c r="Q821" s="17"/>
    </row>
    <row r="822" spans="2:17">
      <c r="B822" s="15" t="str">
        <f t="shared" si="62"/>
        <v/>
      </c>
      <c r="C822" s="16" t="str">
        <f>IFERROR(VLOOKUP(DATA!#REF!,DATA!#REF!,1,FALSE),"")</f>
        <v/>
      </c>
      <c r="D822" s="16" t="str">
        <f>IFERROR(VLOOKUP(C822,DATA!#REF!,2,FALSE),"")</f>
        <v/>
      </c>
      <c r="I822" s="17"/>
      <c r="J822" s="17"/>
      <c r="P822" s="17"/>
      <c r="Q822" s="17"/>
    </row>
    <row r="823" spans="2:17">
      <c r="B823" s="15" t="str">
        <f t="shared" ref="B823:B886" si="63">+IF(C823="","",ROW()-5)</f>
        <v/>
      </c>
      <c r="C823" s="16" t="str">
        <f>IFERROR(VLOOKUP(DATA!#REF!,DATA!#REF!,1,FALSE),"")</f>
        <v/>
      </c>
      <c r="D823" s="16" t="str">
        <f>IFERROR(VLOOKUP(C823,DATA!#REF!,2,FALSE),"")</f>
        <v/>
      </c>
      <c r="I823" s="17"/>
      <c r="J823" s="17"/>
      <c r="P823" s="17"/>
      <c r="Q823" s="17"/>
    </row>
    <row r="824" spans="2:17">
      <c r="B824" s="15" t="str">
        <f t="shared" si="63"/>
        <v/>
      </c>
      <c r="C824" s="16" t="str">
        <f>IFERROR(VLOOKUP(DATA!#REF!,DATA!#REF!,1,FALSE),"")</f>
        <v/>
      </c>
      <c r="D824" s="16" t="str">
        <f>IFERROR(VLOOKUP(C824,DATA!#REF!,2,FALSE),"")</f>
        <v/>
      </c>
      <c r="I824" s="17"/>
      <c r="J824" s="17"/>
      <c r="P824" s="17"/>
      <c r="Q824" s="17"/>
    </row>
    <row r="825" spans="2:17">
      <c r="B825" s="15" t="str">
        <f t="shared" si="63"/>
        <v/>
      </c>
      <c r="C825" s="16" t="str">
        <f>IFERROR(VLOOKUP(DATA!#REF!,DATA!#REF!,1,FALSE),"")</f>
        <v/>
      </c>
      <c r="D825" s="16" t="str">
        <f>IFERROR(VLOOKUP(C825,DATA!#REF!,2,FALSE),"")</f>
        <v/>
      </c>
      <c r="I825" s="17"/>
      <c r="J825" s="17"/>
      <c r="P825" s="17"/>
      <c r="Q825" s="17"/>
    </row>
    <row r="826" spans="2:17">
      <c r="B826" s="15" t="str">
        <f t="shared" si="63"/>
        <v/>
      </c>
      <c r="C826" s="16" t="str">
        <f>IFERROR(VLOOKUP(DATA!#REF!,DATA!#REF!,1,FALSE),"")</f>
        <v/>
      </c>
      <c r="D826" s="16" t="str">
        <f>IFERROR(VLOOKUP(C826,DATA!#REF!,2,FALSE),"")</f>
        <v/>
      </c>
      <c r="I826" s="17"/>
      <c r="J826" s="17"/>
      <c r="P826" s="17"/>
      <c r="Q826" s="17"/>
    </row>
    <row r="827" spans="2:17">
      <c r="B827" s="15" t="str">
        <f t="shared" si="63"/>
        <v/>
      </c>
      <c r="C827" s="16" t="str">
        <f>IFERROR(VLOOKUP(DATA!#REF!,DATA!#REF!,1,FALSE),"")</f>
        <v/>
      </c>
      <c r="D827" s="16" t="str">
        <f>IFERROR(VLOOKUP(C827,DATA!#REF!,2,FALSE),"")</f>
        <v/>
      </c>
      <c r="I827" s="17"/>
      <c r="J827" s="17"/>
      <c r="P827" s="17"/>
      <c r="Q827" s="17"/>
    </row>
    <row r="828" spans="2:17">
      <c r="B828" s="15" t="str">
        <f t="shared" si="63"/>
        <v/>
      </c>
      <c r="C828" s="16" t="str">
        <f>IFERROR(VLOOKUP(DATA!#REF!,DATA!#REF!,1,FALSE),"")</f>
        <v/>
      </c>
      <c r="D828" s="16" t="str">
        <f>IFERROR(VLOOKUP(C828,DATA!#REF!,2,FALSE),"")</f>
        <v/>
      </c>
      <c r="I828" s="17"/>
      <c r="J828" s="17"/>
      <c r="P828" s="17"/>
      <c r="Q828" s="17"/>
    </row>
    <row r="829" spans="2:17">
      <c r="B829" s="15" t="str">
        <f t="shared" si="63"/>
        <v/>
      </c>
      <c r="C829" s="16" t="str">
        <f>IFERROR(VLOOKUP(DATA!#REF!,DATA!#REF!,1,FALSE),"")</f>
        <v/>
      </c>
      <c r="D829" s="16" t="str">
        <f>IFERROR(VLOOKUP(C829,DATA!#REF!,2,FALSE),"")</f>
        <v/>
      </c>
      <c r="I829" s="17"/>
      <c r="J829" s="17"/>
      <c r="P829" s="17"/>
      <c r="Q829" s="17"/>
    </row>
    <row r="830" spans="2:17">
      <c r="B830" s="15" t="str">
        <f t="shared" si="63"/>
        <v/>
      </c>
      <c r="C830" s="16" t="str">
        <f>IFERROR(VLOOKUP(DATA!#REF!,DATA!#REF!,1,FALSE),"")</f>
        <v/>
      </c>
      <c r="D830" s="16" t="str">
        <f>IFERROR(VLOOKUP(C830,DATA!#REF!,2,FALSE),"")</f>
        <v/>
      </c>
      <c r="I830" s="17"/>
      <c r="J830" s="17"/>
      <c r="P830" s="17"/>
      <c r="Q830" s="17"/>
    </row>
    <row r="831" spans="2:17">
      <c r="B831" s="15" t="str">
        <f t="shared" si="63"/>
        <v/>
      </c>
      <c r="C831" s="16" t="str">
        <f>IFERROR(VLOOKUP(DATA!#REF!,DATA!#REF!,1,FALSE),"")</f>
        <v/>
      </c>
      <c r="D831" s="16" t="str">
        <f>IFERROR(VLOOKUP(C831,DATA!#REF!,2,FALSE),"")</f>
        <v/>
      </c>
      <c r="I831" s="17"/>
      <c r="J831" s="17"/>
      <c r="P831" s="17"/>
      <c r="Q831" s="17"/>
    </row>
    <row r="832" spans="2:17">
      <c r="B832" s="15" t="str">
        <f t="shared" si="63"/>
        <v/>
      </c>
      <c r="C832" s="16" t="str">
        <f>IFERROR(VLOOKUP(DATA!#REF!,DATA!#REF!,1,FALSE),"")</f>
        <v/>
      </c>
      <c r="D832" s="16" t="str">
        <f>IFERROR(VLOOKUP(C832,DATA!#REF!,2,FALSE),"")</f>
        <v/>
      </c>
      <c r="I832" s="17"/>
      <c r="J832" s="17"/>
      <c r="P832" s="17"/>
      <c r="Q832" s="17"/>
    </row>
    <row r="833" spans="2:17">
      <c r="B833" s="15" t="str">
        <f t="shared" si="63"/>
        <v/>
      </c>
      <c r="C833" s="16" t="str">
        <f>IFERROR(VLOOKUP(DATA!#REF!,DATA!#REF!,1,FALSE),"")</f>
        <v/>
      </c>
      <c r="D833" s="16" t="str">
        <f>IFERROR(VLOOKUP(C833,DATA!#REF!,2,FALSE),"")</f>
        <v/>
      </c>
      <c r="I833" s="17"/>
      <c r="J833" s="17"/>
      <c r="P833" s="17"/>
      <c r="Q833" s="17"/>
    </row>
    <row r="834" spans="2:17">
      <c r="B834" s="15" t="str">
        <f t="shared" si="63"/>
        <v/>
      </c>
      <c r="C834" s="16" t="str">
        <f>IFERROR(VLOOKUP(DATA!#REF!,DATA!#REF!,1,FALSE),"")</f>
        <v/>
      </c>
      <c r="D834" s="16" t="str">
        <f>IFERROR(VLOOKUP(C834,DATA!#REF!,2,FALSE),"")</f>
        <v/>
      </c>
      <c r="I834" s="17"/>
      <c r="J834" s="17"/>
      <c r="P834" s="17"/>
      <c r="Q834" s="17"/>
    </row>
    <row r="835" spans="2:17">
      <c r="B835" s="15" t="str">
        <f t="shared" si="63"/>
        <v/>
      </c>
      <c r="C835" s="16" t="str">
        <f>IFERROR(VLOOKUP(DATA!#REF!,DATA!#REF!,1,FALSE),"")</f>
        <v/>
      </c>
      <c r="D835" s="16" t="str">
        <f>IFERROR(VLOOKUP(C835,DATA!#REF!,2,FALSE),"")</f>
        <v/>
      </c>
      <c r="I835" s="17"/>
      <c r="J835" s="17"/>
      <c r="P835" s="17"/>
      <c r="Q835" s="17"/>
    </row>
    <row r="836" spans="2:17">
      <c r="B836" s="15" t="str">
        <f t="shared" si="63"/>
        <v/>
      </c>
      <c r="C836" s="16" t="str">
        <f>IFERROR(VLOOKUP(DATA!#REF!,DATA!#REF!,1,FALSE),"")</f>
        <v/>
      </c>
      <c r="D836" s="16" t="str">
        <f>IFERROR(VLOOKUP(C836,DATA!#REF!,2,FALSE),"")</f>
        <v/>
      </c>
      <c r="I836" s="17"/>
      <c r="J836" s="17"/>
      <c r="P836" s="17"/>
      <c r="Q836" s="17"/>
    </row>
    <row r="837" spans="2:17">
      <c r="B837" s="15" t="str">
        <f t="shared" si="63"/>
        <v/>
      </c>
      <c r="C837" s="16" t="str">
        <f>IFERROR(VLOOKUP(DATA!#REF!,DATA!#REF!,1,FALSE),"")</f>
        <v/>
      </c>
      <c r="D837" s="16" t="str">
        <f>IFERROR(VLOOKUP(C837,DATA!#REF!,2,FALSE),"")</f>
        <v/>
      </c>
      <c r="I837" s="17"/>
      <c r="J837" s="17"/>
      <c r="P837" s="17"/>
      <c r="Q837" s="17"/>
    </row>
    <row r="838" spans="2:17">
      <c r="B838" s="15" t="str">
        <f t="shared" si="63"/>
        <v/>
      </c>
      <c r="C838" s="16" t="str">
        <f>IFERROR(VLOOKUP(DATA!#REF!,DATA!#REF!,1,FALSE),"")</f>
        <v/>
      </c>
      <c r="D838" s="16" t="str">
        <f>IFERROR(VLOOKUP(C838,DATA!#REF!,2,FALSE),"")</f>
        <v/>
      </c>
      <c r="I838" s="17"/>
      <c r="J838" s="17"/>
      <c r="P838" s="17"/>
      <c r="Q838" s="17"/>
    </row>
    <row r="839" spans="2:17">
      <c r="B839" s="15" t="str">
        <f t="shared" si="63"/>
        <v/>
      </c>
      <c r="C839" s="16" t="str">
        <f>IFERROR(VLOOKUP(DATA!#REF!,DATA!#REF!,1,FALSE),"")</f>
        <v/>
      </c>
      <c r="D839" s="16" t="str">
        <f>IFERROR(VLOOKUP(C839,DATA!#REF!,2,FALSE),"")</f>
        <v/>
      </c>
      <c r="I839" s="17"/>
      <c r="J839" s="17"/>
      <c r="P839" s="17"/>
      <c r="Q839" s="17"/>
    </row>
    <row r="840" spans="2:17">
      <c r="B840" s="15" t="str">
        <f t="shared" si="63"/>
        <v/>
      </c>
      <c r="C840" s="16" t="str">
        <f>IFERROR(VLOOKUP(DATA!#REF!,DATA!#REF!,1,FALSE),"")</f>
        <v/>
      </c>
      <c r="D840" s="16" t="str">
        <f>IFERROR(VLOOKUP(C840,DATA!#REF!,2,FALSE),"")</f>
        <v/>
      </c>
      <c r="I840" s="17"/>
      <c r="J840" s="17"/>
      <c r="P840" s="17"/>
      <c r="Q840" s="17"/>
    </row>
    <row r="841" spans="2:17">
      <c r="B841" s="15" t="str">
        <f t="shared" si="63"/>
        <v/>
      </c>
      <c r="C841" s="16" t="str">
        <f>IFERROR(VLOOKUP(DATA!#REF!,DATA!#REF!,1,FALSE),"")</f>
        <v/>
      </c>
      <c r="D841" s="16" t="str">
        <f>IFERROR(VLOOKUP(C841,DATA!#REF!,2,FALSE),"")</f>
        <v/>
      </c>
      <c r="I841" s="17"/>
      <c r="J841" s="17"/>
      <c r="P841" s="17"/>
      <c r="Q841" s="17"/>
    </row>
    <row r="842" spans="2:17">
      <c r="B842" s="15" t="str">
        <f t="shared" si="63"/>
        <v/>
      </c>
      <c r="C842" s="16" t="str">
        <f>IFERROR(VLOOKUP(DATA!#REF!,DATA!#REF!,1,FALSE),"")</f>
        <v/>
      </c>
      <c r="D842" s="16" t="str">
        <f>IFERROR(VLOOKUP(C842,DATA!#REF!,2,FALSE),"")</f>
        <v/>
      </c>
      <c r="I842" s="17"/>
      <c r="J842" s="17"/>
      <c r="P842" s="17"/>
      <c r="Q842" s="17"/>
    </row>
    <row r="843" spans="2:17">
      <c r="B843" s="15" t="str">
        <f t="shared" si="63"/>
        <v/>
      </c>
      <c r="C843" s="16" t="str">
        <f>IFERROR(VLOOKUP(DATA!#REF!,DATA!#REF!,1,FALSE),"")</f>
        <v/>
      </c>
      <c r="D843" s="16" t="str">
        <f>IFERROR(VLOOKUP(C843,DATA!#REF!,2,FALSE),"")</f>
        <v/>
      </c>
      <c r="I843" s="17"/>
      <c r="J843" s="17"/>
      <c r="P843" s="17"/>
      <c r="Q843" s="17"/>
    </row>
    <row r="844" spans="2:17">
      <c r="B844" s="15" t="str">
        <f t="shared" si="63"/>
        <v/>
      </c>
      <c r="C844" s="16" t="str">
        <f>IFERROR(VLOOKUP(DATA!#REF!,DATA!#REF!,1,FALSE),"")</f>
        <v/>
      </c>
      <c r="D844" s="16" t="str">
        <f>IFERROR(VLOOKUP(C844,DATA!#REF!,2,FALSE),"")</f>
        <v/>
      </c>
      <c r="I844" s="17"/>
      <c r="J844" s="17"/>
      <c r="P844" s="17"/>
      <c r="Q844" s="17"/>
    </row>
    <row r="845" spans="2:17">
      <c r="B845" s="15" t="str">
        <f t="shared" si="63"/>
        <v/>
      </c>
      <c r="C845" s="16" t="str">
        <f>IFERROR(VLOOKUP(DATA!#REF!,DATA!#REF!,1,FALSE),"")</f>
        <v/>
      </c>
      <c r="D845" s="16" t="str">
        <f>IFERROR(VLOOKUP(C845,DATA!#REF!,2,FALSE),"")</f>
        <v/>
      </c>
      <c r="I845" s="17"/>
      <c r="J845" s="17"/>
      <c r="P845" s="17"/>
      <c r="Q845" s="17"/>
    </row>
    <row r="846" spans="2:17">
      <c r="B846" s="15" t="str">
        <f t="shared" si="63"/>
        <v/>
      </c>
      <c r="C846" s="16" t="str">
        <f>IFERROR(VLOOKUP(DATA!#REF!,DATA!#REF!,1,FALSE),"")</f>
        <v/>
      </c>
      <c r="D846" s="16" t="str">
        <f>IFERROR(VLOOKUP(C846,DATA!#REF!,2,FALSE),"")</f>
        <v/>
      </c>
      <c r="I846" s="17"/>
      <c r="J846" s="17"/>
      <c r="P846" s="17"/>
      <c r="Q846" s="17"/>
    </row>
    <row r="847" spans="2:17">
      <c r="B847" s="15" t="str">
        <f t="shared" si="63"/>
        <v/>
      </c>
      <c r="C847" s="16" t="str">
        <f>IFERROR(VLOOKUP(DATA!#REF!,DATA!#REF!,1,FALSE),"")</f>
        <v/>
      </c>
      <c r="D847" s="16" t="str">
        <f>IFERROR(VLOOKUP(C847,DATA!#REF!,2,FALSE),"")</f>
        <v/>
      </c>
      <c r="I847" s="17"/>
      <c r="J847" s="17"/>
      <c r="P847" s="17"/>
      <c r="Q847" s="17"/>
    </row>
    <row r="848" spans="2:17">
      <c r="B848" s="15" t="str">
        <f t="shared" si="63"/>
        <v/>
      </c>
      <c r="C848" s="16" t="str">
        <f>IFERROR(VLOOKUP(DATA!#REF!,DATA!#REF!,1,FALSE),"")</f>
        <v/>
      </c>
      <c r="D848" s="16" t="str">
        <f>IFERROR(VLOOKUP(C848,DATA!#REF!,2,FALSE),"")</f>
        <v/>
      </c>
      <c r="I848" s="17"/>
      <c r="J848" s="17"/>
      <c r="P848" s="17"/>
      <c r="Q848" s="17"/>
    </row>
    <row r="849" spans="2:17">
      <c r="B849" s="15" t="str">
        <f t="shared" si="63"/>
        <v/>
      </c>
      <c r="C849" s="16" t="str">
        <f>IFERROR(VLOOKUP(DATA!#REF!,DATA!#REF!,1,FALSE),"")</f>
        <v/>
      </c>
      <c r="D849" s="16" t="str">
        <f>IFERROR(VLOOKUP(C849,DATA!#REF!,2,FALSE),"")</f>
        <v/>
      </c>
      <c r="I849" s="17"/>
      <c r="J849" s="17"/>
      <c r="P849" s="17"/>
      <c r="Q849" s="17"/>
    </row>
    <row r="850" spans="2:17">
      <c r="B850" s="15" t="str">
        <f t="shared" si="63"/>
        <v/>
      </c>
      <c r="C850" s="16" t="str">
        <f>IFERROR(VLOOKUP(DATA!#REF!,DATA!#REF!,1,FALSE),"")</f>
        <v/>
      </c>
      <c r="D850" s="16" t="str">
        <f>IFERROR(VLOOKUP(C850,DATA!#REF!,2,FALSE),"")</f>
        <v/>
      </c>
      <c r="I850" s="17"/>
      <c r="J850" s="17"/>
      <c r="P850" s="17"/>
      <c r="Q850" s="17"/>
    </row>
    <row r="851" spans="2:17">
      <c r="B851" s="15" t="str">
        <f t="shared" si="63"/>
        <v/>
      </c>
      <c r="C851" s="16" t="str">
        <f>IFERROR(VLOOKUP(DATA!#REF!,DATA!#REF!,1,FALSE),"")</f>
        <v/>
      </c>
      <c r="D851" s="16" t="str">
        <f>IFERROR(VLOOKUP(C851,DATA!#REF!,2,FALSE),"")</f>
        <v/>
      </c>
      <c r="I851" s="17"/>
      <c r="J851" s="17"/>
      <c r="P851" s="17"/>
      <c r="Q851" s="17"/>
    </row>
    <row r="852" spans="2:17">
      <c r="B852" s="15" t="str">
        <f t="shared" si="63"/>
        <v/>
      </c>
      <c r="C852" s="16" t="str">
        <f>IFERROR(VLOOKUP(DATA!#REF!,DATA!#REF!,1,FALSE),"")</f>
        <v/>
      </c>
      <c r="D852" s="16" t="str">
        <f>IFERROR(VLOOKUP(C852,DATA!#REF!,2,FALSE),"")</f>
        <v/>
      </c>
      <c r="I852" s="17"/>
      <c r="J852" s="17"/>
      <c r="P852" s="17"/>
      <c r="Q852" s="17"/>
    </row>
    <row r="853" spans="2:17">
      <c r="B853" s="15" t="str">
        <f t="shared" si="63"/>
        <v/>
      </c>
      <c r="C853" s="16" t="str">
        <f>IFERROR(VLOOKUP(DATA!#REF!,DATA!#REF!,1,FALSE),"")</f>
        <v/>
      </c>
      <c r="D853" s="16" t="str">
        <f>IFERROR(VLOOKUP(C853,DATA!#REF!,2,FALSE),"")</f>
        <v/>
      </c>
      <c r="I853" s="17"/>
      <c r="J853" s="17"/>
      <c r="P853" s="17"/>
      <c r="Q853" s="17"/>
    </row>
    <row r="854" spans="2:17">
      <c r="B854" s="15" t="str">
        <f t="shared" si="63"/>
        <v/>
      </c>
      <c r="C854" s="16" t="str">
        <f>IFERROR(VLOOKUP(DATA!#REF!,DATA!#REF!,1,FALSE),"")</f>
        <v/>
      </c>
      <c r="D854" s="16" t="str">
        <f>IFERROR(VLOOKUP(C854,DATA!#REF!,2,FALSE),"")</f>
        <v/>
      </c>
      <c r="I854" s="17"/>
      <c r="J854" s="17"/>
      <c r="P854" s="17"/>
      <c r="Q854" s="17"/>
    </row>
    <row r="855" spans="2:17">
      <c r="B855" s="15" t="str">
        <f t="shared" si="63"/>
        <v/>
      </c>
      <c r="C855" s="16" t="str">
        <f>IFERROR(VLOOKUP(DATA!#REF!,DATA!#REF!,1,FALSE),"")</f>
        <v/>
      </c>
      <c r="D855" s="16" t="str">
        <f>IFERROR(VLOOKUP(C855,DATA!#REF!,2,FALSE),"")</f>
        <v/>
      </c>
      <c r="I855" s="17"/>
      <c r="J855" s="17"/>
      <c r="P855" s="17"/>
      <c r="Q855" s="17"/>
    </row>
    <row r="856" spans="2:17">
      <c r="B856" s="15" t="str">
        <f t="shared" si="63"/>
        <v/>
      </c>
      <c r="C856" s="16" t="str">
        <f>IFERROR(VLOOKUP(DATA!#REF!,DATA!#REF!,1,FALSE),"")</f>
        <v/>
      </c>
      <c r="D856" s="16" t="str">
        <f>IFERROR(VLOOKUP(C856,DATA!#REF!,2,FALSE),"")</f>
        <v/>
      </c>
      <c r="I856" s="17"/>
      <c r="J856" s="17"/>
      <c r="P856" s="17"/>
      <c r="Q856" s="17"/>
    </row>
    <row r="857" spans="2:17">
      <c r="B857" s="15" t="str">
        <f t="shared" si="63"/>
        <v/>
      </c>
      <c r="C857" s="16" t="str">
        <f>IFERROR(VLOOKUP(DATA!#REF!,DATA!#REF!,1,FALSE),"")</f>
        <v/>
      </c>
      <c r="D857" s="16" t="str">
        <f>IFERROR(VLOOKUP(C857,DATA!#REF!,2,FALSE),"")</f>
        <v/>
      </c>
      <c r="I857" s="17"/>
      <c r="J857" s="17"/>
      <c r="P857" s="17"/>
      <c r="Q857" s="17"/>
    </row>
    <row r="858" spans="2:17">
      <c r="B858" s="15" t="str">
        <f t="shared" si="63"/>
        <v/>
      </c>
      <c r="C858" s="16" t="str">
        <f>IFERROR(VLOOKUP(DATA!#REF!,DATA!#REF!,1,FALSE),"")</f>
        <v/>
      </c>
      <c r="D858" s="16" t="str">
        <f>IFERROR(VLOOKUP(C858,DATA!#REF!,2,FALSE),"")</f>
        <v/>
      </c>
      <c r="I858" s="17"/>
      <c r="J858" s="17"/>
      <c r="P858" s="17"/>
      <c r="Q858" s="17"/>
    </row>
    <row r="859" spans="2:17">
      <c r="B859" s="15" t="str">
        <f t="shared" si="63"/>
        <v/>
      </c>
      <c r="C859" s="16" t="str">
        <f>IFERROR(VLOOKUP(DATA!#REF!,DATA!#REF!,1,FALSE),"")</f>
        <v/>
      </c>
      <c r="D859" s="16" t="str">
        <f>IFERROR(VLOOKUP(C859,DATA!#REF!,2,FALSE),"")</f>
        <v/>
      </c>
      <c r="I859" s="17"/>
      <c r="J859" s="17"/>
      <c r="P859" s="17"/>
      <c r="Q859" s="17"/>
    </row>
    <row r="860" spans="2:17">
      <c r="B860" s="15" t="str">
        <f t="shared" si="63"/>
        <v/>
      </c>
      <c r="C860" s="16" t="str">
        <f>IFERROR(VLOOKUP(DATA!#REF!,DATA!#REF!,1,FALSE),"")</f>
        <v/>
      </c>
      <c r="D860" s="16" t="str">
        <f>IFERROR(VLOOKUP(C860,DATA!#REF!,2,FALSE),"")</f>
        <v/>
      </c>
      <c r="I860" s="17"/>
      <c r="J860" s="17"/>
      <c r="P860" s="17"/>
      <c r="Q860" s="17"/>
    </row>
    <row r="861" spans="2:17">
      <c r="B861" s="15" t="str">
        <f t="shared" si="63"/>
        <v/>
      </c>
      <c r="C861" s="16" t="str">
        <f>IFERROR(VLOOKUP(DATA!#REF!,DATA!#REF!,1,FALSE),"")</f>
        <v/>
      </c>
      <c r="D861" s="16" t="str">
        <f>IFERROR(VLOOKUP(C861,DATA!#REF!,2,FALSE),"")</f>
        <v/>
      </c>
      <c r="I861" s="17"/>
      <c r="J861" s="17"/>
      <c r="P861" s="17"/>
      <c r="Q861" s="17"/>
    </row>
    <row r="862" spans="2:17">
      <c r="B862" s="15" t="str">
        <f t="shared" si="63"/>
        <v/>
      </c>
      <c r="C862" s="16" t="str">
        <f>IFERROR(VLOOKUP(DATA!#REF!,DATA!#REF!,1,FALSE),"")</f>
        <v/>
      </c>
      <c r="D862" s="16" t="str">
        <f>IFERROR(VLOOKUP(C862,DATA!#REF!,2,FALSE),"")</f>
        <v/>
      </c>
      <c r="I862" s="17"/>
      <c r="J862" s="17"/>
      <c r="P862" s="17"/>
      <c r="Q862" s="17"/>
    </row>
    <row r="863" spans="2:17">
      <c r="B863" s="15" t="str">
        <f t="shared" si="63"/>
        <v/>
      </c>
      <c r="C863" s="16" t="str">
        <f>IFERROR(VLOOKUP(DATA!#REF!,DATA!#REF!,1,FALSE),"")</f>
        <v/>
      </c>
      <c r="D863" s="16" t="str">
        <f>IFERROR(VLOOKUP(C863,DATA!#REF!,2,FALSE),"")</f>
        <v/>
      </c>
      <c r="I863" s="17"/>
      <c r="J863" s="17"/>
      <c r="P863" s="17"/>
      <c r="Q863" s="17"/>
    </row>
    <row r="864" spans="2:17">
      <c r="B864" s="15" t="str">
        <f t="shared" si="63"/>
        <v/>
      </c>
      <c r="C864" s="16" t="str">
        <f>IFERROR(VLOOKUP(DATA!#REF!,DATA!#REF!,1,FALSE),"")</f>
        <v/>
      </c>
      <c r="D864" s="16" t="str">
        <f>IFERROR(VLOOKUP(C864,DATA!#REF!,2,FALSE),"")</f>
        <v/>
      </c>
      <c r="I864" s="17"/>
      <c r="J864" s="17"/>
      <c r="P864" s="17"/>
      <c r="Q864" s="17"/>
    </row>
    <row r="865" spans="2:17">
      <c r="B865" s="15" t="str">
        <f t="shared" si="63"/>
        <v/>
      </c>
      <c r="C865" s="16" t="str">
        <f>IFERROR(VLOOKUP(DATA!#REF!,DATA!#REF!,1,FALSE),"")</f>
        <v/>
      </c>
      <c r="D865" s="16" t="str">
        <f>IFERROR(VLOOKUP(C865,DATA!#REF!,2,FALSE),"")</f>
        <v/>
      </c>
      <c r="I865" s="17"/>
      <c r="J865" s="17"/>
      <c r="P865" s="17"/>
      <c r="Q865" s="17"/>
    </row>
    <row r="866" spans="2:17">
      <c r="B866" s="15" t="str">
        <f t="shared" si="63"/>
        <v/>
      </c>
      <c r="C866" s="16" t="str">
        <f>IFERROR(VLOOKUP(DATA!#REF!,DATA!#REF!,1,FALSE),"")</f>
        <v/>
      </c>
      <c r="D866" s="16" t="str">
        <f>IFERROR(VLOOKUP(C866,DATA!#REF!,2,FALSE),"")</f>
        <v/>
      </c>
      <c r="I866" s="17"/>
      <c r="J866" s="17"/>
      <c r="P866" s="17"/>
      <c r="Q866" s="17"/>
    </row>
    <row r="867" spans="2:17">
      <c r="B867" s="15" t="str">
        <f t="shared" si="63"/>
        <v/>
      </c>
      <c r="C867" s="16" t="str">
        <f>IFERROR(VLOOKUP(DATA!#REF!,DATA!#REF!,1,FALSE),"")</f>
        <v/>
      </c>
      <c r="D867" s="16" t="str">
        <f>IFERROR(VLOOKUP(C867,DATA!#REF!,2,FALSE),"")</f>
        <v/>
      </c>
      <c r="I867" s="17"/>
      <c r="J867" s="17"/>
      <c r="P867" s="17"/>
      <c r="Q867" s="17"/>
    </row>
    <row r="868" spans="2:17">
      <c r="B868" s="15" t="str">
        <f t="shared" si="63"/>
        <v/>
      </c>
      <c r="C868" s="16" t="str">
        <f>IFERROR(VLOOKUP(DATA!#REF!,DATA!#REF!,1,FALSE),"")</f>
        <v/>
      </c>
      <c r="D868" s="16" t="str">
        <f>IFERROR(VLOOKUP(C868,DATA!#REF!,2,FALSE),"")</f>
        <v/>
      </c>
      <c r="I868" s="17"/>
      <c r="J868" s="17"/>
      <c r="P868" s="17"/>
      <c r="Q868" s="17"/>
    </row>
    <row r="869" spans="2:17">
      <c r="B869" s="15" t="str">
        <f t="shared" si="63"/>
        <v/>
      </c>
      <c r="C869" s="16" t="str">
        <f>IFERROR(VLOOKUP(DATA!#REF!,DATA!#REF!,1,FALSE),"")</f>
        <v/>
      </c>
      <c r="D869" s="16" t="str">
        <f>IFERROR(VLOOKUP(C869,DATA!#REF!,2,FALSE),"")</f>
        <v/>
      </c>
      <c r="I869" s="17"/>
      <c r="J869" s="17"/>
      <c r="P869" s="17"/>
      <c r="Q869" s="17"/>
    </row>
    <row r="870" spans="2:17">
      <c r="B870" s="15" t="str">
        <f t="shared" si="63"/>
        <v/>
      </c>
      <c r="C870" s="16" t="str">
        <f>IFERROR(VLOOKUP(DATA!#REF!,DATA!#REF!,1,FALSE),"")</f>
        <v/>
      </c>
      <c r="D870" s="16" t="str">
        <f>IFERROR(VLOOKUP(C870,DATA!#REF!,2,FALSE),"")</f>
        <v/>
      </c>
      <c r="I870" s="17"/>
      <c r="J870" s="17"/>
      <c r="P870" s="17"/>
      <c r="Q870" s="17"/>
    </row>
    <row r="871" spans="2:17">
      <c r="B871" s="15" t="str">
        <f t="shared" si="63"/>
        <v/>
      </c>
      <c r="C871" s="16" t="str">
        <f>IFERROR(VLOOKUP(DATA!#REF!,DATA!#REF!,1,FALSE),"")</f>
        <v/>
      </c>
      <c r="D871" s="16" t="str">
        <f>IFERROR(VLOOKUP(C871,DATA!#REF!,2,FALSE),"")</f>
        <v/>
      </c>
      <c r="I871" s="17"/>
      <c r="J871" s="17"/>
      <c r="P871" s="17"/>
      <c r="Q871" s="17"/>
    </row>
    <row r="872" spans="2:17">
      <c r="B872" s="15" t="str">
        <f t="shared" si="63"/>
        <v/>
      </c>
      <c r="C872" s="16" t="str">
        <f>IFERROR(VLOOKUP(DATA!#REF!,DATA!#REF!,1,FALSE),"")</f>
        <v/>
      </c>
      <c r="D872" s="16" t="str">
        <f>IFERROR(VLOOKUP(C872,DATA!#REF!,2,FALSE),"")</f>
        <v/>
      </c>
      <c r="I872" s="17"/>
      <c r="J872" s="17"/>
      <c r="P872" s="17"/>
      <c r="Q872" s="17"/>
    </row>
    <row r="873" spans="2:17">
      <c r="B873" s="15" t="str">
        <f t="shared" si="63"/>
        <v/>
      </c>
      <c r="C873" s="16" t="str">
        <f>IFERROR(VLOOKUP(DATA!#REF!,DATA!#REF!,1,FALSE),"")</f>
        <v/>
      </c>
      <c r="D873" s="16" t="str">
        <f>IFERROR(VLOOKUP(C873,DATA!#REF!,2,FALSE),"")</f>
        <v/>
      </c>
      <c r="I873" s="17"/>
      <c r="J873" s="17"/>
      <c r="P873" s="17"/>
      <c r="Q873" s="17"/>
    </row>
    <row r="874" spans="2:17">
      <c r="B874" s="15" t="str">
        <f t="shared" si="63"/>
        <v/>
      </c>
      <c r="C874" s="16" t="str">
        <f>IFERROR(VLOOKUP(DATA!#REF!,DATA!#REF!,1,FALSE),"")</f>
        <v/>
      </c>
      <c r="D874" s="16" t="str">
        <f>IFERROR(VLOOKUP(C874,DATA!#REF!,2,FALSE),"")</f>
        <v/>
      </c>
      <c r="I874" s="17"/>
      <c r="J874" s="17"/>
      <c r="P874" s="17"/>
      <c r="Q874" s="17"/>
    </row>
    <row r="875" spans="2:17">
      <c r="B875" s="15" t="str">
        <f t="shared" si="63"/>
        <v/>
      </c>
      <c r="C875" s="16" t="str">
        <f>IFERROR(VLOOKUP(DATA!#REF!,DATA!#REF!,1,FALSE),"")</f>
        <v/>
      </c>
      <c r="D875" s="16" t="str">
        <f>IFERROR(VLOOKUP(C875,DATA!#REF!,2,FALSE),"")</f>
        <v/>
      </c>
      <c r="I875" s="17"/>
      <c r="J875" s="17"/>
      <c r="P875" s="17"/>
      <c r="Q875" s="17"/>
    </row>
    <row r="876" spans="2:17">
      <c r="B876" s="15" t="str">
        <f t="shared" si="63"/>
        <v/>
      </c>
      <c r="C876" s="16" t="str">
        <f>IFERROR(VLOOKUP(DATA!#REF!,DATA!#REF!,1,FALSE),"")</f>
        <v/>
      </c>
      <c r="D876" s="16" t="str">
        <f>IFERROR(VLOOKUP(C876,DATA!#REF!,2,FALSE),"")</f>
        <v/>
      </c>
      <c r="I876" s="17"/>
      <c r="J876" s="17"/>
      <c r="P876" s="17"/>
      <c r="Q876" s="17"/>
    </row>
    <row r="877" spans="2:17">
      <c r="B877" s="15" t="str">
        <f t="shared" si="63"/>
        <v/>
      </c>
      <c r="C877" s="16" t="str">
        <f>IFERROR(VLOOKUP(DATA!#REF!,DATA!#REF!,1,FALSE),"")</f>
        <v/>
      </c>
      <c r="D877" s="16" t="str">
        <f>IFERROR(VLOOKUP(C877,DATA!#REF!,2,FALSE),"")</f>
        <v/>
      </c>
      <c r="I877" s="17"/>
      <c r="J877" s="17"/>
      <c r="P877" s="17"/>
      <c r="Q877" s="17"/>
    </row>
    <row r="878" spans="2:17">
      <c r="B878" s="15" t="str">
        <f t="shared" si="63"/>
        <v/>
      </c>
      <c r="C878" s="16" t="str">
        <f>IFERROR(VLOOKUP(DATA!#REF!,DATA!#REF!,1,FALSE),"")</f>
        <v/>
      </c>
      <c r="D878" s="16" t="str">
        <f>IFERROR(VLOOKUP(C878,DATA!#REF!,2,FALSE),"")</f>
        <v/>
      </c>
      <c r="I878" s="17"/>
      <c r="J878" s="17"/>
      <c r="P878" s="17"/>
      <c r="Q878" s="17"/>
    </row>
    <row r="879" spans="2:17">
      <c r="B879" s="15" t="str">
        <f t="shared" si="63"/>
        <v/>
      </c>
      <c r="C879" s="16" t="str">
        <f>IFERROR(VLOOKUP(DATA!#REF!,DATA!#REF!,1,FALSE),"")</f>
        <v/>
      </c>
      <c r="D879" s="16" t="str">
        <f>IFERROR(VLOOKUP(C879,DATA!#REF!,2,FALSE),"")</f>
        <v/>
      </c>
      <c r="I879" s="17"/>
      <c r="J879" s="17"/>
      <c r="P879" s="17"/>
      <c r="Q879" s="17"/>
    </row>
    <row r="880" spans="2:17">
      <c r="B880" s="15" t="str">
        <f t="shared" si="63"/>
        <v/>
      </c>
      <c r="C880" s="16" t="str">
        <f>IFERROR(VLOOKUP(DATA!#REF!,DATA!#REF!,1,FALSE),"")</f>
        <v/>
      </c>
      <c r="D880" s="16" t="str">
        <f>IFERROR(VLOOKUP(C880,DATA!#REF!,2,FALSE),"")</f>
        <v/>
      </c>
      <c r="I880" s="17"/>
      <c r="J880" s="17"/>
      <c r="P880" s="17"/>
      <c r="Q880" s="17"/>
    </row>
    <row r="881" spans="2:17">
      <c r="B881" s="15" t="str">
        <f t="shared" si="63"/>
        <v/>
      </c>
      <c r="C881" s="16" t="str">
        <f>IFERROR(VLOOKUP(DATA!#REF!,DATA!#REF!,1,FALSE),"")</f>
        <v/>
      </c>
      <c r="D881" s="16" t="str">
        <f>IFERROR(VLOOKUP(C881,DATA!#REF!,2,FALSE),"")</f>
        <v/>
      </c>
      <c r="I881" s="17"/>
      <c r="J881" s="17"/>
      <c r="P881" s="17"/>
      <c r="Q881" s="17"/>
    </row>
    <row r="882" spans="2:17">
      <c r="B882" s="15" t="str">
        <f t="shared" si="63"/>
        <v/>
      </c>
      <c r="C882" s="16" t="str">
        <f>IFERROR(VLOOKUP(DATA!#REF!,DATA!#REF!,1,FALSE),"")</f>
        <v/>
      </c>
      <c r="D882" s="16" t="str">
        <f>IFERROR(VLOOKUP(C882,DATA!#REF!,2,FALSE),"")</f>
        <v/>
      </c>
      <c r="I882" s="17"/>
      <c r="J882" s="17"/>
      <c r="P882" s="17"/>
      <c r="Q882" s="17"/>
    </row>
    <row r="883" spans="2:17">
      <c r="B883" s="15" t="str">
        <f t="shared" si="63"/>
        <v/>
      </c>
      <c r="C883" s="16" t="str">
        <f>IFERROR(VLOOKUP(DATA!#REF!,DATA!#REF!,1,FALSE),"")</f>
        <v/>
      </c>
      <c r="D883" s="16" t="str">
        <f>IFERROR(VLOOKUP(C883,DATA!#REF!,2,FALSE),"")</f>
        <v/>
      </c>
      <c r="I883" s="17"/>
      <c r="J883" s="17"/>
      <c r="P883" s="17"/>
      <c r="Q883" s="17"/>
    </row>
    <row r="884" spans="2:17">
      <c r="B884" s="15" t="str">
        <f t="shared" si="63"/>
        <v/>
      </c>
      <c r="C884" s="16" t="str">
        <f>IFERROR(VLOOKUP(DATA!#REF!,DATA!#REF!,1,FALSE),"")</f>
        <v/>
      </c>
      <c r="D884" s="16" t="str">
        <f>IFERROR(VLOOKUP(C884,DATA!#REF!,2,FALSE),"")</f>
        <v/>
      </c>
      <c r="I884" s="17"/>
      <c r="J884" s="17"/>
      <c r="P884" s="17"/>
      <c r="Q884" s="17"/>
    </row>
    <row r="885" spans="2:17">
      <c r="B885" s="15" t="str">
        <f t="shared" si="63"/>
        <v/>
      </c>
      <c r="C885" s="16" t="str">
        <f>IFERROR(VLOOKUP(DATA!#REF!,DATA!#REF!,1,FALSE),"")</f>
        <v/>
      </c>
      <c r="D885" s="16" t="str">
        <f>IFERROR(VLOOKUP(C885,DATA!#REF!,2,FALSE),"")</f>
        <v/>
      </c>
      <c r="I885" s="17"/>
      <c r="J885" s="17"/>
      <c r="P885" s="17"/>
      <c r="Q885" s="17"/>
    </row>
    <row r="886" spans="2:17">
      <c r="B886" s="15" t="str">
        <f t="shared" si="63"/>
        <v/>
      </c>
      <c r="C886" s="16" t="str">
        <f>IFERROR(VLOOKUP(DATA!#REF!,DATA!#REF!,1,FALSE),"")</f>
        <v/>
      </c>
      <c r="D886" s="16" t="str">
        <f>IFERROR(VLOOKUP(C886,DATA!#REF!,2,FALSE),"")</f>
        <v/>
      </c>
      <c r="I886" s="17"/>
      <c r="J886" s="17"/>
      <c r="P886" s="17"/>
      <c r="Q886" s="17"/>
    </row>
    <row r="887" spans="2:17">
      <c r="B887" s="15" t="str">
        <f t="shared" ref="B887:B950" si="64">+IF(C887="","",ROW()-5)</f>
        <v/>
      </c>
      <c r="C887" s="16" t="str">
        <f>IFERROR(VLOOKUP(DATA!#REF!,DATA!#REF!,1,FALSE),"")</f>
        <v/>
      </c>
      <c r="D887" s="16" t="str">
        <f>IFERROR(VLOOKUP(C887,DATA!#REF!,2,FALSE),"")</f>
        <v/>
      </c>
      <c r="I887" s="17"/>
      <c r="J887" s="17"/>
      <c r="P887" s="17"/>
      <c r="Q887" s="17"/>
    </row>
    <row r="888" spans="2:17">
      <c r="B888" s="15" t="str">
        <f t="shared" si="64"/>
        <v/>
      </c>
      <c r="C888" s="16" t="str">
        <f>IFERROR(VLOOKUP(DATA!#REF!,DATA!#REF!,1,FALSE),"")</f>
        <v/>
      </c>
      <c r="D888" s="16" t="str">
        <f>IFERROR(VLOOKUP(C888,DATA!#REF!,2,FALSE),"")</f>
        <v/>
      </c>
      <c r="I888" s="17"/>
      <c r="J888" s="17"/>
      <c r="P888" s="17"/>
      <c r="Q888" s="17"/>
    </row>
    <row r="889" spans="2:17">
      <c r="B889" s="15" t="str">
        <f t="shared" si="64"/>
        <v/>
      </c>
      <c r="C889" s="16" t="str">
        <f>IFERROR(VLOOKUP(DATA!#REF!,DATA!#REF!,1,FALSE),"")</f>
        <v/>
      </c>
      <c r="D889" s="16" t="str">
        <f>IFERROR(VLOOKUP(C889,DATA!#REF!,2,FALSE),"")</f>
        <v/>
      </c>
      <c r="I889" s="17"/>
      <c r="J889" s="17"/>
      <c r="P889" s="17"/>
      <c r="Q889" s="17"/>
    </row>
    <row r="890" spans="2:17">
      <c r="B890" s="15" t="str">
        <f t="shared" si="64"/>
        <v/>
      </c>
      <c r="C890" s="16" t="str">
        <f>IFERROR(VLOOKUP(DATA!#REF!,DATA!#REF!,1,FALSE),"")</f>
        <v/>
      </c>
      <c r="D890" s="16" t="str">
        <f>IFERROR(VLOOKUP(C890,DATA!#REF!,2,FALSE),"")</f>
        <v/>
      </c>
      <c r="I890" s="17"/>
      <c r="J890" s="17"/>
      <c r="P890" s="17"/>
      <c r="Q890" s="17"/>
    </row>
    <row r="891" spans="2:17">
      <c r="B891" s="15" t="str">
        <f t="shared" si="64"/>
        <v/>
      </c>
      <c r="C891" s="16" t="str">
        <f>IFERROR(VLOOKUP(DATA!#REF!,DATA!#REF!,1,FALSE),"")</f>
        <v/>
      </c>
      <c r="D891" s="16" t="str">
        <f>IFERROR(VLOOKUP(C891,DATA!#REF!,2,FALSE),"")</f>
        <v/>
      </c>
      <c r="I891" s="17"/>
      <c r="J891" s="17"/>
      <c r="P891" s="17"/>
      <c r="Q891" s="17"/>
    </row>
    <row r="892" spans="2:17">
      <c r="B892" s="15" t="str">
        <f t="shared" si="64"/>
        <v/>
      </c>
      <c r="C892" s="16" t="str">
        <f>IFERROR(VLOOKUP(DATA!#REF!,DATA!#REF!,1,FALSE),"")</f>
        <v/>
      </c>
      <c r="D892" s="16" t="str">
        <f>IFERROR(VLOOKUP(C892,DATA!#REF!,2,FALSE),"")</f>
        <v/>
      </c>
      <c r="I892" s="17"/>
      <c r="J892" s="17"/>
      <c r="P892" s="17"/>
      <c r="Q892" s="17"/>
    </row>
    <row r="893" spans="2:17">
      <c r="B893" s="15" t="str">
        <f t="shared" si="64"/>
        <v/>
      </c>
      <c r="C893" s="16" t="str">
        <f>IFERROR(VLOOKUP(DATA!#REF!,DATA!#REF!,1,FALSE),"")</f>
        <v/>
      </c>
      <c r="D893" s="16" t="str">
        <f>IFERROR(VLOOKUP(C893,DATA!#REF!,2,FALSE),"")</f>
        <v/>
      </c>
      <c r="I893" s="17"/>
      <c r="J893" s="17"/>
      <c r="P893" s="17"/>
      <c r="Q893" s="17"/>
    </row>
    <row r="894" spans="2:17">
      <c r="B894" s="15" t="str">
        <f t="shared" si="64"/>
        <v/>
      </c>
      <c r="C894" s="16" t="str">
        <f>IFERROR(VLOOKUP(DATA!#REF!,DATA!#REF!,1,FALSE),"")</f>
        <v/>
      </c>
      <c r="D894" s="16" t="str">
        <f>IFERROR(VLOOKUP(C894,DATA!#REF!,2,FALSE),"")</f>
        <v/>
      </c>
      <c r="I894" s="17"/>
      <c r="J894" s="17"/>
      <c r="P894" s="17"/>
      <c r="Q894" s="17"/>
    </row>
    <row r="895" spans="2:17">
      <c r="B895" s="15" t="str">
        <f t="shared" si="64"/>
        <v/>
      </c>
      <c r="C895" s="16" t="str">
        <f>IFERROR(VLOOKUP(DATA!#REF!,DATA!#REF!,1,FALSE),"")</f>
        <v/>
      </c>
      <c r="D895" s="16" t="str">
        <f>IFERROR(VLOOKUP(C895,DATA!#REF!,2,FALSE),"")</f>
        <v/>
      </c>
      <c r="I895" s="17"/>
      <c r="J895" s="17"/>
      <c r="P895" s="17"/>
      <c r="Q895" s="17"/>
    </row>
    <row r="896" spans="2:17">
      <c r="B896" s="15" t="str">
        <f t="shared" si="64"/>
        <v/>
      </c>
      <c r="C896" s="16" t="str">
        <f>IFERROR(VLOOKUP(DATA!#REF!,DATA!#REF!,1,FALSE),"")</f>
        <v/>
      </c>
      <c r="D896" s="16" t="str">
        <f>IFERROR(VLOOKUP(C896,DATA!#REF!,2,FALSE),"")</f>
        <v/>
      </c>
      <c r="I896" s="17"/>
      <c r="J896" s="17"/>
      <c r="P896" s="17"/>
      <c r="Q896" s="17"/>
    </row>
    <row r="897" spans="2:17">
      <c r="B897" s="15" t="str">
        <f t="shared" si="64"/>
        <v/>
      </c>
      <c r="C897" s="16" t="str">
        <f>IFERROR(VLOOKUP(DATA!#REF!,DATA!#REF!,1,FALSE),"")</f>
        <v/>
      </c>
      <c r="D897" s="16" t="str">
        <f>IFERROR(VLOOKUP(C897,DATA!#REF!,2,FALSE),"")</f>
        <v/>
      </c>
      <c r="I897" s="17"/>
      <c r="J897" s="17"/>
      <c r="P897" s="17"/>
      <c r="Q897" s="17"/>
    </row>
    <row r="898" spans="2:17">
      <c r="B898" s="15" t="str">
        <f t="shared" si="64"/>
        <v/>
      </c>
      <c r="C898" s="16" t="str">
        <f>IFERROR(VLOOKUP(DATA!#REF!,DATA!#REF!,1,FALSE),"")</f>
        <v/>
      </c>
      <c r="D898" s="16" t="str">
        <f>IFERROR(VLOOKUP(C898,DATA!#REF!,2,FALSE),"")</f>
        <v/>
      </c>
      <c r="I898" s="17"/>
      <c r="J898" s="17"/>
      <c r="P898" s="17"/>
      <c r="Q898" s="17"/>
    </row>
    <row r="899" spans="2:17">
      <c r="B899" s="15" t="str">
        <f t="shared" si="64"/>
        <v/>
      </c>
      <c r="C899" s="16" t="str">
        <f>IFERROR(VLOOKUP(DATA!#REF!,DATA!#REF!,1,FALSE),"")</f>
        <v/>
      </c>
      <c r="D899" s="16" t="str">
        <f>IFERROR(VLOOKUP(C899,DATA!#REF!,2,FALSE),"")</f>
        <v/>
      </c>
      <c r="I899" s="17"/>
      <c r="J899" s="17"/>
      <c r="P899" s="17"/>
      <c r="Q899" s="17"/>
    </row>
    <row r="900" spans="2:17">
      <c r="B900" s="15" t="str">
        <f t="shared" si="64"/>
        <v/>
      </c>
      <c r="C900" s="16" t="str">
        <f>IFERROR(VLOOKUP(DATA!#REF!,DATA!#REF!,1,FALSE),"")</f>
        <v/>
      </c>
      <c r="D900" s="16" t="str">
        <f>IFERROR(VLOOKUP(C900,DATA!#REF!,2,FALSE),"")</f>
        <v/>
      </c>
      <c r="I900" s="17"/>
      <c r="J900" s="17"/>
      <c r="P900" s="17"/>
      <c r="Q900" s="17"/>
    </row>
    <row r="901" spans="2:17">
      <c r="B901" s="15" t="str">
        <f t="shared" si="64"/>
        <v/>
      </c>
      <c r="C901" s="16" t="str">
        <f>IFERROR(VLOOKUP(DATA!#REF!,DATA!#REF!,1,FALSE),"")</f>
        <v/>
      </c>
      <c r="D901" s="16" t="str">
        <f>IFERROR(VLOOKUP(C901,DATA!#REF!,2,FALSE),"")</f>
        <v/>
      </c>
      <c r="I901" s="17"/>
      <c r="J901" s="17"/>
      <c r="P901" s="17"/>
      <c r="Q901" s="17"/>
    </row>
    <row r="902" spans="2:17">
      <c r="B902" s="15" t="str">
        <f t="shared" si="64"/>
        <v/>
      </c>
      <c r="C902" s="16" t="str">
        <f>IFERROR(VLOOKUP(DATA!#REF!,DATA!#REF!,1,FALSE),"")</f>
        <v/>
      </c>
      <c r="D902" s="16" t="str">
        <f>IFERROR(VLOOKUP(C902,DATA!#REF!,2,FALSE),"")</f>
        <v/>
      </c>
      <c r="I902" s="17"/>
      <c r="J902" s="17"/>
      <c r="P902" s="17"/>
      <c r="Q902" s="17"/>
    </row>
    <row r="903" spans="2:17">
      <c r="B903" s="15" t="str">
        <f t="shared" si="64"/>
        <v/>
      </c>
      <c r="C903" s="16" t="str">
        <f>IFERROR(VLOOKUP(DATA!#REF!,DATA!#REF!,1,FALSE),"")</f>
        <v/>
      </c>
      <c r="D903" s="16" t="str">
        <f>IFERROR(VLOOKUP(C903,DATA!#REF!,2,FALSE),"")</f>
        <v/>
      </c>
      <c r="I903" s="17"/>
      <c r="J903" s="17"/>
      <c r="P903" s="17"/>
      <c r="Q903" s="17"/>
    </row>
    <row r="904" spans="2:17">
      <c r="B904" s="15" t="str">
        <f t="shared" si="64"/>
        <v/>
      </c>
      <c r="C904" s="16" t="str">
        <f>IFERROR(VLOOKUP(DATA!#REF!,DATA!#REF!,1,FALSE),"")</f>
        <v/>
      </c>
      <c r="D904" s="16" t="str">
        <f>IFERROR(VLOOKUP(C904,DATA!#REF!,2,FALSE),"")</f>
        <v/>
      </c>
      <c r="I904" s="17"/>
      <c r="J904" s="17"/>
      <c r="P904" s="17"/>
      <c r="Q904" s="17"/>
    </row>
    <row r="905" spans="2:17">
      <c r="B905" s="15" t="str">
        <f t="shared" si="64"/>
        <v/>
      </c>
      <c r="C905" s="16" t="str">
        <f>IFERROR(VLOOKUP(DATA!#REF!,DATA!#REF!,1,FALSE),"")</f>
        <v/>
      </c>
      <c r="D905" s="16" t="str">
        <f>IFERROR(VLOOKUP(C905,DATA!#REF!,2,FALSE),"")</f>
        <v/>
      </c>
      <c r="I905" s="17"/>
      <c r="J905" s="17"/>
      <c r="P905" s="17"/>
      <c r="Q905" s="17"/>
    </row>
    <row r="906" spans="2:17">
      <c r="B906" s="15" t="str">
        <f t="shared" si="64"/>
        <v/>
      </c>
      <c r="C906" s="16" t="str">
        <f>IFERROR(VLOOKUP(DATA!#REF!,DATA!#REF!,1,FALSE),"")</f>
        <v/>
      </c>
      <c r="D906" s="16" t="str">
        <f>IFERROR(VLOOKUP(C906,DATA!#REF!,2,FALSE),"")</f>
        <v/>
      </c>
      <c r="I906" s="17"/>
      <c r="J906" s="17"/>
      <c r="P906" s="17"/>
      <c r="Q906" s="17"/>
    </row>
    <row r="907" spans="2:17">
      <c r="B907" s="15" t="str">
        <f t="shared" si="64"/>
        <v/>
      </c>
      <c r="C907" s="16" t="str">
        <f>IFERROR(VLOOKUP(DATA!#REF!,DATA!#REF!,1,FALSE),"")</f>
        <v/>
      </c>
      <c r="D907" s="16" t="str">
        <f>IFERROR(VLOOKUP(C907,DATA!#REF!,2,FALSE),"")</f>
        <v/>
      </c>
      <c r="I907" s="17"/>
      <c r="J907" s="17"/>
      <c r="P907" s="17"/>
      <c r="Q907" s="17"/>
    </row>
    <row r="908" spans="2:17">
      <c r="B908" s="15" t="str">
        <f t="shared" si="64"/>
        <v/>
      </c>
      <c r="C908" s="16" t="str">
        <f>IFERROR(VLOOKUP(DATA!#REF!,DATA!#REF!,1,FALSE),"")</f>
        <v/>
      </c>
      <c r="D908" s="16" t="str">
        <f>IFERROR(VLOOKUP(C908,DATA!#REF!,2,FALSE),"")</f>
        <v/>
      </c>
      <c r="I908" s="17"/>
      <c r="J908" s="17"/>
      <c r="P908" s="17"/>
      <c r="Q908" s="17"/>
    </row>
    <row r="909" spans="2:17">
      <c r="B909" s="15" t="str">
        <f t="shared" si="64"/>
        <v/>
      </c>
      <c r="C909" s="16" t="str">
        <f>IFERROR(VLOOKUP(DATA!#REF!,DATA!#REF!,1,FALSE),"")</f>
        <v/>
      </c>
      <c r="D909" s="16" t="str">
        <f>IFERROR(VLOOKUP(C909,DATA!#REF!,2,FALSE),"")</f>
        <v/>
      </c>
      <c r="I909" s="17"/>
      <c r="J909" s="17"/>
      <c r="P909" s="17"/>
      <c r="Q909" s="17"/>
    </row>
    <row r="910" spans="2:17">
      <c r="B910" s="15" t="str">
        <f t="shared" si="64"/>
        <v/>
      </c>
      <c r="C910" s="16" t="str">
        <f>IFERROR(VLOOKUP(DATA!#REF!,DATA!#REF!,1,FALSE),"")</f>
        <v/>
      </c>
      <c r="D910" s="16" t="str">
        <f>IFERROR(VLOOKUP(C910,DATA!#REF!,2,FALSE),"")</f>
        <v/>
      </c>
      <c r="I910" s="17"/>
      <c r="J910" s="17"/>
      <c r="P910" s="17"/>
      <c r="Q910" s="17"/>
    </row>
    <row r="911" spans="2:17">
      <c r="B911" s="15" t="str">
        <f t="shared" si="64"/>
        <v/>
      </c>
      <c r="C911" s="16" t="str">
        <f>IFERROR(VLOOKUP(DATA!#REF!,DATA!#REF!,1,FALSE),"")</f>
        <v/>
      </c>
      <c r="D911" s="16" t="str">
        <f>IFERROR(VLOOKUP(C911,DATA!#REF!,2,FALSE),"")</f>
        <v/>
      </c>
      <c r="I911" s="17"/>
      <c r="J911" s="17"/>
      <c r="P911" s="17"/>
      <c r="Q911" s="17"/>
    </row>
    <row r="912" spans="2:17">
      <c r="B912" s="15" t="str">
        <f t="shared" si="64"/>
        <v/>
      </c>
      <c r="C912" s="16" t="str">
        <f>IFERROR(VLOOKUP(DATA!#REF!,DATA!#REF!,1,FALSE),"")</f>
        <v/>
      </c>
      <c r="D912" s="16" t="str">
        <f>IFERROR(VLOOKUP(C912,DATA!#REF!,2,FALSE),"")</f>
        <v/>
      </c>
      <c r="I912" s="17"/>
      <c r="J912" s="17"/>
      <c r="P912" s="17"/>
      <c r="Q912" s="17"/>
    </row>
    <row r="913" spans="2:17">
      <c r="B913" s="15" t="str">
        <f t="shared" si="64"/>
        <v/>
      </c>
      <c r="C913" s="16" t="str">
        <f>IFERROR(VLOOKUP(DATA!#REF!,DATA!#REF!,1,FALSE),"")</f>
        <v/>
      </c>
      <c r="D913" s="16" t="str">
        <f>IFERROR(VLOOKUP(C913,DATA!#REF!,2,FALSE),"")</f>
        <v/>
      </c>
      <c r="I913" s="17"/>
      <c r="J913" s="17"/>
      <c r="P913" s="17"/>
      <c r="Q913" s="17"/>
    </row>
    <row r="914" spans="2:17">
      <c r="B914" s="15" t="str">
        <f t="shared" si="64"/>
        <v/>
      </c>
      <c r="C914" s="16" t="str">
        <f>IFERROR(VLOOKUP(DATA!#REF!,DATA!#REF!,1,FALSE),"")</f>
        <v/>
      </c>
      <c r="D914" s="16" t="str">
        <f>IFERROR(VLOOKUP(C914,DATA!#REF!,2,FALSE),"")</f>
        <v/>
      </c>
      <c r="I914" s="17"/>
      <c r="J914" s="17"/>
      <c r="P914" s="17"/>
      <c r="Q914" s="17"/>
    </row>
    <row r="915" spans="2:17">
      <c r="B915" s="15" t="str">
        <f t="shared" si="64"/>
        <v/>
      </c>
      <c r="C915" s="16" t="str">
        <f>IFERROR(VLOOKUP(DATA!#REF!,DATA!#REF!,1,FALSE),"")</f>
        <v/>
      </c>
      <c r="D915" s="16" t="str">
        <f>IFERROR(VLOOKUP(C915,DATA!#REF!,2,FALSE),"")</f>
        <v/>
      </c>
      <c r="I915" s="17"/>
      <c r="J915" s="17"/>
      <c r="P915" s="17"/>
      <c r="Q915" s="17"/>
    </row>
    <row r="916" spans="2:17">
      <c r="B916" s="15" t="str">
        <f t="shared" si="64"/>
        <v/>
      </c>
      <c r="C916" s="16" t="str">
        <f>IFERROR(VLOOKUP(DATA!#REF!,DATA!#REF!,1,FALSE),"")</f>
        <v/>
      </c>
      <c r="D916" s="16" t="str">
        <f>IFERROR(VLOOKUP(C916,DATA!#REF!,2,FALSE),"")</f>
        <v/>
      </c>
      <c r="I916" s="17"/>
      <c r="J916" s="17"/>
      <c r="P916" s="17"/>
      <c r="Q916" s="17"/>
    </row>
    <row r="917" spans="2:17">
      <c r="B917" s="15" t="str">
        <f t="shared" si="64"/>
        <v/>
      </c>
      <c r="C917" s="16" t="str">
        <f>IFERROR(VLOOKUP(DATA!#REF!,DATA!#REF!,1,FALSE),"")</f>
        <v/>
      </c>
      <c r="D917" s="16" t="str">
        <f>IFERROR(VLOOKUP(C917,DATA!#REF!,2,FALSE),"")</f>
        <v/>
      </c>
      <c r="I917" s="17"/>
      <c r="J917" s="17"/>
      <c r="P917" s="17"/>
      <c r="Q917" s="17"/>
    </row>
    <row r="918" spans="2:17">
      <c r="B918" s="15" t="str">
        <f t="shared" si="64"/>
        <v/>
      </c>
      <c r="C918" s="16" t="str">
        <f>IFERROR(VLOOKUP(DATA!#REF!,DATA!#REF!,1,FALSE),"")</f>
        <v/>
      </c>
      <c r="D918" s="16" t="str">
        <f>IFERROR(VLOOKUP(C918,DATA!#REF!,2,FALSE),"")</f>
        <v/>
      </c>
      <c r="I918" s="17"/>
      <c r="J918" s="17"/>
      <c r="P918" s="17"/>
      <c r="Q918" s="17"/>
    </row>
    <row r="919" spans="2:17">
      <c r="B919" s="15" t="str">
        <f t="shared" si="64"/>
        <v/>
      </c>
      <c r="C919" s="16" t="str">
        <f>IFERROR(VLOOKUP(DATA!#REF!,DATA!#REF!,1,FALSE),"")</f>
        <v/>
      </c>
      <c r="D919" s="16" t="str">
        <f>IFERROR(VLOOKUP(C919,DATA!#REF!,2,FALSE),"")</f>
        <v/>
      </c>
      <c r="I919" s="17"/>
      <c r="J919" s="17"/>
      <c r="P919" s="17"/>
      <c r="Q919" s="17"/>
    </row>
    <row r="920" spans="2:17">
      <c r="B920" s="15" t="str">
        <f t="shared" si="64"/>
        <v/>
      </c>
      <c r="C920" s="16" t="str">
        <f>IFERROR(VLOOKUP(DATA!#REF!,DATA!#REF!,1,FALSE),"")</f>
        <v/>
      </c>
      <c r="D920" s="16" t="str">
        <f>IFERROR(VLOOKUP(C920,DATA!#REF!,2,FALSE),"")</f>
        <v/>
      </c>
      <c r="I920" s="17"/>
      <c r="J920" s="17"/>
      <c r="P920" s="17"/>
      <c r="Q920" s="17"/>
    </row>
    <row r="921" spans="2:17">
      <c r="B921" s="15" t="str">
        <f t="shared" si="64"/>
        <v/>
      </c>
      <c r="C921" s="16" t="str">
        <f>IFERROR(VLOOKUP(DATA!#REF!,DATA!#REF!,1,FALSE),"")</f>
        <v/>
      </c>
      <c r="D921" s="16" t="str">
        <f>IFERROR(VLOOKUP(C921,DATA!#REF!,2,FALSE),"")</f>
        <v/>
      </c>
      <c r="I921" s="17"/>
      <c r="J921" s="17"/>
      <c r="P921" s="17"/>
      <c r="Q921" s="17"/>
    </row>
    <row r="922" spans="2:17">
      <c r="B922" s="15" t="str">
        <f t="shared" si="64"/>
        <v/>
      </c>
      <c r="C922" s="16" t="str">
        <f>IFERROR(VLOOKUP(DATA!#REF!,DATA!#REF!,1,FALSE),"")</f>
        <v/>
      </c>
      <c r="D922" s="16" t="str">
        <f>IFERROR(VLOOKUP(C922,DATA!#REF!,2,FALSE),"")</f>
        <v/>
      </c>
      <c r="I922" s="17"/>
      <c r="J922" s="17"/>
      <c r="P922" s="17"/>
      <c r="Q922" s="17"/>
    </row>
    <row r="923" spans="2:17">
      <c r="B923" s="15" t="str">
        <f t="shared" si="64"/>
        <v/>
      </c>
      <c r="C923" s="16" t="str">
        <f>IFERROR(VLOOKUP(DATA!#REF!,DATA!#REF!,1,FALSE),"")</f>
        <v/>
      </c>
      <c r="D923" s="16" t="str">
        <f>IFERROR(VLOOKUP(C923,DATA!#REF!,2,FALSE),"")</f>
        <v/>
      </c>
      <c r="I923" s="17"/>
      <c r="J923" s="17"/>
      <c r="P923" s="17"/>
      <c r="Q923" s="17"/>
    </row>
    <row r="924" spans="2:17">
      <c r="B924" s="15" t="str">
        <f t="shared" si="64"/>
        <v/>
      </c>
      <c r="C924" s="16" t="str">
        <f>IFERROR(VLOOKUP(DATA!#REF!,DATA!#REF!,1,FALSE),"")</f>
        <v/>
      </c>
      <c r="D924" s="16" t="str">
        <f>IFERROR(VLOOKUP(C924,DATA!#REF!,2,FALSE),"")</f>
        <v/>
      </c>
      <c r="I924" s="17"/>
      <c r="J924" s="17"/>
      <c r="P924" s="17"/>
      <c r="Q924" s="17"/>
    </row>
    <row r="925" spans="2:17">
      <c r="B925" s="15" t="str">
        <f t="shared" si="64"/>
        <v/>
      </c>
      <c r="C925" s="16" t="str">
        <f>IFERROR(VLOOKUP(DATA!#REF!,DATA!#REF!,1,FALSE),"")</f>
        <v/>
      </c>
      <c r="D925" s="16" t="str">
        <f>IFERROR(VLOOKUP(C925,DATA!#REF!,2,FALSE),"")</f>
        <v/>
      </c>
      <c r="I925" s="17"/>
      <c r="J925" s="17"/>
      <c r="P925" s="17"/>
      <c r="Q925" s="17"/>
    </row>
    <row r="926" spans="2:17">
      <c r="B926" s="15" t="str">
        <f t="shared" si="64"/>
        <v/>
      </c>
      <c r="C926" s="16" t="str">
        <f>IFERROR(VLOOKUP(DATA!#REF!,DATA!#REF!,1,FALSE),"")</f>
        <v/>
      </c>
      <c r="D926" s="16" t="str">
        <f>IFERROR(VLOOKUP(C926,DATA!#REF!,2,FALSE),"")</f>
        <v/>
      </c>
      <c r="I926" s="17"/>
      <c r="J926" s="17"/>
      <c r="P926" s="17"/>
      <c r="Q926" s="17"/>
    </row>
    <row r="927" spans="2:17">
      <c r="B927" s="15" t="str">
        <f t="shared" si="64"/>
        <v/>
      </c>
      <c r="C927" s="16" t="str">
        <f>IFERROR(VLOOKUP(DATA!#REF!,DATA!#REF!,1,FALSE),"")</f>
        <v/>
      </c>
      <c r="D927" s="16" t="str">
        <f>IFERROR(VLOOKUP(C927,DATA!#REF!,2,FALSE),"")</f>
        <v/>
      </c>
      <c r="I927" s="17"/>
      <c r="J927" s="17"/>
      <c r="P927" s="17"/>
      <c r="Q927" s="17"/>
    </row>
    <row r="928" spans="2:17">
      <c r="B928" s="15" t="str">
        <f t="shared" si="64"/>
        <v/>
      </c>
      <c r="C928" s="16" t="str">
        <f>IFERROR(VLOOKUP(DATA!#REF!,DATA!#REF!,1,FALSE),"")</f>
        <v/>
      </c>
      <c r="D928" s="16" t="str">
        <f>IFERROR(VLOOKUP(C928,DATA!#REF!,2,FALSE),"")</f>
        <v/>
      </c>
      <c r="I928" s="17"/>
      <c r="J928" s="17"/>
      <c r="P928" s="17"/>
      <c r="Q928" s="17"/>
    </row>
    <row r="929" spans="2:17">
      <c r="B929" s="15" t="str">
        <f t="shared" si="64"/>
        <v/>
      </c>
      <c r="C929" s="16" t="str">
        <f>IFERROR(VLOOKUP(DATA!#REF!,DATA!#REF!,1,FALSE),"")</f>
        <v/>
      </c>
      <c r="D929" s="16" t="str">
        <f>IFERROR(VLOOKUP(C929,DATA!#REF!,2,FALSE),"")</f>
        <v/>
      </c>
      <c r="I929" s="17"/>
      <c r="J929" s="17"/>
      <c r="P929" s="17"/>
      <c r="Q929" s="17"/>
    </row>
    <row r="930" spans="2:17">
      <c r="B930" s="15" t="str">
        <f t="shared" si="64"/>
        <v/>
      </c>
      <c r="C930" s="16" t="str">
        <f>IFERROR(VLOOKUP(DATA!#REF!,DATA!#REF!,1,FALSE),"")</f>
        <v/>
      </c>
      <c r="D930" s="16" t="str">
        <f>IFERROR(VLOOKUP(C930,DATA!#REF!,2,FALSE),"")</f>
        <v/>
      </c>
      <c r="I930" s="17"/>
      <c r="J930" s="17"/>
      <c r="P930" s="17"/>
      <c r="Q930" s="17"/>
    </row>
    <row r="931" spans="2:17">
      <c r="B931" s="15" t="str">
        <f t="shared" si="64"/>
        <v/>
      </c>
      <c r="C931" s="16" t="str">
        <f>IFERROR(VLOOKUP(DATA!#REF!,DATA!#REF!,1,FALSE),"")</f>
        <v/>
      </c>
      <c r="D931" s="16" t="str">
        <f>IFERROR(VLOOKUP(C931,DATA!#REF!,2,FALSE),"")</f>
        <v/>
      </c>
      <c r="I931" s="17"/>
      <c r="J931" s="17"/>
      <c r="P931" s="17"/>
      <c r="Q931" s="17"/>
    </row>
    <row r="932" spans="2:17">
      <c r="B932" s="15" t="str">
        <f t="shared" si="64"/>
        <v/>
      </c>
      <c r="C932" s="16" t="str">
        <f>IFERROR(VLOOKUP(DATA!#REF!,DATA!#REF!,1,FALSE),"")</f>
        <v/>
      </c>
      <c r="D932" s="16" t="str">
        <f>IFERROR(VLOOKUP(C932,DATA!#REF!,2,FALSE),"")</f>
        <v/>
      </c>
      <c r="I932" s="17"/>
      <c r="J932" s="17"/>
      <c r="P932" s="17"/>
      <c r="Q932" s="17"/>
    </row>
    <row r="933" spans="2:17">
      <c r="B933" s="15" t="str">
        <f t="shared" si="64"/>
        <v/>
      </c>
      <c r="C933" s="16" t="str">
        <f>IFERROR(VLOOKUP(DATA!#REF!,DATA!#REF!,1,FALSE),"")</f>
        <v/>
      </c>
      <c r="D933" s="16" t="str">
        <f>IFERROR(VLOOKUP(C933,DATA!#REF!,2,FALSE),"")</f>
        <v/>
      </c>
      <c r="I933" s="17"/>
      <c r="J933" s="17"/>
      <c r="P933" s="17"/>
      <c r="Q933" s="17"/>
    </row>
    <row r="934" spans="2:17">
      <c r="B934" s="15" t="str">
        <f t="shared" si="64"/>
        <v/>
      </c>
      <c r="C934" s="16" t="str">
        <f>IFERROR(VLOOKUP(DATA!#REF!,DATA!#REF!,1,FALSE),"")</f>
        <v/>
      </c>
      <c r="D934" s="16" t="str">
        <f>IFERROR(VLOOKUP(C934,DATA!#REF!,2,FALSE),"")</f>
        <v/>
      </c>
      <c r="I934" s="17"/>
      <c r="J934" s="17"/>
      <c r="P934" s="17"/>
      <c r="Q934" s="17"/>
    </row>
    <row r="935" spans="2:17">
      <c r="B935" s="15" t="str">
        <f t="shared" si="64"/>
        <v/>
      </c>
      <c r="C935" s="16" t="str">
        <f>IFERROR(VLOOKUP(DATA!#REF!,DATA!#REF!,1,FALSE),"")</f>
        <v/>
      </c>
      <c r="D935" s="16" t="str">
        <f>IFERROR(VLOOKUP(C935,DATA!#REF!,2,FALSE),"")</f>
        <v/>
      </c>
      <c r="I935" s="17"/>
      <c r="J935" s="17"/>
      <c r="P935" s="17"/>
      <c r="Q935" s="17"/>
    </row>
    <row r="936" spans="2:17">
      <c r="B936" s="15" t="str">
        <f t="shared" si="64"/>
        <v/>
      </c>
      <c r="C936" s="16" t="str">
        <f>IFERROR(VLOOKUP(DATA!#REF!,DATA!#REF!,1,FALSE),"")</f>
        <v/>
      </c>
      <c r="D936" s="16" t="str">
        <f>IFERROR(VLOOKUP(C936,DATA!#REF!,2,FALSE),"")</f>
        <v/>
      </c>
      <c r="I936" s="17"/>
      <c r="J936" s="17"/>
      <c r="P936" s="17"/>
      <c r="Q936" s="17"/>
    </row>
    <row r="937" spans="2:17">
      <c r="B937" s="15" t="str">
        <f t="shared" si="64"/>
        <v/>
      </c>
      <c r="C937" s="16" t="str">
        <f>IFERROR(VLOOKUP(DATA!#REF!,DATA!#REF!,1,FALSE),"")</f>
        <v/>
      </c>
      <c r="D937" s="16" t="str">
        <f>IFERROR(VLOOKUP(C937,DATA!#REF!,2,FALSE),"")</f>
        <v/>
      </c>
      <c r="I937" s="17"/>
      <c r="J937" s="17"/>
      <c r="P937" s="17"/>
      <c r="Q937" s="17"/>
    </row>
    <row r="938" spans="2:17">
      <c r="B938" s="15" t="str">
        <f t="shared" si="64"/>
        <v/>
      </c>
      <c r="C938" s="16" t="str">
        <f>IFERROR(VLOOKUP(DATA!#REF!,DATA!#REF!,1,FALSE),"")</f>
        <v/>
      </c>
      <c r="D938" s="16" t="str">
        <f>IFERROR(VLOOKUP(C938,DATA!#REF!,2,FALSE),"")</f>
        <v/>
      </c>
      <c r="I938" s="17"/>
      <c r="J938" s="17"/>
      <c r="P938" s="17"/>
      <c r="Q938" s="17"/>
    </row>
    <row r="939" spans="2:17">
      <c r="B939" s="15" t="str">
        <f t="shared" si="64"/>
        <v/>
      </c>
      <c r="C939" s="16" t="str">
        <f>IFERROR(VLOOKUP(DATA!#REF!,DATA!#REF!,1,FALSE),"")</f>
        <v/>
      </c>
      <c r="D939" s="16" t="str">
        <f>IFERROR(VLOOKUP(C939,DATA!#REF!,2,FALSE),"")</f>
        <v/>
      </c>
      <c r="I939" s="17"/>
      <c r="J939" s="17"/>
      <c r="P939" s="17"/>
      <c r="Q939" s="17"/>
    </row>
    <row r="940" spans="2:17">
      <c r="B940" s="15" t="str">
        <f t="shared" si="64"/>
        <v/>
      </c>
      <c r="C940" s="16" t="str">
        <f>IFERROR(VLOOKUP(DATA!#REF!,DATA!#REF!,1,FALSE),"")</f>
        <v/>
      </c>
      <c r="D940" s="16" t="str">
        <f>IFERROR(VLOOKUP(C940,DATA!#REF!,2,FALSE),"")</f>
        <v/>
      </c>
      <c r="I940" s="17"/>
      <c r="J940" s="17"/>
      <c r="P940" s="17"/>
      <c r="Q940" s="17"/>
    </row>
    <row r="941" spans="2:17">
      <c r="B941" s="15" t="str">
        <f t="shared" si="64"/>
        <v/>
      </c>
      <c r="C941" s="16" t="str">
        <f>IFERROR(VLOOKUP(DATA!#REF!,DATA!#REF!,1,FALSE),"")</f>
        <v/>
      </c>
      <c r="D941" s="16" t="str">
        <f>IFERROR(VLOOKUP(C941,DATA!#REF!,2,FALSE),"")</f>
        <v/>
      </c>
      <c r="I941" s="17"/>
      <c r="J941" s="17"/>
      <c r="P941" s="17"/>
      <c r="Q941" s="17"/>
    </row>
    <row r="942" spans="2:17">
      <c r="B942" s="15" t="str">
        <f t="shared" si="64"/>
        <v/>
      </c>
      <c r="C942" s="16" t="str">
        <f>IFERROR(VLOOKUP(DATA!#REF!,DATA!#REF!,1,FALSE),"")</f>
        <v/>
      </c>
      <c r="D942" s="16" t="str">
        <f>IFERROR(VLOOKUP(C942,DATA!#REF!,2,FALSE),"")</f>
        <v/>
      </c>
      <c r="I942" s="17"/>
      <c r="J942" s="17"/>
      <c r="P942" s="17"/>
      <c r="Q942" s="17"/>
    </row>
    <row r="943" spans="2:17">
      <c r="B943" s="15" t="str">
        <f t="shared" si="64"/>
        <v/>
      </c>
      <c r="C943" s="16" t="str">
        <f>IFERROR(VLOOKUP(DATA!#REF!,DATA!#REF!,1,FALSE),"")</f>
        <v/>
      </c>
      <c r="D943" s="16" t="str">
        <f>IFERROR(VLOOKUP(C943,DATA!#REF!,2,FALSE),"")</f>
        <v/>
      </c>
      <c r="I943" s="17"/>
      <c r="J943" s="17"/>
      <c r="P943" s="17"/>
      <c r="Q943" s="17"/>
    </row>
    <row r="944" spans="2:17">
      <c r="B944" s="15" t="str">
        <f t="shared" si="64"/>
        <v/>
      </c>
      <c r="C944" s="16" t="str">
        <f>IFERROR(VLOOKUP(DATA!#REF!,DATA!#REF!,1,FALSE),"")</f>
        <v/>
      </c>
      <c r="D944" s="16" t="str">
        <f>IFERROR(VLOOKUP(C944,DATA!#REF!,2,FALSE),"")</f>
        <v/>
      </c>
      <c r="I944" s="17"/>
      <c r="J944" s="17"/>
      <c r="P944" s="17"/>
      <c r="Q944" s="17"/>
    </row>
    <row r="945" spans="2:17">
      <c r="B945" s="15" t="str">
        <f t="shared" si="64"/>
        <v/>
      </c>
      <c r="C945" s="16" t="str">
        <f>IFERROR(VLOOKUP(DATA!#REF!,DATA!#REF!,1,FALSE),"")</f>
        <v/>
      </c>
      <c r="D945" s="16" t="str">
        <f>IFERROR(VLOOKUP(C945,DATA!#REF!,2,FALSE),"")</f>
        <v/>
      </c>
      <c r="I945" s="17"/>
      <c r="J945" s="17"/>
      <c r="P945" s="17"/>
      <c r="Q945" s="17"/>
    </row>
    <row r="946" spans="2:17">
      <c r="B946" s="15" t="str">
        <f t="shared" si="64"/>
        <v/>
      </c>
      <c r="C946" s="16" t="str">
        <f>IFERROR(VLOOKUP(DATA!#REF!,DATA!#REF!,1,FALSE),"")</f>
        <v/>
      </c>
      <c r="D946" s="16" t="str">
        <f>IFERROR(VLOOKUP(C946,DATA!#REF!,2,FALSE),"")</f>
        <v/>
      </c>
      <c r="I946" s="17"/>
      <c r="J946" s="17"/>
      <c r="P946" s="17"/>
      <c r="Q946" s="17"/>
    </row>
    <row r="947" spans="2:17">
      <c r="B947" s="15" t="str">
        <f t="shared" si="64"/>
        <v/>
      </c>
      <c r="C947" s="16" t="str">
        <f>IFERROR(VLOOKUP(DATA!#REF!,DATA!#REF!,1,FALSE),"")</f>
        <v/>
      </c>
      <c r="D947" s="16" t="str">
        <f>IFERROR(VLOOKUP(C947,DATA!#REF!,2,FALSE),"")</f>
        <v/>
      </c>
      <c r="I947" s="17"/>
      <c r="J947" s="17"/>
      <c r="P947" s="17"/>
      <c r="Q947" s="17"/>
    </row>
    <row r="948" spans="2:17">
      <c r="B948" s="15" t="str">
        <f t="shared" si="64"/>
        <v/>
      </c>
      <c r="C948" s="16" t="str">
        <f>IFERROR(VLOOKUP(DATA!#REF!,DATA!#REF!,1,FALSE),"")</f>
        <v/>
      </c>
      <c r="D948" s="16" t="str">
        <f>IFERROR(VLOOKUP(C948,DATA!#REF!,2,FALSE),"")</f>
        <v/>
      </c>
      <c r="I948" s="17"/>
      <c r="J948" s="17"/>
      <c r="P948" s="17"/>
      <c r="Q948" s="17"/>
    </row>
    <row r="949" spans="2:17">
      <c r="B949" s="15" t="str">
        <f t="shared" si="64"/>
        <v/>
      </c>
      <c r="C949" s="16" t="str">
        <f>IFERROR(VLOOKUP(DATA!#REF!,DATA!#REF!,1,FALSE),"")</f>
        <v/>
      </c>
      <c r="D949" s="16" t="str">
        <f>IFERROR(VLOOKUP(C949,DATA!#REF!,2,FALSE),"")</f>
        <v/>
      </c>
      <c r="I949" s="17"/>
      <c r="J949" s="17"/>
      <c r="P949" s="17"/>
      <c r="Q949" s="17"/>
    </row>
    <row r="950" spans="2:17">
      <c r="B950" s="15" t="str">
        <f t="shared" si="64"/>
        <v/>
      </c>
      <c r="C950" s="16" t="str">
        <f>IFERROR(VLOOKUP(DATA!#REF!,DATA!#REF!,1,FALSE),"")</f>
        <v/>
      </c>
      <c r="D950" s="16" t="str">
        <f>IFERROR(VLOOKUP(C950,DATA!#REF!,2,FALSE),"")</f>
        <v/>
      </c>
      <c r="I950" s="17"/>
      <c r="J950" s="17"/>
      <c r="P950" s="17"/>
      <c r="Q950" s="17"/>
    </row>
    <row r="951" spans="2:17">
      <c r="B951" s="15" t="str">
        <f t="shared" ref="B951:B1014" si="65">+IF(C951="","",ROW()-5)</f>
        <v/>
      </c>
      <c r="C951" s="16" t="str">
        <f>IFERROR(VLOOKUP(DATA!#REF!,DATA!#REF!,1,FALSE),"")</f>
        <v/>
      </c>
      <c r="D951" s="16" t="str">
        <f>IFERROR(VLOOKUP(C951,DATA!#REF!,2,FALSE),"")</f>
        <v/>
      </c>
      <c r="I951" s="17"/>
      <c r="J951" s="17"/>
      <c r="P951" s="17"/>
      <c r="Q951" s="17"/>
    </row>
    <row r="952" spans="2:17">
      <c r="B952" s="15" t="str">
        <f t="shared" si="65"/>
        <v/>
      </c>
      <c r="C952" s="16" t="str">
        <f>IFERROR(VLOOKUP(DATA!#REF!,DATA!#REF!,1,FALSE),"")</f>
        <v/>
      </c>
      <c r="D952" s="16" t="str">
        <f>IFERROR(VLOOKUP(C952,DATA!#REF!,2,FALSE),"")</f>
        <v/>
      </c>
      <c r="I952" s="17"/>
      <c r="J952" s="17"/>
      <c r="P952" s="17"/>
      <c r="Q952" s="17"/>
    </row>
    <row r="953" spans="2:17">
      <c r="B953" s="15" t="str">
        <f t="shared" si="65"/>
        <v/>
      </c>
      <c r="C953" s="16" t="str">
        <f>IFERROR(VLOOKUP(DATA!#REF!,DATA!#REF!,1,FALSE),"")</f>
        <v/>
      </c>
      <c r="D953" s="16" t="str">
        <f>IFERROR(VLOOKUP(C953,DATA!#REF!,2,FALSE),"")</f>
        <v/>
      </c>
      <c r="I953" s="17"/>
      <c r="J953" s="17"/>
      <c r="P953" s="17"/>
      <c r="Q953" s="17"/>
    </row>
    <row r="954" spans="2:17">
      <c r="B954" s="15" t="str">
        <f t="shared" si="65"/>
        <v/>
      </c>
      <c r="C954" s="16" t="str">
        <f>IFERROR(VLOOKUP(DATA!#REF!,DATA!#REF!,1,FALSE),"")</f>
        <v/>
      </c>
      <c r="D954" s="16" t="str">
        <f>IFERROR(VLOOKUP(C954,DATA!#REF!,2,FALSE),"")</f>
        <v/>
      </c>
      <c r="I954" s="17"/>
      <c r="J954" s="17"/>
      <c r="P954" s="17"/>
      <c r="Q954" s="17"/>
    </row>
    <row r="955" spans="2:17">
      <c r="B955" s="15" t="str">
        <f t="shared" si="65"/>
        <v/>
      </c>
      <c r="C955" s="16" t="str">
        <f>IFERROR(VLOOKUP(DATA!#REF!,DATA!#REF!,1,FALSE),"")</f>
        <v/>
      </c>
      <c r="D955" s="16" t="str">
        <f>IFERROR(VLOOKUP(C955,DATA!#REF!,2,FALSE),"")</f>
        <v/>
      </c>
      <c r="I955" s="17"/>
      <c r="J955" s="17"/>
      <c r="P955" s="17"/>
      <c r="Q955" s="17"/>
    </row>
    <row r="956" spans="2:17">
      <c r="B956" s="15" t="str">
        <f t="shared" si="65"/>
        <v/>
      </c>
      <c r="C956" s="16" t="str">
        <f>IFERROR(VLOOKUP(DATA!#REF!,DATA!#REF!,1,FALSE),"")</f>
        <v/>
      </c>
      <c r="D956" s="16" t="str">
        <f>IFERROR(VLOOKUP(C956,DATA!#REF!,2,FALSE),"")</f>
        <v/>
      </c>
      <c r="I956" s="17"/>
      <c r="J956" s="17"/>
      <c r="P956" s="17"/>
      <c r="Q956" s="17"/>
    </row>
    <row r="957" spans="2:17">
      <c r="B957" s="15" t="str">
        <f t="shared" si="65"/>
        <v/>
      </c>
      <c r="C957" s="16" t="str">
        <f>IFERROR(VLOOKUP(DATA!#REF!,DATA!#REF!,1,FALSE),"")</f>
        <v/>
      </c>
      <c r="D957" s="16" t="str">
        <f>IFERROR(VLOOKUP(C957,DATA!#REF!,2,FALSE),"")</f>
        <v/>
      </c>
      <c r="I957" s="17"/>
      <c r="J957" s="17"/>
      <c r="P957" s="17"/>
      <c r="Q957" s="17"/>
    </row>
    <row r="958" spans="2:17">
      <c r="B958" s="15" t="str">
        <f t="shared" si="65"/>
        <v/>
      </c>
      <c r="C958" s="16" t="str">
        <f>IFERROR(VLOOKUP(DATA!#REF!,DATA!#REF!,1,FALSE),"")</f>
        <v/>
      </c>
      <c r="D958" s="16" t="str">
        <f>IFERROR(VLOOKUP(C958,DATA!#REF!,2,FALSE),"")</f>
        <v/>
      </c>
      <c r="I958" s="17"/>
      <c r="J958" s="17"/>
      <c r="P958" s="17"/>
      <c r="Q958" s="17"/>
    </row>
    <row r="959" spans="2:17">
      <c r="B959" s="15" t="str">
        <f t="shared" si="65"/>
        <v/>
      </c>
      <c r="C959" s="16" t="str">
        <f>IFERROR(VLOOKUP(DATA!#REF!,DATA!#REF!,1,FALSE),"")</f>
        <v/>
      </c>
      <c r="D959" s="16" t="str">
        <f>IFERROR(VLOOKUP(C959,DATA!#REF!,2,FALSE),"")</f>
        <v/>
      </c>
      <c r="I959" s="17"/>
      <c r="J959" s="17"/>
      <c r="P959" s="17"/>
      <c r="Q959" s="17"/>
    </row>
    <row r="960" spans="2:17">
      <c r="B960" s="15" t="str">
        <f t="shared" si="65"/>
        <v/>
      </c>
      <c r="C960" s="16" t="str">
        <f>IFERROR(VLOOKUP(DATA!#REF!,DATA!#REF!,1,FALSE),"")</f>
        <v/>
      </c>
      <c r="D960" s="16" t="str">
        <f>IFERROR(VLOOKUP(C960,DATA!#REF!,2,FALSE),"")</f>
        <v/>
      </c>
      <c r="I960" s="17"/>
      <c r="J960" s="17"/>
      <c r="P960" s="17"/>
      <c r="Q960" s="17"/>
    </row>
    <row r="961" spans="2:17">
      <c r="B961" s="15" t="str">
        <f t="shared" si="65"/>
        <v/>
      </c>
      <c r="C961" s="16" t="str">
        <f>IFERROR(VLOOKUP(DATA!#REF!,DATA!#REF!,1,FALSE),"")</f>
        <v/>
      </c>
      <c r="D961" s="16" t="str">
        <f>IFERROR(VLOOKUP(C961,DATA!#REF!,2,FALSE),"")</f>
        <v/>
      </c>
      <c r="I961" s="17"/>
      <c r="J961" s="17"/>
      <c r="P961" s="17"/>
      <c r="Q961" s="17"/>
    </row>
    <row r="962" spans="2:17">
      <c r="B962" s="15" t="str">
        <f t="shared" si="65"/>
        <v/>
      </c>
      <c r="C962" s="16" t="str">
        <f>IFERROR(VLOOKUP(DATA!#REF!,DATA!#REF!,1,FALSE),"")</f>
        <v/>
      </c>
      <c r="D962" s="16" t="str">
        <f>IFERROR(VLOOKUP(C962,DATA!#REF!,2,FALSE),"")</f>
        <v/>
      </c>
      <c r="I962" s="17"/>
      <c r="J962" s="17"/>
      <c r="P962" s="17"/>
      <c r="Q962" s="17"/>
    </row>
    <row r="963" spans="2:17">
      <c r="B963" s="15" t="str">
        <f t="shared" si="65"/>
        <v/>
      </c>
      <c r="C963" s="16" t="str">
        <f>IFERROR(VLOOKUP(DATA!#REF!,DATA!#REF!,1,FALSE),"")</f>
        <v/>
      </c>
      <c r="D963" s="16" t="str">
        <f>IFERROR(VLOOKUP(C963,DATA!#REF!,2,FALSE),"")</f>
        <v/>
      </c>
      <c r="I963" s="17"/>
      <c r="J963" s="17"/>
      <c r="P963" s="17"/>
      <c r="Q963" s="17"/>
    </row>
    <row r="964" spans="2:17">
      <c r="B964" s="15" t="str">
        <f t="shared" si="65"/>
        <v/>
      </c>
      <c r="C964" s="16" t="str">
        <f>IFERROR(VLOOKUP(DATA!#REF!,DATA!#REF!,1,FALSE),"")</f>
        <v/>
      </c>
      <c r="D964" s="16" t="str">
        <f>IFERROR(VLOOKUP(C964,DATA!#REF!,2,FALSE),"")</f>
        <v/>
      </c>
      <c r="I964" s="17"/>
      <c r="J964" s="17"/>
      <c r="P964" s="17"/>
      <c r="Q964" s="17"/>
    </row>
    <row r="965" spans="2:17">
      <c r="B965" s="15" t="str">
        <f t="shared" si="65"/>
        <v/>
      </c>
      <c r="C965" s="16" t="str">
        <f>IFERROR(VLOOKUP(DATA!#REF!,DATA!#REF!,1,FALSE),"")</f>
        <v/>
      </c>
      <c r="D965" s="16" t="str">
        <f>IFERROR(VLOOKUP(C965,DATA!#REF!,2,FALSE),"")</f>
        <v/>
      </c>
      <c r="I965" s="17"/>
      <c r="J965" s="17"/>
      <c r="P965" s="17"/>
      <c r="Q965" s="17"/>
    </row>
    <row r="966" spans="2:17">
      <c r="B966" s="15" t="str">
        <f t="shared" si="65"/>
        <v/>
      </c>
      <c r="C966" s="16" t="str">
        <f>IFERROR(VLOOKUP(DATA!#REF!,DATA!#REF!,1,FALSE),"")</f>
        <v/>
      </c>
      <c r="D966" s="16" t="str">
        <f>IFERROR(VLOOKUP(C966,DATA!#REF!,2,FALSE),"")</f>
        <v/>
      </c>
      <c r="I966" s="17"/>
      <c r="J966" s="17"/>
      <c r="P966" s="17"/>
      <c r="Q966" s="17"/>
    </row>
    <row r="967" spans="2:17">
      <c r="B967" s="15" t="str">
        <f t="shared" si="65"/>
        <v/>
      </c>
      <c r="C967" s="16" t="str">
        <f>IFERROR(VLOOKUP(DATA!#REF!,DATA!#REF!,1,FALSE),"")</f>
        <v/>
      </c>
      <c r="D967" s="16" t="str">
        <f>IFERROR(VLOOKUP(C967,DATA!#REF!,2,FALSE),"")</f>
        <v/>
      </c>
      <c r="I967" s="17"/>
      <c r="J967" s="17"/>
      <c r="P967" s="17"/>
      <c r="Q967" s="17"/>
    </row>
    <row r="968" spans="2:17">
      <c r="B968" s="15" t="str">
        <f t="shared" si="65"/>
        <v/>
      </c>
      <c r="C968" s="16" t="str">
        <f>IFERROR(VLOOKUP(DATA!#REF!,DATA!#REF!,1,FALSE),"")</f>
        <v/>
      </c>
      <c r="D968" s="16" t="str">
        <f>IFERROR(VLOOKUP(C968,DATA!#REF!,2,FALSE),"")</f>
        <v/>
      </c>
      <c r="I968" s="17"/>
      <c r="J968" s="17"/>
      <c r="P968" s="17"/>
      <c r="Q968" s="17"/>
    </row>
    <row r="969" spans="2:17">
      <c r="B969" s="15" t="str">
        <f t="shared" si="65"/>
        <v/>
      </c>
      <c r="C969" s="16" t="str">
        <f>IFERROR(VLOOKUP(DATA!#REF!,DATA!#REF!,1,FALSE),"")</f>
        <v/>
      </c>
      <c r="D969" s="16" t="str">
        <f>IFERROR(VLOOKUP(C969,DATA!#REF!,2,FALSE),"")</f>
        <v/>
      </c>
      <c r="I969" s="17"/>
      <c r="J969" s="17"/>
      <c r="P969" s="17"/>
      <c r="Q969" s="17"/>
    </row>
    <row r="970" spans="2:17">
      <c r="B970" s="15" t="str">
        <f t="shared" si="65"/>
        <v/>
      </c>
      <c r="C970" s="16" t="str">
        <f>IFERROR(VLOOKUP(DATA!#REF!,DATA!#REF!,1,FALSE),"")</f>
        <v/>
      </c>
      <c r="D970" s="16" t="str">
        <f>IFERROR(VLOOKUP(C970,DATA!#REF!,2,FALSE),"")</f>
        <v/>
      </c>
      <c r="I970" s="17"/>
      <c r="J970" s="17"/>
      <c r="P970" s="17"/>
      <c r="Q970" s="17"/>
    </row>
    <row r="971" spans="2:17">
      <c r="B971" s="15" t="str">
        <f t="shared" si="65"/>
        <v/>
      </c>
      <c r="C971" s="16" t="str">
        <f>IFERROR(VLOOKUP(DATA!#REF!,DATA!#REF!,1,FALSE),"")</f>
        <v/>
      </c>
      <c r="D971" s="16" t="str">
        <f>IFERROR(VLOOKUP(C971,DATA!#REF!,2,FALSE),"")</f>
        <v/>
      </c>
      <c r="I971" s="17"/>
      <c r="J971" s="17"/>
      <c r="P971" s="17"/>
      <c r="Q971" s="17"/>
    </row>
    <row r="972" spans="2:17">
      <c r="B972" s="15" t="str">
        <f t="shared" si="65"/>
        <v/>
      </c>
      <c r="C972" s="16" t="str">
        <f>IFERROR(VLOOKUP(DATA!#REF!,DATA!#REF!,1,FALSE),"")</f>
        <v/>
      </c>
      <c r="D972" s="16" t="str">
        <f>IFERROR(VLOOKUP(C972,DATA!#REF!,2,FALSE),"")</f>
        <v/>
      </c>
      <c r="I972" s="17"/>
      <c r="J972" s="17"/>
      <c r="P972" s="17"/>
      <c r="Q972" s="17"/>
    </row>
    <row r="973" spans="2:17">
      <c r="B973" s="15" t="str">
        <f t="shared" si="65"/>
        <v/>
      </c>
      <c r="C973" s="16" t="str">
        <f>IFERROR(VLOOKUP(DATA!#REF!,DATA!#REF!,1,FALSE),"")</f>
        <v/>
      </c>
      <c r="D973" s="16" t="str">
        <f>IFERROR(VLOOKUP(C973,DATA!#REF!,2,FALSE),"")</f>
        <v/>
      </c>
      <c r="I973" s="17"/>
      <c r="J973" s="17"/>
      <c r="P973" s="17"/>
      <c r="Q973" s="17"/>
    </row>
    <row r="974" spans="2:17">
      <c r="B974" s="15" t="str">
        <f t="shared" si="65"/>
        <v/>
      </c>
      <c r="C974" s="16" t="str">
        <f>IFERROR(VLOOKUP(DATA!#REF!,DATA!#REF!,1,FALSE),"")</f>
        <v/>
      </c>
      <c r="D974" s="16" t="str">
        <f>IFERROR(VLOOKUP(C974,DATA!#REF!,2,FALSE),"")</f>
        <v/>
      </c>
      <c r="I974" s="17"/>
      <c r="J974" s="17"/>
      <c r="P974" s="17"/>
      <c r="Q974" s="17"/>
    </row>
    <row r="975" spans="2:17">
      <c r="B975" s="15" t="str">
        <f t="shared" si="65"/>
        <v/>
      </c>
      <c r="C975" s="16" t="str">
        <f>IFERROR(VLOOKUP(DATA!#REF!,DATA!#REF!,1,FALSE),"")</f>
        <v/>
      </c>
      <c r="D975" s="16" t="str">
        <f>IFERROR(VLOOKUP(C975,DATA!#REF!,2,FALSE),"")</f>
        <v/>
      </c>
      <c r="I975" s="17"/>
      <c r="J975" s="17"/>
      <c r="P975" s="17"/>
      <c r="Q975" s="17"/>
    </row>
    <row r="976" spans="2:17">
      <c r="B976" s="15" t="str">
        <f t="shared" si="65"/>
        <v/>
      </c>
      <c r="C976" s="16" t="str">
        <f>IFERROR(VLOOKUP(DATA!#REF!,DATA!#REF!,1,FALSE),"")</f>
        <v/>
      </c>
      <c r="D976" s="16" t="str">
        <f>IFERROR(VLOOKUP(C976,DATA!#REF!,2,FALSE),"")</f>
        <v/>
      </c>
      <c r="I976" s="17"/>
      <c r="J976" s="17"/>
      <c r="P976" s="17"/>
      <c r="Q976" s="17"/>
    </row>
    <row r="977" spans="2:17">
      <c r="B977" s="15" t="str">
        <f t="shared" si="65"/>
        <v/>
      </c>
      <c r="C977" s="16" t="str">
        <f>IFERROR(VLOOKUP(DATA!#REF!,DATA!#REF!,1,FALSE),"")</f>
        <v/>
      </c>
      <c r="D977" s="16" t="str">
        <f>IFERROR(VLOOKUP(C977,DATA!#REF!,2,FALSE),"")</f>
        <v/>
      </c>
      <c r="I977" s="17"/>
      <c r="J977" s="17"/>
      <c r="P977" s="17"/>
      <c r="Q977" s="17"/>
    </row>
    <row r="978" spans="2:17">
      <c r="B978" s="15" t="str">
        <f t="shared" si="65"/>
        <v/>
      </c>
      <c r="C978" s="16" t="str">
        <f>IFERROR(VLOOKUP(DATA!#REF!,DATA!#REF!,1,FALSE),"")</f>
        <v/>
      </c>
      <c r="D978" s="16" t="str">
        <f>IFERROR(VLOOKUP(C978,DATA!#REF!,2,FALSE),"")</f>
        <v/>
      </c>
      <c r="I978" s="17"/>
      <c r="J978" s="17"/>
      <c r="P978" s="17"/>
      <c r="Q978" s="17"/>
    </row>
    <row r="979" spans="2:17">
      <c r="B979" s="15" t="str">
        <f t="shared" si="65"/>
        <v/>
      </c>
      <c r="C979" s="16" t="str">
        <f>IFERROR(VLOOKUP(DATA!#REF!,DATA!#REF!,1,FALSE),"")</f>
        <v/>
      </c>
      <c r="D979" s="16" t="str">
        <f>IFERROR(VLOOKUP(C979,DATA!#REF!,2,FALSE),"")</f>
        <v/>
      </c>
      <c r="I979" s="17"/>
      <c r="J979" s="17"/>
      <c r="P979" s="17"/>
      <c r="Q979" s="17"/>
    </row>
    <row r="980" spans="2:17">
      <c r="B980" s="15" t="str">
        <f t="shared" si="65"/>
        <v/>
      </c>
      <c r="C980" s="16" t="str">
        <f>IFERROR(VLOOKUP(DATA!#REF!,DATA!#REF!,1,FALSE),"")</f>
        <v/>
      </c>
      <c r="D980" s="16" t="str">
        <f>IFERROR(VLOOKUP(C980,DATA!#REF!,2,FALSE),"")</f>
        <v/>
      </c>
      <c r="I980" s="17"/>
      <c r="J980" s="17"/>
      <c r="P980" s="17"/>
      <c r="Q980" s="17"/>
    </row>
    <row r="981" spans="2:17">
      <c r="B981" s="15" t="str">
        <f t="shared" si="65"/>
        <v/>
      </c>
      <c r="C981" s="16" t="str">
        <f>IFERROR(VLOOKUP(DATA!#REF!,DATA!#REF!,1,FALSE),"")</f>
        <v/>
      </c>
      <c r="D981" s="16" t="str">
        <f>IFERROR(VLOOKUP(C981,DATA!#REF!,2,FALSE),"")</f>
        <v/>
      </c>
      <c r="I981" s="17"/>
      <c r="J981" s="17"/>
      <c r="P981" s="17"/>
      <c r="Q981" s="17"/>
    </row>
    <row r="982" spans="2:17">
      <c r="B982" s="15" t="str">
        <f t="shared" si="65"/>
        <v/>
      </c>
      <c r="C982" s="16" t="str">
        <f>IFERROR(VLOOKUP(DATA!#REF!,DATA!#REF!,1,FALSE),"")</f>
        <v/>
      </c>
      <c r="D982" s="16" t="str">
        <f>IFERROR(VLOOKUP(C982,DATA!#REF!,2,FALSE),"")</f>
        <v/>
      </c>
      <c r="I982" s="17"/>
      <c r="J982" s="17"/>
      <c r="P982" s="17"/>
      <c r="Q982" s="17"/>
    </row>
    <row r="983" spans="2:17">
      <c r="B983" s="15" t="str">
        <f t="shared" si="65"/>
        <v/>
      </c>
      <c r="C983" s="16" t="str">
        <f>IFERROR(VLOOKUP(DATA!#REF!,DATA!#REF!,1,FALSE),"")</f>
        <v/>
      </c>
      <c r="D983" s="16" t="str">
        <f>IFERROR(VLOOKUP(C983,DATA!#REF!,2,FALSE),"")</f>
        <v/>
      </c>
      <c r="I983" s="17"/>
      <c r="J983" s="17"/>
      <c r="P983" s="17"/>
      <c r="Q983" s="17"/>
    </row>
    <row r="984" spans="2:17">
      <c r="B984" s="15" t="str">
        <f t="shared" si="65"/>
        <v/>
      </c>
      <c r="C984" s="16" t="str">
        <f>IFERROR(VLOOKUP(DATA!#REF!,DATA!#REF!,1,FALSE),"")</f>
        <v/>
      </c>
      <c r="D984" s="16" t="str">
        <f>IFERROR(VLOOKUP(C984,DATA!#REF!,2,FALSE),"")</f>
        <v/>
      </c>
      <c r="I984" s="17"/>
      <c r="J984" s="17"/>
      <c r="P984" s="17"/>
      <c r="Q984" s="17"/>
    </row>
    <row r="985" spans="2:17">
      <c r="B985" s="15" t="str">
        <f t="shared" si="65"/>
        <v/>
      </c>
      <c r="C985" s="16" t="str">
        <f>IFERROR(VLOOKUP(DATA!#REF!,DATA!#REF!,1,FALSE),"")</f>
        <v/>
      </c>
      <c r="D985" s="16" t="str">
        <f>IFERROR(VLOOKUP(C985,DATA!#REF!,2,FALSE),"")</f>
        <v/>
      </c>
      <c r="I985" s="17"/>
      <c r="J985" s="17"/>
      <c r="P985" s="17"/>
      <c r="Q985" s="17"/>
    </row>
    <row r="986" spans="2:17">
      <c r="B986" s="15" t="str">
        <f t="shared" si="65"/>
        <v/>
      </c>
      <c r="C986" s="16" t="str">
        <f>IFERROR(VLOOKUP(DATA!#REF!,DATA!#REF!,1,FALSE),"")</f>
        <v/>
      </c>
      <c r="D986" s="16" t="str">
        <f>IFERROR(VLOOKUP(C986,DATA!#REF!,2,FALSE),"")</f>
        <v/>
      </c>
      <c r="I986" s="17"/>
      <c r="J986" s="17"/>
      <c r="P986" s="17"/>
      <c r="Q986" s="17"/>
    </row>
    <row r="987" spans="2:17">
      <c r="B987" s="15" t="str">
        <f t="shared" si="65"/>
        <v/>
      </c>
      <c r="C987" s="16" t="str">
        <f>IFERROR(VLOOKUP(DATA!#REF!,DATA!#REF!,1,FALSE),"")</f>
        <v/>
      </c>
      <c r="D987" s="16" t="str">
        <f>IFERROR(VLOOKUP(C987,DATA!#REF!,2,FALSE),"")</f>
        <v/>
      </c>
      <c r="I987" s="17"/>
      <c r="J987" s="17"/>
      <c r="P987" s="17"/>
      <c r="Q987" s="17"/>
    </row>
    <row r="988" spans="2:17">
      <c r="B988" s="15" t="str">
        <f t="shared" si="65"/>
        <v/>
      </c>
      <c r="C988" s="16" t="str">
        <f>IFERROR(VLOOKUP(DATA!#REF!,DATA!#REF!,1,FALSE),"")</f>
        <v/>
      </c>
      <c r="D988" s="16" t="str">
        <f>IFERROR(VLOOKUP(C988,DATA!#REF!,2,FALSE),"")</f>
        <v/>
      </c>
      <c r="I988" s="17"/>
      <c r="J988" s="17"/>
      <c r="P988" s="17"/>
      <c r="Q988" s="17"/>
    </row>
    <row r="989" spans="2:17">
      <c r="B989" s="15" t="str">
        <f t="shared" si="65"/>
        <v/>
      </c>
      <c r="C989" s="16" t="str">
        <f>IFERROR(VLOOKUP(DATA!#REF!,DATA!#REF!,1,FALSE),"")</f>
        <v/>
      </c>
      <c r="D989" s="16" t="str">
        <f>IFERROR(VLOOKUP(C989,DATA!#REF!,2,FALSE),"")</f>
        <v/>
      </c>
      <c r="I989" s="17"/>
      <c r="J989" s="17"/>
      <c r="P989" s="17"/>
      <c r="Q989" s="17"/>
    </row>
    <row r="990" spans="2:17">
      <c r="B990" s="15" t="str">
        <f t="shared" si="65"/>
        <v/>
      </c>
      <c r="C990" s="16" t="str">
        <f>IFERROR(VLOOKUP(DATA!#REF!,DATA!#REF!,1,FALSE),"")</f>
        <v/>
      </c>
      <c r="D990" s="16" t="str">
        <f>IFERROR(VLOOKUP(C990,DATA!#REF!,2,FALSE),"")</f>
        <v/>
      </c>
      <c r="I990" s="17"/>
      <c r="J990" s="17"/>
      <c r="P990" s="17"/>
      <c r="Q990" s="17"/>
    </row>
    <row r="991" spans="2:17">
      <c r="B991" s="15" t="str">
        <f t="shared" si="65"/>
        <v/>
      </c>
      <c r="C991" s="16" t="str">
        <f>IFERROR(VLOOKUP(DATA!#REF!,DATA!#REF!,1,FALSE),"")</f>
        <v/>
      </c>
      <c r="D991" s="16" t="str">
        <f>IFERROR(VLOOKUP(C991,DATA!#REF!,2,FALSE),"")</f>
        <v/>
      </c>
      <c r="I991" s="17"/>
      <c r="J991" s="17"/>
      <c r="P991" s="17"/>
      <c r="Q991" s="17"/>
    </row>
    <row r="992" spans="2:17">
      <c r="B992" s="15" t="str">
        <f t="shared" si="65"/>
        <v/>
      </c>
      <c r="C992" s="16" t="str">
        <f>IFERROR(VLOOKUP(DATA!#REF!,DATA!#REF!,1,FALSE),"")</f>
        <v/>
      </c>
      <c r="D992" s="16" t="str">
        <f>IFERROR(VLOOKUP(C992,DATA!#REF!,2,FALSE),"")</f>
        <v/>
      </c>
      <c r="I992" s="17"/>
      <c r="J992" s="17"/>
      <c r="P992" s="17"/>
      <c r="Q992" s="17"/>
    </row>
    <row r="993" spans="2:17">
      <c r="B993" s="15" t="str">
        <f t="shared" si="65"/>
        <v/>
      </c>
      <c r="C993" s="16" t="str">
        <f>IFERROR(VLOOKUP(DATA!#REF!,DATA!#REF!,1,FALSE),"")</f>
        <v/>
      </c>
      <c r="D993" s="16" t="str">
        <f>IFERROR(VLOOKUP(C993,DATA!#REF!,2,FALSE),"")</f>
        <v/>
      </c>
      <c r="I993" s="17"/>
      <c r="J993" s="17"/>
      <c r="P993" s="17"/>
      <c r="Q993" s="17"/>
    </row>
    <row r="994" spans="2:17">
      <c r="B994" s="15" t="str">
        <f t="shared" si="65"/>
        <v/>
      </c>
      <c r="C994" s="16" t="str">
        <f>IFERROR(VLOOKUP(DATA!#REF!,DATA!#REF!,1,FALSE),"")</f>
        <v/>
      </c>
      <c r="D994" s="16" t="str">
        <f>IFERROR(VLOOKUP(C994,DATA!#REF!,2,FALSE),"")</f>
        <v/>
      </c>
      <c r="I994" s="17"/>
      <c r="J994" s="17"/>
      <c r="P994" s="17"/>
      <c r="Q994" s="17"/>
    </row>
    <row r="995" spans="2:17">
      <c r="B995" s="15" t="str">
        <f t="shared" si="65"/>
        <v/>
      </c>
      <c r="C995" s="16" t="str">
        <f>IFERROR(VLOOKUP(DATA!#REF!,DATA!#REF!,1,FALSE),"")</f>
        <v/>
      </c>
      <c r="D995" s="16" t="str">
        <f>IFERROR(VLOOKUP(C995,DATA!#REF!,2,FALSE),"")</f>
        <v/>
      </c>
      <c r="I995" s="17"/>
      <c r="J995" s="17"/>
      <c r="P995" s="17"/>
      <c r="Q995" s="17"/>
    </row>
    <row r="996" spans="2:17">
      <c r="B996" s="15" t="str">
        <f t="shared" si="65"/>
        <v/>
      </c>
      <c r="C996" s="16" t="str">
        <f>IFERROR(VLOOKUP(DATA!#REF!,DATA!#REF!,1,FALSE),"")</f>
        <v/>
      </c>
      <c r="D996" s="16" t="str">
        <f>IFERROR(VLOOKUP(C996,DATA!#REF!,2,FALSE),"")</f>
        <v/>
      </c>
      <c r="I996" s="17"/>
      <c r="J996" s="17"/>
      <c r="P996" s="17"/>
      <c r="Q996" s="17"/>
    </row>
    <row r="997" spans="2:17">
      <c r="B997" s="15" t="str">
        <f t="shared" si="65"/>
        <v/>
      </c>
      <c r="C997" s="16" t="str">
        <f>IFERROR(VLOOKUP(DATA!#REF!,DATA!#REF!,1,FALSE),"")</f>
        <v/>
      </c>
      <c r="D997" s="16" t="str">
        <f>IFERROR(VLOOKUP(C997,DATA!#REF!,2,FALSE),"")</f>
        <v/>
      </c>
      <c r="I997" s="17"/>
      <c r="J997" s="17"/>
      <c r="P997" s="17"/>
      <c r="Q997" s="17"/>
    </row>
    <row r="998" spans="2:17">
      <c r="B998" s="15" t="str">
        <f t="shared" si="65"/>
        <v/>
      </c>
      <c r="C998" s="16" t="str">
        <f>IFERROR(VLOOKUP(DATA!#REF!,DATA!#REF!,1,FALSE),"")</f>
        <v/>
      </c>
      <c r="D998" s="16" t="str">
        <f>IFERROR(VLOOKUP(C998,DATA!#REF!,2,FALSE),"")</f>
        <v/>
      </c>
      <c r="I998" s="17"/>
      <c r="J998" s="17"/>
      <c r="P998" s="17"/>
      <c r="Q998" s="17"/>
    </row>
    <row r="999" spans="2:17">
      <c r="B999" s="15" t="str">
        <f t="shared" si="65"/>
        <v/>
      </c>
      <c r="C999" s="16" t="str">
        <f>IFERROR(VLOOKUP(DATA!#REF!,DATA!#REF!,1,FALSE),"")</f>
        <v/>
      </c>
      <c r="D999" s="16" t="str">
        <f>IFERROR(VLOOKUP(C999,DATA!#REF!,2,FALSE),"")</f>
        <v/>
      </c>
      <c r="I999" s="17"/>
      <c r="J999" s="17"/>
      <c r="P999" s="17"/>
      <c r="Q999" s="17"/>
    </row>
    <row r="1000" spans="2:17">
      <c r="B1000" s="15" t="str">
        <f t="shared" si="65"/>
        <v/>
      </c>
      <c r="C1000" s="16" t="str">
        <f>IFERROR(VLOOKUP(DATA!#REF!,DATA!#REF!,1,FALSE),"")</f>
        <v/>
      </c>
      <c r="D1000" s="16" t="str">
        <f>IFERROR(VLOOKUP(C1000,DATA!#REF!,2,FALSE),"")</f>
        <v/>
      </c>
      <c r="I1000" s="17"/>
      <c r="J1000" s="17"/>
      <c r="P1000" s="17"/>
      <c r="Q1000" s="17"/>
    </row>
    <row r="1001" spans="2:17">
      <c r="B1001" s="15" t="str">
        <f t="shared" si="65"/>
        <v/>
      </c>
      <c r="C1001" s="16" t="str">
        <f>IFERROR(VLOOKUP(DATA!#REF!,DATA!#REF!,1,FALSE),"")</f>
        <v/>
      </c>
      <c r="D1001" s="16" t="str">
        <f>IFERROR(VLOOKUP(C1001,DATA!#REF!,2,FALSE),"")</f>
        <v/>
      </c>
      <c r="I1001" s="17"/>
      <c r="J1001" s="17"/>
      <c r="P1001" s="17"/>
      <c r="Q1001" s="17"/>
    </row>
    <row r="1002" spans="2:17">
      <c r="B1002" s="15" t="str">
        <f t="shared" si="65"/>
        <v/>
      </c>
      <c r="C1002" s="16" t="str">
        <f>IFERROR(VLOOKUP(DATA!#REF!,DATA!#REF!,1,FALSE),"")</f>
        <v/>
      </c>
      <c r="D1002" s="16" t="str">
        <f>IFERROR(VLOOKUP(C1002,DATA!#REF!,2,FALSE),"")</f>
        <v/>
      </c>
      <c r="I1002" s="17"/>
      <c r="J1002" s="17"/>
      <c r="P1002" s="17"/>
      <c r="Q1002" s="17"/>
    </row>
    <row r="1003" spans="2:17">
      <c r="B1003" s="15" t="str">
        <f t="shared" si="65"/>
        <v/>
      </c>
      <c r="C1003" s="16" t="str">
        <f>IFERROR(VLOOKUP(DATA!#REF!,DATA!#REF!,1,FALSE),"")</f>
        <v/>
      </c>
      <c r="D1003" s="16" t="str">
        <f>IFERROR(VLOOKUP(C1003,DATA!#REF!,2,FALSE),"")</f>
        <v/>
      </c>
      <c r="I1003" s="17"/>
      <c r="J1003" s="17"/>
      <c r="P1003" s="17"/>
      <c r="Q1003" s="17"/>
    </row>
    <row r="1004" spans="2:17">
      <c r="B1004" s="15" t="str">
        <f t="shared" si="65"/>
        <v/>
      </c>
      <c r="C1004" s="16" t="str">
        <f>IFERROR(VLOOKUP(DATA!#REF!,DATA!#REF!,1,FALSE),"")</f>
        <v/>
      </c>
      <c r="D1004" s="16" t="str">
        <f>IFERROR(VLOOKUP(C1004,DATA!#REF!,2,FALSE),"")</f>
        <v/>
      </c>
      <c r="I1004" s="17"/>
      <c r="J1004" s="17"/>
      <c r="P1004" s="17"/>
      <c r="Q1004" s="17"/>
    </row>
    <row r="1005" spans="2:17">
      <c r="B1005" s="15" t="str">
        <f t="shared" si="65"/>
        <v/>
      </c>
      <c r="C1005" s="16" t="str">
        <f>IFERROR(VLOOKUP(DATA!#REF!,DATA!#REF!,1,FALSE),"")</f>
        <v/>
      </c>
      <c r="D1005" s="16" t="str">
        <f>IFERROR(VLOOKUP(C1005,DATA!#REF!,2,FALSE),"")</f>
        <v/>
      </c>
      <c r="I1005" s="17"/>
      <c r="J1005" s="17"/>
      <c r="P1005" s="17"/>
      <c r="Q1005" s="17"/>
    </row>
    <row r="1006" spans="2:17">
      <c r="B1006" s="15" t="str">
        <f t="shared" si="65"/>
        <v/>
      </c>
      <c r="C1006" s="16" t="str">
        <f>IFERROR(VLOOKUP(DATA!#REF!,DATA!#REF!,1,FALSE),"")</f>
        <v/>
      </c>
      <c r="D1006" s="16" t="str">
        <f>IFERROR(VLOOKUP(C1006,DATA!#REF!,2,FALSE),"")</f>
        <v/>
      </c>
      <c r="I1006" s="17"/>
      <c r="J1006" s="17"/>
      <c r="P1006" s="17"/>
      <c r="Q1006" s="17"/>
    </row>
    <row r="1007" spans="2:17">
      <c r="B1007" s="15" t="str">
        <f t="shared" si="65"/>
        <v/>
      </c>
      <c r="C1007" s="16" t="str">
        <f>IFERROR(VLOOKUP(DATA!#REF!,DATA!#REF!,1,FALSE),"")</f>
        <v/>
      </c>
      <c r="D1007" s="16" t="str">
        <f>IFERROR(VLOOKUP(C1007,DATA!#REF!,2,FALSE),"")</f>
        <v/>
      </c>
      <c r="I1007" s="17"/>
      <c r="J1007" s="17"/>
      <c r="P1007" s="17"/>
      <c r="Q1007" s="17"/>
    </row>
    <row r="1008" spans="2:17">
      <c r="B1008" s="15" t="str">
        <f t="shared" si="65"/>
        <v/>
      </c>
      <c r="C1008" s="16" t="str">
        <f>IFERROR(VLOOKUP(DATA!#REF!,DATA!#REF!,1,FALSE),"")</f>
        <v/>
      </c>
      <c r="D1008" s="16" t="str">
        <f>IFERROR(VLOOKUP(C1008,DATA!#REF!,2,FALSE),"")</f>
        <v/>
      </c>
      <c r="I1008" s="17"/>
      <c r="J1008" s="17"/>
      <c r="P1008" s="17"/>
      <c r="Q1008" s="17"/>
    </row>
    <row r="1009" spans="2:17">
      <c r="B1009" s="15" t="str">
        <f t="shared" si="65"/>
        <v/>
      </c>
      <c r="C1009" s="16" t="str">
        <f>IFERROR(VLOOKUP(DATA!#REF!,DATA!#REF!,1,FALSE),"")</f>
        <v/>
      </c>
      <c r="D1009" s="16" t="str">
        <f>IFERROR(VLOOKUP(C1009,DATA!#REF!,2,FALSE),"")</f>
        <v/>
      </c>
      <c r="I1009" s="17"/>
      <c r="J1009" s="17"/>
      <c r="P1009" s="17"/>
      <c r="Q1009" s="17"/>
    </row>
    <row r="1010" spans="2:17">
      <c r="B1010" s="15" t="str">
        <f t="shared" si="65"/>
        <v/>
      </c>
      <c r="C1010" s="16" t="str">
        <f>IFERROR(VLOOKUP(DATA!#REF!,DATA!#REF!,1,FALSE),"")</f>
        <v/>
      </c>
      <c r="D1010" s="16" t="str">
        <f>IFERROR(VLOOKUP(C1010,DATA!#REF!,2,FALSE),"")</f>
        <v/>
      </c>
      <c r="I1010" s="17"/>
      <c r="J1010" s="17"/>
      <c r="P1010" s="17"/>
      <c r="Q1010" s="17"/>
    </row>
    <row r="1011" spans="2:17">
      <c r="B1011" s="15" t="str">
        <f t="shared" si="65"/>
        <v/>
      </c>
      <c r="C1011" s="16" t="str">
        <f>IFERROR(VLOOKUP(DATA!#REF!,DATA!#REF!,1,FALSE),"")</f>
        <v/>
      </c>
      <c r="D1011" s="16" t="str">
        <f>IFERROR(VLOOKUP(C1011,DATA!#REF!,2,FALSE),"")</f>
        <v/>
      </c>
      <c r="I1011" s="17"/>
      <c r="J1011" s="17"/>
      <c r="P1011" s="17"/>
      <c r="Q1011" s="17"/>
    </row>
    <row r="1012" spans="2:17">
      <c r="B1012" s="15" t="str">
        <f t="shared" si="65"/>
        <v/>
      </c>
      <c r="C1012" s="16" t="str">
        <f>IFERROR(VLOOKUP(DATA!#REF!,DATA!#REF!,1,FALSE),"")</f>
        <v/>
      </c>
      <c r="D1012" s="16" t="str">
        <f>IFERROR(VLOOKUP(C1012,DATA!#REF!,2,FALSE),"")</f>
        <v/>
      </c>
      <c r="I1012" s="17"/>
      <c r="J1012" s="17"/>
      <c r="P1012" s="17"/>
      <c r="Q1012" s="17"/>
    </row>
    <row r="1013" spans="2:17">
      <c r="B1013" s="15" t="str">
        <f t="shared" si="65"/>
        <v/>
      </c>
      <c r="C1013" s="16" t="str">
        <f>IFERROR(VLOOKUP(DATA!#REF!,DATA!#REF!,1,FALSE),"")</f>
        <v/>
      </c>
      <c r="D1013" s="16" t="str">
        <f>IFERROR(VLOOKUP(C1013,DATA!#REF!,2,FALSE),"")</f>
        <v/>
      </c>
      <c r="I1013" s="17"/>
      <c r="J1013" s="17"/>
      <c r="P1013" s="17"/>
      <c r="Q1013" s="17"/>
    </row>
    <row r="1014" spans="2:17">
      <c r="B1014" s="15" t="str">
        <f t="shared" si="65"/>
        <v/>
      </c>
      <c r="C1014" s="16" t="str">
        <f>IFERROR(VLOOKUP(DATA!#REF!,DATA!#REF!,1,FALSE),"")</f>
        <v/>
      </c>
      <c r="D1014" s="16" t="str">
        <f>IFERROR(VLOOKUP(C1014,DATA!#REF!,2,FALSE),"")</f>
        <v/>
      </c>
      <c r="I1014" s="17"/>
      <c r="J1014" s="17"/>
      <c r="P1014" s="17"/>
      <c r="Q1014" s="17"/>
    </row>
    <row r="1015" spans="2:17">
      <c r="B1015" s="15" t="str">
        <f t="shared" ref="B1015:B1078" si="66">+IF(C1015="","",ROW()-5)</f>
        <v/>
      </c>
      <c r="C1015" s="16" t="str">
        <f>IFERROR(VLOOKUP(DATA!#REF!,DATA!#REF!,1,FALSE),"")</f>
        <v/>
      </c>
      <c r="D1015" s="16" t="str">
        <f>IFERROR(VLOOKUP(C1015,DATA!#REF!,2,FALSE),"")</f>
        <v/>
      </c>
      <c r="I1015" s="17"/>
      <c r="J1015" s="17"/>
      <c r="P1015" s="17"/>
      <c r="Q1015" s="17"/>
    </row>
    <row r="1016" spans="2:17">
      <c r="B1016" s="15" t="str">
        <f t="shared" si="66"/>
        <v/>
      </c>
      <c r="C1016" s="16" t="str">
        <f>IFERROR(VLOOKUP(DATA!#REF!,DATA!#REF!,1,FALSE),"")</f>
        <v/>
      </c>
      <c r="D1016" s="16" t="str">
        <f>IFERROR(VLOOKUP(C1016,DATA!#REF!,2,FALSE),"")</f>
        <v/>
      </c>
      <c r="I1016" s="17"/>
      <c r="J1016" s="17"/>
      <c r="P1016" s="17"/>
      <c r="Q1016" s="17"/>
    </row>
    <row r="1017" spans="2:17">
      <c r="B1017" s="15" t="str">
        <f t="shared" si="66"/>
        <v/>
      </c>
      <c r="C1017" s="16" t="str">
        <f>IFERROR(VLOOKUP(DATA!#REF!,DATA!#REF!,1,FALSE),"")</f>
        <v/>
      </c>
      <c r="D1017" s="16" t="str">
        <f>IFERROR(VLOOKUP(C1017,DATA!#REF!,2,FALSE),"")</f>
        <v/>
      </c>
      <c r="I1017" s="17"/>
      <c r="J1017" s="17"/>
      <c r="P1017" s="17"/>
      <c r="Q1017" s="17"/>
    </row>
    <row r="1018" spans="2:17">
      <c r="B1018" s="15" t="str">
        <f t="shared" si="66"/>
        <v/>
      </c>
      <c r="C1018" s="16" t="str">
        <f>IFERROR(VLOOKUP(DATA!#REF!,DATA!#REF!,1,FALSE),"")</f>
        <v/>
      </c>
      <c r="D1018" s="16" t="str">
        <f>IFERROR(VLOOKUP(C1018,DATA!#REF!,2,FALSE),"")</f>
        <v/>
      </c>
      <c r="I1018" s="17"/>
      <c r="J1018" s="17"/>
      <c r="P1018" s="17"/>
      <c r="Q1018" s="17"/>
    </row>
    <row r="1019" spans="2:17">
      <c r="B1019" s="15" t="str">
        <f t="shared" si="66"/>
        <v/>
      </c>
      <c r="C1019" s="16" t="str">
        <f>IFERROR(VLOOKUP(DATA!#REF!,DATA!#REF!,1,FALSE),"")</f>
        <v/>
      </c>
      <c r="D1019" s="16" t="str">
        <f>IFERROR(VLOOKUP(C1019,DATA!#REF!,2,FALSE),"")</f>
        <v/>
      </c>
      <c r="I1019" s="17"/>
      <c r="J1019" s="17"/>
      <c r="P1019" s="17"/>
      <c r="Q1019" s="17"/>
    </row>
    <row r="1020" spans="2:17">
      <c r="B1020" s="15" t="str">
        <f t="shared" si="66"/>
        <v/>
      </c>
      <c r="C1020" s="16" t="str">
        <f>IFERROR(VLOOKUP(DATA!#REF!,DATA!#REF!,1,FALSE),"")</f>
        <v/>
      </c>
      <c r="D1020" s="16" t="str">
        <f>IFERROR(VLOOKUP(C1020,DATA!#REF!,2,FALSE),"")</f>
        <v/>
      </c>
      <c r="I1020" s="17"/>
      <c r="J1020" s="17"/>
      <c r="P1020" s="17"/>
      <c r="Q1020" s="17"/>
    </row>
    <row r="1021" spans="2:17">
      <c r="B1021" s="15" t="str">
        <f t="shared" si="66"/>
        <v/>
      </c>
      <c r="C1021" s="16" t="str">
        <f>IFERROR(VLOOKUP(DATA!#REF!,DATA!#REF!,1,FALSE),"")</f>
        <v/>
      </c>
      <c r="D1021" s="16" t="str">
        <f>IFERROR(VLOOKUP(C1021,DATA!#REF!,2,FALSE),"")</f>
        <v/>
      </c>
      <c r="I1021" s="17"/>
      <c r="J1021" s="17"/>
      <c r="P1021" s="17"/>
      <c r="Q1021" s="17"/>
    </row>
    <row r="1022" spans="2:17">
      <c r="B1022" s="15" t="str">
        <f t="shared" si="66"/>
        <v/>
      </c>
      <c r="C1022" s="16" t="str">
        <f>IFERROR(VLOOKUP(DATA!#REF!,DATA!#REF!,1,FALSE),"")</f>
        <v/>
      </c>
      <c r="D1022" s="16" t="str">
        <f>IFERROR(VLOOKUP(C1022,DATA!#REF!,2,FALSE),"")</f>
        <v/>
      </c>
      <c r="I1022" s="17"/>
      <c r="J1022" s="17"/>
      <c r="P1022" s="17"/>
      <c r="Q1022" s="17"/>
    </row>
    <row r="1023" spans="2:17">
      <c r="B1023" s="15" t="str">
        <f t="shared" si="66"/>
        <v/>
      </c>
      <c r="C1023" s="16" t="str">
        <f>IFERROR(VLOOKUP(DATA!#REF!,DATA!#REF!,1,FALSE),"")</f>
        <v/>
      </c>
      <c r="D1023" s="16" t="str">
        <f>IFERROR(VLOOKUP(C1023,DATA!#REF!,2,FALSE),"")</f>
        <v/>
      </c>
      <c r="I1023" s="17"/>
      <c r="J1023" s="17"/>
      <c r="P1023" s="17"/>
      <c r="Q1023" s="17"/>
    </row>
    <row r="1024" spans="2:17">
      <c r="B1024" s="15" t="str">
        <f t="shared" si="66"/>
        <v/>
      </c>
      <c r="C1024" s="16" t="str">
        <f>IFERROR(VLOOKUP(DATA!#REF!,DATA!#REF!,1,FALSE),"")</f>
        <v/>
      </c>
      <c r="D1024" s="16" t="str">
        <f>IFERROR(VLOOKUP(C1024,DATA!#REF!,2,FALSE),"")</f>
        <v/>
      </c>
      <c r="I1024" s="17"/>
      <c r="J1024" s="17"/>
      <c r="P1024" s="17"/>
      <c r="Q1024" s="17"/>
    </row>
    <row r="1025" spans="2:17">
      <c r="B1025" s="15" t="str">
        <f t="shared" si="66"/>
        <v/>
      </c>
      <c r="C1025" s="16" t="str">
        <f>IFERROR(VLOOKUP(DATA!#REF!,DATA!#REF!,1,FALSE),"")</f>
        <v/>
      </c>
      <c r="D1025" s="16" t="str">
        <f>IFERROR(VLOOKUP(C1025,DATA!#REF!,2,FALSE),"")</f>
        <v/>
      </c>
      <c r="I1025" s="17"/>
      <c r="J1025" s="17"/>
      <c r="P1025" s="17"/>
      <c r="Q1025" s="17"/>
    </row>
    <row r="1026" spans="2:17">
      <c r="B1026" s="15" t="str">
        <f t="shared" si="66"/>
        <v/>
      </c>
      <c r="C1026" s="16" t="str">
        <f>IFERROR(VLOOKUP(DATA!#REF!,DATA!#REF!,1,FALSE),"")</f>
        <v/>
      </c>
      <c r="D1026" s="16" t="str">
        <f>IFERROR(VLOOKUP(C1026,DATA!#REF!,2,FALSE),"")</f>
        <v/>
      </c>
      <c r="I1026" s="17"/>
      <c r="J1026" s="17"/>
      <c r="P1026" s="17"/>
      <c r="Q1026" s="17"/>
    </row>
    <row r="1027" spans="2:17">
      <c r="B1027" s="15" t="str">
        <f t="shared" si="66"/>
        <v/>
      </c>
      <c r="C1027" s="16" t="str">
        <f>IFERROR(VLOOKUP(DATA!#REF!,DATA!#REF!,1,FALSE),"")</f>
        <v/>
      </c>
      <c r="D1027" s="16" t="str">
        <f>IFERROR(VLOOKUP(C1027,DATA!#REF!,2,FALSE),"")</f>
        <v/>
      </c>
      <c r="I1027" s="17"/>
      <c r="J1027" s="17"/>
      <c r="P1027" s="17"/>
      <c r="Q1027" s="17"/>
    </row>
    <row r="1028" spans="2:17">
      <c r="B1028" s="15" t="str">
        <f t="shared" si="66"/>
        <v/>
      </c>
      <c r="C1028" s="16" t="str">
        <f>IFERROR(VLOOKUP(DATA!#REF!,DATA!#REF!,1,FALSE),"")</f>
        <v/>
      </c>
      <c r="D1028" s="16" t="str">
        <f>IFERROR(VLOOKUP(C1028,DATA!#REF!,2,FALSE),"")</f>
        <v/>
      </c>
      <c r="I1028" s="17"/>
      <c r="J1028" s="17"/>
      <c r="P1028" s="17"/>
      <c r="Q1028" s="17"/>
    </row>
    <row r="1029" spans="2:17">
      <c r="B1029" s="15" t="str">
        <f t="shared" si="66"/>
        <v/>
      </c>
      <c r="C1029" s="16" t="str">
        <f>IFERROR(VLOOKUP(DATA!#REF!,DATA!#REF!,1,FALSE),"")</f>
        <v/>
      </c>
      <c r="D1029" s="16" t="str">
        <f>IFERROR(VLOOKUP(C1029,DATA!#REF!,2,FALSE),"")</f>
        <v/>
      </c>
      <c r="I1029" s="17"/>
      <c r="J1029" s="17"/>
      <c r="P1029" s="17"/>
      <c r="Q1029" s="17"/>
    </row>
    <row r="1030" spans="2:17">
      <c r="B1030" s="15" t="str">
        <f t="shared" si="66"/>
        <v/>
      </c>
      <c r="C1030" s="16" t="str">
        <f>IFERROR(VLOOKUP(DATA!#REF!,DATA!#REF!,1,FALSE),"")</f>
        <v/>
      </c>
      <c r="D1030" s="16" t="str">
        <f>IFERROR(VLOOKUP(C1030,DATA!#REF!,2,FALSE),"")</f>
        <v/>
      </c>
      <c r="I1030" s="17"/>
      <c r="J1030" s="17"/>
      <c r="P1030" s="17"/>
      <c r="Q1030" s="17"/>
    </row>
    <row r="1031" spans="2:17">
      <c r="B1031" s="15" t="str">
        <f t="shared" si="66"/>
        <v/>
      </c>
      <c r="C1031" s="16" t="str">
        <f>IFERROR(VLOOKUP(DATA!#REF!,DATA!#REF!,1,FALSE),"")</f>
        <v/>
      </c>
      <c r="D1031" s="16" t="str">
        <f>IFERROR(VLOOKUP(C1031,DATA!#REF!,2,FALSE),"")</f>
        <v/>
      </c>
      <c r="I1031" s="17"/>
      <c r="J1031" s="17"/>
      <c r="P1031" s="17"/>
      <c r="Q1031" s="17"/>
    </row>
    <row r="1032" spans="2:17">
      <c r="B1032" s="15" t="str">
        <f t="shared" si="66"/>
        <v/>
      </c>
      <c r="C1032" s="16" t="str">
        <f>IFERROR(VLOOKUP(DATA!#REF!,DATA!#REF!,1,FALSE),"")</f>
        <v/>
      </c>
      <c r="D1032" s="16" t="str">
        <f>IFERROR(VLOOKUP(C1032,DATA!#REF!,2,FALSE),"")</f>
        <v/>
      </c>
      <c r="I1032" s="17"/>
      <c r="J1032" s="17"/>
      <c r="P1032" s="17"/>
      <c r="Q1032" s="17"/>
    </row>
    <row r="1033" spans="2:17">
      <c r="B1033" s="15" t="str">
        <f t="shared" si="66"/>
        <v/>
      </c>
      <c r="C1033" s="16" t="str">
        <f>IFERROR(VLOOKUP(DATA!#REF!,DATA!#REF!,1,FALSE),"")</f>
        <v/>
      </c>
      <c r="D1033" s="16" t="str">
        <f>IFERROR(VLOOKUP(C1033,DATA!#REF!,2,FALSE),"")</f>
        <v/>
      </c>
      <c r="I1033" s="17"/>
      <c r="J1033" s="17"/>
      <c r="P1033" s="17"/>
      <c r="Q1033" s="17"/>
    </row>
    <row r="1034" spans="2:17">
      <c r="B1034" s="15" t="str">
        <f t="shared" si="66"/>
        <v/>
      </c>
      <c r="C1034" s="16" t="str">
        <f>IFERROR(VLOOKUP(DATA!#REF!,DATA!#REF!,1,FALSE),"")</f>
        <v/>
      </c>
      <c r="D1034" s="16" t="str">
        <f>IFERROR(VLOOKUP(C1034,DATA!#REF!,2,FALSE),"")</f>
        <v/>
      </c>
      <c r="I1034" s="17"/>
      <c r="J1034" s="17"/>
      <c r="P1034" s="17"/>
      <c r="Q1034" s="17"/>
    </row>
    <row r="1035" spans="2:17">
      <c r="B1035" s="15" t="str">
        <f t="shared" si="66"/>
        <v/>
      </c>
      <c r="C1035" s="16" t="str">
        <f>IFERROR(VLOOKUP(DATA!#REF!,DATA!#REF!,1,FALSE),"")</f>
        <v/>
      </c>
      <c r="D1035" s="16" t="str">
        <f>IFERROR(VLOOKUP(C1035,DATA!#REF!,2,FALSE),"")</f>
        <v/>
      </c>
      <c r="I1035" s="17"/>
      <c r="J1035" s="17"/>
      <c r="P1035" s="17"/>
      <c r="Q1035" s="17"/>
    </row>
    <row r="1036" spans="2:17">
      <c r="B1036" s="15" t="str">
        <f t="shared" si="66"/>
        <v/>
      </c>
      <c r="C1036" s="16" t="str">
        <f>IFERROR(VLOOKUP(DATA!#REF!,DATA!#REF!,1,FALSE),"")</f>
        <v/>
      </c>
      <c r="D1036" s="16" t="str">
        <f>IFERROR(VLOOKUP(C1036,DATA!#REF!,2,FALSE),"")</f>
        <v/>
      </c>
      <c r="I1036" s="17"/>
      <c r="J1036" s="17"/>
      <c r="P1036" s="17"/>
      <c r="Q1036" s="17"/>
    </row>
    <row r="1037" spans="2:17">
      <c r="B1037" s="15" t="str">
        <f t="shared" si="66"/>
        <v/>
      </c>
      <c r="C1037" s="16" t="str">
        <f>IFERROR(VLOOKUP(DATA!#REF!,DATA!#REF!,1,FALSE),"")</f>
        <v/>
      </c>
      <c r="D1037" s="16" t="str">
        <f>IFERROR(VLOOKUP(C1037,DATA!#REF!,2,FALSE),"")</f>
        <v/>
      </c>
      <c r="I1037" s="17"/>
      <c r="J1037" s="17"/>
      <c r="P1037" s="17"/>
      <c r="Q1037" s="17"/>
    </row>
    <row r="1038" spans="2:17">
      <c r="B1038" s="15" t="str">
        <f t="shared" si="66"/>
        <v/>
      </c>
      <c r="C1038" s="16" t="str">
        <f>IFERROR(VLOOKUP(DATA!#REF!,DATA!#REF!,1,FALSE),"")</f>
        <v/>
      </c>
      <c r="D1038" s="16" t="str">
        <f>IFERROR(VLOOKUP(C1038,DATA!#REF!,2,FALSE),"")</f>
        <v/>
      </c>
      <c r="I1038" s="17"/>
      <c r="J1038" s="17"/>
      <c r="P1038" s="17"/>
      <c r="Q1038" s="17"/>
    </row>
    <row r="1039" spans="2:17">
      <c r="B1039" s="15" t="str">
        <f t="shared" si="66"/>
        <v/>
      </c>
      <c r="C1039" s="16" t="str">
        <f>IFERROR(VLOOKUP(DATA!#REF!,DATA!#REF!,1,FALSE),"")</f>
        <v/>
      </c>
      <c r="D1039" s="16" t="str">
        <f>IFERROR(VLOOKUP(C1039,DATA!#REF!,2,FALSE),"")</f>
        <v/>
      </c>
      <c r="I1039" s="17"/>
      <c r="J1039" s="17"/>
      <c r="P1039" s="17"/>
      <c r="Q1039" s="17"/>
    </row>
    <row r="1040" spans="2:17">
      <c r="B1040" s="15" t="str">
        <f t="shared" si="66"/>
        <v/>
      </c>
      <c r="C1040" s="16" t="str">
        <f>IFERROR(VLOOKUP(DATA!#REF!,DATA!#REF!,1,FALSE),"")</f>
        <v/>
      </c>
      <c r="D1040" s="16" t="str">
        <f>IFERROR(VLOOKUP(C1040,DATA!#REF!,2,FALSE),"")</f>
        <v/>
      </c>
      <c r="I1040" s="17"/>
      <c r="J1040" s="17"/>
      <c r="P1040" s="17"/>
      <c r="Q1040" s="17"/>
    </row>
    <row r="1041" spans="2:17">
      <c r="B1041" s="15" t="str">
        <f t="shared" si="66"/>
        <v/>
      </c>
      <c r="C1041" s="16" t="str">
        <f>IFERROR(VLOOKUP(DATA!#REF!,DATA!#REF!,1,FALSE),"")</f>
        <v/>
      </c>
      <c r="D1041" s="16" t="str">
        <f>IFERROR(VLOOKUP(C1041,DATA!#REF!,2,FALSE),"")</f>
        <v/>
      </c>
      <c r="I1041" s="17"/>
      <c r="J1041" s="17"/>
      <c r="P1041" s="17"/>
      <c r="Q1041" s="17"/>
    </row>
    <row r="1042" spans="2:17">
      <c r="B1042" s="15" t="str">
        <f t="shared" si="66"/>
        <v/>
      </c>
      <c r="C1042" s="16" t="str">
        <f>IFERROR(VLOOKUP(DATA!#REF!,DATA!#REF!,1,FALSE),"")</f>
        <v/>
      </c>
      <c r="D1042" s="16" t="str">
        <f>IFERROR(VLOOKUP(C1042,DATA!#REF!,2,FALSE),"")</f>
        <v/>
      </c>
      <c r="I1042" s="17"/>
      <c r="J1042" s="17"/>
      <c r="P1042" s="17"/>
      <c r="Q1042" s="17"/>
    </row>
    <row r="1043" spans="2:17">
      <c r="B1043" s="15" t="str">
        <f t="shared" si="66"/>
        <v/>
      </c>
      <c r="C1043" s="16" t="str">
        <f>IFERROR(VLOOKUP(DATA!#REF!,DATA!#REF!,1,FALSE),"")</f>
        <v/>
      </c>
      <c r="D1043" s="16" t="str">
        <f>IFERROR(VLOOKUP(C1043,DATA!#REF!,2,FALSE),"")</f>
        <v/>
      </c>
      <c r="I1043" s="17"/>
      <c r="J1043" s="17"/>
      <c r="P1043" s="17"/>
      <c r="Q1043" s="17"/>
    </row>
    <row r="1044" spans="2:17">
      <c r="B1044" s="15" t="str">
        <f t="shared" si="66"/>
        <v/>
      </c>
      <c r="C1044" s="16" t="str">
        <f>IFERROR(VLOOKUP(DATA!#REF!,DATA!#REF!,1,FALSE),"")</f>
        <v/>
      </c>
      <c r="D1044" s="16" t="str">
        <f>IFERROR(VLOOKUP(C1044,DATA!#REF!,2,FALSE),"")</f>
        <v/>
      </c>
      <c r="I1044" s="17"/>
      <c r="J1044" s="17"/>
      <c r="P1044" s="17"/>
      <c r="Q1044" s="17"/>
    </row>
    <row r="1045" spans="2:17">
      <c r="B1045" s="15" t="str">
        <f t="shared" si="66"/>
        <v/>
      </c>
      <c r="C1045" s="16" t="str">
        <f>IFERROR(VLOOKUP(DATA!#REF!,DATA!#REF!,1,FALSE),"")</f>
        <v/>
      </c>
      <c r="D1045" s="16" t="str">
        <f>IFERROR(VLOOKUP(C1045,DATA!#REF!,2,FALSE),"")</f>
        <v/>
      </c>
      <c r="I1045" s="17"/>
      <c r="J1045" s="17"/>
      <c r="P1045" s="17"/>
      <c r="Q1045" s="17"/>
    </row>
    <row r="1046" spans="2:17">
      <c r="B1046" s="15" t="str">
        <f t="shared" si="66"/>
        <v/>
      </c>
      <c r="C1046" s="16" t="str">
        <f>IFERROR(VLOOKUP(DATA!#REF!,DATA!#REF!,1,FALSE),"")</f>
        <v/>
      </c>
      <c r="D1046" s="16" t="str">
        <f>IFERROR(VLOOKUP(C1046,DATA!#REF!,2,FALSE),"")</f>
        <v/>
      </c>
      <c r="I1046" s="17"/>
      <c r="J1046" s="17"/>
      <c r="P1046" s="17"/>
      <c r="Q1046" s="17"/>
    </row>
    <row r="1047" spans="2:17">
      <c r="B1047" s="15" t="str">
        <f t="shared" si="66"/>
        <v/>
      </c>
      <c r="C1047" s="16" t="str">
        <f>IFERROR(VLOOKUP(DATA!#REF!,DATA!#REF!,1,FALSE),"")</f>
        <v/>
      </c>
      <c r="D1047" s="16" t="str">
        <f>IFERROR(VLOOKUP(C1047,DATA!#REF!,2,FALSE),"")</f>
        <v/>
      </c>
      <c r="I1047" s="17"/>
      <c r="J1047" s="17"/>
      <c r="P1047" s="17"/>
      <c r="Q1047" s="17"/>
    </row>
    <row r="1048" spans="2:17">
      <c r="B1048" s="15" t="str">
        <f t="shared" si="66"/>
        <v/>
      </c>
      <c r="C1048" s="16" t="str">
        <f>IFERROR(VLOOKUP(DATA!#REF!,DATA!#REF!,1,FALSE),"")</f>
        <v/>
      </c>
      <c r="D1048" s="16" t="str">
        <f>IFERROR(VLOOKUP(C1048,DATA!#REF!,2,FALSE),"")</f>
        <v/>
      </c>
      <c r="I1048" s="17"/>
      <c r="J1048" s="17"/>
      <c r="P1048" s="17"/>
      <c r="Q1048" s="17"/>
    </row>
    <row r="1049" spans="2:17">
      <c r="B1049" s="15" t="str">
        <f t="shared" si="66"/>
        <v/>
      </c>
      <c r="C1049" s="16" t="str">
        <f>IFERROR(VLOOKUP(DATA!#REF!,DATA!#REF!,1,FALSE),"")</f>
        <v/>
      </c>
      <c r="D1049" s="16" t="str">
        <f>IFERROR(VLOOKUP(C1049,DATA!#REF!,2,FALSE),"")</f>
        <v/>
      </c>
      <c r="I1049" s="17"/>
      <c r="J1049" s="17"/>
      <c r="P1049" s="17"/>
      <c r="Q1049" s="17"/>
    </row>
    <row r="1050" spans="2:17">
      <c r="B1050" s="15" t="str">
        <f t="shared" si="66"/>
        <v/>
      </c>
      <c r="C1050" s="16" t="str">
        <f>IFERROR(VLOOKUP(DATA!#REF!,DATA!#REF!,1,FALSE),"")</f>
        <v/>
      </c>
      <c r="D1050" s="16" t="str">
        <f>IFERROR(VLOOKUP(C1050,DATA!#REF!,2,FALSE),"")</f>
        <v/>
      </c>
      <c r="I1050" s="17"/>
      <c r="J1050" s="17"/>
      <c r="P1050" s="17"/>
      <c r="Q1050" s="17"/>
    </row>
    <row r="1051" spans="2:17">
      <c r="B1051" s="15" t="str">
        <f t="shared" si="66"/>
        <v/>
      </c>
      <c r="C1051" s="16" t="str">
        <f>IFERROR(VLOOKUP(DATA!#REF!,DATA!#REF!,1,FALSE),"")</f>
        <v/>
      </c>
      <c r="D1051" s="16" t="str">
        <f>IFERROR(VLOOKUP(C1051,DATA!#REF!,2,FALSE),"")</f>
        <v/>
      </c>
      <c r="I1051" s="17"/>
      <c r="J1051" s="17"/>
      <c r="P1051" s="17"/>
      <c r="Q1051" s="17"/>
    </row>
    <row r="1052" spans="2:17">
      <c r="B1052" s="15" t="str">
        <f t="shared" si="66"/>
        <v/>
      </c>
      <c r="C1052" s="16" t="str">
        <f>IFERROR(VLOOKUP(DATA!#REF!,DATA!#REF!,1,FALSE),"")</f>
        <v/>
      </c>
      <c r="D1052" s="16" t="str">
        <f>IFERROR(VLOOKUP(C1052,DATA!#REF!,2,FALSE),"")</f>
        <v/>
      </c>
      <c r="I1052" s="17"/>
      <c r="J1052" s="17"/>
      <c r="P1052" s="17"/>
      <c r="Q1052" s="17"/>
    </row>
    <row r="1053" spans="2:17">
      <c r="B1053" s="15" t="str">
        <f t="shared" si="66"/>
        <v/>
      </c>
      <c r="C1053" s="16" t="str">
        <f>IFERROR(VLOOKUP(DATA!#REF!,DATA!#REF!,1,FALSE),"")</f>
        <v/>
      </c>
      <c r="D1053" s="16" t="str">
        <f>IFERROR(VLOOKUP(C1053,DATA!#REF!,2,FALSE),"")</f>
        <v/>
      </c>
      <c r="I1053" s="17"/>
      <c r="J1053" s="17"/>
      <c r="P1053" s="17"/>
      <c r="Q1053" s="17"/>
    </row>
    <row r="1054" spans="2:17">
      <c r="B1054" s="15" t="str">
        <f t="shared" si="66"/>
        <v/>
      </c>
      <c r="C1054" s="16" t="str">
        <f>IFERROR(VLOOKUP(DATA!#REF!,DATA!#REF!,1,FALSE),"")</f>
        <v/>
      </c>
      <c r="D1054" s="16" t="str">
        <f>IFERROR(VLOOKUP(C1054,DATA!#REF!,2,FALSE),"")</f>
        <v/>
      </c>
      <c r="I1054" s="17"/>
      <c r="J1054" s="17"/>
      <c r="P1054" s="17"/>
      <c r="Q1054" s="17"/>
    </row>
    <row r="1055" spans="2:17">
      <c r="B1055" s="15" t="str">
        <f t="shared" si="66"/>
        <v/>
      </c>
      <c r="C1055" s="16" t="str">
        <f>IFERROR(VLOOKUP(DATA!#REF!,DATA!#REF!,1,FALSE),"")</f>
        <v/>
      </c>
      <c r="D1055" s="16" t="str">
        <f>IFERROR(VLOOKUP(C1055,DATA!#REF!,2,FALSE),"")</f>
        <v/>
      </c>
      <c r="I1055" s="17"/>
      <c r="J1055" s="17"/>
      <c r="P1055" s="17"/>
      <c r="Q1055" s="17"/>
    </row>
    <row r="1056" spans="2:17">
      <c r="B1056" s="15" t="str">
        <f t="shared" si="66"/>
        <v/>
      </c>
      <c r="C1056" s="16" t="str">
        <f>IFERROR(VLOOKUP(DATA!#REF!,DATA!#REF!,1,FALSE),"")</f>
        <v/>
      </c>
      <c r="D1056" s="16" t="str">
        <f>IFERROR(VLOOKUP(C1056,DATA!#REF!,2,FALSE),"")</f>
        <v/>
      </c>
      <c r="I1056" s="17"/>
      <c r="J1056" s="17"/>
      <c r="P1056" s="17"/>
      <c r="Q1056" s="17"/>
    </row>
    <row r="1057" spans="2:17">
      <c r="B1057" s="15" t="str">
        <f t="shared" si="66"/>
        <v/>
      </c>
      <c r="C1057" s="16" t="str">
        <f>IFERROR(VLOOKUP(DATA!#REF!,DATA!#REF!,1,FALSE),"")</f>
        <v/>
      </c>
      <c r="D1057" s="16" t="str">
        <f>IFERROR(VLOOKUP(C1057,DATA!#REF!,2,FALSE),"")</f>
        <v/>
      </c>
      <c r="I1057" s="17"/>
      <c r="J1057" s="17"/>
      <c r="P1057" s="17"/>
      <c r="Q1057" s="17"/>
    </row>
    <row r="1058" spans="2:17">
      <c r="B1058" s="15" t="str">
        <f t="shared" si="66"/>
        <v/>
      </c>
      <c r="C1058" s="16" t="str">
        <f>IFERROR(VLOOKUP(DATA!#REF!,DATA!#REF!,1,FALSE),"")</f>
        <v/>
      </c>
      <c r="D1058" s="16" t="str">
        <f>IFERROR(VLOOKUP(C1058,DATA!#REF!,2,FALSE),"")</f>
        <v/>
      </c>
      <c r="I1058" s="17"/>
      <c r="J1058" s="17"/>
      <c r="P1058" s="17"/>
      <c r="Q1058" s="17"/>
    </row>
    <row r="1059" spans="2:17">
      <c r="B1059" s="15" t="str">
        <f t="shared" si="66"/>
        <v/>
      </c>
      <c r="C1059" s="16" t="str">
        <f>IFERROR(VLOOKUP(DATA!#REF!,DATA!#REF!,1,FALSE),"")</f>
        <v/>
      </c>
      <c r="D1059" s="16" t="str">
        <f>IFERROR(VLOOKUP(C1059,DATA!#REF!,2,FALSE),"")</f>
        <v/>
      </c>
      <c r="I1059" s="17"/>
      <c r="J1059" s="17"/>
      <c r="P1059" s="17"/>
      <c r="Q1059" s="17"/>
    </row>
    <row r="1060" spans="2:17">
      <c r="B1060" s="15" t="str">
        <f t="shared" si="66"/>
        <v/>
      </c>
      <c r="C1060" s="16" t="str">
        <f>IFERROR(VLOOKUP(DATA!#REF!,DATA!#REF!,1,FALSE),"")</f>
        <v/>
      </c>
      <c r="D1060" s="16" t="str">
        <f>IFERROR(VLOOKUP(C1060,DATA!#REF!,2,FALSE),"")</f>
        <v/>
      </c>
      <c r="I1060" s="17"/>
      <c r="J1060" s="17"/>
      <c r="P1060" s="17"/>
      <c r="Q1060" s="17"/>
    </row>
    <row r="1061" spans="2:17">
      <c r="B1061" s="15" t="str">
        <f t="shared" si="66"/>
        <v/>
      </c>
      <c r="C1061" s="16" t="str">
        <f>IFERROR(VLOOKUP(DATA!#REF!,DATA!#REF!,1,FALSE),"")</f>
        <v/>
      </c>
      <c r="D1061" s="16" t="str">
        <f>IFERROR(VLOOKUP(C1061,DATA!#REF!,2,FALSE),"")</f>
        <v/>
      </c>
      <c r="I1061" s="17"/>
      <c r="J1061" s="17"/>
      <c r="P1061" s="17"/>
      <c r="Q1061" s="17"/>
    </row>
    <row r="1062" spans="2:17">
      <c r="B1062" s="15" t="str">
        <f t="shared" si="66"/>
        <v/>
      </c>
      <c r="C1062" s="16" t="str">
        <f>IFERROR(VLOOKUP(DATA!#REF!,DATA!#REF!,1,FALSE),"")</f>
        <v/>
      </c>
      <c r="D1062" s="16" t="str">
        <f>IFERROR(VLOOKUP(C1062,DATA!#REF!,2,FALSE),"")</f>
        <v/>
      </c>
      <c r="I1062" s="17"/>
      <c r="J1062" s="17"/>
      <c r="P1062" s="17"/>
      <c r="Q1062" s="17"/>
    </row>
    <row r="1063" spans="2:17">
      <c r="B1063" s="15" t="str">
        <f t="shared" si="66"/>
        <v/>
      </c>
      <c r="C1063" s="16" t="str">
        <f>IFERROR(VLOOKUP(DATA!#REF!,DATA!#REF!,1,FALSE),"")</f>
        <v/>
      </c>
      <c r="D1063" s="16" t="str">
        <f>IFERROR(VLOOKUP(C1063,DATA!#REF!,2,FALSE),"")</f>
        <v/>
      </c>
      <c r="I1063" s="17"/>
      <c r="J1063" s="17"/>
      <c r="P1063" s="17"/>
      <c r="Q1063" s="17"/>
    </row>
    <row r="1064" spans="2:17">
      <c r="B1064" s="15" t="str">
        <f t="shared" si="66"/>
        <v/>
      </c>
      <c r="C1064" s="16" t="str">
        <f>IFERROR(VLOOKUP(DATA!#REF!,DATA!#REF!,1,FALSE),"")</f>
        <v/>
      </c>
      <c r="D1064" s="16" t="str">
        <f>IFERROR(VLOOKUP(C1064,DATA!#REF!,2,FALSE),"")</f>
        <v/>
      </c>
      <c r="I1064" s="17"/>
      <c r="J1064" s="17"/>
      <c r="P1064" s="17"/>
      <c r="Q1064" s="17"/>
    </row>
    <row r="1065" spans="2:17">
      <c r="B1065" s="15" t="str">
        <f t="shared" si="66"/>
        <v/>
      </c>
      <c r="C1065" s="16" t="str">
        <f>IFERROR(VLOOKUP(DATA!#REF!,DATA!#REF!,1,FALSE),"")</f>
        <v/>
      </c>
      <c r="D1065" s="16" t="str">
        <f>IFERROR(VLOOKUP(C1065,DATA!#REF!,2,FALSE),"")</f>
        <v/>
      </c>
      <c r="I1065" s="17"/>
      <c r="J1065" s="17"/>
      <c r="P1065" s="17"/>
      <c r="Q1065" s="17"/>
    </row>
    <row r="1066" spans="2:17">
      <c r="B1066" s="15" t="str">
        <f t="shared" si="66"/>
        <v/>
      </c>
      <c r="C1066" s="16" t="str">
        <f>IFERROR(VLOOKUP(DATA!#REF!,DATA!#REF!,1,FALSE),"")</f>
        <v/>
      </c>
      <c r="D1066" s="16" t="str">
        <f>IFERROR(VLOOKUP(C1066,DATA!#REF!,2,FALSE),"")</f>
        <v/>
      </c>
      <c r="I1066" s="17"/>
      <c r="J1066" s="17"/>
      <c r="P1066" s="17"/>
      <c r="Q1066" s="17"/>
    </row>
    <row r="1067" spans="2:17">
      <c r="B1067" s="15" t="str">
        <f t="shared" si="66"/>
        <v/>
      </c>
      <c r="C1067" s="16" t="str">
        <f>IFERROR(VLOOKUP(DATA!#REF!,DATA!#REF!,1,FALSE),"")</f>
        <v/>
      </c>
      <c r="D1067" s="16" t="str">
        <f>IFERROR(VLOOKUP(C1067,DATA!#REF!,2,FALSE),"")</f>
        <v/>
      </c>
      <c r="I1067" s="17"/>
      <c r="J1067" s="17"/>
      <c r="P1067" s="17"/>
      <c r="Q1067" s="17"/>
    </row>
    <row r="1068" spans="2:17">
      <c r="B1068" s="15" t="str">
        <f t="shared" si="66"/>
        <v/>
      </c>
      <c r="C1068" s="16" t="str">
        <f>IFERROR(VLOOKUP(DATA!#REF!,DATA!#REF!,1,FALSE),"")</f>
        <v/>
      </c>
      <c r="D1068" s="16" t="str">
        <f>IFERROR(VLOOKUP(C1068,DATA!#REF!,2,FALSE),"")</f>
        <v/>
      </c>
      <c r="I1068" s="17"/>
      <c r="J1068" s="17"/>
      <c r="P1068" s="17"/>
      <c r="Q1068" s="17"/>
    </row>
    <row r="1069" spans="2:17">
      <c r="B1069" s="15" t="str">
        <f t="shared" si="66"/>
        <v/>
      </c>
      <c r="C1069" s="16" t="str">
        <f>IFERROR(VLOOKUP(DATA!#REF!,DATA!#REF!,1,FALSE),"")</f>
        <v/>
      </c>
      <c r="D1069" s="16" t="str">
        <f>IFERROR(VLOOKUP(C1069,DATA!#REF!,2,FALSE),"")</f>
        <v/>
      </c>
      <c r="I1069" s="17"/>
      <c r="J1069" s="17"/>
      <c r="P1069" s="17"/>
      <c r="Q1069" s="17"/>
    </row>
    <row r="1070" spans="2:17">
      <c r="B1070" s="15" t="str">
        <f t="shared" si="66"/>
        <v/>
      </c>
      <c r="C1070" s="16" t="str">
        <f>IFERROR(VLOOKUP(DATA!#REF!,DATA!#REF!,1,FALSE),"")</f>
        <v/>
      </c>
      <c r="D1070" s="16" t="str">
        <f>IFERROR(VLOOKUP(C1070,DATA!#REF!,2,FALSE),"")</f>
        <v/>
      </c>
      <c r="I1070" s="17"/>
      <c r="J1070" s="17"/>
      <c r="P1070" s="17"/>
      <c r="Q1070" s="17"/>
    </row>
    <row r="1071" spans="2:17">
      <c r="B1071" s="15" t="str">
        <f t="shared" si="66"/>
        <v/>
      </c>
      <c r="C1071" s="16" t="str">
        <f>IFERROR(VLOOKUP(DATA!#REF!,DATA!#REF!,1,FALSE),"")</f>
        <v/>
      </c>
      <c r="D1071" s="16" t="str">
        <f>IFERROR(VLOOKUP(C1071,DATA!#REF!,2,FALSE),"")</f>
        <v/>
      </c>
      <c r="I1071" s="17"/>
      <c r="J1071" s="17"/>
      <c r="P1071" s="17"/>
      <c r="Q1071" s="17"/>
    </row>
    <row r="1072" spans="2:17">
      <c r="B1072" s="15" t="str">
        <f t="shared" si="66"/>
        <v/>
      </c>
      <c r="C1072" s="16" t="str">
        <f>IFERROR(VLOOKUP(DATA!#REF!,DATA!#REF!,1,FALSE),"")</f>
        <v/>
      </c>
      <c r="D1072" s="16" t="str">
        <f>IFERROR(VLOOKUP(C1072,DATA!#REF!,2,FALSE),"")</f>
        <v/>
      </c>
      <c r="I1072" s="17"/>
      <c r="J1072" s="17"/>
      <c r="P1072" s="17"/>
      <c r="Q1072" s="17"/>
    </row>
    <row r="1073" spans="2:17">
      <c r="B1073" s="15" t="str">
        <f t="shared" si="66"/>
        <v/>
      </c>
      <c r="C1073" s="16" t="str">
        <f>IFERROR(VLOOKUP(DATA!#REF!,DATA!#REF!,1,FALSE),"")</f>
        <v/>
      </c>
      <c r="D1073" s="16" t="str">
        <f>IFERROR(VLOOKUP(C1073,DATA!#REF!,2,FALSE),"")</f>
        <v/>
      </c>
      <c r="I1073" s="17"/>
      <c r="J1073" s="17"/>
      <c r="P1073" s="17"/>
      <c r="Q1073" s="17"/>
    </row>
    <row r="1074" spans="2:17">
      <c r="B1074" s="15" t="str">
        <f t="shared" si="66"/>
        <v/>
      </c>
      <c r="C1074" s="16" t="str">
        <f>IFERROR(VLOOKUP(DATA!#REF!,DATA!#REF!,1,FALSE),"")</f>
        <v/>
      </c>
      <c r="D1074" s="16" t="str">
        <f>IFERROR(VLOOKUP(C1074,DATA!#REF!,2,FALSE),"")</f>
        <v/>
      </c>
      <c r="I1074" s="17"/>
      <c r="J1074" s="17"/>
      <c r="P1074" s="17"/>
      <c r="Q1074" s="17"/>
    </row>
    <row r="1075" spans="2:17">
      <c r="B1075" s="15" t="str">
        <f t="shared" si="66"/>
        <v/>
      </c>
      <c r="C1075" s="16" t="str">
        <f>IFERROR(VLOOKUP(DATA!#REF!,DATA!#REF!,1,FALSE),"")</f>
        <v/>
      </c>
      <c r="D1075" s="16" t="str">
        <f>IFERROR(VLOOKUP(C1075,DATA!#REF!,2,FALSE),"")</f>
        <v/>
      </c>
      <c r="I1075" s="17"/>
      <c r="J1075" s="17"/>
      <c r="P1075" s="17"/>
      <c r="Q1075" s="17"/>
    </row>
    <row r="1076" spans="2:17">
      <c r="B1076" s="15" t="str">
        <f t="shared" si="66"/>
        <v/>
      </c>
      <c r="C1076" s="16" t="str">
        <f>IFERROR(VLOOKUP(DATA!#REF!,DATA!#REF!,1,FALSE),"")</f>
        <v/>
      </c>
      <c r="D1076" s="16" t="str">
        <f>IFERROR(VLOOKUP(C1076,DATA!#REF!,2,FALSE),"")</f>
        <v/>
      </c>
      <c r="I1076" s="17"/>
      <c r="J1076" s="17"/>
      <c r="P1076" s="17"/>
      <c r="Q1076" s="17"/>
    </row>
    <row r="1077" spans="2:17">
      <c r="B1077" s="15" t="str">
        <f t="shared" si="66"/>
        <v/>
      </c>
      <c r="C1077" s="16" t="str">
        <f>IFERROR(VLOOKUP(DATA!#REF!,DATA!#REF!,1,FALSE),"")</f>
        <v/>
      </c>
      <c r="D1077" s="16" t="str">
        <f>IFERROR(VLOOKUP(C1077,DATA!#REF!,2,FALSE),"")</f>
        <v/>
      </c>
      <c r="I1077" s="17"/>
      <c r="J1077" s="17"/>
      <c r="P1077" s="17"/>
      <c r="Q1077" s="17"/>
    </row>
    <row r="1078" spans="2:17">
      <c r="B1078" s="15" t="str">
        <f t="shared" si="66"/>
        <v/>
      </c>
      <c r="C1078" s="16" t="str">
        <f>IFERROR(VLOOKUP(DATA!#REF!,DATA!#REF!,1,FALSE),"")</f>
        <v/>
      </c>
      <c r="D1078" s="16" t="str">
        <f>IFERROR(VLOOKUP(C1078,DATA!#REF!,2,FALSE),"")</f>
        <v/>
      </c>
      <c r="I1078" s="17"/>
      <c r="J1078" s="17"/>
      <c r="P1078" s="17"/>
      <c r="Q1078" s="17"/>
    </row>
    <row r="1079" spans="2:17">
      <c r="B1079" s="15" t="str">
        <f t="shared" ref="B1079:B1142" si="67">+IF(C1079="","",ROW()-5)</f>
        <v/>
      </c>
      <c r="C1079" s="16" t="str">
        <f>IFERROR(VLOOKUP(DATA!#REF!,DATA!#REF!,1,FALSE),"")</f>
        <v/>
      </c>
      <c r="D1079" s="16" t="str">
        <f>IFERROR(VLOOKUP(C1079,DATA!#REF!,2,FALSE),"")</f>
        <v/>
      </c>
      <c r="I1079" s="17"/>
      <c r="J1079" s="17"/>
      <c r="P1079" s="17"/>
      <c r="Q1079" s="17"/>
    </row>
    <row r="1080" spans="2:17">
      <c r="B1080" s="15" t="str">
        <f t="shared" si="67"/>
        <v/>
      </c>
      <c r="C1080" s="16" t="str">
        <f>IFERROR(VLOOKUP(DATA!#REF!,DATA!#REF!,1,FALSE),"")</f>
        <v/>
      </c>
      <c r="D1080" s="16" t="str">
        <f>IFERROR(VLOOKUP(C1080,DATA!#REF!,2,FALSE),"")</f>
        <v/>
      </c>
      <c r="I1080" s="17"/>
      <c r="J1080" s="17"/>
      <c r="P1080" s="17"/>
      <c r="Q1080" s="17"/>
    </row>
    <row r="1081" spans="2:17">
      <c r="B1081" s="15" t="str">
        <f t="shared" si="67"/>
        <v/>
      </c>
      <c r="C1081" s="16" t="str">
        <f>IFERROR(VLOOKUP(DATA!#REF!,DATA!#REF!,1,FALSE),"")</f>
        <v/>
      </c>
      <c r="D1081" s="16" t="str">
        <f>IFERROR(VLOOKUP(C1081,DATA!#REF!,2,FALSE),"")</f>
        <v/>
      </c>
      <c r="I1081" s="17"/>
      <c r="J1081" s="17"/>
      <c r="P1081" s="17"/>
      <c r="Q1081" s="17"/>
    </row>
    <row r="1082" spans="2:17">
      <c r="B1082" s="15" t="str">
        <f t="shared" si="67"/>
        <v/>
      </c>
      <c r="C1082" s="16" t="str">
        <f>IFERROR(VLOOKUP(DATA!#REF!,DATA!#REF!,1,FALSE),"")</f>
        <v/>
      </c>
      <c r="D1082" s="16" t="str">
        <f>IFERROR(VLOOKUP(C1082,DATA!#REF!,2,FALSE),"")</f>
        <v/>
      </c>
      <c r="I1082" s="17"/>
      <c r="J1082" s="17"/>
      <c r="P1082" s="17"/>
      <c r="Q1082" s="17"/>
    </row>
    <row r="1083" spans="2:17">
      <c r="B1083" s="15" t="str">
        <f t="shared" si="67"/>
        <v/>
      </c>
      <c r="C1083" s="16" t="str">
        <f>IFERROR(VLOOKUP(DATA!#REF!,DATA!#REF!,1,FALSE),"")</f>
        <v/>
      </c>
      <c r="D1083" s="16" t="str">
        <f>IFERROR(VLOOKUP(C1083,DATA!#REF!,2,FALSE),"")</f>
        <v/>
      </c>
      <c r="I1083" s="17"/>
      <c r="J1083" s="17"/>
      <c r="P1083" s="17"/>
      <c r="Q1083" s="17"/>
    </row>
    <row r="1084" spans="2:17">
      <c r="B1084" s="15" t="str">
        <f t="shared" si="67"/>
        <v/>
      </c>
      <c r="C1084" s="16" t="str">
        <f>IFERROR(VLOOKUP(DATA!#REF!,DATA!#REF!,1,FALSE),"")</f>
        <v/>
      </c>
      <c r="D1084" s="16" t="str">
        <f>IFERROR(VLOOKUP(C1084,DATA!#REF!,2,FALSE),"")</f>
        <v/>
      </c>
      <c r="I1084" s="17"/>
      <c r="J1084" s="17"/>
      <c r="P1084" s="17"/>
      <c r="Q1084" s="17"/>
    </row>
    <row r="1085" spans="2:17">
      <c r="B1085" s="15" t="str">
        <f t="shared" si="67"/>
        <v/>
      </c>
      <c r="C1085" s="16" t="str">
        <f>IFERROR(VLOOKUP(DATA!#REF!,DATA!#REF!,1,FALSE),"")</f>
        <v/>
      </c>
      <c r="D1085" s="16" t="str">
        <f>IFERROR(VLOOKUP(C1085,DATA!#REF!,2,FALSE),"")</f>
        <v/>
      </c>
      <c r="I1085" s="17"/>
      <c r="J1085" s="17"/>
      <c r="P1085" s="17"/>
      <c r="Q1085" s="17"/>
    </row>
    <row r="1086" spans="2:17">
      <c r="B1086" s="15" t="str">
        <f t="shared" si="67"/>
        <v/>
      </c>
      <c r="C1086" s="16" t="str">
        <f>IFERROR(VLOOKUP(DATA!#REF!,DATA!#REF!,1,FALSE),"")</f>
        <v/>
      </c>
      <c r="D1086" s="16" t="str">
        <f>IFERROR(VLOOKUP(C1086,DATA!#REF!,2,FALSE),"")</f>
        <v/>
      </c>
      <c r="I1086" s="17"/>
      <c r="J1086" s="17"/>
      <c r="P1086" s="17"/>
      <c r="Q1086" s="17"/>
    </row>
    <row r="1087" spans="2:17">
      <c r="B1087" s="15" t="str">
        <f t="shared" si="67"/>
        <v/>
      </c>
      <c r="C1087" s="16" t="str">
        <f>IFERROR(VLOOKUP(DATA!#REF!,DATA!#REF!,1,FALSE),"")</f>
        <v/>
      </c>
      <c r="D1087" s="16" t="str">
        <f>IFERROR(VLOOKUP(C1087,DATA!#REF!,2,FALSE),"")</f>
        <v/>
      </c>
      <c r="I1087" s="17"/>
      <c r="J1087" s="17"/>
      <c r="P1087" s="17"/>
      <c r="Q1087" s="17"/>
    </row>
    <row r="1088" spans="2:17">
      <c r="B1088" s="15" t="str">
        <f t="shared" si="67"/>
        <v/>
      </c>
      <c r="C1088" s="16" t="str">
        <f>IFERROR(VLOOKUP(DATA!#REF!,DATA!#REF!,1,FALSE),"")</f>
        <v/>
      </c>
      <c r="D1088" s="16" t="str">
        <f>IFERROR(VLOOKUP(C1088,DATA!#REF!,2,FALSE),"")</f>
        <v/>
      </c>
      <c r="I1088" s="17"/>
      <c r="J1088" s="17"/>
      <c r="P1088" s="17"/>
      <c r="Q1088" s="17"/>
    </row>
    <row r="1089" spans="2:17">
      <c r="B1089" s="15" t="str">
        <f t="shared" si="67"/>
        <v/>
      </c>
      <c r="C1089" s="16" t="str">
        <f>IFERROR(VLOOKUP(DATA!#REF!,DATA!#REF!,1,FALSE),"")</f>
        <v/>
      </c>
      <c r="D1089" s="16" t="str">
        <f>IFERROR(VLOOKUP(C1089,DATA!#REF!,2,FALSE),"")</f>
        <v/>
      </c>
      <c r="I1089" s="17"/>
      <c r="J1089" s="17"/>
      <c r="P1089" s="17"/>
      <c r="Q1089" s="17"/>
    </row>
    <row r="1090" spans="2:17">
      <c r="B1090" s="15" t="str">
        <f t="shared" si="67"/>
        <v/>
      </c>
      <c r="C1090" s="16" t="str">
        <f>IFERROR(VLOOKUP(DATA!#REF!,DATA!#REF!,1,FALSE),"")</f>
        <v/>
      </c>
      <c r="D1090" s="16" t="str">
        <f>IFERROR(VLOOKUP(C1090,DATA!#REF!,2,FALSE),"")</f>
        <v/>
      </c>
      <c r="I1090" s="17"/>
      <c r="J1090" s="17"/>
      <c r="P1090" s="17"/>
      <c r="Q1090" s="17"/>
    </row>
    <row r="1091" spans="2:17">
      <c r="B1091" s="15" t="str">
        <f t="shared" si="67"/>
        <v/>
      </c>
      <c r="C1091" s="16" t="str">
        <f>IFERROR(VLOOKUP(DATA!#REF!,DATA!#REF!,1,FALSE),"")</f>
        <v/>
      </c>
      <c r="D1091" s="16" t="str">
        <f>IFERROR(VLOOKUP(C1091,DATA!#REF!,2,FALSE),"")</f>
        <v/>
      </c>
      <c r="I1091" s="17"/>
      <c r="J1091" s="17"/>
      <c r="P1091" s="17"/>
      <c r="Q1091" s="17"/>
    </row>
    <row r="1092" spans="2:17">
      <c r="B1092" s="15" t="str">
        <f t="shared" si="67"/>
        <v/>
      </c>
      <c r="C1092" s="16" t="str">
        <f>IFERROR(VLOOKUP(DATA!#REF!,DATA!#REF!,1,FALSE),"")</f>
        <v/>
      </c>
      <c r="D1092" s="16" t="str">
        <f>IFERROR(VLOOKUP(C1092,DATA!#REF!,2,FALSE),"")</f>
        <v/>
      </c>
      <c r="I1092" s="17"/>
      <c r="J1092" s="17"/>
      <c r="P1092" s="17"/>
      <c r="Q1092" s="17"/>
    </row>
    <row r="1093" spans="2:17">
      <c r="B1093" s="15" t="str">
        <f t="shared" si="67"/>
        <v/>
      </c>
      <c r="C1093" s="16" t="str">
        <f>IFERROR(VLOOKUP(DATA!#REF!,DATA!#REF!,1,FALSE),"")</f>
        <v/>
      </c>
      <c r="D1093" s="16" t="str">
        <f>IFERROR(VLOOKUP(C1093,DATA!#REF!,2,FALSE),"")</f>
        <v/>
      </c>
      <c r="I1093" s="17"/>
      <c r="J1093" s="17"/>
      <c r="P1093" s="17"/>
      <c r="Q1093" s="17"/>
    </row>
    <row r="1094" spans="2:17">
      <c r="B1094" s="15" t="str">
        <f t="shared" si="67"/>
        <v/>
      </c>
      <c r="C1094" s="16" t="str">
        <f>IFERROR(VLOOKUP(DATA!#REF!,DATA!#REF!,1,FALSE),"")</f>
        <v/>
      </c>
      <c r="D1094" s="16" t="str">
        <f>IFERROR(VLOOKUP(C1094,DATA!#REF!,2,FALSE),"")</f>
        <v/>
      </c>
      <c r="I1094" s="17"/>
      <c r="J1094" s="17"/>
      <c r="P1094" s="17"/>
      <c r="Q1094" s="17"/>
    </row>
    <row r="1095" spans="2:17">
      <c r="B1095" s="15" t="str">
        <f t="shared" si="67"/>
        <v/>
      </c>
      <c r="C1095" s="16" t="str">
        <f>IFERROR(VLOOKUP(DATA!#REF!,DATA!#REF!,1,FALSE),"")</f>
        <v/>
      </c>
      <c r="D1095" s="16" t="str">
        <f>IFERROR(VLOOKUP(C1095,DATA!#REF!,2,FALSE),"")</f>
        <v/>
      </c>
      <c r="I1095" s="17"/>
      <c r="J1095" s="17"/>
      <c r="P1095" s="17"/>
      <c r="Q1095" s="17"/>
    </row>
    <row r="1096" spans="2:17">
      <c r="B1096" s="15" t="str">
        <f t="shared" si="67"/>
        <v/>
      </c>
      <c r="C1096" s="16" t="str">
        <f>IFERROR(VLOOKUP(DATA!#REF!,DATA!#REF!,1,FALSE),"")</f>
        <v/>
      </c>
      <c r="D1096" s="16" t="str">
        <f>IFERROR(VLOOKUP(C1096,DATA!#REF!,2,FALSE),"")</f>
        <v/>
      </c>
      <c r="I1096" s="17"/>
      <c r="J1096" s="17"/>
      <c r="P1096" s="17"/>
      <c r="Q1096" s="17"/>
    </row>
    <row r="1097" spans="2:17">
      <c r="B1097" s="15" t="str">
        <f t="shared" si="67"/>
        <v/>
      </c>
      <c r="C1097" s="16" t="str">
        <f>IFERROR(VLOOKUP(DATA!#REF!,DATA!#REF!,1,FALSE),"")</f>
        <v/>
      </c>
      <c r="D1097" s="16" t="str">
        <f>IFERROR(VLOOKUP(C1097,DATA!#REF!,2,FALSE),"")</f>
        <v/>
      </c>
      <c r="I1097" s="17"/>
      <c r="J1097" s="17"/>
      <c r="P1097" s="17"/>
      <c r="Q1097" s="17"/>
    </row>
    <row r="1098" spans="2:17">
      <c r="B1098" s="15" t="str">
        <f t="shared" si="67"/>
        <v/>
      </c>
      <c r="C1098" s="16" t="str">
        <f>IFERROR(VLOOKUP(DATA!#REF!,DATA!#REF!,1,FALSE),"")</f>
        <v/>
      </c>
      <c r="D1098" s="16" t="str">
        <f>IFERROR(VLOOKUP(C1098,DATA!#REF!,2,FALSE),"")</f>
        <v/>
      </c>
      <c r="I1098" s="17"/>
      <c r="J1098" s="17"/>
      <c r="P1098" s="17"/>
      <c r="Q1098" s="17"/>
    </row>
    <row r="1099" spans="2:17">
      <c r="B1099" s="15" t="str">
        <f t="shared" si="67"/>
        <v/>
      </c>
      <c r="C1099" s="16" t="str">
        <f>IFERROR(VLOOKUP(DATA!#REF!,DATA!#REF!,1,FALSE),"")</f>
        <v/>
      </c>
      <c r="D1099" s="16" t="str">
        <f>IFERROR(VLOOKUP(C1099,DATA!#REF!,2,FALSE),"")</f>
        <v/>
      </c>
      <c r="I1099" s="17"/>
      <c r="J1099" s="17"/>
      <c r="P1099" s="17"/>
      <c r="Q1099" s="17"/>
    </row>
    <row r="1100" spans="2:17">
      <c r="B1100" s="15" t="str">
        <f t="shared" si="67"/>
        <v/>
      </c>
      <c r="C1100" s="16" t="str">
        <f>IFERROR(VLOOKUP(DATA!#REF!,DATA!#REF!,1,FALSE),"")</f>
        <v/>
      </c>
      <c r="D1100" s="16" t="str">
        <f>IFERROR(VLOOKUP(C1100,DATA!#REF!,2,FALSE),"")</f>
        <v/>
      </c>
      <c r="I1100" s="17"/>
      <c r="J1100" s="17"/>
      <c r="P1100" s="17"/>
      <c r="Q1100" s="17"/>
    </row>
    <row r="1101" spans="2:17">
      <c r="B1101" s="15" t="str">
        <f t="shared" si="67"/>
        <v/>
      </c>
      <c r="C1101" s="16" t="str">
        <f>IFERROR(VLOOKUP(DATA!#REF!,DATA!#REF!,1,FALSE),"")</f>
        <v/>
      </c>
      <c r="D1101" s="16" t="str">
        <f>IFERROR(VLOOKUP(C1101,DATA!#REF!,2,FALSE),"")</f>
        <v/>
      </c>
      <c r="I1101" s="17"/>
      <c r="J1101" s="17"/>
      <c r="P1101" s="17"/>
      <c r="Q1101" s="17"/>
    </row>
    <row r="1102" spans="2:17">
      <c r="B1102" s="15" t="str">
        <f t="shared" si="67"/>
        <v/>
      </c>
      <c r="C1102" s="16" t="str">
        <f>IFERROR(VLOOKUP(DATA!#REF!,DATA!#REF!,1,FALSE),"")</f>
        <v/>
      </c>
      <c r="D1102" s="16" t="str">
        <f>IFERROR(VLOOKUP(C1102,DATA!#REF!,2,FALSE),"")</f>
        <v/>
      </c>
      <c r="I1102" s="17"/>
      <c r="J1102" s="17"/>
      <c r="P1102" s="17"/>
      <c r="Q1102" s="17"/>
    </row>
    <row r="1103" spans="2:17">
      <c r="B1103" s="15" t="str">
        <f t="shared" si="67"/>
        <v/>
      </c>
      <c r="C1103" s="16" t="str">
        <f>IFERROR(VLOOKUP(DATA!#REF!,DATA!#REF!,1,FALSE),"")</f>
        <v/>
      </c>
      <c r="D1103" s="16" t="str">
        <f>IFERROR(VLOOKUP(C1103,DATA!#REF!,2,FALSE),"")</f>
        <v/>
      </c>
      <c r="I1103" s="17"/>
      <c r="J1103" s="17"/>
      <c r="P1103" s="17"/>
      <c r="Q1103" s="17"/>
    </row>
    <row r="1104" spans="2:17">
      <c r="B1104" s="15" t="str">
        <f t="shared" si="67"/>
        <v/>
      </c>
      <c r="C1104" s="16" t="str">
        <f>IFERROR(VLOOKUP(DATA!#REF!,DATA!#REF!,1,FALSE),"")</f>
        <v/>
      </c>
      <c r="D1104" s="16" t="str">
        <f>IFERROR(VLOOKUP(C1104,DATA!#REF!,2,FALSE),"")</f>
        <v/>
      </c>
      <c r="I1104" s="17"/>
      <c r="J1104" s="17"/>
      <c r="P1104" s="17"/>
      <c r="Q1104" s="17"/>
    </row>
    <row r="1105" spans="2:17">
      <c r="B1105" s="15" t="str">
        <f t="shared" si="67"/>
        <v/>
      </c>
      <c r="C1105" s="16" t="str">
        <f>IFERROR(VLOOKUP(DATA!#REF!,DATA!#REF!,1,FALSE),"")</f>
        <v/>
      </c>
      <c r="D1105" s="16" t="str">
        <f>IFERROR(VLOOKUP(C1105,DATA!#REF!,2,FALSE),"")</f>
        <v/>
      </c>
      <c r="I1105" s="17"/>
      <c r="J1105" s="17"/>
      <c r="P1105" s="17"/>
      <c r="Q1105" s="17"/>
    </row>
    <row r="1106" spans="2:17">
      <c r="B1106" s="15" t="str">
        <f t="shared" si="67"/>
        <v/>
      </c>
      <c r="C1106" s="16" t="str">
        <f>IFERROR(VLOOKUP(DATA!#REF!,DATA!#REF!,1,FALSE),"")</f>
        <v/>
      </c>
      <c r="D1106" s="16" t="str">
        <f>IFERROR(VLOOKUP(C1106,DATA!#REF!,2,FALSE),"")</f>
        <v/>
      </c>
      <c r="I1106" s="17"/>
      <c r="J1106" s="17"/>
      <c r="P1106" s="17"/>
      <c r="Q1106" s="17"/>
    </row>
    <row r="1107" spans="2:17">
      <c r="B1107" s="15" t="str">
        <f t="shared" si="67"/>
        <v/>
      </c>
      <c r="C1107" s="16" t="str">
        <f>IFERROR(VLOOKUP(DATA!#REF!,DATA!#REF!,1,FALSE),"")</f>
        <v/>
      </c>
      <c r="D1107" s="16" t="str">
        <f>IFERROR(VLOOKUP(C1107,DATA!#REF!,2,FALSE),"")</f>
        <v/>
      </c>
      <c r="I1107" s="17"/>
      <c r="J1107" s="17"/>
      <c r="P1107" s="17"/>
      <c r="Q1107" s="17"/>
    </row>
    <row r="1108" spans="2:17">
      <c r="B1108" s="15" t="str">
        <f t="shared" si="67"/>
        <v/>
      </c>
      <c r="C1108" s="16" t="str">
        <f>IFERROR(VLOOKUP(DATA!#REF!,DATA!#REF!,1,FALSE),"")</f>
        <v/>
      </c>
      <c r="D1108" s="16" t="str">
        <f>IFERROR(VLOOKUP(C1108,DATA!#REF!,2,FALSE),"")</f>
        <v/>
      </c>
      <c r="I1108" s="17"/>
      <c r="J1108" s="17"/>
      <c r="P1108" s="17"/>
      <c r="Q1108" s="17"/>
    </row>
    <row r="1109" spans="2:17">
      <c r="B1109" s="15" t="str">
        <f t="shared" si="67"/>
        <v/>
      </c>
      <c r="C1109" s="16" t="str">
        <f>IFERROR(VLOOKUP(DATA!#REF!,DATA!#REF!,1,FALSE),"")</f>
        <v/>
      </c>
      <c r="D1109" s="16" t="str">
        <f>IFERROR(VLOOKUP(C1109,DATA!#REF!,2,FALSE),"")</f>
        <v/>
      </c>
      <c r="I1109" s="17"/>
      <c r="J1109" s="17"/>
      <c r="P1109" s="17"/>
      <c r="Q1109" s="17"/>
    </row>
    <row r="1110" spans="2:17">
      <c r="B1110" s="15" t="str">
        <f t="shared" si="67"/>
        <v/>
      </c>
      <c r="C1110" s="16" t="str">
        <f>IFERROR(VLOOKUP(DATA!#REF!,DATA!#REF!,1,FALSE),"")</f>
        <v/>
      </c>
      <c r="D1110" s="16" t="str">
        <f>IFERROR(VLOOKUP(C1110,DATA!#REF!,2,FALSE),"")</f>
        <v/>
      </c>
      <c r="I1110" s="17"/>
      <c r="J1110" s="17"/>
      <c r="P1110" s="17"/>
      <c r="Q1110" s="17"/>
    </row>
    <row r="1111" spans="2:17">
      <c r="B1111" s="15" t="str">
        <f t="shared" si="67"/>
        <v/>
      </c>
      <c r="C1111" s="16" t="str">
        <f>IFERROR(VLOOKUP(DATA!#REF!,DATA!#REF!,1,FALSE),"")</f>
        <v/>
      </c>
      <c r="D1111" s="16" t="str">
        <f>IFERROR(VLOOKUP(C1111,DATA!#REF!,2,FALSE),"")</f>
        <v/>
      </c>
      <c r="I1111" s="17"/>
      <c r="J1111" s="17"/>
      <c r="P1111" s="17"/>
      <c r="Q1111" s="17"/>
    </row>
    <row r="1112" spans="2:17">
      <c r="B1112" s="15" t="str">
        <f t="shared" si="67"/>
        <v/>
      </c>
      <c r="C1112" s="16" t="str">
        <f>IFERROR(VLOOKUP(DATA!#REF!,DATA!#REF!,1,FALSE),"")</f>
        <v/>
      </c>
      <c r="D1112" s="16" t="str">
        <f>IFERROR(VLOOKUP(C1112,DATA!#REF!,2,FALSE),"")</f>
        <v/>
      </c>
      <c r="I1112" s="17"/>
      <c r="J1112" s="17"/>
      <c r="P1112" s="17"/>
      <c r="Q1112" s="17"/>
    </row>
    <row r="1113" spans="2:17">
      <c r="B1113" s="15" t="str">
        <f t="shared" si="67"/>
        <v/>
      </c>
      <c r="C1113" s="16" t="str">
        <f>IFERROR(VLOOKUP(DATA!#REF!,DATA!#REF!,1,FALSE),"")</f>
        <v/>
      </c>
      <c r="D1113" s="16" t="str">
        <f>IFERROR(VLOOKUP(C1113,DATA!#REF!,2,FALSE),"")</f>
        <v/>
      </c>
      <c r="I1113" s="17"/>
      <c r="J1113" s="17"/>
      <c r="P1113" s="17"/>
      <c r="Q1113" s="17"/>
    </row>
    <row r="1114" spans="2:17">
      <c r="B1114" s="15" t="str">
        <f t="shared" si="67"/>
        <v/>
      </c>
      <c r="C1114" s="16" t="str">
        <f>IFERROR(VLOOKUP(DATA!#REF!,DATA!#REF!,1,FALSE),"")</f>
        <v/>
      </c>
      <c r="D1114" s="16" t="str">
        <f>IFERROR(VLOOKUP(C1114,DATA!#REF!,2,FALSE),"")</f>
        <v/>
      </c>
      <c r="I1114" s="17"/>
      <c r="J1114" s="17"/>
      <c r="P1114" s="17"/>
      <c r="Q1114" s="17"/>
    </row>
    <row r="1115" spans="2:17">
      <c r="B1115" s="15" t="str">
        <f t="shared" si="67"/>
        <v/>
      </c>
      <c r="C1115" s="16" t="str">
        <f>IFERROR(VLOOKUP(DATA!#REF!,DATA!#REF!,1,FALSE),"")</f>
        <v/>
      </c>
      <c r="D1115" s="16" t="str">
        <f>IFERROR(VLOOKUP(C1115,DATA!#REF!,2,FALSE),"")</f>
        <v/>
      </c>
      <c r="I1115" s="17"/>
      <c r="J1115" s="17"/>
      <c r="P1115" s="17"/>
      <c r="Q1115" s="17"/>
    </row>
    <row r="1116" spans="2:17">
      <c r="B1116" s="15" t="str">
        <f t="shared" si="67"/>
        <v/>
      </c>
      <c r="C1116" s="16" t="str">
        <f>IFERROR(VLOOKUP(DATA!#REF!,DATA!#REF!,1,FALSE),"")</f>
        <v/>
      </c>
      <c r="D1116" s="16" t="str">
        <f>IFERROR(VLOOKUP(C1116,DATA!#REF!,2,FALSE),"")</f>
        <v/>
      </c>
      <c r="I1116" s="17"/>
      <c r="J1116" s="17"/>
      <c r="P1116" s="17"/>
      <c r="Q1116" s="17"/>
    </row>
    <row r="1117" spans="2:17">
      <c r="B1117" s="15" t="str">
        <f t="shared" si="67"/>
        <v/>
      </c>
      <c r="C1117" s="16" t="str">
        <f>IFERROR(VLOOKUP(DATA!#REF!,DATA!#REF!,1,FALSE),"")</f>
        <v/>
      </c>
      <c r="D1117" s="16" t="str">
        <f>IFERROR(VLOOKUP(C1117,DATA!#REF!,2,FALSE),"")</f>
        <v/>
      </c>
      <c r="I1117" s="17"/>
      <c r="J1117" s="17"/>
      <c r="P1117" s="17"/>
      <c r="Q1117" s="17"/>
    </row>
    <row r="1118" spans="2:17">
      <c r="B1118" s="15" t="str">
        <f t="shared" si="67"/>
        <v/>
      </c>
      <c r="C1118" s="16" t="str">
        <f>IFERROR(VLOOKUP(DATA!#REF!,DATA!#REF!,1,FALSE),"")</f>
        <v/>
      </c>
      <c r="D1118" s="16" t="str">
        <f>IFERROR(VLOOKUP(C1118,DATA!#REF!,2,FALSE),"")</f>
        <v/>
      </c>
      <c r="I1118" s="17"/>
      <c r="J1118" s="17"/>
      <c r="P1118" s="17"/>
      <c r="Q1118" s="17"/>
    </row>
    <row r="1119" spans="2:17">
      <c r="B1119" s="15" t="str">
        <f t="shared" si="67"/>
        <v/>
      </c>
      <c r="C1119" s="16" t="str">
        <f>IFERROR(VLOOKUP(DATA!#REF!,DATA!#REF!,1,FALSE),"")</f>
        <v/>
      </c>
      <c r="D1119" s="16" t="str">
        <f>IFERROR(VLOOKUP(C1119,DATA!#REF!,2,FALSE),"")</f>
        <v/>
      </c>
      <c r="I1119" s="17"/>
      <c r="J1119" s="17"/>
      <c r="P1119" s="17"/>
      <c r="Q1119" s="17"/>
    </row>
    <row r="1120" spans="2:17">
      <c r="B1120" s="15" t="str">
        <f t="shared" si="67"/>
        <v/>
      </c>
      <c r="C1120" s="16" t="str">
        <f>IFERROR(VLOOKUP(DATA!#REF!,DATA!#REF!,1,FALSE),"")</f>
        <v/>
      </c>
      <c r="D1120" s="16" t="str">
        <f>IFERROR(VLOOKUP(C1120,DATA!#REF!,2,FALSE),"")</f>
        <v/>
      </c>
      <c r="I1120" s="17"/>
      <c r="J1120" s="17"/>
      <c r="P1120" s="17"/>
      <c r="Q1120" s="17"/>
    </row>
    <row r="1121" spans="2:17">
      <c r="B1121" s="15" t="str">
        <f t="shared" si="67"/>
        <v/>
      </c>
      <c r="C1121" s="16" t="str">
        <f>IFERROR(VLOOKUP(DATA!#REF!,DATA!#REF!,1,FALSE),"")</f>
        <v/>
      </c>
      <c r="D1121" s="16" t="str">
        <f>IFERROR(VLOOKUP(C1121,DATA!#REF!,2,FALSE),"")</f>
        <v/>
      </c>
      <c r="I1121" s="17"/>
      <c r="J1121" s="17"/>
      <c r="P1121" s="17"/>
      <c r="Q1121" s="17"/>
    </row>
    <row r="1122" spans="2:17">
      <c r="B1122" s="15" t="str">
        <f t="shared" si="67"/>
        <v/>
      </c>
      <c r="C1122" s="16" t="str">
        <f>IFERROR(VLOOKUP(DATA!#REF!,DATA!#REF!,1,FALSE),"")</f>
        <v/>
      </c>
      <c r="D1122" s="16" t="str">
        <f>IFERROR(VLOOKUP(C1122,DATA!#REF!,2,FALSE),"")</f>
        <v/>
      </c>
      <c r="I1122" s="17"/>
      <c r="J1122" s="17"/>
      <c r="P1122" s="17"/>
      <c r="Q1122" s="17"/>
    </row>
    <row r="1123" spans="2:17">
      <c r="B1123" s="15" t="str">
        <f t="shared" si="67"/>
        <v/>
      </c>
      <c r="C1123" s="16" t="str">
        <f>IFERROR(VLOOKUP(DATA!#REF!,DATA!#REF!,1,FALSE),"")</f>
        <v/>
      </c>
      <c r="D1123" s="16" t="str">
        <f>IFERROR(VLOOKUP(C1123,DATA!#REF!,2,FALSE),"")</f>
        <v/>
      </c>
      <c r="I1123" s="17"/>
      <c r="J1123" s="17"/>
      <c r="P1123" s="17"/>
      <c r="Q1123" s="17"/>
    </row>
    <row r="1124" spans="2:17">
      <c r="B1124" s="15" t="str">
        <f t="shared" si="67"/>
        <v/>
      </c>
      <c r="C1124" s="16" t="str">
        <f>IFERROR(VLOOKUP(DATA!#REF!,DATA!#REF!,1,FALSE),"")</f>
        <v/>
      </c>
      <c r="D1124" s="16" t="str">
        <f>IFERROR(VLOOKUP(C1124,DATA!#REF!,2,FALSE),"")</f>
        <v/>
      </c>
      <c r="I1124" s="17"/>
      <c r="J1124" s="17"/>
      <c r="P1124" s="17"/>
      <c r="Q1124" s="17"/>
    </row>
    <row r="1125" spans="2:17">
      <c r="B1125" s="15" t="str">
        <f t="shared" si="67"/>
        <v/>
      </c>
      <c r="C1125" s="16" t="str">
        <f>IFERROR(VLOOKUP(DATA!#REF!,DATA!#REF!,1,FALSE),"")</f>
        <v/>
      </c>
      <c r="D1125" s="16" t="str">
        <f>IFERROR(VLOOKUP(C1125,DATA!#REF!,2,FALSE),"")</f>
        <v/>
      </c>
      <c r="I1125" s="17"/>
      <c r="J1125" s="17"/>
      <c r="P1125" s="17"/>
      <c r="Q1125" s="17"/>
    </row>
    <row r="1126" spans="2:17">
      <c r="B1126" s="15" t="str">
        <f t="shared" si="67"/>
        <v/>
      </c>
      <c r="C1126" s="16" t="str">
        <f>IFERROR(VLOOKUP(DATA!#REF!,DATA!#REF!,1,FALSE),"")</f>
        <v/>
      </c>
      <c r="D1126" s="16" t="str">
        <f>IFERROR(VLOOKUP(C1126,DATA!#REF!,2,FALSE),"")</f>
        <v/>
      </c>
      <c r="I1126" s="17"/>
      <c r="J1126" s="17"/>
      <c r="P1126" s="17"/>
      <c r="Q1126" s="17"/>
    </row>
    <row r="1127" spans="2:17">
      <c r="B1127" s="15" t="str">
        <f t="shared" si="67"/>
        <v/>
      </c>
      <c r="C1127" s="16" t="str">
        <f>IFERROR(VLOOKUP(DATA!#REF!,DATA!#REF!,1,FALSE),"")</f>
        <v/>
      </c>
      <c r="D1127" s="16" t="str">
        <f>IFERROR(VLOOKUP(C1127,DATA!#REF!,2,FALSE),"")</f>
        <v/>
      </c>
      <c r="I1127" s="17"/>
      <c r="J1127" s="17"/>
      <c r="P1127" s="17"/>
      <c r="Q1127" s="17"/>
    </row>
    <row r="1128" spans="2:17">
      <c r="B1128" s="15" t="str">
        <f t="shared" si="67"/>
        <v/>
      </c>
      <c r="C1128" s="16" t="str">
        <f>IFERROR(VLOOKUP(DATA!#REF!,DATA!#REF!,1,FALSE),"")</f>
        <v/>
      </c>
      <c r="D1128" s="16" t="str">
        <f>IFERROR(VLOOKUP(C1128,DATA!#REF!,2,FALSE),"")</f>
        <v/>
      </c>
      <c r="I1128" s="17"/>
      <c r="J1128" s="17"/>
      <c r="P1128" s="17"/>
      <c r="Q1128" s="17"/>
    </row>
    <row r="1129" spans="2:17">
      <c r="B1129" s="15" t="str">
        <f t="shared" si="67"/>
        <v/>
      </c>
      <c r="C1129" s="16" t="str">
        <f>IFERROR(VLOOKUP(DATA!#REF!,DATA!#REF!,1,FALSE),"")</f>
        <v/>
      </c>
      <c r="D1129" s="16" t="str">
        <f>IFERROR(VLOOKUP(C1129,DATA!#REF!,2,FALSE),"")</f>
        <v/>
      </c>
      <c r="I1129" s="17"/>
      <c r="J1129" s="17"/>
      <c r="P1129" s="17"/>
      <c r="Q1129" s="17"/>
    </row>
    <row r="1130" spans="2:17">
      <c r="B1130" s="15" t="str">
        <f t="shared" si="67"/>
        <v/>
      </c>
      <c r="C1130" s="16" t="str">
        <f>IFERROR(VLOOKUP(DATA!#REF!,DATA!#REF!,1,FALSE),"")</f>
        <v/>
      </c>
      <c r="D1130" s="16" t="str">
        <f>IFERROR(VLOOKUP(C1130,DATA!#REF!,2,FALSE),"")</f>
        <v/>
      </c>
      <c r="I1130" s="17"/>
      <c r="J1130" s="17"/>
      <c r="P1130" s="17"/>
      <c r="Q1130" s="17"/>
    </row>
    <row r="1131" spans="2:17">
      <c r="B1131" s="15" t="str">
        <f t="shared" si="67"/>
        <v/>
      </c>
      <c r="C1131" s="16" t="str">
        <f>IFERROR(VLOOKUP(DATA!#REF!,DATA!#REF!,1,FALSE),"")</f>
        <v/>
      </c>
      <c r="D1131" s="16" t="str">
        <f>IFERROR(VLOOKUP(C1131,DATA!#REF!,2,FALSE),"")</f>
        <v/>
      </c>
      <c r="I1131" s="17"/>
      <c r="J1131" s="17"/>
      <c r="P1131" s="17"/>
      <c r="Q1131" s="17"/>
    </row>
    <row r="1132" spans="2:17">
      <c r="B1132" s="15" t="str">
        <f t="shared" si="67"/>
        <v/>
      </c>
      <c r="C1132" s="16" t="str">
        <f>IFERROR(VLOOKUP(DATA!#REF!,DATA!#REF!,1,FALSE),"")</f>
        <v/>
      </c>
      <c r="D1132" s="16" t="str">
        <f>IFERROR(VLOOKUP(C1132,DATA!#REF!,2,FALSE),"")</f>
        <v/>
      </c>
      <c r="I1132" s="17"/>
      <c r="J1132" s="17"/>
      <c r="P1132" s="17"/>
      <c r="Q1132" s="17"/>
    </row>
    <row r="1133" spans="2:17">
      <c r="B1133" s="15" t="str">
        <f t="shared" si="67"/>
        <v/>
      </c>
      <c r="C1133" s="16" t="str">
        <f>IFERROR(VLOOKUP(DATA!#REF!,DATA!#REF!,1,FALSE),"")</f>
        <v/>
      </c>
      <c r="D1133" s="16" t="str">
        <f>IFERROR(VLOOKUP(C1133,DATA!#REF!,2,FALSE),"")</f>
        <v/>
      </c>
      <c r="I1133" s="17"/>
      <c r="J1133" s="17"/>
      <c r="P1133" s="17"/>
      <c r="Q1133" s="17"/>
    </row>
    <row r="1134" spans="2:17">
      <c r="B1134" s="15" t="str">
        <f t="shared" si="67"/>
        <v/>
      </c>
      <c r="C1134" s="16" t="str">
        <f>IFERROR(VLOOKUP(DATA!#REF!,DATA!#REF!,1,FALSE),"")</f>
        <v/>
      </c>
      <c r="D1134" s="16" t="str">
        <f>IFERROR(VLOOKUP(C1134,DATA!#REF!,2,FALSE),"")</f>
        <v/>
      </c>
      <c r="I1134" s="17"/>
      <c r="J1134" s="17"/>
      <c r="P1134" s="17"/>
      <c r="Q1134" s="17"/>
    </row>
    <row r="1135" spans="2:17">
      <c r="B1135" s="15" t="str">
        <f t="shared" si="67"/>
        <v/>
      </c>
      <c r="C1135" s="16" t="str">
        <f>IFERROR(VLOOKUP(DATA!#REF!,DATA!#REF!,1,FALSE),"")</f>
        <v/>
      </c>
      <c r="D1135" s="16" t="str">
        <f>IFERROR(VLOOKUP(C1135,DATA!#REF!,2,FALSE),"")</f>
        <v/>
      </c>
      <c r="I1135" s="17"/>
      <c r="J1135" s="17"/>
      <c r="P1135" s="17"/>
      <c r="Q1135" s="17"/>
    </row>
    <row r="1136" spans="2:17">
      <c r="B1136" s="15" t="str">
        <f t="shared" si="67"/>
        <v/>
      </c>
      <c r="C1136" s="16" t="str">
        <f>IFERROR(VLOOKUP(DATA!#REF!,DATA!#REF!,1,FALSE),"")</f>
        <v/>
      </c>
      <c r="D1136" s="16" t="str">
        <f>IFERROR(VLOOKUP(C1136,DATA!#REF!,2,FALSE),"")</f>
        <v/>
      </c>
      <c r="I1136" s="17"/>
      <c r="J1136" s="17"/>
      <c r="P1136" s="17"/>
      <c r="Q1136" s="17"/>
    </row>
    <row r="1137" spans="2:17">
      <c r="B1137" s="15" t="str">
        <f t="shared" si="67"/>
        <v/>
      </c>
      <c r="C1137" s="16" t="str">
        <f>IFERROR(VLOOKUP(DATA!#REF!,DATA!#REF!,1,FALSE),"")</f>
        <v/>
      </c>
      <c r="D1137" s="16" t="str">
        <f>IFERROR(VLOOKUP(C1137,DATA!#REF!,2,FALSE),"")</f>
        <v/>
      </c>
      <c r="I1137" s="17"/>
      <c r="J1137" s="17"/>
      <c r="P1137" s="17"/>
      <c r="Q1137" s="17"/>
    </row>
    <row r="1138" spans="2:17">
      <c r="B1138" s="15" t="str">
        <f t="shared" si="67"/>
        <v/>
      </c>
      <c r="C1138" s="16" t="str">
        <f>IFERROR(VLOOKUP(DATA!#REF!,DATA!#REF!,1,FALSE),"")</f>
        <v/>
      </c>
      <c r="D1138" s="16" t="str">
        <f>IFERROR(VLOOKUP(C1138,DATA!#REF!,2,FALSE),"")</f>
        <v/>
      </c>
      <c r="I1138" s="17"/>
      <c r="J1138" s="17"/>
      <c r="P1138" s="17"/>
      <c r="Q1138" s="17"/>
    </row>
    <row r="1139" spans="2:17">
      <c r="B1139" s="15" t="str">
        <f t="shared" si="67"/>
        <v/>
      </c>
      <c r="C1139" s="16" t="str">
        <f>IFERROR(VLOOKUP(DATA!#REF!,DATA!#REF!,1,FALSE),"")</f>
        <v/>
      </c>
      <c r="D1139" s="16" t="str">
        <f>IFERROR(VLOOKUP(C1139,DATA!#REF!,2,FALSE),"")</f>
        <v/>
      </c>
      <c r="I1139" s="17"/>
      <c r="J1139" s="17"/>
      <c r="P1139" s="17"/>
      <c r="Q1139" s="17"/>
    </row>
    <row r="1140" spans="2:17">
      <c r="B1140" s="15" t="str">
        <f t="shared" si="67"/>
        <v/>
      </c>
      <c r="C1140" s="16" t="str">
        <f>IFERROR(VLOOKUP(DATA!#REF!,DATA!#REF!,1,FALSE),"")</f>
        <v/>
      </c>
      <c r="D1140" s="16" t="str">
        <f>IFERROR(VLOOKUP(C1140,DATA!#REF!,2,FALSE),"")</f>
        <v/>
      </c>
      <c r="I1140" s="17"/>
      <c r="J1140" s="17"/>
      <c r="P1140" s="17"/>
      <c r="Q1140" s="17"/>
    </row>
    <row r="1141" spans="2:17">
      <c r="B1141" s="15" t="str">
        <f t="shared" si="67"/>
        <v/>
      </c>
      <c r="C1141" s="16" t="str">
        <f>IFERROR(VLOOKUP(DATA!#REF!,DATA!#REF!,1,FALSE),"")</f>
        <v/>
      </c>
      <c r="D1141" s="16" t="str">
        <f>IFERROR(VLOOKUP(C1141,DATA!#REF!,2,FALSE),"")</f>
        <v/>
      </c>
      <c r="I1141" s="17"/>
      <c r="J1141" s="17"/>
      <c r="P1141" s="17"/>
      <c r="Q1141" s="17"/>
    </row>
    <row r="1142" spans="2:17">
      <c r="B1142" s="15" t="str">
        <f t="shared" si="67"/>
        <v/>
      </c>
      <c r="C1142" s="16" t="str">
        <f>IFERROR(VLOOKUP(DATA!#REF!,DATA!#REF!,1,FALSE),"")</f>
        <v/>
      </c>
      <c r="D1142" s="16" t="str">
        <f>IFERROR(VLOOKUP(C1142,DATA!#REF!,2,FALSE),"")</f>
        <v/>
      </c>
      <c r="I1142" s="17"/>
      <c r="J1142" s="17"/>
      <c r="P1142" s="17"/>
      <c r="Q1142" s="17"/>
    </row>
    <row r="1143" spans="2:17">
      <c r="B1143" s="15" t="str">
        <f t="shared" ref="B1143:B1206" si="68">+IF(C1143="","",ROW()-5)</f>
        <v/>
      </c>
      <c r="C1143" s="16" t="str">
        <f>IFERROR(VLOOKUP(DATA!#REF!,DATA!#REF!,1,FALSE),"")</f>
        <v/>
      </c>
      <c r="D1143" s="16" t="str">
        <f>IFERROR(VLOOKUP(C1143,DATA!#REF!,2,FALSE),"")</f>
        <v/>
      </c>
      <c r="I1143" s="17"/>
      <c r="J1143" s="17"/>
      <c r="P1143" s="17"/>
      <c r="Q1143" s="17"/>
    </row>
    <row r="1144" spans="2:17">
      <c r="B1144" s="15" t="str">
        <f t="shared" si="68"/>
        <v/>
      </c>
      <c r="C1144" s="16" t="str">
        <f>IFERROR(VLOOKUP(DATA!#REF!,DATA!#REF!,1,FALSE),"")</f>
        <v/>
      </c>
      <c r="D1144" s="16" t="str">
        <f>IFERROR(VLOOKUP(C1144,DATA!#REF!,2,FALSE),"")</f>
        <v/>
      </c>
      <c r="I1144" s="17"/>
      <c r="J1144" s="17"/>
      <c r="P1144" s="17"/>
      <c r="Q1144" s="17"/>
    </row>
    <row r="1145" spans="2:17">
      <c r="B1145" s="15" t="str">
        <f t="shared" si="68"/>
        <v/>
      </c>
      <c r="C1145" s="16" t="str">
        <f>IFERROR(VLOOKUP(DATA!#REF!,DATA!#REF!,1,FALSE),"")</f>
        <v/>
      </c>
      <c r="D1145" s="16" t="str">
        <f>IFERROR(VLOOKUP(C1145,DATA!#REF!,2,FALSE),"")</f>
        <v/>
      </c>
      <c r="I1145" s="17"/>
      <c r="J1145" s="17"/>
      <c r="P1145" s="17"/>
      <c r="Q1145" s="17"/>
    </row>
    <row r="1146" spans="2:17">
      <c r="B1146" s="15" t="str">
        <f t="shared" si="68"/>
        <v/>
      </c>
      <c r="C1146" s="16" t="str">
        <f>IFERROR(VLOOKUP(DATA!#REF!,DATA!#REF!,1,FALSE),"")</f>
        <v/>
      </c>
      <c r="D1146" s="16" t="str">
        <f>IFERROR(VLOOKUP(C1146,DATA!#REF!,2,FALSE),"")</f>
        <v/>
      </c>
      <c r="I1146" s="17"/>
      <c r="J1146" s="17"/>
      <c r="P1146" s="17"/>
      <c r="Q1146" s="17"/>
    </row>
    <row r="1147" spans="2:17">
      <c r="B1147" s="15" t="str">
        <f t="shared" si="68"/>
        <v/>
      </c>
      <c r="C1147" s="16" t="str">
        <f>IFERROR(VLOOKUP(DATA!#REF!,DATA!#REF!,1,FALSE),"")</f>
        <v/>
      </c>
      <c r="D1147" s="16" t="str">
        <f>IFERROR(VLOOKUP(C1147,DATA!#REF!,2,FALSE),"")</f>
        <v/>
      </c>
      <c r="I1147" s="17"/>
      <c r="J1147" s="17"/>
      <c r="P1147" s="17"/>
      <c r="Q1147" s="17"/>
    </row>
    <row r="1148" spans="2:17">
      <c r="B1148" s="15" t="str">
        <f t="shared" si="68"/>
        <v/>
      </c>
      <c r="C1148" s="16" t="str">
        <f>IFERROR(VLOOKUP(DATA!#REF!,DATA!#REF!,1,FALSE),"")</f>
        <v/>
      </c>
      <c r="D1148" s="16" t="str">
        <f>IFERROR(VLOOKUP(C1148,DATA!#REF!,2,FALSE),"")</f>
        <v/>
      </c>
      <c r="I1148" s="17"/>
      <c r="J1148" s="17"/>
      <c r="P1148" s="17"/>
      <c r="Q1148" s="17"/>
    </row>
    <row r="1149" spans="2:17">
      <c r="B1149" s="15" t="str">
        <f t="shared" si="68"/>
        <v/>
      </c>
      <c r="C1149" s="16" t="str">
        <f>IFERROR(VLOOKUP(DATA!#REF!,DATA!#REF!,1,FALSE),"")</f>
        <v/>
      </c>
      <c r="D1149" s="16" t="str">
        <f>IFERROR(VLOOKUP(C1149,DATA!#REF!,2,FALSE),"")</f>
        <v/>
      </c>
      <c r="I1149" s="17"/>
      <c r="J1149" s="17"/>
      <c r="P1149" s="17"/>
      <c r="Q1149" s="17"/>
    </row>
    <row r="1150" spans="2:17">
      <c r="B1150" s="15" t="str">
        <f t="shared" si="68"/>
        <v/>
      </c>
      <c r="C1150" s="16" t="str">
        <f>IFERROR(VLOOKUP(DATA!#REF!,DATA!#REF!,1,FALSE),"")</f>
        <v/>
      </c>
      <c r="D1150" s="16" t="str">
        <f>IFERROR(VLOOKUP(C1150,DATA!#REF!,2,FALSE),"")</f>
        <v/>
      </c>
      <c r="I1150" s="17"/>
      <c r="J1150" s="17"/>
      <c r="P1150" s="17"/>
      <c r="Q1150" s="17"/>
    </row>
    <row r="1151" spans="2:17">
      <c r="B1151" s="15" t="str">
        <f t="shared" si="68"/>
        <v/>
      </c>
      <c r="C1151" s="16" t="str">
        <f>IFERROR(VLOOKUP(DATA!#REF!,DATA!#REF!,1,FALSE),"")</f>
        <v/>
      </c>
      <c r="D1151" s="16" t="str">
        <f>IFERROR(VLOOKUP(C1151,DATA!#REF!,2,FALSE),"")</f>
        <v/>
      </c>
      <c r="I1151" s="17"/>
      <c r="J1151" s="17"/>
      <c r="P1151" s="17"/>
      <c r="Q1151" s="17"/>
    </row>
    <row r="1152" spans="2:17">
      <c r="B1152" s="15" t="str">
        <f t="shared" si="68"/>
        <v/>
      </c>
      <c r="C1152" s="16" t="str">
        <f>IFERROR(VLOOKUP(DATA!#REF!,DATA!#REF!,1,FALSE),"")</f>
        <v/>
      </c>
      <c r="D1152" s="16" t="str">
        <f>IFERROR(VLOOKUP(C1152,DATA!#REF!,2,FALSE),"")</f>
        <v/>
      </c>
      <c r="I1152" s="17"/>
      <c r="J1152" s="17"/>
      <c r="P1152" s="17"/>
      <c r="Q1152" s="17"/>
    </row>
    <row r="1153" spans="2:17">
      <c r="B1153" s="15" t="str">
        <f t="shared" si="68"/>
        <v/>
      </c>
      <c r="C1153" s="16" t="str">
        <f>IFERROR(VLOOKUP(DATA!#REF!,DATA!#REF!,1,FALSE),"")</f>
        <v/>
      </c>
      <c r="D1153" s="16" t="str">
        <f>IFERROR(VLOOKUP(C1153,DATA!#REF!,2,FALSE),"")</f>
        <v/>
      </c>
      <c r="I1153" s="17"/>
      <c r="J1153" s="17"/>
      <c r="P1153" s="17"/>
      <c r="Q1153" s="17"/>
    </row>
    <row r="1154" spans="2:17">
      <c r="B1154" s="15" t="str">
        <f t="shared" si="68"/>
        <v/>
      </c>
      <c r="C1154" s="16" t="str">
        <f>IFERROR(VLOOKUP(DATA!#REF!,DATA!#REF!,1,FALSE),"")</f>
        <v/>
      </c>
      <c r="D1154" s="16" t="str">
        <f>IFERROR(VLOOKUP(C1154,DATA!#REF!,2,FALSE),"")</f>
        <v/>
      </c>
      <c r="I1154" s="17"/>
      <c r="J1154" s="17"/>
      <c r="P1154" s="17"/>
      <c r="Q1154" s="17"/>
    </row>
    <row r="1155" spans="2:17">
      <c r="B1155" s="15" t="str">
        <f t="shared" si="68"/>
        <v/>
      </c>
      <c r="C1155" s="16" t="str">
        <f>IFERROR(VLOOKUP(DATA!#REF!,DATA!#REF!,1,FALSE),"")</f>
        <v/>
      </c>
      <c r="D1155" s="16" t="str">
        <f>IFERROR(VLOOKUP(C1155,DATA!#REF!,2,FALSE),"")</f>
        <v/>
      </c>
      <c r="I1155" s="17"/>
      <c r="J1155" s="17"/>
      <c r="P1155" s="17"/>
      <c r="Q1155" s="17"/>
    </row>
    <row r="1156" spans="2:17">
      <c r="B1156" s="15" t="str">
        <f t="shared" si="68"/>
        <v/>
      </c>
      <c r="C1156" s="16" t="str">
        <f>IFERROR(VLOOKUP(DATA!#REF!,DATA!#REF!,1,FALSE),"")</f>
        <v/>
      </c>
      <c r="D1156" s="16" t="str">
        <f>IFERROR(VLOOKUP(C1156,DATA!#REF!,2,FALSE),"")</f>
        <v/>
      </c>
      <c r="I1156" s="17"/>
      <c r="J1156" s="17"/>
      <c r="P1156" s="17"/>
      <c r="Q1156" s="17"/>
    </row>
    <row r="1157" spans="2:17">
      <c r="B1157" s="15" t="str">
        <f t="shared" si="68"/>
        <v/>
      </c>
      <c r="C1157" s="16" t="str">
        <f>IFERROR(VLOOKUP(DATA!#REF!,DATA!#REF!,1,FALSE),"")</f>
        <v/>
      </c>
      <c r="D1157" s="16" t="str">
        <f>IFERROR(VLOOKUP(C1157,DATA!#REF!,2,FALSE),"")</f>
        <v/>
      </c>
      <c r="I1157" s="17"/>
      <c r="J1157" s="17"/>
      <c r="P1157" s="17"/>
      <c r="Q1157" s="17"/>
    </row>
    <row r="1158" spans="2:17">
      <c r="B1158" s="15" t="str">
        <f t="shared" si="68"/>
        <v/>
      </c>
      <c r="C1158" s="16" t="str">
        <f>IFERROR(VLOOKUP(DATA!#REF!,DATA!#REF!,1,FALSE),"")</f>
        <v/>
      </c>
      <c r="D1158" s="16" t="str">
        <f>IFERROR(VLOOKUP(C1158,DATA!#REF!,2,FALSE),"")</f>
        <v/>
      </c>
      <c r="I1158" s="17"/>
      <c r="J1158" s="17"/>
      <c r="P1158" s="17"/>
      <c r="Q1158" s="17"/>
    </row>
    <row r="1159" spans="2:17">
      <c r="B1159" s="15" t="str">
        <f t="shared" si="68"/>
        <v/>
      </c>
      <c r="C1159" s="16" t="str">
        <f>IFERROR(VLOOKUP(DATA!#REF!,DATA!#REF!,1,FALSE),"")</f>
        <v/>
      </c>
      <c r="D1159" s="16" t="str">
        <f>IFERROR(VLOOKUP(C1159,DATA!#REF!,2,FALSE),"")</f>
        <v/>
      </c>
      <c r="I1159" s="17"/>
      <c r="J1159" s="17"/>
      <c r="P1159" s="17"/>
      <c r="Q1159" s="17"/>
    </row>
    <row r="1160" spans="2:17">
      <c r="B1160" s="15" t="str">
        <f t="shared" si="68"/>
        <v/>
      </c>
      <c r="C1160" s="16" t="str">
        <f>IFERROR(VLOOKUP(DATA!#REF!,DATA!#REF!,1,FALSE),"")</f>
        <v/>
      </c>
      <c r="D1160" s="16" t="str">
        <f>IFERROR(VLOOKUP(C1160,DATA!#REF!,2,FALSE),"")</f>
        <v/>
      </c>
      <c r="I1160" s="17"/>
      <c r="J1160" s="17"/>
      <c r="P1160" s="17"/>
      <c r="Q1160" s="17"/>
    </row>
    <row r="1161" spans="2:17">
      <c r="B1161" s="15" t="str">
        <f t="shared" si="68"/>
        <v/>
      </c>
      <c r="C1161" s="16" t="str">
        <f>IFERROR(VLOOKUP(DATA!#REF!,DATA!#REF!,1,FALSE),"")</f>
        <v/>
      </c>
      <c r="D1161" s="16" t="str">
        <f>IFERROR(VLOOKUP(C1161,DATA!#REF!,2,FALSE),"")</f>
        <v/>
      </c>
      <c r="I1161" s="17"/>
      <c r="J1161" s="17"/>
      <c r="P1161" s="17"/>
      <c r="Q1161" s="17"/>
    </row>
    <row r="1162" spans="2:17">
      <c r="B1162" s="15" t="str">
        <f t="shared" si="68"/>
        <v/>
      </c>
      <c r="C1162" s="16" t="str">
        <f>IFERROR(VLOOKUP(DATA!#REF!,DATA!#REF!,1,FALSE),"")</f>
        <v/>
      </c>
      <c r="D1162" s="16" t="str">
        <f>IFERROR(VLOOKUP(C1162,DATA!#REF!,2,FALSE),"")</f>
        <v/>
      </c>
      <c r="I1162" s="17"/>
      <c r="J1162" s="17"/>
      <c r="P1162" s="17"/>
      <c r="Q1162" s="17"/>
    </row>
    <row r="1163" spans="2:17">
      <c r="B1163" s="15" t="str">
        <f t="shared" si="68"/>
        <v/>
      </c>
      <c r="C1163" s="16" t="str">
        <f>IFERROR(VLOOKUP(DATA!#REF!,DATA!#REF!,1,FALSE),"")</f>
        <v/>
      </c>
      <c r="D1163" s="16" t="str">
        <f>IFERROR(VLOOKUP(C1163,DATA!#REF!,2,FALSE),"")</f>
        <v/>
      </c>
      <c r="I1163" s="17"/>
      <c r="J1163" s="17"/>
      <c r="P1163" s="17"/>
      <c r="Q1163" s="17"/>
    </row>
    <row r="1164" spans="2:17">
      <c r="B1164" s="15" t="str">
        <f t="shared" si="68"/>
        <v/>
      </c>
      <c r="C1164" s="16" t="str">
        <f>IFERROR(VLOOKUP(DATA!#REF!,DATA!#REF!,1,FALSE),"")</f>
        <v/>
      </c>
      <c r="D1164" s="16" t="str">
        <f>IFERROR(VLOOKUP(C1164,DATA!#REF!,2,FALSE),"")</f>
        <v/>
      </c>
      <c r="I1164" s="17"/>
      <c r="J1164" s="17"/>
      <c r="P1164" s="17"/>
      <c r="Q1164" s="17"/>
    </row>
    <row r="1165" spans="2:17">
      <c r="B1165" s="15" t="str">
        <f t="shared" si="68"/>
        <v/>
      </c>
      <c r="C1165" s="16" t="str">
        <f>IFERROR(VLOOKUP(DATA!#REF!,DATA!#REF!,1,FALSE),"")</f>
        <v/>
      </c>
      <c r="D1165" s="16" t="str">
        <f>IFERROR(VLOOKUP(C1165,DATA!#REF!,2,FALSE),"")</f>
        <v/>
      </c>
      <c r="I1165" s="17"/>
      <c r="J1165" s="17"/>
      <c r="P1165" s="17"/>
      <c r="Q1165" s="17"/>
    </row>
    <row r="1166" spans="2:17">
      <c r="B1166" s="15" t="str">
        <f t="shared" si="68"/>
        <v/>
      </c>
      <c r="C1166" s="16" t="str">
        <f>IFERROR(VLOOKUP(DATA!#REF!,DATA!#REF!,1,FALSE),"")</f>
        <v/>
      </c>
      <c r="D1166" s="16" t="str">
        <f>IFERROR(VLOOKUP(C1166,DATA!#REF!,2,FALSE),"")</f>
        <v/>
      </c>
      <c r="I1166" s="17"/>
      <c r="J1166" s="17"/>
      <c r="P1166" s="17"/>
      <c r="Q1166" s="17"/>
    </row>
    <row r="1167" spans="2:17">
      <c r="B1167" s="15" t="str">
        <f t="shared" si="68"/>
        <v/>
      </c>
      <c r="C1167" s="16" t="str">
        <f>IFERROR(VLOOKUP(DATA!#REF!,DATA!#REF!,1,FALSE),"")</f>
        <v/>
      </c>
      <c r="D1167" s="16" t="str">
        <f>IFERROR(VLOOKUP(C1167,DATA!#REF!,2,FALSE),"")</f>
        <v/>
      </c>
      <c r="I1167" s="17"/>
      <c r="J1167" s="17"/>
      <c r="P1167" s="17"/>
      <c r="Q1167" s="17"/>
    </row>
    <row r="1168" spans="2:17">
      <c r="B1168" s="15" t="str">
        <f t="shared" si="68"/>
        <v/>
      </c>
      <c r="C1168" s="16" t="str">
        <f>IFERROR(VLOOKUP(DATA!#REF!,DATA!#REF!,1,FALSE),"")</f>
        <v/>
      </c>
      <c r="D1168" s="16" t="str">
        <f>IFERROR(VLOOKUP(C1168,DATA!#REF!,2,FALSE),"")</f>
        <v/>
      </c>
      <c r="I1168" s="17"/>
      <c r="J1168" s="17"/>
      <c r="P1168" s="17"/>
      <c r="Q1168" s="17"/>
    </row>
    <row r="1169" spans="2:17">
      <c r="B1169" s="15" t="str">
        <f t="shared" si="68"/>
        <v/>
      </c>
      <c r="C1169" s="16" t="str">
        <f>IFERROR(VLOOKUP(DATA!#REF!,DATA!#REF!,1,FALSE),"")</f>
        <v/>
      </c>
      <c r="D1169" s="16" t="str">
        <f>IFERROR(VLOOKUP(C1169,DATA!#REF!,2,FALSE),"")</f>
        <v/>
      </c>
      <c r="I1169" s="17"/>
      <c r="J1169" s="17"/>
      <c r="P1169" s="17"/>
      <c r="Q1169" s="17"/>
    </row>
    <row r="1170" spans="2:17">
      <c r="B1170" s="15" t="str">
        <f t="shared" si="68"/>
        <v/>
      </c>
      <c r="C1170" s="16" t="str">
        <f>IFERROR(VLOOKUP(DATA!#REF!,DATA!#REF!,1,FALSE),"")</f>
        <v/>
      </c>
      <c r="D1170" s="16" t="str">
        <f>IFERROR(VLOOKUP(C1170,DATA!#REF!,2,FALSE),"")</f>
        <v/>
      </c>
      <c r="I1170" s="17"/>
      <c r="J1170" s="17"/>
      <c r="P1170" s="17"/>
      <c r="Q1170" s="17"/>
    </row>
    <row r="1171" spans="2:17">
      <c r="B1171" s="15" t="str">
        <f t="shared" si="68"/>
        <v/>
      </c>
      <c r="C1171" s="16" t="str">
        <f>IFERROR(VLOOKUP(DATA!#REF!,DATA!#REF!,1,FALSE),"")</f>
        <v/>
      </c>
      <c r="D1171" s="16" t="str">
        <f>IFERROR(VLOOKUP(C1171,DATA!#REF!,2,FALSE),"")</f>
        <v/>
      </c>
      <c r="I1171" s="17"/>
      <c r="J1171" s="17"/>
      <c r="P1171" s="17"/>
      <c r="Q1171" s="17"/>
    </row>
    <row r="1172" spans="2:17">
      <c r="B1172" s="15" t="str">
        <f t="shared" si="68"/>
        <v/>
      </c>
      <c r="C1172" s="16" t="str">
        <f>IFERROR(VLOOKUP(DATA!#REF!,DATA!#REF!,1,FALSE),"")</f>
        <v/>
      </c>
      <c r="D1172" s="16" t="str">
        <f>IFERROR(VLOOKUP(C1172,DATA!#REF!,2,FALSE),"")</f>
        <v/>
      </c>
      <c r="I1172" s="17"/>
      <c r="J1172" s="17"/>
      <c r="P1172" s="17"/>
      <c r="Q1172" s="17"/>
    </row>
    <row r="1173" spans="2:17">
      <c r="B1173" s="15" t="str">
        <f t="shared" si="68"/>
        <v/>
      </c>
      <c r="C1173" s="16" t="str">
        <f>IFERROR(VLOOKUP(DATA!#REF!,DATA!#REF!,1,FALSE),"")</f>
        <v/>
      </c>
      <c r="D1173" s="16" t="str">
        <f>IFERROR(VLOOKUP(C1173,DATA!#REF!,2,FALSE),"")</f>
        <v/>
      </c>
      <c r="I1173" s="17"/>
      <c r="J1173" s="17"/>
      <c r="P1173" s="17"/>
      <c r="Q1173" s="17"/>
    </row>
    <row r="1174" spans="2:17">
      <c r="B1174" s="15" t="str">
        <f t="shared" si="68"/>
        <v/>
      </c>
      <c r="C1174" s="16" t="str">
        <f>IFERROR(VLOOKUP(DATA!#REF!,DATA!#REF!,1,FALSE),"")</f>
        <v/>
      </c>
      <c r="D1174" s="16" t="str">
        <f>IFERROR(VLOOKUP(C1174,DATA!#REF!,2,FALSE),"")</f>
        <v/>
      </c>
      <c r="I1174" s="17"/>
      <c r="J1174" s="17"/>
      <c r="P1174" s="17"/>
      <c r="Q1174" s="17"/>
    </row>
    <row r="1175" spans="2:17">
      <c r="B1175" s="15" t="str">
        <f t="shared" si="68"/>
        <v/>
      </c>
      <c r="C1175" s="16" t="str">
        <f>IFERROR(VLOOKUP(DATA!#REF!,DATA!#REF!,1,FALSE),"")</f>
        <v/>
      </c>
      <c r="D1175" s="16" t="str">
        <f>IFERROR(VLOOKUP(C1175,DATA!#REF!,2,FALSE),"")</f>
        <v/>
      </c>
      <c r="I1175" s="17"/>
      <c r="J1175" s="17"/>
      <c r="P1175" s="17"/>
      <c r="Q1175" s="17"/>
    </row>
    <row r="1176" spans="2:17">
      <c r="B1176" s="15" t="str">
        <f t="shared" si="68"/>
        <v/>
      </c>
      <c r="C1176" s="16" t="str">
        <f>IFERROR(VLOOKUP(DATA!#REF!,DATA!#REF!,1,FALSE),"")</f>
        <v/>
      </c>
      <c r="D1176" s="16" t="str">
        <f>IFERROR(VLOOKUP(C1176,DATA!#REF!,2,FALSE),"")</f>
        <v/>
      </c>
      <c r="I1176" s="17"/>
      <c r="J1176" s="17"/>
      <c r="P1176" s="17"/>
      <c r="Q1176" s="17"/>
    </row>
    <row r="1177" spans="2:17">
      <c r="B1177" s="15" t="str">
        <f t="shared" si="68"/>
        <v/>
      </c>
      <c r="C1177" s="16" t="str">
        <f>IFERROR(VLOOKUP(DATA!#REF!,DATA!#REF!,1,FALSE),"")</f>
        <v/>
      </c>
      <c r="D1177" s="16" t="str">
        <f>IFERROR(VLOOKUP(C1177,DATA!#REF!,2,FALSE),"")</f>
        <v/>
      </c>
      <c r="I1177" s="17"/>
      <c r="J1177" s="17"/>
      <c r="P1177" s="17"/>
      <c r="Q1177" s="17"/>
    </row>
    <row r="1178" spans="2:17">
      <c r="B1178" s="15" t="str">
        <f t="shared" si="68"/>
        <v/>
      </c>
      <c r="C1178" s="16" t="str">
        <f>IFERROR(VLOOKUP(DATA!#REF!,DATA!#REF!,1,FALSE),"")</f>
        <v/>
      </c>
      <c r="D1178" s="16" t="str">
        <f>IFERROR(VLOOKUP(C1178,DATA!#REF!,2,FALSE),"")</f>
        <v/>
      </c>
      <c r="I1178" s="17"/>
      <c r="J1178" s="17"/>
      <c r="P1178" s="17"/>
      <c r="Q1178" s="17"/>
    </row>
    <row r="1179" spans="2:17">
      <c r="B1179" s="15" t="str">
        <f t="shared" si="68"/>
        <v/>
      </c>
      <c r="C1179" s="16" t="str">
        <f>IFERROR(VLOOKUP(DATA!#REF!,DATA!#REF!,1,FALSE),"")</f>
        <v/>
      </c>
      <c r="D1179" s="16" t="str">
        <f>IFERROR(VLOOKUP(C1179,DATA!#REF!,2,FALSE),"")</f>
        <v/>
      </c>
      <c r="I1179" s="17"/>
      <c r="J1179" s="17"/>
      <c r="P1179" s="17"/>
      <c r="Q1179" s="17"/>
    </row>
    <row r="1180" spans="2:17">
      <c r="B1180" s="15" t="str">
        <f t="shared" si="68"/>
        <v/>
      </c>
      <c r="C1180" s="16" t="str">
        <f>IFERROR(VLOOKUP(DATA!#REF!,DATA!#REF!,1,FALSE),"")</f>
        <v/>
      </c>
      <c r="D1180" s="16" t="str">
        <f>IFERROR(VLOOKUP(C1180,DATA!#REF!,2,FALSE),"")</f>
        <v/>
      </c>
      <c r="I1180" s="17"/>
      <c r="J1180" s="17"/>
      <c r="P1180" s="17"/>
      <c r="Q1180" s="17"/>
    </row>
    <row r="1181" spans="2:17">
      <c r="B1181" s="15" t="str">
        <f t="shared" si="68"/>
        <v/>
      </c>
      <c r="C1181" s="16" t="str">
        <f>IFERROR(VLOOKUP(DATA!#REF!,DATA!#REF!,1,FALSE),"")</f>
        <v/>
      </c>
      <c r="D1181" s="16" t="str">
        <f>IFERROR(VLOOKUP(C1181,DATA!#REF!,2,FALSE),"")</f>
        <v/>
      </c>
      <c r="I1181" s="17"/>
      <c r="J1181" s="17"/>
      <c r="P1181" s="17"/>
      <c r="Q1181" s="17"/>
    </row>
    <row r="1182" spans="2:17">
      <c r="B1182" s="15" t="str">
        <f t="shared" si="68"/>
        <v/>
      </c>
      <c r="C1182" s="16" t="str">
        <f>IFERROR(VLOOKUP(DATA!#REF!,DATA!#REF!,1,FALSE),"")</f>
        <v/>
      </c>
      <c r="D1182" s="16" t="str">
        <f>IFERROR(VLOOKUP(C1182,DATA!#REF!,2,FALSE),"")</f>
        <v/>
      </c>
      <c r="I1182" s="17"/>
      <c r="J1182" s="17"/>
      <c r="P1182" s="17"/>
      <c r="Q1182" s="17"/>
    </row>
    <row r="1183" spans="2:17">
      <c r="B1183" s="15" t="str">
        <f t="shared" si="68"/>
        <v/>
      </c>
      <c r="C1183" s="16" t="str">
        <f>IFERROR(VLOOKUP(DATA!#REF!,DATA!#REF!,1,FALSE),"")</f>
        <v/>
      </c>
      <c r="D1183" s="16" t="str">
        <f>IFERROR(VLOOKUP(C1183,DATA!#REF!,2,FALSE),"")</f>
        <v/>
      </c>
      <c r="I1183" s="17"/>
      <c r="J1183" s="17"/>
      <c r="P1183" s="17"/>
      <c r="Q1183" s="17"/>
    </row>
    <row r="1184" spans="2:17">
      <c r="B1184" s="15" t="str">
        <f t="shared" si="68"/>
        <v/>
      </c>
      <c r="C1184" s="16" t="str">
        <f>IFERROR(VLOOKUP(DATA!#REF!,DATA!#REF!,1,FALSE),"")</f>
        <v/>
      </c>
      <c r="D1184" s="16" t="str">
        <f>IFERROR(VLOOKUP(C1184,DATA!#REF!,2,FALSE),"")</f>
        <v/>
      </c>
      <c r="I1184" s="17"/>
      <c r="J1184" s="17"/>
      <c r="P1184" s="17"/>
      <c r="Q1184" s="17"/>
    </row>
    <row r="1185" spans="2:17">
      <c r="B1185" s="15" t="str">
        <f t="shared" si="68"/>
        <v/>
      </c>
      <c r="C1185" s="16" t="str">
        <f>IFERROR(VLOOKUP(DATA!#REF!,DATA!#REF!,1,FALSE),"")</f>
        <v/>
      </c>
      <c r="D1185" s="16" t="str">
        <f>IFERROR(VLOOKUP(C1185,DATA!#REF!,2,FALSE),"")</f>
        <v/>
      </c>
      <c r="I1185" s="17"/>
      <c r="J1185" s="17"/>
      <c r="P1185" s="17"/>
      <c r="Q1185" s="17"/>
    </row>
    <row r="1186" spans="2:17">
      <c r="B1186" s="15" t="str">
        <f t="shared" si="68"/>
        <v/>
      </c>
      <c r="C1186" s="16" t="str">
        <f>IFERROR(VLOOKUP(DATA!#REF!,DATA!#REF!,1,FALSE),"")</f>
        <v/>
      </c>
      <c r="D1186" s="16" t="str">
        <f>IFERROR(VLOOKUP(C1186,DATA!#REF!,2,FALSE),"")</f>
        <v/>
      </c>
      <c r="I1186" s="17"/>
      <c r="J1186" s="17"/>
      <c r="P1186" s="17"/>
      <c r="Q1186" s="17"/>
    </row>
    <row r="1187" spans="2:17">
      <c r="B1187" s="15" t="str">
        <f t="shared" si="68"/>
        <v/>
      </c>
      <c r="C1187" s="16" t="str">
        <f>IFERROR(VLOOKUP(DATA!#REF!,DATA!#REF!,1,FALSE),"")</f>
        <v/>
      </c>
      <c r="D1187" s="16" t="str">
        <f>IFERROR(VLOOKUP(C1187,DATA!#REF!,2,FALSE),"")</f>
        <v/>
      </c>
      <c r="I1187" s="17"/>
      <c r="J1187" s="17"/>
      <c r="P1187" s="17"/>
      <c r="Q1187" s="17"/>
    </row>
    <row r="1188" spans="2:17">
      <c r="B1188" s="15" t="str">
        <f t="shared" si="68"/>
        <v/>
      </c>
      <c r="C1188" s="16" t="str">
        <f>IFERROR(VLOOKUP(DATA!#REF!,DATA!#REF!,1,FALSE),"")</f>
        <v/>
      </c>
      <c r="D1188" s="16" t="str">
        <f>IFERROR(VLOOKUP(C1188,DATA!#REF!,2,FALSE),"")</f>
        <v/>
      </c>
      <c r="I1188" s="17"/>
      <c r="J1188" s="17"/>
      <c r="P1188" s="17"/>
      <c r="Q1188" s="17"/>
    </row>
    <row r="1189" spans="2:17">
      <c r="B1189" s="15" t="str">
        <f t="shared" si="68"/>
        <v/>
      </c>
      <c r="C1189" s="16" t="str">
        <f>IFERROR(VLOOKUP(DATA!#REF!,DATA!#REF!,1,FALSE),"")</f>
        <v/>
      </c>
      <c r="D1189" s="16" t="str">
        <f>IFERROR(VLOOKUP(C1189,DATA!#REF!,2,FALSE),"")</f>
        <v/>
      </c>
      <c r="I1189" s="17"/>
      <c r="J1189" s="17"/>
      <c r="P1189" s="17"/>
      <c r="Q1189" s="17"/>
    </row>
    <row r="1190" spans="2:17">
      <c r="B1190" s="15" t="str">
        <f t="shared" si="68"/>
        <v/>
      </c>
      <c r="C1190" s="16" t="str">
        <f>IFERROR(VLOOKUP(DATA!#REF!,DATA!#REF!,1,FALSE),"")</f>
        <v/>
      </c>
      <c r="D1190" s="16" t="str">
        <f>IFERROR(VLOOKUP(C1190,DATA!#REF!,2,FALSE),"")</f>
        <v/>
      </c>
      <c r="I1190" s="17"/>
      <c r="J1190" s="17"/>
      <c r="P1190" s="17"/>
      <c r="Q1190" s="17"/>
    </row>
    <row r="1191" spans="2:17">
      <c r="B1191" s="15" t="str">
        <f t="shared" si="68"/>
        <v/>
      </c>
      <c r="C1191" s="16" t="str">
        <f>IFERROR(VLOOKUP(DATA!#REF!,DATA!#REF!,1,FALSE),"")</f>
        <v/>
      </c>
      <c r="D1191" s="16" t="str">
        <f>IFERROR(VLOOKUP(C1191,DATA!#REF!,2,FALSE),"")</f>
        <v/>
      </c>
      <c r="I1191" s="17"/>
      <c r="J1191" s="17"/>
      <c r="P1191" s="17"/>
      <c r="Q1191" s="17"/>
    </row>
    <row r="1192" spans="2:17">
      <c r="B1192" s="15" t="str">
        <f t="shared" si="68"/>
        <v/>
      </c>
      <c r="C1192" s="16" t="str">
        <f>IFERROR(VLOOKUP(DATA!#REF!,DATA!#REF!,1,FALSE),"")</f>
        <v/>
      </c>
      <c r="D1192" s="16" t="str">
        <f>IFERROR(VLOOKUP(C1192,DATA!#REF!,2,FALSE),"")</f>
        <v/>
      </c>
      <c r="I1192" s="17"/>
      <c r="J1192" s="17"/>
      <c r="P1192" s="17"/>
      <c r="Q1192" s="17"/>
    </row>
    <row r="1193" spans="2:17">
      <c r="B1193" s="15" t="str">
        <f t="shared" si="68"/>
        <v/>
      </c>
      <c r="C1193" s="16" t="str">
        <f>IFERROR(VLOOKUP(DATA!#REF!,DATA!#REF!,1,FALSE),"")</f>
        <v/>
      </c>
      <c r="D1193" s="16" t="str">
        <f>IFERROR(VLOOKUP(C1193,DATA!#REF!,2,FALSE),"")</f>
        <v/>
      </c>
      <c r="I1193" s="17"/>
      <c r="J1193" s="17"/>
      <c r="P1193" s="17"/>
      <c r="Q1193" s="17"/>
    </row>
    <row r="1194" spans="2:17">
      <c r="B1194" s="15" t="str">
        <f t="shared" si="68"/>
        <v/>
      </c>
      <c r="C1194" s="16" t="str">
        <f>IFERROR(VLOOKUP(DATA!#REF!,DATA!#REF!,1,FALSE),"")</f>
        <v/>
      </c>
      <c r="D1194" s="16" t="str">
        <f>IFERROR(VLOOKUP(C1194,DATA!#REF!,2,FALSE),"")</f>
        <v/>
      </c>
      <c r="I1194" s="17"/>
      <c r="J1194" s="17"/>
      <c r="P1194" s="17"/>
      <c r="Q1194" s="17"/>
    </row>
    <row r="1195" spans="2:17">
      <c r="B1195" s="15" t="str">
        <f t="shared" si="68"/>
        <v/>
      </c>
      <c r="C1195" s="16" t="str">
        <f>IFERROR(VLOOKUP(DATA!#REF!,DATA!#REF!,1,FALSE),"")</f>
        <v/>
      </c>
      <c r="D1195" s="16" t="str">
        <f>IFERROR(VLOOKUP(C1195,DATA!#REF!,2,FALSE),"")</f>
        <v/>
      </c>
      <c r="I1195" s="17"/>
      <c r="J1195" s="17"/>
      <c r="P1195" s="17"/>
      <c r="Q1195" s="17"/>
    </row>
    <row r="1196" spans="2:17">
      <c r="B1196" s="15" t="str">
        <f t="shared" si="68"/>
        <v/>
      </c>
      <c r="C1196" s="16" t="str">
        <f>IFERROR(VLOOKUP(DATA!#REF!,DATA!#REF!,1,FALSE),"")</f>
        <v/>
      </c>
      <c r="D1196" s="16" t="str">
        <f>IFERROR(VLOOKUP(C1196,DATA!#REF!,2,FALSE),"")</f>
        <v/>
      </c>
      <c r="I1196" s="17"/>
      <c r="J1196" s="17"/>
      <c r="P1196" s="17"/>
      <c r="Q1196" s="17"/>
    </row>
    <row r="1197" spans="2:17">
      <c r="B1197" s="15" t="str">
        <f t="shared" si="68"/>
        <v/>
      </c>
      <c r="C1197" s="16" t="str">
        <f>IFERROR(VLOOKUP(DATA!#REF!,DATA!#REF!,1,FALSE),"")</f>
        <v/>
      </c>
      <c r="D1197" s="16" t="str">
        <f>IFERROR(VLOOKUP(C1197,DATA!#REF!,2,FALSE),"")</f>
        <v/>
      </c>
      <c r="I1197" s="17"/>
      <c r="J1197" s="17"/>
      <c r="P1197" s="17"/>
      <c r="Q1197" s="17"/>
    </row>
    <row r="1198" spans="2:17">
      <c r="B1198" s="15" t="str">
        <f t="shared" si="68"/>
        <v/>
      </c>
      <c r="C1198" s="16" t="str">
        <f>IFERROR(VLOOKUP(DATA!#REF!,DATA!#REF!,1,FALSE),"")</f>
        <v/>
      </c>
      <c r="D1198" s="16" t="str">
        <f>IFERROR(VLOOKUP(C1198,DATA!#REF!,2,FALSE),"")</f>
        <v/>
      </c>
      <c r="I1198" s="17"/>
      <c r="J1198" s="17"/>
      <c r="P1198" s="17"/>
      <c r="Q1198" s="17"/>
    </row>
    <row r="1199" spans="2:17">
      <c r="B1199" s="15" t="str">
        <f t="shared" si="68"/>
        <v/>
      </c>
      <c r="C1199" s="16" t="str">
        <f>IFERROR(VLOOKUP(DATA!#REF!,DATA!#REF!,1,FALSE),"")</f>
        <v/>
      </c>
      <c r="D1199" s="16" t="str">
        <f>IFERROR(VLOOKUP(C1199,DATA!#REF!,2,FALSE),"")</f>
        <v/>
      </c>
      <c r="I1199" s="17"/>
      <c r="J1199" s="17"/>
      <c r="P1199" s="17"/>
      <c r="Q1199" s="17"/>
    </row>
    <row r="1200" spans="2:17">
      <c r="B1200" s="15" t="str">
        <f t="shared" si="68"/>
        <v/>
      </c>
      <c r="C1200" s="16" t="str">
        <f>IFERROR(VLOOKUP(DATA!#REF!,DATA!#REF!,1,FALSE),"")</f>
        <v/>
      </c>
      <c r="D1200" s="16" t="str">
        <f>IFERROR(VLOOKUP(C1200,DATA!#REF!,2,FALSE),"")</f>
        <v/>
      </c>
      <c r="I1200" s="17"/>
      <c r="J1200" s="17"/>
      <c r="P1200" s="17"/>
      <c r="Q1200" s="17"/>
    </row>
    <row r="1201" spans="2:17">
      <c r="B1201" s="15" t="str">
        <f t="shared" si="68"/>
        <v/>
      </c>
      <c r="C1201" s="16" t="str">
        <f>IFERROR(VLOOKUP(DATA!#REF!,DATA!#REF!,1,FALSE),"")</f>
        <v/>
      </c>
      <c r="D1201" s="16" t="str">
        <f>IFERROR(VLOOKUP(C1201,DATA!#REF!,2,FALSE),"")</f>
        <v/>
      </c>
      <c r="I1201" s="17"/>
      <c r="J1201" s="17"/>
      <c r="P1201" s="17"/>
      <c r="Q1201" s="17"/>
    </row>
    <row r="1202" spans="2:17">
      <c r="B1202" s="15" t="str">
        <f t="shared" si="68"/>
        <v/>
      </c>
      <c r="C1202" s="16" t="str">
        <f>IFERROR(VLOOKUP(DATA!#REF!,DATA!#REF!,1,FALSE),"")</f>
        <v/>
      </c>
      <c r="D1202" s="16" t="str">
        <f>IFERROR(VLOOKUP(C1202,DATA!#REF!,2,FALSE),"")</f>
        <v/>
      </c>
      <c r="I1202" s="17"/>
      <c r="J1202" s="17"/>
      <c r="P1202" s="17"/>
      <c r="Q1202" s="17"/>
    </row>
    <row r="1203" spans="2:17">
      <c r="B1203" s="15" t="str">
        <f t="shared" si="68"/>
        <v/>
      </c>
      <c r="C1203" s="16" t="str">
        <f>IFERROR(VLOOKUP(DATA!#REF!,DATA!#REF!,1,FALSE),"")</f>
        <v/>
      </c>
      <c r="D1203" s="16" t="str">
        <f>IFERROR(VLOOKUP(C1203,DATA!#REF!,2,FALSE),"")</f>
        <v/>
      </c>
      <c r="I1203" s="17"/>
      <c r="J1203" s="17"/>
      <c r="P1203" s="17"/>
      <c r="Q1203" s="17"/>
    </row>
    <row r="1204" spans="2:17">
      <c r="B1204" s="15" t="str">
        <f t="shared" si="68"/>
        <v/>
      </c>
      <c r="C1204" s="16" t="str">
        <f>IFERROR(VLOOKUP(DATA!#REF!,DATA!#REF!,1,FALSE),"")</f>
        <v/>
      </c>
      <c r="D1204" s="16" t="str">
        <f>IFERROR(VLOOKUP(C1204,DATA!#REF!,2,FALSE),"")</f>
        <v/>
      </c>
      <c r="I1204" s="17"/>
      <c r="J1204" s="17"/>
      <c r="P1204" s="17"/>
      <c r="Q1204" s="17"/>
    </row>
    <row r="1205" spans="2:17">
      <c r="B1205" s="15" t="str">
        <f t="shared" si="68"/>
        <v/>
      </c>
      <c r="C1205" s="16" t="str">
        <f>IFERROR(VLOOKUP(DATA!#REF!,DATA!#REF!,1,FALSE),"")</f>
        <v/>
      </c>
      <c r="D1205" s="16" t="str">
        <f>IFERROR(VLOOKUP(C1205,DATA!#REF!,2,FALSE),"")</f>
        <v/>
      </c>
      <c r="I1205" s="17"/>
      <c r="J1205" s="17"/>
      <c r="P1205" s="17"/>
      <c r="Q1205" s="17"/>
    </row>
    <row r="1206" spans="2:17">
      <c r="B1206" s="15" t="str">
        <f t="shared" si="68"/>
        <v/>
      </c>
      <c r="C1206" s="16" t="str">
        <f>IFERROR(VLOOKUP(DATA!#REF!,DATA!#REF!,1,FALSE),"")</f>
        <v/>
      </c>
      <c r="D1206" s="16" t="str">
        <f>IFERROR(VLOOKUP(C1206,DATA!#REF!,2,FALSE),"")</f>
        <v/>
      </c>
      <c r="I1206" s="17"/>
      <c r="J1206" s="17"/>
      <c r="P1206" s="17"/>
      <c r="Q1206" s="17"/>
    </row>
    <row r="1207" spans="2:17">
      <c r="B1207" s="15" t="str">
        <f t="shared" ref="B1207:B1270" si="69">+IF(C1207="","",ROW()-5)</f>
        <v/>
      </c>
      <c r="C1207" s="16" t="str">
        <f>IFERROR(VLOOKUP(DATA!#REF!,DATA!#REF!,1,FALSE),"")</f>
        <v/>
      </c>
      <c r="D1207" s="16" t="str">
        <f>IFERROR(VLOOKUP(C1207,DATA!#REF!,2,FALSE),"")</f>
        <v/>
      </c>
      <c r="I1207" s="17"/>
      <c r="J1207" s="17"/>
      <c r="P1207" s="17"/>
      <c r="Q1207" s="17"/>
    </row>
    <row r="1208" spans="2:17">
      <c r="B1208" s="15" t="str">
        <f t="shared" si="69"/>
        <v/>
      </c>
      <c r="C1208" s="16" t="str">
        <f>IFERROR(VLOOKUP(DATA!#REF!,DATA!#REF!,1,FALSE),"")</f>
        <v/>
      </c>
      <c r="D1208" s="16" t="str">
        <f>IFERROR(VLOOKUP(C1208,DATA!#REF!,2,FALSE),"")</f>
        <v/>
      </c>
      <c r="I1208" s="17"/>
      <c r="J1208" s="17"/>
      <c r="P1208" s="17"/>
      <c r="Q1208" s="17"/>
    </row>
    <row r="1209" spans="2:17">
      <c r="B1209" s="15" t="str">
        <f t="shared" si="69"/>
        <v/>
      </c>
      <c r="C1209" s="16" t="str">
        <f>IFERROR(VLOOKUP(DATA!#REF!,DATA!#REF!,1,FALSE),"")</f>
        <v/>
      </c>
      <c r="D1209" s="16" t="str">
        <f>IFERROR(VLOOKUP(C1209,DATA!#REF!,2,FALSE),"")</f>
        <v/>
      </c>
      <c r="I1209" s="17"/>
      <c r="J1209" s="17"/>
      <c r="P1209" s="17"/>
      <c r="Q1209" s="17"/>
    </row>
    <row r="1210" spans="2:17">
      <c r="B1210" s="15" t="str">
        <f t="shared" si="69"/>
        <v/>
      </c>
      <c r="C1210" s="16" t="str">
        <f>IFERROR(VLOOKUP(DATA!#REF!,DATA!#REF!,1,FALSE),"")</f>
        <v/>
      </c>
      <c r="D1210" s="16" t="str">
        <f>IFERROR(VLOOKUP(C1210,DATA!#REF!,2,FALSE),"")</f>
        <v/>
      </c>
      <c r="I1210" s="17"/>
      <c r="J1210" s="17"/>
      <c r="P1210" s="17"/>
      <c r="Q1210" s="17"/>
    </row>
    <row r="1211" spans="2:17">
      <c r="B1211" s="15" t="str">
        <f t="shared" si="69"/>
        <v/>
      </c>
      <c r="C1211" s="16" t="str">
        <f>IFERROR(VLOOKUP(DATA!#REF!,DATA!#REF!,1,FALSE),"")</f>
        <v/>
      </c>
      <c r="D1211" s="16" t="str">
        <f>IFERROR(VLOOKUP(C1211,DATA!#REF!,2,FALSE),"")</f>
        <v/>
      </c>
      <c r="I1211" s="17"/>
      <c r="J1211" s="17"/>
      <c r="P1211" s="17"/>
      <c r="Q1211" s="17"/>
    </row>
    <row r="1212" spans="2:17">
      <c r="B1212" s="15" t="str">
        <f t="shared" si="69"/>
        <v/>
      </c>
      <c r="C1212" s="16" t="str">
        <f>IFERROR(VLOOKUP(DATA!#REF!,DATA!#REF!,1,FALSE),"")</f>
        <v/>
      </c>
      <c r="D1212" s="16" t="str">
        <f>IFERROR(VLOOKUP(C1212,DATA!#REF!,2,FALSE),"")</f>
        <v/>
      </c>
      <c r="I1212" s="17"/>
      <c r="J1212" s="17"/>
      <c r="P1212" s="17"/>
      <c r="Q1212" s="17"/>
    </row>
    <row r="1213" spans="2:17">
      <c r="B1213" s="15" t="str">
        <f t="shared" si="69"/>
        <v/>
      </c>
      <c r="C1213" s="16" t="str">
        <f>IFERROR(VLOOKUP(DATA!#REF!,DATA!#REF!,1,FALSE),"")</f>
        <v/>
      </c>
      <c r="D1213" s="16" t="str">
        <f>IFERROR(VLOOKUP(C1213,DATA!#REF!,2,FALSE),"")</f>
        <v/>
      </c>
      <c r="I1213" s="17"/>
      <c r="J1213" s="17"/>
      <c r="P1213" s="17"/>
      <c r="Q1213" s="17"/>
    </row>
    <row r="1214" spans="2:17">
      <c r="B1214" s="15" t="str">
        <f t="shared" si="69"/>
        <v/>
      </c>
      <c r="C1214" s="16" t="str">
        <f>IFERROR(VLOOKUP(DATA!#REF!,DATA!#REF!,1,FALSE),"")</f>
        <v/>
      </c>
      <c r="D1214" s="16" t="str">
        <f>IFERROR(VLOOKUP(C1214,DATA!#REF!,2,FALSE),"")</f>
        <v/>
      </c>
      <c r="I1214" s="17"/>
      <c r="J1214" s="17"/>
      <c r="P1214" s="17"/>
      <c r="Q1214" s="17"/>
    </row>
    <row r="1215" spans="2:17">
      <c r="B1215" s="15" t="str">
        <f t="shared" si="69"/>
        <v/>
      </c>
      <c r="C1215" s="16" t="str">
        <f>IFERROR(VLOOKUP(DATA!#REF!,DATA!#REF!,1,FALSE),"")</f>
        <v/>
      </c>
      <c r="D1215" s="16" t="str">
        <f>IFERROR(VLOOKUP(C1215,DATA!#REF!,2,FALSE),"")</f>
        <v/>
      </c>
      <c r="I1215" s="17"/>
      <c r="J1215" s="17"/>
      <c r="P1215" s="17"/>
      <c r="Q1215" s="17"/>
    </row>
    <row r="1216" spans="2:17">
      <c r="B1216" s="15" t="str">
        <f t="shared" si="69"/>
        <v/>
      </c>
      <c r="C1216" s="16" t="str">
        <f>IFERROR(VLOOKUP(DATA!#REF!,DATA!#REF!,1,FALSE),"")</f>
        <v/>
      </c>
      <c r="D1216" s="16" t="str">
        <f>IFERROR(VLOOKUP(C1216,DATA!#REF!,2,FALSE),"")</f>
        <v/>
      </c>
      <c r="I1216" s="17"/>
      <c r="J1216" s="17"/>
      <c r="P1216" s="17"/>
      <c r="Q1216" s="17"/>
    </row>
    <row r="1217" spans="2:17">
      <c r="B1217" s="15" t="str">
        <f t="shared" si="69"/>
        <v/>
      </c>
      <c r="C1217" s="16" t="str">
        <f>IFERROR(VLOOKUP(DATA!#REF!,DATA!#REF!,1,FALSE),"")</f>
        <v/>
      </c>
      <c r="D1217" s="16" t="str">
        <f>IFERROR(VLOOKUP(C1217,DATA!#REF!,2,FALSE),"")</f>
        <v/>
      </c>
      <c r="I1217" s="17"/>
      <c r="J1217" s="17"/>
      <c r="P1217" s="17"/>
      <c r="Q1217" s="17"/>
    </row>
    <row r="1218" spans="2:17">
      <c r="B1218" s="15" t="str">
        <f t="shared" si="69"/>
        <v/>
      </c>
      <c r="C1218" s="16" t="str">
        <f>IFERROR(VLOOKUP(DATA!#REF!,DATA!#REF!,1,FALSE),"")</f>
        <v/>
      </c>
      <c r="D1218" s="16" t="str">
        <f>IFERROR(VLOOKUP(C1218,DATA!#REF!,2,FALSE),"")</f>
        <v/>
      </c>
      <c r="I1218" s="17"/>
      <c r="J1218" s="17"/>
      <c r="P1218" s="17"/>
      <c r="Q1218" s="17"/>
    </row>
    <row r="1219" spans="2:17">
      <c r="B1219" s="15" t="str">
        <f t="shared" si="69"/>
        <v/>
      </c>
      <c r="C1219" s="16" t="str">
        <f>IFERROR(VLOOKUP(DATA!#REF!,DATA!#REF!,1,FALSE),"")</f>
        <v/>
      </c>
      <c r="D1219" s="16" t="str">
        <f>IFERROR(VLOOKUP(C1219,DATA!#REF!,2,FALSE),"")</f>
        <v/>
      </c>
      <c r="I1219" s="17"/>
      <c r="J1219" s="17"/>
      <c r="P1219" s="17"/>
      <c r="Q1219" s="17"/>
    </row>
    <row r="1220" spans="2:17">
      <c r="B1220" s="15" t="str">
        <f t="shared" si="69"/>
        <v/>
      </c>
      <c r="C1220" s="16" t="str">
        <f>IFERROR(VLOOKUP(DATA!#REF!,DATA!#REF!,1,FALSE),"")</f>
        <v/>
      </c>
      <c r="D1220" s="16" t="str">
        <f>IFERROR(VLOOKUP(C1220,DATA!#REF!,2,FALSE),"")</f>
        <v/>
      </c>
      <c r="I1220" s="17"/>
      <c r="J1220" s="17"/>
      <c r="P1220" s="17"/>
      <c r="Q1220" s="17"/>
    </row>
    <row r="1221" spans="2:17">
      <c r="B1221" s="15" t="str">
        <f t="shared" si="69"/>
        <v/>
      </c>
      <c r="C1221" s="16" t="str">
        <f>IFERROR(VLOOKUP(DATA!#REF!,DATA!#REF!,1,FALSE),"")</f>
        <v/>
      </c>
      <c r="D1221" s="16" t="str">
        <f>IFERROR(VLOOKUP(C1221,DATA!#REF!,2,FALSE),"")</f>
        <v/>
      </c>
      <c r="I1221" s="17"/>
      <c r="J1221" s="17"/>
      <c r="P1221" s="17"/>
      <c r="Q1221" s="17"/>
    </row>
    <row r="1222" spans="2:17">
      <c r="B1222" s="15" t="str">
        <f t="shared" si="69"/>
        <v/>
      </c>
      <c r="C1222" s="16" t="str">
        <f>IFERROR(VLOOKUP(DATA!#REF!,DATA!#REF!,1,FALSE),"")</f>
        <v/>
      </c>
      <c r="D1222" s="16" t="str">
        <f>IFERROR(VLOOKUP(C1222,DATA!#REF!,2,FALSE),"")</f>
        <v/>
      </c>
      <c r="I1222" s="17"/>
      <c r="J1222" s="17"/>
      <c r="P1222" s="17"/>
      <c r="Q1222" s="17"/>
    </row>
    <row r="1223" spans="2:17">
      <c r="B1223" s="15" t="str">
        <f t="shared" si="69"/>
        <v/>
      </c>
      <c r="C1223" s="16" t="str">
        <f>IFERROR(VLOOKUP(DATA!#REF!,DATA!#REF!,1,FALSE),"")</f>
        <v/>
      </c>
      <c r="D1223" s="16" t="str">
        <f>IFERROR(VLOOKUP(C1223,DATA!#REF!,2,FALSE),"")</f>
        <v/>
      </c>
      <c r="I1223" s="17"/>
      <c r="J1223" s="17"/>
      <c r="P1223" s="17"/>
      <c r="Q1223" s="17"/>
    </row>
    <row r="1224" spans="2:17">
      <c r="B1224" s="15" t="str">
        <f t="shared" si="69"/>
        <v/>
      </c>
      <c r="C1224" s="16" t="str">
        <f>IFERROR(VLOOKUP(DATA!#REF!,DATA!#REF!,1,FALSE),"")</f>
        <v/>
      </c>
      <c r="D1224" s="16" t="str">
        <f>IFERROR(VLOOKUP(C1224,DATA!#REF!,2,FALSE),"")</f>
        <v/>
      </c>
      <c r="I1224" s="17"/>
      <c r="J1224" s="17"/>
      <c r="P1224" s="17"/>
      <c r="Q1224" s="17"/>
    </row>
    <row r="1225" spans="2:17">
      <c r="B1225" s="15" t="str">
        <f t="shared" si="69"/>
        <v/>
      </c>
      <c r="C1225" s="16" t="str">
        <f>IFERROR(VLOOKUP(DATA!#REF!,DATA!#REF!,1,FALSE),"")</f>
        <v/>
      </c>
      <c r="D1225" s="16" t="str">
        <f>IFERROR(VLOOKUP(C1225,DATA!#REF!,2,FALSE),"")</f>
        <v/>
      </c>
      <c r="I1225" s="17"/>
      <c r="J1225" s="17"/>
      <c r="P1225" s="17"/>
      <c r="Q1225" s="17"/>
    </row>
    <row r="1226" spans="2:17">
      <c r="B1226" s="15" t="str">
        <f t="shared" si="69"/>
        <v/>
      </c>
      <c r="C1226" s="16" t="str">
        <f>IFERROR(VLOOKUP(DATA!#REF!,DATA!#REF!,1,FALSE),"")</f>
        <v/>
      </c>
      <c r="D1226" s="16" t="str">
        <f>IFERROR(VLOOKUP(C1226,DATA!#REF!,2,FALSE),"")</f>
        <v/>
      </c>
      <c r="I1226" s="17"/>
      <c r="J1226" s="17"/>
      <c r="P1226" s="17"/>
      <c r="Q1226" s="17"/>
    </row>
    <row r="1227" spans="2:17">
      <c r="B1227" s="15" t="str">
        <f t="shared" si="69"/>
        <v/>
      </c>
      <c r="C1227" s="16" t="str">
        <f>IFERROR(VLOOKUP(DATA!#REF!,DATA!#REF!,1,FALSE),"")</f>
        <v/>
      </c>
      <c r="D1227" s="16" t="str">
        <f>IFERROR(VLOOKUP(C1227,DATA!#REF!,2,FALSE),"")</f>
        <v/>
      </c>
      <c r="I1227" s="17"/>
      <c r="J1227" s="17"/>
      <c r="P1227" s="17"/>
      <c r="Q1227" s="17"/>
    </row>
    <row r="1228" spans="2:17">
      <c r="B1228" s="15" t="str">
        <f t="shared" si="69"/>
        <v/>
      </c>
      <c r="C1228" s="16" t="str">
        <f>IFERROR(VLOOKUP(DATA!#REF!,DATA!#REF!,1,FALSE),"")</f>
        <v/>
      </c>
      <c r="D1228" s="16" t="str">
        <f>IFERROR(VLOOKUP(C1228,DATA!#REF!,2,FALSE),"")</f>
        <v/>
      </c>
      <c r="I1228" s="17"/>
      <c r="J1228" s="17"/>
      <c r="P1228" s="17"/>
      <c r="Q1228" s="17"/>
    </row>
    <row r="1229" spans="2:17">
      <c r="B1229" s="15" t="str">
        <f t="shared" si="69"/>
        <v/>
      </c>
      <c r="C1229" s="16" t="str">
        <f>IFERROR(VLOOKUP(DATA!#REF!,DATA!#REF!,1,FALSE),"")</f>
        <v/>
      </c>
      <c r="D1229" s="16" t="str">
        <f>IFERROR(VLOOKUP(C1229,DATA!#REF!,2,FALSE),"")</f>
        <v/>
      </c>
      <c r="I1229" s="17"/>
      <c r="J1229" s="17"/>
      <c r="P1229" s="17"/>
      <c r="Q1229" s="17"/>
    </row>
    <row r="1230" spans="2:17">
      <c r="B1230" s="15" t="str">
        <f t="shared" si="69"/>
        <v/>
      </c>
      <c r="C1230" s="16" t="str">
        <f>IFERROR(VLOOKUP(DATA!#REF!,DATA!#REF!,1,FALSE),"")</f>
        <v/>
      </c>
      <c r="D1230" s="16" t="str">
        <f>IFERROR(VLOOKUP(C1230,DATA!#REF!,2,FALSE),"")</f>
        <v/>
      </c>
      <c r="I1230" s="17"/>
      <c r="J1230" s="17"/>
      <c r="P1230" s="17"/>
      <c r="Q1230" s="17"/>
    </row>
    <row r="1231" spans="2:17">
      <c r="B1231" s="15" t="str">
        <f t="shared" si="69"/>
        <v/>
      </c>
      <c r="C1231" s="16" t="str">
        <f>IFERROR(VLOOKUP(DATA!#REF!,DATA!#REF!,1,FALSE),"")</f>
        <v/>
      </c>
      <c r="D1231" s="16" t="str">
        <f>IFERROR(VLOOKUP(C1231,DATA!#REF!,2,FALSE),"")</f>
        <v/>
      </c>
      <c r="I1231" s="17"/>
      <c r="J1231" s="17"/>
      <c r="P1231" s="17"/>
      <c r="Q1231" s="17"/>
    </row>
    <row r="1232" spans="2:17">
      <c r="B1232" s="15" t="str">
        <f t="shared" si="69"/>
        <v/>
      </c>
      <c r="C1232" s="16" t="str">
        <f>IFERROR(VLOOKUP(DATA!#REF!,DATA!#REF!,1,FALSE),"")</f>
        <v/>
      </c>
      <c r="D1232" s="16" t="str">
        <f>IFERROR(VLOOKUP(C1232,DATA!#REF!,2,FALSE),"")</f>
        <v/>
      </c>
      <c r="I1232" s="17"/>
      <c r="J1232" s="17"/>
      <c r="P1232" s="17"/>
      <c r="Q1232" s="17"/>
    </row>
    <row r="1233" spans="2:17">
      <c r="B1233" s="15" t="str">
        <f t="shared" si="69"/>
        <v/>
      </c>
      <c r="C1233" s="16" t="str">
        <f>IFERROR(VLOOKUP(DATA!#REF!,DATA!#REF!,1,FALSE),"")</f>
        <v/>
      </c>
      <c r="D1233" s="16" t="str">
        <f>IFERROR(VLOOKUP(C1233,DATA!#REF!,2,FALSE),"")</f>
        <v/>
      </c>
      <c r="I1233" s="17"/>
      <c r="J1233" s="17"/>
      <c r="P1233" s="17"/>
      <c r="Q1233" s="17"/>
    </row>
    <row r="1234" spans="2:17">
      <c r="B1234" s="15" t="str">
        <f t="shared" si="69"/>
        <v/>
      </c>
      <c r="C1234" s="16" t="str">
        <f>IFERROR(VLOOKUP(DATA!#REF!,DATA!#REF!,1,FALSE),"")</f>
        <v/>
      </c>
      <c r="D1234" s="16" t="str">
        <f>IFERROR(VLOOKUP(C1234,DATA!#REF!,2,FALSE),"")</f>
        <v/>
      </c>
      <c r="I1234" s="17"/>
      <c r="J1234" s="17"/>
      <c r="P1234" s="17"/>
      <c r="Q1234" s="17"/>
    </row>
    <row r="1235" spans="2:17">
      <c r="B1235" s="15" t="str">
        <f t="shared" si="69"/>
        <v/>
      </c>
      <c r="C1235" s="16" t="str">
        <f>IFERROR(VLOOKUP(DATA!#REF!,DATA!#REF!,1,FALSE),"")</f>
        <v/>
      </c>
      <c r="D1235" s="16" t="str">
        <f>IFERROR(VLOOKUP(C1235,DATA!#REF!,2,FALSE),"")</f>
        <v/>
      </c>
      <c r="I1235" s="17"/>
      <c r="J1235" s="17"/>
      <c r="P1235" s="17"/>
      <c r="Q1235" s="17"/>
    </row>
    <row r="1236" spans="2:17">
      <c r="B1236" s="15" t="str">
        <f t="shared" si="69"/>
        <v/>
      </c>
      <c r="C1236" s="16" t="str">
        <f>IFERROR(VLOOKUP(DATA!#REF!,DATA!#REF!,1,FALSE),"")</f>
        <v/>
      </c>
      <c r="D1236" s="16" t="str">
        <f>IFERROR(VLOOKUP(C1236,DATA!#REF!,2,FALSE),"")</f>
        <v/>
      </c>
      <c r="I1236" s="17"/>
      <c r="J1236" s="17"/>
      <c r="P1236" s="17"/>
      <c r="Q1236" s="17"/>
    </row>
    <row r="1237" spans="2:17">
      <c r="B1237" s="15" t="str">
        <f t="shared" si="69"/>
        <v/>
      </c>
      <c r="C1237" s="16" t="str">
        <f>IFERROR(VLOOKUP(DATA!#REF!,DATA!#REF!,1,FALSE),"")</f>
        <v/>
      </c>
      <c r="D1237" s="16" t="str">
        <f>IFERROR(VLOOKUP(C1237,DATA!#REF!,2,FALSE),"")</f>
        <v/>
      </c>
      <c r="I1237" s="17"/>
      <c r="J1237" s="17"/>
      <c r="P1237" s="17"/>
      <c r="Q1237" s="17"/>
    </row>
    <row r="1238" spans="2:17">
      <c r="B1238" s="15" t="str">
        <f t="shared" si="69"/>
        <v/>
      </c>
      <c r="C1238" s="16" t="str">
        <f>IFERROR(VLOOKUP(DATA!#REF!,DATA!#REF!,1,FALSE),"")</f>
        <v/>
      </c>
      <c r="D1238" s="16" t="str">
        <f>IFERROR(VLOOKUP(C1238,DATA!#REF!,2,FALSE),"")</f>
        <v/>
      </c>
      <c r="I1238" s="17"/>
      <c r="J1238" s="17"/>
      <c r="P1238" s="17"/>
      <c r="Q1238" s="17"/>
    </row>
    <row r="1239" spans="2:17">
      <c r="B1239" s="15" t="str">
        <f t="shared" si="69"/>
        <v/>
      </c>
      <c r="C1239" s="16" t="str">
        <f>IFERROR(VLOOKUP(DATA!#REF!,DATA!#REF!,1,FALSE),"")</f>
        <v/>
      </c>
      <c r="D1239" s="16" t="str">
        <f>IFERROR(VLOOKUP(C1239,DATA!#REF!,2,FALSE),"")</f>
        <v/>
      </c>
      <c r="I1239" s="17"/>
      <c r="J1239" s="17"/>
      <c r="P1239" s="17"/>
      <c r="Q1239" s="17"/>
    </row>
    <row r="1240" spans="2:17">
      <c r="B1240" s="15" t="str">
        <f t="shared" si="69"/>
        <v/>
      </c>
      <c r="C1240" s="16" t="str">
        <f>IFERROR(VLOOKUP(DATA!#REF!,DATA!#REF!,1,FALSE),"")</f>
        <v/>
      </c>
      <c r="D1240" s="16" t="str">
        <f>IFERROR(VLOOKUP(C1240,DATA!#REF!,2,FALSE),"")</f>
        <v/>
      </c>
      <c r="I1240" s="17"/>
      <c r="J1240" s="17"/>
      <c r="P1240" s="17"/>
      <c r="Q1240" s="17"/>
    </row>
    <row r="1241" spans="2:17">
      <c r="B1241" s="15" t="str">
        <f t="shared" si="69"/>
        <v/>
      </c>
      <c r="C1241" s="16" t="str">
        <f>IFERROR(VLOOKUP(DATA!#REF!,DATA!#REF!,1,FALSE),"")</f>
        <v/>
      </c>
      <c r="D1241" s="16" t="str">
        <f>IFERROR(VLOOKUP(C1241,DATA!#REF!,2,FALSE),"")</f>
        <v/>
      </c>
      <c r="I1241" s="17"/>
      <c r="J1241" s="17"/>
      <c r="P1241" s="17"/>
      <c r="Q1241" s="17"/>
    </row>
    <row r="1242" spans="2:17">
      <c r="B1242" s="15" t="str">
        <f t="shared" si="69"/>
        <v/>
      </c>
      <c r="C1242" s="16" t="str">
        <f>IFERROR(VLOOKUP(DATA!#REF!,DATA!#REF!,1,FALSE),"")</f>
        <v/>
      </c>
      <c r="D1242" s="16" t="str">
        <f>IFERROR(VLOOKUP(C1242,DATA!#REF!,2,FALSE),"")</f>
        <v/>
      </c>
      <c r="I1242" s="17"/>
      <c r="J1242" s="17"/>
      <c r="P1242" s="17"/>
      <c r="Q1242" s="17"/>
    </row>
    <row r="1243" spans="2:17">
      <c r="B1243" s="15" t="str">
        <f t="shared" si="69"/>
        <v/>
      </c>
      <c r="C1243" s="16" t="str">
        <f>IFERROR(VLOOKUP(DATA!#REF!,DATA!#REF!,1,FALSE),"")</f>
        <v/>
      </c>
      <c r="D1243" s="16" t="str">
        <f>IFERROR(VLOOKUP(C1243,DATA!#REF!,2,FALSE),"")</f>
        <v/>
      </c>
      <c r="I1243" s="17"/>
      <c r="J1243" s="17"/>
      <c r="P1243" s="17"/>
      <c r="Q1243" s="17"/>
    </row>
    <row r="1244" spans="2:17">
      <c r="B1244" s="15" t="str">
        <f t="shared" si="69"/>
        <v/>
      </c>
      <c r="C1244" s="16" t="str">
        <f>IFERROR(VLOOKUP(DATA!#REF!,DATA!#REF!,1,FALSE),"")</f>
        <v/>
      </c>
      <c r="D1244" s="16" t="str">
        <f>IFERROR(VLOOKUP(C1244,DATA!#REF!,2,FALSE),"")</f>
        <v/>
      </c>
      <c r="I1244" s="17"/>
      <c r="J1244" s="17"/>
      <c r="P1244" s="17"/>
      <c r="Q1244" s="17"/>
    </row>
    <row r="1245" spans="2:17">
      <c r="B1245" s="15" t="str">
        <f t="shared" si="69"/>
        <v/>
      </c>
      <c r="C1245" s="16" t="str">
        <f>IFERROR(VLOOKUP(DATA!#REF!,DATA!#REF!,1,FALSE),"")</f>
        <v/>
      </c>
      <c r="D1245" s="16" t="str">
        <f>IFERROR(VLOOKUP(C1245,DATA!#REF!,2,FALSE),"")</f>
        <v/>
      </c>
      <c r="I1245" s="17"/>
      <c r="J1245" s="17"/>
      <c r="P1245" s="17"/>
      <c r="Q1245" s="17"/>
    </row>
    <row r="1246" spans="2:17">
      <c r="B1246" s="15" t="str">
        <f t="shared" si="69"/>
        <v/>
      </c>
      <c r="C1246" s="16" t="str">
        <f>IFERROR(VLOOKUP(DATA!#REF!,DATA!#REF!,1,FALSE),"")</f>
        <v/>
      </c>
      <c r="D1246" s="16" t="str">
        <f>IFERROR(VLOOKUP(C1246,DATA!#REF!,2,FALSE),"")</f>
        <v/>
      </c>
      <c r="I1246" s="17"/>
      <c r="J1246" s="17"/>
      <c r="P1246" s="17"/>
      <c r="Q1246" s="17"/>
    </row>
    <row r="1247" spans="2:17">
      <c r="B1247" s="15" t="str">
        <f t="shared" si="69"/>
        <v/>
      </c>
      <c r="C1247" s="16" t="str">
        <f>IFERROR(VLOOKUP(DATA!#REF!,DATA!#REF!,1,FALSE),"")</f>
        <v/>
      </c>
      <c r="D1247" s="16" t="str">
        <f>IFERROR(VLOOKUP(C1247,DATA!#REF!,2,FALSE),"")</f>
        <v/>
      </c>
      <c r="I1247" s="17"/>
      <c r="J1247" s="17"/>
      <c r="P1247" s="17"/>
      <c r="Q1247" s="17"/>
    </row>
    <row r="1248" spans="2:17">
      <c r="B1248" s="15" t="str">
        <f t="shared" si="69"/>
        <v/>
      </c>
      <c r="C1248" s="16" t="str">
        <f>IFERROR(VLOOKUP(DATA!#REF!,DATA!#REF!,1,FALSE),"")</f>
        <v/>
      </c>
      <c r="D1248" s="16" t="str">
        <f>IFERROR(VLOOKUP(C1248,DATA!#REF!,2,FALSE),"")</f>
        <v/>
      </c>
      <c r="I1248" s="17"/>
      <c r="J1248" s="17"/>
      <c r="P1248" s="17"/>
      <c r="Q1248" s="17"/>
    </row>
    <row r="1249" spans="2:17">
      <c r="B1249" s="15" t="str">
        <f t="shared" si="69"/>
        <v/>
      </c>
      <c r="C1249" s="16" t="str">
        <f>IFERROR(VLOOKUP(DATA!#REF!,DATA!#REF!,1,FALSE),"")</f>
        <v/>
      </c>
      <c r="D1249" s="16" t="str">
        <f>IFERROR(VLOOKUP(C1249,DATA!#REF!,2,FALSE),"")</f>
        <v/>
      </c>
      <c r="I1249" s="17"/>
      <c r="J1249" s="17"/>
      <c r="P1249" s="17"/>
      <c r="Q1249" s="17"/>
    </row>
    <row r="1250" spans="2:17">
      <c r="B1250" s="15" t="str">
        <f t="shared" si="69"/>
        <v/>
      </c>
      <c r="C1250" s="16" t="str">
        <f>IFERROR(VLOOKUP(DATA!#REF!,DATA!#REF!,1,FALSE),"")</f>
        <v/>
      </c>
      <c r="D1250" s="16" t="str">
        <f>IFERROR(VLOOKUP(C1250,DATA!#REF!,2,FALSE),"")</f>
        <v/>
      </c>
      <c r="I1250" s="17"/>
      <c r="J1250" s="17"/>
      <c r="P1250" s="17"/>
      <c r="Q1250" s="17"/>
    </row>
    <row r="1251" spans="2:17">
      <c r="B1251" s="15" t="str">
        <f t="shared" si="69"/>
        <v/>
      </c>
      <c r="C1251" s="16" t="str">
        <f>IFERROR(VLOOKUP(DATA!#REF!,DATA!#REF!,1,FALSE),"")</f>
        <v/>
      </c>
      <c r="D1251" s="16" t="str">
        <f>IFERROR(VLOOKUP(C1251,DATA!#REF!,2,FALSE),"")</f>
        <v/>
      </c>
      <c r="I1251" s="17"/>
      <c r="J1251" s="17"/>
      <c r="P1251" s="17"/>
      <c r="Q1251" s="17"/>
    </row>
    <row r="1252" spans="2:17">
      <c r="B1252" s="15" t="str">
        <f t="shared" si="69"/>
        <v/>
      </c>
      <c r="C1252" s="16" t="str">
        <f>IFERROR(VLOOKUP(DATA!#REF!,DATA!#REF!,1,FALSE),"")</f>
        <v/>
      </c>
      <c r="D1252" s="16" t="str">
        <f>IFERROR(VLOOKUP(C1252,DATA!#REF!,2,FALSE),"")</f>
        <v/>
      </c>
      <c r="I1252" s="17"/>
      <c r="J1252" s="17"/>
      <c r="P1252" s="17"/>
      <c r="Q1252" s="17"/>
    </row>
    <row r="1253" spans="2:17">
      <c r="B1253" s="15" t="str">
        <f t="shared" si="69"/>
        <v/>
      </c>
      <c r="C1253" s="16" t="str">
        <f>IFERROR(VLOOKUP(DATA!#REF!,DATA!#REF!,1,FALSE),"")</f>
        <v/>
      </c>
      <c r="D1253" s="16" t="str">
        <f>IFERROR(VLOOKUP(C1253,DATA!#REF!,2,FALSE),"")</f>
        <v/>
      </c>
      <c r="I1253" s="17"/>
      <c r="J1253" s="17"/>
      <c r="P1253" s="17"/>
      <c r="Q1253" s="17"/>
    </row>
    <row r="1254" spans="2:17">
      <c r="B1254" s="15" t="str">
        <f t="shared" si="69"/>
        <v/>
      </c>
      <c r="C1254" s="16" t="str">
        <f>IFERROR(VLOOKUP(DATA!#REF!,DATA!#REF!,1,FALSE),"")</f>
        <v/>
      </c>
      <c r="D1254" s="16" t="str">
        <f>IFERROR(VLOOKUP(C1254,DATA!#REF!,2,FALSE),"")</f>
        <v/>
      </c>
      <c r="I1254" s="17"/>
      <c r="J1254" s="17"/>
      <c r="P1254" s="17"/>
      <c r="Q1254" s="17"/>
    </row>
    <row r="1255" spans="2:17">
      <c r="B1255" s="15" t="str">
        <f t="shared" si="69"/>
        <v/>
      </c>
      <c r="C1255" s="16" t="str">
        <f>IFERROR(VLOOKUP(DATA!#REF!,DATA!#REF!,1,FALSE),"")</f>
        <v/>
      </c>
      <c r="D1255" s="16" t="str">
        <f>IFERROR(VLOOKUP(C1255,DATA!#REF!,2,FALSE),"")</f>
        <v/>
      </c>
      <c r="I1255" s="17"/>
      <c r="J1255" s="17"/>
      <c r="P1255" s="17"/>
      <c r="Q1255" s="17"/>
    </row>
    <row r="1256" spans="2:17">
      <c r="B1256" s="15" t="str">
        <f t="shared" si="69"/>
        <v/>
      </c>
      <c r="C1256" s="16" t="str">
        <f>IFERROR(VLOOKUP(DATA!#REF!,DATA!#REF!,1,FALSE),"")</f>
        <v/>
      </c>
      <c r="D1256" s="16" t="str">
        <f>IFERROR(VLOOKUP(C1256,DATA!#REF!,2,FALSE),"")</f>
        <v/>
      </c>
      <c r="I1256" s="17"/>
      <c r="J1256" s="17"/>
      <c r="P1256" s="17"/>
      <c r="Q1256" s="17"/>
    </row>
    <row r="1257" spans="2:17">
      <c r="B1257" s="15" t="str">
        <f t="shared" si="69"/>
        <v/>
      </c>
      <c r="C1257" s="16" t="str">
        <f>IFERROR(VLOOKUP(DATA!#REF!,DATA!#REF!,1,FALSE),"")</f>
        <v/>
      </c>
      <c r="D1257" s="16" t="str">
        <f>IFERROR(VLOOKUP(C1257,DATA!#REF!,2,FALSE),"")</f>
        <v/>
      </c>
      <c r="I1257" s="17"/>
      <c r="J1257" s="17"/>
      <c r="P1257" s="17"/>
      <c r="Q1257" s="17"/>
    </row>
    <row r="1258" spans="2:17">
      <c r="B1258" s="15" t="str">
        <f t="shared" si="69"/>
        <v/>
      </c>
      <c r="C1258" s="16" t="str">
        <f>IFERROR(VLOOKUP(DATA!#REF!,DATA!#REF!,1,FALSE),"")</f>
        <v/>
      </c>
      <c r="D1258" s="16" t="str">
        <f>IFERROR(VLOOKUP(C1258,DATA!#REF!,2,FALSE),"")</f>
        <v/>
      </c>
      <c r="I1258" s="17"/>
      <c r="J1258" s="17"/>
      <c r="P1258" s="17"/>
      <c r="Q1258" s="17"/>
    </row>
    <row r="1259" spans="2:17">
      <c r="B1259" s="15" t="str">
        <f t="shared" si="69"/>
        <v/>
      </c>
      <c r="C1259" s="16" t="str">
        <f>IFERROR(VLOOKUP(DATA!#REF!,DATA!#REF!,1,FALSE),"")</f>
        <v/>
      </c>
      <c r="D1259" s="16" t="str">
        <f>IFERROR(VLOOKUP(C1259,DATA!#REF!,2,FALSE),"")</f>
        <v/>
      </c>
      <c r="I1259" s="17"/>
      <c r="J1259" s="17"/>
      <c r="P1259" s="17"/>
      <c r="Q1259" s="17"/>
    </row>
    <row r="1260" spans="2:17">
      <c r="B1260" s="15" t="str">
        <f t="shared" si="69"/>
        <v/>
      </c>
      <c r="C1260" s="16" t="str">
        <f>IFERROR(VLOOKUP(DATA!#REF!,DATA!#REF!,1,FALSE),"")</f>
        <v/>
      </c>
      <c r="D1260" s="16" t="str">
        <f>IFERROR(VLOOKUP(C1260,DATA!#REF!,2,FALSE),"")</f>
        <v/>
      </c>
      <c r="I1260" s="17"/>
      <c r="J1260" s="17"/>
      <c r="P1260" s="17"/>
      <c r="Q1260" s="17"/>
    </row>
    <row r="1261" spans="2:17">
      <c r="B1261" s="15" t="str">
        <f t="shared" si="69"/>
        <v/>
      </c>
      <c r="C1261" s="16" t="str">
        <f>IFERROR(VLOOKUP(DATA!#REF!,DATA!#REF!,1,FALSE),"")</f>
        <v/>
      </c>
      <c r="D1261" s="16" t="str">
        <f>IFERROR(VLOOKUP(C1261,DATA!#REF!,2,FALSE),"")</f>
        <v/>
      </c>
      <c r="I1261" s="17"/>
      <c r="J1261" s="17"/>
      <c r="P1261" s="17"/>
      <c r="Q1261" s="17"/>
    </row>
    <row r="1262" spans="2:17">
      <c r="B1262" s="15" t="str">
        <f t="shared" si="69"/>
        <v/>
      </c>
      <c r="C1262" s="16" t="str">
        <f>IFERROR(VLOOKUP(DATA!#REF!,DATA!#REF!,1,FALSE),"")</f>
        <v/>
      </c>
      <c r="D1262" s="16" t="str">
        <f>IFERROR(VLOOKUP(C1262,DATA!#REF!,2,FALSE),"")</f>
        <v/>
      </c>
      <c r="I1262" s="17"/>
      <c r="J1262" s="17"/>
      <c r="P1262" s="17"/>
      <c r="Q1262" s="17"/>
    </row>
    <row r="1263" spans="2:17">
      <c r="B1263" s="15" t="str">
        <f t="shared" si="69"/>
        <v/>
      </c>
      <c r="C1263" s="16" t="str">
        <f>IFERROR(VLOOKUP(DATA!#REF!,DATA!#REF!,1,FALSE),"")</f>
        <v/>
      </c>
      <c r="D1263" s="16" t="str">
        <f>IFERROR(VLOOKUP(C1263,DATA!#REF!,2,FALSE),"")</f>
        <v/>
      </c>
      <c r="I1263" s="17"/>
      <c r="J1263" s="17"/>
      <c r="P1263" s="17"/>
      <c r="Q1263" s="17"/>
    </row>
    <row r="1264" spans="2:17">
      <c r="B1264" s="15" t="str">
        <f t="shared" si="69"/>
        <v/>
      </c>
      <c r="C1264" s="16" t="str">
        <f>IFERROR(VLOOKUP(DATA!#REF!,DATA!#REF!,1,FALSE),"")</f>
        <v/>
      </c>
      <c r="D1264" s="16" t="str">
        <f>IFERROR(VLOOKUP(C1264,DATA!#REF!,2,FALSE),"")</f>
        <v/>
      </c>
      <c r="I1264" s="17"/>
      <c r="J1264" s="17"/>
      <c r="P1264" s="17"/>
      <c r="Q1264" s="17"/>
    </row>
    <row r="1265" spans="2:17">
      <c r="B1265" s="15" t="str">
        <f t="shared" si="69"/>
        <v/>
      </c>
      <c r="C1265" s="16" t="str">
        <f>IFERROR(VLOOKUP(DATA!#REF!,DATA!#REF!,1,FALSE),"")</f>
        <v/>
      </c>
      <c r="D1265" s="16" t="str">
        <f>IFERROR(VLOOKUP(C1265,DATA!#REF!,2,FALSE),"")</f>
        <v/>
      </c>
      <c r="I1265" s="17"/>
      <c r="J1265" s="17"/>
      <c r="P1265" s="17"/>
      <c r="Q1265" s="17"/>
    </row>
    <row r="1266" spans="2:17">
      <c r="B1266" s="15" t="str">
        <f t="shared" si="69"/>
        <v/>
      </c>
      <c r="C1266" s="16" t="str">
        <f>IFERROR(VLOOKUP(DATA!#REF!,DATA!#REF!,1,FALSE),"")</f>
        <v/>
      </c>
      <c r="D1266" s="16" t="str">
        <f>IFERROR(VLOOKUP(C1266,DATA!#REF!,2,FALSE),"")</f>
        <v/>
      </c>
      <c r="I1266" s="17"/>
      <c r="J1266" s="17"/>
      <c r="P1266" s="17"/>
      <c r="Q1266" s="17"/>
    </row>
    <row r="1267" spans="2:17">
      <c r="B1267" s="15" t="str">
        <f t="shared" si="69"/>
        <v/>
      </c>
      <c r="C1267" s="16" t="str">
        <f>IFERROR(VLOOKUP(DATA!#REF!,DATA!#REF!,1,FALSE),"")</f>
        <v/>
      </c>
      <c r="D1267" s="16" t="str">
        <f>IFERROR(VLOOKUP(C1267,DATA!#REF!,2,FALSE),"")</f>
        <v/>
      </c>
      <c r="I1267" s="17"/>
      <c r="J1267" s="17"/>
      <c r="P1267" s="17"/>
      <c r="Q1267" s="17"/>
    </row>
    <row r="1268" spans="2:17">
      <c r="B1268" s="15" t="str">
        <f t="shared" si="69"/>
        <v/>
      </c>
      <c r="C1268" s="16" t="str">
        <f>IFERROR(VLOOKUP(DATA!#REF!,DATA!#REF!,1,FALSE),"")</f>
        <v/>
      </c>
      <c r="D1268" s="16" t="str">
        <f>IFERROR(VLOOKUP(C1268,DATA!#REF!,2,FALSE),"")</f>
        <v/>
      </c>
      <c r="I1268" s="17"/>
      <c r="J1268" s="17"/>
      <c r="P1268" s="17"/>
      <c r="Q1268" s="17"/>
    </row>
    <row r="1269" spans="2:17">
      <c r="B1269" s="15" t="str">
        <f t="shared" si="69"/>
        <v/>
      </c>
      <c r="C1269" s="16" t="str">
        <f>IFERROR(VLOOKUP(DATA!#REF!,DATA!#REF!,1,FALSE),"")</f>
        <v/>
      </c>
      <c r="D1269" s="16" t="str">
        <f>IFERROR(VLOOKUP(C1269,DATA!#REF!,2,FALSE),"")</f>
        <v/>
      </c>
      <c r="I1269" s="17"/>
      <c r="J1269" s="17"/>
      <c r="P1269" s="17"/>
      <c r="Q1269" s="17"/>
    </row>
    <row r="1270" spans="2:17">
      <c r="B1270" s="15" t="str">
        <f t="shared" si="69"/>
        <v/>
      </c>
      <c r="C1270" s="16" t="str">
        <f>IFERROR(VLOOKUP(DATA!#REF!,DATA!#REF!,1,FALSE),"")</f>
        <v/>
      </c>
      <c r="D1270" s="16" t="str">
        <f>IFERROR(VLOOKUP(C1270,DATA!#REF!,2,FALSE),"")</f>
        <v/>
      </c>
      <c r="I1270" s="17"/>
      <c r="J1270" s="17"/>
      <c r="P1270" s="17"/>
      <c r="Q1270" s="17"/>
    </row>
    <row r="1271" spans="2:17">
      <c r="B1271" s="15" t="str">
        <f t="shared" ref="B1271:B1334" si="70">+IF(C1271="","",ROW()-5)</f>
        <v/>
      </c>
      <c r="C1271" s="16" t="str">
        <f>IFERROR(VLOOKUP(DATA!#REF!,DATA!#REF!,1,FALSE),"")</f>
        <v/>
      </c>
      <c r="D1271" s="16" t="str">
        <f>IFERROR(VLOOKUP(C1271,DATA!#REF!,2,FALSE),"")</f>
        <v/>
      </c>
      <c r="I1271" s="17"/>
      <c r="J1271" s="17"/>
      <c r="P1271" s="17"/>
      <c r="Q1271" s="17"/>
    </row>
    <row r="1272" spans="2:17">
      <c r="B1272" s="15" t="str">
        <f t="shared" si="70"/>
        <v/>
      </c>
      <c r="C1272" s="16" t="str">
        <f>IFERROR(VLOOKUP(DATA!#REF!,DATA!#REF!,1,FALSE),"")</f>
        <v/>
      </c>
      <c r="D1272" s="16" t="str">
        <f>IFERROR(VLOOKUP(C1272,DATA!#REF!,2,FALSE),"")</f>
        <v/>
      </c>
      <c r="I1272" s="17"/>
      <c r="J1272" s="17"/>
      <c r="P1272" s="17"/>
      <c r="Q1272" s="17"/>
    </row>
    <row r="1273" spans="2:17">
      <c r="B1273" s="15" t="str">
        <f t="shared" si="70"/>
        <v/>
      </c>
      <c r="C1273" s="16" t="str">
        <f>IFERROR(VLOOKUP(DATA!#REF!,DATA!#REF!,1,FALSE),"")</f>
        <v/>
      </c>
      <c r="D1273" s="16" t="str">
        <f>IFERROR(VLOOKUP(C1273,DATA!#REF!,2,FALSE),"")</f>
        <v/>
      </c>
      <c r="I1273" s="17"/>
      <c r="J1273" s="17"/>
      <c r="P1273" s="17"/>
      <c r="Q1273" s="17"/>
    </row>
    <row r="1274" spans="2:17">
      <c r="B1274" s="15" t="str">
        <f t="shared" si="70"/>
        <v/>
      </c>
      <c r="C1274" s="16" t="str">
        <f>IFERROR(VLOOKUP(DATA!#REF!,DATA!#REF!,1,FALSE),"")</f>
        <v/>
      </c>
      <c r="D1274" s="16" t="str">
        <f>IFERROR(VLOOKUP(C1274,DATA!#REF!,2,FALSE),"")</f>
        <v/>
      </c>
      <c r="I1274" s="17"/>
      <c r="J1274" s="17"/>
      <c r="P1274" s="17"/>
      <c r="Q1274" s="17"/>
    </row>
    <row r="1275" spans="2:17">
      <c r="B1275" s="15" t="str">
        <f t="shared" si="70"/>
        <v/>
      </c>
      <c r="C1275" s="16" t="str">
        <f>IFERROR(VLOOKUP(DATA!#REF!,DATA!#REF!,1,FALSE),"")</f>
        <v/>
      </c>
      <c r="D1275" s="16" t="str">
        <f>IFERROR(VLOOKUP(C1275,DATA!#REF!,2,FALSE),"")</f>
        <v/>
      </c>
      <c r="I1275" s="17"/>
      <c r="J1275" s="17"/>
      <c r="P1275" s="17"/>
      <c r="Q1275" s="17"/>
    </row>
    <row r="1276" spans="2:17">
      <c r="B1276" s="15" t="str">
        <f t="shared" si="70"/>
        <v/>
      </c>
      <c r="C1276" s="16" t="str">
        <f>IFERROR(VLOOKUP(DATA!#REF!,DATA!#REF!,1,FALSE),"")</f>
        <v/>
      </c>
      <c r="D1276" s="16" t="str">
        <f>IFERROR(VLOOKUP(C1276,DATA!#REF!,2,FALSE),"")</f>
        <v/>
      </c>
      <c r="I1276" s="17"/>
      <c r="J1276" s="17"/>
      <c r="P1276" s="17"/>
      <c r="Q1276" s="17"/>
    </row>
    <row r="1277" spans="2:17">
      <c r="B1277" s="15" t="str">
        <f t="shared" si="70"/>
        <v/>
      </c>
      <c r="C1277" s="16" t="str">
        <f>IFERROR(VLOOKUP(DATA!#REF!,DATA!#REF!,1,FALSE),"")</f>
        <v/>
      </c>
      <c r="D1277" s="16" t="str">
        <f>IFERROR(VLOOKUP(C1277,DATA!#REF!,2,FALSE),"")</f>
        <v/>
      </c>
      <c r="I1277" s="17"/>
      <c r="J1277" s="17"/>
      <c r="P1277" s="17"/>
      <c r="Q1277" s="17"/>
    </row>
    <row r="1278" spans="2:17">
      <c r="B1278" s="15" t="str">
        <f t="shared" si="70"/>
        <v/>
      </c>
      <c r="C1278" s="16" t="str">
        <f>IFERROR(VLOOKUP(DATA!#REF!,DATA!#REF!,1,FALSE),"")</f>
        <v/>
      </c>
      <c r="D1278" s="16" t="str">
        <f>IFERROR(VLOOKUP(C1278,DATA!#REF!,2,FALSE),"")</f>
        <v/>
      </c>
      <c r="I1278" s="17"/>
      <c r="J1278" s="17"/>
      <c r="P1278" s="17"/>
      <c r="Q1278" s="17"/>
    </row>
    <row r="1279" spans="2:17">
      <c r="B1279" s="15" t="str">
        <f t="shared" si="70"/>
        <v/>
      </c>
      <c r="C1279" s="16" t="str">
        <f>IFERROR(VLOOKUP(DATA!#REF!,DATA!#REF!,1,FALSE),"")</f>
        <v/>
      </c>
      <c r="D1279" s="16" t="str">
        <f>IFERROR(VLOOKUP(C1279,DATA!#REF!,2,FALSE),"")</f>
        <v/>
      </c>
      <c r="I1279" s="17"/>
      <c r="J1279" s="17"/>
      <c r="P1279" s="17"/>
      <c r="Q1279" s="17"/>
    </row>
    <row r="1280" spans="2:17">
      <c r="B1280" s="15" t="str">
        <f t="shared" si="70"/>
        <v/>
      </c>
      <c r="C1280" s="16" t="str">
        <f>IFERROR(VLOOKUP(DATA!#REF!,DATA!#REF!,1,FALSE),"")</f>
        <v/>
      </c>
      <c r="D1280" s="16" t="str">
        <f>IFERROR(VLOOKUP(C1280,DATA!#REF!,2,FALSE),"")</f>
        <v/>
      </c>
      <c r="I1280" s="17"/>
      <c r="J1280" s="17"/>
      <c r="P1280" s="17"/>
      <c r="Q1280" s="17"/>
    </row>
    <row r="1281" spans="2:17">
      <c r="B1281" s="15" t="str">
        <f t="shared" si="70"/>
        <v/>
      </c>
      <c r="C1281" s="16" t="str">
        <f>IFERROR(VLOOKUP(DATA!#REF!,DATA!#REF!,1,FALSE),"")</f>
        <v/>
      </c>
      <c r="D1281" s="16" t="str">
        <f>IFERROR(VLOOKUP(C1281,DATA!#REF!,2,FALSE),"")</f>
        <v/>
      </c>
      <c r="I1281" s="17"/>
      <c r="J1281" s="17"/>
      <c r="P1281" s="17"/>
      <c r="Q1281" s="17"/>
    </row>
    <row r="1282" spans="2:17">
      <c r="B1282" s="15" t="str">
        <f t="shared" si="70"/>
        <v/>
      </c>
      <c r="C1282" s="16" t="str">
        <f>IFERROR(VLOOKUP(DATA!#REF!,DATA!#REF!,1,FALSE),"")</f>
        <v/>
      </c>
      <c r="D1282" s="16" t="str">
        <f>IFERROR(VLOOKUP(C1282,DATA!#REF!,2,FALSE),"")</f>
        <v/>
      </c>
      <c r="I1282" s="17"/>
      <c r="J1282" s="17"/>
      <c r="P1282" s="17"/>
      <c r="Q1282" s="17"/>
    </row>
    <row r="1283" spans="2:17">
      <c r="B1283" s="15" t="str">
        <f t="shared" si="70"/>
        <v/>
      </c>
      <c r="C1283" s="16" t="str">
        <f>IFERROR(VLOOKUP(DATA!#REF!,DATA!#REF!,1,FALSE),"")</f>
        <v/>
      </c>
      <c r="D1283" s="16" t="str">
        <f>IFERROR(VLOOKUP(C1283,DATA!#REF!,2,FALSE),"")</f>
        <v/>
      </c>
      <c r="I1283" s="17"/>
      <c r="J1283" s="17"/>
      <c r="P1283" s="17"/>
      <c r="Q1283" s="17"/>
    </row>
    <row r="1284" spans="2:17">
      <c r="B1284" s="15" t="str">
        <f t="shared" si="70"/>
        <v/>
      </c>
      <c r="C1284" s="16" t="str">
        <f>IFERROR(VLOOKUP(DATA!#REF!,DATA!#REF!,1,FALSE),"")</f>
        <v/>
      </c>
      <c r="D1284" s="16" t="str">
        <f>IFERROR(VLOOKUP(C1284,DATA!#REF!,2,FALSE),"")</f>
        <v/>
      </c>
      <c r="I1284" s="17"/>
      <c r="J1284" s="17"/>
      <c r="P1284" s="17"/>
      <c r="Q1284" s="17"/>
    </row>
    <row r="1285" spans="2:17">
      <c r="B1285" s="15" t="str">
        <f t="shared" si="70"/>
        <v/>
      </c>
      <c r="C1285" s="16" t="str">
        <f>IFERROR(VLOOKUP(DATA!#REF!,DATA!#REF!,1,FALSE),"")</f>
        <v/>
      </c>
      <c r="D1285" s="16" t="str">
        <f>IFERROR(VLOOKUP(C1285,DATA!#REF!,2,FALSE),"")</f>
        <v/>
      </c>
      <c r="I1285" s="17"/>
      <c r="J1285" s="17"/>
      <c r="P1285" s="17"/>
      <c r="Q1285" s="17"/>
    </row>
    <row r="1286" spans="2:17">
      <c r="B1286" s="15" t="str">
        <f t="shared" si="70"/>
        <v/>
      </c>
      <c r="C1286" s="16" t="str">
        <f>IFERROR(VLOOKUP(DATA!#REF!,DATA!#REF!,1,FALSE),"")</f>
        <v/>
      </c>
      <c r="D1286" s="16" t="str">
        <f>IFERROR(VLOOKUP(C1286,DATA!#REF!,2,FALSE),"")</f>
        <v/>
      </c>
      <c r="I1286" s="17"/>
      <c r="J1286" s="17"/>
      <c r="P1286" s="17"/>
      <c r="Q1286" s="17"/>
    </row>
    <row r="1287" spans="2:17">
      <c r="B1287" s="15" t="str">
        <f t="shared" si="70"/>
        <v/>
      </c>
      <c r="C1287" s="16" t="str">
        <f>IFERROR(VLOOKUP(DATA!#REF!,DATA!#REF!,1,FALSE),"")</f>
        <v/>
      </c>
      <c r="D1287" s="16" t="str">
        <f>IFERROR(VLOOKUP(C1287,DATA!#REF!,2,FALSE),"")</f>
        <v/>
      </c>
      <c r="I1287" s="17"/>
      <c r="J1287" s="17"/>
      <c r="P1287" s="17"/>
      <c r="Q1287" s="17"/>
    </row>
    <row r="1288" spans="2:17">
      <c r="B1288" s="15" t="str">
        <f t="shared" si="70"/>
        <v/>
      </c>
      <c r="C1288" s="16" t="str">
        <f>IFERROR(VLOOKUP(DATA!#REF!,DATA!#REF!,1,FALSE),"")</f>
        <v/>
      </c>
      <c r="D1288" s="16" t="str">
        <f>IFERROR(VLOOKUP(C1288,DATA!#REF!,2,FALSE),"")</f>
        <v/>
      </c>
      <c r="I1288" s="17"/>
      <c r="J1288" s="17"/>
      <c r="P1288" s="17"/>
      <c r="Q1288" s="17"/>
    </row>
    <row r="1289" spans="2:17">
      <c r="B1289" s="15" t="str">
        <f t="shared" si="70"/>
        <v/>
      </c>
      <c r="C1289" s="16" t="str">
        <f>IFERROR(VLOOKUP(DATA!#REF!,DATA!#REF!,1,FALSE),"")</f>
        <v/>
      </c>
      <c r="D1289" s="16" t="str">
        <f>IFERROR(VLOOKUP(C1289,DATA!#REF!,2,FALSE),"")</f>
        <v/>
      </c>
      <c r="I1289" s="17"/>
      <c r="J1289" s="17"/>
      <c r="P1289" s="17"/>
      <c r="Q1289" s="17"/>
    </row>
    <row r="1290" spans="2:17">
      <c r="B1290" s="15" t="str">
        <f t="shared" si="70"/>
        <v/>
      </c>
      <c r="C1290" s="16" t="str">
        <f>IFERROR(VLOOKUP(DATA!#REF!,DATA!#REF!,1,FALSE),"")</f>
        <v/>
      </c>
      <c r="D1290" s="16" t="str">
        <f>IFERROR(VLOOKUP(C1290,DATA!#REF!,2,FALSE),"")</f>
        <v/>
      </c>
      <c r="I1290" s="17"/>
      <c r="J1290" s="17"/>
      <c r="P1290" s="17"/>
      <c r="Q1290" s="17"/>
    </row>
    <row r="1291" spans="2:17">
      <c r="B1291" s="15" t="str">
        <f t="shared" si="70"/>
        <v/>
      </c>
      <c r="C1291" s="16" t="str">
        <f>IFERROR(VLOOKUP(DATA!#REF!,DATA!#REF!,1,FALSE),"")</f>
        <v/>
      </c>
      <c r="D1291" s="16" t="str">
        <f>IFERROR(VLOOKUP(C1291,DATA!#REF!,2,FALSE),"")</f>
        <v/>
      </c>
      <c r="I1291" s="17"/>
      <c r="J1291" s="17"/>
      <c r="P1291" s="17"/>
      <c r="Q1291" s="17"/>
    </row>
    <row r="1292" spans="2:17">
      <c r="B1292" s="15" t="str">
        <f t="shared" si="70"/>
        <v/>
      </c>
      <c r="C1292" s="16" t="str">
        <f>IFERROR(VLOOKUP(DATA!#REF!,DATA!#REF!,1,FALSE),"")</f>
        <v/>
      </c>
      <c r="D1292" s="16" t="str">
        <f>IFERROR(VLOOKUP(C1292,DATA!#REF!,2,FALSE),"")</f>
        <v/>
      </c>
      <c r="I1292" s="17"/>
      <c r="J1292" s="17"/>
      <c r="P1292" s="17"/>
      <c r="Q1292" s="17"/>
    </row>
    <row r="1293" spans="2:17">
      <c r="B1293" s="15" t="str">
        <f t="shared" si="70"/>
        <v/>
      </c>
      <c r="C1293" s="16" t="str">
        <f>IFERROR(VLOOKUP(DATA!#REF!,DATA!#REF!,1,FALSE),"")</f>
        <v/>
      </c>
      <c r="D1293" s="16" t="str">
        <f>IFERROR(VLOOKUP(C1293,DATA!#REF!,2,FALSE),"")</f>
        <v/>
      </c>
      <c r="I1293" s="17"/>
      <c r="J1293" s="17"/>
      <c r="P1293" s="17"/>
      <c r="Q1293" s="17"/>
    </row>
    <row r="1294" spans="2:17">
      <c r="B1294" s="15" t="str">
        <f t="shared" si="70"/>
        <v/>
      </c>
      <c r="C1294" s="16" t="str">
        <f>IFERROR(VLOOKUP(DATA!#REF!,DATA!#REF!,1,FALSE),"")</f>
        <v/>
      </c>
      <c r="D1294" s="16" t="str">
        <f>IFERROR(VLOOKUP(C1294,DATA!#REF!,2,FALSE),"")</f>
        <v/>
      </c>
      <c r="I1294" s="17"/>
      <c r="J1294" s="17"/>
      <c r="P1294" s="17"/>
      <c r="Q1294" s="17"/>
    </row>
    <row r="1295" spans="2:17">
      <c r="B1295" s="15" t="str">
        <f t="shared" si="70"/>
        <v/>
      </c>
      <c r="C1295" s="16" t="str">
        <f>IFERROR(VLOOKUP(DATA!#REF!,DATA!#REF!,1,FALSE),"")</f>
        <v/>
      </c>
      <c r="D1295" s="16" t="str">
        <f>IFERROR(VLOOKUP(C1295,DATA!#REF!,2,FALSE),"")</f>
        <v/>
      </c>
      <c r="I1295" s="17"/>
      <c r="J1295" s="17"/>
      <c r="P1295" s="17"/>
      <c r="Q1295" s="17"/>
    </row>
    <row r="1296" spans="2:17">
      <c r="B1296" s="15" t="str">
        <f t="shared" si="70"/>
        <v/>
      </c>
      <c r="C1296" s="16" t="str">
        <f>IFERROR(VLOOKUP(DATA!#REF!,DATA!#REF!,1,FALSE),"")</f>
        <v/>
      </c>
      <c r="D1296" s="16" t="str">
        <f>IFERROR(VLOOKUP(C1296,DATA!#REF!,2,FALSE),"")</f>
        <v/>
      </c>
      <c r="I1296" s="17"/>
      <c r="J1296" s="17"/>
      <c r="P1296" s="17"/>
      <c r="Q1296" s="17"/>
    </row>
    <row r="1297" spans="2:17">
      <c r="B1297" s="15" t="str">
        <f t="shared" si="70"/>
        <v/>
      </c>
      <c r="C1297" s="16" t="str">
        <f>IFERROR(VLOOKUP(DATA!#REF!,DATA!#REF!,1,FALSE),"")</f>
        <v/>
      </c>
      <c r="D1297" s="16" t="str">
        <f>IFERROR(VLOOKUP(C1297,DATA!#REF!,2,FALSE),"")</f>
        <v/>
      </c>
      <c r="I1297" s="17"/>
      <c r="J1297" s="17"/>
      <c r="P1297" s="17"/>
      <c r="Q1297" s="17"/>
    </row>
    <row r="1298" spans="2:17">
      <c r="B1298" s="15" t="str">
        <f t="shared" si="70"/>
        <v/>
      </c>
      <c r="C1298" s="16" t="str">
        <f>IFERROR(VLOOKUP(DATA!#REF!,DATA!#REF!,1,FALSE),"")</f>
        <v/>
      </c>
      <c r="D1298" s="16" t="str">
        <f>IFERROR(VLOOKUP(C1298,DATA!#REF!,2,FALSE),"")</f>
        <v/>
      </c>
      <c r="I1298" s="17"/>
      <c r="J1298" s="17"/>
      <c r="P1298" s="17"/>
      <c r="Q1298" s="17"/>
    </row>
    <row r="1299" spans="2:17">
      <c r="B1299" s="15" t="str">
        <f t="shared" si="70"/>
        <v/>
      </c>
      <c r="C1299" s="16" t="str">
        <f>IFERROR(VLOOKUP(DATA!#REF!,DATA!#REF!,1,FALSE),"")</f>
        <v/>
      </c>
      <c r="D1299" s="16" t="str">
        <f>IFERROR(VLOOKUP(C1299,DATA!#REF!,2,FALSE),"")</f>
        <v/>
      </c>
      <c r="I1299" s="17"/>
      <c r="J1299" s="17"/>
      <c r="P1299" s="17"/>
      <c r="Q1299" s="17"/>
    </row>
    <row r="1300" spans="2:17">
      <c r="B1300" s="15" t="str">
        <f t="shared" si="70"/>
        <v/>
      </c>
      <c r="C1300" s="16" t="str">
        <f>IFERROR(VLOOKUP(DATA!#REF!,DATA!#REF!,1,FALSE),"")</f>
        <v/>
      </c>
      <c r="D1300" s="16" t="str">
        <f>IFERROR(VLOOKUP(C1300,DATA!#REF!,2,FALSE),"")</f>
        <v/>
      </c>
      <c r="I1300" s="17"/>
      <c r="J1300" s="17"/>
      <c r="P1300" s="17"/>
      <c r="Q1300" s="17"/>
    </row>
    <row r="1301" spans="2:17">
      <c r="B1301" s="15" t="str">
        <f t="shared" si="70"/>
        <v/>
      </c>
      <c r="C1301" s="16" t="str">
        <f>IFERROR(VLOOKUP(DATA!#REF!,DATA!#REF!,1,FALSE),"")</f>
        <v/>
      </c>
      <c r="D1301" s="16" t="str">
        <f>IFERROR(VLOOKUP(C1301,DATA!#REF!,2,FALSE),"")</f>
        <v/>
      </c>
      <c r="I1301" s="17"/>
      <c r="J1301" s="17"/>
      <c r="P1301" s="17"/>
      <c r="Q1301" s="17"/>
    </row>
    <row r="1302" spans="2:17">
      <c r="B1302" s="15" t="str">
        <f t="shared" si="70"/>
        <v/>
      </c>
      <c r="C1302" s="16" t="str">
        <f>IFERROR(VLOOKUP(DATA!#REF!,DATA!#REF!,1,FALSE),"")</f>
        <v/>
      </c>
      <c r="D1302" s="16" t="str">
        <f>IFERROR(VLOOKUP(C1302,DATA!#REF!,2,FALSE),"")</f>
        <v/>
      </c>
      <c r="I1302" s="17"/>
      <c r="J1302" s="17"/>
      <c r="P1302" s="17"/>
      <c r="Q1302" s="17"/>
    </row>
    <row r="1303" spans="2:17">
      <c r="B1303" s="15" t="str">
        <f t="shared" si="70"/>
        <v/>
      </c>
      <c r="C1303" s="16" t="str">
        <f>IFERROR(VLOOKUP(DATA!#REF!,DATA!#REF!,1,FALSE),"")</f>
        <v/>
      </c>
      <c r="D1303" s="16" t="str">
        <f>IFERROR(VLOOKUP(C1303,DATA!#REF!,2,FALSE),"")</f>
        <v/>
      </c>
      <c r="I1303" s="17"/>
      <c r="J1303" s="17"/>
      <c r="P1303" s="17"/>
      <c r="Q1303" s="17"/>
    </row>
    <row r="1304" spans="2:17">
      <c r="B1304" s="15" t="str">
        <f t="shared" si="70"/>
        <v/>
      </c>
      <c r="C1304" s="16" t="str">
        <f>IFERROR(VLOOKUP(DATA!#REF!,DATA!#REF!,1,FALSE),"")</f>
        <v/>
      </c>
      <c r="D1304" s="16" t="str">
        <f>IFERROR(VLOOKUP(C1304,DATA!#REF!,2,FALSE),"")</f>
        <v/>
      </c>
      <c r="I1304" s="17"/>
      <c r="J1304" s="17"/>
      <c r="P1304" s="17"/>
      <c r="Q1304" s="17"/>
    </row>
    <row r="1305" spans="2:17">
      <c r="B1305" s="15" t="str">
        <f t="shared" si="70"/>
        <v/>
      </c>
      <c r="C1305" s="16" t="str">
        <f>IFERROR(VLOOKUP(DATA!#REF!,DATA!#REF!,1,FALSE),"")</f>
        <v/>
      </c>
      <c r="D1305" s="16" t="str">
        <f>IFERROR(VLOOKUP(C1305,DATA!#REF!,2,FALSE),"")</f>
        <v/>
      </c>
      <c r="I1305" s="17"/>
      <c r="J1305" s="17"/>
      <c r="P1305" s="17"/>
      <c r="Q1305" s="17"/>
    </row>
    <row r="1306" spans="2:17">
      <c r="B1306" s="15" t="str">
        <f t="shared" si="70"/>
        <v/>
      </c>
      <c r="C1306" s="16" t="str">
        <f>IFERROR(VLOOKUP(DATA!#REF!,DATA!#REF!,1,FALSE),"")</f>
        <v/>
      </c>
      <c r="D1306" s="16" t="str">
        <f>IFERROR(VLOOKUP(C1306,DATA!#REF!,2,FALSE),"")</f>
        <v/>
      </c>
      <c r="I1306" s="17"/>
      <c r="J1306" s="17"/>
      <c r="P1306" s="17"/>
      <c r="Q1306" s="17"/>
    </row>
    <row r="1307" spans="2:17">
      <c r="B1307" s="15" t="str">
        <f t="shared" si="70"/>
        <v/>
      </c>
      <c r="C1307" s="16" t="str">
        <f>IFERROR(VLOOKUP(DATA!#REF!,DATA!#REF!,1,FALSE),"")</f>
        <v/>
      </c>
      <c r="D1307" s="16" t="str">
        <f>IFERROR(VLOOKUP(C1307,DATA!#REF!,2,FALSE),"")</f>
        <v/>
      </c>
      <c r="I1307" s="17"/>
      <c r="J1307" s="17"/>
      <c r="P1307" s="17"/>
      <c r="Q1307" s="17"/>
    </row>
    <row r="1308" spans="2:17">
      <c r="B1308" s="15" t="str">
        <f t="shared" si="70"/>
        <v/>
      </c>
      <c r="C1308" s="16" t="str">
        <f>IFERROR(VLOOKUP(DATA!#REF!,DATA!#REF!,1,FALSE),"")</f>
        <v/>
      </c>
      <c r="D1308" s="16" t="str">
        <f>IFERROR(VLOOKUP(C1308,DATA!#REF!,2,FALSE),"")</f>
        <v/>
      </c>
      <c r="I1308" s="17"/>
      <c r="J1308" s="17"/>
      <c r="P1308" s="17"/>
      <c r="Q1308" s="17"/>
    </row>
    <row r="1309" spans="2:17">
      <c r="B1309" s="15" t="str">
        <f t="shared" si="70"/>
        <v/>
      </c>
      <c r="C1309" s="16" t="str">
        <f>IFERROR(VLOOKUP(DATA!#REF!,DATA!#REF!,1,FALSE),"")</f>
        <v/>
      </c>
      <c r="D1309" s="16" t="str">
        <f>IFERROR(VLOOKUP(C1309,DATA!#REF!,2,FALSE),"")</f>
        <v/>
      </c>
      <c r="I1309" s="17"/>
      <c r="J1309" s="17"/>
      <c r="P1309" s="17"/>
      <c r="Q1309" s="17"/>
    </row>
    <row r="1310" spans="2:17">
      <c r="B1310" s="15" t="str">
        <f t="shared" si="70"/>
        <v/>
      </c>
      <c r="C1310" s="16" t="str">
        <f>IFERROR(VLOOKUP(DATA!#REF!,DATA!#REF!,1,FALSE),"")</f>
        <v/>
      </c>
      <c r="D1310" s="16" t="str">
        <f>IFERROR(VLOOKUP(C1310,DATA!#REF!,2,FALSE),"")</f>
        <v/>
      </c>
      <c r="I1310" s="17"/>
      <c r="J1310" s="17"/>
      <c r="P1310" s="17"/>
      <c r="Q1310" s="17"/>
    </row>
    <row r="1311" spans="2:17">
      <c r="B1311" s="15" t="str">
        <f t="shared" si="70"/>
        <v/>
      </c>
      <c r="C1311" s="16" t="str">
        <f>IFERROR(VLOOKUP(DATA!#REF!,DATA!#REF!,1,FALSE),"")</f>
        <v/>
      </c>
      <c r="D1311" s="16" t="str">
        <f>IFERROR(VLOOKUP(C1311,DATA!#REF!,2,FALSE),"")</f>
        <v/>
      </c>
      <c r="I1311" s="17"/>
      <c r="J1311" s="17"/>
      <c r="P1311" s="17"/>
      <c r="Q1311" s="17"/>
    </row>
    <row r="1312" spans="2:17">
      <c r="B1312" s="15" t="str">
        <f t="shared" si="70"/>
        <v/>
      </c>
      <c r="C1312" s="16" t="str">
        <f>IFERROR(VLOOKUP(DATA!#REF!,DATA!#REF!,1,FALSE),"")</f>
        <v/>
      </c>
      <c r="D1312" s="16" t="str">
        <f>IFERROR(VLOOKUP(C1312,DATA!#REF!,2,FALSE),"")</f>
        <v/>
      </c>
      <c r="I1312" s="17"/>
      <c r="J1312" s="17"/>
      <c r="P1312" s="17"/>
      <c r="Q1312" s="17"/>
    </row>
    <row r="1313" spans="2:17">
      <c r="B1313" s="15" t="str">
        <f t="shared" si="70"/>
        <v/>
      </c>
      <c r="C1313" s="16" t="str">
        <f>IFERROR(VLOOKUP(DATA!#REF!,DATA!#REF!,1,FALSE),"")</f>
        <v/>
      </c>
      <c r="D1313" s="16" t="str">
        <f>IFERROR(VLOOKUP(C1313,DATA!#REF!,2,FALSE),"")</f>
        <v/>
      </c>
      <c r="I1313" s="17"/>
      <c r="J1313" s="17"/>
      <c r="P1313" s="17"/>
      <c r="Q1313" s="17"/>
    </row>
    <row r="1314" spans="2:17">
      <c r="B1314" s="15" t="str">
        <f t="shared" si="70"/>
        <v/>
      </c>
      <c r="C1314" s="16" t="str">
        <f>IFERROR(VLOOKUP(DATA!#REF!,DATA!#REF!,1,FALSE),"")</f>
        <v/>
      </c>
      <c r="D1314" s="16" t="str">
        <f>IFERROR(VLOOKUP(C1314,DATA!#REF!,2,FALSE),"")</f>
        <v/>
      </c>
      <c r="I1314" s="17"/>
      <c r="J1314" s="17"/>
      <c r="P1314" s="17"/>
      <c r="Q1314" s="17"/>
    </row>
    <row r="1315" spans="2:17">
      <c r="B1315" s="15" t="str">
        <f t="shared" si="70"/>
        <v/>
      </c>
      <c r="C1315" s="16" t="str">
        <f>IFERROR(VLOOKUP(DATA!#REF!,DATA!#REF!,1,FALSE),"")</f>
        <v/>
      </c>
      <c r="D1315" s="16" t="str">
        <f>IFERROR(VLOOKUP(C1315,DATA!#REF!,2,FALSE),"")</f>
        <v/>
      </c>
      <c r="I1315" s="17"/>
      <c r="J1315" s="17"/>
      <c r="P1315" s="17"/>
      <c r="Q1315" s="17"/>
    </row>
    <row r="1316" spans="2:17">
      <c r="B1316" s="15" t="str">
        <f t="shared" si="70"/>
        <v/>
      </c>
      <c r="C1316" s="16" t="str">
        <f>IFERROR(VLOOKUP(DATA!#REF!,DATA!#REF!,1,FALSE),"")</f>
        <v/>
      </c>
      <c r="D1316" s="16" t="str">
        <f>IFERROR(VLOOKUP(C1316,DATA!#REF!,2,FALSE),"")</f>
        <v/>
      </c>
      <c r="I1316" s="17"/>
      <c r="J1316" s="17"/>
      <c r="P1316" s="17"/>
      <c r="Q1316" s="17"/>
    </row>
    <row r="1317" spans="2:17">
      <c r="B1317" s="15" t="str">
        <f t="shared" si="70"/>
        <v/>
      </c>
      <c r="C1317" s="16" t="str">
        <f>IFERROR(VLOOKUP(DATA!#REF!,DATA!#REF!,1,FALSE),"")</f>
        <v/>
      </c>
      <c r="D1317" s="16" t="str">
        <f>IFERROR(VLOOKUP(C1317,DATA!#REF!,2,FALSE),"")</f>
        <v/>
      </c>
      <c r="I1317" s="17"/>
      <c r="J1317" s="17"/>
      <c r="P1317" s="17"/>
      <c r="Q1317" s="17"/>
    </row>
    <row r="1318" spans="2:17">
      <c r="B1318" s="15" t="str">
        <f t="shared" si="70"/>
        <v/>
      </c>
      <c r="C1318" s="16" t="str">
        <f>IFERROR(VLOOKUP(DATA!#REF!,DATA!#REF!,1,FALSE),"")</f>
        <v/>
      </c>
      <c r="D1318" s="16" t="str">
        <f>IFERROR(VLOOKUP(C1318,DATA!#REF!,2,FALSE),"")</f>
        <v/>
      </c>
      <c r="I1318" s="17"/>
      <c r="J1318" s="17"/>
      <c r="P1318" s="17"/>
      <c r="Q1318" s="17"/>
    </row>
    <row r="1319" spans="2:17">
      <c r="B1319" s="15" t="str">
        <f t="shared" si="70"/>
        <v/>
      </c>
      <c r="C1319" s="16" t="str">
        <f>IFERROR(VLOOKUP(DATA!#REF!,DATA!#REF!,1,FALSE),"")</f>
        <v/>
      </c>
      <c r="D1319" s="16" t="str">
        <f>IFERROR(VLOOKUP(C1319,DATA!#REF!,2,FALSE),"")</f>
        <v/>
      </c>
      <c r="I1319" s="17"/>
      <c r="J1319" s="17"/>
      <c r="P1319" s="17"/>
      <c r="Q1319" s="17"/>
    </row>
    <row r="1320" spans="2:17">
      <c r="B1320" s="15" t="str">
        <f t="shared" si="70"/>
        <v/>
      </c>
      <c r="C1320" s="16" t="str">
        <f>IFERROR(VLOOKUP(DATA!#REF!,DATA!#REF!,1,FALSE),"")</f>
        <v/>
      </c>
      <c r="D1320" s="16" t="str">
        <f>IFERROR(VLOOKUP(C1320,DATA!#REF!,2,FALSE),"")</f>
        <v/>
      </c>
      <c r="I1320" s="17"/>
      <c r="J1320" s="17"/>
      <c r="P1320" s="17"/>
      <c r="Q1320" s="17"/>
    </row>
    <row r="1321" spans="2:17">
      <c r="B1321" s="15" t="str">
        <f t="shared" si="70"/>
        <v/>
      </c>
      <c r="C1321" s="16" t="str">
        <f>IFERROR(VLOOKUP(DATA!#REF!,DATA!#REF!,1,FALSE),"")</f>
        <v/>
      </c>
      <c r="D1321" s="16" t="str">
        <f>IFERROR(VLOOKUP(C1321,DATA!#REF!,2,FALSE),"")</f>
        <v/>
      </c>
      <c r="I1321" s="17"/>
      <c r="J1321" s="17"/>
      <c r="P1321" s="17"/>
      <c r="Q1321" s="17"/>
    </row>
    <row r="1322" spans="2:17">
      <c r="B1322" s="15" t="str">
        <f t="shared" si="70"/>
        <v/>
      </c>
      <c r="C1322" s="16" t="str">
        <f>IFERROR(VLOOKUP(DATA!#REF!,DATA!#REF!,1,FALSE),"")</f>
        <v/>
      </c>
      <c r="D1322" s="16" t="str">
        <f>IFERROR(VLOOKUP(C1322,DATA!#REF!,2,FALSE),"")</f>
        <v/>
      </c>
      <c r="I1322" s="17"/>
      <c r="J1322" s="17"/>
      <c r="P1322" s="17"/>
      <c r="Q1322" s="17"/>
    </row>
    <row r="1323" spans="2:17">
      <c r="B1323" s="15" t="str">
        <f t="shared" si="70"/>
        <v/>
      </c>
      <c r="C1323" s="16" t="str">
        <f>IFERROR(VLOOKUP(DATA!#REF!,DATA!#REF!,1,FALSE),"")</f>
        <v/>
      </c>
      <c r="D1323" s="16" t="str">
        <f>IFERROR(VLOOKUP(C1323,DATA!#REF!,2,FALSE),"")</f>
        <v/>
      </c>
      <c r="I1323" s="17"/>
      <c r="J1323" s="17"/>
      <c r="P1323" s="17"/>
      <c r="Q1323" s="17"/>
    </row>
    <row r="1324" spans="2:17">
      <c r="B1324" s="15" t="str">
        <f t="shared" si="70"/>
        <v/>
      </c>
      <c r="C1324" s="16" t="str">
        <f>IFERROR(VLOOKUP(DATA!#REF!,DATA!#REF!,1,FALSE),"")</f>
        <v/>
      </c>
      <c r="D1324" s="16" t="str">
        <f>IFERROR(VLOOKUP(C1324,DATA!#REF!,2,FALSE),"")</f>
        <v/>
      </c>
      <c r="I1324" s="17"/>
      <c r="J1324" s="17"/>
      <c r="P1324" s="17"/>
      <c r="Q1324" s="17"/>
    </row>
    <row r="1325" spans="2:17">
      <c r="B1325" s="15" t="str">
        <f t="shared" si="70"/>
        <v/>
      </c>
      <c r="C1325" s="16" t="str">
        <f>IFERROR(VLOOKUP(DATA!#REF!,DATA!#REF!,1,FALSE),"")</f>
        <v/>
      </c>
      <c r="D1325" s="16" t="str">
        <f>IFERROR(VLOOKUP(C1325,DATA!#REF!,2,FALSE),"")</f>
        <v/>
      </c>
      <c r="I1325" s="17"/>
      <c r="J1325" s="17"/>
      <c r="P1325" s="17"/>
      <c r="Q1325" s="17"/>
    </row>
    <row r="1326" spans="2:17">
      <c r="B1326" s="15" t="str">
        <f t="shared" si="70"/>
        <v/>
      </c>
      <c r="C1326" s="16" t="str">
        <f>IFERROR(VLOOKUP(DATA!#REF!,DATA!#REF!,1,FALSE),"")</f>
        <v/>
      </c>
      <c r="D1326" s="16" t="str">
        <f>IFERROR(VLOOKUP(C1326,DATA!#REF!,2,FALSE),"")</f>
        <v/>
      </c>
      <c r="I1326" s="17"/>
      <c r="J1326" s="17"/>
      <c r="P1326" s="17"/>
      <c r="Q1326" s="17"/>
    </row>
    <row r="1327" spans="2:17">
      <c r="B1327" s="15" t="str">
        <f t="shared" si="70"/>
        <v/>
      </c>
      <c r="C1327" s="16" t="str">
        <f>IFERROR(VLOOKUP(DATA!#REF!,DATA!#REF!,1,FALSE),"")</f>
        <v/>
      </c>
      <c r="D1327" s="16" t="str">
        <f>IFERROR(VLOOKUP(C1327,DATA!#REF!,2,FALSE),"")</f>
        <v/>
      </c>
      <c r="I1327" s="17"/>
      <c r="J1327" s="17"/>
      <c r="P1327" s="17"/>
      <c r="Q1327" s="17"/>
    </row>
    <row r="1328" spans="2:17">
      <c r="B1328" s="15" t="str">
        <f t="shared" si="70"/>
        <v/>
      </c>
      <c r="C1328" s="16" t="str">
        <f>IFERROR(VLOOKUP(DATA!#REF!,DATA!#REF!,1,FALSE),"")</f>
        <v/>
      </c>
      <c r="D1328" s="16" t="str">
        <f>IFERROR(VLOOKUP(C1328,DATA!#REF!,2,FALSE),"")</f>
        <v/>
      </c>
      <c r="I1328" s="17"/>
      <c r="J1328" s="17"/>
      <c r="P1328" s="17"/>
      <c r="Q1328" s="17"/>
    </row>
    <row r="1329" spans="2:17">
      <c r="B1329" s="15" t="str">
        <f t="shared" si="70"/>
        <v/>
      </c>
      <c r="C1329" s="16" t="str">
        <f>IFERROR(VLOOKUP(DATA!#REF!,DATA!#REF!,1,FALSE),"")</f>
        <v/>
      </c>
      <c r="D1329" s="16" t="str">
        <f>IFERROR(VLOOKUP(C1329,DATA!#REF!,2,FALSE),"")</f>
        <v/>
      </c>
      <c r="I1329" s="17"/>
      <c r="J1329" s="17"/>
      <c r="P1329" s="17"/>
      <c r="Q1329" s="17"/>
    </row>
    <row r="1330" spans="2:17">
      <c r="B1330" s="15" t="str">
        <f t="shared" si="70"/>
        <v/>
      </c>
      <c r="C1330" s="16" t="str">
        <f>IFERROR(VLOOKUP(DATA!#REF!,DATA!#REF!,1,FALSE),"")</f>
        <v/>
      </c>
      <c r="D1330" s="16" t="str">
        <f>IFERROR(VLOOKUP(C1330,DATA!#REF!,2,FALSE),"")</f>
        <v/>
      </c>
      <c r="I1330" s="17"/>
      <c r="J1330" s="17"/>
      <c r="P1330" s="17"/>
      <c r="Q1330" s="17"/>
    </row>
    <row r="1331" spans="2:17">
      <c r="B1331" s="15" t="str">
        <f t="shared" si="70"/>
        <v/>
      </c>
      <c r="C1331" s="16" t="str">
        <f>IFERROR(VLOOKUP(DATA!#REF!,DATA!#REF!,1,FALSE),"")</f>
        <v/>
      </c>
      <c r="D1331" s="16" t="str">
        <f>IFERROR(VLOOKUP(C1331,DATA!#REF!,2,FALSE),"")</f>
        <v/>
      </c>
      <c r="I1331" s="17"/>
      <c r="J1331" s="17"/>
      <c r="P1331" s="17"/>
      <c r="Q1331" s="17"/>
    </row>
    <row r="1332" spans="2:17">
      <c r="B1332" s="15" t="str">
        <f t="shared" si="70"/>
        <v/>
      </c>
      <c r="C1332" s="16" t="str">
        <f>IFERROR(VLOOKUP(DATA!#REF!,DATA!#REF!,1,FALSE),"")</f>
        <v/>
      </c>
      <c r="D1332" s="16" t="str">
        <f>IFERROR(VLOOKUP(C1332,DATA!#REF!,2,FALSE),"")</f>
        <v/>
      </c>
      <c r="I1332" s="17"/>
      <c r="J1332" s="17"/>
      <c r="P1332" s="17"/>
      <c r="Q1332" s="17"/>
    </row>
    <row r="1333" spans="2:17">
      <c r="B1333" s="15" t="str">
        <f t="shared" si="70"/>
        <v/>
      </c>
      <c r="C1333" s="16" t="str">
        <f>IFERROR(VLOOKUP(DATA!#REF!,DATA!#REF!,1,FALSE),"")</f>
        <v/>
      </c>
      <c r="D1333" s="16" t="str">
        <f>IFERROR(VLOOKUP(C1333,DATA!#REF!,2,FALSE),"")</f>
        <v/>
      </c>
      <c r="I1333" s="17"/>
      <c r="J1333" s="17"/>
      <c r="P1333" s="17"/>
      <c r="Q1333" s="17"/>
    </row>
    <row r="1334" spans="2:17">
      <c r="B1334" s="15" t="str">
        <f t="shared" si="70"/>
        <v/>
      </c>
      <c r="C1334" s="16" t="str">
        <f>IFERROR(VLOOKUP(DATA!#REF!,DATA!#REF!,1,FALSE),"")</f>
        <v/>
      </c>
      <c r="D1334" s="16" t="str">
        <f>IFERROR(VLOOKUP(C1334,DATA!#REF!,2,FALSE),"")</f>
        <v/>
      </c>
      <c r="I1334" s="17"/>
      <c r="J1334" s="17"/>
      <c r="P1334" s="17"/>
      <c r="Q1334" s="17"/>
    </row>
    <row r="1335" spans="2:17">
      <c r="B1335" s="15" t="str">
        <f t="shared" ref="B1335:B1398" si="71">+IF(C1335="","",ROW()-5)</f>
        <v/>
      </c>
      <c r="C1335" s="16" t="str">
        <f>IFERROR(VLOOKUP(DATA!#REF!,DATA!#REF!,1,FALSE),"")</f>
        <v/>
      </c>
      <c r="D1335" s="16" t="str">
        <f>IFERROR(VLOOKUP(C1335,DATA!#REF!,2,FALSE),"")</f>
        <v/>
      </c>
      <c r="I1335" s="17"/>
      <c r="J1335" s="17"/>
      <c r="P1335" s="17"/>
      <c r="Q1335" s="17"/>
    </row>
    <row r="1336" spans="2:17">
      <c r="B1336" s="15" t="str">
        <f t="shared" si="71"/>
        <v/>
      </c>
      <c r="C1336" s="16" t="str">
        <f>IFERROR(VLOOKUP(DATA!#REF!,DATA!#REF!,1,FALSE),"")</f>
        <v/>
      </c>
      <c r="D1336" s="16" t="str">
        <f>IFERROR(VLOOKUP(C1336,DATA!#REF!,2,FALSE),"")</f>
        <v/>
      </c>
      <c r="I1336" s="17"/>
      <c r="J1336" s="17"/>
      <c r="P1336" s="17"/>
      <c r="Q1336" s="17"/>
    </row>
    <row r="1337" spans="2:17">
      <c r="B1337" s="15" t="str">
        <f t="shared" si="71"/>
        <v/>
      </c>
      <c r="C1337" s="16" t="str">
        <f>IFERROR(VLOOKUP(DATA!#REF!,DATA!#REF!,1,FALSE),"")</f>
        <v/>
      </c>
      <c r="D1337" s="16" t="str">
        <f>IFERROR(VLOOKUP(C1337,DATA!#REF!,2,FALSE),"")</f>
        <v/>
      </c>
      <c r="I1337" s="17"/>
      <c r="J1337" s="17"/>
      <c r="P1337" s="17"/>
      <c r="Q1337" s="17"/>
    </row>
    <row r="1338" spans="2:17">
      <c r="B1338" s="15" t="str">
        <f t="shared" si="71"/>
        <v/>
      </c>
      <c r="C1338" s="16" t="str">
        <f>IFERROR(VLOOKUP(DATA!#REF!,DATA!#REF!,1,FALSE),"")</f>
        <v/>
      </c>
      <c r="D1338" s="16" t="str">
        <f>IFERROR(VLOOKUP(C1338,DATA!#REF!,2,FALSE),"")</f>
        <v/>
      </c>
      <c r="I1338" s="17"/>
      <c r="J1338" s="17"/>
      <c r="P1338" s="17"/>
      <c r="Q1338" s="17"/>
    </row>
    <row r="1339" spans="2:17">
      <c r="B1339" s="15" t="str">
        <f t="shared" si="71"/>
        <v/>
      </c>
      <c r="C1339" s="16" t="str">
        <f>IFERROR(VLOOKUP(DATA!#REF!,DATA!#REF!,1,FALSE),"")</f>
        <v/>
      </c>
      <c r="D1339" s="16" t="str">
        <f>IFERROR(VLOOKUP(C1339,DATA!#REF!,2,FALSE),"")</f>
        <v/>
      </c>
      <c r="I1339" s="17"/>
      <c r="J1339" s="17"/>
      <c r="P1339" s="17"/>
      <c r="Q1339" s="17"/>
    </row>
    <row r="1340" spans="2:17">
      <c r="B1340" s="15" t="str">
        <f t="shared" si="71"/>
        <v/>
      </c>
      <c r="C1340" s="16" t="str">
        <f>IFERROR(VLOOKUP(DATA!#REF!,DATA!#REF!,1,FALSE),"")</f>
        <v/>
      </c>
      <c r="D1340" s="16" t="str">
        <f>IFERROR(VLOOKUP(C1340,DATA!#REF!,2,FALSE),"")</f>
        <v/>
      </c>
      <c r="I1340" s="17"/>
      <c r="J1340" s="17"/>
      <c r="P1340" s="17"/>
      <c r="Q1340" s="17"/>
    </row>
    <row r="1341" spans="2:17">
      <c r="B1341" s="15" t="str">
        <f t="shared" si="71"/>
        <v/>
      </c>
      <c r="C1341" s="16" t="str">
        <f>IFERROR(VLOOKUP(DATA!#REF!,DATA!#REF!,1,FALSE),"")</f>
        <v/>
      </c>
      <c r="D1341" s="16" t="str">
        <f>IFERROR(VLOOKUP(C1341,DATA!#REF!,2,FALSE),"")</f>
        <v/>
      </c>
      <c r="I1341" s="17"/>
      <c r="J1341" s="17"/>
      <c r="P1341" s="17"/>
      <c r="Q1341" s="17"/>
    </row>
    <row r="1342" spans="2:17">
      <c r="B1342" s="15" t="str">
        <f t="shared" si="71"/>
        <v/>
      </c>
      <c r="C1342" s="16" t="str">
        <f>IFERROR(VLOOKUP(DATA!#REF!,DATA!#REF!,1,FALSE),"")</f>
        <v/>
      </c>
      <c r="D1342" s="16" t="str">
        <f>IFERROR(VLOOKUP(C1342,DATA!#REF!,2,FALSE),"")</f>
        <v/>
      </c>
      <c r="I1342" s="17"/>
      <c r="J1342" s="17"/>
      <c r="P1342" s="17"/>
      <c r="Q1342" s="17"/>
    </row>
    <row r="1343" spans="2:17">
      <c r="B1343" s="15" t="str">
        <f t="shared" si="71"/>
        <v/>
      </c>
      <c r="C1343" s="16" t="str">
        <f>IFERROR(VLOOKUP(DATA!#REF!,DATA!#REF!,1,FALSE),"")</f>
        <v/>
      </c>
      <c r="D1343" s="16" t="str">
        <f>IFERROR(VLOOKUP(C1343,DATA!#REF!,2,FALSE),"")</f>
        <v/>
      </c>
      <c r="I1343" s="17"/>
      <c r="J1343" s="17"/>
      <c r="P1343" s="17"/>
      <c r="Q1343" s="17"/>
    </row>
    <row r="1344" spans="2:17">
      <c r="B1344" s="15" t="str">
        <f t="shared" si="71"/>
        <v/>
      </c>
      <c r="C1344" s="16" t="str">
        <f>IFERROR(VLOOKUP(DATA!#REF!,DATA!#REF!,1,FALSE),"")</f>
        <v/>
      </c>
      <c r="D1344" s="16" t="str">
        <f>IFERROR(VLOOKUP(C1344,DATA!#REF!,2,FALSE),"")</f>
        <v/>
      </c>
      <c r="I1344" s="17"/>
      <c r="J1344" s="17"/>
      <c r="P1344" s="17"/>
      <c r="Q1344" s="17"/>
    </row>
    <row r="1345" spans="2:17">
      <c r="B1345" s="15" t="str">
        <f t="shared" si="71"/>
        <v/>
      </c>
      <c r="C1345" s="16" t="str">
        <f>IFERROR(VLOOKUP(DATA!#REF!,DATA!#REF!,1,FALSE),"")</f>
        <v/>
      </c>
      <c r="D1345" s="16" t="str">
        <f>IFERROR(VLOOKUP(C1345,DATA!#REF!,2,FALSE),"")</f>
        <v/>
      </c>
      <c r="I1345" s="17"/>
      <c r="J1345" s="17"/>
      <c r="P1345" s="17"/>
      <c r="Q1345" s="17"/>
    </row>
    <row r="1346" spans="2:17">
      <c r="B1346" s="15" t="str">
        <f t="shared" si="71"/>
        <v/>
      </c>
      <c r="C1346" s="16" t="str">
        <f>IFERROR(VLOOKUP(DATA!#REF!,DATA!#REF!,1,FALSE),"")</f>
        <v/>
      </c>
      <c r="D1346" s="16" t="str">
        <f>IFERROR(VLOOKUP(C1346,DATA!#REF!,2,FALSE),"")</f>
        <v/>
      </c>
      <c r="I1346" s="17"/>
      <c r="J1346" s="17"/>
      <c r="P1346" s="17"/>
      <c r="Q1346" s="17"/>
    </row>
    <row r="1347" spans="2:17">
      <c r="B1347" s="15" t="str">
        <f t="shared" si="71"/>
        <v/>
      </c>
      <c r="C1347" s="16" t="str">
        <f>IFERROR(VLOOKUP(DATA!#REF!,DATA!#REF!,1,FALSE),"")</f>
        <v/>
      </c>
      <c r="D1347" s="16" t="str">
        <f>IFERROR(VLOOKUP(C1347,DATA!#REF!,2,FALSE),"")</f>
        <v/>
      </c>
      <c r="I1347" s="17"/>
      <c r="J1347" s="17"/>
      <c r="P1347" s="17"/>
      <c r="Q1347" s="17"/>
    </row>
    <row r="1348" spans="2:17">
      <c r="B1348" s="15" t="str">
        <f t="shared" si="71"/>
        <v/>
      </c>
      <c r="C1348" s="16" t="str">
        <f>IFERROR(VLOOKUP(DATA!#REF!,DATA!#REF!,1,FALSE),"")</f>
        <v/>
      </c>
      <c r="D1348" s="16" t="str">
        <f>IFERROR(VLOOKUP(C1348,DATA!#REF!,2,FALSE),"")</f>
        <v/>
      </c>
      <c r="I1348" s="17"/>
      <c r="J1348" s="17"/>
      <c r="P1348" s="17"/>
      <c r="Q1348" s="17"/>
    </row>
    <row r="1349" spans="2:17">
      <c r="B1349" s="15" t="str">
        <f t="shared" si="71"/>
        <v/>
      </c>
      <c r="C1349" s="16" t="str">
        <f>IFERROR(VLOOKUP(DATA!#REF!,DATA!#REF!,1,FALSE),"")</f>
        <v/>
      </c>
      <c r="D1349" s="16" t="str">
        <f>IFERROR(VLOOKUP(C1349,DATA!#REF!,2,FALSE),"")</f>
        <v/>
      </c>
      <c r="I1349" s="17"/>
      <c r="J1349" s="17"/>
      <c r="P1349" s="17"/>
      <c r="Q1349" s="17"/>
    </row>
    <row r="1350" spans="2:17">
      <c r="B1350" s="15" t="str">
        <f t="shared" si="71"/>
        <v/>
      </c>
      <c r="C1350" s="16" t="str">
        <f>IFERROR(VLOOKUP(DATA!#REF!,DATA!#REF!,1,FALSE),"")</f>
        <v/>
      </c>
      <c r="D1350" s="16" t="str">
        <f>IFERROR(VLOOKUP(C1350,DATA!#REF!,2,FALSE),"")</f>
        <v/>
      </c>
      <c r="I1350" s="17"/>
      <c r="J1350" s="17"/>
      <c r="P1350" s="17"/>
      <c r="Q1350" s="17"/>
    </row>
    <row r="1351" spans="2:17">
      <c r="B1351" s="15" t="str">
        <f t="shared" si="71"/>
        <v/>
      </c>
      <c r="C1351" s="16" t="str">
        <f>IFERROR(VLOOKUP(DATA!#REF!,DATA!#REF!,1,FALSE),"")</f>
        <v/>
      </c>
      <c r="D1351" s="16" t="str">
        <f>IFERROR(VLOOKUP(C1351,DATA!#REF!,2,FALSE),"")</f>
        <v/>
      </c>
      <c r="I1351" s="17"/>
      <c r="J1351" s="17"/>
      <c r="P1351" s="17"/>
      <c r="Q1351" s="17"/>
    </row>
    <row r="1352" spans="2:17">
      <c r="B1352" s="15" t="str">
        <f t="shared" si="71"/>
        <v/>
      </c>
      <c r="C1352" s="16" t="str">
        <f>IFERROR(VLOOKUP(DATA!#REF!,DATA!#REF!,1,FALSE),"")</f>
        <v/>
      </c>
      <c r="D1352" s="16" t="str">
        <f>IFERROR(VLOOKUP(C1352,DATA!#REF!,2,FALSE),"")</f>
        <v/>
      </c>
      <c r="I1352" s="17"/>
      <c r="J1352" s="17"/>
      <c r="P1352" s="17"/>
      <c r="Q1352" s="17"/>
    </row>
    <row r="1353" spans="2:17">
      <c r="B1353" s="15" t="str">
        <f t="shared" si="71"/>
        <v/>
      </c>
      <c r="C1353" s="16" t="str">
        <f>IFERROR(VLOOKUP(DATA!#REF!,DATA!#REF!,1,FALSE),"")</f>
        <v/>
      </c>
      <c r="D1353" s="16" t="str">
        <f>IFERROR(VLOOKUP(C1353,DATA!#REF!,2,FALSE),"")</f>
        <v/>
      </c>
      <c r="I1353" s="17"/>
      <c r="J1353" s="17"/>
      <c r="P1353" s="17"/>
      <c r="Q1353" s="17"/>
    </row>
    <row r="1354" spans="2:17">
      <c r="B1354" s="15" t="str">
        <f t="shared" si="71"/>
        <v/>
      </c>
      <c r="C1354" s="16" t="str">
        <f>IFERROR(VLOOKUP(DATA!#REF!,DATA!#REF!,1,FALSE),"")</f>
        <v/>
      </c>
      <c r="D1354" s="16" t="str">
        <f>IFERROR(VLOOKUP(C1354,DATA!#REF!,2,FALSE),"")</f>
        <v/>
      </c>
      <c r="I1354" s="17"/>
      <c r="J1354" s="17"/>
      <c r="P1354" s="17"/>
      <c r="Q1354" s="17"/>
    </row>
    <row r="1355" spans="2:17">
      <c r="B1355" s="15" t="str">
        <f t="shared" si="71"/>
        <v/>
      </c>
      <c r="C1355" s="16" t="str">
        <f>IFERROR(VLOOKUP(DATA!#REF!,DATA!#REF!,1,FALSE),"")</f>
        <v/>
      </c>
      <c r="D1355" s="16" t="str">
        <f>IFERROR(VLOOKUP(C1355,DATA!#REF!,2,FALSE),"")</f>
        <v/>
      </c>
      <c r="I1355" s="17"/>
      <c r="J1355" s="17"/>
      <c r="P1355" s="17"/>
      <c r="Q1355" s="17"/>
    </row>
    <row r="1356" spans="2:17">
      <c r="B1356" s="15" t="str">
        <f t="shared" si="71"/>
        <v/>
      </c>
      <c r="C1356" s="16" t="str">
        <f>IFERROR(VLOOKUP(DATA!#REF!,DATA!#REF!,1,FALSE),"")</f>
        <v/>
      </c>
      <c r="D1356" s="16" t="str">
        <f>IFERROR(VLOOKUP(C1356,DATA!#REF!,2,FALSE),"")</f>
        <v/>
      </c>
      <c r="I1356" s="17"/>
      <c r="J1356" s="17"/>
      <c r="P1356" s="17"/>
      <c r="Q1356" s="17"/>
    </row>
    <row r="1357" spans="2:17">
      <c r="B1357" s="15" t="str">
        <f t="shared" si="71"/>
        <v/>
      </c>
      <c r="C1357" s="16" t="str">
        <f>IFERROR(VLOOKUP(DATA!#REF!,DATA!#REF!,1,FALSE),"")</f>
        <v/>
      </c>
      <c r="D1357" s="16" t="str">
        <f>IFERROR(VLOOKUP(C1357,DATA!#REF!,2,FALSE),"")</f>
        <v/>
      </c>
      <c r="I1357" s="17"/>
      <c r="J1357" s="17"/>
      <c r="P1357" s="17"/>
      <c r="Q1357" s="17"/>
    </row>
    <row r="1358" spans="2:17">
      <c r="B1358" s="15" t="str">
        <f t="shared" si="71"/>
        <v/>
      </c>
      <c r="C1358" s="16" t="str">
        <f>IFERROR(VLOOKUP(DATA!#REF!,DATA!#REF!,1,FALSE),"")</f>
        <v/>
      </c>
      <c r="D1358" s="16" t="str">
        <f>IFERROR(VLOOKUP(C1358,DATA!#REF!,2,FALSE),"")</f>
        <v/>
      </c>
      <c r="I1358" s="17"/>
      <c r="J1358" s="17"/>
      <c r="P1358" s="17"/>
      <c r="Q1358" s="17"/>
    </row>
    <row r="1359" spans="2:17">
      <c r="B1359" s="15" t="str">
        <f t="shared" si="71"/>
        <v/>
      </c>
      <c r="C1359" s="16" t="str">
        <f>IFERROR(VLOOKUP(DATA!#REF!,DATA!#REF!,1,FALSE),"")</f>
        <v/>
      </c>
      <c r="D1359" s="16" t="str">
        <f>IFERROR(VLOOKUP(C1359,DATA!#REF!,2,FALSE),"")</f>
        <v/>
      </c>
      <c r="I1359" s="17"/>
      <c r="J1359" s="17"/>
      <c r="P1359" s="17"/>
      <c r="Q1359" s="17"/>
    </row>
    <row r="1360" spans="2:17">
      <c r="B1360" s="15" t="str">
        <f t="shared" si="71"/>
        <v/>
      </c>
      <c r="C1360" s="16" t="str">
        <f>IFERROR(VLOOKUP(DATA!#REF!,DATA!#REF!,1,FALSE),"")</f>
        <v/>
      </c>
      <c r="D1360" s="16" t="str">
        <f>IFERROR(VLOOKUP(C1360,DATA!#REF!,2,FALSE),"")</f>
        <v/>
      </c>
      <c r="I1360" s="17"/>
      <c r="J1360" s="17"/>
      <c r="P1360" s="17"/>
      <c r="Q1360" s="17"/>
    </row>
    <row r="1361" spans="2:17">
      <c r="B1361" s="15" t="str">
        <f t="shared" si="71"/>
        <v/>
      </c>
      <c r="C1361" s="16" t="str">
        <f>IFERROR(VLOOKUP(DATA!#REF!,DATA!#REF!,1,FALSE),"")</f>
        <v/>
      </c>
      <c r="D1361" s="16" t="str">
        <f>IFERROR(VLOOKUP(C1361,DATA!#REF!,2,FALSE),"")</f>
        <v/>
      </c>
      <c r="I1361" s="17"/>
      <c r="J1361" s="17"/>
      <c r="P1361" s="17"/>
      <c r="Q1361" s="17"/>
    </row>
    <row r="1362" spans="2:17">
      <c r="B1362" s="15" t="str">
        <f t="shared" si="71"/>
        <v/>
      </c>
      <c r="C1362" s="16" t="str">
        <f>IFERROR(VLOOKUP(DATA!#REF!,DATA!#REF!,1,FALSE),"")</f>
        <v/>
      </c>
      <c r="D1362" s="16" t="str">
        <f>IFERROR(VLOOKUP(C1362,DATA!#REF!,2,FALSE),"")</f>
        <v/>
      </c>
      <c r="I1362" s="17"/>
      <c r="J1362" s="17"/>
      <c r="P1362" s="17"/>
      <c r="Q1362" s="17"/>
    </row>
    <row r="1363" spans="2:17">
      <c r="B1363" s="15" t="str">
        <f t="shared" si="71"/>
        <v/>
      </c>
      <c r="C1363" s="16" t="str">
        <f>IFERROR(VLOOKUP(DATA!#REF!,DATA!#REF!,1,FALSE),"")</f>
        <v/>
      </c>
      <c r="D1363" s="16" t="str">
        <f>IFERROR(VLOOKUP(C1363,DATA!#REF!,2,FALSE),"")</f>
        <v/>
      </c>
      <c r="I1363" s="17"/>
      <c r="J1363" s="17"/>
      <c r="P1363" s="17"/>
      <c r="Q1363" s="17"/>
    </row>
    <row r="1364" spans="2:17">
      <c r="B1364" s="15" t="str">
        <f t="shared" si="71"/>
        <v/>
      </c>
      <c r="C1364" s="16" t="str">
        <f>IFERROR(VLOOKUP(DATA!#REF!,DATA!#REF!,1,FALSE),"")</f>
        <v/>
      </c>
      <c r="D1364" s="16" t="str">
        <f>IFERROR(VLOOKUP(C1364,DATA!#REF!,2,FALSE),"")</f>
        <v/>
      </c>
      <c r="I1364" s="17"/>
      <c r="J1364" s="17"/>
      <c r="P1364" s="17"/>
      <c r="Q1364" s="17"/>
    </row>
    <row r="1365" spans="2:17">
      <c r="B1365" s="15" t="str">
        <f t="shared" si="71"/>
        <v/>
      </c>
      <c r="C1365" s="16" t="str">
        <f>IFERROR(VLOOKUP(DATA!#REF!,DATA!#REF!,1,FALSE),"")</f>
        <v/>
      </c>
      <c r="D1365" s="16" t="str">
        <f>IFERROR(VLOOKUP(C1365,DATA!#REF!,2,FALSE),"")</f>
        <v/>
      </c>
      <c r="I1365" s="17"/>
      <c r="J1365" s="17"/>
      <c r="P1365" s="17"/>
      <c r="Q1365" s="17"/>
    </row>
    <row r="1366" spans="2:17">
      <c r="B1366" s="15" t="str">
        <f t="shared" si="71"/>
        <v/>
      </c>
      <c r="C1366" s="16" t="str">
        <f>IFERROR(VLOOKUP(DATA!#REF!,DATA!#REF!,1,FALSE),"")</f>
        <v/>
      </c>
      <c r="D1366" s="16" t="str">
        <f>IFERROR(VLOOKUP(C1366,DATA!#REF!,2,FALSE),"")</f>
        <v/>
      </c>
      <c r="I1366" s="17"/>
      <c r="J1366" s="17"/>
      <c r="P1366" s="17"/>
      <c r="Q1366" s="17"/>
    </row>
    <row r="1367" spans="2:17">
      <c r="B1367" s="15" t="str">
        <f t="shared" si="71"/>
        <v/>
      </c>
      <c r="C1367" s="16" t="str">
        <f>IFERROR(VLOOKUP(DATA!#REF!,DATA!#REF!,1,FALSE),"")</f>
        <v/>
      </c>
      <c r="D1367" s="16" t="str">
        <f>IFERROR(VLOOKUP(C1367,DATA!#REF!,2,FALSE),"")</f>
        <v/>
      </c>
      <c r="I1367" s="17"/>
      <c r="J1367" s="17"/>
      <c r="P1367" s="17"/>
      <c r="Q1367" s="17"/>
    </row>
    <row r="1368" spans="2:17">
      <c r="B1368" s="15" t="str">
        <f t="shared" si="71"/>
        <v/>
      </c>
      <c r="C1368" s="16" t="str">
        <f>IFERROR(VLOOKUP(DATA!#REF!,DATA!#REF!,1,FALSE),"")</f>
        <v/>
      </c>
      <c r="D1368" s="16" t="str">
        <f>IFERROR(VLOOKUP(C1368,DATA!#REF!,2,FALSE),"")</f>
        <v/>
      </c>
      <c r="I1368" s="17"/>
      <c r="J1368" s="17"/>
      <c r="P1368" s="17"/>
      <c r="Q1368" s="17"/>
    </row>
    <row r="1369" spans="2:17">
      <c r="B1369" s="15" t="str">
        <f t="shared" si="71"/>
        <v/>
      </c>
      <c r="C1369" s="16" t="str">
        <f>IFERROR(VLOOKUP(DATA!#REF!,DATA!#REF!,1,FALSE),"")</f>
        <v/>
      </c>
      <c r="D1369" s="16" t="str">
        <f>IFERROR(VLOOKUP(C1369,DATA!#REF!,2,FALSE),"")</f>
        <v/>
      </c>
      <c r="I1369" s="17"/>
      <c r="J1369" s="17"/>
      <c r="P1369" s="17"/>
      <c r="Q1369" s="17"/>
    </row>
    <row r="1370" spans="2:17">
      <c r="B1370" s="15" t="str">
        <f t="shared" si="71"/>
        <v/>
      </c>
      <c r="C1370" s="16" t="str">
        <f>IFERROR(VLOOKUP(DATA!#REF!,DATA!#REF!,1,FALSE),"")</f>
        <v/>
      </c>
      <c r="D1370" s="16" t="str">
        <f>IFERROR(VLOOKUP(C1370,DATA!#REF!,2,FALSE),"")</f>
        <v/>
      </c>
      <c r="I1370" s="17"/>
      <c r="J1370" s="17"/>
      <c r="P1370" s="17"/>
      <c r="Q1370" s="17"/>
    </row>
    <row r="1371" spans="2:17">
      <c r="B1371" s="15" t="str">
        <f t="shared" si="71"/>
        <v/>
      </c>
      <c r="C1371" s="16" t="str">
        <f>IFERROR(VLOOKUP(DATA!#REF!,DATA!#REF!,1,FALSE),"")</f>
        <v/>
      </c>
      <c r="D1371" s="16" t="str">
        <f>IFERROR(VLOOKUP(C1371,DATA!#REF!,2,FALSE),"")</f>
        <v/>
      </c>
      <c r="I1371" s="17"/>
      <c r="J1371" s="17"/>
      <c r="P1371" s="17"/>
      <c r="Q1371" s="17"/>
    </row>
    <row r="1372" spans="2:17">
      <c r="B1372" s="15" t="str">
        <f t="shared" si="71"/>
        <v/>
      </c>
      <c r="C1372" s="16" t="str">
        <f>IFERROR(VLOOKUP(DATA!#REF!,DATA!#REF!,1,FALSE),"")</f>
        <v/>
      </c>
      <c r="D1372" s="16" t="str">
        <f>IFERROR(VLOOKUP(C1372,DATA!#REF!,2,FALSE),"")</f>
        <v/>
      </c>
      <c r="I1372" s="17"/>
      <c r="J1372" s="17"/>
      <c r="P1372" s="17"/>
      <c r="Q1372" s="17"/>
    </row>
    <row r="1373" spans="2:17">
      <c r="B1373" s="15" t="str">
        <f t="shared" si="71"/>
        <v/>
      </c>
      <c r="C1373" s="16" t="str">
        <f>IFERROR(VLOOKUP(DATA!#REF!,DATA!#REF!,1,FALSE),"")</f>
        <v/>
      </c>
      <c r="D1373" s="16" t="str">
        <f>IFERROR(VLOOKUP(C1373,DATA!#REF!,2,FALSE),"")</f>
        <v/>
      </c>
      <c r="I1373" s="17"/>
      <c r="J1373" s="17"/>
      <c r="P1373" s="17"/>
      <c r="Q1373" s="17"/>
    </row>
    <row r="1374" spans="2:17">
      <c r="B1374" s="15" t="str">
        <f t="shared" si="71"/>
        <v/>
      </c>
      <c r="C1374" s="16" t="str">
        <f>IFERROR(VLOOKUP(DATA!#REF!,DATA!#REF!,1,FALSE),"")</f>
        <v/>
      </c>
      <c r="D1374" s="16" t="str">
        <f>IFERROR(VLOOKUP(C1374,DATA!#REF!,2,FALSE),"")</f>
        <v/>
      </c>
      <c r="I1374" s="17"/>
      <c r="J1374" s="17"/>
      <c r="P1374" s="17"/>
      <c r="Q1374" s="17"/>
    </row>
    <row r="1375" spans="2:17">
      <c r="B1375" s="15" t="str">
        <f t="shared" si="71"/>
        <v/>
      </c>
      <c r="C1375" s="16" t="str">
        <f>IFERROR(VLOOKUP(DATA!#REF!,DATA!#REF!,1,FALSE),"")</f>
        <v/>
      </c>
      <c r="D1375" s="16" t="str">
        <f>IFERROR(VLOOKUP(C1375,DATA!#REF!,2,FALSE),"")</f>
        <v/>
      </c>
      <c r="I1375" s="17"/>
      <c r="J1375" s="17"/>
      <c r="P1375" s="17"/>
      <c r="Q1375" s="17"/>
    </row>
    <row r="1376" spans="2:17">
      <c r="B1376" s="15" t="str">
        <f t="shared" si="71"/>
        <v/>
      </c>
      <c r="C1376" s="16" t="str">
        <f>IFERROR(VLOOKUP(DATA!#REF!,DATA!#REF!,1,FALSE),"")</f>
        <v/>
      </c>
      <c r="D1376" s="16" t="str">
        <f>IFERROR(VLOOKUP(C1376,DATA!#REF!,2,FALSE),"")</f>
        <v/>
      </c>
      <c r="I1376" s="17"/>
      <c r="J1376" s="17"/>
      <c r="P1376" s="17"/>
      <c r="Q1376" s="17"/>
    </row>
    <row r="1377" spans="2:17">
      <c r="B1377" s="15" t="str">
        <f t="shared" si="71"/>
        <v/>
      </c>
      <c r="C1377" s="16" t="str">
        <f>IFERROR(VLOOKUP(DATA!#REF!,DATA!#REF!,1,FALSE),"")</f>
        <v/>
      </c>
      <c r="D1377" s="16" t="str">
        <f>IFERROR(VLOOKUP(C1377,DATA!#REF!,2,FALSE),"")</f>
        <v/>
      </c>
      <c r="I1377" s="17"/>
      <c r="J1377" s="17"/>
      <c r="P1377" s="17"/>
      <c r="Q1377" s="17"/>
    </row>
    <row r="1378" spans="2:17">
      <c r="B1378" s="15" t="str">
        <f t="shared" si="71"/>
        <v/>
      </c>
      <c r="C1378" s="16" t="str">
        <f>IFERROR(VLOOKUP(DATA!#REF!,DATA!#REF!,1,FALSE),"")</f>
        <v/>
      </c>
      <c r="D1378" s="16" t="str">
        <f>IFERROR(VLOOKUP(C1378,DATA!#REF!,2,FALSE),"")</f>
        <v/>
      </c>
      <c r="I1378" s="17"/>
      <c r="J1378" s="17"/>
      <c r="P1378" s="17"/>
      <c r="Q1378" s="17"/>
    </row>
    <row r="1379" spans="2:17">
      <c r="B1379" s="15" t="str">
        <f t="shared" si="71"/>
        <v/>
      </c>
      <c r="C1379" s="16" t="str">
        <f>IFERROR(VLOOKUP(DATA!#REF!,DATA!#REF!,1,FALSE),"")</f>
        <v/>
      </c>
      <c r="D1379" s="16" t="str">
        <f>IFERROR(VLOOKUP(C1379,DATA!#REF!,2,FALSE),"")</f>
        <v/>
      </c>
      <c r="I1379" s="17"/>
      <c r="J1379" s="17"/>
      <c r="P1379" s="17"/>
      <c r="Q1379" s="17"/>
    </row>
    <row r="1380" spans="2:17">
      <c r="B1380" s="15" t="str">
        <f t="shared" si="71"/>
        <v/>
      </c>
      <c r="C1380" s="16" t="str">
        <f>IFERROR(VLOOKUP(DATA!#REF!,DATA!#REF!,1,FALSE),"")</f>
        <v/>
      </c>
      <c r="D1380" s="16" t="str">
        <f>IFERROR(VLOOKUP(C1380,DATA!#REF!,2,FALSE),"")</f>
        <v/>
      </c>
      <c r="I1380" s="17"/>
      <c r="J1380" s="17"/>
      <c r="P1380" s="17"/>
      <c r="Q1380" s="17"/>
    </row>
    <row r="1381" spans="2:17">
      <c r="B1381" s="15" t="str">
        <f t="shared" si="71"/>
        <v/>
      </c>
      <c r="C1381" s="16" t="str">
        <f>IFERROR(VLOOKUP(DATA!#REF!,DATA!#REF!,1,FALSE),"")</f>
        <v/>
      </c>
      <c r="D1381" s="16" t="str">
        <f>IFERROR(VLOOKUP(C1381,DATA!#REF!,2,FALSE),"")</f>
        <v/>
      </c>
      <c r="I1381" s="17"/>
      <c r="J1381" s="17"/>
      <c r="P1381" s="17"/>
      <c r="Q1381" s="17"/>
    </row>
    <row r="1382" spans="2:17">
      <c r="B1382" s="15" t="str">
        <f t="shared" si="71"/>
        <v/>
      </c>
      <c r="C1382" s="16" t="str">
        <f>IFERROR(VLOOKUP(DATA!#REF!,DATA!#REF!,1,FALSE),"")</f>
        <v/>
      </c>
      <c r="D1382" s="16" t="str">
        <f>IFERROR(VLOOKUP(C1382,DATA!#REF!,2,FALSE),"")</f>
        <v/>
      </c>
      <c r="I1382" s="17"/>
      <c r="J1382" s="17"/>
      <c r="P1382" s="17"/>
      <c r="Q1382" s="17"/>
    </row>
    <row r="1383" spans="2:17">
      <c r="B1383" s="15" t="str">
        <f t="shared" si="71"/>
        <v/>
      </c>
      <c r="C1383" s="16" t="str">
        <f>IFERROR(VLOOKUP(DATA!#REF!,DATA!#REF!,1,FALSE),"")</f>
        <v/>
      </c>
      <c r="D1383" s="16" t="str">
        <f>IFERROR(VLOOKUP(C1383,DATA!#REF!,2,FALSE),"")</f>
        <v/>
      </c>
      <c r="I1383" s="17"/>
      <c r="J1383" s="17"/>
      <c r="P1383" s="17"/>
      <c r="Q1383" s="17"/>
    </row>
    <row r="1384" spans="2:17">
      <c r="B1384" s="15" t="str">
        <f t="shared" si="71"/>
        <v/>
      </c>
      <c r="C1384" s="16" t="str">
        <f>IFERROR(VLOOKUP(DATA!#REF!,DATA!#REF!,1,FALSE),"")</f>
        <v/>
      </c>
      <c r="D1384" s="16" t="str">
        <f>IFERROR(VLOOKUP(C1384,DATA!#REF!,2,FALSE),"")</f>
        <v/>
      </c>
      <c r="I1384" s="17"/>
      <c r="J1384" s="17"/>
      <c r="P1384" s="17"/>
      <c r="Q1384" s="17"/>
    </row>
    <row r="1385" spans="2:17">
      <c r="B1385" s="15" t="str">
        <f t="shared" si="71"/>
        <v/>
      </c>
      <c r="C1385" s="16" t="str">
        <f>IFERROR(VLOOKUP(DATA!#REF!,DATA!#REF!,1,FALSE),"")</f>
        <v/>
      </c>
      <c r="D1385" s="16" t="str">
        <f>IFERROR(VLOOKUP(C1385,DATA!#REF!,2,FALSE),"")</f>
        <v/>
      </c>
      <c r="I1385" s="17"/>
      <c r="J1385" s="17"/>
      <c r="P1385" s="17"/>
      <c r="Q1385" s="17"/>
    </row>
    <row r="1386" spans="2:17">
      <c r="B1386" s="15" t="str">
        <f t="shared" si="71"/>
        <v/>
      </c>
      <c r="C1386" s="16" t="str">
        <f>IFERROR(VLOOKUP(DATA!#REF!,DATA!#REF!,1,FALSE),"")</f>
        <v/>
      </c>
      <c r="D1386" s="16" t="str">
        <f>IFERROR(VLOOKUP(C1386,DATA!#REF!,2,FALSE),"")</f>
        <v/>
      </c>
      <c r="I1386" s="17"/>
      <c r="J1386" s="17"/>
      <c r="P1386" s="17"/>
      <c r="Q1386" s="17"/>
    </row>
    <row r="1387" spans="2:17">
      <c r="B1387" s="15" t="str">
        <f t="shared" si="71"/>
        <v/>
      </c>
      <c r="C1387" s="16" t="str">
        <f>IFERROR(VLOOKUP(DATA!#REF!,DATA!#REF!,1,FALSE),"")</f>
        <v/>
      </c>
      <c r="D1387" s="16" t="str">
        <f>IFERROR(VLOOKUP(C1387,DATA!#REF!,2,FALSE),"")</f>
        <v/>
      </c>
      <c r="I1387" s="17"/>
      <c r="J1387" s="17"/>
      <c r="P1387" s="17"/>
      <c r="Q1387" s="17"/>
    </row>
    <row r="1388" spans="2:17">
      <c r="B1388" s="15" t="str">
        <f t="shared" si="71"/>
        <v/>
      </c>
      <c r="C1388" s="16" t="str">
        <f>IFERROR(VLOOKUP(DATA!#REF!,DATA!#REF!,1,FALSE),"")</f>
        <v/>
      </c>
      <c r="D1388" s="16" t="str">
        <f>IFERROR(VLOOKUP(C1388,DATA!#REF!,2,FALSE),"")</f>
        <v/>
      </c>
      <c r="I1388" s="17"/>
      <c r="J1388" s="17"/>
      <c r="P1388" s="17"/>
      <c r="Q1388" s="17"/>
    </row>
    <row r="1389" spans="2:17">
      <c r="B1389" s="15" t="str">
        <f t="shared" si="71"/>
        <v/>
      </c>
      <c r="C1389" s="16" t="str">
        <f>IFERROR(VLOOKUP(DATA!#REF!,DATA!#REF!,1,FALSE),"")</f>
        <v/>
      </c>
      <c r="D1389" s="16" t="str">
        <f>IFERROR(VLOOKUP(C1389,DATA!#REF!,2,FALSE),"")</f>
        <v/>
      </c>
      <c r="I1389" s="17"/>
      <c r="J1389" s="17"/>
      <c r="P1389" s="17"/>
      <c r="Q1389" s="17"/>
    </row>
    <row r="1390" spans="2:17">
      <c r="B1390" s="15" t="str">
        <f t="shared" si="71"/>
        <v/>
      </c>
      <c r="C1390" s="16" t="str">
        <f>IFERROR(VLOOKUP(DATA!#REF!,DATA!#REF!,1,FALSE),"")</f>
        <v/>
      </c>
      <c r="D1390" s="16" t="str">
        <f>IFERROR(VLOOKUP(C1390,DATA!#REF!,2,FALSE),"")</f>
        <v/>
      </c>
      <c r="I1390" s="17"/>
      <c r="J1390" s="17"/>
      <c r="P1390" s="17"/>
      <c r="Q1390" s="17"/>
    </row>
    <row r="1391" spans="2:17">
      <c r="B1391" s="15" t="str">
        <f t="shared" si="71"/>
        <v/>
      </c>
      <c r="C1391" s="16" t="str">
        <f>IFERROR(VLOOKUP(DATA!#REF!,DATA!#REF!,1,FALSE),"")</f>
        <v/>
      </c>
      <c r="D1391" s="16" t="str">
        <f>IFERROR(VLOOKUP(C1391,DATA!#REF!,2,FALSE),"")</f>
        <v/>
      </c>
      <c r="I1391" s="17"/>
      <c r="J1391" s="17"/>
      <c r="P1391" s="17"/>
      <c r="Q1391" s="17"/>
    </row>
    <row r="1392" spans="2:17">
      <c r="B1392" s="15" t="str">
        <f t="shared" si="71"/>
        <v/>
      </c>
      <c r="C1392" s="16" t="str">
        <f>IFERROR(VLOOKUP(DATA!#REF!,DATA!#REF!,1,FALSE),"")</f>
        <v/>
      </c>
      <c r="D1392" s="16" t="str">
        <f>IFERROR(VLOOKUP(C1392,DATA!#REF!,2,FALSE),"")</f>
        <v/>
      </c>
      <c r="I1392" s="17"/>
      <c r="J1392" s="17"/>
      <c r="P1392" s="17"/>
      <c r="Q1392" s="17"/>
    </row>
    <row r="1393" spans="2:17">
      <c r="B1393" s="15" t="str">
        <f t="shared" si="71"/>
        <v/>
      </c>
      <c r="C1393" s="16" t="str">
        <f>IFERROR(VLOOKUP(DATA!#REF!,DATA!#REF!,1,FALSE),"")</f>
        <v/>
      </c>
      <c r="D1393" s="16" t="str">
        <f>IFERROR(VLOOKUP(C1393,DATA!#REF!,2,FALSE),"")</f>
        <v/>
      </c>
      <c r="I1393" s="17"/>
      <c r="J1393" s="17"/>
      <c r="P1393" s="17"/>
      <c r="Q1393" s="17"/>
    </row>
    <row r="1394" spans="2:17">
      <c r="B1394" s="15" t="str">
        <f t="shared" si="71"/>
        <v/>
      </c>
      <c r="C1394" s="16" t="str">
        <f>IFERROR(VLOOKUP(DATA!#REF!,DATA!#REF!,1,FALSE),"")</f>
        <v/>
      </c>
      <c r="D1394" s="16" t="str">
        <f>IFERROR(VLOOKUP(C1394,DATA!#REF!,2,FALSE),"")</f>
        <v/>
      </c>
      <c r="I1394" s="17"/>
      <c r="J1394" s="17"/>
      <c r="P1394" s="17"/>
      <c r="Q1394" s="17"/>
    </row>
    <row r="1395" spans="2:17">
      <c r="B1395" s="15" t="str">
        <f t="shared" si="71"/>
        <v/>
      </c>
      <c r="C1395" s="16" t="str">
        <f>IFERROR(VLOOKUP(DATA!#REF!,DATA!#REF!,1,FALSE),"")</f>
        <v/>
      </c>
      <c r="D1395" s="16" t="str">
        <f>IFERROR(VLOOKUP(C1395,DATA!#REF!,2,FALSE),"")</f>
        <v/>
      </c>
      <c r="I1395" s="17"/>
      <c r="J1395" s="17"/>
      <c r="P1395" s="17"/>
      <c r="Q1395" s="17"/>
    </row>
    <row r="1396" spans="2:17">
      <c r="B1396" s="15" t="str">
        <f t="shared" si="71"/>
        <v/>
      </c>
      <c r="C1396" s="16" t="str">
        <f>IFERROR(VLOOKUP(DATA!#REF!,DATA!#REF!,1,FALSE),"")</f>
        <v/>
      </c>
      <c r="D1396" s="16" t="str">
        <f>IFERROR(VLOOKUP(C1396,DATA!#REF!,2,FALSE),"")</f>
        <v/>
      </c>
      <c r="I1396" s="17"/>
      <c r="J1396" s="17"/>
      <c r="P1396" s="17"/>
      <c r="Q1396" s="17"/>
    </row>
    <row r="1397" spans="2:17">
      <c r="B1397" s="15" t="str">
        <f t="shared" si="71"/>
        <v/>
      </c>
      <c r="C1397" s="16" t="str">
        <f>IFERROR(VLOOKUP(DATA!#REF!,DATA!#REF!,1,FALSE),"")</f>
        <v/>
      </c>
      <c r="D1397" s="16" t="str">
        <f>IFERROR(VLOOKUP(C1397,DATA!#REF!,2,FALSE),"")</f>
        <v/>
      </c>
      <c r="I1397" s="17"/>
      <c r="J1397" s="17"/>
      <c r="P1397" s="17"/>
      <c r="Q1397" s="17"/>
    </row>
    <row r="1398" spans="2:17">
      <c r="B1398" s="15" t="str">
        <f t="shared" si="71"/>
        <v/>
      </c>
      <c r="C1398" s="16" t="str">
        <f>IFERROR(VLOOKUP(DATA!#REF!,DATA!#REF!,1,FALSE),"")</f>
        <v/>
      </c>
      <c r="D1398" s="16" t="str">
        <f>IFERROR(VLOOKUP(C1398,DATA!#REF!,2,FALSE),"")</f>
        <v/>
      </c>
      <c r="I1398" s="17"/>
      <c r="J1398" s="17"/>
      <c r="P1398" s="17"/>
      <c r="Q1398" s="17"/>
    </row>
    <row r="1399" spans="2:17">
      <c r="B1399" s="15" t="str">
        <f t="shared" ref="B1399:B1462" si="72">+IF(C1399="","",ROW()-5)</f>
        <v/>
      </c>
      <c r="C1399" s="16" t="str">
        <f>IFERROR(VLOOKUP(DATA!#REF!,DATA!#REF!,1,FALSE),"")</f>
        <v/>
      </c>
      <c r="D1399" s="16" t="str">
        <f>IFERROR(VLOOKUP(C1399,DATA!#REF!,2,FALSE),"")</f>
        <v/>
      </c>
      <c r="I1399" s="17"/>
      <c r="J1399" s="17"/>
      <c r="P1399" s="17"/>
      <c r="Q1399" s="17"/>
    </row>
    <row r="1400" spans="2:17">
      <c r="B1400" s="15" t="str">
        <f t="shared" si="72"/>
        <v/>
      </c>
      <c r="C1400" s="16" t="str">
        <f>IFERROR(VLOOKUP(DATA!#REF!,DATA!#REF!,1,FALSE),"")</f>
        <v/>
      </c>
      <c r="D1400" s="16" t="str">
        <f>IFERROR(VLOOKUP(C1400,DATA!#REF!,2,FALSE),"")</f>
        <v/>
      </c>
      <c r="I1400" s="17"/>
      <c r="J1400" s="17"/>
      <c r="P1400" s="17"/>
      <c r="Q1400" s="17"/>
    </row>
    <row r="1401" spans="2:17">
      <c r="B1401" s="15" t="str">
        <f t="shared" si="72"/>
        <v/>
      </c>
      <c r="C1401" s="16" t="str">
        <f>IFERROR(VLOOKUP(DATA!#REF!,DATA!#REF!,1,FALSE),"")</f>
        <v/>
      </c>
      <c r="D1401" s="16" t="str">
        <f>IFERROR(VLOOKUP(C1401,DATA!#REF!,2,FALSE),"")</f>
        <v/>
      </c>
      <c r="I1401" s="17"/>
      <c r="J1401" s="17"/>
      <c r="P1401" s="17"/>
      <c r="Q1401" s="17"/>
    </row>
    <row r="1402" spans="2:17">
      <c r="B1402" s="15" t="str">
        <f t="shared" si="72"/>
        <v/>
      </c>
      <c r="C1402" s="16" t="str">
        <f>IFERROR(VLOOKUP(DATA!#REF!,DATA!#REF!,1,FALSE),"")</f>
        <v/>
      </c>
      <c r="D1402" s="16" t="str">
        <f>IFERROR(VLOOKUP(C1402,DATA!#REF!,2,FALSE),"")</f>
        <v/>
      </c>
      <c r="I1402" s="17"/>
      <c r="J1402" s="17"/>
      <c r="P1402" s="17"/>
      <c r="Q1402" s="17"/>
    </row>
    <row r="1403" spans="2:17">
      <c r="B1403" s="15" t="str">
        <f t="shared" si="72"/>
        <v/>
      </c>
      <c r="C1403" s="16" t="str">
        <f>IFERROR(VLOOKUP(DATA!#REF!,DATA!#REF!,1,FALSE),"")</f>
        <v/>
      </c>
      <c r="D1403" s="16" t="str">
        <f>IFERROR(VLOOKUP(C1403,DATA!#REF!,2,FALSE),"")</f>
        <v/>
      </c>
      <c r="I1403" s="17"/>
      <c r="J1403" s="17"/>
      <c r="P1403" s="17"/>
      <c r="Q1403" s="17"/>
    </row>
    <row r="1404" spans="2:17">
      <c r="B1404" s="15" t="str">
        <f t="shared" si="72"/>
        <v/>
      </c>
      <c r="C1404" s="16" t="str">
        <f>IFERROR(VLOOKUP(DATA!#REF!,DATA!#REF!,1,FALSE),"")</f>
        <v/>
      </c>
      <c r="D1404" s="16" t="str">
        <f>IFERROR(VLOOKUP(C1404,DATA!#REF!,2,FALSE),"")</f>
        <v/>
      </c>
      <c r="I1404" s="17"/>
      <c r="J1404" s="17"/>
      <c r="P1404" s="17"/>
      <c r="Q1404" s="17"/>
    </row>
    <row r="1405" spans="2:17">
      <c r="B1405" s="15" t="str">
        <f t="shared" si="72"/>
        <v/>
      </c>
      <c r="C1405" s="16" t="str">
        <f>IFERROR(VLOOKUP(DATA!#REF!,DATA!#REF!,1,FALSE),"")</f>
        <v/>
      </c>
      <c r="D1405" s="16" t="str">
        <f>IFERROR(VLOOKUP(C1405,DATA!#REF!,2,FALSE),"")</f>
        <v/>
      </c>
      <c r="I1405" s="17"/>
      <c r="J1405" s="17"/>
      <c r="P1405" s="17"/>
      <c r="Q1405" s="17"/>
    </row>
    <row r="1406" spans="2:17">
      <c r="B1406" s="15" t="str">
        <f t="shared" si="72"/>
        <v/>
      </c>
      <c r="C1406" s="16" t="str">
        <f>IFERROR(VLOOKUP(DATA!#REF!,DATA!#REF!,1,FALSE),"")</f>
        <v/>
      </c>
      <c r="D1406" s="16" t="str">
        <f>IFERROR(VLOOKUP(C1406,DATA!#REF!,2,FALSE),"")</f>
        <v/>
      </c>
      <c r="I1406" s="17"/>
      <c r="J1406" s="17"/>
      <c r="P1406" s="17"/>
      <c r="Q1406" s="17"/>
    </row>
    <row r="1407" spans="2:17">
      <c r="B1407" s="15" t="str">
        <f t="shared" si="72"/>
        <v/>
      </c>
      <c r="C1407" s="16" t="str">
        <f>IFERROR(VLOOKUP(DATA!#REF!,DATA!#REF!,1,FALSE),"")</f>
        <v/>
      </c>
      <c r="D1407" s="16" t="str">
        <f>IFERROR(VLOOKUP(C1407,DATA!#REF!,2,FALSE),"")</f>
        <v/>
      </c>
      <c r="I1407" s="17"/>
      <c r="J1407" s="17"/>
      <c r="P1407" s="17"/>
      <c r="Q1407" s="17"/>
    </row>
    <row r="1408" spans="2:17">
      <c r="B1408" s="15" t="str">
        <f t="shared" si="72"/>
        <v/>
      </c>
      <c r="C1408" s="16" t="str">
        <f>IFERROR(VLOOKUP(DATA!#REF!,DATA!#REF!,1,FALSE),"")</f>
        <v/>
      </c>
      <c r="D1408" s="16" t="str">
        <f>IFERROR(VLOOKUP(C1408,DATA!#REF!,2,FALSE),"")</f>
        <v/>
      </c>
      <c r="I1408" s="17"/>
      <c r="J1408" s="17"/>
      <c r="P1408" s="17"/>
      <c r="Q1408" s="17"/>
    </row>
    <row r="1409" spans="2:17">
      <c r="B1409" s="15" t="str">
        <f t="shared" si="72"/>
        <v/>
      </c>
      <c r="C1409" s="16" t="str">
        <f>IFERROR(VLOOKUP(DATA!#REF!,DATA!#REF!,1,FALSE),"")</f>
        <v/>
      </c>
      <c r="D1409" s="16" t="str">
        <f>IFERROR(VLOOKUP(C1409,DATA!#REF!,2,FALSE),"")</f>
        <v/>
      </c>
      <c r="I1409" s="17"/>
      <c r="J1409" s="17"/>
      <c r="P1409" s="17"/>
      <c r="Q1409" s="17"/>
    </row>
    <row r="1410" spans="2:17">
      <c r="B1410" s="15" t="str">
        <f t="shared" si="72"/>
        <v/>
      </c>
      <c r="C1410" s="16" t="str">
        <f>IFERROR(VLOOKUP(DATA!#REF!,DATA!#REF!,1,FALSE),"")</f>
        <v/>
      </c>
      <c r="D1410" s="16" t="str">
        <f>IFERROR(VLOOKUP(C1410,DATA!#REF!,2,FALSE),"")</f>
        <v/>
      </c>
      <c r="I1410" s="17"/>
      <c r="J1410" s="17"/>
      <c r="P1410" s="17"/>
      <c r="Q1410" s="17"/>
    </row>
    <row r="1411" spans="2:17">
      <c r="B1411" s="15" t="str">
        <f t="shared" si="72"/>
        <v/>
      </c>
      <c r="C1411" s="16" t="str">
        <f>IFERROR(VLOOKUP(DATA!#REF!,DATA!#REF!,1,FALSE),"")</f>
        <v/>
      </c>
      <c r="D1411" s="16" t="str">
        <f>IFERROR(VLOOKUP(C1411,DATA!#REF!,2,FALSE),"")</f>
        <v/>
      </c>
      <c r="I1411" s="17"/>
      <c r="J1411" s="17"/>
      <c r="P1411" s="17"/>
      <c r="Q1411" s="17"/>
    </row>
    <row r="1412" spans="2:17">
      <c r="B1412" s="15" t="str">
        <f t="shared" si="72"/>
        <v/>
      </c>
      <c r="C1412" s="16" t="str">
        <f>IFERROR(VLOOKUP(DATA!#REF!,DATA!#REF!,1,FALSE),"")</f>
        <v/>
      </c>
      <c r="D1412" s="16" t="str">
        <f>IFERROR(VLOOKUP(C1412,DATA!#REF!,2,FALSE),"")</f>
        <v/>
      </c>
      <c r="I1412" s="17"/>
      <c r="J1412" s="17"/>
      <c r="P1412" s="17"/>
      <c r="Q1412" s="17"/>
    </row>
    <row r="1413" spans="2:17">
      <c r="B1413" s="15" t="str">
        <f t="shared" si="72"/>
        <v/>
      </c>
      <c r="C1413" s="16" t="str">
        <f>IFERROR(VLOOKUP(DATA!#REF!,DATA!#REF!,1,FALSE),"")</f>
        <v/>
      </c>
      <c r="D1413" s="16" t="str">
        <f>IFERROR(VLOOKUP(C1413,DATA!#REF!,2,FALSE),"")</f>
        <v/>
      </c>
      <c r="I1413" s="17"/>
      <c r="J1413" s="17"/>
      <c r="P1413" s="17"/>
      <c r="Q1413" s="17"/>
    </row>
    <row r="1414" spans="2:17">
      <c r="B1414" s="15" t="str">
        <f t="shared" si="72"/>
        <v/>
      </c>
      <c r="C1414" s="16" t="str">
        <f>IFERROR(VLOOKUP(DATA!#REF!,DATA!#REF!,1,FALSE),"")</f>
        <v/>
      </c>
      <c r="D1414" s="16" t="str">
        <f>IFERROR(VLOOKUP(C1414,DATA!#REF!,2,FALSE),"")</f>
        <v/>
      </c>
      <c r="I1414" s="17"/>
      <c r="J1414" s="17"/>
      <c r="P1414" s="17"/>
      <c r="Q1414" s="17"/>
    </row>
    <row r="1415" spans="2:17">
      <c r="B1415" s="15" t="str">
        <f t="shared" si="72"/>
        <v/>
      </c>
      <c r="C1415" s="16" t="str">
        <f>IFERROR(VLOOKUP(DATA!#REF!,DATA!#REF!,1,FALSE),"")</f>
        <v/>
      </c>
      <c r="D1415" s="16" t="str">
        <f>IFERROR(VLOOKUP(C1415,DATA!#REF!,2,FALSE),"")</f>
        <v/>
      </c>
      <c r="I1415" s="17"/>
      <c r="J1415" s="17"/>
      <c r="P1415" s="17"/>
      <c r="Q1415" s="17"/>
    </row>
    <row r="1416" spans="2:17">
      <c r="B1416" s="15" t="str">
        <f t="shared" si="72"/>
        <v/>
      </c>
      <c r="C1416" s="16" t="str">
        <f>IFERROR(VLOOKUP(DATA!#REF!,DATA!#REF!,1,FALSE),"")</f>
        <v/>
      </c>
      <c r="D1416" s="16" t="str">
        <f>IFERROR(VLOOKUP(C1416,DATA!#REF!,2,FALSE),"")</f>
        <v/>
      </c>
      <c r="I1416" s="17"/>
      <c r="J1416" s="17"/>
      <c r="P1416" s="17"/>
      <c r="Q1416" s="17"/>
    </row>
    <row r="1417" spans="2:17">
      <c r="B1417" s="15" t="str">
        <f t="shared" si="72"/>
        <v/>
      </c>
      <c r="C1417" s="16" t="str">
        <f>IFERROR(VLOOKUP(DATA!#REF!,DATA!#REF!,1,FALSE),"")</f>
        <v/>
      </c>
      <c r="D1417" s="16" t="str">
        <f>IFERROR(VLOOKUP(C1417,DATA!#REF!,2,FALSE),"")</f>
        <v/>
      </c>
      <c r="I1417" s="17"/>
      <c r="J1417" s="17"/>
      <c r="P1417" s="17"/>
      <c r="Q1417" s="17"/>
    </row>
    <row r="1418" spans="2:17">
      <c r="B1418" s="15" t="str">
        <f t="shared" si="72"/>
        <v/>
      </c>
      <c r="C1418" s="16" t="str">
        <f>IFERROR(VLOOKUP(DATA!#REF!,DATA!#REF!,1,FALSE),"")</f>
        <v/>
      </c>
      <c r="D1418" s="16" t="str">
        <f>IFERROR(VLOOKUP(C1418,DATA!#REF!,2,FALSE),"")</f>
        <v/>
      </c>
      <c r="I1418" s="17"/>
      <c r="J1418" s="17"/>
      <c r="P1418" s="17"/>
      <c r="Q1418" s="17"/>
    </row>
    <row r="1419" spans="2:17">
      <c r="B1419" s="15" t="str">
        <f t="shared" si="72"/>
        <v/>
      </c>
      <c r="C1419" s="16" t="str">
        <f>IFERROR(VLOOKUP(DATA!#REF!,DATA!#REF!,1,FALSE),"")</f>
        <v/>
      </c>
      <c r="D1419" s="16" t="str">
        <f>IFERROR(VLOOKUP(C1419,DATA!#REF!,2,FALSE),"")</f>
        <v/>
      </c>
      <c r="I1419" s="17"/>
      <c r="J1419" s="17"/>
      <c r="P1419" s="17"/>
      <c r="Q1419" s="17"/>
    </row>
    <row r="1420" spans="2:17">
      <c r="B1420" s="15" t="str">
        <f t="shared" si="72"/>
        <v/>
      </c>
      <c r="C1420" s="16" t="str">
        <f>IFERROR(VLOOKUP(DATA!#REF!,DATA!#REF!,1,FALSE),"")</f>
        <v/>
      </c>
      <c r="D1420" s="16" t="str">
        <f>IFERROR(VLOOKUP(C1420,DATA!#REF!,2,FALSE),"")</f>
        <v/>
      </c>
      <c r="I1420" s="17"/>
      <c r="J1420" s="17"/>
      <c r="P1420" s="17"/>
      <c r="Q1420" s="17"/>
    </row>
    <row r="1421" spans="2:17">
      <c r="B1421" s="15" t="str">
        <f t="shared" si="72"/>
        <v/>
      </c>
      <c r="C1421" s="16" t="str">
        <f>IFERROR(VLOOKUP(DATA!#REF!,DATA!#REF!,1,FALSE),"")</f>
        <v/>
      </c>
      <c r="D1421" s="16" t="str">
        <f>IFERROR(VLOOKUP(C1421,DATA!#REF!,2,FALSE),"")</f>
        <v/>
      </c>
      <c r="I1421" s="17"/>
      <c r="J1421" s="17"/>
      <c r="P1421" s="17"/>
      <c r="Q1421" s="17"/>
    </row>
    <row r="1422" spans="2:17">
      <c r="B1422" s="15" t="str">
        <f t="shared" si="72"/>
        <v/>
      </c>
      <c r="C1422" s="16" t="str">
        <f>IFERROR(VLOOKUP(DATA!#REF!,DATA!#REF!,1,FALSE),"")</f>
        <v/>
      </c>
      <c r="D1422" s="16" t="str">
        <f>IFERROR(VLOOKUP(C1422,DATA!#REF!,2,FALSE),"")</f>
        <v/>
      </c>
      <c r="I1422" s="17"/>
      <c r="J1422" s="17"/>
      <c r="P1422" s="17"/>
      <c r="Q1422" s="17"/>
    </row>
    <row r="1423" spans="2:17">
      <c r="B1423" s="15" t="str">
        <f t="shared" si="72"/>
        <v/>
      </c>
      <c r="C1423" s="16" t="str">
        <f>IFERROR(VLOOKUP(DATA!#REF!,DATA!#REF!,1,FALSE),"")</f>
        <v/>
      </c>
      <c r="D1423" s="16" t="str">
        <f>IFERROR(VLOOKUP(C1423,DATA!#REF!,2,FALSE),"")</f>
        <v/>
      </c>
      <c r="I1423" s="17"/>
      <c r="J1423" s="17"/>
      <c r="P1423" s="17"/>
      <c r="Q1423" s="17"/>
    </row>
    <row r="1424" spans="2:17">
      <c r="B1424" s="15" t="str">
        <f t="shared" si="72"/>
        <v/>
      </c>
      <c r="C1424" s="16" t="str">
        <f>IFERROR(VLOOKUP(DATA!#REF!,DATA!#REF!,1,FALSE),"")</f>
        <v/>
      </c>
      <c r="D1424" s="16" t="str">
        <f>IFERROR(VLOOKUP(C1424,DATA!#REF!,2,FALSE),"")</f>
        <v/>
      </c>
      <c r="I1424" s="17"/>
      <c r="J1424" s="17"/>
      <c r="P1424" s="17"/>
      <c r="Q1424" s="17"/>
    </row>
    <row r="1425" spans="2:17">
      <c r="B1425" s="15" t="str">
        <f t="shared" si="72"/>
        <v/>
      </c>
      <c r="C1425" s="16" t="str">
        <f>IFERROR(VLOOKUP(DATA!#REF!,DATA!#REF!,1,FALSE),"")</f>
        <v/>
      </c>
      <c r="D1425" s="16" t="str">
        <f>IFERROR(VLOOKUP(C1425,DATA!#REF!,2,FALSE),"")</f>
        <v/>
      </c>
      <c r="I1425" s="17"/>
      <c r="J1425" s="17"/>
      <c r="P1425" s="17"/>
      <c r="Q1425" s="17"/>
    </row>
    <row r="1426" spans="2:17">
      <c r="B1426" s="15" t="str">
        <f t="shared" si="72"/>
        <v/>
      </c>
      <c r="C1426" s="16" t="str">
        <f>IFERROR(VLOOKUP(DATA!#REF!,DATA!#REF!,1,FALSE),"")</f>
        <v/>
      </c>
      <c r="D1426" s="16" t="str">
        <f>IFERROR(VLOOKUP(C1426,DATA!#REF!,2,FALSE),"")</f>
        <v/>
      </c>
      <c r="I1426" s="17"/>
      <c r="J1426" s="17"/>
      <c r="P1426" s="17"/>
      <c r="Q1426" s="17"/>
    </row>
    <row r="1427" spans="2:17">
      <c r="B1427" s="15" t="str">
        <f t="shared" si="72"/>
        <v/>
      </c>
      <c r="C1427" s="16" t="str">
        <f>IFERROR(VLOOKUP(DATA!#REF!,DATA!#REF!,1,FALSE),"")</f>
        <v/>
      </c>
      <c r="D1427" s="16" t="str">
        <f>IFERROR(VLOOKUP(C1427,DATA!#REF!,2,FALSE),"")</f>
        <v/>
      </c>
      <c r="I1427" s="17"/>
      <c r="J1427" s="17"/>
      <c r="P1427" s="17"/>
      <c r="Q1427" s="17"/>
    </row>
    <row r="1428" spans="2:17">
      <c r="B1428" s="15" t="str">
        <f t="shared" si="72"/>
        <v/>
      </c>
      <c r="C1428" s="16" t="str">
        <f>IFERROR(VLOOKUP(DATA!#REF!,DATA!#REF!,1,FALSE),"")</f>
        <v/>
      </c>
      <c r="D1428" s="16" t="str">
        <f>IFERROR(VLOOKUP(C1428,DATA!#REF!,2,FALSE),"")</f>
        <v/>
      </c>
      <c r="I1428" s="17"/>
      <c r="J1428" s="17"/>
      <c r="P1428" s="17"/>
      <c r="Q1428" s="17"/>
    </row>
    <row r="1429" spans="2:17">
      <c r="B1429" s="15" t="str">
        <f t="shared" si="72"/>
        <v/>
      </c>
      <c r="C1429" s="16" t="str">
        <f>IFERROR(VLOOKUP(DATA!#REF!,DATA!#REF!,1,FALSE),"")</f>
        <v/>
      </c>
      <c r="D1429" s="16" t="str">
        <f>IFERROR(VLOOKUP(C1429,DATA!#REF!,2,FALSE),"")</f>
        <v/>
      </c>
      <c r="I1429" s="17"/>
      <c r="J1429" s="17"/>
      <c r="P1429" s="17"/>
      <c r="Q1429" s="17"/>
    </row>
    <row r="1430" spans="2:17">
      <c r="B1430" s="15" t="str">
        <f t="shared" si="72"/>
        <v/>
      </c>
      <c r="C1430" s="16" t="str">
        <f>IFERROR(VLOOKUP(DATA!#REF!,DATA!#REF!,1,FALSE),"")</f>
        <v/>
      </c>
      <c r="D1430" s="16" t="str">
        <f>IFERROR(VLOOKUP(C1430,DATA!#REF!,2,FALSE),"")</f>
        <v/>
      </c>
      <c r="I1430" s="17"/>
      <c r="J1430" s="17"/>
      <c r="P1430" s="17"/>
      <c r="Q1430" s="17"/>
    </row>
    <row r="1431" spans="2:17">
      <c r="B1431" s="15" t="str">
        <f t="shared" si="72"/>
        <v/>
      </c>
      <c r="C1431" s="16" t="str">
        <f>IFERROR(VLOOKUP(DATA!#REF!,DATA!#REF!,1,FALSE),"")</f>
        <v/>
      </c>
      <c r="D1431" s="16" t="str">
        <f>IFERROR(VLOOKUP(C1431,DATA!#REF!,2,FALSE),"")</f>
        <v/>
      </c>
      <c r="I1431" s="17"/>
      <c r="J1431" s="17"/>
      <c r="P1431" s="17"/>
      <c r="Q1431" s="17"/>
    </row>
    <row r="1432" spans="2:17">
      <c r="B1432" s="15" t="str">
        <f t="shared" si="72"/>
        <v/>
      </c>
      <c r="C1432" s="16" t="str">
        <f>IFERROR(VLOOKUP(DATA!#REF!,DATA!#REF!,1,FALSE),"")</f>
        <v/>
      </c>
      <c r="D1432" s="16" t="str">
        <f>IFERROR(VLOOKUP(C1432,DATA!#REF!,2,FALSE),"")</f>
        <v/>
      </c>
      <c r="I1432" s="17"/>
      <c r="J1432" s="17"/>
      <c r="P1432" s="17"/>
      <c r="Q1432" s="17"/>
    </row>
    <row r="1433" spans="2:17">
      <c r="B1433" s="15" t="str">
        <f t="shared" si="72"/>
        <v/>
      </c>
      <c r="C1433" s="16" t="str">
        <f>IFERROR(VLOOKUP(DATA!#REF!,DATA!#REF!,1,FALSE),"")</f>
        <v/>
      </c>
      <c r="D1433" s="16" t="str">
        <f>IFERROR(VLOOKUP(C1433,DATA!#REF!,2,FALSE),"")</f>
        <v/>
      </c>
      <c r="I1433" s="17"/>
      <c r="J1433" s="17"/>
      <c r="P1433" s="17"/>
      <c r="Q1433" s="17"/>
    </row>
    <row r="1434" spans="2:17">
      <c r="B1434" s="15" t="str">
        <f t="shared" si="72"/>
        <v/>
      </c>
      <c r="C1434" s="16" t="str">
        <f>IFERROR(VLOOKUP(DATA!#REF!,DATA!#REF!,1,FALSE),"")</f>
        <v/>
      </c>
      <c r="D1434" s="16" t="str">
        <f>IFERROR(VLOOKUP(C1434,DATA!#REF!,2,FALSE),"")</f>
        <v/>
      </c>
      <c r="I1434" s="17"/>
      <c r="J1434" s="17"/>
      <c r="P1434" s="17"/>
      <c r="Q1434" s="17"/>
    </row>
    <row r="1435" spans="2:17">
      <c r="B1435" s="15" t="str">
        <f t="shared" si="72"/>
        <v/>
      </c>
      <c r="C1435" s="16" t="str">
        <f>IFERROR(VLOOKUP(DATA!#REF!,DATA!#REF!,1,FALSE),"")</f>
        <v/>
      </c>
      <c r="D1435" s="16" t="str">
        <f>IFERROR(VLOOKUP(C1435,DATA!#REF!,2,FALSE),"")</f>
        <v/>
      </c>
      <c r="I1435" s="17"/>
      <c r="J1435" s="17"/>
      <c r="P1435" s="17"/>
      <c r="Q1435" s="17"/>
    </row>
    <row r="1436" spans="2:17">
      <c r="B1436" s="15" t="str">
        <f t="shared" si="72"/>
        <v/>
      </c>
      <c r="C1436" s="16" t="str">
        <f>IFERROR(VLOOKUP(DATA!#REF!,DATA!#REF!,1,FALSE),"")</f>
        <v/>
      </c>
      <c r="D1436" s="16" t="str">
        <f>IFERROR(VLOOKUP(C1436,DATA!#REF!,2,FALSE),"")</f>
        <v/>
      </c>
      <c r="I1436" s="17"/>
      <c r="J1436" s="17"/>
      <c r="P1436" s="17"/>
      <c r="Q1436" s="17"/>
    </row>
    <row r="1437" spans="2:17">
      <c r="B1437" s="15" t="str">
        <f t="shared" si="72"/>
        <v/>
      </c>
      <c r="C1437" s="16" t="str">
        <f>IFERROR(VLOOKUP(DATA!#REF!,DATA!#REF!,1,FALSE),"")</f>
        <v/>
      </c>
      <c r="D1437" s="16" t="str">
        <f>IFERROR(VLOOKUP(C1437,DATA!#REF!,2,FALSE),"")</f>
        <v/>
      </c>
      <c r="I1437" s="17"/>
      <c r="J1437" s="17"/>
      <c r="P1437" s="17"/>
      <c r="Q1437" s="17"/>
    </row>
    <row r="1438" spans="2:17">
      <c r="B1438" s="15" t="str">
        <f t="shared" si="72"/>
        <v/>
      </c>
      <c r="C1438" s="16" t="str">
        <f>IFERROR(VLOOKUP(DATA!#REF!,DATA!#REF!,1,FALSE),"")</f>
        <v/>
      </c>
      <c r="D1438" s="16" t="str">
        <f>IFERROR(VLOOKUP(C1438,DATA!#REF!,2,FALSE),"")</f>
        <v/>
      </c>
      <c r="I1438" s="17"/>
      <c r="J1438" s="17"/>
      <c r="P1438" s="17"/>
      <c r="Q1438" s="17"/>
    </row>
    <row r="1439" spans="2:17">
      <c r="B1439" s="15" t="str">
        <f t="shared" si="72"/>
        <v/>
      </c>
      <c r="C1439" s="16" t="str">
        <f>IFERROR(VLOOKUP(DATA!#REF!,DATA!#REF!,1,FALSE),"")</f>
        <v/>
      </c>
      <c r="D1439" s="16" t="str">
        <f>IFERROR(VLOOKUP(C1439,DATA!#REF!,2,FALSE),"")</f>
        <v/>
      </c>
      <c r="I1439" s="17"/>
      <c r="J1439" s="17"/>
      <c r="P1439" s="17"/>
      <c r="Q1439" s="17"/>
    </row>
    <row r="1440" spans="2:17">
      <c r="B1440" s="15" t="str">
        <f t="shared" si="72"/>
        <v/>
      </c>
      <c r="C1440" s="16" t="str">
        <f>IFERROR(VLOOKUP(DATA!#REF!,DATA!#REF!,1,FALSE),"")</f>
        <v/>
      </c>
      <c r="D1440" s="16" t="str">
        <f>IFERROR(VLOOKUP(C1440,DATA!#REF!,2,FALSE),"")</f>
        <v/>
      </c>
      <c r="I1440" s="17"/>
      <c r="J1440" s="17"/>
      <c r="P1440" s="17"/>
      <c r="Q1440" s="17"/>
    </row>
    <row r="1441" spans="2:17">
      <c r="B1441" s="15" t="str">
        <f t="shared" si="72"/>
        <v/>
      </c>
      <c r="C1441" s="16" t="str">
        <f>IFERROR(VLOOKUP(DATA!#REF!,DATA!#REF!,1,FALSE),"")</f>
        <v/>
      </c>
      <c r="D1441" s="16" t="str">
        <f>IFERROR(VLOOKUP(C1441,DATA!#REF!,2,FALSE),"")</f>
        <v/>
      </c>
      <c r="I1441" s="17"/>
      <c r="J1441" s="17"/>
      <c r="P1441" s="17"/>
      <c r="Q1441" s="17"/>
    </row>
    <row r="1442" spans="2:17">
      <c r="B1442" s="15" t="str">
        <f t="shared" si="72"/>
        <v/>
      </c>
      <c r="C1442" s="16" t="str">
        <f>IFERROR(VLOOKUP(DATA!#REF!,DATA!#REF!,1,FALSE),"")</f>
        <v/>
      </c>
      <c r="D1442" s="16" t="str">
        <f>IFERROR(VLOOKUP(C1442,DATA!#REF!,2,FALSE),"")</f>
        <v/>
      </c>
      <c r="I1442" s="17"/>
      <c r="J1442" s="17"/>
      <c r="P1442" s="17"/>
      <c r="Q1442" s="17"/>
    </row>
    <row r="1443" spans="2:17">
      <c r="B1443" s="15" t="str">
        <f t="shared" si="72"/>
        <v/>
      </c>
      <c r="C1443" s="16" t="str">
        <f>IFERROR(VLOOKUP(DATA!#REF!,DATA!#REF!,1,FALSE),"")</f>
        <v/>
      </c>
      <c r="D1443" s="16" t="str">
        <f>IFERROR(VLOOKUP(C1443,DATA!#REF!,2,FALSE),"")</f>
        <v/>
      </c>
      <c r="I1443" s="17"/>
      <c r="J1443" s="17"/>
      <c r="P1443" s="17"/>
      <c r="Q1443" s="17"/>
    </row>
    <row r="1444" spans="2:17">
      <c r="B1444" s="15" t="str">
        <f t="shared" si="72"/>
        <v/>
      </c>
      <c r="C1444" s="16" t="str">
        <f>IFERROR(VLOOKUP(DATA!#REF!,DATA!#REF!,1,FALSE),"")</f>
        <v/>
      </c>
      <c r="D1444" s="16" t="str">
        <f>IFERROR(VLOOKUP(C1444,DATA!#REF!,2,FALSE),"")</f>
        <v/>
      </c>
      <c r="I1444" s="17"/>
      <c r="J1444" s="17"/>
      <c r="P1444" s="17"/>
      <c r="Q1444" s="17"/>
    </row>
    <row r="1445" spans="2:17">
      <c r="B1445" s="15" t="str">
        <f t="shared" si="72"/>
        <v/>
      </c>
      <c r="C1445" s="16" t="str">
        <f>IFERROR(VLOOKUP(DATA!#REF!,DATA!#REF!,1,FALSE),"")</f>
        <v/>
      </c>
      <c r="D1445" s="16" t="str">
        <f>IFERROR(VLOOKUP(C1445,DATA!#REF!,2,FALSE),"")</f>
        <v/>
      </c>
      <c r="I1445" s="17"/>
      <c r="J1445" s="17"/>
      <c r="P1445" s="17"/>
      <c r="Q1445" s="17"/>
    </row>
    <row r="1446" spans="2:17">
      <c r="B1446" s="15" t="str">
        <f t="shared" si="72"/>
        <v/>
      </c>
      <c r="C1446" s="16" t="str">
        <f>IFERROR(VLOOKUP(DATA!#REF!,DATA!#REF!,1,FALSE),"")</f>
        <v/>
      </c>
      <c r="D1446" s="16" t="str">
        <f>IFERROR(VLOOKUP(C1446,DATA!#REF!,2,FALSE),"")</f>
        <v/>
      </c>
      <c r="I1446" s="17"/>
      <c r="J1446" s="17"/>
      <c r="P1446" s="17"/>
      <c r="Q1446" s="17"/>
    </row>
    <row r="1447" spans="2:17">
      <c r="B1447" s="15" t="str">
        <f t="shared" si="72"/>
        <v/>
      </c>
      <c r="C1447" s="16" t="str">
        <f>IFERROR(VLOOKUP(DATA!#REF!,DATA!#REF!,1,FALSE),"")</f>
        <v/>
      </c>
      <c r="D1447" s="16" t="str">
        <f>IFERROR(VLOOKUP(C1447,DATA!#REF!,2,FALSE),"")</f>
        <v/>
      </c>
      <c r="I1447" s="17"/>
      <c r="J1447" s="17"/>
      <c r="P1447" s="17"/>
      <c r="Q1447" s="17"/>
    </row>
    <row r="1448" spans="2:17">
      <c r="B1448" s="15" t="str">
        <f t="shared" si="72"/>
        <v/>
      </c>
      <c r="C1448" s="16" t="str">
        <f>IFERROR(VLOOKUP(DATA!#REF!,DATA!#REF!,1,FALSE),"")</f>
        <v/>
      </c>
      <c r="D1448" s="16" t="str">
        <f>IFERROR(VLOOKUP(C1448,DATA!#REF!,2,FALSE),"")</f>
        <v/>
      </c>
      <c r="I1448" s="17"/>
      <c r="J1448" s="17"/>
      <c r="P1448" s="17"/>
      <c r="Q1448" s="17"/>
    </row>
    <row r="1449" spans="2:17">
      <c r="B1449" s="15" t="str">
        <f t="shared" si="72"/>
        <v/>
      </c>
      <c r="C1449" s="16" t="str">
        <f>IFERROR(VLOOKUP(DATA!#REF!,DATA!#REF!,1,FALSE),"")</f>
        <v/>
      </c>
      <c r="D1449" s="16" t="str">
        <f>IFERROR(VLOOKUP(C1449,DATA!#REF!,2,FALSE),"")</f>
        <v/>
      </c>
      <c r="I1449" s="17"/>
      <c r="J1449" s="17"/>
      <c r="P1449" s="17"/>
      <c r="Q1449" s="17"/>
    </row>
    <row r="1450" spans="2:17">
      <c r="B1450" s="15" t="str">
        <f t="shared" si="72"/>
        <v/>
      </c>
      <c r="C1450" s="16" t="str">
        <f>IFERROR(VLOOKUP(DATA!#REF!,DATA!#REF!,1,FALSE),"")</f>
        <v/>
      </c>
      <c r="D1450" s="16" t="str">
        <f>IFERROR(VLOOKUP(C1450,DATA!#REF!,2,FALSE),"")</f>
        <v/>
      </c>
      <c r="I1450" s="17"/>
      <c r="J1450" s="17"/>
      <c r="P1450" s="17"/>
      <c r="Q1450" s="17"/>
    </row>
    <row r="1451" spans="2:17">
      <c r="B1451" s="15" t="str">
        <f t="shared" si="72"/>
        <v/>
      </c>
      <c r="C1451" s="16" t="str">
        <f>IFERROR(VLOOKUP(DATA!#REF!,DATA!#REF!,1,FALSE),"")</f>
        <v/>
      </c>
      <c r="D1451" s="16" t="str">
        <f>IFERROR(VLOOKUP(C1451,DATA!#REF!,2,FALSE),"")</f>
        <v/>
      </c>
      <c r="I1451" s="17"/>
      <c r="J1451" s="17"/>
      <c r="P1451" s="17"/>
      <c r="Q1451" s="17"/>
    </row>
    <row r="1452" spans="2:17">
      <c r="B1452" s="15" t="str">
        <f t="shared" si="72"/>
        <v/>
      </c>
      <c r="C1452" s="16" t="str">
        <f>IFERROR(VLOOKUP(DATA!#REF!,DATA!#REF!,1,FALSE),"")</f>
        <v/>
      </c>
      <c r="D1452" s="16" t="str">
        <f>IFERROR(VLOOKUP(C1452,DATA!#REF!,2,FALSE),"")</f>
        <v/>
      </c>
      <c r="I1452" s="17"/>
      <c r="J1452" s="17"/>
      <c r="P1452" s="17"/>
      <c r="Q1452" s="17"/>
    </row>
    <row r="1453" spans="2:17">
      <c r="B1453" s="15" t="str">
        <f t="shared" si="72"/>
        <v/>
      </c>
      <c r="C1453" s="16" t="str">
        <f>IFERROR(VLOOKUP(DATA!#REF!,DATA!#REF!,1,FALSE),"")</f>
        <v/>
      </c>
      <c r="D1453" s="16" t="str">
        <f>IFERROR(VLOOKUP(C1453,DATA!#REF!,2,FALSE),"")</f>
        <v/>
      </c>
      <c r="I1453" s="17"/>
      <c r="J1453" s="17"/>
      <c r="P1453" s="17"/>
      <c r="Q1453" s="17"/>
    </row>
    <row r="1454" spans="2:17">
      <c r="B1454" s="15" t="str">
        <f t="shared" si="72"/>
        <v/>
      </c>
      <c r="C1454" s="16" t="str">
        <f>IFERROR(VLOOKUP(DATA!#REF!,DATA!#REF!,1,FALSE),"")</f>
        <v/>
      </c>
      <c r="D1454" s="16" t="str">
        <f>IFERROR(VLOOKUP(C1454,DATA!#REF!,2,FALSE),"")</f>
        <v/>
      </c>
      <c r="I1454" s="17"/>
      <c r="J1454" s="17"/>
      <c r="P1454" s="17"/>
      <c r="Q1454" s="17"/>
    </row>
    <row r="1455" spans="2:17">
      <c r="B1455" s="15" t="str">
        <f t="shared" si="72"/>
        <v/>
      </c>
      <c r="C1455" s="16" t="str">
        <f>IFERROR(VLOOKUP(DATA!#REF!,DATA!#REF!,1,FALSE),"")</f>
        <v/>
      </c>
      <c r="D1455" s="16" t="str">
        <f>IFERROR(VLOOKUP(C1455,DATA!#REF!,2,FALSE),"")</f>
        <v/>
      </c>
      <c r="I1455" s="17"/>
      <c r="J1455" s="17"/>
      <c r="P1455" s="17"/>
      <c r="Q1455" s="17"/>
    </row>
    <row r="1456" spans="2:17">
      <c r="B1456" s="15" t="str">
        <f t="shared" si="72"/>
        <v/>
      </c>
      <c r="C1456" s="16" t="str">
        <f>IFERROR(VLOOKUP(DATA!#REF!,DATA!#REF!,1,FALSE),"")</f>
        <v/>
      </c>
      <c r="D1456" s="16" t="str">
        <f>IFERROR(VLOOKUP(C1456,DATA!#REF!,2,FALSE),"")</f>
        <v/>
      </c>
      <c r="I1456" s="17"/>
      <c r="J1456" s="17"/>
      <c r="P1456" s="17"/>
      <c r="Q1456" s="17"/>
    </row>
    <row r="1457" spans="2:17">
      <c r="B1457" s="15" t="str">
        <f t="shared" si="72"/>
        <v/>
      </c>
      <c r="C1457" s="16" t="str">
        <f>IFERROR(VLOOKUP(DATA!#REF!,DATA!#REF!,1,FALSE),"")</f>
        <v/>
      </c>
      <c r="D1457" s="16" t="str">
        <f>IFERROR(VLOOKUP(C1457,DATA!#REF!,2,FALSE),"")</f>
        <v/>
      </c>
      <c r="I1457" s="17"/>
      <c r="J1457" s="17"/>
      <c r="P1457" s="17"/>
      <c r="Q1457" s="17"/>
    </row>
    <row r="1458" spans="2:17">
      <c r="B1458" s="15" t="str">
        <f t="shared" si="72"/>
        <v/>
      </c>
      <c r="C1458" s="16" t="str">
        <f>IFERROR(VLOOKUP(DATA!#REF!,DATA!#REF!,1,FALSE),"")</f>
        <v/>
      </c>
      <c r="D1458" s="16" t="str">
        <f>IFERROR(VLOOKUP(C1458,DATA!#REF!,2,FALSE),"")</f>
        <v/>
      </c>
      <c r="I1458" s="17"/>
      <c r="J1458" s="17"/>
      <c r="P1458" s="17"/>
      <c r="Q1458" s="17"/>
    </row>
    <row r="1459" spans="2:17">
      <c r="B1459" s="15" t="str">
        <f t="shared" si="72"/>
        <v/>
      </c>
      <c r="C1459" s="16" t="str">
        <f>IFERROR(VLOOKUP(DATA!#REF!,DATA!#REF!,1,FALSE),"")</f>
        <v/>
      </c>
      <c r="D1459" s="16" t="str">
        <f>IFERROR(VLOOKUP(C1459,DATA!#REF!,2,FALSE),"")</f>
        <v/>
      </c>
      <c r="I1459" s="17"/>
      <c r="J1459" s="17"/>
      <c r="P1459" s="17"/>
      <c r="Q1459" s="17"/>
    </row>
    <row r="1460" spans="2:17">
      <c r="B1460" s="15" t="str">
        <f t="shared" si="72"/>
        <v/>
      </c>
      <c r="C1460" s="16" t="str">
        <f>IFERROR(VLOOKUP(DATA!#REF!,DATA!#REF!,1,FALSE),"")</f>
        <v/>
      </c>
      <c r="D1460" s="16" t="str">
        <f>IFERROR(VLOOKUP(C1460,DATA!#REF!,2,FALSE),"")</f>
        <v/>
      </c>
      <c r="I1460" s="17"/>
      <c r="J1460" s="17"/>
      <c r="P1460" s="17"/>
      <c r="Q1460" s="17"/>
    </row>
    <row r="1461" spans="2:17">
      <c r="B1461" s="15" t="str">
        <f t="shared" si="72"/>
        <v/>
      </c>
      <c r="C1461" s="16" t="str">
        <f>IFERROR(VLOOKUP(DATA!#REF!,DATA!#REF!,1,FALSE),"")</f>
        <v/>
      </c>
      <c r="D1461" s="16" t="str">
        <f>IFERROR(VLOOKUP(C1461,DATA!#REF!,2,FALSE),"")</f>
        <v/>
      </c>
      <c r="I1461" s="17"/>
      <c r="J1461" s="17"/>
      <c r="P1461" s="17"/>
      <c r="Q1461" s="17"/>
    </row>
    <row r="1462" spans="2:17">
      <c r="B1462" s="15" t="str">
        <f t="shared" si="72"/>
        <v/>
      </c>
      <c r="C1462" s="16" t="str">
        <f>IFERROR(VLOOKUP(DATA!#REF!,DATA!#REF!,1,FALSE),"")</f>
        <v/>
      </c>
      <c r="D1462" s="16" t="str">
        <f>IFERROR(VLOOKUP(C1462,DATA!#REF!,2,FALSE),"")</f>
        <v/>
      </c>
      <c r="I1462" s="17"/>
      <c r="J1462" s="17"/>
      <c r="P1462" s="17"/>
      <c r="Q1462" s="17"/>
    </row>
    <row r="1463" spans="2:17">
      <c r="B1463" s="15" t="str">
        <f t="shared" ref="B1463:B1526" si="73">+IF(C1463="","",ROW()-5)</f>
        <v/>
      </c>
      <c r="C1463" s="16" t="str">
        <f>IFERROR(VLOOKUP(DATA!#REF!,DATA!#REF!,1,FALSE),"")</f>
        <v/>
      </c>
      <c r="D1463" s="16" t="str">
        <f>IFERROR(VLOOKUP(C1463,DATA!#REF!,2,FALSE),"")</f>
        <v/>
      </c>
      <c r="I1463" s="17"/>
      <c r="J1463" s="17"/>
      <c r="P1463" s="17"/>
      <c r="Q1463" s="17"/>
    </row>
    <row r="1464" spans="2:17">
      <c r="B1464" s="15" t="str">
        <f t="shared" si="73"/>
        <v/>
      </c>
      <c r="C1464" s="16" t="str">
        <f>IFERROR(VLOOKUP(DATA!#REF!,DATA!#REF!,1,FALSE),"")</f>
        <v/>
      </c>
      <c r="D1464" s="16" t="str">
        <f>IFERROR(VLOOKUP(C1464,DATA!#REF!,2,FALSE),"")</f>
        <v/>
      </c>
      <c r="I1464" s="17"/>
      <c r="J1464" s="17"/>
      <c r="P1464" s="17"/>
      <c r="Q1464" s="17"/>
    </row>
    <row r="1465" spans="2:17">
      <c r="B1465" s="15" t="str">
        <f t="shared" si="73"/>
        <v/>
      </c>
      <c r="C1465" s="16" t="str">
        <f>IFERROR(VLOOKUP(DATA!#REF!,DATA!#REF!,1,FALSE),"")</f>
        <v/>
      </c>
      <c r="D1465" s="16" t="str">
        <f>IFERROR(VLOOKUP(C1465,DATA!#REF!,2,FALSE),"")</f>
        <v/>
      </c>
      <c r="I1465" s="17"/>
      <c r="J1465" s="17"/>
      <c r="P1465" s="17"/>
      <c r="Q1465" s="17"/>
    </row>
    <row r="1466" spans="2:17">
      <c r="B1466" s="15" t="str">
        <f t="shared" si="73"/>
        <v/>
      </c>
      <c r="C1466" s="16" t="str">
        <f>IFERROR(VLOOKUP(DATA!#REF!,DATA!#REF!,1,FALSE),"")</f>
        <v/>
      </c>
      <c r="D1466" s="16" t="str">
        <f>IFERROR(VLOOKUP(C1466,DATA!#REF!,2,FALSE),"")</f>
        <v/>
      </c>
      <c r="I1466" s="17"/>
      <c r="J1466" s="17"/>
      <c r="P1466" s="17"/>
      <c r="Q1466" s="17"/>
    </row>
    <row r="1467" spans="2:17">
      <c r="B1467" s="15" t="str">
        <f t="shared" si="73"/>
        <v/>
      </c>
      <c r="C1467" s="16" t="str">
        <f>IFERROR(VLOOKUP(DATA!#REF!,DATA!#REF!,1,FALSE),"")</f>
        <v/>
      </c>
      <c r="D1467" s="16" t="str">
        <f>IFERROR(VLOOKUP(C1467,DATA!#REF!,2,FALSE),"")</f>
        <v/>
      </c>
      <c r="I1467" s="17"/>
      <c r="J1467" s="17"/>
      <c r="P1467" s="17"/>
      <c r="Q1467" s="17"/>
    </row>
    <row r="1468" spans="2:17">
      <c r="B1468" s="15" t="str">
        <f t="shared" si="73"/>
        <v/>
      </c>
      <c r="C1468" s="16" t="str">
        <f>IFERROR(VLOOKUP(DATA!#REF!,DATA!#REF!,1,FALSE),"")</f>
        <v/>
      </c>
      <c r="D1468" s="16" t="str">
        <f>IFERROR(VLOOKUP(C1468,DATA!#REF!,2,FALSE),"")</f>
        <v/>
      </c>
      <c r="I1468" s="17"/>
      <c r="J1468" s="17"/>
      <c r="P1468" s="17"/>
      <c r="Q1468" s="17"/>
    </row>
    <row r="1469" spans="2:17">
      <c r="B1469" s="15" t="str">
        <f t="shared" si="73"/>
        <v/>
      </c>
      <c r="C1469" s="16" t="str">
        <f>IFERROR(VLOOKUP(DATA!#REF!,DATA!#REF!,1,FALSE),"")</f>
        <v/>
      </c>
      <c r="D1469" s="16" t="str">
        <f>IFERROR(VLOOKUP(C1469,DATA!#REF!,2,FALSE),"")</f>
        <v/>
      </c>
      <c r="I1469" s="17"/>
      <c r="J1469" s="17"/>
      <c r="P1469" s="17"/>
      <c r="Q1469" s="17"/>
    </row>
    <row r="1470" spans="2:17">
      <c r="B1470" s="15" t="str">
        <f t="shared" si="73"/>
        <v/>
      </c>
      <c r="C1470" s="16" t="str">
        <f>IFERROR(VLOOKUP(DATA!#REF!,DATA!#REF!,1,FALSE),"")</f>
        <v/>
      </c>
      <c r="D1470" s="16" t="str">
        <f>IFERROR(VLOOKUP(C1470,DATA!#REF!,2,FALSE),"")</f>
        <v/>
      </c>
      <c r="I1470" s="17"/>
      <c r="J1470" s="17"/>
      <c r="P1470" s="17"/>
      <c r="Q1470" s="17"/>
    </row>
    <row r="1471" spans="2:17">
      <c r="B1471" s="15" t="str">
        <f t="shared" si="73"/>
        <v/>
      </c>
      <c r="C1471" s="16" t="str">
        <f>IFERROR(VLOOKUP(DATA!#REF!,DATA!#REF!,1,FALSE),"")</f>
        <v/>
      </c>
      <c r="D1471" s="16" t="str">
        <f>IFERROR(VLOOKUP(C1471,DATA!#REF!,2,FALSE),"")</f>
        <v/>
      </c>
      <c r="I1471" s="17"/>
      <c r="J1471" s="17"/>
      <c r="P1471" s="17"/>
      <c r="Q1471" s="17"/>
    </row>
    <row r="1472" spans="2:17">
      <c r="B1472" s="15" t="str">
        <f t="shared" si="73"/>
        <v/>
      </c>
      <c r="C1472" s="16" t="str">
        <f>IFERROR(VLOOKUP(DATA!#REF!,DATA!#REF!,1,FALSE),"")</f>
        <v/>
      </c>
      <c r="D1472" s="16" t="str">
        <f>IFERROR(VLOOKUP(C1472,DATA!#REF!,2,FALSE),"")</f>
        <v/>
      </c>
      <c r="I1472" s="17"/>
      <c r="J1472" s="17"/>
      <c r="P1472" s="17"/>
      <c r="Q1472" s="17"/>
    </row>
    <row r="1473" spans="2:17">
      <c r="B1473" s="15" t="str">
        <f t="shared" si="73"/>
        <v/>
      </c>
      <c r="C1473" s="16" t="str">
        <f>IFERROR(VLOOKUP(DATA!#REF!,DATA!#REF!,1,FALSE),"")</f>
        <v/>
      </c>
      <c r="D1473" s="16" t="str">
        <f>IFERROR(VLOOKUP(C1473,DATA!#REF!,2,FALSE),"")</f>
        <v/>
      </c>
      <c r="I1473" s="17"/>
      <c r="J1473" s="17"/>
      <c r="P1473" s="17"/>
      <c r="Q1473" s="17"/>
    </row>
    <row r="1474" spans="2:17">
      <c r="B1474" s="15" t="str">
        <f t="shared" si="73"/>
        <v/>
      </c>
      <c r="C1474" s="16" t="str">
        <f>IFERROR(VLOOKUP(DATA!#REF!,DATA!#REF!,1,FALSE),"")</f>
        <v/>
      </c>
      <c r="D1474" s="16" t="str">
        <f>IFERROR(VLOOKUP(C1474,DATA!#REF!,2,FALSE),"")</f>
        <v/>
      </c>
      <c r="I1474" s="17"/>
      <c r="J1474" s="17"/>
      <c r="P1474" s="17"/>
      <c r="Q1474" s="17"/>
    </row>
    <row r="1475" spans="2:17">
      <c r="B1475" s="15" t="str">
        <f t="shared" si="73"/>
        <v/>
      </c>
      <c r="C1475" s="16" t="str">
        <f>IFERROR(VLOOKUP(DATA!#REF!,DATA!#REF!,1,FALSE),"")</f>
        <v/>
      </c>
      <c r="D1475" s="16" t="str">
        <f>IFERROR(VLOOKUP(C1475,DATA!#REF!,2,FALSE),"")</f>
        <v/>
      </c>
      <c r="I1475" s="17"/>
      <c r="J1475" s="17"/>
      <c r="P1475" s="17"/>
      <c r="Q1475" s="17"/>
    </row>
    <row r="1476" spans="2:17">
      <c r="B1476" s="15" t="str">
        <f t="shared" si="73"/>
        <v/>
      </c>
      <c r="C1476" s="16" t="str">
        <f>IFERROR(VLOOKUP(DATA!#REF!,DATA!#REF!,1,FALSE),"")</f>
        <v/>
      </c>
      <c r="D1476" s="16" t="str">
        <f>IFERROR(VLOOKUP(C1476,DATA!#REF!,2,FALSE),"")</f>
        <v/>
      </c>
      <c r="I1476" s="17"/>
      <c r="J1476" s="17"/>
      <c r="P1476" s="17"/>
      <c r="Q1476" s="17"/>
    </row>
    <row r="1477" spans="2:17">
      <c r="B1477" s="15" t="str">
        <f t="shared" si="73"/>
        <v/>
      </c>
      <c r="C1477" s="16" t="str">
        <f>IFERROR(VLOOKUP(DATA!#REF!,DATA!#REF!,1,FALSE),"")</f>
        <v/>
      </c>
      <c r="D1477" s="16" t="str">
        <f>IFERROR(VLOOKUP(C1477,DATA!#REF!,2,FALSE),"")</f>
        <v/>
      </c>
      <c r="I1477" s="17"/>
      <c r="J1477" s="17"/>
      <c r="P1477" s="17"/>
      <c r="Q1477" s="17"/>
    </row>
    <row r="1478" spans="2:17">
      <c r="B1478" s="15" t="str">
        <f t="shared" si="73"/>
        <v/>
      </c>
      <c r="C1478" s="16" t="str">
        <f>IFERROR(VLOOKUP(DATA!#REF!,DATA!#REF!,1,FALSE),"")</f>
        <v/>
      </c>
      <c r="D1478" s="16" t="str">
        <f>IFERROR(VLOOKUP(C1478,DATA!#REF!,2,FALSE),"")</f>
        <v/>
      </c>
      <c r="I1478" s="17"/>
      <c r="J1478" s="17"/>
      <c r="P1478" s="17"/>
      <c r="Q1478" s="17"/>
    </row>
    <row r="1479" spans="2:17">
      <c r="B1479" s="15" t="str">
        <f t="shared" si="73"/>
        <v/>
      </c>
      <c r="C1479" s="16" t="str">
        <f>IFERROR(VLOOKUP(DATA!#REF!,DATA!#REF!,1,FALSE),"")</f>
        <v/>
      </c>
      <c r="D1479" s="16" t="str">
        <f>IFERROR(VLOOKUP(C1479,DATA!#REF!,2,FALSE),"")</f>
        <v/>
      </c>
      <c r="I1479" s="17"/>
      <c r="J1479" s="17"/>
      <c r="P1479" s="17"/>
      <c r="Q1479" s="17"/>
    </row>
    <row r="1480" spans="2:17">
      <c r="B1480" s="15" t="str">
        <f t="shared" si="73"/>
        <v/>
      </c>
      <c r="C1480" s="16" t="str">
        <f>IFERROR(VLOOKUP(DATA!#REF!,DATA!#REF!,1,FALSE),"")</f>
        <v/>
      </c>
      <c r="D1480" s="16" t="str">
        <f>IFERROR(VLOOKUP(C1480,DATA!#REF!,2,FALSE),"")</f>
        <v/>
      </c>
      <c r="I1480" s="17"/>
      <c r="J1480" s="17"/>
      <c r="P1480" s="17"/>
      <c r="Q1480" s="17"/>
    </row>
    <row r="1481" spans="2:17">
      <c r="B1481" s="15" t="str">
        <f t="shared" si="73"/>
        <v/>
      </c>
      <c r="C1481" s="16" t="str">
        <f>IFERROR(VLOOKUP(DATA!#REF!,DATA!#REF!,1,FALSE),"")</f>
        <v/>
      </c>
      <c r="D1481" s="16" t="str">
        <f>IFERROR(VLOOKUP(C1481,DATA!#REF!,2,FALSE),"")</f>
        <v/>
      </c>
      <c r="I1481" s="17"/>
      <c r="J1481" s="17"/>
      <c r="P1481" s="17"/>
      <c r="Q1481" s="17"/>
    </row>
    <row r="1482" spans="2:17">
      <c r="B1482" s="15" t="str">
        <f t="shared" si="73"/>
        <v/>
      </c>
      <c r="C1482" s="16" t="str">
        <f>IFERROR(VLOOKUP(DATA!#REF!,DATA!#REF!,1,FALSE),"")</f>
        <v/>
      </c>
      <c r="D1482" s="16" t="str">
        <f>IFERROR(VLOOKUP(C1482,DATA!#REF!,2,FALSE),"")</f>
        <v/>
      </c>
      <c r="I1482" s="17"/>
      <c r="J1482" s="17"/>
      <c r="P1482" s="17"/>
      <c r="Q1482" s="17"/>
    </row>
    <row r="1483" spans="2:17">
      <c r="B1483" s="15" t="str">
        <f t="shared" si="73"/>
        <v/>
      </c>
      <c r="C1483" s="16" t="str">
        <f>IFERROR(VLOOKUP(DATA!#REF!,DATA!#REF!,1,FALSE),"")</f>
        <v/>
      </c>
      <c r="D1483" s="16" t="str">
        <f>IFERROR(VLOOKUP(C1483,DATA!#REF!,2,FALSE),"")</f>
        <v/>
      </c>
      <c r="I1483" s="17"/>
      <c r="J1483" s="17"/>
      <c r="P1483" s="17"/>
      <c r="Q1483" s="17"/>
    </row>
    <row r="1484" spans="2:17">
      <c r="B1484" s="15" t="str">
        <f t="shared" si="73"/>
        <v/>
      </c>
      <c r="C1484" s="16" t="str">
        <f>IFERROR(VLOOKUP(DATA!#REF!,DATA!#REF!,1,FALSE),"")</f>
        <v/>
      </c>
      <c r="D1484" s="16" t="str">
        <f>IFERROR(VLOOKUP(C1484,DATA!#REF!,2,FALSE),"")</f>
        <v/>
      </c>
      <c r="I1484" s="17"/>
      <c r="J1484" s="17"/>
      <c r="P1484" s="17"/>
      <c r="Q1484" s="17"/>
    </row>
    <row r="1485" spans="2:17">
      <c r="B1485" s="15" t="str">
        <f t="shared" si="73"/>
        <v/>
      </c>
      <c r="C1485" s="16" t="str">
        <f>IFERROR(VLOOKUP(DATA!#REF!,DATA!#REF!,1,FALSE),"")</f>
        <v/>
      </c>
      <c r="D1485" s="16" t="str">
        <f>IFERROR(VLOOKUP(C1485,DATA!#REF!,2,FALSE),"")</f>
        <v/>
      </c>
      <c r="I1485" s="17"/>
      <c r="J1485" s="17"/>
      <c r="P1485" s="17"/>
      <c r="Q1485" s="17"/>
    </row>
    <row r="1486" spans="2:17">
      <c r="B1486" s="15" t="str">
        <f t="shared" si="73"/>
        <v/>
      </c>
      <c r="C1486" s="16" t="str">
        <f>IFERROR(VLOOKUP(DATA!#REF!,DATA!#REF!,1,FALSE),"")</f>
        <v/>
      </c>
      <c r="D1486" s="16" t="str">
        <f>IFERROR(VLOOKUP(C1486,DATA!#REF!,2,FALSE),"")</f>
        <v/>
      </c>
      <c r="I1486" s="17"/>
      <c r="J1486" s="17"/>
      <c r="P1486" s="17"/>
      <c r="Q1486" s="17"/>
    </row>
    <row r="1487" spans="2:17">
      <c r="B1487" s="15" t="str">
        <f t="shared" si="73"/>
        <v/>
      </c>
      <c r="C1487" s="16" t="str">
        <f>IFERROR(VLOOKUP(DATA!#REF!,DATA!#REF!,1,FALSE),"")</f>
        <v/>
      </c>
      <c r="D1487" s="16" t="str">
        <f>IFERROR(VLOOKUP(C1487,DATA!#REF!,2,FALSE),"")</f>
        <v/>
      </c>
      <c r="I1487" s="17"/>
      <c r="J1487" s="17"/>
      <c r="P1487" s="17"/>
      <c r="Q1487" s="17"/>
    </row>
    <row r="1488" spans="2:17">
      <c r="B1488" s="15" t="str">
        <f t="shared" si="73"/>
        <v/>
      </c>
      <c r="C1488" s="16" t="str">
        <f>IFERROR(VLOOKUP(DATA!#REF!,DATA!#REF!,1,FALSE),"")</f>
        <v/>
      </c>
      <c r="D1488" s="16" t="str">
        <f>IFERROR(VLOOKUP(C1488,DATA!#REF!,2,FALSE),"")</f>
        <v/>
      </c>
      <c r="I1488" s="17"/>
      <c r="J1488" s="17"/>
      <c r="P1488" s="17"/>
      <c r="Q1488" s="17"/>
    </row>
    <row r="1489" spans="2:17">
      <c r="B1489" s="15" t="str">
        <f t="shared" si="73"/>
        <v/>
      </c>
      <c r="C1489" s="16" t="str">
        <f>IFERROR(VLOOKUP(DATA!#REF!,DATA!#REF!,1,FALSE),"")</f>
        <v/>
      </c>
      <c r="D1489" s="16" t="str">
        <f>IFERROR(VLOOKUP(C1489,DATA!#REF!,2,FALSE),"")</f>
        <v/>
      </c>
      <c r="I1489" s="17"/>
      <c r="J1489" s="17"/>
      <c r="P1489" s="17"/>
      <c r="Q1489" s="17"/>
    </row>
    <row r="1490" spans="2:17">
      <c r="B1490" s="15" t="str">
        <f t="shared" si="73"/>
        <v/>
      </c>
      <c r="C1490" s="16" t="str">
        <f>IFERROR(VLOOKUP(DATA!#REF!,DATA!#REF!,1,FALSE),"")</f>
        <v/>
      </c>
      <c r="D1490" s="16" t="str">
        <f>IFERROR(VLOOKUP(C1490,DATA!#REF!,2,FALSE),"")</f>
        <v/>
      </c>
      <c r="I1490" s="17"/>
      <c r="J1490" s="17"/>
      <c r="P1490" s="17"/>
      <c r="Q1490" s="17"/>
    </row>
    <row r="1491" spans="2:17">
      <c r="B1491" s="15" t="str">
        <f t="shared" si="73"/>
        <v/>
      </c>
      <c r="C1491" s="16" t="str">
        <f>IFERROR(VLOOKUP(DATA!#REF!,DATA!#REF!,1,FALSE),"")</f>
        <v/>
      </c>
      <c r="D1491" s="16" t="str">
        <f>IFERROR(VLOOKUP(C1491,DATA!#REF!,2,FALSE),"")</f>
        <v/>
      </c>
      <c r="I1491" s="17"/>
      <c r="J1491" s="17"/>
      <c r="P1491" s="17"/>
      <c r="Q1491" s="17"/>
    </row>
    <row r="1492" spans="2:17">
      <c r="B1492" s="15" t="str">
        <f t="shared" si="73"/>
        <v/>
      </c>
      <c r="C1492" s="16" t="str">
        <f>IFERROR(VLOOKUP(DATA!#REF!,DATA!#REF!,1,FALSE),"")</f>
        <v/>
      </c>
      <c r="D1492" s="16" t="str">
        <f>IFERROR(VLOOKUP(C1492,DATA!#REF!,2,FALSE),"")</f>
        <v/>
      </c>
      <c r="I1492" s="17"/>
      <c r="J1492" s="17"/>
      <c r="P1492" s="17"/>
      <c r="Q1492" s="17"/>
    </row>
    <row r="1493" spans="2:17">
      <c r="B1493" s="15" t="str">
        <f t="shared" si="73"/>
        <v/>
      </c>
      <c r="C1493" s="16" t="str">
        <f>IFERROR(VLOOKUP(DATA!#REF!,DATA!#REF!,1,FALSE),"")</f>
        <v/>
      </c>
      <c r="D1493" s="16" t="str">
        <f>IFERROR(VLOOKUP(C1493,DATA!#REF!,2,FALSE),"")</f>
        <v/>
      </c>
      <c r="I1493" s="17"/>
      <c r="J1493" s="17"/>
      <c r="P1493" s="17"/>
      <c r="Q1493" s="17"/>
    </row>
    <row r="1494" spans="2:17">
      <c r="B1494" s="15" t="str">
        <f t="shared" si="73"/>
        <v/>
      </c>
      <c r="C1494" s="16" t="str">
        <f>IFERROR(VLOOKUP(DATA!#REF!,DATA!#REF!,1,FALSE),"")</f>
        <v/>
      </c>
      <c r="D1494" s="16" t="str">
        <f>IFERROR(VLOOKUP(C1494,DATA!#REF!,2,FALSE),"")</f>
        <v/>
      </c>
      <c r="I1494" s="17"/>
      <c r="J1494" s="17"/>
      <c r="P1494" s="17"/>
      <c r="Q1494" s="17"/>
    </row>
    <row r="1495" spans="2:17">
      <c r="B1495" s="15" t="str">
        <f t="shared" si="73"/>
        <v/>
      </c>
      <c r="C1495" s="16" t="str">
        <f>IFERROR(VLOOKUP(DATA!#REF!,DATA!#REF!,1,FALSE),"")</f>
        <v/>
      </c>
      <c r="D1495" s="16" t="str">
        <f>IFERROR(VLOOKUP(C1495,DATA!#REF!,2,FALSE),"")</f>
        <v/>
      </c>
      <c r="I1495" s="17"/>
      <c r="J1495" s="17"/>
      <c r="P1495" s="17"/>
      <c r="Q1495" s="17"/>
    </row>
    <row r="1496" spans="2:17">
      <c r="B1496" s="15" t="str">
        <f t="shared" si="73"/>
        <v/>
      </c>
      <c r="C1496" s="16" t="str">
        <f>IFERROR(VLOOKUP(DATA!#REF!,DATA!#REF!,1,FALSE),"")</f>
        <v/>
      </c>
      <c r="D1496" s="16" t="str">
        <f>IFERROR(VLOOKUP(C1496,DATA!#REF!,2,FALSE),"")</f>
        <v/>
      </c>
      <c r="I1496" s="17"/>
      <c r="J1496" s="17"/>
      <c r="P1496" s="17"/>
      <c r="Q1496" s="17"/>
    </row>
    <row r="1497" spans="2:17">
      <c r="B1497" s="15" t="str">
        <f t="shared" si="73"/>
        <v/>
      </c>
      <c r="C1497" s="16" t="str">
        <f>IFERROR(VLOOKUP(DATA!#REF!,DATA!#REF!,1,FALSE),"")</f>
        <v/>
      </c>
      <c r="D1497" s="16" t="str">
        <f>IFERROR(VLOOKUP(C1497,DATA!#REF!,2,FALSE),"")</f>
        <v/>
      </c>
      <c r="I1497" s="17"/>
      <c r="J1497" s="17"/>
      <c r="P1497" s="17"/>
      <c r="Q1497" s="17"/>
    </row>
    <row r="1498" spans="2:17">
      <c r="B1498" s="15" t="str">
        <f t="shared" si="73"/>
        <v/>
      </c>
      <c r="C1498" s="16" t="str">
        <f>IFERROR(VLOOKUP(DATA!#REF!,DATA!#REF!,1,FALSE),"")</f>
        <v/>
      </c>
      <c r="D1498" s="16" t="str">
        <f>IFERROR(VLOOKUP(C1498,DATA!#REF!,2,FALSE),"")</f>
        <v/>
      </c>
      <c r="I1498" s="17"/>
      <c r="J1498" s="17"/>
      <c r="P1498" s="17"/>
      <c r="Q1498" s="17"/>
    </row>
    <row r="1499" spans="2:17">
      <c r="B1499" s="15" t="str">
        <f t="shared" si="73"/>
        <v/>
      </c>
      <c r="C1499" s="16" t="str">
        <f>IFERROR(VLOOKUP(DATA!#REF!,DATA!#REF!,1,FALSE),"")</f>
        <v/>
      </c>
      <c r="D1499" s="16" t="str">
        <f>IFERROR(VLOOKUP(C1499,DATA!#REF!,2,FALSE),"")</f>
        <v/>
      </c>
      <c r="I1499" s="17"/>
      <c r="J1499" s="17"/>
      <c r="P1499" s="17"/>
      <c r="Q1499" s="17"/>
    </row>
    <row r="1500" spans="2:17">
      <c r="B1500" s="15" t="str">
        <f t="shared" si="73"/>
        <v/>
      </c>
      <c r="C1500" s="16" t="str">
        <f>IFERROR(VLOOKUP(DATA!#REF!,DATA!#REF!,1,FALSE),"")</f>
        <v/>
      </c>
      <c r="D1500" s="16" t="str">
        <f>IFERROR(VLOOKUP(C1500,DATA!#REF!,2,FALSE),"")</f>
        <v/>
      </c>
      <c r="I1500" s="17"/>
      <c r="J1500" s="17"/>
      <c r="P1500" s="17"/>
      <c r="Q1500" s="17"/>
    </row>
    <row r="1501" spans="2:17">
      <c r="B1501" s="15" t="str">
        <f t="shared" si="73"/>
        <v/>
      </c>
      <c r="C1501" s="16" t="str">
        <f>IFERROR(VLOOKUP(DATA!#REF!,DATA!#REF!,1,FALSE),"")</f>
        <v/>
      </c>
      <c r="D1501" s="16" t="str">
        <f>IFERROR(VLOOKUP(C1501,DATA!#REF!,2,FALSE),"")</f>
        <v/>
      </c>
      <c r="I1501" s="17"/>
      <c r="J1501" s="17"/>
      <c r="P1501" s="17"/>
      <c r="Q1501" s="17"/>
    </row>
    <row r="1502" spans="2:17">
      <c r="B1502" s="15" t="str">
        <f t="shared" si="73"/>
        <v/>
      </c>
      <c r="C1502" s="16" t="str">
        <f>IFERROR(VLOOKUP(DATA!#REF!,DATA!#REF!,1,FALSE),"")</f>
        <v/>
      </c>
      <c r="D1502" s="16" t="str">
        <f>IFERROR(VLOOKUP(C1502,DATA!#REF!,2,FALSE),"")</f>
        <v/>
      </c>
      <c r="I1502" s="17"/>
      <c r="J1502" s="17"/>
      <c r="P1502" s="17"/>
      <c r="Q1502" s="17"/>
    </row>
    <row r="1503" spans="2:17">
      <c r="B1503" s="15" t="str">
        <f t="shared" si="73"/>
        <v/>
      </c>
      <c r="C1503" s="16" t="str">
        <f>IFERROR(VLOOKUP(DATA!#REF!,DATA!#REF!,1,FALSE),"")</f>
        <v/>
      </c>
      <c r="D1503" s="16" t="str">
        <f>IFERROR(VLOOKUP(C1503,DATA!#REF!,2,FALSE),"")</f>
        <v/>
      </c>
      <c r="I1503" s="17"/>
      <c r="J1503" s="17"/>
      <c r="P1503" s="17"/>
      <c r="Q1503" s="17"/>
    </row>
    <row r="1504" spans="2:17">
      <c r="B1504" s="15" t="str">
        <f t="shared" si="73"/>
        <v/>
      </c>
      <c r="C1504" s="16" t="str">
        <f>IFERROR(VLOOKUP(DATA!#REF!,DATA!#REF!,1,FALSE),"")</f>
        <v/>
      </c>
      <c r="D1504" s="16" t="str">
        <f>IFERROR(VLOOKUP(C1504,DATA!#REF!,2,FALSE),"")</f>
        <v/>
      </c>
      <c r="I1504" s="17"/>
      <c r="J1504" s="17"/>
      <c r="P1504" s="17"/>
      <c r="Q1504" s="17"/>
    </row>
    <row r="1505" spans="2:17">
      <c r="B1505" s="15" t="str">
        <f t="shared" si="73"/>
        <v/>
      </c>
      <c r="C1505" s="16" t="str">
        <f>IFERROR(VLOOKUP(DATA!#REF!,DATA!#REF!,1,FALSE),"")</f>
        <v/>
      </c>
      <c r="D1505" s="16" t="str">
        <f>IFERROR(VLOOKUP(C1505,DATA!#REF!,2,FALSE),"")</f>
        <v/>
      </c>
      <c r="I1505" s="17"/>
      <c r="J1505" s="17"/>
      <c r="P1505" s="17"/>
      <c r="Q1505" s="17"/>
    </row>
    <row r="1506" spans="2:17">
      <c r="B1506" s="15" t="str">
        <f t="shared" si="73"/>
        <v/>
      </c>
      <c r="C1506" s="16" t="str">
        <f>IFERROR(VLOOKUP(DATA!#REF!,DATA!#REF!,1,FALSE),"")</f>
        <v/>
      </c>
      <c r="D1506" s="16" t="str">
        <f>IFERROR(VLOOKUP(C1506,DATA!#REF!,2,FALSE),"")</f>
        <v/>
      </c>
      <c r="I1506" s="17"/>
      <c r="J1506" s="17"/>
      <c r="P1506" s="17"/>
      <c r="Q1506" s="17"/>
    </row>
    <row r="1507" spans="2:17">
      <c r="B1507" s="15" t="str">
        <f t="shared" si="73"/>
        <v/>
      </c>
      <c r="C1507" s="16" t="str">
        <f>IFERROR(VLOOKUP(DATA!#REF!,DATA!#REF!,1,FALSE),"")</f>
        <v/>
      </c>
      <c r="D1507" s="16" t="str">
        <f>IFERROR(VLOOKUP(C1507,DATA!#REF!,2,FALSE),"")</f>
        <v/>
      </c>
      <c r="I1507" s="17"/>
      <c r="J1507" s="17"/>
      <c r="P1507" s="17"/>
      <c r="Q1507" s="17"/>
    </row>
    <row r="1508" spans="2:17">
      <c r="B1508" s="15" t="str">
        <f t="shared" si="73"/>
        <v/>
      </c>
      <c r="C1508" s="16" t="str">
        <f>IFERROR(VLOOKUP(DATA!#REF!,DATA!#REF!,1,FALSE),"")</f>
        <v/>
      </c>
      <c r="D1508" s="16" t="str">
        <f>IFERROR(VLOOKUP(C1508,DATA!#REF!,2,FALSE),"")</f>
        <v/>
      </c>
      <c r="I1508" s="17"/>
      <c r="J1508" s="17"/>
      <c r="P1508" s="17"/>
      <c r="Q1508" s="17"/>
    </row>
    <row r="1509" spans="2:17">
      <c r="B1509" s="15" t="str">
        <f t="shared" si="73"/>
        <v/>
      </c>
      <c r="C1509" s="16" t="str">
        <f>IFERROR(VLOOKUP(DATA!#REF!,DATA!#REF!,1,FALSE),"")</f>
        <v/>
      </c>
      <c r="D1509" s="16" t="str">
        <f>IFERROR(VLOOKUP(C1509,DATA!#REF!,2,FALSE),"")</f>
        <v/>
      </c>
      <c r="I1509" s="17"/>
      <c r="J1509" s="17"/>
      <c r="P1509" s="17"/>
      <c r="Q1509" s="17"/>
    </row>
    <row r="1510" spans="2:17">
      <c r="B1510" s="15" t="str">
        <f t="shared" si="73"/>
        <v/>
      </c>
      <c r="C1510" s="16" t="str">
        <f>IFERROR(VLOOKUP(DATA!#REF!,DATA!#REF!,1,FALSE),"")</f>
        <v/>
      </c>
      <c r="D1510" s="16" t="str">
        <f>IFERROR(VLOOKUP(C1510,DATA!#REF!,2,FALSE),"")</f>
        <v/>
      </c>
      <c r="I1510" s="17"/>
      <c r="J1510" s="17"/>
      <c r="P1510" s="17"/>
      <c r="Q1510" s="17"/>
    </row>
    <row r="1511" spans="2:17">
      <c r="B1511" s="15" t="str">
        <f t="shared" si="73"/>
        <v/>
      </c>
      <c r="C1511" s="16" t="str">
        <f>IFERROR(VLOOKUP(DATA!#REF!,DATA!#REF!,1,FALSE),"")</f>
        <v/>
      </c>
      <c r="D1511" s="16" t="str">
        <f>IFERROR(VLOOKUP(C1511,DATA!#REF!,2,FALSE),"")</f>
        <v/>
      </c>
      <c r="I1511" s="17"/>
      <c r="J1511" s="17"/>
      <c r="P1511" s="17"/>
      <c r="Q1511" s="17"/>
    </row>
    <row r="1512" spans="2:17">
      <c r="B1512" s="15" t="str">
        <f t="shared" si="73"/>
        <v/>
      </c>
      <c r="C1512" s="16" t="str">
        <f>IFERROR(VLOOKUP(DATA!#REF!,DATA!#REF!,1,FALSE),"")</f>
        <v/>
      </c>
      <c r="D1512" s="16" t="str">
        <f>IFERROR(VLOOKUP(C1512,DATA!#REF!,2,FALSE),"")</f>
        <v/>
      </c>
      <c r="I1512" s="17"/>
      <c r="J1512" s="17"/>
      <c r="P1512" s="17"/>
      <c r="Q1512" s="17"/>
    </row>
    <row r="1513" spans="2:17">
      <c r="B1513" s="15" t="str">
        <f t="shared" si="73"/>
        <v/>
      </c>
      <c r="C1513" s="16" t="str">
        <f>IFERROR(VLOOKUP(DATA!#REF!,DATA!#REF!,1,FALSE),"")</f>
        <v/>
      </c>
      <c r="D1513" s="16" t="str">
        <f>IFERROR(VLOOKUP(C1513,DATA!#REF!,2,FALSE),"")</f>
        <v/>
      </c>
      <c r="I1513" s="17"/>
      <c r="J1513" s="17"/>
      <c r="P1513" s="17"/>
      <c r="Q1513" s="17"/>
    </row>
    <row r="1514" spans="2:17">
      <c r="B1514" s="15" t="str">
        <f t="shared" si="73"/>
        <v/>
      </c>
      <c r="C1514" s="16" t="str">
        <f>IFERROR(VLOOKUP(DATA!#REF!,DATA!#REF!,1,FALSE),"")</f>
        <v/>
      </c>
      <c r="D1514" s="16" t="str">
        <f>IFERROR(VLOOKUP(C1514,DATA!#REF!,2,FALSE),"")</f>
        <v/>
      </c>
      <c r="I1514" s="17"/>
      <c r="J1514" s="17"/>
      <c r="P1514" s="17"/>
      <c r="Q1514" s="17"/>
    </row>
    <row r="1515" spans="2:17">
      <c r="B1515" s="15" t="str">
        <f t="shared" si="73"/>
        <v/>
      </c>
      <c r="C1515" s="16" t="str">
        <f>IFERROR(VLOOKUP(DATA!#REF!,DATA!#REF!,1,FALSE),"")</f>
        <v/>
      </c>
      <c r="D1515" s="16" t="str">
        <f>IFERROR(VLOOKUP(C1515,DATA!#REF!,2,FALSE),"")</f>
        <v/>
      </c>
      <c r="I1515" s="17"/>
      <c r="J1515" s="17"/>
      <c r="P1515" s="17"/>
      <c r="Q1515" s="17"/>
    </row>
    <row r="1516" spans="2:17">
      <c r="B1516" s="15" t="str">
        <f t="shared" si="73"/>
        <v/>
      </c>
      <c r="C1516" s="16" t="str">
        <f>IFERROR(VLOOKUP(DATA!#REF!,DATA!#REF!,1,FALSE),"")</f>
        <v/>
      </c>
      <c r="D1516" s="16" t="str">
        <f>IFERROR(VLOOKUP(C1516,DATA!#REF!,2,FALSE),"")</f>
        <v/>
      </c>
      <c r="I1516" s="17"/>
      <c r="J1516" s="17"/>
      <c r="P1516" s="17"/>
      <c r="Q1516" s="17"/>
    </row>
    <row r="1517" spans="2:17">
      <c r="B1517" s="15" t="str">
        <f t="shared" si="73"/>
        <v/>
      </c>
      <c r="C1517" s="16" t="str">
        <f>IFERROR(VLOOKUP(DATA!#REF!,DATA!#REF!,1,FALSE),"")</f>
        <v/>
      </c>
      <c r="D1517" s="16" t="str">
        <f>IFERROR(VLOOKUP(C1517,DATA!#REF!,2,FALSE),"")</f>
        <v/>
      </c>
      <c r="I1517" s="17"/>
      <c r="J1517" s="17"/>
      <c r="P1517" s="17"/>
      <c r="Q1517" s="17"/>
    </row>
    <row r="1518" spans="2:17">
      <c r="B1518" s="15" t="str">
        <f t="shared" si="73"/>
        <v/>
      </c>
      <c r="C1518" s="16" t="str">
        <f>IFERROR(VLOOKUP(DATA!#REF!,DATA!#REF!,1,FALSE),"")</f>
        <v/>
      </c>
      <c r="D1518" s="16" t="str">
        <f>IFERROR(VLOOKUP(C1518,DATA!#REF!,2,FALSE),"")</f>
        <v/>
      </c>
      <c r="I1518" s="17"/>
      <c r="J1518" s="17"/>
      <c r="P1518" s="17"/>
      <c r="Q1518" s="17"/>
    </row>
    <row r="1519" spans="2:17">
      <c r="B1519" s="15" t="str">
        <f t="shared" si="73"/>
        <v/>
      </c>
      <c r="C1519" s="16" t="str">
        <f>IFERROR(VLOOKUP(DATA!#REF!,DATA!#REF!,1,FALSE),"")</f>
        <v/>
      </c>
      <c r="D1519" s="16" t="str">
        <f>IFERROR(VLOOKUP(C1519,DATA!#REF!,2,FALSE),"")</f>
        <v/>
      </c>
      <c r="I1519" s="17"/>
      <c r="J1519" s="17"/>
      <c r="P1519" s="17"/>
      <c r="Q1519" s="17"/>
    </row>
    <row r="1520" spans="2:17">
      <c r="B1520" s="15" t="str">
        <f t="shared" si="73"/>
        <v/>
      </c>
      <c r="C1520" s="16" t="str">
        <f>IFERROR(VLOOKUP(DATA!#REF!,DATA!#REF!,1,FALSE),"")</f>
        <v/>
      </c>
      <c r="D1520" s="16" t="str">
        <f>IFERROR(VLOOKUP(C1520,DATA!#REF!,2,FALSE),"")</f>
        <v/>
      </c>
      <c r="I1520" s="17"/>
      <c r="J1520" s="17"/>
      <c r="P1520" s="17"/>
      <c r="Q1520" s="17"/>
    </row>
    <row r="1521" spans="2:17">
      <c r="B1521" s="15" t="str">
        <f t="shared" si="73"/>
        <v/>
      </c>
      <c r="C1521" s="16" t="str">
        <f>IFERROR(VLOOKUP(DATA!#REF!,DATA!#REF!,1,FALSE),"")</f>
        <v/>
      </c>
      <c r="D1521" s="16" t="str">
        <f>IFERROR(VLOOKUP(C1521,DATA!#REF!,2,FALSE),"")</f>
        <v/>
      </c>
      <c r="I1521" s="17"/>
      <c r="J1521" s="17"/>
      <c r="P1521" s="17"/>
      <c r="Q1521" s="17"/>
    </row>
    <row r="1522" spans="2:17">
      <c r="B1522" s="15" t="str">
        <f t="shared" si="73"/>
        <v/>
      </c>
      <c r="C1522" s="16" t="str">
        <f>IFERROR(VLOOKUP(DATA!#REF!,DATA!#REF!,1,FALSE),"")</f>
        <v/>
      </c>
      <c r="D1522" s="16" t="str">
        <f>IFERROR(VLOOKUP(C1522,DATA!#REF!,2,FALSE),"")</f>
        <v/>
      </c>
      <c r="I1522" s="17"/>
      <c r="J1522" s="17"/>
      <c r="P1522" s="17"/>
      <c r="Q1522" s="17"/>
    </row>
    <row r="1523" spans="2:17">
      <c r="B1523" s="15" t="str">
        <f t="shared" si="73"/>
        <v/>
      </c>
      <c r="C1523" s="16" t="str">
        <f>IFERROR(VLOOKUP(DATA!#REF!,DATA!#REF!,1,FALSE),"")</f>
        <v/>
      </c>
      <c r="D1523" s="16" t="str">
        <f>IFERROR(VLOOKUP(C1523,DATA!#REF!,2,FALSE),"")</f>
        <v/>
      </c>
      <c r="I1523" s="17"/>
      <c r="J1523" s="17"/>
      <c r="P1523" s="17"/>
      <c r="Q1523" s="17"/>
    </row>
    <row r="1524" spans="2:17">
      <c r="B1524" s="15" t="str">
        <f t="shared" si="73"/>
        <v/>
      </c>
      <c r="C1524" s="16" t="str">
        <f>IFERROR(VLOOKUP(DATA!#REF!,DATA!#REF!,1,FALSE),"")</f>
        <v/>
      </c>
      <c r="D1524" s="16" t="str">
        <f>IFERROR(VLOOKUP(C1524,DATA!#REF!,2,FALSE),"")</f>
        <v/>
      </c>
      <c r="I1524" s="17"/>
      <c r="J1524" s="17"/>
      <c r="P1524" s="17"/>
      <c r="Q1524" s="17"/>
    </row>
    <row r="1525" spans="2:17">
      <c r="B1525" s="15" t="str">
        <f t="shared" si="73"/>
        <v/>
      </c>
      <c r="C1525" s="16" t="str">
        <f>IFERROR(VLOOKUP(DATA!#REF!,DATA!#REF!,1,FALSE),"")</f>
        <v/>
      </c>
      <c r="D1525" s="16" t="str">
        <f>IFERROR(VLOOKUP(C1525,DATA!#REF!,2,FALSE),"")</f>
        <v/>
      </c>
      <c r="I1525" s="17"/>
      <c r="J1525" s="17"/>
      <c r="P1525" s="17"/>
      <c r="Q1525" s="17"/>
    </row>
    <row r="1526" spans="2:17">
      <c r="B1526" s="15" t="str">
        <f t="shared" si="73"/>
        <v/>
      </c>
      <c r="C1526" s="16" t="str">
        <f>IFERROR(VLOOKUP(DATA!#REF!,DATA!#REF!,1,FALSE),"")</f>
        <v/>
      </c>
      <c r="D1526" s="16" t="str">
        <f>IFERROR(VLOOKUP(C1526,DATA!#REF!,2,FALSE),"")</f>
        <v/>
      </c>
      <c r="I1526" s="17"/>
      <c r="J1526" s="17"/>
      <c r="P1526" s="17"/>
      <c r="Q1526" s="17"/>
    </row>
    <row r="1527" spans="2:17">
      <c r="B1527" s="15" t="str">
        <f t="shared" ref="B1527:B1590" si="74">+IF(C1527="","",ROW()-5)</f>
        <v/>
      </c>
      <c r="C1527" s="16" t="str">
        <f>IFERROR(VLOOKUP(DATA!#REF!,DATA!#REF!,1,FALSE),"")</f>
        <v/>
      </c>
      <c r="D1527" s="16" t="str">
        <f>IFERROR(VLOOKUP(C1527,DATA!#REF!,2,FALSE),"")</f>
        <v/>
      </c>
      <c r="I1527" s="17"/>
      <c r="J1527" s="17"/>
      <c r="P1527" s="17"/>
      <c r="Q1527" s="17"/>
    </row>
    <row r="1528" spans="2:17">
      <c r="B1528" s="15" t="str">
        <f t="shared" si="74"/>
        <v/>
      </c>
      <c r="C1528" s="16" t="str">
        <f>IFERROR(VLOOKUP(DATA!#REF!,DATA!#REF!,1,FALSE),"")</f>
        <v/>
      </c>
      <c r="D1528" s="16" t="str">
        <f>IFERROR(VLOOKUP(C1528,DATA!#REF!,2,FALSE),"")</f>
        <v/>
      </c>
      <c r="I1528" s="17"/>
      <c r="J1528" s="17"/>
      <c r="P1528" s="17"/>
      <c r="Q1528" s="17"/>
    </row>
    <row r="1529" spans="2:17">
      <c r="B1529" s="15" t="str">
        <f t="shared" si="74"/>
        <v/>
      </c>
      <c r="C1529" s="16" t="str">
        <f>IFERROR(VLOOKUP(DATA!#REF!,DATA!#REF!,1,FALSE),"")</f>
        <v/>
      </c>
      <c r="D1529" s="16" t="str">
        <f>IFERROR(VLOOKUP(C1529,DATA!#REF!,2,FALSE),"")</f>
        <v/>
      </c>
      <c r="I1529" s="17"/>
      <c r="J1529" s="17"/>
      <c r="P1529" s="17"/>
      <c r="Q1529" s="17"/>
    </row>
    <row r="1530" spans="2:17">
      <c r="B1530" s="15" t="str">
        <f t="shared" si="74"/>
        <v/>
      </c>
      <c r="C1530" s="16" t="str">
        <f>IFERROR(VLOOKUP(DATA!#REF!,DATA!#REF!,1,FALSE),"")</f>
        <v/>
      </c>
      <c r="D1530" s="16" t="str">
        <f>IFERROR(VLOOKUP(C1530,DATA!#REF!,2,FALSE),"")</f>
        <v/>
      </c>
      <c r="I1530" s="17"/>
      <c r="J1530" s="17"/>
      <c r="P1530" s="17"/>
      <c r="Q1530" s="17"/>
    </row>
    <row r="1531" spans="2:17">
      <c r="B1531" s="15" t="str">
        <f t="shared" si="74"/>
        <v/>
      </c>
      <c r="C1531" s="16" t="str">
        <f>IFERROR(VLOOKUP(DATA!#REF!,DATA!#REF!,1,FALSE),"")</f>
        <v/>
      </c>
      <c r="D1531" s="16" t="str">
        <f>IFERROR(VLOOKUP(C1531,DATA!#REF!,2,FALSE),"")</f>
        <v/>
      </c>
      <c r="I1531" s="17"/>
      <c r="J1531" s="17"/>
      <c r="P1531" s="17"/>
      <c r="Q1531" s="17"/>
    </row>
    <row r="1532" spans="2:17">
      <c r="B1532" s="15" t="str">
        <f t="shared" si="74"/>
        <v/>
      </c>
      <c r="C1532" s="16" t="str">
        <f>IFERROR(VLOOKUP(DATA!#REF!,DATA!#REF!,1,FALSE),"")</f>
        <v/>
      </c>
      <c r="D1532" s="16" t="str">
        <f>IFERROR(VLOOKUP(C1532,DATA!#REF!,2,FALSE),"")</f>
        <v/>
      </c>
      <c r="I1532" s="17"/>
      <c r="J1532" s="17"/>
      <c r="P1532" s="17"/>
      <c r="Q1532" s="17"/>
    </row>
    <row r="1533" spans="2:17">
      <c r="B1533" s="15" t="str">
        <f t="shared" si="74"/>
        <v/>
      </c>
      <c r="C1533" s="16" t="str">
        <f>IFERROR(VLOOKUP(DATA!#REF!,DATA!#REF!,1,FALSE),"")</f>
        <v/>
      </c>
      <c r="D1533" s="16" t="str">
        <f>IFERROR(VLOOKUP(C1533,DATA!#REF!,2,FALSE),"")</f>
        <v/>
      </c>
      <c r="I1533" s="17"/>
      <c r="J1533" s="17"/>
      <c r="P1533" s="17"/>
      <c r="Q1533" s="17"/>
    </row>
    <row r="1534" spans="2:17">
      <c r="B1534" s="15" t="str">
        <f t="shared" si="74"/>
        <v/>
      </c>
      <c r="C1534" s="16" t="str">
        <f>IFERROR(VLOOKUP(DATA!#REF!,DATA!#REF!,1,FALSE),"")</f>
        <v/>
      </c>
      <c r="D1534" s="16" t="str">
        <f>IFERROR(VLOOKUP(C1534,DATA!#REF!,2,FALSE),"")</f>
        <v/>
      </c>
      <c r="I1534" s="17"/>
      <c r="J1534" s="17"/>
      <c r="P1534" s="17"/>
      <c r="Q1534" s="17"/>
    </row>
    <row r="1535" spans="2:17">
      <c r="B1535" s="15" t="str">
        <f t="shared" si="74"/>
        <v/>
      </c>
      <c r="C1535" s="16" t="str">
        <f>IFERROR(VLOOKUP(DATA!#REF!,DATA!#REF!,1,FALSE),"")</f>
        <v/>
      </c>
      <c r="D1535" s="16" t="str">
        <f>IFERROR(VLOOKUP(C1535,DATA!#REF!,2,FALSE),"")</f>
        <v/>
      </c>
      <c r="I1535" s="17"/>
      <c r="J1535" s="17"/>
      <c r="P1535" s="17"/>
      <c r="Q1535" s="17"/>
    </row>
    <row r="1536" spans="2:17">
      <c r="B1536" s="15" t="str">
        <f t="shared" si="74"/>
        <v/>
      </c>
      <c r="C1536" s="16" t="str">
        <f>IFERROR(VLOOKUP(DATA!#REF!,DATA!#REF!,1,FALSE),"")</f>
        <v/>
      </c>
      <c r="D1536" s="16" t="str">
        <f>IFERROR(VLOOKUP(C1536,DATA!#REF!,2,FALSE),"")</f>
        <v/>
      </c>
      <c r="I1536" s="17"/>
      <c r="J1536" s="17"/>
      <c r="P1536" s="17"/>
      <c r="Q1536" s="17"/>
    </row>
    <row r="1537" spans="2:17">
      <c r="B1537" s="15" t="str">
        <f t="shared" si="74"/>
        <v/>
      </c>
      <c r="C1537" s="16" t="str">
        <f>IFERROR(VLOOKUP(DATA!#REF!,DATA!#REF!,1,FALSE),"")</f>
        <v/>
      </c>
      <c r="D1537" s="16" t="str">
        <f>IFERROR(VLOOKUP(C1537,DATA!#REF!,2,FALSE),"")</f>
        <v/>
      </c>
      <c r="I1537" s="17"/>
      <c r="J1537" s="17"/>
      <c r="P1537" s="17"/>
      <c r="Q1537" s="17"/>
    </row>
    <row r="1538" spans="2:17">
      <c r="B1538" s="15" t="str">
        <f t="shared" si="74"/>
        <v/>
      </c>
      <c r="C1538" s="16" t="str">
        <f>IFERROR(VLOOKUP(DATA!#REF!,DATA!#REF!,1,FALSE),"")</f>
        <v/>
      </c>
      <c r="D1538" s="16" t="str">
        <f>IFERROR(VLOOKUP(C1538,DATA!#REF!,2,FALSE),"")</f>
        <v/>
      </c>
      <c r="I1538" s="17"/>
      <c r="J1538" s="17"/>
      <c r="P1538" s="17"/>
      <c r="Q1538" s="17"/>
    </row>
    <row r="1539" spans="2:17">
      <c r="B1539" s="15" t="str">
        <f t="shared" si="74"/>
        <v/>
      </c>
      <c r="C1539" s="16" t="str">
        <f>IFERROR(VLOOKUP(DATA!#REF!,DATA!#REF!,1,FALSE),"")</f>
        <v/>
      </c>
      <c r="D1539" s="16" t="str">
        <f>IFERROR(VLOOKUP(C1539,DATA!#REF!,2,FALSE),"")</f>
        <v/>
      </c>
      <c r="I1539" s="17"/>
      <c r="J1539" s="17"/>
      <c r="P1539" s="17"/>
      <c r="Q1539" s="17"/>
    </row>
    <row r="1540" spans="2:17">
      <c r="B1540" s="15" t="str">
        <f t="shared" si="74"/>
        <v/>
      </c>
      <c r="C1540" s="16" t="str">
        <f>IFERROR(VLOOKUP(DATA!#REF!,DATA!#REF!,1,FALSE),"")</f>
        <v/>
      </c>
      <c r="D1540" s="16" t="str">
        <f>IFERROR(VLOOKUP(C1540,DATA!#REF!,2,FALSE),"")</f>
        <v/>
      </c>
      <c r="I1540" s="17"/>
      <c r="J1540" s="17"/>
      <c r="P1540" s="17"/>
      <c r="Q1540" s="17"/>
    </row>
    <row r="1541" spans="2:17">
      <c r="B1541" s="15" t="str">
        <f t="shared" si="74"/>
        <v/>
      </c>
      <c r="C1541" s="16" t="str">
        <f>IFERROR(VLOOKUP(DATA!#REF!,DATA!#REF!,1,FALSE),"")</f>
        <v/>
      </c>
      <c r="D1541" s="16" t="str">
        <f>IFERROR(VLOOKUP(C1541,DATA!#REF!,2,FALSE),"")</f>
        <v/>
      </c>
      <c r="I1541" s="17"/>
      <c r="J1541" s="17"/>
      <c r="P1541" s="17"/>
      <c r="Q1541" s="17"/>
    </row>
    <row r="1542" spans="2:17">
      <c r="B1542" s="15" t="str">
        <f t="shared" si="74"/>
        <v/>
      </c>
      <c r="C1542" s="16" t="str">
        <f>IFERROR(VLOOKUP(DATA!#REF!,DATA!#REF!,1,FALSE),"")</f>
        <v/>
      </c>
      <c r="D1542" s="16" t="str">
        <f>IFERROR(VLOOKUP(C1542,DATA!#REF!,2,FALSE),"")</f>
        <v/>
      </c>
      <c r="I1542" s="17"/>
      <c r="J1542" s="17"/>
      <c r="P1542" s="17"/>
      <c r="Q1542" s="17"/>
    </row>
    <row r="1543" spans="2:17">
      <c r="B1543" s="15" t="str">
        <f t="shared" si="74"/>
        <v/>
      </c>
      <c r="C1543" s="16" t="str">
        <f>IFERROR(VLOOKUP(DATA!#REF!,DATA!#REF!,1,FALSE),"")</f>
        <v/>
      </c>
      <c r="D1543" s="16" t="str">
        <f>IFERROR(VLOOKUP(C1543,DATA!#REF!,2,FALSE),"")</f>
        <v/>
      </c>
      <c r="I1543" s="17"/>
      <c r="J1543" s="17"/>
      <c r="P1543" s="17"/>
      <c r="Q1543" s="17"/>
    </row>
    <row r="1544" spans="2:17">
      <c r="B1544" s="15" t="str">
        <f t="shared" si="74"/>
        <v/>
      </c>
      <c r="C1544" s="16" t="str">
        <f>IFERROR(VLOOKUP(DATA!#REF!,DATA!#REF!,1,FALSE),"")</f>
        <v/>
      </c>
      <c r="D1544" s="16" t="str">
        <f>IFERROR(VLOOKUP(C1544,DATA!#REF!,2,FALSE),"")</f>
        <v/>
      </c>
      <c r="I1544" s="17"/>
      <c r="J1544" s="17"/>
      <c r="P1544" s="17"/>
      <c r="Q1544" s="17"/>
    </row>
    <row r="1545" spans="2:17">
      <c r="B1545" s="15" t="str">
        <f t="shared" si="74"/>
        <v/>
      </c>
      <c r="C1545" s="16" t="str">
        <f>IFERROR(VLOOKUP(DATA!#REF!,DATA!#REF!,1,FALSE),"")</f>
        <v/>
      </c>
      <c r="D1545" s="16" t="str">
        <f>IFERROR(VLOOKUP(C1545,DATA!#REF!,2,FALSE),"")</f>
        <v/>
      </c>
      <c r="I1545" s="17"/>
      <c r="J1545" s="17"/>
      <c r="P1545" s="17"/>
      <c r="Q1545" s="17"/>
    </row>
    <row r="1546" spans="2:17">
      <c r="B1546" s="15" t="str">
        <f t="shared" si="74"/>
        <v/>
      </c>
      <c r="C1546" s="16" t="str">
        <f>IFERROR(VLOOKUP(DATA!#REF!,DATA!#REF!,1,FALSE),"")</f>
        <v/>
      </c>
      <c r="D1546" s="16" t="str">
        <f>IFERROR(VLOOKUP(C1546,DATA!#REF!,2,FALSE),"")</f>
        <v/>
      </c>
      <c r="I1546" s="17"/>
      <c r="J1546" s="17"/>
      <c r="P1546" s="17"/>
      <c r="Q1546" s="17"/>
    </row>
    <row r="1547" spans="2:17">
      <c r="B1547" s="15" t="str">
        <f t="shared" si="74"/>
        <v/>
      </c>
      <c r="C1547" s="16" t="str">
        <f>IFERROR(VLOOKUP(DATA!#REF!,DATA!#REF!,1,FALSE),"")</f>
        <v/>
      </c>
      <c r="D1547" s="16" t="str">
        <f>IFERROR(VLOOKUP(C1547,DATA!#REF!,2,FALSE),"")</f>
        <v/>
      </c>
      <c r="I1547" s="17"/>
      <c r="J1547" s="17"/>
      <c r="P1547" s="17"/>
      <c r="Q1547" s="17"/>
    </row>
    <row r="1548" spans="2:17">
      <c r="B1548" s="15" t="str">
        <f t="shared" si="74"/>
        <v/>
      </c>
      <c r="C1548" s="16" t="str">
        <f>IFERROR(VLOOKUP(DATA!#REF!,DATA!#REF!,1,FALSE),"")</f>
        <v/>
      </c>
      <c r="D1548" s="16" t="str">
        <f>IFERROR(VLOOKUP(C1548,DATA!#REF!,2,FALSE),"")</f>
        <v/>
      </c>
      <c r="I1548" s="17"/>
      <c r="J1548" s="17"/>
      <c r="P1548" s="17"/>
      <c r="Q1548" s="17"/>
    </row>
    <row r="1549" spans="2:17">
      <c r="B1549" s="15" t="str">
        <f t="shared" si="74"/>
        <v/>
      </c>
      <c r="C1549" s="16" t="str">
        <f>IFERROR(VLOOKUP(DATA!#REF!,DATA!#REF!,1,FALSE),"")</f>
        <v/>
      </c>
      <c r="D1549" s="16" t="str">
        <f>IFERROR(VLOOKUP(C1549,DATA!#REF!,2,FALSE),"")</f>
        <v/>
      </c>
      <c r="I1549" s="17"/>
      <c r="J1549" s="17"/>
      <c r="P1549" s="17"/>
      <c r="Q1549" s="17"/>
    </row>
    <row r="1550" spans="2:17">
      <c r="B1550" s="15" t="str">
        <f t="shared" si="74"/>
        <v/>
      </c>
      <c r="C1550" s="16" t="str">
        <f>IFERROR(VLOOKUP(DATA!#REF!,DATA!#REF!,1,FALSE),"")</f>
        <v/>
      </c>
      <c r="D1550" s="16" t="str">
        <f>IFERROR(VLOOKUP(C1550,DATA!#REF!,2,FALSE),"")</f>
        <v/>
      </c>
      <c r="I1550" s="17"/>
      <c r="J1550" s="17"/>
      <c r="P1550" s="17"/>
      <c r="Q1550" s="17"/>
    </row>
    <row r="1551" spans="2:17">
      <c r="B1551" s="15" t="str">
        <f t="shared" si="74"/>
        <v/>
      </c>
      <c r="C1551" s="16" t="str">
        <f>IFERROR(VLOOKUP(DATA!#REF!,DATA!#REF!,1,FALSE),"")</f>
        <v/>
      </c>
      <c r="D1551" s="16" t="str">
        <f>IFERROR(VLOOKUP(C1551,DATA!#REF!,2,FALSE),"")</f>
        <v/>
      </c>
      <c r="I1551" s="17"/>
      <c r="J1551" s="17"/>
      <c r="P1551" s="17"/>
      <c r="Q1551" s="17"/>
    </row>
    <row r="1552" spans="2:17">
      <c r="B1552" s="15" t="str">
        <f t="shared" si="74"/>
        <v/>
      </c>
      <c r="C1552" s="16" t="str">
        <f>IFERROR(VLOOKUP(DATA!#REF!,DATA!#REF!,1,FALSE),"")</f>
        <v/>
      </c>
      <c r="D1552" s="16" t="str">
        <f>IFERROR(VLOOKUP(C1552,DATA!#REF!,2,FALSE),"")</f>
        <v/>
      </c>
      <c r="I1552" s="17"/>
      <c r="J1552" s="17"/>
      <c r="P1552" s="17"/>
      <c r="Q1552" s="17"/>
    </row>
    <row r="1553" spans="2:17">
      <c r="B1553" s="15" t="str">
        <f t="shared" si="74"/>
        <v/>
      </c>
      <c r="C1553" s="16" t="str">
        <f>IFERROR(VLOOKUP(DATA!#REF!,DATA!#REF!,1,FALSE),"")</f>
        <v/>
      </c>
      <c r="D1553" s="16" t="str">
        <f>IFERROR(VLOOKUP(C1553,DATA!#REF!,2,FALSE),"")</f>
        <v/>
      </c>
      <c r="I1553" s="17"/>
      <c r="J1553" s="17"/>
      <c r="P1553" s="17"/>
      <c r="Q1553" s="17"/>
    </row>
    <row r="1554" spans="2:17">
      <c r="B1554" s="15" t="str">
        <f t="shared" si="74"/>
        <v/>
      </c>
      <c r="C1554" s="16" t="str">
        <f>IFERROR(VLOOKUP(DATA!#REF!,DATA!#REF!,1,FALSE),"")</f>
        <v/>
      </c>
      <c r="D1554" s="16" t="str">
        <f>IFERROR(VLOOKUP(C1554,DATA!#REF!,2,FALSE),"")</f>
        <v/>
      </c>
      <c r="I1554" s="17"/>
      <c r="J1554" s="17"/>
      <c r="P1554" s="17"/>
      <c r="Q1554" s="17"/>
    </row>
    <row r="1555" spans="2:17">
      <c r="B1555" s="15" t="str">
        <f t="shared" si="74"/>
        <v/>
      </c>
      <c r="C1555" s="16" t="str">
        <f>IFERROR(VLOOKUP(DATA!#REF!,DATA!#REF!,1,FALSE),"")</f>
        <v/>
      </c>
      <c r="D1555" s="16" t="str">
        <f>IFERROR(VLOOKUP(C1555,DATA!#REF!,2,FALSE),"")</f>
        <v/>
      </c>
      <c r="I1555" s="17"/>
      <c r="J1555" s="17"/>
      <c r="P1555" s="17"/>
      <c r="Q1555" s="17"/>
    </row>
    <row r="1556" spans="2:17">
      <c r="B1556" s="15" t="str">
        <f t="shared" si="74"/>
        <v/>
      </c>
      <c r="C1556" s="16" t="str">
        <f>IFERROR(VLOOKUP(DATA!#REF!,DATA!#REF!,1,FALSE),"")</f>
        <v/>
      </c>
      <c r="D1556" s="16" t="str">
        <f>IFERROR(VLOOKUP(C1556,DATA!#REF!,2,FALSE),"")</f>
        <v/>
      </c>
      <c r="I1556" s="17"/>
      <c r="J1556" s="17"/>
      <c r="P1556" s="17"/>
      <c r="Q1556" s="17"/>
    </row>
    <row r="1557" spans="2:17">
      <c r="B1557" s="15" t="str">
        <f t="shared" si="74"/>
        <v/>
      </c>
      <c r="C1557" s="16" t="str">
        <f>IFERROR(VLOOKUP(DATA!#REF!,DATA!#REF!,1,FALSE),"")</f>
        <v/>
      </c>
      <c r="D1557" s="16" t="str">
        <f>IFERROR(VLOOKUP(C1557,DATA!#REF!,2,FALSE),"")</f>
        <v/>
      </c>
      <c r="I1557" s="17"/>
      <c r="J1557" s="17"/>
      <c r="P1557" s="17"/>
      <c r="Q1557" s="17"/>
    </row>
    <row r="1558" spans="2:17">
      <c r="B1558" s="15" t="str">
        <f t="shared" si="74"/>
        <v/>
      </c>
      <c r="C1558" s="16" t="str">
        <f>IFERROR(VLOOKUP(DATA!#REF!,DATA!#REF!,1,FALSE),"")</f>
        <v/>
      </c>
      <c r="D1558" s="16" t="str">
        <f>IFERROR(VLOOKUP(C1558,DATA!#REF!,2,FALSE),"")</f>
        <v/>
      </c>
      <c r="I1558" s="17"/>
      <c r="J1558" s="17"/>
      <c r="P1558" s="17"/>
      <c r="Q1558" s="17"/>
    </row>
    <row r="1559" spans="2:17">
      <c r="B1559" s="15" t="str">
        <f t="shared" si="74"/>
        <v/>
      </c>
      <c r="C1559" s="16" t="str">
        <f>IFERROR(VLOOKUP(DATA!#REF!,DATA!#REF!,1,FALSE),"")</f>
        <v/>
      </c>
      <c r="D1559" s="16" t="str">
        <f>IFERROR(VLOOKUP(C1559,DATA!#REF!,2,FALSE),"")</f>
        <v/>
      </c>
      <c r="I1559" s="17"/>
      <c r="J1559" s="17"/>
      <c r="P1559" s="17"/>
      <c r="Q1559" s="17"/>
    </row>
    <row r="1560" spans="2:17">
      <c r="B1560" s="15" t="str">
        <f t="shared" si="74"/>
        <v/>
      </c>
      <c r="C1560" s="16" t="str">
        <f>IFERROR(VLOOKUP(DATA!#REF!,DATA!#REF!,1,FALSE),"")</f>
        <v/>
      </c>
      <c r="D1560" s="16" t="str">
        <f>IFERROR(VLOOKUP(C1560,DATA!#REF!,2,FALSE),"")</f>
        <v/>
      </c>
      <c r="I1560" s="17"/>
      <c r="J1560" s="17"/>
      <c r="P1560" s="17"/>
      <c r="Q1560" s="17"/>
    </row>
    <row r="1561" spans="2:17">
      <c r="B1561" s="15" t="str">
        <f t="shared" si="74"/>
        <v/>
      </c>
      <c r="C1561" s="16" t="str">
        <f>IFERROR(VLOOKUP(DATA!#REF!,DATA!#REF!,1,FALSE),"")</f>
        <v/>
      </c>
      <c r="D1561" s="16" t="str">
        <f>IFERROR(VLOOKUP(C1561,DATA!#REF!,2,FALSE),"")</f>
        <v/>
      </c>
      <c r="I1561" s="17"/>
      <c r="J1561" s="17"/>
      <c r="P1561" s="17"/>
      <c r="Q1561" s="17"/>
    </row>
    <row r="1562" spans="2:17">
      <c r="B1562" s="15" t="str">
        <f t="shared" si="74"/>
        <v/>
      </c>
      <c r="C1562" s="16" t="str">
        <f>IFERROR(VLOOKUP(DATA!#REF!,DATA!#REF!,1,FALSE),"")</f>
        <v/>
      </c>
      <c r="D1562" s="16" t="str">
        <f>IFERROR(VLOOKUP(C1562,DATA!#REF!,2,FALSE),"")</f>
        <v/>
      </c>
      <c r="I1562" s="17"/>
      <c r="J1562" s="17"/>
      <c r="P1562" s="17"/>
      <c r="Q1562" s="17"/>
    </row>
    <row r="1563" spans="2:17">
      <c r="B1563" s="15" t="str">
        <f t="shared" si="74"/>
        <v/>
      </c>
      <c r="C1563" s="16" t="str">
        <f>IFERROR(VLOOKUP(DATA!#REF!,DATA!#REF!,1,FALSE),"")</f>
        <v/>
      </c>
      <c r="D1563" s="16" t="str">
        <f>IFERROR(VLOOKUP(C1563,DATA!#REF!,2,FALSE),"")</f>
        <v/>
      </c>
      <c r="I1563" s="17"/>
      <c r="J1563" s="17"/>
      <c r="P1563" s="17"/>
      <c r="Q1563" s="17"/>
    </row>
    <row r="1564" spans="2:17">
      <c r="B1564" s="15" t="str">
        <f t="shared" si="74"/>
        <v/>
      </c>
      <c r="C1564" s="16" t="str">
        <f>IFERROR(VLOOKUP(DATA!#REF!,DATA!#REF!,1,FALSE),"")</f>
        <v/>
      </c>
      <c r="D1564" s="16" t="str">
        <f>IFERROR(VLOOKUP(C1564,DATA!#REF!,2,FALSE),"")</f>
        <v/>
      </c>
      <c r="I1564" s="17"/>
      <c r="J1564" s="17"/>
      <c r="P1564" s="17"/>
      <c r="Q1564" s="17"/>
    </row>
    <row r="1565" spans="2:17">
      <c r="B1565" s="15" t="str">
        <f t="shared" si="74"/>
        <v/>
      </c>
      <c r="C1565" s="16" t="str">
        <f>IFERROR(VLOOKUP(DATA!#REF!,DATA!#REF!,1,FALSE),"")</f>
        <v/>
      </c>
      <c r="D1565" s="16" t="str">
        <f>IFERROR(VLOOKUP(C1565,DATA!#REF!,2,FALSE),"")</f>
        <v/>
      </c>
      <c r="I1565" s="17"/>
      <c r="J1565" s="17"/>
      <c r="P1565" s="17"/>
      <c r="Q1565" s="17"/>
    </row>
    <row r="1566" spans="2:17">
      <c r="B1566" s="15" t="str">
        <f t="shared" si="74"/>
        <v/>
      </c>
      <c r="C1566" s="16" t="str">
        <f>IFERROR(VLOOKUP(DATA!#REF!,DATA!#REF!,1,FALSE),"")</f>
        <v/>
      </c>
      <c r="D1566" s="16" t="str">
        <f>IFERROR(VLOOKUP(C1566,DATA!#REF!,2,FALSE),"")</f>
        <v/>
      </c>
      <c r="I1566" s="17"/>
      <c r="J1566" s="17"/>
      <c r="P1566" s="17"/>
      <c r="Q1566" s="17"/>
    </row>
    <row r="1567" spans="2:17">
      <c r="B1567" s="15" t="str">
        <f t="shared" si="74"/>
        <v/>
      </c>
      <c r="C1567" s="16" t="str">
        <f>IFERROR(VLOOKUP(DATA!#REF!,DATA!#REF!,1,FALSE),"")</f>
        <v/>
      </c>
      <c r="D1567" s="16" t="str">
        <f>IFERROR(VLOOKUP(C1567,DATA!#REF!,2,FALSE),"")</f>
        <v/>
      </c>
      <c r="I1567" s="17"/>
      <c r="J1567" s="17"/>
      <c r="P1567" s="17"/>
      <c r="Q1567" s="17"/>
    </row>
    <row r="1568" spans="2:17">
      <c r="B1568" s="15" t="str">
        <f t="shared" si="74"/>
        <v/>
      </c>
      <c r="C1568" s="16" t="str">
        <f>IFERROR(VLOOKUP(DATA!#REF!,DATA!#REF!,1,FALSE),"")</f>
        <v/>
      </c>
      <c r="D1568" s="16" t="str">
        <f>IFERROR(VLOOKUP(C1568,DATA!#REF!,2,FALSE),"")</f>
        <v/>
      </c>
      <c r="I1568" s="17"/>
      <c r="J1568" s="17"/>
      <c r="P1568" s="17"/>
      <c r="Q1568" s="17"/>
    </row>
    <row r="1569" spans="2:17">
      <c r="B1569" s="15" t="str">
        <f t="shared" si="74"/>
        <v/>
      </c>
      <c r="C1569" s="16" t="str">
        <f>IFERROR(VLOOKUP(DATA!#REF!,DATA!#REF!,1,FALSE),"")</f>
        <v/>
      </c>
      <c r="D1569" s="16" t="str">
        <f>IFERROR(VLOOKUP(C1569,DATA!#REF!,2,FALSE),"")</f>
        <v/>
      </c>
      <c r="I1569" s="17"/>
      <c r="J1569" s="17"/>
      <c r="P1569" s="17"/>
      <c r="Q1569" s="17"/>
    </row>
    <row r="1570" spans="2:17">
      <c r="B1570" s="15" t="str">
        <f t="shared" si="74"/>
        <v/>
      </c>
      <c r="C1570" s="16" t="str">
        <f>IFERROR(VLOOKUP(DATA!#REF!,DATA!#REF!,1,FALSE),"")</f>
        <v/>
      </c>
      <c r="D1570" s="16" t="str">
        <f>IFERROR(VLOOKUP(C1570,DATA!#REF!,2,FALSE),"")</f>
        <v/>
      </c>
      <c r="I1570" s="17"/>
      <c r="J1570" s="17"/>
      <c r="P1570" s="17"/>
      <c r="Q1570" s="17"/>
    </row>
    <row r="1571" spans="2:17">
      <c r="B1571" s="15" t="str">
        <f t="shared" si="74"/>
        <v/>
      </c>
      <c r="C1571" s="16" t="str">
        <f>IFERROR(VLOOKUP(DATA!#REF!,DATA!#REF!,1,FALSE),"")</f>
        <v/>
      </c>
      <c r="D1571" s="16" t="str">
        <f>IFERROR(VLOOKUP(C1571,DATA!#REF!,2,FALSE),"")</f>
        <v/>
      </c>
      <c r="I1571" s="17"/>
      <c r="J1571" s="17"/>
      <c r="P1571" s="17"/>
      <c r="Q1571" s="17"/>
    </row>
    <row r="1572" spans="2:17">
      <c r="B1572" s="15" t="str">
        <f t="shared" si="74"/>
        <v/>
      </c>
      <c r="C1572" s="16" t="str">
        <f>IFERROR(VLOOKUP(DATA!#REF!,DATA!#REF!,1,FALSE),"")</f>
        <v/>
      </c>
      <c r="D1572" s="16" t="str">
        <f>IFERROR(VLOOKUP(C1572,DATA!#REF!,2,FALSE),"")</f>
        <v/>
      </c>
      <c r="I1572" s="17"/>
      <c r="J1572" s="17"/>
      <c r="P1572" s="17"/>
      <c r="Q1572" s="17"/>
    </row>
    <row r="1573" spans="2:17">
      <c r="B1573" s="15" t="str">
        <f t="shared" si="74"/>
        <v/>
      </c>
      <c r="C1573" s="16" t="str">
        <f>IFERROR(VLOOKUP(DATA!#REF!,DATA!#REF!,1,FALSE),"")</f>
        <v/>
      </c>
      <c r="D1573" s="16" t="str">
        <f>IFERROR(VLOOKUP(C1573,DATA!#REF!,2,FALSE),"")</f>
        <v/>
      </c>
      <c r="I1573" s="17"/>
      <c r="J1573" s="17"/>
      <c r="P1573" s="17"/>
      <c r="Q1573" s="17"/>
    </row>
    <row r="1574" spans="2:17">
      <c r="B1574" s="15" t="str">
        <f t="shared" si="74"/>
        <v/>
      </c>
      <c r="C1574" s="16" t="str">
        <f>IFERROR(VLOOKUP(DATA!#REF!,DATA!#REF!,1,FALSE),"")</f>
        <v/>
      </c>
      <c r="D1574" s="16" t="str">
        <f>IFERROR(VLOOKUP(C1574,DATA!#REF!,2,FALSE),"")</f>
        <v/>
      </c>
      <c r="I1574" s="17"/>
      <c r="J1574" s="17"/>
      <c r="P1574" s="17"/>
      <c r="Q1574" s="17"/>
    </row>
    <row r="1575" spans="2:17">
      <c r="B1575" s="15" t="str">
        <f t="shared" si="74"/>
        <v/>
      </c>
      <c r="C1575" s="16" t="str">
        <f>IFERROR(VLOOKUP(DATA!#REF!,DATA!#REF!,1,FALSE),"")</f>
        <v/>
      </c>
      <c r="D1575" s="16" t="str">
        <f>IFERROR(VLOOKUP(C1575,DATA!#REF!,2,FALSE),"")</f>
        <v/>
      </c>
      <c r="I1575" s="17"/>
      <c r="J1575" s="17"/>
      <c r="P1575" s="17"/>
      <c r="Q1575" s="17"/>
    </row>
    <row r="1576" spans="2:17">
      <c r="B1576" s="15" t="str">
        <f t="shared" si="74"/>
        <v/>
      </c>
      <c r="C1576" s="16" t="str">
        <f>IFERROR(VLOOKUP(DATA!#REF!,DATA!#REF!,1,FALSE),"")</f>
        <v/>
      </c>
      <c r="D1576" s="16" t="str">
        <f>IFERROR(VLOOKUP(C1576,DATA!#REF!,2,FALSE),"")</f>
        <v/>
      </c>
      <c r="I1576" s="17"/>
      <c r="J1576" s="17"/>
      <c r="P1576" s="17"/>
      <c r="Q1576" s="17"/>
    </row>
    <row r="1577" spans="2:17">
      <c r="B1577" s="15" t="str">
        <f t="shared" si="74"/>
        <v/>
      </c>
      <c r="C1577" s="16" t="str">
        <f>IFERROR(VLOOKUP(DATA!#REF!,DATA!#REF!,1,FALSE),"")</f>
        <v/>
      </c>
      <c r="D1577" s="16" t="str">
        <f>IFERROR(VLOOKUP(C1577,DATA!#REF!,2,FALSE),"")</f>
        <v/>
      </c>
      <c r="I1577" s="17"/>
      <c r="J1577" s="17"/>
      <c r="P1577" s="17"/>
      <c r="Q1577" s="17"/>
    </row>
    <row r="1578" spans="2:17">
      <c r="B1578" s="15" t="str">
        <f t="shared" si="74"/>
        <v/>
      </c>
      <c r="C1578" s="16" t="str">
        <f>IFERROR(VLOOKUP(DATA!#REF!,DATA!#REF!,1,FALSE),"")</f>
        <v/>
      </c>
      <c r="D1578" s="16" t="str">
        <f>IFERROR(VLOOKUP(C1578,DATA!#REF!,2,FALSE),"")</f>
        <v/>
      </c>
      <c r="I1578" s="17"/>
      <c r="J1578" s="17"/>
      <c r="P1578" s="17"/>
      <c r="Q1578" s="17"/>
    </row>
    <row r="1579" spans="2:17">
      <c r="B1579" s="15" t="str">
        <f t="shared" si="74"/>
        <v/>
      </c>
      <c r="C1579" s="16" t="str">
        <f>IFERROR(VLOOKUP(DATA!#REF!,DATA!#REF!,1,FALSE),"")</f>
        <v/>
      </c>
      <c r="D1579" s="16" t="str">
        <f>IFERROR(VLOOKUP(C1579,DATA!#REF!,2,FALSE),"")</f>
        <v/>
      </c>
      <c r="I1579" s="17"/>
      <c r="J1579" s="17"/>
      <c r="P1579" s="17"/>
      <c r="Q1579" s="17"/>
    </row>
    <row r="1580" spans="2:17">
      <c r="B1580" s="15" t="str">
        <f t="shared" si="74"/>
        <v/>
      </c>
      <c r="C1580" s="16" t="str">
        <f>IFERROR(VLOOKUP(DATA!#REF!,DATA!#REF!,1,FALSE),"")</f>
        <v/>
      </c>
      <c r="D1580" s="16" t="str">
        <f>IFERROR(VLOOKUP(C1580,DATA!#REF!,2,FALSE),"")</f>
        <v/>
      </c>
      <c r="I1580" s="17"/>
      <c r="J1580" s="17"/>
      <c r="P1580" s="17"/>
      <c r="Q1580" s="17"/>
    </row>
    <row r="1581" spans="2:17">
      <c r="B1581" s="15" t="str">
        <f t="shared" si="74"/>
        <v/>
      </c>
      <c r="C1581" s="16" t="str">
        <f>IFERROR(VLOOKUP(DATA!#REF!,DATA!#REF!,1,FALSE),"")</f>
        <v/>
      </c>
      <c r="D1581" s="16" t="str">
        <f>IFERROR(VLOOKUP(C1581,DATA!#REF!,2,FALSE),"")</f>
        <v/>
      </c>
      <c r="I1581" s="17"/>
      <c r="J1581" s="17"/>
      <c r="P1581" s="17"/>
      <c r="Q1581" s="17"/>
    </row>
    <row r="1582" spans="2:17">
      <c r="B1582" s="15" t="str">
        <f t="shared" si="74"/>
        <v/>
      </c>
      <c r="C1582" s="16" t="str">
        <f>IFERROR(VLOOKUP(DATA!#REF!,DATA!#REF!,1,FALSE),"")</f>
        <v/>
      </c>
      <c r="D1582" s="16" t="str">
        <f>IFERROR(VLOOKUP(C1582,DATA!#REF!,2,FALSE),"")</f>
        <v/>
      </c>
      <c r="I1582" s="17"/>
      <c r="J1582" s="17"/>
      <c r="P1582" s="17"/>
      <c r="Q1582" s="17"/>
    </row>
    <row r="1583" spans="2:17">
      <c r="B1583" s="15" t="str">
        <f t="shared" si="74"/>
        <v/>
      </c>
      <c r="C1583" s="16" t="str">
        <f>IFERROR(VLOOKUP(DATA!#REF!,DATA!#REF!,1,FALSE),"")</f>
        <v/>
      </c>
      <c r="D1583" s="16" t="str">
        <f>IFERROR(VLOOKUP(C1583,DATA!#REF!,2,FALSE),"")</f>
        <v/>
      </c>
      <c r="I1583" s="17"/>
      <c r="J1583" s="17"/>
      <c r="P1583" s="17"/>
      <c r="Q1583" s="17"/>
    </row>
    <row r="1584" spans="2:17">
      <c r="B1584" s="15" t="str">
        <f t="shared" si="74"/>
        <v/>
      </c>
      <c r="C1584" s="16" t="str">
        <f>IFERROR(VLOOKUP(DATA!#REF!,DATA!#REF!,1,FALSE),"")</f>
        <v/>
      </c>
      <c r="D1584" s="16" t="str">
        <f>IFERROR(VLOOKUP(C1584,DATA!#REF!,2,FALSE),"")</f>
        <v/>
      </c>
      <c r="I1584" s="17"/>
      <c r="J1584" s="17"/>
      <c r="P1584" s="17"/>
      <c r="Q1584" s="17"/>
    </row>
    <row r="1585" spans="2:17">
      <c r="B1585" s="15" t="str">
        <f t="shared" si="74"/>
        <v/>
      </c>
      <c r="C1585" s="16" t="str">
        <f>IFERROR(VLOOKUP(DATA!#REF!,DATA!#REF!,1,FALSE),"")</f>
        <v/>
      </c>
      <c r="D1585" s="16" t="str">
        <f>IFERROR(VLOOKUP(C1585,DATA!#REF!,2,FALSE),"")</f>
        <v/>
      </c>
      <c r="I1585" s="17"/>
      <c r="J1585" s="17"/>
      <c r="P1585" s="17"/>
      <c r="Q1585" s="17"/>
    </row>
    <row r="1586" spans="2:17">
      <c r="B1586" s="15" t="str">
        <f t="shared" si="74"/>
        <v/>
      </c>
      <c r="C1586" s="16" t="str">
        <f>IFERROR(VLOOKUP(DATA!#REF!,DATA!#REF!,1,FALSE),"")</f>
        <v/>
      </c>
      <c r="D1586" s="16" t="str">
        <f>IFERROR(VLOOKUP(C1586,DATA!#REF!,2,FALSE),"")</f>
        <v/>
      </c>
      <c r="I1586" s="17"/>
      <c r="J1586" s="17"/>
      <c r="P1586" s="17"/>
      <c r="Q1586" s="17"/>
    </row>
    <row r="1587" spans="2:17">
      <c r="B1587" s="15" t="str">
        <f t="shared" si="74"/>
        <v/>
      </c>
      <c r="C1587" s="16" t="str">
        <f>IFERROR(VLOOKUP(DATA!#REF!,DATA!#REF!,1,FALSE),"")</f>
        <v/>
      </c>
      <c r="D1587" s="16" t="str">
        <f>IFERROR(VLOOKUP(C1587,DATA!#REF!,2,FALSE),"")</f>
        <v/>
      </c>
      <c r="I1587" s="17"/>
      <c r="J1587" s="17"/>
      <c r="P1587" s="17"/>
      <c r="Q1587" s="17"/>
    </row>
    <row r="1588" spans="2:17">
      <c r="B1588" s="15" t="str">
        <f t="shared" si="74"/>
        <v/>
      </c>
      <c r="C1588" s="16" t="str">
        <f>IFERROR(VLOOKUP(DATA!#REF!,DATA!#REF!,1,FALSE),"")</f>
        <v/>
      </c>
      <c r="D1588" s="16" t="str">
        <f>IFERROR(VLOOKUP(C1588,DATA!#REF!,2,FALSE),"")</f>
        <v/>
      </c>
      <c r="I1588" s="17"/>
      <c r="J1588" s="17"/>
      <c r="P1588" s="17"/>
      <c r="Q1588" s="17"/>
    </row>
    <row r="1589" spans="2:17">
      <c r="B1589" s="15" t="str">
        <f t="shared" si="74"/>
        <v/>
      </c>
      <c r="C1589" s="16" t="str">
        <f>IFERROR(VLOOKUP(DATA!#REF!,DATA!#REF!,1,FALSE),"")</f>
        <v/>
      </c>
      <c r="D1589" s="16" t="str">
        <f>IFERROR(VLOOKUP(C1589,DATA!#REF!,2,FALSE),"")</f>
        <v/>
      </c>
      <c r="I1589" s="17"/>
      <c r="J1589" s="17"/>
      <c r="P1589" s="17"/>
      <c r="Q1589" s="17"/>
    </row>
    <row r="1590" spans="2:17">
      <c r="B1590" s="15" t="str">
        <f t="shared" si="74"/>
        <v/>
      </c>
      <c r="C1590" s="16" t="str">
        <f>IFERROR(VLOOKUP(DATA!#REF!,DATA!#REF!,1,FALSE),"")</f>
        <v/>
      </c>
      <c r="D1590" s="16" t="str">
        <f>IFERROR(VLOOKUP(C1590,DATA!#REF!,2,FALSE),"")</f>
        <v/>
      </c>
      <c r="I1590" s="17"/>
      <c r="J1590" s="17"/>
      <c r="P1590" s="17"/>
      <c r="Q1590" s="17"/>
    </row>
    <row r="1591" spans="2:17">
      <c r="B1591" s="15" t="str">
        <f t="shared" ref="B1591:B1654" si="75">+IF(C1591="","",ROW()-5)</f>
        <v/>
      </c>
      <c r="C1591" s="16" t="str">
        <f>IFERROR(VLOOKUP(DATA!#REF!,DATA!#REF!,1,FALSE),"")</f>
        <v/>
      </c>
      <c r="D1591" s="16" t="str">
        <f>IFERROR(VLOOKUP(C1591,DATA!#REF!,2,FALSE),"")</f>
        <v/>
      </c>
      <c r="I1591" s="17"/>
      <c r="J1591" s="17"/>
      <c r="P1591" s="17"/>
      <c r="Q1591" s="17"/>
    </row>
    <row r="1592" spans="2:17">
      <c r="B1592" s="15" t="str">
        <f t="shared" si="75"/>
        <v/>
      </c>
      <c r="C1592" s="16" t="str">
        <f>IFERROR(VLOOKUP(DATA!#REF!,DATA!#REF!,1,FALSE),"")</f>
        <v/>
      </c>
      <c r="D1592" s="16" t="str">
        <f>IFERROR(VLOOKUP(C1592,DATA!#REF!,2,FALSE),"")</f>
        <v/>
      </c>
      <c r="I1592" s="17"/>
      <c r="J1592" s="17"/>
      <c r="P1592" s="17"/>
      <c r="Q1592" s="17"/>
    </row>
    <row r="1593" spans="2:17">
      <c r="B1593" s="15" t="str">
        <f t="shared" si="75"/>
        <v/>
      </c>
      <c r="C1593" s="16" t="str">
        <f>IFERROR(VLOOKUP(DATA!#REF!,DATA!#REF!,1,FALSE),"")</f>
        <v/>
      </c>
      <c r="D1593" s="16" t="str">
        <f>IFERROR(VLOOKUP(C1593,DATA!#REF!,2,FALSE),"")</f>
        <v/>
      </c>
      <c r="I1593" s="17"/>
      <c r="J1593" s="17"/>
      <c r="P1593" s="17"/>
      <c r="Q1593" s="17"/>
    </row>
    <row r="1594" spans="2:17">
      <c r="B1594" s="15" t="str">
        <f t="shared" si="75"/>
        <v/>
      </c>
      <c r="C1594" s="16" t="str">
        <f>IFERROR(VLOOKUP(DATA!#REF!,DATA!#REF!,1,FALSE),"")</f>
        <v/>
      </c>
      <c r="D1594" s="16" t="str">
        <f>IFERROR(VLOOKUP(C1594,DATA!#REF!,2,FALSE),"")</f>
        <v/>
      </c>
      <c r="I1594" s="17"/>
      <c r="J1594" s="17"/>
      <c r="P1594" s="17"/>
      <c r="Q1594" s="17"/>
    </row>
    <row r="1595" spans="2:17">
      <c r="B1595" s="15" t="str">
        <f t="shared" si="75"/>
        <v/>
      </c>
      <c r="C1595" s="16" t="str">
        <f>IFERROR(VLOOKUP(DATA!#REF!,DATA!#REF!,1,FALSE),"")</f>
        <v/>
      </c>
      <c r="D1595" s="16" t="str">
        <f>IFERROR(VLOOKUP(C1595,DATA!#REF!,2,FALSE),"")</f>
        <v/>
      </c>
      <c r="I1595" s="17"/>
      <c r="J1595" s="17"/>
      <c r="P1595" s="17"/>
      <c r="Q1595" s="17"/>
    </row>
    <row r="1596" spans="2:17">
      <c r="B1596" s="15" t="str">
        <f t="shared" si="75"/>
        <v/>
      </c>
      <c r="C1596" s="16" t="str">
        <f>IFERROR(VLOOKUP(DATA!#REF!,DATA!#REF!,1,FALSE),"")</f>
        <v/>
      </c>
      <c r="D1596" s="16" t="str">
        <f>IFERROR(VLOOKUP(C1596,DATA!#REF!,2,FALSE),"")</f>
        <v/>
      </c>
      <c r="I1596" s="17"/>
      <c r="J1596" s="17"/>
      <c r="P1596" s="17"/>
      <c r="Q1596" s="17"/>
    </row>
    <row r="1597" spans="2:17">
      <c r="B1597" s="15" t="str">
        <f t="shared" si="75"/>
        <v/>
      </c>
      <c r="C1597" s="16" t="str">
        <f>IFERROR(VLOOKUP(DATA!#REF!,DATA!#REF!,1,FALSE),"")</f>
        <v/>
      </c>
      <c r="D1597" s="16" t="str">
        <f>IFERROR(VLOOKUP(C1597,DATA!#REF!,2,FALSE),"")</f>
        <v/>
      </c>
      <c r="I1597" s="17"/>
      <c r="J1597" s="17"/>
      <c r="P1597" s="17"/>
      <c r="Q1597" s="17"/>
    </row>
    <row r="1598" spans="2:17">
      <c r="B1598" s="15" t="str">
        <f t="shared" si="75"/>
        <v/>
      </c>
      <c r="C1598" s="16" t="str">
        <f>IFERROR(VLOOKUP(DATA!#REF!,DATA!#REF!,1,FALSE),"")</f>
        <v/>
      </c>
      <c r="D1598" s="16" t="str">
        <f>IFERROR(VLOOKUP(C1598,DATA!#REF!,2,FALSE),"")</f>
        <v/>
      </c>
      <c r="I1598" s="17"/>
      <c r="J1598" s="17"/>
      <c r="P1598" s="17"/>
      <c r="Q1598" s="17"/>
    </row>
    <row r="1599" spans="2:17">
      <c r="B1599" s="15" t="str">
        <f t="shared" si="75"/>
        <v/>
      </c>
      <c r="C1599" s="16" t="str">
        <f>IFERROR(VLOOKUP(DATA!#REF!,DATA!#REF!,1,FALSE),"")</f>
        <v/>
      </c>
      <c r="D1599" s="16" t="str">
        <f>IFERROR(VLOOKUP(C1599,DATA!#REF!,2,FALSE),"")</f>
        <v/>
      </c>
      <c r="I1599" s="17"/>
      <c r="J1599" s="17"/>
      <c r="P1599" s="17"/>
      <c r="Q1599" s="17"/>
    </row>
    <row r="1600" spans="2:17">
      <c r="B1600" s="15" t="str">
        <f t="shared" si="75"/>
        <v/>
      </c>
      <c r="C1600" s="16" t="str">
        <f>IFERROR(VLOOKUP(DATA!#REF!,DATA!#REF!,1,FALSE),"")</f>
        <v/>
      </c>
      <c r="D1600" s="16" t="str">
        <f>IFERROR(VLOOKUP(C1600,DATA!#REF!,2,FALSE),"")</f>
        <v/>
      </c>
      <c r="I1600" s="17"/>
      <c r="J1600" s="17"/>
      <c r="P1600" s="17"/>
      <c r="Q1600" s="17"/>
    </row>
    <row r="1601" spans="2:17">
      <c r="B1601" s="15" t="str">
        <f t="shared" si="75"/>
        <v/>
      </c>
      <c r="C1601" s="16" t="str">
        <f>IFERROR(VLOOKUP(DATA!#REF!,DATA!#REF!,1,FALSE),"")</f>
        <v/>
      </c>
      <c r="D1601" s="16" t="str">
        <f>IFERROR(VLOOKUP(C1601,DATA!#REF!,2,FALSE),"")</f>
        <v/>
      </c>
      <c r="I1601" s="17"/>
      <c r="J1601" s="17"/>
      <c r="P1601" s="17"/>
      <c r="Q1601" s="17"/>
    </row>
    <row r="1602" spans="2:17">
      <c r="B1602" s="15" t="str">
        <f t="shared" si="75"/>
        <v/>
      </c>
      <c r="C1602" s="16" t="str">
        <f>IFERROR(VLOOKUP(DATA!#REF!,DATA!#REF!,1,FALSE),"")</f>
        <v/>
      </c>
      <c r="D1602" s="16" t="str">
        <f>IFERROR(VLOOKUP(C1602,DATA!#REF!,2,FALSE),"")</f>
        <v/>
      </c>
      <c r="I1602" s="17"/>
      <c r="J1602" s="17"/>
      <c r="P1602" s="17"/>
      <c r="Q1602" s="17"/>
    </row>
    <row r="1603" spans="2:17">
      <c r="B1603" s="15" t="str">
        <f t="shared" si="75"/>
        <v/>
      </c>
      <c r="C1603" s="16" t="str">
        <f>IFERROR(VLOOKUP(DATA!#REF!,DATA!#REF!,1,FALSE),"")</f>
        <v/>
      </c>
      <c r="D1603" s="16" t="str">
        <f>IFERROR(VLOOKUP(C1603,DATA!#REF!,2,FALSE),"")</f>
        <v/>
      </c>
      <c r="I1603" s="17"/>
      <c r="J1603" s="17"/>
      <c r="P1603" s="17"/>
      <c r="Q1603" s="17"/>
    </row>
    <row r="1604" spans="2:17">
      <c r="B1604" s="15" t="str">
        <f t="shared" si="75"/>
        <v/>
      </c>
      <c r="C1604" s="16" t="str">
        <f>IFERROR(VLOOKUP(DATA!#REF!,DATA!#REF!,1,FALSE),"")</f>
        <v/>
      </c>
      <c r="D1604" s="16" t="str">
        <f>IFERROR(VLOOKUP(C1604,DATA!#REF!,2,FALSE),"")</f>
        <v/>
      </c>
      <c r="I1604" s="17"/>
      <c r="J1604" s="17"/>
      <c r="P1604" s="17"/>
      <c r="Q1604" s="17"/>
    </row>
    <row r="1605" spans="2:17">
      <c r="B1605" s="15" t="str">
        <f t="shared" si="75"/>
        <v/>
      </c>
      <c r="C1605" s="16" t="str">
        <f>IFERROR(VLOOKUP(DATA!#REF!,DATA!#REF!,1,FALSE),"")</f>
        <v/>
      </c>
      <c r="D1605" s="16" t="str">
        <f>IFERROR(VLOOKUP(C1605,DATA!#REF!,2,FALSE),"")</f>
        <v/>
      </c>
      <c r="I1605" s="17"/>
      <c r="J1605" s="17"/>
      <c r="P1605" s="17"/>
      <c r="Q1605" s="17"/>
    </row>
    <row r="1606" spans="2:17">
      <c r="B1606" s="15" t="str">
        <f t="shared" si="75"/>
        <v/>
      </c>
      <c r="C1606" s="16" t="str">
        <f>IFERROR(VLOOKUP(DATA!#REF!,DATA!#REF!,1,FALSE),"")</f>
        <v/>
      </c>
      <c r="D1606" s="16" t="str">
        <f>IFERROR(VLOOKUP(C1606,DATA!#REF!,2,FALSE),"")</f>
        <v/>
      </c>
      <c r="I1606" s="17"/>
      <c r="J1606" s="17"/>
      <c r="P1606" s="17"/>
      <c r="Q1606" s="17"/>
    </row>
    <row r="1607" spans="2:17">
      <c r="B1607" s="15" t="str">
        <f t="shared" si="75"/>
        <v/>
      </c>
      <c r="C1607" s="16" t="str">
        <f>IFERROR(VLOOKUP(DATA!#REF!,DATA!#REF!,1,FALSE),"")</f>
        <v/>
      </c>
      <c r="D1607" s="16" t="str">
        <f>IFERROR(VLOOKUP(C1607,DATA!#REF!,2,FALSE),"")</f>
        <v/>
      </c>
      <c r="I1607" s="17"/>
      <c r="J1607" s="17"/>
      <c r="P1607" s="17"/>
      <c r="Q1607" s="17"/>
    </row>
    <row r="1608" spans="2:17">
      <c r="B1608" s="15" t="str">
        <f t="shared" si="75"/>
        <v/>
      </c>
      <c r="C1608" s="16" t="str">
        <f>IFERROR(VLOOKUP(DATA!#REF!,DATA!#REF!,1,FALSE),"")</f>
        <v/>
      </c>
      <c r="D1608" s="16" t="str">
        <f>IFERROR(VLOOKUP(C1608,DATA!#REF!,2,FALSE),"")</f>
        <v/>
      </c>
      <c r="I1608" s="17"/>
      <c r="J1608" s="17"/>
      <c r="P1608" s="17"/>
      <c r="Q1608" s="17"/>
    </row>
    <row r="1609" spans="2:17">
      <c r="B1609" s="15" t="str">
        <f t="shared" si="75"/>
        <v/>
      </c>
      <c r="C1609" s="16" t="str">
        <f>IFERROR(VLOOKUP(DATA!#REF!,DATA!#REF!,1,FALSE),"")</f>
        <v/>
      </c>
      <c r="D1609" s="16" t="str">
        <f>IFERROR(VLOOKUP(C1609,DATA!#REF!,2,FALSE),"")</f>
        <v/>
      </c>
      <c r="I1609" s="17"/>
      <c r="J1609" s="17"/>
      <c r="P1609" s="17"/>
      <c r="Q1609" s="17"/>
    </row>
    <row r="1610" spans="2:17">
      <c r="B1610" s="15" t="str">
        <f t="shared" si="75"/>
        <v/>
      </c>
      <c r="C1610" s="16" t="str">
        <f>IFERROR(VLOOKUP(DATA!#REF!,DATA!#REF!,1,FALSE),"")</f>
        <v/>
      </c>
      <c r="D1610" s="16" t="str">
        <f>IFERROR(VLOOKUP(C1610,DATA!#REF!,2,FALSE),"")</f>
        <v/>
      </c>
      <c r="I1610" s="17"/>
      <c r="J1610" s="17"/>
      <c r="P1610" s="17"/>
      <c r="Q1610" s="17"/>
    </row>
    <row r="1611" spans="2:17">
      <c r="B1611" s="15" t="str">
        <f t="shared" si="75"/>
        <v/>
      </c>
      <c r="C1611" s="16" t="str">
        <f>IFERROR(VLOOKUP(DATA!#REF!,DATA!#REF!,1,FALSE),"")</f>
        <v/>
      </c>
      <c r="D1611" s="16" t="str">
        <f>IFERROR(VLOOKUP(C1611,DATA!#REF!,2,FALSE),"")</f>
        <v/>
      </c>
      <c r="I1611" s="17"/>
      <c r="J1611" s="17"/>
      <c r="P1611" s="17"/>
      <c r="Q1611" s="17"/>
    </row>
    <row r="1612" spans="2:17">
      <c r="B1612" s="15" t="str">
        <f t="shared" si="75"/>
        <v/>
      </c>
      <c r="C1612" s="16" t="str">
        <f>IFERROR(VLOOKUP(DATA!#REF!,DATA!#REF!,1,FALSE),"")</f>
        <v/>
      </c>
      <c r="D1612" s="16" t="str">
        <f>IFERROR(VLOOKUP(C1612,DATA!#REF!,2,FALSE),"")</f>
        <v/>
      </c>
      <c r="I1612" s="17"/>
      <c r="J1612" s="17"/>
      <c r="P1612" s="17"/>
      <c r="Q1612" s="17"/>
    </row>
    <row r="1613" spans="2:17">
      <c r="B1613" s="15" t="str">
        <f t="shared" si="75"/>
        <v/>
      </c>
      <c r="C1613" s="16" t="str">
        <f>IFERROR(VLOOKUP(DATA!#REF!,DATA!#REF!,1,FALSE),"")</f>
        <v/>
      </c>
      <c r="D1613" s="16" t="str">
        <f>IFERROR(VLOOKUP(C1613,DATA!#REF!,2,FALSE),"")</f>
        <v/>
      </c>
      <c r="I1613" s="17"/>
      <c r="J1613" s="17"/>
      <c r="P1613" s="17"/>
      <c r="Q1613" s="17"/>
    </row>
    <row r="1614" spans="2:17">
      <c r="B1614" s="15" t="str">
        <f t="shared" si="75"/>
        <v/>
      </c>
      <c r="C1614" s="16" t="str">
        <f>IFERROR(VLOOKUP(DATA!#REF!,DATA!#REF!,1,FALSE),"")</f>
        <v/>
      </c>
      <c r="D1614" s="16" t="str">
        <f>IFERROR(VLOOKUP(C1614,DATA!#REF!,2,FALSE),"")</f>
        <v/>
      </c>
      <c r="I1614" s="17"/>
      <c r="J1614" s="17"/>
      <c r="P1614" s="17"/>
      <c r="Q1614" s="17"/>
    </row>
    <row r="1615" spans="2:17">
      <c r="B1615" s="15" t="str">
        <f t="shared" si="75"/>
        <v/>
      </c>
      <c r="C1615" s="16" t="str">
        <f>IFERROR(VLOOKUP(DATA!#REF!,DATA!#REF!,1,FALSE),"")</f>
        <v/>
      </c>
      <c r="D1615" s="16" t="str">
        <f>IFERROR(VLOOKUP(C1615,DATA!#REF!,2,FALSE),"")</f>
        <v/>
      </c>
      <c r="I1615" s="17"/>
      <c r="J1615" s="17"/>
      <c r="P1615" s="17"/>
      <c r="Q1615" s="17"/>
    </row>
    <row r="1616" spans="2:17">
      <c r="B1616" s="15" t="str">
        <f t="shared" si="75"/>
        <v/>
      </c>
      <c r="C1616" s="16" t="str">
        <f>IFERROR(VLOOKUP(DATA!#REF!,DATA!#REF!,1,FALSE),"")</f>
        <v/>
      </c>
      <c r="D1616" s="16" t="str">
        <f>IFERROR(VLOOKUP(C1616,DATA!#REF!,2,FALSE),"")</f>
        <v/>
      </c>
      <c r="I1616" s="17"/>
      <c r="J1616" s="17"/>
      <c r="P1616" s="17"/>
      <c r="Q1616" s="17"/>
    </row>
    <row r="1617" spans="2:17">
      <c r="B1617" s="15" t="str">
        <f t="shared" si="75"/>
        <v/>
      </c>
      <c r="C1617" s="16" t="str">
        <f>IFERROR(VLOOKUP(DATA!#REF!,DATA!#REF!,1,FALSE),"")</f>
        <v/>
      </c>
      <c r="D1617" s="16" t="str">
        <f>IFERROR(VLOOKUP(C1617,DATA!#REF!,2,FALSE),"")</f>
        <v/>
      </c>
      <c r="I1617" s="17"/>
      <c r="J1617" s="17"/>
      <c r="P1617" s="17"/>
      <c r="Q1617" s="17"/>
    </row>
    <row r="1618" spans="2:17">
      <c r="B1618" s="15" t="str">
        <f t="shared" si="75"/>
        <v/>
      </c>
      <c r="C1618" s="16" t="str">
        <f>IFERROR(VLOOKUP(DATA!#REF!,DATA!#REF!,1,FALSE),"")</f>
        <v/>
      </c>
      <c r="D1618" s="16" t="str">
        <f>IFERROR(VLOOKUP(C1618,DATA!#REF!,2,FALSE),"")</f>
        <v/>
      </c>
      <c r="I1618" s="17"/>
      <c r="J1618" s="17"/>
      <c r="P1618" s="17"/>
      <c r="Q1618" s="17"/>
    </row>
    <row r="1619" spans="2:17">
      <c r="B1619" s="15" t="str">
        <f t="shared" si="75"/>
        <v/>
      </c>
      <c r="C1619" s="16" t="str">
        <f>IFERROR(VLOOKUP(DATA!#REF!,DATA!#REF!,1,FALSE),"")</f>
        <v/>
      </c>
      <c r="D1619" s="16" t="str">
        <f>IFERROR(VLOOKUP(C1619,DATA!#REF!,2,FALSE),"")</f>
        <v/>
      </c>
      <c r="I1619" s="17"/>
      <c r="J1619" s="17"/>
      <c r="P1619" s="17"/>
      <c r="Q1619" s="17"/>
    </row>
    <row r="1620" spans="2:17">
      <c r="B1620" s="15" t="str">
        <f t="shared" si="75"/>
        <v/>
      </c>
      <c r="C1620" s="16" t="str">
        <f>IFERROR(VLOOKUP(DATA!#REF!,DATA!#REF!,1,FALSE),"")</f>
        <v/>
      </c>
      <c r="D1620" s="16" t="str">
        <f>IFERROR(VLOOKUP(C1620,DATA!#REF!,2,FALSE),"")</f>
        <v/>
      </c>
      <c r="I1620" s="17"/>
      <c r="J1620" s="17"/>
      <c r="P1620" s="17"/>
      <c r="Q1620" s="17"/>
    </row>
    <row r="1621" spans="2:17">
      <c r="B1621" s="15" t="str">
        <f t="shared" si="75"/>
        <v/>
      </c>
      <c r="C1621" s="16" t="str">
        <f>IFERROR(VLOOKUP(DATA!#REF!,DATA!#REF!,1,FALSE),"")</f>
        <v/>
      </c>
      <c r="D1621" s="16" t="str">
        <f>IFERROR(VLOOKUP(C1621,DATA!#REF!,2,FALSE),"")</f>
        <v/>
      </c>
      <c r="I1621" s="17"/>
      <c r="J1621" s="17"/>
      <c r="P1621" s="17"/>
      <c r="Q1621" s="17"/>
    </row>
    <row r="1622" spans="2:17">
      <c r="B1622" s="15" t="str">
        <f t="shared" si="75"/>
        <v/>
      </c>
      <c r="C1622" s="16" t="str">
        <f>IFERROR(VLOOKUP(DATA!#REF!,DATA!#REF!,1,FALSE),"")</f>
        <v/>
      </c>
      <c r="D1622" s="16" t="str">
        <f>IFERROR(VLOOKUP(C1622,DATA!#REF!,2,FALSE),"")</f>
        <v/>
      </c>
      <c r="I1622" s="17"/>
      <c r="J1622" s="17"/>
      <c r="P1622" s="17"/>
      <c r="Q1622" s="17"/>
    </row>
    <row r="1623" spans="2:17">
      <c r="B1623" s="15" t="str">
        <f t="shared" si="75"/>
        <v/>
      </c>
      <c r="C1623" s="16" t="str">
        <f>IFERROR(VLOOKUP(DATA!#REF!,DATA!#REF!,1,FALSE),"")</f>
        <v/>
      </c>
      <c r="D1623" s="16" t="str">
        <f>IFERROR(VLOOKUP(C1623,DATA!#REF!,2,FALSE),"")</f>
        <v/>
      </c>
      <c r="I1623" s="17"/>
      <c r="J1623" s="17"/>
      <c r="P1623" s="17"/>
      <c r="Q1623" s="17"/>
    </row>
    <row r="1624" spans="2:17">
      <c r="B1624" s="15" t="str">
        <f t="shared" si="75"/>
        <v/>
      </c>
      <c r="C1624" s="16" t="str">
        <f>IFERROR(VLOOKUP(DATA!#REF!,DATA!#REF!,1,FALSE),"")</f>
        <v/>
      </c>
      <c r="D1624" s="16" t="str">
        <f>IFERROR(VLOOKUP(C1624,DATA!#REF!,2,FALSE),"")</f>
        <v/>
      </c>
      <c r="I1624" s="17"/>
      <c r="J1624" s="17"/>
      <c r="P1624" s="17"/>
      <c r="Q1624" s="17"/>
    </row>
    <row r="1625" spans="2:17">
      <c r="B1625" s="15" t="str">
        <f t="shared" si="75"/>
        <v/>
      </c>
      <c r="C1625" s="16" t="str">
        <f>IFERROR(VLOOKUP(DATA!#REF!,DATA!#REF!,1,FALSE),"")</f>
        <v/>
      </c>
      <c r="D1625" s="16" t="str">
        <f>IFERROR(VLOOKUP(C1625,DATA!#REF!,2,FALSE),"")</f>
        <v/>
      </c>
      <c r="I1625" s="17"/>
      <c r="J1625" s="17"/>
      <c r="P1625" s="17"/>
      <c r="Q1625" s="17"/>
    </row>
    <row r="1626" spans="2:17">
      <c r="B1626" s="15" t="str">
        <f t="shared" si="75"/>
        <v/>
      </c>
      <c r="C1626" s="16" t="str">
        <f>IFERROR(VLOOKUP(DATA!#REF!,DATA!#REF!,1,FALSE),"")</f>
        <v/>
      </c>
      <c r="D1626" s="16" t="str">
        <f>IFERROR(VLOOKUP(C1626,DATA!#REF!,2,FALSE),"")</f>
        <v/>
      </c>
      <c r="I1626" s="17"/>
      <c r="J1626" s="17"/>
      <c r="P1626" s="17"/>
      <c r="Q1626" s="17"/>
    </row>
    <row r="1627" spans="2:17">
      <c r="B1627" s="15" t="str">
        <f t="shared" si="75"/>
        <v/>
      </c>
      <c r="C1627" s="16" t="str">
        <f>IFERROR(VLOOKUP(DATA!#REF!,DATA!#REF!,1,FALSE),"")</f>
        <v/>
      </c>
      <c r="D1627" s="16" t="str">
        <f>IFERROR(VLOOKUP(C1627,DATA!#REF!,2,FALSE),"")</f>
        <v/>
      </c>
      <c r="I1627" s="17"/>
      <c r="J1627" s="17"/>
      <c r="P1627" s="17"/>
      <c r="Q1627" s="17"/>
    </row>
    <row r="1628" spans="2:17">
      <c r="B1628" s="15" t="str">
        <f t="shared" si="75"/>
        <v/>
      </c>
      <c r="C1628" s="16" t="str">
        <f>IFERROR(VLOOKUP(DATA!#REF!,DATA!#REF!,1,FALSE),"")</f>
        <v/>
      </c>
      <c r="D1628" s="16" t="str">
        <f>IFERROR(VLOOKUP(C1628,DATA!#REF!,2,FALSE),"")</f>
        <v/>
      </c>
      <c r="I1628" s="17"/>
      <c r="J1628" s="17"/>
      <c r="P1628" s="17"/>
      <c r="Q1628" s="17"/>
    </row>
    <row r="1629" spans="2:17">
      <c r="B1629" s="15" t="str">
        <f t="shared" si="75"/>
        <v/>
      </c>
      <c r="C1629" s="16" t="str">
        <f>IFERROR(VLOOKUP(DATA!#REF!,DATA!#REF!,1,FALSE),"")</f>
        <v/>
      </c>
      <c r="D1629" s="16" t="str">
        <f>IFERROR(VLOOKUP(C1629,DATA!#REF!,2,FALSE),"")</f>
        <v/>
      </c>
      <c r="I1629" s="17"/>
      <c r="J1629" s="17"/>
      <c r="P1629" s="17"/>
      <c r="Q1629" s="17"/>
    </row>
    <row r="1630" spans="2:17">
      <c r="B1630" s="15" t="str">
        <f t="shared" si="75"/>
        <v/>
      </c>
      <c r="C1630" s="16" t="str">
        <f>IFERROR(VLOOKUP(DATA!#REF!,DATA!#REF!,1,FALSE),"")</f>
        <v/>
      </c>
      <c r="D1630" s="16" t="str">
        <f>IFERROR(VLOOKUP(C1630,DATA!#REF!,2,FALSE),"")</f>
        <v/>
      </c>
      <c r="I1630" s="17"/>
      <c r="J1630" s="17"/>
      <c r="P1630" s="17"/>
      <c r="Q1630" s="17"/>
    </row>
    <row r="1631" spans="2:17">
      <c r="B1631" s="15" t="str">
        <f t="shared" si="75"/>
        <v/>
      </c>
      <c r="C1631" s="16" t="str">
        <f>IFERROR(VLOOKUP(DATA!#REF!,DATA!#REF!,1,FALSE),"")</f>
        <v/>
      </c>
      <c r="D1631" s="16" t="str">
        <f>IFERROR(VLOOKUP(C1631,DATA!#REF!,2,FALSE),"")</f>
        <v/>
      </c>
      <c r="I1631" s="17"/>
      <c r="J1631" s="17"/>
      <c r="P1631" s="17"/>
      <c r="Q1631" s="17"/>
    </row>
    <row r="1632" spans="2:17">
      <c r="B1632" s="15" t="str">
        <f t="shared" si="75"/>
        <v/>
      </c>
      <c r="C1632" s="16" t="str">
        <f>IFERROR(VLOOKUP(DATA!#REF!,DATA!#REF!,1,FALSE),"")</f>
        <v/>
      </c>
      <c r="D1632" s="16" t="str">
        <f>IFERROR(VLOOKUP(C1632,DATA!#REF!,2,FALSE),"")</f>
        <v/>
      </c>
      <c r="I1632" s="17"/>
      <c r="J1632" s="17"/>
      <c r="P1632" s="17"/>
      <c r="Q1632" s="17"/>
    </row>
    <row r="1633" spans="2:17">
      <c r="B1633" s="15" t="str">
        <f t="shared" si="75"/>
        <v/>
      </c>
      <c r="C1633" s="16" t="str">
        <f>IFERROR(VLOOKUP(DATA!#REF!,DATA!#REF!,1,FALSE),"")</f>
        <v/>
      </c>
      <c r="D1633" s="16" t="str">
        <f>IFERROR(VLOOKUP(C1633,DATA!#REF!,2,FALSE),"")</f>
        <v/>
      </c>
      <c r="I1633" s="17"/>
      <c r="J1633" s="17"/>
      <c r="P1633" s="17"/>
      <c r="Q1633" s="17"/>
    </row>
    <row r="1634" spans="2:17">
      <c r="B1634" s="15" t="str">
        <f t="shared" si="75"/>
        <v/>
      </c>
      <c r="C1634" s="16" t="str">
        <f>IFERROR(VLOOKUP(DATA!#REF!,DATA!#REF!,1,FALSE),"")</f>
        <v/>
      </c>
      <c r="D1634" s="16" t="str">
        <f>IFERROR(VLOOKUP(C1634,DATA!#REF!,2,FALSE),"")</f>
        <v/>
      </c>
      <c r="I1634" s="17"/>
      <c r="J1634" s="17"/>
      <c r="P1634" s="17"/>
      <c r="Q1634" s="17"/>
    </row>
    <row r="1635" spans="2:17">
      <c r="B1635" s="15" t="str">
        <f t="shared" si="75"/>
        <v/>
      </c>
      <c r="C1635" s="16" t="str">
        <f>IFERROR(VLOOKUP(DATA!#REF!,DATA!#REF!,1,FALSE),"")</f>
        <v/>
      </c>
      <c r="D1635" s="16" t="str">
        <f>IFERROR(VLOOKUP(C1635,DATA!#REF!,2,FALSE),"")</f>
        <v/>
      </c>
      <c r="I1635" s="17"/>
      <c r="J1635" s="17"/>
      <c r="P1635" s="17"/>
      <c r="Q1635" s="17"/>
    </row>
    <row r="1636" spans="2:17">
      <c r="B1636" s="15" t="str">
        <f t="shared" si="75"/>
        <v/>
      </c>
      <c r="C1636" s="16" t="str">
        <f>IFERROR(VLOOKUP(DATA!#REF!,DATA!#REF!,1,FALSE),"")</f>
        <v/>
      </c>
      <c r="D1636" s="16" t="str">
        <f>IFERROR(VLOOKUP(C1636,DATA!#REF!,2,FALSE),"")</f>
        <v/>
      </c>
      <c r="I1636" s="17"/>
      <c r="J1636" s="17"/>
      <c r="P1636" s="17"/>
      <c r="Q1636" s="17"/>
    </row>
    <row r="1637" spans="2:17">
      <c r="B1637" s="15" t="str">
        <f t="shared" si="75"/>
        <v/>
      </c>
      <c r="C1637" s="16" t="str">
        <f>IFERROR(VLOOKUP(DATA!#REF!,DATA!#REF!,1,FALSE),"")</f>
        <v/>
      </c>
      <c r="D1637" s="16" t="str">
        <f>IFERROR(VLOOKUP(C1637,DATA!#REF!,2,FALSE),"")</f>
        <v/>
      </c>
      <c r="I1637" s="17"/>
      <c r="J1637" s="17"/>
      <c r="P1637" s="17"/>
      <c r="Q1637" s="17"/>
    </row>
    <row r="1638" spans="2:17">
      <c r="B1638" s="15" t="str">
        <f t="shared" si="75"/>
        <v/>
      </c>
      <c r="C1638" s="16" t="str">
        <f>IFERROR(VLOOKUP(DATA!#REF!,DATA!#REF!,1,FALSE),"")</f>
        <v/>
      </c>
      <c r="D1638" s="16" t="str">
        <f>IFERROR(VLOOKUP(C1638,DATA!#REF!,2,FALSE),"")</f>
        <v/>
      </c>
      <c r="I1638" s="17"/>
      <c r="J1638" s="17"/>
      <c r="P1638" s="17"/>
      <c r="Q1638" s="17"/>
    </row>
    <row r="1639" spans="2:17">
      <c r="B1639" s="15" t="str">
        <f t="shared" si="75"/>
        <v/>
      </c>
      <c r="C1639" s="16" t="str">
        <f>IFERROR(VLOOKUP(DATA!#REF!,DATA!#REF!,1,FALSE),"")</f>
        <v/>
      </c>
      <c r="D1639" s="16" t="str">
        <f>IFERROR(VLOOKUP(C1639,DATA!#REF!,2,FALSE),"")</f>
        <v/>
      </c>
      <c r="I1639" s="17"/>
      <c r="J1639" s="17"/>
      <c r="P1639" s="17"/>
      <c r="Q1639" s="17"/>
    </row>
    <row r="1640" spans="2:17">
      <c r="B1640" s="15" t="str">
        <f t="shared" si="75"/>
        <v/>
      </c>
      <c r="C1640" s="16" t="str">
        <f>IFERROR(VLOOKUP(DATA!#REF!,DATA!#REF!,1,FALSE),"")</f>
        <v/>
      </c>
      <c r="D1640" s="16" t="str">
        <f>IFERROR(VLOOKUP(C1640,DATA!#REF!,2,FALSE),"")</f>
        <v/>
      </c>
      <c r="I1640" s="17"/>
      <c r="J1640" s="17"/>
      <c r="P1640" s="17"/>
      <c r="Q1640" s="17"/>
    </row>
    <row r="1641" spans="2:17">
      <c r="B1641" s="15" t="str">
        <f t="shared" si="75"/>
        <v/>
      </c>
      <c r="C1641" s="16" t="str">
        <f>IFERROR(VLOOKUP(DATA!#REF!,DATA!#REF!,1,FALSE),"")</f>
        <v/>
      </c>
      <c r="D1641" s="16" t="str">
        <f>IFERROR(VLOOKUP(C1641,DATA!#REF!,2,FALSE),"")</f>
        <v/>
      </c>
      <c r="I1641" s="17"/>
      <c r="J1641" s="17"/>
      <c r="P1641" s="17"/>
      <c r="Q1641" s="17"/>
    </row>
    <row r="1642" spans="2:17">
      <c r="B1642" s="15" t="str">
        <f t="shared" si="75"/>
        <v/>
      </c>
      <c r="C1642" s="16" t="str">
        <f>IFERROR(VLOOKUP(DATA!#REF!,DATA!#REF!,1,FALSE),"")</f>
        <v/>
      </c>
      <c r="D1642" s="16" t="str">
        <f>IFERROR(VLOOKUP(C1642,DATA!#REF!,2,FALSE),"")</f>
        <v/>
      </c>
      <c r="I1642" s="17"/>
      <c r="J1642" s="17"/>
      <c r="P1642" s="17"/>
      <c r="Q1642" s="17"/>
    </row>
    <row r="1643" spans="2:17">
      <c r="B1643" s="15" t="str">
        <f t="shared" si="75"/>
        <v/>
      </c>
      <c r="C1643" s="16" t="str">
        <f>IFERROR(VLOOKUP(DATA!#REF!,DATA!#REF!,1,FALSE),"")</f>
        <v/>
      </c>
      <c r="D1643" s="16" t="str">
        <f>IFERROR(VLOOKUP(C1643,DATA!#REF!,2,FALSE),"")</f>
        <v/>
      </c>
      <c r="I1643" s="17"/>
      <c r="J1643" s="17"/>
      <c r="P1643" s="17"/>
      <c r="Q1643" s="17"/>
    </row>
    <row r="1644" spans="2:17">
      <c r="B1644" s="15" t="str">
        <f t="shared" si="75"/>
        <v/>
      </c>
      <c r="C1644" s="16" t="str">
        <f>IFERROR(VLOOKUP(DATA!#REF!,DATA!#REF!,1,FALSE),"")</f>
        <v/>
      </c>
      <c r="D1644" s="16" t="str">
        <f>IFERROR(VLOOKUP(C1644,DATA!#REF!,2,FALSE),"")</f>
        <v/>
      </c>
      <c r="I1644" s="17"/>
      <c r="J1644" s="17"/>
      <c r="P1644" s="17"/>
      <c r="Q1644" s="17"/>
    </row>
    <row r="1645" spans="2:17">
      <c r="B1645" s="15" t="str">
        <f t="shared" si="75"/>
        <v/>
      </c>
      <c r="C1645" s="16" t="str">
        <f>IFERROR(VLOOKUP(DATA!#REF!,DATA!#REF!,1,FALSE),"")</f>
        <v/>
      </c>
      <c r="D1645" s="16" t="str">
        <f>IFERROR(VLOOKUP(C1645,DATA!#REF!,2,FALSE),"")</f>
        <v/>
      </c>
      <c r="I1645" s="17"/>
      <c r="J1645" s="17"/>
      <c r="P1645" s="17"/>
      <c r="Q1645" s="17"/>
    </row>
    <row r="1646" spans="2:17">
      <c r="B1646" s="15" t="str">
        <f t="shared" si="75"/>
        <v/>
      </c>
      <c r="C1646" s="16" t="str">
        <f>IFERROR(VLOOKUP(DATA!#REF!,DATA!#REF!,1,FALSE),"")</f>
        <v/>
      </c>
      <c r="D1646" s="16" t="str">
        <f>IFERROR(VLOOKUP(C1646,DATA!#REF!,2,FALSE),"")</f>
        <v/>
      </c>
      <c r="I1646" s="17"/>
      <c r="J1646" s="17"/>
      <c r="P1646" s="17"/>
      <c r="Q1646" s="17"/>
    </row>
    <row r="1647" spans="2:17">
      <c r="B1647" s="15" t="str">
        <f t="shared" si="75"/>
        <v/>
      </c>
      <c r="C1647" s="16" t="str">
        <f>IFERROR(VLOOKUP(DATA!#REF!,DATA!#REF!,1,FALSE),"")</f>
        <v/>
      </c>
      <c r="D1647" s="16" t="str">
        <f>IFERROR(VLOOKUP(C1647,DATA!#REF!,2,FALSE),"")</f>
        <v/>
      </c>
      <c r="I1647" s="17"/>
      <c r="J1647" s="17"/>
      <c r="P1647" s="17"/>
      <c r="Q1647" s="17"/>
    </row>
    <row r="1648" spans="2:17">
      <c r="B1648" s="15" t="str">
        <f t="shared" si="75"/>
        <v/>
      </c>
      <c r="C1648" s="16" t="str">
        <f>IFERROR(VLOOKUP(DATA!#REF!,DATA!#REF!,1,FALSE),"")</f>
        <v/>
      </c>
      <c r="D1648" s="16" t="str">
        <f>IFERROR(VLOOKUP(C1648,DATA!#REF!,2,FALSE),"")</f>
        <v/>
      </c>
      <c r="I1648" s="17"/>
      <c r="J1648" s="17"/>
      <c r="P1648" s="17"/>
      <c r="Q1648" s="17"/>
    </row>
    <row r="1649" spans="2:17">
      <c r="B1649" s="15" t="str">
        <f t="shared" si="75"/>
        <v/>
      </c>
      <c r="C1649" s="16" t="str">
        <f>IFERROR(VLOOKUP(DATA!#REF!,DATA!#REF!,1,FALSE),"")</f>
        <v/>
      </c>
      <c r="D1649" s="16" t="str">
        <f>IFERROR(VLOOKUP(C1649,DATA!#REF!,2,FALSE),"")</f>
        <v/>
      </c>
      <c r="I1649" s="17"/>
      <c r="J1649" s="17"/>
      <c r="P1649" s="17"/>
      <c r="Q1649" s="17"/>
    </row>
    <row r="1650" spans="2:17">
      <c r="B1650" s="15" t="str">
        <f t="shared" si="75"/>
        <v/>
      </c>
      <c r="C1650" s="16" t="str">
        <f>IFERROR(VLOOKUP(DATA!#REF!,DATA!#REF!,1,FALSE),"")</f>
        <v/>
      </c>
      <c r="D1650" s="16" t="str">
        <f>IFERROR(VLOOKUP(C1650,DATA!#REF!,2,FALSE),"")</f>
        <v/>
      </c>
      <c r="I1650" s="17"/>
      <c r="J1650" s="17"/>
      <c r="P1650" s="17"/>
      <c r="Q1650" s="17"/>
    </row>
    <row r="1651" spans="2:17">
      <c r="B1651" s="15" t="str">
        <f t="shared" si="75"/>
        <v/>
      </c>
      <c r="C1651" s="16" t="str">
        <f>IFERROR(VLOOKUP(DATA!#REF!,DATA!#REF!,1,FALSE),"")</f>
        <v/>
      </c>
      <c r="D1651" s="16" t="str">
        <f>IFERROR(VLOOKUP(C1651,DATA!#REF!,2,FALSE),"")</f>
        <v/>
      </c>
      <c r="I1651" s="17"/>
      <c r="J1651" s="17"/>
      <c r="P1651" s="17"/>
      <c r="Q1651" s="17"/>
    </row>
    <row r="1652" spans="2:17">
      <c r="B1652" s="15" t="str">
        <f t="shared" si="75"/>
        <v/>
      </c>
      <c r="C1652" s="16" t="str">
        <f>IFERROR(VLOOKUP(DATA!#REF!,DATA!#REF!,1,FALSE),"")</f>
        <v/>
      </c>
      <c r="D1652" s="16" t="str">
        <f>IFERROR(VLOOKUP(C1652,DATA!#REF!,2,FALSE),"")</f>
        <v/>
      </c>
      <c r="I1652" s="17"/>
      <c r="J1652" s="17"/>
      <c r="P1652" s="17"/>
      <c r="Q1652" s="17"/>
    </row>
    <row r="1653" spans="2:17">
      <c r="B1653" s="15" t="str">
        <f t="shared" si="75"/>
        <v/>
      </c>
      <c r="C1653" s="16" t="str">
        <f>IFERROR(VLOOKUP(DATA!#REF!,DATA!#REF!,1,FALSE),"")</f>
        <v/>
      </c>
      <c r="D1653" s="16" t="str">
        <f>IFERROR(VLOOKUP(C1653,DATA!#REF!,2,FALSE),"")</f>
        <v/>
      </c>
      <c r="I1653" s="17"/>
      <c r="J1653" s="17"/>
      <c r="P1653" s="17"/>
      <c r="Q1653" s="17"/>
    </row>
    <row r="1654" spans="2:17">
      <c r="B1654" s="15" t="str">
        <f t="shared" si="75"/>
        <v/>
      </c>
      <c r="C1654" s="16" t="str">
        <f>IFERROR(VLOOKUP(DATA!#REF!,DATA!#REF!,1,FALSE),"")</f>
        <v/>
      </c>
      <c r="D1654" s="16" t="str">
        <f>IFERROR(VLOOKUP(C1654,DATA!#REF!,2,FALSE),"")</f>
        <v/>
      </c>
      <c r="I1654" s="17"/>
      <c r="J1654" s="17"/>
      <c r="P1654" s="17"/>
      <c r="Q1654" s="17"/>
    </row>
    <row r="1655" spans="2:17">
      <c r="B1655" s="15" t="str">
        <f t="shared" ref="B1655:B1718" si="76">+IF(C1655="","",ROW()-5)</f>
        <v/>
      </c>
      <c r="C1655" s="16" t="str">
        <f>IFERROR(VLOOKUP(DATA!#REF!,DATA!#REF!,1,FALSE),"")</f>
        <v/>
      </c>
      <c r="D1655" s="16" t="str">
        <f>IFERROR(VLOOKUP(C1655,DATA!#REF!,2,FALSE),"")</f>
        <v/>
      </c>
      <c r="I1655" s="17"/>
      <c r="J1655" s="17"/>
      <c r="P1655" s="17"/>
      <c r="Q1655" s="17"/>
    </row>
    <row r="1656" spans="2:17">
      <c r="B1656" s="15" t="str">
        <f t="shared" si="76"/>
        <v/>
      </c>
      <c r="C1656" s="16" t="str">
        <f>IFERROR(VLOOKUP(DATA!#REF!,DATA!#REF!,1,FALSE),"")</f>
        <v/>
      </c>
      <c r="D1656" s="16" t="str">
        <f>IFERROR(VLOOKUP(C1656,DATA!#REF!,2,FALSE),"")</f>
        <v/>
      </c>
      <c r="I1656" s="17"/>
      <c r="J1656" s="17"/>
      <c r="P1656" s="17"/>
      <c r="Q1656" s="17"/>
    </row>
    <row r="1657" spans="2:17">
      <c r="B1657" s="15" t="str">
        <f t="shared" si="76"/>
        <v/>
      </c>
      <c r="C1657" s="16" t="str">
        <f>IFERROR(VLOOKUP(DATA!#REF!,DATA!#REF!,1,FALSE),"")</f>
        <v/>
      </c>
      <c r="D1657" s="16" t="str">
        <f>IFERROR(VLOOKUP(C1657,DATA!#REF!,2,FALSE),"")</f>
        <v/>
      </c>
      <c r="I1657" s="17"/>
      <c r="J1657" s="17"/>
      <c r="P1657" s="17"/>
      <c r="Q1657" s="17"/>
    </row>
    <row r="1658" spans="2:17">
      <c r="B1658" s="15" t="str">
        <f t="shared" si="76"/>
        <v/>
      </c>
      <c r="C1658" s="16" t="str">
        <f>IFERROR(VLOOKUP(DATA!#REF!,DATA!#REF!,1,FALSE),"")</f>
        <v/>
      </c>
      <c r="D1658" s="16" t="str">
        <f>IFERROR(VLOOKUP(C1658,DATA!#REF!,2,FALSE),"")</f>
        <v/>
      </c>
      <c r="I1658" s="17"/>
      <c r="J1658" s="17"/>
      <c r="P1658" s="17"/>
      <c r="Q1658" s="17"/>
    </row>
    <row r="1659" spans="2:17">
      <c r="B1659" s="15" t="str">
        <f t="shared" si="76"/>
        <v/>
      </c>
      <c r="C1659" s="16" t="str">
        <f>IFERROR(VLOOKUP(DATA!#REF!,DATA!#REF!,1,FALSE),"")</f>
        <v/>
      </c>
      <c r="D1659" s="16" t="str">
        <f>IFERROR(VLOOKUP(C1659,DATA!#REF!,2,FALSE),"")</f>
        <v/>
      </c>
      <c r="I1659" s="17"/>
      <c r="J1659" s="17"/>
      <c r="P1659" s="17"/>
      <c r="Q1659" s="17"/>
    </row>
    <row r="1660" spans="2:17">
      <c r="B1660" s="15" t="str">
        <f t="shared" si="76"/>
        <v/>
      </c>
      <c r="C1660" s="16" t="str">
        <f>IFERROR(VLOOKUP(DATA!#REF!,DATA!#REF!,1,FALSE),"")</f>
        <v/>
      </c>
      <c r="D1660" s="16" t="str">
        <f>IFERROR(VLOOKUP(C1660,DATA!#REF!,2,FALSE),"")</f>
        <v/>
      </c>
      <c r="I1660" s="17"/>
      <c r="J1660" s="17"/>
      <c r="P1660" s="17"/>
      <c r="Q1660" s="17"/>
    </row>
    <row r="1661" spans="2:17">
      <c r="B1661" s="15" t="str">
        <f t="shared" si="76"/>
        <v/>
      </c>
      <c r="C1661" s="16" t="str">
        <f>IFERROR(VLOOKUP(DATA!#REF!,DATA!#REF!,1,FALSE),"")</f>
        <v/>
      </c>
      <c r="D1661" s="16" t="str">
        <f>IFERROR(VLOOKUP(C1661,DATA!#REF!,2,FALSE),"")</f>
        <v/>
      </c>
      <c r="I1661" s="17"/>
      <c r="J1661" s="17"/>
      <c r="P1661" s="17"/>
      <c r="Q1661" s="17"/>
    </row>
    <row r="1662" spans="2:17">
      <c r="B1662" s="15" t="str">
        <f t="shared" si="76"/>
        <v/>
      </c>
      <c r="C1662" s="16" t="str">
        <f>IFERROR(VLOOKUP(DATA!#REF!,DATA!#REF!,1,FALSE),"")</f>
        <v/>
      </c>
      <c r="D1662" s="16" t="str">
        <f>IFERROR(VLOOKUP(C1662,DATA!#REF!,2,FALSE),"")</f>
        <v/>
      </c>
      <c r="I1662" s="17"/>
      <c r="J1662" s="17"/>
      <c r="P1662" s="17"/>
      <c r="Q1662" s="17"/>
    </row>
    <row r="1663" spans="2:17">
      <c r="B1663" s="15" t="str">
        <f t="shared" si="76"/>
        <v/>
      </c>
      <c r="C1663" s="16" t="str">
        <f>IFERROR(VLOOKUP(DATA!#REF!,DATA!#REF!,1,FALSE),"")</f>
        <v/>
      </c>
      <c r="D1663" s="16" t="str">
        <f>IFERROR(VLOOKUP(C1663,DATA!#REF!,2,FALSE),"")</f>
        <v/>
      </c>
      <c r="I1663" s="17"/>
      <c r="J1663" s="17"/>
      <c r="P1663" s="17"/>
      <c r="Q1663" s="17"/>
    </row>
    <row r="1664" spans="2:17">
      <c r="B1664" s="15" t="str">
        <f t="shared" si="76"/>
        <v/>
      </c>
      <c r="C1664" s="16" t="str">
        <f>IFERROR(VLOOKUP(DATA!#REF!,DATA!#REF!,1,FALSE),"")</f>
        <v/>
      </c>
      <c r="D1664" s="16" t="str">
        <f>IFERROR(VLOOKUP(C1664,DATA!#REF!,2,FALSE),"")</f>
        <v/>
      </c>
      <c r="I1664" s="17"/>
      <c r="J1664" s="17"/>
      <c r="P1664" s="17"/>
      <c r="Q1664" s="17"/>
    </row>
    <row r="1665" spans="2:17">
      <c r="B1665" s="15" t="str">
        <f t="shared" si="76"/>
        <v/>
      </c>
      <c r="C1665" s="16" t="str">
        <f>IFERROR(VLOOKUP(DATA!#REF!,DATA!#REF!,1,FALSE),"")</f>
        <v/>
      </c>
      <c r="D1665" s="16" t="str">
        <f>IFERROR(VLOOKUP(C1665,DATA!#REF!,2,FALSE),"")</f>
        <v/>
      </c>
      <c r="I1665" s="17"/>
      <c r="J1665" s="17"/>
      <c r="P1665" s="17"/>
      <c r="Q1665" s="17"/>
    </row>
    <row r="1666" spans="2:17">
      <c r="B1666" s="15" t="str">
        <f t="shared" si="76"/>
        <v/>
      </c>
      <c r="C1666" s="16" t="str">
        <f>IFERROR(VLOOKUP(DATA!#REF!,DATA!#REF!,1,FALSE),"")</f>
        <v/>
      </c>
      <c r="D1666" s="16" t="str">
        <f>IFERROR(VLOOKUP(C1666,DATA!#REF!,2,FALSE),"")</f>
        <v/>
      </c>
      <c r="I1666" s="17"/>
      <c r="J1666" s="17"/>
      <c r="P1666" s="17"/>
      <c r="Q1666" s="17"/>
    </row>
    <row r="1667" spans="2:17">
      <c r="B1667" s="15" t="str">
        <f t="shared" si="76"/>
        <v/>
      </c>
      <c r="C1667" s="16" t="str">
        <f>IFERROR(VLOOKUP(DATA!#REF!,DATA!#REF!,1,FALSE),"")</f>
        <v/>
      </c>
      <c r="D1667" s="16" t="str">
        <f>IFERROR(VLOOKUP(C1667,DATA!#REF!,2,FALSE),"")</f>
        <v/>
      </c>
      <c r="I1667" s="17"/>
      <c r="J1667" s="17"/>
      <c r="P1667" s="17"/>
      <c r="Q1667" s="17"/>
    </row>
    <row r="1668" spans="2:17">
      <c r="B1668" s="15" t="str">
        <f t="shared" si="76"/>
        <v/>
      </c>
      <c r="C1668" s="16" t="str">
        <f>IFERROR(VLOOKUP(DATA!#REF!,DATA!#REF!,1,FALSE),"")</f>
        <v/>
      </c>
      <c r="D1668" s="16" t="str">
        <f>IFERROR(VLOOKUP(C1668,DATA!#REF!,2,FALSE),"")</f>
        <v/>
      </c>
      <c r="I1668" s="17"/>
      <c r="J1668" s="17"/>
      <c r="P1668" s="17"/>
      <c r="Q1668" s="17"/>
    </row>
    <row r="1669" spans="2:17">
      <c r="B1669" s="15" t="str">
        <f t="shared" si="76"/>
        <v/>
      </c>
      <c r="C1669" s="16" t="str">
        <f>IFERROR(VLOOKUP(DATA!#REF!,DATA!#REF!,1,FALSE),"")</f>
        <v/>
      </c>
      <c r="D1669" s="16" t="str">
        <f>IFERROR(VLOOKUP(C1669,DATA!#REF!,2,FALSE),"")</f>
        <v/>
      </c>
      <c r="I1669" s="17"/>
      <c r="J1669" s="17"/>
      <c r="P1669" s="17"/>
      <c r="Q1669" s="17"/>
    </row>
    <row r="1670" spans="2:17">
      <c r="B1670" s="15" t="str">
        <f t="shared" si="76"/>
        <v/>
      </c>
      <c r="C1670" s="16" t="str">
        <f>IFERROR(VLOOKUP(DATA!#REF!,DATA!#REF!,1,FALSE),"")</f>
        <v/>
      </c>
      <c r="D1670" s="16" t="str">
        <f>IFERROR(VLOOKUP(C1670,DATA!#REF!,2,FALSE),"")</f>
        <v/>
      </c>
      <c r="I1670" s="17"/>
      <c r="J1670" s="17"/>
      <c r="P1670" s="17"/>
      <c r="Q1670" s="17"/>
    </row>
    <row r="1671" spans="2:17">
      <c r="B1671" s="15" t="str">
        <f t="shared" si="76"/>
        <v/>
      </c>
      <c r="C1671" s="16" t="str">
        <f>IFERROR(VLOOKUP(DATA!#REF!,DATA!#REF!,1,FALSE),"")</f>
        <v/>
      </c>
      <c r="D1671" s="16" t="str">
        <f>IFERROR(VLOOKUP(C1671,DATA!#REF!,2,FALSE),"")</f>
        <v/>
      </c>
      <c r="I1671" s="17"/>
      <c r="J1671" s="17"/>
      <c r="P1671" s="17"/>
      <c r="Q1671" s="17"/>
    </row>
    <row r="1672" spans="2:17">
      <c r="B1672" s="15" t="str">
        <f t="shared" si="76"/>
        <v/>
      </c>
      <c r="C1672" s="16" t="str">
        <f>IFERROR(VLOOKUP(DATA!#REF!,DATA!#REF!,1,FALSE),"")</f>
        <v/>
      </c>
      <c r="D1672" s="16" t="str">
        <f>IFERROR(VLOOKUP(C1672,DATA!#REF!,2,FALSE),"")</f>
        <v/>
      </c>
      <c r="I1672" s="17"/>
      <c r="J1672" s="17"/>
      <c r="P1672" s="17"/>
      <c r="Q1672" s="17"/>
    </row>
    <row r="1673" spans="2:17">
      <c r="B1673" s="15" t="str">
        <f t="shared" si="76"/>
        <v/>
      </c>
      <c r="C1673" s="16" t="str">
        <f>IFERROR(VLOOKUP(DATA!#REF!,DATA!#REF!,1,FALSE),"")</f>
        <v/>
      </c>
      <c r="D1673" s="16" t="str">
        <f>IFERROR(VLOOKUP(C1673,DATA!#REF!,2,FALSE),"")</f>
        <v/>
      </c>
      <c r="I1673" s="17"/>
      <c r="J1673" s="17"/>
      <c r="P1673" s="17"/>
      <c r="Q1673" s="17"/>
    </row>
    <row r="1674" spans="2:17">
      <c r="B1674" s="15" t="str">
        <f t="shared" si="76"/>
        <v/>
      </c>
      <c r="C1674" s="16" t="str">
        <f>IFERROR(VLOOKUP(DATA!#REF!,DATA!#REF!,1,FALSE),"")</f>
        <v/>
      </c>
      <c r="D1674" s="16" t="str">
        <f>IFERROR(VLOOKUP(C1674,DATA!#REF!,2,FALSE),"")</f>
        <v/>
      </c>
      <c r="I1674" s="17"/>
      <c r="J1674" s="17"/>
      <c r="P1674" s="17"/>
      <c r="Q1674" s="17"/>
    </row>
    <row r="1675" spans="2:17">
      <c r="B1675" s="15" t="str">
        <f t="shared" si="76"/>
        <v/>
      </c>
      <c r="C1675" s="16" t="str">
        <f>IFERROR(VLOOKUP(DATA!#REF!,DATA!#REF!,1,FALSE),"")</f>
        <v/>
      </c>
      <c r="D1675" s="16" t="str">
        <f>IFERROR(VLOOKUP(C1675,DATA!#REF!,2,FALSE),"")</f>
        <v/>
      </c>
      <c r="I1675" s="17"/>
      <c r="J1675" s="17"/>
      <c r="P1675" s="17"/>
      <c r="Q1675" s="17"/>
    </row>
    <row r="1676" spans="2:17">
      <c r="B1676" s="15" t="str">
        <f t="shared" si="76"/>
        <v/>
      </c>
      <c r="C1676" s="16" t="str">
        <f>IFERROR(VLOOKUP(DATA!#REF!,DATA!#REF!,1,FALSE),"")</f>
        <v/>
      </c>
      <c r="D1676" s="16" t="str">
        <f>IFERROR(VLOOKUP(C1676,DATA!#REF!,2,FALSE),"")</f>
        <v/>
      </c>
      <c r="I1676" s="17"/>
      <c r="J1676" s="17"/>
      <c r="P1676" s="17"/>
      <c r="Q1676" s="17"/>
    </row>
    <row r="1677" spans="2:17">
      <c r="B1677" s="15" t="str">
        <f t="shared" si="76"/>
        <v/>
      </c>
      <c r="C1677" s="16" t="str">
        <f>IFERROR(VLOOKUP(DATA!#REF!,DATA!#REF!,1,FALSE),"")</f>
        <v/>
      </c>
      <c r="D1677" s="16" t="str">
        <f>IFERROR(VLOOKUP(C1677,DATA!#REF!,2,FALSE),"")</f>
        <v/>
      </c>
      <c r="I1677" s="17"/>
      <c r="J1677" s="17"/>
      <c r="P1677" s="17"/>
      <c r="Q1677" s="17"/>
    </row>
    <row r="1678" spans="2:17">
      <c r="B1678" s="15" t="str">
        <f t="shared" si="76"/>
        <v/>
      </c>
      <c r="C1678" s="16" t="str">
        <f>IFERROR(VLOOKUP(DATA!#REF!,DATA!#REF!,1,FALSE),"")</f>
        <v/>
      </c>
      <c r="D1678" s="16" t="str">
        <f>IFERROR(VLOOKUP(C1678,DATA!#REF!,2,FALSE),"")</f>
        <v/>
      </c>
      <c r="I1678" s="17"/>
      <c r="J1678" s="17"/>
      <c r="P1678" s="17"/>
      <c r="Q1678" s="17"/>
    </row>
    <row r="1679" spans="2:17">
      <c r="B1679" s="15" t="str">
        <f t="shared" si="76"/>
        <v/>
      </c>
      <c r="C1679" s="16" t="str">
        <f>IFERROR(VLOOKUP(DATA!#REF!,DATA!#REF!,1,FALSE),"")</f>
        <v/>
      </c>
      <c r="D1679" s="16" t="str">
        <f>IFERROR(VLOOKUP(C1679,DATA!#REF!,2,FALSE),"")</f>
        <v/>
      </c>
      <c r="I1679" s="17"/>
      <c r="J1679" s="17"/>
      <c r="P1679" s="17"/>
      <c r="Q1679" s="17"/>
    </row>
    <row r="1680" spans="2:17">
      <c r="B1680" s="15" t="str">
        <f t="shared" si="76"/>
        <v/>
      </c>
      <c r="C1680" s="16" t="str">
        <f>IFERROR(VLOOKUP(DATA!#REF!,DATA!#REF!,1,FALSE),"")</f>
        <v/>
      </c>
      <c r="D1680" s="16" t="str">
        <f>IFERROR(VLOOKUP(C1680,DATA!#REF!,2,FALSE),"")</f>
        <v/>
      </c>
      <c r="I1680" s="17"/>
      <c r="J1680" s="17"/>
      <c r="P1680" s="17"/>
      <c r="Q1680" s="17"/>
    </row>
    <row r="1681" spans="2:17">
      <c r="B1681" s="15" t="str">
        <f t="shared" si="76"/>
        <v/>
      </c>
      <c r="C1681" s="16" t="str">
        <f>IFERROR(VLOOKUP(DATA!#REF!,DATA!#REF!,1,FALSE),"")</f>
        <v/>
      </c>
      <c r="D1681" s="16" t="str">
        <f>IFERROR(VLOOKUP(C1681,DATA!#REF!,2,FALSE),"")</f>
        <v/>
      </c>
      <c r="I1681" s="17"/>
      <c r="J1681" s="17"/>
      <c r="P1681" s="17"/>
      <c r="Q1681" s="17"/>
    </row>
    <row r="1682" spans="2:17">
      <c r="B1682" s="15" t="str">
        <f t="shared" si="76"/>
        <v/>
      </c>
      <c r="C1682" s="16" t="str">
        <f>IFERROR(VLOOKUP(DATA!#REF!,DATA!#REF!,1,FALSE),"")</f>
        <v/>
      </c>
      <c r="D1682" s="16" t="str">
        <f>IFERROR(VLOOKUP(C1682,DATA!#REF!,2,FALSE),"")</f>
        <v/>
      </c>
      <c r="I1682" s="17"/>
      <c r="J1682" s="17"/>
      <c r="P1682" s="17"/>
      <c r="Q1682" s="17"/>
    </row>
    <row r="1683" spans="2:17">
      <c r="B1683" s="15" t="str">
        <f t="shared" si="76"/>
        <v/>
      </c>
      <c r="C1683" s="16" t="str">
        <f>IFERROR(VLOOKUP(DATA!#REF!,DATA!#REF!,1,FALSE),"")</f>
        <v/>
      </c>
      <c r="D1683" s="16" t="str">
        <f>IFERROR(VLOOKUP(C1683,DATA!#REF!,2,FALSE),"")</f>
        <v/>
      </c>
      <c r="I1683" s="17"/>
      <c r="J1683" s="17"/>
      <c r="P1683" s="17"/>
      <c r="Q1683" s="17"/>
    </row>
    <row r="1684" spans="2:17">
      <c r="B1684" s="15" t="str">
        <f t="shared" si="76"/>
        <v/>
      </c>
      <c r="C1684" s="16" t="str">
        <f>IFERROR(VLOOKUP(DATA!#REF!,DATA!#REF!,1,FALSE),"")</f>
        <v/>
      </c>
      <c r="D1684" s="16" t="str">
        <f>IFERROR(VLOOKUP(C1684,DATA!#REF!,2,FALSE),"")</f>
        <v/>
      </c>
      <c r="I1684" s="17"/>
      <c r="J1684" s="17"/>
      <c r="P1684" s="17"/>
      <c r="Q1684" s="17"/>
    </row>
    <row r="1685" spans="2:17">
      <c r="B1685" s="15" t="str">
        <f t="shared" si="76"/>
        <v/>
      </c>
      <c r="C1685" s="16" t="str">
        <f>IFERROR(VLOOKUP(DATA!#REF!,DATA!#REF!,1,FALSE),"")</f>
        <v/>
      </c>
      <c r="D1685" s="16" t="str">
        <f>IFERROR(VLOOKUP(C1685,DATA!#REF!,2,FALSE),"")</f>
        <v/>
      </c>
      <c r="I1685" s="17"/>
      <c r="J1685" s="17"/>
      <c r="P1685" s="17"/>
      <c r="Q1685" s="17"/>
    </row>
    <row r="1686" spans="2:17">
      <c r="B1686" s="15" t="str">
        <f t="shared" si="76"/>
        <v/>
      </c>
      <c r="C1686" s="16" t="str">
        <f>IFERROR(VLOOKUP(DATA!#REF!,DATA!#REF!,1,FALSE),"")</f>
        <v/>
      </c>
      <c r="D1686" s="16" t="str">
        <f>IFERROR(VLOOKUP(C1686,DATA!#REF!,2,FALSE),"")</f>
        <v/>
      </c>
      <c r="I1686" s="17"/>
      <c r="J1686" s="17"/>
      <c r="P1686" s="17"/>
      <c r="Q1686" s="17"/>
    </row>
    <row r="1687" spans="2:17">
      <c r="B1687" s="15" t="str">
        <f t="shared" si="76"/>
        <v/>
      </c>
      <c r="C1687" s="16" t="str">
        <f>IFERROR(VLOOKUP(DATA!#REF!,DATA!#REF!,1,FALSE),"")</f>
        <v/>
      </c>
      <c r="D1687" s="16" t="str">
        <f>IFERROR(VLOOKUP(C1687,DATA!#REF!,2,FALSE),"")</f>
        <v/>
      </c>
      <c r="I1687" s="17"/>
      <c r="J1687" s="17"/>
      <c r="P1687" s="17"/>
      <c r="Q1687" s="17"/>
    </row>
    <row r="1688" spans="2:17">
      <c r="B1688" s="15" t="str">
        <f t="shared" si="76"/>
        <v/>
      </c>
      <c r="C1688" s="16" t="str">
        <f>IFERROR(VLOOKUP(DATA!#REF!,DATA!#REF!,1,FALSE),"")</f>
        <v/>
      </c>
      <c r="D1688" s="16" t="str">
        <f>IFERROR(VLOOKUP(C1688,DATA!#REF!,2,FALSE),"")</f>
        <v/>
      </c>
      <c r="I1688" s="17"/>
      <c r="J1688" s="17"/>
      <c r="P1688" s="17"/>
      <c r="Q1688" s="17"/>
    </row>
    <row r="1689" spans="2:17">
      <c r="B1689" s="15" t="str">
        <f t="shared" si="76"/>
        <v/>
      </c>
      <c r="C1689" s="16" t="str">
        <f>IFERROR(VLOOKUP(DATA!#REF!,DATA!#REF!,1,FALSE),"")</f>
        <v/>
      </c>
      <c r="D1689" s="16" t="str">
        <f>IFERROR(VLOOKUP(C1689,DATA!#REF!,2,FALSE),"")</f>
        <v/>
      </c>
      <c r="I1689" s="17"/>
      <c r="J1689" s="17"/>
      <c r="P1689" s="17"/>
      <c r="Q1689" s="17"/>
    </row>
    <row r="1690" spans="2:17">
      <c r="B1690" s="15" t="str">
        <f t="shared" si="76"/>
        <v/>
      </c>
      <c r="C1690" s="16" t="str">
        <f>IFERROR(VLOOKUP(DATA!#REF!,DATA!#REF!,1,FALSE),"")</f>
        <v/>
      </c>
      <c r="D1690" s="16" t="str">
        <f>IFERROR(VLOOKUP(C1690,DATA!#REF!,2,FALSE),"")</f>
        <v/>
      </c>
      <c r="I1690" s="17"/>
      <c r="J1690" s="17"/>
      <c r="P1690" s="17"/>
      <c r="Q1690" s="17"/>
    </row>
    <row r="1691" spans="2:17">
      <c r="B1691" s="15" t="str">
        <f t="shared" si="76"/>
        <v/>
      </c>
      <c r="C1691" s="16" t="str">
        <f>IFERROR(VLOOKUP(DATA!#REF!,DATA!#REF!,1,FALSE),"")</f>
        <v/>
      </c>
      <c r="D1691" s="16" t="str">
        <f>IFERROR(VLOOKUP(C1691,DATA!#REF!,2,FALSE),"")</f>
        <v/>
      </c>
      <c r="I1691" s="17"/>
      <c r="J1691" s="17"/>
      <c r="P1691" s="17"/>
      <c r="Q1691" s="17"/>
    </row>
    <row r="1692" spans="2:17">
      <c r="B1692" s="15" t="str">
        <f t="shared" si="76"/>
        <v/>
      </c>
      <c r="C1692" s="16" t="str">
        <f>IFERROR(VLOOKUP(DATA!#REF!,DATA!#REF!,1,FALSE),"")</f>
        <v/>
      </c>
      <c r="D1692" s="16" t="str">
        <f>IFERROR(VLOOKUP(C1692,DATA!#REF!,2,FALSE),"")</f>
        <v/>
      </c>
      <c r="I1692" s="17"/>
      <c r="J1692" s="17"/>
      <c r="P1692" s="17"/>
      <c r="Q1692" s="17"/>
    </row>
    <row r="1693" spans="2:17">
      <c r="B1693" s="15" t="str">
        <f t="shared" si="76"/>
        <v/>
      </c>
      <c r="C1693" s="16" t="str">
        <f>IFERROR(VLOOKUP(DATA!#REF!,DATA!#REF!,1,FALSE),"")</f>
        <v/>
      </c>
      <c r="D1693" s="16" t="str">
        <f>IFERROR(VLOOKUP(C1693,DATA!#REF!,2,FALSE),"")</f>
        <v/>
      </c>
      <c r="I1693" s="17"/>
      <c r="J1693" s="17"/>
      <c r="P1693" s="17"/>
      <c r="Q1693" s="17"/>
    </row>
    <row r="1694" spans="2:17">
      <c r="B1694" s="15" t="str">
        <f t="shared" si="76"/>
        <v/>
      </c>
      <c r="C1694" s="16" t="str">
        <f>IFERROR(VLOOKUP(DATA!#REF!,DATA!#REF!,1,FALSE),"")</f>
        <v/>
      </c>
      <c r="D1694" s="16" t="str">
        <f>IFERROR(VLOOKUP(C1694,DATA!#REF!,2,FALSE),"")</f>
        <v/>
      </c>
      <c r="I1694" s="17"/>
      <c r="J1694" s="17"/>
      <c r="P1694" s="17"/>
      <c r="Q1694" s="17"/>
    </row>
    <row r="1695" spans="2:17">
      <c r="B1695" s="15" t="str">
        <f t="shared" si="76"/>
        <v/>
      </c>
      <c r="C1695" s="16" t="str">
        <f>IFERROR(VLOOKUP(DATA!#REF!,DATA!#REF!,1,FALSE),"")</f>
        <v/>
      </c>
      <c r="D1695" s="16" t="str">
        <f>IFERROR(VLOOKUP(C1695,DATA!#REF!,2,FALSE),"")</f>
        <v/>
      </c>
      <c r="I1695" s="17"/>
      <c r="J1695" s="17"/>
      <c r="P1695" s="17"/>
      <c r="Q1695" s="17"/>
    </row>
    <row r="1696" spans="2:17">
      <c r="B1696" s="15" t="str">
        <f t="shared" si="76"/>
        <v/>
      </c>
      <c r="C1696" s="16" t="str">
        <f>IFERROR(VLOOKUP(DATA!#REF!,DATA!#REF!,1,FALSE),"")</f>
        <v/>
      </c>
      <c r="D1696" s="16" t="str">
        <f>IFERROR(VLOOKUP(C1696,DATA!#REF!,2,FALSE),"")</f>
        <v/>
      </c>
      <c r="I1696" s="17"/>
      <c r="J1696" s="17"/>
      <c r="P1696" s="17"/>
      <c r="Q1696" s="17"/>
    </row>
    <row r="1697" spans="2:17">
      <c r="B1697" s="15" t="str">
        <f t="shared" si="76"/>
        <v/>
      </c>
      <c r="C1697" s="16" t="str">
        <f>IFERROR(VLOOKUP(DATA!#REF!,DATA!#REF!,1,FALSE),"")</f>
        <v/>
      </c>
      <c r="D1697" s="16" t="str">
        <f>IFERROR(VLOOKUP(C1697,DATA!#REF!,2,FALSE),"")</f>
        <v/>
      </c>
      <c r="I1697" s="17"/>
      <c r="J1697" s="17"/>
      <c r="P1697" s="17"/>
      <c r="Q1697" s="17"/>
    </row>
    <row r="1698" spans="2:17">
      <c r="B1698" s="15" t="str">
        <f t="shared" si="76"/>
        <v/>
      </c>
      <c r="C1698" s="16" t="str">
        <f>IFERROR(VLOOKUP(DATA!#REF!,DATA!#REF!,1,FALSE),"")</f>
        <v/>
      </c>
      <c r="D1698" s="16" t="str">
        <f>IFERROR(VLOOKUP(C1698,DATA!#REF!,2,FALSE),"")</f>
        <v/>
      </c>
      <c r="I1698" s="17"/>
      <c r="J1698" s="17"/>
      <c r="P1698" s="17"/>
      <c r="Q1698" s="17"/>
    </row>
    <row r="1699" spans="2:17">
      <c r="B1699" s="15" t="str">
        <f t="shared" si="76"/>
        <v/>
      </c>
      <c r="C1699" s="16" t="str">
        <f>IFERROR(VLOOKUP(DATA!#REF!,DATA!#REF!,1,FALSE),"")</f>
        <v/>
      </c>
      <c r="D1699" s="16" t="str">
        <f>IFERROR(VLOOKUP(C1699,DATA!#REF!,2,FALSE),"")</f>
        <v/>
      </c>
      <c r="I1699" s="17"/>
      <c r="J1699" s="17"/>
      <c r="P1699" s="17"/>
      <c r="Q1699" s="17"/>
    </row>
    <row r="1700" spans="2:17">
      <c r="B1700" s="15" t="str">
        <f t="shared" si="76"/>
        <v/>
      </c>
      <c r="C1700" s="16" t="str">
        <f>IFERROR(VLOOKUP(DATA!#REF!,DATA!#REF!,1,FALSE),"")</f>
        <v/>
      </c>
      <c r="D1700" s="16" t="str">
        <f>IFERROR(VLOOKUP(C1700,DATA!#REF!,2,FALSE),"")</f>
        <v/>
      </c>
      <c r="I1700" s="17"/>
      <c r="J1700" s="17"/>
      <c r="P1700" s="17"/>
      <c r="Q1700" s="17"/>
    </row>
    <row r="1701" spans="2:17">
      <c r="B1701" s="15" t="str">
        <f t="shared" si="76"/>
        <v/>
      </c>
      <c r="C1701" s="16" t="str">
        <f>IFERROR(VLOOKUP(DATA!#REF!,DATA!#REF!,1,FALSE),"")</f>
        <v/>
      </c>
      <c r="D1701" s="16" t="str">
        <f>IFERROR(VLOOKUP(C1701,DATA!#REF!,2,FALSE),"")</f>
        <v/>
      </c>
      <c r="I1701" s="17"/>
      <c r="J1701" s="17"/>
      <c r="P1701" s="17"/>
      <c r="Q1701" s="17"/>
    </row>
    <row r="1702" spans="2:17">
      <c r="B1702" s="15" t="str">
        <f t="shared" si="76"/>
        <v/>
      </c>
      <c r="C1702" s="16" t="str">
        <f>IFERROR(VLOOKUP(DATA!#REF!,DATA!#REF!,1,FALSE),"")</f>
        <v/>
      </c>
      <c r="D1702" s="16" t="str">
        <f>IFERROR(VLOOKUP(C1702,DATA!#REF!,2,FALSE),"")</f>
        <v/>
      </c>
      <c r="I1702" s="17"/>
      <c r="J1702" s="17"/>
      <c r="P1702" s="17"/>
      <c r="Q1702" s="17"/>
    </row>
    <row r="1703" spans="2:17">
      <c r="B1703" s="15" t="str">
        <f t="shared" si="76"/>
        <v/>
      </c>
      <c r="C1703" s="16" t="str">
        <f>IFERROR(VLOOKUP(DATA!#REF!,DATA!#REF!,1,FALSE),"")</f>
        <v/>
      </c>
      <c r="D1703" s="16" t="str">
        <f>IFERROR(VLOOKUP(C1703,DATA!#REF!,2,FALSE),"")</f>
        <v/>
      </c>
      <c r="I1703" s="17"/>
      <c r="J1703" s="17"/>
      <c r="P1703" s="17"/>
      <c r="Q1703" s="17"/>
    </row>
    <row r="1704" spans="2:17">
      <c r="B1704" s="15" t="str">
        <f t="shared" si="76"/>
        <v/>
      </c>
      <c r="C1704" s="16" t="str">
        <f>IFERROR(VLOOKUP(DATA!#REF!,DATA!#REF!,1,FALSE),"")</f>
        <v/>
      </c>
      <c r="D1704" s="16" t="str">
        <f>IFERROR(VLOOKUP(C1704,DATA!#REF!,2,FALSE),"")</f>
        <v/>
      </c>
      <c r="I1704" s="17"/>
      <c r="J1704" s="17"/>
      <c r="P1704" s="17"/>
      <c r="Q1704" s="17"/>
    </row>
    <row r="1705" spans="2:17">
      <c r="B1705" s="15" t="str">
        <f t="shared" si="76"/>
        <v/>
      </c>
      <c r="C1705" s="16" t="str">
        <f>IFERROR(VLOOKUP(DATA!#REF!,DATA!#REF!,1,FALSE),"")</f>
        <v/>
      </c>
      <c r="D1705" s="16" t="str">
        <f>IFERROR(VLOOKUP(C1705,DATA!#REF!,2,FALSE),"")</f>
        <v/>
      </c>
      <c r="I1705" s="17"/>
      <c r="J1705" s="17"/>
      <c r="P1705" s="17"/>
      <c r="Q1705" s="17"/>
    </row>
    <row r="1706" spans="2:17">
      <c r="B1706" s="15" t="str">
        <f t="shared" si="76"/>
        <v/>
      </c>
      <c r="C1706" s="16" t="str">
        <f>IFERROR(VLOOKUP(DATA!#REF!,DATA!#REF!,1,FALSE),"")</f>
        <v/>
      </c>
      <c r="D1706" s="16" t="str">
        <f>IFERROR(VLOOKUP(C1706,DATA!#REF!,2,FALSE),"")</f>
        <v/>
      </c>
      <c r="I1706" s="17"/>
      <c r="J1706" s="17"/>
      <c r="P1706" s="17"/>
      <c r="Q1706" s="17"/>
    </row>
    <row r="1707" spans="2:17">
      <c r="B1707" s="15" t="str">
        <f t="shared" si="76"/>
        <v/>
      </c>
      <c r="C1707" s="16" t="str">
        <f>IFERROR(VLOOKUP(DATA!#REF!,DATA!#REF!,1,FALSE),"")</f>
        <v/>
      </c>
      <c r="D1707" s="16" t="str">
        <f>IFERROR(VLOOKUP(C1707,DATA!#REF!,2,FALSE),"")</f>
        <v/>
      </c>
      <c r="I1707" s="17"/>
      <c r="J1707" s="17"/>
      <c r="P1707" s="17"/>
      <c r="Q1707" s="17"/>
    </row>
    <row r="1708" spans="2:17">
      <c r="B1708" s="15" t="str">
        <f t="shared" si="76"/>
        <v/>
      </c>
      <c r="C1708" s="16" t="str">
        <f>IFERROR(VLOOKUP(DATA!#REF!,DATA!#REF!,1,FALSE),"")</f>
        <v/>
      </c>
      <c r="D1708" s="16" t="str">
        <f>IFERROR(VLOOKUP(C1708,DATA!#REF!,2,FALSE),"")</f>
        <v/>
      </c>
      <c r="I1708" s="17"/>
      <c r="J1708" s="17"/>
      <c r="P1708" s="17"/>
      <c r="Q1708" s="17"/>
    </row>
    <row r="1709" spans="2:17">
      <c r="B1709" s="15" t="str">
        <f t="shared" si="76"/>
        <v/>
      </c>
      <c r="C1709" s="16" t="str">
        <f>IFERROR(VLOOKUP(DATA!#REF!,DATA!#REF!,1,FALSE),"")</f>
        <v/>
      </c>
      <c r="D1709" s="16" t="str">
        <f>IFERROR(VLOOKUP(C1709,DATA!#REF!,2,FALSE),"")</f>
        <v/>
      </c>
      <c r="I1709" s="17"/>
      <c r="J1709" s="17"/>
      <c r="P1709" s="17"/>
      <c r="Q1709" s="17"/>
    </row>
    <row r="1710" spans="2:17">
      <c r="B1710" s="15" t="str">
        <f t="shared" si="76"/>
        <v/>
      </c>
      <c r="C1710" s="16" t="str">
        <f>IFERROR(VLOOKUP(DATA!#REF!,DATA!#REF!,1,FALSE),"")</f>
        <v/>
      </c>
      <c r="D1710" s="16" t="str">
        <f>IFERROR(VLOOKUP(C1710,DATA!#REF!,2,FALSE),"")</f>
        <v/>
      </c>
      <c r="I1710" s="17"/>
      <c r="J1710" s="17"/>
      <c r="P1710" s="17"/>
      <c r="Q1710" s="17"/>
    </row>
    <row r="1711" spans="2:17">
      <c r="B1711" s="15" t="str">
        <f t="shared" si="76"/>
        <v/>
      </c>
      <c r="C1711" s="16" t="str">
        <f>IFERROR(VLOOKUP(DATA!#REF!,DATA!#REF!,1,FALSE),"")</f>
        <v/>
      </c>
      <c r="D1711" s="16" t="str">
        <f>IFERROR(VLOOKUP(C1711,DATA!#REF!,2,FALSE),"")</f>
        <v/>
      </c>
      <c r="I1711" s="17"/>
      <c r="J1711" s="17"/>
      <c r="P1711" s="17"/>
      <c r="Q1711" s="17"/>
    </row>
    <row r="1712" spans="2:17">
      <c r="B1712" s="15" t="str">
        <f t="shared" si="76"/>
        <v/>
      </c>
      <c r="C1712" s="16" t="str">
        <f>IFERROR(VLOOKUP(DATA!#REF!,DATA!#REF!,1,FALSE),"")</f>
        <v/>
      </c>
      <c r="D1712" s="16" t="str">
        <f>IFERROR(VLOOKUP(C1712,DATA!#REF!,2,FALSE),"")</f>
        <v/>
      </c>
      <c r="I1712" s="17"/>
      <c r="J1712" s="17"/>
      <c r="P1712" s="17"/>
      <c r="Q1712" s="17"/>
    </row>
    <row r="1713" spans="2:17">
      <c r="B1713" s="15" t="str">
        <f t="shared" si="76"/>
        <v/>
      </c>
      <c r="C1713" s="16" t="str">
        <f>IFERROR(VLOOKUP(DATA!#REF!,DATA!#REF!,1,FALSE),"")</f>
        <v/>
      </c>
      <c r="D1713" s="16" t="str">
        <f>IFERROR(VLOOKUP(C1713,DATA!#REF!,2,FALSE),"")</f>
        <v/>
      </c>
      <c r="I1713" s="17"/>
      <c r="J1713" s="17"/>
      <c r="P1713" s="17"/>
      <c r="Q1713" s="17"/>
    </row>
    <row r="1714" spans="2:17">
      <c r="B1714" s="15" t="str">
        <f t="shared" si="76"/>
        <v/>
      </c>
      <c r="C1714" s="16" t="str">
        <f>IFERROR(VLOOKUP(DATA!#REF!,DATA!#REF!,1,FALSE),"")</f>
        <v/>
      </c>
      <c r="D1714" s="16" t="str">
        <f>IFERROR(VLOOKUP(C1714,DATA!#REF!,2,FALSE),"")</f>
        <v/>
      </c>
      <c r="I1714" s="17"/>
      <c r="J1714" s="17"/>
      <c r="P1714" s="17"/>
      <c r="Q1714" s="17"/>
    </row>
    <row r="1715" spans="2:17">
      <c r="B1715" s="15" t="str">
        <f t="shared" si="76"/>
        <v/>
      </c>
      <c r="C1715" s="16" t="str">
        <f>IFERROR(VLOOKUP(DATA!#REF!,DATA!#REF!,1,FALSE),"")</f>
        <v/>
      </c>
      <c r="D1715" s="16" t="str">
        <f>IFERROR(VLOOKUP(C1715,DATA!#REF!,2,FALSE),"")</f>
        <v/>
      </c>
      <c r="I1715" s="17"/>
      <c r="J1715" s="17"/>
      <c r="P1715" s="17"/>
      <c r="Q1715" s="17"/>
    </row>
    <row r="1716" spans="2:17">
      <c r="B1716" s="15" t="str">
        <f t="shared" si="76"/>
        <v/>
      </c>
      <c r="C1716" s="16" t="str">
        <f>IFERROR(VLOOKUP(DATA!#REF!,DATA!#REF!,1,FALSE),"")</f>
        <v/>
      </c>
      <c r="D1716" s="16" t="str">
        <f>IFERROR(VLOOKUP(C1716,DATA!#REF!,2,FALSE),"")</f>
        <v/>
      </c>
      <c r="I1716" s="17"/>
      <c r="J1716" s="17"/>
      <c r="P1716" s="17"/>
      <c r="Q1716" s="17"/>
    </row>
    <row r="1717" spans="2:17">
      <c r="B1717" s="15" t="str">
        <f t="shared" si="76"/>
        <v/>
      </c>
      <c r="C1717" s="16" t="str">
        <f>IFERROR(VLOOKUP(DATA!#REF!,DATA!#REF!,1,FALSE),"")</f>
        <v/>
      </c>
      <c r="D1717" s="16" t="str">
        <f>IFERROR(VLOOKUP(C1717,DATA!#REF!,2,FALSE),"")</f>
        <v/>
      </c>
      <c r="I1717" s="17"/>
      <c r="J1717" s="17"/>
      <c r="P1717" s="17"/>
      <c r="Q1717" s="17"/>
    </row>
    <row r="1718" spans="2:17">
      <c r="B1718" s="15" t="str">
        <f t="shared" si="76"/>
        <v/>
      </c>
      <c r="C1718" s="16" t="str">
        <f>IFERROR(VLOOKUP(DATA!#REF!,DATA!#REF!,1,FALSE),"")</f>
        <v/>
      </c>
      <c r="D1718" s="16" t="str">
        <f>IFERROR(VLOOKUP(C1718,DATA!#REF!,2,FALSE),"")</f>
        <v/>
      </c>
      <c r="I1718" s="17"/>
      <c r="J1718" s="17"/>
      <c r="P1718" s="17"/>
      <c r="Q1718" s="17"/>
    </row>
    <row r="1719" spans="2:17">
      <c r="B1719" s="15" t="str">
        <f t="shared" ref="B1719:B1782" si="77">+IF(C1719="","",ROW()-5)</f>
        <v/>
      </c>
      <c r="C1719" s="16" t="str">
        <f>IFERROR(VLOOKUP(DATA!#REF!,DATA!#REF!,1,FALSE),"")</f>
        <v/>
      </c>
      <c r="D1719" s="16" t="str">
        <f>IFERROR(VLOOKUP(C1719,DATA!#REF!,2,FALSE),"")</f>
        <v/>
      </c>
      <c r="I1719" s="17"/>
      <c r="J1719" s="17"/>
      <c r="P1719" s="17"/>
      <c r="Q1719" s="17"/>
    </row>
    <row r="1720" spans="2:17">
      <c r="B1720" s="15" t="str">
        <f t="shared" si="77"/>
        <v/>
      </c>
      <c r="C1720" s="16" t="str">
        <f>IFERROR(VLOOKUP(DATA!#REF!,DATA!#REF!,1,FALSE),"")</f>
        <v/>
      </c>
      <c r="D1720" s="16" t="str">
        <f>IFERROR(VLOOKUP(C1720,DATA!#REF!,2,FALSE),"")</f>
        <v/>
      </c>
      <c r="I1720" s="17"/>
      <c r="J1720" s="17"/>
      <c r="P1720" s="17"/>
      <c r="Q1720" s="17"/>
    </row>
    <row r="1721" spans="2:17">
      <c r="B1721" s="15" t="str">
        <f t="shared" si="77"/>
        <v/>
      </c>
      <c r="C1721" s="16" t="str">
        <f>IFERROR(VLOOKUP(DATA!#REF!,DATA!#REF!,1,FALSE),"")</f>
        <v/>
      </c>
      <c r="D1721" s="16" t="str">
        <f>IFERROR(VLOOKUP(C1721,DATA!#REF!,2,FALSE),"")</f>
        <v/>
      </c>
      <c r="I1721" s="17"/>
      <c r="J1721" s="17"/>
      <c r="P1721" s="17"/>
      <c r="Q1721" s="17"/>
    </row>
    <row r="1722" spans="2:17">
      <c r="B1722" s="15" t="str">
        <f t="shared" si="77"/>
        <v/>
      </c>
      <c r="C1722" s="16" t="str">
        <f>IFERROR(VLOOKUP(DATA!#REF!,DATA!#REF!,1,FALSE),"")</f>
        <v/>
      </c>
      <c r="D1722" s="16" t="str">
        <f>IFERROR(VLOOKUP(C1722,DATA!#REF!,2,FALSE),"")</f>
        <v/>
      </c>
      <c r="I1722" s="17"/>
      <c r="J1722" s="17"/>
      <c r="P1722" s="17"/>
      <c r="Q1722" s="17"/>
    </row>
    <row r="1723" spans="2:17">
      <c r="B1723" s="15" t="str">
        <f t="shared" si="77"/>
        <v/>
      </c>
      <c r="C1723" s="16" t="str">
        <f>IFERROR(VLOOKUP(DATA!#REF!,DATA!#REF!,1,FALSE),"")</f>
        <v/>
      </c>
      <c r="D1723" s="16" t="str">
        <f>IFERROR(VLOOKUP(C1723,DATA!#REF!,2,FALSE),"")</f>
        <v/>
      </c>
      <c r="I1723" s="17"/>
      <c r="J1723" s="17"/>
      <c r="P1723" s="17"/>
      <c r="Q1723" s="17"/>
    </row>
    <row r="1724" spans="2:17">
      <c r="B1724" s="15" t="str">
        <f t="shared" si="77"/>
        <v/>
      </c>
      <c r="C1724" s="16" t="str">
        <f>IFERROR(VLOOKUP(DATA!#REF!,DATA!#REF!,1,FALSE),"")</f>
        <v/>
      </c>
      <c r="D1724" s="16" t="str">
        <f>IFERROR(VLOOKUP(C1724,DATA!#REF!,2,FALSE),"")</f>
        <v/>
      </c>
      <c r="I1724" s="17"/>
      <c r="J1724" s="17"/>
      <c r="P1724" s="17"/>
      <c r="Q1724" s="17"/>
    </row>
    <row r="1725" spans="2:17">
      <c r="B1725" s="15" t="str">
        <f t="shared" si="77"/>
        <v/>
      </c>
      <c r="C1725" s="16" t="str">
        <f>IFERROR(VLOOKUP(DATA!#REF!,DATA!#REF!,1,FALSE),"")</f>
        <v/>
      </c>
      <c r="D1725" s="16" t="str">
        <f>IFERROR(VLOOKUP(C1725,DATA!#REF!,2,FALSE),"")</f>
        <v/>
      </c>
      <c r="I1725" s="17"/>
      <c r="J1725" s="17"/>
      <c r="P1725" s="17"/>
      <c r="Q1725" s="17"/>
    </row>
    <row r="1726" spans="2:17">
      <c r="B1726" s="15" t="str">
        <f t="shared" si="77"/>
        <v/>
      </c>
      <c r="C1726" s="16" t="str">
        <f>IFERROR(VLOOKUP(DATA!#REF!,DATA!#REF!,1,FALSE),"")</f>
        <v/>
      </c>
      <c r="D1726" s="16" t="str">
        <f>IFERROR(VLOOKUP(C1726,DATA!#REF!,2,FALSE),"")</f>
        <v/>
      </c>
      <c r="I1726" s="17"/>
      <c r="J1726" s="17"/>
      <c r="P1726" s="17"/>
      <c r="Q1726" s="17"/>
    </row>
    <row r="1727" spans="2:17">
      <c r="B1727" s="15" t="str">
        <f t="shared" si="77"/>
        <v/>
      </c>
      <c r="C1727" s="16" t="str">
        <f>IFERROR(VLOOKUP(DATA!#REF!,DATA!#REF!,1,FALSE),"")</f>
        <v/>
      </c>
      <c r="D1727" s="16" t="str">
        <f>IFERROR(VLOOKUP(C1727,DATA!#REF!,2,FALSE),"")</f>
        <v/>
      </c>
      <c r="I1727" s="17"/>
      <c r="J1727" s="17"/>
      <c r="P1727" s="17"/>
      <c r="Q1727" s="17"/>
    </row>
    <row r="1728" spans="2:17">
      <c r="B1728" s="15" t="str">
        <f t="shared" si="77"/>
        <v/>
      </c>
      <c r="C1728" s="16" t="str">
        <f>IFERROR(VLOOKUP(DATA!#REF!,DATA!#REF!,1,FALSE),"")</f>
        <v/>
      </c>
      <c r="D1728" s="16" t="str">
        <f>IFERROR(VLOOKUP(C1728,DATA!#REF!,2,FALSE),"")</f>
        <v/>
      </c>
      <c r="I1728" s="17"/>
      <c r="J1728" s="17"/>
      <c r="P1728" s="17"/>
      <c r="Q1728" s="17"/>
    </row>
    <row r="1729" spans="2:17">
      <c r="B1729" s="15" t="str">
        <f t="shared" si="77"/>
        <v/>
      </c>
      <c r="C1729" s="16" t="str">
        <f>IFERROR(VLOOKUP(DATA!#REF!,DATA!#REF!,1,FALSE),"")</f>
        <v/>
      </c>
      <c r="D1729" s="16" t="str">
        <f>IFERROR(VLOOKUP(C1729,DATA!#REF!,2,FALSE),"")</f>
        <v/>
      </c>
      <c r="I1729" s="17"/>
      <c r="J1729" s="17"/>
      <c r="P1729" s="17"/>
      <c r="Q1729" s="17"/>
    </row>
    <row r="1730" spans="2:17">
      <c r="B1730" s="15" t="str">
        <f t="shared" si="77"/>
        <v/>
      </c>
      <c r="C1730" s="16" t="str">
        <f>IFERROR(VLOOKUP(DATA!#REF!,DATA!#REF!,1,FALSE),"")</f>
        <v/>
      </c>
      <c r="D1730" s="16" t="str">
        <f>IFERROR(VLOOKUP(C1730,DATA!#REF!,2,FALSE),"")</f>
        <v/>
      </c>
      <c r="I1730" s="17"/>
      <c r="J1730" s="17"/>
      <c r="P1730" s="17"/>
      <c r="Q1730" s="17"/>
    </row>
    <row r="1731" spans="2:17">
      <c r="B1731" s="15" t="str">
        <f t="shared" si="77"/>
        <v/>
      </c>
      <c r="C1731" s="16" t="str">
        <f>IFERROR(VLOOKUP(DATA!#REF!,DATA!#REF!,1,FALSE),"")</f>
        <v/>
      </c>
      <c r="D1731" s="16" t="str">
        <f>IFERROR(VLOOKUP(C1731,DATA!#REF!,2,FALSE),"")</f>
        <v/>
      </c>
      <c r="I1731" s="17"/>
      <c r="J1731" s="17"/>
      <c r="P1731" s="17"/>
      <c r="Q1731" s="17"/>
    </row>
    <row r="1732" spans="2:17">
      <c r="B1732" s="15" t="str">
        <f t="shared" si="77"/>
        <v/>
      </c>
      <c r="C1732" s="16" t="str">
        <f>IFERROR(VLOOKUP(DATA!#REF!,DATA!#REF!,1,FALSE),"")</f>
        <v/>
      </c>
      <c r="D1732" s="16" t="str">
        <f>IFERROR(VLOOKUP(C1732,DATA!#REF!,2,FALSE),"")</f>
        <v/>
      </c>
      <c r="I1732" s="17"/>
      <c r="J1732" s="17"/>
      <c r="P1732" s="17"/>
      <c r="Q1732" s="17"/>
    </row>
    <row r="1733" spans="2:17">
      <c r="B1733" s="15" t="str">
        <f t="shared" si="77"/>
        <v/>
      </c>
      <c r="C1733" s="16" t="str">
        <f>IFERROR(VLOOKUP(DATA!#REF!,DATA!#REF!,1,FALSE),"")</f>
        <v/>
      </c>
      <c r="D1733" s="16" t="str">
        <f>IFERROR(VLOOKUP(C1733,DATA!#REF!,2,FALSE),"")</f>
        <v/>
      </c>
      <c r="I1733" s="17"/>
      <c r="J1733" s="17"/>
      <c r="P1733" s="17"/>
      <c r="Q1733" s="17"/>
    </row>
    <row r="1734" spans="2:17">
      <c r="B1734" s="15" t="str">
        <f t="shared" si="77"/>
        <v/>
      </c>
      <c r="C1734" s="16" t="str">
        <f>IFERROR(VLOOKUP(DATA!#REF!,DATA!#REF!,1,FALSE),"")</f>
        <v/>
      </c>
      <c r="D1734" s="16" t="str">
        <f>IFERROR(VLOOKUP(C1734,DATA!#REF!,2,FALSE),"")</f>
        <v/>
      </c>
      <c r="I1734" s="17"/>
      <c r="J1734" s="17"/>
      <c r="P1734" s="17"/>
      <c r="Q1734" s="17"/>
    </row>
    <row r="1735" spans="2:17">
      <c r="B1735" s="15" t="str">
        <f t="shared" si="77"/>
        <v/>
      </c>
      <c r="C1735" s="16" t="str">
        <f>IFERROR(VLOOKUP(DATA!#REF!,DATA!#REF!,1,FALSE),"")</f>
        <v/>
      </c>
      <c r="D1735" s="16" t="str">
        <f>IFERROR(VLOOKUP(C1735,DATA!#REF!,2,FALSE),"")</f>
        <v/>
      </c>
      <c r="I1735" s="17"/>
      <c r="J1735" s="17"/>
      <c r="P1735" s="17"/>
      <c r="Q1735" s="17"/>
    </row>
    <row r="1736" spans="2:17">
      <c r="B1736" s="15" t="str">
        <f t="shared" si="77"/>
        <v/>
      </c>
      <c r="C1736" s="16" t="str">
        <f>IFERROR(VLOOKUP(DATA!#REF!,DATA!#REF!,1,FALSE),"")</f>
        <v/>
      </c>
      <c r="D1736" s="16" t="str">
        <f>IFERROR(VLOOKUP(C1736,DATA!#REF!,2,FALSE),"")</f>
        <v/>
      </c>
      <c r="I1736" s="17"/>
      <c r="J1736" s="17"/>
      <c r="P1736" s="17"/>
      <c r="Q1736" s="17"/>
    </row>
    <row r="1737" spans="2:17">
      <c r="B1737" s="15" t="str">
        <f t="shared" si="77"/>
        <v/>
      </c>
      <c r="C1737" s="16" t="str">
        <f>IFERROR(VLOOKUP(DATA!#REF!,DATA!#REF!,1,FALSE),"")</f>
        <v/>
      </c>
      <c r="D1737" s="16" t="str">
        <f>IFERROR(VLOOKUP(C1737,DATA!#REF!,2,FALSE),"")</f>
        <v/>
      </c>
      <c r="I1737" s="17"/>
      <c r="J1737" s="17"/>
      <c r="P1737" s="17"/>
      <c r="Q1737" s="17"/>
    </row>
    <row r="1738" spans="2:17">
      <c r="B1738" s="15" t="str">
        <f t="shared" si="77"/>
        <v/>
      </c>
      <c r="C1738" s="16" t="str">
        <f>IFERROR(VLOOKUP(DATA!#REF!,DATA!#REF!,1,FALSE),"")</f>
        <v/>
      </c>
      <c r="D1738" s="16" t="str">
        <f>IFERROR(VLOOKUP(C1738,DATA!#REF!,2,FALSE),"")</f>
        <v/>
      </c>
      <c r="I1738" s="17"/>
      <c r="J1738" s="17"/>
      <c r="P1738" s="17"/>
      <c r="Q1738" s="17"/>
    </row>
    <row r="1739" spans="2:17">
      <c r="B1739" s="15" t="str">
        <f t="shared" si="77"/>
        <v/>
      </c>
      <c r="C1739" s="16" t="str">
        <f>IFERROR(VLOOKUP(DATA!#REF!,DATA!#REF!,1,FALSE),"")</f>
        <v/>
      </c>
      <c r="D1739" s="16" t="str">
        <f>IFERROR(VLOOKUP(C1739,DATA!#REF!,2,FALSE),"")</f>
        <v/>
      </c>
      <c r="I1739" s="17"/>
      <c r="J1739" s="17"/>
      <c r="P1739" s="17"/>
      <c r="Q1739" s="17"/>
    </row>
    <row r="1740" spans="2:17">
      <c r="B1740" s="15" t="str">
        <f t="shared" si="77"/>
        <v/>
      </c>
      <c r="C1740" s="16" t="str">
        <f>IFERROR(VLOOKUP(DATA!#REF!,DATA!#REF!,1,FALSE),"")</f>
        <v/>
      </c>
      <c r="D1740" s="16" t="str">
        <f>IFERROR(VLOOKUP(C1740,DATA!#REF!,2,FALSE),"")</f>
        <v/>
      </c>
      <c r="I1740" s="17"/>
      <c r="J1740" s="17"/>
      <c r="P1740" s="17"/>
      <c r="Q1740" s="17"/>
    </row>
    <row r="1741" spans="2:17">
      <c r="B1741" s="15" t="str">
        <f t="shared" si="77"/>
        <v/>
      </c>
      <c r="C1741" s="16" t="str">
        <f>IFERROR(VLOOKUP(DATA!#REF!,DATA!#REF!,1,FALSE),"")</f>
        <v/>
      </c>
      <c r="D1741" s="16" t="str">
        <f>IFERROR(VLOOKUP(C1741,DATA!#REF!,2,FALSE),"")</f>
        <v/>
      </c>
      <c r="I1741" s="17"/>
      <c r="J1741" s="17"/>
      <c r="P1741" s="17"/>
      <c r="Q1741" s="17"/>
    </row>
    <row r="1742" spans="2:17">
      <c r="B1742" s="15" t="str">
        <f t="shared" si="77"/>
        <v/>
      </c>
      <c r="C1742" s="16" t="str">
        <f>IFERROR(VLOOKUP(DATA!#REF!,DATA!#REF!,1,FALSE),"")</f>
        <v/>
      </c>
      <c r="D1742" s="16" t="str">
        <f>IFERROR(VLOOKUP(C1742,DATA!#REF!,2,FALSE),"")</f>
        <v/>
      </c>
      <c r="I1742" s="17"/>
      <c r="J1742" s="17"/>
      <c r="P1742" s="17"/>
      <c r="Q1742" s="17"/>
    </row>
    <row r="1743" spans="2:17">
      <c r="B1743" s="15" t="str">
        <f t="shared" si="77"/>
        <v/>
      </c>
      <c r="C1743" s="16" t="str">
        <f>IFERROR(VLOOKUP(DATA!#REF!,DATA!#REF!,1,FALSE),"")</f>
        <v/>
      </c>
      <c r="D1743" s="16" t="str">
        <f>IFERROR(VLOOKUP(C1743,DATA!#REF!,2,FALSE),"")</f>
        <v/>
      </c>
      <c r="I1743" s="17"/>
      <c r="J1743" s="17"/>
      <c r="P1743" s="17"/>
      <c r="Q1743" s="17"/>
    </row>
    <row r="1744" spans="2:17">
      <c r="B1744" s="15" t="str">
        <f t="shared" si="77"/>
        <v/>
      </c>
      <c r="C1744" s="16" t="str">
        <f>IFERROR(VLOOKUP(DATA!#REF!,DATA!#REF!,1,FALSE),"")</f>
        <v/>
      </c>
      <c r="D1744" s="16" t="str">
        <f>IFERROR(VLOOKUP(C1744,DATA!#REF!,2,FALSE),"")</f>
        <v/>
      </c>
      <c r="I1744" s="17"/>
      <c r="J1744" s="17"/>
      <c r="P1744" s="17"/>
      <c r="Q1744" s="17"/>
    </row>
    <row r="1745" spans="2:17">
      <c r="B1745" s="15" t="str">
        <f t="shared" si="77"/>
        <v/>
      </c>
      <c r="C1745" s="16" t="str">
        <f>IFERROR(VLOOKUP(DATA!#REF!,DATA!#REF!,1,FALSE),"")</f>
        <v/>
      </c>
      <c r="D1745" s="16" t="str">
        <f>IFERROR(VLOOKUP(C1745,DATA!#REF!,2,FALSE),"")</f>
        <v/>
      </c>
      <c r="I1745" s="17"/>
      <c r="J1745" s="17"/>
      <c r="P1745" s="17"/>
      <c r="Q1745" s="17"/>
    </row>
    <row r="1746" spans="2:17">
      <c r="B1746" s="15" t="str">
        <f t="shared" si="77"/>
        <v/>
      </c>
      <c r="C1746" s="16" t="str">
        <f>IFERROR(VLOOKUP(DATA!#REF!,DATA!#REF!,1,FALSE),"")</f>
        <v/>
      </c>
      <c r="D1746" s="16" t="str">
        <f>IFERROR(VLOOKUP(C1746,DATA!#REF!,2,FALSE),"")</f>
        <v/>
      </c>
      <c r="I1746" s="17"/>
      <c r="J1746" s="17"/>
      <c r="P1746" s="17"/>
      <c r="Q1746" s="17"/>
    </row>
    <row r="1747" spans="2:17">
      <c r="B1747" s="15" t="str">
        <f t="shared" si="77"/>
        <v/>
      </c>
      <c r="C1747" s="16" t="str">
        <f>IFERROR(VLOOKUP(DATA!#REF!,DATA!#REF!,1,FALSE),"")</f>
        <v/>
      </c>
      <c r="D1747" s="16" t="str">
        <f>IFERROR(VLOOKUP(C1747,DATA!#REF!,2,FALSE),"")</f>
        <v/>
      </c>
      <c r="I1747" s="17"/>
      <c r="J1747" s="17"/>
      <c r="P1747" s="17"/>
      <c r="Q1747" s="17"/>
    </row>
    <row r="1748" spans="2:17">
      <c r="B1748" s="15" t="str">
        <f t="shared" si="77"/>
        <v/>
      </c>
      <c r="C1748" s="16" t="str">
        <f>IFERROR(VLOOKUP(DATA!#REF!,DATA!#REF!,1,FALSE),"")</f>
        <v/>
      </c>
      <c r="D1748" s="16" t="str">
        <f>IFERROR(VLOOKUP(C1748,DATA!#REF!,2,FALSE),"")</f>
        <v/>
      </c>
      <c r="I1748" s="17"/>
      <c r="J1748" s="17"/>
      <c r="P1748" s="17"/>
      <c r="Q1748" s="17"/>
    </row>
    <row r="1749" spans="2:17">
      <c r="B1749" s="15" t="str">
        <f t="shared" si="77"/>
        <v/>
      </c>
      <c r="C1749" s="16" t="str">
        <f>IFERROR(VLOOKUP(DATA!#REF!,DATA!#REF!,1,FALSE),"")</f>
        <v/>
      </c>
      <c r="D1749" s="16" t="str">
        <f>IFERROR(VLOOKUP(C1749,DATA!#REF!,2,FALSE),"")</f>
        <v/>
      </c>
      <c r="I1749" s="17"/>
      <c r="J1749" s="17"/>
      <c r="P1749" s="17"/>
      <c r="Q1749" s="17"/>
    </row>
    <row r="1750" spans="2:17">
      <c r="B1750" s="15" t="str">
        <f t="shared" si="77"/>
        <v/>
      </c>
      <c r="C1750" s="16" t="str">
        <f>IFERROR(VLOOKUP(DATA!#REF!,DATA!#REF!,1,FALSE),"")</f>
        <v/>
      </c>
      <c r="D1750" s="16" t="str">
        <f>IFERROR(VLOOKUP(C1750,DATA!#REF!,2,FALSE),"")</f>
        <v/>
      </c>
      <c r="I1750" s="17"/>
      <c r="J1750" s="17"/>
      <c r="P1750" s="17"/>
      <c r="Q1750" s="17"/>
    </row>
    <row r="1751" spans="2:17">
      <c r="B1751" s="15" t="str">
        <f t="shared" si="77"/>
        <v/>
      </c>
      <c r="C1751" s="16" t="str">
        <f>IFERROR(VLOOKUP(DATA!#REF!,DATA!#REF!,1,FALSE),"")</f>
        <v/>
      </c>
      <c r="D1751" s="16" t="str">
        <f>IFERROR(VLOOKUP(C1751,DATA!#REF!,2,FALSE),"")</f>
        <v/>
      </c>
      <c r="I1751" s="17"/>
      <c r="J1751" s="17"/>
      <c r="P1751" s="17"/>
      <c r="Q1751" s="17"/>
    </row>
    <row r="1752" spans="2:17">
      <c r="B1752" s="15" t="str">
        <f t="shared" si="77"/>
        <v/>
      </c>
      <c r="C1752" s="16" t="str">
        <f>IFERROR(VLOOKUP(DATA!#REF!,DATA!#REF!,1,FALSE),"")</f>
        <v/>
      </c>
      <c r="D1752" s="16" t="str">
        <f>IFERROR(VLOOKUP(C1752,DATA!#REF!,2,FALSE),"")</f>
        <v/>
      </c>
      <c r="I1752" s="17"/>
      <c r="J1752" s="17"/>
      <c r="P1752" s="17"/>
      <c r="Q1752" s="17"/>
    </row>
    <row r="1753" spans="2:17">
      <c r="B1753" s="15" t="str">
        <f t="shared" si="77"/>
        <v/>
      </c>
      <c r="C1753" s="16" t="str">
        <f>IFERROR(VLOOKUP(DATA!#REF!,DATA!#REF!,1,FALSE),"")</f>
        <v/>
      </c>
      <c r="D1753" s="16" t="str">
        <f>IFERROR(VLOOKUP(C1753,DATA!#REF!,2,FALSE),"")</f>
        <v/>
      </c>
      <c r="I1753" s="17"/>
      <c r="J1753" s="17"/>
      <c r="P1753" s="17"/>
      <c r="Q1753" s="17"/>
    </row>
    <row r="1754" spans="2:17">
      <c r="B1754" s="15" t="str">
        <f t="shared" si="77"/>
        <v/>
      </c>
      <c r="C1754" s="16" t="str">
        <f>IFERROR(VLOOKUP(DATA!#REF!,DATA!#REF!,1,FALSE),"")</f>
        <v/>
      </c>
      <c r="D1754" s="16" t="str">
        <f>IFERROR(VLOOKUP(C1754,DATA!#REF!,2,FALSE),"")</f>
        <v/>
      </c>
      <c r="I1754" s="17"/>
      <c r="J1754" s="17"/>
      <c r="P1754" s="17"/>
      <c r="Q1754" s="17"/>
    </row>
    <row r="1755" spans="2:17">
      <c r="B1755" s="15" t="str">
        <f t="shared" si="77"/>
        <v/>
      </c>
      <c r="C1755" s="16" t="str">
        <f>IFERROR(VLOOKUP(DATA!#REF!,DATA!#REF!,1,FALSE),"")</f>
        <v/>
      </c>
      <c r="D1755" s="16" t="str">
        <f>IFERROR(VLOOKUP(C1755,DATA!#REF!,2,FALSE),"")</f>
        <v/>
      </c>
      <c r="I1755" s="17"/>
      <c r="J1755" s="17"/>
      <c r="P1755" s="17"/>
      <c r="Q1755" s="17"/>
    </row>
    <row r="1756" spans="2:17">
      <c r="B1756" s="15" t="str">
        <f t="shared" si="77"/>
        <v/>
      </c>
      <c r="C1756" s="16" t="str">
        <f>IFERROR(VLOOKUP(DATA!#REF!,DATA!#REF!,1,FALSE),"")</f>
        <v/>
      </c>
      <c r="D1756" s="16" t="str">
        <f>IFERROR(VLOOKUP(C1756,DATA!#REF!,2,FALSE),"")</f>
        <v/>
      </c>
      <c r="I1756" s="17"/>
      <c r="J1756" s="17"/>
      <c r="P1756" s="17"/>
      <c r="Q1756" s="17"/>
    </row>
    <row r="1757" spans="2:17">
      <c r="B1757" s="15" t="str">
        <f t="shared" si="77"/>
        <v/>
      </c>
      <c r="C1757" s="16" t="str">
        <f>IFERROR(VLOOKUP(DATA!#REF!,DATA!#REF!,1,FALSE),"")</f>
        <v/>
      </c>
      <c r="D1757" s="16" t="str">
        <f>IFERROR(VLOOKUP(C1757,DATA!#REF!,2,FALSE),"")</f>
        <v/>
      </c>
      <c r="I1757" s="17"/>
      <c r="J1757" s="17"/>
      <c r="P1757" s="17"/>
      <c r="Q1757" s="17"/>
    </row>
    <row r="1758" spans="2:17">
      <c r="B1758" s="15" t="str">
        <f t="shared" si="77"/>
        <v/>
      </c>
      <c r="C1758" s="16" t="str">
        <f>IFERROR(VLOOKUP(DATA!#REF!,DATA!#REF!,1,FALSE),"")</f>
        <v/>
      </c>
      <c r="D1758" s="16" t="str">
        <f>IFERROR(VLOOKUP(C1758,DATA!#REF!,2,FALSE),"")</f>
        <v/>
      </c>
      <c r="I1758" s="17"/>
      <c r="J1758" s="17"/>
      <c r="P1758" s="17"/>
      <c r="Q1758" s="17"/>
    </row>
    <row r="1759" spans="2:17">
      <c r="B1759" s="15" t="str">
        <f t="shared" si="77"/>
        <v/>
      </c>
      <c r="C1759" s="16" t="str">
        <f>IFERROR(VLOOKUP(DATA!#REF!,DATA!#REF!,1,FALSE),"")</f>
        <v/>
      </c>
      <c r="D1759" s="16" t="str">
        <f>IFERROR(VLOOKUP(C1759,DATA!#REF!,2,FALSE),"")</f>
        <v/>
      </c>
      <c r="I1759" s="17"/>
      <c r="J1759" s="17"/>
      <c r="P1759" s="17"/>
      <c r="Q1759" s="17"/>
    </row>
    <row r="1760" spans="2:17">
      <c r="B1760" s="15" t="str">
        <f t="shared" si="77"/>
        <v/>
      </c>
      <c r="C1760" s="16" t="str">
        <f>IFERROR(VLOOKUP(DATA!#REF!,DATA!#REF!,1,FALSE),"")</f>
        <v/>
      </c>
      <c r="D1760" s="16" t="str">
        <f>IFERROR(VLOOKUP(C1760,DATA!#REF!,2,FALSE),"")</f>
        <v/>
      </c>
      <c r="I1760" s="17"/>
      <c r="J1760" s="17"/>
      <c r="P1760" s="17"/>
      <c r="Q1760" s="17"/>
    </row>
    <row r="1761" spans="2:17">
      <c r="B1761" s="15" t="str">
        <f t="shared" si="77"/>
        <v/>
      </c>
      <c r="C1761" s="16" t="str">
        <f>IFERROR(VLOOKUP(DATA!#REF!,DATA!#REF!,1,FALSE),"")</f>
        <v/>
      </c>
      <c r="D1761" s="16" t="str">
        <f>IFERROR(VLOOKUP(C1761,DATA!#REF!,2,FALSE),"")</f>
        <v/>
      </c>
      <c r="I1761" s="17"/>
      <c r="J1761" s="17"/>
      <c r="P1761" s="17"/>
      <c r="Q1761" s="17"/>
    </row>
    <row r="1762" spans="2:17">
      <c r="B1762" s="15" t="str">
        <f t="shared" si="77"/>
        <v/>
      </c>
      <c r="C1762" s="16" t="str">
        <f>IFERROR(VLOOKUP(DATA!#REF!,DATA!#REF!,1,FALSE),"")</f>
        <v/>
      </c>
      <c r="D1762" s="16" t="str">
        <f>IFERROR(VLOOKUP(C1762,DATA!#REF!,2,FALSE),"")</f>
        <v/>
      </c>
      <c r="I1762" s="17"/>
      <c r="J1762" s="17"/>
      <c r="P1762" s="17"/>
      <c r="Q1762" s="17"/>
    </row>
    <row r="1763" spans="2:17">
      <c r="B1763" s="15" t="str">
        <f t="shared" si="77"/>
        <v/>
      </c>
      <c r="C1763" s="16" t="str">
        <f>IFERROR(VLOOKUP(DATA!#REF!,DATA!#REF!,1,FALSE),"")</f>
        <v/>
      </c>
      <c r="D1763" s="16" t="str">
        <f>IFERROR(VLOOKUP(C1763,DATA!#REF!,2,FALSE),"")</f>
        <v/>
      </c>
      <c r="I1763" s="17"/>
      <c r="J1763" s="17"/>
      <c r="P1763" s="17"/>
      <c r="Q1763" s="17"/>
    </row>
    <row r="1764" spans="2:17">
      <c r="B1764" s="15" t="str">
        <f t="shared" si="77"/>
        <v/>
      </c>
      <c r="C1764" s="16" t="str">
        <f>IFERROR(VLOOKUP(DATA!#REF!,DATA!#REF!,1,FALSE),"")</f>
        <v/>
      </c>
      <c r="D1764" s="16" t="str">
        <f>IFERROR(VLOOKUP(C1764,DATA!#REF!,2,FALSE),"")</f>
        <v/>
      </c>
      <c r="I1764" s="17"/>
      <c r="J1764" s="17"/>
      <c r="P1764" s="17"/>
      <c r="Q1764" s="17"/>
    </row>
    <row r="1765" spans="2:17">
      <c r="B1765" s="15" t="str">
        <f t="shared" si="77"/>
        <v/>
      </c>
      <c r="C1765" s="16" t="str">
        <f>IFERROR(VLOOKUP(DATA!#REF!,DATA!#REF!,1,FALSE),"")</f>
        <v/>
      </c>
      <c r="D1765" s="16" t="str">
        <f>IFERROR(VLOOKUP(C1765,DATA!#REF!,2,FALSE),"")</f>
        <v/>
      </c>
      <c r="I1765" s="17"/>
      <c r="J1765" s="17"/>
      <c r="P1765" s="17"/>
      <c r="Q1765" s="17"/>
    </row>
    <row r="1766" spans="2:17">
      <c r="B1766" s="15" t="str">
        <f t="shared" si="77"/>
        <v/>
      </c>
      <c r="C1766" s="16" t="str">
        <f>IFERROR(VLOOKUP(DATA!#REF!,DATA!#REF!,1,FALSE),"")</f>
        <v/>
      </c>
      <c r="D1766" s="16" t="str">
        <f>IFERROR(VLOOKUP(C1766,DATA!#REF!,2,FALSE),"")</f>
        <v/>
      </c>
      <c r="I1766" s="17"/>
      <c r="J1766" s="17"/>
      <c r="P1766" s="17"/>
      <c r="Q1766" s="17"/>
    </row>
    <row r="1767" spans="2:17">
      <c r="B1767" s="15" t="str">
        <f t="shared" si="77"/>
        <v/>
      </c>
      <c r="C1767" s="16" t="str">
        <f>IFERROR(VLOOKUP(DATA!#REF!,DATA!#REF!,1,FALSE),"")</f>
        <v/>
      </c>
      <c r="D1767" s="16" t="str">
        <f>IFERROR(VLOOKUP(C1767,DATA!#REF!,2,FALSE),"")</f>
        <v/>
      </c>
      <c r="I1767" s="17"/>
      <c r="J1767" s="17"/>
      <c r="P1767" s="17"/>
      <c r="Q1767" s="17"/>
    </row>
    <row r="1768" spans="2:17">
      <c r="B1768" s="15" t="str">
        <f t="shared" si="77"/>
        <v/>
      </c>
      <c r="C1768" s="16" t="str">
        <f>IFERROR(VLOOKUP(DATA!#REF!,DATA!#REF!,1,FALSE),"")</f>
        <v/>
      </c>
      <c r="D1768" s="16" t="str">
        <f>IFERROR(VLOOKUP(C1768,DATA!#REF!,2,FALSE),"")</f>
        <v/>
      </c>
      <c r="I1768" s="17"/>
      <c r="J1768" s="17"/>
      <c r="P1768" s="17"/>
      <c r="Q1768" s="17"/>
    </row>
    <row r="1769" spans="2:17">
      <c r="B1769" s="15" t="str">
        <f t="shared" si="77"/>
        <v/>
      </c>
      <c r="C1769" s="16" t="str">
        <f>IFERROR(VLOOKUP(DATA!#REF!,DATA!#REF!,1,FALSE),"")</f>
        <v/>
      </c>
      <c r="D1769" s="16" t="str">
        <f>IFERROR(VLOOKUP(C1769,DATA!#REF!,2,FALSE),"")</f>
        <v/>
      </c>
      <c r="I1769" s="17"/>
      <c r="J1769" s="17"/>
      <c r="P1769" s="17"/>
      <c r="Q1769" s="17"/>
    </row>
    <row r="1770" spans="2:17">
      <c r="B1770" s="15" t="str">
        <f t="shared" si="77"/>
        <v/>
      </c>
      <c r="C1770" s="16" t="str">
        <f>IFERROR(VLOOKUP(DATA!#REF!,DATA!#REF!,1,FALSE),"")</f>
        <v/>
      </c>
      <c r="D1770" s="16" t="str">
        <f>IFERROR(VLOOKUP(C1770,DATA!#REF!,2,FALSE),"")</f>
        <v/>
      </c>
      <c r="I1770" s="17"/>
      <c r="J1770" s="17"/>
      <c r="P1770" s="17"/>
      <c r="Q1770" s="17"/>
    </row>
    <row r="1771" spans="2:17">
      <c r="B1771" s="15" t="str">
        <f t="shared" si="77"/>
        <v/>
      </c>
      <c r="C1771" s="16" t="str">
        <f>IFERROR(VLOOKUP(DATA!#REF!,DATA!#REF!,1,FALSE),"")</f>
        <v/>
      </c>
      <c r="D1771" s="16" t="str">
        <f>IFERROR(VLOOKUP(C1771,DATA!#REF!,2,FALSE),"")</f>
        <v/>
      </c>
      <c r="I1771" s="17"/>
      <c r="J1771" s="17"/>
      <c r="P1771" s="17"/>
      <c r="Q1771" s="17"/>
    </row>
    <row r="1772" spans="2:17">
      <c r="B1772" s="15" t="str">
        <f t="shared" si="77"/>
        <v/>
      </c>
      <c r="C1772" s="16" t="str">
        <f>IFERROR(VLOOKUP(DATA!#REF!,DATA!#REF!,1,FALSE),"")</f>
        <v/>
      </c>
      <c r="D1772" s="16" t="str">
        <f>IFERROR(VLOOKUP(C1772,DATA!#REF!,2,FALSE),"")</f>
        <v/>
      </c>
      <c r="I1772" s="17"/>
      <c r="J1772" s="17"/>
      <c r="P1772" s="17"/>
      <c r="Q1772" s="17"/>
    </row>
    <row r="1773" spans="2:17">
      <c r="B1773" s="15" t="str">
        <f t="shared" si="77"/>
        <v/>
      </c>
      <c r="C1773" s="16" t="str">
        <f>IFERROR(VLOOKUP(DATA!#REF!,DATA!#REF!,1,FALSE),"")</f>
        <v/>
      </c>
      <c r="D1773" s="16" t="str">
        <f>IFERROR(VLOOKUP(C1773,DATA!#REF!,2,FALSE),"")</f>
        <v/>
      </c>
      <c r="I1773" s="17"/>
      <c r="J1773" s="17"/>
      <c r="P1773" s="17"/>
      <c r="Q1773" s="17"/>
    </row>
    <row r="1774" spans="2:17">
      <c r="B1774" s="15" t="str">
        <f t="shared" si="77"/>
        <v/>
      </c>
      <c r="C1774" s="16" t="str">
        <f>IFERROR(VLOOKUP(DATA!#REF!,DATA!#REF!,1,FALSE),"")</f>
        <v/>
      </c>
      <c r="D1774" s="16" t="str">
        <f>IFERROR(VLOOKUP(C1774,DATA!#REF!,2,FALSE),"")</f>
        <v/>
      </c>
      <c r="I1774" s="17"/>
      <c r="J1774" s="17"/>
      <c r="P1774" s="17"/>
      <c r="Q1774" s="17"/>
    </row>
    <row r="1775" spans="2:17">
      <c r="B1775" s="15" t="str">
        <f t="shared" si="77"/>
        <v/>
      </c>
      <c r="C1775" s="16" t="str">
        <f>IFERROR(VLOOKUP(DATA!#REF!,DATA!#REF!,1,FALSE),"")</f>
        <v/>
      </c>
      <c r="D1775" s="16" t="str">
        <f>IFERROR(VLOOKUP(C1775,DATA!#REF!,2,FALSE),"")</f>
        <v/>
      </c>
      <c r="I1775" s="17"/>
      <c r="J1775" s="17"/>
      <c r="P1775" s="17"/>
      <c r="Q1775" s="17"/>
    </row>
    <row r="1776" spans="2:17">
      <c r="B1776" s="15" t="str">
        <f t="shared" si="77"/>
        <v/>
      </c>
      <c r="C1776" s="16" t="str">
        <f>IFERROR(VLOOKUP(DATA!#REF!,DATA!#REF!,1,FALSE),"")</f>
        <v/>
      </c>
      <c r="D1776" s="16" t="str">
        <f>IFERROR(VLOOKUP(C1776,DATA!#REF!,2,FALSE),"")</f>
        <v/>
      </c>
      <c r="I1776" s="17"/>
      <c r="J1776" s="17"/>
      <c r="P1776" s="17"/>
      <c r="Q1776" s="17"/>
    </row>
    <row r="1777" spans="2:17">
      <c r="B1777" s="15" t="str">
        <f t="shared" si="77"/>
        <v/>
      </c>
      <c r="C1777" s="16" t="str">
        <f>IFERROR(VLOOKUP(DATA!#REF!,DATA!#REF!,1,FALSE),"")</f>
        <v/>
      </c>
      <c r="D1777" s="16" t="str">
        <f>IFERROR(VLOOKUP(C1777,DATA!#REF!,2,FALSE),"")</f>
        <v/>
      </c>
      <c r="I1777" s="17"/>
      <c r="J1777" s="17"/>
      <c r="P1777" s="17"/>
      <c r="Q1777" s="17"/>
    </row>
    <row r="1778" spans="2:17">
      <c r="B1778" s="15" t="str">
        <f t="shared" si="77"/>
        <v/>
      </c>
      <c r="C1778" s="16" t="str">
        <f>IFERROR(VLOOKUP(DATA!#REF!,DATA!#REF!,1,FALSE),"")</f>
        <v/>
      </c>
      <c r="D1778" s="16" t="str">
        <f>IFERROR(VLOOKUP(C1778,DATA!#REF!,2,FALSE),"")</f>
        <v/>
      </c>
      <c r="I1778" s="17"/>
      <c r="J1778" s="17"/>
      <c r="P1778" s="17"/>
      <c r="Q1778" s="17"/>
    </row>
    <row r="1779" spans="2:17">
      <c r="B1779" s="15" t="str">
        <f t="shared" si="77"/>
        <v/>
      </c>
      <c r="C1779" s="16" t="str">
        <f>IFERROR(VLOOKUP(DATA!#REF!,DATA!#REF!,1,FALSE),"")</f>
        <v/>
      </c>
      <c r="D1779" s="16" t="str">
        <f>IFERROR(VLOOKUP(C1779,DATA!#REF!,2,FALSE),"")</f>
        <v/>
      </c>
      <c r="I1779" s="17"/>
      <c r="J1779" s="17"/>
      <c r="P1779" s="17"/>
      <c r="Q1779" s="17"/>
    </row>
    <row r="1780" spans="2:17">
      <c r="B1780" s="15" t="str">
        <f t="shared" si="77"/>
        <v/>
      </c>
      <c r="C1780" s="16" t="str">
        <f>IFERROR(VLOOKUP(DATA!#REF!,DATA!#REF!,1,FALSE),"")</f>
        <v/>
      </c>
      <c r="D1780" s="16" t="str">
        <f>IFERROR(VLOOKUP(C1780,DATA!#REF!,2,FALSE),"")</f>
        <v/>
      </c>
      <c r="I1780" s="17"/>
      <c r="J1780" s="17"/>
      <c r="P1780" s="17"/>
      <c r="Q1780" s="17"/>
    </row>
    <row r="1781" spans="2:17">
      <c r="B1781" s="15" t="str">
        <f t="shared" si="77"/>
        <v/>
      </c>
      <c r="C1781" s="16" t="str">
        <f>IFERROR(VLOOKUP(DATA!#REF!,DATA!#REF!,1,FALSE),"")</f>
        <v/>
      </c>
      <c r="D1781" s="16" t="str">
        <f>IFERROR(VLOOKUP(C1781,DATA!#REF!,2,FALSE),"")</f>
        <v/>
      </c>
      <c r="I1781" s="17"/>
      <c r="J1781" s="17"/>
      <c r="P1781" s="17"/>
      <c r="Q1781" s="17"/>
    </row>
    <row r="1782" spans="2:17">
      <c r="B1782" s="15" t="str">
        <f t="shared" si="77"/>
        <v/>
      </c>
      <c r="C1782" s="16" t="str">
        <f>IFERROR(VLOOKUP(DATA!#REF!,DATA!#REF!,1,FALSE),"")</f>
        <v/>
      </c>
      <c r="D1782" s="16" t="str">
        <f>IFERROR(VLOOKUP(C1782,DATA!#REF!,2,FALSE),"")</f>
        <v/>
      </c>
      <c r="I1782" s="17"/>
      <c r="J1782" s="17"/>
      <c r="P1782" s="17"/>
      <c r="Q1782" s="17"/>
    </row>
    <row r="1783" spans="2:17">
      <c r="B1783" s="15" t="str">
        <f t="shared" ref="B1783:B1846" si="78">+IF(C1783="","",ROW()-5)</f>
        <v/>
      </c>
      <c r="C1783" s="16" t="str">
        <f>IFERROR(VLOOKUP(DATA!#REF!,DATA!#REF!,1,FALSE),"")</f>
        <v/>
      </c>
      <c r="D1783" s="16" t="str">
        <f>IFERROR(VLOOKUP(C1783,DATA!#REF!,2,FALSE),"")</f>
        <v/>
      </c>
      <c r="I1783" s="17"/>
      <c r="J1783" s="17"/>
      <c r="P1783" s="17"/>
      <c r="Q1783" s="17"/>
    </row>
    <row r="1784" spans="2:17">
      <c r="B1784" s="15" t="str">
        <f t="shared" si="78"/>
        <v/>
      </c>
      <c r="C1784" s="16" t="str">
        <f>IFERROR(VLOOKUP(DATA!#REF!,DATA!#REF!,1,FALSE),"")</f>
        <v/>
      </c>
      <c r="D1784" s="16" t="str">
        <f>IFERROR(VLOOKUP(C1784,DATA!#REF!,2,FALSE),"")</f>
        <v/>
      </c>
      <c r="I1784" s="17"/>
      <c r="J1784" s="17"/>
      <c r="P1784" s="17"/>
      <c r="Q1784" s="17"/>
    </row>
    <row r="1785" spans="2:17">
      <c r="B1785" s="15" t="str">
        <f t="shared" si="78"/>
        <v/>
      </c>
      <c r="C1785" s="16" t="str">
        <f>IFERROR(VLOOKUP(DATA!#REF!,DATA!#REF!,1,FALSE),"")</f>
        <v/>
      </c>
      <c r="D1785" s="16" t="str">
        <f>IFERROR(VLOOKUP(C1785,DATA!#REF!,2,FALSE),"")</f>
        <v/>
      </c>
      <c r="I1785" s="17"/>
      <c r="J1785" s="17"/>
      <c r="P1785" s="17"/>
      <c r="Q1785" s="17"/>
    </row>
    <row r="1786" spans="2:17">
      <c r="B1786" s="15" t="str">
        <f t="shared" si="78"/>
        <v/>
      </c>
      <c r="C1786" s="16" t="str">
        <f>IFERROR(VLOOKUP(DATA!#REF!,DATA!#REF!,1,FALSE),"")</f>
        <v/>
      </c>
      <c r="D1786" s="16" t="str">
        <f>IFERROR(VLOOKUP(C1786,DATA!#REF!,2,FALSE),"")</f>
        <v/>
      </c>
      <c r="I1786" s="17"/>
      <c r="J1786" s="17"/>
      <c r="P1786" s="17"/>
      <c r="Q1786" s="17"/>
    </row>
    <row r="1787" spans="2:17">
      <c r="B1787" s="15" t="str">
        <f t="shared" si="78"/>
        <v/>
      </c>
      <c r="C1787" s="16" t="str">
        <f>IFERROR(VLOOKUP(DATA!#REF!,DATA!#REF!,1,FALSE),"")</f>
        <v/>
      </c>
      <c r="D1787" s="16" t="str">
        <f>IFERROR(VLOOKUP(C1787,DATA!#REF!,2,FALSE),"")</f>
        <v/>
      </c>
      <c r="I1787" s="17"/>
      <c r="J1787" s="17"/>
      <c r="P1787" s="17"/>
      <c r="Q1787" s="17"/>
    </row>
    <row r="1788" spans="2:17">
      <c r="B1788" s="15" t="str">
        <f t="shared" si="78"/>
        <v/>
      </c>
      <c r="C1788" s="16" t="str">
        <f>IFERROR(VLOOKUP(DATA!#REF!,DATA!#REF!,1,FALSE),"")</f>
        <v/>
      </c>
      <c r="D1788" s="16" t="str">
        <f>IFERROR(VLOOKUP(C1788,DATA!#REF!,2,FALSE),"")</f>
        <v/>
      </c>
      <c r="I1788" s="17"/>
      <c r="J1788" s="17"/>
      <c r="P1788" s="17"/>
      <c r="Q1788" s="17"/>
    </row>
    <row r="1789" spans="2:17">
      <c r="B1789" s="15" t="str">
        <f t="shared" si="78"/>
        <v/>
      </c>
      <c r="C1789" s="16" t="str">
        <f>IFERROR(VLOOKUP(DATA!#REF!,DATA!#REF!,1,FALSE),"")</f>
        <v/>
      </c>
      <c r="D1789" s="16" t="str">
        <f>IFERROR(VLOOKUP(C1789,DATA!#REF!,2,FALSE),"")</f>
        <v/>
      </c>
      <c r="I1789" s="17"/>
      <c r="J1789" s="17"/>
      <c r="P1789" s="17"/>
      <c r="Q1789" s="17"/>
    </row>
    <row r="1790" spans="2:17">
      <c r="B1790" s="15" t="str">
        <f t="shared" si="78"/>
        <v/>
      </c>
      <c r="C1790" s="16" t="str">
        <f>IFERROR(VLOOKUP(DATA!#REF!,DATA!#REF!,1,FALSE),"")</f>
        <v/>
      </c>
      <c r="D1790" s="16" t="str">
        <f>IFERROR(VLOOKUP(C1790,DATA!#REF!,2,FALSE),"")</f>
        <v/>
      </c>
      <c r="I1790" s="17"/>
      <c r="J1790" s="17"/>
      <c r="P1790" s="17"/>
      <c r="Q1790" s="17"/>
    </row>
    <row r="1791" spans="2:17">
      <c r="B1791" s="15" t="str">
        <f t="shared" si="78"/>
        <v/>
      </c>
      <c r="C1791" s="16" t="str">
        <f>IFERROR(VLOOKUP(DATA!#REF!,DATA!#REF!,1,FALSE),"")</f>
        <v/>
      </c>
      <c r="D1791" s="16" t="str">
        <f>IFERROR(VLOOKUP(C1791,DATA!#REF!,2,FALSE),"")</f>
        <v/>
      </c>
      <c r="I1791" s="17"/>
      <c r="J1791" s="17"/>
      <c r="P1791" s="17"/>
      <c r="Q1791" s="17"/>
    </row>
    <row r="1792" spans="2:17">
      <c r="B1792" s="15" t="str">
        <f t="shared" si="78"/>
        <v/>
      </c>
      <c r="C1792" s="16" t="str">
        <f>IFERROR(VLOOKUP(DATA!#REF!,DATA!#REF!,1,FALSE),"")</f>
        <v/>
      </c>
      <c r="D1792" s="16" t="str">
        <f>IFERROR(VLOOKUP(C1792,DATA!#REF!,2,FALSE),"")</f>
        <v/>
      </c>
      <c r="I1792" s="17"/>
      <c r="J1792" s="17"/>
      <c r="P1792" s="17"/>
      <c r="Q1792" s="17"/>
    </row>
    <row r="1793" spans="2:17">
      <c r="B1793" s="15" t="str">
        <f t="shared" si="78"/>
        <v/>
      </c>
      <c r="C1793" s="16" t="str">
        <f>IFERROR(VLOOKUP(DATA!#REF!,DATA!#REF!,1,FALSE),"")</f>
        <v/>
      </c>
      <c r="D1793" s="16" t="str">
        <f>IFERROR(VLOOKUP(C1793,DATA!#REF!,2,FALSE),"")</f>
        <v/>
      </c>
      <c r="I1793" s="17"/>
      <c r="J1793" s="17"/>
      <c r="P1793" s="17"/>
      <c r="Q1793" s="17"/>
    </row>
    <row r="1794" spans="2:17">
      <c r="B1794" s="15" t="str">
        <f t="shared" si="78"/>
        <v/>
      </c>
      <c r="C1794" s="16" t="str">
        <f>IFERROR(VLOOKUP(DATA!#REF!,DATA!#REF!,1,FALSE),"")</f>
        <v/>
      </c>
      <c r="D1794" s="16" t="str">
        <f>IFERROR(VLOOKUP(C1794,DATA!#REF!,2,FALSE),"")</f>
        <v/>
      </c>
      <c r="I1794" s="17"/>
      <c r="J1794" s="17"/>
      <c r="P1794" s="17"/>
      <c r="Q1794" s="17"/>
    </row>
    <row r="1795" spans="2:17">
      <c r="B1795" s="15" t="str">
        <f t="shared" si="78"/>
        <v/>
      </c>
      <c r="C1795" s="16" t="str">
        <f>IFERROR(VLOOKUP(DATA!#REF!,DATA!#REF!,1,FALSE),"")</f>
        <v/>
      </c>
      <c r="D1795" s="16" t="str">
        <f>IFERROR(VLOOKUP(C1795,DATA!#REF!,2,FALSE),"")</f>
        <v/>
      </c>
      <c r="I1795" s="17"/>
      <c r="J1795" s="17"/>
      <c r="P1795" s="17"/>
      <c r="Q1795" s="17"/>
    </row>
    <row r="1796" spans="2:17">
      <c r="B1796" s="15" t="str">
        <f t="shared" si="78"/>
        <v/>
      </c>
      <c r="C1796" s="16" t="str">
        <f>IFERROR(VLOOKUP(DATA!#REF!,DATA!#REF!,1,FALSE),"")</f>
        <v/>
      </c>
      <c r="D1796" s="16" t="str">
        <f>IFERROR(VLOOKUP(C1796,DATA!#REF!,2,FALSE),"")</f>
        <v/>
      </c>
      <c r="I1796" s="17"/>
      <c r="J1796" s="17"/>
      <c r="P1796" s="17"/>
      <c r="Q1796" s="17"/>
    </row>
    <row r="1797" spans="2:17">
      <c r="B1797" s="15" t="str">
        <f t="shared" si="78"/>
        <v/>
      </c>
      <c r="C1797" s="16" t="str">
        <f>IFERROR(VLOOKUP(DATA!#REF!,DATA!#REF!,1,FALSE),"")</f>
        <v/>
      </c>
      <c r="D1797" s="16" t="str">
        <f>IFERROR(VLOOKUP(C1797,DATA!#REF!,2,FALSE),"")</f>
        <v/>
      </c>
      <c r="I1797" s="17"/>
      <c r="J1797" s="17"/>
      <c r="P1797" s="17"/>
      <c r="Q1797" s="17"/>
    </row>
    <row r="1798" spans="2:17">
      <c r="B1798" s="15" t="str">
        <f t="shared" si="78"/>
        <v/>
      </c>
      <c r="C1798" s="16" t="str">
        <f>IFERROR(VLOOKUP(DATA!#REF!,DATA!#REF!,1,FALSE),"")</f>
        <v/>
      </c>
      <c r="D1798" s="16" t="str">
        <f>IFERROR(VLOOKUP(C1798,DATA!#REF!,2,FALSE),"")</f>
        <v/>
      </c>
      <c r="I1798" s="17"/>
      <c r="J1798" s="17"/>
      <c r="P1798" s="17"/>
      <c r="Q1798" s="17"/>
    </row>
    <row r="1799" spans="2:17">
      <c r="B1799" s="15" t="str">
        <f t="shared" si="78"/>
        <v/>
      </c>
      <c r="C1799" s="16" t="str">
        <f>IFERROR(VLOOKUP(DATA!#REF!,DATA!#REF!,1,FALSE),"")</f>
        <v/>
      </c>
      <c r="D1799" s="16" t="str">
        <f>IFERROR(VLOOKUP(C1799,DATA!#REF!,2,FALSE),"")</f>
        <v/>
      </c>
      <c r="I1799" s="17"/>
      <c r="J1799" s="17"/>
      <c r="P1799" s="17"/>
      <c r="Q1799" s="17"/>
    </row>
    <row r="1800" spans="2:17">
      <c r="B1800" s="15" t="str">
        <f t="shared" si="78"/>
        <v/>
      </c>
      <c r="C1800" s="16" t="str">
        <f>IFERROR(VLOOKUP(DATA!#REF!,DATA!#REF!,1,FALSE),"")</f>
        <v/>
      </c>
      <c r="D1800" s="16" t="str">
        <f>IFERROR(VLOOKUP(C1800,DATA!#REF!,2,FALSE),"")</f>
        <v/>
      </c>
      <c r="I1800" s="17"/>
      <c r="J1800" s="17"/>
      <c r="P1800" s="17"/>
      <c r="Q1800" s="17"/>
    </row>
    <row r="1801" spans="2:17">
      <c r="B1801" s="15" t="str">
        <f t="shared" si="78"/>
        <v/>
      </c>
      <c r="C1801" s="16" t="str">
        <f>IFERROR(VLOOKUP(DATA!#REF!,DATA!#REF!,1,FALSE),"")</f>
        <v/>
      </c>
      <c r="D1801" s="16" t="str">
        <f>IFERROR(VLOOKUP(C1801,DATA!#REF!,2,FALSE),"")</f>
        <v/>
      </c>
      <c r="I1801" s="17"/>
      <c r="J1801" s="17"/>
      <c r="P1801" s="17"/>
      <c r="Q1801" s="17"/>
    </row>
    <row r="1802" spans="2:17">
      <c r="B1802" s="15" t="str">
        <f t="shared" si="78"/>
        <v/>
      </c>
      <c r="C1802" s="16" t="str">
        <f>IFERROR(VLOOKUP(DATA!#REF!,DATA!#REF!,1,FALSE),"")</f>
        <v/>
      </c>
      <c r="D1802" s="16" t="str">
        <f>IFERROR(VLOOKUP(C1802,DATA!#REF!,2,FALSE),"")</f>
        <v/>
      </c>
      <c r="I1802" s="17"/>
      <c r="J1802" s="17"/>
      <c r="P1802" s="17"/>
      <c r="Q1802" s="17"/>
    </row>
    <row r="1803" spans="2:17">
      <c r="B1803" s="15" t="str">
        <f t="shared" si="78"/>
        <v/>
      </c>
      <c r="C1803" s="16" t="str">
        <f>IFERROR(VLOOKUP(DATA!#REF!,DATA!#REF!,1,FALSE),"")</f>
        <v/>
      </c>
      <c r="D1803" s="16" t="str">
        <f>IFERROR(VLOOKUP(C1803,DATA!#REF!,2,FALSE),"")</f>
        <v/>
      </c>
      <c r="I1803" s="17"/>
      <c r="J1803" s="17"/>
      <c r="P1803" s="17"/>
      <c r="Q1803" s="17"/>
    </row>
    <row r="1804" spans="2:17">
      <c r="B1804" s="15" t="str">
        <f t="shared" si="78"/>
        <v/>
      </c>
      <c r="C1804" s="16" t="str">
        <f>IFERROR(VLOOKUP(DATA!#REF!,DATA!#REF!,1,FALSE),"")</f>
        <v/>
      </c>
      <c r="D1804" s="16" t="str">
        <f>IFERROR(VLOOKUP(C1804,DATA!#REF!,2,FALSE),"")</f>
        <v/>
      </c>
      <c r="I1804" s="17"/>
      <c r="J1804" s="17"/>
      <c r="P1804" s="17"/>
      <c r="Q1804" s="17"/>
    </row>
    <row r="1805" spans="2:17">
      <c r="B1805" s="15" t="str">
        <f t="shared" si="78"/>
        <v/>
      </c>
      <c r="C1805" s="16" t="str">
        <f>IFERROR(VLOOKUP(DATA!#REF!,DATA!#REF!,1,FALSE),"")</f>
        <v/>
      </c>
      <c r="D1805" s="16" t="str">
        <f>IFERROR(VLOOKUP(C1805,DATA!#REF!,2,FALSE),"")</f>
        <v/>
      </c>
      <c r="I1805" s="17"/>
      <c r="J1805" s="17"/>
      <c r="P1805" s="17"/>
      <c r="Q1805" s="17"/>
    </row>
    <row r="1806" spans="2:17">
      <c r="B1806" s="15" t="str">
        <f t="shared" si="78"/>
        <v/>
      </c>
      <c r="C1806" s="16" t="str">
        <f>IFERROR(VLOOKUP(DATA!#REF!,DATA!#REF!,1,FALSE),"")</f>
        <v/>
      </c>
      <c r="D1806" s="16" t="str">
        <f>IFERROR(VLOOKUP(C1806,DATA!#REF!,2,FALSE),"")</f>
        <v/>
      </c>
      <c r="I1806" s="17"/>
      <c r="J1806" s="17"/>
      <c r="P1806" s="17"/>
      <c r="Q1806" s="17"/>
    </row>
    <row r="1807" spans="2:17">
      <c r="B1807" s="15" t="str">
        <f t="shared" si="78"/>
        <v/>
      </c>
      <c r="C1807" s="16" t="str">
        <f>IFERROR(VLOOKUP(DATA!#REF!,DATA!#REF!,1,FALSE),"")</f>
        <v/>
      </c>
      <c r="D1807" s="16" t="str">
        <f>IFERROR(VLOOKUP(C1807,DATA!#REF!,2,FALSE),"")</f>
        <v/>
      </c>
      <c r="I1807" s="17"/>
      <c r="J1807" s="17"/>
      <c r="P1807" s="17"/>
      <c r="Q1807" s="17"/>
    </row>
    <row r="1808" spans="2:17">
      <c r="B1808" s="15" t="str">
        <f t="shared" si="78"/>
        <v/>
      </c>
      <c r="C1808" s="16" t="str">
        <f>IFERROR(VLOOKUP(DATA!#REF!,DATA!#REF!,1,FALSE),"")</f>
        <v/>
      </c>
      <c r="D1808" s="16" t="str">
        <f>IFERROR(VLOOKUP(C1808,DATA!#REF!,2,FALSE),"")</f>
        <v/>
      </c>
      <c r="I1808" s="17"/>
      <c r="J1808" s="17"/>
      <c r="P1808" s="17"/>
      <c r="Q1808" s="17"/>
    </row>
    <row r="1809" spans="2:17">
      <c r="B1809" s="15" t="str">
        <f t="shared" si="78"/>
        <v/>
      </c>
      <c r="C1809" s="16" t="str">
        <f>IFERROR(VLOOKUP(DATA!#REF!,DATA!#REF!,1,FALSE),"")</f>
        <v/>
      </c>
      <c r="D1809" s="16" t="str">
        <f>IFERROR(VLOOKUP(C1809,DATA!#REF!,2,FALSE),"")</f>
        <v/>
      </c>
      <c r="I1809" s="17"/>
      <c r="J1809" s="17"/>
      <c r="P1809" s="17"/>
      <c r="Q1809" s="17"/>
    </row>
    <row r="1810" spans="2:17">
      <c r="B1810" s="15" t="str">
        <f t="shared" si="78"/>
        <v/>
      </c>
      <c r="C1810" s="16" t="str">
        <f>IFERROR(VLOOKUP(DATA!#REF!,DATA!#REF!,1,FALSE),"")</f>
        <v/>
      </c>
      <c r="D1810" s="16" t="str">
        <f>IFERROR(VLOOKUP(C1810,DATA!#REF!,2,FALSE),"")</f>
        <v/>
      </c>
      <c r="I1810" s="17"/>
      <c r="J1810" s="17"/>
      <c r="P1810" s="17"/>
      <c r="Q1810" s="17"/>
    </row>
    <row r="1811" spans="2:17">
      <c r="B1811" s="15" t="str">
        <f t="shared" si="78"/>
        <v/>
      </c>
      <c r="C1811" s="16" t="str">
        <f>IFERROR(VLOOKUP(DATA!#REF!,DATA!#REF!,1,FALSE),"")</f>
        <v/>
      </c>
      <c r="D1811" s="16" t="str">
        <f>IFERROR(VLOOKUP(C1811,DATA!#REF!,2,FALSE),"")</f>
        <v/>
      </c>
      <c r="I1811" s="17"/>
      <c r="J1811" s="17"/>
      <c r="P1811" s="17"/>
      <c r="Q1811" s="17"/>
    </row>
    <row r="1812" spans="2:17">
      <c r="B1812" s="15" t="str">
        <f t="shared" si="78"/>
        <v/>
      </c>
      <c r="C1812" s="16" t="str">
        <f>IFERROR(VLOOKUP(DATA!#REF!,DATA!#REF!,1,FALSE),"")</f>
        <v/>
      </c>
      <c r="D1812" s="16" t="str">
        <f>IFERROR(VLOOKUP(C1812,DATA!#REF!,2,FALSE),"")</f>
        <v/>
      </c>
      <c r="I1812" s="17"/>
      <c r="J1812" s="17"/>
      <c r="P1812" s="17"/>
      <c r="Q1812" s="17"/>
    </row>
    <row r="1813" spans="2:17">
      <c r="B1813" s="15" t="str">
        <f t="shared" si="78"/>
        <v/>
      </c>
      <c r="C1813" s="16" t="str">
        <f>IFERROR(VLOOKUP(DATA!#REF!,DATA!#REF!,1,FALSE),"")</f>
        <v/>
      </c>
      <c r="D1813" s="16" t="str">
        <f>IFERROR(VLOOKUP(C1813,DATA!#REF!,2,FALSE),"")</f>
        <v/>
      </c>
      <c r="I1813" s="17"/>
      <c r="J1813" s="17"/>
      <c r="P1813" s="17"/>
      <c r="Q1813" s="17"/>
    </row>
    <row r="1814" spans="2:17">
      <c r="B1814" s="15" t="str">
        <f t="shared" si="78"/>
        <v/>
      </c>
      <c r="C1814" s="16" t="str">
        <f>IFERROR(VLOOKUP(DATA!#REF!,DATA!#REF!,1,FALSE),"")</f>
        <v/>
      </c>
      <c r="D1814" s="16" t="str">
        <f>IFERROR(VLOOKUP(C1814,DATA!#REF!,2,FALSE),"")</f>
        <v/>
      </c>
      <c r="I1814" s="17"/>
      <c r="J1814" s="17"/>
      <c r="P1814" s="17"/>
      <c r="Q1814" s="17"/>
    </row>
    <row r="1815" spans="2:17">
      <c r="B1815" s="15" t="str">
        <f t="shared" si="78"/>
        <v/>
      </c>
      <c r="C1815" s="16" t="str">
        <f>IFERROR(VLOOKUP(DATA!#REF!,DATA!#REF!,1,FALSE),"")</f>
        <v/>
      </c>
      <c r="D1815" s="16" t="str">
        <f>IFERROR(VLOOKUP(C1815,DATA!#REF!,2,FALSE),"")</f>
        <v/>
      </c>
      <c r="I1815" s="17"/>
      <c r="J1815" s="17"/>
      <c r="P1815" s="17"/>
      <c r="Q1815" s="17"/>
    </row>
    <row r="1816" spans="2:17">
      <c r="B1816" s="15" t="str">
        <f t="shared" si="78"/>
        <v/>
      </c>
      <c r="C1816" s="16" t="str">
        <f>IFERROR(VLOOKUP(DATA!#REF!,DATA!#REF!,1,FALSE),"")</f>
        <v/>
      </c>
      <c r="D1816" s="16" t="str">
        <f>IFERROR(VLOOKUP(C1816,DATA!#REF!,2,FALSE),"")</f>
        <v/>
      </c>
      <c r="I1816" s="17"/>
      <c r="J1816" s="17"/>
      <c r="P1816" s="17"/>
      <c r="Q1816" s="17"/>
    </row>
    <row r="1817" spans="2:17">
      <c r="B1817" s="15" t="str">
        <f t="shared" si="78"/>
        <v/>
      </c>
      <c r="C1817" s="16" t="str">
        <f>IFERROR(VLOOKUP(DATA!#REF!,DATA!#REF!,1,FALSE),"")</f>
        <v/>
      </c>
      <c r="D1817" s="16" t="str">
        <f>IFERROR(VLOOKUP(C1817,DATA!#REF!,2,FALSE),"")</f>
        <v/>
      </c>
      <c r="I1817" s="17"/>
      <c r="J1817" s="17"/>
      <c r="P1817" s="17"/>
      <c r="Q1817" s="17"/>
    </row>
    <row r="1818" spans="2:17">
      <c r="B1818" s="15" t="str">
        <f t="shared" si="78"/>
        <v/>
      </c>
      <c r="C1818" s="16" t="str">
        <f>IFERROR(VLOOKUP(DATA!#REF!,DATA!#REF!,1,FALSE),"")</f>
        <v/>
      </c>
      <c r="D1818" s="16" t="str">
        <f>IFERROR(VLOOKUP(C1818,DATA!#REF!,2,FALSE),"")</f>
        <v/>
      </c>
      <c r="I1818" s="17"/>
      <c r="J1818" s="17"/>
      <c r="P1818" s="17"/>
      <c r="Q1818" s="17"/>
    </row>
    <row r="1819" spans="2:17">
      <c r="B1819" s="15" t="str">
        <f t="shared" si="78"/>
        <v/>
      </c>
      <c r="C1819" s="16" t="str">
        <f>IFERROR(VLOOKUP(DATA!#REF!,DATA!#REF!,1,FALSE),"")</f>
        <v/>
      </c>
      <c r="D1819" s="16" t="str">
        <f>IFERROR(VLOOKUP(C1819,DATA!#REF!,2,FALSE),"")</f>
        <v/>
      </c>
      <c r="I1819" s="17"/>
      <c r="J1819" s="17"/>
      <c r="P1819" s="17"/>
      <c r="Q1819" s="17"/>
    </row>
    <row r="1820" spans="2:17">
      <c r="B1820" s="15" t="str">
        <f t="shared" si="78"/>
        <v/>
      </c>
      <c r="C1820" s="16" t="str">
        <f>IFERROR(VLOOKUP(DATA!#REF!,DATA!#REF!,1,FALSE),"")</f>
        <v/>
      </c>
      <c r="D1820" s="16" t="str">
        <f>IFERROR(VLOOKUP(C1820,DATA!#REF!,2,FALSE),"")</f>
        <v/>
      </c>
      <c r="I1820" s="17"/>
      <c r="J1820" s="17"/>
      <c r="P1820" s="17"/>
      <c r="Q1820" s="17"/>
    </row>
    <row r="1821" spans="2:17">
      <c r="B1821" s="15" t="str">
        <f t="shared" si="78"/>
        <v/>
      </c>
      <c r="C1821" s="16" t="str">
        <f>IFERROR(VLOOKUP(DATA!#REF!,DATA!#REF!,1,FALSE),"")</f>
        <v/>
      </c>
      <c r="D1821" s="16" t="str">
        <f>IFERROR(VLOOKUP(C1821,DATA!#REF!,2,FALSE),"")</f>
        <v/>
      </c>
      <c r="I1821" s="17"/>
      <c r="J1821" s="17"/>
      <c r="P1821" s="17"/>
      <c r="Q1821" s="17"/>
    </row>
    <row r="1822" spans="2:17">
      <c r="B1822" s="15" t="str">
        <f t="shared" si="78"/>
        <v/>
      </c>
      <c r="C1822" s="16" t="str">
        <f>IFERROR(VLOOKUP(DATA!#REF!,DATA!#REF!,1,FALSE),"")</f>
        <v/>
      </c>
      <c r="D1822" s="16" t="str">
        <f>IFERROR(VLOOKUP(C1822,DATA!#REF!,2,FALSE),"")</f>
        <v/>
      </c>
      <c r="I1822" s="17"/>
      <c r="J1822" s="17"/>
      <c r="P1822" s="17"/>
      <c r="Q1822" s="17"/>
    </row>
    <row r="1823" spans="2:17">
      <c r="B1823" s="15" t="str">
        <f t="shared" si="78"/>
        <v/>
      </c>
      <c r="C1823" s="16" t="str">
        <f>IFERROR(VLOOKUP(DATA!#REF!,DATA!#REF!,1,FALSE),"")</f>
        <v/>
      </c>
      <c r="D1823" s="16" t="str">
        <f>IFERROR(VLOOKUP(C1823,DATA!#REF!,2,FALSE),"")</f>
        <v/>
      </c>
      <c r="I1823" s="17"/>
      <c r="J1823" s="17"/>
      <c r="P1823" s="17"/>
      <c r="Q1823" s="17"/>
    </row>
    <row r="1824" spans="2:17">
      <c r="B1824" s="15" t="str">
        <f t="shared" si="78"/>
        <v/>
      </c>
      <c r="C1824" s="16" t="str">
        <f>IFERROR(VLOOKUP(DATA!#REF!,DATA!#REF!,1,FALSE),"")</f>
        <v/>
      </c>
      <c r="D1824" s="16" t="str">
        <f>IFERROR(VLOOKUP(C1824,DATA!#REF!,2,FALSE),"")</f>
        <v/>
      </c>
      <c r="I1824" s="17"/>
      <c r="J1824" s="17"/>
      <c r="P1824" s="17"/>
      <c r="Q1824" s="17"/>
    </row>
    <row r="1825" spans="2:17">
      <c r="B1825" s="15" t="str">
        <f t="shared" si="78"/>
        <v/>
      </c>
      <c r="C1825" s="16" t="str">
        <f>IFERROR(VLOOKUP(DATA!#REF!,DATA!#REF!,1,FALSE),"")</f>
        <v/>
      </c>
      <c r="D1825" s="16" t="str">
        <f>IFERROR(VLOOKUP(C1825,DATA!#REF!,2,FALSE),"")</f>
        <v/>
      </c>
      <c r="I1825" s="17"/>
      <c r="J1825" s="17"/>
      <c r="P1825" s="17"/>
      <c r="Q1825" s="17"/>
    </row>
    <row r="1826" spans="2:17">
      <c r="B1826" s="15" t="str">
        <f t="shared" si="78"/>
        <v/>
      </c>
      <c r="C1826" s="16" t="str">
        <f>IFERROR(VLOOKUP(DATA!#REF!,DATA!#REF!,1,FALSE),"")</f>
        <v/>
      </c>
      <c r="D1826" s="16" t="str">
        <f>IFERROR(VLOOKUP(C1826,DATA!#REF!,2,FALSE),"")</f>
        <v/>
      </c>
      <c r="I1826" s="17"/>
      <c r="J1826" s="17"/>
      <c r="P1826" s="17"/>
      <c r="Q1826" s="17"/>
    </row>
    <row r="1827" spans="2:17">
      <c r="B1827" s="15" t="str">
        <f t="shared" si="78"/>
        <v/>
      </c>
      <c r="C1827" s="16" t="str">
        <f>IFERROR(VLOOKUP(DATA!#REF!,DATA!#REF!,1,FALSE),"")</f>
        <v/>
      </c>
      <c r="D1827" s="16" t="str">
        <f>IFERROR(VLOOKUP(C1827,DATA!#REF!,2,FALSE),"")</f>
        <v/>
      </c>
      <c r="I1827" s="17"/>
      <c r="J1827" s="17"/>
      <c r="P1827" s="17"/>
      <c r="Q1827" s="17"/>
    </row>
    <row r="1828" spans="2:17">
      <c r="B1828" s="15" t="str">
        <f t="shared" si="78"/>
        <v/>
      </c>
      <c r="C1828" s="16" t="str">
        <f>IFERROR(VLOOKUP(DATA!#REF!,DATA!#REF!,1,FALSE),"")</f>
        <v/>
      </c>
      <c r="D1828" s="16" t="str">
        <f>IFERROR(VLOOKUP(C1828,DATA!#REF!,2,FALSE),"")</f>
        <v/>
      </c>
      <c r="I1828" s="17"/>
      <c r="J1828" s="17"/>
      <c r="P1828" s="17"/>
      <c r="Q1828" s="17"/>
    </row>
    <row r="1829" spans="2:17">
      <c r="B1829" s="15" t="str">
        <f t="shared" si="78"/>
        <v/>
      </c>
      <c r="C1829" s="16" t="str">
        <f>IFERROR(VLOOKUP(DATA!#REF!,DATA!#REF!,1,FALSE),"")</f>
        <v/>
      </c>
      <c r="D1829" s="16" t="str">
        <f>IFERROR(VLOOKUP(C1829,DATA!#REF!,2,FALSE),"")</f>
        <v/>
      </c>
      <c r="I1829" s="17"/>
      <c r="J1829" s="17"/>
      <c r="P1829" s="17"/>
      <c r="Q1829" s="17"/>
    </row>
    <row r="1830" spans="2:17">
      <c r="B1830" s="15" t="str">
        <f t="shared" si="78"/>
        <v/>
      </c>
      <c r="C1830" s="16" t="str">
        <f>IFERROR(VLOOKUP(DATA!#REF!,DATA!#REF!,1,FALSE),"")</f>
        <v/>
      </c>
      <c r="D1830" s="16" t="str">
        <f>IFERROR(VLOOKUP(C1830,DATA!#REF!,2,FALSE),"")</f>
        <v/>
      </c>
      <c r="I1830" s="17"/>
      <c r="J1830" s="17"/>
      <c r="P1830" s="17"/>
      <c r="Q1830" s="17"/>
    </row>
    <row r="1831" spans="2:17">
      <c r="B1831" s="15" t="str">
        <f t="shared" si="78"/>
        <v/>
      </c>
      <c r="C1831" s="16" t="str">
        <f>IFERROR(VLOOKUP(DATA!#REF!,DATA!#REF!,1,FALSE),"")</f>
        <v/>
      </c>
      <c r="D1831" s="16" t="str">
        <f>IFERROR(VLOOKUP(C1831,DATA!#REF!,2,FALSE),"")</f>
        <v/>
      </c>
      <c r="I1831" s="17"/>
      <c r="J1831" s="17"/>
      <c r="P1831" s="17"/>
      <c r="Q1831" s="17"/>
    </row>
    <row r="1832" spans="2:17">
      <c r="B1832" s="15" t="str">
        <f t="shared" si="78"/>
        <v/>
      </c>
      <c r="C1832" s="16" t="str">
        <f>IFERROR(VLOOKUP(DATA!#REF!,DATA!#REF!,1,FALSE),"")</f>
        <v/>
      </c>
      <c r="D1832" s="16" t="str">
        <f>IFERROR(VLOOKUP(C1832,DATA!#REF!,2,FALSE),"")</f>
        <v/>
      </c>
      <c r="I1832" s="17"/>
      <c r="J1832" s="17"/>
      <c r="P1832" s="17"/>
      <c r="Q1832" s="17"/>
    </row>
    <row r="1833" spans="2:17">
      <c r="B1833" s="15" t="str">
        <f t="shared" si="78"/>
        <v/>
      </c>
      <c r="C1833" s="16" t="str">
        <f>IFERROR(VLOOKUP(DATA!#REF!,DATA!#REF!,1,FALSE),"")</f>
        <v/>
      </c>
      <c r="D1833" s="16" t="str">
        <f>IFERROR(VLOOKUP(C1833,DATA!#REF!,2,FALSE),"")</f>
        <v/>
      </c>
      <c r="I1833" s="17"/>
      <c r="J1833" s="17"/>
      <c r="P1833" s="17"/>
      <c r="Q1833" s="17"/>
    </row>
    <row r="1834" spans="2:17">
      <c r="B1834" s="15" t="str">
        <f t="shared" si="78"/>
        <v/>
      </c>
      <c r="C1834" s="16" t="str">
        <f>IFERROR(VLOOKUP(DATA!#REF!,DATA!#REF!,1,FALSE),"")</f>
        <v/>
      </c>
      <c r="D1834" s="16" t="str">
        <f>IFERROR(VLOOKUP(C1834,DATA!#REF!,2,FALSE),"")</f>
        <v/>
      </c>
      <c r="I1834" s="17"/>
      <c r="J1834" s="17"/>
      <c r="P1834" s="17"/>
      <c r="Q1834" s="17"/>
    </row>
    <row r="1835" spans="2:17">
      <c r="B1835" s="15" t="str">
        <f t="shared" si="78"/>
        <v/>
      </c>
      <c r="C1835" s="16" t="str">
        <f>IFERROR(VLOOKUP(DATA!#REF!,DATA!#REF!,1,FALSE),"")</f>
        <v/>
      </c>
      <c r="D1835" s="16" t="str">
        <f>IFERROR(VLOOKUP(C1835,DATA!#REF!,2,FALSE),"")</f>
        <v/>
      </c>
      <c r="I1835" s="17"/>
      <c r="J1835" s="17"/>
      <c r="P1835" s="17"/>
      <c r="Q1835" s="17"/>
    </row>
    <row r="1836" spans="2:17">
      <c r="B1836" s="15" t="str">
        <f t="shared" si="78"/>
        <v/>
      </c>
      <c r="C1836" s="16" t="str">
        <f>IFERROR(VLOOKUP(DATA!#REF!,DATA!#REF!,1,FALSE),"")</f>
        <v/>
      </c>
      <c r="D1836" s="16" t="str">
        <f>IFERROR(VLOOKUP(C1836,DATA!#REF!,2,FALSE),"")</f>
        <v/>
      </c>
      <c r="I1836" s="17"/>
      <c r="J1836" s="17"/>
      <c r="P1836" s="17"/>
      <c r="Q1836" s="17"/>
    </row>
    <row r="1837" spans="2:17">
      <c r="B1837" s="15" t="str">
        <f t="shared" si="78"/>
        <v/>
      </c>
      <c r="C1837" s="16" t="str">
        <f>IFERROR(VLOOKUP(DATA!#REF!,DATA!#REF!,1,FALSE),"")</f>
        <v/>
      </c>
      <c r="D1837" s="16" t="str">
        <f>IFERROR(VLOOKUP(C1837,DATA!#REF!,2,FALSE),"")</f>
        <v/>
      </c>
      <c r="I1837" s="17"/>
      <c r="J1837" s="17"/>
      <c r="P1837" s="17"/>
      <c r="Q1837" s="17"/>
    </row>
    <row r="1838" spans="2:17">
      <c r="B1838" s="15" t="str">
        <f t="shared" si="78"/>
        <v/>
      </c>
      <c r="C1838" s="16" t="str">
        <f>IFERROR(VLOOKUP(DATA!#REF!,DATA!#REF!,1,FALSE),"")</f>
        <v/>
      </c>
      <c r="D1838" s="16" t="str">
        <f>IFERROR(VLOOKUP(C1838,DATA!#REF!,2,FALSE),"")</f>
        <v/>
      </c>
      <c r="I1838" s="17"/>
      <c r="J1838" s="17"/>
      <c r="P1838" s="17"/>
      <c r="Q1838" s="17"/>
    </row>
    <row r="1839" spans="2:17">
      <c r="B1839" s="15" t="str">
        <f t="shared" si="78"/>
        <v/>
      </c>
      <c r="C1839" s="16" t="str">
        <f>IFERROR(VLOOKUP(DATA!#REF!,DATA!#REF!,1,FALSE),"")</f>
        <v/>
      </c>
      <c r="D1839" s="16" t="str">
        <f>IFERROR(VLOOKUP(C1839,DATA!#REF!,2,FALSE),"")</f>
        <v/>
      </c>
      <c r="I1839" s="17"/>
      <c r="J1839" s="17"/>
      <c r="P1839" s="17"/>
      <c r="Q1839" s="17"/>
    </row>
    <row r="1840" spans="2:17">
      <c r="B1840" s="15" t="str">
        <f t="shared" si="78"/>
        <v/>
      </c>
      <c r="C1840" s="16" t="str">
        <f>IFERROR(VLOOKUP(DATA!#REF!,DATA!#REF!,1,FALSE),"")</f>
        <v/>
      </c>
      <c r="D1840" s="16" t="str">
        <f>IFERROR(VLOOKUP(C1840,DATA!#REF!,2,FALSE),"")</f>
        <v/>
      </c>
      <c r="I1840" s="17"/>
      <c r="J1840" s="17"/>
      <c r="P1840" s="17"/>
      <c r="Q1840" s="17"/>
    </row>
    <row r="1841" spans="2:17">
      <c r="B1841" s="15" t="str">
        <f t="shared" si="78"/>
        <v/>
      </c>
      <c r="C1841" s="16" t="str">
        <f>IFERROR(VLOOKUP(DATA!#REF!,DATA!#REF!,1,FALSE),"")</f>
        <v/>
      </c>
      <c r="D1841" s="16" t="str">
        <f>IFERROR(VLOOKUP(C1841,DATA!#REF!,2,FALSE),"")</f>
        <v/>
      </c>
      <c r="I1841" s="17"/>
      <c r="J1841" s="17"/>
      <c r="P1841" s="17"/>
      <c r="Q1841" s="17"/>
    </row>
    <row r="1842" spans="2:17">
      <c r="B1842" s="15" t="str">
        <f t="shared" si="78"/>
        <v/>
      </c>
      <c r="C1842" s="16" t="str">
        <f>IFERROR(VLOOKUP(DATA!#REF!,DATA!#REF!,1,FALSE),"")</f>
        <v/>
      </c>
      <c r="D1842" s="16" t="str">
        <f>IFERROR(VLOOKUP(C1842,DATA!#REF!,2,FALSE),"")</f>
        <v/>
      </c>
      <c r="I1842" s="17"/>
      <c r="J1842" s="17"/>
      <c r="P1842" s="17"/>
      <c r="Q1842" s="17"/>
    </row>
    <row r="1843" spans="2:17">
      <c r="B1843" s="15" t="str">
        <f t="shared" si="78"/>
        <v/>
      </c>
      <c r="C1843" s="16" t="str">
        <f>IFERROR(VLOOKUP(DATA!#REF!,DATA!#REF!,1,FALSE),"")</f>
        <v/>
      </c>
      <c r="D1843" s="16" t="str">
        <f>IFERROR(VLOOKUP(C1843,DATA!#REF!,2,FALSE),"")</f>
        <v/>
      </c>
      <c r="I1843" s="17"/>
      <c r="J1843" s="17"/>
      <c r="P1843" s="17"/>
      <c r="Q1843" s="17"/>
    </row>
    <row r="1844" spans="2:17">
      <c r="B1844" s="15" t="str">
        <f t="shared" si="78"/>
        <v/>
      </c>
      <c r="C1844" s="16" t="str">
        <f>IFERROR(VLOOKUP(DATA!#REF!,DATA!#REF!,1,FALSE),"")</f>
        <v/>
      </c>
      <c r="D1844" s="16" t="str">
        <f>IFERROR(VLOOKUP(C1844,DATA!#REF!,2,FALSE),"")</f>
        <v/>
      </c>
      <c r="I1844" s="17"/>
      <c r="J1844" s="17"/>
      <c r="P1844" s="17"/>
      <c r="Q1844" s="17"/>
    </row>
    <row r="1845" spans="2:17">
      <c r="B1845" s="15" t="str">
        <f t="shared" si="78"/>
        <v/>
      </c>
      <c r="C1845" s="16" t="str">
        <f>IFERROR(VLOOKUP(DATA!#REF!,DATA!#REF!,1,FALSE),"")</f>
        <v/>
      </c>
      <c r="D1845" s="16" t="str">
        <f>IFERROR(VLOOKUP(C1845,DATA!#REF!,2,FALSE),"")</f>
        <v/>
      </c>
      <c r="I1845" s="17"/>
      <c r="J1845" s="17"/>
      <c r="P1845" s="17"/>
      <c r="Q1845" s="17"/>
    </row>
    <row r="1846" spans="2:17">
      <c r="B1846" s="15" t="str">
        <f t="shared" si="78"/>
        <v/>
      </c>
      <c r="C1846" s="16" t="str">
        <f>IFERROR(VLOOKUP(DATA!#REF!,DATA!#REF!,1,FALSE),"")</f>
        <v/>
      </c>
      <c r="D1846" s="16" t="str">
        <f>IFERROR(VLOOKUP(C1846,DATA!#REF!,2,FALSE),"")</f>
        <v/>
      </c>
      <c r="I1846" s="17"/>
      <c r="J1846" s="17"/>
      <c r="P1846" s="17"/>
      <c r="Q1846" s="17"/>
    </row>
    <row r="1847" spans="2:17">
      <c r="B1847" s="15" t="str">
        <f t="shared" ref="B1847:B1910" si="79">+IF(C1847="","",ROW()-5)</f>
        <v/>
      </c>
      <c r="C1847" s="16" t="str">
        <f>IFERROR(VLOOKUP(DATA!#REF!,DATA!#REF!,1,FALSE),"")</f>
        <v/>
      </c>
      <c r="D1847" s="16" t="str">
        <f>IFERROR(VLOOKUP(C1847,DATA!#REF!,2,FALSE),"")</f>
        <v/>
      </c>
      <c r="I1847" s="17"/>
      <c r="J1847" s="17"/>
      <c r="P1847" s="17"/>
      <c r="Q1847" s="17"/>
    </row>
    <row r="1848" spans="2:17">
      <c r="B1848" s="15" t="str">
        <f t="shared" si="79"/>
        <v/>
      </c>
      <c r="C1848" s="16" t="str">
        <f>IFERROR(VLOOKUP(DATA!#REF!,DATA!#REF!,1,FALSE),"")</f>
        <v/>
      </c>
      <c r="D1848" s="16" t="str">
        <f>IFERROR(VLOOKUP(C1848,DATA!#REF!,2,FALSE),"")</f>
        <v/>
      </c>
      <c r="I1848" s="17"/>
      <c r="J1848" s="17"/>
      <c r="P1848" s="17"/>
      <c r="Q1848" s="17"/>
    </row>
    <row r="1849" spans="2:17">
      <c r="B1849" s="15" t="str">
        <f t="shared" si="79"/>
        <v/>
      </c>
      <c r="C1849" s="16" t="str">
        <f>IFERROR(VLOOKUP(DATA!#REF!,DATA!#REF!,1,FALSE),"")</f>
        <v/>
      </c>
      <c r="D1849" s="16" t="str">
        <f>IFERROR(VLOOKUP(C1849,DATA!#REF!,2,FALSE),"")</f>
        <v/>
      </c>
      <c r="I1849" s="17"/>
      <c r="J1849" s="17"/>
      <c r="P1849" s="17"/>
      <c r="Q1849" s="17"/>
    </row>
    <row r="1850" spans="2:17">
      <c r="B1850" s="15" t="str">
        <f t="shared" si="79"/>
        <v/>
      </c>
      <c r="C1850" s="16" t="str">
        <f>IFERROR(VLOOKUP(DATA!#REF!,DATA!#REF!,1,FALSE),"")</f>
        <v/>
      </c>
      <c r="D1850" s="16" t="str">
        <f>IFERROR(VLOOKUP(C1850,DATA!#REF!,2,FALSE),"")</f>
        <v/>
      </c>
      <c r="I1850" s="17"/>
      <c r="J1850" s="17"/>
      <c r="P1850" s="17"/>
      <c r="Q1850" s="17"/>
    </row>
    <row r="1851" spans="2:17">
      <c r="B1851" s="15" t="str">
        <f t="shared" si="79"/>
        <v/>
      </c>
      <c r="C1851" s="16" t="str">
        <f>IFERROR(VLOOKUP(DATA!#REF!,DATA!#REF!,1,FALSE),"")</f>
        <v/>
      </c>
      <c r="D1851" s="16" t="str">
        <f>IFERROR(VLOOKUP(C1851,DATA!#REF!,2,FALSE),"")</f>
        <v/>
      </c>
      <c r="I1851" s="17"/>
      <c r="J1851" s="17"/>
      <c r="P1851" s="17"/>
      <c r="Q1851" s="17"/>
    </row>
    <row r="1852" spans="2:17">
      <c r="B1852" s="15" t="str">
        <f t="shared" si="79"/>
        <v/>
      </c>
      <c r="C1852" s="16" t="str">
        <f>IFERROR(VLOOKUP(DATA!#REF!,DATA!#REF!,1,FALSE),"")</f>
        <v/>
      </c>
      <c r="D1852" s="16" t="str">
        <f>IFERROR(VLOOKUP(C1852,DATA!#REF!,2,FALSE),"")</f>
        <v/>
      </c>
      <c r="I1852" s="17"/>
      <c r="J1852" s="17"/>
      <c r="P1852" s="17"/>
      <c r="Q1852" s="17"/>
    </row>
    <row r="1853" spans="2:17">
      <c r="B1853" s="15" t="str">
        <f t="shared" si="79"/>
        <v/>
      </c>
      <c r="C1853" s="16" t="str">
        <f>IFERROR(VLOOKUP(DATA!#REF!,DATA!#REF!,1,FALSE),"")</f>
        <v/>
      </c>
      <c r="D1853" s="16" t="str">
        <f>IFERROR(VLOOKUP(C1853,DATA!#REF!,2,FALSE),"")</f>
        <v/>
      </c>
      <c r="I1853" s="17"/>
      <c r="J1853" s="17"/>
      <c r="P1853" s="17"/>
      <c r="Q1853" s="17"/>
    </row>
    <row r="1854" spans="2:17">
      <c r="B1854" s="15" t="str">
        <f t="shared" si="79"/>
        <v/>
      </c>
      <c r="C1854" s="16" t="str">
        <f>IFERROR(VLOOKUP(DATA!#REF!,DATA!#REF!,1,FALSE),"")</f>
        <v/>
      </c>
      <c r="D1854" s="16" t="str">
        <f>IFERROR(VLOOKUP(C1854,DATA!#REF!,2,FALSE),"")</f>
        <v/>
      </c>
      <c r="I1854" s="17"/>
      <c r="J1854" s="17"/>
      <c r="P1854" s="17"/>
      <c r="Q1854" s="17"/>
    </row>
    <row r="1855" spans="2:17">
      <c r="B1855" s="15" t="str">
        <f t="shared" si="79"/>
        <v/>
      </c>
      <c r="C1855" s="16" t="str">
        <f>IFERROR(VLOOKUP(DATA!#REF!,DATA!#REF!,1,FALSE),"")</f>
        <v/>
      </c>
      <c r="D1855" s="16" t="str">
        <f>IFERROR(VLOOKUP(C1855,DATA!#REF!,2,FALSE),"")</f>
        <v/>
      </c>
      <c r="I1855" s="17"/>
      <c r="J1855" s="17"/>
      <c r="P1855" s="17"/>
      <c r="Q1855" s="17"/>
    </row>
    <row r="1856" spans="2:17">
      <c r="B1856" s="15" t="str">
        <f t="shared" si="79"/>
        <v/>
      </c>
      <c r="C1856" s="16" t="str">
        <f>IFERROR(VLOOKUP(DATA!#REF!,DATA!#REF!,1,FALSE),"")</f>
        <v/>
      </c>
      <c r="D1856" s="16" t="str">
        <f>IFERROR(VLOOKUP(C1856,DATA!#REF!,2,FALSE),"")</f>
        <v/>
      </c>
      <c r="I1856" s="17"/>
      <c r="J1856" s="17"/>
      <c r="P1856" s="17"/>
      <c r="Q1856" s="17"/>
    </row>
    <row r="1857" spans="2:17">
      <c r="B1857" s="15" t="str">
        <f t="shared" si="79"/>
        <v/>
      </c>
      <c r="C1857" s="16" t="str">
        <f>IFERROR(VLOOKUP(DATA!#REF!,DATA!#REF!,1,FALSE),"")</f>
        <v/>
      </c>
      <c r="D1857" s="16" t="str">
        <f>IFERROR(VLOOKUP(C1857,DATA!#REF!,2,FALSE),"")</f>
        <v/>
      </c>
      <c r="I1857" s="17"/>
      <c r="J1857" s="17"/>
      <c r="P1857" s="17"/>
      <c r="Q1857" s="17"/>
    </row>
    <row r="1858" spans="2:17">
      <c r="B1858" s="15" t="str">
        <f t="shared" si="79"/>
        <v/>
      </c>
      <c r="C1858" s="16" t="str">
        <f>IFERROR(VLOOKUP(DATA!#REF!,DATA!#REF!,1,FALSE),"")</f>
        <v/>
      </c>
      <c r="D1858" s="16" t="str">
        <f>IFERROR(VLOOKUP(C1858,DATA!#REF!,2,FALSE),"")</f>
        <v/>
      </c>
      <c r="I1858" s="17"/>
      <c r="J1858" s="17"/>
      <c r="P1858" s="17"/>
      <c r="Q1858" s="17"/>
    </row>
    <row r="1859" spans="2:17">
      <c r="B1859" s="15" t="str">
        <f t="shared" si="79"/>
        <v/>
      </c>
      <c r="C1859" s="16" t="str">
        <f>IFERROR(VLOOKUP(DATA!#REF!,DATA!#REF!,1,FALSE),"")</f>
        <v/>
      </c>
      <c r="D1859" s="16" t="str">
        <f>IFERROR(VLOOKUP(C1859,DATA!#REF!,2,FALSE),"")</f>
        <v/>
      </c>
      <c r="I1859" s="17"/>
      <c r="J1859" s="17"/>
      <c r="P1859" s="17"/>
      <c r="Q1859" s="17"/>
    </row>
    <row r="1860" spans="2:17">
      <c r="B1860" s="15" t="str">
        <f t="shared" si="79"/>
        <v/>
      </c>
      <c r="C1860" s="16" t="str">
        <f>IFERROR(VLOOKUP(DATA!#REF!,DATA!#REF!,1,FALSE),"")</f>
        <v/>
      </c>
      <c r="D1860" s="16" t="str">
        <f>IFERROR(VLOOKUP(C1860,DATA!#REF!,2,FALSE),"")</f>
        <v/>
      </c>
      <c r="I1860" s="17"/>
      <c r="J1860" s="17"/>
      <c r="P1860" s="17"/>
      <c r="Q1860" s="17"/>
    </row>
    <row r="1861" spans="2:17">
      <c r="B1861" s="15" t="str">
        <f t="shared" si="79"/>
        <v/>
      </c>
      <c r="C1861" s="16" t="str">
        <f>IFERROR(VLOOKUP(DATA!#REF!,DATA!#REF!,1,FALSE),"")</f>
        <v/>
      </c>
      <c r="D1861" s="16" t="str">
        <f>IFERROR(VLOOKUP(C1861,DATA!#REF!,2,FALSE),"")</f>
        <v/>
      </c>
      <c r="I1861" s="17"/>
      <c r="J1861" s="17"/>
      <c r="P1861" s="17"/>
      <c r="Q1861" s="17"/>
    </row>
    <row r="1862" spans="2:17">
      <c r="B1862" s="15" t="str">
        <f t="shared" si="79"/>
        <v/>
      </c>
      <c r="C1862" s="16" t="str">
        <f>IFERROR(VLOOKUP(DATA!#REF!,DATA!#REF!,1,FALSE),"")</f>
        <v/>
      </c>
      <c r="D1862" s="16" t="str">
        <f>IFERROR(VLOOKUP(C1862,DATA!#REF!,2,FALSE),"")</f>
        <v/>
      </c>
      <c r="I1862" s="17"/>
      <c r="J1862" s="17"/>
      <c r="P1862" s="17"/>
      <c r="Q1862" s="17"/>
    </row>
    <row r="1863" spans="2:17">
      <c r="B1863" s="15" t="str">
        <f t="shared" si="79"/>
        <v/>
      </c>
      <c r="C1863" s="16" t="str">
        <f>IFERROR(VLOOKUP(DATA!#REF!,DATA!#REF!,1,FALSE),"")</f>
        <v/>
      </c>
      <c r="D1863" s="16" t="str">
        <f>IFERROR(VLOOKUP(C1863,DATA!#REF!,2,FALSE),"")</f>
        <v/>
      </c>
      <c r="I1863" s="17"/>
      <c r="J1863" s="17"/>
      <c r="P1863" s="17"/>
      <c r="Q1863" s="17"/>
    </row>
    <row r="1864" spans="2:17">
      <c r="B1864" s="15" t="str">
        <f t="shared" si="79"/>
        <v/>
      </c>
      <c r="C1864" s="16" t="str">
        <f>IFERROR(VLOOKUP(DATA!#REF!,DATA!#REF!,1,FALSE),"")</f>
        <v/>
      </c>
      <c r="D1864" s="16" t="str">
        <f>IFERROR(VLOOKUP(C1864,DATA!#REF!,2,FALSE),"")</f>
        <v/>
      </c>
      <c r="I1864" s="17"/>
      <c r="J1864" s="17"/>
      <c r="P1864" s="17"/>
      <c r="Q1864" s="17"/>
    </row>
    <row r="1865" spans="2:17">
      <c r="B1865" s="15" t="str">
        <f t="shared" si="79"/>
        <v/>
      </c>
      <c r="C1865" s="16" t="str">
        <f>IFERROR(VLOOKUP(DATA!#REF!,DATA!#REF!,1,FALSE),"")</f>
        <v/>
      </c>
      <c r="D1865" s="16" t="str">
        <f>IFERROR(VLOOKUP(C1865,DATA!#REF!,2,FALSE),"")</f>
        <v/>
      </c>
      <c r="I1865" s="17"/>
      <c r="J1865" s="17"/>
      <c r="P1865" s="17"/>
      <c r="Q1865" s="17"/>
    </row>
    <row r="1866" spans="2:17">
      <c r="B1866" s="15" t="str">
        <f t="shared" si="79"/>
        <v/>
      </c>
      <c r="C1866" s="16" t="str">
        <f>IFERROR(VLOOKUP(DATA!#REF!,DATA!#REF!,1,FALSE),"")</f>
        <v/>
      </c>
      <c r="D1866" s="16" t="str">
        <f>IFERROR(VLOOKUP(C1866,DATA!#REF!,2,FALSE),"")</f>
        <v/>
      </c>
      <c r="I1866" s="17"/>
      <c r="J1866" s="17"/>
      <c r="P1866" s="17"/>
      <c r="Q1866" s="17"/>
    </row>
    <row r="1867" spans="2:17">
      <c r="B1867" s="15" t="str">
        <f t="shared" si="79"/>
        <v/>
      </c>
      <c r="C1867" s="16" t="str">
        <f>IFERROR(VLOOKUP(DATA!#REF!,DATA!#REF!,1,FALSE),"")</f>
        <v/>
      </c>
      <c r="D1867" s="16" t="str">
        <f>IFERROR(VLOOKUP(C1867,DATA!#REF!,2,FALSE),"")</f>
        <v/>
      </c>
      <c r="I1867" s="17"/>
      <c r="J1867" s="17"/>
      <c r="P1867" s="17"/>
      <c r="Q1867" s="17"/>
    </row>
    <row r="1868" spans="2:17">
      <c r="B1868" s="15" t="str">
        <f t="shared" si="79"/>
        <v/>
      </c>
      <c r="C1868" s="16" t="str">
        <f>IFERROR(VLOOKUP(DATA!#REF!,DATA!#REF!,1,FALSE),"")</f>
        <v/>
      </c>
      <c r="D1868" s="16" t="str">
        <f>IFERROR(VLOOKUP(C1868,DATA!#REF!,2,FALSE),"")</f>
        <v/>
      </c>
      <c r="I1868" s="17"/>
      <c r="J1868" s="17"/>
      <c r="P1868" s="17"/>
      <c r="Q1868" s="17"/>
    </row>
    <row r="1869" spans="2:17">
      <c r="B1869" s="15" t="str">
        <f t="shared" si="79"/>
        <v/>
      </c>
      <c r="C1869" s="16" t="str">
        <f>IFERROR(VLOOKUP(DATA!#REF!,DATA!#REF!,1,FALSE),"")</f>
        <v/>
      </c>
      <c r="D1869" s="16" t="str">
        <f>IFERROR(VLOOKUP(C1869,DATA!#REF!,2,FALSE),"")</f>
        <v/>
      </c>
      <c r="I1869" s="17"/>
      <c r="J1869" s="17"/>
      <c r="P1869" s="17"/>
      <c r="Q1869" s="17"/>
    </row>
    <row r="1870" spans="2:17">
      <c r="B1870" s="15" t="str">
        <f t="shared" si="79"/>
        <v/>
      </c>
      <c r="C1870" s="16" t="str">
        <f>IFERROR(VLOOKUP(DATA!#REF!,DATA!#REF!,1,FALSE),"")</f>
        <v/>
      </c>
      <c r="D1870" s="16" t="str">
        <f>IFERROR(VLOOKUP(C1870,DATA!#REF!,2,FALSE),"")</f>
        <v/>
      </c>
      <c r="I1870" s="17"/>
      <c r="J1870" s="17"/>
      <c r="P1870" s="17"/>
      <c r="Q1870" s="17"/>
    </row>
    <row r="1871" spans="2:17">
      <c r="B1871" s="15" t="str">
        <f t="shared" si="79"/>
        <v/>
      </c>
      <c r="C1871" s="16" t="str">
        <f>IFERROR(VLOOKUP(DATA!#REF!,DATA!#REF!,1,FALSE),"")</f>
        <v/>
      </c>
      <c r="D1871" s="16" t="str">
        <f>IFERROR(VLOOKUP(C1871,DATA!#REF!,2,FALSE),"")</f>
        <v/>
      </c>
      <c r="I1871" s="17"/>
      <c r="J1871" s="17"/>
      <c r="P1871" s="17"/>
      <c r="Q1871" s="17"/>
    </row>
    <row r="1872" spans="2:17">
      <c r="B1872" s="15" t="str">
        <f t="shared" si="79"/>
        <v/>
      </c>
      <c r="C1872" s="16" t="str">
        <f>IFERROR(VLOOKUP(DATA!#REF!,DATA!#REF!,1,FALSE),"")</f>
        <v/>
      </c>
      <c r="D1872" s="16" t="str">
        <f>IFERROR(VLOOKUP(C1872,DATA!#REF!,2,FALSE),"")</f>
        <v/>
      </c>
      <c r="I1872" s="17"/>
      <c r="J1872" s="17"/>
      <c r="P1872" s="17"/>
      <c r="Q1872" s="17"/>
    </row>
    <row r="1873" spans="2:17">
      <c r="B1873" s="15" t="str">
        <f t="shared" si="79"/>
        <v/>
      </c>
      <c r="C1873" s="16" t="str">
        <f>IFERROR(VLOOKUP(DATA!#REF!,DATA!#REF!,1,FALSE),"")</f>
        <v/>
      </c>
      <c r="D1873" s="16" t="str">
        <f>IFERROR(VLOOKUP(C1873,DATA!#REF!,2,FALSE),"")</f>
        <v/>
      </c>
      <c r="I1873" s="17"/>
      <c r="J1873" s="17"/>
      <c r="P1873" s="17"/>
      <c r="Q1873" s="17"/>
    </row>
    <row r="1874" spans="2:17">
      <c r="B1874" s="15" t="str">
        <f t="shared" si="79"/>
        <v/>
      </c>
      <c r="C1874" s="16" t="str">
        <f>IFERROR(VLOOKUP(DATA!#REF!,DATA!#REF!,1,FALSE),"")</f>
        <v/>
      </c>
      <c r="D1874" s="16" t="str">
        <f>IFERROR(VLOOKUP(C1874,DATA!#REF!,2,FALSE),"")</f>
        <v/>
      </c>
      <c r="I1874" s="17"/>
      <c r="J1874" s="17"/>
      <c r="P1874" s="17"/>
      <c r="Q1874" s="17"/>
    </row>
    <row r="1875" spans="2:17">
      <c r="B1875" s="15" t="str">
        <f t="shared" si="79"/>
        <v/>
      </c>
      <c r="C1875" s="16" t="str">
        <f>IFERROR(VLOOKUP(DATA!#REF!,DATA!#REF!,1,FALSE),"")</f>
        <v/>
      </c>
      <c r="D1875" s="16" t="str">
        <f>IFERROR(VLOOKUP(C1875,DATA!#REF!,2,FALSE),"")</f>
        <v/>
      </c>
      <c r="I1875" s="17"/>
      <c r="J1875" s="17"/>
      <c r="P1875" s="17"/>
      <c r="Q1875" s="17"/>
    </row>
    <row r="1876" spans="2:17">
      <c r="B1876" s="15" t="str">
        <f t="shared" si="79"/>
        <v/>
      </c>
      <c r="C1876" s="16" t="str">
        <f>IFERROR(VLOOKUP(DATA!#REF!,DATA!#REF!,1,FALSE),"")</f>
        <v/>
      </c>
      <c r="D1876" s="16" t="str">
        <f>IFERROR(VLOOKUP(C1876,DATA!#REF!,2,FALSE),"")</f>
        <v/>
      </c>
      <c r="I1876" s="17"/>
      <c r="J1876" s="17"/>
      <c r="P1876" s="17"/>
      <c r="Q1876" s="17"/>
    </row>
    <row r="1877" spans="2:17">
      <c r="B1877" s="15" t="str">
        <f t="shared" si="79"/>
        <v/>
      </c>
      <c r="C1877" s="16" t="str">
        <f>IFERROR(VLOOKUP(DATA!#REF!,DATA!#REF!,1,FALSE),"")</f>
        <v/>
      </c>
      <c r="D1877" s="16" t="str">
        <f>IFERROR(VLOOKUP(C1877,DATA!#REF!,2,FALSE),"")</f>
        <v/>
      </c>
      <c r="I1877" s="17"/>
      <c r="J1877" s="17"/>
      <c r="P1877" s="17"/>
      <c r="Q1877" s="17"/>
    </row>
    <row r="1878" spans="2:17">
      <c r="B1878" s="15" t="str">
        <f t="shared" si="79"/>
        <v/>
      </c>
      <c r="C1878" s="16" t="str">
        <f>IFERROR(VLOOKUP(DATA!#REF!,DATA!#REF!,1,FALSE),"")</f>
        <v/>
      </c>
      <c r="D1878" s="16" t="str">
        <f>IFERROR(VLOOKUP(C1878,DATA!#REF!,2,FALSE),"")</f>
        <v/>
      </c>
      <c r="I1878" s="17"/>
      <c r="J1878" s="17"/>
      <c r="P1878" s="17"/>
      <c r="Q1878" s="17"/>
    </row>
    <row r="1879" spans="2:17">
      <c r="B1879" s="15" t="str">
        <f t="shared" si="79"/>
        <v/>
      </c>
      <c r="C1879" s="16" t="str">
        <f>IFERROR(VLOOKUP(DATA!#REF!,DATA!#REF!,1,FALSE),"")</f>
        <v/>
      </c>
      <c r="D1879" s="16" t="str">
        <f>IFERROR(VLOOKUP(C1879,DATA!#REF!,2,FALSE),"")</f>
        <v/>
      </c>
      <c r="I1879" s="17"/>
      <c r="J1879" s="17"/>
      <c r="P1879" s="17"/>
      <c r="Q1879" s="17"/>
    </row>
    <row r="1880" spans="2:17">
      <c r="B1880" s="15" t="str">
        <f t="shared" si="79"/>
        <v/>
      </c>
      <c r="C1880" s="16" t="str">
        <f>IFERROR(VLOOKUP(DATA!#REF!,DATA!#REF!,1,FALSE),"")</f>
        <v/>
      </c>
      <c r="D1880" s="16" t="str">
        <f>IFERROR(VLOOKUP(C1880,DATA!#REF!,2,FALSE),"")</f>
        <v/>
      </c>
      <c r="I1880" s="17"/>
      <c r="J1880" s="17"/>
      <c r="P1880" s="17"/>
      <c r="Q1880" s="17"/>
    </row>
    <row r="1881" spans="2:17">
      <c r="B1881" s="15" t="str">
        <f t="shared" si="79"/>
        <v/>
      </c>
      <c r="C1881" s="16" t="str">
        <f>IFERROR(VLOOKUP(DATA!#REF!,DATA!#REF!,1,FALSE),"")</f>
        <v/>
      </c>
      <c r="D1881" s="16" t="str">
        <f>IFERROR(VLOOKUP(C1881,DATA!#REF!,2,FALSE),"")</f>
        <v/>
      </c>
      <c r="I1881" s="17"/>
      <c r="J1881" s="17"/>
      <c r="P1881" s="17"/>
      <c r="Q1881" s="17"/>
    </row>
    <row r="1882" spans="2:17">
      <c r="B1882" s="15" t="str">
        <f t="shared" si="79"/>
        <v/>
      </c>
      <c r="C1882" s="16" t="str">
        <f>IFERROR(VLOOKUP(DATA!#REF!,DATA!#REF!,1,FALSE),"")</f>
        <v/>
      </c>
      <c r="D1882" s="16" t="str">
        <f>IFERROR(VLOOKUP(C1882,DATA!#REF!,2,FALSE),"")</f>
        <v/>
      </c>
      <c r="I1882" s="17"/>
      <c r="J1882" s="17"/>
      <c r="P1882" s="17"/>
      <c r="Q1882" s="17"/>
    </row>
    <row r="1883" spans="2:17">
      <c r="B1883" s="15" t="str">
        <f t="shared" si="79"/>
        <v/>
      </c>
      <c r="C1883" s="16" t="str">
        <f>IFERROR(VLOOKUP(DATA!#REF!,DATA!#REF!,1,FALSE),"")</f>
        <v/>
      </c>
      <c r="D1883" s="16" t="str">
        <f>IFERROR(VLOOKUP(C1883,DATA!#REF!,2,FALSE),"")</f>
        <v/>
      </c>
      <c r="I1883" s="17"/>
      <c r="J1883" s="17"/>
      <c r="P1883" s="17"/>
      <c r="Q1883" s="17"/>
    </row>
    <row r="1884" spans="2:17">
      <c r="B1884" s="15" t="str">
        <f t="shared" si="79"/>
        <v/>
      </c>
      <c r="C1884" s="16" t="str">
        <f>IFERROR(VLOOKUP(DATA!#REF!,DATA!#REF!,1,FALSE),"")</f>
        <v/>
      </c>
      <c r="D1884" s="16" t="str">
        <f>IFERROR(VLOOKUP(C1884,DATA!#REF!,2,FALSE),"")</f>
        <v/>
      </c>
      <c r="I1884" s="17"/>
      <c r="J1884" s="17"/>
      <c r="P1884" s="17"/>
      <c r="Q1884" s="17"/>
    </row>
    <row r="1885" spans="2:17">
      <c r="B1885" s="15" t="str">
        <f t="shared" si="79"/>
        <v/>
      </c>
      <c r="C1885" s="16" t="str">
        <f>IFERROR(VLOOKUP(DATA!#REF!,DATA!#REF!,1,FALSE),"")</f>
        <v/>
      </c>
      <c r="D1885" s="16" t="str">
        <f>IFERROR(VLOOKUP(C1885,DATA!#REF!,2,FALSE),"")</f>
        <v/>
      </c>
      <c r="I1885" s="17"/>
      <c r="J1885" s="17"/>
      <c r="P1885" s="17"/>
      <c r="Q1885" s="17"/>
    </row>
    <row r="1886" spans="2:17">
      <c r="B1886" s="15" t="str">
        <f t="shared" si="79"/>
        <v/>
      </c>
      <c r="C1886" s="16" t="str">
        <f>IFERROR(VLOOKUP(DATA!#REF!,DATA!#REF!,1,FALSE),"")</f>
        <v/>
      </c>
      <c r="D1886" s="16" t="str">
        <f>IFERROR(VLOOKUP(C1886,DATA!#REF!,2,FALSE),"")</f>
        <v/>
      </c>
      <c r="I1886" s="17"/>
      <c r="J1886" s="17"/>
      <c r="P1886" s="17"/>
      <c r="Q1886" s="17"/>
    </row>
    <row r="1887" spans="2:17">
      <c r="B1887" s="15" t="str">
        <f t="shared" si="79"/>
        <v/>
      </c>
      <c r="C1887" s="16" t="str">
        <f>IFERROR(VLOOKUP(DATA!#REF!,DATA!#REF!,1,FALSE),"")</f>
        <v/>
      </c>
      <c r="D1887" s="16" t="str">
        <f>IFERROR(VLOOKUP(C1887,DATA!#REF!,2,FALSE),"")</f>
        <v/>
      </c>
      <c r="I1887" s="17"/>
      <c r="J1887" s="17"/>
      <c r="P1887" s="17"/>
      <c r="Q1887" s="17"/>
    </row>
    <row r="1888" spans="2:17">
      <c r="B1888" s="15" t="str">
        <f t="shared" si="79"/>
        <v/>
      </c>
      <c r="C1888" s="16" t="str">
        <f>IFERROR(VLOOKUP(DATA!#REF!,DATA!#REF!,1,FALSE),"")</f>
        <v/>
      </c>
      <c r="D1888" s="16" t="str">
        <f>IFERROR(VLOOKUP(C1888,DATA!#REF!,2,FALSE),"")</f>
        <v/>
      </c>
      <c r="I1888" s="17"/>
      <c r="J1888" s="17"/>
      <c r="P1888" s="17"/>
      <c r="Q1888" s="17"/>
    </row>
    <row r="1889" spans="2:17">
      <c r="B1889" s="15" t="str">
        <f t="shared" si="79"/>
        <v/>
      </c>
      <c r="C1889" s="16" t="str">
        <f>IFERROR(VLOOKUP(DATA!#REF!,DATA!#REF!,1,FALSE),"")</f>
        <v/>
      </c>
      <c r="D1889" s="16" t="str">
        <f>IFERROR(VLOOKUP(C1889,DATA!#REF!,2,FALSE),"")</f>
        <v/>
      </c>
      <c r="I1889" s="17"/>
      <c r="J1889" s="17"/>
      <c r="P1889" s="17"/>
      <c r="Q1889" s="17"/>
    </row>
    <row r="1890" spans="2:17">
      <c r="B1890" s="15" t="str">
        <f t="shared" si="79"/>
        <v/>
      </c>
      <c r="C1890" s="16" t="str">
        <f>IFERROR(VLOOKUP(DATA!#REF!,DATA!#REF!,1,FALSE),"")</f>
        <v/>
      </c>
      <c r="D1890" s="16" t="str">
        <f>IFERROR(VLOOKUP(C1890,DATA!#REF!,2,FALSE),"")</f>
        <v/>
      </c>
      <c r="I1890" s="17"/>
      <c r="J1890" s="17"/>
      <c r="P1890" s="17"/>
      <c r="Q1890" s="17"/>
    </row>
    <row r="1891" spans="2:17">
      <c r="B1891" s="15" t="str">
        <f t="shared" si="79"/>
        <v/>
      </c>
      <c r="C1891" s="16" t="str">
        <f>IFERROR(VLOOKUP(DATA!#REF!,DATA!#REF!,1,FALSE),"")</f>
        <v/>
      </c>
      <c r="D1891" s="16" t="str">
        <f>IFERROR(VLOOKUP(C1891,DATA!#REF!,2,FALSE),"")</f>
        <v/>
      </c>
      <c r="I1891" s="17"/>
      <c r="J1891" s="17"/>
      <c r="P1891" s="17"/>
      <c r="Q1891" s="17"/>
    </row>
    <row r="1892" spans="2:17">
      <c r="B1892" s="15" t="str">
        <f t="shared" si="79"/>
        <v/>
      </c>
      <c r="C1892" s="16" t="str">
        <f>IFERROR(VLOOKUP(DATA!#REF!,DATA!#REF!,1,FALSE),"")</f>
        <v/>
      </c>
      <c r="D1892" s="16" t="str">
        <f>IFERROR(VLOOKUP(C1892,DATA!#REF!,2,FALSE),"")</f>
        <v/>
      </c>
      <c r="I1892" s="17"/>
      <c r="J1892" s="17"/>
      <c r="P1892" s="17"/>
      <c r="Q1892" s="17"/>
    </row>
    <row r="1893" spans="2:17">
      <c r="B1893" s="15" t="str">
        <f t="shared" si="79"/>
        <v/>
      </c>
      <c r="C1893" s="16" t="str">
        <f>IFERROR(VLOOKUP(DATA!#REF!,DATA!#REF!,1,FALSE),"")</f>
        <v/>
      </c>
      <c r="D1893" s="16" t="str">
        <f>IFERROR(VLOOKUP(C1893,DATA!#REF!,2,FALSE),"")</f>
        <v/>
      </c>
      <c r="I1893" s="17"/>
      <c r="J1893" s="17"/>
      <c r="P1893" s="17"/>
      <c r="Q1893" s="17"/>
    </row>
    <row r="1894" spans="2:17">
      <c r="B1894" s="15" t="str">
        <f t="shared" si="79"/>
        <v/>
      </c>
      <c r="C1894" s="16" t="str">
        <f>IFERROR(VLOOKUP(DATA!#REF!,DATA!#REF!,1,FALSE),"")</f>
        <v/>
      </c>
      <c r="D1894" s="16" t="str">
        <f>IFERROR(VLOOKUP(C1894,DATA!#REF!,2,FALSE),"")</f>
        <v/>
      </c>
      <c r="I1894" s="17"/>
      <c r="J1894" s="17"/>
      <c r="P1894" s="17"/>
      <c r="Q1894" s="17"/>
    </row>
    <row r="1895" spans="2:17">
      <c r="B1895" s="15" t="str">
        <f t="shared" si="79"/>
        <v/>
      </c>
      <c r="C1895" s="16" t="str">
        <f>IFERROR(VLOOKUP(DATA!#REF!,DATA!#REF!,1,FALSE),"")</f>
        <v/>
      </c>
      <c r="D1895" s="16" t="str">
        <f>IFERROR(VLOOKUP(C1895,DATA!#REF!,2,FALSE),"")</f>
        <v/>
      </c>
      <c r="I1895" s="17"/>
      <c r="J1895" s="17"/>
      <c r="P1895" s="17"/>
      <c r="Q1895" s="17"/>
    </row>
    <row r="1896" spans="2:17">
      <c r="B1896" s="15" t="str">
        <f t="shared" si="79"/>
        <v/>
      </c>
      <c r="C1896" s="16" t="str">
        <f>IFERROR(VLOOKUP(DATA!#REF!,DATA!#REF!,1,FALSE),"")</f>
        <v/>
      </c>
      <c r="D1896" s="16" t="str">
        <f>IFERROR(VLOOKUP(C1896,DATA!#REF!,2,FALSE),"")</f>
        <v/>
      </c>
      <c r="I1896" s="17"/>
      <c r="J1896" s="17"/>
      <c r="P1896" s="17"/>
      <c r="Q1896" s="17"/>
    </row>
    <row r="1897" spans="2:17">
      <c r="B1897" s="15" t="str">
        <f t="shared" si="79"/>
        <v/>
      </c>
      <c r="C1897" s="16" t="str">
        <f>IFERROR(VLOOKUP(DATA!#REF!,DATA!#REF!,1,FALSE),"")</f>
        <v/>
      </c>
      <c r="D1897" s="16" t="str">
        <f>IFERROR(VLOOKUP(C1897,DATA!#REF!,2,FALSE),"")</f>
        <v/>
      </c>
      <c r="I1897" s="17"/>
      <c r="J1897" s="17"/>
      <c r="P1897" s="17"/>
      <c r="Q1897" s="17"/>
    </row>
    <row r="1898" spans="2:17">
      <c r="B1898" s="15" t="str">
        <f t="shared" si="79"/>
        <v/>
      </c>
      <c r="C1898" s="16" t="str">
        <f>IFERROR(VLOOKUP(DATA!#REF!,DATA!#REF!,1,FALSE),"")</f>
        <v/>
      </c>
      <c r="D1898" s="16" t="str">
        <f>IFERROR(VLOOKUP(C1898,DATA!#REF!,2,FALSE),"")</f>
        <v/>
      </c>
      <c r="I1898" s="17"/>
      <c r="J1898" s="17"/>
      <c r="P1898" s="17"/>
      <c r="Q1898" s="17"/>
    </row>
    <row r="1899" spans="2:17">
      <c r="B1899" s="15" t="str">
        <f t="shared" si="79"/>
        <v/>
      </c>
      <c r="C1899" s="16" t="str">
        <f>IFERROR(VLOOKUP(DATA!#REF!,DATA!#REF!,1,FALSE),"")</f>
        <v/>
      </c>
      <c r="D1899" s="16" t="str">
        <f>IFERROR(VLOOKUP(C1899,DATA!#REF!,2,FALSE),"")</f>
        <v/>
      </c>
      <c r="I1899" s="17"/>
      <c r="J1899" s="17"/>
      <c r="P1899" s="17"/>
      <c r="Q1899" s="17"/>
    </row>
    <row r="1900" spans="2:17">
      <c r="B1900" s="15" t="str">
        <f t="shared" si="79"/>
        <v/>
      </c>
      <c r="C1900" s="16" t="str">
        <f>IFERROR(VLOOKUP(DATA!#REF!,DATA!#REF!,1,FALSE),"")</f>
        <v/>
      </c>
      <c r="D1900" s="16" t="str">
        <f>IFERROR(VLOOKUP(C1900,DATA!#REF!,2,FALSE),"")</f>
        <v/>
      </c>
      <c r="I1900" s="17"/>
      <c r="J1900" s="17"/>
      <c r="P1900" s="17"/>
      <c r="Q1900" s="17"/>
    </row>
    <row r="1901" spans="2:17">
      <c r="B1901" s="15" t="str">
        <f t="shared" si="79"/>
        <v/>
      </c>
      <c r="C1901" s="16" t="str">
        <f>IFERROR(VLOOKUP(DATA!#REF!,DATA!#REF!,1,FALSE),"")</f>
        <v/>
      </c>
      <c r="D1901" s="16" t="str">
        <f>IFERROR(VLOOKUP(C1901,DATA!#REF!,2,FALSE),"")</f>
        <v/>
      </c>
      <c r="I1901" s="17"/>
      <c r="J1901" s="17"/>
      <c r="P1901" s="17"/>
      <c r="Q1901" s="17"/>
    </row>
    <row r="1902" spans="2:17">
      <c r="B1902" s="15" t="str">
        <f t="shared" si="79"/>
        <v/>
      </c>
      <c r="C1902" s="16" t="str">
        <f>IFERROR(VLOOKUP(DATA!#REF!,DATA!#REF!,1,FALSE),"")</f>
        <v/>
      </c>
      <c r="D1902" s="16" t="str">
        <f>IFERROR(VLOOKUP(C1902,DATA!#REF!,2,FALSE),"")</f>
        <v/>
      </c>
      <c r="I1902" s="17"/>
      <c r="J1902" s="17"/>
      <c r="P1902" s="17"/>
      <c r="Q1902" s="17"/>
    </row>
    <row r="1903" spans="2:17">
      <c r="B1903" s="15" t="str">
        <f t="shared" si="79"/>
        <v/>
      </c>
      <c r="C1903" s="16" t="str">
        <f>IFERROR(VLOOKUP(DATA!#REF!,DATA!#REF!,1,FALSE),"")</f>
        <v/>
      </c>
      <c r="D1903" s="16" t="str">
        <f>IFERROR(VLOOKUP(C1903,DATA!#REF!,2,FALSE),"")</f>
        <v/>
      </c>
      <c r="I1903" s="17"/>
      <c r="J1903" s="17"/>
      <c r="P1903" s="17"/>
      <c r="Q1903" s="17"/>
    </row>
    <row r="1904" spans="2:17">
      <c r="B1904" s="15" t="str">
        <f t="shared" si="79"/>
        <v/>
      </c>
      <c r="C1904" s="16" t="str">
        <f>IFERROR(VLOOKUP(DATA!#REF!,DATA!#REF!,1,FALSE),"")</f>
        <v/>
      </c>
      <c r="D1904" s="16" t="str">
        <f>IFERROR(VLOOKUP(C1904,DATA!#REF!,2,FALSE),"")</f>
        <v/>
      </c>
      <c r="I1904" s="17"/>
      <c r="J1904" s="17"/>
      <c r="P1904" s="17"/>
      <c r="Q1904" s="17"/>
    </row>
    <row r="1905" spans="2:17">
      <c r="B1905" s="15" t="str">
        <f t="shared" si="79"/>
        <v/>
      </c>
      <c r="C1905" s="16" t="str">
        <f>IFERROR(VLOOKUP(DATA!#REF!,DATA!#REF!,1,FALSE),"")</f>
        <v/>
      </c>
      <c r="D1905" s="16" t="str">
        <f>IFERROR(VLOOKUP(C1905,DATA!#REF!,2,FALSE),"")</f>
        <v/>
      </c>
      <c r="I1905" s="17"/>
      <c r="J1905" s="17"/>
      <c r="P1905" s="17"/>
      <c r="Q1905" s="17"/>
    </row>
    <row r="1906" spans="2:17">
      <c r="B1906" s="15" t="str">
        <f t="shared" si="79"/>
        <v/>
      </c>
      <c r="C1906" s="16" t="str">
        <f>IFERROR(VLOOKUP(DATA!#REF!,DATA!#REF!,1,FALSE),"")</f>
        <v/>
      </c>
      <c r="D1906" s="16" t="str">
        <f>IFERROR(VLOOKUP(C1906,DATA!#REF!,2,FALSE),"")</f>
        <v/>
      </c>
      <c r="I1906" s="17"/>
      <c r="J1906" s="17"/>
      <c r="P1906" s="17"/>
      <c r="Q1906" s="17"/>
    </row>
    <row r="1907" spans="2:17">
      <c r="B1907" s="15" t="str">
        <f t="shared" si="79"/>
        <v/>
      </c>
      <c r="C1907" s="16" t="str">
        <f>IFERROR(VLOOKUP(DATA!#REF!,DATA!#REF!,1,FALSE),"")</f>
        <v/>
      </c>
      <c r="D1907" s="16" t="str">
        <f>IFERROR(VLOOKUP(C1907,DATA!#REF!,2,FALSE),"")</f>
        <v/>
      </c>
      <c r="I1907" s="17"/>
      <c r="J1907" s="17"/>
      <c r="P1907" s="17"/>
      <c r="Q1907" s="17"/>
    </row>
    <row r="1908" spans="2:17">
      <c r="B1908" s="15" t="str">
        <f t="shared" si="79"/>
        <v/>
      </c>
      <c r="C1908" s="16" t="str">
        <f>IFERROR(VLOOKUP(DATA!#REF!,DATA!#REF!,1,FALSE),"")</f>
        <v/>
      </c>
      <c r="D1908" s="16" t="str">
        <f>IFERROR(VLOOKUP(C1908,DATA!#REF!,2,FALSE),"")</f>
        <v/>
      </c>
      <c r="I1908" s="17"/>
      <c r="J1908" s="17"/>
      <c r="P1908" s="17"/>
      <c r="Q1908" s="17"/>
    </row>
    <row r="1909" spans="2:17">
      <c r="B1909" s="15" t="str">
        <f t="shared" si="79"/>
        <v/>
      </c>
      <c r="C1909" s="16" t="str">
        <f>IFERROR(VLOOKUP(DATA!#REF!,DATA!#REF!,1,FALSE),"")</f>
        <v/>
      </c>
      <c r="D1909" s="16" t="str">
        <f>IFERROR(VLOOKUP(C1909,DATA!#REF!,2,FALSE),"")</f>
        <v/>
      </c>
      <c r="I1909" s="17"/>
      <c r="J1909" s="17"/>
      <c r="P1909" s="17"/>
      <c r="Q1909" s="17"/>
    </row>
    <row r="1910" spans="2:17">
      <c r="B1910" s="15" t="str">
        <f t="shared" si="79"/>
        <v/>
      </c>
      <c r="C1910" s="16" t="str">
        <f>IFERROR(VLOOKUP(DATA!#REF!,DATA!#REF!,1,FALSE),"")</f>
        <v/>
      </c>
      <c r="D1910" s="16" t="str">
        <f>IFERROR(VLOOKUP(C1910,DATA!#REF!,2,FALSE),"")</f>
        <v/>
      </c>
      <c r="I1910" s="17"/>
      <c r="J1910" s="17"/>
      <c r="P1910" s="17"/>
      <c r="Q1910" s="17"/>
    </row>
    <row r="1911" spans="2:17">
      <c r="B1911" s="15" t="str">
        <f t="shared" ref="B1911:B1974" si="80">+IF(C1911="","",ROW()-5)</f>
        <v/>
      </c>
      <c r="C1911" s="16" t="str">
        <f>IFERROR(VLOOKUP(DATA!#REF!,DATA!#REF!,1,FALSE),"")</f>
        <v/>
      </c>
      <c r="D1911" s="16" t="str">
        <f>IFERROR(VLOOKUP(C1911,DATA!#REF!,2,FALSE),"")</f>
        <v/>
      </c>
      <c r="I1911" s="17"/>
      <c r="J1911" s="17"/>
      <c r="P1911" s="17"/>
      <c r="Q1911" s="17"/>
    </row>
    <row r="1912" spans="2:17">
      <c r="B1912" s="15" t="str">
        <f t="shared" si="80"/>
        <v/>
      </c>
      <c r="C1912" s="16" t="str">
        <f>IFERROR(VLOOKUP(DATA!#REF!,DATA!#REF!,1,FALSE),"")</f>
        <v/>
      </c>
      <c r="D1912" s="16" t="str">
        <f>IFERROR(VLOOKUP(C1912,DATA!#REF!,2,FALSE),"")</f>
        <v/>
      </c>
      <c r="I1912" s="17"/>
      <c r="J1912" s="17"/>
      <c r="P1912" s="17"/>
      <c r="Q1912" s="17"/>
    </row>
    <row r="1913" spans="2:17">
      <c r="B1913" s="15" t="str">
        <f t="shared" si="80"/>
        <v/>
      </c>
      <c r="C1913" s="16" t="str">
        <f>IFERROR(VLOOKUP(DATA!#REF!,DATA!#REF!,1,FALSE),"")</f>
        <v/>
      </c>
      <c r="D1913" s="16" t="str">
        <f>IFERROR(VLOOKUP(C1913,DATA!#REF!,2,FALSE),"")</f>
        <v/>
      </c>
      <c r="I1913" s="17"/>
      <c r="J1913" s="17"/>
      <c r="P1913" s="17"/>
      <c r="Q1913" s="17"/>
    </row>
    <row r="1914" spans="2:17">
      <c r="B1914" s="15" t="str">
        <f t="shared" si="80"/>
        <v/>
      </c>
      <c r="C1914" s="16" t="str">
        <f>IFERROR(VLOOKUP(DATA!#REF!,DATA!#REF!,1,FALSE),"")</f>
        <v/>
      </c>
      <c r="D1914" s="16" t="str">
        <f>IFERROR(VLOOKUP(C1914,DATA!#REF!,2,FALSE),"")</f>
        <v/>
      </c>
      <c r="I1914" s="17"/>
      <c r="J1914" s="17"/>
      <c r="P1914" s="17"/>
      <c r="Q1914" s="17"/>
    </row>
    <row r="1915" spans="2:17">
      <c r="B1915" s="15" t="str">
        <f t="shared" si="80"/>
        <v/>
      </c>
      <c r="C1915" s="16" t="str">
        <f>IFERROR(VLOOKUP(DATA!#REF!,DATA!#REF!,1,FALSE),"")</f>
        <v/>
      </c>
      <c r="D1915" s="16" t="str">
        <f>IFERROR(VLOOKUP(C1915,DATA!#REF!,2,FALSE),"")</f>
        <v/>
      </c>
      <c r="I1915" s="17"/>
      <c r="J1915" s="17"/>
      <c r="P1915" s="17"/>
      <c r="Q1915" s="17"/>
    </row>
    <row r="1916" spans="2:17">
      <c r="B1916" s="15" t="str">
        <f t="shared" si="80"/>
        <v/>
      </c>
      <c r="C1916" s="16" t="str">
        <f>IFERROR(VLOOKUP(DATA!#REF!,DATA!#REF!,1,FALSE),"")</f>
        <v/>
      </c>
      <c r="D1916" s="16" t="str">
        <f>IFERROR(VLOOKUP(C1916,DATA!#REF!,2,FALSE),"")</f>
        <v/>
      </c>
      <c r="I1916" s="17"/>
      <c r="J1916" s="17"/>
      <c r="P1916" s="17"/>
      <c r="Q1916" s="17"/>
    </row>
    <row r="1917" spans="2:17">
      <c r="B1917" s="15" t="str">
        <f t="shared" si="80"/>
        <v/>
      </c>
      <c r="C1917" s="16" t="str">
        <f>IFERROR(VLOOKUP(DATA!#REF!,DATA!#REF!,1,FALSE),"")</f>
        <v/>
      </c>
      <c r="D1917" s="16" t="str">
        <f>IFERROR(VLOOKUP(C1917,DATA!#REF!,2,FALSE),"")</f>
        <v/>
      </c>
      <c r="I1917" s="17"/>
      <c r="J1917" s="17"/>
      <c r="P1917" s="17"/>
      <c r="Q1917" s="17"/>
    </row>
    <row r="1918" spans="2:17">
      <c r="B1918" s="15" t="str">
        <f t="shared" si="80"/>
        <v/>
      </c>
      <c r="C1918" s="16" t="str">
        <f>IFERROR(VLOOKUP(DATA!#REF!,DATA!#REF!,1,FALSE),"")</f>
        <v/>
      </c>
      <c r="D1918" s="16" t="str">
        <f>IFERROR(VLOOKUP(C1918,DATA!#REF!,2,FALSE),"")</f>
        <v/>
      </c>
      <c r="I1918" s="17"/>
      <c r="J1918" s="17"/>
      <c r="P1918" s="17"/>
      <c r="Q1918" s="17"/>
    </row>
    <row r="1919" spans="2:17">
      <c r="B1919" s="15" t="str">
        <f t="shared" si="80"/>
        <v/>
      </c>
      <c r="C1919" s="16" t="str">
        <f>IFERROR(VLOOKUP(DATA!#REF!,DATA!#REF!,1,FALSE),"")</f>
        <v/>
      </c>
      <c r="D1919" s="16" t="str">
        <f>IFERROR(VLOOKUP(C1919,DATA!#REF!,2,FALSE),"")</f>
        <v/>
      </c>
      <c r="I1919" s="17"/>
      <c r="J1919" s="17"/>
      <c r="P1919" s="17"/>
      <c r="Q1919" s="17"/>
    </row>
    <row r="1920" spans="2:17">
      <c r="B1920" s="15" t="str">
        <f t="shared" si="80"/>
        <v/>
      </c>
      <c r="C1920" s="16" t="str">
        <f>IFERROR(VLOOKUP(DATA!#REF!,DATA!#REF!,1,FALSE),"")</f>
        <v/>
      </c>
      <c r="D1920" s="16" t="str">
        <f>IFERROR(VLOOKUP(C1920,DATA!#REF!,2,FALSE),"")</f>
        <v/>
      </c>
      <c r="I1920" s="17"/>
      <c r="J1920" s="17"/>
      <c r="P1920" s="17"/>
      <c r="Q1920" s="17"/>
    </row>
    <row r="1921" spans="2:17">
      <c r="B1921" s="15" t="str">
        <f t="shared" si="80"/>
        <v/>
      </c>
      <c r="C1921" s="16" t="str">
        <f>IFERROR(VLOOKUP(DATA!#REF!,DATA!#REF!,1,FALSE),"")</f>
        <v/>
      </c>
      <c r="D1921" s="16" t="str">
        <f>IFERROR(VLOOKUP(C1921,DATA!#REF!,2,FALSE),"")</f>
        <v/>
      </c>
      <c r="I1921" s="17"/>
      <c r="J1921" s="17"/>
      <c r="P1921" s="17"/>
      <c r="Q1921" s="17"/>
    </row>
    <row r="1922" spans="2:17">
      <c r="B1922" s="15" t="str">
        <f t="shared" si="80"/>
        <v/>
      </c>
      <c r="C1922" s="16" t="str">
        <f>IFERROR(VLOOKUP(DATA!#REF!,DATA!#REF!,1,FALSE),"")</f>
        <v/>
      </c>
      <c r="D1922" s="16" t="str">
        <f>IFERROR(VLOOKUP(C1922,DATA!#REF!,2,FALSE),"")</f>
        <v/>
      </c>
      <c r="I1922" s="17"/>
      <c r="J1922" s="17"/>
      <c r="P1922" s="17"/>
      <c r="Q1922" s="17"/>
    </row>
    <row r="1923" spans="2:17">
      <c r="B1923" s="15" t="str">
        <f t="shared" si="80"/>
        <v/>
      </c>
      <c r="C1923" s="16" t="str">
        <f>IFERROR(VLOOKUP(DATA!#REF!,DATA!#REF!,1,FALSE),"")</f>
        <v/>
      </c>
      <c r="D1923" s="16" t="str">
        <f>IFERROR(VLOOKUP(C1923,DATA!#REF!,2,FALSE),"")</f>
        <v/>
      </c>
      <c r="I1923" s="17"/>
      <c r="J1923" s="17"/>
      <c r="P1923" s="17"/>
      <c r="Q1923" s="17"/>
    </row>
    <row r="1924" spans="2:17">
      <c r="B1924" s="15" t="str">
        <f t="shared" si="80"/>
        <v/>
      </c>
      <c r="C1924" s="16" t="str">
        <f>IFERROR(VLOOKUP(DATA!#REF!,DATA!#REF!,1,FALSE),"")</f>
        <v/>
      </c>
      <c r="D1924" s="16" t="str">
        <f>IFERROR(VLOOKUP(C1924,DATA!#REF!,2,FALSE),"")</f>
        <v/>
      </c>
      <c r="I1924" s="17"/>
      <c r="J1924" s="17"/>
      <c r="P1924" s="17"/>
      <c r="Q1924" s="17"/>
    </row>
    <row r="1925" spans="2:17">
      <c r="B1925" s="15" t="str">
        <f t="shared" si="80"/>
        <v/>
      </c>
      <c r="C1925" s="16" t="str">
        <f>IFERROR(VLOOKUP(DATA!#REF!,DATA!#REF!,1,FALSE),"")</f>
        <v/>
      </c>
      <c r="D1925" s="16" t="str">
        <f>IFERROR(VLOOKUP(C1925,DATA!#REF!,2,FALSE),"")</f>
        <v/>
      </c>
      <c r="I1925" s="17"/>
      <c r="J1925" s="17"/>
      <c r="P1925" s="17"/>
      <c r="Q1925" s="17"/>
    </row>
    <row r="1926" spans="2:17">
      <c r="B1926" s="15" t="str">
        <f t="shared" si="80"/>
        <v/>
      </c>
      <c r="C1926" s="16" t="str">
        <f>IFERROR(VLOOKUP(DATA!#REF!,DATA!#REF!,1,FALSE),"")</f>
        <v/>
      </c>
      <c r="D1926" s="16" t="str">
        <f>IFERROR(VLOOKUP(C1926,DATA!#REF!,2,FALSE),"")</f>
        <v/>
      </c>
      <c r="I1926" s="17"/>
      <c r="J1926" s="17"/>
      <c r="P1926" s="17"/>
      <c r="Q1926" s="17"/>
    </row>
    <row r="1927" spans="2:17">
      <c r="B1927" s="15" t="str">
        <f t="shared" si="80"/>
        <v/>
      </c>
      <c r="C1927" s="16" t="str">
        <f>IFERROR(VLOOKUP(DATA!#REF!,DATA!#REF!,1,FALSE),"")</f>
        <v/>
      </c>
      <c r="D1927" s="16" t="str">
        <f>IFERROR(VLOOKUP(C1927,DATA!#REF!,2,FALSE),"")</f>
        <v/>
      </c>
      <c r="I1927" s="17"/>
      <c r="J1927" s="17"/>
      <c r="P1927" s="17"/>
      <c r="Q1927" s="17"/>
    </row>
    <row r="1928" spans="2:17">
      <c r="B1928" s="15" t="str">
        <f t="shared" si="80"/>
        <v/>
      </c>
      <c r="C1928" s="16" t="str">
        <f>IFERROR(VLOOKUP(DATA!#REF!,DATA!#REF!,1,FALSE),"")</f>
        <v/>
      </c>
      <c r="D1928" s="16" t="str">
        <f>IFERROR(VLOOKUP(C1928,DATA!#REF!,2,FALSE),"")</f>
        <v/>
      </c>
      <c r="I1928" s="17"/>
      <c r="J1928" s="17"/>
      <c r="P1928" s="17"/>
      <c r="Q1928" s="17"/>
    </row>
    <row r="1929" spans="2:17">
      <c r="B1929" s="15" t="str">
        <f t="shared" si="80"/>
        <v/>
      </c>
      <c r="C1929" s="16" t="str">
        <f>IFERROR(VLOOKUP(DATA!#REF!,DATA!#REF!,1,FALSE),"")</f>
        <v/>
      </c>
      <c r="D1929" s="16" t="str">
        <f>IFERROR(VLOOKUP(C1929,DATA!#REF!,2,FALSE),"")</f>
        <v/>
      </c>
      <c r="I1929" s="17"/>
      <c r="J1929" s="17"/>
      <c r="P1929" s="17"/>
      <c r="Q1929" s="17"/>
    </row>
    <row r="1930" spans="2:17">
      <c r="B1930" s="15" t="str">
        <f t="shared" si="80"/>
        <v/>
      </c>
      <c r="C1930" s="16" t="str">
        <f>IFERROR(VLOOKUP(DATA!#REF!,DATA!#REF!,1,FALSE),"")</f>
        <v/>
      </c>
      <c r="D1930" s="16" t="str">
        <f>IFERROR(VLOOKUP(C1930,DATA!#REF!,2,FALSE),"")</f>
        <v/>
      </c>
      <c r="I1930" s="17"/>
      <c r="J1930" s="17"/>
      <c r="P1930" s="17"/>
      <c r="Q1930" s="17"/>
    </row>
    <row r="1931" spans="2:17">
      <c r="B1931" s="15" t="str">
        <f t="shared" si="80"/>
        <v/>
      </c>
      <c r="C1931" s="16" t="str">
        <f>IFERROR(VLOOKUP(DATA!#REF!,DATA!#REF!,1,FALSE),"")</f>
        <v/>
      </c>
      <c r="D1931" s="16" t="str">
        <f>IFERROR(VLOOKUP(C1931,DATA!#REF!,2,FALSE),"")</f>
        <v/>
      </c>
      <c r="I1931" s="17"/>
      <c r="J1931" s="17"/>
      <c r="P1931" s="17"/>
      <c r="Q1931" s="17"/>
    </row>
    <row r="1932" spans="2:17">
      <c r="B1932" s="15" t="str">
        <f t="shared" si="80"/>
        <v/>
      </c>
      <c r="C1932" s="16" t="str">
        <f>IFERROR(VLOOKUP(DATA!#REF!,DATA!#REF!,1,FALSE),"")</f>
        <v/>
      </c>
      <c r="D1932" s="16" t="str">
        <f>IFERROR(VLOOKUP(C1932,DATA!#REF!,2,FALSE),"")</f>
        <v/>
      </c>
      <c r="I1932" s="17"/>
      <c r="J1932" s="17"/>
      <c r="P1932" s="17"/>
      <c r="Q1932" s="17"/>
    </row>
    <row r="1933" spans="2:17">
      <c r="B1933" s="15" t="str">
        <f t="shared" si="80"/>
        <v/>
      </c>
      <c r="C1933" s="16" t="str">
        <f>IFERROR(VLOOKUP(DATA!#REF!,DATA!#REF!,1,FALSE),"")</f>
        <v/>
      </c>
      <c r="D1933" s="16" t="str">
        <f>IFERROR(VLOOKUP(C1933,DATA!#REF!,2,FALSE),"")</f>
        <v/>
      </c>
      <c r="I1933" s="17"/>
      <c r="J1933" s="17"/>
      <c r="P1933" s="17"/>
      <c r="Q1933" s="17"/>
    </row>
    <row r="1934" spans="2:17">
      <c r="B1934" s="15" t="str">
        <f t="shared" si="80"/>
        <v/>
      </c>
      <c r="C1934" s="16" t="str">
        <f>IFERROR(VLOOKUP(DATA!#REF!,DATA!#REF!,1,FALSE),"")</f>
        <v/>
      </c>
      <c r="D1934" s="16" t="str">
        <f>IFERROR(VLOOKUP(C1934,DATA!#REF!,2,FALSE),"")</f>
        <v/>
      </c>
      <c r="I1934" s="17"/>
      <c r="J1934" s="17"/>
      <c r="P1934" s="17"/>
      <c r="Q1934" s="17"/>
    </row>
    <row r="1935" spans="2:17">
      <c r="B1935" s="15" t="str">
        <f t="shared" si="80"/>
        <v/>
      </c>
      <c r="C1935" s="16" t="str">
        <f>IFERROR(VLOOKUP(DATA!#REF!,DATA!#REF!,1,FALSE),"")</f>
        <v/>
      </c>
      <c r="D1935" s="16" t="str">
        <f>IFERROR(VLOOKUP(C1935,DATA!#REF!,2,FALSE),"")</f>
        <v/>
      </c>
      <c r="I1935" s="17"/>
      <c r="J1935" s="17"/>
      <c r="P1935" s="17"/>
      <c r="Q1935" s="17"/>
    </row>
    <row r="1936" spans="2:17">
      <c r="B1936" s="15" t="str">
        <f t="shared" si="80"/>
        <v/>
      </c>
      <c r="C1936" s="16" t="str">
        <f>IFERROR(VLOOKUP(DATA!#REF!,DATA!#REF!,1,FALSE),"")</f>
        <v/>
      </c>
      <c r="D1936" s="16" t="str">
        <f>IFERROR(VLOOKUP(C1936,DATA!#REF!,2,FALSE),"")</f>
        <v/>
      </c>
      <c r="I1936" s="17"/>
      <c r="J1936" s="17"/>
      <c r="P1936" s="17"/>
      <c r="Q1936" s="17"/>
    </row>
    <row r="1937" spans="2:17">
      <c r="B1937" s="15" t="str">
        <f t="shared" si="80"/>
        <v/>
      </c>
      <c r="C1937" s="16" t="str">
        <f>IFERROR(VLOOKUP(DATA!#REF!,DATA!#REF!,1,FALSE),"")</f>
        <v/>
      </c>
      <c r="D1937" s="16" t="str">
        <f>IFERROR(VLOOKUP(C1937,DATA!#REF!,2,FALSE),"")</f>
        <v/>
      </c>
      <c r="I1937" s="17"/>
      <c r="J1937" s="17"/>
      <c r="P1937" s="17"/>
      <c r="Q1937" s="17"/>
    </row>
    <row r="1938" spans="2:17">
      <c r="B1938" s="15" t="str">
        <f t="shared" si="80"/>
        <v/>
      </c>
      <c r="C1938" s="16" t="str">
        <f>IFERROR(VLOOKUP(DATA!#REF!,DATA!#REF!,1,FALSE),"")</f>
        <v/>
      </c>
      <c r="D1938" s="16" t="str">
        <f>IFERROR(VLOOKUP(C1938,DATA!#REF!,2,FALSE),"")</f>
        <v/>
      </c>
      <c r="I1938" s="17"/>
      <c r="J1938" s="17"/>
      <c r="P1938" s="17"/>
      <c r="Q1938" s="17"/>
    </row>
    <row r="1939" spans="2:17">
      <c r="B1939" s="15" t="str">
        <f t="shared" si="80"/>
        <v/>
      </c>
      <c r="C1939" s="16" t="str">
        <f>IFERROR(VLOOKUP(DATA!#REF!,DATA!#REF!,1,FALSE),"")</f>
        <v/>
      </c>
      <c r="D1939" s="16" t="str">
        <f>IFERROR(VLOOKUP(C1939,DATA!#REF!,2,FALSE),"")</f>
        <v/>
      </c>
      <c r="I1939" s="17"/>
      <c r="J1939" s="17"/>
      <c r="P1939" s="17"/>
      <c r="Q1939" s="17"/>
    </row>
    <row r="1940" spans="2:17">
      <c r="B1940" s="15" t="str">
        <f t="shared" si="80"/>
        <v/>
      </c>
      <c r="C1940" s="16" t="str">
        <f>IFERROR(VLOOKUP(DATA!#REF!,DATA!#REF!,1,FALSE),"")</f>
        <v/>
      </c>
      <c r="D1940" s="16" t="str">
        <f>IFERROR(VLOOKUP(C1940,DATA!#REF!,2,FALSE),"")</f>
        <v/>
      </c>
      <c r="I1940" s="17"/>
      <c r="J1940" s="17"/>
      <c r="P1940" s="17"/>
      <c r="Q1940" s="17"/>
    </row>
    <row r="1941" spans="2:17">
      <c r="B1941" s="15" t="str">
        <f t="shared" si="80"/>
        <v/>
      </c>
      <c r="C1941" s="16" t="str">
        <f>IFERROR(VLOOKUP(DATA!#REF!,DATA!#REF!,1,FALSE),"")</f>
        <v/>
      </c>
      <c r="D1941" s="16" t="str">
        <f>IFERROR(VLOOKUP(C1941,DATA!#REF!,2,FALSE),"")</f>
        <v/>
      </c>
      <c r="I1941" s="17"/>
      <c r="J1941" s="17"/>
      <c r="P1941" s="17"/>
      <c r="Q1941" s="17"/>
    </row>
    <row r="1942" spans="2:17">
      <c r="B1942" s="15" t="str">
        <f t="shared" si="80"/>
        <v/>
      </c>
      <c r="C1942" s="16" t="str">
        <f>IFERROR(VLOOKUP(DATA!#REF!,DATA!#REF!,1,FALSE),"")</f>
        <v/>
      </c>
      <c r="D1942" s="16" t="str">
        <f>IFERROR(VLOOKUP(C1942,DATA!#REF!,2,FALSE),"")</f>
        <v/>
      </c>
      <c r="I1942" s="17"/>
      <c r="J1942" s="17"/>
      <c r="P1942" s="17"/>
      <c r="Q1942" s="17"/>
    </row>
    <row r="1943" spans="2:17">
      <c r="B1943" s="15" t="str">
        <f t="shared" si="80"/>
        <v/>
      </c>
      <c r="C1943" s="16" t="str">
        <f>IFERROR(VLOOKUP(DATA!#REF!,DATA!#REF!,1,FALSE),"")</f>
        <v/>
      </c>
      <c r="D1943" s="16" t="str">
        <f>IFERROR(VLOOKUP(C1943,DATA!#REF!,2,FALSE),"")</f>
        <v/>
      </c>
      <c r="I1943" s="17"/>
      <c r="J1943" s="17"/>
      <c r="P1943" s="17"/>
      <c r="Q1943" s="17"/>
    </row>
    <row r="1944" spans="2:17">
      <c r="B1944" s="15" t="str">
        <f t="shared" si="80"/>
        <v/>
      </c>
      <c r="C1944" s="16" t="str">
        <f>IFERROR(VLOOKUP(DATA!#REF!,DATA!#REF!,1,FALSE),"")</f>
        <v/>
      </c>
      <c r="D1944" s="16" t="str">
        <f>IFERROR(VLOOKUP(C1944,DATA!#REF!,2,FALSE),"")</f>
        <v/>
      </c>
      <c r="I1944" s="17"/>
      <c r="J1944" s="17"/>
      <c r="P1944" s="17"/>
      <c r="Q1944" s="17"/>
    </row>
    <row r="1945" spans="2:17">
      <c r="B1945" s="15" t="str">
        <f t="shared" si="80"/>
        <v/>
      </c>
      <c r="C1945" s="16" t="str">
        <f>IFERROR(VLOOKUP(DATA!#REF!,DATA!#REF!,1,FALSE),"")</f>
        <v/>
      </c>
      <c r="D1945" s="16" t="str">
        <f>IFERROR(VLOOKUP(C1945,DATA!#REF!,2,FALSE),"")</f>
        <v/>
      </c>
      <c r="I1945" s="17"/>
      <c r="J1945" s="17"/>
      <c r="P1945" s="17"/>
      <c r="Q1945" s="17"/>
    </row>
    <row r="1946" spans="2:17">
      <c r="B1946" s="15" t="str">
        <f t="shared" si="80"/>
        <v/>
      </c>
      <c r="C1946" s="16" t="str">
        <f>IFERROR(VLOOKUP(DATA!#REF!,DATA!#REF!,1,FALSE),"")</f>
        <v/>
      </c>
      <c r="D1946" s="16" t="str">
        <f>IFERROR(VLOOKUP(C1946,DATA!#REF!,2,FALSE),"")</f>
        <v/>
      </c>
      <c r="I1946" s="17"/>
      <c r="J1946" s="17"/>
      <c r="P1946" s="17"/>
      <c r="Q1946" s="17"/>
    </row>
    <row r="1947" spans="2:17">
      <c r="B1947" s="15" t="str">
        <f t="shared" si="80"/>
        <v/>
      </c>
      <c r="C1947" s="16" t="str">
        <f>IFERROR(VLOOKUP(DATA!#REF!,DATA!#REF!,1,FALSE),"")</f>
        <v/>
      </c>
      <c r="D1947" s="16" t="str">
        <f>IFERROR(VLOOKUP(C1947,DATA!#REF!,2,FALSE),"")</f>
        <v/>
      </c>
      <c r="I1947" s="17"/>
      <c r="J1947" s="17"/>
      <c r="P1947" s="17"/>
      <c r="Q1947" s="17"/>
    </row>
    <row r="1948" spans="2:17">
      <c r="B1948" s="15" t="str">
        <f t="shared" si="80"/>
        <v/>
      </c>
      <c r="C1948" s="16" t="str">
        <f>IFERROR(VLOOKUP(DATA!#REF!,DATA!#REF!,1,FALSE),"")</f>
        <v/>
      </c>
      <c r="D1948" s="16" t="str">
        <f>IFERROR(VLOOKUP(C1948,DATA!#REF!,2,FALSE),"")</f>
        <v/>
      </c>
      <c r="I1948" s="17"/>
      <c r="J1948" s="17"/>
      <c r="P1948" s="17"/>
      <c r="Q1948" s="17"/>
    </row>
    <row r="1949" spans="2:17">
      <c r="B1949" s="15" t="str">
        <f t="shared" si="80"/>
        <v/>
      </c>
      <c r="C1949" s="16" t="str">
        <f>IFERROR(VLOOKUP(DATA!#REF!,DATA!#REF!,1,FALSE),"")</f>
        <v/>
      </c>
      <c r="D1949" s="16" t="str">
        <f>IFERROR(VLOOKUP(C1949,DATA!#REF!,2,FALSE),"")</f>
        <v/>
      </c>
      <c r="I1949" s="17"/>
      <c r="J1949" s="17"/>
      <c r="P1949" s="17"/>
      <c r="Q1949" s="17"/>
    </row>
    <row r="1950" spans="2:17">
      <c r="B1950" s="15" t="str">
        <f t="shared" si="80"/>
        <v/>
      </c>
      <c r="C1950" s="16" t="str">
        <f>IFERROR(VLOOKUP(DATA!#REF!,DATA!#REF!,1,FALSE),"")</f>
        <v/>
      </c>
      <c r="D1950" s="16" t="str">
        <f>IFERROR(VLOOKUP(C1950,DATA!#REF!,2,FALSE),"")</f>
        <v/>
      </c>
      <c r="I1950" s="17"/>
      <c r="J1950" s="17"/>
      <c r="P1950" s="17"/>
      <c r="Q1950" s="17"/>
    </row>
    <row r="1951" spans="2:17">
      <c r="B1951" s="15" t="str">
        <f t="shared" si="80"/>
        <v/>
      </c>
      <c r="C1951" s="16" t="str">
        <f>IFERROR(VLOOKUP(DATA!#REF!,DATA!#REF!,1,FALSE),"")</f>
        <v/>
      </c>
      <c r="D1951" s="16" t="str">
        <f>IFERROR(VLOOKUP(C1951,DATA!#REF!,2,FALSE),"")</f>
        <v/>
      </c>
      <c r="I1951" s="17"/>
      <c r="J1951" s="17"/>
      <c r="P1951" s="17"/>
      <c r="Q1951" s="17"/>
    </row>
    <row r="1952" spans="2:17">
      <c r="B1952" s="15" t="str">
        <f t="shared" si="80"/>
        <v/>
      </c>
      <c r="C1952" s="16" t="str">
        <f>IFERROR(VLOOKUP(DATA!#REF!,DATA!#REF!,1,FALSE),"")</f>
        <v/>
      </c>
      <c r="D1952" s="16" t="str">
        <f>IFERROR(VLOOKUP(C1952,DATA!#REF!,2,FALSE),"")</f>
        <v/>
      </c>
      <c r="I1952" s="17"/>
      <c r="J1952" s="17"/>
      <c r="P1952" s="17"/>
      <c r="Q1952" s="17"/>
    </row>
    <row r="1953" spans="2:17">
      <c r="B1953" s="15" t="str">
        <f t="shared" si="80"/>
        <v/>
      </c>
      <c r="C1953" s="16" t="str">
        <f>IFERROR(VLOOKUP(DATA!#REF!,DATA!#REF!,1,FALSE),"")</f>
        <v/>
      </c>
      <c r="D1953" s="16" t="str">
        <f>IFERROR(VLOOKUP(C1953,DATA!#REF!,2,FALSE),"")</f>
        <v/>
      </c>
      <c r="I1953" s="17"/>
      <c r="J1953" s="17"/>
      <c r="P1953" s="17"/>
      <c r="Q1953" s="17"/>
    </row>
    <row r="1954" spans="2:17">
      <c r="B1954" s="15" t="str">
        <f t="shared" si="80"/>
        <v/>
      </c>
      <c r="C1954" s="16" t="str">
        <f>IFERROR(VLOOKUP(DATA!#REF!,DATA!#REF!,1,FALSE),"")</f>
        <v/>
      </c>
      <c r="D1954" s="16" t="str">
        <f>IFERROR(VLOOKUP(C1954,DATA!#REF!,2,FALSE),"")</f>
        <v/>
      </c>
      <c r="I1954" s="17"/>
      <c r="J1954" s="17"/>
      <c r="P1954" s="17"/>
      <c r="Q1954" s="17"/>
    </row>
    <row r="1955" spans="2:17">
      <c r="B1955" s="15" t="str">
        <f t="shared" si="80"/>
        <v/>
      </c>
      <c r="C1955" s="16" t="str">
        <f>IFERROR(VLOOKUP(DATA!#REF!,DATA!#REF!,1,FALSE),"")</f>
        <v/>
      </c>
      <c r="D1955" s="16" t="str">
        <f>IFERROR(VLOOKUP(C1955,DATA!#REF!,2,FALSE),"")</f>
        <v/>
      </c>
      <c r="I1955" s="17"/>
      <c r="J1955" s="17"/>
      <c r="P1955" s="17"/>
      <c r="Q1955" s="17"/>
    </row>
    <row r="1956" spans="2:17">
      <c r="B1956" s="15" t="str">
        <f t="shared" si="80"/>
        <v/>
      </c>
      <c r="C1956" s="16" t="str">
        <f>IFERROR(VLOOKUP(DATA!#REF!,DATA!#REF!,1,FALSE),"")</f>
        <v/>
      </c>
      <c r="D1956" s="16" t="str">
        <f>IFERROR(VLOOKUP(C1956,DATA!#REF!,2,FALSE),"")</f>
        <v/>
      </c>
      <c r="I1956" s="17"/>
      <c r="J1956" s="17"/>
      <c r="P1956" s="17"/>
      <c r="Q1956" s="17"/>
    </row>
    <row r="1957" spans="2:17">
      <c r="B1957" s="15" t="str">
        <f t="shared" si="80"/>
        <v/>
      </c>
      <c r="C1957" s="16" t="str">
        <f>IFERROR(VLOOKUP(DATA!#REF!,DATA!#REF!,1,FALSE),"")</f>
        <v/>
      </c>
      <c r="D1957" s="16" t="str">
        <f>IFERROR(VLOOKUP(C1957,DATA!#REF!,2,FALSE),"")</f>
        <v/>
      </c>
      <c r="I1957" s="17"/>
      <c r="J1957" s="17"/>
      <c r="P1957" s="17"/>
      <c r="Q1957" s="17"/>
    </row>
    <row r="1958" spans="2:17">
      <c r="B1958" s="15" t="str">
        <f t="shared" si="80"/>
        <v/>
      </c>
      <c r="C1958" s="16" t="str">
        <f>IFERROR(VLOOKUP(DATA!#REF!,DATA!#REF!,1,FALSE),"")</f>
        <v/>
      </c>
      <c r="D1958" s="16" t="str">
        <f>IFERROR(VLOOKUP(C1958,DATA!#REF!,2,FALSE),"")</f>
        <v/>
      </c>
      <c r="I1958" s="17"/>
      <c r="J1958" s="17"/>
      <c r="P1958" s="17"/>
      <c r="Q1958" s="17"/>
    </row>
    <row r="1959" spans="2:17">
      <c r="B1959" s="15" t="str">
        <f t="shared" si="80"/>
        <v/>
      </c>
      <c r="C1959" s="16" t="str">
        <f>IFERROR(VLOOKUP(DATA!#REF!,DATA!#REF!,1,FALSE),"")</f>
        <v/>
      </c>
      <c r="D1959" s="16" t="str">
        <f>IFERROR(VLOOKUP(C1959,DATA!#REF!,2,FALSE),"")</f>
        <v/>
      </c>
      <c r="I1959" s="17"/>
      <c r="J1959" s="17"/>
      <c r="P1959" s="17"/>
      <c r="Q1959" s="17"/>
    </row>
    <row r="1960" spans="2:17">
      <c r="B1960" s="15" t="str">
        <f t="shared" si="80"/>
        <v/>
      </c>
      <c r="C1960" s="16" t="str">
        <f>IFERROR(VLOOKUP(DATA!#REF!,DATA!#REF!,1,FALSE),"")</f>
        <v/>
      </c>
      <c r="D1960" s="16" t="str">
        <f>IFERROR(VLOOKUP(C1960,DATA!#REF!,2,FALSE),"")</f>
        <v/>
      </c>
      <c r="I1960" s="17"/>
      <c r="J1960" s="17"/>
      <c r="P1960" s="17"/>
      <c r="Q1960" s="17"/>
    </row>
    <row r="1961" spans="2:17">
      <c r="B1961" s="15" t="str">
        <f t="shared" si="80"/>
        <v/>
      </c>
      <c r="C1961" s="16" t="str">
        <f>IFERROR(VLOOKUP(DATA!#REF!,DATA!#REF!,1,FALSE),"")</f>
        <v/>
      </c>
      <c r="D1961" s="16" t="str">
        <f>IFERROR(VLOOKUP(C1961,DATA!#REF!,2,FALSE),"")</f>
        <v/>
      </c>
      <c r="I1961" s="17"/>
      <c r="J1961" s="17"/>
      <c r="P1961" s="17"/>
      <c r="Q1961" s="17"/>
    </row>
    <row r="1962" spans="2:17">
      <c r="B1962" s="15" t="str">
        <f t="shared" si="80"/>
        <v/>
      </c>
      <c r="C1962" s="16" t="str">
        <f>IFERROR(VLOOKUP(DATA!#REF!,DATA!#REF!,1,FALSE),"")</f>
        <v/>
      </c>
      <c r="D1962" s="16" t="str">
        <f>IFERROR(VLOOKUP(C1962,DATA!#REF!,2,FALSE),"")</f>
        <v/>
      </c>
      <c r="I1962" s="17"/>
      <c r="J1962" s="17"/>
      <c r="P1962" s="17"/>
      <c r="Q1962" s="17"/>
    </row>
    <row r="1963" spans="2:17">
      <c r="B1963" s="15" t="str">
        <f t="shared" si="80"/>
        <v/>
      </c>
      <c r="C1963" s="16" t="str">
        <f>IFERROR(VLOOKUP(DATA!#REF!,DATA!#REF!,1,FALSE),"")</f>
        <v/>
      </c>
      <c r="D1963" s="16" t="str">
        <f>IFERROR(VLOOKUP(C1963,DATA!#REF!,2,FALSE),"")</f>
        <v/>
      </c>
      <c r="I1963" s="17"/>
      <c r="J1963" s="17"/>
      <c r="P1963" s="17"/>
      <c r="Q1963" s="17"/>
    </row>
    <row r="1964" spans="2:17">
      <c r="B1964" s="15" t="str">
        <f t="shared" si="80"/>
        <v/>
      </c>
      <c r="C1964" s="16" t="str">
        <f>IFERROR(VLOOKUP(DATA!#REF!,DATA!#REF!,1,FALSE),"")</f>
        <v/>
      </c>
      <c r="D1964" s="16" t="str">
        <f>IFERROR(VLOOKUP(C1964,DATA!#REF!,2,FALSE),"")</f>
        <v/>
      </c>
      <c r="I1964" s="17"/>
      <c r="J1964" s="17"/>
      <c r="P1964" s="17"/>
      <c r="Q1964" s="17"/>
    </row>
    <row r="1965" spans="2:17">
      <c r="B1965" s="15" t="str">
        <f t="shared" si="80"/>
        <v/>
      </c>
      <c r="C1965" s="16" t="str">
        <f>IFERROR(VLOOKUP(DATA!#REF!,DATA!#REF!,1,FALSE),"")</f>
        <v/>
      </c>
      <c r="D1965" s="16" t="str">
        <f>IFERROR(VLOOKUP(C1965,DATA!#REF!,2,FALSE),"")</f>
        <v/>
      </c>
      <c r="I1965" s="17"/>
      <c r="J1965" s="17"/>
      <c r="P1965" s="17"/>
      <c r="Q1965" s="17"/>
    </row>
    <row r="1966" spans="2:17">
      <c r="B1966" s="15" t="str">
        <f t="shared" si="80"/>
        <v/>
      </c>
      <c r="C1966" s="16" t="str">
        <f>IFERROR(VLOOKUP(DATA!#REF!,DATA!#REF!,1,FALSE),"")</f>
        <v/>
      </c>
      <c r="D1966" s="16" t="str">
        <f>IFERROR(VLOOKUP(C1966,DATA!#REF!,2,FALSE),"")</f>
        <v/>
      </c>
      <c r="I1966" s="17"/>
      <c r="J1966" s="17"/>
      <c r="P1966" s="17"/>
      <c r="Q1966" s="17"/>
    </row>
    <row r="1967" spans="2:17">
      <c r="B1967" s="15" t="str">
        <f t="shared" si="80"/>
        <v/>
      </c>
      <c r="C1967" s="16" t="str">
        <f>IFERROR(VLOOKUP(DATA!#REF!,DATA!#REF!,1,FALSE),"")</f>
        <v/>
      </c>
      <c r="D1967" s="16" t="str">
        <f>IFERROR(VLOOKUP(C1967,DATA!#REF!,2,FALSE),"")</f>
        <v/>
      </c>
      <c r="I1967" s="17"/>
      <c r="J1967" s="17"/>
      <c r="P1967" s="17"/>
      <c r="Q1967" s="17"/>
    </row>
    <row r="1968" spans="2:17">
      <c r="B1968" s="15" t="str">
        <f t="shared" si="80"/>
        <v/>
      </c>
      <c r="C1968" s="16" t="str">
        <f>IFERROR(VLOOKUP(DATA!#REF!,DATA!#REF!,1,FALSE),"")</f>
        <v/>
      </c>
      <c r="D1968" s="16" t="str">
        <f>IFERROR(VLOOKUP(C1968,DATA!#REF!,2,FALSE),"")</f>
        <v/>
      </c>
      <c r="I1968" s="17"/>
      <c r="J1968" s="17"/>
      <c r="P1968" s="17"/>
      <c r="Q1968" s="17"/>
    </row>
    <row r="1969" spans="2:17">
      <c r="B1969" s="15" t="str">
        <f t="shared" si="80"/>
        <v/>
      </c>
      <c r="C1969" s="16" t="str">
        <f>IFERROR(VLOOKUP(DATA!#REF!,DATA!#REF!,1,FALSE),"")</f>
        <v/>
      </c>
      <c r="D1969" s="16" t="str">
        <f>IFERROR(VLOOKUP(C1969,DATA!#REF!,2,FALSE),"")</f>
        <v/>
      </c>
      <c r="I1969" s="17"/>
      <c r="J1969" s="17"/>
      <c r="P1969" s="17"/>
      <c r="Q1969" s="17"/>
    </row>
    <row r="1970" spans="2:17">
      <c r="B1970" s="15" t="str">
        <f t="shared" si="80"/>
        <v/>
      </c>
      <c r="C1970" s="16" t="str">
        <f>IFERROR(VLOOKUP(DATA!#REF!,DATA!#REF!,1,FALSE),"")</f>
        <v/>
      </c>
      <c r="D1970" s="16" t="str">
        <f>IFERROR(VLOOKUP(C1970,DATA!#REF!,2,FALSE),"")</f>
        <v/>
      </c>
      <c r="I1970" s="17"/>
      <c r="J1970" s="17"/>
      <c r="P1970" s="17"/>
      <c r="Q1970" s="17"/>
    </row>
    <row r="1971" spans="2:17">
      <c r="B1971" s="15" t="str">
        <f t="shared" si="80"/>
        <v/>
      </c>
      <c r="C1971" s="16" t="str">
        <f>IFERROR(VLOOKUP(DATA!#REF!,DATA!#REF!,1,FALSE),"")</f>
        <v/>
      </c>
      <c r="D1971" s="16" t="str">
        <f>IFERROR(VLOOKUP(C1971,DATA!#REF!,2,FALSE),"")</f>
        <v/>
      </c>
      <c r="I1971" s="17"/>
      <c r="J1971" s="17"/>
      <c r="P1971" s="17"/>
      <c r="Q1971" s="17"/>
    </row>
    <row r="1972" spans="2:17">
      <c r="B1972" s="15" t="str">
        <f t="shared" si="80"/>
        <v/>
      </c>
      <c r="C1972" s="16" t="str">
        <f>IFERROR(VLOOKUP(DATA!#REF!,DATA!#REF!,1,FALSE),"")</f>
        <v/>
      </c>
      <c r="D1972" s="16" t="str">
        <f>IFERROR(VLOOKUP(C1972,DATA!#REF!,2,FALSE),"")</f>
        <v/>
      </c>
      <c r="I1972" s="17"/>
      <c r="J1972" s="17"/>
      <c r="P1972" s="17"/>
      <c r="Q1972" s="17"/>
    </row>
    <row r="1973" spans="2:17">
      <c r="B1973" s="15" t="str">
        <f t="shared" si="80"/>
        <v/>
      </c>
      <c r="C1973" s="16" t="str">
        <f>IFERROR(VLOOKUP(DATA!#REF!,DATA!#REF!,1,FALSE),"")</f>
        <v/>
      </c>
      <c r="D1973" s="16" t="str">
        <f>IFERROR(VLOOKUP(C1973,DATA!#REF!,2,FALSE),"")</f>
        <v/>
      </c>
      <c r="I1973" s="17"/>
      <c r="J1973" s="17"/>
      <c r="P1973" s="17"/>
      <c r="Q1973" s="17"/>
    </row>
    <row r="1974" spans="2:17">
      <c r="B1974" s="15" t="str">
        <f t="shared" si="80"/>
        <v/>
      </c>
      <c r="C1974" s="16" t="str">
        <f>IFERROR(VLOOKUP(DATA!#REF!,DATA!#REF!,1,FALSE),"")</f>
        <v/>
      </c>
      <c r="D1974" s="16" t="str">
        <f>IFERROR(VLOOKUP(C1974,DATA!#REF!,2,FALSE),"")</f>
        <v/>
      </c>
      <c r="I1974" s="17"/>
      <c r="J1974" s="17"/>
      <c r="P1974" s="17"/>
      <c r="Q1974" s="17"/>
    </row>
    <row r="1975" spans="2:17">
      <c r="B1975" s="15" t="str">
        <f t="shared" ref="B1975:B2038" si="81">+IF(C1975="","",ROW()-5)</f>
        <v/>
      </c>
      <c r="C1975" s="16" t="str">
        <f>IFERROR(VLOOKUP(DATA!#REF!,DATA!#REF!,1,FALSE),"")</f>
        <v/>
      </c>
      <c r="D1975" s="16" t="str">
        <f>IFERROR(VLOOKUP(C1975,DATA!#REF!,2,FALSE),"")</f>
        <v/>
      </c>
      <c r="I1975" s="17"/>
      <c r="J1975" s="17"/>
      <c r="P1975" s="17"/>
      <c r="Q1975" s="17"/>
    </row>
    <row r="1976" spans="2:17">
      <c r="B1976" s="15" t="str">
        <f t="shared" si="81"/>
        <v/>
      </c>
      <c r="C1976" s="16" t="str">
        <f>IFERROR(VLOOKUP(DATA!#REF!,DATA!#REF!,1,FALSE),"")</f>
        <v/>
      </c>
      <c r="D1976" s="16" t="str">
        <f>IFERROR(VLOOKUP(C1976,DATA!#REF!,2,FALSE),"")</f>
        <v/>
      </c>
      <c r="I1976" s="17"/>
      <c r="J1976" s="17"/>
      <c r="P1976" s="17"/>
      <c r="Q1976" s="17"/>
    </row>
    <row r="1977" spans="2:17">
      <c r="B1977" s="15" t="str">
        <f t="shared" si="81"/>
        <v/>
      </c>
      <c r="C1977" s="16" t="str">
        <f>IFERROR(VLOOKUP(DATA!#REF!,DATA!#REF!,1,FALSE),"")</f>
        <v/>
      </c>
      <c r="D1977" s="16" t="str">
        <f>IFERROR(VLOOKUP(C1977,DATA!#REF!,2,FALSE),"")</f>
        <v/>
      </c>
      <c r="I1977" s="17"/>
      <c r="J1977" s="17"/>
      <c r="P1977" s="17"/>
      <c r="Q1977" s="17"/>
    </row>
    <row r="1978" spans="2:17">
      <c r="B1978" s="15" t="str">
        <f t="shared" si="81"/>
        <v/>
      </c>
      <c r="C1978" s="16" t="str">
        <f>IFERROR(VLOOKUP(DATA!#REF!,DATA!#REF!,1,FALSE),"")</f>
        <v/>
      </c>
      <c r="D1978" s="16" t="str">
        <f>IFERROR(VLOOKUP(C1978,DATA!#REF!,2,FALSE),"")</f>
        <v/>
      </c>
      <c r="I1978" s="17"/>
      <c r="J1978" s="17"/>
      <c r="P1978" s="17"/>
      <c r="Q1978" s="17"/>
    </row>
    <row r="1979" spans="2:17">
      <c r="B1979" s="15" t="str">
        <f t="shared" si="81"/>
        <v/>
      </c>
      <c r="C1979" s="16" t="str">
        <f>IFERROR(VLOOKUP(DATA!#REF!,DATA!#REF!,1,FALSE),"")</f>
        <v/>
      </c>
      <c r="D1979" s="16" t="str">
        <f>IFERROR(VLOOKUP(C1979,DATA!#REF!,2,FALSE),"")</f>
        <v/>
      </c>
      <c r="I1979" s="17"/>
      <c r="J1979" s="17"/>
      <c r="P1979" s="17"/>
      <c r="Q1979" s="17"/>
    </row>
    <row r="1980" spans="2:17">
      <c r="B1980" s="15" t="str">
        <f t="shared" si="81"/>
        <v/>
      </c>
      <c r="C1980" s="16" t="str">
        <f>IFERROR(VLOOKUP(DATA!#REF!,DATA!#REF!,1,FALSE),"")</f>
        <v/>
      </c>
      <c r="D1980" s="16" t="str">
        <f>IFERROR(VLOOKUP(C1980,DATA!#REF!,2,FALSE),"")</f>
        <v/>
      </c>
      <c r="I1980" s="17"/>
      <c r="J1980" s="17"/>
      <c r="P1980" s="17"/>
      <c r="Q1980" s="17"/>
    </row>
    <row r="1981" spans="2:17">
      <c r="B1981" s="15" t="str">
        <f t="shared" si="81"/>
        <v/>
      </c>
      <c r="C1981" s="16" t="str">
        <f>IFERROR(VLOOKUP(DATA!#REF!,DATA!#REF!,1,FALSE),"")</f>
        <v/>
      </c>
      <c r="D1981" s="16" t="str">
        <f>IFERROR(VLOOKUP(C1981,DATA!#REF!,2,FALSE),"")</f>
        <v/>
      </c>
      <c r="I1981" s="17"/>
      <c r="J1981" s="17"/>
      <c r="P1981" s="17"/>
      <c r="Q1981" s="17"/>
    </row>
    <row r="1982" spans="2:17">
      <c r="B1982" s="15" t="str">
        <f t="shared" si="81"/>
        <v/>
      </c>
      <c r="C1982" s="16" t="str">
        <f>IFERROR(VLOOKUP(DATA!#REF!,DATA!#REF!,1,FALSE),"")</f>
        <v/>
      </c>
      <c r="D1982" s="16" t="str">
        <f>IFERROR(VLOOKUP(C1982,DATA!#REF!,2,FALSE),"")</f>
        <v/>
      </c>
      <c r="I1982" s="17"/>
      <c r="J1982" s="17"/>
      <c r="P1982" s="17"/>
      <c r="Q1982" s="17"/>
    </row>
    <row r="1983" spans="2:17">
      <c r="B1983" s="15" t="str">
        <f t="shared" si="81"/>
        <v/>
      </c>
      <c r="C1983" s="16" t="str">
        <f>IFERROR(VLOOKUP(DATA!#REF!,DATA!#REF!,1,FALSE),"")</f>
        <v/>
      </c>
      <c r="D1983" s="16" t="str">
        <f>IFERROR(VLOOKUP(C1983,DATA!#REF!,2,FALSE),"")</f>
        <v/>
      </c>
      <c r="I1983" s="17"/>
      <c r="J1983" s="17"/>
      <c r="P1983" s="17"/>
      <c r="Q1983" s="17"/>
    </row>
    <row r="1984" spans="2:17">
      <c r="B1984" s="15" t="str">
        <f t="shared" si="81"/>
        <v/>
      </c>
      <c r="C1984" s="16" t="str">
        <f>IFERROR(VLOOKUP(DATA!#REF!,DATA!#REF!,1,FALSE),"")</f>
        <v/>
      </c>
      <c r="D1984" s="16" t="str">
        <f>IFERROR(VLOOKUP(C1984,DATA!#REF!,2,FALSE),"")</f>
        <v/>
      </c>
      <c r="I1984" s="17"/>
      <c r="J1984" s="17"/>
      <c r="P1984" s="17"/>
      <c r="Q1984" s="17"/>
    </row>
    <row r="1985" spans="2:17">
      <c r="B1985" s="15" t="str">
        <f t="shared" si="81"/>
        <v/>
      </c>
      <c r="C1985" s="16" t="str">
        <f>IFERROR(VLOOKUP(DATA!#REF!,DATA!#REF!,1,FALSE),"")</f>
        <v/>
      </c>
      <c r="D1985" s="16" t="str">
        <f>IFERROR(VLOOKUP(C1985,DATA!#REF!,2,FALSE),"")</f>
        <v/>
      </c>
      <c r="I1985" s="17"/>
      <c r="J1985" s="17"/>
      <c r="P1985" s="17"/>
      <c r="Q1985" s="17"/>
    </row>
    <row r="1986" spans="2:17">
      <c r="B1986" s="15" t="str">
        <f t="shared" si="81"/>
        <v/>
      </c>
      <c r="C1986" s="16" t="str">
        <f>IFERROR(VLOOKUP(DATA!#REF!,DATA!#REF!,1,FALSE),"")</f>
        <v/>
      </c>
      <c r="D1986" s="16" t="str">
        <f>IFERROR(VLOOKUP(C1986,DATA!#REF!,2,FALSE),"")</f>
        <v/>
      </c>
      <c r="I1986" s="17"/>
      <c r="J1986" s="17"/>
      <c r="P1986" s="17"/>
      <c r="Q1986" s="17"/>
    </row>
    <row r="1987" spans="2:17">
      <c r="B1987" s="15" t="str">
        <f t="shared" si="81"/>
        <v/>
      </c>
      <c r="C1987" s="16" t="str">
        <f>IFERROR(VLOOKUP(DATA!#REF!,DATA!#REF!,1,FALSE),"")</f>
        <v/>
      </c>
      <c r="D1987" s="16" t="str">
        <f>IFERROR(VLOOKUP(C1987,DATA!#REF!,2,FALSE),"")</f>
        <v/>
      </c>
      <c r="I1987" s="17"/>
      <c r="J1987" s="17"/>
      <c r="P1987" s="17"/>
      <c r="Q1987" s="17"/>
    </row>
    <row r="1988" spans="2:17">
      <c r="B1988" s="15" t="str">
        <f t="shared" si="81"/>
        <v/>
      </c>
      <c r="C1988" s="16" t="str">
        <f>IFERROR(VLOOKUP(DATA!#REF!,DATA!#REF!,1,FALSE),"")</f>
        <v/>
      </c>
      <c r="D1988" s="16" t="str">
        <f>IFERROR(VLOOKUP(C1988,DATA!#REF!,2,FALSE),"")</f>
        <v/>
      </c>
      <c r="I1988" s="17"/>
      <c r="J1988" s="17"/>
      <c r="P1988" s="17"/>
      <c r="Q1988" s="17"/>
    </row>
    <row r="1989" spans="2:17">
      <c r="B1989" s="15" t="str">
        <f t="shared" si="81"/>
        <v/>
      </c>
      <c r="C1989" s="16" t="str">
        <f>IFERROR(VLOOKUP(DATA!#REF!,DATA!#REF!,1,FALSE),"")</f>
        <v/>
      </c>
      <c r="D1989" s="16" t="str">
        <f>IFERROR(VLOOKUP(C1989,DATA!#REF!,2,FALSE),"")</f>
        <v/>
      </c>
      <c r="I1989" s="17"/>
      <c r="J1989" s="17"/>
      <c r="P1989" s="17"/>
      <c r="Q1989" s="17"/>
    </row>
    <row r="1990" spans="2:17">
      <c r="B1990" s="15" t="str">
        <f t="shared" si="81"/>
        <v/>
      </c>
      <c r="C1990" s="16" t="str">
        <f>IFERROR(VLOOKUP(DATA!#REF!,DATA!#REF!,1,FALSE),"")</f>
        <v/>
      </c>
      <c r="D1990" s="16" t="str">
        <f>IFERROR(VLOOKUP(C1990,DATA!#REF!,2,FALSE),"")</f>
        <v/>
      </c>
      <c r="I1990" s="17"/>
      <c r="J1990" s="17"/>
      <c r="P1990" s="17"/>
      <c r="Q1990" s="17"/>
    </row>
    <row r="1991" spans="2:17">
      <c r="B1991" s="15" t="str">
        <f t="shared" si="81"/>
        <v/>
      </c>
      <c r="C1991" s="16" t="str">
        <f>IFERROR(VLOOKUP(DATA!#REF!,DATA!#REF!,1,FALSE),"")</f>
        <v/>
      </c>
      <c r="D1991" s="16" t="str">
        <f>IFERROR(VLOOKUP(C1991,DATA!#REF!,2,FALSE),"")</f>
        <v/>
      </c>
      <c r="I1991" s="17"/>
      <c r="J1991" s="17"/>
      <c r="P1991" s="17"/>
      <c r="Q1991" s="17"/>
    </row>
    <row r="1992" spans="2:17">
      <c r="B1992" s="15" t="str">
        <f t="shared" si="81"/>
        <v/>
      </c>
      <c r="C1992" s="16" t="str">
        <f>IFERROR(VLOOKUP(DATA!#REF!,DATA!#REF!,1,FALSE),"")</f>
        <v/>
      </c>
      <c r="D1992" s="16" t="str">
        <f>IFERROR(VLOOKUP(C1992,DATA!#REF!,2,FALSE),"")</f>
        <v/>
      </c>
      <c r="I1992" s="17"/>
      <c r="J1992" s="17"/>
      <c r="P1992" s="17"/>
      <c r="Q1992" s="17"/>
    </row>
    <row r="1993" spans="2:17">
      <c r="B1993" s="15" t="str">
        <f t="shared" si="81"/>
        <v/>
      </c>
      <c r="C1993" s="16" t="str">
        <f>IFERROR(VLOOKUP(DATA!#REF!,DATA!#REF!,1,FALSE),"")</f>
        <v/>
      </c>
      <c r="D1993" s="16" t="str">
        <f>IFERROR(VLOOKUP(C1993,DATA!#REF!,2,FALSE),"")</f>
        <v/>
      </c>
      <c r="I1993" s="17"/>
      <c r="J1993" s="17"/>
      <c r="P1993" s="17"/>
      <c r="Q1993" s="17"/>
    </row>
    <row r="1994" spans="2:17">
      <c r="B1994" s="15" t="str">
        <f t="shared" si="81"/>
        <v/>
      </c>
      <c r="C1994" s="16" t="str">
        <f>IFERROR(VLOOKUP(DATA!#REF!,DATA!#REF!,1,FALSE),"")</f>
        <v/>
      </c>
      <c r="D1994" s="16" t="str">
        <f>IFERROR(VLOOKUP(C1994,DATA!#REF!,2,FALSE),"")</f>
        <v/>
      </c>
      <c r="I1994" s="17"/>
      <c r="J1994" s="17"/>
      <c r="P1994" s="17"/>
      <c r="Q1994" s="17"/>
    </row>
    <row r="1995" spans="2:17">
      <c r="B1995" s="15" t="str">
        <f t="shared" si="81"/>
        <v/>
      </c>
      <c r="C1995" s="16" t="str">
        <f>IFERROR(VLOOKUP(DATA!#REF!,DATA!#REF!,1,FALSE),"")</f>
        <v/>
      </c>
      <c r="D1995" s="16" t="str">
        <f>IFERROR(VLOOKUP(C1995,DATA!#REF!,2,FALSE),"")</f>
        <v/>
      </c>
      <c r="I1995" s="17"/>
      <c r="J1995" s="17"/>
      <c r="P1995" s="17"/>
      <c r="Q1995" s="17"/>
    </row>
    <row r="1996" spans="2:17">
      <c r="B1996" s="15" t="str">
        <f t="shared" si="81"/>
        <v/>
      </c>
      <c r="C1996" s="16" t="str">
        <f>IFERROR(VLOOKUP(DATA!#REF!,DATA!#REF!,1,FALSE),"")</f>
        <v/>
      </c>
      <c r="D1996" s="16" t="str">
        <f>IFERROR(VLOOKUP(C1996,DATA!#REF!,2,FALSE),"")</f>
        <v/>
      </c>
      <c r="I1996" s="17"/>
      <c r="J1996" s="17"/>
      <c r="P1996" s="17"/>
      <c r="Q1996" s="17"/>
    </row>
    <row r="1997" spans="2:17">
      <c r="B1997" s="15" t="str">
        <f t="shared" si="81"/>
        <v/>
      </c>
      <c r="C1997" s="16" t="str">
        <f>IFERROR(VLOOKUP(DATA!#REF!,DATA!#REF!,1,FALSE),"")</f>
        <v/>
      </c>
      <c r="D1997" s="16" t="str">
        <f>IFERROR(VLOOKUP(C1997,DATA!#REF!,2,FALSE),"")</f>
        <v/>
      </c>
      <c r="I1997" s="17"/>
      <c r="J1997" s="17"/>
      <c r="P1997" s="17"/>
      <c r="Q1997" s="17"/>
    </row>
    <row r="1998" spans="2:17">
      <c r="B1998" s="15" t="str">
        <f t="shared" si="81"/>
        <v/>
      </c>
      <c r="C1998" s="16" t="str">
        <f>IFERROR(VLOOKUP(DATA!#REF!,DATA!#REF!,1,FALSE),"")</f>
        <v/>
      </c>
      <c r="D1998" s="16" t="str">
        <f>IFERROR(VLOOKUP(C1998,DATA!#REF!,2,FALSE),"")</f>
        <v/>
      </c>
      <c r="I1998" s="17"/>
      <c r="J1998" s="17"/>
      <c r="P1998" s="17"/>
      <c r="Q1998" s="17"/>
    </row>
    <row r="1999" spans="2:17">
      <c r="B1999" s="15" t="str">
        <f t="shared" si="81"/>
        <v/>
      </c>
      <c r="C1999" s="16" t="str">
        <f>IFERROR(VLOOKUP(DATA!#REF!,DATA!#REF!,1,FALSE),"")</f>
        <v/>
      </c>
      <c r="D1999" s="16" t="str">
        <f>IFERROR(VLOOKUP(C1999,DATA!#REF!,2,FALSE),"")</f>
        <v/>
      </c>
      <c r="I1999" s="17"/>
      <c r="J1999" s="17"/>
      <c r="P1999" s="17"/>
      <c r="Q1999" s="17"/>
    </row>
    <row r="2000" spans="2:17">
      <c r="B2000" s="15" t="str">
        <f t="shared" si="81"/>
        <v/>
      </c>
      <c r="C2000" s="16" t="str">
        <f>IFERROR(VLOOKUP(DATA!#REF!,DATA!#REF!,1,FALSE),"")</f>
        <v/>
      </c>
      <c r="D2000" s="16" t="str">
        <f>IFERROR(VLOOKUP(C2000,DATA!#REF!,2,FALSE),"")</f>
        <v/>
      </c>
      <c r="I2000" s="17"/>
      <c r="J2000" s="17"/>
      <c r="P2000" s="17"/>
      <c r="Q2000" s="17"/>
    </row>
    <row r="2001" spans="2:17">
      <c r="B2001" s="15" t="str">
        <f t="shared" si="81"/>
        <v/>
      </c>
      <c r="C2001" s="16" t="str">
        <f>IFERROR(VLOOKUP(DATA!#REF!,DATA!#REF!,1,FALSE),"")</f>
        <v/>
      </c>
      <c r="D2001" s="16" t="str">
        <f>IFERROR(VLOOKUP(C2001,DATA!#REF!,2,FALSE),"")</f>
        <v/>
      </c>
      <c r="I2001" s="17"/>
      <c r="J2001" s="17"/>
      <c r="P2001" s="17"/>
      <c r="Q2001" s="17"/>
    </row>
    <row r="2002" spans="2:17">
      <c r="B2002" s="15" t="str">
        <f t="shared" si="81"/>
        <v/>
      </c>
      <c r="C2002" s="16" t="str">
        <f>IFERROR(VLOOKUP(DATA!#REF!,DATA!#REF!,1,FALSE),"")</f>
        <v/>
      </c>
      <c r="D2002" s="16" t="str">
        <f>IFERROR(VLOOKUP(C2002,DATA!#REF!,2,FALSE),"")</f>
        <v/>
      </c>
      <c r="I2002" s="17"/>
      <c r="J2002" s="17"/>
      <c r="P2002" s="17"/>
      <c r="Q2002" s="17"/>
    </row>
    <row r="2003" spans="2:17">
      <c r="B2003" s="15" t="str">
        <f t="shared" si="81"/>
        <v/>
      </c>
      <c r="C2003" s="16" t="str">
        <f>IFERROR(VLOOKUP(DATA!#REF!,DATA!#REF!,1,FALSE),"")</f>
        <v/>
      </c>
      <c r="D2003" s="16" t="str">
        <f>IFERROR(VLOOKUP(C2003,DATA!#REF!,2,FALSE),"")</f>
        <v/>
      </c>
      <c r="I2003" s="17"/>
      <c r="J2003" s="17"/>
      <c r="P2003" s="17"/>
      <c r="Q2003" s="17"/>
    </row>
    <row r="2004" spans="2:17">
      <c r="B2004" s="15" t="str">
        <f t="shared" si="81"/>
        <v/>
      </c>
      <c r="C2004" s="16" t="str">
        <f>IFERROR(VLOOKUP(DATA!#REF!,DATA!#REF!,1,FALSE),"")</f>
        <v/>
      </c>
      <c r="D2004" s="16" t="str">
        <f>IFERROR(VLOOKUP(C2004,DATA!#REF!,2,FALSE),"")</f>
        <v/>
      </c>
      <c r="I2004" s="17"/>
      <c r="J2004" s="17"/>
      <c r="P2004" s="17"/>
      <c r="Q2004" s="17"/>
    </row>
    <row r="2005" spans="2:17">
      <c r="B2005" s="15" t="str">
        <f t="shared" si="81"/>
        <v/>
      </c>
      <c r="C2005" s="16" t="str">
        <f>IFERROR(VLOOKUP(DATA!#REF!,DATA!#REF!,1,FALSE),"")</f>
        <v/>
      </c>
      <c r="D2005" s="16" t="str">
        <f>IFERROR(VLOOKUP(C2005,DATA!#REF!,2,FALSE),"")</f>
        <v/>
      </c>
      <c r="I2005" s="17"/>
      <c r="J2005" s="17"/>
      <c r="P2005" s="17"/>
      <c r="Q2005" s="17"/>
    </row>
    <row r="2006" spans="2:17">
      <c r="B2006" s="15" t="str">
        <f t="shared" si="81"/>
        <v/>
      </c>
      <c r="C2006" s="16" t="str">
        <f>IFERROR(VLOOKUP(DATA!#REF!,DATA!#REF!,1,FALSE),"")</f>
        <v/>
      </c>
      <c r="D2006" s="16" t="str">
        <f>IFERROR(VLOOKUP(C2006,DATA!#REF!,2,FALSE),"")</f>
        <v/>
      </c>
      <c r="I2006" s="17"/>
      <c r="J2006" s="17"/>
      <c r="P2006" s="17"/>
      <c r="Q2006" s="17"/>
    </row>
    <row r="2007" spans="2:17">
      <c r="B2007" s="15" t="str">
        <f t="shared" si="81"/>
        <v/>
      </c>
      <c r="C2007" s="16" t="str">
        <f>IFERROR(VLOOKUP(DATA!#REF!,DATA!#REF!,1,FALSE),"")</f>
        <v/>
      </c>
      <c r="D2007" s="16" t="str">
        <f>IFERROR(VLOOKUP(C2007,DATA!#REF!,2,FALSE),"")</f>
        <v/>
      </c>
      <c r="I2007" s="17"/>
      <c r="J2007" s="17"/>
      <c r="P2007" s="17"/>
      <c r="Q2007" s="17"/>
    </row>
    <row r="2008" spans="2:17">
      <c r="B2008" s="15" t="str">
        <f t="shared" si="81"/>
        <v/>
      </c>
      <c r="C2008" s="16" t="str">
        <f>IFERROR(VLOOKUP(DATA!#REF!,DATA!#REF!,1,FALSE),"")</f>
        <v/>
      </c>
      <c r="D2008" s="16" t="str">
        <f>IFERROR(VLOOKUP(C2008,DATA!#REF!,2,FALSE),"")</f>
        <v/>
      </c>
      <c r="I2008" s="17"/>
      <c r="J2008" s="17"/>
      <c r="P2008" s="17"/>
      <c r="Q2008" s="17"/>
    </row>
    <row r="2009" spans="2:17">
      <c r="B2009" s="15" t="str">
        <f t="shared" si="81"/>
        <v/>
      </c>
      <c r="C2009" s="16" t="str">
        <f>IFERROR(VLOOKUP(DATA!#REF!,DATA!#REF!,1,FALSE),"")</f>
        <v/>
      </c>
      <c r="D2009" s="16" t="str">
        <f>IFERROR(VLOOKUP(C2009,DATA!#REF!,2,FALSE),"")</f>
        <v/>
      </c>
      <c r="I2009" s="17"/>
      <c r="J2009" s="17"/>
      <c r="P2009" s="17"/>
      <c r="Q2009" s="17"/>
    </row>
    <row r="2010" spans="2:17">
      <c r="B2010" s="15" t="str">
        <f t="shared" si="81"/>
        <v/>
      </c>
      <c r="C2010" s="16" t="str">
        <f>IFERROR(VLOOKUP(DATA!#REF!,DATA!#REF!,1,FALSE),"")</f>
        <v/>
      </c>
      <c r="D2010" s="16" t="str">
        <f>IFERROR(VLOOKUP(C2010,DATA!#REF!,2,FALSE),"")</f>
        <v/>
      </c>
      <c r="I2010" s="17"/>
      <c r="J2010" s="17"/>
      <c r="P2010" s="17"/>
      <c r="Q2010" s="17"/>
    </row>
    <row r="2011" spans="2:17">
      <c r="B2011" s="15" t="str">
        <f t="shared" si="81"/>
        <v/>
      </c>
      <c r="C2011" s="16" t="str">
        <f>IFERROR(VLOOKUP(DATA!#REF!,DATA!#REF!,1,FALSE),"")</f>
        <v/>
      </c>
      <c r="D2011" s="16" t="str">
        <f>IFERROR(VLOOKUP(C2011,DATA!#REF!,2,FALSE),"")</f>
        <v/>
      </c>
      <c r="I2011" s="17"/>
      <c r="J2011" s="17"/>
      <c r="P2011" s="17"/>
      <c r="Q2011" s="17"/>
    </row>
    <row r="2012" spans="2:17">
      <c r="B2012" s="15" t="str">
        <f t="shared" si="81"/>
        <v/>
      </c>
      <c r="C2012" s="16" t="str">
        <f>IFERROR(VLOOKUP(DATA!#REF!,DATA!#REF!,1,FALSE),"")</f>
        <v/>
      </c>
      <c r="D2012" s="16" t="str">
        <f>IFERROR(VLOOKUP(C2012,DATA!#REF!,2,FALSE),"")</f>
        <v/>
      </c>
      <c r="I2012" s="17"/>
      <c r="J2012" s="17"/>
      <c r="P2012" s="17"/>
      <c r="Q2012" s="17"/>
    </row>
    <row r="2013" spans="2:17">
      <c r="B2013" s="15" t="str">
        <f t="shared" si="81"/>
        <v/>
      </c>
      <c r="C2013" s="16" t="str">
        <f>IFERROR(VLOOKUP(DATA!#REF!,DATA!#REF!,1,FALSE),"")</f>
        <v/>
      </c>
      <c r="D2013" s="16" t="str">
        <f>IFERROR(VLOOKUP(C2013,DATA!#REF!,2,FALSE),"")</f>
        <v/>
      </c>
      <c r="I2013" s="17"/>
      <c r="J2013" s="17"/>
      <c r="P2013" s="17"/>
      <c r="Q2013" s="17"/>
    </row>
    <row r="2014" spans="2:17">
      <c r="B2014" s="15" t="str">
        <f t="shared" si="81"/>
        <v/>
      </c>
      <c r="C2014" s="16" t="str">
        <f>IFERROR(VLOOKUP(DATA!#REF!,DATA!#REF!,1,FALSE),"")</f>
        <v/>
      </c>
      <c r="D2014" s="16" t="str">
        <f>IFERROR(VLOOKUP(C2014,DATA!#REF!,2,FALSE),"")</f>
        <v/>
      </c>
      <c r="I2014" s="17"/>
      <c r="J2014" s="17"/>
      <c r="P2014" s="17"/>
      <c r="Q2014" s="17"/>
    </row>
    <row r="2015" spans="2:17">
      <c r="B2015" s="15" t="str">
        <f t="shared" si="81"/>
        <v/>
      </c>
      <c r="C2015" s="16" t="str">
        <f>IFERROR(VLOOKUP(DATA!#REF!,DATA!#REF!,1,FALSE),"")</f>
        <v/>
      </c>
      <c r="D2015" s="16" t="str">
        <f>IFERROR(VLOOKUP(C2015,DATA!#REF!,2,FALSE),"")</f>
        <v/>
      </c>
      <c r="I2015" s="17"/>
      <c r="J2015" s="17"/>
      <c r="P2015" s="17"/>
      <c r="Q2015" s="17"/>
    </row>
    <row r="2016" spans="2:17">
      <c r="B2016" s="15" t="str">
        <f t="shared" si="81"/>
        <v/>
      </c>
      <c r="C2016" s="16" t="str">
        <f>IFERROR(VLOOKUP(DATA!#REF!,DATA!#REF!,1,FALSE),"")</f>
        <v/>
      </c>
      <c r="D2016" s="16" t="str">
        <f>IFERROR(VLOOKUP(C2016,DATA!#REF!,2,FALSE),"")</f>
        <v/>
      </c>
      <c r="I2016" s="17"/>
      <c r="J2016" s="17"/>
      <c r="P2016" s="17"/>
      <c r="Q2016" s="17"/>
    </row>
    <row r="2017" spans="2:17">
      <c r="B2017" s="15" t="str">
        <f t="shared" si="81"/>
        <v/>
      </c>
      <c r="C2017" s="16" t="str">
        <f>IFERROR(VLOOKUP(DATA!#REF!,DATA!#REF!,1,FALSE),"")</f>
        <v/>
      </c>
      <c r="D2017" s="16" t="str">
        <f>IFERROR(VLOOKUP(C2017,DATA!#REF!,2,FALSE),"")</f>
        <v/>
      </c>
      <c r="I2017" s="17"/>
      <c r="J2017" s="17"/>
      <c r="P2017" s="17"/>
      <c r="Q2017" s="17"/>
    </row>
    <row r="2018" spans="2:17">
      <c r="B2018" s="15" t="str">
        <f t="shared" si="81"/>
        <v/>
      </c>
      <c r="C2018" s="16" t="str">
        <f>IFERROR(VLOOKUP(DATA!#REF!,DATA!#REF!,1,FALSE),"")</f>
        <v/>
      </c>
      <c r="D2018" s="16" t="str">
        <f>IFERROR(VLOOKUP(C2018,DATA!#REF!,2,FALSE),"")</f>
        <v/>
      </c>
      <c r="I2018" s="17"/>
      <c r="J2018" s="17"/>
      <c r="P2018" s="17"/>
      <c r="Q2018" s="17"/>
    </row>
    <row r="2019" spans="2:17">
      <c r="B2019" s="15" t="str">
        <f t="shared" si="81"/>
        <v/>
      </c>
      <c r="C2019" s="16" t="str">
        <f>IFERROR(VLOOKUP(DATA!#REF!,DATA!#REF!,1,FALSE),"")</f>
        <v/>
      </c>
      <c r="D2019" s="16" t="str">
        <f>IFERROR(VLOOKUP(C2019,DATA!#REF!,2,FALSE),"")</f>
        <v/>
      </c>
      <c r="I2019" s="17"/>
      <c r="J2019" s="17"/>
      <c r="P2019" s="17"/>
      <c r="Q2019" s="17"/>
    </row>
    <row r="2020" spans="2:17">
      <c r="B2020" s="15" t="str">
        <f t="shared" si="81"/>
        <v/>
      </c>
      <c r="C2020" s="16" t="str">
        <f>IFERROR(VLOOKUP(DATA!#REF!,DATA!#REF!,1,FALSE),"")</f>
        <v/>
      </c>
      <c r="D2020" s="16" t="str">
        <f>IFERROR(VLOOKUP(C2020,DATA!#REF!,2,FALSE),"")</f>
        <v/>
      </c>
      <c r="I2020" s="17"/>
      <c r="J2020" s="17"/>
      <c r="P2020" s="17"/>
      <c r="Q2020" s="17"/>
    </row>
    <row r="2021" spans="2:17">
      <c r="B2021" s="15" t="str">
        <f t="shared" si="81"/>
        <v/>
      </c>
      <c r="C2021" s="16" t="str">
        <f>IFERROR(VLOOKUP(DATA!#REF!,DATA!#REF!,1,FALSE),"")</f>
        <v/>
      </c>
      <c r="D2021" s="16" t="str">
        <f>IFERROR(VLOOKUP(C2021,DATA!#REF!,2,FALSE),"")</f>
        <v/>
      </c>
      <c r="I2021" s="17"/>
      <c r="J2021" s="17"/>
      <c r="P2021" s="17"/>
      <c r="Q2021" s="17"/>
    </row>
    <row r="2022" spans="2:17">
      <c r="B2022" s="15" t="str">
        <f t="shared" si="81"/>
        <v/>
      </c>
      <c r="C2022" s="16" t="str">
        <f>IFERROR(VLOOKUP(DATA!#REF!,DATA!#REF!,1,FALSE),"")</f>
        <v/>
      </c>
      <c r="D2022" s="16" t="str">
        <f>IFERROR(VLOOKUP(C2022,DATA!#REF!,2,FALSE),"")</f>
        <v/>
      </c>
      <c r="I2022" s="17"/>
      <c r="J2022" s="17"/>
      <c r="P2022" s="17"/>
      <c r="Q2022" s="17"/>
    </row>
    <row r="2023" spans="2:17">
      <c r="B2023" s="15" t="str">
        <f t="shared" si="81"/>
        <v/>
      </c>
      <c r="C2023" s="16" t="str">
        <f>IFERROR(VLOOKUP(DATA!#REF!,DATA!#REF!,1,FALSE),"")</f>
        <v/>
      </c>
      <c r="D2023" s="16" t="str">
        <f>IFERROR(VLOOKUP(C2023,DATA!#REF!,2,FALSE),"")</f>
        <v/>
      </c>
      <c r="I2023" s="17"/>
      <c r="J2023" s="17"/>
      <c r="P2023" s="17"/>
      <c r="Q2023" s="17"/>
    </row>
    <row r="2024" spans="2:17">
      <c r="B2024" s="15" t="str">
        <f t="shared" si="81"/>
        <v/>
      </c>
      <c r="C2024" s="16" t="str">
        <f>IFERROR(VLOOKUP(DATA!#REF!,DATA!#REF!,1,FALSE),"")</f>
        <v/>
      </c>
      <c r="D2024" s="16" t="str">
        <f>IFERROR(VLOOKUP(C2024,DATA!#REF!,2,FALSE),"")</f>
        <v/>
      </c>
      <c r="I2024" s="17"/>
      <c r="J2024" s="17"/>
      <c r="P2024" s="17"/>
      <c r="Q2024" s="17"/>
    </row>
    <row r="2025" spans="2:17">
      <c r="B2025" s="15" t="str">
        <f t="shared" si="81"/>
        <v/>
      </c>
      <c r="C2025" s="16" t="str">
        <f>IFERROR(VLOOKUP(DATA!#REF!,DATA!#REF!,1,FALSE),"")</f>
        <v/>
      </c>
      <c r="D2025" s="16" t="str">
        <f>IFERROR(VLOOKUP(C2025,DATA!#REF!,2,FALSE),"")</f>
        <v/>
      </c>
      <c r="I2025" s="17"/>
      <c r="J2025" s="17"/>
      <c r="P2025" s="17"/>
      <c r="Q2025" s="17"/>
    </row>
    <row r="2026" spans="2:17">
      <c r="B2026" s="15" t="str">
        <f t="shared" si="81"/>
        <v/>
      </c>
      <c r="C2026" s="16" t="str">
        <f>IFERROR(VLOOKUP(DATA!#REF!,DATA!#REF!,1,FALSE),"")</f>
        <v/>
      </c>
      <c r="D2026" s="16" t="str">
        <f>IFERROR(VLOOKUP(C2026,DATA!#REF!,2,FALSE),"")</f>
        <v/>
      </c>
      <c r="I2026" s="17"/>
      <c r="J2026" s="17"/>
      <c r="P2026" s="17"/>
      <c r="Q2026" s="17"/>
    </row>
    <row r="2027" spans="2:17">
      <c r="B2027" s="15" t="str">
        <f t="shared" si="81"/>
        <v/>
      </c>
      <c r="C2027" s="16" t="str">
        <f>IFERROR(VLOOKUP(DATA!#REF!,DATA!#REF!,1,FALSE),"")</f>
        <v/>
      </c>
      <c r="D2027" s="16" t="str">
        <f>IFERROR(VLOOKUP(C2027,DATA!#REF!,2,FALSE),"")</f>
        <v/>
      </c>
      <c r="I2027" s="17"/>
      <c r="J2027" s="17"/>
      <c r="P2027" s="17"/>
      <c r="Q2027" s="17"/>
    </row>
    <row r="2028" spans="2:17">
      <c r="B2028" s="15" t="str">
        <f t="shared" si="81"/>
        <v/>
      </c>
      <c r="C2028" s="16" t="str">
        <f>IFERROR(VLOOKUP(DATA!#REF!,DATA!#REF!,1,FALSE),"")</f>
        <v/>
      </c>
      <c r="D2028" s="16" t="str">
        <f>IFERROR(VLOOKUP(C2028,DATA!#REF!,2,FALSE),"")</f>
        <v/>
      </c>
      <c r="I2028" s="17"/>
      <c r="J2028" s="17"/>
      <c r="P2028" s="17"/>
      <c r="Q2028" s="17"/>
    </row>
    <row r="2029" spans="2:17">
      <c r="B2029" s="15" t="str">
        <f t="shared" si="81"/>
        <v/>
      </c>
      <c r="C2029" s="16" t="str">
        <f>IFERROR(VLOOKUP(DATA!#REF!,DATA!#REF!,1,FALSE),"")</f>
        <v/>
      </c>
      <c r="D2029" s="16" t="str">
        <f>IFERROR(VLOOKUP(C2029,DATA!#REF!,2,FALSE),"")</f>
        <v/>
      </c>
      <c r="I2029" s="17"/>
      <c r="J2029" s="17"/>
      <c r="P2029" s="17"/>
      <c r="Q2029" s="17"/>
    </row>
    <row r="2030" spans="2:17">
      <c r="B2030" s="15" t="str">
        <f t="shared" si="81"/>
        <v/>
      </c>
      <c r="C2030" s="16" t="str">
        <f>IFERROR(VLOOKUP(DATA!#REF!,DATA!#REF!,1,FALSE),"")</f>
        <v/>
      </c>
      <c r="D2030" s="16" t="str">
        <f>IFERROR(VLOOKUP(C2030,DATA!#REF!,2,FALSE),"")</f>
        <v/>
      </c>
      <c r="I2030" s="17"/>
      <c r="J2030" s="17"/>
      <c r="P2030" s="17"/>
      <c r="Q2030" s="17"/>
    </row>
    <row r="2031" spans="2:17">
      <c r="B2031" s="15" t="str">
        <f t="shared" si="81"/>
        <v/>
      </c>
      <c r="C2031" s="16" t="str">
        <f>IFERROR(VLOOKUP(DATA!#REF!,DATA!#REF!,1,FALSE),"")</f>
        <v/>
      </c>
      <c r="D2031" s="16" t="str">
        <f>IFERROR(VLOOKUP(C2031,DATA!#REF!,2,FALSE),"")</f>
        <v/>
      </c>
      <c r="I2031" s="17"/>
      <c r="J2031" s="17"/>
      <c r="P2031" s="17"/>
      <c r="Q2031" s="17"/>
    </row>
    <row r="2032" spans="2:17">
      <c r="B2032" s="15" t="str">
        <f t="shared" si="81"/>
        <v/>
      </c>
      <c r="C2032" s="16" t="str">
        <f>IFERROR(VLOOKUP(DATA!#REF!,DATA!#REF!,1,FALSE),"")</f>
        <v/>
      </c>
      <c r="D2032" s="16" t="str">
        <f>IFERROR(VLOOKUP(C2032,DATA!#REF!,2,FALSE),"")</f>
        <v/>
      </c>
      <c r="I2032" s="17"/>
      <c r="J2032" s="17"/>
      <c r="P2032" s="17"/>
      <c r="Q2032" s="17"/>
    </row>
    <row r="2033" spans="2:17">
      <c r="B2033" s="15" t="str">
        <f t="shared" si="81"/>
        <v/>
      </c>
      <c r="C2033" s="16" t="str">
        <f>IFERROR(VLOOKUP(DATA!#REF!,DATA!#REF!,1,FALSE),"")</f>
        <v/>
      </c>
      <c r="D2033" s="16" t="str">
        <f>IFERROR(VLOOKUP(C2033,DATA!#REF!,2,FALSE),"")</f>
        <v/>
      </c>
      <c r="I2033" s="17"/>
      <c r="J2033" s="17"/>
      <c r="P2033" s="17"/>
      <c r="Q2033" s="17"/>
    </row>
    <row r="2034" spans="2:17">
      <c r="B2034" s="15" t="str">
        <f t="shared" si="81"/>
        <v/>
      </c>
      <c r="C2034" s="16" t="str">
        <f>IFERROR(VLOOKUP(DATA!#REF!,DATA!#REF!,1,FALSE),"")</f>
        <v/>
      </c>
      <c r="D2034" s="16" t="str">
        <f>IFERROR(VLOOKUP(C2034,DATA!#REF!,2,FALSE),"")</f>
        <v/>
      </c>
      <c r="I2034" s="17"/>
      <c r="J2034" s="17"/>
      <c r="P2034" s="17"/>
      <c r="Q2034" s="17"/>
    </row>
    <row r="2035" spans="2:17">
      <c r="B2035" s="15" t="str">
        <f t="shared" si="81"/>
        <v/>
      </c>
      <c r="C2035" s="16" t="str">
        <f>IFERROR(VLOOKUP(DATA!#REF!,DATA!#REF!,1,FALSE),"")</f>
        <v/>
      </c>
      <c r="D2035" s="16" t="str">
        <f>IFERROR(VLOOKUP(C2035,DATA!#REF!,2,FALSE),"")</f>
        <v/>
      </c>
      <c r="I2035" s="17"/>
      <c r="J2035" s="17"/>
      <c r="P2035" s="17"/>
      <c r="Q2035" s="17"/>
    </row>
    <row r="2036" spans="2:17">
      <c r="B2036" s="15" t="str">
        <f t="shared" si="81"/>
        <v/>
      </c>
      <c r="C2036" s="16" t="str">
        <f>IFERROR(VLOOKUP(DATA!#REF!,DATA!#REF!,1,FALSE),"")</f>
        <v/>
      </c>
      <c r="D2036" s="16" t="str">
        <f>IFERROR(VLOOKUP(C2036,DATA!#REF!,2,FALSE),"")</f>
        <v/>
      </c>
      <c r="I2036" s="17"/>
      <c r="J2036" s="17"/>
      <c r="P2036" s="17"/>
      <c r="Q2036" s="17"/>
    </row>
    <row r="2037" spans="2:17">
      <c r="B2037" s="15" t="str">
        <f t="shared" si="81"/>
        <v/>
      </c>
      <c r="C2037" s="16" t="str">
        <f>IFERROR(VLOOKUP(DATA!#REF!,DATA!#REF!,1,FALSE),"")</f>
        <v/>
      </c>
      <c r="D2037" s="16" t="str">
        <f>IFERROR(VLOOKUP(C2037,DATA!#REF!,2,FALSE),"")</f>
        <v/>
      </c>
      <c r="I2037" s="17"/>
      <c r="J2037" s="17"/>
      <c r="P2037" s="17"/>
      <c r="Q2037" s="17"/>
    </row>
    <row r="2038" spans="2:17">
      <c r="B2038" s="15" t="str">
        <f t="shared" si="81"/>
        <v/>
      </c>
      <c r="C2038" s="16" t="str">
        <f>IFERROR(VLOOKUP(DATA!#REF!,DATA!#REF!,1,FALSE),"")</f>
        <v/>
      </c>
      <c r="D2038" s="16" t="str">
        <f>IFERROR(VLOOKUP(C2038,DATA!#REF!,2,FALSE),"")</f>
        <v/>
      </c>
      <c r="I2038" s="17"/>
      <c r="J2038" s="17"/>
      <c r="P2038" s="17"/>
      <c r="Q2038" s="17"/>
    </row>
    <row r="2039" spans="2:17">
      <c r="B2039" s="15" t="str">
        <f t="shared" ref="B2039:B2102" si="82">+IF(C2039="","",ROW()-5)</f>
        <v/>
      </c>
      <c r="C2039" s="16" t="str">
        <f>IFERROR(VLOOKUP(DATA!#REF!,DATA!#REF!,1,FALSE),"")</f>
        <v/>
      </c>
      <c r="D2039" s="16" t="str">
        <f>IFERROR(VLOOKUP(C2039,DATA!#REF!,2,FALSE),"")</f>
        <v/>
      </c>
      <c r="I2039" s="17"/>
      <c r="J2039" s="17"/>
      <c r="P2039" s="17"/>
      <c r="Q2039" s="17"/>
    </row>
    <row r="2040" spans="2:17">
      <c r="B2040" s="15" t="str">
        <f t="shared" si="82"/>
        <v/>
      </c>
      <c r="C2040" s="16" t="str">
        <f>IFERROR(VLOOKUP(DATA!#REF!,DATA!#REF!,1,FALSE),"")</f>
        <v/>
      </c>
      <c r="D2040" s="16" t="str">
        <f>IFERROR(VLOOKUP(C2040,DATA!#REF!,2,FALSE),"")</f>
        <v/>
      </c>
      <c r="I2040" s="17"/>
      <c r="J2040" s="17"/>
      <c r="P2040" s="17"/>
      <c r="Q2040" s="17"/>
    </row>
    <row r="2041" spans="2:17">
      <c r="B2041" s="15" t="str">
        <f t="shared" si="82"/>
        <v/>
      </c>
      <c r="C2041" s="16" t="str">
        <f>IFERROR(VLOOKUP(DATA!#REF!,DATA!#REF!,1,FALSE),"")</f>
        <v/>
      </c>
      <c r="D2041" s="16" t="str">
        <f>IFERROR(VLOOKUP(C2041,DATA!#REF!,2,FALSE),"")</f>
        <v/>
      </c>
      <c r="I2041" s="17"/>
      <c r="J2041" s="17"/>
      <c r="P2041" s="17"/>
      <c r="Q2041" s="17"/>
    </row>
    <row r="2042" spans="2:17">
      <c r="B2042" s="15" t="str">
        <f t="shared" si="82"/>
        <v/>
      </c>
      <c r="C2042" s="16" t="str">
        <f>IFERROR(VLOOKUP(DATA!#REF!,DATA!#REF!,1,FALSE),"")</f>
        <v/>
      </c>
      <c r="D2042" s="16" t="str">
        <f>IFERROR(VLOOKUP(C2042,DATA!#REF!,2,FALSE),"")</f>
        <v/>
      </c>
      <c r="I2042" s="17"/>
      <c r="J2042" s="17"/>
      <c r="P2042" s="17"/>
      <c r="Q2042" s="17"/>
    </row>
    <row r="2043" spans="2:17">
      <c r="B2043" s="15" t="str">
        <f t="shared" si="82"/>
        <v/>
      </c>
      <c r="C2043" s="16" t="str">
        <f>IFERROR(VLOOKUP(DATA!#REF!,DATA!#REF!,1,FALSE),"")</f>
        <v/>
      </c>
      <c r="D2043" s="16" t="str">
        <f>IFERROR(VLOOKUP(C2043,DATA!#REF!,2,FALSE),"")</f>
        <v/>
      </c>
      <c r="I2043" s="17"/>
      <c r="J2043" s="17"/>
      <c r="P2043" s="17"/>
      <c r="Q2043" s="17"/>
    </row>
    <row r="2044" spans="2:17">
      <c r="B2044" s="15" t="str">
        <f t="shared" si="82"/>
        <v/>
      </c>
      <c r="C2044" s="16" t="str">
        <f>IFERROR(VLOOKUP(DATA!#REF!,DATA!#REF!,1,FALSE),"")</f>
        <v/>
      </c>
      <c r="D2044" s="16" t="str">
        <f>IFERROR(VLOOKUP(C2044,DATA!#REF!,2,FALSE),"")</f>
        <v/>
      </c>
      <c r="I2044" s="17"/>
      <c r="J2044" s="17"/>
      <c r="P2044" s="17"/>
      <c r="Q2044" s="17"/>
    </row>
    <row r="2045" spans="2:17">
      <c r="B2045" s="15" t="str">
        <f t="shared" si="82"/>
        <v/>
      </c>
      <c r="C2045" s="16" t="str">
        <f>IFERROR(VLOOKUP(DATA!#REF!,DATA!#REF!,1,FALSE),"")</f>
        <v/>
      </c>
      <c r="D2045" s="16" t="str">
        <f>IFERROR(VLOOKUP(C2045,DATA!#REF!,2,FALSE),"")</f>
        <v/>
      </c>
      <c r="I2045" s="17"/>
      <c r="J2045" s="17"/>
      <c r="P2045" s="17"/>
      <c r="Q2045" s="17"/>
    </row>
    <row r="2046" spans="2:17">
      <c r="B2046" s="15" t="str">
        <f t="shared" si="82"/>
        <v/>
      </c>
      <c r="C2046" s="16" t="str">
        <f>IFERROR(VLOOKUP(DATA!#REF!,DATA!#REF!,1,FALSE),"")</f>
        <v/>
      </c>
      <c r="D2046" s="16" t="str">
        <f>IFERROR(VLOOKUP(C2046,DATA!#REF!,2,FALSE),"")</f>
        <v/>
      </c>
      <c r="I2046" s="17"/>
      <c r="J2046" s="17"/>
      <c r="P2046" s="17"/>
      <c r="Q2046" s="17"/>
    </row>
    <row r="2047" spans="2:17">
      <c r="B2047" s="15" t="str">
        <f t="shared" si="82"/>
        <v/>
      </c>
      <c r="C2047" s="16" t="str">
        <f>IFERROR(VLOOKUP(DATA!#REF!,DATA!#REF!,1,FALSE),"")</f>
        <v/>
      </c>
      <c r="D2047" s="16" t="str">
        <f>IFERROR(VLOOKUP(C2047,DATA!#REF!,2,FALSE),"")</f>
        <v/>
      </c>
      <c r="I2047" s="17"/>
      <c r="J2047" s="17"/>
      <c r="P2047" s="17"/>
      <c r="Q2047" s="17"/>
    </row>
    <row r="2048" spans="2:17">
      <c r="B2048" s="15" t="str">
        <f t="shared" si="82"/>
        <v/>
      </c>
      <c r="C2048" s="16" t="str">
        <f>IFERROR(VLOOKUP(DATA!#REF!,DATA!#REF!,1,FALSE),"")</f>
        <v/>
      </c>
      <c r="D2048" s="16" t="str">
        <f>IFERROR(VLOOKUP(C2048,DATA!#REF!,2,FALSE),"")</f>
        <v/>
      </c>
      <c r="I2048" s="17"/>
      <c r="J2048" s="17"/>
      <c r="P2048" s="17"/>
      <c r="Q2048" s="17"/>
    </row>
    <row r="2049" spans="2:17">
      <c r="B2049" s="15" t="str">
        <f t="shared" si="82"/>
        <v/>
      </c>
      <c r="C2049" s="16" t="str">
        <f>IFERROR(VLOOKUP(DATA!#REF!,DATA!#REF!,1,FALSE),"")</f>
        <v/>
      </c>
      <c r="D2049" s="16" t="str">
        <f>IFERROR(VLOOKUP(C2049,DATA!#REF!,2,FALSE),"")</f>
        <v/>
      </c>
      <c r="I2049" s="17"/>
      <c r="J2049" s="17"/>
      <c r="P2049" s="17"/>
      <c r="Q2049" s="17"/>
    </row>
    <row r="2050" spans="2:17">
      <c r="B2050" s="15" t="str">
        <f t="shared" si="82"/>
        <v/>
      </c>
      <c r="C2050" s="16" t="str">
        <f>IFERROR(VLOOKUP(DATA!#REF!,DATA!#REF!,1,FALSE),"")</f>
        <v/>
      </c>
      <c r="D2050" s="16" t="str">
        <f>IFERROR(VLOOKUP(C2050,DATA!#REF!,2,FALSE),"")</f>
        <v/>
      </c>
      <c r="I2050" s="17"/>
      <c r="J2050" s="17"/>
      <c r="P2050" s="17"/>
      <c r="Q2050" s="17"/>
    </row>
    <row r="2051" spans="2:17">
      <c r="B2051" s="15" t="str">
        <f t="shared" si="82"/>
        <v/>
      </c>
      <c r="C2051" s="16" t="str">
        <f>IFERROR(VLOOKUP(DATA!#REF!,DATA!#REF!,1,FALSE),"")</f>
        <v/>
      </c>
      <c r="D2051" s="16" t="str">
        <f>IFERROR(VLOOKUP(C2051,DATA!#REF!,2,FALSE),"")</f>
        <v/>
      </c>
      <c r="I2051" s="17"/>
      <c r="J2051" s="17"/>
      <c r="P2051" s="17"/>
      <c r="Q2051" s="17"/>
    </row>
    <row r="2052" spans="2:17">
      <c r="B2052" s="15" t="str">
        <f t="shared" si="82"/>
        <v/>
      </c>
      <c r="C2052" s="16" t="str">
        <f>IFERROR(VLOOKUP(DATA!#REF!,DATA!#REF!,1,FALSE),"")</f>
        <v/>
      </c>
      <c r="D2052" s="16" t="str">
        <f>IFERROR(VLOOKUP(C2052,DATA!#REF!,2,FALSE),"")</f>
        <v/>
      </c>
      <c r="I2052" s="17"/>
      <c r="J2052" s="17"/>
      <c r="P2052" s="17"/>
      <c r="Q2052" s="17"/>
    </row>
    <row r="2053" spans="2:17">
      <c r="B2053" s="15" t="str">
        <f t="shared" si="82"/>
        <v/>
      </c>
      <c r="C2053" s="16" t="str">
        <f>IFERROR(VLOOKUP(DATA!#REF!,DATA!#REF!,1,FALSE),"")</f>
        <v/>
      </c>
      <c r="D2053" s="16" t="str">
        <f>IFERROR(VLOOKUP(C2053,DATA!#REF!,2,FALSE),"")</f>
        <v/>
      </c>
      <c r="I2053" s="17"/>
      <c r="J2053" s="17"/>
      <c r="P2053" s="17"/>
      <c r="Q2053" s="17"/>
    </row>
    <row r="2054" spans="2:17">
      <c r="B2054" s="15" t="str">
        <f t="shared" si="82"/>
        <v/>
      </c>
      <c r="C2054" s="16" t="str">
        <f>IFERROR(VLOOKUP(DATA!#REF!,DATA!#REF!,1,FALSE),"")</f>
        <v/>
      </c>
      <c r="D2054" s="16" t="str">
        <f>IFERROR(VLOOKUP(C2054,DATA!#REF!,2,FALSE),"")</f>
        <v/>
      </c>
      <c r="I2054" s="17"/>
      <c r="J2054" s="17"/>
      <c r="P2054" s="17"/>
      <c r="Q2054" s="17"/>
    </row>
    <row r="2055" spans="2:17">
      <c r="B2055" s="15" t="str">
        <f t="shared" si="82"/>
        <v/>
      </c>
      <c r="C2055" s="16" t="str">
        <f>IFERROR(VLOOKUP(DATA!#REF!,DATA!#REF!,1,FALSE),"")</f>
        <v/>
      </c>
      <c r="D2055" s="16" t="str">
        <f>IFERROR(VLOOKUP(C2055,DATA!#REF!,2,FALSE),"")</f>
        <v/>
      </c>
      <c r="I2055" s="17"/>
      <c r="J2055" s="17"/>
      <c r="P2055" s="17"/>
      <c r="Q2055" s="17"/>
    </row>
    <row r="2056" spans="2:17">
      <c r="B2056" s="15" t="str">
        <f t="shared" si="82"/>
        <v/>
      </c>
      <c r="C2056" s="16" t="str">
        <f>IFERROR(VLOOKUP(DATA!#REF!,DATA!#REF!,1,FALSE),"")</f>
        <v/>
      </c>
      <c r="D2056" s="16" t="str">
        <f>IFERROR(VLOOKUP(C2056,DATA!#REF!,2,FALSE),"")</f>
        <v/>
      </c>
      <c r="I2056" s="17"/>
      <c r="J2056" s="17"/>
      <c r="P2056" s="17"/>
      <c r="Q2056" s="17"/>
    </row>
    <row r="2057" spans="2:17">
      <c r="B2057" s="15" t="str">
        <f t="shared" si="82"/>
        <v/>
      </c>
      <c r="C2057" s="16" t="str">
        <f>IFERROR(VLOOKUP(DATA!#REF!,DATA!#REF!,1,FALSE),"")</f>
        <v/>
      </c>
      <c r="D2057" s="16" t="str">
        <f>IFERROR(VLOOKUP(C2057,DATA!#REF!,2,FALSE),"")</f>
        <v/>
      </c>
      <c r="I2057" s="17"/>
      <c r="J2057" s="17"/>
      <c r="P2057" s="17"/>
      <c r="Q2057" s="17"/>
    </row>
    <row r="2058" spans="2:17">
      <c r="B2058" s="15" t="str">
        <f t="shared" si="82"/>
        <v/>
      </c>
      <c r="C2058" s="16" t="str">
        <f>IFERROR(VLOOKUP(DATA!#REF!,DATA!#REF!,1,FALSE),"")</f>
        <v/>
      </c>
      <c r="D2058" s="16" t="str">
        <f>IFERROR(VLOOKUP(C2058,DATA!#REF!,2,FALSE),"")</f>
        <v/>
      </c>
      <c r="I2058" s="17"/>
      <c r="J2058" s="17"/>
      <c r="P2058" s="17"/>
      <c r="Q2058" s="17"/>
    </row>
    <row r="2059" spans="2:17">
      <c r="B2059" s="15" t="str">
        <f t="shared" si="82"/>
        <v/>
      </c>
      <c r="C2059" s="16" t="str">
        <f>IFERROR(VLOOKUP(DATA!#REF!,DATA!#REF!,1,FALSE),"")</f>
        <v/>
      </c>
      <c r="D2059" s="16" t="str">
        <f>IFERROR(VLOOKUP(C2059,DATA!#REF!,2,FALSE),"")</f>
        <v/>
      </c>
      <c r="I2059" s="17"/>
      <c r="J2059" s="17"/>
      <c r="P2059" s="17"/>
      <c r="Q2059" s="17"/>
    </row>
    <row r="2060" spans="2:17">
      <c r="B2060" s="15" t="str">
        <f t="shared" si="82"/>
        <v/>
      </c>
      <c r="C2060" s="16" t="str">
        <f>IFERROR(VLOOKUP(DATA!#REF!,DATA!#REF!,1,FALSE),"")</f>
        <v/>
      </c>
      <c r="D2060" s="16" t="str">
        <f>IFERROR(VLOOKUP(C2060,DATA!#REF!,2,FALSE),"")</f>
        <v/>
      </c>
      <c r="I2060" s="17"/>
      <c r="J2060" s="17"/>
      <c r="P2060" s="17"/>
      <c r="Q2060" s="17"/>
    </row>
    <row r="2061" spans="2:17">
      <c r="B2061" s="15" t="str">
        <f t="shared" si="82"/>
        <v/>
      </c>
      <c r="C2061" s="16" t="str">
        <f>IFERROR(VLOOKUP(DATA!#REF!,DATA!#REF!,1,FALSE),"")</f>
        <v/>
      </c>
      <c r="D2061" s="16" t="str">
        <f>IFERROR(VLOOKUP(C2061,DATA!#REF!,2,FALSE),"")</f>
        <v/>
      </c>
      <c r="I2061" s="17"/>
      <c r="J2061" s="17"/>
      <c r="P2061" s="17"/>
      <c r="Q2061" s="17"/>
    </row>
    <row r="2062" spans="2:17">
      <c r="B2062" s="15" t="str">
        <f t="shared" si="82"/>
        <v/>
      </c>
      <c r="C2062" s="16" t="str">
        <f>IFERROR(VLOOKUP(DATA!#REF!,DATA!#REF!,1,FALSE),"")</f>
        <v/>
      </c>
      <c r="D2062" s="16" t="str">
        <f>IFERROR(VLOOKUP(C2062,DATA!#REF!,2,FALSE),"")</f>
        <v/>
      </c>
      <c r="I2062" s="17"/>
      <c r="J2062" s="17"/>
      <c r="P2062" s="17"/>
      <c r="Q2062" s="17"/>
    </row>
    <row r="2063" spans="2:17">
      <c r="B2063" s="15" t="str">
        <f t="shared" si="82"/>
        <v/>
      </c>
      <c r="C2063" s="16" t="str">
        <f>IFERROR(VLOOKUP(DATA!#REF!,DATA!#REF!,1,FALSE),"")</f>
        <v/>
      </c>
      <c r="D2063" s="16" t="str">
        <f>IFERROR(VLOOKUP(C2063,DATA!#REF!,2,FALSE),"")</f>
        <v/>
      </c>
      <c r="I2063" s="17"/>
      <c r="J2063" s="17"/>
      <c r="P2063" s="17"/>
      <c r="Q2063" s="17"/>
    </row>
    <row r="2064" spans="2:17">
      <c r="B2064" s="15" t="str">
        <f t="shared" si="82"/>
        <v/>
      </c>
      <c r="C2064" s="16" t="str">
        <f>IFERROR(VLOOKUP(DATA!#REF!,DATA!#REF!,1,FALSE),"")</f>
        <v/>
      </c>
      <c r="D2064" s="16" t="str">
        <f>IFERROR(VLOOKUP(C2064,DATA!#REF!,2,FALSE),"")</f>
        <v/>
      </c>
      <c r="I2064" s="17"/>
      <c r="J2064" s="17"/>
      <c r="P2064" s="17"/>
      <c r="Q2064" s="17"/>
    </row>
    <row r="2065" spans="2:17">
      <c r="B2065" s="15" t="str">
        <f t="shared" si="82"/>
        <v/>
      </c>
      <c r="C2065" s="16" t="str">
        <f>IFERROR(VLOOKUP(DATA!#REF!,DATA!#REF!,1,FALSE),"")</f>
        <v/>
      </c>
      <c r="D2065" s="16" t="str">
        <f>IFERROR(VLOOKUP(C2065,DATA!#REF!,2,FALSE),"")</f>
        <v/>
      </c>
      <c r="I2065" s="17"/>
      <c r="J2065" s="17"/>
      <c r="P2065" s="17"/>
      <c r="Q2065" s="17"/>
    </row>
    <row r="2066" spans="2:17">
      <c r="B2066" s="15" t="str">
        <f t="shared" si="82"/>
        <v/>
      </c>
      <c r="C2066" s="16" t="str">
        <f>IFERROR(VLOOKUP(DATA!#REF!,DATA!#REF!,1,FALSE),"")</f>
        <v/>
      </c>
      <c r="D2066" s="16" t="str">
        <f>IFERROR(VLOOKUP(C2066,DATA!#REF!,2,FALSE),"")</f>
        <v/>
      </c>
      <c r="I2066" s="17"/>
      <c r="J2066" s="17"/>
      <c r="P2066" s="17"/>
      <c r="Q2066" s="17"/>
    </row>
    <row r="2067" spans="2:17">
      <c r="B2067" s="15" t="str">
        <f t="shared" si="82"/>
        <v/>
      </c>
      <c r="C2067" s="16" t="str">
        <f>IFERROR(VLOOKUP(DATA!#REF!,DATA!#REF!,1,FALSE),"")</f>
        <v/>
      </c>
      <c r="D2067" s="16" t="str">
        <f>IFERROR(VLOOKUP(C2067,DATA!#REF!,2,FALSE),"")</f>
        <v/>
      </c>
      <c r="I2067" s="17"/>
      <c r="J2067" s="17"/>
      <c r="P2067" s="17"/>
      <c r="Q2067" s="17"/>
    </row>
    <row r="2068" spans="2:17">
      <c r="B2068" s="15" t="str">
        <f t="shared" si="82"/>
        <v/>
      </c>
      <c r="C2068" s="16" t="str">
        <f>IFERROR(VLOOKUP(DATA!#REF!,DATA!#REF!,1,FALSE),"")</f>
        <v/>
      </c>
      <c r="D2068" s="16" t="str">
        <f>IFERROR(VLOOKUP(C2068,DATA!#REF!,2,FALSE),"")</f>
        <v/>
      </c>
      <c r="I2068" s="17"/>
      <c r="J2068" s="17"/>
      <c r="P2068" s="17"/>
      <c r="Q2068" s="17"/>
    </row>
    <row r="2069" spans="2:17">
      <c r="B2069" s="15" t="str">
        <f t="shared" si="82"/>
        <v/>
      </c>
      <c r="C2069" s="16" t="str">
        <f>IFERROR(VLOOKUP(DATA!#REF!,DATA!#REF!,1,FALSE),"")</f>
        <v/>
      </c>
      <c r="D2069" s="16" t="str">
        <f>IFERROR(VLOOKUP(C2069,DATA!#REF!,2,FALSE),"")</f>
        <v/>
      </c>
      <c r="I2069" s="17"/>
      <c r="J2069" s="17"/>
      <c r="P2069" s="17"/>
      <c r="Q2069" s="17"/>
    </row>
    <row r="2070" spans="2:17">
      <c r="B2070" s="15" t="str">
        <f t="shared" si="82"/>
        <v/>
      </c>
      <c r="C2070" s="16" t="str">
        <f>IFERROR(VLOOKUP(DATA!#REF!,DATA!#REF!,1,FALSE),"")</f>
        <v/>
      </c>
      <c r="D2070" s="16" t="str">
        <f>IFERROR(VLOOKUP(C2070,DATA!#REF!,2,FALSE),"")</f>
        <v/>
      </c>
      <c r="I2070" s="17"/>
      <c r="J2070" s="17"/>
      <c r="P2070" s="17"/>
      <c r="Q2070" s="17"/>
    </row>
    <row r="2071" spans="2:17">
      <c r="B2071" s="15" t="str">
        <f t="shared" si="82"/>
        <v/>
      </c>
      <c r="C2071" s="16" t="str">
        <f>IFERROR(VLOOKUP(DATA!#REF!,DATA!#REF!,1,FALSE),"")</f>
        <v/>
      </c>
      <c r="D2071" s="16" t="str">
        <f>IFERROR(VLOOKUP(C2071,DATA!#REF!,2,FALSE),"")</f>
        <v/>
      </c>
      <c r="I2071" s="17"/>
      <c r="J2071" s="17"/>
      <c r="P2071" s="17"/>
      <c r="Q2071" s="17"/>
    </row>
    <row r="2072" spans="2:17">
      <c r="B2072" s="15" t="str">
        <f t="shared" si="82"/>
        <v/>
      </c>
      <c r="C2072" s="16" t="str">
        <f>IFERROR(VLOOKUP(DATA!#REF!,DATA!#REF!,1,FALSE),"")</f>
        <v/>
      </c>
      <c r="D2072" s="16" t="str">
        <f>IFERROR(VLOOKUP(C2072,DATA!#REF!,2,FALSE),"")</f>
        <v/>
      </c>
      <c r="I2072" s="17"/>
      <c r="J2072" s="17"/>
      <c r="P2072" s="17"/>
      <c r="Q2072" s="17"/>
    </row>
    <row r="2073" spans="2:17">
      <c r="B2073" s="15" t="str">
        <f t="shared" si="82"/>
        <v/>
      </c>
      <c r="C2073" s="16" t="str">
        <f>IFERROR(VLOOKUP(DATA!#REF!,DATA!#REF!,1,FALSE),"")</f>
        <v/>
      </c>
      <c r="D2073" s="16" t="str">
        <f>IFERROR(VLOOKUP(C2073,DATA!#REF!,2,FALSE),"")</f>
        <v/>
      </c>
      <c r="I2073" s="17"/>
      <c r="J2073" s="17"/>
      <c r="P2073" s="17"/>
      <c r="Q2073" s="17"/>
    </row>
    <row r="2074" spans="2:17">
      <c r="B2074" s="15" t="str">
        <f t="shared" si="82"/>
        <v/>
      </c>
      <c r="C2074" s="16" t="str">
        <f>IFERROR(VLOOKUP(DATA!#REF!,DATA!#REF!,1,FALSE),"")</f>
        <v/>
      </c>
      <c r="D2074" s="16" t="str">
        <f>IFERROR(VLOOKUP(C2074,DATA!#REF!,2,FALSE),"")</f>
        <v/>
      </c>
      <c r="I2074" s="17"/>
      <c r="J2074" s="17"/>
      <c r="P2074" s="17"/>
      <c r="Q2074" s="17"/>
    </row>
    <row r="2075" spans="2:17">
      <c r="B2075" s="15" t="str">
        <f t="shared" si="82"/>
        <v/>
      </c>
      <c r="C2075" s="16" t="str">
        <f>IFERROR(VLOOKUP(DATA!#REF!,DATA!#REF!,1,FALSE),"")</f>
        <v/>
      </c>
      <c r="D2075" s="16" t="str">
        <f>IFERROR(VLOOKUP(C2075,DATA!#REF!,2,FALSE),"")</f>
        <v/>
      </c>
      <c r="I2075" s="17"/>
      <c r="J2075" s="17"/>
      <c r="P2075" s="17"/>
      <c r="Q2075" s="17"/>
    </row>
    <row r="2076" spans="2:17">
      <c r="B2076" s="15" t="str">
        <f t="shared" si="82"/>
        <v/>
      </c>
      <c r="C2076" s="16" t="str">
        <f>IFERROR(VLOOKUP(DATA!#REF!,DATA!#REF!,1,FALSE),"")</f>
        <v/>
      </c>
      <c r="D2076" s="16" t="str">
        <f>IFERROR(VLOOKUP(C2076,DATA!#REF!,2,FALSE),"")</f>
        <v/>
      </c>
      <c r="I2076" s="17"/>
      <c r="J2076" s="17"/>
      <c r="P2076" s="17"/>
      <c r="Q2076" s="17"/>
    </row>
    <row r="2077" spans="2:17">
      <c r="B2077" s="15" t="str">
        <f t="shared" si="82"/>
        <v/>
      </c>
      <c r="C2077" s="16" t="str">
        <f>IFERROR(VLOOKUP(DATA!#REF!,DATA!#REF!,1,FALSE),"")</f>
        <v/>
      </c>
      <c r="D2077" s="16" t="str">
        <f>IFERROR(VLOOKUP(C2077,DATA!#REF!,2,FALSE),"")</f>
        <v/>
      </c>
      <c r="I2077" s="17"/>
      <c r="J2077" s="17"/>
      <c r="P2077" s="17"/>
      <c r="Q2077" s="17"/>
    </row>
    <row r="2078" spans="2:17">
      <c r="B2078" s="15" t="str">
        <f t="shared" si="82"/>
        <v/>
      </c>
      <c r="C2078" s="16" t="str">
        <f>IFERROR(VLOOKUP(DATA!#REF!,DATA!#REF!,1,FALSE),"")</f>
        <v/>
      </c>
      <c r="D2078" s="16" t="str">
        <f>IFERROR(VLOOKUP(C2078,DATA!#REF!,2,FALSE),"")</f>
        <v/>
      </c>
      <c r="I2078" s="17"/>
      <c r="J2078" s="17"/>
      <c r="P2078" s="17"/>
      <c r="Q2078" s="17"/>
    </row>
    <row r="2079" spans="2:17">
      <c r="B2079" s="15" t="str">
        <f t="shared" si="82"/>
        <v/>
      </c>
      <c r="C2079" s="16" t="str">
        <f>IFERROR(VLOOKUP(DATA!#REF!,DATA!#REF!,1,FALSE),"")</f>
        <v/>
      </c>
      <c r="D2079" s="16" t="str">
        <f>IFERROR(VLOOKUP(C2079,DATA!#REF!,2,FALSE),"")</f>
        <v/>
      </c>
      <c r="I2079" s="17"/>
      <c r="J2079" s="17"/>
      <c r="P2079" s="17"/>
      <c r="Q2079" s="17"/>
    </row>
    <row r="2080" spans="2:17">
      <c r="B2080" s="15" t="str">
        <f t="shared" si="82"/>
        <v/>
      </c>
      <c r="C2080" s="16" t="str">
        <f>IFERROR(VLOOKUP(DATA!#REF!,DATA!#REF!,1,FALSE),"")</f>
        <v/>
      </c>
      <c r="D2080" s="16" t="str">
        <f>IFERROR(VLOOKUP(C2080,DATA!#REF!,2,FALSE),"")</f>
        <v/>
      </c>
      <c r="I2080" s="17"/>
      <c r="J2080" s="17"/>
      <c r="P2080" s="17"/>
      <c r="Q2080" s="17"/>
    </row>
    <row r="2081" spans="2:17">
      <c r="B2081" s="15" t="str">
        <f t="shared" si="82"/>
        <v/>
      </c>
      <c r="C2081" s="16" t="str">
        <f>IFERROR(VLOOKUP(DATA!#REF!,DATA!#REF!,1,FALSE),"")</f>
        <v/>
      </c>
      <c r="D2081" s="16" t="str">
        <f>IFERROR(VLOOKUP(C2081,DATA!#REF!,2,FALSE),"")</f>
        <v/>
      </c>
      <c r="I2081" s="17"/>
      <c r="J2081" s="17"/>
      <c r="P2081" s="17"/>
      <c r="Q2081" s="17"/>
    </row>
    <row r="2082" spans="2:17">
      <c r="B2082" s="15" t="str">
        <f t="shared" si="82"/>
        <v/>
      </c>
      <c r="C2082" s="16" t="str">
        <f>IFERROR(VLOOKUP(DATA!#REF!,DATA!#REF!,1,FALSE),"")</f>
        <v/>
      </c>
      <c r="D2082" s="16" t="str">
        <f>IFERROR(VLOOKUP(C2082,DATA!#REF!,2,FALSE),"")</f>
        <v/>
      </c>
      <c r="I2082" s="17"/>
      <c r="J2082" s="17"/>
      <c r="P2082" s="17"/>
      <c r="Q2082" s="17"/>
    </row>
    <row r="2083" spans="2:17">
      <c r="B2083" s="15" t="str">
        <f t="shared" si="82"/>
        <v/>
      </c>
      <c r="C2083" s="16" t="str">
        <f>IFERROR(VLOOKUP(DATA!#REF!,DATA!#REF!,1,FALSE),"")</f>
        <v/>
      </c>
      <c r="D2083" s="16" t="str">
        <f>IFERROR(VLOOKUP(C2083,DATA!#REF!,2,FALSE),"")</f>
        <v/>
      </c>
      <c r="I2083" s="17"/>
      <c r="J2083" s="17"/>
      <c r="P2083" s="17"/>
      <c r="Q2083" s="17"/>
    </row>
    <row r="2084" spans="2:17">
      <c r="B2084" s="15" t="str">
        <f t="shared" si="82"/>
        <v/>
      </c>
      <c r="C2084" s="16" t="str">
        <f>IFERROR(VLOOKUP(DATA!#REF!,DATA!#REF!,1,FALSE),"")</f>
        <v/>
      </c>
      <c r="D2084" s="16" t="str">
        <f>IFERROR(VLOOKUP(C2084,DATA!#REF!,2,FALSE),"")</f>
        <v/>
      </c>
      <c r="I2084" s="17"/>
      <c r="J2084" s="17"/>
      <c r="P2084" s="17"/>
      <c r="Q2084" s="17"/>
    </row>
    <row r="2085" spans="2:17">
      <c r="B2085" s="15" t="str">
        <f t="shared" si="82"/>
        <v/>
      </c>
      <c r="C2085" s="16" t="str">
        <f>IFERROR(VLOOKUP(DATA!#REF!,DATA!#REF!,1,FALSE),"")</f>
        <v/>
      </c>
      <c r="D2085" s="16" t="str">
        <f>IFERROR(VLOOKUP(C2085,DATA!#REF!,2,FALSE),"")</f>
        <v/>
      </c>
      <c r="I2085" s="17"/>
      <c r="J2085" s="17"/>
      <c r="P2085" s="17"/>
      <c r="Q2085" s="17"/>
    </row>
    <row r="2086" spans="2:17">
      <c r="B2086" s="15" t="str">
        <f t="shared" si="82"/>
        <v/>
      </c>
      <c r="C2086" s="16" t="str">
        <f>IFERROR(VLOOKUP(DATA!#REF!,DATA!#REF!,1,FALSE),"")</f>
        <v/>
      </c>
      <c r="D2086" s="16" t="str">
        <f>IFERROR(VLOOKUP(C2086,DATA!#REF!,2,FALSE),"")</f>
        <v/>
      </c>
      <c r="I2086" s="17"/>
      <c r="J2086" s="17"/>
      <c r="P2086" s="17"/>
      <c r="Q2086" s="17"/>
    </row>
    <row r="2087" spans="2:17">
      <c r="B2087" s="15" t="str">
        <f t="shared" si="82"/>
        <v/>
      </c>
      <c r="C2087" s="16" t="str">
        <f>IFERROR(VLOOKUP(DATA!#REF!,DATA!#REF!,1,FALSE),"")</f>
        <v/>
      </c>
      <c r="D2087" s="16" t="str">
        <f>IFERROR(VLOOKUP(C2087,DATA!#REF!,2,FALSE),"")</f>
        <v/>
      </c>
      <c r="I2087" s="17"/>
      <c r="J2087" s="17"/>
      <c r="P2087" s="17"/>
      <c r="Q2087" s="17"/>
    </row>
    <row r="2088" spans="2:17">
      <c r="B2088" s="15" t="str">
        <f t="shared" si="82"/>
        <v/>
      </c>
      <c r="C2088" s="16" t="str">
        <f>IFERROR(VLOOKUP(DATA!#REF!,DATA!#REF!,1,FALSE),"")</f>
        <v/>
      </c>
      <c r="D2088" s="16" t="str">
        <f>IFERROR(VLOOKUP(C2088,DATA!#REF!,2,FALSE),"")</f>
        <v/>
      </c>
      <c r="I2088" s="17"/>
      <c r="J2088" s="17"/>
      <c r="P2088" s="17"/>
      <c r="Q2088" s="17"/>
    </row>
    <row r="2089" spans="2:17">
      <c r="B2089" s="15" t="str">
        <f t="shared" si="82"/>
        <v/>
      </c>
      <c r="C2089" s="16" t="str">
        <f>IFERROR(VLOOKUP(DATA!#REF!,DATA!#REF!,1,FALSE),"")</f>
        <v/>
      </c>
      <c r="D2089" s="16" t="str">
        <f>IFERROR(VLOOKUP(C2089,DATA!#REF!,2,FALSE),"")</f>
        <v/>
      </c>
      <c r="I2089" s="17"/>
      <c r="J2089" s="17"/>
      <c r="P2089" s="17"/>
      <c r="Q2089" s="17"/>
    </row>
    <row r="2090" spans="2:17">
      <c r="B2090" s="15" t="str">
        <f t="shared" si="82"/>
        <v/>
      </c>
      <c r="C2090" s="16" t="str">
        <f>IFERROR(VLOOKUP(DATA!#REF!,DATA!#REF!,1,FALSE),"")</f>
        <v/>
      </c>
      <c r="D2090" s="16" t="str">
        <f>IFERROR(VLOOKUP(C2090,DATA!#REF!,2,FALSE),"")</f>
        <v/>
      </c>
      <c r="I2090" s="17"/>
      <c r="J2090" s="17"/>
      <c r="P2090" s="17"/>
      <c r="Q2090" s="17"/>
    </row>
    <row r="2091" spans="2:17">
      <c r="B2091" s="15" t="str">
        <f t="shared" si="82"/>
        <v/>
      </c>
      <c r="C2091" s="16" t="str">
        <f>IFERROR(VLOOKUP(DATA!#REF!,DATA!#REF!,1,FALSE),"")</f>
        <v/>
      </c>
      <c r="D2091" s="16" t="str">
        <f>IFERROR(VLOOKUP(C2091,DATA!#REF!,2,FALSE),"")</f>
        <v/>
      </c>
      <c r="I2091" s="17"/>
      <c r="J2091" s="17"/>
      <c r="P2091" s="17"/>
      <c r="Q2091" s="17"/>
    </row>
    <row r="2092" spans="2:17">
      <c r="B2092" s="15" t="str">
        <f t="shared" si="82"/>
        <v/>
      </c>
      <c r="C2092" s="16" t="str">
        <f>IFERROR(VLOOKUP(DATA!#REF!,DATA!#REF!,1,FALSE),"")</f>
        <v/>
      </c>
      <c r="D2092" s="16" t="str">
        <f>IFERROR(VLOOKUP(C2092,DATA!#REF!,2,FALSE),"")</f>
        <v/>
      </c>
      <c r="I2092" s="17"/>
      <c r="J2092" s="17"/>
      <c r="P2092" s="17"/>
      <c r="Q2092" s="17"/>
    </row>
    <row r="2093" spans="2:17">
      <c r="B2093" s="15" t="str">
        <f t="shared" si="82"/>
        <v/>
      </c>
      <c r="C2093" s="16" t="str">
        <f>IFERROR(VLOOKUP(DATA!#REF!,DATA!#REF!,1,FALSE),"")</f>
        <v/>
      </c>
      <c r="D2093" s="16" t="str">
        <f>IFERROR(VLOOKUP(C2093,DATA!#REF!,2,FALSE),"")</f>
        <v/>
      </c>
      <c r="I2093" s="17"/>
      <c r="J2093" s="17"/>
      <c r="P2093" s="17"/>
      <c r="Q2093" s="17"/>
    </row>
    <row r="2094" spans="2:17">
      <c r="B2094" s="15" t="str">
        <f t="shared" si="82"/>
        <v/>
      </c>
      <c r="C2094" s="16" t="str">
        <f>IFERROR(VLOOKUP(DATA!#REF!,DATA!#REF!,1,FALSE),"")</f>
        <v/>
      </c>
      <c r="D2094" s="16" t="str">
        <f>IFERROR(VLOOKUP(C2094,DATA!#REF!,2,FALSE),"")</f>
        <v/>
      </c>
      <c r="I2094" s="17"/>
      <c r="J2094" s="17"/>
      <c r="P2094" s="17"/>
      <c r="Q2094" s="17"/>
    </row>
    <row r="2095" spans="2:17">
      <c r="B2095" s="15" t="str">
        <f t="shared" si="82"/>
        <v/>
      </c>
      <c r="C2095" s="16" t="str">
        <f>IFERROR(VLOOKUP(DATA!#REF!,DATA!#REF!,1,FALSE),"")</f>
        <v/>
      </c>
      <c r="D2095" s="16" t="str">
        <f>IFERROR(VLOOKUP(C2095,DATA!#REF!,2,FALSE),"")</f>
        <v/>
      </c>
      <c r="I2095" s="17"/>
      <c r="J2095" s="17"/>
      <c r="P2095" s="17"/>
      <c r="Q2095" s="17"/>
    </row>
    <row r="2096" spans="2:17">
      <c r="B2096" s="15" t="str">
        <f t="shared" si="82"/>
        <v/>
      </c>
      <c r="C2096" s="16" t="str">
        <f>IFERROR(VLOOKUP(DATA!#REF!,DATA!#REF!,1,FALSE),"")</f>
        <v/>
      </c>
      <c r="D2096" s="16" t="str">
        <f>IFERROR(VLOOKUP(C2096,DATA!#REF!,2,FALSE),"")</f>
        <v/>
      </c>
      <c r="I2096" s="17"/>
      <c r="J2096" s="17"/>
      <c r="P2096" s="17"/>
      <c r="Q2096" s="17"/>
    </row>
    <row r="2097" spans="2:17">
      <c r="B2097" s="15" t="str">
        <f t="shared" si="82"/>
        <v/>
      </c>
      <c r="C2097" s="16" t="str">
        <f>IFERROR(VLOOKUP(DATA!#REF!,DATA!#REF!,1,FALSE),"")</f>
        <v/>
      </c>
      <c r="D2097" s="16" t="str">
        <f>IFERROR(VLOOKUP(C2097,DATA!#REF!,2,FALSE),"")</f>
        <v/>
      </c>
      <c r="I2097" s="17"/>
      <c r="J2097" s="17"/>
      <c r="P2097" s="17"/>
      <c r="Q2097" s="17"/>
    </row>
    <row r="2098" spans="2:17">
      <c r="B2098" s="15" t="str">
        <f t="shared" si="82"/>
        <v/>
      </c>
      <c r="C2098" s="16" t="str">
        <f>IFERROR(VLOOKUP(DATA!#REF!,DATA!#REF!,1,FALSE),"")</f>
        <v/>
      </c>
      <c r="D2098" s="16" t="str">
        <f>IFERROR(VLOOKUP(C2098,DATA!#REF!,2,FALSE),"")</f>
        <v/>
      </c>
      <c r="I2098" s="17"/>
      <c r="J2098" s="17"/>
      <c r="P2098" s="17"/>
      <c r="Q2098" s="17"/>
    </row>
    <row r="2099" spans="2:17">
      <c r="B2099" s="15" t="str">
        <f t="shared" si="82"/>
        <v/>
      </c>
      <c r="C2099" s="16" t="str">
        <f>IFERROR(VLOOKUP(DATA!#REF!,DATA!#REF!,1,FALSE),"")</f>
        <v/>
      </c>
      <c r="D2099" s="16" t="str">
        <f>IFERROR(VLOOKUP(C2099,DATA!#REF!,2,FALSE),"")</f>
        <v/>
      </c>
      <c r="I2099" s="17"/>
      <c r="J2099" s="17"/>
      <c r="P2099" s="17"/>
      <c r="Q2099" s="17"/>
    </row>
    <row r="2100" spans="2:17">
      <c r="B2100" s="15" t="str">
        <f t="shared" si="82"/>
        <v/>
      </c>
      <c r="C2100" s="16" t="str">
        <f>IFERROR(VLOOKUP(DATA!#REF!,DATA!#REF!,1,FALSE),"")</f>
        <v/>
      </c>
      <c r="D2100" s="16" t="str">
        <f>IFERROR(VLOOKUP(C2100,DATA!#REF!,2,FALSE),"")</f>
        <v/>
      </c>
      <c r="I2100" s="17"/>
      <c r="J2100" s="17"/>
      <c r="P2100" s="17"/>
      <c r="Q2100" s="17"/>
    </row>
    <row r="2101" spans="2:17">
      <c r="B2101" s="15" t="str">
        <f t="shared" si="82"/>
        <v/>
      </c>
      <c r="C2101" s="16" t="str">
        <f>IFERROR(VLOOKUP(DATA!#REF!,DATA!#REF!,1,FALSE),"")</f>
        <v/>
      </c>
      <c r="D2101" s="16" t="str">
        <f>IFERROR(VLOOKUP(C2101,DATA!#REF!,2,FALSE),"")</f>
        <v/>
      </c>
      <c r="I2101" s="17"/>
      <c r="J2101" s="17"/>
      <c r="P2101" s="17"/>
      <c r="Q2101" s="17"/>
    </row>
    <row r="2102" spans="2:17">
      <c r="B2102" s="15" t="str">
        <f t="shared" si="82"/>
        <v/>
      </c>
      <c r="C2102" s="16" t="str">
        <f>IFERROR(VLOOKUP(DATA!#REF!,DATA!#REF!,1,FALSE),"")</f>
        <v/>
      </c>
      <c r="D2102" s="16" t="str">
        <f>IFERROR(VLOOKUP(C2102,DATA!#REF!,2,FALSE),"")</f>
        <v/>
      </c>
      <c r="I2102" s="17"/>
      <c r="J2102" s="17"/>
      <c r="P2102" s="17"/>
      <c r="Q2102" s="17"/>
    </row>
    <row r="2103" spans="2:17">
      <c r="B2103" s="15" t="str">
        <f t="shared" ref="B2103:B2166" si="83">+IF(C2103="","",ROW()-5)</f>
        <v/>
      </c>
      <c r="C2103" s="16" t="str">
        <f>IFERROR(VLOOKUP(DATA!#REF!,DATA!#REF!,1,FALSE),"")</f>
        <v/>
      </c>
      <c r="D2103" s="16" t="str">
        <f>IFERROR(VLOOKUP(C2103,DATA!#REF!,2,FALSE),"")</f>
        <v/>
      </c>
      <c r="I2103" s="17"/>
      <c r="J2103" s="17"/>
      <c r="P2103" s="17"/>
      <c r="Q2103" s="17"/>
    </row>
    <row r="2104" spans="2:17">
      <c r="B2104" s="15" t="str">
        <f t="shared" si="83"/>
        <v/>
      </c>
      <c r="C2104" s="16" t="str">
        <f>IFERROR(VLOOKUP(DATA!#REF!,DATA!#REF!,1,FALSE),"")</f>
        <v/>
      </c>
      <c r="D2104" s="16" t="str">
        <f>IFERROR(VLOOKUP(C2104,DATA!#REF!,2,FALSE),"")</f>
        <v/>
      </c>
      <c r="I2104" s="17"/>
      <c r="J2104" s="17"/>
      <c r="P2104" s="17"/>
      <c r="Q2104" s="17"/>
    </row>
    <row r="2105" spans="2:17">
      <c r="B2105" s="15" t="str">
        <f t="shared" si="83"/>
        <v/>
      </c>
      <c r="C2105" s="16" t="str">
        <f>IFERROR(VLOOKUP(DATA!#REF!,DATA!#REF!,1,FALSE),"")</f>
        <v/>
      </c>
      <c r="D2105" s="16" t="str">
        <f>IFERROR(VLOOKUP(C2105,DATA!#REF!,2,FALSE),"")</f>
        <v/>
      </c>
      <c r="I2105" s="17"/>
      <c r="J2105" s="17"/>
      <c r="P2105" s="17"/>
      <c r="Q2105" s="17"/>
    </row>
    <row r="2106" spans="2:17">
      <c r="B2106" s="15" t="str">
        <f t="shared" si="83"/>
        <v/>
      </c>
      <c r="C2106" s="16" t="str">
        <f>IFERROR(VLOOKUP(DATA!#REF!,DATA!#REF!,1,FALSE),"")</f>
        <v/>
      </c>
      <c r="D2106" s="16" t="str">
        <f>IFERROR(VLOOKUP(C2106,DATA!#REF!,2,FALSE),"")</f>
        <v/>
      </c>
      <c r="I2106" s="17"/>
      <c r="J2106" s="17"/>
      <c r="P2106" s="17"/>
      <c r="Q2106" s="17"/>
    </row>
    <row r="2107" spans="2:17">
      <c r="B2107" s="15" t="str">
        <f t="shared" si="83"/>
        <v/>
      </c>
      <c r="C2107" s="16" t="str">
        <f>IFERROR(VLOOKUP(DATA!#REF!,DATA!#REF!,1,FALSE),"")</f>
        <v/>
      </c>
      <c r="D2107" s="16" t="str">
        <f>IFERROR(VLOOKUP(C2107,DATA!#REF!,2,FALSE),"")</f>
        <v/>
      </c>
      <c r="I2107" s="17"/>
      <c r="J2107" s="17"/>
      <c r="P2107" s="17"/>
      <c r="Q2107" s="17"/>
    </row>
    <row r="2108" spans="2:17">
      <c r="B2108" s="15" t="str">
        <f t="shared" si="83"/>
        <v/>
      </c>
      <c r="C2108" s="16" t="str">
        <f>IFERROR(VLOOKUP(DATA!#REF!,DATA!#REF!,1,FALSE),"")</f>
        <v/>
      </c>
      <c r="D2108" s="16" t="str">
        <f>IFERROR(VLOOKUP(C2108,DATA!#REF!,2,FALSE),"")</f>
        <v/>
      </c>
      <c r="I2108" s="17"/>
      <c r="J2108" s="17"/>
      <c r="P2108" s="17"/>
      <c r="Q2108" s="17"/>
    </row>
    <row r="2109" spans="2:17">
      <c r="B2109" s="15" t="str">
        <f t="shared" si="83"/>
        <v/>
      </c>
      <c r="C2109" s="16" t="str">
        <f>IFERROR(VLOOKUP(DATA!#REF!,DATA!#REF!,1,FALSE),"")</f>
        <v/>
      </c>
      <c r="D2109" s="16" t="str">
        <f>IFERROR(VLOOKUP(C2109,DATA!#REF!,2,FALSE),"")</f>
        <v/>
      </c>
      <c r="I2109" s="17"/>
      <c r="J2109" s="17"/>
      <c r="P2109" s="17"/>
      <c r="Q2109" s="17"/>
    </row>
    <row r="2110" spans="2:17">
      <c r="B2110" s="15" t="str">
        <f t="shared" si="83"/>
        <v/>
      </c>
      <c r="C2110" s="16" t="str">
        <f>IFERROR(VLOOKUP(DATA!#REF!,DATA!#REF!,1,FALSE),"")</f>
        <v/>
      </c>
      <c r="D2110" s="16" t="str">
        <f>IFERROR(VLOOKUP(C2110,DATA!#REF!,2,FALSE),"")</f>
        <v/>
      </c>
      <c r="I2110" s="17"/>
      <c r="J2110" s="17"/>
      <c r="P2110" s="17"/>
      <c r="Q2110" s="17"/>
    </row>
    <row r="2111" spans="2:17">
      <c r="B2111" s="15" t="str">
        <f t="shared" si="83"/>
        <v/>
      </c>
      <c r="C2111" s="16" t="str">
        <f>IFERROR(VLOOKUP(DATA!#REF!,DATA!#REF!,1,FALSE),"")</f>
        <v/>
      </c>
      <c r="D2111" s="16" t="str">
        <f>IFERROR(VLOOKUP(C2111,DATA!#REF!,2,FALSE),"")</f>
        <v/>
      </c>
      <c r="I2111" s="17"/>
      <c r="J2111" s="17"/>
      <c r="P2111" s="17"/>
      <c r="Q2111" s="17"/>
    </row>
    <row r="2112" spans="2:17">
      <c r="B2112" s="15" t="str">
        <f t="shared" si="83"/>
        <v/>
      </c>
      <c r="C2112" s="16" t="str">
        <f>IFERROR(VLOOKUP(DATA!#REF!,DATA!#REF!,1,FALSE),"")</f>
        <v/>
      </c>
      <c r="D2112" s="16" t="str">
        <f>IFERROR(VLOOKUP(C2112,DATA!#REF!,2,FALSE),"")</f>
        <v/>
      </c>
      <c r="I2112" s="17"/>
      <c r="J2112" s="17"/>
      <c r="P2112" s="17"/>
      <c r="Q2112" s="17"/>
    </row>
    <row r="2113" spans="2:17">
      <c r="B2113" s="15" t="str">
        <f t="shared" si="83"/>
        <v/>
      </c>
      <c r="C2113" s="16" t="str">
        <f>IFERROR(VLOOKUP(DATA!#REF!,DATA!#REF!,1,FALSE),"")</f>
        <v/>
      </c>
      <c r="D2113" s="16" t="str">
        <f>IFERROR(VLOOKUP(C2113,DATA!#REF!,2,FALSE),"")</f>
        <v/>
      </c>
      <c r="I2113" s="17"/>
      <c r="J2113" s="17"/>
      <c r="P2113" s="17"/>
      <c r="Q2113" s="17"/>
    </row>
    <row r="2114" spans="2:17">
      <c r="B2114" s="15" t="str">
        <f t="shared" si="83"/>
        <v/>
      </c>
      <c r="C2114" s="16" t="str">
        <f>IFERROR(VLOOKUP(DATA!#REF!,DATA!#REF!,1,FALSE),"")</f>
        <v/>
      </c>
      <c r="D2114" s="16" t="str">
        <f>IFERROR(VLOOKUP(C2114,DATA!#REF!,2,FALSE),"")</f>
        <v/>
      </c>
      <c r="I2114" s="17"/>
      <c r="J2114" s="17"/>
      <c r="P2114" s="17"/>
      <c r="Q2114" s="17"/>
    </row>
    <row r="2115" spans="2:17">
      <c r="B2115" s="15" t="str">
        <f t="shared" si="83"/>
        <v/>
      </c>
      <c r="C2115" s="16" t="str">
        <f>IFERROR(VLOOKUP(DATA!#REF!,DATA!#REF!,1,FALSE),"")</f>
        <v/>
      </c>
      <c r="D2115" s="16" t="str">
        <f>IFERROR(VLOOKUP(C2115,DATA!#REF!,2,FALSE),"")</f>
        <v/>
      </c>
      <c r="I2115" s="17"/>
      <c r="J2115" s="17"/>
      <c r="P2115" s="17"/>
      <c r="Q2115" s="17"/>
    </row>
    <row r="2116" spans="2:17">
      <c r="B2116" s="15" t="str">
        <f t="shared" si="83"/>
        <v/>
      </c>
      <c r="C2116" s="16" t="str">
        <f>IFERROR(VLOOKUP(DATA!#REF!,DATA!#REF!,1,FALSE),"")</f>
        <v/>
      </c>
      <c r="D2116" s="16" t="str">
        <f>IFERROR(VLOOKUP(C2116,DATA!#REF!,2,FALSE),"")</f>
        <v/>
      </c>
      <c r="I2116" s="17"/>
      <c r="J2116" s="17"/>
      <c r="P2116" s="17"/>
      <c r="Q2116" s="17"/>
    </row>
    <row r="2117" spans="2:17">
      <c r="B2117" s="15" t="str">
        <f t="shared" si="83"/>
        <v/>
      </c>
      <c r="C2117" s="16" t="str">
        <f>IFERROR(VLOOKUP(DATA!#REF!,DATA!#REF!,1,FALSE),"")</f>
        <v/>
      </c>
      <c r="D2117" s="16" t="str">
        <f>IFERROR(VLOOKUP(C2117,DATA!#REF!,2,FALSE),"")</f>
        <v/>
      </c>
      <c r="I2117" s="17"/>
      <c r="J2117" s="17"/>
      <c r="P2117" s="17"/>
      <c r="Q2117" s="17"/>
    </row>
    <row r="2118" spans="2:17">
      <c r="B2118" s="15" t="str">
        <f t="shared" si="83"/>
        <v/>
      </c>
      <c r="C2118" s="16" t="str">
        <f>IFERROR(VLOOKUP(DATA!#REF!,DATA!#REF!,1,FALSE),"")</f>
        <v/>
      </c>
      <c r="D2118" s="16" t="str">
        <f>IFERROR(VLOOKUP(C2118,DATA!#REF!,2,FALSE),"")</f>
        <v/>
      </c>
      <c r="I2118" s="17"/>
      <c r="J2118" s="17"/>
      <c r="P2118" s="17"/>
      <c r="Q2118" s="17"/>
    </row>
    <row r="2119" spans="2:17">
      <c r="B2119" s="15" t="str">
        <f t="shared" si="83"/>
        <v/>
      </c>
      <c r="C2119" s="16" t="str">
        <f>IFERROR(VLOOKUP(DATA!#REF!,DATA!#REF!,1,FALSE),"")</f>
        <v/>
      </c>
      <c r="D2119" s="16" t="str">
        <f>IFERROR(VLOOKUP(C2119,DATA!#REF!,2,FALSE),"")</f>
        <v/>
      </c>
      <c r="I2119" s="17"/>
      <c r="J2119" s="17"/>
      <c r="P2119" s="17"/>
      <c r="Q2119" s="17"/>
    </row>
    <row r="2120" spans="2:17">
      <c r="B2120" s="15" t="str">
        <f t="shared" si="83"/>
        <v/>
      </c>
      <c r="C2120" s="16" t="str">
        <f>IFERROR(VLOOKUP(DATA!#REF!,DATA!#REF!,1,FALSE),"")</f>
        <v/>
      </c>
      <c r="D2120" s="16" t="str">
        <f>IFERROR(VLOOKUP(C2120,DATA!#REF!,2,FALSE),"")</f>
        <v/>
      </c>
      <c r="I2120" s="17"/>
      <c r="J2120" s="17"/>
      <c r="P2120" s="17"/>
      <c r="Q2120" s="17"/>
    </row>
    <row r="2121" spans="2:17">
      <c r="B2121" s="15" t="str">
        <f t="shared" si="83"/>
        <v/>
      </c>
      <c r="C2121" s="16" t="str">
        <f>IFERROR(VLOOKUP(DATA!#REF!,DATA!#REF!,1,FALSE),"")</f>
        <v/>
      </c>
      <c r="D2121" s="16" t="str">
        <f>IFERROR(VLOOKUP(C2121,DATA!#REF!,2,FALSE),"")</f>
        <v/>
      </c>
      <c r="I2121" s="17"/>
      <c r="J2121" s="17"/>
      <c r="P2121" s="17"/>
      <c r="Q2121" s="17"/>
    </row>
    <row r="2122" spans="2:17">
      <c r="B2122" s="15" t="str">
        <f t="shared" si="83"/>
        <v/>
      </c>
      <c r="C2122" s="16" t="str">
        <f>IFERROR(VLOOKUP(DATA!#REF!,DATA!#REF!,1,FALSE),"")</f>
        <v/>
      </c>
      <c r="D2122" s="16" t="str">
        <f>IFERROR(VLOOKUP(C2122,DATA!#REF!,2,FALSE),"")</f>
        <v/>
      </c>
      <c r="I2122" s="17"/>
      <c r="J2122" s="17"/>
      <c r="P2122" s="17"/>
      <c r="Q2122" s="17"/>
    </row>
    <row r="2123" spans="2:17">
      <c r="B2123" s="15" t="str">
        <f t="shared" si="83"/>
        <v/>
      </c>
      <c r="C2123" s="16" t="str">
        <f>IFERROR(VLOOKUP(DATA!#REF!,DATA!#REF!,1,FALSE),"")</f>
        <v/>
      </c>
      <c r="D2123" s="16" t="str">
        <f>IFERROR(VLOOKUP(C2123,DATA!#REF!,2,FALSE),"")</f>
        <v/>
      </c>
      <c r="I2123" s="17"/>
      <c r="J2123" s="17"/>
      <c r="P2123" s="17"/>
      <c r="Q2123" s="17"/>
    </row>
    <row r="2124" spans="2:17">
      <c r="B2124" s="15" t="str">
        <f t="shared" si="83"/>
        <v/>
      </c>
      <c r="C2124" s="16" t="str">
        <f>IFERROR(VLOOKUP(DATA!#REF!,DATA!#REF!,1,FALSE),"")</f>
        <v/>
      </c>
      <c r="D2124" s="16" t="str">
        <f>IFERROR(VLOOKUP(C2124,DATA!#REF!,2,FALSE),"")</f>
        <v/>
      </c>
      <c r="I2124" s="17"/>
      <c r="J2124" s="17"/>
      <c r="P2124" s="17"/>
      <c r="Q2124" s="17"/>
    </row>
    <row r="2125" spans="2:17">
      <c r="B2125" s="15" t="str">
        <f t="shared" si="83"/>
        <v/>
      </c>
      <c r="C2125" s="16" t="str">
        <f>IFERROR(VLOOKUP(DATA!#REF!,DATA!#REF!,1,FALSE),"")</f>
        <v/>
      </c>
      <c r="D2125" s="16" t="str">
        <f>IFERROR(VLOOKUP(C2125,DATA!#REF!,2,FALSE),"")</f>
        <v/>
      </c>
      <c r="I2125" s="17"/>
      <c r="J2125" s="17"/>
      <c r="P2125" s="17"/>
      <c r="Q2125" s="17"/>
    </row>
    <row r="2126" spans="2:17">
      <c r="B2126" s="15" t="str">
        <f t="shared" si="83"/>
        <v/>
      </c>
      <c r="C2126" s="16" t="str">
        <f>IFERROR(VLOOKUP(DATA!#REF!,DATA!#REF!,1,FALSE),"")</f>
        <v/>
      </c>
      <c r="D2126" s="16" t="str">
        <f>IFERROR(VLOOKUP(C2126,DATA!#REF!,2,FALSE),"")</f>
        <v/>
      </c>
      <c r="I2126" s="17"/>
      <c r="J2126" s="17"/>
      <c r="P2126" s="17"/>
      <c r="Q2126" s="17"/>
    </row>
    <row r="2127" spans="2:17">
      <c r="B2127" s="15" t="str">
        <f t="shared" si="83"/>
        <v/>
      </c>
      <c r="C2127" s="16" t="str">
        <f>IFERROR(VLOOKUP(DATA!#REF!,DATA!#REF!,1,FALSE),"")</f>
        <v/>
      </c>
      <c r="D2127" s="16" t="str">
        <f>IFERROR(VLOOKUP(C2127,DATA!#REF!,2,FALSE),"")</f>
        <v/>
      </c>
      <c r="I2127" s="17"/>
      <c r="J2127" s="17"/>
      <c r="P2127" s="17"/>
      <c r="Q2127" s="17"/>
    </row>
    <row r="2128" spans="2:17">
      <c r="B2128" s="15" t="str">
        <f t="shared" si="83"/>
        <v/>
      </c>
      <c r="C2128" s="16" t="str">
        <f>IFERROR(VLOOKUP(DATA!#REF!,DATA!#REF!,1,FALSE),"")</f>
        <v/>
      </c>
      <c r="D2128" s="16" t="str">
        <f>IFERROR(VLOOKUP(C2128,DATA!#REF!,2,FALSE),"")</f>
        <v/>
      </c>
      <c r="I2128" s="17"/>
      <c r="J2128" s="17"/>
      <c r="P2128" s="17"/>
      <c r="Q2128" s="17"/>
    </row>
    <row r="2129" spans="2:17">
      <c r="B2129" s="15" t="str">
        <f t="shared" si="83"/>
        <v/>
      </c>
      <c r="C2129" s="16" t="str">
        <f>IFERROR(VLOOKUP(DATA!#REF!,DATA!#REF!,1,FALSE),"")</f>
        <v/>
      </c>
      <c r="D2129" s="16" t="str">
        <f>IFERROR(VLOOKUP(C2129,DATA!#REF!,2,FALSE),"")</f>
        <v/>
      </c>
      <c r="I2129" s="17"/>
      <c r="J2129" s="17"/>
      <c r="P2129" s="17"/>
      <c r="Q2129" s="17"/>
    </row>
    <row r="2130" spans="2:17">
      <c r="B2130" s="15" t="str">
        <f t="shared" si="83"/>
        <v/>
      </c>
      <c r="C2130" s="16" t="str">
        <f>IFERROR(VLOOKUP(DATA!#REF!,DATA!#REF!,1,FALSE),"")</f>
        <v/>
      </c>
      <c r="D2130" s="16" t="str">
        <f>IFERROR(VLOOKUP(C2130,DATA!#REF!,2,FALSE),"")</f>
        <v/>
      </c>
      <c r="I2130" s="17"/>
      <c r="J2130" s="17"/>
      <c r="P2130" s="17"/>
      <c r="Q2130" s="17"/>
    </row>
    <row r="2131" spans="2:17">
      <c r="B2131" s="15" t="str">
        <f t="shared" si="83"/>
        <v/>
      </c>
      <c r="C2131" s="16" t="str">
        <f>IFERROR(VLOOKUP(DATA!#REF!,DATA!#REF!,1,FALSE),"")</f>
        <v/>
      </c>
      <c r="D2131" s="16" t="str">
        <f>IFERROR(VLOOKUP(C2131,DATA!#REF!,2,FALSE),"")</f>
        <v/>
      </c>
      <c r="I2131" s="17"/>
      <c r="J2131" s="17"/>
      <c r="P2131" s="17"/>
      <c r="Q2131" s="17"/>
    </row>
    <row r="2132" spans="2:17">
      <c r="B2132" s="15" t="str">
        <f t="shared" si="83"/>
        <v/>
      </c>
      <c r="C2132" s="16" t="str">
        <f>IFERROR(VLOOKUP(DATA!#REF!,DATA!#REF!,1,FALSE),"")</f>
        <v/>
      </c>
      <c r="D2132" s="16" t="str">
        <f>IFERROR(VLOOKUP(C2132,DATA!#REF!,2,FALSE),"")</f>
        <v/>
      </c>
      <c r="I2132" s="17"/>
      <c r="J2132" s="17"/>
      <c r="P2132" s="17"/>
      <c r="Q2132" s="17"/>
    </row>
    <row r="2133" spans="2:17">
      <c r="B2133" s="15" t="str">
        <f t="shared" si="83"/>
        <v/>
      </c>
      <c r="C2133" s="16" t="str">
        <f>IFERROR(VLOOKUP(DATA!#REF!,DATA!#REF!,1,FALSE),"")</f>
        <v/>
      </c>
      <c r="D2133" s="16" t="str">
        <f>IFERROR(VLOOKUP(C2133,DATA!#REF!,2,FALSE),"")</f>
        <v/>
      </c>
      <c r="I2133" s="17"/>
      <c r="J2133" s="17"/>
      <c r="P2133" s="17"/>
      <c r="Q2133" s="17"/>
    </row>
    <row r="2134" spans="2:17">
      <c r="B2134" s="15" t="str">
        <f t="shared" si="83"/>
        <v/>
      </c>
      <c r="C2134" s="16" t="str">
        <f>IFERROR(VLOOKUP(DATA!#REF!,DATA!#REF!,1,FALSE),"")</f>
        <v/>
      </c>
      <c r="D2134" s="16" t="str">
        <f>IFERROR(VLOOKUP(C2134,DATA!#REF!,2,FALSE),"")</f>
        <v/>
      </c>
      <c r="I2134" s="17"/>
      <c r="J2134" s="17"/>
      <c r="P2134" s="17"/>
      <c r="Q2134" s="17"/>
    </row>
    <row r="2135" spans="2:17">
      <c r="B2135" s="15" t="str">
        <f t="shared" si="83"/>
        <v/>
      </c>
      <c r="C2135" s="16" t="str">
        <f>IFERROR(VLOOKUP(DATA!#REF!,DATA!#REF!,1,FALSE),"")</f>
        <v/>
      </c>
      <c r="D2135" s="16" t="str">
        <f>IFERROR(VLOOKUP(C2135,DATA!#REF!,2,FALSE),"")</f>
        <v/>
      </c>
      <c r="I2135" s="17"/>
      <c r="J2135" s="17"/>
      <c r="P2135" s="17"/>
      <c r="Q2135" s="17"/>
    </row>
    <row r="2136" spans="2:17">
      <c r="B2136" s="15" t="str">
        <f t="shared" si="83"/>
        <v/>
      </c>
      <c r="C2136" s="16" t="str">
        <f>IFERROR(VLOOKUP(DATA!#REF!,DATA!#REF!,1,FALSE),"")</f>
        <v/>
      </c>
      <c r="D2136" s="16" t="str">
        <f>IFERROR(VLOOKUP(C2136,DATA!#REF!,2,FALSE),"")</f>
        <v/>
      </c>
      <c r="I2136" s="17"/>
      <c r="J2136" s="17"/>
      <c r="P2136" s="17"/>
      <c r="Q2136" s="17"/>
    </row>
    <row r="2137" spans="2:17">
      <c r="B2137" s="15" t="str">
        <f t="shared" si="83"/>
        <v/>
      </c>
      <c r="C2137" s="16" t="str">
        <f>IFERROR(VLOOKUP(DATA!#REF!,DATA!#REF!,1,FALSE),"")</f>
        <v/>
      </c>
      <c r="D2137" s="16" t="str">
        <f>IFERROR(VLOOKUP(C2137,DATA!#REF!,2,FALSE),"")</f>
        <v/>
      </c>
      <c r="I2137" s="17"/>
      <c r="J2137" s="17"/>
      <c r="P2137" s="17"/>
      <c r="Q2137" s="17"/>
    </row>
    <row r="2138" spans="2:17">
      <c r="B2138" s="15" t="str">
        <f t="shared" si="83"/>
        <v/>
      </c>
      <c r="C2138" s="16" t="str">
        <f>IFERROR(VLOOKUP(DATA!#REF!,DATA!#REF!,1,FALSE),"")</f>
        <v/>
      </c>
      <c r="D2138" s="16" t="str">
        <f>IFERROR(VLOOKUP(C2138,DATA!#REF!,2,FALSE),"")</f>
        <v/>
      </c>
      <c r="I2138" s="17"/>
      <c r="J2138" s="17"/>
      <c r="P2138" s="17"/>
      <c r="Q2138" s="17"/>
    </row>
    <row r="2139" spans="2:17">
      <c r="B2139" s="15" t="str">
        <f t="shared" si="83"/>
        <v/>
      </c>
      <c r="C2139" s="16" t="str">
        <f>IFERROR(VLOOKUP(DATA!#REF!,DATA!#REF!,1,FALSE),"")</f>
        <v/>
      </c>
      <c r="D2139" s="16" t="str">
        <f>IFERROR(VLOOKUP(C2139,DATA!#REF!,2,FALSE),"")</f>
        <v/>
      </c>
      <c r="I2139" s="17"/>
      <c r="J2139" s="17"/>
      <c r="P2139" s="17"/>
      <c r="Q2139" s="17"/>
    </row>
    <row r="2140" spans="2:17">
      <c r="B2140" s="15" t="str">
        <f t="shared" si="83"/>
        <v/>
      </c>
      <c r="C2140" s="16" t="str">
        <f>IFERROR(VLOOKUP(DATA!#REF!,DATA!#REF!,1,FALSE),"")</f>
        <v/>
      </c>
      <c r="D2140" s="16" t="str">
        <f>IFERROR(VLOOKUP(C2140,DATA!#REF!,2,FALSE),"")</f>
        <v/>
      </c>
      <c r="I2140" s="17"/>
      <c r="J2140" s="17"/>
      <c r="P2140" s="17"/>
      <c r="Q2140" s="17"/>
    </row>
    <row r="2141" spans="2:17">
      <c r="B2141" s="15" t="str">
        <f t="shared" si="83"/>
        <v/>
      </c>
      <c r="C2141" s="16" t="str">
        <f>IFERROR(VLOOKUP(DATA!#REF!,DATA!#REF!,1,FALSE),"")</f>
        <v/>
      </c>
      <c r="D2141" s="16" t="str">
        <f>IFERROR(VLOOKUP(C2141,DATA!#REF!,2,FALSE),"")</f>
        <v/>
      </c>
      <c r="I2141" s="17"/>
      <c r="J2141" s="17"/>
      <c r="P2141" s="17"/>
      <c r="Q2141" s="17"/>
    </row>
    <row r="2142" spans="2:17">
      <c r="B2142" s="15" t="str">
        <f t="shared" si="83"/>
        <v/>
      </c>
      <c r="C2142" s="16" t="str">
        <f>IFERROR(VLOOKUP(DATA!#REF!,DATA!#REF!,1,FALSE),"")</f>
        <v/>
      </c>
      <c r="D2142" s="16" t="str">
        <f>IFERROR(VLOOKUP(C2142,DATA!#REF!,2,FALSE),"")</f>
        <v/>
      </c>
      <c r="I2142" s="17"/>
      <c r="J2142" s="17"/>
      <c r="P2142" s="17"/>
      <c r="Q2142" s="17"/>
    </row>
    <row r="2143" spans="2:17">
      <c r="B2143" s="15" t="str">
        <f t="shared" si="83"/>
        <v/>
      </c>
      <c r="C2143" s="16" t="str">
        <f>IFERROR(VLOOKUP(DATA!#REF!,DATA!#REF!,1,FALSE),"")</f>
        <v/>
      </c>
      <c r="D2143" s="16" t="str">
        <f>IFERROR(VLOOKUP(C2143,DATA!#REF!,2,FALSE),"")</f>
        <v/>
      </c>
      <c r="I2143" s="17"/>
      <c r="J2143" s="17"/>
      <c r="P2143" s="17"/>
      <c r="Q2143" s="17"/>
    </row>
    <row r="2144" spans="2:17">
      <c r="B2144" s="15" t="str">
        <f t="shared" si="83"/>
        <v/>
      </c>
      <c r="C2144" s="16" t="str">
        <f>IFERROR(VLOOKUP(DATA!#REF!,DATA!#REF!,1,FALSE),"")</f>
        <v/>
      </c>
      <c r="D2144" s="16" t="str">
        <f>IFERROR(VLOOKUP(C2144,DATA!#REF!,2,FALSE),"")</f>
        <v/>
      </c>
      <c r="I2144" s="17"/>
      <c r="J2144" s="17"/>
      <c r="P2144" s="17"/>
      <c r="Q2144" s="17"/>
    </row>
    <row r="2145" spans="2:17">
      <c r="B2145" s="15" t="str">
        <f t="shared" si="83"/>
        <v/>
      </c>
      <c r="C2145" s="16" t="str">
        <f>IFERROR(VLOOKUP(DATA!#REF!,DATA!#REF!,1,FALSE),"")</f>
        <v/>
      </c>
      <c r="D2145" s="16" t="str">
        <f>IFERROR(VLOOKUP(C2145,DATA!#REF!,2,FALSE),"")</f>
        <v/>
      </c>
      <c r="I2145" s="17"/>
      <c r="J2145" s="17"/>
      <c r="P2145" s="17"/>
      <c r="Q2145" s="17"/>
    </row>
    <row r="2146" spans="2:17">
      <c r="B2146" s="15" t="str">
        <f t="shared" si="83"/>
        <v/>
      </c>
      <c r="C2146" s="16" t="str">
        <f>IFERROR(VLOOKUP(DATA!#REF!,DATA!#REF!,1,FALSE),"")</f>
        <v/>
      </c>
      <c r="D2146" s="16" t="str">
        <f>IFERROR(VLOOKUP(C2146,DATA!#REF!,2,FALSE),"")</f>
        <v/>
      </c>
      <c r="I2146" s="17"/>
      <c r="J2146" s="17"/>
      <c r="P2146" s="17"/>
      <c r="Q2146" s="17"/>
    </row>
    <row r="2147" spans="2:17">
      <c r="B2147" s="15" t="str">
        <f t="shared" si="83"/>
        <v/>
      </c>
      <c r="C2147" s="16" t="str">
        <f>IFERROR(VLOOKUP(DATA!#REF!,DATA!#REF!,1,FALSE),"")</f>
        <v/>
      </c>
      <c r="D2147" s="16" t="str">
        <f>IFERROR(VLOOKUP(C2147,DATA!#REF!,2,FALSE),"")</f>
        <v/>
      </c>
      <c r="I2147" s="17"/>
      <c r="J2147" s="17"/>
      <c r="P2147" s="17"/>
      <c r="Q2147" s="17"/>
    </row>
    <row r="2148" spans="2:17">
      <c r="B2148" s="15" t="str">
        <f t="shared" si="83"/>
        <v/>
      </c>
      <c r="C2148" s="16" t="str">
        <f>IFERROR(VLOOKUP(DATA!#REF!,DATA!#REF!,1,FALSE),"")</f>
        <v/>
      </c>
      <c r="D2148" s="16" t="str">
        <f>IFERROR(VLOOKUP(C2148,DATA!#REF!,2,FALSE),"")</f>
        <v/>
      </c>
      <c r="I2148" s="17"/>
      <c r="J2148" s="17"/>
      <c r="P2148" s="17"/>
      <c r="Q2148" s="17"/>
    </row>
    <row r="2149" spans="2:17">
      <c r="B2149" s="15" t="str">
        <f t="shared" si="83"/>
        <v/>
      </c>
      <c r="C2149" s="16" t="str">
        <f>IFERROR(VLOOKUP(DATA!#REF!,DATA!#REF!,1,FALSE),"")</f>
        <v/>
      </c>
      <c r="D2149" s="16" t="str">
        <f>IFERROR(VLOOKUP(C2149,DATA!#REF!,2,FALSE),"")</f>
        <v/>
      </c>
      <c r="I2149" s="17"/>
      <c r="J2149" s="17"/>
      <c r="P2149" s="17"/>
      <c r="Q2149" s="17"/>
    </row>
    <row r="2150" spans="2:17">
      <c r="B2150" s="15" t="str">
        <f t="shared" si="83"/>
        <v/>
      </c>
      <c r="C2150" s="16" t="str">
        <f>IFERROR(VLOOKUP(DATA!#REF!,DATA!#REF!,1,FALSE),"")</f>
        <v/>
      </c>
      <c r="D2150" s="16" t="str">
        <f>IFERROR(VLOOKUP(C2150,DATA!#REF!,2,FALSE),"")</f>
        <v/>
      </c>
      <c r="I2150" s="17"/>
      <c r="J2150" s="17"/>
      <c r="P2150" s="17"/>
      <c r="Q2150" s="17"/>
    </row>
    <row r="2151" spans="2:17">
      <c r="B2151" s="15" t="str">
        <f t="shared" si="83"/>
        <v/>
      </c>
      <c r="C2151" s="16" t="str">
        <f>IFERROR(VLOOKUP(DATA!#REF!,DATA!#REF!,1,FALSE),"")</f>
        <v/>
      </c>
      <c r="D2151" s="16" t="str">
        <f>IFERROR(VLOOKUP(C2151,DATA!#REF!,2,FALSE),"")</f>
        <v/>
      </c>
      <c r="I2151" s="17"/>
      <c r="J2151" s="17"/>
      <c r="P2151" s="17"/>
      <c r="Q2151" s="17"/>
    </row>
    <row r="2152" spans="2:17">
      <c r="B2152" s="15" t="str">
        <f t="shared" si="83"/>
        <v/>
      </c>
      <c r="C2152" s="16" t="str">
        <f>IFERROR(VLOOKUP(DATA!#REF!,DATA!#REF!,1,FALSE),"")</f>
        <v/>
      </c>
      <c r="D2152" s="16" t="str">
        <f>IFERROR(VLOOKUP(C2152,DATA!#REF!,2,FALSE),"")</f>
        <v/>
      </c>
      <c r="I2152" s="17"/>
      <c r="J2152" s="17"/>
      <c r="P2152" s="17"/>
      <c r="Q2152" s="17"/>
    </row>
    <row r="2153" spans="2:17">
      <c r="B2153" s="15" t="str">
        <f t="shared" si="83"/>
        <v/>
      </c>
      <c r="C2153" s="16" t="str">
        <f>IFERROR(VLOOKUP(DATA!#REF!,DATA!#REF!,1,FALSE),"")</f>
        <v/>
      </c>
      <c r="D2153" s="16" t="str">
        <f>IFERROR(VLOOKUP(C2153,DATA!#REF!,2,FALSE),"")</f>
        <v/>
      </c>
      <c r="I2153" s="17"/>
      <c r="J2153" s="17"/>
      <c r="P2153" s="17"/>
      <c r="Q2153" s="17"/>
    </row>
    <row r="2154" spans="2:17">
      <c r="B2154" s="15" t="str">
        <f t="shared" si="83"/>
        <v/>
      </c>
      <c r="C2154" s="16" t="str">
        <f>IFERROR(VLOOKUP(DATA!#REF!,DATA!#REF!,1,FALSE),"")</f>
        <v/>
      </c>
      <c r="D2154" s="16" t="str">
        <f>IFERROR(VLOOKUP(C2154,DATA!#REF!,2,FALSE),"")</f>
        <v/>
      </c>
      <c r="I2154" s="17"/>
      <c r="J2154" s="17"/>
      <c r="P2154" s="17"/>
      <c r="Q2154" s="17"/>
    </row>
    <row r="2155" spans="2:17">
      <c r="B2155" s="15" t="str">
        <f t="shared" si="83"/>
        <v/>
      </c>
      <c r="C2155" s="16" t="str">
        <f>IFERROR(VLOOKUP(DATA!#REF!,DATA!#REF!,1,FALSE),"")</f>
        <v/>
      </c>
      <c r="D2155" s="16" t="str">
        <f>IFERROR(VLOOKUP(C2155,DATA!#REF!,2,FALSE),"")</f>
        <v/>
      </c>
      <c r="I2155" s="17"/>
      <c r="J2155" s="17"/>
      <c r="P2155" s="17"/>
      <c r="Q2155" s="17"/>
    </row>
    <row r="2156" spans="2:17">
      <c r="B2156" s="15" t="str">
        <f t="shared" si="83"/>
        <v/>
      </c>
      <c r="C2156" s="16" t="str">
        <f>IFERROR(VLOOKUP(DATA!#REF!,DATA!#REF!,1,FALSE),"")</f>
        <v/>
      </c>
      <c r="D2156" s="16" t="str">
        <f>IFERROR(VLOOKUP(C2156,DATA!#REF!,2,FALSE),"")</f>
        <v/>
      </c>
      <c r="I2156" s="17"/>
      <c r="J2156" s="17"/>
      <c r="P2156" s="17"/>
      <c r="Q2156" s="17"/>
    </row>
    <row r="2157" spans="2:17">
      <c r="B2157" s="15" t="str">
        <f t="shared" si="83"/>
        <v/>
      </c>
      <c r="C2157" s="16" t="str">
        <f>IFERROR(VLOOKUP(DATA!#REF!,DATA!#REF!,1,FALSE),"")</f>
        <v/>
      </c>
      <c r="D2157" s="16" t="str">
        <f>IFERROR(VLOOKUP(C2157,DATA!#REF!,2,FALSE),"")</f>
        <v/>
      </c>
      <c r="I2157" s="17"/>
      <c r="J2157" s="17"/>
      <c r="P2157" s="17"/>
      <c r="Q2157" s="17"/>
    </row>
    <row r="2158" spans="2:17">
      <c r="B2158" s="15" t="str">
        <f t="shared" si="83"/>
        <v/>
      </c>
      <c r="C2158" s="16" t="str">
        <f>IFERROR(VLOOKUP(DATA!#REF!,DATA!#REF!,1,FALSE),"")</f>
        <v/>
      </c>
      <c r="D2158" s="16" t="str">
        <f>IFERROR(VLOOKUP(C2158,DATA!#REF!,2,FALSE),"")</f>
        <v/>
      </c>
      <c r="I2158" s="17"/>
      <c r="J2158" s="17"/>
      <c r="P2158" s="17"/>
      <c r="Q2158" s="17"/>
    </row>
    <row r="2159" spans="2:17">
      <c r="B2159" s="15" t="str">
        <f t="shared" si="83"/>
        <v/>
      </c>
      <c r="C2159" s="16" t="str">
        <f>IFERROR(VLOOKUP(DATA!#REF!,DATA!#REF!,1,FALSE),"")</f>
        <v/>
      </c>
      <c r="D2159" s="16" t="str">
        <f>IFERROR(VLOOKUP(C2159,DATA!#REF!,2,FALSE),"")</f>
        <v/>
      </c>
      <c r="I2159" s="17"/>
      <c r="J2159" s="17"/>
      <c r="P2159" s="17"/>
      <c r="Q2159" s="17"/>
    </row>
    <row r="2160" spans="2:17">
      <c r="B2160" s="15" t="str">
        <f t="shared" si="83"/>
        <v/>
      </c>
      <c r="C2160" s="16" t="str">
        <f>IFERROR(VLOOKUP(DATA!#REF!,DATA!#REF!,1,FALSE),"")</f>
        <v/>
      </c>
      <c r="D2160" s="16" t="str">
        <f>IFERROR(VLOOKUP(C2160,DATA!#REF!,2,FALSE),"")</f>
        <v/>
      </c>
      <c r="I2160" s="17"/>
      <c r="J2160" s="17"/>
      <c r="P2160" s="17"/>
      <c r="Q2160" s="17"/>
    </row>
    <row r="2161" spans="2:17">
      <c r="B2161" s="15" t="str">
        <f t="shared" si="83"/>
        <v/>
      </c>
      <c r="C2161" s="16" t="str">
        <f>IFERROR(VLOOKUP(DATA!#REF!,DATA!#REF!,1,FALSE),"")</f>
        <v/>
      </c>
      <c r="D2161" s="16" t="str">
        <f>IFERROR(VLOOKUP(C2161,DATA!#REF!,2,FALSE),"")</f>
        <v/>
      </c>
      <c r="I2161" s="17"/>
      <c r="J2161" s="17"/>
      <c r="P2161" s="17"/>
      <c r="Q2161" s="17"/>
    </row>
    <row r="2162" spans="2:17">
      <c r="B2162" s="15" t="str">
        <f t="shared" si="83"/>
        <v/>
      </c>
      <c r="C2162" s="16" t="str">
        <f>IFERROR(VLOOKUP(DATA!#REF!,DATA!#REF!,1,FALSE),"")</f>
        <v/>
      </c>
      <c r="D2162" s="16" t="str">
        <f>IFERROR(VLOOKUP(C2162,DATA!#REF!,2,FALSE),"")</f>
        <v/>
      </c>
      <c r="I2162" s="17"/>
      <c r="J2162" s="17"/>
      <c r="P2162" s="17"/>
      <c r="Q2162" s="17"/>
    </row>
    <row r="2163" spans="2:17">
      <c r="B2163" s="15" t="str">
        <f t="shared" si="83"/>
        <v/>
      </c>
      <c r="C2163" s="16" t="str">
        <f>IFERROR(VLOOKUP(DATA!#REF!,DATA!#REF!,1,FALSE),"")</f>
        <v/>
      </c>
      <c r="D2163" s="16" t="str">
        <f>IFERROR(VLOOKUP(C2163,DATA!#REF!,2,FALSE),"")</f>
        <v/>
      </c>
      <c r="I2163" s="17"/>
      <c r="J2163" s="17"/>
      <c r="P2163" s="17"/>
      <c r="Q2163" s="17"/>
    </row>
    <row r="2164" spans="2:17">
      <c r="B2164" s="15" t="str">
        <f t="shared" si="83"/>
        <v/>
      </c>
      <c r="C2164" s="16" t="str">
        <f>IFERROR(VLOOKUP(DATA!#REF!,DATA!#REF!,1,FALSE),"")</f>
        <v/>
      </c>
      <c r="D2164" s="16" t="str">
        <f>IFERROR(VLOOKUP(C2164,DATA!#REF!,2,FALSE),"")</f>
        <v/>
      </c>
      <c r="I2164" s="17"/>
      <c r="J2164" s="17"/>
      <c r="P2164" s="17"/>
      <c r="Q2164" s="17"/>
    </row>
    <row r="2165" spans="2:17">
      <c r="B2165" s="15" t="str">
        <f t="shared" si="83"/>
        <v/>
      </c>
      <c r="C2165" s="16" t="str">
        <f>IFERROR(VLOOKUP(DATA!#REF!,DATA!#REF!,1,FALSE),"")</f>
        <v/>
      </c>
      <c r="D2165" s="16" t="str">
        <f>IFERROR(VLOOKUP(C2165,DATA!#REF!,2,FALSE),"")</f>
        <v/>
      </c>
      <c r="I2165" s="17"/>
      <c r="J2165" s="17"/>
      <c r="P2165" s="17"/>
      <c r="Q2165" s="17"/>
    </row>
    <row r="2166" spans="2:17">
      <c r="B2166" s="15" t="str">
        <f t="shared" si="83"/>
        <v/>
      </c>
      <c r="C2166" s="16" t="str">
        <f>IFERROR(VLOOKUP(DATA!#REF!,DATA!#REF!,1,FALSE),"")</f>
        <v/>
      </c>
      <c r="D2166" s="16" t="str">
        <f>IFERROR(VLOOKUP(C2166,DATA!#REF!,2,FALSE),"")</f>
        <v/>
      </c>
      <c r="I2166" s="17"/>
      <c r="J2166" s="17"/>
      <c r="P2166" s="17"/>
      <c r="Q2166" s="17"/>
    </row>
    <row r="2167" spans="2:17">
      <c r="B2167" s="15" t="str">
        <f t="shared" ref="B2167:B2195" si="84">+IF(C2167="","",ROW()-5)</f>
        <v/>
      </c>
      <c r="C2167" s="16" t="str">
        <f>IFERROR(VLOOKUP(DATA!#REF!,DATA!#REF!,1,FALSE),"")</f>
        <v/>
      </c>
      <c r="D2167" s="16" t="str">
        <f>IFERROR(VLOOKUP(C2167,DATA!#REF!,2,FALSE),"")</f>
        <v/>
      </c>
      <c r="I2167" s="17"/>
      <c r="J2167" s="17"/>
      <c r="P2167" s="17"/>
      <c r="Q2167" s="17"/>
    </row>
    <row r="2168" spans="2:17">
      <c r="B2168" s="15" t="str">
        <f t="shared" si="84"/>
        <v/>
      </c>
      <c r="C2168" s="16" t="str">
        <f>IFERROR(VLOOKUP(DATA!#REF!,DATA!#REF!,1,FALSE),"")</f>
        <v/>
      </c>
      <c r="D2168" s="16" t="str">
        <f>IFERROR(VLOOKUP(C2168,DATA!#REF!,2,FALSE),"")</f>
        <v/>
      </c>
      <c r="I2168" s="17"/>
      <c r="J2168" s="17"/>
      <c r="P2168" s="17"/>
      <c r="Q2168" s="17"/>
    </row>
    <row r="2169" spans="2:17">
      <c r="B2169" s="15" t="str">
        <f t="shared" si="84"/>
        <v/>
      </c>
      <c r="C2169" s="16" t="str">
        <f>IFERROR(VLOOKUP(DATA!#REF!,DATA!#REF!,1,FALSE),"")</f>
        <v/>
      </c>
      <c r="D2169" s="16" t="str">
        <f>IFERROR(VLOOKUP(C2169,DATA!#REF!,2,FALSE),"")</f>
        <v/>
      </c>
      <c r="I2169" s="17"/>
      <c r="J2169" s="17"/>
      <c r="P2169" s="17"/>
      <c r="Q2169" s="17"/>
    </row>
    <row r="2170" spans="2:17">
      <c r="B2170" s="15" t="str">
        <f t="shared" si="84"/>
        <v/>
      </c>
      <c r="C2170" s="16" t="str">
        <f>IFERROR(VLOOKUP(DATA!#REF!,DATA!#REF!,1,FALSE),"")</f>
        <v/>
      </c>
      <c r="D2170" s="16" t="str">
        <f>IFERROR(VLOOKUP(C2170,DATA!#REF!,2,FALSE),"")</f>
        <v/>
      </c>
      <c r="I2170" s="17"/>
      <c r="J2170" s="17"/>
      <c r="P2170" s="17"/>
      <c r="Q2170" s="17"/>
    </row>
    <row r="2171" spans="2:17">
      <c r="B2171" s="15" t="str">
        <f t="shared" si="84"/>
        <v/>
      </c>
      <c r="C2171" s="16" t="str">
        <f>IFERROR(VLOOKUP(DATA!#REF!,DATA!#REF!,1,FALSE),"")</f>
        <v/>
      </c>
      <c r="D2171" s="16" t="str">
        <f>IFERROR(VLOOKUP(C2171,DATA!#REF!,2,FALSE),"")</f>
        <v/>
      </c>
      <c r="I2171" s="17"/>
      <c r="J2171" s="17"/>
      <c r="P2171" s="17"/>
      <c r="Q2171" s="17"/>
    </row>
    <row r="2172" spans="2:17">
      <c r="B2172" s="15" t="str">
        <f t="shared" si="84"/>
        <v/>
      </c>
      <c r="C2172" s="16" t="str">
        <f>IFERROR(VLOOKUP(DATA!#REF!,DATA!#REF!,1,FALSE),"")</f>
        <v/>
      </c>
      <c r="D2172" s="16" t="str">
        <f>IFERROR(VLOOKUP(C2172,DATA!#REF!,2,FALSE),"")</f>
        <v/>
      </c>
      <c r="I2172" s="17"/>
      <c r="J2172" s="17"/>
      <c r="P2172" s="17"/>
      <c r="Q2172" s="17"/>
    </row>
    <row r="2173" spans="2:17">
      <c r="B2173" s="15" t="str">
        <f t="shared" si="84"/>
        <v/>
      </c>
      <c r="C2173" s="16" t="str">
        <f>IFERROR(VLOOKUP(DATA!#REF!,DATA!#REF!,1,FALSE),"")</f>
        <v/>
      </c>
      <c r="D2173" s="16" t="str">
        <f>IFERROR(VLOOKUP(C2173,DATA!#REF!,2,FALSE),"")</f>
        <v/>
      </c>
      <c r="I2173" s="17"/>
      <c r="J2173" s="17"/>
      <c r="P2173" s="17"/>
      <c r="Q2173" s="17"/>
    </row>
    <row r="2174" spans="2:17">
      <c r="B2174" s="15" t="str">
        <f t="shared" si="84"/>
        <v/>
      </c>
      <c r="C2174" s="16" t="str">
        <f>IFERROR(VLOOKUP(DATA!#REF!,DATA!#REF!,1,FALSE),"")</f>
        <v/>
      </c>
      <c r="D2174" s="16" t="str">
        <f>IFERROR(VLOOKUP(C2174,DATA!#REF!,2,FALSE),"")</f>
        <v/>
      </c>
      <c r="I2174" s="17"/>
      <c r="J2174" s="17"/>
      <c r="P2174" s="17"/>
      <c r="Q2174" s="17"/>
    </row>
    <row r="2175" spans="2:17">
      <c r="B2175" s="15" t="str">
        <f t="shared" si="84"/>
        <v/>
      </c>
      <c r="C2175" s="16" t="str">
        <f>IFERROR(VLOOKUP(DATA!#REF!,DATA!#REF!,1,FALSE),"")</f>
        <v/>
      </c>
      <c r="D2175" s="16" t="str">
        <f>IFERROR(VLOOKUP(C2175,DATA!#REF!,2,FALSE),"")</f>
        <v/>
      </c>
      <c r="I2175" s="17"/>
      <c r="J2175" s="17"/>
      <c r="P2175" s="17"/>
      <c r="Q2175" s="17"/>
    </row>
    <row r="2176" spans="2:17">
      <c r="B2176" s="15" t="str">
        <f t="shared" si="84"/>
        <v/>
      </c>
      <c r="C2176" s="16" t="str">
        <f>IFERROR(VLOOKUP(DATA!#REF!,DATA!#REF!,1,FALSE),"")</f>
        <v/>
      </c>
      <c r="D2176" s="16" t="str">
        <f>IFERROR(VLOOKUP(C2176,DATA!#REF!,2,FALSE),"")</f>
        <v/>
      </c>
      <c r="I2176" s="17"/>
      <c r="J2176" s="17"/>
      <c r="P2176" s="17"/>
      <c r="Q2176" s="17"/>
    </row>
    <row r="2177" spans="2:17">
      <c r="B2177" s="15" t="str">
        <f t="shared" si="84"/>
        <v/>
      </c>
      <c r="C2177" s="16" t="str">
        <f>IFERROR(VLOOKUP(DATA!#REF!,DATA!#REF!,1,FALSE),"")</f>
        <v/>
      </c>
      <c r="D2177" s="16" t="str">
        <f>IFERROR(VLOOKUP(C2177,DATA!#REF!,2,FALSE),"")</f>
        <v/>
      </c>
      <c r="I2177" s="17"/>
      <c r="J2177" s="17"/>
      <c r="P2177" s="17"/>
      <c r="Q2177" s="17"/>
    </row>
    <row r="2178" spans="2:17">
      <c r="B2178" s="15" t="str">
        <f t="shared" si="84"/>
        <v/>
      </c>
      <c r="C2178" s="16" t="str">
        <f>IFERROR(VLOOKUP(DATA!#REF!,DATA!#REF!,1,FALSE),"")</f>
        <v/>
      </c>
      <c r="D2178" s="16" t="str">
        <f>IFERROR(VLOOKUP(C2178,DATA!#REF!,2,FALSE),"")</f>
        <v/>
      </c>
      <c r="I2178" s="17"/>
      <c r="J2178" s="17"/>
      <c r="P2178" s="17"/>
      <c r="Q2178" s="17"/>
    </row>
    <row r="2179" spans="2:17">
      <c r="B2179" s="15" t="str">
        <f t="shared" si="84"/>
        <v/>
      </c>
      <c r="C2179" s="16" t="str">
        <f>IFERROR(VLOOKUP(DATA!#REF!,DATA!#REF!,1,FALSE),"")</f>
        <v/>
      </c>
      <c r="D2179" s="16" t="str">
        <f>IFERROR(VLOOKUP(C2179,DATA!#REF!,2,FALSE),"")</f>
        <v/>
      </c>
      <c r="I2179" s="17"/>
      <c r="J2179" s="17"/>
      <c r="P2179" s="17"/>
      <c r="Q2179" s="17"/>
    </row>
    <row r="2180" spans="2:17">
      <c r="B2180" s="15" t="str">
        <f t="shared" si="84"/>
        <v/>
      </c>
      <c r="C2180" s="16" t="str">
        <f>IFERROR(VLOOKUP(DATA!#REF!,DATA!#REF!,1,FALSE),"")</f>
        <v/>
      </c>
      <c r="D2180" s="16" t="str">
        <f>IFERROR(VLOOKUP(C2180,DATA!#REF!,2,FALSE),"")</f>
        <v/>
      </c>
      <c r="I2180" s="17"/>
      <c r="J2180" s="17"/>
      <c r="P2180" s="17"/>
      <c r="Q2180" s="17"/>
    </row>
    <row r="2181" spans="2:17">
      <c r="B2181" s="15" t="str">
        <f t="shared" si="84"/>
        <v/>
      </c>
      <c r="C2181" s="16" t="str">
        <f>IFERROR(VLOOKUP(DATA!#REF!,DATA!#REF!,1,FALSE),"")</f>
        <v/>
      </c>
      <c r="D2181" s="16" t="str">
        <f>IFERROR(VLOOKUP(C2181,DATA!#REF!,2,FALSE),"")</f>
        <v/>
      </c>
      <c r="I2181" s="17"/>
      <c r="J2181" s="17"/>
      <c r="P2181" s="17"/>
      <c r="Q2181" s="17"/>
    </row>
    <row r="2182" spans="2:17">
      <c r="B2182" s="15" t="str">
        <f t="shared" si="84"/>
        <v/>
      </c>
      <c r="C2182" s="16" t="str">
        <f>IFERROR(VLOOKUP(DATA!#REF!,DATA!#REF!,1,FALSE),"")</f>
        <v/>
      </c>
      <c r="D2182" s="16" t="str">
        <f>IFERROR(VLOOKUP(C2182,DATA!#REF!,2,FALSE),"")</f>
        <v/>
      </c>
      <c r="I2182" s="17"/>
      <c r="J2182" s="17"/>
      <c r="P2182" s="17"/>
      <c r="Q2182" s="17"/>
    </row>
    <row r="2183" spans="2:17">
      <c r="B2183" s="15" t="str">
        <f t="shared" si="84"/>
        <v/>
      </c>
      <c r="C2183" s="16" t="str">
        <f>IFERROR(VLOOKUP(DATA!#REF!,DATA!#REF!,1,FALSE),"")</f>
        <v/>
      </c>
      <c r="D2183" s="16" t="str">
        <f>IFERROR(VLOOKUP(C2183,DATA!#REF!,2,FALSE),"")</f>
        <v/>
      </c>
      <c r="I2183" s="17"/>
      <c r="J2183" s="17"/>
      <c r="P2183" s="17"/>
      <c r="Q2183" s="17"/>
    </row>
    <row r="2184" spans="2:17">
      <c r="B2184" s="15" t="str">
        <f t="shared" si="84"/>
        <v/>
      </c>
      <c r="C2184" s="16" t="str">
        <f>IFERROR(VLOOKUP(DATA!#REF!,DATA!#REF!,1,FALSE),"")</f>
        <v/>
      </c>
      <c r="D2184" s="16" t="str">
        <f>IFERROR(VLOOKUP(C2184,DATA!#REF!,2,FALSE),"")</f>
        <v/>
      </c>
      <c r="I2184" s="17"/>
      <c r="J2184" s="17"/>
      <c r="P2184" s="17"/>
      <c r="Q2184" s="17"/>
    </row>
    <row r="2185" spans="2:17">
      <c r="B2185" s="15" t="str">
        <f t="shared" si="84"/>
        <v/>
      </c>
      <c r="C2185" s="16" t="str">
        <f>IFERROR(VLOOKUP(DATA!#REF!,DATA!#REF!,1,FALSE),"")</f>
        <v/>
      </c>
      <c r="D2185" s="16" t="str">
        <f>IFERROR(VLOOKUP(C2185,DATA!#REF!,2,FALSE),"")</f>
        <v/>
      </c>
      <c r="I2185" s="17"/>
      <c r="J2185" s="17"/>
      <c r="P2185" s="17"/>
      <c r="Q2185" s="17"/>
    </row>
    <row r="2186" spans="2:17">
      <c r="B2186" s="15" t="str">
        <f t="shared" si="84"/>
        <v/>
      </c>
      <c r="C2186" s="16" t="str">
        <f>IFERROR(VLOOKUP(DATA!#REF!,DATA!#REF!,1,FALSE),"")</f>
        <v/>
      </c>
      <c r="D2186" s="16" t="str">
        <f>IFERROR(VLOOKUP(C2186,DATA!#REF!,2,FALSE),"")</f>
        <v/>
      </c>
      <c r="I2186" s="17"/>
      <c r="J2186" s="17"/>
      <c r="P2186" s="17"/>
      <c r="Q2186" s="17"/>
    </row>
    <row r="2187" spans="2:17">
      <c r="B2187" s="15" t="str">
        <f t="shared" si="84"/>
        <v/>
      </c>
      <c r="C2187" s="16" t="str">
        <f>IFERROR(VLOOKUP(DATA!#REF!,DATA!#REF!,1,FALSE),"")</f>
        <v/>
      </c>
      <c r="D2187" s="16" t="str">
        <f>IFERROR(VLOOKUP(C2187,DATA!#REF!,2,FALSE),"")</f>
        <v/>
      </c>
      <c r="I2187" s="17"/>
      <c r="J2187" s="17"/>
      <c r="P2187" s="17"/>
      <c r="Q2187" s="17"/>
    </row>
    <row r="2188" spans="2:17">
      <c r="B2188" s="15" t="str">
        <f t="shared" si="84"/>
        <v/>
      </c>
      <c r="C2188" s="16" t="str">
        <f>IFERROR(VLOOKUP(DATA!#REF!,DATA!#REF!,1,FALSE),"")</f>
        <v/>
      </c>
      <c r="D2188" s="16" t="str">
        <f>IFERROR(VLOOKUP(C2188,DATA!#REF!,2,FALSE),"")</f>
        <v/>
      </c>
      <c r="I2188" s="17"/>
      <c r="J2188" s="17"/>
      <c r="P2188" s="17"/>
      <c r="Q2188" s="17"/>
    </row>
    <row r="2189" spans="2:17">
      <c r="B2189" s="15" t="str">
        <f t="shared" si="84"/>
        <v/>
      </c>
      <c r="C2189" s="16" t="str">
        <f>IFERROR(VLOOKUP(DATA!#REF!,DATA!#REF!,1,FALSE),"")</f>
        <v/>
      </c>
      <c r="D2189" s="16" t="str">
        <f>IFERROR(VLOOKUP(C2189,DATA!#REF!,2,FALSE),"")</f>
        <v/>
      </c>
      <c r="I2189" s="17"/>
      <c r="J2189" s="17"/>
      <c r="P2189" s="17"/>
      <c r="Q2189" s="17"/>
    </row>
    <row r="2190" spans="2:17">
      <c r="B2190" s="15" t="str">
        <f t="shared" si="84"/>
        <v/>
      </c>
      <c r="C2190" s="16" t="str">
        <f>IFERROR(VLOOKUP(DATA!#REF!,DATA!#REF!,1,FALSE),"")</f>
        <v/>
      </c>
      <c r="D2190" s="16" t="str">
        <f>IFERROR(VLOOKUP(C2190,DATA!#REF!,2,FALSE),"")</f>
        <v/>
      </c>
      <c r="I2190" s="17"/>
      <c r="J2190" s="17"/>
      <c r="P2190" s="17"/>
      <c r="Q2190" s="17"/>
    </row>
    <row r="2191" spans="2:17">
      <c r="B2191" s="15" t="str">
        <f t="shared" si="84"/>
        <v/>
      </c>
      <c r="C2191" s="16" t="str">
        <f>IFERROR(VLOOKUP(DATA!#REF!,DATA!#REF!,1,FALSE),"")</f>
        <v/>
      </c>
      <c r="D2191" s="16" t="str">
        <f>IFERROR(VLOOKUP(C2191,DATA!#REF!,2,FALSE),"")</f>
        <v/>
      </c>
      <c r="I2191" s="17"/>
      <c r="J2191" s="17"/>
      <c r="P2191" s="17"/>
      <c r="Q2191" s="17"/>
    </row>
    <row r="2192" spans="2:17">
      <c r="B2192" s="15" t="str">
        <f t="shared" si="84"/>
        <v/>
      </c>
      <c r="C2192" s="16" t="str">
        <f>IFERROR(VLOOKUP(DATA!#REF!,DATA!#REF!,1,FALSE),"")</f>
        <v/>
      </c>
      <c r="D2192" s="16" t="str">
        <f>IFERROR(VLOOKUP(C2192,DATA!#REF!,2,FALSE),"")</f>
        <v/>
      </c>
      <c r="I2192" s="17"/>
      <c r="J2192" s="17"/>
      <c r="P2192" s="17"/>
      <c r="Q2192" s="17"/>
    </row>
    <row r="2193" spans="2:17">
      <c r="B2193" s="15" t="str">
        <f t="shared" si="84"/>
        <v/>
      </c>
      <c r="C2193" s="16" t="str">
        <f>IFERROR(VLOOKUP(DATA!#REF!,DATA!#REF!,1,FALSE),"")</f>
        <v/>
      </c>
      <c r="D2193" s="16" t="str">
        <f>IFERROR(VLOOKUP(C2193,DATA!#REF!,2,FALSE),"")</f>
        <v/>
      </c>
      <c r="I2193" s="17"/>
      <c r="J2193" s="17"/>
      <c r="P2193" s="17"/>
      <c r="Q2193" s="17"/>
    </row>
    <row r="2194" spans="2:17">
      <c r="B2194" s="15" t="str">
        <f t="shared" si="84"/>
        <v/>
      </c>
      <c r="C2194" s="16" t="str">
        <f>IFERROR(VLOOKUP(DATA!#REF!,DATA!#REF!,1,FALSE),"")</f>
        <v/>
      </c>
      <c r="D2194" s="16" t="str">
        <f>IFERROR(VLOOKUP(C2194,DATA!#REF!,2,FALSE),"")</f>
        <v/>
      </c>
      <c r="I2194" s="17"/>
      <c r="J2194" s="17"/>
      <c r="P2194" s="17"/>
      <c r="Q2194" s="17"/>
    </row>
    <row r="2195" spans="2:17">
      <c r="B2195" s="15" t="str">
        <f t="shared" si="84"/>
        <v/>
      </c>
      <c r="C2195" s="16" t="str">
        <f>IFERROR(VLOOKUP(DATA!#REF!,DATA!#REF!,1,FALSE),"")</f>
        <v/>
      </c>
      <c r="D2195" s="16" t="str">
        <f>IFERROR(VLOOKUP(C2195,DATA!#REF!,2,FALSE),"")</f>
        <v/>
      </c>
      <c r="I2195" s="17"/>
      <c r="J2195" s="17"/>
      <c r="P2195" s="17"/>
      <c r="Q2195" s="17"/>
    </row>
    <row r="2196" spans="2:17">
      <c r="C2196" s="16" t="str">
        <f>IFERROR(VLOOKUP(DATA!#REF!,DATA!#REF!,1,FALSE),"")</f>
        <v/>
      </c>
      <c r="D2196" s="16" t="str">
        <f>IFERROR(VLOOKUP(C2196,DATA!#REF!,2,FALSE),"")</f>
        <v/>
      </c>
      <c r="I2196" s="17"/>
      <c r="J2196" s="17"/>
      <c r="P2196" s="17"/>
      <c r="Q2196" s="17"/>
    </row>
    <row r="2197" spans="2:17">
      <c r="C2197" s="16" t="str">
        <f>IFERROR(VLOOKUP(DATA!#REF!,DATA!#REF!,1,FALSE),"")</f>
        <v/>
      </c>
      <c r="D2197" s="16" t="str">
        <f>IFERROR(VLOOKUP(C2197,DATA!#REF!,2,FALSE),"")</f>
        <v/>
      </c>
      <c r="I2197" s="17"/>
      <c r="J2197" s="17"/>
      <c r="P2197" s="17"/>
      <c r="Q2197" s="17"/>
    </row>
    <row r="2198" spans="2:17">
      <c r="C2198" s="16" t="str">
        <f>IFERROR(VLOOKUP(DATA!#REF!,DATA!#REF!,1,FALSE),"")</f>
        <v/>
      </c>
      <c r="D2198" s="16" t="str">
        <f>IFERROR(VLOOKUP(C2198,DATA!#REF!,2,FALSE),"")</f>
        <v/>
      </c>
      <c r="I2198" s="17"/>
      <c r="J2198" s="17"/>
      <c r="P2198" s="17"/>
      <c r="Q2198" s="17"/>
    </row>
    <row r="2199" spans="2:17">
      <c r="C2199" s="16" t="str">
        <f>IFERROR(VLOOKUP(DATA!#REF!,DATA!#REF!,1,FALSE),"")</f>
        <v/>
      </c>
      <c r="D2199" s="16" t="str">
        <f>IFERROR(VLOOKUP(C2199,DATA!#REF!,2,FALSE),"")</f>
        <v/>
      </c>
      <c r="I2199" s="17"/>
      <c r="J2199" s="17"/>
      <c r="P2199" s="17"/>
      <c r="Q2199" s="17"/>
    </row>
    <row r="2200" spans="2:17">
      <c r="C2200" s="16" t="str">
        <f>IFERROR(VLOOKUP(DATA!#REF!,DATA!#REF!,1,FALSE),"")</f>
        <v/>
      </c>
      <c r="D2200" s="16" t="str">
        <f>IFERROR(VLOOKUP(C2200,DATA!#REF!,2,FALSE),"")</f>
        <v/>
      </c>
      <c r="I2200" s="17"/>
      <c r="J2200" s="17"/>
      <c r="P2200" s="17"/>
      <c r="Q2200" s="17"/>
    </row>
    <row r="2201" spans="2:17">
      <c r="C2201" s="16" t="str">
        <f>IFERROR(VLOOKUP(DATA!#REF!,DATA!#REF!,1,FALSE),"")</f>
        <v/>
      </c>
      <c r="D2201" s="16" t="str">
        <f>IFERROR(VLOOKUP(C2201,DATA!#REF!,2,FALSE),"")</f>
        <v/>
      </c>
      <c r="I2201" s="17"/>
      <c r="J2201" s="17"/>
      <c r="P2201" s="17"/>
      <c r="Q2201" s="17"/>
    </row>
    <row r="2202" spans="2:17">
      <c r="C2202" s="16" t="str">
        <f>IFERROR(VLOOKUP(DATA!#REF!,DATA!#REF!,1,FALSE),"")</f>
        <v/>
      </c>
      <c r="D2202" s="16" t="str">
        <f>IFERROR(VLOOKUP(C2202,DATA!#REF!,2,FALSE),"")</f>
        <v/>
      </c>
      <c r="I2202" s="17"/>
      <c r="J2202" s="17"/>
      <c r="P2202" s="17"/>
      <c r="Q2202" s="17"/>
    </row>
    <row r="2203" spans="2:17">
      <c r="C2203" s="16" t="str">
        <f>IFERROR(VLOOKUP(DATA!#REF!,DATA!#REF!,1,FALSE),"")</f>
        <v/>
      </c>
      <c r="D2203" s="16" t="str">
        <f>IFERROR(VLOOKUP(C2203,DATA!#REF!,2,FALSE),"")</f>
        <v/>
      </c>
      <c r="I2203" s="17"/>
      <c r="J2203" s="17"/>
      <c r="P2203" s="17"/>
      <c r="Q2203" s="17"/>
    </row>
    <row r="2204" spans="2:17">
      <c r="C2204" s="16" t="str">
        <f>IFERROR(VLOOKUP(DATA!#REF!,DATA!#REF!,1,FALSE),"")</f>
        <v/>
      </c>
      <c r="D2204" s="16" t="str">
        <f>IFERROR(VLOOKUP(C2204,DATA!#REF!,2,FALSE),"")</f>
        <v/>
      </c>
      <c r="I2204" s="17"/>
      <c r="J2204" s="17"/>
      <c r="P2204" s="17"/>
      <c r="Q2204" s="17"/>
    </row>
    <row r="2205" spans="2:17">
      <c r="C2205" s="16" t="str">
        <f>IFERROR(VLOOKUP(DATA!#REF!,DATA!#REF!,1,FALSE),"")</f>
        <v/>
      </c>
      <c r="D2205" s="16" t="str">
        <f>IFERROR(VLOOKUP(C2205,DATA!#REF!,2,FALSE),"")</f>
        <v/>
      </c>
      <c r="I2205" s="17"/>
      <c r="J2205" s="17"/>
      <c r="P2205" s="17"/>
      <c r="Q2205" s="17"/>
    </row>
    <row r="2206" spans="2:17">
      <c r="C2206" s="16" t="str">
        <f>IFERROR(VLOOKUP(DATA!#REF!,DATA!#REF!,1,FALSE),"")</f>
        <v/>
      </c>
      <c r="D2206" s="16" t="str">
        <f>IFERROR(VLOOKUP(C2206,DATA!#REF!,2,FALSE),"")</f>
        <v/>
      </c>
      <c r="I2206" s="17"/>
      <c r="J2206" s="17"/>
      <c r="P2206" s="17"/>
      <c r="Q2206" s="17"/>
    </row>
    <row r="2207" spans="2:17">
      <c r="B2207" s="17"/>
      <c r="C2207" s="16" t="str">
        <f>IFERROR(VLOOKUP(DATA!#REF!,DATA!#REF!,1,FALSE),"")</f>
        <v/>
      </c>
      <c r="D2207" s="16" t="str">
        <f>IFERROR(VLOOKUP(C2207,DATA!#REF!,2,FALSE),"")</f>
        <v/>
      </c>
      <c r="I2207" s="17"/>
      <c r="J2207" s="17"/>
      <c r="P2207" s="17"/>
      <c r="Q2207" s="17"/>
    </row>
    <row r="2208" spans="2:17">
      <c r="B2208" s="17"/>
      <c r="C2208" s="16" t="str">
        <f>IFERROR(VLOOKUP(DATA!#REF!,DATA!#REF!,1,FALSE),"")</f>
        <v/>
      </c>
      <c r="D2208" s="16" t="str">
        <f>IFERROR(VLOOKUP(C2208,DATA!#REF!,2,FALSE),"")</f>
        <v/>
      </c>
      <c r="I2208" s="17"/>
      <c r="J2208" s="17"/>
      <c r="P2208" s="17"/>
      <c r="Q2208" s="17"/>
    </row>
    <row r="2209" spans="2:17">
      <c r="B2209" s="17"/>
      <c r="C2209" s="16" t="str">
        <f>IFERROR(VLOOKUP(DATA!#REF!,DATA!#REF!,1,FALSE),"")</f>
        <v/>
      </c>
      <c r="D2209" s="16" t="str">
        <f>IFERROR(VLOOKUP(C2209,DATA!#REF!,2,FALSE),"")</f>
        <v/>
      </c>
      <c r="I2209" s="17"/>
      <c r="J2209" s="17"/>
      <c r="P2209" s="17"/>
      <c r="Q2209" s="17"/>
    </row>
    <row r="2210" spans="2:17">
      <c r="B2210" s="17"/>
      <c r="C2210" s="16" t="str">
        <f>IFERROR(VLOOKUP(DATA!#REF!,DATA!#REF!,1,FALSE),"")</f>
        <v/>
      </c>
      <c r="D2210" s="16" t="str">
        <f>IFERROR(VLOOKUP(C2210,DATA!#REF!,2,FALSE),"")</f>
        <v/>
      </c>
      <c r="I2210" s="17"/>
      <c r="J2210" s="17"/>
      <c r="P2210" s="17"/>
      <c r="Q2210" s="17"/>
    </row>
    <row r="2211" spans="2:17">
      <c r="B2211" s="17"/>
      <c r="C2211" s="16" t="str">
        <f>IFERROR(VLOOKUP(DATA!#REF!,DATA!#REF!,1,FALSE),"")</f>
        <v/>
      </c>
      <c r="D2211" s="16" t="str">
        <f>IFERROR(VLOOKUP(C2211,DATA!#REF!,2,FALSE),"")</f>
        <v/>
      </c>
      <c r="I2211" s="17"/>
      <c r="J2211" s="17"/>
      <c r="P2211" s="17"/>
      <c r="Q2211" s="17"/>
    </row>
    <row r="2212" spans="2:17">
      <c r="B2212" s="17"/>
      <c r="C2212" s="16" t="str">
        <f>IFERROR(VLOOKUP(DATA!#REF!,DATA!#REF!,1,FALSE),"")</f>
        <v/>
      </c>
      <c r="D2212" s="16" t="str">
        <f>IFERROR(VLOOKUP(C2212,DATA!#REF!,2,FALSE),"")</f>
        <v/>
      </c>
      <c r="I2212" s="17"/>
      <c r="J2212" s="17"/>
      <c r="P2212" s="17"/>
      <c r="Q2212" s="17"/>
    </row>
    <row r="2213" spans="2:17">
      <c r="B2213" s="17"/>
      <c r="C2213" s="16" t="str">
        <f>IFERROR(VLOOKUP(DATA!#REF!,DATA!#REF!,1,FALSE),"")</f>
        <v/>
      </c>
      <c r="D2213" s="16" t="str">
        <f>IFERROR(VLOOKUP(C2213,DATA!#REF!,2,FALSE),"")</f>
        <v/>
      </c>
      <c r="I2213" s="17"/>
      <c r="J2213" s="17"/>
      <c r="P2213" s="17"/>
      <c r="Q2213" s="17"/>
    </row>
    <row r="2214" spans="2:17">
      <c r="B2214" s="17"/>
      <c r="C2214" s="16" t="str">
        <f>IFERROR(VLOOKUP(DATA!#REF!,DATA!#REF!,1,FALSE),"")</f>
        <v/>
      </c>
      <c r="D2214" s="16" t="str">
        <f>IFERROR(VLOOKUP(C2214,DATA!#REF!,2,FALSE),"")</f>
        <v/>
      </c>
      <c r="I2214" s="17"/>
      <c r="J2214" s="17"/>
      <c r="P2214" s="17"/>
      <c r="Q2214" s="17"/>
    </row>
    <row r="2215" spans="2:17">
      <c r="B2215" s="17"/>
      <c r="C2215" s="16" t="str">
        <f>IFERROR(VLOOKUP(DATA!#REF!,DATA!#REF!,1,FALSE),"")</f>
        <v/>
      </c>
      <c r="D2215" s="16" t="str">
        <f>IFERROR(VLOOKUP(C2215,DATA!#REF!,2,FALSE),"")</f>
        <v/>
      </c>
      <c r="I2215" s="17"/>
      <c r="J2215" s="17"/>
      <c r="P2215" s="17"/>
      <c r="Q2215" s="17"/>
    </row>
    <row r="2216" spans="2:17">
      <c r="B2216" s="17"/>
      <c r="C2216" s="16" t="str">
        <f>IFERROR(VLOOKUP(DATA!#REF!,DATA!#REF!,1,FALSE),"")</f>
        <v/>
      </c>
      <c r="D2216" s="16" t="str">
        <f>IFERROR(VLOOKUP(C2216,DATA!#REF!,2,FALSE),"")</f>
        <v/>
      </c>
      <c r="I2216" s="17"/>
      <c r="J2216" s="17"/>
      <c r="P2216" s="17"/>
      <c r="Q2216" s="17"/>
    </row>
    <row r="2217" spans="2:17">
      <c r="B2217" s="17"/>
      <c r="C2217" s="16" t="str">
        <f>IFERROR(VLOOKUP(DATA!#REF!,DATA!#REF!,1,FALSE),"")</f>
        <v/>
      </c>
      <c r="D2217" s="16" t="str">
        <f>IFERROR(VLOOKUP(C2217,DATA!#REF!,2,FALSE),"")</f>
        <v/>
      </c>
      <c r="I2217" s="17"/>
      <c r="J2217" s="17"/>
      <c r="P2217" s="17"/>
      <c r="Q2217" s="17"/>
    </row>
    <row r="2218" spans="2:17">
      <c r="B2218" s="17"/>
      <c r="C2218" s="16" t="str">
        <f>IFERROR(VLOOKUP(DATA!#REF!,DATA!#REF!,1,FALSE),"")</f>
        <v/>
      </c>
      <c r="D2218" s="16" t="str">
        <f>IFERROR(VLOOKUP(C2218,DATA!#REF!,2,FALSE),"")</f>
        <v/>
      </c>
      <c r="I2218" s="17"/>
      <c r="J2218" s="17"/>
      <c r="P2218" s="17"/>
      <c r="Q2218" s="17"/>
    </row>
    <row r="2219" spans="2:17">
      <c r="B2219" s="17"/>
      <c r="C2219" s="16" t="str">
        <f>IFERROR(VLOOKUP(DATA!#REF!,DATA!#REF!,1,FALSE),"")</f>
        <v/>
      </c>
      <c r="D2219" s="16" t="str">
        <f>IFERROR(VLOOKUP(C2219,DATA!#REF!,2,FALSE),"")</f>
        <v/>
      </c>
      <c r="I2219" s="17"/>
      <c r="J2219" s="17"/>
      <c r="P2219" s="17"/>
      <c r="Q2219" s="17"/>
    </row>
    <row r="2220" spans="2:17">
      <c r="B2220" s="17"/>
      <c r="C2220" s="16" t="str">
        <f>IFERROR(VLOOKUP(DATA!#REF!,DATA!#REF!,1,FALSE),"")</f>
        <v/>
      </c>
      <c r="D2220" s="16" t="str">
        <f>IFERROR(VLOOKUP(C2220,DATA!#REF!,2,FALSE),"")</f>
        <v/>
      </c>
      <c r="I2220" s="17"/>
      <c r="J2220" s="17"/>
      <c r="P2220" s="17"/>
      <c r="Q2220" s="17"/>
    </row>
    <row r="2221" spans="2:17">
      <c r="B2221" s="17"/>
      <c r="C2221" s="16" t="str">
        <f>IFERROR(VLOOKUP(DATA!#REF!,DATA!#REF!,1,FALSE),"")</f>
        <v/>
      </c>
      <c r="D2221" s="16" t="str">
        <f>IFERROR(VLOOKUP(C2221,DATA!#REF!,2,FALSE),"")</f>
        <v/>
      </c>
      <c r="I2221" s="17"/>
      <c r="J2221" s="17"/>
      <c r="P2221" s="17"/>
      <c r="Q2221" s="17"/>
    </row>
    <row r="2222" spans="2:17">
      <c r="B2222" s="17"/>
      <c r="C2222" s="16" t="str">
        <f>IFERROR(VLOOKUP(DATA!#REF!,DATA!#REF!,1,FALSE),"")</f>
        <v/>
      </c>
      <c r="D2222" s="16" t="str">
        <f>IFERROR(VLOOKUP(C2222,DATA!#REF!,2,FALSE),"")</f>
        <v/>
      </c>
      <c r="I2222" s="17"/>
      <c r="J2222" s="17"/>
      <c r="P2222" s="17"/>
      <c r="Q2222" s="17"/>
    </row>
    <row r="2223" spans="2:17">
      <c r="B2223" s="17"/>
      <c r="C2223" s="16" t="str">
        <f>IFERROR(VLOOKUP(DATA!#REF!,DATA!#REF!,1,FALSE),"")</f>
        <v/>
      </c>
      <c r="D2223" s="16" t="str">
        <f>IFERROR(VLOOKUP(C2223,DATA!#REF!,2,FALSE),"")</f>
        <v/>
      </c>
      <c r="I2223" s="17"/>
      <c r="J2223" s="17"/>
      <c r="P2223" s="17"/>
      <c r="Q2223" s="17"/>
    </row>
    <row r="2224" spans="2:17">
      <c r="B2224" s="17"/>
      <c r="C2224" s="16" t="str">
        <f>IFERROR(VLOOKUP(DATA!#REF!,DATA!#REF!,1,FALSE),"")</f>
        <v/>
      </c>
      <c r="D2224" s="16" t="str">
        <f>IFERROR(VLOOKUP(C2224,DATA!#REF!,2,FALSE),"")</f>
        <v/>
      </c>
      <c r="I2224" s="17"/>
      <c r="J2224" s="17"/>
      <c r="P2224" s="17"/>
      <c r="Q2224" s="17"/>
    </row>
    <row r="2225" spans="2:17">
      <c r="B2225" s="17"/>
      <c r="C2225" s="16" t="str">
        <f>IFERROR(VLOOKUP(DATA!#REF!,DATA!#REF!,1,FALSE),"")</f>
        <v/>
      </c>
      <c r="D2225" s="16" t="str">
        <f>IFERROR(VLOOKUP(C2225,DATA!#REF!,2,FALSE),"")</f>
        <v/>
      </c>
      <c r="I2225" s="17"/>
      <c r="J2225" s="17"/>
      <c r="P2225" s="17"/>
      <c r="Q2225" s="17"/>
    </row>
    <row r="2226" spans="2:17">
      <c r="B2226" s="17"/>
      <c r="C2226" s="16" t="str">
        <f>IFERROR(VLOOKUP(DATA!#REF!,DATA!#REF!,1,FALSE),"")</f>
        <v/>
      </c>
      <c r="D2226" s="16" t="str">
        <f>IFERROR(VLOOKUP(C2226,DATA!#REF!,2,FALSE),"")</f>
        <v/>
      </c>
      <c r="I2226" s="17"/>
      <c r="J2226" s="17"/>
      <c r="P2226" s="17"/>
      <c r="Q2226" s="17"/>
    </row>
    <row r="2227" spans="2:17">
      <c r="B2227" s="17"/>
      <c r="C2227" s="16" t="str">
        <f>IFERROR(VLOOKUP(DATA!#REF!,DATA!#REF!,1,FALSE),"")</f>
        <v/>
      </c>
      <c r="D2227" s="16" t="str">
        <f>IFERROR(VLOOKUP(C2227,DATA!#REF!,2,FALSE),"")</f>
        <v/>
      </c>
      <c r="I2227" s="17"/>
      <c r="J2227" s="17"/>
      <c r="P2227" s="17"/>
      <c r="Q2227" s="17"/>
    </row>
    <row r="2228" spans="2:17">
      <c r="B2228" s="17"/>
      <c r="C2228" s="16" t="str">
        <f>IFERROR(VLOOKUP(DATA!#REF!,DATA!#REF!,1,FALSE),"")</f>
        <v/>
      </c>
      <c r="D2228" s="16" t="str">
        <f>IFERROR(VLOOKUP(C2228,DATA!#REF!,2,FALSE),"")</f>
        <v/>
      </c>
      <c r="I2228" s="17"/>
      <c r="J2228" s="17"/>
      <c r="P2228" s="17"/>
      <c r="Q2228" s="17"/>
    </row>
    <row r="2229" spans="2:17">
      <c r="B2229" s="17"/>
      <c r="C2229" s="16" t="str">
        <f>IFERROR(VLOOKUP(DATA!#REF!,DATA!#REF!,1,FALSE),"")</f>
        <v/>
      </c>
      <c r="D2229" s="16" t="str">
        <f>IFERROR(VLOOKUP(C2229,DATA!#REF!,2,FALSE),"")</f>
        <v/>
      </c>
      <c r="I2229" s="17"/>
      <c r="J2229" s="17"/>
      <c r="P2229" s="17"/>
      <c r="Q2229" s="17"/>
    </row>
    <row r="2230" spans="2:17">
      <c r="B2230" s="17"/>
      <c r="C2230" s="16" t="str">
        <f>IFERROR(VLOOKUP(DATA!#REF!,DATA!#REF!,1,FALSE),"")</f>
        <v/>
      </c>
      <c r="D2230" s="16" t="str">
        <f>IFERROR(VLOOKUP(C2230,DATA!#REF!,2,FALSE),"")</f>
        <v/>
      </c>
      <c r="I2230" s="17"/>
      <c r="J2230" s="17"/>
      <c r="P2230" s="17"/>
      <c r="Q2230" s="17"/>
    </row>
    <row r="2231" spans="2:17">
      <c r="B2231" s="17"/>
      <c r="C2231" s="16" t="str">
        <f>IFERROR(VLOOKUP(DATA!#REF!,DATA!#REF!,1,FALSE),"")</f>
        <v/>
      </c>
      <c r="D2231" s="16" t="str">
        <f>IFERROR(VLOOKUP(C2231,DATA!#REF!,2,FALSE),"")</f>
        <v/>
      </c>
      <c r="I2231" s="17"/>
      <c r="J2231" s="17"/>
      <c r="P2231" s="17"/>
      <c r="Q2231" s="17"/>
    </row>
    <row r="2232" spans="2:17">
      <c r="B2232" s="17"/>
      <c r="C2232" s="16" t="str">
        <f>IFERROR(VLOOKUP(DATA!#REF!,DATA!#REF!,1,FALSE),"")</f>
        <v/>
      </c>
      <c r="D2232" s="16" t="str">
        <f>IFERROR(VLOOKUP(C2232,DATA!#REF!,2,FALSE),"")</f>
        <v/>
      </c>
      <c r="I2232" s="17"/>
      <c r="J2232" s="17"/>
      <c r="P2232" s="17"/>
      <c r="Q2232" s="17"/>
    </row>
    <row r="2233" spans="2:17">
      <c r="B2233" s="17"/>
      <c r="C2233" s="16" t="str">
        <f>IFERROR(VLOOKUP(DATA!#REF!,DATA!#REF!,1,FALSE),"")</f>
        <v/>
      </c>
      <c r="D2233" s="16" t="str">
        <f>IFERROR(VLOOKUP(C2233,DATA!#REF!,2,FALSE),"")</f>
        <v/>
      </c>
      <c r="I2233" s="17"/>
      <c r="J2233" s="17"/>
      <c r="P2233" s="17"/>
      <c r="Q2233" s="17"/>
    </row>
    <row r="2234" spans="2:17">
      <c r="B2234" s="17"/>
      <c r="C2234" s="16" t="str">
        <f>IFERROR(VLOOKUP(DATA!#REF!,DATA!#REF!,1,FALSE),"")</f>
        <v/>
      </c>
      <c r="D2234" s="16" t="str">
        <f>IFERROR(VLOOKUP(C2234,DATA!#REF!,2,FALSE),"")</f>
        <v/>
      </c>
      <c r="I2234" s="17"/>
      <c r="J2234" s="17"/>
      <c r="P2234" s="17"/>
      <c r="Q2234" s="17"/>
    </row>
    <row r="2235" spans="2:17">
      <c r="B2235" s="17"/>
      <c r="C2235" s="16" t="str">
        <f>IFERROR(VLOOKUP(DATA!#REF!,DATA!#REF!,1,FALSE),"")</f>
        <v/>
      </c>
      <c r="D2235" s="16" t="str">
        <f>IFERROR(VLOOKUP(C2235,DATA!#REF!,2,FALSE),"")</f>
        <v/>
      </c>
      <c r="I2235" s="17"/>
      <c r="J2235" s="17"/>
      <c r="P2235" s="17"/>
      <c r="Q2235" s="17"/>
    </row>
    <row r="2236" spans="2:17">
      <c r="B2236" s="17"/>
      <c r="C2236" s="16" t="str">
        <f>IFERROR(VLOOKUP(DATA!#REF!,DATA!#REF!,1,FALSE),"")</f>
        <v/>
      </c>
      <c r="D2236" s="16" t="str">
        <f>IFERROR(VLOOKUP(C2236,DATA!#REF!,2,FALSE),"")</f>
        <v/>
      </c>
      <c r="I2236" s="17"/>
      <c r="J2236" s="17"/>
      <c r="P2236" s="17"/>
      <c r="Q2236" s="17"/>
    </row>
    <row r="2237" spans="2:17">
      <c r="B2237" s="17"/>
      <c r="C2237" s="16" t="str">
        <f>IFERROR(VLOOKUP(DATA!#REF!,DATA!#REF!,1,FALSE),"")</f>
        <v/>
      </c>
      <c r="D2237" s="16" t="str">
        <f>IFERROR(VLOOKUP(C2237,DATA!#REF!,2,FALSE),"")</f>
        <v/>
      </c>
      <c r="I2237" s="17"/>
      <c r="J2237" s="17"/>
      <c r="P2237" s="17"/>
      <c r="Q2237" s="17"/>
    </row>
    <row r="2238" spans="2:17">
      <c r="B2238" s="17"/>
      <c r="C2238" s="16" t="str">
        <f>IFERROR(VLOOKUP(DATA!#REF!,DATA!#REF!,1,FALSE),"")</f>
        <v/>
      </c>
      <c r="D2238" s="16" t="str">
        <f>IFERROR(VLOOKUP(C2238,DATA!#REF!,2,FALSE),"")</f>
        <v/>
      </c>
      <c r="I2238" s="17"/>
      <c r="J2238" s="17"/>
      <c r="P2238" s="17"/>
      <c r="Q2238" s="17"/>
    </row>
    <row r="2239" spans="2:17">
      <c r="B2239" s="17"/>
      <c r="C2239" s="16" t="str">
        <f>IFERROR(VLOOKUP(DATA!#REF!,DATA!#REF!,1,FALSE),"")</f>
        <v/>
      </c>
      <c r="D2239" s="16" t="str">
        <f>IFERROR(VLOOKUP(C2239,DATA!#REF!,2,FALSE),"")</f>
        <v/>
      </c>
      <c r="I2239" s="17"/>
      <c r="J2239" s="17"/>
      <c r="P2239" s="17"/>
      <c r="Q2239" s="17"/>
    </row>
    <row r="2240" spans="2:17">
      <c r="B2240" s="17"/>
      <c r="C2240" s="16" t="str">
        <f>IFERROR(VLOOKUP(DATA!#REF!,DATA!#REF!,1,FALSE),"")</f>
        <v/>
      </c>
      <c r="D2240" s="16" t="str">
        <f>IFERROR(VLOOKUP(C2240,DATA!#REF!,2,FALSE),"")</f>
        <v/>
      </c>
      <c r="I2240" s="17"/>
      <c r="J2240" s="17"/>
      <c r="P2240" s="17"/>
      <c r="Q2240" s="17"/>
    </row>
    <row r="2241" spans="2:17">
      <c r="B2241" s="17"/>
      <c r="C2241" s="16" t="str">
        <f>IFERROR(VLOOKUP(DATA!#REF!,DATA!#REF!,1,FALSE),"")</f>
        <v/>
      </c>
      <c r="D2241" s="16" t="str">
        <f>IFERROR(VLOOKUP(C2241,DATA!#REF!,2,FALSE),"")</f>
        <v/>
      </c>
      <c r="I2241" s="17"/>
      <c r="J2241" s="17"/>
      <c r="P2241" s="17"/>
      <c r="Q2241" s="17"/>
    </row>
    <row r="2242" spans="2:17">
      <c r="B2242" s="17"/>
      <c r="C2242" s="16" t="str">
        <f>IFERROR(VLOOKUP(DATA!#REF!,DATA!#REF!,1,FALSE),"")</f>
        <v/>
      </c>
      <c r="D2242" s="16" t="str">
        <f>IFERROR(VLOOKUP(C2242,DATA!#REF!,2,FALSE),"")</f>
        <v/>
      </c>
      <c r="I2242" s="17"/>
      <c r="J2242" s="17"/>
      <c r="P2242" s="17"/>
      <c r="Q2242" s="17"/>
    </row>
    <row r="2243" spans="2:17">
      <c r="B2243" s="17"/>
      <c r="C2243" s="16" t="str">
        <f>IFERROR(VLOOKUP(DATA!#REF!,DATA!#REF!,1,FALSE),"")</f>
        <v/>
      </c>
      <c r="D2243" s="16" t="str">
        <f>IFERROR(VLOOKUP(C2243,DATA!#REF!,2,FALSE),"")</f>
        <v/>
      </c>
      <c r="I2243" s="17"/>
      <c r="J2243" s="17"/>
      <c r="P2243" s="17"/>
      <c r="Q2243" s="17"/>
    </row>
    <row r="2244" spans="2:17">
      <c r="B2244" s="17"/>
      <c r="C2244" s="16" t="str">
        <f>IFERROR(VLOOKUP(DATA!#REF!,DATA!#REF!,1,FALSE),"")</f>
        <v/>
      </c>
      <c r="D2244" s="16" t="str">
        <f>IFERROR(VLOOKUP(C2244,DATA!#REF!,2,FALSE),"")</f>
        <v/>
      </c>
      <c r="I2244" s="17"/>
      <c r="J2244" s="17"/>
      <c r="P2244" s="17"/>
      <c r="Q2244" s="17"/>
    </row>
    <row r="2245" spans="2:17">
      <c r="B2245" s="17"/>
      <c r="C2245" s="16" t="str">
        <f>IFERROR(VLOOKUP(DATA!#REF!,DATA!#REF!,1,FALSE),"")</f>
        <v/>
      </c>
      <c r="D2245" s="16" t="str">
        <f>IFERROR(VLOOKUP(C2245,DATA!#REF!,2,FALSE),"")</f>
        <v/>
      </c>
      <c r="I2245" s="17"/>
      <c r="J2245" s="17"/>
      <c r="P2245" s="17"/>
      <c r="Q2245" s="17"/>
    </row>
    <row r="2246" spans="2:17">
      <c r="B2246" s="17"/>
      <c r="C2246" s="16" t="str">
        <f>IFERROR(VLOOKUP(DATA!#REF!,DATA!#REF!,1,FALSE),"")</f>
        <v/>
      </c>
      <c r="D2246" s="16" t="str">
        <f>IFERROR(VLOOKUP(C2246,DATA!#REF!,2,FALSE),"")</f>
        <v/>
      </c>
      <c r="I2246" s="17"/>
      <c r="J2246" s="17"/>
      <c r="P2246" s="17"/>
      <c r="Q2246" s="17"/>
    </row>
    <row r="2247" spans="2:17">
      <c r="B2247" s="17"/>
      <c r="C2247" s="16" t="str">
        <f>IFERROR(VLOOKUP(DATA!#REF!,DATA!#REF!,1,FALSE),"")</f>
        <v/>
      </c>
      <c r="D2247" s="16" t="str">
        <f>IFERROR(VLOOKUP(C2247,DATA!#REF!,2,FALSE),"")</f>
        <v/>
      </c>
      <c r="I2247" s="17"/>
      <c r="J2247" s="17"/>
      <c r="P2247" s="17"/>
      <c r="Q2247" s="17"/>
    </row>
    <row r="2248" spans="2:17">
      <c r="B2248" s="17"/>
      <c r="C2248" s="16" t="str">
        <f>IFERROR(VLOOKUP(DATA!#REF!,DATA!#REF!,1,FALSE),"")</f>
        <v/>
      </c>
      <c r="D2248" s="16" t="str">
        <f>IFERROR(VLOOKUP(C2248,DATA!#REF!,2,FALSE),"")</f>
        <v/>
      </c>
      <c r="I2248" s="17"/>
      <c r="J2248" s="17"/>
      <c r="P2248" s="17"/>
      <c r="Q2248" s="17"/>
    </row>
    <row r="2249" spans="2:17">
      <c r="B2249" s="17"/>
      <c r="C2249" s="16" t="str">
        <f>IFERROR(VLOOKUP(DATA!#REF!,DATA!#REF!,1,FALSE),"")</f>
        <v/>
      </c>
      <c r="D2249" s="16" t="str">
        <f>IFERROR(VLOOKUP(C2249,DATA!#REF!,2,FALSE),"")</f>
        <v/>
      </c>
      <c r="I2249" s="17"/>
      <c r="J2249" s="17"/>
      <c r="P2249" s="17"/>
      <c r="Q2249" s="17"/>
    </row>
    <row r="2250" spans="2:17">
      <c r="B2250" s="17"/>
      <c r="C2250" s="16" t="str">
        <f>IFERROR(VLOOKUP(DATA!#REF!,DATA!#REF!,1,FALSE),"")</f>
        <v/>
      </c>
      <c r="D2250" s="16" t="str">
        <f>IFERROR(VLOOKUP(C2250,DATA!#REF!,2,FALSE),"")</f>
        <v/>
      </c>
      <c r="I2250" s="17"/>
      <c r="J2250" s="17"/>
      <c r="P2250" s="17"/>
      <c r="Q2250" s="17"/>
    </row>
    <row r="2251" spans="2:17">
      <c r="B2251" s="17"/>
      <c r="C2251" s="16" t="str">
        <f>IFERROR(VLOOKUP(DATA!#REF!,DATA!#REF!,1,FALSE),"")</f>
        <v/>
      </c>
      <c r="D2251" s="16" t="str">
        <f>IFERROR(VLOOKUP(C2251,DATA!#REF!,2,FALSE),"")</f>
        <v/>
      </c>
      <c r="I2251" s="17"/>
      <c r="J2251" s="17"/>
      <c r="P2251" s="17"/>
      <c r="Q2251" s="17"/>
    </row>
    <row r="2252" spans="2:17">
      <c r="B2252" s="17"/>
      <c r="C2252" s="16" t="str">
        <f>IFERROR(VLOOKUP(DATA!#REF!,DATA!#REF!,1,FALSE),"")</f>
        <v/>
      </c>
      <c r="D2252" s="16" t="str">
        <f>IFERROR(VLOOKUP(C2252,DATA!#REF!,2,FALSE),"")</f>
        <v/>
      </c>
      <c r="I2252" s="17"/>
      <c r="J2252" s="17"/>
      <c r="P2252" s="17"/>
      <c r="Q2252" s="17"/>
    </row>
    <row r="2253" spans="2:17">
      <c r="B2253" s="17"/>
      <c r="C2253" s="16" t="str">
        <f>IFERROR(VLOOKUP(DATA!#REF!,DATA!#REF!,1,FALSE),"")</f>
        <v/>
      </c>
      <c r="D2253" s="16" t="str">
        <f>IFERROR(VLOOKUP(C2253,DATA!#REF!,2,FALSE),"")</f>
        <v/>
      </c>
      <c r="I2253" s="17"/>
      <c r="J2253" s="17"/>
      <c r="P2253" s="17"/>
      <c r="Q2253" s="17"/>
    </row>
    <row r="2254" spans="2:17">
      <c r="B2254" s="17"/>
      <c r="C2254" s="16" t="str">
        <f>IFERROR(VLOOKUP(DATA!#REF!,DATA!#REF!,1,FALSE),"")</f>
        <v/>
      </c>
      <c r="D2254" s="16" t="str">
        <f>IFERROR(VLOOKUP(C2254,DATA!#REF!,2,FALSE),"")</f>
        <v/>
      </c>
      <c r="I2254" s="17"/>
      <c r="J2254" s="17"/>
      <c r="P2254" s="17"/>
      <c r="Q2254" s="17"/>
    </row>
    <row r="2255" spans="2:17">
      <c r="B2255" s="17"/>
      <c r="C2255" s="16" t="str">
        <f>IFERROR(VLOOKUP(DATA!#REF!,DATA!#REF!,1,FALSE),"")</f>
        <v/>
      </c>
      <c r="D2255" s="16" t="str">
        <f>IFERROR(VLOOKUP(C2255,DATA!#REF!,2,FALSE),"")</f>
        <v/>
      </c>
      <c r="I2255" s="17"/>
      <c r="J2255" s="17"/>
      <c r="P2255" s="17"/>
      <c r="Q2255" s="17"/>
    </row>
    <row r="2256" spans="2:17">
      <c r="B2256" s="17"/>
      <c r="C2256" s="16" t="str">
        <f>IFERROR(VLOOKUP(DATA!#REF!,DATA!#REF!,1,FALSE),"")</f>
        <v/>
      </c>
      <c r="D2256" s="16" t="str">
        <f>IFERROR(VLOOKUP(C2256,DATA!#REF!,2,FALSE),"")</f>
        <v/>
      </c>
      <c r="I2256" s="17"/>
      <c r="J2256" s="17"/>
      <c r="P2256" s="17"/>
      <c r="Q2256" s="17"/>
    </row>
    <row r="2257" spans="2:17">
      <c r="B2257" s="17"/>
      <c r="C2257" s="16" t="str">
        <f>IFERROR(VLOOKUP(DATA!#REF!,DATA!#REF!,1,FALSE),"")</f>
        <v/>
      </c>
      <c r="D2257" s="16" t="str">
        <f>IFERROR(VLOOKUP(C2257,DATA!#REF!,2,FALSE),"")</f>
        <v/>
      </c>
      <c r="I2257" s="17"/>
      <c r="J2257" s="17"/>
      <c r="P2257" s="17"/>
      <c r="Q2257" s="17"/>
    </row>
    <row r="2258" spans="2:17">
      <c r="B2258" s="17"/>
      <c r="C2258" s="16" t="str">
        <f>IFERROR(VLOOKUP(DATA!#REF!,DATA!#REF!,1,FALSE),"")</f>
        <v/>
      </c>
      <c r="D2258" s="16" t="str">
        <f>IFERROR(VLOOKUP(C2258,DATA!#REF!,2,FALSE),"")</f>
        <v/>
      </c>
      <c r="I2258" s="17"/>
      <c r="J2258" s="17"/>
      <c r="P2258" s="17"/>
      <c r="Q2258" s="17"/>
    </row>
    <row r="2259" spans="2:17">
      <c r="B2259" s="17"/>
      <c r="C2259" s="16" t="str">
        <f>IFERROR(VLOOKUP(DATA!#REF!,DATA!#REF!,1,FALSE),"")</f>
        <v/>
      </c>
      <c r="D2259" s="16" t="str">
        <f>IFERROR(VLOOKUP(C2259,DATA!#REF!,2,FALSE),"")</f>
        <v/>
      </c>
      <c r="I2259" s="17"/>
      <c r="J2259" s="17"/>
      <c r="P2259" s="17"/>
      <c r="Q2259" s="17"/>
    </row>
    <row r="2260" spans="2:17">
      <c r="B2260" s="17"/>
      <c r="C2260" s="16" t="str">
        <f>IFERROR(VLOOKUP(DATA!#REF!,DATA!#REF!,1,FALSE),"")</f>
        <v/>
      </c>
      <c r="D2260" s="16" t="str">
        <f>IFERROR(VLOOKUP(C2260,DATA!#REF!,2,FALSE),"")</f>
        <v/>
      </c>
      <c r="I2260" s="17"/>
      <c r="J2260" s="17"/>
      <c r="P2260" s="17"/>
      <c r="Q2260" s="17"/>
    </row>
    <row r="2261" spans="2:17">
      <c r="B2261" s="17"/>
      <c r="C2261" s="16" t="str">
        <f>IFERROR(VLOOKUP(DATA!#REF!,DATA!#REF!,1,FALSE),"")</f>
        <v/>
      </c>
      <c r="D2261" s="16" t="str">
        <f>IFERROR(VLOOKUP(C2261,DATA!#REF!,2,FALSE),"")</f>
        <v/>
      </c>
      <c r="I2261" s="17"/>
      <c r="J2261" s="17"/>
      <c r="P2261" s="17"/>
      <c r="Q2261" s="17"/>
    </row>
    <row r="2262" spans="2:17">
      <c r="B2262" s="17"/>
      <c r="C2262" s="16" t="str">
        <f>IFERROR(VLOOKUP(DATA!#REF!,DATA!#REF!,1,FALSE),"")</f>
        <v/>
      </c>
      <c r="D2262" s="16" t="str">
        <f>IFERROR(VLOOKUP(C2262,DATA!#REF!,2,FALSE),"")</f>
        <v/>
      </c>
      <c r="I2262" s="17"/>
      <c r="J2262" s="17"/>
      <c r="P2262" s="17"/>
      <c r="Q2262" s="17"/>
    </row>
    <row r="2263" spans="2:17">
      <c r="B2263" s="17"/>
      <c r="C2263" s="16" t="str">
        <f>IFERROR(VLOOKUP(DATA!#REF!,DATA!#REF!,1,FALSE),"")</f>
        <v/>
      </c>
      <c r="D2263" s="16" t="str">
        <f>IFERROR(VLOOKUP(C2263,DATA!#REF!,2,FALSE),"")</f>
        <v/>
      </c>
      <c r="I2263" s="17"/>
      <c r="J2263" s="17"/>
      <c r="P2263" s="17"/>
      <c r="Q2263" s="17"/>
    </row>
    <row r="2264" spans="2:17">
      <c r="B2264" s="17"/>
      <c r="C2264" s="16" t="str">
        <f>IFERROR(VLOOKUP(DATA!#REF!,DATA!#REF!,1,FALSE),"")</f>
        <v/>
      </c>
      <c r="D2264" s="16" t="str">
        <f>IFERROR(VLOOKUP(C2264,DATA!#REF!,2,FALSE),"")</f>
        <v/>
      </c>
      <c r="I2264" s="17"/>
      <c r="J2264" s="17"/>
      <c r="P2264" s="17"/>
      <c r="Q2264" s="17"/>
    </row>
    <row r="2265" spans="2:17">
      <c r="B2265" s="17"/>
      <c r="C2265" s="16" t="str">
        <f>IFERROR(VLOOKUP(DATA!#REF!,DATA!#REF!,1,FALSE),"")</f>
        <v/>
      </c>
      <c r="D2265" s="16" t="str">
        <f>IFERROR(VLOOKUP(C2265,DATA!#REF!,2,FALSE),"")</f>
        <v/>
      </c>
      <c r="I2265" s="17"/>
      <c r="J2265" s="17"/>
      <c r="P2265" s="17"/>
      <c r="Q2265" s="17"/>
    </row>
    <row r="2266" spans="2:17">
      <c r="B2266" s="17"/>
      <c r="C2266" s="16" t="str">
        <f>IFERROR(VLOOKUP(DATA!#REF!,DATA!#REF!,1,FALSE),"")</f>
        <v/>
      </c>
      <c r="D2266" s="16" t="str">
        <f>IFERROR(VLOOKUP(C2266,DATA!#REF!,2,FALSE),"")</f>
        <v/>
      </c>
      <c r="I2266" s="17"/>
      <c r="J2266" s="17"/>
      <c r="P2266" s="17"/>
      <c r="Q2266" s="17"/>
    </row>
    <row r="2267" spans="2:17">
      <c r="B2267" s="17"/>
      <c r="C2267" s="16" t="str">
        <f>IFERROR(VLOOKUP(DATA!#REF!,DATA!#REF!,1,FALSE),"")</f>
        <v/>
      </c>
      <c r="D2267" s="16" t="str">
        <f>IFERROR(VLOOKUP(C2267,DATA!#REF!,2,FALSE),"")</f>
        <v/>
      </c>
      <c r="I2267" s="17"/>
      <c r="J2267" s="17"/>
      <c r="P2267" s="17"/>
      <c r="Q2267" s="17"/>
    </row>
    <row r="2268" spans="2:17">
      <c r="B2268" s="17"/>
      <c r="C2268" s="16" t="str">
        <f>IFERROR(VLOOKUP(DATA!#REF!,DATA!#REF!,1,FALSE),"")</f>
        <v/>
      </c>
      <c r="D2268" s="16" t="str">
        <f>IFERROR(VLOOKUP(C2268,DATA!#REF!,2,FALSE),"")</f>
        <v/>
      </c>
      <c r="I2268" s="17"/>
      <c r="J2268" s="17"/>
      <c r="P2268" s="17"/>
      <c r="Q2268" s="17"/>
    </row>
    <row r="2269" spans="2:17">
      <c r="B2269" s="17"/>
      <c r="C2269" s="16" t="str">
        <f>IFERROR(VLOOKUP(DATA!#REF!,DATA!#REF!,1,FALSE),"")</f>
        <v/>
      </c>
      <c r="D2269" s="16" t="str">
        <f>IFERROR(VLOOKUP(C2269,DATA!#REF!,2,FALSE),"")</f>
        <v/>
      </c>
      <c r="I2269" s="17"/>
      <c r="J2269" s="17"/>
      <c r="P2269" s="17"/>
      <c r="Q2269" s="17"/>
    </row>
    <row r="2270" spans="2:17">
      <c r="B2270" s="17"/>
      <c r="C2270" s="16" t="str">
        <f>IFERROR(VLOOKUP(DATA!#REF!,DATA!#REF!,1,FALSE),"")</f>
        <v/>
      </c>
      <c r="D2270" s="16" t="str">
        <f>IFERROR(VLOOKUP(C2270,DATA!#REF!,2,FALSE),"")</f>
        <v/>
      </c>
      <c r="I2270" s="17"/>
      <c r="J2270" s="17"/>
      <c r="P2270" s="17"/>
      <c r="Q2270" s="17"/>
    </row>
    <row r="2271" spans="2:17">
      <c r="B2271" s="17"/>
      <c r="C2271" s="16" t="str">
        <f>IFERROR(VLOOKUP(DATA!#REF!,DATA!#REF!,1,FALSE),"")</f>
        <v/>
      </c>
      <c r="D2271" s="16" t="str">
        <f>IFERROR(VLOOKUP(C2271,DATA!#REF!,2,FALSE),"")</f>
        <v/>
      </c>
      <c r="I2271" s="17"/>
      <c r="J2271" s="17"/>
      <c r="P2271" s="17"/>
      <c r="Q2271" s="17"/>
    </row>
    <row r="2272" spans="2:17">
      <c r="B2272" s="17"/>
      <c r="C2272" s="16" t="str">
        <f>IFERROR(VLOOKUP(DATA!#REF!,DATA!#REF!,1,FALSE),"")</f>
        <v/>
      </c>
      <c r="D2272" s="16" t="str">
        <f>IFERROR(VLOOKUP(C2272,DATA!#REF!,2,FALSE),"")</f>
        <v/>
      </c>
      <c r="I2272" s="17"/>
      <c r="J2272" s="17"/>
      <c r="P2272" s="17"/>
      <c r="Q2272" s="17"/>
    </row>
    <row r="2273" spans="2:17">
      <c r="B2273" s="17"/>
      <c r="C2273" s="16" t="str">
        <f>IFERROR(VLOOKUP(DATA!#REF!,DATA!#REF!,1,FALSE),"")</f>
        <v/>
      </c>
      <c r="D2273" s="16" t="str">
        <f>IFERROR(VLOOKUP(C2273,DATA!#REF!,2,FALSE),"")</f>
        <v/>
      </c>
      <c r="I2273" s="17"/>
      <c r="J2273" s="17"/>
      <c r="P2273" s="17"/>
      <c r="Q2273" s="17"/>
    </row>
    <row r="2274" spans="2:17">
      <c r="B2274" s="17"/>
      <c r="C2274" s="16" t="str">
        <f>IFERROR(VLOOKUP(DATA!#REF!,DATA!#REF!,1,FALSE),"")</f>
        <v/>
      </c>
      <c r="D2274" s="16" t="str">
        <f>IFERROR(VLOOKUP(C2274,DATA!#REF!,2,FALSE),"")</f>
        <v/>
      </c>
      <c r="I2274" s="17"/>
      <c r="J2274" s="17"/>
      <c r="P2274" s="17"/>
      <c r="Q2274" s="17"/>
    </row>
    <row r="2275" spans="2:17">
      <c r="B2275" s="17"/>
      <c r="C2275" s="16" t="str">
        <f>IFERROR(VLOOKUP(DATA!#REF!,DATA!#REF!,1,FALSE),"")</f>
        <v/>
      </c>
      <c r="D2275" s="16" t="str">
        <f>IFERROR(VLOOKUP(C2275,DATA!#REF!,2,FALSE),"")</f>
        <v/>
      </c>
      <c r="I2275" s="17"/>
      <c r="J2275" s="17"/>
      <c r="P2275" s="17"/>
      <c r="Q2275" s="17"/>
    </row>
    <row r="2276" spans="2:17">
      <c r="B2276" s="17"/>
      <c r="C2276" s="16" t="str">
        <f>IFERROR(VLOOKUP(DATA!#REF!,DATA!#REF!,1,FALSE),"")</f>
        <v/>
      </c>
      <c r="D2276" s="16" t="str">
        <f>IFERROR(VLOOKUP(C2276,DATA!#REF!,2,FALSE),"")</f>
        <v/>
      </c>
      <c r="I2276" s="17"/>
      <c r="J2276" s="17"/>
      <c r="P2276" s="17"/>
      <c r="Q2276" s="17"/>
    </row>
    <row r="2277" spans="2:17">
      <c r="B2277" s="17"/>
      <c r="C2277" s="16" t="str">
        <f>IFERROR(VLOOKUP(DATA!#REF!,DATA!#REF!,1,FALSE),"")</f>
        <v/>
      </c>
      <c r="D2277" s="16" t="str">
        <f>IFERROR(VLOOKUP(C2277,DATA!#REF!,2,FALSE),"")</f>
        <v/>
      </c>
      <c r="I2277" s="17"/>
      <c r="J2277" s="17"/>
      <c r="P2277" s="17"/>
      <c r="Q2277" s="17"/>
    </row>
    <row r="2278" spans="2:17">
      <c r="B2278" s="17"/>
      <c r="C2278" s="16" t="str">
        <f>IFERROR(VLOOKUP(DATA!#REF!,DATA!#REF!,1,FALSE),"")</f>
        <v/>
      </c>
      <c r="D2278" s="16" t="str">
        <f>IFERROR(VLOOKUP(C2278,DATA!#REF!,2,FALSE),"")</f>
        <v/>
      </c>
      <c r="I2278" s="17"/>
      <c r="J2278" s="17"/>
      <c r="P2278" s="17"/>
      <c r="Q2278" s="17"/>
    </row>
    <row r="2279" spans="2:17">
      <c r="B2279" s="17"/>
      <c r="C2279" s="16" t="str">
        <f>IFERROR(VLOOKUP(DATA!#REF!,DATA!#REF!,1,FALSE),"")</f>
        <v/>
      </c>
      <c r="D2279" s="16" t="str">
        <f>IFERROR(VLOOKUP(C2279,DATA!#REF!,2,FALSE),"")</f>
        <v/>
      </c>
      <c r="I2279" s="17"/>
      <c r="J2279" s="17"/>
      <c r="P2279" s="17"/>
      <c r="Q2279" s="17"/>
    </row>
    <row r="2280" spans="2:17">
      <c r="B2280" s="17"/>
      <c r="C2280" s="16" t="str">
        <f>IFERROR(VLOOKUP(DATA!#REF!,DATA!#REF!,1,FALSE),"")</f>
        <v/>
      </c>
      <c r="D2280" s="16" t="str">
        <f>IFERROR(VLOOKUP(C2280,DATA!#REF!,2,FALSE),"")</f>
        <v/>
      </c>
      <c r="I2280" s="17"/>
      <c r="J2280" s="17"/>
      <c r="P2280" s="17"/>
      <c r="Q2280" s="17"/>
    </row>
    <row r="2281" spans="2:17">
      <c r="B2281" s="17"/>
      <c r="C2281" s="16" t="str">
        <f>IFERROR(VLOOKUP(DATA!#REF!,DATA!#REF!,1,FALSE),"")</f>
        <v/>
      </c>
      <c r="D2281" s="16" t="str">
        <f>IFERROR(VLOOKUP(C2281,DATA!#REF!,2,FALSE),"")</f>
        <v/>
      </c>
      <c r="I2281" s="17"/>
      <c r="J2281" s="17"/>
      <c r="P2281" s="17"/>
      <c r="Q2281" s="17"/>
    </row>
    <row r="2282" spans="2:17">
      <c r="B2282" s="17"/>
      <c r="C2282" s="16" t="str">
        <f>IFERROR(VLOOKUP(DATA!#REF!,DATA!#REF!,1,FALSE),"")</f>
        <v/>
      </c>
      <c r="D2282" s="16" t="str">
        <f>IFERROR(VLOOKUP(C2282,DATA!#REF!,2,FALSE),"")</f>
        <v/>
      </c>
      <c r="I2282" s="17"/>
      <c r="J2282" s="17"/>
      <c r="P2282" s="17"/>
      <c r="Q2282" s="17"/>
    </row>
    <row r="2283" spans="2:17">
      <c r="B2283" s="17"/>
      <c r="C2283" s="16" t="str">
        <f>IFERROR(VLOOKUP(DATA!#REF!,DATA!#REF!,1,FALSE),"")</f>
        <v/>
      </c>
      <c r="D2283" s="16" t="str">
        <f>IFERROR(VLOOKUP(C2283,DATA!#REF!,2,FALSE),"")</f>
        <v/>
      </c>
      <c r="I2283" s="17"/>
      <c r="J2283" s="17"/>
      <c r="P2283" s="17"/>
      <c r="Q2283" s="17"/>
    </row>
    <row r="2284" spans="2:17">
      <c r="B2284" s="17"/>
      <c r="C2284" s="16" t="str">
        <f>IFERROR(VLOOKUP(DATA!#REF!,DATA!#REF!,1,FALSE),"")</f>
        <v/>
      </c>
      <c r="D2284" s="16" t="str">
        <f>IFERROR(VLOOKUP(C2284,DATA!#REF!,2,FALSE),"")</f>
        <v/>
      </c>
      <c r="I2284" s="17"/>
      <c r="J2284" s="17"/>
      <c r="P2284" s="17"/>
      <c r="Q2284" s="17"/>
    </row>
    <row r="2285" spans="2:17">
      <c r="B2285" s="17"/>
      <c r="C2285" s="16" t="str">
        <f>IFERROR(VLOOKUP(DATA!#REF!,DATA!#REF!,1,FALSE),"")</f>
        <v/>
      </c>
      <c r="D2285" s="16" t="str">
        <f>IFERROR(VLOOKUP(C2285,DATA!#REF!,2,FALSE),"")</f>
        <v/>
      </c>
      <c r="I2285" s="17"/>
      <c r="J2285" s="17"/>
      <c r="P2285" s="17"/>
      <c r="Q2285" s="17"/>
    </row>
    <row r="2286" spans="2:17">
      <c r="B2286" s="17"/>
      <c r="C2286" s="16" t="str">
        <f>IFERROR(VLOOKUP(DATA!#REF!,DATA!#REF!,1,FALSE),"")</f>
        <v/>
      </c>
      <c r="D2286" s="16" t="str">
        <f>IFERROR(VLOOKUP(C2286,DATA!#REF!,2,FALSE),"")</f>
        <v/>
      </c>
      <c r="I2286" s="17"/>
      <c r="J2286" s="17"/>
      <c r="P2286" s="17"/>
      <c r="Q2286" s="17"/>
    </row>
    <row r="2287" spans="2:17">
      <c r="B2287" s="17"/>
      <c r="C2287" s="16" t="str">
        <f>IFERROR(VLOOKUP(DATA!#REF!,DATA!#REF!,1,FALSE),"")</f>
        <v/>
      </c>
      <c r="D2287" s="16" t="str">
        <f>IFERROR(VLOOKUP(C2287,DATA!#REF!,2,FALSE),"")</f>
        <v/>
      </c>
      <c r="I2287" s="17"/>
      <c r="J2287" s="17"/>
      <c r="P2287" s="17"/>
      <c r="Q2287" s="17"/>
    </row>
    <row r="2288" spans="2:17">
      <c r="B2288" s="17"/>
      <c r="C2288" s="16" t="str">
        <f>IFERROR(VLOOKUP(DATA!#REF!,DATA!#REF!,1,FALSE),"")</f>
        <v/>
      </c>
      <c r="D2288" s="16" t="str">
        <f>IFERROR(VLOOKUP(C2288,DATA!#REF!,2,FALSE),"")</f>
        <v/>
      </c>
      <c r="I2288" s="17"/>
      <c r="J2288" s="17"/>
      <c r="P2288" s="17"/>
      <c r="Q2288" s="17"/>
    </row>
    <row r="2289" spans="2:17">
      <c r="B2289" s="17"/>
      <c r="C2289" s="16" t="str">
        <f>IFERROR(VLOOKUP(DATA!#REF!,DATA!#REF!,1,FALSE),"")</f>
        <v/>
      </c>
      <c r="D2289" s="16" t="str">
        <f>IFERROR(VLOOKUP(C2289,DATA!#REF!,2,FALSE),"")</f>
        <v/>
      </c>
      <c r="I2289" s="17"/>
      <c r="J2289" s="17"/>
      <c r="P2289" s="17"/>
      <c r="Q2289" s="17"/>
    </row>
    <row r="2290" spans="2:17">
      <c r="B2290" s="17"/>
      <c r="C2290" s="16" t="str">
        <f>IFERROR(VLOOKUP(DATA!#REF!,DATA!#REF!,1,FALSE),"")</f>
        <v/>
      </c>
      <c r="D2290" s="16" t="str">
        <f>IFERROR(VLOOKUP(C2290,DATA!#REF!,2,FALSE),"")</f>
        <v/>
      </c>
      <c r="I2290" s="17"/>
      <c r="J2290" s="17"/>
      <c r="P2290" s="17"/>
      <c r="Q2290" s="17"/>
    </row>
    <row r="2291" spans="2:17">
      <c r="B2291" s="17"/>
      <c r="C2291" s="16" t="str">
        <f>IFERROR(VLOOKUP(DATA!#REF!,DATA!#REF!,1,FALSE),"")</f>
        <v/>
      </c>
      <c r="D2291" s="16" t="str">
        <f>IFERROR(VLOOKUP(C2291,DATA!#REF!,2,FALSE),"")</f>
        <v/>
      </c>
      <c r="I2291" s="17"/>
      <c r="J2291" s="17"/>
      <c r="P2291" s="17"/>
      <c r="Q2291" s="17"/>
    </row>
    <row r="2292" spans="2:17">
      <c r="B2292" s="17"/>
      <c r="C2292" s="16" t="str">
        <f>IFERROR(VLOOKUP(DATA!#REF!,DATA!#REF!,1,FALSE),"")</f>
        <v/>
      </c>
      <c r="D2292" s="16" t="str">
        <f>IFERROR(VLOOKUP(C2292,DATA!#REF!,2,FALSE),"")</f>
        <v/>
      </c>
      <c r="I2292" s="17"/>
      <c r="J2292" s="17"/>
      <c r="P2292" s="17"/>
      <c r="Q2292" s="17"/>
    </row>
    <row r="2293" spans="2:17">
      <c r="B2293" s="17"/>
      <c r="C2293" s="16" t="str">
        <f>IFERROR(VLOOKUP(DATA!#REF!,DATA!#REF!,1,FALSE),"")</f>
        <v/>
      </c>
      <c r="D2293" s="16" t="str">
        <f>IFERROR(VLOOKUP(C2293,DATA!#REF!,2,FALSE),"")</f>
        <v/>
      </c>
      <c r="I2293" s="17"/>
      <c r="J2293" s="17"/>
      <c r="P2293" s="17"/>
      <c r="Q2293" s="17"/>
    </row>
    <row r="2294" spans="2:17">
      <c r="B2294" s="17"/>
      <c r="C2294" s="16" t="str">
        <f>IFERROR(VLOOKUP(DATA!#REF!,DATA!#REF!,1,FALSE),"")</f>
        <v/>
      </c>
      <c r="D2294" s="16" t="str">
        <f>IFERROR(VLOOKUP(C2294,DATA!#REF!,2,FALSE),"")</f>
        <v/>
      </c>
      <c r="I2294" s="17"/>
      <c r="J2294" s="17"/>
      <c r="P2294" s="17"/>
      <c r="Q2294" s="17"/>
    </row>
    <row r="2295" spans="2:17">
      <c r="B2295" s="17"/>
      <c r="C2295" s="16" t="str">
        <f>IFERROR(VLOOKUP(DATA!#REF!,DATA!#REF!,1,FALSE),"")</f>
        <v/>
      </c>
      <c r="D2295" s="16" t="str">
        <f>IFERROR(VLOOKUP(C2295,DATA!#REF!,2,FALSE),"")</f>
        <v/>
      </c>
      <c r="I2295" s="17"/>
      <c r="J2295" s="17"/>
      <c r="P2295" s="17"/>
      <c r="Q2295" s="17"/>
    </row>
    <row r="2296" spans="2:17">
      <c r="B2296" s="17"/>
      <c r="C2296" s="16" t="str">
        <f>IFERROR(VLOOKUP(DATA!#REF!,DATA!#REF!,1,FALSE),"")</f>
        <v/>
      </c>
      <c r="D2296" s="16" t="str">
        <f>IFERROR(VLOOKUP(C2296,DATA!#REF!,2,FALSE),"")</f>
        <v/>
      </c>
      <c r="I2296" s="17"/>
      <c r="J2296" s="17"/>
      <c r="P2296" s="17"/>
      <c r="Q2296" s="17"/>
    </row>
    <row r="2297" spans="2:17">
      <c r="B2297" s="17"/>
      <c r="C2297" s="16" t="str">
        <f>IFERROR(VLOOKUP(DATA!#REF!,DATA!#REF!,1,FALSE),"")</f>
        <v/>
      </c>
      <c r="D2297" s="16" t="str">
        <f>IFERROR(VLOOKUP(C2297,DATA!#REF!,2,FALSE),"")</f>
        <v/>
      </c>
      <c r="I2297" s="17"/>
      <c r="J2297" s="17"/>
      <c r="P2297" s="17"/>
      <c r="Q2297" s="17"/>
    </row>
    <row r="2298" spans="2:17">
      <c r="B2298" s="17"/>
      <c r="C2298" s="16" t="str">
        <f>IFERROR(VLOOKUP(DATA!#REF!,DATA!#REF!,1,FALSE),"")</f>
        <v/>
      </c>
      <c r="D2298" s="16" t="str">
        <f>IFERROR(VLOOKUP(C2298,DATA!#REF!,2,FALSE),"")</f>
        <v/>
      </c>
      <c r="I2298" s="17"/>
      <c r="J2298" s="17"/>
      <c r="P2298" s="17"/>
      <c r="Q2298" s="17"/>
    </row>
    <row r="2299" spans="2:17">
      <c r="B2299" s="17"/>
      <c r="C2299" s="16" t="str">
        <f>IFERROR(VLOOKUP(DATA!#REF!,DATA!#REF!,1,FALSE),"")</f>
        <v/>
      </c>
      <c r="D2299" s="16" t="str">
        <f>IFERROR(VLOOKUP(C2299,DATA!#REF!,2,FALSE),"")</f>
        <v/>
      </c>
      <c r="I2299" s="17"/>
      <c r="J2299" s="17"/>
      <c r="P2299" s="17"/>
      <c r="Q2299" s="17"/>
    </row>
    <row r="2300" spans="2:17">
      <c r="B2300" s="17"/>
      <c r="C2300" s="16" t="str">
        <f>IFERROR(VLOOKUP(DATA!#REF!,DATA!#REF!,1,FALSE),"")</f>
        <v/>
      </c>
      <c r="D2300" s="16" t="str">
        <f>IFERROR(VLOOKUP(C2300,DATA!#REF!,2,FALSE),"")</f>
        <v/>
      </c>
      <c r="I2300" s="17"/>
      <c r="J2300" s="17"/>
      <c r="P2300" s="17"/>
      <c r="Q2300" s="17"/>
    </row>
    <row r="2301" spans="2:17">
      <c r="B2301" s="17"/>
      <c r="C2301" s="16" t="str">
        <f>IFERROR(VLOOKUP(DATA!#REF!,DATA!#REF!,1,FALSE),"")</f>
        <v/>
      </c>
      <c r="D2301" s="16" t="str">
        <f>IFERROR(VLOOKUP(C2301,DATA!#REF!,2,FALSE),"")</f>
        <v/>
      </c>
      <c r="I2301" s="17"/>
      <c r="J2301" s="17"/>
      <c r="P2301" s="17"/>
      <c r="Q2301" s="17"/>
    </row>
    <row r="2302" spans="2:17">
      <c r="B2302" s="17"/>
      <c r="C2302" s="16" t="str">
        <f>IFERROR(VLOOKUP(DATA!#REF!,DATA!#REF!,1,FALSE),"")</f>
        <v/>
      </c>
      <c r="D2302" s="16" t="str">
        <f>IFERROR(VLOOKUP(C2302,DATA!#REF!,2,FALSE),"")</f>
        <v/>
      </c>
      <c r="I2302" s="17"/>
      <c r="J2302" s="17"/>
      <c r="P2302" s="17"/>
      <c r="Q2302" s="17"/>
    </row>
    <row r="2303" spans="2:17">
      <c r="B2303" s="17"/>
      <c r="C2303" s="16" t="str">
        <f>IFERROR(VLOOKUP(DATA!#REF!,DATA!#REF!,1,FALSE),"")</f>
        <v/>
      </c>
      <c r="D2303" s="16" t="str">
        <f>IFERROR(VLOOKUP(C2303,DATA!#REF!,2,FALSE),"")</f>
        <v/>
      </c>
      <c r="I2303" s="17"/>
      <c r="J2303" s="17"/>
      <c r="P2303" s="17"/>
      <c r="Q2303" s="17"/>
    </row>
    <row r="2304" spans="2:17">
      <c r="B2304" s="17"/>
      <c r="C2304" s="16" t="str">
        <f>IFERROR(VLOOKUP(DATA!#REF!,DATA!#REF!,1,FALSE),"")</f>
        <v/>
      </c>
      <c r="D2304" s="16" t="str">
        <f>IFERROR(VLOOKUP(C2304,DATA!#REF!,2,FALSE),"")</f>
        <v/>
      </c>
      <c r="I2304" s="17"/>
      <c r="J2304" s="17"/>
      <c r="P2304" s="17"/>
      <c r="Q2304" s="17"/>
    </row>
    <row r="2305" spans="2:17">
      <c r="B2305" s="17"/>
      <c r="C2305" s="16" t="str">
        <f>IFERROR(VLOOKUP(DATA!#REF!,DATA!#REF!,1,FALSE),"")</f>
        <v/>
      </c>
      <c r="D2305" s="16" t="str">
        <f>IFERROR(VLOOKUP(C2305,DATA!#REF!,2,FALSE),"")</f>
        <v/>
      </c>
      <c r="I2305" s="17"/>
      <c r="J2305" s="17"/>
      <c r="P2305" s="17"/>
      <c r="Q2305" s="17"/>
    </row>
    <row r="2306" spans="2:17">
      <c r="B2306" s="17"/>
      <c r="C2306" s="16" t="str">
        <f>IFERROR(VLOOKUP(DATA!#REF!,DATA!#REF!,1,FALSE),"")</f>
        <v/>
      </c>
      <c r="D2306" s="16" t="str">
        <f>IFERROR(VLOOKUP(C2306,DATA!#REF!,2,FALSE),"")</f>
        <v/>
      </c>
      <c r="I2306" s="17"/>
      <c r="J2306" s="17"/>
      <c r="P2306" s="17"/>
      <c r="Q2306" s="17"/>
    </row>
    <row r="2307" spans="2:17">
      <c r="B2307" s="17"/>
      <c r="C2307" s="16" t="str">
        <f>IFERROR(VLOOKUP(DATA!#REF!,DATA!#REF!,1,FALSE),"")</f>
        <v/>
      </c>
      <c r="D2307" s="16" t="str">
        <f>IFERROR(VLOOKUP(C2307,DATA!#REF!,2,FALSE),"")</f>
        <v/>
      </c>
      <c r="I2307" s="17"/>
      <c r="J2307" s="17"/>
      <c r="P2307" s="17"/>
      <c r="Q2307" s="17"/>
    </row>
    <row r="2308" spans="2:17">
      <c r="B2308" s="17"/>
      <c r="C2308" s="16" t="str">
        <f>IFERROR(VLOOKUP(DATA!#REF!,DATA!#REF!,1,FALSE),"")</f>
        <v/>
      </c>
      <c r="D2308" s="16" t="str">
        <f>IFERROR(VLOOKUP(C2308,DATA!#REF!,2,FALSE),"")</f>
        <v/>
      </c>
      <c r="I2308" s="17"/>
      <c r="J2308" s="17"/>
      <c r="P2308" s="17"/>
      <c r="Q2308" s="17"/>
    </row>
    <row r="2309" spans="2:17">
      <c r="B2309" s="17"/>
      <c r="C2309" s="16" t="str">
        <f>IFERROR(VLOOKUP(DATA!#REF!,DATA!#REF!,1,FALSE),"")</f>
        <v/>
      </c>
      <c r="D2309" s="16" t="str">
        <f>IFERROR(VLOOKUP(C2309,DATA!#REF!,2,FALSE),"")</f>
        <v/>
      </c>
      <c r="I2309" s="17"/>
      <c r="J2309" s="17"/>
      <c r="P2309" s="17"/>
      <c r="Q2309" s="17"/>
    </row>
    <row r="2310" spans="2:17">
      <c r="B2310" s="17"/>
      <c r="C2310" s="16" t="str">
        <f>IFERROR(VLOOKUP(DATA!#REF!,DATA!#REF!,1,FALSE),"")</f>
        <v/>
      </c>
      <c r="D2310" s="16" t="str">
        <f>IFERROR(VLOOKUP(C2310,DATA!#REF!,2,FALSE),"")</f>
        <v/>
      </c>
      <c r="I2310" s="17"/>
      <c r="J2310" s="17"/>
      <c r="P2310" s="17"/>
      <c r="Q2310" s="17"/>
    </row>
    <row r="2311" spans="2:17">
      <c r="B2311" s="17"/>
      <c r="C2311" s="16" t="str">
        <f>IFERROR(VLOOKUP(DATA!#REF!,DATA!#REF!,1,FALSE),"")</f>
        <v/>
      </c>
      <c r="D2311" s="16" t="str">
        <f>IFERROR(VLOOKUP(C2311,DATA!#REF!,2,FALSE),"")</f>
        <v/>
      </c>
      <c r="I2311" s="17"/>
      <c r="J2311" s="17"/>
      <c r="P2311" s="17"/>
      <c r="Q2311" s="17"/>
    </row>
    <row r="2312" spans="2:17">
      <c r="B2312" s="17"/>
      <c r="C2312" s="16" t="str">
        <f>IFERROR(VLOOKUP(DATA!#REF!,DATA!#REF!,1,FALSE),"")</f>
        <v/>
      </c>
      <c r="D2312" s="16" t="str">
        <f>IFERROR(VLOOKUP(C2312,DATA!#REF!,2,FALSE),"")</f>
        <v/>
      </c>
      <c r="I2312" s="17"/>
      <c r="J2312" s="17"/>
      <c r="P2312" s="17"/>
      <c r="Q2312" s="17"/>
    </row>
    <row r="2313" spans="2:17">
      <c r="B2313" s="17"/>
      <c r="C2313" s="16" t="str">
        <f>IFERROR(VLOOKUP(DATA!#REF!,DATA!#REF!,1,FALSE),"")</f>
        <v/>
      </c>
      <c r="D2313" s="16" t="str">
        <f>IFERROR(VLOOKUP(C2313,DATA!#REF!,2,FALSE),"")</f>
        <v/>
      </c>
      <c r="I2313" s="17"/>
      <c r="J2313" s="17"/>
      <c r="P2313" s="17"/>
      <c r="Q2313" s="17"/>
    </row>
    <row r="2314" spans="2:17">
      <c r="B2314" s="17"/>
      <c r="C2314" s="16" t="str">
        <f>IFERROR(VLOOKUP(DATA!#REF!,DATA!#REF!,1,FALSE),"")</f>
        <v/>
      </c>
      <c r="D2314" s="16" t="str">
        <f>IFERROR(VLOOKUP(C2314,DATA!#REF!,2,FALSE),"")</f>
        <v/>
      </c>
      <c r="I2314" s="17"/>
      <c r="J2314" s="17"/>
      <c r="P2314" s="17"/>
      <c r="Q2314" s="17"/>
    </row>
    <row r="2315" spans="2:17">
      <c r="B2315" s="17"/>
      <c r="C2315" s="16" t="str">
        <f>IFERROR(VLOOKUP(DATA!#REF!,DATA!#REF!,1,FALSE),"")</f>
        <v/>
      </c>
      <c r="D2315" s="16" t="str">
        <f>IFERROR(VLOOKUP(C2315,DATA!#REF!,2,FALSE),"")</f>
        <v/>
      </c>
      <c r="I2315" s="17"/>
      <c r="J2315" s="17"/>
      <c r="P2315" s="17"/>
      <c r="Q2315" s="17"/>
    </row>
    <row r="2316" spans="2:17">
      <c r="B2316" s="17"/>
      <c r="C2316" s="16" t="str">
        <f>IFERROR(VLOOKUP(DATA!#REF!,DATA!#REF!,1,FALSE),"")</f>
        <v/>
      </c>
      <c r="D2316" s="16" t="str">
        <f>IFERROR(VLOOKUP(C2316,DATA!#REF!,2,FALSE),"")</f>
        <v/>
      </c>
      <c r="I2316" s="17"/>
      <c r="J2316" s="17"/>
      <c r="P2316" s="17"/>
      <c r="Q2316" s="17"/>
    </row>
    <row r="2317" spans="2:17">
      <c r="B2317" s="17"/>
      <c r="C2317" s="16" t="str">
        <f>IFERROR(VLOOKUP(DATA!#REF!,DATA!#REF!,1,FALSE),"")</f>
        <v/>
      </c>
      <c r="D2317" s="16" t="str">
        <f>IFERROR(VLOOKUP(C2317,DATA!#REF!,2,FALSE),"")</f>
        <v/>
      </c>
      <c r="I2317" s="17"/>
      <c r="J2317" s="17"/>
      <c r="P2317" s="17"/>
      <c r="Q2317" s="17"/>
    </row>
    <row r="2318" spans="2:17">
      <c r="B2318" s="17"/>
      <c r="C2318" s="16" t="str">
        <f>IFERROR(VLOOKUP(DATA!#REF!,DATA!#REF!,1,FALSE),"")</f>
        <v/>
      </c>
      <c r="D2318" s="16" t="str">
        <f>IFERROR(VLOOKUP(C2318,DATA!#REF!,2,FALSE),"")</f>
        <v/>
      </c>
      <c r="I2318" s="17"/>
      <c r="J2318" s="17"/>
      <c r="P2318" s="17"/>
      <c r="Q2318" s="17"/>
    </row>
    <row r="2319" spans="2:17">
      <c r="B2319" s="17"/>
      <c r="C2319" s="16" t="str">
        <f>IFERROR(VLOOKUP(DATA!#REF!,DATA!#REF!,1,FALSE),"")</f>
        <v/>
      </c>
      <c r="D2319" s="16" t="str">
        <f>IFERROR(VLOOKUP(C2319,DATA!#REF!,2,FALSE),"")</f>
        <v/>
      </c>
      <c r="I2319" s="17"/>
      <c r="J2319" s="17"/>
      <c r="P2319" s="17"/>
      <c r="Q2319" s="17"/>
    </row>
    <row r="2320" spans="2:17">
      <c r="B2320" s="17"/>
      <c r="C2320" s="16" t="str">
        <f>IFERROR(VLOOKUP(DATA!#REF!,DATA!#REF!,1,FALSE),"")</f>
        <v/>
      </c>
      <c r="D2320" s="16" t="str">
        <f>IFERROR(VLOOKUP(C2320,DATA!#REF!,2,FALSE),"")</f>
        <v/>
      </c>
      <c r="I2320" s="17"/>
      <c r="J2320" s="17"/>
      <c r="P2320" s="17"/>
      <c r="Q2320" s="17"/>
    </row>
    <row r="2321" spans="2:17">
      <c r="B2321" s="17"/>
      <c r="C2321" s="16" t="str">
        <f>IFERROR(VLOOKUP(DATA!#REF!,DATA!#REF!,1,FALSE),"")</f>
        <v/>
      </c>
      <c r="D2321" s="16" t="str">
        <f>IFERROR(VLOOKUP(C2321,DATA!#REF!,2,FALSE),"")</f>
        <v/>
      </c>
      <c r="I2321" s="17"/>
      <c r="J2321" s="17"/>
      <c r="P2321" s="17"/>
      <c r="Q2321" s="17"/>
    </row>
    <row r="2322" spans="2:17">
      <c r="B2322" s="17"/>
      <c r="C2322" s="16" t="str">
        <f>IFERROR(VLOOKUP(DATA!#REF!,DATA!#REF!,1,FALSE),"")</f>
        <v/>
      </c>
      <c r="D2322" s="16" t="str">
        <f>IFERROR(VLOOKUP(C2322,DATA!#REF!,2,FALSE),"")</f>
        <v/>
      </c>
      <c r="I2322" s="17"/>
      <c r="J2322" s="17"/>
      <c r="P2322" s="17"/>
      <c r="Q2322" s="17"/>
    </row>
    <row r="2323" spans="2:17">
      <c r="B2323" s="17"/>
      <c r="C2323" s="16" t="str">
        <f>IFERROR(VLOOKUP(DATA!#REF!,DATA!#REF!,1,FALSE),"")</f>
        <v/>
      </c>
      <c r="D2323" s="16" t="str">
        <f>IFERROR(VLOOKUP(C2323,DATA!#REF!,2,FALSE),"")</f>
        <v/>
      </c>
      <c r="I2323" s="17"/>
      <c r="J2323" s="17"/>
      <c r="P2323" s="17"/>
      <c r="Q2323" s="17"/>
    </row>
    <row r="2324" spans="2:17">
      <c r="B2324" s="17"/>
      <c r="C2324" s="16" t="str">
        <f>IFERROR(VLOOKUP(DATA!#REF!,DATA!#REF!,1,FALSE),"")</f>
        <v/>
      </c>
      <c r="D2324" s="16" t="str">
        <f>IFERROR(VLOOKUP(C2324,DATA!#REF!,2,FALSE),"")</f>
        <v/>
      </c>
      <c r="I2324" s="17"/>
      <c r="J2324" s="17"/>
      <c r="P2324" s="17"/>
      <c r="Q2324" s="17"/>
    </row>
    <row r="2325" spans="2:17">
      <c r="B2325" s="17"/>
      <c r="C2325" s="16" t="str">
        <f>IFERROR(VLOOKUP(DATA!#REF!,DATA!#REF!,1,FALSE),"")</f>
        <v/>
      </c>
      <c r="D2325" s="16" t="str">
        <f>IFERROR(VLOOKUP(C2325,DATA!#REF!,2,FALSE),"")</f>
        <v/>
      </c>
      <c r="I2325" s="17"/>
      <c r="J2325" s="17"/>
      <c r="P2325" s="17"/>
      <c r="Q2325" s="17"/>
    </row>
    <row r="2326" spans="2:17">
      <c r="B2326" s="17"/>
      <c r="C2326" s="16" t="str">
        <f>IFERROR(VLOOKUP(DATA!#REF!,DATA!#REF!,1,FALSE),"")</f>
        <v/>
      </c>
      <c r="D2326" s="16" t="str">
        <f>IFERROR(VLOOKUP(C2326,DATA!#REF!,2,FALSE),"")</f>
        <v/>
      </c>
      <c r="I2326" s="17"/>
      <c r="J2326" s="17"/>
      <c r="P2326" s="17"/>
      <c r="Q2326" s="17"/>
    </row>
    <row r="2327" spans="2:17">
      <c r="B2327" s="17"/>
      <c r="C2327" s="16" t="str">
        <f>IFERROR(VLOOKUP(DATA!#REF!,DATA!#REF!,1,FALSE),"")</f>
        <v/>
      </c>
      <c r="D2327" s="16" t="str">
        <f>IFERROR(VLOOKUP(C2327,DATA!#REF!,2,FALSE),"")</f>
        <v/>
      </c>
      <c r="I2327" s="17"/>
      <c r="J2327" s="17"/>
      <c r="P2327" s="17"/>
      <c r="Q2327" s="17"/>
    </row>
    <row r="2328" spans="2:17">
      <c r="B2328" s="17"/>
      <c r="C2328" s="16" t="str">
        <f>IFERROR(VLOOKUP(DATA!#REF!,DATA!#REF!,1,FALSE),"")</f>
        <v/>
      </c>
      <c r="D2328" s="16" t="str">
        <f>IFERROR(VLOOKUP(C2328,DATA!#REF!,2,FALSE),"")</f>
        <v/>
      </c>
      <c r="I2328" s="17"/>
      <c r="J2328" s="17"/>
      <c r="P2328" s="17"/>
      <c r="Q2328" s="17"/>
    </row>
    <row r="2329" spans="2:17">
      <c r="B2329" s="17"/>
      <c r="C2329" s="16" t="str">
        <f>IFERROR(VLOOKUP(DATA!#REF!,DATA!#REF!,1,FALSE),"")</f>
        <v/>
      </c>
      <c r="D2329" s="16" t="str">
        <f>IFERROR(VLOOKUP(C2329,DATA!#REF!,2,FALSE),"")</f>
        <v/>
      </c>
      <c r="I2329" s="17"/>
      <c r="J2329" s="17"/>
      <c r="P2329" s="17"/>
      <c r="Q2329" s="17"/>
    </row>
    <row r="2330" spans="2:17">
      <c r="B2330" s="17"/>
      <c r="C2330" s="16" t="str">
        <f>IFERROR(VLOOKUP(DATA!#REF!,DATA!#REF!,1,FALSE),"")</f>
        <v/>
      </c>
      <c r="D2330" s="16" t="str">
        <f>IFERROR(VLOOKUP(C2330,DATA!#REF!,2,FALSE),"")</f>
        <v/>
      </c>
      <c r="I2330" s="17"/>
      <c r="J2330" s="17"/>
      <c r="P2330" s="17"/>
      <c r="Q2330" s="17"/>
    </row>
    <row r="2331" spans="2:17">
      <c r="B2331" s="17"/>
      <c r="C2331" s="16" t="str">
        <f>IFERROR(VLOOKUP(DATA!#REF!,DATA!#REF!,1,FALSE),"")</f>
        <v/>
      </c>
      <c r="D2331" s="16" t="str">
        <f>IFERROR(VLOOKUP(C2331,DATA!#REF!,2,FALSE),"")</f>
        <v/>
      </c>
      <c r="I2331" s="17"/>
      <c r="J2331" s="17"/>
      <c r="P2331" s="17"/>
      <c r="Q2331" s="17"/>
    </row>
    <row r="2332" spans="2:17">
      <c r="B2332" s="17"/>
      <c r="C2332" s="16" t="str">
        <f>IFERROR(VLOOKUP(DATA!#REF!,DATA!#REF!,1,FALSE),"")</f>
        <v/>
      </c>
      <c r="D2332" s="16" t="str">
        <f>IFERROR(VLOOKUP(C2332,DATA!#REF!,2,FALSE),"")</f>
        <v/>
      </c>
      <c r="I2332" s="17"/>
      <c r="J2332" s="17"/>
      <c r="P2332" s="17"/>
      <c r="Q2332" s="17"/>
    </row>
    <row r="2333" spans="2:17">
      <c r="B2333" s="17"/>
      <c r="C2333" s="16" t="str">
        <f>IFERROR(VLOOKUP(DATA!#REF!,DATA!#REF!,1,FALSE),"")</f>
        <v/>
      </c>
      <c r="D2333" s="16" t="str">
        <f>IFERROR(VLOOKUP(C2333,DATA!#REF!,2,FALSE),"")</f>
        <v/>
      </c>
      <c r="I2333" s="17"/>
      <c r="J2333" s="17"/>
      <c r="P2333" s="17"/>
      <c r="Q2333" s="17"/>
    </row>
    <row r="2334" spans="2:17">
      <c r="B2334" s="17"/>
      <c r="C2334" s="16" t="str">
        <f>IFERROR(VLOOKUP(DATA!#REF!,DATA!#REF!,1,FALSE),"")</f>
        <v/>
      </c>
      <c r="D2334" s="16" t="str">
        <f>IFERROR(VLOOKUP(C2334,DATA!#REF!,2,FALSE),"")</f>
        <v/>
      </c>
      <c r="I2334" s="17"/>
      <c r="J2334" s="17"/>
      <c r="P2334" s="17"/>
      <c r="Q2334" s="17"/>
    </row>
    <row r="2335" spans="2:17">
      <c r="B2335" s="17"/>
      <c r="C2335" s="16" t="str">
        <f>IFERROR(VLOOKUP(DATA!#REF!,DATA!#REF!,1,FALSE),"")</f>
        <v/>
      </c>
      <c r="D2335" s="16" t="str">
        <f>IFERROR(VLOOKUP(C2335,DATA!#REF!,2,FALSE),"")</f>
        <v/>
      </c>
      <c r="I2335" s="17"/>
      <c r="J2335" s="17"/>
      <c r="P2335" s="17"/>
      <c r="Q2335" s="17"/>
    </row>
    <row r="2336" spans="2:17">
      <c r="B2336" s="17"/>
      <c r="C2336" s="16" t="str">
        <f>IFERROR(VLOOKUP(DATA!#REF!,DATA!#REF!,1,FALSE),"")</f>
        <v/>
      </c>
      <c r="D2336" s="16" t="str">
        <f>IFERROR(VLOOKUP(C2336,DATA!#REF!,2,FALSE),"")</f>
        <v/>
      </c>
      <c r="I2336" s="17"/>
      <c r="J2336" s="17"/>
      <c r="P2336" s="17"/>
      <c r="Q2336" s="17"/>
    </row>
    <row r="2337" spans="2:17">
      <c r="B2337" s="17"/>
      <c r="C2337" s="16" t="str">
        <f>IFERROR(VLOOKUP(DATA!#REF!,DATA!#REF!,1,FALSE),"")</f>
        <v/>
      </c>
      <c r="D2337" s="16" t="str">
        <f>IFERROR(VLOOKUP(C2337,DATA!#REF!,2,FALSE),"")</f>
        <v/>
      </c>
      <c r="I2337" s="17"/>
      <c r="J2337" s="17"/>
      <c r="P2337" s="17"/>
      <c r="Q2337" s="17"/>
    </row>
    <row r="2338" spans="2:17">
      <c r="B2338" s="17"/>
      <c r="C2338" s="16" t="str">
        <f>IFERROR(VLOOKUP(DATA!#REF!,DATA!#REF!,1,FALSE),"")</f>
        <v/>
      </c>
      <c r="D2338" s="16" t="str">
        <f>IFERROR(VLOOKUP(C2338,DATA!#REF!,2,FALSE),"")</f>
        <v/>
      </c>
      <c r="I2338" s="17"/>
      <c r="J2338" s="17"/>
      <c r="P2338" s="17"/>
      <c r="Q2338" s="17"/>
    </row>
    <row r="2339" spans="2:17">
      <c r="B2339" s="17"/>
      <c r="C2339" s="16" t="str">
        <f>IFERROR(VLOOKUP(DATA!#REF!,DATA!#REF!,1,FALSE),"")</f>
        <v/>
      </c>
      <c r="D2339" s="16" t="str">
        <f>IFERROR(VLOOKUP(C2339,DATA!#REF!,2,FALSE),"")</f>
        <v/>
      </c>
      <c r="I2339" s="17"/>
      <c r="J2339" s="17"/>
      <c r="P2339" s="17"/>
      <c r="Q2339" s="17"/>
    </row>
    <row r="2340" spans="2:17">
      <c r="B2340" s="17"/>
      <c r="C2340" s="16" t="str">
        <f>IFERROR(VLOOKUP(DATA!#REF!,DATA!#REF!,1,FALSE),"")</f>
        <v/>
      </c>
      <c r="D2340" s="16" t="str">
        <f>IFERROR(VLOOKUP(C2340,DATA!#REF!,2,FALSE),"")</f>
        <v/>
      </c>
      <c r="I2340" s="17"/>
      <c r="J2340" s="17"/>
      <c r="P2340" s="17"/>
      <c r="Q2340" s="17"/>
    </row>
    <row r="2341" spans="2:17">
      <c r="B2341" s="17"/>
      <c r="C2341" s="16" t="str">
        <f>IFERROR(VLOOKUP(DATA!#REF!,DATA!#REF!,1,FALSE),"")</f>
        <v/>
      </c>
      <c r="D2341" s="16" t="str">
        <f>IFERROR(VLOOKUP(C2341,DATA!#REF!,2,FALSE),"")</f>
        <v/>
      </c>
      <c r="I2341" s="17"/>
      <c r="J2341" s="17"/>
      <c r="P2341" s="17"/>
      <c r="Q2341" s="17"/>
    </row>
    <row r="2342" spans="2:17">
      <c r="B2342" s="17"/>
      <c r="C2342" s="16" t="str">
        <f>IFERROR(VLOOKUP(DATA!#REF!,DATA!#REF!,1,FALSE),"")</f>
        <v/>
      </c>
      <c r="D2342" s="16" t="str">
        <f>IFERROR(VLOOKUP(C2342,DATA!#REF!,2,FALSE),"")</f>
        <v/>
      </c>
      <c r="I2342" s="17"/>
      <c r="J2342" s="17"/>
      <c r="P2342" s="17"/>
      <c r="Q2342" s="17"/>
    </row>
    <row r="2343" spans="2:17">
      <c r="B2343" s="17"/>
      <c r="C2343" s="16" t="str">
        <f>IFERROR(VLOOKUP(DATA!#REF!,DATA!#REF!,1,FALSE),"")</f>
        <v/>
      </c>
      <c r="D2343" s="16" t="str">
        <f>IFERROR(VLOOKUP(C2343,DATA!#REF!,2,FALSE),"")</f>
        <v/>
      </c>
      <c r="I2343" s="17"/>
      <c r="J2343" s="17"/>
      <c r="P2343" s="17"/>
      <c r="Q2343" s="17"/>
    </row>
    <row r="2344" spans="2:17">
      <c r="B2344" s="17"/>
      <c r="C2344" s="16" t="str">
        <f>IFERROR(VLOOKUP(DATA!#REF!,DATA!#REF!,1,FALSE),"")</f>
        <v/>
      </c>
      <c r="D2344" s="16" t="str">
        <f>IFERROR(VLOOKUP(C2344,DATA!#REF!,2,FALSE),"")</f>
        <v/>
      </c>
      <c r="I2344" s="17"/>
      <c r="J2344" s="17"/>
      <c r="P2344" s="17"/>
      <c r="Q2344" s="17"/>
    </row>
    <row r="2345" spans="2:17">
      <c r="B2345" s="17"/>
      <c r="C2345" s="16" t="str">
        <f>IFERROR(VLOOKUP(DATA!#REF!,DATA!#REF!,1,FALSE),"")</f>
        <v/>
      </c>
      <c r="D2345" s="16" t="str">
        <f>IFERROR(VLOOKUP(C2345,DATA!#REF!,2,FALSE),"")</f>
        <v/>
      </c>
      <c r="I2345" s="17"/>
      <c r="J2345" s="17"/>
      <c r="P2345" s="17"/>
      <c r="Q2345" s="17"/>
    </row>
    <row r="2346" spans="2:17">
      <c r="B2346" s="17"/>
      <c r="C2346" s="16" t="str">
        <f>IFERROR(VLOOKUP(DATA!#REF!,DATA!#REF!,1,FALSE),"")</f>
        <v/>
      </c>
      <c r="D2346" s="16" t="str">
        <f>IFERROR(VLOOKUP(C2346,DATA!#REF!,2,FALSE),"")</f>
        <v/>
      </c>
      <c r="I2346" s="17"/>
      <c r="J2346" s="17"/>
      <c r="P2346" s="17"/>
      <c r="Q2346" s="17"/>
    </row>
    <row r="2347" spans="2:17">
      <c r="B2347" s="17"/>
      <c r="C2347" s="16" t="str">
        <f>IFERROR(VLOOKUP(DATA!#REF!,DATA!#REF!,1,FALSE),"")</f>
        <v/>
      </c>
      <c r="D2347" s="16" t="str">
        <f>IFERROR(VLOOKUP(C2347,DATA!#REF!,2,FALSE),"")</f>
        <v/>
      </c>
      <c r="I2347" s="17"/>
      <c r="J2347" s="17"/>
      <c r="P2347" s="17"/>
      <c r="Q2347" s="17"/>
    </row>
    <row r="2348" spans="2:17">
      <c r="B2348" s="17"/>
      <c r="C2348" s="16" t="str">
        <f>IFERROR(VLOOKUP(DATA!#REF!,DATA!#REF!,1,FALSE),"")</f>
        <v/>
      </c>
      <c r="D2348" s="16" t="str">
        <f>IFERROR(VLOOKUP(C2348,DATA!#REF!,2,FALSE),"")</f>
        <v/>
      </c>
      <c r="I2348" s="17"/>
      <c r="J2348" s="17"/>
      <c r="P2348" s="17"/>
      <c r="Q2348" s="17"/>
    </row>
    <row r="2349" spans="2:17">
      <c r="B2349" s="17"/>
      <c r="C2349" s="16" t="str">
        <f>IFERROR(VLOOKUP(DATA!#REF!,DATA!#REF!,1,FALSE),"")</f>
        <v/>
      </c>
      <c r="D2349" s="16" t="str">
        <f>IFERROR(VLOOKUP(C2349,DATA!#REF!,2,FALSE),"")</f>
        <v/>
      </c>
      <c r="I2349" s="17"/>
      <c r="J2349" s="17"/>
      <c r="P2349" s="17"/>
      <c r="Q2349" s="17"/>
    </row>
    <row r="2350" spans="2:17">
      <c r="B2350" s="17"/>
      <c r="C2350" s="16" t="str">
        <f>IFERROR(VLOOKUP(DATA!#REF!,DATA!#REF!,1,FALSE),"")</f>
        <v/>
      </c>
      <c r="D2350" s="16" t="str">
        <f>IFERROR(VLOOKUP(C2350,DATA!#REF!,2,FALSE),"")</f>
        <v/>
      </c>
      <c r="I2350" s="17"/>
      <c r="J2350" s="17"/>
      <c r="P2350" s="17"/>
      <c r="Q2350" s="17"/>
    </row>
    <row r="2351" spans="2:17">
      <c r="B2351" s="17"/>
      <c r="C2351" s="16" t="str">
        <f>IFERROR(VLOOKUP(DATA!#REF!,DATA!#REF!,1,FALSE),"")</f>
        <v/>
      </c>
      <c r="D2351" s="16" t="str">
        <f>IFERROR(VLOOKUP(C2351,DATA!#REF!,2,FALSE),"")</f>
        <v/>
      </c>
      <c r="I2351" s="17"/>
      <c r="J2351" s="17"/>
      <c r="P2351" s="17"/>
      <c r="Q2351" s="17"/>
    </row>
    <row r="2352" spans="2:17">
      <c r="B2352" s="17"/>
      <c r="C2352" s="16" t="str">
        <f>IFERROR(VLOOKUP(DATA!#REF!,DATA!#REF!,1,FALSE),"")</f>
        <v/>
      </c>
      <c r="D2352" s="16" t="str">
        <f>IFERROR(VLOOKUP(C2352,DATA!#REF!,2,FALSE),"")</f>
        <v/>
      </c>
      <c r="I2352" s="17"/>
      <c r="J2352" s="17"/>
      <c r="P2352" s="17"/>
      <c r="Q2352" s="17"/>
    </row>
    <row r="2353" spans="2:17">
      <c r="B2353" s="17"/>
      <c r="C2353" s="16" t="str">
        <f>IFERROR(VLOOKUP(DATA!#REF!,DATA!#REF!,1,FALSE),"")</f>
        <v/>
      </c>
      <c r="D2353" s="16" t="str">
        <f>IFERROR(VLOOKUP(C2353,DATA!#REF!,2,FALSE),"")</f>
        <v/>
      </c>
      <c r="I2353" s="17"/>
      <c r="J2353" s="17"/>
      <c r="P2353" s="17"/>
      <c r="Q2353" s="17"/>
    </row>
    <row r="2354" spans="2:17">
      <c r="B2354" s="17"/>
      <c r="C2354" s="16" t="str">
        <f>IFERROR(VLOOKUP(DATA!#REF!,DATA!#REF!,1,FALSE),"")</f>
        <v/>
      </c>
      <c r="D2354" s="16" t="str">
        <f>IFERROR(VLOOKUP(C2354,DATA!#REF!,2,FALSE),"")</f>
        <v/>
      </c>
      <c r="I2354" s="17"/>
      <c r="J2354" s="17"/>
      <c r="P2354" s="17"/>
      <c r="Q2354" s="17"/>
    </row>
    <row r="2355" spans="2:17">
      <c r="B2355" s="17"/>
      <c r="C2355" s="16" t="str">
        <f>IFERROR(VLOOKUP(DATA!#REF!,DATA!#REF!,1,FALSE),"")</f>
        <v/>
      </c>
      <c r="D2355" s="16" t="str">
        <f>IFERROR(VLOOKUP(C2355,DATA!#REF!,2,FALSE),"")</f>
        <v/>
      </c>
      <c r="I2355" s="17"/>
      <c r="J2355" s="17"/>
      <c r="P2355" s="17"/>
      <c r="Q2355" s="17"/>
    </row>
    <row r="2356" spans="2:17">
      <c r="B2356" s="17"/>
      <c r="C2356" s="16" t="str">
        <f>IFERROR(VLOOKUP(DATA!#REF!,DATA!#REF!,1,FALSE),"")</f>
        <v/>
      </c>
      <c r="D2356" s="16" t="str">
        <f>IFERROR(VLOOKUP(C2356,DATA!#REF!,2,FALSE),"")</f>
        <v/>
      </c>
      <c r="I2356" s="17"/>
      <c r="J2356" s="17"/>
      <c r="P2356" s="17"/>
      <c r="Q2356" s="17"/>
    </row>
    <row r="2357" spans="2:17">
      <c r="B2357" s="17"/>
      <c r="C2357" s="16" t="str">
        <f>IFERROR(VLOOKUP(DATA!#REF!,DATA!#REF!,1,FALSE),"")</f>
        <v/>
      </c>
      <c r="D2357" s="16" t="str">
        <f>IFERROR(VLOOKUP(C2357,DATA!#REF!,2,FALSE),"")</f>
        <v/>
      </c>
      <c r="I2357" s="17"/>
      <c r="J2357" s="17"/>
      <c r="P2357" s="17"/>
      <c r="Q2357" s="17"/>
    </row>
    <row r="2358" spans="2:17">
      <c r="B2358" s="17"/>
      <c r="C2358" s="16" t="str">
        <f>IFERROR(VLOOKUP(DATA!#REF!,DATA!#REF!,1,FALSE),"")</f>
        <v/>
      </c>
      <c r="D2358" s="16" t="str">
        <f>IFERROR(VLOOKUP(C2358,DATA!#REF!,2,FALSE),"")</f>
        <v/>
      </c>
      <c r="I2358" s="17"/>
      <c r="J2358" s="17"/>
      <c r="P2358" s="17"/>
      <c r="Q2358" s="17"/>
    </row>
    <row r="2359" spans="2:17">
      <c r="B2359" s="17"/>
      <c r="C2359" s="16" t="str">
        <f>IFERROR(VLOOKUP(DATA!#REF!,DATA!#REF!,1,FALSE),"")</f>
        <v/>
      </c>
      <c r="D2359" s="16" t="str">
        <f>IFERROR(VLOOKUP(C2359,DATA!#REF!,2,FALSE),"")</f>
        <v/>
      </c>
      <c r="I2359" s="17"/>
      <c r="J2359" s="17"/>
      <c r="P2359" s="17"/>
      <c r="Q2359" s="17"/>
    </row>
    <row r="2360" spans="2:17">
      <c r="B2360" s="17"/>
      <c r="C2360" s="16" t="str">
        <f>IFERROR(VLOOKUP(DATA!#REF!,DATA!#REF!,1,FALSE),"")</f>
        <v/>
      </c>
      <c r="D2360" s="16" t="str">
        <f>IFERROR(VLOOKUP(C2360,DATA!#REF!,2,FALSE),"")</f>
        <v/>
      </c>
      <c r="I2360" s="17"/>
      <c r="J2360" s="17"/>
      <c r="P2360" s="17"/>
      <c r="Q2360" s="17"/>
    </row>
    <row r="2361" spans="2:17">
      <c r="B2361" s="17"/>
      <c r="C2361" s="16" t="str">
        <f>IFERROR(VLOOKUP(DATA!#REF!,DATA!#REF!,1,FALSE),"")</f>
        <v/>
      </c>
      <c r="D2361" s="16" t="str">
        <f>IFERROR(VLOOKUP(C2361,DATA!#REF!,2,FALSE),"")</f>
        <v/>
      </c>
      <c r="I2361" s="17"/>
      <c r="J2361" s="17"/>
      <c r="P2361" s="17"/>
      <c r="Q2361" s="17"/>
    </row>
    <row r="2362" spans="2:17">
      <c r="B2362" s="17"/>
      <c r="C2362" s="16" t="str">
        <f>IFERROR(VLOOKUP(DATA!#REF!,DATA!#REF!,1,FALSE),"")</f>
        <v/>
      </c>
      <c r="D2362" s="16" t="str">
        <f>IFERROR(VLOOKUP(C2362,DATA!#REF!,2,FALSE),"")</f>
        <v/>
      </c>
      <c r="I2362" s="17"/>
      <c r="J2362" s="17"/>
      <c r="P2362" s="17"/>
      <c r="Q2362" s="17"/>
    </row>
    <row r="2363" spans="2:17">
      <c r="B2363" s="17"/>
      <c r="C2363" s="16" t="str">
        <f>IFERROR(VLOOKUP(DATA!#REF!,DATA!#REF!,1,FALSE),"")</f>
        <v/>
      </c>
      <c r="D2363" s="16" t="str">
        <f>IFERROR(VLOOKUP(C2363,DATA!#REF!,2,FALSE),"")</f>
        <v/>
      </c>
      <c r="I2363" s="17"/>
      <c r="J2363" s="17"/>
      <c r="P2363" s="17"/>
      <c r="Q2363" s="17"/>
    </row>
    <row r="2364" spans="2:17">
      <c r="B2364" s="17"/>
      <c r="C2364" s="16" t="str">
        <f>IFERROR(VLOOKUP(DATA!#REF!,DATA!#REF!,1,FALSE),"")</f>
        <v/>
      </c>
      <c r="D2364" s="16" t="str">
        <f>IFERROR(VLOOKUP(C2364,DATA!#REF!,2,FALSE),"")</f>
        <v/>
      </c>
      <c r="I2364" s="17"/>
      <c r="J2364" s="17"/>
      <c r="P2364" s="17"/>
      <c r="Q2364" s="17"/>
    </row>
    <row r="2365" spans="2:17">
      <c r="B2365" s="17"/>
      <c r="C2365" s="16" t="str">
        <f>IFERROR(VLOOKUP(DATA!#REF!,DATA!#REF!,1,FALSE),"")</f>
        <v/>
      </c>
      <c r="D2365" s="16" t="str">
        <f>IFERROR(VLOOKUP(C2365,DATA!#REF!,2,FALSE),"")</f>
        <v/>
      </c>
      <c r="I2365" s="17"/>
      <c r="J2365" s="17"/>
      <c r="P2365" s="17"/>
      <c r="Q2365" s="17"/>
    </row>
    <row r="2366" spans="2:17">
      <c r="B2366" s="17"/>
      <c r="C2366" s="16" t="str">
        <f>IFERROR(VLOOKUP(DATA!#REF!,DATA!#REF!,1,FALSE),"")</f>
        <v/>
      </c>
      <c r="D2366" s="16" t="str">
        <f>IFERROR(VLOOKUP(C2366,DATA!#REF!,2,FALSE),"")</f>
        <v/>
      </c>
      <c r="I2366" s="17"/>
      <c r="J2366" s="17"/>
      <c r="P2366" s="17"/>
      <c r="Q2366" s="17"/>
    </row>
    <row r="2367" spans="2:17">
      <c r="B2367" s="17"/>
      <c r="C2367" s="16" t="str">
        <f>IFERROR(VLOOKUP(DATA!#REF!,DATA!#REF!,1,FALSE),"")</f>
        <v/>
      </c>
      <c r="D2367" s="16" t="str">
        <f>IFERROR(VLOOKUP(C2367,DATA!#REF!,2,FALSE),"")</f>
        <v/>
      </c>
      <c r="I2367" s="17"/>
      <c r="J2367" s="17"/>
      <c r="P2367" s="17"/>
      <c r="Q2367" s="17"/>
    </row>
    <row r="2368" spans="2:17">
      <c r="B2368" s="17"/>
      <c r="C2368" s="16" t="str">
        <f>IFERROR(VLOOKUP(DATA!#REF!,DATA!#REF!,1,FALSE),"")</f>
        <v/>
      </c>
      <c r="D2368" s="16" t="str">
        <f>IFERROR(VLOOKUP(C2368,DATA!#REF!,2,FALSE),"")</f>
        <v/>
      </c>
      <c r="I2368" s="17"/>
      <c r="J2368" s="17"/>
      <c r="P2368" s="17"/>
      <c r="Q2368" s="17"/>
    </row>
    <row r="2369" spans="2:17">
      <c r="B2369" s="17"/>
      <c r="C2369" s="16" t="str">
        <f>IFERROR(VLOOKUP(DATA!#REF!,DATA!#REF!,1,FALSE),"")</f>
        <v/>
      </c>
      <c r="D2369" s="16" t="str">
        <f>IFERROR(VLOOKUP(C2369,DATA!#REF!,2,FALSE),"")</f>
        <v/>
      </c>
      <c r="I2369" s="17"/>
      <c r="J2369" s="17"/>
      <c r="P2369" s="17"/>
      <c r="Q2369" s="17"/>
    </row>
    <row r="2370" spans="2:17">
      <c r="B2370" s="17"/>
      <c r="C2370" s="16" t="str">
        <f>IFERROR(VLOOKUP(DATA!#REF!,DATA!#REF!,1,FALSE),"")</f>
        <v/>
      </c>
      <c r="D2370" s="16" t="str">
        <f>IFERROR(VLOOKUP(C2370,DATA!#REF!,2,FALSE),"")</f>
        <v/>
      </c>
      <c r="I2370" s="17"/>
      <c r="J2370" s="17"/>
      <c r="P2370" s="17"/>
      <c r="Q2370" s="17"/>
    </row>
    <row r="2371" spans="2:17">
      <c r="B2371" s="17"/>
      <c r="C2371" s="16" t="str">
        <f>IFERROR(VLOOKUP(DATA!#REF!,DATA!#REF!,1,FALSE),"")</f>
        <v/>
      </c>
      <c r="D2371" s="16" t="str">
        <f>IFERROR(VLOOKUP(C2371,DATA!#REF!,2,FALSE),"")</f>
        <v/>
      </c>
      <c r="I2371" s="17"/>
      <c r="J2371" s="17"/>
      <c r="P2371" s="17"/>
      <c r="Q2371" s="17"/>
    </row>
    <row r="2372" spans="2:17">
      <c r="B2372" s="17"/>
      <c r="C2372" s="16" t="str">
        <f>IFERROR(VLOOKUP(DATA!#REF!,DATA!#REF!,1,FALSE),"")</f>
        <v/>
      </c>
      <c r="D2372" s="16" t="str">
        <f>IFERROR(VLOOKUP(C2372,DATA!#REF!,2,FALSE),"")</f>
        <v/>
      </c>
      <c r="I2372" s="17"/>
      <c r="J2372" s="17"/>
      <c r="P2372" s="17"/>
      <c r="Q2372" s="17"/>
    </row>
    <row r="2373" spans="2:17">
      <c r="B2373" s="17"/>
      <c r="C2373" s="16" t="str">
        <f>IFERROR(VLOOKUP(DATA!#REF!,DATA!#REF!,1,FALSE),"")</f>
        <v/>
      </c>
      <c r="D2373" s="16" t="str">
        <f>IFERROR(VLOOKUP(C2373,DATA!#REF!,2,FALSE),"")</f>
        <v/>
      </c>
      <c r="I2373" s="17"/>
      <c r="J2373" s="17"/>
      <c r="P2373" s="17"/>
      <c r="Q2373" s="17"/>
    </row>
    <row r="2374" spans="2:17">
      <c r="B2374" s="17"/>
      <c r="C2374" s="16" t="str">
        <f>IFERROR(VLOOKUP(DATA!#REF!,DATA!#REF!,1,FALSE),"")</f>
        <v/>
      </c>
      <c r="D2374" s="16" t="str">
        <f>IFERROR(VLOOKUP(C2374,DATA!#REF!,2,FALSE),"")</f>
        <v/>
      </c>
      <c r="I2374" s="17"/>
      <c r="J2374" s="17"/>
      <c r="P2374" s="17"/>
      <c r="Q2374" s="17"/>
    </row>
    <row r="2375" spans="2:17">
      <c r="B2375" s="17"/>
      <c r="C2375" s="16" t="str">
        <f>IFERROR(VLOOKUP(DATA!#REF!,DATA!#REF!,1,FALSE),"")</f>
        <v/>
      </c>
      <c r="D2375" s="16" t="str">
        <f>IFERROR(VLOOKUP(C2375,DATA!#REF!,2,FALSE),"")</f>
        <v/>
      </c>
      <c r="I2375" s="17"/>
      <c r="J2375" s="17"/>
      <c r="P2375" s="17"/>
      <c r="Q2375" s="17"/>
    </row>
    <row r="2376" spans="2:17">
      <c r="B2376" s="17"/>
      <c r="C2376" s="16" t="str">
        <f>IFERROR(VLOOKUP(DATA!#REF!,DATA!#REF!,1,FALSE),"")</f>
        <v/>
      </c>
      <c r="D2376" s="16" t="str">
        <f>IFERROR(VLOOKUP(C2376,DATA!#REF!,2,FALSE),"")</f>
        <v/>
      </c>
      <c r="I2376" s="17"/>
      <c r="J2376" s="17"/>
      <c r="P2376" s="17"/>
      <c r="Q2376" s="17"/>
    </row>
    <row r="2377" spans="2:17">
      <c r="B2377" s="17"/>
      <c r="C2377" s="16" t="str">
        <f>IFERROR(VLOOKUP(DATA!#REF!,DATA!#REF!,1,FALSE),"")</f>
        <v/>
      </c>
      <c r="D2377" s="16" t="str">
        <f>IFERROR(VLOOKUP(C2377,DATA!#REF!,2,FALSE),"")</f>
        <v/>
      </c>
      <c r="I2377" s="17"/>
      <c r="J2377" s="17"/>
      <c r="P2377" s="17"/>
      <c r="Q2377" s="17"/>
    </row>
    <row r="2378" spans="2:17">
      <c r="B2378" s="17"/>
      <c r="C2378" s="16" t="str">
        <f>IFERROR(VLOOKUP(DATA!#REF!,DATA!#REF!,1,FALSE),"")</f>
        <v/>
      </c>
      <c r="D2378" s="16" t="str">
        <f>IFERROR(VLOOKUP(C2378,DATA!#REF!,2,FALSE),"")</f>
        <v/>
      </c>
      <c r="I2378" s="17"/>
      <c r="J2378" s="17"/>
      <c r="P2378" s="17"/>
      <c r="Q2378" s="17"/>
    </row>
    <row r="2379" spans="2:17">
      <c r="B2379" s="17"/>
      <c r="C2379" s="16" t="str">
        <f>IFERROR(VLOOKUP(DATA!#REF!,DATA!#REF!,1,FALSE),"")</f>
        <v/>
      </c>
      <c r="D2379" s="16" t="str">
        <f>IFERROR(VLOOKUP(C2379,DATA!#REF!,2,FALSE),"")</f>
        <v/>
      </c>
      <c r="I2379" s="17"/>
      <c r="J2379" s="17"/>
      <c r="P2379" s="17"/>
      <c r="Q2379" s="17"/>
    </row>
    <row r="2380" spans="2:17">
      <c r="B2380" s="17"/>
      <c r="C2380" s="16" t="str">
        <f>IFERROR(VLOOKUP(DATA!#REF!,DATA!#REF!,1,FALSE),"")</f>
        <v/>
      </c>
      <c r="D2380" s="16" t="str">
        <f>IFERROR(VLOOKUP(C2380,DATA!#REF!,2,FALSE),"")</f>
        <v/>
      </c>
      <c r="I2380" s="17"/>
      <c r="J2380" s="17"/>
      <c r="P2380" s="17"/>
      <c r="Q2380" s="17"/>
    </row>
    <row r="2381" spans="2:17">
      <c r="B2381" s="17"/>
      <c r="C2381" s="16" t="str">
        <f>IFERROR(VLOOKUP(DATA!#REF!,DATA!#REF!,1,FALSE),"")</f>
        <v/>
      </c>
      <c r="D2381" s="16" t="str">
        <f>IFERROR(VLOOKUP(C2381,DATA!#REF!,2,FALSE),"")</f>
        <v/>
      </c>
      <c r="I2381" s="17"/>
      <c r="J2381" s="17"/>
      <c r="P2381" s="17"/>
      <c r="Q2381" s="17"/>
    </row>
    <row r="2382" spans="2:17">
      <c r="B2382" s="17"/>
      <c r="C2382" s="16" t="str">
        <f>IFERROR(VLOOKUP(DATA!#REF!,DATA!#REF!,1,FALSE),"")</f>
        <v/>
      </c>
      <c r="D2382" s="16" t="str">
        <f>IFERROR(VLOOKUP(C2382,DATA!#REF!,2,FALSE),"")</f>
        <v/>
      </c>
      <c r="I2382" s="17"/>
      <c r="J2382" s="17"/>
      <c r="P2382" s="17"/>
      <c r="Q2382" s="17"/>
    </row>
    <row r="2383" spans="2:17">
      <c r="B2383" s="17"/>
      <c r="C2383" s="16" t="str">
        <f>IFERROR(VLOOKUP(DATA!#REF!,DATA!#REF!,1,FALSE),"")</f>
        <v/>
      </c>
      <c r="D2383" s="16" t="str">
        <f>IFERROR(VLOOKUP(C2383,DATA!#REF!,2,FALSE),"")</f>
        <v/>
      </c>
      <c r="I2383" s="17"/>
      <c r="J2383" s="17"/>
      <c r="P2383" s="17"/>
      <c r="Q2383" s="17"/>
    </row>
    <row r="2384" spans="2:17">
      <c r="B2384" s="17"/>
      <c r="C2384" s="16" t="str">
        <f>IFERROR(VLOOKUP(DATA!#REF!,DATA!#REF!,1,FALSE),"")</f>
        <v/>
      </c>
      <c r="D2384" s="16" t="str">
        <f>IFERROR(VLOOKUP(C2384,DATA!#REF!,2,FALSE),"")</f>
        <v/>
      </c>
      <c r="I2384" s="17"/>
      <c r="J2384" s="17"/>
      <c r="P2384" s="17"/>
      <c r="Q2384" s="17"/>
    </row>
    <row r="2385" spans="2:17">
      <c r="B2385" s="17"/>
      <c r="C2385" s="16" t="str">
        <f>IFERROR(VLOOKUP(DATA!#REF!,DATA!#REF!,1,FALSE),"")</f>
        <v/>
      </c>
      <c r="D2385" s="16" t="str">
        <f>IFERROR(VLOOKUP(C2385,DATA!#REF!,2,FALSE),"")</f>
        <v/>
      </c>
      <c r="I2385" s="17"/>
      <c r="J2385" s="17"/>
      <c r="P2385" s="17"/>
      <c r="Q2385" s="17"/>
    </row>
    <row r="2386" spans="2:17">
      <c r="B2386" s="17"/>
      <c r="C2386" s="16" t="str">
        <f>IFERROR(VLOOKUP(DATA!#REF!,DATA!#REF!,1,FALSE),"")</f>
        <v/>
      </c>
      <c r="D2386" s="16" t="str">
        <f>IFERROR(VLOOKUP(C2386,DATA!#REF!,2,FALSE),"")</f>
        <v/>
      </c>
      <c r="I2386" s="17"/>
      <c r="J2386" s="17"/>
      <c r="P2386" s="17"/>
      <c r="Q2386" s="17"/>
    </row>
    <row r="2387" spans="2:17">
      <c r="B2387" s="17"/>
      <c r="C2387" s="16" t="str">
        <f>IFERROR(VLOOKUP(DATA!#REF!,DATA!#REF!,1,FALSE),"")</f>
        <v/>
      </c>
      <c r="D2387" s="16" t="str">
        <f>IFERROR(VLOOKUP(C2387,DATA!#REF!,2,FALSE),"")</f>
        <v/>
      </c>
      <c r="I2387" s="17"/>
      <c r="J2387" s="17"/>
      <c r="P2387" s="17"/>
      <c r="Q2387" s="17"/>
    </row>
    <row r="2388" spans="2:17">
      <c r="B2388" s="17"/>
      <c r="C2388" s="16" t="str">
        <f>IFERROR(VLOOKUP(DATA!#REF!,DATA!#REF!,1,FALSE),"")</f>
        <v/>
      </c>
      <c r="D2388" s="16" t="str">
        <f>IFERROR(VLOOKUP(C2388,DATA!#REF!,2,FALSE),"")</f>
        <v/>
      </c>
      <c r="I2388" s="17"/>
      <c r="J2388" s="17"/>
      <c r="P2388" s="17"/>
      <c r="Q2388" s="17"/>
    </row>
    <row r="2389" spans="2:17">
      <c r="B2389" s="17"/>
      <c r="C2389" s="16" t="str">
        <f>IFERROR(VLOOKUP(DATA!#REF!,DATA!#REF!,1,FALSE),"")</f>
        <v/>
      </c>
      <c r="D2389" s="16" t="str">
        <f>IFERROR(VLOOKUP(C2389,DATA!#REF!,2,FALSE),"")</f>
        <v/>
      </c>
      <c r="I2389" s="17"/>
      <c r="J2389" s="17"/>
      <c r="P2389" s="17"/>
      <c r="Q2389" s="17"/>
    </row>
    <row r="2390" spans="2:17">
      <c r="B2390" s="17"/>
      <c r="C2390" s="16" t="str">
        <f>IFERROR(VLOOKUP(DATA!#REF!,DATA!#REF!,1,FALSE),"")</f>
        <v/>
      </c>
      <c r="D2390" s="16" t="str">
        <f>IFERROR(VLOOKUP(C2390,DATA!#REF!,2,FALSE),"")</f>
        <v/>
      </c>
      <c r="I2390" s="17"/>
      <c r="J2390" s="17"/>
      <c r="P2390" s="17"/>
      <c r="Q2390" s="17"/>
    </row>
    <row r="2391" spans="2:17">
      <c r="B2391" s="17"/>
      <c r="C2391" s="16" t="str">
        <f>IFERROR(VLOOKUP(DATA!#REF!,DATA!#REF!,1,FALSE),"")</f>
        <v/>
      </c>
      <c r="D2391" s="16" t="str">
        <f>IFERROR(VLOOKUP(C2391,DATA!#REF!,2,FALSE),"")</f>
        <v/>
      </c>
      <c r="I2391" s="17"/>
      <c r="J2391" s="17"/>
      <c r="P2391" s="17"/>
      <c r="Q2391" s="17"/>
    </row>
    <row r="2392" spans="2:17">
      <c r="B2392" s="17"/>
      <c r="C2392" s="16" t="str">
        <f>IFERROR(VLOOKUP(DATA!#REF!,DATA!#REF!,1,FALSE),"")</f>
        <v/>
      </c>
      <c r="D2392" s="16" t="str">
        <f>IFERROR(VLOOKUP(C2392,DATA!#REF!,2,FALSE),"")</f>
        <v/>
      </c>
      <c r="I2392" s="17"/>
      <c r="J2392" s="17"/>
      <c r="P2392" s="17"/>
      <c r="Q2392" s="17"/>
    </row>
    <row r="2393" spans="2:17">
      <c r="B2393" s="17"/>
      <c r="C2393" s="16" t="str">
        <f>IFERROR(VLOOKUP(DATA!#REF!,DATA!#REF!,1,FALSE),"")</f>
        <v/>
      </c>
      <c r="D2393" s="16" t="str">
        <f>IFERROR(VLOOKUP(C2393,DATA!#REF!,2,FALSE),"")</f>
        <v/>
      </c>
      <c r="I2393" s="17"/>
      <c r="J2393" s="17"/>
      <c r="P2393" s="17"/>
      <c r="Q2393" s="17"/>
    </row>
    <row r="2394" spans="2:17">
      <c r="B2394" s="17"/>
      <c r="C2394" s="16" t="str">
        <f>IFERROR(VLOOKUP(DATA!#REF!,DATA!#REF!,1,FALSE),"")</f>
        <v/>
      </c>
      <c r="D2394" s="16" t="str">
        <f>IFERROR(VLOOKUP(C2394,DATA!#REF!,2,FALSE),"")</f>
        <v/>
      </c>
      <c r="I2394" s="17"/>
      <c r="J2394" s="17"/>
      <c r="P2394" s="17"/>
      <c r="Q2394" s="17"/>
    </row>
    <row r="2395" spans="2:17">
      <c r="B2395" s="17"/>
      <c r="C2395" s="16" t="str">
        <f>IFERROR(VLOOKUP(DATA!#REF!,DATA!#REF!,1,FALSE),"")</f>
        <v/>
      </c>
      <c r="D2395" s="16" t="str">
        <f>IFERROR(VLOOKUP(C2395,DATA!#REF!,2,FALSE),"")</f>
        <v/>
      </c>
      <c r="I2395" s="17"/>
      <c r="J2395" s="17"/>
      <c r="P2395" s="17"/>
      <c r="Q2395" s="17"/>
    </row>
    <row r="2396" spans="2:17">
      <c r="B2396" s="17"/>
      <c r="C2396" s="16" t="str">
        <f>IFERROR(VLOOKUP(DATA!#REF!,DATA!#REF!,1,FALSE),"")</f>
        <v/>
      </c>
      <c r="D2396" s="16" t="str">
        <f>IFERROR(VLOOKUP(C2396,DATA!#REF!,2,FALSE),"")</f>
        <v/>
      </c>
      <c r="I2396" s="17"/>
      <c r="J2396" s="17"/>
      <c r="P2396" s="17"/>
      <c r="Q2396" s="17"/>
    </row>
    <row r="2397" spans="2:17">
      <c r="B2397" s="17"/>
      <c r="C2397" s="16" t="str">
        <f>IFERROR(VLOOKUP(DATA!#REF!,DATA!#REF!,1,FALSE),"")</f>
        <v/>
      </c>
      <c r="D2397" s="16" t="str">
        <f>IFERROR(VLOOKUP(C2397,DATA!#REF!,2,FALSE),"")</f>
        <v/>
      </c>
      <c r="I2397" s="17"/>
      <c r="J2397" s="17"/>
      <c r="P2397" s="17"/>
      <c r="Q2397" s="17"/>
    </row>
    <row r="2398" spans="2:17">
      <c r="B2398" s="17"/>
      <c r="C2398" s="16" t="str">
        <f>IFERROR(VLOOKUP(DATA!#REF!,DATA!#REF!,1,FALSE),"")</f>
        <v/>
      </c>
      <c r="D2398" s="16" t="str">
        <f>IFERROR(VLOOKUP(C2398,DATA!#REF!,2,FALSE),"")</f>
        <v/>
      </c>
      <c r="I2398" s="17"/>
      <c r="J2398" s="17"/>
      <c r="P2398" s="17"/>
      <c r="Q2398" s="17"/>
    </row>
    <row r="2399" spans="2:17">
      <c r="B2399" s="17"/>
      <c r="C2399" s="16" t="str">
        <f>IFERROR(VLOOKUP(DATA!#REF!,DATA!#REF!,1,FALSE),"")</f>
        <v/>
      </c>
      <c r="D2399" s="16" t="str">
        <f>IFERROR(VLOOKUP(C2399,DATA!#REF!,2,FALSE),"")</f>
        <v/>
      </c>
      <c r="I2399" s="17"/>
      <c r="J2399" s="17"/>
      <c r="P2399" s="17"/>
      <c r="Q2399" s="17"/>
    </row>
    <row r="2400" spans="2:17">
      <c r="B2400" s="17"/>
      <c r="C2400" s="16" t="str">
        <f>IFERROR(VLOOKUP(DATA!#REF!,DATA!#REF!,1,FALSE),"")</f>
        <v/>
      </c>
      <c r="D2400" s="16" t="str">
        <f>IFERROR(VLOOKUP(C2400,DATA!#REF!,2,FALSE),"")</f>
        <v/>
      </c>
      <c r="I2400" s="17"/>
      <c r="J2400" s="17"/>
      <c r="P2400" s="17"/>
      <c r="Q2400" s="17"/>
    </row>
    <row r="2401" spans="2:17">
      <c r="B2401" s="17"/>
      <c r="C2401" s="16" t="str">
        <f>IFERROR(VLOOKUP(DATA!#REF!,DATA!#REF!,1,FALSE),"")</f>
        <v/>
      </c>
      <c r="D2401" s="16" t="str">
        <f>IFERROR(VLOOKUP(C2401,DATA!#REF!,2,FALSE),"")</f>
        <v/>
      </c>
      <c r="I2401" s="17"/>
      <c r="J2401" s="17"/>
      <c r="P2401" s="17"/>
      <c r="Q2401" s="17"/>
    </row>
    <row r="2402" spans="2:17">
      <c r="B2402" s="17"/>
      <c r="C2402" s="16" t="str">
        <f>IFERROR(VLOOKUP(DATA!#REF!,DATA!#REF!,1,FALSE),"")</f>
        <v/>
      </c>
      <c r="D2402" s="16" t="str">
        <f>IFERROR(VLOOKUP(C2402,DATA!#REF!,2,FALSE),"")</f>
        <v/>
      </c>
      <c r="I2402" s="17"/>
      <c r="J2402" s="17"/>
      <c r="P2402" s="17"/>
      <c r="Q2402" s="17"/>
    </row>
    <row r="2403" spans="2:17">
      <c r="B2403" s="17"/>
      <c r="C2403" s="16" t="str">
        <f>IFERROR(VLOOKUP(DATA!#REF!,DATA!#REF!,1,FALSE),"")</f>
        <v/>
      </c>
      <c r="D2403" s="16" t="str">
        <f>IFERROR(VLOOKUP(C2403,DATA!#REF!,2,FALSE),"")</f>
        <v/>
      </c>
      <c r="I2403" s="17"/>
      <c r="J2403" s="17"/>
      <c r="P2403" s="17"/>
      <c r="Q2403" s="17"/>
    </row>
    <row r="2404" spans="2:17">
      <c r="B2404" s="17"/>
      <c r="C2404" s="16" t="str">
        <f>IFERROR(VLOOKUP(DATA!#REF!,DATA!#REF!,1,FALSE),"")</f>
        <v/>
      </c>
      <c r="D2404" s="16" t="str">
        <f>IFERROR(VLOOKUP(C2404,DATA!#REF!,2,FALSE),"")</f>
        <v/>
      </c>
      <c r="I2404" s="17"/>
      <c r="J2404" s="17"/>
      <c r="P2404" s="17"/>
      <c r="Q2404" s="17"/>
    </row>
    <row r="2405" spans="2:17">
      <c r="B2405" s="17"/>
      <c r="C2405" s="16" t="str">
        <f>IFERROR(VLOOKUP(DATA!#REF!,DATA!#REF!,1,FALSE),"")</f>
        <v/>
      </c>
      <c r="D2405" s="16" t="str">
        <f>IFERROR(VLOOKUP(C2405,DATA!#REF!,2,FALSE),"")</f>
        <v/>
      </c>
      <c r="I2405" s="17"/>
      <c r="J2405" s="17"/>
      <c r="P2405" s="17"/>
      <c r="Q2405" s="17"/>
    </row>
    <row r="2406" spans="2:17">
      <c r="B2406" s="17"/>
      <c r="C2406" s="16" t="str">
        <f>IFERROR(VLOOKUP(DATA!#REF!,DATA!#REF!,1,FALSE),"")</f>
        <v/>
      </c>
      <c r="D2406" s="16" t="str">
        <f>IFERROR(VLOOKUP(C2406,DATA!#REF!,2,FALSE),"")</f>
        <v/>
      </c>
      <c r="I2406" s="17"/>
      <c r="J2406" s="17"/>
      <c r="P2406" s="17"/>
      <c r="Q2406" s="17"/>
    </row>
    <row r="2407" spans="2:17">
      <c r="B2407" s="17"/>
      <c r="C2407" s="16" t="str">
        <f>IFERROR(VLOOKUP(DATA!#REF!,DATA!#REF!,1,FALSE),"")</f>
        <v/>
      </c>
      <c r="D2407" s="16" t="str">
        <f>IFERROR(VLOOKUP(C2407,DATA!#REF!,2,FALSE),"")</f>
        <v/>
      </c>
      <c r="I2407" s="17"/>
      <c r="J2407" s="17"/>
      <c r="P2407" s="17"/>
      <c r="Q2407" s="17"/>
    </row>
    <row r="2408" spans="2:17">
      <c r="B2408" s="17"/>
      <c r="C2408" s="16" t="str">
        <f>IFERROR(VLOOKUP(DATA!#REF!,DATA!#REF!,1,FALSE),"")</f>
        <v/>
      </c>
      <c r="D2408" s="16" t="str">
        <f>IFERROR(VLOOKUP(C2408,DATA!#REF!,2,FALSE),"")</f>
        <v/>
      </c>
      <c r="I2408" s="17"/>
      <c r="J2408" s="17"/>
      <c r="P2408" s="17"/>
      <c r="Q2408" s="17"/>
    </row>
    <row r="2409" spans="2:17">
      <c r="B2409" s="17"/>
      <c r="C2409" s="16" t="str">
        <f>IFERROR(VLOOKUP(DATA!#REF!,DATA!#REF!,1,FALSE),"")</f>
        <v/>
      </c>
      <c r="D2409" s="16" t="str">
        <f>IFERROR(VLOOKUP(C2409,DATA!#REF!,2,FALSE),"")</f>
        <v/>
      </c>
      <c r="I2409" s="17"/>
      <c r="J2409" s="17"/>
      <c r="P2409" s="17"/>
      <c r="Q2409" s="17"/>
    </row>
    <row r="2410" spans="2:17">
      <c r="B2410" s="17"/>
      <c r="C2410" s="16" t="str">
        <f>IFERROR(VLOOKUP(DATA!#REF!,DATA!#REF!,1,FALSE),"")</f>
        <v/>
      </c>
      <c r="D2410" s="16" t="str">
        <f>IFERROR(VLOOKUP(C2410,DATA!#REF!,2,FALSE),"")</f>
        <v/>
      </c>
      <c r="I2410" s="17"/>
      <c r="J2410" s="17"/>
      <c r="P2410" s="17"/>
      <c r="Q2410" s="17"/>
    </row>
    <row r="2411" spans="2:17">
      <c r="B2411" s="17"/>
      <c r="C2411" s="16" t="str">
        <f>IFERROR(VLOOKUP(DATA!#REF!,DATA!#REF!,1,FALSE),"")</f>
        <v/>
      </c>
      <c r="D2411" s="16" t="str">
        <f>IFERROR(VLOOKUP(C2411,DATA!#REF!,2,FALSE),"")</f>
        <v/>
      </c>
      <c r="I2411" s="17"/>
      <c r="J2411" s="17"/>
      <c r="P2411" s="17"/>
      <c r="Q2411" s="17"/>
    </row>
    <row r="2412" spans="2:17">
      <c r="B2412" s="17"/>
      <c r="C2412" s="16" t="str">
        <f>IFERROR(VLOOKUP(DATA!#REF!,DATA!#REF!,1,FALSE),"")</f>
        <v/>
      </c>
      <c r="D2412" s="16" t="str">
        <f>IFERROR(VLOOKUP(C2412,DATA!#REF!,2,FALSE),"")</f>
        <v/>
      </c>
      <c r="I2412" s="17"/>
      <c r="J2412" s="17"/>
      <c r="P2412" s="17"/>
      <c r="Q2412" s="17"/>
    </row>
    <row r="2413" spans="2:17">
      <c r="B2413" s="17"/>
      <c r="C2413" s="16" t="str">
        <f>IFERROR(VLOOKUP(DATA!#REF!,DATA!#REF!,1,FALSE),"")</f>
        <v/>
      </c>
      <c r="D2413" s="16" t="str">
        <f>IFERROR(VLOOKUP(C2413,DATA!#REF!,2,FALSE),"")</f>
        <v/>
      </c>
      <c r="I2413" s="17"/>
      <c r="J2413" s="17"/>
      <c r="P2413" s="17"/>
      <c r="Q2413" s="17"/>
    </row>
    <row r="2414" spans="2:17">
      <c r="B2414" s="17"/>
      <c r="C2414" s="16" t="str">
        <f>IFERROR(VLOOKUP(DATA!#REF!,DATA!#REF!,1,FALSE),"")</f>
        <v/>
      </c>
      <c r="D2414" s="16" t="str">
        <f>IFERROR(VLOOKUP(C2414,DATA!#REF!,2,FALSE),"")</f>
        <v/>
      </c>
      <c r="I2414" s="17"/>
      <c r="J2414" s="17"/>
      <c r="P2414" s="17"/>
      <c r="Q2414" s="17"/>
    </row>
    <row r="2415" spans="2:17">
      <c r="B2415" s="17"/>
      <c r="C2415" s="16" t="str">
        <f>IFERROR(VLOOKUP(DATA!#REF!,DATA!#REF!,1,FALSE),"")</f>
        <v/>
      </c>
      <c r="D2415" s="16" t="str">
        <f>IFERROR(VLOOKUP(C2415,DATA!#REF!,2,FALSE),"")</f>
        <v/>
      </c>
      <c r="I2415" s="17"/>
      <c r="J2415" s="17"/>
      <c r="P2415" s="17"/>
      <c r="Q2415" s="17"/>
    </row>
    <row r="2416" spans="2:17">
      <c r="B2416" s="17"/>
      <c r="C2416" s="16" t="str">
        <f>IFERROR(VLOOKUP(DATA!#REF!,DATA!#REF!,1,FALSE),"")</f>
        <v/>
      </c>
      <c r="D2416" s="16" t="str">
        <f>IFERROR(VLOOKUP(C2416,DATA!#REF!,2,FALSE),"")</f>
        <v/>
      </c>
      <c r="I2416" s="17"/>
      <c r="J2416" s="17"/>
      <c r="P2416" s="17"/>
      <c r="Q2416" s="17"/>
    </row>
    <row r="2417" spans="2:17">
      <c r="B2417" s="17"/>
      <c r="C2417" s="16" t="str">
        <f>IFERROR(VLOOKUP(DATA!#REF!,DATA!#REF!,1,FALSE),"")</f>
        <v/>
      </c>
      <c r="D2417" s="16" t="str">
        <f>IFERROR(VLOOKUP(C2417,DATA!#REF!,2,FALSE),"")</f>
        <v/>
      </c>
      <c r="I2417" s="17"/>
      <c r="J2417" s="17"/>
      <c r="P2417" s="17"/>
      <c r="Q2417" s="17"/>
    </row>
    <row r="2418" spans="2:17">
      <c r="B2418" s="17"/>
      <c r="C2418" s="16" t="str">
        <f>IFERROR(VLOOKUP(DATA!#REF!,DATA!#REF!,1,FALSE),"")</f>
        <v/>
      </c>
      <c r="D2418" s="16" t="str">
        <f>IFERROR(VLOOKUP(C2418,DATA!#REF!,2,FALSE),"")</f>
        <v/>
      </c>
      <c r="I2418" s="17"/>
      <c r="J2418" s="17"/>
      <c r="P2418" s="17"/>
      <c r="Q2418" s="17"/>
    </row>
    <row r="2419" spans="2:17">
      <c r="B2419" s="17"/>
      <c r="C2419" s="16" t="str">
        <f>IFERROR(VLOOKUP(DATA!#REF!,DATA!#REF!,1,FALSE),"")</f>
        <v/>
      </c>
      <c r="D2419" s="16" t="str">
        <f>IFERROR(VLOOKUP(C2419,DATA!#REF!,2,FALSE),"")</f>
        <v/>
      </c>
      <c r="I2419" s="17"/>
      <c r="J2419" s="17"/>
      <c r="P2419" s="17"/>
      <c r="Q2419" s="17"/>
    </row>
    <row r="2420" spans="2:17">
      <c r="B2420" s="17"/>
      <c r="C2420" s="16" t="str">
        <f>IFERROR(VLOOKUP(DATA!#REF!,DATA!#REF!,1,FALSE),"")</f>
        <v/>
      </c>
      <c r="D2420" s="16" t="str">
        <f>IFERROR(VLOOKUP(C2420,DATA!#REF!,2,FALSE),"")</f>
        <v/>
      </c>
      <c r="I2420" s="17"/>
      <c r="J2420" s="17"/>
      <c r="P2420" s="17"/>
      <c r="Q2420" s="17"/>
    </row>
    <row r="2421" spans="2:17">
      <c r="B2421" s="17"/>
      <c r="C2421" s="16" t="str">
        <f>IFERROR(VLOOKUP(DATA!#REF!,DATA!#REF!,1,FALSE),"")</f>
        <v/>
      </c>
      <c r="D2421" s="16" t="str">
        <f>IFERROR(VLOOKUP(C2421,DATA!#REF!,2,FALSE),"")</f>
        <v/>
      </c>
      <c r="I2421" s="17"/>
      <c r="J2421" s="17"/>
      <c r="P2421" s="17"/>
      <c r="Q2421" s="17"/>
    </row>
    <row r="2422" spans="2:17">
      <c r="B2422" s="17"/>
      <c r="C2422" s="16" t="str">
        <f>IFERROR(VLOOKUP(DATA!#REF!,DATA!#REF!,1,FALSE),"")</f>
        <v/>
      </c>
      <c r="D2422" s="16" t="str">
        <f>IFERROR(VLOOKUP(C2422,DATA!#REF!,2,FALSE),"")</f>
        <v/>
      </c>
      <c r="I2422" s="17"/>
      <c r="J2422" s="17"/>
      <c r="P2422" s="17"/>
      <c r="Q2422" s="17"/>
    </row>
    <row r="2423" spans="2:17">
      <c r="B2423" s="17"/>
      <c r="C2423" s="16" t="str">
        <f>IFERROR(VLOOKUP(DATA!#REF!,DATA!#REF!,1,FALSE),"")</f>
        <v/>
      </c>
      <c r="D2423" s="16" t="str">
        <f>IFERROR(VLOOKUP(C2423,DATA!#REF!,2,FALSE),"")</f>
        <v/>
      </c>
      <c r="I2423" s="17"/>
      <c r="J2423" s="17"/>
      <c r="P2423" s="17"/>
      <c r="Q2423" s="17"/>
    </row>
    <row r="2424" spans="2:17">
      <c r="B2424" s="17"/>
      <c r="C2424" s="16" t="str">
        <f>IFERROR(VLOOKUP(DATA!#REF!,DATA!#REF!,1,FALSE),"")</f>
        <v/>
      </c>
      <c r="D2424" s="16" t="str">
        <f>IFERROR(VLOOKUP(C2424,DATA!#REF!,2,FALSE),"")</f>
        <v/>
      </c>
      <c r="I2424" s="17"/>
      <c r="J2424" s="17"/>
      <c r="P2424" s="17"/>
      <c r="Q2424" s="17"/>
    </row>
    <row r="2425" spans="2:17">
      <c r="B2425" s="17"/>
      <c r="C2425" s="16" t="str">
        <f>IFERROR(VLOOKUP(DATA!#REF!,DATA!#REF!,1,FALSE),"")</f>
        <v/>
      </c>
      <c r="D2425" s="16" t="str">
        <f>IFERROR(VLOOKUP(C2425,DATA!#REF!,2,FALSE),"")</f>
        <v/>
      </c>
      <c r="I2425" s="17"/>
      <c r="J2425" s="17"/>
      <c r="P2425" s="17"/>
      <c r="Q2425" s="17"/>
    </row>
    <row r="2426" spans="2:17">
      <c r="B2426" s="17"/>
      <c r="C2426" s="16" t="str">
        <f>IFERROR(VLOOKUP(DATA!#REF!,DATA!#REF!,1,FALSE),"")</f>
        <v/>
      </c>
      <c r="D2426" s="16" t="str">
        <f>IFERROR(VLOOKUP(C2426,DATA!#REF!,2,FALSE),"")</f>
        <v/>
      </c>
      <c r="I2426" s="17"/>
      <c r="J2426" s="17"/>
      <c r="P2426" s="17"/>
      <c r="Q2426" s="17"/>
    </row>
    <row r="2427" spans="2:17">
      <c r="B2427" s="17"/>
      <c r="C2427" s="16" t="str">
        <f>IFERROR(VLOOKUP(DATA!#REF!,DATA!#REF!,1,FALSE),"")</f>
        <v/>
      </c>
      <c r="D2427" s="16" t="str">
        <f>IFERROR(VLOOKUP(C2427,DATA!#REF!,2,FALSE),"")</f>
        <v/>
      </c>
      <c r="I2427" s="17"/>
      <c r="J2427" s="17"/>
      <c r="P2427" s="17"/>
      <c r="Q2427" s="17"/>
    </row>
    <row r="2428" spans="2:17">
      <c r="B2428" s="17"/>
      <c r="C2428" s="16" t="str">
        <f>IFERROR(VLOOKUP(DATA!#REF!,DATA!#REF!,1,FALSE),"")</f>
        <v/>
      </c>
      <c r="D2428" s="16" t="str">
        <f>IFERROR(VLOOKUP(C2428,DATA!#REF!,2,FALSE),"")</f>
        <v/>
      </c>
      <c r="I2428" s="17"/>
      <c r="J2428" s="17"/>
      <c r="P2428" s="17"/>
      <c r="Q2428" s="17"/>
    </row>
    <row r="2429" spans="2:17">
      <c r="B2429" s="17"/>
      <c r="C2429" s="16" t="str">
        <f>IFERROR(VLOOKUP(DATA!#REF!,DATA!#REF!,1,FALSE),"")</f>
        <v/>
      </c>
      <c r="D2429" s="16" t="str">
        <f>IFERROR(VLOOKUP(C2429,DATA!#REF!,2,FALSE),"")</f>
        <v/>
      </c>
      <c r="I2429" s="17"/>
      <c r="J2429" s="17"/>
      <c r="P2429" s="17"/>
      <c r="Q2429" s="17"/>
    </row>
    <row r="2430" spans="2:17">
      <c r="B2430" s="17"/>
      <c r="C2430" s="16" t="str">
        <f>IFERROR(VLOOKUP(DATA!#REF!,DATA!#REF!,1,FALSE),"")</f>
        <v/>
      </c>
      <c r="D2430" s="16" t="str">
        <f>IFERROR(VLOOKUP(C2430,DATA!#REF!,2,FALSE),"")</f>
        <v/>
      </c>
      <c r="I2430" s="17"/>
      <c r="J2430" s="17"/>
      <c r="P2430" s="17"/>
      <c r="Q2430" s="17"/>
    </row>
    <row r="2431" spans="2:17">
      <c r="B2431" s="17"/>
      <c r="C2431" s="16" t="str">
        <f>IFERROR(VLOOKUP(DATA!#REF!,DATA!#REF!,1,FALSE),"")</f>
        <v/>
      </c>
      <c r="D2431" s="16" t="str">
        <f>IFERROR(VLOOKUP(C2431,DATA!#REF!,2,FALSE),"")</f>
        <v/>
      </c>
      <c r="I2431" s="17"/>
      <c r="J2431" s="17"/>
      <c r="P2431" s="17"/>
      <c r="Q2431" s="17"/>
    </row>
    <row r="2432" spans="2:17">
      <c r="B2432" s="17"/>
      <c r="C2432" s="16" t="str">
        <f>IFERROR(VLOOKUP(DATA!#REF!,DATA!#REF!,1,FALSE),"")</f>
        <v/>
      </c>
      <c r="D2432" s="16" t="str">
        <f>IFERROR(VLOOKUP(C2432,DATA!#REF!,2,FALSE),"")</f>
        <v/>
      </c>
      <c r="I2432" s="17"/>
      <c r="J2432" s="17"/>
      <c r="P2432" s="17"/>
      <c r="Q2432" s="17"/>
    </row>
    <row r="2433" spans="2:17">
      <c r="B2433" s="17"/>
      <c r="C2433" s="16" t="str">
        <f>IFERROR(VLOOKUP(DATA!#REF!,DATA!#REF!,1,FALSE),"")</f>
        <v/>
      </c>
      <c r="D2433" s="16" t="str">
        <f>IFERROR(VLOOKUP(C2433,DATA!#REF!,2,FALSE),"")</f>
        <v/>
      </c>
      <c r="I2433" s="17"/>
      <c r="J2433" s="17"/>
      <c r="P2433" s="17"/>
      <c r="Q2433" s="17"/>
    </row>
    <row r="2434" spans="2:17">
      <c r="B2434" s="17"/>
      <c r="C2434" s="16" t="str">
        <f>IFERROR(VLOOKUP(DATA!#REF!,DATA!#REF!,1,FALSE),"")</f>
        <v/>
      </c>
      <c r="D2434" s="16" t="str">
        <f>IFERROR(VLOOKUP(C2434,DATA!#REF!,2,FALSE),"")</f>
        <v/>
      </c>
      <c r="I2434" s="17"/>
      <c r="J2434" s="17"/>
      <c r="P2434" s="17"/>
      <c r="Q2434" s="17"/>
    </row>
    <row r="2435" spans="2:17">
      <c r="B2435" s="17"/>
      <c r="C2435" s="16" t="str">
        <f>IFERROR(VLOOKUP(DATA!#REF!,DATA!#REF!,1,FALSE),"")</f>
        <v/>
      </c>
      <c r="D2435" s="16" t="str">
        <f>IFERROR(VLOOKUP(C2435,DATA!#REF!,2,FALSE),"")</f>
        <v/>
      </c>
      <c r="I2435" s="17"/>
      <c r="J2435" s="17"/>
      <c r="P2435" s="17"/>
      <c r="Q2435" s="17"/>
    </row>
    <row r="2436" spans="2:17">
      <c r="B2436" s="17"/>
      <c r="C2436" s="16" t="str">
        <f>IFERROR(VLOOKUP(DATA!#REF!,DATA!#REF!,1,FALSE),"")</f>
        <v/>
      </c>
      <c r="D2436" s="16" t="str">
        <f>IFERROR(VLOOKUP(C2436,DATA!#REF!,2,FALSE),"")</f>
        <v/>
      </c>
      <c r="I2436" s="17"/>
      <c r="J2436" s="17"/>
      <c r="P2436" s="17"/>
      <c r="Q2436" s="17"/>
    </row>
    <row r="2437" spans="2:17">
      <c r="B2437" s="17"/>
      <c r="C2437" s="16" t="str">
        <f>IFERROR(VLOOKUP(DATA!#REF!,DATA!#REF!,1,FALSE),"")</f>
        <v/>
      </c>
      <c r="D2437" s="16" t="str">
        <f>IFERROR(VLOOKUP(C2437,DATA!#REF!,2,FALSE),"")</f>
        <v/>
      </c>
      <c r="I2437" s="17"/>
      <c r="J2437" s="17"/>
      <c r="P2437" s="17"/>
      <c r="Q2437" s="17"/>
    </row>
    <row r="2438" spans="2:17">
      <c r="B2438" s="17"/>
      <c r="C2438" s="16" t="str">
        <f>IFERROR(VLOOKUP(DATA!#REF!,DATA!#REF!,1,FALSE),"")</f>
        <v/>
      </c>
      <c r="D2438" s="16" t="str">
        <f>IFERROR(VLOOKUP(C2438,DATA!#REF!,2,FALSE),"")</f>
        <v/>
      </c>
      <c r="I2438" s="17"/>
      <c r="J2438" s="17"/>
      <c r="P2438" s="17"/>
      <c r="Q2438" s="17"/>
    </row>
    <row r="2439" spans="2:17">
      <c r="B2439" s="17"/>
      <c r="C2439" s="16" t="str">
        <f>IFERROR(VLOOKUP(DATA!#REF!,DATA!#REF!,1,FALSE),"")</f>
        <v/>
      </c>
      <c r="D2439" s="16" t="str">
        <f>IFERROR(VLOOKUP(C2439,DATA!#REF!,2,FALSE),"")</f>
        <v/>
      </c>
      <c r="I2439" s="17"/>
      <c r="J2439" s="17"/>
      <c r="P2439" s="17"/>
      <c r="Q2439" s="17"/>
    </row>
    <row r="2440" spans="2:17">
      <c r="B2440" s="17"/>
      <c r="C2440" s="16" t="str">
        <f>IFERROR(VLOOKUP(DATA!#REF!,DATA!#REF!,1,FALSE),"")</f>
        <v/>
      </c>
      <c r="D2440" s="16" t="str">
        <f>IFERROR(VLOOKUP(C2440,DATA!#REF!,2,FALSE),"")</f>
        <v/>
      </c>
      <c r="I2440" s="17"/>
      <c r="J2440" s="17"/>
      <c r="P2440" s="17"/>
      <c r="Q2440" s="17"/>
    </row>
    <row r="2441" spans="2:17">
      <c r="B2441" s="17"/>
      <c r="C2441" s="16" t="str">
        <f>IFERROR(VLOOKUP(DATA!#REF!,DATA!#REF!,1,FALSE),"")</f>
        <v/>
      </c>
      <c r="D2441" s="16" t="str">
        <f>IFERROR(VLOOKUP(C2441,DATA!#REF!,2,FALSE),"")</f>
        <v/>
      </c>
      <c r="I2441" s="17"/>
      <c r="J2441" s="17"/>
      <c r="P2441" s="17"/>
      <c r="Q2441" s="17"/>
    </row>
    <row r="2442" spans="2:17">
      <c r="B2442" s="17"/>
      <c r="C2442" s="16" t="str">
        <f>IFERROR(VLOOKUP(DATA!#REF!,DATA!#REF!,1,FALSE),"")</f>
        <v/>
      </c>
      <c r="D2442" s="16" t="str">
        <f>IFERROR(VLOOKUP(C2442,DATA!#REF!,2,FALSE),"")</f>
        <v/>
      </c>
      <c r="I2442" s="17"/>
      <c r="J2442" s="17"/>
      <c r="P2442" s="17"/>
      <c r="Q2442" s="17"/>
    </row>
    <row r="2443" spans="2:17">
      <c r="B2443" s="17"/>
      <c r="C2443" s="16" t="str">
        <f>IFERROR(VLOOKUP(DATA!#REF!,DATA!#REF!,1,FALSE),"")</f>
        <v/>
      </c>
      <c r="D2443" s="16" t="str">
        <f>IFERROR(VLOOKUP(C2443,DATA!#REF!,2,FALSE),"")</f>
        <v/>
      </c>
      <c r="I2443" s="17"/>
      <c r="J2443" s="17"/>
      <c r="P2443" s="17"/>
      <c r="Q2443" s="17"/>
    </row>
    <row r="2444" spans="2:17">
      <c r="B2444" s="17"/>
      <c r="C2444" s="16" t="str">
        <f>IFERROR(VLOOKUP(DATA!#REF!,DATA!#REF!,1,FALSE),"")</f>
        <v/>
      </c>
      <c r="D2444" s="16" t="str">
        <f>IFERROR(VLOOKUP(C2444,DATA!#REF!,2,FALSE),"")</f>
        <v/>
      </c>
      <c r="I2444" s="17"/>
      <c r="J2444" s="17"/>
      <c r="P2444" s="17"/>
      <c r="Q2444" s="17"/>
    </row>
    <row r="2445" spans="2:17">
      <c r="B2445" s="17"/>
      <c r="C2445" s="16" t="str">
        <f>IFERROR(VLOOKUP(DATA!#REF!,DATA!#REF!,1,FALSE),"")</f>
        <v/>
      </c>
      <c r="D2445" s="16" t="str">
        <f>IFERROR(VLOOKUP(C2445,DATA!#REF!,2,FALSE),"")</f>
        <v/>
      </c>
      <c r="I2445" s="17"/>
      <c r="J2445" s="17"/>
      <c r="P2445" s="17"/>
      <c r="Q2445" s="17"/>
    </row>
    <row r="2446" spans="2:17">
      <c r="B2446" s="17"/>
      <c r="C2446" s="16" t="str">
        <f>IFERROR(VLOOKUP(DATA!#REF!,DATA!#REF!,1,FALSE),"")</f>
        <v/>
      </c>
      <c r="D2446" s="16" t="str">
        <f>IFERROR(VLOOKUP(C2446,DATA!#REF!,2,FALSE),"")</f>
        <v/>
      </c>
      <c r="I2446" s="17"/>
      <c r="J2446" s="17"/>
      <c r="P2446" s="17"/>
      <c r="Q2446" s="17"/>
    </row>
    <row r="2447" spans="2:17">
      <c r="B2447" s="17"/>
      <c r="C2447" s="16" t="str">
        <f>IFERROR(VLOOKUP(DATA!#REF!,DATA!#REF!,1,FALSE),"")</f>
        <v/>
      </c>
      <c r="D2447" s="16" t="str">
        <f>IFERROR(VLOOKUP(C2447,DATA!#REF!,2,FALSE),"")</f>
        <v/>
      </c>
      <c r="I2447" s="17"/>
      <c r="J2447" s="17"/>
      <c r="P2447" s="17"/>
      <c r="Q2447" s="17"/>
    </row>
    <row r="2448" spans="2:17">
      <c r="B2448" s="17"/>
      <c r="C2448" s="16" t="str">
        <f>IFERROR(VLOOKUP(DATA!#REF!,DATA!#REF!,1,FALSE),"")</f>
        <v/>
      </c>
      <c r="D2448" s="16" t="str">
        <f>IFERROR(VLOOKUP(C2448,DATA!#REF!,2,FALSE),"")</f>
        <v/>
      </c>
      <c r="I2448" s="17"/>
      <c r="J2448" s="17"/>
      <c r="P2448" s="17"/>
      <c r="Q2448" s="17"/>
    </row>
    <row r="2449" spans="2:17">
      <c r="B2449" s="17"/>
      <c r="C2449" s="16" t="str">
        <f>IFERROR(VLOOKUP(DATA!#REF!,DATA!#REF!,1,FALSE),"")</f>
        <v/>
      </c>
      <c r="D2449" s="16" t="str">
        <f>IFERROR(VLOOKUP(C2449,DATA!#REF!,2,FALSE),"")</f>
        <v/>
      </c>
      <c r="I2449" s="17"/>
      <c r="J2449" s="17"/>
      <c r="P2449" s="17"/>
      <c r="Q2449" s="17"/>
    </row>
    <row r="2450" spans="2:17">
      <c r="B2450" s="17"/>
      <c r="C2450" s="16" t="str">
        <f>IFERROR(VLOOKUP(DATA!#REF!,DATA!#REF!,1,FALSE),"")</f>
        <v/>
      </c>
      <c r="D2450" s="16" t="str">
        <f>IFERROR(VLOOKUP(C2450,DATA!#REF!,2,FALSE),"")</f>
        <v/>
      </c>
      <c r="I2450" s="17"/>
      <c r="J2450" s="17"/>
      <c r="P2450" s="17"/>
      <c r="Q2450" s="17"/>
    </row>
    <row r="2451" spans="2:17">
      <c r="B2451" s="17"/>
      <c r="C2451" s="16" t="str">
        <f>IFERROR(VLOOKUP(DATA!#REF!,DATA!#REF!,1,FALSE),"")</f>
        <v/>
      </c>
      <c r="D2451" s="16" t="str">
        <f>IFERROR(VLOOKUP(C2451,DATA!#REF!,2,FALSE),"")</f>
        <v/>
      </c>
      <c r="I2451" s="17"/>
      <c r="J2451" s="17"/>
      <c r="P2451" s="17"/>
      <c r="Q2451" s="17"/>
    </row>
    <row r="2452" spans="2:17">
      <c r="B2452" s="17"/>
      <c r="C2452" s="16" t="str">
        <f>IFERROR(VLOOKUP(DATA!#REF!,DATA!#REF!,1,FALSE),"")</f>
        <v/>
      </c>
      <c r="D2452" s="16" t="str">
        <f>IFERROR(VLOOKUP(C2452,DATA!#REF!,2,FALSE),"")</f>
        <v/>
      </c>
      <c r="I2452" s="17"/>
      <c r="J2452" s="17"/>
      <c r="P2452" s="17"/>
      <c r="Q2452" s="17"/>
    </row>
    <row r="2453" spans="2:17">
      <c r="B2453" s="17"/>
      <c r="C2453" s="16" t="str">
        <f>IFERROR(VLOOKUP(DATA!#REF!,DATA!#REF!,1,FALSE),"")</f>
        <v/>
      </c>
      <c r="D2453" s="16" t="str">
        <f>IFERROR(VLOOKUP(C2453,DATA!#REF!,2,FALSE),"")</f>
        <v/>
      </c>
      <c r="I2453" s="17"/>
      <c r="J2453" s="17"/>
      <c r="P2453" s="17"/>
      <c r="Q2453" s="17"/>
    </row>
    <row r="2454" spans="2:17">
      <c r="B2454" s="17"/>
      <c r="C2454" s="16" t="str">
        <f>IFERROR(VLOOKUP(DATA!#REF!,DATA!#REF!,1,FALSE),"")</f>
        <v/>
      </c>
      <c r="D2454" s="16" t="str">
        <f>IFERROR(VLOOKUP(C2454,DATA!#REF!,2,FALSE),"")</f>
        <v/>
      </c>
      <c r="I2454" s="17"/>
      <c r="J2454" s="17"/>
      <c r="P2454" s="17"/>
      <c r="Q2454" s="17"/>
    </row>
    <row r="2455" spans="2:17">
      <c r="B2455" s="17"/>
      <c r="C2455" s="16" t="str">
        <f>IFERROR(VLOOKUP(DATA!#REF!,DATA!#REF!,1,FALSE),"")</f>
        <v/>
      </c>
      <c r="D2455" s="16" t="str">
        <f>IFERROR(VLOOKUP(C2455,DATA!#REF!,2,FALSE),"")</f>
        <v/>
      </c>
      <c r="I2455" s="17"/>
      <c r="J2455" s="17"/>
      <c r="P2455" s="17"/>
      <c r="Q2455" s="17"/>
    </row>
    <row r="2456" spans="2:17">
      <c r="B2456" s="17"/>
      <c r="C2456" s="16" t="str">
        <f>IFERROR(VLOOKUP(DATA!#REF!,DATA!#REF!,1,FALSE),"")</f>
        <v/>
      </c>
      <c r="D2456" s="16" t="str">
        <f>IFERROR(VLOOKUP(C2456,DATA!#REF!,2,FALSE),"")</f>
        <v/>
      </c>
      <c r="I2456" s="17"/>
      <c r="J2456" s="17"/>
      <c r="P2456" s="17"/>
      <c r="Q2456" s="17"/>
    </row>
    <row r="2457" spans="2:17">
      <c r="B2457" s="17"/>
      <c r="C2457" s="16" t="str">
        <f>IFERROR(VLOOKUP(DATA!#REF!,DATA!#REF!,1,FALSE),"")</f>
        <v/>
      </c>
      <c r="D2457" s="16" t="str">
        <f>IFERROR(VLOOKUP(C2457,DATA!#REF!,2,FALSE),"")</f>
        <v/>
      </c>
      <c r="I2457" s="17"/>
      <c r="J2457" s="17"/>
      <c r="P2457" s="17"/>
      <c r="Q2457" s="17"/>
    </row>
    <row r="2458" spans="2:17">
      <c r="B2458" s="17"/>
      <c r="C2458" s="16" t="str">
        <f>IFERROR(VLOOKUP(DATA!#REF!,DATA!#REF!,1,FALSE),"")</f>
        <v/>
      </c>
      <c r="D2458" s="16" t="str">
        <f>IFERROR(VLOOKUP(C2458,DATA!#REF!,2,FALSE),"")</f>
        <v/>
      </c>
      <c r="I2458" s="17"/>
      <c r="J2458" s="17"/>
      <c r="P2458" s="17"/>
      <c r="Q2458" s="17"/>
    </row>
    <row r="2459" spans="2:17">
      <c r="B2459" s="17"/>
      <c r="C2459" s="16" t="str">
        <f>IFERROR(VLOOKUP(DATA!#REF!,DATA!#REF!,1,FALSE),"")</f>
        <v/>
      </c>
      <c r="D2459" s="16" t="str">
        <f>IFERROR(VLOOKUP(C2459,DATA!#REF!,2,FALSE),"")</f>
        <v/>
      </c>
      <c r="I2459" s="17"/>
      <c r="J2459" s="17"/>
      <c r="P2459" s="17"/>
      <c r="Q2459" s="17"/>
    </row>
    <row r="2460" spans="2:17">
      <c r="B2460" s="17"/>
      <c r="C2460" s="16" t="str">
        <f>IFERROR(VLOOKUP(DATA!#REF!,DATA!#REF!,1,FALSE),"")</f>
        <v/>
      </c>
      <c r="D2460" s="16" t="str">
        <f>IFERROR(VLOOKUP(C2460,DATA!#REF!,2,FALSE),"")</f>
        <v/>
      </c>
      <c r="I2460" s="17"/>
      <c r="J2460" s="17"/>
      <c r="P2460" s="17"/>
      <c r="Q2460" s="17"/>
    </row>
    <row r="2461" spans="2:17">
      <c r="B2461" s="17"/>
      <c r="C2461" s="16" t="str">
        <f>IFERROR(VLOOKUP(DATA!#REF!,DATA!#REF!,1,FALSE),"")</f>
        <v/>
      </c>
      <c r="D2461" s="16" t="str">
        <f>IFERROR(VLOOKUP(C2461,DATA!#REF!,2,FALSE),"")</f>
        <v/>
      </c>
      <c r="I2461" s="17"/>
      <c r="J2461" s="17"/>
      <c r="P2461" s="17"/>
      <c r="Q2461" s="17"/>
    </row>
    <row r="2462" spans="2:17">
      <c r="B2462" s="17"/>
      <c r="C2462" s="16" t="str">
        <f>IFERROR(VLOOKUP(DATA!#REF!,DATA!#REF!,1,FALSE),"")</f>
        <v/>
      </c>
      <c r="D2462" s="16" t="str">
        <f>IFERROR(VLOOKUP(C2462,DATA!#REF!,2,FALSE),"")</f>
        <v/>
      </c>
      <c r="I2462" s="17"/>
      <c r="J2462" s="17"/>
      <c r="P2462" s="17"/>
      <c r="Q2462" s="17"/>
    </row>
    <row r="2463" spans="2:17">
      <c r="B2463" s="17"/>
      <c r="C2463" s="16" t="str">
        <f>IFERROR(VLOOKUP(DATA!#REF!,DATA!#REF!,1,FALSE),"")</f>
        <v/>
      </c>
      <c r="D2463" s="16" t="str">
        <f>IFERROR(VLOOKUP(C2463,DATA!#REF!,2,FALSE),"")</f>
        <v/>
      </c>
      <c r="I2463" s="17"/>
      <c r="J2463" s="17"/>
      <c r="P2463" s="17"/>
      <c r="Q2463" s="17"/>
    </row>
    <row r="2464" spans="2:17">
      <c r="B2464" s="17"/>
      <c r="C2464" s="16" t="str">
        <f>IFERROR(VLOOKUP(DATA!#REF!,DATA!#REF!,1,FALSE),"")</f>
        <v/>
      </c>
      <c r="D2464" s="16" t="str">
        <f>IFERROR(VLOOKUP(C2464,DATA!#REF!,2,FALSE),"")</f>
        <v/>
      </c>
      <c r="I2464" s="17"/>
      <c r="J2464" s="17"/>
      <c r="P2464" s="17"/>
      <c r="Q2464" s="17"/>
    </row>
    <row r="2465" spans="2:17">
      <c r="B2465" s="17"/>
      <c r="C2465" s="16" t="str">
        <f>IFERROR(VLOOKUP(DATA!#REF!,DATA!#REF!,1,FALSE),"")</f>
        <v/>
      </c>
      <c r="D2465" s="16" t="str">
        <f>IFERROR(VLOOKUP(C2465,DATA!#REF!,2,FALSE),"")</f>
        <v/>
      </c>
      <c r="I2465" s="17"/>
      <c r="J2465" s="17"/>
      <c r="P2465" s="17"/>
      <c r="Q2465" s="17"/>
    </row>
    <row r="2466" spans="2:17">
      <c r="B2466" s="17"/>
      <c r="C2466" s="16" t="str">
        <f>IFERROR(VLOOKUP(DATA!#REF!,DATA!#REF!,1,FALSE),"")</f>
        <v/>
      </c>
      <c r="D2466" s="16" t="str">
        <f>IFERROR(VLOOKUP(C2466,DATA!#REF!,2,FALSE),"")</f>
        <v/>
      </c>
      <c r="I2466" s="17"/>
      <c r="J2466" s="17"/>
      <c r="P2466" s="17"/>
      <c r="Q2466" s="17"/>
    </row>
    <row r="2467" spans="2:17">
      <c r="B2467" s="17"/>
      <c r="C2467" s="16" t="str">
        <f>IFERROR(VLOOKUP(DATA!#REF!,DATA!#REF!,1,FALSE),"")</f>
        <v/>
      </c>
      <c r="D2467" s="16" t="str">
        <f>IFERROR(VLOOKUP(C2467,DATA!#REF!,2,FALSE),"")</f>
        <v/>
      </c>
      <c r="I2467" s="17"/>
      <c r="J2467" s="17"/>
      <c r="P2467" s="17"/>
      <c r="Q2467" s="17"/>
    </row>
    <row r="2468" spans="2:17">
      <c r="B2468" s="17"/>
      <c r="C2468" s="16" t="str">
        <f>IFERROR(VLOOKUP(DATA!#REF!,DATA!#REF!,1,FALSE),"")</f>
        <v/>
      </c>
      <c r="D2468" s="16" t="str">
        <f>IFERROR(VLOOKUP(C2468,DATA!#REF!,2,FALSE),"")</f>
        <v/>
      </c>
      <c r="I2468" s="17"/>
      <c r="J2468" s="17"/>
      <c r="P2468" s="17"/>
      <c r="Q2468" s="17"/>
    </row>
    <row r="2469" spans="2:17">
      <c r="B2469" s="17"/>
      <c r="C2469" s="16" t="str">
        <f>IFERROR(VLOOKUP(DATA!#REF!,DATA!#REF!,1,FALSE),"")</f>
        <v/>
      </c>
      <c r="D2469" s="16" t="str">
        <f>IFERROR(VLOOKUP(C2469,DATA!#REF!,2,FALSE),"")</f>
        <v/>
      </c>
      <c r="I2469" s="17"/>
      <c r="J2469" s="17"/>
      <c r="P2469" s="17"/>
      <c r="Q2469" s="17"/>
    </row>
    <row r="2470" spans="2:17">
      <c r="B2470" s="17"/>
      <c r="C2470" s="16" t="str">
        <f>IFERROR(VLOOKUP(DATA!#REF!,DATA!#REF!,1,FALSE),"")</f>
        <v/>
      </c>
      <c r="D2470" s="16" t="str">
        <f>IFERROR(VLOOKUP(C2470,DATA!#REF!,2,FALSE),"")</f>
        <v/>
      </c>
      <c r="I2470" s="17"/>
      <c r="J2470" s="17"/>
      <c r="P2470" s="17"/>
      <c r="Q2470" s="17"/>
    </row>
    <row r="2471" spans="2:17">
      <c r="B2471" s="17"/>
      <c r="C2471" s="16" t="str">
        <f>IFERROR(VLOOKUP(DATA!#REF!,DATA!#REF!,1,FALSE),"")</f>
        <v/>
      </c>
      <c r="D2471" s="16" t="str">
        <f>IFERROR(VLOOKUP(C2471,DATA!#REF!,2,FALSE),"")</f>
        <v/>
      </c>
      <c r="I2471" s="17"/>
      <c r="J2471" s="17"/>
      <c r="P2471" s="17"/>
      <c r="Q2471" s="17"/>
    </row>
    <row r="2472" spans="2:17">
      <c r="B2472" s="17"/>
      <c r="C2472" s="16" t="str">
        <f>IFERROR(VLOOKUP(DATA!#REF!,DATA!#REF!,1,FALSE),"")</f>
        <v/>
      </c>
      <c r="D2472" s="16" t="str">
        <f>IFERROR(VLOOKUP(C2472,DATA!#REF!,2,FALSE),"")</f>
        <v/>
      </c>
      <c r="I2472" s="17"/>
      <c r="J2472" s="17"/>
      <c r="P2472" s="17"/>
      <c r="Q2472" s="17"/>
    </row>
    <row r="2473" spans="2:17">
      <c r="B2473" s="17"/>
      <c r="C2473" s="16" t="str">
        <f>IFERROR(VLOOKUP(DATA!#REF!,DATA!#REF!,1,FALSE),"")</f>
        <v/>
      </c>
      <c r="D2473" s="16" t="str">
        <f>IFERROR(VLOOKUP(C2473,DATA!#REF!,2,FALSE),"")</f>
        <v/>
      </c>
      <c r="I2473" s="17"/>
      <c r="J2473" s="17"/>
      <c r="P2473" s="17"/>
      <c r="Q2473" s="17"/>
    </row>
    <row r="2474" spans="2:17">
      <c r="B2474" s="17"/>
      <c r="C2474" s="16" t="str">
        <f>IFERROR(VLOOKUP(DATA!#REF!,DATA!#REF!,1,FALSE),"")</f>
        <v/>
      </c>
      <c r="D2474" s="16" t="str">
        <f>IFERROR(VLOOKUP(C2474,DATA!#REF!,2,FALSE),"")</f>
        <v/>
      </c>
      <c r="I2474" s="17"/>
      <c r="J2474" s="17"/>
      <c r="P2474" s="17"/>
      <c r="Q2474" s="17"/>
    </row>
    <row r="2475" spans="2:17">
      <c r="B2475" s="17"/>
      <c r="C2475" s="16" t="str">
        <f>IFERROR(VLOOKUP(DATA!#REF!,DATA!#REF!,1,FALSE),"")</f>
        <v/>
      </c>
      <c r="D2475" s="16" t="str">
        <f>IFERROR(VLOOKUP(C2475,DATA!#REF!,2,FALSE),"")</f>
        <v/>
      </c>
      <c r="I2475" s="17"/>
      <c r="J2475" s="17"/>
      <c r="P2475" s="17"/>
      <c r="Q2475" s="17"/>
    </row>
    <row r="2476" spans="2:17">
      <c r="B2476" s="17"/>
      <c r="C2476" s="16" t="str">
        <f>IFERROR(VLOOKUP(DATA!#REF!,DATA!#REF!,1,FALSE),"")</f>
        <v/>
      </c>
      <c r="D2476" s="16" t="str">
        <f>IFERROR(VLOOKUP(C2476,DATA!#REF!,2,FALSE),"")</f>
        <v/>
      </c>
      <c r="I2476" s="17"/>
      <c r="J2476" s="17"/>
      <c r="P2476" s="17"/>
      <c r="Q2476" s="17"/>
    </row>
    <row r="2477" spans="2:17">
      <c r="B2477" s="17"/>
      <c r="C2477" s="16" t="str">
        <f>IFERROR(VLOOKUP(DATA!#REF!,DATA!#REF!,1,FALSE),"")</f>
        <v/>
      </c>
      <c r="D2477" s="16" t="str">
        <f>IFERROR(VLOOKUP(C2477,DATA!#REF!,2,FALSE),"")</f>
        <v/>
      </c>
      <c r="I2477" s="17"/>
      <c r="J2477" s="17"/>
      <c r="P2477" s="17"/>
      <c r="Q2477" s="17"/>
    </row>
    <row r="2478" spans="2:17">
      <c r="B2478" s="17"/>
      <c r="C2478" s="16" t="str">
        <f>IFERROR(VLOOKUP(DATA!#REF!,DATA!#REF!,1,FALSE),"")</f>
        <v/>
      </c>
      <c r="D2478" s="16" t="str">
        <f>IFERROR(VLOOKUP(C2478,DATA!#REF!,2,FALSE),"")</f>
        <v/>
      </c>
      <c r="I2478" s="17"/>
      <c r="J2478" s="17"/>
      <c r="P2478" s="17"/>
      <c r="Q2478" s="17"/>
    </row>
    <row r="2479" spans="2:17">
      <c r="B2479" s="17"/>
      <c r="C2479" s="16" t="str">
        <f>IFERROR(VLOOKUP(DATA!#REF!,DATA!#REF!,1,FALSE),"")</f>
        <v/>
      </c>
      <c r="D2479" s="16" t="str">
        <f>IFERROR(VLOOKUP(C2479,DATA!#REF!,2,FALSE),"")</f>
        <v/>
      </c>
      <c r="I2479" s="17"/>
      <c r="J2479" s="17"/>
      <c r="P2479" s="17"/>
      <c r="Q2479" s="17"/>
    </row>
    <row r="2480" spans="2:17">
      <c r="B2480" s="17"/>
      <c r="C2480" s="16" t="str">
        <f>IFERROR(VLOOKUP(DATA!#REF!,DATA!#REF!,1,FALSE),"")</f>
        <v/>
      </c>
      <c r="D2480" s="16" t="str">
        <f>IFERROR(VLOOKUP(C2480,DATA!#REF!,2,FALSE),"")</f>
        <v/>
      </c>
      <c r="I2480" s="17"/>
      <c r="J2480" s="17"/>
      <c r="P2480" s="17"/>
      <c r="Q2480" s="17"/>
    </row>
    <row r="2481" spans="2:17">
      <c r="B2481" s="17"/>
      <c r="C2481" s="16" t="str">
        <f>IFERROR(VLOOKUP(DATA!#REF!,DATA!#REF!,1,FALSE),"")</f>
        <v/>
      </c>
      <c r="D2481" s="16" t="str">
        <f>IFERROR(VLOOKUP(C2481,DATA!#REF!,2,FALSE),"")</f>
        <v/>
      </c>
      <c r="I2481" s="17"/>
      <c r="J2481" s="17"/>
      <c r="P2481" s="17"/>
      <c r="Q2481" s="17"/>
    </row>
    <row r="2482" spans="2:17">
      <c r="B2482" s="17"/>
      <c r="C2482" s="16" t="str">
        <f>IFERROR(VLOOKUP(DATA!#REF!,DATA!#REF!,1,FALSE),"")</f>
        <v/>
      </c>
      <c r="D2482" s="16" t="str">
        <f>IFERROR(VLOOKUP(C2482,DATA!#REF!,2,FALSE),"")</f>
        <v/>
      </c>
      <c r="I2482" s="17"/>
      <c r="J2482" s="17"/>
      <c r="P2482" s="17"/>
      <c r="Q2482" s="17"/>
    </row>
    <row r="2483" spans="2:17">
      <c r="B2483" s="17"/>
      <c r="C2483" s="16" t="str">
        <f>IFERROR(VLOOKUP(DATA!#REF!,DATA!#REF!,1,FALSE),"")</f>
        <v/>
      </c>
      <c r="D2483" s="16" t="str">
        <f>IFERROR(VLOOKUP(C2483,DATA!#REF!,2,FALSE),"")</f>
        <v/>
      </c>
      <c r="I2483" s="17"/>
      <c r="J2483" s="17"/>
      <c r="P2483" s="17"/>
      <c r="Q2483" s="17"/>
    </row>
    <row r="2484" spans="2:17">
      <c r="B2484" s="17"/>
      <c r="C2484" s="16" t="str">
        <f>IFERROR(VLOOKUP(DATA!#REF!,DATA!#REF!,1,FALSE),"")</f>
        <v/>
      </c>
      <c r="D2484" s="16" t="str">
        <f>IFERROR(VLOOKUP(C2484,DATA!#REF!,2,FALSE),"")</f>
        <v/>
      </c>
      <c r="I2484" s="17"/>
      <c r="J2484" s="17"/>
      <c r="P2484" s="17"/>
      <c r="Q2484" s="17"/>
    </row>
    <row r="2485" spans="2:17">
      <c r="B2485" s="17"/>
      <c r="C2485" s="16" t="str">
        <f>IFERROR(VLOOKUP(DATA!#REF!,DATA!#REF!,1,FALSE),"")</f>
        <v/>
      </c>
      <c r="D2485" s="16" t="str">
        <f>IFERROR(VLOOKUP(C2485,DATA!#REF!,2,FALSE),"")</f>
        <v/>
      </c>
      <c r="I2485" s="17"/>
      <c r="J2485" s="17"/>
      <c r="P2485" s="17"/>
      <c r="Q2485" s="17"/>
    </row>
    <row r="2486" spans="2:17">
      <c r="B2486" s="17"/>
      <c r="C2486" s="16" t="str">
        <f>IFERROR(VLOOKUP(DATA!#REF!,DATA!#REF!,1,FALSE),"")</f>
        <v/>
      </c>
      <c r="D2486" s="16" t="str">
        <f>IFERROR(VLOOKUP(C2486,DATA!#REF!,2,FALSE),"")</f>
        <v/>
      </c>
      <c r="I2486" s="17"/>
      <c r="J2486" s="17"/>
      <c r="P2486" s="17"/>
      <c r="Q2486" s="17"/>
    </row>
    <row r="2487" spans="2:17">
      <c r="B2487" s="17"/>
      <c r="C2487" s="16" t="str">
        <f>IFERROR(VLOOKUP(DATA!#REF!,DATA!#REF!,1,FALSE),"")</f>
        <v/>
      </c>
      <c r="D2487" s="16" t="str">
        <f>IFERROR(VLOOKUP(C2487,DATA!#REF!,2,FALSE),"")</f>
        <v/>
      </c>
      <c r="I2487" s="17"/>
      <c r="J2487" s="17"/>
      <c r="P2487" s="17"/>
      <c r="Q2487" s="17"/>
    </row>
    <row r="2488" spans="2:17">
      <c r="B2488" s="17"/>
      <c r="C2488" s="16" t="str">
        <f>IFERROR(VLOOKUP(DATA!#REF!,DATA!#REF!,1,FALSE),"")</f>
        <v/>
      </c>
      <c r="D2488" s="16" t="str">
        <f>IFERROR(VLOOKUP(C2488,DATA!#REF!,2,FALSE),"")</f>
        <v/>
      </c>
      <c r="I2488" s="17"/>
      <c r="J2488" s="17"/>
      <c r="P2488" s="17"/>
      <c r="Q2488" s="17"/>
    </row>
    <row r="2489" spans="2:17">
      <c r="B2489" s="17"/>
      <c r="C2489" s="16" t="str">
        <f>IFERROR(VLOOKUP(DATA!#REF!,DATA!#REF!,1,FALSE),"")</f>
        <v/>
      </c>
      <c r="D2489" s="16" t="str">
        <f>IFERROR(VLOOKUP(C2489,DATA!#REF!,2,FALSE),"")</f>
        <v/>
      </c>
      <c r="I2489" s="17"/>
      <c r="J2489" s="17"/>
      <c r="P2489" s="17"/>
      <c r="Q2489" s="17"/>
    </row>
    <row r="2490" spans="2:17">
      <c r="B2490" s="17"/>
      <c r="C2490" s="16" t="str">
        <f>IFERROR(VLOOKUP(DATA!#REF!,DATA!#REF!,1,FALSE),"")</f>
        <v/>
      </c>
      <c r="D2490" s="16" t="str">
        <f>IFERROR(VLOOKUP(C2490,DATA!#REF!,2,FALSE),"")</f>
        <v/>
      </c>
      <c r="I2490" s="17"/>
      <c r="J2490" s="17"/>
      <c r="P2490" s="17"/>
      <c r="Q2490" s="17"/>
    </row>
    <row r="2491" spans="2:17">
      <c r="B2491" s="17"/>
      <c r="C2491" s="16" t="str">
        <f>IFERROR(VLOOKUP(DATA!#REF!,DATA!#REF!,1,FALSE),"")</f>
        <v/>
      </c>
      <c r="D2491" s="16" t="str">
        <f>IFERROR(VLOOKUP(C2491,DATA!#REF!,2,FALSE),"")</f>
        <v/>
      </c>
      <c r="I2491" s="17"/>
      <c r="J2491" s="17"/>
      <c r="P2491" s="17"/>
      <c r="Q2491" s="17"/>
    </row>
    <row r="2492" spans="2:17">
      <c r="B2492" s="17"/>
      <c r="C2492" s="16" t="str">
        <f>IFERROR(VLOOKUP(DATA!#REF!,DATA!#REF!,1,FALSE),"")</f>
        <v/>
      </c>
      <c r="D2492" s="16" t="str">
        <f>IFERROR(VLOOKUP(C2492,DATA!#REF!,2,FALSE),"")</f>
        <v/>
      </c>
      <c r="I2492" s="17"/>
      <c r="J2492" s="17"/>
      <c r="P2492" s="17"/>
      <c r="Q2492" s="17"/>
    </row>
    <row r="2493" spans="2:17">
      <c r="B2493" s="17"/>
      <c r="C2493" s="16" t="str">
        <f>IFERROR(VLOOKUP(DATA!#REF!,DATA!#REF!,1,FALSE),"")</f>
        <v/>
      </c>
      <c r="D2493" s="16" t="str">
        <f>IFERROR(VLOOKUP(C2493,DATA!#REF!,2,FALSE),"")</f>
        <v/>
      </c>
      <c r="I2493" s="17"/>
      <c r="J2493" s="17"/>
      <c r="P2493" s="17"/>
      <c r="Q2493" s="17"/>
    </row>
    <row r="2494" spans="2:17">
      <c r="B2494" s="17"/>
      <c r="C2494" s="16" t="str">
        <f>IFERROR(VLOOKUP(DATA!#REF!,DATA!#REF!,1,FALSE),"")</f>
        <v/>
      </c>
      <c r="D2494" s="16" t="str">
        <f>IFERROR(VLOOKUP(C2494,DATA!#REF!,2,FALSE),"")</f>
        <v/>
      </c>
      <c r="I2494" s="17"/>
      <c r="J2494" s="17"/>
      <c r="P2494" s="17"/>
      <c r="Q2494" s="17"/>
    </row>
    <row r="2495" spans="2:17">
      <c r="B2495" s="17"/>
      <c r="C2495" s="16" t="str">
        <f>IFERROR(VLOOKUP(DATA!#REF!,DATA!#REF!,1,FALSE),"")</f>
        <v/>
      </c>
      <c r="D2495" s="16" t="str">
        <f>IFERROR(VLOOKUP(C2495,DATA!#REF!,2,FALSE),"")</f>
        <v/>
      </c>
      <c r="I2495" s="17"/>
      <c r="J2495" s="17"/>
      <c r="P2495" s="17"/>
      <c r="Q2495" s="17"/>
    </row>
    <row r="2496" spans="2:17">
      <c r="B2496" s="17"/>
      <c r="C2496" s="16" t="str">
        <f>IFERROR(VLOOKUP(DATA!#REF!,DATA!#REF!,1,FALSE),"")</f>
        <v/>
      </c>
      <c r="D2496" s="16" t="str">
        <f>IFERROR(VLOOKUP(C2496,DATA!#REF!,2,FALSE),"")</f>
        <v/>
      </c>
      <c r="I2496" s="17"/>
      <c r="J2496" s="17"/>
      <c r="P2496" s="17"/>
      <c r="Q2496" s="17"/>
    </row>
    <row r="2497" spans="2:17">
      <c r="B2497" s="17"/>
      <c r="C2497" s="16" t="str">
        <f>IFERROR(VLOOKUP(DATA!#REF!,DATA!#REF!,1,FALSE),"")</f>
        <v/>
      </c>
      <c r="D2497" s="16" t="str">
        <f>IFERROR(VLOOKUP(C2497,DATA!#REF!,2,FALSE),"")</f>
        <v/>
      </c>
      <c r="I2497" s="17"/>
      <c r="J2497" s="17"/>
      <c r="P2497" s="17"/>
      <c r="Q2497" s="17"/>
    </row>
    <row r="2498" spans="2:17">
      <c r="B2498" s="17"/>
      <c r="C2498" s="16" t="str">
        <f>IFERROR(VLOOKUP(DATA!#REF!,DATA!#REF!,1,FALSE),"")</f>
        <v/>
      </c>
      <c r="D2498" s="16" t="str">
        <f>IFERROR(VLOOKUP(C2498,DATA!#REF!,2,FALSE),"")</f>
        <v/>
      </c>
      <c r="I2498" s="17"/>
      <c r="J2498" s="17"/>
      <c r="P2498" s="17"/>
      <c r="Q2498" s="17"/>
    </row>
    <row r="2499" spans="2:17">
      <c r="B2499" s="17"/>
      <c r="C2499" s="16" t="str">
        <f>IFERROR(VLOOKUP(DATA!#REF!,DATA!#REF!,1,FALSE),"")</f>
        <v/>
      </c>
      <c r="D2499" s="16" t="str">
        <f>IFERROR(VLOOKUP(C2499,DATA!#REF!,2,FALSE),"")</f>
        <v/>
      </c>
      <c r="I2499" s="17"/>
      <c r="J2499" s="17"/>
      <c r="P2499" s="17"/>
      <c r="Q2499" s="17"/>
    </row>
    <row r="2500" spans="2:17">
      <c r="B2500" s="17"/>
      <c r="C2500" s="16" t="str">
        <f>IFERROR(VLOOKUP(DATA!#REF!,DATA!#REF!,1,FALSE),"")</f>
        <v/>
      </c>
      <c r="D2500" s="16" t="str">
        <f>IFERROR(VLOOKUP(C2500,DATA!#REF!,2,FALSE),"")</f>
        <v/>
      </c>
      <c r="I2500" s="17"/>
      <c r="J2500" s="17"/>
      <c r="P2500" s="17"/>
      <c r="Q2500" s="17"/>
    </row>
    <row r="2501" spans="2:17">
      <c r="B2501" s="17"/>
      <c r="C2501" s="16" t="str">
        <f>IFERROR(VLOOKUP(DATA!#REF!,DATA!#REF!,1,FALSE),"")</f>
        <v/>
      </c>
      <c r="D2501" s="16" t="str">
        <f>IFERROR(VLOOKUP(C2501,DATA!#REF!,2,FALSE),"")</f>
        <v/>
      </c>
      <c r="I2501" s="17"/>
      <c r="J2501" s="17"/>
      <c r="P2501" s="17"/>
      <c r="Q2501" s="17"/>
    </row>
    <row r="2502" spans="2:17">
      <c r="B2502" s="17"/>
      <c r="C2502" s="16" t="str">
        <f>IFERROR(VLOOKUP(DATA!#REF!,DATA!#REF!,1,FALSE),"")</f>
        <v/>
      </c>
      <c r="D2502" s="16" t="str">
        <f>IFERROR(VLOOKUP(C2502,DATA!#REF!,2,FALSE),"")</f>
        <v/>
      </c>
      <c r="I2502" s="17"/>
      <c r="J2502" s="17"/>
      <c r="P2502" s="17"/>
      <c r="Q2502" s="17"/>
    </row>
    <row r="2503" spans="2:17">
      <c r="B2503" s="17"/>
      <c r="C2503" s="16" t="str">
        <f>IFERROR(VLOOKUP(DATA!#REF!,DATA!#REF!,1,FALSE),"")</f>
        <v/>
      </c>
      <c r="D2503" s="16" t="str">
        <f>IFERROR(VLOOKUP(C2503,DATA!#REF!,2,FALSE),"")</f>
        <v/>
      </c>
      <c r="I2503" s="17"/>
      <c r="J2503" s="17"/>
      <c r="P2503" s="17"/>
      <c r="Q2503" s="17"/>
    </row>
    <row r="2504" spans="2:17">
      <c r="B2504" s="17"/>
      <c r="C2504" s="16" t="str">
        <f>IFERROR(VLOOKUP(DATA!#REF!,DATA!#REF!,1,FALSE),"")</f>
        <v/>
      </c>
      <c r="D2504" s="16" t="str">
        <f>IFERROR(VLOOKUP(C2504,DATA!#REF!,2,FALSE),"")</f>
        <v/>
      </c>
      <c r="I2504" s="17"/>
      <c r="J2504" s="17"/>
      <c r="P2504" s="17"/>
      <c r="Q2504" s="17"/>
    </row>
    <row r="2505" spans="2:17">
      <c r="B2505" s="17"/>
      <c r="C2505" s="16" t="str">
        <f>IFERROR(VLOOKUP(DATA!#REF!,DATA!#REF!,1,FALSE),"")</f>
        <v/>
      </c>
      <c r="D2505" s="16" t="str">
        <f>IFERROR(VLOOKUP(C2505,DATA!#REF!,2,FALSE),"")</f>
        <v/>
      </c>
      <c r="I2505" s="17"/>
      <c r="J2505" s="17"/>
      <c r="P2505" s="17"/>
      <c r="Q2505" s="17"/>
    </row>
    <row r="2506" spans="2:17">
      <c r="B2506" s="17"/>
      <c r="C2506" s="16" t="str">
        <f>IFERROR(VLOOKUP(DATA!#REF!,DATA!#REF!,1,FALSE),"")</f>
        <v/>
      </c>
      <c r="D2506" s="16" t="str">
        <f>IFERROR(VLOOKUP(C2506,DATA!#REF!,2,FALSE),"")</f>
        <v/>
      </c>
      <c r="I2506" s="17"/>
      <c r="J2506" s="17"/>
      <c r="P2506" s="17"/>
      <c r="Q2506" s="17"/>
    </row>
    <row r="2507" spans="2:17">
      <c r="B2507" s="17"/>
      <c r="C2507" s="16" t="str">
        <f>IFERROR(VLOOKUP(DATA!#REF!,DATA!#REF!,1,FALSE),"")</f>
        <v/>
      </c>
      <c r="D2507" s="16" t="str">
        <f>IFERROR(VLOOKUP(C2507,DATA!#REF!,2,FALSE),"")</f>
        <v/>
      </c>
      <c r="I2507" s="17"/>
      <c r="J2507" s="17"/>
      <c r="P2507" s="17"/>
      <c r="Q2507" s="17"/>
    </row>
    <row r="2508" spans="2:17">
      <c r="B2508" s="17"/>
      <c r="C2508" s="16" t="str">
        <f>IFERROR(VLOOKUP(DATA!#REF!,DATA!#REF!,1,FALSE),"")</f>
        <v/>
      </c>
      <c r="D2508" s="16" t="str">
        <f>IFERROR(VLOOKUP(C2508,DATA!#REF!,2,FALSE),"")</f>
        <v/>
      </c>
      <c r="I2508" s="17"/>
      <c r="J2508" s="17"/>
      <c r="P2508" s="17"/>
      <c r="Q2508" s="17"/>
    </row>
    <row r="2509" spans="2:17">
      <c r="B2509" s="17"/>
      <c r="C2509" s="16" t="str">
        <f>IFERROR(VLOOKUP(DATA!#REF!,DATA!#REF!,1,FALSE),"")</f>
        <v/>
      </c>
      <c r="D2509" s="16" t="str">
        <f>IFERROR(VLOOKUP(C2509,DATA!#REF!,2,FALSE),"")</f>
        <v/>
      </c>
      <c r="I2509" s="17"/>
      <c r="J2509" s="17"/>
      <c r="P2509" s="17"/>
      <c r="Q2509" s="17"/>
    </row>
    <row r="2510" spans="2:17">
      <c r="B2510" s="17"/>
      <c r="C2510" s="16" t="str">
        <f>IFERROR(VLOOKUP(DATA!#REF!,DATA!#REF!,1,FALSE),"")</f>
        <v/>
      </c>
      <c r="D2510" s="16" t="str">
        <f>IFERROR(VLOOKUP(C2510,DATA!#REF!,2,FALSE),"")</f>
        <v/>
      </c>
      <c r="I2510" s="17"/>
      <c r="J2510" s="17"/>
      <c r="P2510" s="17"/>
      <c r="Q2510" s="17"/>
    </row>
    <row r="2511" spans="2:17">
      <c r="B2511" s="17"/>
      <c r="C2511" s="16" t="str">
        <f>IFERROR(VLOOKUP(DATA!#REF!,DATA!#REF!,1,FALSE),"")</f>
        <v/>
      </c>
      <c r="D2511" s="16" t="str">
        <f>IFERROR(VLOOKUP(C2511,DATA!#REF!,2,FALSE),"")</f>
        <v/>
      </c>
      <c r="I2511" s="17"/>
      <c r="J2511" s="17"/>
      <c r="P2511" s="17"/>
      <c r="Q2511" s="17"/>
    </row>
    <row r="2512" spans="2:17">
      <c r="B2512" s="17"/>
      <c r="C2512" s="16" t="str">
        <f>IFERROR(VLOOKUP(DATA!#REF!,DATA!#REF!,1,FALSE),"")</f>
        <v/>
      </c>
      <c r="D2512" s="16" t="str">
        <f>IFERROR(VLOOKUP(C2512,DATA!#REF!,2,FALSE),"")</f>
        <v/>
      </c>
      <c r="I2512" s="17"/>
      <c r="J2512" s="17"/>
      <c r="P2512" s="17"/>
      <c r="Q2512" s="17"/>
    </row>
    <row r="2513" spans="2:17">
      <c r="B2513" s="17"/>
      <c r="C2513" s="16" t="str">
        <f>IFERROR(VLOOKUP(DATA!#REF!,DATA!#REF!,1,FALSE),"")</f>
        <v/>
      </c>
      <c r="D2513" s="16" t="str">
        <f>IFERROR(VLOOKUP(C2513,DATA!#REF!,2,FALSE),"")</f>
        <v/>
      </c>
      <c r="I2513" s="17"/>
      <c r="J2513" s="17"/>
      <c r="P2513" s="17"/>
      <c r="Q2513" s="17"/>
    </row>
    <row r="2514" spans="2:17">
      <c r="B2514" s="17"/>
      <c r="C2514" s="16" t="str">
        <f>IFERROR(VLOOKUP(DATA!#REF!,DATA!#REF!,1,FALSE),"")</f>
        <v/>
      </c>
      <c r="D2514" s="16" t="str">
        <f>IFERROR(VLOOKUP(C2514,DATA!#REF!,2,FALSE),"")</f>
        <v/>
      </c>
      <c r="I2514" s="17"/>
      <c r="J2514" s="17"/>
      <c r="P2514" s="17"/>
      <c r="Q2514" s="17"/>
    </row>
    <row r="2515" spans="2:17">
      <c r="B2515" s="17"/>
      <c r="C2515" s="16" t="str">
        <f>IFERROR(VLOOKUP(DATA!#REF!,DATA!#REF!,1,FALSE),"")</f>
        <v/>
      </c>
      <c r="D2515" s="16" t="str">
        <f>IFERROR(VLOOKUP(C2515,DATA!#REF!,2,FALSE),"")</f>
        <v/>
      </c>
      <c r="I2515" s="17"/>
      <c r="J2515" s="17"/>
      <c r="P2515" s="17"/>
      <c r="Q2515" s="17"/>
    </row>
    <row r="2516" spans="2:17">
      <c r="B2516" s="17"/>
      <c r="C2516" s="16" t="str">
        <f>IFERROR(VLOOKUP(DATA!#REF!,DATA!#REF!,1,FALSE),"")</f>
        <v/>
      </c>
      <c r="D2516" s="16" t="str">
        <f>IFERROR(VLOOKUP(C2516,DATA!#REF!,2,FALSE),"")</f>
        <v/>
      </c>
      <c r="I2516" s="17"/>
      <c r="J2516" s="17"/>
      <c r="P2516" s="17"/>
      <c r="Q2516" s="17"/>
    </row>
    <row r="2517" spans="2:17">
      <c r="B2517" s="17"/>
      <c r="C2517" s="16" t="str">
        <f>IFERROR(VLOOKUP(DATA!#REF!,DATA!#REF!,1,FALSE),"")</f>
        <v/>
      </c>
      <c r="D2517" s="16" t="str">
        <f>IFERROR(VLOOKUP(C2517,DATA!#REF!,2,FALSE),"")</f>
        <v/>
      </c>
      <c r="I2517" s="17"/>
      <c r="J2517" s="17"/>
      <c r="P2517" s="17"/>
      <c r="Q2517" s="17"/>
    </row>
    <row r="2518" spans="2:17">
      <c r="B2518" s="17"/>
      <c r="C2518" s="16" t="str">
        <f>IFERROR(VLOOKUP(DATA!#REF!,DATA!#REF!,1,FALSE),"")</f>
        <v/>
      </c>
      <c r="D2518" s="16" t="str">
        <f>IFERROR(VLOOKUP(C2518,DATA!#REF!,2,FALSE),"")</f>
        <v/>
      </c>
      <c r="I2518" s="17"/>
      <c r="J2518" s="17"/>
      <c r="P2518" s="17"/>
      <c r="Q2518" s="17"/>
    </row>
    <row r="2519" spans="2:17">
      <c r="B2519" s="17"/>
      <c r="C2519" s="16" t="str">
        <f>IFERROR(VLOOKUP(DATA!#REF!,DATA!#REF!,1,FALSE),"")</f>
        <v/>
      </c>
      <c r="D2519" s="16" t="str">
        <f>IFERROR(VLOOKUP(C2519,DATA!#REF!,2,FALSE),"")</f>
        <v/>
      </c>
      <c r="I2519" s="17"/>
      <c r="J2519" s="17"/>
      <c r="P2519" s="17"/>
      <c r="Q2519" s="17"/>
    </row>
    <row r="2520" spans="2:17">
      <c r="B2520" s="17"/>
      <c r="C2520" s="16" t="str">
        <f>IFERROR(VLOOKUP(DATA!#REF!,DATA!#REF!,1,FALSE),"")</f>
        <v/>
      </c>
      <c r="D2520" s="16" t="str">
        <f>IFERROR(VLOOKUP(C2520,DATA!#REF!,2,FALSE),"")</f>
        <v/>
      </c>
      <c r="I2520" s="17"/>
      <c r="J2520" s="17"/>
      <c r="P2520" s="17"/>
      <c r="Q2520" s="17"/>
    </row>
    <row r="2521" spans="2:17">
      <c r="B2521" s="17"/>
      <c r="C2521" s="16" t="str">
        <f>IFERROR(VLOOKUP(DATA!#REF!,DATA!#REF!,1,FALSE),"")</f>
        <v/>
      </c>
      <c r="D2521" s="16" t="str">
        <f>IFERROR(VLOOKUP(C2521,DATA!#REF!,2,FALSE),"")</f>
        <v/>
      </c>
      <c r="I2521" s="17"/>
      <c r="J2521" s="17"/>
      <c r="P2521" s="17"/>
      <c r="Q2521" s="17"/>
    </row>
    <row r="2522" spans="2:17">
      <c r="B2522" s="17"/>
      <c r="C2522" s="16" t="str">
        <f>IFERROR(VLOOKUP(DATA!#REF!,DATA!#REF!,1,FALSE),"")</f>
        <v/>
      </c>
      <c r="D2522" s="16" t="str">
        <f>IFERROR(VLOOKUP(C2522,DATA!#REF!,2,FALSE),"")</f>
        <v/>
      </c>
      <c r="I2522" s="17"/>
      <c r="J2522" s="17"/>
      <c r="P2522" s="17"/>
      <c r="Q2522" s="17"/>
    </row>
    <row r="2523" spans="2:17">
      <c r="B2523" s="17"/>
      <c r="C2523" s="16" t="str">
        <f>IFERROR(VLOOKUP(DATA!#REF!,DATA!#REF!,1,FALSE),"")</f>
        <v/>
      </c>
      <c r="D2523" s="16" t="str">
        <f>IFERROR(VLOOKUP(C2523,DATA!#REF!,2,FALSE),"")</f>
        <v/>
      </c>
      <c r="I2523" s="17"/>
      <c r="J2523" s="17"/>
      <c r="P2523" s="17"/>
      <c r="Q2523" s="17"/>
    </row>
    <row r="2524" spans="2:17">
      <c r="B2524" s="17"/>
      <c r="C2524" s="16" t="str">
        <f>IFERROR(VLOOKUP(DATA!#REF!,DATA!#REF!,1,FALSE),"")</f>
        <v/>
      </c>
      <c r="D2524" s="16" t="str">
        <f>IFERROR(VLOOKUP(C2524,DATA!#REF!,2,FALSE),"")</f>
        <v/>
      </c>
      <c r="I2524" s="17"/>
      <c r="J2524" s="17"/>
      <c r="P2524" s="17"/>
      <c r="Q2524" s="17"/>
    </row>
    <row r="2525" spans="2:17">
      <c r="B2525" s="17"/>
      <c r="C2525" s="16" t="str">
        <f>IFERROR(VLOOKUP(DATA!#REF!,DATA!#REF!,1,FALSE),"")</f>
        <v/>
      </c>
      <c r="D2525" s="16" t="str">
        <f>IFERROR(VLOOKUP(C2525,DATA!#REF!,2,FALSE),"")</f>
        <v/>
      </c>
      <c r="I2525" s="17"/>
      <c r="J2525" s="17"/>
      <c r="P2525" s="17"/>
      <c r="Q2525" s="17"/>
    </row>
    <row r="2526" spans="2:17">
      <c r="B2526" s="17"/>
      <c r="C2526" s="16" t="str">
        <f>IFERROR(VLOOKUP(DATA!#REF!,DATA!#REF!,1,FALSE),"")</f>
        <v/>
      </c>
      <c r="D2526" s="16" t="str">
        <f>IFERROR(VLOOKUP(C2526,DATA!#REF!,2,FALSE),"")</f>
        <v/>
      </c>
      <c r="I2526" s="17"/>
      <c r="J2526" s="17"/>
      <c r="P2526" s="17"/>
      <c r="Q2526" s="17"/>
    </row>
    <row r="2527" spans="2:17">
      <c r="B2527" s="17"/>
      <c r="C2527" s="16" t="str">
        <f>IFERROR(VLOOKUP(DATA!#REF!,DATA!#REF!,1,FALSE),"")</f>
        <v/>
      </c>
      <c r="D2527" s="16" t="str">
        <f>IFERROR(VLOOKUP(C2527,DATA!#REF!,2,FALSE),"")</f>
        <v/>
      </c>
      <c r="I2527" s="17"/>
      <c r="J2527" s="17"/>
      <c r="P2527" s="17"/>
      <c r="Q2527" s="17"/>
    </row>
    <row r="2528" spans="2:17">
      <c r="B2528" s="17"/>
      <c r="C2528" s="16" t="str">
        <f>IFERROR(VLOOKUP(DATA!#REF!,DATA!#REF!,1,FALSE),"")</f>
        <v/>
      </c>
      <c r="D2528" s="16" t="str">
        <f>IFERROR(VLOOKUP(C2528,DATA!#REF!,2,FALSE),"")</f>
        <v/>
      </c>
      <c r="I2528" s="17"/>
      <c r="J2528" s="17"/>
      <c r="P2528" s="17"/>
      <c r="Q2528" s="17"/>
    </row>
    <row r="2529" spans="2:17">
      <c r="B2529" s="17"/>
      <c r="C2529" s="16" t="str">
        <f>IFERROR(VLOOKUP(DATA!#REF!,DATA!#REF!,1,FALSE),"")</f>
        <v/>
      </c>
      <c r="D2529" s="16" t="str">
        <f>IFERROR(VLOOKUP(C2529,DATA!#REF!,2,FALSE),"")</f>
        <v/>
      </c>
      <c r="I2529" s="17"/>
      <c r="J2529" s="17"/>
      <c r="P2529" s="17"/>
      <c r="Q2529" s="17"/>
    </row>
    <row r="2530" spans="2:17">
      <c r="B2530" s="17"/>
      <c r="C2530" s="16" t="str">
        <f>IFERROR(VLOOKUP(DATA!#REF!,DATA!#REF!,1,FALSE),"")</f>
        <v/>
      </c>
      <c r="D2530" s="16" t="str">
        <f>IFERROR(VLOOKUP(C2530,DATA!#REF!,2,FALSE),"")</f>
        <v/>
      </c>
      <c r="I2530" s="17"/>
      <c r="J2530" s="17"/>
      <c r="P2530" s="17"/>
      <c r="Q2530" s="17"/>
    </row>
    <row r="2531" spans="2:17">
      <c r="B2531" s="17"/>
      <c r="C2531" s="16" t="str">
        <f>IFERROR(VLOOKUP(DATA!#REF!,DATA!#REF!,1,FALSE),"")</f>
        <v/>
      </c>
      <c r="D2531" s="16" t="str">
        <f>IFERROR(VLOOKUP(C2531,DATA!#REF!,2,FALSE),"")</f>
        <v/>
      </c>
      <c r="I2531" s="17"/>
      <c r="J2531" s="17"/>
      <c r="P2531" s="17"/>
      <c r="Q2531" s="17"/>
    </row>
    <row r="2532" spans="2:17">
      <c r="B2532" s="17"/>
      <c r="C2532" s="16" t="str">
        <f>IFERROR(VLOOKUP(DATA!#REF!,DATA!#REF!,1,FALSE),"")</f>
        <v/>
      </c>
      <c r="D2532" s="16" t="str">
        <f>IFERROR(VLOOKUP(C2532,DATA!#REF!,2,FALSE),"")</f>
        <v/>
      </c>
      <c r="I2532" s="17"/>
      <c r="J2532" s="17"/>
      <c r="P2532" s="17"/>
      <c r="Q2532" s="17"/>
    </row>
    <row r="2533" spans="2:17">
      <c r="B2533" s="17"/>
      <c r="C2533" s="16" t="str">
        <f>IFERROR(VLOOKUP(DATA!#REF!,DATA!#REF!,1,FALSE),"")</f>
        <v/>
      </c>
      <c r="D2533" s="16" t="str">
        <f>IFERROR(VLOOKUP(C2533,DATA!#REF!,2,FALSE),"")</f>
        <v/>
      </c>
      <c r="I2533" s="17"/>
      <c r="J2533" s="17"/>
      <c r="P2533" s="17"/>
      <c r="Q2533" s="17"/>
    </row>
    <row r="2534" spans="2:17">
      <c r="B2534" s="17"/>
      <c r="C2534" s="16" t="str">
        <f>IFERROR(VLOOKUP(DATA!#REF!,DATA!#REF!,1,FALSE),"")</f>
        <v/>
      </c>
      <c r="D2534" s="16" t="str">
        <f>IFERROR(VLOOKUP(C2534,DATA!#REF!,2,FALSE),"")</f>
        <v/>
      </c>
      <c r="I2534" s="17"/>
      <c r="J2534" s="17"/>
      <c r="P2534" s="17"/>
      <c r="Q2534" s="17"/>
    </row>
    <row r="2535" spans="2:17">
      <c r="B2535" s="17"/>
      <c r="C2535" s="16" t="str">
        <f>IFERROR(VLOOKUP(DATA!#REF!,DATA!#REF!,1,FALSE),"")</f>
        <v/>
      </c>
      <c r="D2535" s="16" t="str">
        <f>IFERROR(VLOOKUP(C2535,DATA!#REF!,2,FALSE),"")</f>
        <v/>
      </c>
      <c r="I2535" s="17"/>
      <c r="J2535" s="17"/>
      <c r="P2535" s="17"/>
      <c r="Q2535" s="17"/>
    </row>
    <row r="2536" spans="2:17">
      <c r="B2536" s="17"/>
      <c r="C2536" s="16" t="str">
        <f>IFERROR(VLOOKUP(DATA!#REF!,DATA!#REF!,1,FALSE),"")</f>
        <v/>
      </c>
      <c r="D2536" s="16" t="str">
        <f>IFERROR(VLOOKUP(C2536,DATA!#REF!,2,FALSE),"")</f>
        <v/>
      </c>
      <c r="I2536" s="17"/>
      <c r="J2536" s="17"/>
      <c r="P2536" s="17"/>
      <c r="Q2536" s="17"/>
    </row>
    <row r="2537" spans="2:17">
      <c r="B2537" s="17"/>
      <c r="C2537" s="16" t="str">
        <f>IFERROR(VLOOKUP(DATA!#REF!,DATA!#REF!,1,FALSE),"")</f>
        <v/>
      </c>
      <c r="D2537" s="16" t="str">
        <f>IFERROR(VLOOKUP(C2537,DATA!#REF!,2,FALSE),"")</f>
        <v/>
      </c>
      <c r="I2537" s="17"/>
      <c r="J2537" s="17"/>
      <c r="P2537" s="17"/>
      <c r="Q2537" s="17"/>
    </row>
    <row r="2538" spans="2:17">
      <c r="B2538" s="17"/>
      <c r="C2538" s="16" t="str">
        <f>IFERROR(VLOOKUP(DATA!#REF!,DATA!#REF!,1,FALSE),"")</f>
        <v/>
      </c>
      <c r="D2538" s="16" t="str">
        <f>IFERROR(VLOOKUP(C2538,DATA!#REF!,2,FALSE),"")</f>
        <v/>
      </c>
      <c r="I2538" s="17"/>
      <c r="J2538" s="17"/>
      <c r="P2538" s="17"/>
      <c r="Q2538" s="17"/>
    </row>
    <row r="2539" spans="2:17">
      <c r="B2539" s="17"/>
      <c r="C2539" s="16" t="str">
        <f>IFERROR(VLOOKUP(DATA!#REF!,DATA!#REF!,1,FALSE),"")</f>
        <v/>
      </c>
      <c r="D2539" s="16" t="str">
        <f>IFERROR(VLOOKUP(C2539,DATA!#REF!,2,FALSE),"")</f>
        <v/>
      </c>
      <c r="I2539" s="17"/>
      <c r="J2539" s="17"/>
      <c r="P2539" s="17"/>
      <c r="Q2539" s="17"/>
    </row>
    <row r="2540" spans="2:17">
      <c r="B2540" s="17"/>
      <c r="C2540" s="16" t="str">
        <f>IFERROR(VLOOKUP(DATA!#REF!,DATA!#REF!,1,FALSE),"")</f>
        <v/>
      </c>
      <c r="D2540" s="16" t="str">
        <f>IFERROR(VLOOKUP(C2540,DATA!#REF!,2,FALSE),"")</f>
        <v/>
      </c>
      <c r="I2540" s="17"/>
      <c r="J2540" s="17"/>
      <c r="P2540" s="17"/>
      <c r="Q2540" s="17"/>
    </row>
    <row r="2541" spans="2:17">
      <c r="B2541" s="17"/>
      <c r="C2541" s="16" t="str">
        <f>IFERROR(VLOOKUP(DATA!#REF!,DATA!#REF!,1,FALSE),"")</f>
        <v/>
      </c>
      <c r="D2541" s="16" t="str">
        <f>IFERROR(VLOOKUP(C2541,DATA!#REF!,2,FALSE),"")</f>
        <v/>
      </c>
      <c r="I2541" s="17"/>
      <c r="J2541" s="17"/>
      <c r="P2541" s="17"/>
      <c r="Q2541" s="17"/>
    </row>
    <row r="2542" spans="2:17">
      <c r="B2542" s="17"/>
      <c r="C2542" s="16" t="str">
        <f>IFERROR(VLOOKUP(DATA!#REF!,DATA!#REF!,1,FALSE),"")</f>
        <v/>
      </c>
      <c r="D2542" s="16" t="str">
        <f>IFERROR(VLOOKUP(C2542,DATA!#REF!,2,FALSE),"")</f>
        <v/>
      </c>
      <c r="I2542" s="17"/>
      <c r="J2542" s="17"/>
      <c r="P2542" s="17"/>
      <c r="Q2542" s="17"/>
    </row>
    <row r="2543" spans="2:17">
      <c r="B2543" s="17"/>
      <c r="C2543" s="16" t="str">
        <f>IFERROR(VLOOKUP(DATA!#REF!,DATA!#REF!,1,FALSE),"")</f>
        <v/>
      </c>
      <c r="D2543" s="16" t="str">
        <f>IFERROR(VLOOKUP(C2543,DATA!#REF!,2,FALSE),"")</f>
        <v/>
      </c>
      <c r="I2543" s="17"/>
      <c r="J2543" s="17"/>
      <c r="P2543" s="17"/>
      <c r="Q2543" s="17"/>
    </row>
    <row r="2544" spans="2:17">
      <c r="B2544" s="17"/>
      <c r="C2544" s="16" t="str">
        <f>IFERROR(VLOOKUP(DATA!#REF!,DATA!#REF!,1,FALSE),"")</f>
        <v/>
      </c>
      <c r="D2544" s="16" t="str">
        <f>IFERROR(VLOOKUP(C2544,DATA!#REF!,2,FALSE),"")</f>
        <v/>
      </c>
      <c r="I2544" s="17"/>
      <c r="J2544" s="17"/>
      <c r="P2544" s="17"/>
      <c r="Q2544" s="17"/>
    </row>
    <row r="2545" spans="2:17">
      <c r="B2545" s="17"/>
      <c r="C2545" s="16" t="str">
        <f>IFERROR(VLOOKUP(DATA!#REF!,DATA!#REF!,1,FALSE),"")</f>
        <v/>
      </c>
      <c r="D2545" s="16" t="str">
        <f>IFERROR(VLOOKUP(C2545,DATA!#REF!,2,FALSE),"")</f>
        <v/>
      </c>
      <c r="I2545" s="17"/>
      <c r="J2545" s="17"/>
      <c r="P2545" s="17"/>
      <c r="Q2545" s="17"/>
    </row>
    <row r="2546" spans="2:17">
      <c r="B2546" s="17"/>
      <c r="C2546" s="16" t="str">
        <f>IFERROR(VLOOKUP(DATA!#REF!,DATA!#REF!,1,FALSE),"")</f>
        <v/>
      </c>
      <c r="D2546" s="16" t="str">
        <f>IFERROR(VLOOKUP(C2546,DATA!#REF!,2,FALSE),"")</f>
        <v/>
      </c>
      <c r="I2546" s="17"/>
      <c r="J2546" s="17"/>
      <c r="P2546" s="17"/>
      <c r="Q2546" s="17"/>
    </row>
    <row r="2547" spans="2:17">
      <c r="B2547" s="17"/>
      <c r="C2547" s="16" t="str">
        <f>IFERROR(VLOOKUP(DATA!#REF!,DATA!#REF!,1,FALSE),"")</f>
        <v/>
      </c>
      <c r="D2547" s="16" t="str">
        <f>IFERROR(VLOOKUP(C2547,DATA!#REF!,2,FALSE),"")</f>
        <v/>
      </c>
      <c r="I2547" s="17"/>
      <c r="J2547" s="17"/>
      <c r="P2547" s="17"/>
      <c r="Q2547" s="17"/>
    </row>
    <row r="2548" spans="2:17">
      <c r="B2548" s="17"/>
      <c r="C2548" s="16" t="str">
        <f>IFERROR(VLOOKUP(DATA!#REF!,DATA!#REF!,1,FALSE),"")</f>
        <v/>
      </c>
      <c r="D2548" s="16" t="str">
        <f>IFERROR(VLOOKUP(C2548,DATA!#REF!,2,FALSE),"")</f>
        <v/>
      </c>
      <c r="I2548" s="17"/>
      <c r="J2548" s="17"/>
      <c r="P2548" s="17"/>
      <c r="Q2548" s="17"/>
    </row>
    <row r="2549" spans="2:17">
      <c r="B2549" s="17"/>
      <c r="C2549" s="16" t="str">
        <f>IFERROR(VLOOKUP(DATA!#REF!,DATA!#REF!,1,FALSE),"")</f>
        <v/>
      </c>
      <c r="D2549" s="16" t="str">
        <f>IFERROR(VLOOKUP(C2549,DATA!#REF!,2,FALSE),"")</f>
        <v/>
      </c>
      <c r="I2549" s="17"/>
      <c r="J2549" s="17"/>
      <c r="P2549" s="17"/>
      <c r="Q2549" s="17"/>
    </row>
    <row r="2550" spans="2:17">
      <c r="B2550" s="17"/>
      <c r="C2550" s="16" t="str">
        <f>IFERROR(VLOOKUP(DATA!#REF!,DATA!#REF!,1,FALSE),"")</f>
        <v/>
      </c>
      <c r="D2550" s="16" t="str">
        <f>IFERROR(VLOOKUP(C2550,DATA!#REF!,2,FALSE),"")</f>
        <v/>
      </c>
      <c r="I2550" s="17"/>
      <c r="J2550" s="17"/>
      <c r="P2550" s="17"/>
      <c r="Q2550" s="17"/>
    </row>
    <row r="2551" spans="2:17">
      <c r="B2551" s="17"/>
      <c r="C2551" s="16" t="str">
        <f>IFERROR(VLOOKUP(DATA!#REF!,DATA!#REF!,1,FALSE),"")</f>
        <v/>
      </c>
      <c r="D2551" s="16" t="str">
        <f>IFERROR(VLOOKUP(C2551,DATA!#REF!,2,FALSE),"")</f>
        <v/>
      </c>
      <c r="I2551" s="17"/>
      <c r="J2551" s="17"/>
      <c r="P2551" s="17"/>
      <c r="Q2551" s="17"/>
    </row>
    <row r="2552" spans="2:17">
      <c r="B2552" s="17"/>
      <c r="C2552" s="16" t="str">
        <f>IFERROR(VLOOKUP(DATA!#REF!,DATA!#REF!,1,FALSE),"")</f>
        <v/>
      </c>
      <c r="D2552" s="16" t="str">
        <f>IFERROR(VLOOKUP(C2552,DATA!#REF!,2,FALSE),"")</f>
        <v/>
      </c>
      <c r="I2552" s="17"/>
      <c r="J2552" s="17"/>
      <c r="P2552" s="17"/>
      <c r="Q2552" s="17"/>
    </row>
    <row r="2553" spans="2:17">
      <c r="B2553" s="17"/>
      <c r="C2553" s="16" t="str">
        <f>IFERROR(VLOOKUP(DATA!#REF!,DATA!#REF!,1,FALSE),"")</f>
        <v/>
      </c>
      <c r="D2553" s="16" t="str">
        <f>IFERROR(VLOOKUP(C2553,DATA!#REF!,2,FALSE),"")</f>
        <v/>
      </c>
      <c r="I2553" s="17"/>
      <c r="J2553" s="17"/>
      <c r="P2553" s="17"/>
      <c r="Q2553" s="17"/>
    </row>
    <row r="2554" spans="2:17">
      <c r="B2554" s="17"/>
      <c r="C2554" s="16" t="str">
        <f>IFERROR(VLOOKUP(DATA!#REF!,DATA!#REF!,1,FALSE),"")</f>
        <v/>
      </c>
      <c r="D2554" s="16" t="str">
        <f>IFERROR(VLOOKUP(C2554,DATA!#REF!,2,FALSE),"")</f>
        <v/>
      </c>
      <c r="I2554" s="17"/>
      <c r="J2554" s="17"/>
      <c r="P2554" s="17"/>
      <c r="Q2554" s="17"/>
    </row>
    <row r="2555" spans="2:17">
      <c r="B2555" s="17"/>
      <c r="C2555" s="16" t="str">
        <f>IFERROR(VLOOKUP(DATA!#REF!,DATA!#REF!,1,FALSE),"")</f>
        <v/>
      </c>
      <c r="D2555" s="16" t="str">
        <f>IFERROR(VLOOKUP(C2555,DATA!#REF!,2,FALSE),"")</f>
        <v/>
      </c>
      <c r="I2555" s="17"/>
      <c r="J2555" s="17"/>
      <c r="P2555" s="17"/>
      <c r="Q2555" s="17"/>
    </row>
    <row r="2556" spans="2:17">
      <c r="B2556" s="17"/>
      <c r="C2556" s="16" t="str">
        <f>IFERROR(VLOOKUP(DATA!#REF!,DATA!#REF!,1,FALSE),"")</f>
        <v/>
      </c>
      <c r="D2556" s="16" t="str">
        <f>IFERROR(VLOOKUP(C2556,DATA!#REF!,2,FALSE),"")</f>
        <v/>
      </c>
      <c r="I2556" s="17"/>
      <c r="J2556" s="17"/>
      <c r="P2556" s="17"/>
      <c r="Q2556" s="17"/>
    </row>
    <row r="2557" spans="2:17">
      <c r="B2557" s="17"/>
      <c r="C2557" s="16" t="str">
        <f>IFERROR(VLOOKUP(DATA!#REF!,DATA!#REF!,1,FALSE),"")</f>
        <v/>
      </c>
      <c r="D2557" s="16" t="str">
        <f>IFERROR(VLOOKUP(C2557,DATA!#REF!,2,FALSE),"")</f>
        <v/>
      </c>
      <c r="I2557" s="17"/>
      <c r="J2557" s="17"/>
      <c r="P2557" s="17"/>
      <c r="Q2557" s="17"/>
    </row>
    <row r="2558" spans="2:17">
      <c r="B2558" s="17"/>
      <c r="C2558" s="16" t="str">
        <f>IFERROR(VLOOKUP(DATA!#REF!,DATA!#REF!,1,FALSE),"")</f>
        <v/>
      </c>
      <c r="D2558" s="16" t="str">
        <f>IFERROR(VLOOKUP(C2558,DATA!#REF!,2,FALSE),"")</f>
        <v/>
      </c>
      <c r="I2558" s="17"/>
      <c r="J2558" s="17"/>
      <c r="P2558" s="17"/>
      <c r="Q2558" s="17"/>
    </row>
    <row r="2559" spans="2:17">
      <c r="B2559" s="17"/>
      <c r="C2559" s="16" t="str">
        <f>IFERROR(VLOOKUP(DATA!#REF!,DATA!#REF!,1,FALSE),"")</f>
        <v/>
      </c>
      <c r="D2559" s="16" t="str">
        <f>IFERROR(VLOOKUP(C2559,DATA!#REF!,2,FALSE),"")</f>
        <v/>
      </c>
      <c r="I2559" s="17"/>
      <c r="J2559" s="17"/>
      <c r="P2559" s="17"/>
      <c r="Q2559" s="17"/>
    </row>
    <row r="2560" spans="2:17">
      <c r="B2560" s="17"/>
      <c r="C2560" s="16" t="str">
        <f>IFERROR(VLOOKUP(DATA!#REF!,DATA!#REF!,1,FALSE),"")</f>
        <v/>
      </c>
      <c r="D2560" s="16" t="str">
        <f>IFERROR(VLOOKUP(C2560,DATA!#REF!,2,FALSE),"")</f>
        <v/>
      </c>
      <c r="I2560" s="17"/>
      <c r="J2560" s="17"/>
      <c r="P2560" s="17"/>
      <c r="Q2560" s="17"/>
    </row>
    <row r="2561" spans="2:17">
      <c r="B2561" s="17"/>
      <c r="C2561" s="16" t="str">
        <f>IFERROR(VLOOKUP(DATA!#REF!,DATA!#REF!,1,FALSE),"")</f>
        <v/>
      </c>
      <c r="D2561" s="16" t="str">
        <f>IFERROR(VLOOKUP(C2561,DATA!#REF!,2,FALSE),"")</f>
        <v/>
      </c>
      <c r="I2561" s="17"/>
      <c r="J2561" s="17"/>
      <c r="P2561" s="17"/>
      <c r="Q2561" s="17"/>
    </row>
    <row r="2562" spans="2:17">
      <c r="B2562" s="17"/>
      <c r="C2562" s="16" t="str">
        <f>IFERROR(VLOOKUP(DATA!#REF!,DATA!#REF!,1,FALSE),"")</f>
        <v/>
      </c>
      <c r="D2562" s="16" t="str">
        <f>IFERROR(VLOOKUP(C2562,DATA!#REF!,2,FALSE),"")</f>
        <v/>
      </c>
      <c r="I2562" s="17"/>
      <c r="J2562" s="17"/>
      <c r="P2562" s="17"/>
      <c r="Q2562" s="17"/>
    </row>
    <row r="2563" spans="2:17">
      <c r="B2563" s="17"/>
      <c r="C2563" s="16" t="str">
        <f>IFERROR(VLOOKUP(DATA!#REF!,DATA!#REF!,1,FALSE),"")</f>
        <v/>
      </c>
      <c r="D2563" s="16" t="str">
        <f>IFERROR(VLOOKUP(C2563,DATA!#REF!,2,FALSE),"")</f>
        <v/>
      </c>
      <c r="I2563" s="17"/>
      <c r="J2563" s="17"/>
      <c r="P2563" s="17"/>
      <c r="Q2563" s="17"/>
    </row>
    <row r="2564" spans="2:17">
      <c r="B2564" s="17"/>
      <c r="C2564" s="16" t="str">
        <f>IFERROR(VLOOKUP(DATA!#REF!,DATA!#REF!,1,FALSE),"")</f>
        <v/>
      </c>
      <c r="D2564" s="16" t="str">
        <f>IFERROR(VLOOKUP(C2564,DATA!#REF!,2,FALSE),"")</f>
        <v/>
      </c>
      <c r="I2564" s="17"/>
      <c r="J2564" s="17"/>
      <c r="P2564" s="17"/>
      <c r="Q2564" s="17"/>
    </row>
    <row r="2565" spans="2:17">
      <c r="B2565" s="17"/>
      <c r="C2565" s="16" t="str">
        <f>IFERROR(VLOOKUP(DATA!#REF!,DATA!#REF!,1,FALSE),"")</f>
        <v/>
      </c>
      <c r="D2565" s="16" t="str">
        <f>IFERROR(VLOOKUP(C2565,DATA!#REF!,2,FALSE),"")</f>
        <v/>
      </c>
      <c r="I2565" s="17"/>
      <c r="J2565" s="17"/>
      <c r="P2565" s="17"/>
      <c r="Q2565" s="17"/>
    </row>
    <row r="2566" spans="2:17">
      <c r="B2566" s="17"/>
      <c r="C2566" s="16" t="str">
        <f>IFERROR(VLOOKUP(DATA!#REF!,DATA!#REF!,1,FALSE),"")</f>
        <v/>
      </c>
      <c r="D2566" s="16" t="str">
        <f>IFERROR(VLOOKUP(C2566,DATA!#REF!,2,FALSE),"")</f>
        <v/>
      </c>
      <c r="I2566" s="17"/>
      <c r="J2566" s="17"/>
      <c r="P2566" s="17"/>
      <c r="Q2566" s="17"/>
    </row>
    <row r="2567" spans="2:17">
      <c r="B2567" s="17"/>
      <c r="C2567" s="16" t="str">
        <f>IFERROR(VLOOKUP(DATA!#REF!,DATA!#REF!,1,FALSE),"")</f>
        <v/>
      </c>
      <c r="D2567" s="16" t="str">
        <f>IFERROR(VLOOKUP(C2567,DATA!#REF!,2,FALSE),"")</f>
        <v/>
      </c>
      <c r="I2567" s="17"/>
      <c r="J2567" s="17"/>
      <c r="P2567" s="17"/>
      <c r="Q2567" s="17"/>
    </row>
    <row r="2568" spans="2:17">
      <c r="B2568" s="17"/>
      <c r="C2568" s="16" t="str">
        <f>IFERROR(VLOOKUP(DATA!#REF!,DATA!#REF!,1,FALSE),"")</f>
        <v/>
      </c>
      <c r="D2568" s="16" t="str">
        <f>IFERROR(VLOOKUP(C2568,DATA!#REF!,2,FALSE),"")</f>
        <v/>
      </c>
      <c r="I2568" s="17"/>
      <c r="J2568" s="17"/>
      <c r="P2568" s="17"/>
      <c r="Q2568" s="17"/>
    </row>
    <row r="2569" spans="2:17">
      <c r="B2569" s="17"/>
      <c r="C2569" s="16" t="str">
        <f>IFERROR(VLOOKUP(DATA!#REF!,DATA!#REF!,1,FALSE),"")</f>
        <v/>
      </c>
      <c r="D2569" s="16" t="str">
        <f>IFERROR(VLOOKUP(C2569,DATA!#REF!,2,FALSE),"")</f>
        <v/>
      </c>
      <c r="I2569" s="17"/>
      <c r="J2569" s="17"/>
      <c r="P2569" s="17"/>
      <c r="Q2569" s="17"/>
    </row>
    <row r="2570" spans="2:17">
      <c r="B2570" s="17"/>
      <c r="C2570" s="16" t="str">
        <f>IFERROR(VLOOKUP(DATA!#REF!,DATA!#REF!,1,FALSE),"")</f>
        <v/>
      </c>
      <c r="D2570" s="16" t="str">
        <f>IFERROR(VLOOKUP(C2570,DATA!#REF!,2,FALSE),"")</f>
        <v/>
      </c>
      <c r="I2570" s="17"/>
      <c r="J2570" s="17"/>
      <c r="P2570" s="17"/>
      <c r="Q2570" s="17"/>
    </row>
    <row r="2571" spans="2:17">
      <c r="B2571" s="17"/>
      <c r="C2571" s="16" t="str">
        <f>IFERROR(VLOOKUP(DATA!#REF!,DATA!#REF!,1,FALSE),"")</f>
        <v/>
      </c>
      <c r="D2571" s="16" t="str">
        <f>IFERROR(VLOOKUP(C2571,DATA!#REF!,2,FALSE),"")</f>
        <v/>
      </c>
      <c r="I2571" s="17"/>
      <c r="J2571" s="17"/>
      <c r="P2571" s="17"/>
      <c r="Q2571" s="17"/>
    </row>
    <row r="2572" spans="2:17">
      <c r="B2572" s="17"/>
      <c r="C2572" s="16" t="str">
        <f>IFERROR(VLOOKUP(DATA!#REF!,DATA!#REF!,1,FALSE),"")</f>
        <v/>
      </c>
      <c r="D2572" s="16" t="str">
        <f>IFERROR(VLOOKUP(C2572,DATA!#REF!,2,FALSE),"")</f>
        <v/>
      </c>
      <c r="I2572" s="17"/>
      <c r="J2572" s="17"/>
      <c r="P2572" s="17"/>
      <c r="Q2572" s="17"/>
    </row>
    <row r="2573" spans="2:17">
      <c r="B2573" s="17"/>
      <c r="C2573" s="16" t="str">
        <f>IFERROR(VLOOKUP(DATA!#REF!,DATA!#REF!,1,FALSE),"")</f>
        <v/>
      </c>
      <c r="D2573" s="16" t="str">
        <f>IFERROR(VLOOKUP(C2573,DATA!#REF!,2,FALSE),"")</f>
        <v/>
      </c>
      <c r="I2573" s="17"/>
      <c r="J2573" s="17"/>
      <c r="P2573" s="17"/>
      <c r="Q2573" s="17"/>
    </row>
    <row r="2574" spans="2:17">
      <c r="B2574" s="17"/>
      <c r="C2574" s="16" t="str">
        <f>IFERROR(VLOOKUP(DATA!#REF!,DATA!#REF!,1,FALSE),"")</f>
        <v/>
      </c>
      <c r="D2574" s="16" t="str">
        <f>IFERROR(VLOOKUP(C2574,DATA!#REF!,2,FALSE),"")</f>
        <v/>
      </c>
      <c r="I2574" s="17"/>
      <c r="J2574" s="17"/>
      <c r="P2574" s="17"/>
      <c r="Q2574" s="17"/>
    </row>
    <row r="2575" spans="2:17">
      <c r="B2575" s="17"/>
      <c r="C2575" s="16" t="str">
        <f>IFERROR(VLOOKUP(DATA!#REF!,DATA!#REF!,1,FALSE),"")</f>
        <v/>
      </c>
      <c r="D2575" s="16" t="str">
        <f>IFERROR(VLOOKUP(C2575,DATA!#REF!,2,FALSE),"")</f>
        <v/>
      </c>
      <c r="I2575" s="17"/>
      <c r="J2575" s="17"/>
      <c r="P2575" s="17"/>
      <c r="Q2575" s="17"/>
    </row>
    <row r="2576" spans="2:17">
      <c r="B2576" s="17"/>
      <c r="C2576" s="16" t="str">
        <f>IFERROR(VLOOKUP(DATA!#REF!,DATA!#REF!,1,FALSE),"")</f>
        <v/>
      </c>
      <c r="D2576" s="16" t="str">
        <f>IFERROR(VLOOKUP(C2576,DATA!#REF!,2,FALSE),"")</f>
        <v/>
      </c>
      <c r="I2576" s="17"/>
      <c r="J2576" s="17"/>
      <c r="P2576" s="17"/>
      <c r="Q2576" s="17"/>
    </row>
    <row r="2577" spans="2:17">
      <c r="B2577" s="17"/>
      <c r="C2577" s="16" t="str">
        <f>IFERROR(VLOOKUP(DATA!#REF!,DATA!#REF!,1,FALSE),"")</f>
        <v/>
      </c>
      <c r="D2577" s="16" t="str">
        <f>IFERROR(VLOOKUP(C2577,DATA!#REF!,2,FALSE),"")</f>
        <v/>
      </c>
      <c r="I2577" s="17"/>
      <c r="J2577" s="17"/>
      <c r="P2577" s="17"/>
      <c r="Q2577" s="17"/>
    </row>
    <row r="2578" spans="2:17">
      <c r="B2578" s="17"/>
      <c r="C2578" s="16" t="str">
        <f>IFERROR(VLOOKUP(DATA!#REF!,DATA!#REF!,1,FALSE),"")</f>
        <v/>
      </c>
      <c r="D2578" s="16" t="str">
        <f>IFERROR(VLOOKUP(C2578,DATA!#REF!,2,FALSE),"")</f>
        <v/>
      </c>
      <c r="I2578" s="17"/>
      <c r="J2578" s="17"/>
      <c r="P2578" s="17"/>
      <c r="Q2578" s="17"/>
    </row>
    <row r="2579" spans="2:17">
      <c r="B2579" s="17"/>
      <c r="C2579" s="16" t="str">
        <f>IFERROR(VLOOKUP(DATA!#REF!,DATA!#REF!,1,FALSE),"")</f>
        <v/>
      </c>
      <c r="D2579" s="16" t="str">
        <f>IFERROR(VLOOKUP(C2579,DATA!#REF!,2,FALSE),"")</f>
        <v/>
      </c>
      <c r="I2579" s="17"/>
      <c r="J2579" s="17"/>
      <c r="P2579" s="17"/>
      <c r="Q2579" s="17"/>
    </row>
    <row r="2580" spans="2:17">
      <c r="B2580" s="17"/>
      <c r="C2580" s="16" t="str">
        <f>IFERROR(VLOOKUP(DATA!#REF!,DATA!#REF!,1,FALSE),"")</f>
        <v/>
      </c>
      <c r="D2580" s="16" t="str">
        <f>IFERROR(VLOOKUP(C2580,DATA!#REF!,2,FALSE),"")</f>
        <v/>
      </c>
      <c r="I2580" s="17"/>
      <c r="J2580" s="17"/>
      <c r="P2580" s="17"/>
      <c r="Q2580" s="17"/>
    </row>
    <row r="2581" spans="2:17">
      <c r="B2581" s="17"/>
      <c r="C2581" s="16" t="str">
        <f>IFERROR(VLOOKUP(DATA!#REF!,DATA!#REF!,1,FALSE),"")</f>
        <v/>
      </c>
      <c r="D2581" s="16" t="str">
        <f>IFERROR(VLOOKUP(C2581,DATA!#REF!,2,FALSE),"")</f>
        <v/>
      </c>
      <c r="I2581" s="17"/>
      <c r="J2581" s="17"/>
      <c r="P2581" s="17"/>
      <c r="Q2581" s="17"/>
    </row>
    <row r="2582" spans="2:17">
      <c r="B2582" s="17"/>
      <c r="C2582" s="16" t="str">
        <f>IFERROR(VLOOKUP(DATA!#REF!,DATA!#REF!,1,FALSE),"")</f>
        <v/>
      </c>
      <c r="D2582" s="16" t="str">
        <f>IFERROR(VLOOKUP(C2582,DATA!#REF!,2,FALSE),"")</f>
        <v/>
      </c>
      <c r="I2582" s="17"/>
      <c r="J2582" s="17"/>
      <c r="P2582" s="17"/>
      <c r="Q2582" s="17"/>
    </row>
    <row r="2583" spans="2:17">
      <c r="B2583" s="17"/>
      <c r="C2583" s="16" t="str">
        <f>IFERROR(VLOOKUP(DATA!#REF!,DATA!#REF!,1,FALSE),"")</f>
        <v/>
      </c>
      <c r="D2583" s="16" t="str">
        <f>IFERROR(VLOOKUP(C2583,DATA!#REF!,2,FALSE),"")</f>
        <v/>
      </c>
      <c r="I2583" s="17"/>
      <c r="J2583" s="17"/>
      <c r="P2583" s="17"/>
      <c r="Q2583" s="17"/>
    </row>
    <row r="2584" spans="2:17">
      <c r="B2584" s="17"/>
      <c r="C2584" s="16" t="str">
        <f>IFERROR(VLOOKUP(DATA!#REF!,DATA!#REF!,1,FALSE),"")</f>
        <v/>
      </c>
      <c r="D2584" s="16" t="str">
        <f>IFERROR(VLOOKUP(C2584,DATA!#REF!,2,FALSE),"")</f>
        <v/>
      </c>
      <c r="I2584" s="17"/>
      <c r="J2584" s="17"/>
      <c r="P2584" s="17"/>
      <c r="Q2584" s="17"/>
    </row>
    <row r="2585" spans="2:17">
      <c r="B2585" s="17"/>
      <c r="C2585" s="16" t="str">
        <f>IFERROR(VLOOKUP(DATA!#REF!,DATA!#REF!,1,FALSE),"")</f>
        <v/>
      </c>
      <c r="D2585" s="16" t="str">
        <f>IFERROR(VLOOKUP(C2585,DATA!#REF!,2,FALSE),"")</f>
        <v/>
      </c>
      <c r="I2585" s="17"/>
      <c r="J2585" s="17"/>
      <c r="P2585" s="17"/>
      <c r="Q2585" s="17"/>
    </row>
    <row r="2586" spans="2:17">
      <c r="B2586" s="17"/>
      <c r="C2586" s="16" t="str">
        <f>IFERROR(VLOOKUP(DATA!#REF!,DATA!#REF!,1,FALSE),"")</f>
        <v/>
      </c>
      <c r="D2586" s="16" t="str">
        <f>IFERROR(VLOOKUP(C2586,DATA!#REF!,2,FALSE),"")</f>
        <v/>
      </c>
      <c r="I2586" s="17"/>
      <c r="J2586" s="17"/>
      <c r="P2586" s="17"/>
      <c r="Q2586" s="17"/>
    </row>
    <row r="2587" spans="2:17">
      <c r="B2587" s="17"/>
      <c r="C2587" s="16" t="str">
        <f>IFERROR(VLOOKUP(DATA!#REF!,DATA!#REF!,1,FALSE),"")</f>
        <v/>
      </c>
      <c r="D2587" s="16" t="str">
        <f>IFERROR(VLOOKUP(C2587,DATA!#REF!,2,FALSE),"")</f>
        <v/>
      </c>
      <c r="I2587" s="17"/>
      <c r="J2587" s="17"/>
      <c r="P2587" s="17"/>
      <c r="Q2587" s="17"/>
    </row>
    <row r="2588" spans="2:17">
      <c r="B2588" s="17"/>
      <c r="C2588" s="16" t="str">
        <f>IFERROR(VLOOKUP(DATA!#REF!,DATA!#REF!,1,FALSE),"")</f>
        <v/>
      </c>
      <c r="D2588" s="16" t="str">
        <f>IFERROR(VLOOKUP(C2588,DATA!#REF!,2,FALSE),"")</f>
        <v/>
      </c>
      <c r="I2588" s="17"/>
      <c r="J2588" s="17"/>
      <c r="P2588" s="17"/>
      <c r="Q2588" s="17"/>
    </row>
    <row r="2589" spans="2:17">
      <c r="B2589" s="17"/>
      <c r="C2589" s="16" t="str">
        <f>IFERROR(VLOOKUP(DATA!#REF!,DATA!#REF!,1,FALSE),"")</f>
        <v/>
      </c>
      <c r="D2589" s="16" t="str">
        <f>IFERROR(VLOOKUP(C2589,DATA!#REF!,2,FALSE),"")</f>
        <v/>
      </c>
      <c r="I2589" s="17"/>
      <c r="J2589" s="17"/>
      <c r="P2589" s="17"/>
      <c r="Q2589" s="17"/>
    </row>
    <row r="2590" spans="2:17">
      <c r="B2590" s="17"/>
      <c r="C2590" s="16" t="str">
        <f>IFERROR(VLOOKUP(DATA!#REF!,DATA!#REF!,1,FALSE),"")</f>
        <v/>
      </c>
      <c r="D2590" s="16" t="str">
        <f>IFERROR(VLOOKUP(C2590,DATA!#REF!,2,FALSE),"")</f>
        <v/>
      </c>
      <c r="I2590" s="17"/>
      <c r="J2590" s="17"/>
      <c r="P2590" s="17"/>
      <c r="Q2590" s="17"/>
    </row>
    <row r="2591" spans="2:17">
      <c r="B2591" s="17"/>
      <c r="C2591" s="16" t="str">
        <f>IFERROR(VLOOKUP(DATA!#REF!,DATA!#REF!,1,FALSE),"")</f>
        <v/>
      </c>
      <c r="D2591" s="16" t="str">
        <f>IFERROR(VLOOKUP(C2591,DATA!#REF!,2,FALSE),"")</f>
        <v/>
      </c>
      <c r="I2591" s="17"/>
      <c r="J2591" s="17"/>
      <c r="P2591" s="17"/>
      <c r="Q2591" s="17"/>
    </row>
    <row r="2592" spans="2:17">
      <c r="B2592" s="17"/>
      <c r="C2592" s="16" t="str">
        <f>IFERROR(VLOOKUP(DATA!#REF!,DATA!#REF!,1,FALSE),"")</f>
        <v/>
      </c>
      <c r="D2592" s="16" t="str">
        <f>IFERROR(VLOOKUP(C2592,DATA!#REF!,2,FALSE),"")</f>
        <v/>
      </c>
      <c r="I2592" s="17"/>
      <c r="J2592" s="17"/>
      <c r="P2592" s="17"/>
      <c r="Q2592" s="17"/>
    </row>
    <row r="2593" spans="2:17">
      <c r="B2593" s="17"/>
      <c r="C2593" s="16" t="str">
        <f>IFERROR(VLOOKUP(DATA!#REF!,DATA!#REF!,1,FALSE),"")</f>
        <v/>
      </c>
      <c r="D2593" s="16" t="str">
        <f>IFERROR(VLOOKUP(C2593,DATA!#REF!,2,FALSE),"")</f>
        <v/>
      </c>
      <c r="I2593" s="17"/>
      <c r="J2593" s="17"/>
      <c r="P2593" s="17"/>
      <c r="Q2593" s="17"/>
    </row>
    <row r="2594" spans="2:17">
      <c r="B2594" s="17"/>
      <c r="C2594" s="16" t="str">
        <f>IFERROR(VLOOKUP(DATA!#REF!,DATA!#REF!,1,FALSE),"")</f>
        <v/>
      </c>
      <c r="D2594" s="16" t="str">
        <f>IFERROR(VLOOKUP(C2594,DATA!#REF!,2,FALSE),"")</f>
        <v/>
      </c>
      <c r="I2594" s="17"/>
      <c r="J2594" s="17"/>
      <c r="P2594" s="17"/>
      <c r="Q2594" s="17"/>
    </row>
    <row r="2595" spans="2:17">
      <c r="B2595" s="17"/>
      <c r="C2595" s="16" t="str">
        <f>IFERROR(VLOOKUP(DATA!#REF!,DATA!#REF!,1,FALSE),"")</f>
        <v/>
      </c>
      <c r="D2595" s="16" t="str">
        <f>IFERROR(VLOOKUP(C2595,DATA!#REF!,2,FALSE),"")</f>
        <v/>
      </c>
      <c r="I2595" s="17"/>
      <c r="J2595" s="17"/>
      <c r="P2595" s="17"/>
      <c r="Q2595" s="17"/>
    </row>
    <row r="2596" spans="2:17">
      <c r="B2596" s="17"/>
      <c r="C2596" s="16" t="str">
        <f>IFERROR(VLOOKUP(DATA!#REF!,DATA!#REF!,1,FALSE),"")</f>
        <v/>
      </c>
      <c r="D2596" s="16" t="str">
        <f>IFERROR(VLOOKUP(C2596,DATA!#REF!,2,FALSE),"")</f>
        <v/>
      </c>
      <c r="I2596" s="17"/>
      <c r="J2596" s="17"/>
      <c r="P2596" s="17"/>
      <c r="Q2596" s="17"/>
    </row>
    <row r="2597" spans="2:17">
      <c r="B2597" s="17"/>
      <c r="C2597" s="16" t="str">
        <f>IFERROR(VLOOKUP(DATA!#REF!,DATA!#REF!,1,FALSE),"")</f>
        <v/>
      </c>
      <c r="D2597" s="16" t="str">
        <f>IFERROR(VLOOKUP(C2597,DATA!#REF!,2,FALSE),"")</f>
        <v/>
      </c>
      <c r="I2597" s="17"/>
      <c r="J2597" s="17"/>
      <c r="P2597" s="17"/>
      <c r="Q2597" s="17"/>
    </row>
    <row r="2598" spans="2:17">
      <c r="B2598" s="17"/>
      <c r="C2598" s="16" t="str">
        <f>IFERROR(VLOOKUP(DATA!#REF!,DATA!#REF!,1,FALSE),"")</f>
        <v/>
      </c>
      <c r="D2598" s="16" t="str">
        <f>IFERROR(VLOOKUP(C2598,DATA!#REF!,2,FALSE),"")</f>
        <v/>
      </c>
      <c r="I2598" s="17"/>
      <c r="J2598" s="17"/>
      <c r="P2598" s="17"/>
      <c r="Q2598" s="17"/>
    </row>
    <row r="2599" spans="2:17">
      <c r="B2599" s="17"/>
      <c r="C2599" s="16" t="str">
        <f>IFERROR(VLOOKUP(DATA!#REF!,DATA!#REF!,1,FALSE),"")</f>
        <v/>
      </c>
      <c r="D2599" s="16" t="str">
        <f>IFERROR(VLOOKUP(C2599,DATA!#REF!,2,FALSE),"")</f>
        <v/>
      </c>
      <c r="I2599" s="17"/>
      <c r="J2599" s="17"/>
      <c r="P2599" s="17"/>
      <c r="Q2599" s="17"/>
    </row>
    <row r="2600" spans="2:17">
      <c r="B2600" s="17"/>
      <c r="C2600" s="16" t="str">
        <f>IFERROR(VLOOKUP(DATA!#REF!,DATA!#REF!,1,FALSE),"")</f>
        <v/>
      </c>
      <c r="D2600" s="16" t="str">
        <f>IFERROR(VLOOKUP(C2600,DATA!#REF!,2,FALSE),"")</f>
        <v/>
      </c>
      <c r="I2600" s="17"/>
      <c r="J2600" s="17"/>
      <c r="P2600" s="17"/>
      <c r="Q2600" s="17"/>
    </row>
    <row r="2601" spans="2:17">
      <c r="B2601" s="17"/>
      <c r="C2601" s="16" t="str">
        <f>IFERROR(VLOOKUP(DATA!#REF!,DATA!#REF!,1,FALSE),"")</f>
        <v/>
      </c>
      <c r="D2601" s="16" t="str">
        <f>IFERROR(VLOOKUP(C2601,DATA!#REF!,2,FALSE),"")</f>
        <v/>
      </c>
      <c r="I2601" s="17"/>
      <c r="J2601" s="17"/>
      <c r="P2601" s="17"/>
      <c r="Q2601" s="17"/>
    </row>
    <row r="2602" spans="2:17">
      <c r="B2602" s="17"/>
      <c r="C2602" s="16" t="str">
        <f>IFERROR(VLOOKUP(DATA!#REF!,DATA!#REF!,1,FALSE),"")</f>
        <v/>
      </c>
      <c r="D2602" s="16" t="str">
        <f>IFERROR(VLOOKUP(C2602,DATA!#REF!,2,FALSE),"")</f>
        <v/>
      </c>
      <c r="I2602" s="17"/>
      <c r="J2602" s="17"/>
      <c r="P2602" s="17"/>
      <c r="Q2602" s="17"/>
    </row>
    <row r="2603" spans="2:17">
      <c r="B2603" s="17"/>
      <c r="C2603" s="16" t="str">
        <f>IFERROR(VLOOKUP(DATA!#REF!,DATA!#REF!,1,FALSE),"")</f>
        <v/>
      </c>
      <c r="D2603" s="16" t="str">
        <f>IFERROR(VLOOKUP(C2603,DATA!#REF!,2,FALSE),"")</f>
        <v/>
      </c>
      <c r="I2603" s="17"/>
      <c r="J2603" s="17"/>
      <c r="P2603" s="17"/>
      <c r="Q2603" s="17"/>
    </row>
    <row r="2604" spans="2:17">
      <c r="B2604" s="17"/>
      <c r="C2604" s="16" t="str">
        <f>IFERROR(VLOOKUP(DATA!#REF!,DATA!#REF!,1,FALSE),"")</f>
        <v/>
      </c>
      <c r="D2604" s="16" t="str">
        <f>IFERROR(VLOOKUP(C2604,DATA!#REF!,2,FALSE),"")</f>
        <v/>
      </c>
      <c r="I2604" s="17"/>
      <c r="J2604" s="17"/>
      <c r="P2604" s="17"/>
      <c r="Q2604" s="17"/>
    </row>
    <row r="2605" spans="2:17">
      <c r="B2605" s="17"/>
      <c r="C2605" s="16" t="str">
        <f>IFERROR(VLOOKUP(DATA!#REF!,DATA!#REF!,1,FALSE),"")</f>
        <v/>
      </c>
      <c r="D2605" s="16" t="str">
        <f>IFERROR(VLOOKUP(C2605,DATA!#REF!,2,FALSE),"")</f>
        <v/>
      </c>
      <c r="I2605" s="17"/>
      <c r="J2605" s="17"/>
      <c r="P2605" s="17"/>
      <c r="Q2605" s="17"/>
    </row>
    <row r="2606" spans="2:17">
      <c r="B2606" s="17"/>
      <c r="C2606" s="16" t="str">
        <f>IFERROR(VLOOKUP(DATA!#REF!,DATA!#REF!,1,FALSE),"")</f>
        <v/>
      </c>
      <c r="D2606" s="16" t="str">
        <f>IFERROR(VLOOKUP(C2606,DATA!#REF!,2,FALSE),"")</f>
        <v/>
      </c>
      <c r="I2606" s="17"/>
      <c r="J2606" s="17"/>
      <c r="P2606" s="17"/>
      <c r="Q2606" s="17"/>
    </row>
    <row r="2607" spans="2:17">
      <c r="B2607" s="17"/>
      <c r="C2607" s="16" t="str">
        <f>IFERROR(VLOOKUP(DATA!#REF!,DATA!#REF!,1,FALSE),"")</f>
        <v/>
      </c>
      <c r="D2607" s="16" t="str">
        <f>IFERROR(VLOOKUP(C2607,DATA!#REF!,2,FALSE),"")</f>
        <v/>
      </c>
      <c r="I2607" s="17"/>
      <c r="J2607" s="17"/>
      <c r="P2607" s="17"/>
      <c r="Q2607" s="17"/>
    </row>
    <row r="2608" spans="2:17">
      <c r="B2608" s="17"/>
      <c r="C2608" s="16" t="str">
        <f>IFERROR(VLOOKUP(DATA!#REF!,DATA!#REF!,1,FALSE),"")</f>
        <v/>
      </c>
      <c r="D2608" s="16" t="str">
        <f>IFERROR(VLOOKUP(C2608,DATA!#REF!,2,FALSE),"")</f>
        <v/>
      </c>
      <c r="I2608" s="17"/>
      <c r="J2608" s="17"/>
      <c r="P2608" s="17"/>
      <c r="Q2608" s="17"/>
    </row>
    <row r="2609" spans="2:17">
      <c r="B2609" s="17"/>
      <c r="C2609" s="16" t="str">
        <f>IFERROR(VLOOKUP(DATA!#REF!,DATA!#REF!,1,FALSE),"")</f>
        <v/>
      </c>
      <c r="D2609" s="16" t="str">
        <f>IFERROR(VLOOKUP(C2609,DATA!#REF!,2,FALSE),"")</f>
        <v/>
      </c>
      <c r="I2609" s="17"/>
      <c r="J2609" s="17"/>
      <c r="P2609" s="17"/>
      <c r="Q2609" s="17"/>
    </row>
    <row r="2610" spans="2:17">
      <c r="B2610" s="17"/>
      <c r="C2610" s="16" t="str">
        <f>IFERROR(VLOOKUP(DATA!#REF!,DATA!#REF!,1,FALSE),"")</f>
        <v/>
      </c>
      <c r="D2610" s="16" t="str">
        <f>IFERROR(VLOOKUP(C2610,DATA!#REF!,2,FALSE),"")</f>
        <v/>
      </c>
      <c r="I2610" s="17"/>
      <c r="J2610" s="17"/>
      <c r="P2610" s="17"/>
      <c r="Q2610" s="17"/>
    </row>
    <row r="2611" spans="2:17">
      <c r="B2611" s="17"/>
      <c r="C2611" s="16" t="str">
        <f>IFERROR(VLOOKUP(DATA!#REF!,DATA!#REF!,1,FALSE),"")</f>
        <v/>
      </c>
      <c r="D2611" s="16" t="str">
        <f>IFERROR(VLOOKUP(C2611,DATA!#REF!,2,FALSE),"")</f>
        <v/>
      </c>
      <c r="I2611" s="17"/>
      <c r="J2611" s="17"/>
      <c r="P2611" s="17"/>
      <c r="Q2611" s="17"/>
    </row>
    <row r="2612" spans="2:17">
      <c r="B2612" s="17"/>
      <c r="C2612" s="16" t="str">
        <f>IFERROR(VLOOKUP(DATA!#REF!,DATA!#REF!,1,FALSE),"")</f>
        <v/>
      </c>
      <c r="D2612" s="16" t="str">
        <f>IFERROR(VLOOKUP(C2612,DATA!#REF!,2,FALSE),"")</f>
        <v/>
      </c>
      <c r="I2612" s="17"/>
      <c r="J2612" s="17"/>
      <c r="P2612" s="17"/>
      <c r="Q2612" s="17"/>
    </row>
    <row r="2613" spans="2:17">
      <c r="B2613" s="17"/>
      <c r="C2613" s="16" t="str">
        <f>IFERROR(VLOOKUP(DATA!#REF!,DATA!#REF!,1,FALSE),"")</f>
        <v/>
      </c>
      <c r="D2613" s="16" t="str">
        <f>IFERROR(VLOOKUP(C2613,DATA!#REF!,2,FALSE),"")</f>
        <v/>
      </c>
      <c r="I2613" s="17"/>
      <c r="J2613" s="17"/>
      <c r="P2613" s="17"/>
      <c r="Q2613" s="17"/>
    </row>
    <row r="2614" spans="2:17">
      <c r="B2614" s="17"/>
      <c r="C2614" s="16" t="str">
        <f>IFERROR(VLOOKUP(DATA!#REF!,DATA!#REF!,1,FALSE),"")</f>
        <v/>
      </c>
      <c r="D2614" s="16" t="str">
        <f>IFERROR(VLOOKUP(C2614,DATA!#REF!,2,FALSE),"")</f>
        <v/>
      </c>
      <c r="I2614" s="17"/>
      <c r="J2614" s="17"/>
      <c r="P2614" s="17"/>
      <c r="Q2614" s="17"/>
    </row>
    <row r="2615" spans="2:17">
      <c r="B2615" s="17"/>
      <c r="C2615" s="16" t="str">
        <f>IFERROR(VLOOKUP(DATA!#REF!,DATA!#REF!,1,FALSE),"")</f>
        <v/>
      </c>
      <c r="D2615" s="16" t="str">
        <f>IFERROR(VLOOKUP(C2615,DATA!#REF!,2,FALSE),"")</f>
        <v/>
      </c>
      <c r="I2615" s="17"/>
      <c r="J2615" s="17"/>
      <c r="P2615" s="17"/>
      <c r="Q2615" s="17"/>
    </row>
    <row r="2616" spans="2:17">
      <c r="B2616" s="17"/>
      <c r="C2616" s="16" t="str">
        <f>IFERROR(VLOOKUP(DATA!#REF!,DATA!#REF!,1,FALSE),"")</f>
        <v/>
      </c>
      <c r="D2616" s="16" t="str">
        <f>IFERROR(VLOOKUP(C2616,DATA!#REF!,2,FALSE),"")</f>
        <v/>
      </c>
      <c r="I2616" s="17"/>
      <c r="J2616" s="17"/>
      <c r="P2616" s="17"/>
      <c r="Q2616" s="17"/>
    </row>
    <row r="2617" spans="2:17">
      <c r="B2617" s="17"/>
      <c r="C2617" s="16" t="str">
        <f>IFERROR(VLOOKUP(DATA!#REF!,DATA!#REF!,1,FALSE),"")</f>
        <v/>
      </c>
      <c r="D2617" s="16" t="str">
        <f>IFERROR(VLOOKUP(C2617,DATA!#REF!,2,FALSE),"")</f>
        <v/>
      </c>
      <c r="I2617" s="17"/>
      <c r="J2617" s="17"/>
      <c r="P2617" s="17"/>
      <c r="Q2617" s="17"/>
    </row>
    <row r="2618" spans="2:17">
      <c r="B2618" s="17"/>
      <c r="C2618" s="16" t="str">
        <f>IFERROR(VLOOKUP(DATA!#REF!,DATA!#REF!,1,FALSE),"")</f>
        <v/>
      </c>
      <c r="D2618" s="16" t="str">
        <f>IFERROR(VLOOKUP(C2618,DATA!#REF!,2,FALSE),"")</f>
        <v/>
      </c>
      <c r="I2618" s="17"/>
      <c r="J2618" s="17"/>
      <c r="P2618" s="17"/>
      <c r="Q2618" s="17"/>
    </row>
    <row r="2619" spans="2:17">
      <c r="B2619" s="17"/>
      <c r="C2619" s="16" t="str">
        <f>IFERROR(VLOOKUP(DATA!#REF!,DATA!#REF!,1,FALSE),"")</f>
        <v/>
      </c>
      <c r="D2619" s="16" t="str">
        <f>IFERROR(VLOOKUP(C2619,DATA!#REF!,2,FALSE),"")</f>
        <v/>
      </c>
      <c r="I2619" s="17"/>
      <c r="J2619" s="17"/>
      <c r="P2619" s="17"/>
      <c r="Q2619" s="17"/>
    </row>
    <row r="2620" spans="2:17">
      <c r="B2620" s="17"/>
      <c r="C2620" s="16" t="str">
        <f>IFERROR(VLOOKUP(DATA!#REF!,DATA!#REF!,1,FALSE),"")</f>
        <v/>
      </c>
      <c r="D2620" s="16" t="str">
        <f>IFERROR(VLOOKUP(C2620,DATA!#REF!,2,FALSE),"")</f>
        <v/>
      </c>
      <c r="I2620" s="17"/>
      <c r="J2620" s="17"/>
      <c r="P2620" s="17"/>
      <c r="Q2620" s="17"/>
    </row>
    <row r="2621" spans="2:17">
      <c r="B2621" s="17"/>
      <c r="C2621" s="16" t="str">
        <f>IFERROR(VLOOKUP(DATA!#REF!,DATA!#REF!,1,FALSE),"")</f>
        <v/>
      </c>
      <c r="D2621" s="16" t="str">
        <f>IFERROR(VLOOKUP(C2621,DATA!#REF!,2,FALSE),"")</f>
        <v/>
      </c>
      <c r="I2621" s="17"/>
      <c r="J2621" s="17"/>
      <c r="P2621" s="17"/>
      <c r="Q2621" s="17"/>
    </row>
    <row r="2622" spans="2:17">
      <c r="B2622" s="17"/>
      <c r="C2622" s="16" t="str">
        <f>IFERROR(VLOOKUP(DATA!#REF!,DATA!#REF!,1,FALSE),"")</f>
        <v/>
      </c>
      <c r="D2622" s="16" t="str">
        <f>IFERROR(VLOOKUP(C2622,DATA!#REF!,2,FALSE),"")</f>
        <v/>
      </c>
      <c r="I2622" s="17"/>
      <c r="J2622" s="17"/>
      <c r="P2622" s="17"/>
      <c r="Q2622" s="17"/>
    </row>
    <row r="2623" spans="2:17">
      <c r="B2623" s="17"/>
      <c r="C2623" s="16" t="str">
        <f>IFERROR(VLOOKUP(DATA!#REF!,DATA!#REF!,1,FALSE),"")</f>
        <v/>
      </c>
      <c r="D2623" s="16" t="str">
        <f>IFERROR(VLOOKUP(C2623,DATA!#REF!,2,FALSE),"")</f>
        <v/>
      </c>
      <c r="I2623" s="17"/>
      <c r="J2623" s="17"/>
      <c r="P2623" s="17"/>
      <c r="Q2623" s="17"/>
    </row>
    <row r="2624" spans="2:17">
      <c r="B2624" s="17"/>
      <c r="C2624" s="16" t="str">
        <f>IFERROR(VLOOKUP(DATA!#REF!,DATA!#REF!,1,FALSE),"")</f>
        <v/>
      </c>
      <c r="D2624" s="16" t="str">
        <f>IFERROR(VLOOKUP(C2624,DATA!#REF!,2,FALSE),"")</f>
        <v/>
      </c>
      <c r="I2624" s="17"/>
      <c r="J2624" s="17"/>
      <c r="P2624" s="17"/>
      <c r="Q2624" s="17"/>
    </row>
    <row r="2625" spans="2:17">
      <c r="B2625" s="17"/>
      <c r="C2625" s="16" t="str">
        <f>IFERROR(VLOOKUP(DATA!#REF!,DATA!#REF!,1,FALSE),"")</f>
        <v/>
      </c>
      <c r="D2625" s="16" t="str">
        <f>IFERROR(VLOOKUP(C2625,DATA!#REF!,2,FALSE),"")</f>
        <v/>
      </c>
      <c r="I2625" s="17"/>
      <c r="J2625" s="17"/>
      <c r="P2625" s="17"/>
      <c r="Q2625" s="17"/>
    </row>
    <row r="2626" spans="2:17">
      <c r="B2626" s="17"/>
      <c r="C2626" s="16" t="str">
        <f>IFERROR(VLOOKUP(DATA!#REF!,DATA!#REF!,1,FALSE),"")</f>
        <v/>
      </c>
      <c r="D2626" s="16" t="str">
        <f>IFERROR(VLOOKUP(C2626,DATA!#REF!,2,FALSE),"")</f>
        <v/>
      </c>
      <c r="I2626" s="17"/>
      <c r="J2626" s="17"/>
      <c r="P2626" s="17"/>
      <c r="Q2626" s="17"/>
    </row>
    <row r="2627" spans="2:17">
      <c r="B2627" s="17"/>
      <c r="C2627" s="16" t="str">
        <f>IFERROR(VLOOKUP(DATA!#REF!,DATA!#REF!,1,FALSE),"")</f>
        <v/>
      </c>
      <c r="D2627" s="16" t="str">
        <f>IFERROR(VLOOKUP(C2627,DATA!#REF!,2,FALSE),"")</f>
        <v/>
      </c>
      <c r="I2627" s="17"/>
      <c r="J2627" s="17"/>
      <c r="P2627" s="17"/>
      <c r="Q2627" s="17"/>
    </row>
    <row r="2628" spans="2:17">
      <c r="B2628" s="17"/>
      <c r="C2628" s="16" t="str">
        <f>IFERROR(VLOOKUP(DATA!#REF!,DATA!#REF!,1,FALSE),"")</f>
        <v/>
      </c>
      <c r="D2628" s="16" t="str">
        <f>IFERROR(VLOOKUP(C2628,DATA!#REF!,2,FALSE),"")</f>
        <v/>
      </c>
      <c r="I2628" s="17"/>
      <c r="J2628" s="17"/>
      <c r="P2628" s="17"/>
      <c r="Q2628" s="17"/>
    </row>
    <row r="2629" spans="2:17">
      <c r="B2629" s="17"/>
      <c r="C2629" s="16" t="str">
        <f>IFERROR(VLOOKUP(DATA!#REF!,DATA!#REF!,1,FALSE),"")</f>
        <v/>
      </c>
      <c r="D2629" s="16" t="str">
        <f>IFERROR(VLOOKUP(C2629,DATA!#REF!,2,FALSE),"")</f>
        <v/>
      </c>
      <c r="I2629" s="17"/>
      <c r="J2629" s="17"/>
      <c r="P2629" s="17"/>
      <c r="Q2629" s="17"/>
    </row>
    <row r="2630" spans="2:17">
      <c r="B2630" s="17"/>
      <c r="C2630" s="16" t="str">
        <f>IFERROR(VLOOKUP(DATA!#REF!,DATA!#REF!,1,FALSE),"")</f>
        <v/>
      </c>
      <c r="D2630" s="16" t="str">
        <f>IFERROR(VLOOKUP(C2630,DATA!#REF!,2,FALSE),"")</f>
        <v/>
      </c>
      <c r="I2630" s="17"/>
      <c r="J2630" s="17"/>
      <c r="P2630" s="17"/>
      <c r="Q2630" s="17"/>
    </row>
    <row r="2631" spans="2:17">
      <c r="B2631" s="17"/>
      <c r="C2631" s="16" t="str">
        <f>IFERROR(VLOOKUP(DATA!#REF!,DATA!#REF!,1,FALSE),"")</f>
        <v/>
      </c>
      <c r="D2631" s="16" t="str">
        <f>IFERROR(VLOOKUP(C2631,DATA!#REF!,2,FALSE),"")</f>
        <v/>
      </c>
      <c r="I2631" s="17"/>
      <c r="J2631" s="17"/>
      <c r="P2631" s="17"/>
      <c r="Q2631" s="17"/>
    </row>
    <row r="2632" spans="2:17">
      <c r="B2632" s="17"/>
      <c r="C2632" s="16" t="str">
        <f>IFERROR(VLOOKUP(DATA!#REF!,DATA!#REF!,1,FALSE),"")</f>
        <v/>
      </c>
      <c r="D2632" s="16" t="str">
        <f>IFERROR(VLOOKUP(C2632,DATA!#REF!,2,FALSE),"")</f>
        <v/>
      </c>
      <c r="I2632" s="17"/>
      <c r="J2632" s="17"/>
      <c r="P2632" s="17"/>
      <c r="Q2632" s="17"/>
    </row>
    <row r="2633" spans="2:17">
      <c r="B2633" s="17"/>
      <c r="C2633" s="16" t="str">
        <f>IFERROR(VLOOKUP(DATA!#REF!,DATA!#REF!,1,FALSE),"")</f>
        <v/>
      </c>
      <c r="D2633" s="16" t="str">
        <f>IFERROR(VLOOKUP(C2633,DATA!#REF!,2,FALSE),"")</f>
        <v/>
      </c>
      <c r="I2633" s="17"/>
      <c r="J2633" s="17"/>
      <c r="P2633" s="17"/>
      <c r="Q2633" s="17"/>
    </row>
    <row r="2634" spans="2:17">
      <c r="B2634" s="17"/>
      <c r="C2634" s="16" t="str">
        <f>IFERROR(VLOOKUP(DATA!#REF!,DATA!#REF!,1,FALSE),"")</f>
        <v/>
      </c>
      <c r="D2634" s="16" t="str">
        <f>IFERROR(VLOOKUP(C2634,DATA!#REF!,2,FALSE),"")</f>
        <v/>
      </c>
      <c r="I2634" s="17"/>
      <c r="J2634" s="17"/>
      <c r="P2634" s="17"/>
      <c r="Q2634" s="17"/>
    </row>
    <row r="2635" spans="2:17">
      <c r="B2635" s="17"/>
      <c r="C2635" s="16" t="str">
        <f>IFERROR(VLOOKUP(DATA!#REF!,DATA!#REF!,1,FALSE),"")</f>
        <v/>
      </c>
      <c r="D2635" s="16" t="str">
        <f>IFERROR(VLOOKUP(C2635,DATA!#REF!,2,FALSE),"")</f>
        <v/>
      </c>
      <c r="I2635" s="17"/>
      <c r="J2635" s="17"/>
      <c r="P2635" s="17"/>
      <c r="Q2635" s="17"/>
    </row>
    <row r="2636" spans="2:17">
      <c r="B2636" s="17"/>
      <c r="C2636" s="16" t="str">
        <f>IFERROR(VLOOKUP(DATA!#REF!,DATA!#REF!,1,FALSE),"")</f>
        <v/>
      </c>
      <c r="D2636" s="16" t="str">
        <f>IFERROR(VLOOKUP(C2636,DATA!#REF!,2,FALSE),"")</f>
        <v/>
      </c>
      <c r="I2636" s="17"/>
      <c r="J2636" s="17"/>
      <c r="P2636" s="17"/>
      <c r="Q2636" s="17"/>
    </row>
    <row r="2637" spans="2:17">
      <c r="B2637" s="17"/>
      <c r="C2637" s="16" t="str">
        <f>IFERROR(VLOOKUP(DATA!#REF!,DATA!#REF!,1,FALSE),"")</f>
        <v/>
      </c>
      <c r="D2637" s="16" t="str">
        <f>IFERROR(VLOOKUP(C2637,DATA!#REF!,2,FALSE),"")</f>
        <v/>
      </c>
      <c r="I2637" s="17"/>
      <c r="J2637" s="17"/>
      <c r="P2637" s="17"/>
      <c r="Q2637" s="17"/>
    </row>
    <row r="2638" spans="2:17">
      <c r="B2638" s="17"/>
      <c r="C2638" s="16" t="str">
        <f>IFERROR(VLOOKUP(DATA!#REF!,DATA!#REF!,1,FALSE),"")</f>
        <v/>
      </c>
      <c r="D2638" s="16" t="str">
        <f>IFERROR(VLOOKUP(C2638,DATA!#REF!,2,FALSE),"")</f>
        <v/>
      </c>
      <c r="I2638" s="17"/>
      <c r="J2638" s="17"/>
      <c r="P2638" s="17"/>
      <c r="Q2638" s="17"/>
    </row>
    <row r="2639" spans="2:17">
      <c r="B2639" s="17"/>
      <c r="C2639" s="16" t="str">
        <f>IFERROR(VLOOKUP(DATA!#REF!,DATA!#REF!,1,FALSE),"")</f>
        <v/>
      </c>
      <c r="D2639" s="16" t="str">
        <f>IFERROR(VLOOKUP(C2639,DATA!#REF!,2,FALSE),"")</f>
        <v/>
      </c>
      <c r="I2639" s="17"/>
      <c r="J2639" s="17"/>
      <c r="P2639" s="17"/>
      <c r="Q2639" s="17"/>
    </row>
    <row r="2640" spans="2:17">
      <c r="B2640" s="17"/>
      <c r="C2640" s="16" t="str">
        <f>IFERROR(VLOOKUP(DATA!#REF!,DATA!#REF!,1,FALSE),"")</f>
        <v/>
      </c>
      <c r="D2640" s="16" t="str">
        <f>IFERROR(VLOOKUP(C2640,DATA!#REF!,2,FALSE),"")</f>
        <v/>
      </c>
      <c r="I2640" s="17"/>
      <c r="J2640" s="17"/>
      <c r="P2640" s="17"/>
      <c r="Q2640" s="17"/>
    </row>
    <row r="2641" spans="2:17">
      <c r="B2641" s="17"/>
      <c r="C2641" s="16" t="str">
        <f>IFERROR(VLOOKUP(DATA!#REF!,DATA!#REF!,1,FALSE),"")</f>
        <v/>
      </c>
      <c r="D2641" s="16" t="str">
        <f>IFERROR(VLOOKUP(C2641,DATA!#REF!,2,FALSE),"")</f>
        <v/>
      </c>
      <c r="I2641" s="17"/>
      <c r="J2641" s="17"/>
      <c r="P2641" s="17"/>
      <c r="Q2641" s="17"/>
    </row>
    <row r="2642" spans="2:17">
      <c r="B2642" s="17"/>
      <c r="C2642" s="16" t="str">
        <f>IFERROR(VLOOKUP(DATA!#REF!,DATA!#REF!,1,FALSE),"")</f>
        <v/>
      </c>
      <c r="D2642" s="16" t="str">
        <f>IFERROR(VLOOKUP(C2642,DATA!#REF!,2,FALSE),"")</f>
        <v/>
      </c>
      <c r="I2642" s="17"/>
      <c r="J2642" s="17"/>
      <c r="P2642" s="17"/>
      <c r="Q2642" s="17"/>
    </row>
    <row r="2643" spans="2:17">
      <c r="B2643" s="17"/>
      <c r="C2643" s="16" t="str">
        <f>IFERROR(VLOOKUP(DATA!#REF!,DATA!#REF!,1,FALSE),"")</f>
        <v/>
      </c>
      <c r="D2643" s="16" t="str">
        <f>IFERROR(VLOOKUP(C2643,DATA!#REF!,2,FALSE),"")</f>
        <v/>
      </c>
      <c r="I2643" s="17"/>
      <c r="J2643" s="17"/>
      <c r="P2643" s="17"/>
      <c r="Q2643" s="17"/>
    </row>
    <row r="2644" spans="2:17">
      <c r="B2644" s="17"/>
      <c r="C2644" s="16" t="str">
        <f>IFERROR(VLOOKUP(DATA!#REF!,DATA!#REF!,1,FALSE),"")</f>
        <v/>
      </c>
      <c r="D2644" s="16" t="str">
        <f>IFERROR(VLOOKUP(C2644,DATA!#REF!,2,FALSE),"")</f>
        <v/>
      </c>
      <c r="I2644" s="17"/>
      <c r="J2644" s="17"/>
      <c r="P2644" s="17"/>
      <c r="Q2644" s="17"/>
    </row>
    <row r="2645" spans="2:17">
      <c r="B2645" s="17"/>
      <c r="C2645" s="16" t="str">
        <f>IFERROR(VLOOKUP(DATA!#REF!,DATA!#REF!,1,FALSE),"")</f>
        <v/>
      </c>
      <c r="D2645" s="16" t="str">
        <f>IFERROR(VLOOKUP(C2645,DATA!#REF!,2,FALSE),"")</f>
        <v/>
      </c>
      <c r="I2645" s="17"/>
      <c r="J2645" s="17"/>
      <c r="P2645" s="17"/>
      <c r="Q2645" s="17"/>
    </row>
    <row r="2646" spans="2:17">
      <c r="B2646" s="17"/>
      <c r="C2646" s="16" t="str">
        <f>IFERROR(VLOOKUP(DATA!#REF!,DATA!#REF!,1,FALSE),"")</f>
        <v/>
      </c>
      <c r="D2646" s="16" t="str">
        <f>IFERROR(VLOOKUP(C2646,DATA!#REF!,2,FALSE),"")</f>
        <v/>
      </c>
      <c r="I2646" s="17"/>
      <c r="J2646" s="17"/>
      <c r="P2646" s="17"/>
      <c r="Q2646" s="17"/>
    </row>
    <row r="2647" spans="2:17">
      <c r="B2647" s="17"/>
      <c r="C2647" s="16" t="str">
        <f>IFERROR(VLOOKUP(DATA!#REF!,DATA!#REF!,1,FALSE),"")</f>
        <v/>
      </c>
      <c r="D2647" s="16" t="str">
        <f>IFERROR(VLOOKUP(C2647,DATA!#REF!,2,FALSE),"")</f>
        <v/>
      </c>
      <c r="I2647" s="17"/>
      <c r="J2647" s="17"/>
      <c r="P2647" s="17"/>
      <c r="Q2647" s="17"/>
    </row>
    <row r="2648" spans="2:17">
      <c r="B2648" s="17"/>
      <c r="C2648" s="16" t="str">
        <f>IFERROR(VLOOKUP(DATA!#REF!,DATA!#REF!,1,FALSE),"")</f>
        <v/>
      </c>
      <c r="D2648" s="16" t="str">
        <f>IFERROR(VLOOKUP(C2648,DATA!#REF!,2,FALSE),"")</f>
        <v/>
      </c>
      <c r="I2648" s="17"/>
      <c r="J2648" s="17"/>
      <c r="P2648" s="17"/>
      <c r="Q2648" s="17"/>
    </row>
    <row r="2649" spans="2:17">
      <c r="B2649" s="17"/>
      <c r="C2649" s="16" t="str">
        <f>IFERROR(VLOOKUP(DATA!#REF!,DATA!#REF!,1,FALSE),"")</f>
        <v/>
      </c>
      <c r="D2649" s="16" t="str">
        <f>IFERROR(VLOOKUP(C2649,DATA!#REF!,2,FALSE),"")</f>
        <v/>
      </c>
      <c r="I2649" s="17"/>
      <c r="J2649" s="17"/>
      <c r="P2649" s="17"/>
      <c r="Q2649" s="17"/>
    </row>
    <row r="2650" spans="2:17">
      <c r="B2650" s="17"/>
      <c r="C2650" s="16" t="str">
        <f>IFERROR(VLOOKUP(DATA!#REF!,DATA!#REF!,1,FALSE),"")</f>
        <v/>
      </c>
      <c r="D2650" s="16" t="str">
        <f>IFERROR(VLOOKUP(C2650,DATA!#REF!,2,FALSE),"")</f>
        <v/>
      </c>
      <c r="I2650" s="17"/>
      <c r="J2650" s="17"/>
      <c r="P2650" s="17"/>
      <c r="Q2650" s="17"/>
    </row>
    <row r="2651" spans="2:17">
      <c r="B2651" s="17"/>
      <c r="C2651" s="16" t="str">
        <f>IFERROR(VLOOKUP(DATA!#REF!,DATA!#REF!,1,FALSE),"")</f>
        <v/>
      </c>
      <c r="D2651" s="16" t="str">
        <f>IFERROR(VLOOKUP(C2651,DATA!#REF!,2,FALSE),"")</f>
        <v/>
      </c>
      <c r="I2651" s="17"/>
      <c r="J2651" s="17"/>
      <c r="P2651" s="17"/>
      <c r="Q2651" s="17"/>
    </row>
    <row r="2652" spans="2:17">
      <c r="B2652" s="17"/>
      <c r="C2652" s="16" t="str">
        <f>IFERROR(VLOOKUP(DATA!#REF!,DATA!#REF!,1,FALSE),"")</f>
        <v/>
      </c>
      <c r="D2652" s="16" t="str">
        <f>IFERROR(VLOOKUP(C2652,DATA!#REF!,2,FALSE),"")</f>
        <v/>
      </c>
      <c r="I2652" s="17"/>
      <c r="J2652" s="17"/>
      <c r="P2652" s="17"/>
      <c r="Q2652" s="17"/>
    </row>
    <row r="2653" spans="2:17">
      <c r="B2653" s="17"/>
      <c r="C2653" s="16" t="str">
        <f>IFERROR(VLOOKUP(DATA!#REF!,DATA!#REF!,1,FALSE),"")</f>
        <v/>
      </c>
      <c r="D2653" s="16" t="str">
        <f>IFERROR(VLOOKUP(C2653,DATA!#REF!,2,FALSE),"")</f>
        <v/>
      </c>
      <c r="I2653" s="17"/>
      <c r="J2653" s="17"/>
      <c r="P2653" s="17"/>
      <c r="Q2653" s="17"/>
    </row>
    <row r="2654" spans="2:17">
      <c r="B2654" s="17"/>
      <c r="C2654" s="16" t="str">
        <f>IFERROR(VLOOKUP(DATA!#REF!,DATA!#REF!,1,FALSE),"")</f>
        <v/>
      </c>
      <c r="D2654" s="16" t="str">
        <f>IFERROR(VLOOKUP(C2654,DATA!#REF!,2,FALSE),"")</f>
        <v/>
      </c>
      <c r="I2654" s="17"/>
      <c r="J2654" s="17"/>
      <c r="P2654" s="17"/>
      <c r="Q2654" s="17"/>
    </row>
    <row r="2655" spans="2:17">
      <c r="B2655" s="17"/>
      <c r="C2655" s="16" t="str">
        <f>IFERROR(VLOOKUP(DATA!#REF!,DATA!#REF!,1,FALSE),"")</f>
        <v/>
      </c>
      <c r="D2655" s="16" t="str">
        <f>IFERROR(VLOOKUP(C2655,DATA!#REF!,2,FALSE),"")</f>
        <v/>
      </c>
      <c r="I2655" s="17"/>
      <c r="J2655" s="17"/>
      <c r="P2655" s="17"/>
      <c r="Q2655" s="17"/>
    </row>
    <row r="2656" spans="2:17">
      <c r="B2656" s="17"/>
      <c r="C2656" s="16" t="str">
        <f>IFERROR(VLOOKUP(DATA!#REF!,DATA!#REF!,1,FALSE),"")</f>
        <v/>
      </c>
      <c r="D2656" s="16" t="str">
        <f>IFERROR(VLOOKUP(C2656,DATA!#REF!,2,FALSE),"")</f>
        <v/>
      </c>
      <c r="I2656" s="17"/>
      <c r="J2656" s="17"/>
      <c r="P2656" s="17"/>
      <c r="Q2656" s="17"/>
    </row>
    <row r="2657" spans="2:17">
      <c r="B2657" s="17"/>
      <c r="C2657" s="16" t="str">
        <f>IFERROR(VLOOKUP(DATA!#REF!,DATA!#REF!,1,FALSE),"")</f>
        <v/>
      </c>
      <c r="D2657" s="16" t="str">
        <f>IFERROR(VLOOKUP(C2657,DATA!#REF!,2,FALSE),"")</f>
        <v/>
      </c>
      <c r="I2657" s="17"/>
      <c r="J2657" s="17"/>
      <c r="P2657" s="17"/>
      <c r="Q2657" s="17"/>
    </row>
    <row r="2658" spans="2:17">
      <c r="B2658" s="17"/>
      <c r="C2658" s="16" t="str">
        <f>IFERROR(VLOOKUP(DATA!#REF!,DATA!#REF!,1,FALSE),"")</f>
        <v/>
      </c>
      <c r="D2658" s="16" t="str">
        <f>IFERROR(VLOOKUP(C2658,DATA!#REF!,2,FALSE),"")</f>
        <v/>
      </c>
      <c r="I2658" s="17"/>
      <c r="J2658" s="17"/>
      <c r="P2658" s="17"/>
      <c r="Q2658" s="17"/>
    </row>
    <row r="2659" spans="2:17">
      <c r="B2659" s="17"/>
      <c r="C2659" s="16" t="str">
        <f>IFERROR(VLOOKUP(DATA!#REF!,DATA!#REF!,1,FALSE),"")</f>
        <v/>
      </c>
      <c r="D2659" s="16" t="str">
        <f>IFERROR(VLOOKUP(C2659,DATA!#REF!,2,FALSE),"")</f>
        <v/>
      </c>
      <c r="I2659" s="17"/>
      <c r="J2659" s="17"/>
      <c r="P2659" s="17"/>
      <c r="Q2659" s="17"/>
    </row>
    <row r="2660" spans="2:17">
      <c r="B2660" s="17"/>
      <c r="C2660" s="16" t="str">
        <f>IFERROR(VLOOKUP(DATA!#REF!,DATA!#REF!,1,FALSE),"")</f>
        <v/>
      </c>
      <c r="D2660" s="16" t="str">
        <f>IFERROR(VLOOKUP(C2660,DATA!#REF!,2,FALSE),"")</f>
        <v/>
      </c>
      <c r="I2660" s="17"/>
      <c r="J2660" s="17"/>
      <c r="P2660" s="17"/>
      <c r="Q2660" s="17"/>
    </row>
    <row r="2661" spans="2:17">
      <c r="B2661" s="17"/>
      <c r="C2661" s="16" t="str">
        <f>IFERROR(VLOOKUP(DATA!#REF!,DATA!#REF!,1,FALSE),"")</f>
        <v/>
      </c>
      <c r="D2661" s="16" t="str">
        <f>IFERROR(VLOOKUP(C2661,DATA!#REF!,2,FALSE),"")</f>
        <v/>
      </c>
      <c r="I2661" s="17"/>
      <c r="J2661" s="17"/>
      <c r="P2661" s="17"/>
      <c r="Q2661" s="17"/>
    </row>
    <row r="2662" spans="2:17">
      <c r="B2662" s="17"/>
      <c r="C2662" s="16" t="str">
        <f>IFERROR(VLOOKUP(DATA!#REF!,DATA!#REF!,1,FALSE),"")</f>
        <v/>
      </c>
      <c r="D2662" s="16" t="str">
        <f>IFERROR(VLOOKUP(C2662,DATA!#REF!,2,FALSE),"")</f>
        <v/>
      </c>
      <c r="I2662" s="17"/>
      <c r="J2662" s="17"/>
      <c r="P2662" s="17"/>
      <c r="Q2662" s="17"/>
    </row>
    <row r="2663" spans="2:17">
      <c r="B2663" s="17"/>
      <c r="C2663" s="16" t="str">
        <f>IFERROR(VLOOKUP(DATA!#REF!,DATA!#REF!,1,FALSE),"")</f>
        <v/>
      </c>
      <c r="D2663" s="16" t="str">
        <f>IFERROR(VLOOKUP(C2663,DATA!#REF!,2,FALSE),"")</f>
        <v/>
      </c>
      <c r="I2663" s="17"/>
      <c r="J2663" s="17"/>
      <c r="P2663" s="17"/>
      <c r="Q2663" s="17"/>
    </row>
    <row r="2664" spans="2:17">
      <c r="B2664" s="17"/>
      <c r="C2664" s="16" t="str">
        <f>IFERROR(VLOOKUP(DATA!#REF!,DATA!#REF!,1,FALSE),"")</f>
        <v/>
      </c>
      <c r="D2664" s="16" t="str">
        <f>IFERROR(VLOOKUP(C2664,DATA!#REF!,2,FALSE),"")</f>
        <v/>
      </c>
      <c r="I2664" s="17"/>
      <c r="J2664" s="17"/>
      <c r="P2664" s="17"/>
      <c r="Q2664" s="17"/>
    </row>
    <row r="2665" spans="2:17">
      <c r="B2665" s="17"/>
      <c r="C2665" s="16" t="str">
        <f>IFERROR(VLOOKUP(DATA!#REF!,DATA!#REF!,1,FALSE),"")</f>
        <v/>
      </c>
      <c r="D2665" s="16" t="str">
        <f>IFERROR(VLOOKUP(C2665,DATA!#REF!,2,FALSE),"")</f>
        <v/>
      </c>
      <c r="I2665" s="17"/>
      <c r="J2665" s="17"/>
      <c r="P2665" s="17"/>
      <c r="Q2665" s="17"/>
    </row>
    <row r="2666" spans="2:17">
      <c r="B2666" s="17"/>
      <c r="C2666" s="16" t="str">
        <f>IFERROR(VLOOKUP(DATA!#REF!,DATA!#REF!,1,FALSE),"")</f>
        <v/>
      </c>
      <c r="D2666" s="16" t="str">
        <f>IFERROR(VLOOKUP(C2666,DATA!#REF!,2,FALSE),"")</f>
        <v/>
      </c>
      <c r="I2666" s="17"/>
      <c r="J2666" s="17"/>
      <c r="P2666" s="17"/>
      <c r="Q2666" s="17"/>
    </row>
    <row r="2667" spans="2:17">
      <c r="B2667" s="17"/>
      <c r="C2667" s="16" t="str">
        <f>IFERROR(VLOOKUP(DATA!#REF!,DATA!#REF!,1,FALSE),"")</f>
        <v/>
      </c>
      <c r="D2667" s="16" t="str">
        <f>IFERROR(VLOOKUP(C2667,DATA!#REF!,2,FALSE),"")</f>
        <v/>
      </c>
      <c r="I2667" s="17"/>
      <c r="J2667" s="17"/>
      <c r="P2667" s="17"/>
      <c r="Q2667" s="17"/>
    </row>
    <row r="2668" spans="2:17">
      <c r="B2668" s="17"/>
      <c r="C2668" s="16" t="str">
        <f>IFERROR(VLOOKUP(DATA!#REF!,DATA!#REF!,1,FALSE),"")</f>
        <v/>
      </c>
      <c r="D2668" s="16" t="str">
        <f>IFERROR(VLOOKUP(C2668,DATA!#REF!,2,FALSE),"")</f>
        <v/>
      </c>
      <c r="I2668" s="17"/>
      <c r="J2668" s="17"/>
      <c r="P2668" s="17"/>
      <c r="Q2668" s="17"/>
    </row>
    <row r="2669" spans="2:17">
      <c r="B2669" s="17"/>
      <c r="C2669" s="16" t="str">
        <f>IFERROR(VLOOKUP(DATA!#REF!,DATA!#REF!,1,FALSE),"")</f>
        <v/>
      </c>
      <c r="D2669" s="16" t="str">
        <f>IFERROR(VLOOKUP(C2669,DATA!#REF!,2,FALSE),"")</f>
        <v/>
      </c>
      <c r="I2669" s="17"/>
      <c r="J2669" s="17"/>
      <c r="P2669" s="17"/>
      <c r="Q2669" s="17"/>
    </row>
    <row r="2670" spans="2:17">
      <c r="B2670" s="17"/>
      <c r="C2670" s="16" t="str">
        <f>IFERROR(VLOOKUP(DATA!#REF!,DATA!#REF!,1,FALSE),"")</f>
        <v/>
      </c>
      <c r="D2670" s="16" t="str">
        <f>IFERROR(VLOOKUP(C2670,DATA!#REF!,2,FALSE),"")</f>
        <v/>
      </c>
      <c r="I2670" s="17"/>
      <c r="J2670" s="17"/>
      <c r="P2670" s="17"/>
      <c r="Q2670" s="17"/>
    </row>
    <row r="2671" spans="2:17">
      <c r="B2671" s="17"/>
      <c r="C2671" s="16" t="str">
        <f>IFERROR(VLOOKUP(DATA!#REF!,DATA!#REF!,1,FALSE),"")</f>
        <v/>
      </c>
      <c r="D2671" s="16" t="str">
        <f>IFERROR(VLOOKUP(C2671,DATA!#REF!,2,FALSE),"")</f>
        <v/>
      </c>
      <c r="I2671" s="17"/>
      <c r="J2671" s="17"/>
      <c r="P2671" s="17"/>
      <c r="Q2671" s="17"/>
    </row>
    <row r="2672" spans="2:17">
      <c r="B2672" s="17"/>
      <c r="C2672" s="16" t="str">
        <f>IFERROR(VLOOKUP(DATA!#REF!,DATA!#REF!,1,FALSE),"")</f>
        <v/>
      </c>
      <c r="D2672" s="16" t="str">
        <f>IFERROR(VLOOKUP(C2672,DATA!#REF!,2,FALSE),"")</f>
        <v/>
      </c>
      <c r="I2672" s="17"/>
      <c r="J2672" s="17"/>
      <c r="P2672" s="17"/>
      <c r="Q2672" s="17"/>
    </row>
    <row r="2673" spans="2:17">
      <c r="B2673" s="17"/>
      <c r="C2673" s="16" t="str">
        <f>IFERROR(VLOOKUP(DATA!#REF!,DATA!#REF!,1,FALSE),"")</f>
        <v/>
      </c>
      <c r="D2673" s="16" t="str">
        <f>IFERROR(VLOOKUP(C2673,DATA!#REF!,2,FALSE),"")</f>
        <v/>
      </c>
      <c r="I2673" s="17"/>
      <c r="J2673" s="17"/>
      <c r="P2673" s="17"/>
      <c r="Q2673" s="17"/>
    </row>
    <row r="2674" spans="2:17">
      <c r="B2674" s="17"/>
      <c r="C2674" s="16" t="str">
        <f>IFERROR(VLOOKUP(DATA!#REF!,DATA!#REF!,1,FALSE),"")</f>
        <v/>
      </c>
      <c r="D2674" s="16" t="str">
        <f>IFERROR(VLOOKUP(C2674,DATA!#REF!,2,FALSE),"")</f>
        <v/>
      </c>
      <c r="I2674" s="17"/>
      <c r="J2674" s="17"/>
      <c r="P2674" s="17"/>
      <c r="Q2674" s="17"/>
    </row>
    <row r="2675" spans="2:17">
      <c r="B2675" s="17"/>
      <c r="C2675" s="16" t="str">
        <f>IFERROR(VLOOKUP(DATA!#REF!,DATA!#REF!,1,FALSE),"")</f>
        <v/>
      </c>
      <c r="D2675" s="16" t="str">
        <f>IFERROR(VLOOKUP(C2675,DATA!#REF!,2,FALSE),"")</f>
        <v/>
      </c>
      <c r="I2675" s="17"/>
      <c r="J2675" s="17"/>
      <c r="P2675" s="17"/>
      <c r="Q2675" s="17"/>
    </row>
    <row r="2676" spans="2:17">
      <c r="B2676" s="17"/>
      <c r="C2676" s="16" t="str">
        <f>IFERROR(VLOOKUP(DATA!#REF!,DATA!#REF!,1,FALSE),"")</f>
        <v/>
      </c>
      <c r="D2676" s="16" t="str">
        <f>IFERROR(VLOOKUP(C2676,DATA!#REF!,2,FALSE),"")</f>
        <v/>
      </c>
      <c r="I2676" s="17"/>
      <c r="J2676" s="17"/>
      <c r="P2676" s="17"/>
      <c r="Q2676" s="17"/>
    </row>
    <row r="2677" spans="2:17">
      <c r="B2677" s="17"/>
      <c r="C2677" s="16" t="str">
        <f>IFERROR(VLOOKUP(DATA!#REF!,DATA!#REF!,1,FALSE),"")</f>
        <v/>
      </c>
      <c r="D2677" s="16" t="str">
        <f>IFERROR(VLOOKUP(C2677,DATA!#REF!,2,FALSE),"")</f>
        <v/>
      </c>
      <c r="I2677" s="17"/>
      <c r="J2677" s="17"/>
      <c r="P2677" s="17"/>
      <c r="Q2677" s="17"/>
    </row>
    <row r="2678" spans="2:17">
      <c r="B2678" s="17"/>
      <c r="C2678" s="16" t="str">
        <f>IFERROR(VLOOKUP(DATA!#REF!,DATA!#REF!,1,FALSE),"")</f>
        <v/>
      </c>
      <c r="D2678" s="16" t="str">
        <f>IFERROR(VLOOKUP(C2678,DATA!#REF!,2,FALSE),"")</f>
        <v/>
      </c>
      <c r="I2678" s="17"/>
      <c r="J2678" s="17"/>
      <c r="P2678" s="17"/>
      <c r="Q2678" s="17"/>
    </row>
    <row r="2679" spans="2:17">
      <c r="B2679" s="17"/>
      <c r="C2679" s="16" t="str">
        <f>IFERROR(VLOOKUP(DATA!#REF!,DATA!#REF!,1,FALSE),"")</f>
        <v/>
      </c>
      <c r="D2679" s="16" t="str">
        <f>IFERROR(VLOOKUP(C2679,DATA!#REF!,2,FALSE),"")</f>
        <v/>
      </c>
      <c r="I2679" s="17"/>
      <c r="J2679" s="17"/>
      <c r="P2679" s="17"/>
      <c r="Q2679" s="17"/>
    </row>
    <row r="2680" spans="2:17">
      <c r="B2680" s="17"/>
      <c r="C2680" s="16" t="str">
        <f>IFERROR(VLOOKUP(DATA!#REF!,DATA!#REF!,1,FALSE),"")</f>
        <v/>
      </c>
      <c r="D2680" s="16" t="str">
        <f>IFERROR(VLOOKUP(C2680,DATA!#REF!,2,FALSE),"")</f>
        <v/>
      </c>
      <c r="I2680" s="17"/>
      <c r="J2680" s="17"/>
      <c r="P2680" s="17"/>
      <c r="Q2680" s="17"/>
    </row>
    <row r="2681" spans="2:17">
      <c r="B2681" s="17"/>
      <c r="C2681" s="16" t="str">
        <f>IFERROR(VLOOKUP(DATA!#REF!,DATA!#REF!,1,FALSE),"")</f>
        <v/>
      </c>
      <c r="D2681" s="16" t="str">
        <f>IFERROR(VLOOKUP(C2681,DATA!#REF!,2,FALSE),"")</f>
        <v/>
      </c>
      <c r="I2681" s="17"/>
      <c r="J2681" s="17"/>
      <c r="P2681" s="17"/>
      <c r="Q2681" s="17"/>
    </row>
    <row r="2682" spans="2:17">
      <c r="B2682" s="17"/>
      <c r="C2682" s="16" t="str">
        <f>IFERROR(VLOOKUP(DATA!#REF!,DATA!#REF!,1,FALSE),"")</f>
        <v/>
      </c>
      <c r="D2682" s="16" t="str">
        <f>IFERROR(VLOOKUP(C2682,DATA!#REF!,2,FALSE),"")</f>
        <v/>
      </c>
      <c r="I2682" s="17"/>
      <c r="J2682" s="17"/>
      <c r="P2682" s="17"/>
      <c r="Q2682" s="17"/>
    </row>
    <row r="2683" spans="2:17">
      <c r="B2683" s="17"/>
      <c r="C2683" s="16" t="str">
        <f>IFERROR(VLOOKUP(DATA!#REF!,DATA!#REF!,1,FALSE),"")</f>
        <v/>
      </c>
      <c r="D2683" s="16" t="str">
        <f>IFERROR(VLOOKUP(C2683,DATA!#REF!,2,FALSE),"")</f>
        <v/>
      </c>
      <c r="I2683" s="17"/>
      <c r="J2683" s="17"/>
      <c r="P2683" s="17"/>
      <c r="Q2683" s="17"/>
    </row>
    <row r="2684" spans="2:17">
      <c r="B2684" s="17"/>
      <c r="C2684" s="16" t="str">
        <f>IFERROR(VLOOKUP(DATA!#REF!,DATA!#REF!,1,FALSE),"")</f>
        <v/>
      </c>
      <c r="D2684" s="16" t="str">
        <f>IFERROR(VLOOKUP(C2684,DATA!#REF!,2,FALSE),"")</f>
        <v/>
      </c>
      <c r="I2684" s="17"/>
      <c r="J2684" s="17"/>
      <c r="P2684" s="17"/>
      <c r="Q2684" s="17"/>
    </row>
    <row r="2685" spans="2:17">
      <c r="B2685" s="17"/>
      <c r="C2685" s="16" t="str">
        <f>IFERROR(VLOOKUP(DATA!#REF!,DATA!#REF!,1,FALSE),"")</f>
        <v/>
      </c>
      <c r="D2685" s="16" t="str">
        <f>IFERROR(VLOOKUP(C2685,DATA!#REF!,2,FALSE),"")</f>
        <v/>
      </c>
      <c r="I2685" s="17"/>
      <c r="J2685" s="17"/>
      <c r="P2685" s="17"/>
      <c r="Q2685" s="17"/>
    </row>
    <row r="2686" spans="2:17">
      <c r="B2686" s="17"/>
      <c r="C2686" s="16" t="str">
        <f>IFERROR(VLOOKUP(DATA!#REF!,DATA!#REF!,1,FALSE),"")</f>
        <v/>
      </c>
      <c r="D2686" s="16" t="str">
        <f>IFERROR(VLOOKUP(C2686,DATA!#REF!,2,FALSE),"")</f>
        <v/>
      </c>
      <c r="I2686" s="17"/>
      <c r="J2686" s="17"/>
      <c r="P2686" s="17"/>
      <c r="Q2686" s="17"/>
    </row>
    <row r="2687" spans="2:17">
      <c r="B2687" s="17"/>
      <c r="C2687" s="16" t="str">
        <f>IFERROR(VLOOKUP(DATA!#REF!,DATA!#REF!,1,FALSE),"")</f>
        <v/>
      </c>
      <c r="D2687" s="16" t="str">
        <f>IFERROR(VLOOKUP(C2687,DATA!#REF!,2,FALSE),"")</f>
        <v/>
      </c>
      <c r="I2687" s="17"/>
      <c r="J2687" s="17"/>
      <c r="P2687" s="17"/>
      <c r="Q2687" s="17"/>
    </row>
    <row r="2688" spans="2:17">
      <c r="B2688" s="17"/>
      <c r="C2688" s="16" t="str">
        <f>IFERROR(VLOOKUP(DATA!#REF!,DATA!#REF!,1,FALSE),"")</f>
        <v/>
      </c>
      <c r="D2688" s="16" t="str">
        <f>IFERROR(VLOOKUP(C2688,DATA!#REF!,2,FALSE),"")</f>
        <v/>
      </c>
      <c r="I2688" s="17"/>
      <c r="J2688" s="17"/>
      <c r="P2688" s="17"/>
      <c r="Q2688" s="17"/>
    </row>
    <row r="2689" spans="2:17">
      <c r="B2689" s="17"/>
      <c r="C2689" s="16" t="str">
        <f>IFERROR(VLOOKUP(DATA!#REF!,DATA!#REF!,1,FALSE),"")</f>
        <v/>
      </c>
      <c r="D2689" s="16" t="str">
        <f>IFERROR(VLOOKUP(C2689,DATA!#REF!,2,FALSE),"")</f>
        <v/>
      </c>
      <c r="I2689" s="17"/>
      <c r="J2689" s="17"/>
      <c r="P2689" s="17"/>
      <c r="Q2689" s="17"/>
    </row>
    <row r="2690" spans="2:17">
      <c r="B2690" s="17"/>
      <c r="C2690" s="16" t="str">
        <f>IFERROR(VLOOKUP(DATA!#REF!,DATA!#REF!,1,FALSE),"")</f>
        <v/>
      </c>
      <c r="D2690" s="16" t="str">
        <f>IFERROR(VLOOKUP(C2690,DATA!#REF!,2,FALSE),"")</f>
        <v/>
      </c>
      <c r="I2690" s="17"/>
      <c r="J2690" s="17"/>
      <c r="P2690" s="17"/>
      <c r="Q2690" s="17"/>
    </row>
    <row r="2691" spans="2:17">
      <c r="B2691" s="17"/>
      <c r="C2691" s="16" t="str">
        <f>IFERROR(VLOOKUP(DATA!#REF!,DATA!#REF!,1,FALSE),"")</f>
        <v/>
      </c>
      <c r="D2691" s="16" t="str">
        <f>IFERROR(VLOOKUP(C2691,DATA!#REF!,2,FALSE),"")</f>
        <v/>
      </c>
      <c r="I2691" s="17"/>
      <c r="J2691" s="17"/>
      <c r="P2691" s="17"/>
      <c r="Q2691" s="17"/>
    </row>
    <row r="2692" spans="2:17">
      <c r="B2692" s="17"/>
      <c r="C2692" s="16" t="str">
        <f>IFERROR(VLOOKUP(DATA!#REF!,DATA!#REF!,1,FALSE),"")</f>
        <v/>
      </c>
      <c r="D2692" s="16" t="str">
        <f>IFERROR(VLOOKUP(C2692,DATA!#REF!,2,FALSE),"")</f>
        <v/>
      </c>
      <c r="I2692" s="17"/>
      <c r="J2692" s="17"/>
      <c r="P2692" s="17"/>
      <c r="Q2692" s="17"/>
    </row>
    <row r="2693" spans="2:17">
      <c r="B2693" s="17"/>
      <c r="C2693" s="16" t="str">
        <f>IFERROR(VLOOKUP(DATA!#REF!,DATA!#REF!,1,FALSE),"")</f>
        <v/>
      </c>
      <c r="D2693" s="16" t="str">
        <f>IFERROR(VLOOKUP(C2693,DATA!#REF!,2,FALSE),"")</f>
        <v/>
      </c>
      <c r="I2693" s="17"/>
      <c r="J2693" s="17"/>
      <c r="P2693" s="17"/>
      <c r="Q2693" s="17"/>
    </row>
    <row r="2694" spans="2:17">
      <c r="B2694" s="17"/>
      <c r="C2694" s="16" t="str">
        <f>IFERROR(VLOOKUP(DATA!#REF!,DATA!#REF!,1,FALSE),"")</f>
        <v/>
      </c>
      <c r="D2694" s="16" t="str">
        <f>IFERROR(VLOOKUP(C2694,DATA!#REF!,2,FALSE),"")</f>
        <v/>
      </c>
      <c r="I2694" s="17"/>
      <c r="J2694" s="17"/>
      <c r="P2694" s="17"/>
      <c r="Q2694" s="17"/>
    </row>
    <row r="2695" spans="2:17">
      <c r="B2695" s="17"/>
      <c r="C2695" s="16" t="str">
        <f>IFERROR(VLOOKUP(DATA!#REF!,DATA!#REF!,1,FALSE),"")</f>
        <v/>
      </c>
      <c r="D2695" s="16" t="str">
        <f>IFERROR(VLOOKUP(C2695,DATA!#REF!,2,FALSE),"")</f>
        <v/>
      </c>
      <c r="I2695" s="17"/>
      <c r="J2695" s="17"/>
      <c r="P2695" s="17"/>
      <c r="Q2695" s="17"/>
    </row>
    <row r="2696" spans="2:17">
      <c r="B2696" s="17"/>
      <c r="C2696" s="16" t="str">
        <f>IFERROR(VLOOKUP(DATA!#REF!,DATA!#REF!,1,FALSE),"")</f>
        <v/>
      </c>
      <c r="D2696" s="16" t="str">
        <f>IFERROR(VLOOKUP(C2696,DATA!#REF!,2,FALSE),"")</f>
        <v/>
      </c>
      <c r="I2696" s="17"/>
      <c r="J2696" s="17"/>
      <c r="P2696" s="17"/>
      <c r="Q2696" s="17"/>
    </row>
    <row r="2697" spans="2:17">
      <c r="B2697" s="17"/>
      <c r="C2697" s="16" t="str">
        <f>IFERROR(VLOOKUP(DATA!#REF!,DATA!#REF!,1,FALSE),"")</f>
        <v/>
      </c>
      <c r="D2697" s="16" t="str">
        <f>IFERROR(VLOOKUP(C2697,DATA!#REF!,2,FALSE),"")</f>
        <v/>
      </c>
      <c r="I2697" s="17"/>
      <c r="J2697" s="17"/>
      <c r="P2697" s="17"/>
      <c r="Q2697" s="17"/>
    </row>
    <row r="2698" spans="2:17">
      <c r="B2698" s="17"/>
      <c r="C2698" s="16" t="str">
        <f>IFERROR(VLOOKUP(DATA!#REF!,DATA!#REF!,1,FALSE),"")</f>
        <v/>
      </c>
      <c r="D2698" s="16" t="str">
        <f>IFERROR(VLOOKUP(C2698,DATA!#REF!,2,FALSE),"")</f>
        <v/>
      </c>
      <c r="I2698" s="17"/>
      <c r="J2698" s="17"/>
      <c r="P2698" s="17"/>
      <c r="Q2698" s="17"/>
    </row>
    <row r="2699" spans="2:17">
      <c r="B2699" s="17"/>
      <c r="C2699" s="16" t="str">
        <f>IFERROR(VLOOKUP(DATA!#REF!,DATA!#REF!,1,FALSE),"")</f>
        <v/>
      </c>
      <c r="D2699" s="16" t="str">
        <f>IFERROR(VLOOKUP(C2699,DATA!#REF!,2,FALSE),"")</f>
        <v/>
      </c>
      <c r="I2699" s="17"/>
      <c r="J2699" s="17"/>
      <c r="P2699" s="17"/>
      <c r="Q2699" s="17"/>
    </row>
    <row r="2700" spans="2:17">
      <c r="B2700" s="17"/>
      <c r="C2700" s="16" t="str">
        <f>IFERROR(VLOOKUP(DATA!#REF!,DATA!#REF!,1,FALSE),"")</f>
        <v/>
      </c>
      <c r="D2700" s="16" t="str">
        <f>IFERROR(VLOOKUP(C2700,DATA!#REF!,2,FALSE),"")</f>
        <v/>
      </c>
      <c r="I2700" s="17"/>
      <c r="J2700" s="17"/>
      <c r="P2700" s="17"/>
      <c r="Q2700" s="17"/>
    </row>
    <row r="2701" spans="2:17">
      <c r="B2701" s="17"/>
      <c r="C2701" s="16" t="str">
        <f>IFERROR(VLOOKUP(DATA!#REF!,DATA!#REF!,1,FALSE),"")</f>
        <v/>
      </c>
      <c r="D2701" s="16" t="str">
        <f>IFERROR(VLOOKUP(C2701,DATA!#REF!,2,FALSE),"")</f>
        <v/>
      </c>
      <c r="I2701" s="17"/>
      <c r="J2701" s="17"/>
      <c r="P2701" s="17"/>
      <c r="Q2701" s="17"/>
    </row>
    <row r="2702" spans="2:17">
      <c r="B2702" s="17"/>
      <c r="C2702" s="16" t="str">
        <f>IFERROR(VLOOKUP(DATA!#REF!,DATA!#REF!,1,FALSE),"")</f>
        <v/>
      </c>
      <c r="D2702" s="16" t="str">
        <f>IFERROR(VLOOKUP(C2702,DATA!#REF!,2,FALSE),"")</f>
        <v/>
      </c>
      <c r="I2702" s="17"/>
      <c r="J2702" s="17"/>
      <c r="P2702" s="17"/>
      <c r="Q2702" s="17"/>
    </row>
    <row r="2703" spans="2:17">
      <c r="B2703" s="17"/>
      <c r="C2703" s="16" t="str">
        <f>IFERROR(VLOOKUP(DATA!#REF!,DATA!#REF!,1,FALSE),"")</f>
        <v/>
      </c>
      <c r="D2703" s="16" t="str">
        <f>IFERROR(VLOOKUP(C2703,DATA!#REF!,2,FALSE),"")</f>
        <v/>
      </c>
      <c r="I2703" s="17"/>
      <c r="J2703" s="17"/>
      <c r="P2703" s="17"/>
      <c r="Q2703" s="17"/>
    </row>
    <row r="2704" spans="2:17">
      <c r="B2704" s="17"/>
      <c r="C2704" s="16" t="str">
        <f>IFERROR(VLOOKUP(DATA!#REF!,DATA!#REF!,1,FALSE),"")</f>
        <v/>
      </c>
      <c r="D2704" s="16" t="str">
        <f>IFERROR(VLOOKUP(C2704,DATA!#REF!,2,FALSE),"")</f>
        <v/>
      </c>
      <c r="I2704" s="17"/>
      <c r="J2704" s="17"/>
      <c r="P2704" s="17"/>
      <c r="Q2704" s="17"/>
    </row>
    <row r="2705" spans="2:17">
      <c r="B2705" s="17"/>
      <c r="C2705" s="16" t="str">
        <f>IFERROR(VLOOKUP(DATA!#REF!,DATA!#REF!,1,FALSE),"")</f>
        <v/>
      </c>
      <c r="D2705" s="16" t="str">
        <f>IFERROR(VLOOKUP(C2705,DATA!#REF!,2,FALSE),"")</f>
        <v/>
      </c>
      <c r="I2705" s="17"/>
      <c r="J2705" s="17"/>
      <c r="P2705" s="17"/>
      <c r="Q2705" s="17"/>
    </row>
    <row r="2706" spans="2:17">
      <c r="B2706" s="17"/>
      <c r="C2706" s="16" t="str">
        <f>IFERROR(VLOOKUP(DATA!#REF!,DATA!#REF!,1,FALSE),"")</f>
        <v/>
      </c>
      <c r="D2706" s="16" t="str">
        <f>IFERROR(VLOOKUP(C2706,DATA!#REF!,2,FALSE),"")</f>
        <v/>
      </c>
      <c r="I2706" s="17"/>
      <c r="J2706" s="17"/>
      <c r="P2706" s="17"/>
      <c r="Q2706" s="17"/>
    </row>
    <row r="2707" spans="2:17">
      <c r="B2707" s="17"/>
      <c r="C2707" s="16" t="str">
        <f>IFERROR(VLOOKUP(DATA!#REF!,DATA!#REF!,1,FALSE),"")</f>
        <v/>
      </c>
      <c r="D2707" s="16" t="str">
        <f>IFERROR(VLOOKUP(C2707,DATA!#REF!,2,FALSE),"")</f>
        <v/>
      </c>
      <c r="I2707" s="17"/>
      <c r="J2707" s="17"/>
      <c r="P2707" s="17"/>
      <c r="Q2707" s="17"/>
    </row>
    <row r="2708" spans="2:17">
      <c r="B2708" s="17"/>
      <c r="C2708" s="16" t="str">
        <f>IFERROR(VLOOKUP(DATA!#REF!,DATA!#REF!,1,FALSE),"")</f>
        <v/>
      </c>
      <c r="D2708" s="16" t="str">
        <f>IFERROR(VLOOKUP(C2708,DATA!#REF!,2,FALSE),"")</f>
        <v/>
      </c>
      <c r="I2708" s="17"/>
      <c r="J2708" s="17"/>
      <c r="P2708" s="17"/>
      <c r="Q2708" s="17"/>
    </row>
    <row r="2709" spans="2:17">
      <c r="B2709" s="17"/>
      <c r="C2709" s="16" t="str">
        <f>IFERROR(VLOOKUP(DATA!#REF!,DATA!#REF!,1,FALSE),"")</f>
        <v/>
      </c>
      <c r="D2709" s="16" t="str">
        <f>IFERROR(VLOOKUP(C2709,DATA!#REF!,2,FALSE),"")</f>
        <v/>
      </c>
      <c r="I2709" s="17"/>
      <c r="J2709" s="17"/>
      <c r="P2709" s="17"/>
      <c r="Q2709" s="17"/>
    </row>
    <row r="2710" spans="2:17">
      <c r="B2710" s="17"/>
      <c r="C2710" s="16" t="str">
        <f>IFERROR(VLOOKUP(DATA!#REF!,DATA!#REF!,1,FALSE),"")</f>
        <v/>
      </c>
      <c r="D2710" s="16" t="str">
        <f>IFERROR(VLOOKUP(C2710,DATA!#REF!,2,FALSE),"")</f>
        <v/>
      </c>
      <c r="I2710" s="17"/>
      <c r="J2710" s="17"/>
      <c r="P2710" s="17"/>
      <c r="Q2710" s="17"/>
    </row>
    <row r="2711" spans="2:17">
      <c r="B2711" s="17"/>
      <c r="C2711" s="16" t="str">
        <f>IFERROR(VLOOKUP(DATA!#REF!,DATA!#REF!,1,FALSE),"")</f>
        <v/>
      </c>
      <c r="D2711" s="16" t="str">
        <f>IFERROR(VLOOKUP(C2711,DATA!#REF!,2,FALSE),"")</f>
        <v/>
      </c>
      <c r="I2711" s="17"/>
      <c r="J2711" s="17"/>
      <c r="P2711" s="17"/>
      <c r="Q2711" s="17"/>
    </row>
    <row r="2712" spans="2:17">
      <c r="B2712" s="17"/>
      <c r="C2712" s="16" t="str">
        <f>IFERROR(VLOOKUP(DATA!#REF!,DATA!#REF!,1,FALSE),"")</f>
        <v/>
      </c>
      <c r="D2712" s="16" t="str">
        <f>IFERROR(VLOOKUP(C2712,DATA!#REF!,2,FALSE),"")</f>
        <v/>
      </c>
      <c r="I2712" s="17"/>
      <c r="J2712" s="17"/>
      <c r="P2712" s="17"/>
      <c r="Q2712" s="17"/>
    </row>
    <row r="2713" spans="2:17">
      <c r="B2713" s="17"/>
      <c r="C2713" s="16" t="str">
        <f>IFERROR(VLOOKUP(DATA!#REF!,DATA!#REF!,1,FALSE),"")</f>
        <v/>
      </c>
      <c r="D2713" s="16" t="str">
        <f>IFERROR(VLOOKUP(C2713,DATA!#REF!,2,FALSE),"")</f>
        <v/>
      </c>
      <c r="I2713" s="17"/>
      <c r="J2713" s="17"/>
      <c r="P2713" s="17"/>
      <c r="Q2713" s="17"/>
    </row>
    <row r="2714" spans="2:17">
      <c r="B2714" s="17"/>
      <c r="C2714" s="16" t="str">
        <f>IFERROR(VLOOKUP(DATA!#REF!,DATA!#REF!,1,FALSE),"")</f>
        <v/>
      </c>
      <c r="D2714" s="16" t="str">
        <f>IFERROR(VLOOKUP(C2714,DATA!#REF!,2,FALSE),"")</f>
        <v/>
      </c>
      <c r="I2714" s="17"/>
      <c r="J2714" s="17"/>
      <c r="P2714" s="17"/>
      <c r="Q2714" s="17"/>
    </row>
    <row r="2715" spans="2:17">
      <c r="B2715" s="17"/>
      <c r="C2715" s="16" t="str">
        <f>IFERROR(VLOOKUP(DATA!#REF!,DATA!#REF!,1,FALSE),"")</f>
        <v/>
      </c>
      <c r="D2715" s="16" t="str">
        <f>IFERROR(VLOOKUP(C2715,DATA!#REF!,2,FALSE),"")</f>
        <v/>
      </c>
      <c r="I2715" s="17"/>
      <c r="J2715" s="17"/>
      <c r="P2715" s="17"/>
      <c r="Q2715" s="17"/>
    </row>
    <row r="2716" spans="2:17">
      <c r="B2716" s="17"/>
      <c r="C2716" s="16" t="str">
        <f>IFERROR(VLOOKUP(DATA!#REF!,DATA!#REF!,1,FALSE),"")</f>
        <v/>
      </c>
      <c r="D2716" s="16" t="str">
        <f>IFERROR(VLOOKUP(C2716,DATA!#REF!,2,FALSE),"")</f>
        <v/>
      </c>
      <c r="I2716" s="17"/>
      <c r="J2716" s="17"/>
      <c r="P2716" s="17"/>
      <c r="Q2716" s="17"/>
    </row>
    <row r="2717" spans="2:17">
      <c r="B2717" s="17"/>
      <c r="C2717" s="16" t="str">
        <f>IFERROR(VLOOKUP(DATA!#REF!,DATA!#REF!,1,FALSE),"")</f>
        <v/>
      </c>
      <c r="D2717" s="16" t="str">
        <f>IFERROR(VLOOKUP(C2717,DATA!#REF!,2,FALSE),"")</f>
        <v/>
      </c>
      <c r="I2717" s="17"/>
      <c r="J2717" s="17"/>
      <c r="P2717" s="17"/>
      <c r="Q2717" s="17"/>
    </row>
    <row r="2718" spans="2:17">
      <c r="B2718" s="17"/>
      <c r="C2718" s="16" t="str">
        <f>IFERROR(VLOOKUP(DATA!#REF!,DATA!#REF!,1,FALSE),"")</f>
        <v/>
      </c>
      <c r="D2718" s="16" t="str">
        <f>IFERROR(VLOOKUP(C2718,DATA!#REF!,2,FALSE),"")</f>
        <v/>
      </c>
      <c r="I2718" s="17"/>
      <c r="J2718" s="17"/>
      <c r="P2718" s="17"/>
      <c r="Q2718" s="17"/>
    </row>
    <row r="2719" spans="2:17">
      <c r="B2719" s="17"/>
      <c r="C2719" s="16" t="str">
        <f>IFERROR(VLOOKUP(DATA!#REF!,DATA!#REF!,1,FALSE),"")</f>
        <v/>
      </c>
      <c r="D2719" s="16" t="str">
        <f>IFERROR(VLOOKUP(C2719,DATA!#REF!,2,FALSE),"")</f>
        <v/>
      </c>
      <c r="I2719" s="17"/>
      <c r="J2719" s="17"/>
      <c r="P2719" s="17"/>
      <c r="Q2719" s="17"/>
    </row>
    <row r="2720" spans="2:17">
      <c r="B2720" s="17"/>
      <c r="C2720" s="16" t="str">
        <f>IFERROR(VLOOKUP(DATA!#REF!,DATA!#REF!,1,FALSE),"")</f>
        <v/>
      </c>
      <c r="D2720" s="16" t="str">
        <f>IFERROR(VLOOKUP(C2720,DATA!#REF!,2,FALSE),"")</f>
        <v/>
      </c>
      <c r="I2720" s="17"/>
      <c r="J2720" s="17"/>
      <c r="P2720" s="17"/>
      <c r="Q2720" s="17"/>
    </row>
    <row r="2721" spans="2:17">
      <c r="B2721" s="17"/>
      <c r="C2721" s="16" t="str">
        <f>IFERROR(VLOOKUP(DATA!#REF!,DATA!#REF!,1,FALSE),"")</f>
        <v/>
      </c>
      <c r="D2721" s="16" t="str">
        <f>IFERROR(VLOOKUP(C2721,DATA!#REF!,2,FALSE),"")</f>
        <v/>
      </c>
      <c r="I2721" s="17"/>
      <c r="J2721" s="17"/>
      <c r="P2721" s="17"/>
      <c r="Q2721" s="17"/>
    </row>
    <row r="2722" spans="2:17">
      <c r="B2722" s="17"/>
      <c r="C2722" s="16" t="str">
        <f>IFERROR(VLOOKUP(DATA!#REF!,DATA!#REF!,1,FALSE),"")</f>
        <v/>
      </c>
      <c r="D2722" s="16" t="str">
        <f>IFERROR(VLOOKUP(C2722,DATA!#REF!,2,FALSE),"")</f>
        <v/>
      </c>
      <c r="I2722" s="17"/>
      <c r="J2722" s="17"/>
      <c r="P2722" s="17"/>
      <c r="Q2722" s="17"/>
    </row>
    <row r="2723" spans="2:17">
      <c r="B2723" s="17"/>
      <c r="C2723" s="16" t="str">
        <f>IFERROR(VLOOKUP(DATA!#REF!,DATA!#REF!,1,FALSE),"")</f>
        <v/>
      </c>
      <c r="D2723" s="16" t="str">
        <f>IFERROR(VLOOKUP(C2723,DATA!#REF!,2,FALSE),"")</f>
        <v/>
      </c>
      <c r="I2723" s="17"/>
      <c r="J2723" s="17"/>
      <c r="P2723" s="17"/>
      <c r="Q2723" s="17"/>
    </row>
    <row r="2724" spans="2:17">
      <c r="B2724" s="17"/>
      <c r="C2724" s="16" t="str">
        <f>IFERROR(VLOOKUP(DATA!#REF!,DATA!#REF!,1,FALSE),"")</f>
        <v/>
      </c>
      <c r="D2724" s="16" t="str">
        <f>IFERROR(VLOOKUP(C2724,DATA!#REF!,2,FALSE),"")</f>
        <v/>
      </c>
      <c r="I2724" s="17"/>
      <c r="J2724" s="17"/>
      <c r="P2724" s="17"/>
      <c r="Q2724" s="17"/>
    </row>
    <row r="2725" spans="2:17">
      <c r="B2725" s="17"/>
      <c r="C2725" s="16" t="str">
        <f>IFERROR(VLOOKUP(DATA!#REF!,DATA!#REF!,1,FALSE),"")</f>
        <v/>
      </c>
      <c r="D2725" s="16" t="str">
        <f>IFERROR(VLOOKUP(C2725,DATA!#REF!,2,FALSE),"")</f>
        <v/>
      </c>
      <c r="I2725" s="17"/>
      <c r="J2725" s="17"/>
      <c r="P2725" s="17"/>
      <c r="Q2725" s="17"/>
    </row>
    <row r="2726" spans="2:17">
      <c r="B2726" s="17"/>
      <c r="C2726" s="16" t="str">
        <f>IFERROR(VLOOKUP(DATA!#REF!,DATA!#REF!,1,FALSE),"")</f>
        <v/>
      </c>
      <c r="D2726" s="16" t="str">
        <f>IFERROR(VLOOKUP(C2726,DATA!#REF!,2,FALSE),"")</f>
        <v/>
      </c>
      <c r="I2726" s="17"/>
      <c r="J2726" s="17"/>
      <c r="P2726" s="17"/>
      <c r="Q2726" s="17"/>
    </row>
    <row r="2727" spans="2:17">
      <c r="B2727" s="17"/>
      <c r="C2727" s="16" t="str">
        <f>IFERROR(VLOOKUP(DATA!#REF!,DATA!#REF!,1,FALSE),"")</f>
        <v/>
      </c>
      <c r="D2727" s="16" t="str">
        <f>IFERROR(VLOOKUP(C2727,DATA!#REF!,2,FALSE),"")</f>
        <v/>
      </c>
      <c r="I2727" s="17"/>
      <c r="J2727" s="17"/>
      <c r="P2727" s="17"/>
      <c r="Q2727" s="17"/>
    </row>
    <row r="2728" spans="2:17">
      <c r="B2728" s="17"/>
      <c r="C2728" s="16" t="str">
        <f>IFERROR(VLOOKUP(DATA!#REF!,DATA!#REF!,1,FALSE),"")</f>
        <v/>
      </c>
      <c r="D2728" s="16" t="str">
        <f>IFERROR(VLOOKUP(C2728,DATA!#REF!,2,FALSE),"")</f>
        <v/>
      </c>
      <c r="I2728" s="17"/>
      <c r="J2728" s="17"/>
      <c r="P2728" s="17"/>
      <c r="Q2728" s="17"/>
    </row>
    <row r="2729" spans="2:17">
      <c r="B2729" s="17"/>
      <c r="C2729" s="16" t="str">
        <f>IFERROR(VLOOKUP(DATA!#REF!,DATA!#REF!,1,FALSE),"")</f>
        <v/>
      </c>
      <c r="D2729" s="16" t="str">
        <f>IFERROR(VLOOKUP(C2729,DATA!#REF!,2,FALSE),"")</f>
        <v/>
      </c>
      <c r="I2729" s="17"/>
      <c r="J2729" s="17"/>
      <c r="P2729" s="17"/>
      <c r="Q2729" s="17"/>
    </row>
    <row r="2730" spans="2:17">
      <c r="B2730" s="17"/>
      <c r="C2730" s="16" t="str">
        <f>IFERROR(VLOOKUP(DATA!#REF!,DATA!#REF!,1,FALSE),"")</f>
        <v/>
      </c>
      <c r="D2730" s="16" t="str">
        <f>IFERROR(VLOOKUP(C2730,DATA!#REF!,2,FALSE),"")</f>
        <v/>
      </c>
      <c r="I2730" s="17"/>
      <c r="J2730" s="17"/>
      <c r="P2730" s="17"/>
      <c r="Q2730" s="17"/>
    </row>
    <row r="2731" spans="2:17">
      <c r="B2731" s="17"/>
      <c r="C2731" s="16" t="str">
        <f>IFERROR(VLOOKUP(DATA!#REF!,DATA!#REF!,1,FALSE),"")</f>
        <v/>
      </c>
      <c r="D2731" s="16" t="str">
        <f>IFERROR(VLOOKUP(C2731,DATA!#REF!,2,FALSE),"")</f>
        <v/>
      </c>
      <c r="I2731" s="17"/>
      <c r="J2731" s="17"/>
      <c r="P2731" s="17"/>
      <c r="Q2731" s="17"/>
    </row>
    <row r="2732" spans="2:17">
      <c r="B2732" s="17"/>
      <c r="C2732" s="16" t="str">
        <f>IFERROR(VLOOKUP(DATA!#REF!,DATA!#REF!,1,FALSE),"")</f>
        <v/>
      </c>
      <c r="D2732" s="16" t="str">
        <f>IFERROR(VLOOKUP(C2732,DATA!#REF!,2,FALSE),"")</f>
        <v/>
      </c>
      <c r="I2732" s="17"/>
      <c r="J2732" s="17"/>
      <c r="P2732" s="17"/>
      <c r="Q2732" s="17"/>
    </row>
    <row r="2733" spans="2:17">
      <c r="B2733" s="17"/>
      <c r="C2733" s="16" t="str">
        <f>IFERROR(VLOOKUP(DATA!#REF!,DATA!#REF!,1,FALSE),"")</f>
        <v/>
      </c>
      <c r="D2733" s="16" t="str">
        <f>IFERROR(VLOOKUP(C2733,DATA!#REF!,2,FALSE),"")</f>
        <v/>
      </c>
      <c r="I2733" s="17"/>
      <c r="J2733" s="17"/>
      <c r="P2733" s="17"/>
      <c r="Q2733" s="17"/>
    </row>
    <row r="2734" spans="2:17">
      <c r="B2734" s="17"/>
      <c r="C2734" s="16" t="str">
        <f>IFERROR(VLOOKUP(DATA!#REF!,DATA!#REF!,1,FALSE),"")</f>
        <v/>
      </c>
      <c r="D2734" s="16" t="str">
        <f>IFERROR(VLOOKUP(C2734,DATA!#REF!,2,FALSE),"")</f>
        <v/>
      </c>
      <c r="I2734" s="17"/>
      <c r="J2734" s="17"/>
      <c r="P2734" s="17"/>
      <c r="Q2734" s="17"/>
    </row>
    <row r="2735" spans="2:17">
      <c r="B2735" s="17"/>
      <c r="C2735" s="16" t="str">
        <f>IFERROR(VLOOKUP(DATA!#REF!,DATA!#REF!,1,FALSE),"")</f>
        <v/>
      </c>
      <c r="D2735" s="16" t="str">
        <f>IFERROR(VLOOKUP(C2735,DATA!#REF!,2,FALSE),"")</f>
        <v/>
      </c>
      <c r="I2735" s="17"/>
      <c r="J2735" s="17"/>
      <c r="P2735" s="17"/>
      <c r="Q2735" s="17"/>
    </row>
    <row r="2736" spans="2:17">
      <c r="B2736" s="17"/>
      <c r="C2736" s="16" t="str">
        <f>IFERROR(VLOOKUP(DATA!#REF!,DATA!#REF!,1,FALSE),"")</f>
        <v/>
      </c>
      <c r="D2736" s="16" t="str">
        <f>IFERROR(VLOOKUP(C2736,DATA!#REF!,2,FALSE),"")</f>
        <v/>
      </c>
      <c r="I2736" s="17"/>
      <c r="J2736" s="17"/>
      <c r="P2736" s="17"/>
      <c r="Q2736" s="17"/>
    </row>
    <row r="2737" spans="2:17">
      <c r="B2737" s="17"/>
      <c r="C2737" s="16" t="str">
        <f>IFERROR(VLOOKUP(DATA!#REF!,DATA!#REF!,1,FALSE),"")</f>
        <v/>
      </c>
      <c r="D2737" s="16" t="str">
        <f>IFERROR(VLOOKUP(C2737,DATA!#REF!,2,FALSE),"")</f>
        <v/>
      </c>
      <c r="I2737" s="17"/>
      <c r="J2737" s="17"/>
      <c r="P2737" s="17"/>
      <c r="Q2737" s="17"/>
    </row>
    <row r="2738" spans="2:17">
      <c r="B2738" s="17"/>
      <c r="C2738" s="16" t="str">
        <f>IFERROR(VLOOKUP(DATA!#REF!,DATA!#REF!,1,FALSE),"")</f>
        <v/>
      </c>
      <c r="D2738" s="16" t="str">
        <f>IFERROR(VLOOKUP(C2738,DATA!#REF!,2,FALSE),"")</f>
        <v/>
      </c>
      <c r="I2738" s="17"/>
      <c r="J2738" s="17"/>
      <c r="P2738" s="17"/>
      <c r="Q2738" s="17"/>
    </row>
    <row r="2739" spans="2:17">
      <c r="B2739" s="17"/>
      <c r="C2739" s="16" t="str">
        <f>IFERROR(VLOOKUP(DATA!#REF!,DATA!#REF!,1,FALSE),"")</f>
        <v/>
      </c>
      <c r="D2739" s="16" t="str">
        <f>IFERROR(VLOOKUP(C2739,DATA!#REF!,2,FALSE),"")</f>
        <v/>
      </c>
      <c r="I2739" s="17"/>
      <c r="J2739" s="17"/>
      <c r="P2739" s="17"/>
      <c r="Q2739" s="17"/>
    </row>
    <row r="2740" spans="2:17">
      <c r="B2740" s="17"/>
      <c r="C2740" s="16" t="str">
        <f>IFERROR(VLOOKUP(DATA!#REF!,DATA!#REF!,1,FALSE),"")</f>
        <v/>
      </c>
      <c r="D2740" s="16" t="str">
        <f>IFERROR(VLOOKUP(C2740,DATA!#REF!,2,FALSE),"")</f>
        <v/>
      </c>
      <c r="I2740" s="17"/>
      <c r="J2740" s="17"/>
      <c r="P2740" s="17"/>
      <c r="Q2740" s="17"/>
    </row>
    <row r="2741" spans="2:17">
      <c r="B2741" s="17"/>
      <c r="C2741" s="16" t="str">
        <f>IFERROR(VLOOKUP(DATA!#REF!,DATA!#REF!,1,FALSE),"")</f>
        <v/>
      </c>
      <c r="D2741" s="16" t="str">
        <f>IFERROR(VLOOKUP(C2741,DATA!#REF!,2,FALSE),"")</f>
        <v/>
      </c>
      <c r="I2741" s="17"/>
      <c r="J2741" s="17"/>
      <c r="P2741" s="17"/>
      <c r="Q2741" s="17"/>
    </row>
    <row r="2742" spans="2:17">
      <c r="B2742" s="17"/>
      <c r="C2742" s="16" t="str">
        <f>IFERROR(VLOOKUP(DATA!#REF!,DATA!#REF!,1,FALSE),"")</f>
        <v/>
      </c>
      <c r="D2742" s="16" t="str">
        <f>IFERROR(VLOOKUP(C2742,DATA!#REF!,2,FALSE),"")</f>
        <v/>
      </c>
      <c r="I2742" s="17"/>
      <c r="J2742" s="17"/>
      <c r="P2742" s="17"/>
      <c r="Q2742" s="17"/>
    </row>
    <row r="2743" spans="2:17">
      <c r="B2743" s="17"/>
      <c r="C2743" s="16" t="str">
        <f>IFERROR(VLOOKUP(DATA!#REF!,DATA!#REF!,1,FALSE),"")</f>
        <v/>
      </c>
      <c r="D2743" s="16" t="str">
        <f>IFERROR(VLOOKUP(C2743,DATA!#REF!,2,FALSE),"")</f>
        <v/>
      </c>
      <c r="I2743" s="17"/>
      <c r="J2743" s="17"/>
      <c r="P2743" s="17"/>
      <c r="Q2743" s="17"/>
    </row>
    <row r="2744" spans="2:17">
      <c r="B2744" s="17"/>
      <c r="C2744" s="16" t="str">
        <f>IFERROR(VLOOKUP(DATA!#REF!,DATA!#REF!,1,FALSE),"")</f>
        <v/>
      </c>
      <c r="D2744" s="16" t="str">
        <f>IFERROR(VLOOKUP(C2744,DATA!#REF!,2,FALSE),"")</f>
        <v/>
      </c>
      <c r="I2744" s="17"/>
      <c r="J2744" s="17"/>
      <c r="P2744" s="17"/>
      <c r="Q2744" s="17"/>
    </row>
    <row r="2745" spans="2:17">
      <c r="B2745" s="17"/>
      <c r="C2745" s="16" t="str">
        <f>IFERROR(VLOOKUP(DATA!#REF!,DATA!#REF!,1,FALSE),"")</f>
        <v/>
      </c>
      <c r="D2745" s="16" t="str">
        <f>IFERROR(VLOOKUP(C2745,DATA!#REF!,2,FALSE),"")</f>
        <v/>
      </c>
      <c r="I2745" s="17"/>
      <c r="J2745" s="17"/>
      <c r="P2745" s="17"/>
      <c r="Q2745" s="17"/>
    </row>
    <row r="2746" spans="2:17">
      <c r="B2746" s="17"/>
      <c r="C2746" s="16" t="str">
        <f>IFERROR(VLOOKUP(DATA!#REF!,DATA!#REF!,1,FALSE),"")</f>
        <v/>
      </c>
      <c r="D2746" s="16" t="str">
        <f>IFERROR(VLOOKUP(C2746,DATA!#REF!,2,FALSE),"")</f>
        <v/>
      </c>
      <c r="I2746" s="17"/>
      <c r="J2746" s="17"/>
      <c r="P2746" s="17"/>
      <c r="Q2746" s="17"/>
    </row>
    <row r="2747" spans="2:17">
      <c r="B2747" s="17"/>
      <c r="C2747" s="16" t="str">
        <f>IFERROR(VLOOKUP(DATA!#REF!,DATA!#REF!,1,FALSE),"")</f>
        <v/>
      </c>
      <c r="D2747" s="16" t="str">
        <f>IFERROR(VLOOKUP(C2747,DATA!#REF!,2,FALSE),"")</f>
        <v/>
      </c>
      <c r="I2747" s="17"/>
      <c r="J2747" s="17"/>
      <c r="P2747" s="17"/>
      <c r="Q2747" s="17"/>
    </row>
    <row r="2748" spans="2:17">
      <c r="B2748" s="17"/>
      <c r="C2748" s="16" t="str">
        <f>IFERROR(VLOOKUP(DATA!#REF!,DATA!#REF!,1,FALSE),"")</f>
        <v/>
      </c>
      <c r="D2748" s="16" t="str">
        <f>IFERROR(VLOOKUP(C2748,DATA!#REF!,2,FALSE),"")</f>
        <v/>
      </c>
      <c r="I2748" s="17"/>
      <c r="J2748" s="17"/>
      <c r="P2748" s="17"/>
      <c r="Q2748" s="17"/>
    </row>
    <row r="2749" spans="2:17">
      <c r="B2749" s="17"/>
      <c r="C2749" s="16" t="str">
        <f>IFERROR(VLOOKUP(DATA!#REF!,DATA!#REF!,1,FALSE),"")</f>
        <v/>
      </c>
      <c r="D2749" s="16" t="str">
        <f>IFERROR(VLOOKUP(C2749,DATA!#REF!,2,FALSE),"")</f>
        <v/>
      </c>
      <c r="I2749" s="17"/>
      <c r="J2749" s="17"/>
      <c r="P2749" s="17"/>
      <c r="Q2749" s="17"/>
    </row>
    <row r="2750" spans="2:17">
      <c r="B2750" s="17"/>
      <c r="C2750" s="16" t="str">
        <f>IFERROR(VLOOKUP(DATA!#REF!,DATA!#REF!,1,FALSE),"")</f>
        <v/>
      </c>
      <c r="D2750" s="16" t="str">
        <f>IFERROR(VLOOKUP(C2750,DATA!#REF!,2,FALSE),"")</f>
        <v/>
      </c>
      <c r="I2750" s="17"/>
      <c r="J2750" s="17"/>
      <c r="P2750" s="17"/>
      <c r="Q2750" s="17"/>
    </row>
    <row r="2751" spans="2:17">
      <c r="B2751" s="17"/>
      <c r="C2751" s="16" t="str">
        <f>IFERROR(VLOOKUP(DATA!#REF!,DATA!#REF!,1,FALSE),"")</f>
        <v/>
      </c>
      <c r="D2751" s="16" t="str">
        <f>IFERROR(VLOOKUP(C2751,DATA!#REF!,2,FALSE),"")</f>
        <v/>
      </c>
      <c r="I2751" s="17"/>
      <c r="J2751" s="17"/>
      <c r="P2751" s="17"/>
      <c r="Q2751" s="17"/>
    </row>
    <row r="2752" spans="2:17">
      <c r="B2752" s="17"/>
      <c r="C2752" s="16" t="str">
        <f>IFERROR(VLOOKUP(DATA!#REF!,DATA!#REF!,1,FALSE),"")</f>
        <v/>
      </c>
      <c r="D2752" s="16" t="str">
        <f>IFERROR(VLOOKUP(C2752,DATA!#REF!,2,FALSE),"")</f>
        <v/>
      </c>
      <c r="I2752" s="17"/>
      <c r="J2752" s="17"/>
      <c r="P2752" s="17"/>
      <c r="Q2752" s="17"/>
    </row>
    <row r="2753" spans="2:17">
      <c r="B2753" s="17"/>
      <c r="C2753" s="16" t="str">
        <f>IFERROR(VLOOKUP(DATA!#REF!,DATA!#REF!,1,FALSE),"")</f>
        <v/>
      </c>
      <c r="D2753" s="16" t="str">
        <f>IFERROR(VLOOKUP(C2753,DATA!#REF!,2,FALSE),"")</f>
        <v/>
      </c>
      <c r="I2753" s="17"/>
      <c r="J2753" s="17"/>
      <c r="P2753" s="17"/>
      <c r="Q2753" s="17"/>
    </row>
    <row r="2754" spans="2:17">
      <c r="B2754" s="17"/>
      <c r="C2754" s="16" t="str">
        <f>IFERROR(VLOOKUP(DATA!#REF!,DATA!#REF!,1,FALSE),"")</f>
        <v/>
      </c>
      <c r="D2754" s="16" t="str">
        <f>IFERROR(VLOOKUP(C2754,DATA!#REF!,2,FALSE),"")</f>
        <v/>
      </c>
      <c r="I2754" s="17"/>
      <c r="J2754" s="17"/>
      <c r="P2754" s="17"/>
      <c r="Q2754" s="17"/>
    </row>
    <row r="2755" spans="2:17">
      <c r="B2755" s="17"/>
      <c r="C2755" s="16" t="str">
        <f>IFERROR(VLOOKUP(DATA!#REF!,DATA!#REF!,1,FALSE),"")</f>
        <v/>
      </c>
      <c r="D2755" s="16" t="str">
        <f>IFERROR(VLOOKUP(C2755,DATA!#REF!,2,FALSE),"")</f>
        <v/>
      </c>
      <c r="I2755" s="17"/>
      <c r="J2755" s="17"/>
      <c r="P2755" s="17"/>
      <c r="Q2755" s="17"/>
    </row>
    <row r="2756" spans="2:17">
      <c r="B2756" s="17"/>
      <c r="C2756" s="16" t="str">
        <f>IFERROR(VLOOKUP(DATA!#REF!,DATA!#REF!,1,FALSE),"")</f>
        <v/>
      </c>
      <c r="D2756" s="16" t="str">
        <f>IFERROR(VLOOKUP(C2756,DATA!#REF!,2,FALSE),"")</f>
        <v/>
      </c>
      <c r="I2756" s="17"/>
      <c r="J2756" s="17"/>
      <c r="P2756" s="17"/>
      <c r="Q2756" s="17"/>
    </row>
    <row r="2757" spans="2:17">
      <c r="B2757" s="17"/>
      <c r="C2757" s="16" t="str">
        <f>IFERROR(VLOOKUP(DATA!#REF!,DATA!#REF!,1,FALSE),"")</f>
        <v/>
      </c>
      <c r="D2757" s="16" t="str">
        <f>IFERROR(VLOOKUP(C2757,DATA!#REF!,2,FALSE),"")</f>
        <v/>
      </c>
      <c r="I2757" s="17"/>
      <c r="J2757" s="17"/>
      <c r="P2757" s="17"/>
      <c r="Q2757" s="17"/>
    </row>
    <row r="2758" spans="2:17">
      <c r="B2758" s="17"/>
      <c r="C2758" s="16" t="str">
        <f>IFERROR(VLOOKUP(DATA!#REF!,DATA!#REF!,1,FALSE),"")</f>
        <v/>
      </c>
      <c r="D2758" s="16" t="str">
        <f>IFERROR(VLOOKUP(C2758,DATA!#REF!,2,FALSE),"")</f>
        <v/>
      </c>
      <c r="I2758" s="17"/>
      <c r="J2758" s="17"/>
      <c r="P2758" s="17"/>
      <c r="Q2758" s="17"/>
    </row>
    <row r="2759" spans="2:17">
      <c r="B2759" s="17"/>
      <c r="C2759" s="16" t="str">
        <f>IFERROR(VLOOKUP(DATA!#REF!,DATA!#REF!,1,FALSE),"")</f>
        <v/>
      </c>
      <c r="D2759" s="16" t="str">
        <f>IFERROR(VLOOKUP(C2759,DATA!#REF!,2,FALSE),"")</f>
        <v/>
      </c>
      <c r="I2759" s="17"/>
      <c r="J2759" s="17"/>
      <c r="P2759" s="17"/>
      <c r="Q2759" s="17"/>
    </row>
    <row r="2760" spans="2:17">
      <c r="B2760" s="17"/>
      <c r="C2760" s="16" t="str">
        <f>IFERROR(VLOOKUP(DATA!#REF!,DATA!#REF!,1,FALSE),"")</f>
        <v/>
      </c>
      <c r="D2760" s="16" t="str">
        <f>IFERROR(VLOOKUP(C2760,DATA!#REF!,2,FALSE),"")</f>
        <v/>
      </c>
      <c r="I2760" s="17"/>
      <c r="J2760" s="17"/>
      <c r="P2760" s="17"/>
      <c r="Q2760" s="17"/>
    </row>
    <row r="2761" spans="2:17">
      <c r="B2761" s="17"/>
      <c r="C2761" s="16" t="str">
        <f>IFERROR(VLOOKUP(DATA!#REF!,DATA!#REF!,1,FALSE),"")</f>
        <v/>
      </c>
      <c r="D2761" s="16" t="str">
        <f>IFERROR(VLOOKUP(C2761,DATA!#REF!,2,FALSE),"")</f>
        <v/>
      </c>
      <c r="I2761" s="17"/>
      <c r="J2761" s="17"/>
      <c r="P2761" s="17"/>
      <c r="Q2761" s="17"/>
    </row>
    <row r="2762" spans="2:17">
      <c r="B2762" s="17"/>
      <c r="C2762" s="16" t="str">
        <f>IFERROR(VLOOKUP(DATA!#REF!,DATA!#REF!,1,FALSE),"")</f>
        <v/>
      </c>
      <c r="D2762" s="16" t="str">
        <f>IFERROR(VLOOKUP(C2762,DATA!#REF!,2,FALSE),"")</f>
        <v/>
      </c>
      <c r="I2762" s="17"/>
      <c r="J2762" s="17"/>
      <c r="P2762" s="17"/>
      <c r="Q2762" s="17"/>
    </row>
    <row r="2763" spans="2:17">
      <c r="B2763" s="17"/>
      <c r="C2763" s="16" t="str">
        <f>IFERROR(VLOOKUP(DATA!#REF!,DATA!#REF!,1,FALSE),"")</f>
        <v/>
      </c>
      <c r="D2763" s="16" t="str">
        <f>IFERROR(VLOOKUP(C2763,DATA!#REF!,2,FALSE),"")</f>
        <v/>
      </c>
      <c r="I2763" s="17"/>
      <c r="J2763" s="17"/>
      <c r="P2763" s="17"/>
      <c r="Q2763" s="17"/>
    </row>
    <row r="2764" spans="2:17">
      <c r="B2764" s="17"/>
      <c r="C2764" s="16" t="str">
        <f>IFERROR(VLOOKUP(DATA!#REF!,DATA!#REF!,1,FALSE),"")</f>
        <v/>
      </c>
      <c r="D2764" s="16" t="str">
        <f>IFERROR(VLOOKUP(C2764,DATA!#REF!,2,FALSE),"")</f>
        <v/>
      </c>
      <c r="I2764" s="17"/>
      <c r="J2764" s="17"/>
      <c r="P2764" s="17"/>
      <c r="Q2764" s="17"/>
    </row>
    <row r="2765" spans="2:17">
      <c r="B2765" s="17"/>
      <c r="C2765" s="16" t="str">
        <f>IFERROR(VLOOKUP(DATA!#REF!,DATA!#REF!,1,FALSE),"")</f>
        <v/>
      </c>
      <c r="D2765" s="16" t="str">
        <f>IFERROR(VLOOKUP(C2765,DATA!#REF!,2,FALSE),"")</f>
        <v/>
      </c>
      <c r="I2765" s="17"/>
      <c r="J2765" s="17"/>
      <c r="P2765" s="17"/>
      <c r="Q2765" s="17"/>
    </row>
    <row r="2766" spans="2:17">
      <c r="B2766" s="17"/>
      <c r="C2766" s="16" t="str">
        <f>IFERROR(VLOOKUP(DATA!#REF!,DATA!#REF!,1,FALSE),"")</f>
        <v/>
      </c>
      <c r="D2766" s="16" t="str">
        <f>IFERROR(VLOOKUP(C2766,DATA!#REF!,2,FALSE),"")</f>
        <v/>
      </c>
      <c r="I2766" s="17"/>
      <c r="J2766" s="17"/>
      <c r="P2766" s="17"/>
      <c r="Q2766" s="17"/>
    </row>
    <row r="2767" spans="2:17">
      <c r="B2767" s="17"/>
      <c r="C2767" s="16" t="str">
        <f>IFERROR(VLOOKUP(DATA!#REF!,DATA!#REF!,1,FALSE),"")</f>
        <v/>
      </c>
      <c r="D2767" s="16" t="str">
        <f>IFERROR(VLOOKUP(C2767,DATA!#REF!,2,FALSE),"")</f>
        <v/>
      </c>
      <c r="I2767" s="17"/>
      <c r="J2767" s="17"/>
      <c r="P2767" s="17"/>
      <c r="Q2767" s="17"/>
    </row>
    <row r="2768" spans="2:17">
      <c r="B2768" s="17"/>
      <c r="C2768" s="16" t="str">
        <f>IFERROR(VLOOKUP(DATA!#REF!,DATA!#REF!,1,FALSE),"")</f>
        <v/>
      </c>
      <c r="D2768" s="16" t="str">
        <f>IFERROR(VLOOKUP(C2768,DATA!#REF!,2,FALSE),"")</f>
        <v/>
      </c>
      <c r="I2768" s="17"/>
      <c r="J2768" s="17"/>
      <c r="P2768" s="17"/>
      <c r="Q2768" s="17"/>
    </row>
    <row r="2769" spans="2:17">
      <c r="B2769" s="17"/>
      <c r="C2769" s="16" t="str">
        <f>IFERROR(VLOOKUP(DATA!#REF!,DATA!#REF!,1,FALSE),"")</f>
        <v/>
      </c>
      <c r="D2769" s="16" t="str">
        <f>IFERROR(VLOOKUP(C2769,DATA!#REF!,2,FALSE),"")</f>
        <v/>
      </c>
      <c r="I2769" s="17"/>
      <c r="J2769" s="17"/>
      <c r="P2769" s="17"/>
      <c r="Q2769" s="17"/>
    </row>
    <row r="2770" spans="2:17">
      <c r="B2770" s="17"/>
      <c r="C2770" s="16" t="str">
        <f>IFERROR(VLOOKUP(DATA!#REF!,DATA!#REF!,1,FALSE),"")</f>
        <v/>
      </c>
      <c r="D2770" s="16" t="str">
        <f>IFERROR(VLOOKUP(C2770,DATA!#REF!,2,FALSE),"")</f>
        <v/>
      </c>
      <c r="I2770" s="17"/>
      <c r="J2770" s="17"/>
      <c r="P2770" s="17"/>
      <c r="Q2770" s="17"/>
    </row>
    <row r="2771" spans="2:17">
      <c r="B2771" s="17"/>
      <c r="C2771" s="16" t="str">
        <f>IFERROR(VLOOKUP(DATA!#REF!,DATA!#REF!,1,FALSE),"")</f>
        <v/>
      </c>
      <c r="D2771" s="16" t="str">
        <f>IFERROR(VLOOKUP(C2771,DATA!#REF!,2,FALSE),"")</f>
        <v/>
      </c>
      <c r="I2771" s="17"/>
      <c r="J2771" s="17"/>
      <c r="P2771" s="17"/>
      <c r="Q2771" s="17"/>
    </row>
    <row r="2772" spans="2:17">
      <c r="B2772" s="17"/>
      <c r="C2772" s="16" t="str">
        <f>IFERROR(VLOOKUP(DATA!#REF!,DATA!#REF!,1,FALSE),"")</f>
        <v/>
      </c>
      <c r="D2772" s="16" t="str">
        <f>IFERROR(VLOOKUP(C2772,DATA!#REF!,2,FALSE),"")</f>
        <v/>
      </c>
      <c r="I2772" s="17"/>
      <c r="J2772" s="17"/>
      <c r="P2772" s="17"/>
      <c r="Q2772" s="17"/>
    </row>
    <row r="2773" spans="2:17">
      <c r="B2773" s="17"/>
      <c r="C2773" s="16" t="str">
        <f>IFERROR(VLOOKUP(DATA!#REF!,DATA!#REF!,1,FALSE),"")</f>
        <v/>
      </c>
      <c r="D2773" s="16" t="str">
        <f>IFERROR(VLOOKUP(C2773,DATA!#REF!,2,FALSE),"")</f>
        <v/>
      </c>
      <c r="I2773" s="17"/>
      <c r="J2773" s="17"/>
      <c r="P2773" s="17"/>
      <c r="Q2773" s="17"/>
    </row>
    <row r="2774" spans="2:17">
      <c r="B2774" s="17"/>
      <c r="C2774" s="16" t="str">
        <f>IFERROR(VLOOKUP(DATA!#REF!,DATA!#REF!,1,FALSE),"")</f>
        <v/>
      </c>
      <c r="D2774" s="16" t="str">
        <f>IFERROR(VLOOKUP(C2774,DATA!#REF!,2,FALSE),"")</f>
        <v/>
      </c>
      <c r="I2774" s="17"/>
      <c r="J2774" s="17"/>
      <c r="P2774" s="17"/>
      <c r="Q2774" s="17"/>
    </row>
    <row r="2775" spans="2:17">
      <c r="B2775" s="17"/>
      <c r="C2775" s="16" t="str">
        <f>IFERROR(VLOOKUP(DATA!#REF!,DATA!#REF!,1,FALSE),"")</f>
        <v/>
      </c>
      <c r="D2775" s="16" t="str">
        <f>IFERROR(VLOOKUP(C2775,DATA!#REF!,2,FALSE),"")</f>
        <v/>
      </c>
      <c r="I2775" s="17"/>
      <c r="J2775" s="17"/>
      <c r="P2775" s="17"/>
      <c r="Q2775" s="17"/>
    </row>
    <row r="2776" spans="2:17">
      <c r="B2776" s="17"/>
      <c r="C2776" s="16" t="str">
        <f>IFERROR(VLOOKUP(DATA!#REF!,DATA!#REF!,1,FALSE),"")</f>
        <v/>
      </c>
      <c r="D2776" s="16" t="str">
        <f>IFERROR(VLOOKUP(C2776,DATA!#REF!,2,FALSE),"")</f>
        <v/>
      </c>
      <c r="I2776" s="17"/>
      <c r="J2776" s="17"/>
      <c r="P2776" s="17"/>
      <c r="Q2776" s="17"/>
    </row>
    <row r="2777" spans="2:17">
      <c r="B2777" s="17"/>
      <c r="C2777" s="16" t="str">
        <f>IFERROR(VLOOKUP(DATA!#REF!,DATA!#REF!,1,FALSE),"")</f>
        <v/>
      </c>
      <c r="D2777" s="16" t="str">
        <f>IFERROR(VLOOKUP(C2777,DATA!#REF!,2,FALSE),"")</f>
        <v/>
      </c>
      <c r="I2777" s="17"/>
      <c r="J2777" s="17"/>
      <c r="P2777" s="17"/>
      <c r="Q2777" s="17"/>
    </row>
    <row r="2778" spans="2:17">
      <c r="B2778" s="17"/>
      <c r="C2778" s="16" t="str">
        <f>IFERROR(VLOOKUP(DATA!#REF!,DATA!#REF!,1,FALSE),"")</f>
        <v/>
      </c>
      <c r="D2778" s="16" t="str">
        <f>IFERROR(VLOOKUP(C2778,DATA!#REF!,2,FALSE),"")</f>
        <v/>
      </c>
      <c r="I2778" s="17"/>
      <c r="J2778" s="17"/>
      <c r="P2778" s="17"/>
      <c r="Q2778" s="17"/>
    </row>
    <row r="2779" spans="2:17">
      <c r="B2779" s="17"/>
      <c r="C2779" s="16" t="str">
        <f>IFERROR(VLOOKUP(DATA!#REF!,DATA!#REF!,1,FALSE),"")</f>
        <v/>
      </c>
      <c r="D2779" s="16" t="str">
        <f>IFERROR(VLOOKUP(C2779,DATA!#REF!,2,FALSE),"")</f>
        <v/>
      </c>
      <c r="I2779" s="17"/>
      <c r="J2779" s="17"/>
      <c r="P2779" s="17"/>
      <c r="Q2779" s="17"/>
    </row>
    <row r="2780" spans="2:17">
      <c r="B2780" s="17"/>
      <c r="C2780" s="16" t="str">
        <f>IFERROR(VLOOKUP(DATA!#REF!,DATA!#REF!,1,FALSE),"")</f>
        <v/>
      </c>
      <c r="D2780" s="16" t="str">
        <f>IFERROR(VLOOKUP(C2780,DATA!#REF!,2,FALSE),"")</f>
        <v/>
      </c>
      <c r="I2780" s="17"/>
      <c r="J2780" s="17"/>
      <c r="P2780" s="17"/>
      <c r="Q2780" s="17"/>
    </row>
    <row r="2781" spans="2:17">
      <c r="B2781" s="17"/>
      <c r="C2781" s="16" t="str">
        <f>IFERROR(VLOOKUP(DATA!#REF!,DATA!#REF!,1,FALSE),"")</f>
        <v/>
      </c>
      <c r="D2781" s="16" t="str">
        <f>IFERROR(VLOOKUP(C2781,DATA!#REF!,2,FALSE),"")</f>
        <v/>
      </c>
      <c r="I2781" s="17"/>
      <c r="J2781" s="17"/>
      <c r="P2781" s="17"/>
      <c r="Q2781" s="17"/>
    </row>
    <row r="2782" spans="2:17">
      <c r="B2782" s="17"/>
      <c r="C2782" s="16" t="str">
        <f>IFERROR(VLOOKUP(DATA!#REF!,DATA!#REF!,1,FALSE),"")</f>
        <v/>
      </c>
      <c r="D2782" s="16" t="str">
        <f>IFERROR(VLOOKUP(C2782,DATA!#REF!,2,FALSE),"")</f>
        <v/>
      </c>
      <c r="I2782" s="17"/>
      <c r="J2782" s="17"/>
      <c r="P2782" s="17"/>
      <c r="Q2782" s="17"/>
    </row>
    <row r="2783" spans="2:17">
      <c r="B2783" s="17"/>
      <c r="C2783" s="16" t="str">
        <f>IFERROR(VLOOKUP(DATA!#REF!,DATA!#REF!,1,FALSE),"")</f>
        <v/>
      </c>
      <c r="D2783" s="16" t="str">
        <f>IFERROR(VLOOKUP(C2783,DATA!#REF!,2,FALSE),"")</f>
        <v/>
      </c>
      <c r="I2783" s="17"/>
      <c r="J2783" s="17"/>
      <c r="P2783" s="17"/>
      <c r="Q2783" s="17"/>
    </row>
    <row r="2784" spans="2:17">
      <c r="B2784" s="17"/>
      <c r="C2784" s="16" t="str">
        <f>IFERROR(VLOOKUP(DATA!#REF!,DATA!#REF!,1,FALSE),"")</f>
        <v/>
      </c>
      <c r="D2784" s="16" t="str">
        <f>IFERROR(VLOOKUP(C2784,DATA!#REF!,2,FALSE),"")</f>
        <v/>
      </c>
      <c r="I2784" s="17"/>
      <c r="J2784" s="17"/>
      <c r="P2784" s="17"/>
      <c r="Q2784" s="17"/>
    </row>
    <row r="2785" spans="2:17">
      <c r="B2785" s="17"/>
      <c r="C2785" s="16" t="str">
        <f>IFERROR(VLOOKUP(DATA!#REF!,DATA!#REF!,1,FALSE),"")</f>
        <v/>
      </c>
      <c r="D2785" s="16" t="str">
        <f>IFERROR(VLOOKUP(C2785,DATA!#REF!,2,FALSE),"")</f>
        <v/>
      </c>
      <c r="I2785" s="17"/>
      <c r="J2785" s="17"/>
      <c r="P2785" s="17"/>
      <c r="Q2785" s="17"/>
    </row>
    <row r="2786" spans="2:17">
      <c r="B2786" s="17"/>
      <c r="C2786" s="16" t="str">
        <f>IFERROR(VLOOKUP(DATA!#REF!,DATA!#REF!,1,FALSE),"")</f>
        <v/>
      </c>
      <c r="D2786" s="16" t="str">
        <f>IFERROR(VLOOKUP(C2786,DATA!#REF!,2,FALSE),"")</f>
        <v/>
      </c>
      <c r="I2786" s="17"/>
      <c r="J2786" s="17"/>
      <c r="P2786" s="17"/>
      <c r="Q2786" s="17"/>
    </row>
    <row r="2787" spans="2:17">
      <c r="B2787" s="17"/>
      <c r="C2787" s="16" t="str">
        <f>IFERROR(VLOOKUP(DATA!#REF!,DATA!#REF!,1,FALSE),"")</f>
        <v/>
      </c>
      <c r="D2787" s="16" t="str">
        <f>IFERROR(VLOOKUP(C2787,DATA!#REF!,2,FALSE),"")</f>
        <v/>
      </c>
      <c r="I2787" s="17"/>
      <c r="J2787" s="17"/>
      <c r="P2787" s="17"/>
      <c r="Q2787" s="17"/>
    </row>
    <row r="2788" spans="2:17">
      <c r="B2788" s="17"/>
      <c r="C2788" s="16" t="str">
        <f>IFERROR(VLOOKUP(DATA!#REF!,DATA!#REF!,1,FALSE),"")</f>
        <v/>
      </c>
      <c r="D2788" s="16" t="str">
        <f>IFERROR(VLOOKUP(C2788,DATA!#REF!,2,FALSE),"")</f>
        <v/>
      </c>
      <c r="I2788" s="17"/>
      <c r="J2788" s="17"/>
      <c r="P2788" s="17"/>
      <c r="Q2788" s="17"/>
    </row>
    <row r="2789" spans="2:17">
      <c r="B2789" s="17"/>
      <c r="C2789" s="16" t="str">
        <f>IFERROR(VLOOKUP(DATA!#REF!,DATA!#REF!,1,FALSE),"")</f>
        <v/>
      </c>
      <c r="D2789" s="16" t="str">
        <f>IFERROR(VLOOKUP(C2789,DATA!#REF!,2,FALSE),"")</f>
        <v/>
      </c>
      <c r="I2789" s="17"/>
      <c r="J2789" s="17"/>
      <c r="P2789" s="17"/>
      <c r="Q2789" s="17"/>
    </row>
    <row r="2790" spans="2:17">
      <c r="B2790" s="17"/>
      <c r="C2790" s="16" t="str">
        <f>IFERROR(VLOOKUP(DATA!#REF!,DATA!#REF!,1,FALSE),"")</f>
        <v/>
      </c>
      <c r="D2790" s="16" t="str">
        <f>IFERROR(VLOOKUP(C2790,DATA!#REF!,2,FALSE),"")</f>
        <v/>
      </c>
      <c r="I2790" s="17"/>
      <c r="J2790" s="17"/>
      <c r="P2790" s="17"/>
      <c r="Q2790" s="17"/>
    </row>
    <row r="2791" spans="2:17">
      <c r="B2791" s="17"/>
      <c r="C2791" s="16" t="str">
        <f>IFERROR(VLOOKUP(DATA!#REF!,DATA!#REF!,1,FALSE),"")</f>
        <v/>
      </c>
      <c r="D2791" s="16" t="str">
        <f>IFERROR(VLOOKUP(C2791,DATA!#REF!,2,FALSE),"")</f>
        <v/>
      </c>
      <c r="I2791" s="17"/>
      <c r="J2791" s="17"/>
      <c r="P2791" s="17"/>
      <c r="Q2791" s="17"/>
    </row>
    <row r="2792" spans="2:17">
      <c r="B2792" s="17"/>
      <c r="C2792" s="16" t="str">
        <f>IFERROR(VLOOKUP(DATA!#REF!,DATA!#REF!,1,FALSE),"")</f>
        <v/>
      </c>
      <c r="D2792" s="16" t="str">
        <f>IFERROR(VLOOKUP(C2792,DATA!#REF!,2,FALSE),"")</f>
        <v/>
      </c>
      <c r="I2792" s="17"/>
      <c r="J2792" s="17"/>
      <c r="P2792" s="17"/>
      <c r="Q2792" s="17"/>
    </row>
    <row r="2793" spans="2:17">
      <c r="B2793" s="17"/>
      <c r="C2793" s="16" t="str">
        <f>IFERROR(VLOOKUP(DATA!#REF!,DATA!#REF!,1,FALSE),"")</f>
        <v/>
      </c>
      <c r="D2793" s="16" t="str">
        <f>IFERROR(VLOOKUP(C2793,DATA!#REF!,2,FALSE),"")</f>
        <v/>
      </c>
      <c r="I2793" s="17"/>
      <c r="J2793" s="17"/>
      <c r="P2793" s="17"/>
      <c r="Q2793" s="17"/>
    </row>
    <row r="2794" spans="2:17">
      <c r="B2794" s="17"/>
      <c r="C2794" s="16" t="str">
        <f>IFERROR(VLOOKUP(DATA!#REF!,DATA!#REF!,1,FALSE),"")</f>
        <v/>
      </c>
      <c r="D2794" s="16" t="str">
        <f>IFERROR(VLOOKUP(C2794,DATA!#REF!,2,FALSE),"")</f>
        <v/>
      </c>
      <c r="I2794" s="17"/>
      <c r="J2794" s="17"/>
      <c r="P2794" s="17"/>
      <c r="Q2794" s="17"/>
    </row>
    <row r="2795" spans="2:17">
      <c r="B2795" s="17"/>
      <c r="C2795" s="16" t="str">
        <f>IFERROR(VLOOKUP(DATA!#REF!,DATA!#REF!,1,FALSE),"")</f>
        <v/>
      </c>
      <c r="D2795" s="16" t="str">
        <f>IFERROR(VLOOKUP(C2795,DATA!#REF!,2,FALSE),"")</f>
        <v/>
      </c>
      <c r="I2795" s="17"/>
      <c r="J2795" s="17"/>
      <c r="P2795" s="17"/>
      <c r="Q2795" s="17"/>
    </row>
    <row r="2796" spans="2:17">
      <c r="B2796" s="17"/>
      <c r="C2796" s="16" t="str">
        <f>IFERROR(VLOOKUP(DATA!#REF!,DATA!#REF!,1,FALSE),"")</f>
        <v/>
      </c>
      <c r="D2796" s="16" t="str">
        <f>IFERROR(VLOOKUP(C2796,DATA!#REF!,2,FALSE),"")</f>
        <v/>
      </c>
      <c r="I2796" s="17"/>
      <c r="J2796" s="17"/>
      <c r="P2796" s="17"/>
      <c r="Q2796" s="17"/>
    </row>
    <row r="2797" spans="2:17">
      <c r="B2797" s="17"/>
      <c r="C2797" s="16" t="str">
        <f>IFERROR(VLOOKUP(DATA!#REF!,DATA!#REF!,1,FALSE),"")</f>
        <v/>
      </c>
      <c r="D2797" s="16" t="str">
        <f>IFERROR(VLOOKUP(C2797,DATA!#REF!,2,FALSE),"")</f>
        <v/>
      </c>
      <c r="I2797" s="17"/>
      <c r="J2797" s="17"/>
      <c r="P2797" s="17"/>
      <c r="Q2797" s="17"/>
    </row>
    <row r="2798" spans="2:17">
      <c r="B2798" s="17"/>
      <c r="C2798" s="16" t="str">
        <f>IFERROR(VLOOKUP(DATA!#REF!,DATA!#REF!,1,FALSE),"")</f>
        <v/>
      </c>
      <c r="D2798" s="16" t="str">
        <f>IFERROR(VLOOKUP(C2798,DATA!#REF!,2,FALSE),"")</f>
        <v/>
      </c>
      <c r="I2798" s="17"/>
      <c r="J2798" s="17"/>
      <c r="P2798" s="17"/>
      <c r="Q2798" s="17"/>
    </row>
    <row r="2799" spans="2:17">
      <c r="B2799" s="17"/>
      <c r="C2799" s="16" t="str">
        <f>IFERROR(VLOOKUP(DATA!#REF!,DATA!#REF!,1,FALSE),"")</f>
        <v/>
      </c>
      <c r="D2799" s="16" t="str">
        <f>IFERROR(VLOOKUP(C2799,DATA!#REF!,2,FALSE),"")</f>
        <v/>
      </c>
      <c r="I2799" s="17"/>
      <c r="J2799" s="17"/>
      <c r="P2799" s="17"/>
      <c r="Q2799" s="17"/>
    </row>
    <row r="2800" spans="2:17">
      <c r="B2800" s="17"/>
      <c r="C2800" s="16" t="str">
        <f>IFERROR(VLOOKUP(DATA!#REF!,DATA!#REF!,1,FALSE),"")</f>
        <v/>
      </c>
      <c r="D2800" s="16" t="str">
        <f>IFERROR(VLOOKUP(C2800,DATA!#REF!,2,FALSE),"")</f>
        <v/>
      </c>
      <c r="I2800" s="17"/>
      <c r="J2800" s="17"/>
      <c r="P2800" s="17"/>
      <c r="Q2800" s="17"/>
    </row>
    <row r="2801" spans="2:17">
      <c r="B2801" s="17"/>
      <c r="C2801" s="16" t="str">
        <f>IFERROR(VLOOKUP(DATA!#REF!,DATA!#REF!,1,FALSE),"")</f>
        <v/>
      </c>
      <c r="D2801" s="16" t="str">
        <f>IFERROR(VLOOKUP(C2801,DATA!#REF!,2,FALSE),"")</f>
        <v/>
      </c>
      <c r="I2801" s="17"/>
      <c r="J2801" s="17"/>
      <c r="P2801" s="17"/>
      <c r="Q2801" s="17"/>
    </row>
    <row r="2802" spans="2:17">
      <c r="B2802" s="17"/>
      <c r="C2802" s="16" t="str">
        <f>IFERROR(VLOOKUP(DATA!#REF!,DATA!#REF!,1,FALSE),"")</f>
        <v/>
      </c>
      <c r="D2802" s="16" t="str">
        <f>IFERROR(VLOOKUP(C2802,DATA!#REF!,2,FALSE),"")</f>
        <v/>
      </c>
      <c r="I2802" s="17"/>
      <c r="J2802" s="17"/>
      <c r="P2802" s="17"/>
      <c r="Q2802" s="17"/>
    </row>
    <row r="2803" spans="2:17">
      <c r="B2803" s="17"/>
      <c r="C2803" s="16" t="str">
        <f>IFERROR(VLOOKUP(DATA!#REF!,DATA!#REF!,1,FALSE),"")</f>
        <v/>
      </c>
      <c r="D2803" s="16" t="str">
        <f>IFERROR(VLOOKUP(C2803,DATA!#REF!,2,FALSE),"")</f>
        <v/>
      </c>
      <c r="I2803" s="17"/>
      <c r="J2803" s="17"/>
      <c r="P2803" s="17"/>
      <c r="Q2803" s="17"/>
    </row>
    <row r="2804" spans="2:17">
      <c r="B2804" s="17"/>
      <c r="C2804" s="16" t="str">
        <f>IFERROR(VLOOKUP(DATA!#REF!,DATA!#REF!,1,FALSE),"")</f>
        <v/>
      </c>
      <c r="D2804" s="16" t="str">
        <f>IFERROR(VLOOKUP(C2804,DATA!#REF!,2,FALSE),"")</f>
        <v/>
      </c>
      <c r="I2804" s="17"/>
      <c r="J2804" s="17"/>
      <c r="P2804" s="17"/>
      <c r="Q2804" s="17"/>
    </row>
    <row r="2805" spans="2:17">
      <c r="B2805" s="17"/>
      <c r="C2805" s="16" t="str">
        <f>IFERROR(VLOOKUP(DATA!#REF!,DATA!#REF!,1,FALSE),"")</f>
        <v/>
      </c>
      <c r="D2805" s="16" t="str">
        <f>IFERROR(VLOOKUP(C2805,DATA!#REF!,2,FALSE),"")</f>
        <v/>
      </c>
      <c r="I2805" s="17"/>
      <c r="J2805" s="17"/>
      <c r="P2805" s="17"/>
      <c r="Q2805" s="17"/>
    </row>
    <row r="2806" spans="2:17">
      <c r="B2806" s="17"/>
      <c r="C2806" s="16" t="str">
        <f>IFERROR(VLOOKUP(DATA!#REF!,DATA!#REF!,1,FALSE),"")</f>
        <v/>
      </c>
      <c r="D2806" s="16" t="str">
        <f>IFERROR(VLOOKUP(C2806,DATA!#REF!,2,FALSE),"")</f>
        <v/>
      </c>
      <c r="I2806" s="17"/>
      <c r="J2806" s="17"/>
      <c r="P2806" s="17"/>
      <c r="Q2806" s="17"/>
    </row>
    <row r="2807" spans="2:17">
      <c r="B2807" s="17"/>
      <c r="C2807" s="16" t="str">
        <f>IFERROR(VLOOKUP(DATA!#REF!,DATA!#REF!,1,FALSE),"")</f>
        <v/>
      </c>
      <c r="D2807" s="16" t="str">
        <f>IFERROR(VLOOKUP(C2807,DATA!#REF!,2,FALSE),"")</f>
        <v/>
      </c>
      <c r="I2807" s="17"/>
      <c r="J2807" s="17"/>
      <c r="P2807" s="17"/>
      <c r="Q2807" s="17"/>
    </row>
    <row r="2808" spans="2:17">
      <c r="B2808" s="17"/>
      <c r="C2808" s="16" t="str">
        <f>IFERROR(VLOOKUP(DATA!#REF!,DATA!#REF!,1,FALSE),"")</f>
        <v/>
      </c>
      <c r="D2808" s="16" t="str">
        <f>IFERROR(VLOOKUP(C2808,DATA!#REF!,2,FALSE),"")</f>
        <v/>
      </c>
      <c r="I2808" s="17"/>
      <c r="J2808" s="17"/>
      <c r="P2808" s="17"/>
      <c r="Q2808" s="17"/>
    </row>
    <row r="2809" spans="2:17">
      <c r="B2809" s="17"/>
      <c r="C2809" s="16" t="str">
        <f>IFERROR(VLOOKUP(DATA!#REF!,DATA!#REF!,1,FALSE),"")</f>
        <v/>
      </c>
      <c r="D2809" s="16" t="str">
        <f>IFERROR(VLOOKUP(C2809,DATA!#REF!,2,FALSE),"")</f>
        <v/>
      </c>
      <c r="I2809" s="17"/>
      <c r="J2809" s="17"/>
      <c r="P2809" s="17"/>
      <c r="Q2809" s="17"/>
    </row>
    <row r="2810" spans="2:17">
      <c r="B2810" s="17"/>
      <c r="C2810" s="16" t="str">
        <f>IFERROR(VLOOKUP(DATA!#REF!,DATA!#REF!,1,FALSE),"")</f>
        <v/>
      </c>
      <c r="D2810" s="16" t="str">
        <f>IFERROR(VLOOKUP(C2810,DATA!#REF!,2,FALSE),"")</f>
        <v/>
      </c>
      <c r="I2810" s="17"/>
      <c r="J2810" s="17"/>
      <c r="P2810" s="17"/>
      <c r="Q2810" s="17"/>
    </row>
    <row r="2811" spans="2:17">
      <c r="B2811" s="17"/>
      <c r="C2811" s="16" t="str">
        <f>IFERROR(VLOOKUP(DATA!#REF!,DATA!#REF!,1,FALSE),"")</f>
        <v/>
      </c>
      <c r="D2811" s="16" t="str">
        <f>IFERROR(VLOOKUP(C2811,DATA!#REF!,2,FALSE),"")</f>
        <v/>
      </c>
      <c r="I2811" s="17"/>
      <c r="J2811" s="17"/>
      <c r="P2811" s="17"/>
      <c r="Q2811" s="17"/>
    </row>
    <row r="2812" spans="2:17">
      <c r="B2812" s="17"/>
      <c r="C2812" s="16" t="str">
        <f>IFERROR(VLOOKUP(DATA!#REF!,DATA!#REF!,1,FALSE),"")</f>
        <v/>
      </c>
      <c r="D2812" s="16" t="str">
        <f>IFERROR(VLOOKUP(C2812,DATA!#REF!,2,FALSE),"")</f>
        <v/>
      </c>
      <c r="I2812" s="17"/>
      <c r="J2812" s="17"/>
      <c r="P2812" s="17"/>
      <c r="Q2812" s="17"/>
    </row>
    <row r="2813" spans="2:17">
      <c r="B2813" s="17"/>
      <c r="C2813" s="16" t="str">
        <f>IFERROR(VLOOKUP(DATA!#REF!,DATA!#REF!,1,FALSE),"")</f>
        <v/>
      </c>
      <c r="D2813" s="16" t="str">
        <f>IFERROR(VLOOKUP(C2813,DATA!#REF!,2,FALSE),"")</f>
        <v/>
      </c>
      <c r="I2813" s="17"/>
      <c r="J2813" s="17"/>
      <c r="P2813" s="17"/>
      <c r="Q2813" s="17"/>
    </row>
    <row r="2814" spans="2:17">
      <c r="B2814" s="17"/>
      <c r="C2814" s="16" t="str">
        <f>IFERROR(VLOOKUP(DATA!#REF!,DATA!#REF!,1,FALSE),"")</f>
        <v/>
      </c>
      <c r="D2814" s="16" t="str">
        <f>IFERROR(VLOOKUP(C2814,DATA!#REF!,2,FALSE),"")</f>
        <v/>
      </c>
      <c r="I2814" s="17"/>
      <c r="J2814" s="17"/>
      <c r="P2814" s="17"/>
      <c r="Q2814" s="17"/>
    </row>
    <row r="2815" spans="2:17">
      <c r="B2815" s="17"/>
      <c r="C2815" s="16" t="str">
        <f>IFERROR(VLOOKUP(DATA!#REF!,DATA!#REF!,1,FALSE),"")</f>
        <v/>
      </c>
      <c r="D2815" s="16" t="str">
        <f>IFERROR(VLOOKUP(C2815,DATA!#REF!,2,FALSE),"")</f>
        <v/>
      </c>
      <c r="I2815" s="17"/>
      <c r="J2815" s="17"/>
      <c r="P2815" s="17"/>
      <c r="Q2815" s="17"/>
    </row>
    <row r="2816" spans="2:17">
      <c r="B2816" s="17"/>
      <c r="C2816" s="16" t="str">
        <f>IFERROR(VLOOKUP(DATA!#REF!,DATA!#REF!,1,FALSE),"")</f>
        <v/>
      </c>
      <c r="D2816" s="16" t="str">
        <f>IFERROR(VLOOKUP(C2816,DATA!#REF!,2,FALSE),"")</f>
        <v/>
      </c>
      <c r="I2816" s="17"/>
      <c r="J2816" s="17"/>
      <c r="P2816" s="17"/>
      <c r="Q2816" s="17"/>
    </row>
    <row r="2817" spans="2:17">
      <c r="B2817" s="17"/>
      <c r="C2817" s="16" t="str">
        <f>IFERROR(VLOOKUP(DATA!#REF!,DATA!#REF!,1,FALSE),"")</f>
        <v/>
      </c>
      <c r="D2817" s="16" t="str">
        <f>IFERROR(VLOOKUP(C2817,DATA!#REF!,2,FALSE),"")</f>
        <v/>
      </c>
      <c r="I2817" s="17"/>
      <c r="J2817" s="17"/>
      <c r="P2817" s="17"/>
      <c r="Q2817" s="17"/>
    </row>
    <row r="2818" spans="2:17">
      <c r="B2818" s="17"/>
      <c r="C2818" s="16" t="str">
        <f>IFERROR(VLOOKUP(DATA!#REF!,DATA!#REF!,1,FALSE),"")</f>
        <v/>
      </c>
      <c r="D2818" s="16" t="str">
        <f>IFERROR(VLOOKUP(C2818,DATA!#REF!,2,FALSE),"")</f>
        <v/>
      </c>
      <c r="I2818" s="17"/>
      <c r="J2818" s="17"/>
      <c r="P2818" s="17"/>
      <c r="Q2818" s="17"/>
    </row>
    <row r="2819" spans="2:17">
      <c r="B2819" s="17"/>
      <c r="C2819" s="16" t="str">
        <f>IFERROR(VLOOKUP(DATA!#REF!,DATA!#REF!,1,FALSE),"")</f>
        <v/>
      </c>
      <c r="D2819" s="16" t="str">
        <f>IFERROR(VLOOKUP(C2819,DATA!#REF!,2,FALSE),"")</f>
        <v/>
      </c>
      <c r="I2819" s="17"/>
      <c r="J2819" s="17"/>
      <c r="P2819" s="17"/>
      <c r="Q2819" s="17"/>
    </row>
    <row r="2820" spans="2:17">
      <c r="B2820" s="17"/>
      <c r="C2820" s="16" t="str">
        <f>IFERROR(VLOOKUP(DATA!#REF!,DATA!#REF!,1,FALSE),"")</f>
        <v/>
      </c>
      <c r="D2820" s="16" t="str">
        <f>IFERROR(VLOOKUP(C2820,DATA!#REF!,2,FALSE),"")</f>
        <v/>
      </c>
      <c r="I2820" s="17"/>
      <c r="J2820" s="17"/>
      <c r="P2820" s="17"/>
      <c r="Q2820" s="17"/>
    </row>
    <row r="2821" spans="2:17">
      <c r="B2821" s="17"/>
      <c r="C2821" s="16" t="str">
        <f>IFERROR(VLOOKUP(DATA!#REF!,DATA!#REF!,1,FALSE),"")</f>
        <v/>
      </c>
      <c r="D2821" s="16" t="str">
        <f>IFERROR(VLOOKUP(C2821,DATA!#REF!,2,FALSE),"")</f>
        <v/>
      </c>
      <c r="I2821" s="17"/>
      <c r="J2821" s="17"/>
      <c r="P2821" s="17"/>
      <c r="Q2821" s="17"/>
    </row>
    <row r="2822" spans="2:17">
      <c r="B2822" s="17"/>
      <c r="C2822" s="16" t="str">
        <f>IFERROR(VLOOKUP(DATA!#REF!,DATA!#REF!,1,FALSE),"")</f>
        <v/>
      </c>
      <c r="D2822" s="16" t="str">
        <f>IFERROR(VLOOKUP(C2822,DATA!#REF!,2,FALSE),"")</f>
        <v/>
      </c>
      <c r="I2822" s="17"/>
      <c r="J2822" s="17"/>
      <c r="P2822" s="17"/>
      <c r="Q2822" s="17"/>
    </row>
    <row r="2823" spans="2:17">
      <c r="B2823" s="17"/>
      <c r="C2823" s="16" t="str">
        <f>IFERROR(VLOOKUP(DATA!#REF!,DATA!#REF!,1,FALSE),"")</f>
        <v/>
      </c>
      <c r="D2823" s="16" t="str">
        <f>IFERROR(VLOOKUP(C2823,DATA!#REF!,2,FALSE),"")</f>
        <v/>
      </c>
      <c r="I2823" s="17"/>
      <c r="J2823" s="17"/>
      <c r="P2823" s="17"/>
      <c r="Q2823" s="17"/>
    </row>
    <row r="2824" spans="2:17">
      <c r="B2824" s="17"/>
      <c r="C2824" s="16" t="str">
        <f>IFERROR(VLOOKUP(DATA!#REF!,DATA!#REF!,1,FALSE),"")</f>
        <v/>
      </c>
      <c r="D2824" s="16" t="str">
        <f>IFERROR(VLOOKUP(C2824,DATA!#REF!,2,FALSE),"")</f>
        <v/>
      </c>
      <c r="I2824" s="17"/>
      <c r="J2824" s="17"/>
      <c r="P2824" s="17"/>
      <c r="Q2824" s="17"/>
    </row>
    <row r="2825" spans="2:17">
      <c r="B2825" s="17"/>
      <c r="C2825" s="16" t="str">
        <f>IFERROR(VLOOKUP(DATA!#REF!,DATA!#REF!,1,FALSE),"")</f>
        <v/>
      </c>
      <c r="D2825" s="16" t="str">
        <f>IFERROR(VLOOKUP(C2825,DATA!#REF!,2,FALSE),"")</f>
        <v/>
      </c>
      <c r="I2825" s="17"/>
      <c r="J2825" s="17"/>
      <c r="P2825" s="17"/>
      <c r="Q2825" s="17"/>
    </row>
    <row r="2826" spans="2:17">
      <c r="B2826" s="17"/>
      <c r="C2826" s="16" t="str">
        <f>IFERROR(VLOOKUP(DATA!#REF!,DATA!#REF!,1,FALSE),"")</f>
        <v/>
      </c>
      <c r="D2826" s="16" t="str">
        <f>IFERROR(VLOOKUP(C2826,DATA!#REF!,2,FALSE),"")</f>
        <v/>
      </c>
      <c r="I2826" s="17"/>
      <c r="J2826" s="17"/>
      <c r="P2826" s="17"/>
      <c r="Q2826" s="17"/>
    </row>
    <row r="2827" spans="2:17">
      <c r="B2827" s="17"/>
      <c r="C2827" s="16" t="str">
        <f>IFERROR(VLOOKUP(DATA!#REF!,DATA!#REF!,1,FALSE),"")</f>
        <v/>
      </c>
      <c r="D2827" s="16" t="str">
        <f>IFERROR(VLOOKUP(C2827,DATA!#REF!,2,FALSE),"")</f>
        <v/>
      </c>
      <c r="I2827" s="17"/>
      <c r="J2827" s="17"/>
      <c r="P2827" s="17"/>
      <c r="Q2827" s="17"/>
    </row>
    <row r="2828" spans="2:17">
      <c r="B2828" s="17"/>
      <c r="C2828" s="16" t="str">
        <f>IFERROR(VLOOKUP(DATA!#REF!,DATA!#REF!,1,FALSE),"")</f>
        <v/>
      </c>
      <c r="D2828" s="16" t="str">
        <f>IFERROR(VLOOKUP(C2828,DATA!#REF!,2,FALSE),"")</f>
        <v/>
      </c>
      <c r="I2828" s="17"/>
      <c r="J2828" s="17"/>
      <c r="P2828" s="17"/>
      <c r="Q2828" s="17"/>
    </row>
    <row r="2829" spans="2:17">
      <c r="B2829" s="17"/>
      <c r="C2829" s="16" t="str">
        <f>IFERROR(VLOOKUP(DATA!#REF!,DATA!#REF!,1,FALSE),"")</f>
        <v/>
      </c>
      <c r="D2829" s="16" t="str">
        <f>IFERROR(VLOOKUP(C2829,DATA!#REF!,2,FALSE),"")</f>
        <v/>
      </c>
      <c r="I2829" s="17"/>
      <c r="J2829" s="17"/>
      <c r="P2829" s="17"/>
      <c r="Q2829" s="17"/>
    </row>
    <row r="2830" spans="2:17">
      <c r="B2830" s="17"/>
      <c r="C2830" s="16" t="str">
        <f>IFERROR(VLOOKUP(DATA!#REF!,DATA!#REF!,1,FALSE),"")</f>
        <v/>
      </c>
      <c r="D2830" s="16" t="str">
        <f>IFERROR(VLOOKUP(C2830,DATA!#REF!,2,FALSE),"")</f>
        <v/>
      </c>
      <c r="I2830" s="17"/>
      <c r="J2830" s="17"/>
      <c r="P2830" s="17"/>
      <c r="Q2830" s="17"/>
    </row>
    <row r="2831" spans="2:17">
      <c r="B2831" s="17"/>
      <c r="C2831" s="16" t="str">
        <f>IFERROR(VLOOKUP(DATA!#REF!,DATA!#REF!,1,FALSE),"")</f>
        <v/>
      </c>
      <c r="D2831" s="16" t="str">
        <f>IFERROR(VLOOKUP(C2831,DATA!#REF!,2,FALSE),"")</f>
        <v/>
      </c>
      <c r="I2831" s="17"/>
      <c r="J2831" s="17"/>
      <c r="P2831" s="17"/>
      <c r="Q2831" s="17"/>
    </row>
    <row r="2832" spans="2:17">
      <c r="B2832" s="17"/>
      <c r="C2832" s="16" t="str">
        <f>IFERROR(VLOOKUP(DATA!#REF!,DATA!#REF!,1,FALSE),"")</f>
        <v/>
      </c>
      <c r="D2832" s="16" t="str">
        <f>IFERROR(VLOOKUP(C2832,DATA!#REF!,2,FALSE),"")</f>
        <v/>
      </c>
      <c r="I2832" s="17"/>
      <c r="J2832" s="17"/>
      <c r="P2832" s="17"/>
      <c r="Q2832" s="17"/>
    </row>
    <row r="2833" spans="2:17">
      <c r="B2833" s="17"/>
      <c r="C2833" s="16" t="str">
        <f>IFERROR(VLOOKUP(DATA!#REF!,DATA!#REF!,1,FALSE),"")</f>
        <v/>
      </c>
      <c r="D2833" s="16" t="str">
        <f>IFERROR(VLOOKUP(C2833,DATA!#REF!,2,FALSE),"")</f>
        <v/>
      </c>
      <c r="I2833" s="17"/>
      <c r="J2833" s="17"/>
      <c r="P2833" s="17"/>
      <c r="Q2833" s="17"/>
    </row>
    <row r="2834" spans="2:17">
      <c r="B2834" s="17"/>
      <c r="C2834" s="16" t="str">
        <f>IFERROR(VLOOKUP(DATA!#REF!,DATA!#REF!,1,FALSE),"")</f>
        <v/>
      </c>
      <c r="D2834" s="16" t="str">
        <f>IFERROR(VLOOKUP(C2834,DATA!#REF!,2,FALSE),"")</f>
        <v/>
      </c>
      <c r="I2834" s="17"/>
      <c r="J2834" s="17"/>
      <c r="P2834" s="17"/>
      <c r="Q2834" s="17"/>
    </row>
    <row r="2835" spans="2:17">
      <c r="B2835" s="17"/>
      <c r="C2835" s="16" t="str">
        <f>IFERROR(VLOOKUP(DATA!#REF!,DATA!#REF!,1,FALSE),"")</f>
        <v/>
      </c>
      <c r="D2835" s="16" t="str">
        <f>IFERROR(VLOOKUP(C2835,DATA!#REF!,2,FALSE),"")</f>
        <v/>
      </c>
      <c r="I2835" s="17"/>
      <c r="J2835" s="17"/>
      <c r="P2835" s="17"/>
      <c r="Q2835" s="17"/>
    </row>
    <row r="2836" spans="2:17">
      <c r="B2836" s="17"/>
      <c r="C2836" s="16" t="str">
        <f>IFERROR(VLOOKUP(DATA!#REF!,DATA!#REF!,1,FALSE),"")</f>
        <v/>
      </c>
      <c r="D2836" s="16" t="str">
        <f>IFERROR(VLOOKUP(C2836,DATA!#REF!,2,FALSE),"")</f>
        <v/>
      </c>
      <c r="I2836" s="17"/>
      <c r="J2836" s="17"/>
      <c r="P2836" s="17"/>
      <c r="Q2836" s="17"/>
    </row>
    <row r="2837" spans="2:17">
      <c r="B2837" s="17"/>
      <c r="C2837" s="16" t="str">
        <f>IFERROR(VLOOKUP(DATA!#REF!,DATA!#REF!,1,FALSE),"")</f>
        <v/>
      </c>
      <c r="D2837" s="16" t="str">
        <f>IFERROR(VLOOKUP(C2837,DATA!#REF!,2,FALSE),"")</f>
        <v/>
      </c>
      <c r="I2837" s="17"/>
      <c r="J2837" s="17"/>
      <c r="P2837" s="17"/>
      <c r="Q2837" s="17"/>
    </row>
    <row r="2838" spans="2:17">
      <c r="B2838" s="17"/>
      <c r="C2838" s="16" t="str">
        <f>IFERROR(VLOOKUP(DATA!#REF!,DATA!#REF!,1,FALSE),"")</f>
        <v/>
      </c>
      <c r="D2838" s="16" t="str">
        <f>IFERROR(VLOOKUP(C2838,DATA!#REF!,2,FALSE),"")</f>
        <v/>
      </c>
      <c r="I2838" s="17"/>
      <c r="J2838" s="17"/>
      <c r="P2838" s="17"/>
      <c r="Q2838" s="17"/>
    </row>
    <row r="2839" spans="2:17">
      <c r="B2839" s="17"/>
      <c r="C2839" s="16" t="str">
        <f>IFERROR(VLOOKUP(DATA!#REF!,DATA!#REF!,1,FALSE),"")</f>
        <v/>
      </c>
      <c r="D2839" s="16" t="str">
        <f>IFERROR(VLOOKUP(C2839,DATA!#REF!,2,FALSE),"")</f>
        <v/>
      </c>
      <c r="I2839" s="17"/>
      <c r="J2839" s="17"/>
      <c r="P2839" s="17"/>
      <c r="Q2839" s="17"/>
    </row>
    <row r="2840" spans="2:17">
      <c r="B2840" s="17"/>
      <c r="C2840" s="16" t="str">
        <f>IFERROR(VLOOKUP(DATA!#REF!,DATA!#REF!,1,FALSE),"")</f>
        <v/>
      </c>
      <c r="D2840" s="16" t="str">
        <f>IFERROR(VLOOKUP(C2840,DATA!#REF!,2,FALSE),"")</f>
        <v/>
      </c>
      <c r="I2840" s="17"/>
      <c r="J2840" s="17"/>
      <c r="P2840" s="17"/>
      <c r="Q2840" s="17"/>
    </row>
    <row r="2841" spans="2:17">
      <c r="B2841" s="17"/>
      <c r="C2841" s="16" t="str">
        <f>IFERROR(VLOOKUP(DATA!#REF!,DATA!#REF!,1,FALSE),"")</f>
        <v/>
      </c>
      <c r="D2841" s="16" t="str">
        <f>IFERROR(VLOOKUP(C2841,DATA!#REF!,2,FALSE),"")</f>
        <v/>
      </c>
      <c r="I2841" s="17"/>
      <c r="J2841" s="17"/>
      <c r="P2841" s="17"/>
      <c r="Q2841" s="17"/>
    </row>
    <row r="2842" spans="2:17">
      <c r="B2842" s="17"/>
      <c r="C2842" s="16" t="str">
        <f>IFERROR(VLOOKUP(DATA!#REF!,DATA!#REF!,1,FALSE),"")</f>
        <v/>
      </c>
      <c r="D2842" s="16" t="str">
        <f>IFERROR(VLOOKUP(C2842,DATA!#REF!,2,FALSE),"")</f>
        <v/>
      </c>
      <c r="I2842" s="17"/>
      <c r="J2842" s="17"/>
      <c r="P2842" s="17"/>
      <c r="Q2842" s="17"/>
    </row>
    <row r="2843" spans="2:17">
      <c r="B2843" s="17"/>
      <c r="C2843" s="16" t="str">
        <f>IFERROR(VLOOKUP(DATA!#REF!,DATA!#REF!,1,FALSE),"")</f>
        <v/>
      </c>
      <c r="D2843" s="16" t="str">
        <f>IFERROR(VLOOKUP(C2843,DATA!#REF!,2,FALSE),"")</f>
        <v/>
      </c>
      <c r="I2843" s="17"/>
      <c r="J2843" s="17"/>
      <c r="P2843" s="17"/>
      <c r="Q2843" s="17"/>
    </row>
    <row r="2844" spans="2:17">
      <c r="B2844" s="17"/>
      <c r="C2844" s="16" t="str">
        <f>IFERROR(VLOOKUP(DATA!#REF!,DATA!#REF!,1,FALSE),"")</f>
        <v/>
      </c>
      <c r="D2844" s="16" t="str">
        <f>IFERROR(VLOOKUP(C2844,DATA!#REF!,2,FALSE),"")</f>
        <v/>
      </c>
      <c r="I2844" s="17"/>
      <c r="J2844" s="17"/>
      <c r="P2844" s="17"/>
      <c r="Q2844" s="17"/>
    </row>
    <row r="2845" spans="2:17">
      <c r="B2845" s="17"/>
      <c r="C2845" s="16" t="str">
        <f>IFERROR(VLOOKUP(DATA!#REF!,DATA!#REF!,1,FALSE),"")</f>
        <v/>
      </c>
      <c r="D2845" s="16" t="str">
        <f>IFERROR(VLOOKUP(C2845,DATA!#REF!,2,FALSE),"")</f>
        <v/>
      </c>
      <c r="I2845" s="17"/>
      <c r="J2845" s="17"/>
      <c r="P2845" s="17"/>
      <c r="Q2845" s="17"/>
    </row>
    <row r="2846" spans="2:17">
      <c r="B2846" s="17"/>
      <c r="C2846" s="16" t="str">
        <f>IFERROR(VLOOKUP(DATA!#REF!,DATA!#REF!,1,FALSE),"")</f>
        <v/>
      </c>
      <c r="D2846" s="16" t="str">
        <f>IFERROR(VLOOKUP(C2846,DATA!#REF!,2,FALSE),"")</f>
        <v/>
      </c>
      <c r="I2846" s="17"/>
      <c r="J2846" s="17"/>
      <c r="P2846" s="17"/>
      <c r="Q2846" s="17"/>
    </row>
    <row r="2847" spans="2:17">
      <c r="B2847" s="17"/>
      <c r="C2847" s="16" t="str">
        <f>IFERROR(VLOOKUP(DATA!#REF!,DATA!#REF!,1,FALSE),"")</f>
        <v/>
      </c>
      <c r="D2847" s="16" t="str">
        <f>IFERROR(VLOOKUP(C2847,DATA!#REF!,2,FALSE),"")</f>
        <v/>
      </c>
      <c r="I2847" s="17"/>
      <c r="J2847" s="17"/>
      <c r="P2847" s="17"/>
      <c r="Q2847" s="17"/>
    </row>
    <row r="2848" spans="2:17">
      <c r="B2848" s="17"/>
      <c r="C2848" s="16" t="str">
        <f>IFERROR(VLOOKUP(DATA!#REF!,DATA!#REF!,1,FALSE),"")</f>
        <v/>
      </c>
      <c r="D2848" s="16" t="str">
        <f>IFERROR(VLOOKUP(C2848,DATA!#REF!,2,FALSE),"")</f>
        <v/>
      </c>
      <c r="I2848" s="17"/>
      <c r="J2848" s="17"/>
      <c r="P2848" s="17"/>
      <c r="Q2848" s="17"/>
    </row>
    <row r="2849" spans="2:17">
      <c r="B2849" s="17"/>
      <c r="C2849" s="16" t="str">
        <f>IFERROR(VLOOKUP(DATA!#REF!,DATA!#REF!,1,FALSE),"")</f>
        <v/>
      </c>
      <c r="D2849" s="16" t="str">
        <f>IFERROR(VLOOKUP(C2849,DATA!#REF!,2,FALSE),"")</f>
        <v/>
      </c>
      <c r="I2849" s="17"/>
      <c r="J2849" s="17"/>
      <c r="P2849" s="17"/>
      <c r="Q2849" s="17"/>
    </row>
    <row r="2850" spans="2:17">
      <c r="B2850" s="17"/>
      <c r="C2850" s="16" t="str">
        <f>IFERROR(VLOOKUP(DATA!#REF!,DATA!#REF!,1,FALSE),"")</f>
        <v/>
      </c>
      <c r="D2850" s="16" t="str">
        <f>IFERROR(VLOOKUP(C2850,DATA!#REF!,2,FALSE),"")</f>
        <v/>
      </c>
      <c r="I2850" s="17"/>
      <c r="J2850" s="17"/>
      <c r="P2850" s="17"/>
      <c r="Q2850" s="17"/>
    </row>
    <row r="2851" spans="2:17">
      <c r="B2851" s="17"/>
      <c r="C2851" s="16" t="str">
        <f>IFERROR(VLOOKUP(DATA!#REF!,DATA!#REF!,1,FALSE),"")</f>
        <v/>
      </c>
      <c r="D2851" s="16" t="str">
        <f>IFERROR(VLOOKUP(C2851,DATA!#REF!,2,FALSE),"")</f>
        <v/>
      </c>
      <c r="I2851" s="17"/>
      <c r="J2851" s="17"/>
      <c r="P2851" s="17"/>
      <c r="Q2851" s="17"/>
    </row>
    <row r="2852" spans="2:17">
      <c r="B2852" s="17"/>
      <c r="C2852" s="16" t="str">
        <f>IFERROR(VLOOKUP(DATA!#REF!,DATA!#REF!,1,FALSE),"")</f>
        <v/>
      </c>
      <c r="D2852" s="16" t="str">
        <f>IFERROR(VLOOKUP(C2852,DATA!#REF!,2,FALSE),"")</f>
        <v/>
      </c>
      <c r="I2852" s="17"/>
      <c r="J2852" s="17"/>
      <c r="P2852" s="17"/>
      <c r="Q2852" s="17"/>
    </row>
    <row r="2853" spans="2:17">
      <c r="B2853" s="17"/>
      <c r="C2853" s="16" t="str">
        <f>IFERROR(VLOOKUP(DATA!#REF!,DATA!#REF!,1,FALSE),"")</f>
        <v/>
      </c>
      <c r="D2853" s="16" t="str">
        <f>IFERROR(VLOOKUP(C2853,DATA!#REF!,2,FALSE),"")</f>
        <v/>
      </c>
      <c r="I2853" s="17"/>
      <c r="J2853" s="17"/>
      <c r="P2853" s="17"/>
      <c r="Q2853" s="17"/>
    </row>
    <row r="2854" spans="2:17">
      <c r="B2854" s="17"/>
      <c r="C2854" s="16" t="str">
        <f>IFERROR(VLOOKUP(DATA!#REF!,DATA!#REF!,1,FALSE),"")</f>
        <v/>
      </c>
      <c r="D2854" s="16" t="str">
        <f>IFERROR(VLOOKUP(C2854,DATA!#REF!,2,FALSE),"")</f>
        <v/>
      </c>
      <c r="I2854" s="17"/>
      <c r="J2854" s="17"/>
      <c r="P2854" s="17"/>
      <c r="Q2854" s="17"/>
    </row>
    <row r="2855" spans="2:17">
      <c r="B2855" s="17"/>
      <c r="C2855" s="16" t="str">
        <f>IFERROR(VLOOKUP(DATA!#REF!,DATA!#REF!,1,FALSE),"")</f>
        <v/>
      </c>
      <c r="D2855" s="16" t="str">
        <f>IFERROR(VLOOKUP(C2855,DATA!#REF!,2,FALSE),"")</f>
        <v/>
      </c>
      <c r="I2855" s="17"/>
      <c r="J2855" s="17"/>
      <c r="P2855" s="17"/>
      <c r="Q2855" s="17"/>
    </row>
    <row r="2856" spans="2:17">
      <c r="B2856" s="17"/>
      <c r="C2856" s="16" t="str">
        <f>IFERROR(VLOOKUP(DATA!#REF!,DATA!#REF!,1,FALSE),"")</f>
        <v/>
      </c>
      <c r="D2856" s="16" t="str">
        <f>IFERROR(VLOOKUP(C2856,DATA!#REF!,2,FALSE),"")</f>
        <v/>
      </c>
      <c r="I2856" s="17"/>
      <c r="J2856" s="17"/>
      <c r="P2856" s="17"/>
      <c r="Q2856" s="17"/>
    </row>
    <row r="2857" spans="2:17">
      <c r="B2857" s="17"/>
      <c r="C2857" s="16" t="str">
        <f>IFERROR(VLOOKUP(DATA!#REF!,DATA!#REF!,1,FALSE),"")</f>
        <v/>
      </c>
      <c r="D2857" s="16" t="str">
        <f>IFERROR(VLOOKUP(C2857,DATA!#REF!,2,FALSE),"")</f>
        <v/>
      </c>
      <c r="I2857" s="17"/>
      <c r="J2857" s="17"/>
      <c r="P2857" s="17"/>
      <c r="Q2857" s="17"/>
    </row>
    <row r="2858" spans="2:17">
      <c r="B2858" s="17"/>
      <c r="C2858" s="16" t="str">
        <f>IFERROR(VLOOKUP(DATA!#REF!,DATA!#REF!,1,FALSE),"")</f>
        <v/>
      </c>
      <c r="D2858" s="16" t="str">
        <f>IFERROR(VLOOKUP(C2858,DATA!#REF!,2,FALSE),"")</f>
        <v/>
      </c>
      <c r="I2858" s="17"/>
      <c r="J2858" s="17"/>
      <c r="P2858" s="17"/>
      <c r="Q2858" s="17"/>
    </row>
    <row r="2859" spans="2:17">
      <c r="B2859" s="17"/>
      <c r="C2859" s="16" t="str">
        <f>IFERROR(VLOOKUP(DATA!#REF!,DATA!#REF!,1,FALSE),"")</f>
        <v/>
      </c>
      <c r="D2859" s="16" t="str">
        <f>IFERROR(VLOOKUP(C2859,DATA!#REF!,2,FALSE),"")</f>
        <v/>
      </c>
      <c r="I2859" s="17"/>
      <c r="J2859" s="17"/>
      <c r="P2859" s="17"/>
      <c r="Q2859" s="17"/>
    </row>
    <row r="2860" spans="2:17">
      <c r="B2860" s="17"/>
      <c r="C2860" s="16" t="str">
        <f>IFERROR(VLOOKUP(DATA!#REF!,DATA!#REF!,1,FALSE),"")</f>
        <v/>
      </c>
      <c r="D2860" s="16" t="str">
        <f>IFERROR(VLOOKUP(C2860,DATA!#REF!,2,FALSE),"")</f>
        <v/>
      </c>
      <c r="I2860" s="17"/>
      <c r="J2860" s="17"/>
      <c r="P2860" s="17"/>
      <c r="Q2860" s="17"/>
    </row>
    <row r="2861" spans="2:17">
      <c r="B2861" s="17"/>
      <c r="C2861" s="16" t="str">
        <f>IFERROR(VLOOKUP(DATA!#REF!,DATA!#REF!,1,FALSE),"")</f>
        <v/>
      </c>
      <c r="D2861" s="16" t="str">
        <f>IFERROR(VLOOKUP(C2861,DATA!#REF!,2,FALSE),"")</f>
        <v/>
      </c>
      <c r="I2861" s="17"/>
      <c r="J2861" s="17"/>
      <c r="P2861" s="17"/>
      <c r="Q2861" s="17"/>
    </row>
    <row r="2862" spans="2:17">
      <c r="B2862" s="17"/>
      <c r="C2862" s="16" t="str">
        <f>IFERROR(VLOOKUP(DATA!#REF!,DATA!#REF!,1,FALSE),"")</f>
        <v/>
      </c>
      <c r="D2862" s="16" t="str">
        <f>IFERROR(VLOOKUP(C2862,DATA!#REF!,2,FALSE),"")</f>
        <v/>
      </c>
      <c r="I2862" s="17"/>
      <c r="J2862" s="17"/>
      <c r="P2862" s="17"/>
      <c r="Q2862" s="17"/>
    </row>
    <row r="2863" spans="2:17">
      <c r="B2863" s="17"/>
      <c r="C2863" s="16" t="str">
        <f>IFERROR(VLOOKUP(DATA!#REF!,DATA!#REF!,1,FALSE),"")</f>
        <v/>
      </c>
      <c r="D2863" s="16" t="str">
        <f>IFERROR(VLOOKUP(C2863,DATA!#REF!,2,FALSE),"")</f>
        <v/>
      </c>
      <c r="I2863" s="17"/>
      <c r="J2863" s="17"/>
      <c r="P2863" s="17"/>
      <c r="Q2863" s="17"/>
    </row>
    <row r="2864" spans="2:17">
      <c r="B2864" s="17"/>
      <c r="C2864" s="16" t="str">
        <f>IFERROR(VLOOKUP(DATA!#REF!,DATA!#REF!,1,FALSE),"")</f>
        <v/>
      </c>
      <c r="D2864" s="16" t="str">
        <f>IFERROR(VLOOKUP(C2864,DATA!#REF!,2,FALSE),"")</f>
        <v/>
      </c>
      <c r="I2864" s="17"/>
      <c r="J2864" s="17"/>
      <c r="P2864" s="17"/>
      <c r="Q2864" s="17"/>
    </row>
    <row r="2865" spans="2:17">
      <c r="B2865" s="17"/>
      <c r="C2865" s="16" t="str">
        <f>IFERROR(VLOOKUP(DATA!#REF!,DATA!#REF!,1,FALSE),"")</f>
        <v/>
      </c>
      <c r="D2865" s="16" t="str">
        <f>IFERROR(VLOOKUP(C2865,DATA!#REF!,2,FALSE),"")</f>
        <v/>
      </c>
      <c r="I2865" s="17"/>
      <c r="J2865" s="17"/>
      <c r="P2865" s="17"/>
      <c r="Q2865" s="17"/>
    </row>
    <row r="2866" spans="2:17">
      <c r="B2866" s="17"/>
      <c r="C2866" s="16" t="str">
        <f>IFERROR(VLOOKUP(DATA!#REF!,DATA!#REF!,1,FALSE),"")</f>
        <v/>
      </c>
      <c r="D2866" s="16" t="str">
        <f>IFERROR(VLOOKUP(C2866,DATA!#REF!,2,FALSE),"")</f>
        <v/>
      </c>
      <c r="I2866" s="17"/>
      <c r="J2866" s="17"/>
      <c r="P2866" s="17"/>
      <c r="Q2866" s="17"/>
    </row>
    <row r="2867" spans="2:17">
      <c r="B2867" s="17"/>
      <c r="C2867" s="16" t="str">
        <f>IFERROR(VLOOKUP(DATA!#REF!,DATA!#REF!,1,FALSE),"")</f>
        <v/>
      </c>
      <c r="D2867" s="16" t="str">
        <f>IFERROR(VLOOKUP(C2867,DATA!#REF!,2,FALSE),"")</f>
        <v/>
      </c>
      <c r="I2867" s="17"/>
      <c r="J2867" s="17"/>
      <c r="P2867" s="17"/>
      <c r="Q2867" s="17"/>
    </row>
    <row r="2868" spans="2:17">
      <c r="B2868" s="17"/>
      <c r="C2868" s="16" t="str">
        <f>IFERROR(VLOOKUP(DATA!#REF!,DATA!#REF!,1,FALSE),"")</f>
        <v/>
      </c>
      <c r="D2868" s="16" t="str">
        <f>IFERROR(VLOOKUP(C2868,DATA!#REF!,2,FALSE),"")</f>
        <v/>
      </c>
      <c r="I2868" s="17"/>
      <c r="J2868" s="17"/>
      <c r="P2868" s="17"/>
      <c r="Q2868" s="17"/>
    </row>
    <row r="2869" spans="2:17">
      <c r="B2869" s="17"/>
      <c r="C2869" s="16" t="str">
        <f>IFERROR(VLOOKUP(DATA!#REF!,DATA!#REF!,1,FALSE),"")</f>
        <v/>
      </c>
      <c r="D2869" s="16" t="str">
        <f>IFERROR(VLOOKUP(C2869,DATA!#REF!,2,FALSE),"")</f>
        <v/>
      </c>
      <c r="I2869" s="17"/>
      <c r="J2869" s="17"/>
      <c r="P2869" s="17"/>
      <c r="Q2869" s="17"/>
    </row>
    <row r="2870" spans="2:17">
      <c r="B2870" s="17"/>
      <c r="C2870" s="16" t="str">
        <f>IFERROR(VLOOKUP(DATA!#REF!,DATA!#REF!,1,FALSE),"")</f>
        <v/>
      </c>
      <c r="D2870" s="16" t="str">
        <f>IFERROR(VLOOKUP(C2870,DATA!#REF!,2,FALSE),"")</f>
        <v/>
      </c>
      <c r="I2870" s="17"/>
      <c r="J2870" s="17"/>
      <c r="P2870" s="17"/>
      <c r="Q2870" s="17"/>
    </row>
    <row r="2871" spans="2:17">
      <c r="B2871" s="17"/>
      <c r="C2871" s="16" t="str">
        <f>IFERROR(VLOOKUP(DATA!#REF!,DATA!#REF!,1,FALSE),"")</f>
        <v/>
      </c>
      <c r="D2871" s="16" t="str">
        <f>IFERROR(VLOOKUP(C2871,DATA!#REF!,2,FALSE),"")</f>
        <v/>
      </c>
      <c r="I2871" s="17"/>
      <c r="J2871" s="17"/>
      <c r="P2871" s="17"/>
      <c r="Q2871" s="17"/>
    </row>
    <row r="2872" spans="2:17">
      <c r="B2872" s="17"/>
      <c r="C2872" s="16" t="str">
        <f>IFERROR(VLOOKUP(DATA!#REF!,DATA!#REF!,1,FALSE),"")</f>
        <v/>
      </c>
      <c r="D2872" s="16" t="str">
        <f>IFERROR(VLOOKUP(C2872,DATA!#REF!,2,FALSE),"")</f>
        <v/>
      </c>
      <c r="I2872" s="17"/>
      <c r="J2872" s="17"/>
      <c r="P2872" s="17"/>
      <c r="Q2872" s="17"/>
    </row>
    <row r="2873" spans="2:17">
      <c r="B2873" s="17"/>
      <c r="C2873" s="16" t="str">
        <f>IFERROR(VLOOKUP(DATA!#REF!,DATA!#REF!,1,FALSE),"")</f>
        <v/>
      </c>
      <c r="D2873" s="16" t="str">
        <f>IFERROR(VLOOKUP(C2873,DATA!#REF!,2,FALSE),"")</f>
        <v/>
      </c>
      <c r="I2873" s="17"/>
      <c r="J2873" s="17"/>
      <c r="P2873" s="17"/>
      <c r="Q2873" s="17"/>
    </row>
    <row r="2874" spans="2:17">
      <c r="B2874" s="17"/>
      <c r="C2874" s="16" t="str">
        <f>IFERROR(VLOOKUP(DATA!#REF!,DATA!#REF!,1,FALSE),"")</f>
        <v/>
      </c>
      <c r="D2874" s="16" t="str">
        <f>IFERROR(VLOOKUP(C2874,DATA!#REF!,2,FALSE),"")</f>
        <v/>
      </c>
      <c r="I2874" s="17"/>
      <c r="J2874" s="17"/>
      <c r="P2874" s="17"/>
      <c r="Q2874" s="17"/>
    </row>
    <row r="2875" spans="2:17">
      <c r="B2875" s="17"/>
      <c r="C2875" s="16" t="str">
        <f>IFERROR(VLOOKUP(DATA!#REF!,DATA!#REF!,1,FALSE),"")</f>
        <v/>
      </c>
      <c r="D2875" s="16" t="str">
        <f>IFERROR(VLOOKUP(C2875,DATA!#REF!,2,FALSE),"")</f>
        <v/>
      </c>
      <c r="I2875" s="17"/>
      <c r="J2875" s="17"/>
      <c r="P2875" s="17"/>
      <c r="Q2875" s="17"/>
    </row>
    <row r="2876" spans="2:17">
      <c r="B2876" s="17"/>
      <c r="C2876" s="16" t="str">
        <f>IFERROR(VLOOKUP(DATA!#REF!,DATA!#REF!,1,FALSE),"")</f>
        <v/>
      </c>
      <c r="D2876" s="16" t="str">
        <f>IFERROR(VLOOKUP(C2876,DATA!#REF!,2,FALSE),"")</f>
        <v/>
      </c>
      <c r="I2876" s="17"/>
      <c r="J2876" s="17"/>
      <c r="P2876" s="17"/>
      <c r="Q2876" s="17"/>
    </row>
    <row r="2877" spans="2:17">
      <c r="B2877" s="17"/>
      <c r="C2877" s="16" t="str">
        <f>IFERROR(VLOOKUP(DATA!#REF!,DATA!#REF!,1,FALSE),"")</f>
        <v/>
      </c>
      <c r="D2877" s="16" t="str">
        <f>IFERROR(VLOOKUP(C2877,DATA!#REF!,2,FALSE),"")</f>
        <v/>
      </c>
      <c r="I2877" s="17"/>
      <c r="J2877" s="17"/>
      <c r="P2877" s="17"/>
      <c r="Q2877" s="17"/>
    </row>
    <row r="2878" spans="2:17">
      <c r="B2878" s="17"/>
      <c r="C2878" s="16" t="str">
        <f>IFERROR(VLOOKUP(DATA!#REF!,DATA!#REF!,1,FALSE),"")</f>
        <v/>
      </c>
      <c r="D2878" s="16" t="str">
        <f>IFERROR(VLOOKUP(C2878,DATA!#REF!,2,FALSE),"")</f>
        <v/>
      </c>
      <c r="I2878" s="17"/>
      <c r="J2878" s="17"/>
      <c r="P2878" s="17"/>
      <c r="Q2878" s="17"/>
    </row>
    <row r="2879" spans="2:17">
      <c r="B2879" s="17"/>
      <c r="C2879" s="16" t="str">
        <f>IFERROR(VLOOKUP(DATA!#REF!,DATA!#REF!,1,FALSE),"")</f>
        <v/>
      </c>
      <c r="D2879" s="16" t="str">
        <f>IFERROR(VLOOKUP(C2879,DATA!#REF!,2,FALSE),"")</f>
        <v/>
      </c>
      <c r="I2879" s="17"/>
      <c r="J2879" s="17"/>
      <c r="P2879" s="17"/>
      <c r="Q2879" s="17"/>
    </row>
    <row r="2880" spans="2:17">
      <c r="B2880" s="17"/>
      <c r="C2880" s="16" t="str">
        <f>IFERROR(VLOOKUP(DATA!#REF!,DATA!#REF!,1,FALSE),"")</f>
        <v/>
      </c>
      <c r="D2880" s="16" t="str">
        <f>IFERROR(VLOOKUP(C2880,DATA!#REF!,2,FALSE),"")</f>
        <v/>
      </c>
      <c r="I2880" s="17"/>
      <c r="J2880" s="17"/>
      <c r="P2880" s="17"/>
      <c r="Q2880" s="17"/>
    </row>
    <row r="2881" spans="2:17">
      <c r="B2881" s="17"/>
      <c r="C2881" s="16" t="str">
        <f>IFERROR(VLOOKUP(DATA!#REF!,DATA!#REF!,1,FALSE),"")</f>
        <v/>
      </c>
      <c r="D2881" s="16" t="str">
        <f>IFERROR(VLOOKUP(C2881,DATA!#REF!,2,FALSE),"")</f>
        <v/>
      </c>
      <c r="I2881" s="17"/>
      <c r="J2881" s="17"/>
      <c r="P2881" s="17"/>
      <c r="Q2881" s="17"/>
    </row>
    <row r="2882" spans="2:17">
      <c r="B2882" s="17"/>
      <c r="C2882" s="16" t="str">
        <f>IFERROR(VLOOKUP(DATA!#REF!,DATA!#REF!,1,FALSE),"")</f>
        <v/>
      </c>
      <c r="D2882" s="16" t="str">
        <f>IFERROR(VLOOKUP(C2882,DATA!#REF!,2,FALSE),"")</f>
        <v/>
      </c>
      <c r="I2882" s="17"/>
      <c r="J2882" s="17"/>
      <c r="P2882" s="17"/>
      <c r="Q2882" s="17"/>
    </row>
    <row r="2883" spans="2:17">
      <c r="B2883" s="17"/>
      <c r="C2883" s="16" t="str">
        <f>IFERROR(VLOOKUP(DATA!#REF!,DATA!#REF!,1,FALSE),"")</f>
        <v/>
      </c>
      <c r="D2883" s="16" t="str">
        <f>IFERROR(VLOOKUP(C2883,DATA!#REF!,2,FALSE),"")</f>
        <v/>
      </c>
      <c r="I2883" s="17"/>
      <c r="J2883" s="17"/>
      <c r="P2883" s="17"/>
      <c r="Q2883" s="17"/>
    </row>
    <row r="2884" spans="2:17">
      <c r="B2884" s="17"/>
      <c r="C2884" s="16" t="str">
        <f>IFERROR(VLOOKUP(DATA!#REF!,DATA!#REF!,1,FALSE),"")</f>
        <v/>
      </c>
      <c r="D2884" s="16" t="str">
        <f>IFERROR(VLOOKUP(C2884,DATA!#REF!,2,FALSE),"")</f>
        <v/>
      </c>
      <c r="I2884" s="17"/>
      <c r="J2884" s="17"/>
      <c r="P2884" s="17"/>
      <c r="Q2884" s="17"/>
    </row>
    <row r="2885" spans="2:17">
      <c r="B2885" s="17"/>
      <c r="C2885" s="16" t="str">
        <f>IFERROR(VLOOKUP(DATA!#REF!,DATA!#REF!,1,FALSE),"")</f>
        <v/>
      </c>
      <c r="D2885" s="16" t="str">
        <f>IFERROR(VLOOKUP(C2885,DATA!#REF!,2,FALSE),"")</f>
        <v/>
      </c>
      <c r="I2885" s="17"/>
      <c r="J2885" s="17"/>
      <c r="P2885" s="17"/>
      <c r="Q2885" s="17"/>
    </row>
    <row r="2886" spans="2:17">
      <c r="B2886" s="17"/>
      <c r="C2886" s="16" t="str">
        <f>IFERROR(VLOOKUP(DATA!#REF!,DATA!#REF!,1,FALSE),"")</f>
        <v/>
      </c>
      <c r="D2886" s="16" t="str">
        <f>IFERROR(VLOOKUP(C2886,DATA!#REF!,2,FALSE),"")</f>
        <v/>
      </c>
      <c r="I2886" s="17"/>
      <c r="J2886" s="17"/>
      <c r="P2886" s="17"/>
      <c r="Q2886" s="17"/>
    </row>
    <row r="2887" spans="2:17">
      <c r="B2887" s="17"/>
      <c r="C2887" s="16" t="str">
        <f>IFERROR(VLOOKUP(DATA!#REF!,DATA!#REF!,1,FALSE),"")</f>
        <v/>
      </c>
      <c r="D2887" s="16" t="str">
        <f>IFERROR(VLOOKUP(C2887,DATA!#REF!,2,FALSE),"")</f>
        <v/>
      </c>
      <c r="I2887" s="17"/>
      <c r="J2887" s="17"/>
      <c r="P2887" s="17"/>
      <c r="Q2887" s="17"/>
    </row>
    <row r="2888" spans="2:17">
      <c r="B2888" s="17"/>
      <c r="C2888" s="16" t="str">
        <f>IFERROR(VLOOKUP(DATA!#REF!,DATA!#REF!,1,FALSE),"")</f>
        <v/>
      </c>
      <c r="D2888" s="16" t="str">
        <f>IFERROR(VLOOKUP(C2888,DATA!#REF!,2,FALSE),"")</f>
        <v/>
      </c>
      <c r="I2888" s="17"/>
      <c r="J2888" s="17"/>
      <c r="P2888" s="17"/>
      <c r="Q2888" s="17"/>
    </row>
    <row r="2889" spans="2:17">
      <c r="B2889" s="17"/>
      <c r="C2889" s="16" t="str">
        <f>IFERROR(VLOOKUP(DATA!#REF!,DATA!#REF!,1,FALSE),"")</f>
        <v/>
      </c>
      <c r="D2889" s="16" t="str">
        <f>IFERROR(VLOOKUP(C2889,DATA!#REF!,2,FALSE),"")</f>
        <v/>
      </c>
      <c r="I2889" s="17"/>
      <c r="J2889" s="17"/>
      <c r="P2889" s="17"/>
      <c r="Q2889" s="17"/>
    </row>
    <row r="2890" spans="2:17">
      <c r="B2890" s="17"/>
      <c r="C2890" s="16" t="str">
        <f>IFERROR(VLOOKUP(DATA!#REF!,DATA!#REF!,1,FALSE),"")</f>
        <v/>
      </c>
      <c r="D2890" s="16" t="str">
        <f>IFERROR(VLOOKUP(C2890,DATA!#REF!,2,FALSE),"")</f>
        <v/>
      </c>
      <c r="I2890" s="17"/>
      <c r="J2890" s="17"/>
      <c r="P2890" s="17"/>
      <c r="Q2890" s="17"/>
    </row>
    <row r="2891" spans="2:17">
      <c r="B2891" s="17"/>
      <c r="C2891" s="16" t="str">
        <f>IFERROR(VLOOKUP(DATA!#REF!,DATA!#REF!,1,FALSE),"")</f>
        <v/>
      </c>
      <c r="D2891" s="16" t="str">
        <f>IFERROR(VLOOKUP(C2891,DATA!#REF!,2,FALSE),"")</f>
        <v/>
      </c>
      <c r="I2891" s="17"/>
      <c r="J2891" s="17"/>
      <c r="P2891" s="17"/>
      <c r="Q2891" s="17"/>
    </row>
    <row r="2892" spans="2:17">
      <c r="B2892" s="17"/>
      <c r="C2892" s="16" t="str">
        <f>IFERROR(VLOOKUP(DATA!#REF!,DATA!#REF!,1,FALSE),"")</f>
        <v/>
      </c>
      <c r="D2892" s="16" t="str">
        <f>IFERROR(VLOOKUP(C2892,DATA!#REF!,2,FALSE),"")</f>
        <v/>
      </c>
      <c r="I2892" s="17"/>
      <c r="J2892" s="17"/>
      <c r="P2892" s="17"/>
      <c r="Q2892" s="17"/>
    </row>
    <row r="2893" spans="2:17">
      <c r="B2893" s="17"/>
      <c r="C2893" s="16" t="str">
        <f>IFERROR(VLOOKUP(DATA!#REF!,DATA!#REF!,1,FALSE),"")</f>
        <v/>
      </c>
      <c r="D2893" s="16" t="str">
        <f>IFERROR(VLOOKUP(C2893,DATA!#REF!,2,FALSE),"")</f>
        <v/>
      </c>
      <c r="I2893" s="17"/>
      <c r="J2893" s="17"/>
      <c r="P2893" s="17"/>
      <c r="Q2893" s="17"/>
    </row>
    <row r="2894" spans="2:17">
      <c r="B2894" s="17"/>
      <c r="C2894" s="16" t="str">
        <f>IFERROR(VLOOKUP(DATA!#REF!,DATA!#REF!,1,FALSE),"")</f>
        <v/>
      </c>
      <c r="D2894" s="16" t="str">
        <f>IFERROR(VLOOKUP(C2894,DATA!#REF!,2,FALSE),"")</f>
        <v/>
      </c>
      <c r="I2894" s="17"/>
      <c r="J2894" s="17"/>
      <c r="P2894" s="17"/>
      <c r="Q2894" s="17"/>
    </row>
    <row r="2895" spans="2:17">
      <c r="B2895" s="17"/>
      <c r="C2895" s="16" t="str">
        <f>IFERROR(VLOOKUP(DATA!#REF!,DATA!#REF!,1,FALSE),"")</f>
        <v/>
      </c>
      <c r="D2895" s="16" t="str">
        <f>IFERROR(VLOOKUP(C2895,DATA!#REF!,2,FALSE),"")</f>
        <v/>
      </c>
      <c r="I2895" s="17"/>
      <c r="J2895" s="17"/>
      <c r="P2895" s="17"/>
      <c r="Q2895" s="17"/>
    </row>
    <row r="2896" spans="2:17">
      <c r="B2896" s="17"/>
      <c r="C2896" s="16" t="str">
        <f>IFERROR(VLOOKUP(DATA!#REF!,DATA!#REF!,1,FALSE),"")</f>
        <v/>
      </c>
      <c r="D2896" s="16" t="str">
        <f>IFERROR(VLOOKUP(C2896,DATA!#REF!,2,FALSE),"")</f>
        <v/>
      </c>
      <c r="I2896" s="17"/>
      <c r="J2896" s="17"/>
      <c r="P2896" s="17"/>
      <c r="Q2896" s="17"/>
    </row>
    <row r="2897" spans="2:17">
      <c r="B2897" s="17"/>
      <c r="C2897" s="16" t="str">
        <f>IFERROR(VLOOKUP(DATA!#REF!,DATA!#REF!,1,FALSE),"")</f>
        <v/>
      </c>
      <c r="D2897" s="16" t="str">
        <f>IFERROR(VLOOKUP(C2897,DATA!#REF!,2,FALSE),"")</f>
        <v/>
      </c>
      <c r="I2897" s="17"/>
      <c r="J2897" s="17"/>
      <c r="P2897" s="17"/>
      <c r="Q2897" s="17"/>
    </row>
    <row r="2898" spans="2:17">
      <c r="B2898" s="17"/>
      <c r="C2898" s="16" t="str">
        <f>IFERROR(VLOOKUP(DATA!#REF!,DATA!#REF!,1,FALSE),"")</f>
        <v/>
      </c>
      <c r="D2898" s="16" t="str">
        <f>IFERROR(VLOOKUP(C2898,DATA!#REF!,2,FALSE),"")</f>
        <v/>
      </c>
      <c r="I2898" s="17"/>
      <c r="J2898" s="17"/>
      <c r="P2898" s="17"/>
      <c r="Q2898" s="17"/>
    </row>
    <row r="2899" spans="2:17">
      <c r="B2899" s="17"/>
      <c r="C2899" s="16" t="str">
        <f>IFERROR(VLOOKUP(DATA!#REF!,DATA!#REF!,1,FALSE),"")</f>
        <v/>
      </c>
      <c r="D2899" s="16" t="str">
        <f>IFERROR(VLOOKUP(C2899,DATA!#REF!,2,FALSE),"")</f>
        <v/>
      </c>
      <c r="I2899" s="17"/>
      <c r="J2899" s="17"/>
      <c r="P2899" s="17"/>
      <c r="Q2899" s="17"/>
    </row>
    <row r="2900" spans="2:17">
      <c r="B2900" s="17"/>
      <c r="C2900" s="16" t="str">
        <f>IFERROR(VLOOKUP(DATA!#REF!,DATA!#REF!,1,FALSE),"")</f>
        <v/>
      </c>
      <c r="D2900" s="16" t="str">
        <f>IFERROR(VLOOKUP(C2900,DATA!#REF!,2,FALSE),"")</f>
        <v/>
      </c>
      <c r="I2900" s="17"/>
      <c r="J2900" s="17"/>
      <c r="P2900" s="17"/>
      <c r="Q2900" s="17"/>
    </row>
    <row r="2901" spans="2:17">
      <c r="B2901" s="17"/>
      <c r="C2901" s="16" t="str">
        <f>IFERROR(VLOOKUP(DATA!#REF!,DATA!#REF!,1,FALSE),"")</f>
        <v/>
      </c>
      <c r="D2901" s="16" t="str">
        <f>IFERROR(VLOOKUP(C2901,DATA!#REF!,2,FALSE),"")</f>
        <v/>
      </c>
      <c r="I2901" s="17"/>
      <c r="J2901" s="17"/>
      <c r="P2901" s="17"/>
      <c r="Q2901" s="17"/>
    </row>
    <row r="2902" spans="2:17">
      <c r="B2902" s="17"/>
      <c r="C2902" s="16" t="str">
        <f>IFERROR(VLOOKUP(DATA!#REF!,DATA!#REF!,1,FALSE),"")</f>
        <v/>
      </c>
      <c r="D2902" s="16" t="str">
        <f>IFERROR(VLOOKUP(C2902,DATA!#REF!,2,FALSE),"")</f>
        <v/>
      </c>
      <c r="I2902" s="17"/>
      <c r="J2902" s="17"/>
      <c r="P2902" s="17"/>
      <c r="Q2902" s="17"/>
    </row>
    <row r="2903" spans="2:17">
      <c r="B2903" s="17"/>
      <c r="C2903" s="16" t="str">
        <f>IFERROR(VLOOKUP(DATA!#REF!,DATA!#REF!,1,FALSE),"")</f>
        <v/>
      </c>
      <c r="D2903" s="16" t="str">
        <f>IFERROR(VLOOKUP(C2903,DATA!#REF!,2,FALSE),"")</f>
        <v/>
      </c>
      <c r="I2903" s="17"/>
      <c r="J2903" s="17"/>
      <c r="P2903" s="17"/>
      <c r="Q2903" s="17"/>
    </row>
    <row r="2904" spans="2:17">
      <c r="B2904" s="17"/>
      <c r="C2904" s="16" t="str">
        <f>IFERROR(VLOOKUP(DATA!#REF!,DATA!#REF!,1,FALSE),"")</f>
        <v/>
      </c>
      <c r="D2904" s="16" t="str">
        <f>IFERROR(VLOOKUP(C2904,DATA!#REF!,2,FALSE),"")</f>
        <v/>
      </c>
      <c r="I2904" s="17"/>
      <c r="J2904" s="17"/>
      <c r="P2904" s="17"/>
      <c r="Q2904" s="17"/>
    </row>
    <row r="2905" spans="2:17">
      <c r="B2905" s="17"/>
      <c r="C2905" s="16" t="str">
        <f>IFERROR(VLOOKUP(DATA!#REF!,DATA!#REF!,1,FALSE),"")</f>
        <v/>
      </c>
      <c r="D2905" s="16" t="str">
        <f>IFERROR(VLOOKUP(C2905,DATA!#REF!,2,FALSE),"")</f>
        <v/>
      </c>
      <c r="I2905" s="17"/>
      <c r="J2905" s="17"/>
      <c r="P2905" s="17"/>
      <c r="Q2905" s="17"/>
    </row>
    <row r="2906" spans="2:17">
      <c r="B2906" s="17"/>
      <c r="C2906" s="16" t="str">
        <f>IFERROR(VLOOKUP(DATA!#REF!,DATA!#REF!,1,FALSE),"")</f>
        <v/>
      </c>
      <c r="D2906" s="16" t="str">
        <f>IFERROR(VLOOKUP(C2906,DATA!#REF!,2,FALSE),"")</f>
        <v/>
      </c>
      <c r="I2906" s="17"/>
      <c r="J2906" s="17"/>
      <c r="P2906" s="17"/>
      <c r="Q2906" s="17"/>
    </row>
    <row r="2907" spans="2:17">
      <c r="B2907" s="17"/>
      <c r="C2907" s="16" t="str">
        <f>IFERROR(VLOOKUP(DATA!#REF!,DATA!#REF!,1,FALSE),"")</f>
        <v/>
      </c>
      <c r="D2907" s="16" t="str">
        <f>IFERROR(VLOOKUP(C2907,DATA!#REF!,2,FALSE),"")</f>
        <v/>
      </c>
      <c r="I2907" s="17"/>
      <c r="J2907" s="17"/>
      <c r="P2907" s="17"/>
      <c r="Q2907" s="17"/>
    </row>
    <row r="2908" spans="2:17">
      <c r="B2908" s="17"/>
      <c r="C2908" s="16" t="str">
        <f>IFERROR(VLOOKUP(DATA!#REF!,DATA!#REF!,1,FALSE),"")</f>
        <v/>
      </c>
      <c r="D2908" s="16" t="str">
        <f>IFERROR(VLOOKUP(C2908,DATA!#REF!,2,FALSE),"")</f>
        <v/>
      </c>
      <c r="I2908" s="17"/>
      <c r="J2908" s="17"/>
      <c r="P2908" s="17"/>
      <c r="Q2908" s="17"/>
    </row>
    <row r="2909" spans="2:17">
      <c r="B2909" s="17"/>
      <c r="C2909" s="16" t="str">
        <f>IFERROR(VLOOKUP(DATA!#REF!,DATA!#REF!,1,FALSE),"")</f>
        <v/>
      </c>
      <c r="D2909" s="16" t="str">
        <f>IFERROR(VLOOKUP(C2909,DATA!#REF!,2,FALSE),"")</f>
        <v/>
      </c>
      <c r="I2909" s="17"/>
      <c r="J2909" s="17"/>
      <c r="P2909" s="17"/>
      <c r="Q2909" s="17"/>
    </row>
    <row r="2910" spans="2:17">
      <c r="B2910" s="17"/>
      <c r="C2910" s="16" t="str">
        <f>IFERROR(VLOOKUP(DATA!#REF!,DATA!#REF!,1,FALSE),"")</f>
        <v/>
      </c>
      <c r="D2910" s="16" t="str">
        <f>IFERROR(VLOOKUP(C2910,DATA!#REF!,2,FALSE),"")</f>
        <v/>
      </c>
      <c r="I2910" s="17"/>
      <c r="J2910" s="17"/>
      <c r="P2910" s="17"/>
      <c r="Q2910" s="17"/>
    </row>
    <row r="2911" spans="2:17">
      <c r="B2911" s="17"/>
      <c r="C2911" s="16" t="str">
        <f>IFERROR(VLOOKUP(DATA!#REF!,DATA!#REF!,1,FALSE),"")</f>
        <v/>
      </c>
      <c r="D2911" s="16" t="str">
        <f>IFERROR(VLOOKUP(C2911,DATA!#REF!,2,FALSE),"")</f>
        <v/>
      </c>
      <c r="I2911" s="17"/>
      <c r="J2911" s="17"/>
      <c r="P2911" s="17"/>
      <c r="Q2911" s="17"/>
    </row>
    <row r="2912" spans="2:17">
      <c r="B2912" s="17"/>
      <c r="C2912" s="16" t="str">
        <f>IFERROR(VLOOKUP(DATA!#REF!,DATA!#REF!,1,FALSE),"")</f>
        <v/>
      </c>
      <c r="D2912" s="16" t="str">
        <f>IFERROR(VLOOKUP(C2912,DATA!#REF!,2,FALSE),"")</f>
        <v/>
      </c>
      <c r="I2912" s="17"/>
      <c r="J2912" s="17"/>
      <c r="P2912" s="17"/>
      <c r="Q2912" s="17"/>
    </row>
    <row r="2913" spans="2:17">
      <c r="B2913" s="17"/>
      <c r="C2913" s="16" t="str">
        <f>IFERROR(VLOOKUP(DATA!#REF!,DATA!#REF!,1,FALSE),"")</f>
        <v/>
      </c>
      <c r="D2913" s="16" t="str">
        <f>IFERROR(VLOOKUP(C2913,DATA!#REF!,2,FALSE),"")</f>
        <v/>
      </c>
      <c r="I2913" s="17"/>
      <c r="J2913" s="17"/>
      <c r="P2913" s="17"/>
      <c r="Q2913" s="17"/>
    </row>
    <row r="2914" spans="2:17">
      <c r="B2914" s="17"/>
      <c r="C2914" s="16" t="str">
        <f>IFERROR(VLOOKUP(DATA!#REF!,DATA!#REF!,1,FALSE),"")</f>
        <v/>
      </c>
      <c r="D2914" s="16" t="str">
        <f>IFERROR(VLOOKUP(C2914,DATA!#REF!,2,FALSE),"")</f>
        <v/>
      </c>
      <c r="I2914" s="17"/>
      <c r="J2914" s="17"/>
      <c r="P2914" s="17"/>
      <c r="Q2914" s="17"/>
    </row>
    <row r="2915" spans="2:17">
      <c r="B2915" s="17"/>
      <c r="C2915" s="16" t="str">
        <f>IFERROR(VLOOKUP(DATA!#REF!,DATA!#REF!,1,FALSE),"")</f>
        <v/>
      </c>
      <c r="D2915" s="16" t="str">
        <f>IFERROR(VLOOKUP(C2915,DATA!#REF!,2,FALSE),"")</f>
        <v/>
      </c>
      <c r="I2915" s="17"/>
      <c r="J2915" s="17"/>
      <c r="P2915" s="17"/>
      <c r="Q2915" s="17"/>
    </row>
    <row r="2916" spans="2:17">
      <c r="B2916" s="17"/>
      <c r="C2916" s="16" t="str">
        <f>IFERROR(VLOOKUP(DATA!#REF!,DATA!#REF!,1,FALSE),"")</f>
        <v/>
      </c>
      <c r="D2916" s="16" t="str">
        <f>IFERROR(VLOOKUP(C2916,DATA!#REF!,2,FALSE),"")</f>
        <v/>
      </c>
      <c r="I2916" s="17"/>
      <c r="J2916" s="17"/>
      <c r="P2916" s="17"/>
      <c r="Q2916" s="17"/>
    </row>
    <row r="2917" spans="2:17">
      <c r="B2917" s="17"/>
      <c r="C2917" s="16" t="str">
        <f>IFERROR(VLOOKUP(DATA!#REF!,DATA!#REF!,1,FALSE),"")</f>
        <v/>
      </c>
      <c r="D2917" s="16" t="str">
        <f>IFERROR(VLOOKUP(C2917,DATA!#REF!,2,FALSE),"")</f>
        <v/>
      </c>
      <c r="I2917" s="17"/>
      <c r="J2917" s="17"/>
      <c r="P2917" s="17"/>
      <c r="Q2917" s="17"/>
    </row>
    <row r="2918" spans="2:17">
      <c r="B2918" s="17"/>
      <c r="C2918" s="16" t="str">
        <f>IFERROR(VLOOKUP(DATA!#REF!,DATA!#REF!,1,FALSE),"")</f>
        <v/>
      </c>
      <c r="D2918" s="16" t="str">
        <f>IFERROR(VLOOKUP(C2918,DATA!#REF!,2,FALSE),"")</f>
        <v/>
      </c>
      <c r="I2918" s="17"/>
      <c r="J2918" s="17"/>
      <c r="P2918" s="17"/>
      <c r="Q2918" s="17"/>
    </row>
    <row r="2919" spans="2:17">
      <c r="B2919" s="17"/>
      <c r="C2919" s="16" t="str">
        <f>IFERROR(VLOOKUP(DATA!#REF!,DATA!#REF!,1,FALSE),"")</f>
        <v/>
      </c>
      <c r="D2919" s="16" t="str">
        <f>IFERROR(VLOOKUP(C2919,DATA!#REF!,2,FALSE),"")</f>
        <v/>
      </c>
      <c r="I2919" s="17"/>
      <c r="J2919" s="17"/>
      <c r="P2919" s="17"/>
      <c r="Q2919" s="17"/>
    </row>
    <row r="2920" spans="2:17">
      <c r="B2920" s="17"/>
      <c r="C2920" s="16" t="str">
        <f>IFERROR(VLOOKUP(DATA!#REF!,DATA!#REF!,1,FALSE),"")</f>
        <v/>
      </c>
      <c r="D2920" s="16" t="str">
        <f>IFERROR(VLOOKUP(C2920,DATA!#REF!,2,FALSE),"")</f>
        <v/>
      </c>
      <c r="I2920" s="17"/>
      <c r="J2920" s="17"/>
      <c r="P2920" s="17"/>
      <c r="Q2920" s="17"/>
    </row>
    <row r="2921" spans="2:17">
      <c r="B2921" s="17"/>
      <c r="C2921" s="16" t="str">
        <f>IFERROR(VLOOKUP(DATA!#REF!,DATA!#REF!,1,FALSE),"")</f>
        <v/>
      </c>
      <c r="D2921" s="16" t="str">
        <f>IFERROR(VLOOKUP(C2921,DATA!#REF!,2,FALSE),"")</f>
        <v/>
      </c>
      <c r="I2921" s="17"/>
      <c r="J2921" s="17"/>
      <c r="P2921" s="17"/>
      <c r="Q2921" s="17"/>
    </row>
    <row r="2922" spans="2:17">
      <c r="B2922" s="17"/>
      <c r="C2922" s="16" t="str">
        <f>IFERROR(VLOOKUP(DATA!#REF!,DATA!#REF!,1,FALSE),"")</f>
        <v/>
      </c>
      <c r="D2922" s="16" t="str">
        <f>IFERROR(VLOOKUP(C2922,DATA!#REF!,2,FALSE),"")</f>
        <v/>
      </c>
      <c r="I2922" s="17"/>
      <c r="J2922" s="17"/>
      <c r="P2922" s="17"/>
      <c r="Q2922" s="17"/>
    </row>
    <row r="2923" spans="2:17">
      <c r="B2923" s="17"/>
      <c r="C2923" s="16" t="str">
        <f>IFERROR(VLOOKUP(DATA!#REF!,DATA!#REF!,1,FALSE),"")</f>
        <v/>
      </c>
      <c r="D2923" s="16" t="str">
        <f>IFERROR(VLOOKUP(C2923,DATA!#REF!,2,FALSE),"")</f>
        <v/>
      </c>
      <c r="I2923" s="17"/>
      <c r="J2923" s="17"/>
      <c r="P2923" s="17"/>
      <c r="Q2923" s="17"/>
    </row>
    <row r="2924" spans="2:17">
      <c r="B2924" s="17"/>
      <c r="C2924" s="16" t="str">
        <f>IFERROR(VLOOKUP(DATA!#REF!,DATA!#REF!,1,FALSE),"")</f>
        <v/>
      </c>
      <c r="D2924" s="16" t="str">
        <f>IFERROR(VLOOKUP(C2924,DATA!#REF!,2,FALSE),"")</f>
        <v/>
      </c>
      <c r="I2924" s="17"/>
      <c r="J2924" s="17"/>
      <c r="P2924" s="17"/>
      <c r="Q2924" s="17"/>
    </row>
    <row r="2925" spans="2:17">
      <c r="B2925" s="17"/>
      <c r="C2925" s="16" t="str">
        <f>IFERROR(VLOOKUP(DATA!#REF!,DATA!#REF!,1,FALSE),"")</f>
        <v/>
      </c>
      <c r="D2925" s="16" t="str">
        <f>IFERROR(VLOOKUP(C2925,DATA!#REF!,2,FALSE),"")</f>
        <v/>
      </c>
      <c r="I2925" s="17"/>
      <c r="J2925" s="17"/>
      <c r="P2925" s="17"/>
      <c r="Q2925" s="17"/>
    </row>
    <row r="2926" spans="2:17">
      <c r="B2926" s="17"/>
      <c r="C2926" s="16" t="str">
        <f>IFERROR(VLOOKUP(DATA!#REF!,DATA!#REF!,1,FALSE),"")</f>
        <v/>
      </c>
      <c r="D2926" s="16" t="str">
        <f>IFERROR(VLOOKUP(C2926,DATA!#REF!,2,FALSE),"")</f>
        <v/>
      </c>
      <c r="I2926" s="17"/>
      <c r="J2926" s="17"/>
      <c r="P2926" s="17"/>
      <c r="Q2926" s="17"/>
    </row>
    <row r="2927" spans="2:17">
      <c r="B2927" s="17"/>
      <c r="C2927" s="16" t="str">
        <f>IFERROR(VLOOKUP(DATA!#REF!,DATA!#REF!,1,FALSE),"")</f>
        <v/>
      </c>
      <c r="D2927" s="16" t="str">
        <f>IFERROR(VLOOKUP(C2927,DATA!#REF!,2,FALSE),"")</f>
        <v/>
      </c>
      <c r="I2927" s="17"/>
      <c r="J2927" s="17"/>
      <c r="P2927" s="17"/>
      <c r="Q2927" s="17"/>
    </row>
    <row r="2928" spans="2:17">
      <c r="B2928" s="17"/>
      <c r="C2928" s="16" t="str">
        <f>IFERROR(VLOOKUP(DATA!#REF!,DATA!#REF!,1,FALSE),"")</f>
        <v/>
      </c>
      <c r="D2928" s="16" t="str">
        <f>IFERROR(VLOOKUP(C2928,DATA!#REF!,2,FALSE),"")</f>
        <v/>
      </c>
      <c r="I2928" s="17"/>
      <c r="J2928" s="17"/>
      <c r="P2928" s="17"/>
      <c r="Q2928" s="17"/>
    </row>
    <row r="2929" spans="2:17">
      <c r="B2929" s="17"/>
      <c r="C2929" s="16" t="str">
        <f>IFERROR(VLOOKUP(DATA!#REF!,DATA!#REF!,1,FALSE),"")</f>
        <v/>
      </c>
      <c r="D2929" s="16" t="str">
        <f>IFERROR(VLOOKUP(C2929,DATA!#REF!,2,FALSE),"")</f>
        <v/>
      </c>
      <c r="I2929" s="17"/>
      <c r="J2929" s="17"/>
      <c r="P2929" s="17"/>
      <c r="Q2929" s="17"/>
    </row>
    <row r="2930" spans="2:17">
      <c r="B2930" s="17"/>
      <c r="C2930" s="16" t="str">
        <f>IFERROR(VLOOKUP(DATA!#REF!,DATA!#REF!,1,FALSE),"")</f>
        <v/>
      </c>
      <c r="D2930" s="16" t="str">
        <f>IFERROR(VLOOKUP(C2930,DATA!#REF!,2,FALSE),"")</f>
        <v/>
      </c>
      <c r="I2930" s="17"/>
      <c r="J2930" s="17"/>
      <c r="P2930" s="17"/>
      <c r="Q2930" s="17"/>
    </row>
    <row r="2931" spans="2:17">
      <c r="B2931" s="17"/>
      <c r="C2931" s="16" t="str">
        <f>IFERROR(VLOOKUP(DATA!#REF!,DATA!#REF!,1,FALSE),"")</f>
        <v/>
      </c>
      <c r="D2931" s="16" t="str">
        <f>IFERROR(VLOOKUP(C2931,DATA!#REF!,2,FALSE),"")</f>
        <v/>
      </c>
      <c r="I2931" s="17"/>
      <c r="J2931" s="17"/>
      <c r="P2931" s="17"/>
      <c r="Q2931" s="17"/>
    </row>
    <row r="2932" spans="2:17">
      <c r="B2932" s="17"/>
      <c r="C2932" s="16" t="str">
        <f>IFERROR(VLOOKUP(DATA!#REF!,DATA!#REF!,1,FALSE),"")</f>
        <v/>
      </c>
      <c r="D2932" s="16" t="str">
        <f>IFERROR(VLOOKUP(C2932,DATA!#REF!,2,FALSE),"")</f>
        <v/>
      </c>
      <c r="I2932" s="17"/>
      <c r="J2932" s="17"/>
      <c r="P2932" s="17"/>
      <c r="Q2932" s="17"/>
    </row>
    <row r="2933" spans="2:17">
      <c r="B2933" s="17"/>
      <c r="C2933" s="16" t="str">
        <f>IFERROR(VLOOKUP(DATA!#REF!,DATA!#REF!,1,FALSE),"")</f>
        <v/>
      </c>
      <c r="D2933" s="16" t="str">
        <f>IFERROR(VLOOKUP(C2933,DATA!#REF!,2,FALSE),"")</f>
        <v/>
      </c>
      <c r="I2933" s="17"/>
      <c r="J2933" s="17"/>
      <c r="P2933" s="17"/>
      <c r="Q2933" s="17"/>
    </row>
    <row r="2934" spans="2:17">
      <c r="B2934" s="17"/>
      <c r="C2934" s="16" t="str">
        <f>IFERROR(VLOOKUP(DATA!#REF!,DATA!#REF!,1,FALSE),"")</f>
        <v/>
      </c>
      <c r="D2934" s="16" t="str">
        <f>IFERROR(VLOOKUP(C2934,DATA!#REF!,2,FALSE),"")</f>
        <v/>
      </c>
      <c r="I2934" s="17"/>
      <c r="J2934" s="17"/>
      <c r="P2934" s="17"/>
      <c r="Q2934" s="17"/>
    </row>
    <row r="2935" spans="2:17">
      <c r="B2935" s="17"/>
      <c r="C2935" s="16" t="str">
        <f>IFERROR(VLOOKUP(DATA!#REF!,DATA!#REF!,1,FALSE),"")</f>
        <v/>
      </c>
      <c r="D2935" s="16" t="str">
        <f>IFERROR(VLOOKUP(C2935,DATA!#REF!,2,FALSE),"")</f>
        <v/>
      </c>
      <c r="I2935" s="17"/>
      <c r="J2935" s="17"/>
      <c r="P2935" s="17"/>
      <c r="Q2935" s="17"/>
    </row>
    <row r="2936" spans="2:17">
      <c r="B2936" s="17"/>
      <c r="C2936" s="16" t="str">
        <f>IFERROR(VLOOKUP(DATA!#REF!,DATA!#REF!,1,FALSE),"")</f>
        <v/>
      </c>
      <c r="D2936" s="16" t="str">
        <f>IFERROR(VLOOKUP(C2936,DATA!#REF!,2,FALSE),"")</f>
        <v/>
      </c>
      <c r="I2936" s="17"/>
      <c r="J2936" s="17"/>
      <c r="P2936" s="17"/>
      <c r="Q2936" s="17"/>
    </row>
    <row r="2937" spans="2:17">
      <c r="B2937" s="17"/>
      <c r="C2937" s="16" t="str">
        <f>IFERROR(VLOOKUP(DATA!#REF!,DATA!#REF!,1,FALSE),"")</f>
        <v/>
      </c>
      <c r="D2937" s="16" t="str">
        <f>IFERROR(VLOOKUP(C2937,DATA!#REF!,2,FALSE),"")</f>
        <v/>
      </c>
      <c r="I2937" s="17"/>
      <c r="J2937" s="17"/>
      <c r="P2937" s="17"/>
      <c r="Q2937" s="17"/>
    </row>
    <row r="2938" spans="2:17">
      <c r="B2938" s="17"/>
      <c r="C2938" s="16" t="str">
        <f>IFERROR(VLOOKUP(DATA!#REF!,DATA!#REF!,1,FALSE),"")</f>
        <v/>
      </c>
      <c r="D2938" s="16" t="str">
        <f>IFERROR(VLOOKUP(C2938,DATA!#REF!,2,FALSE),"")</f>
        <v/>
      </c>
      <c r="I2938" s="17"/>
      <c r="J2938" s="17"/>
      <c r="P2938" s="17"/>
      <c r="Q2938" s="17"/>
    </row>
    <row r="2939" spans="2:17">
      <c r="B2939" s="17"/>
      <c r="C2939" s="16" t="str">
        <f>IFERROR(VLOOKUP(DATA!#REF!,DATA!#REF!,1,FALSE),"")</f>
        <v/>
      </c>
      <c r="D2939" s="16" t="str">
        <f>IFERROR(VLOOKUP(C2939,DATA!#REF!,2,FALSE),"")</f>
        <v/>
      </c>
      <c r="I2939" s="17"/>
      <c r="J2939" s="17"/>
      <c r="P2939" s="17"/>
      <c r="Q2939" s="17"/>
    </row>
    <row r="2940" spans="2:17">
      <c r="B2940" s="17"/>
      <c r="C2940" s="16" t="str">
        <f>IFERROR(VLOOKUP(DATA!#REF!,DATA!#REF!,1,FALSE),"")</f>
        <v/>
      </c>
      <c r="D2940" s="16" t="str">
        <f>IFERROR(VLOOKUP(C2940,DATA!#REF!,2,FALSE),"")</f>
        <v/>
      </c>
      <c r="I2940" s="17"/>
      <c r="J2940" s="17"/>
      <c r="P2940" s="17"/>
      <c r="Q2940" s="17"/>
    </row>
    <row r="2941" spans="2:17">
      <c r="B2941" s="17"/>
      <c r="C2941" s="16" t="str">
        <f>IFERROR(VLOOKUP(DATA!#REF!,DATA!#REF!,1,FALSE),"")</f>
        <v/>
      </c>
      <c r="D2941" s="16" t="str">
        <f>IFERROR(VLOOKUP(C2941,DATA!#REF!,2,FALSE),"")</f>
        <v/>
      </c>
      <c r="I2941" s="17"/>
      <c r="J2941" s="17"/>
      <c r="P2941" s="17"/>
      <c r="Q2941" s="17"/>
    </row>
    <row r="2942" spans="2:17">
      <c r="B2942" s="17"/>
      <c r="C2942" s="16" t="str">
        <f>IFERROR(VLOOKUP(DATA!#REF!,DATA!#REF!,1,FALSE),"")</f>
        <v/>
      </c>
      <c r="D2942" s="16" t="str">
        <f>IFERROR(VLOOKUP(C2942,DATA!#REF!,2,FALSE),"")</f>
        <v/>
      </c>
      <c r="I2942" s="17"/>
      <c r="J2942" s="17"/>
      <c r="P2942" s="17"/>
      <c r="Q2942" s="17"/>
    </row>
    <row r="2943" spans="2:17">
      <c r="B2943" s="17"/>
      <c r="C2943" s="16" t="str">
        <f>IFERROR(VLOOKUP(DATA!#REF!,DATA!#REF!,1,FALSE),"")</f>
        <v/>
      </c>
      <c r="D2943" s="16" t="str">
        <f>IFERROR(VLOOKUP(C2943,DATA!#REF!,2,FALSE),"")</f>
        <v/>
      </c>
      <c r="I2943" s="17"/>
      <c r="J2943" s="17"/>
      <c r="P2943" s="17"/>
      <c r="Q2943" s="17"/>
    </row>
    <row r="2944" spans="2:17">
      <c r="B2944" s="17"/>
      <c r="C2944" s="16" t="str">
        <f>IFERROR(VLOOKUP(DATA!#REF!,DATA!#REF!,1,FALSE),"")</f>
        <v/>
      </c>
      <c r="D2944" s="16" t="str">
        <f>IFERROR(VLOOKUP(C2944,DATA!#REF!,2,FALSE),"")</f>
        <v/>
      </c>
      <c r="I2944" s="17"/>
      <c r="J2944" s="17"/>
      <c r="P2944" s="17"/>
      <c r="Q2944" s="17"/>
    </row>
    <row r="2945" spans="2:17">
      <c r="B2945" s="17"/>
      <c r="C2945" s="16" t="str">
        <f>IFERROR(VLOOKUP(DATA!#REF!,DATA!#REF!,1,FALSE),"")</f>
        <v/>
      </c>
      <c r="D2945" s="16" t="str">
        <f>IFERROR(VLOOKUP(C2945,DATA!#REF!,2,FALSE),"")</f>
        <v/>
      </c>
      <c r="I2945" s="17"/>
      <c r="J2945" s="17"/>
      <c r="P2945" s="17"/>
      <c r="Q2945" s="17"/>
    </row>
    <row r="2946" spans="2:17">
      <c r="B2946" s="17"/>
      <c r="C2946" s="16" t="str">
        <f>IFERROR(VLOOKUP(DATA!#REF!,DATA!#REF!,1,FALSE),"")</f>
        <v/>
      </c>
      <c r="D2946" s="16" t="str">
        <f>IFERROR(VLOOKUP(C2946,DATA!#REF!,2,FALSE),"")</f>
        <v/>
      </c>
      <c r="I2946" s="17"/>
      <c r="J2946" s="17"/>
      <c r="P2946" s="17"/>
      <c r="Q2946" s="17"/>
    </row>
    <row r="2947" spans="2:17">
      <c r="B2947" s="17"/>
      <c r="C2947" s="16" t="str">
        <f>IFERROR(VLOOKUP(DATA!#REF!,DATA!#REF!,1,FALSE),"")</f>
        <v/>
      </c>
      <c r="D2947" s="16" t="str">
        <f>IFERROR(VLOOKUP(C2947,DATA!#REF!,2,FALSE),"")</f>
        <v/>
      </c>
      <c r="I2947" s="17"/>
      <c r="J2947" s="17"/>
      <c r="P2947" s="17"/>
      <c r="Q2947" s="17"/>
    </row>
    <row r="2948" spans="2:17">
      <c r="B2948" s="17"/>
      <c r="C2948" s="16" t="str">
        <f>IFERROR(VLOOKUP(DATA!#REF!,DATA!#REF!,1,FALSE),"")</f>
        <v/>
      </c>
      <c r="D2948" s="16" t="str">
        <f>IFERROR(VLOOKUP(C2948,DATA!#REF!,2,FALSE),"")</f>
        <v/>
      </c>
      <c r="I2948" s="17"/>
      <c r="J2948" s="17"/>
      <c r="P2948" s="17"/>
      <c r="Q2948" s="17"/>
    </row>
    <row r="2949" spans="2:17">
      <c r="B2949" s="17"/>
      <c r="C2949" s="16" t="str">
        <f>IFERROR(VLOOKUP(DATA!#REF!,DATA!#REF!,1,FALSE),"")</f>
        <v/>
      </c>
      <c r="D2949" s="16" t="str">
        <f>IFERROR(VLOOKUP(C2949,DATA!#REF!,2,FALSE),"")</f>
        <v/>
      </c>
      <c r="I2949" s="17"/>
      <c r="J2949" s="17"/>
      <c r="P2949" s="17"/>
      <c r="Q2949" s="17"/>
    </row>
    <row r="2950" spans="2:17">
      <c r="B2950" s="17"/>
      <c r="C2950" s="16" t="str">
        <f>IFERROR(VLOOKUP(DATA!#REF!,DATA!#REF!,1,FALSE),"")</f>
        <v/>
      </c>
      <c r="D2950" s="16" t="str">
        <f>IFERROR(VLOOKUP(C2950,DATA!#REF!,2,FALSE),"")</f>
        <v/>
      </c>
      <c r="I2950" s="17"/>
      <c r="J2950" s="17"/>
      <c r="P2950" s="17"/>
      <c r="Q2950" s="17"/>
    </row>
    <row r="2951" spans="2:17">
      <c r="B2951" s="17"/>
      <c r="C2951" s="16" t="str">
        <f>IFERROR(VLOOKUP(DATA!#REF!,DATA!#REF!,1,FALSE),"")</f>
        <v/>
      </c>
      <c r="D2951" s="16" t="str">
        <f>IFERROR(VLOOKUP(C2951,DATA!#REF!,2,FALSE),"")</f>
        <v/>
      </c>
      <c r="I2951" s="17"/>
      <c r="J2951" s="17"/>
      <c r="P2951" s="17"/>
      <c r="Q2951" s="17"/>
    </row>
    <row r="2952" spans="2:17">
      <c r="B2952" s="17"/>
      <c r="C2952" s="16" t="str">
        <f>IFERROR(VLOOKUP(DATA!#REF!,DATA!#REF!,1,FALSE),"")</f>
        <v/>
      </c>
      <c r="D2952" s="16" t="str">
        <f>IFERROR(VLOOKUP(C2952,DATA!#REF!,2,FALSE),"")</f>
        <v/>
      </c>
      <c r="I2952" s="17"/>
      <c r="J2952" s="17"/>
      <c r="P2952" s="17"/>
      <c r="Q2952" s="17"/>
    </row>
    <row r="2953" spans="2:17">
      <c r="B2953" s="17"/>
      <c r="C2953" s="16" t="str">
        <f>IFERROR(VLOOKUP(DATA!#REF!,DATA!#REF!,1,FALSE),"")</f>
        <v/>
      </c>
      <c r="D2953" s="16" t="str">
        <f>IFERROR(VLOOKUP(C2953,DATA!#REF!,2,FALSE),"")</f>
        <v/>
      </c>
      <c r="I2953" s="17"/>
      <c r="J2953" s="17"/>
      <c r="P2953" s="17"/>
      <c r="Q2953" s="17"/>
    </row>
    <row r="2954" spans="2:17">
      <c r="B2954" s="17"/>
      <c r="C2954" s="16" t="str">
        <f>IFERROR(VLOOKUP(DATA!#REF!,DATA!#REF!,1,FALSE),"")</f>
        <v/>
      </c>
      <c r="D2954" s="16" t="str">
        <f>IFERROR(VLOOKUP(C2954,DATA!#REF!,2,FALSE),"")</f>
        <v/>
      </c>
      <c r="I2954" s="17"/>
      <c r="J2954" s="17"/>
      <c r="P2954" s="17"/>
      <c r="Q2954" s="17"/>
    </row>
    <row r="2955" spans="2:17">
      <c r="B2955" s="17"/>
      <c r="C2955" s="16" t="str">
        <f>IFERROR(VLOOKUP(DATA!#REF!,DATA!#REF!,1,FALSE),"")</f>
        <v/>
      </c>
      <c r="D2955" s="16" t="str">
        <f>IFERROR(VLOOKUP(C2955,DATA!#REF!,2,FALSE),"")</f>
        <v/>
      </c>
      <c r="I2955" s="17"/>
      <c r="J2955" s="17"/>
      <c r="P2955" s="17"/>
      <c r="Q2955" s="17"/>
    </row>
    <row r="2956" spans="2:17">
      <c r="B2956" s="17"/>
      <c r="C2956" s="16" t="str">
        <f>IFERROR(VLOOKUP(DATA!#REF!,DATA!#REF!,1,FALSE),"")</f>
        <v/>
      </c>
      <c r="D2956" s="16" t="str">
        <f>IFERROR(VLOOKUP(C2956,DATA!#REF!,2,FALSE),"")</f>
        <v/>
      </c>
      <c r="I2956" s="17"/>
      <c r="J2956" s="17"/>
      <c r="P2956" s="17"/>
      <c r="Q2956" s="17"/>
    </row>
    <row r="2957" spans="2:17">
      <c r="B2957" s="17"/>
      <c r="C2957" s="16" t="str">
        <f>IFERROR(VLOOKUP(DATA!#REF!,DATA!#REF!,1,FALSE),"")</f>
        <v/>
      </c>
      <c r="D2957" s="16" t="str">
        <f>IFERROR(VLOOKUP(C2957,DATA!#REF!,2,FALSE),"")</f>
        <v/>
      </c>
      <c r="I2957" s="17"/>
      <c r="J2957" s="17"/>
      <c r="P2957" s="17"/>
      <c r="Q2957" s="17"/>
    </row>
    <row r="2958" spans="2:17">
      <c r="B2958" s="17"/>
      <c r="C2958" s="16" t="str">
        <f>IFERROR(VLOOKUP(DATA!#REF!,DATA!#REF!,1,FALSE),"")</f>
        <v/>
      </c>
      <c r="D2958" s="16" t="str">
        <f>IFERROR(VLOOKUP(C2958,DATA!#REF!,2,FALSE),"")</f>
        <v/>
      </c>
      <c r="I2958" s="17"/>
      <c r="J2958" s="17"/>
      <c r="P2958" s="17"/>
      <c r="Q2958" s="17"/>
    </row>
    <row r="2959" spans="2:17">
      <c r="B2959" s="17"/>
      <c r="C2959" s="16" t="str">
        <f>IFERROR(VLOOKUP(DATA!#REF!,DATA!#REF!,1,FALSE),"")</f>
        <v/>
      </c>
      <c r="D2959" s="16" t="str">
        <f>IFERROR(VLOOKUP(C2959,DATA!#REF!,2,FALSE),"")</f>
        <v/>
      </c>
      <c r="I2959" s="17"/>
      <c r="J2959" s="17"/>
      <c r="P2959" s="17"/>
      <c r="Q2959" s="17"/>
    </row>
    <row r="2960" spans="2:17">
      <c r="B2960" s="17"/>
      <c r="C2960" s="16" t="str">
        <f>IFERROR(VLOOKUP(DATA!#REF!,DATA!#REF!,1,FALSE),"")</f>
        <v/>
      </c>
      <c r="D2960" s="16" t="str">
        <f>IFERROR(VLOOKUP(C2960,DATA!#REF!,2,FALSE),"")</f>
        <v/>
      </c>
      <c r="I2960" s="17"/>
      <c r="J2960" s="17"/>
      <c r="P2960" s="17"/>
      <c r="Q2960" s="17"/>
    </row>
    <row r="2961" spans="2:17">
      <c r="B2961" s="17"/>
      <c r="C2961" s="16" t="str">
        <f>IFERROR(VLOOKUP(DATA!#REF!,DATA!#REF!,1,FALSE),"")</f>
        <v/>
      </c>
      <c r="D2961" s="16" t="str">
        <f>IFERROR(VLOOKUP(C2961,DATA!#REF!,2,FALSE),"")</f>
        <v/>
      </c>
      <c r="I2961" s="17"/>
      <c r="J2961" s="17"/>
      <c r="P2961" s="17"/>
      <c r="Q2961" s="17"/>
    </row>
    <row r="2962" spans="2:17">
      <c r="B2962" s="17"/>
      <c r="C2962" s="16" t="str">
        <f>IFERROR(VLOOKUP(DATA!#REF!,DATA!#REF!,1,FALSE),"")</f>
        <v/>
      </c>
      <c r="D2962" s="16" t="str">
        <f>IFERROR(VLOOKUP(C2962,DATA!#REF!,2,FALSE),"")</f>
        <v/>
      </c>
      <c r="I2962" s="17"/>
      <c r="J2962" s="17"/>
      <c r="P2962" s="17"/>
      <c r="Q2962" s="17"/>
    </row>
    <row r="2963" spans="2:17">
      <c r="B2963" s="17"/>
      <c r="C2963" s="16" t="str">
        <f>IFERROR(VLOOKUP(DATA!#REF!,DATA!#REF!,1,FALSE),"")</f>
        <v/>
      </c>
      <c r="D2963" s="16" t="str">
        <f>IFERROR(VLOOKUP(C2963,DATA!#REF!,2,FALSE),"")</f>
        <v/>
      </c>
      <c r="I2963" s="17"/>
      <c r="J2963" s="17"/>
      <c r="P2963" s="17"/>
      <c r="Q2963" s="17"/>
    </row>
    <row r="2964" spans="2:17">
      <c r="B2964" s="17"/>
      <c r="C2964" s="16" t="str">
        <f>IFERROR(VLOOKUP(DATA!#REF!,DATA!#REF!,1,FALSE),"")</f>
        <v/>
      </c>
      <c r="D2964" s="16" t="str">
        <f>IFERROR(VLOOKUP(C2964,DATA!#REF!,2,FALSE),"")</f>
        <v/>
      </c>
      <c r="I2964" s="17"/>
      <c r="J2964" s="17"/>
      <c r="P2964" s="17"/>
      <c r="Q2964" s="17"/>
    </row>
    <row r="2965" spans="2:17">
      <c r="B2965" s="17"/>
      <c r="C2965" s="16" t="str">
        <f>IFERROR(VLOOKUP(DATA!#REF!,DATA!#REF!,1,FALSE),"")</f>
        <v/>
      </c>
      <c r="D2965" s="16" t="str">
        <f>IFERROR(VLOOKUP(C2965,DATA!#REF!,2,FALSE),"")</f>
        <v/>
      </c>
      <c r="I2965" s="17"/>
      <c r="J2965" s="17"/>
      <c r="P2965" s="17"/>
      <c r="Q2965" s="17"/>
    </row>
    <row r="2966" spans="2:17">
      <c r="B2966" s="17"/>
      <c r="C2966" s="16" t="str">
        <f>IFERROR(VLOOKUP(DATA!#REF!,DATA!#REF!,1,FALSE),"")</f>
        <v/>
      </c>
      <c r="D2966" s="16" t="str">
        <f>IFERROR(VLOOKUP(C2966,DATA!#REF!,2,FALSE),"")</f>
        <v/>
      </c>
      <c r="I2966" s="17"/>
      <c r="J2966" s="17"/>
      <c r="P2966" s="17"/>
      <c r="Q2966" s="17"/>
    </row>
    <row r="2967" spans="2:17">
      <c r="B2967" s="17"/>
      <c r="C2967" s="16" t="str">
        <f>IFERROR(VLOOKUP(DATA!#REF!,DATA!#REF!,1,FALSE),"")</f>
        <v/>
      </c>
      <c r="D2967" s="16" t="str">
        <f>IFERROR(VLOOKUP(C2967,DATA!#REF!,2,FALSE),"")</f>
        <v/>
      </c>
      <c r="I2967" s="17"/>
      <c r="J2967" s="17"/>
      <c r="P2967" s="17"/>
      <c r="Q2967" s="17"/>
    </row>
    <row r="2968" spans="2:17">
      <c r="B2968" s="17"/>
      <c r="C2968" s="16" t="str">
        <f>IFERROR(VLOOKUP(DATA!#REF!,DATA!#REF!,1,FALSE),"")</f>
        <v/>
      </c>
      <c r="D2968" s="16" t="str">
        <f>IFERROR(VLOOKUP(C2968,DATA!#REF!,2,FALSE),"")</f>
        <v/>
      </c>
      <c r="I2968" s="17"/>
      <c r="J2968" s="17"/>
      <c r="P2968" s="17"/>
      <c r="Q2968" s="17"/>
    </row>
    <row r="2969" spans="2:17">
      <c r="B2969" s="17"/>
      <c r="C2969" s="16" t="str">
        <f>IFERROR(VLOOKUP(DATA!#REF!,DATA!#REF!,1,FALSE),"")</f>
        <v/>
      </c>
      <c r="D2969" s="16" t="str">
        <f>IFERROR(VLOOKUP(C2969,DATA!#REF!,2,FALSE),"")</f>
        <v/>
      </c>
      <c r="I2969" s="17"/>
      <c r="J2969" s="17"/>
      <c r="P2969" s="17"/>
      <c r="Q2969" s="17"/>
    </row>
    <row r="2970" spans="2:17">
      <c r="B2970" s="17"/>
      <c r="C2970" s="16" t="str">
        <f>IFERROR(VLOOKUP(DATA!#REF!,DATA!#REF!,1,FALSE),"")</f>
        <v/>
      </c>
      <c r="D2970" s="16" t="str">
        <f>IFERROR(VLOOKUP(C2970,DATA!#REF!,2,FALSE),"")</f>
        <v/>
      </c>
      <c r="I2970" s="17"/>
      <c r="J2970" s="17"/>
      <c r="P2970" s="17"/>
      <c r="Q2970" s="17"/>
    </row>
    <row r="2971" spans="2:17">
      <c r="B2971" s="17"/>
      <c r="C2971" s="16" t="str">
        <f>IFERROR(VLOOKUP(DATA!#REF!,DATA!#REF!,1,FALSE),"")</f>
        <v/>
      </c>
      <c r="D2971" s="16" t="str">
        <f>IFERROR(VLOOKUP(C2971,DATA!#REF!,2,FALSE),"")</f>
        <v/>
      </c>
      <c r="I2971" s="17"/>
      <c r="J2971" s="17"/>
      <c r="P2971" s="17"/>
      <c r="Q2971" s="17"/>
    </row>
    <row r="2972" spans="2:17">
      <c r="B2972" s="17"/>
      <c r="C2972" s="16" t="str">
        <f>IFERROR(VLOOKUP(DATA!#REF!,DATA!#REF!,1,FALSE),"")</f>
        <v/>
      </c>
      <c r="D2972" s="16" t="str">
        <f>IFERROR(VLOOKUP(C2972,DATA!#REF!,2,FALSE),"")</f>
        <v/>
      </c>
      <c r="I2972" s="17"/>
      <c r="J2972" s="17"/>
      <c r="P2972" s="17"/>
      <c r="Q2972" s="17"/>
    </row>
    <row r="2973" spans="2:17">
      <c r="B2973" s="17"/>
      <c r="C2973" s="16" t="str">
        <f>IFERROR(VLOOKUP(DATA!#REF!,DATA!#REF!,1,FALSE),"")</f>
        <v/>
      </c>
      <c r="D2973" s="16" t="str">
        <f>IFERROR(VLOOKUP(C2973,DATA!#REF!,2,FALSE),"")</f>
        <v/>
      </c>
      <c r="I2973" s="17"/>
      <c r="J2973" s="17"/>
      <c r="P2973" s="17"/>
      <c r="Q2973" s="17"/>
    </row>
    <row r="2974" spans="2:17">
      <c r="B2974" s="17"/>
      <c r="C2974" s="16" t="str">
        <f>IFERROR(VLOOKUP(DATA!#REF!,DATA!#REF!,1,FALSE),"")</f>
        <v/>
      </c>
      <c r="D2974" s="16" t="str">
        <f>IFERROR(VLOOKUP(C2974,DATA!#REF!,2,FALSE),"")</f>
        <v/>
      </c>
      <c r="I2974" s="17"/>
      <c r="J2974" s="17"/>
      <c r="P2974" s="17"/>
      <c r="Q2974" s="17"/>
    </row>
    <row r="2975" spans="2:17">
      <c r="B2975" s="17"/>
      <c r="C2975" s="16" t="str">
        <f>IFERROR(VLOOKUP(DATA!#REF!,DATA!#REF!,1,FALSE),"")</f>
        <v/>
      </c>
      <c r="D2975" s="16" t="str">
        <f>IFERROR(VLOOKUP(C2975,DATA!#REF!,2,FALSE),"")</f>
        <v/>
      </c>
      <c r="I2975" s="17"/>
      <c r="J2975" s="17"/>
      <c r="P2975" s="17"/>
      <c r="Q2975" s="17"/>
    </row>
    <row r="2976" spans="2:17">
      <c r="B2976" s="17"/>
      <c r="C2976" s="16" t="str">
        <f>IFERROR(VLOOKUP(DATA!#REF!,DATA!#REF!,1,FALSE),"")</f>
        <v/>
      </c>
      <c r="D2976" s="16" t="str">
        <f>IFERROR(VLOOKUP(C2976,DATA!#REF!,2,FALSE),"")</f>
        <v/>
      </c>
      <c r="I2976" s="17"/>
      <c r="J2976" s="17"/>
      <c r="P2976" s="17"/>
      <c r="Q2976" s="17"/>
    </row>
    <row r="2977" spans="2:17">
      <c r="B2977" s="17"/>
      <c r="C2977" s="16" t="str">
        <f>IFERROR(VLOOKUP(DATA!#REF!,DATA!#REF!,1,FALSE),"")</f>
        <v/>
      </c>
      <c r="D2977" s="16" t="str">
        <f>IFERROR(VLOOKUP(C2977,DATA!#REF!,2,FALSE),"")</f>
        <v/>
      </c>
      <c r="I2977" s="17"/>
      <c r="J2977" s="17"/>
      <c r="P2977" s="17"/>
      <c r="Q2977" s="17"/>
    </row>
    <row r="2978" spans="2:17">
      <c r="B2978" s="17"/>
      <c r="C2978" s="16" t="str">
        <f>IFERROR(VLOOKUP(DATA!#REF!,DATA!#REF!,1,FALSE),"")</f>
        <v/>
      </c>
      <c r="D2978" s="16" t="str">
        <f>IFERROR(VLOOKUP(C2978,DATA!#REF!,2,FALSE),"")</f>
        <v/>
      </c>
      <c r="I2978" s="17"/>
      <c r="J2978" s="17"/>
      <c r="P2978" s="17"/>
      <c r="Q2978" s="17"/>
    </row>
    <row r="2979" spans="2:17">
      <c r="B2979" s="17"/>
      <c r="C2979" s="16" t="str">
        <f>IFERROR(VLOOKUP(DATA!#REF!,DATA!#REF!,1,FALSE),"")</f>
        <v/>
      </c>
      <c r="D2979" s="16" t="str">
        <f>IFERROR(VLOOKUP(C2979,DATA!#REF!,2,FALSE),"")</f>
        <v/>
      </c>
      <c r="I2979" s="17"/>
      <c r="J2979" s="17"/>
      <c r="P2979" s="17"/>
      <c r="Q2979" s="17"/>
    </row>
    <row r="2980" spans="2:17">
      <c r="B2980" s="17"/>
      <c r="C2980" s="16" t="str">
        <f>IFERROR(VLOOKUP(DATA!#REF!,DATA!#REF!,1,FALSE),"")</f>
        <v/>
      </c>
      <c r="D2980" s="16" t="str">
        <f>IFERROR(VLOOKUP(C2980,DATA!#REF!,2,FALSE),"")</f>
        <v/>
      </c>
      <c r="I2980" s="17"/>
      <c r="J2980" s="17"/>
      <c r="P2980" s="17"/>
      <c r="Q2980" s="17"/>
    </row>
    <row r="2981" spans="2:17">
      <c r="B2981" s="17"/>
      <c r="C2981" s="16" t="str">
        <f>IFERROR(VLOOKUP(DATA!#REF!,DATA!#REF!,1,FALSE),"")</f>
        <v/>
      </c>
      <c r="D2981" s="16" t="str">
        <f>IFERROR(VLOOKUP(C2981,DATA!#REF!,2,FALSE),"")</f>
        <v/>
      </c>
      <c r="I2981" s="17"/>
      <c r="J2981" s="17"/>
      <c r="P2981" s="17"/>
      <c r="Q2981" s="17"/>
    </row>
    <row r="2982" spans="2:17">
      <c r="B2982" s="17"/>
      <c r="C2982" s="16" t="str">
        <f>IFERROR(VLOOKUP(DATA!#REF!,DATA!#REF!,1,FALSE),"")</f>
        <v/>
      </c>
      <c r="D2982" s="16" t="str">
        <f>IFERROR(VLOOKUP(C2982,DATA!#REF!,2,FALSE),"")</f>
        <v/>
      </c>
      <c r="I2982" s="17"/>
      <c r="J2982" s="17"/>
      <c r="P2982" s="17"/>
      <c r="Q2982" s="17"/>
    </row>
    <row r="2983" spans="2:17">
      <c r="B2983" s="17"/>
      <c r="C2983" s="16" t="str">
        <f>IFERROR(VLOOKUP(DATA!#REF!,DATA!#REF!,1,FALSE),"")</f>
        <v/>
      </c>
      <c r="D2983" s="16" t="str">
        <f>IFERROR(VLOOKUP(C2983,DATA!#REF!,2,FALSE),"")</f>
        <v/>
      </c>
      <c r="I2983" s="17"/>
      <c r="J2983" s="17"/>
      <c r="P2983" s="17"/>
      <c r="Q2983" s="17"/>
    </row>
    <row r="2984" spans="2:17">
      <c r="B2984" s="17"/>
      <c r="C2984" s="16" t="str">
        <f>IFERROR(VLOOKUP(DATA!#REF!,DATA!#REF!,1,FALSE),"")</f>
        <v/>
      </c>
      <c r="D2984" s="16" t="str">
        <f>IFERROR(VLOOKUP(C2984,DATA!#REF!,2,FALSE),"")</f>
        <v/>
      </c>
      <c r="I2984" s="17"/>
      <c r="J2984" s="17"/>
      <c r="P2984" s="17"/>
      <c r="Q2984" s="17"/>
    </row>
    <row r="2985" spans="2:17">
      <c r="B2985" s="17"/>
      <c r="C2985" s="16" t="str">
        <f>IFERROR(VLOOKUP(DATA!#REF!,DATA!#REF!,1,FALSE),"")</f>
        <v/>
      </c>
      <c r="D2985" s="16" t="str">
        <f>IFERROR(VLOOKUP(C2985,DATA!#REF!,2,FALSE),"")</f>
        <v/>
      </c>
      <c r="I2985" s="17"/>
      <c r="J2985" s="17"/>
      <c r="P2985" s="17"/>
      <c r="Q2985" s="17"/>
    </row>
    <row r="2986" spans="2:17">
      <c r="B2986" s="17"/>
      <c r="C2986" s="16" t="str">
        <f>IFERROR(VLOOKUP(DATA!#REF!,DATA!#REF!,1,FALSE),"")</f>
        <v/>
      </c>
      <c r="D2986" s="16" t="str">
        <f>IFERROR(VLOOKUP(C2986,DATA!#REF!,2,FALSE),"")</f>
        <v/>
      </c>
      <c r="I2986" s="17"/>
      <c r="J2986" s="17"/>
      <c r="P2986" s="17"/>
      <c r="Q2986" s="17"/>
    </row>
    <row r="2987" spans="2:17">
      <c r="B2987" s="17"/>
      <c r="C2987" s="16" t="str">
        <f>IFERROR(VLOOKUP(DATA!#REF!,DATA!#REF!,1,FALSE),"")</f>
        <v/>
      </c>
      <c r="D2987" s="16" t="str">
        <f>IFERROR(VLOOKUP(C2987,DATA!#REF!,2,FALSE),"")</f>
        <v/>
      </c>
      <c r="I2987" s="17"/>
      <c r="J2987" s="17"/>
      <c r="P2987" s="17"/>
      <c r="Q2987" s="17"/>
    </row>
    <row r="2988" spans="2:17">
      <c r="B2988" s="17"/>
      <c r="C2988" s="16" t="str">
        <f>IFERROR(VLOOKUP(DATA!#REF!,DATA!#REF!,1,FALSE),"")</f>
        <v/>
      </c>
      <c r="D2988" s="16" t="str">
        <f>IFERROR(VLOOKUP(C2988,DATA!#REF!,2,FALSE),"")</f>
        <v/>
      </c>
      <c r="I2988" s="17"/>
      <c r="J2988" s="17"/>
      <c r="P2988" s="17"/>
      <c r="Q2988" s="17"/>
    </row>
    <row r="2989" spans="2:17">
      <c r="B2989" s="17"/>
      <c r="C2989" s="16" t="str">
        <f>IFERROR(VLOOKUP(DATA!#REF!,DATA!#REF!,1,FALSE),"")</f>
        <v/>
      </c>
      <c r="D2989" s="16" t="str">
        <f>IFERROR(VLOOKUP(C2989,DATA!#REF!,2,FALSE),"")</f>
        <v/>
      </c>
      <c r="I2989" s="17"/>
      <c r="J2989" s="17"/>
      <c r="P2989" s="17"/>
      <c r="Q2989" s="17"/>
    </row>
    <row r="2990" spans="2:17">
      <c r="B2990" s="17"/>
      <c r="C2990" s="16" t="str">
        <f>IFERROR(VLOOKUP(DATA!#REF!,DATA!#REF!,1,FALSE),"")</f>
        <v/>
      </c>
      <c r="D2990" s="16" t="str">
        <f>IFERROR(VLOOKUP(C2990,DATA!#REF!,2,FALSE),"")</f>
        <v/>
      </c>
      <c r="I2990" s="17"/>
      <c r="J2990" s="17"/>
      <c r="P2990" s="17"/>
      <c r="Q2990" s="17"/>
    </row>
    <row r="2991" spans="2:17">
      <c r="B2991" s="17"/>
      <c r="C2991" s="16" t="str">
        <f>IFERROR(VLOOKUP(DATA!#REF!,DATA!#REF!,1,FALSE),"")</f>
        <v/>
      </c>
      <c r="D2991" s="16" t="str">
        <f>IFERROR(VLOOKUP(C2991,DATA!#REF!,2,FALSE),"")</f>
        <v/>
      </c>
      <c r="I2991" s="17"/>
      <c r="J2991" s="17"/>
      <c r="P2991" s="17"/>
      <c r="Q2991" s="17"/>
    </row>
    <row r="2992" spans="2:17">
      <c r="B2992" s="17"/>
      <c r="C2992" s="16" t="str">
        <f>IFERROR(VLOOKUP(DATA!#REF!,DATA!#REF!,1,FALSE),"")</f>
        <v/>
      </c>
      <c r="D2992" s="16" t="str">
        <f>IFERROR(VLOOKUP(C2992,DATA!#REF!,2,FALSE),"")</f>
        <v/>
      </c>
      <c r="I2992" s="17"/>
      <c r="J2992" s="17"/>
      <c r="P2992" s="17"/>
      <c r="Q2992" s="17"/>
    </row>
    <row r="2993" spans="2:17">
      <c r="B2993" s="17"/>
      <c r="C2993" s="16" t="str">
        <f>IFERROR(VLOOKUP(DATA!#REF!,DATA!#REF!,1,FALSE),"")</f>
        <v/>
      </c>
      <c r="D2993" s="16" t="str">
        <f>IFERROR(VLOOKUP(C2993,DATA!#REF!,2,FALSE),"")</f>
        <v/>
      </c>
      <c r="I2993" s="17"/>
      <c r="J2993" s="17"/>
      <c r="P2993" s="17"/>
      <c r="Q2993" s="17"/>
    </row>
    <row r="2994" spans="2:17">
      <c r="B2994" s="17"/>
      <c r="C2994" s="16" t="str">
        <f>IFERROR(VLOOKUP(DATA!#REF!,DATA!#REF!,1,FALSE),"")</f>
        <v/>
      </c>
      <c r="D2994" s="16" t="str">
        <f>IFERROR(VLOOKUP(C2994,DATA!#REF!,2,FALSE),"")</f>
        <v/>
      </c>
      <c r="I2994" s="17"/>
      <c r="J2994" s="17"/>
      <c r="P2994" s="17"/>
      <c r="Q2994" s="17"/>
    </row>
    <row r="2995" spans="2:17">
      <c r="B2995" s="17"/>
      <c r="C2995" s="16" t="str">
        <f>IFERROR(VLOOKUP(DATA!#REF!,DATA!#REF!,1,FALSE),"")</f>
        <v/>
      </c>
      <c r="D2995" s="16" t="str">
        <f>IFERROR(VLOOKUP(C2995,DATA!#REF!,2,FALSE),"")</f>
        <v/>
      </c>
      <c r="I2995" s="17"/>
      <c r="J2995" s="17"/>
      <c r="P2995" s="17"/>
      <c r="Q2995" s="17"/>
    </row>
    <row r="2996" spans="2:17">
      <c r="B2996" s="17"/>
      <c r="C2996" s="16" t="str">
        <f>IFERROR(VLOOKUP(DATA!#REF!,DATA!#REF!,1,FALSE),"")</f>
        <v/>
      </c>
      <c r="D2996" s="16" t="str">
        <f>IFERROR(VLOOKUP(C2996,DATA!#REF!,2,FALSE),"")</f>
        <v/>
      </c>
      <c r="I2996" s="17"/>
      <c r="J2996" s="17"/>
      <c r="P2996" s="17"/>
      <c r="Q2996" s="17"/>
    </row>
    <row r="2997" spans="2:17">
      <c r="B2997" s="17"/>
      <c r="C2997" s="16" t="str">
        <f>IFERROR(VLOOKUP(DATA!#REF!,DATA!#REF!,1,FALSE),"")</f>
        <v/>
      </c>
      <c r="D2997" s="16" t="str">
        <f>IFERROR(VLOOKUP(C2997,DATA!#REF!,2,FALSE),"")</f>
        <v/>
      </c>
      <c r="I2997" s="17"/>
      <c r="J2997" s="17"/>
      <c r="P2997" s="17"/>
      <c r="Q2997" s="17"/>
    </row>
    <row r="2998" spans="2:17">
      <c r="B2998" s="17"/>
      <c r="C2998" s="16" t="str">
        <f>IFERROR(VLOOKUP(DATA!#REF!,DATA!#REF!,1,FALSE),"")</f>
        <v/>
      </c>
      <c r="D2998" s="16" t="str">
        <f>IFERROR(VLOOKUP(C2998,DATA!#REF!,2,FALSE),"")</f>
        <v/>
      </c>
      <c r="I2998" s="17"/>
      <c r="J2998" s="17"/>
      <c r="P2998" s="17"/>
      <c r="Q2998" s="17"/>
    </row>
    <row r="2999" spans="2:17">
      <c r="B2999" s="17"/>
      <c r="C2999" s="16" t="str">
        <f>IFERROR(VLOOKUP(DATA!#REF!,DATA!#REF!,1,FALSE),"")</f>
        <v/>
      </c>
      <c r="D2999" s="16" t="str">
        <f>IFERROR(VLOOKUP(C2999,DATA!#REF!,2,FALSE),"")</f>
        <v/>
      </c>
      <c r="I2999" s="17"/>
      <c r="J2999" s="17"/>
      <c r="P2999" s="17"/>
      <c r="Q2999" s="17"/>
    </row>
    <row r="3000" spans="2:17">
      <c r="B3000" s="17"/>
      <c r="C3000" s="16" t="str">
        <f>IFERROR(VLOOKUP(DATA!#REF!,DATA!#REF!,1,FALSE),"")</f>
        <v/>
      </c>
      <c r="D3000" s="16" t="str">
        <f>IFERROR(VLOOKUP(C3000,DATA!#REF!,2,FALSE),"")</f>
        <v/>
      </c>
      <c r="I3000" s="17"/>
      <c r="J3000" s="17"/>
      <c r="P3000" s="17"/>
      <c r="Q3000" s="17"/>
    </row>
    <row r="3001" spans="2:17">
      <c r="B3001" s="17"/>
      <c r="C3001" s="16" t="str">
        <f>IFERROR(VLOOKUP(DATA!#REF!,DATA!#REF!,1,FALSE),"")</f>
        <v/>
      </c>
      <c r="D3001" s="16" t="str">
        <f>IFERROR(VLOOKUP(C3001,DATA!#REF!,2,FALSE),"")</f>
        <v/>
      </c>
      <c r="I3001" s="17"/>
      <c r="J3001" s="17"/>
      <c r="P3001" s="17"/>
      <c r="Q3001" s="17"/>
    </row>
    <row r="3002" spans="2:17">
      <c r="B3002" s="17"/>
      <c r="C3002" s="16" t="str">
        <f>IFERROR(VLOOKUP(DATA!#REF!,DATA!#REF!,1,FALSE),"")</f>
        <v/>
      </c>
      <c r="D3002" s="16" t="str">
        <f>IFERROR(VLOOKUP(C3002,DATA!#REF!,2,FALSE),"")</f>
        <v/>
      </c>
      <c r="I3002" s="17"/>
      <c r="J3002" s="17"/>
      <c r="P3002" s="17"/>
      <c r="Q3002" s="17"/>
    </row>
    <row r="3003" spans="2:17">
      <c r="B3003" s="17"/>
      <c r="C3003" s="16" t="str">
        <f>IFERROR(VLOOKUP(DATA!#REF!,DATA!#REF!,1,FALSE),"")</f>
        <v/>
      </c>
      <c r="D3003" s="16" t="str">
        <f>IFERROR(VLOOKUP(C3003,DATA!#REF!,2,FALSE),"")</f>
        <v/>
      </c>
      <c r="I3003" s="17"/>
      <c r="J3003" s="17"/>
      <c r="P3003" s="17"/>
      <c r="Q3003" s="17"/>
    </row>
    <row r="3004" spans="2:17">
      <c r="B3004" s="17"/>
      <c r="C3004" s="16" t="str">
        <f>IFERROR(VLOOKUP(DATA!#REF!,DATA!#REF!,1,FALSE),"")</f>
        <v/>
      </c>
      <c r="D3004" s="16" t="str">
        <f>IFERROR(VLOOKUP(C3004,DATA!#REF!,2,FALSE),"")</f>
        <v/>
      </c>
      <c r="I3004" s="17"/>
      <c r="J3004" s="17"/>
      <c r="P3004" s="17"/>
      <c r="Q3004" s="17"/>
    </row>
    <row r="3005" spans="2:17">
      <c r="B3005" s="17"/>
      <c r="C3005" s="16" t="str">
        <f>IFERROR(VLOOKUP(DATA!#REF!,DATA!#REF!,1,FALSE),"")</f>
        <v/>
      </c>
      <c r="D3005" s="16" t="str">
        <f>IFERROR(VLOOKUP(C3005,DATA!#REF!,2,FALSE),"")</f>
        <v/>
      </c>
      <c r="I3005" s="17"/>
      <c r="J3005" s="17"/>
      <c r="P3005" s="17"/>
      <c r="Q3005" s="17"/>
    </row>
    <row r="3006" spans="2:17">
      <c r="B3006" s="17"/>
      <c r="C3006" s="16" t="str">
        <f>IFERROR(VLOOKUP(DATA!#REF!,DATA!#REF!,1,FALSE),"")</f>
        <v/>
      </c>
      <c r="D3006" s="16" t="str">
        <f>IFERROR(VLOOKUP(C3006,DATA!#REF!,2,FALSE),"")</f>
        <v/>
      </c>
      <c r="I3006" s="17"/>
      <c r="J3006" s="17"/>
      <c r="P3006" s="17"/>
      <c r="Q3006" s="17"/>
    </row>
    <row r="3007" spans="2:17">
      <c r="B3007" s="17"/>
      <c r="C3007" s="16" t="str">
        <f>IFERROR(VLOOKUP(DATA!#REF!,DATA!#REF!,1,FALSE),"")</f>
        <v/>
      </c>
      <c r="D3007" s="16" t="str">
        <f>IFERROR(VLOOKUP(C3007,DATA!#REF!,2,FALSE),"")</f>
        <v/>
      </c>
      <c r="I3007" s="17"/>
      <c r="J3007" s="17"/>
      <c r="P3007" s="17"/>
      <c r="Q3007" s="17"/>
    </row>
    <row r="3008" spans="2:17">
      <c r="B3008" s="17"/>
      <c r="C3008" s="16" t="str">
        <f>IFERROR(VLOOKUP(DATA!#REF!,DATA!#REF!,1,FALSE),"")</f>
        <v/>
      </c>
      <c r="D3008" s="16" t="str">
        <f>IFERROR(VLOOKUP(C3008,DATA!#REF!,2,FALSE),"")</f>
        <v/>
      </c>
      <c r="I3008" s="17"/>
      <c r="J3008" s="17"/>
      <c r="P3008" s="17"/>
      <c r="Q3008" s="17"/>
    </row>
    <row r="3009" spans="2:17">
      <c r="B3009" s="17"/>
      <c r="C3009" s="16" t="str">
        <f>IFERROR(VLOOKUP(DATA!#REF!,DATA!#REF!,1,FALSE),"")</f>
        <v/>
      </c>
      <c r="D3009" s="16" t="str">
        <f>IFERROR(VLOOKUP(C3009,DATA!#REF!,2,FALSE),"")</f>
        <v/>
      </c>
      <c r="I3009" s="17"/>
      <c r="J3009" s="17"/>
      <c r="P3009" s="17"/>
      <c r="Q3009" s="17"/>
    </row>
    <row r="3010" spans="2:17">
      <c r="B3010" s="17"/>
      <c r="C3010" s="16" t="str">
        <f>IFERROR(VLOOKUP(DATA!#REF!,DATA!#REF!,1,FALSE),"")</f>
        <v/>
      </c>
      <c r="D3010" s="16" t="str">
        <f>IFERROR(VLOOKUP(C3010,DATA!#REF!,2,FALSE),"")</f>
        <v/>
      </c>
      <c r="I3010" s="17"/>
      <c r="J3010" s="17"/>
      <c r="P3010" s="17"/>
      <c r="Q3010" s="17"/>
    </row>
    <row r="3011" spans="2:17">
      <c r="B3011" s="17"/>
      <c r="C3011" s="16" t="str">
        <f>IFERROR(VLOOKUP(DATA!#REF!,DATA!#REF!,1,FALSE),"")</f>
        <v/>
      </c>
      <c r="D3011" s="16" t="str">
        <f>IFERROR(VLOOKUP(C3011,DATA!#REF!,2,FALSE),"")</f>
        <v/>
      </c>
      <c r="I3011" s="17"/>
      <c r="J3011" s="17"/>
      <c r="P3011" s="17"/>
      <c r="Q3011" s="17"/>
    </row>
    <row r="3012" spans="2:17">
      <c r="B3012" s="17"/>
      <c r="C3012" s="16" t="str">
        <f>IFERROR(VLOOKUP(DATA!#REF!,DATA!#REF!,1,FALSE),"")</f>
        <v/>
      </c>
      <c r="D3012" s="16" t="str">
        <f>IFERROR(VLOOKUP(C3012,DATA!#REF!,2,FALSE),"")</f>
        <v/>
      </c>
      <c r="I3012" s="17"/>
      <c r="J3012" s="17"/>
      <c r="P3012" s="17"/>
      <c r="Q3012" s="17"/>
    </row>
    <row r="3013" spans="2:17">
      <c r="B3013" s="17"/>
      <c r="C3013" s="16" t="str">
        <f>IFERROR(VLOOKUP(DATA!#REF!,DATA!#REF!,1,FALSE),"")</f>
        <v/>
      </c>
      <c r="D3013" s="16" t="str">
        <f>IFERROR(VLOOKUP(C3013,DATA!#REF!,2,FALSE),"")</f>
        <v/>
      </c>
      <c r="I3013" s="17"/>
      <c r="J3013" s="17"/>
      <c r="P3013" s="17"/>
      <c r="Q3013" s="17"/>
    </row>
    <row r="3014" spans="2:17">
      <c r="B3014" s="17"/>
      <c r="C3014" s="16" t="str">
        <f>IFERROR(VLOOKUP(DATA!#REF!,DATA!#REF!,1,FALSE),"")</f>
        <v/>
      </c>
      <c r="D3014" s="16" t="str">
        <f>IFERROR(VLOOKUP(C3014,DATA!#REF!,2,FALSE),"")</f>
        <v/>
      </c>
      <c r="I3014" s="17"/>
      <c r="J3014" s="17"/>
      <c r="P3014" s="17"/>
      <c r="Q3014" s="17"/>
    </row>
    <row r="3015" spans="2:17">
      <c r="B3015" s="17"/>
      <c r="C3015" s="16" t="str">
        <f>IFERROR(VLOOKUP(DATA!#REF!,DATA!#REF!,1,FALSE),"")</f>
        <v/>
      </c>
      <c r="D3015" s="16" t="str">
        <f>IFERROR(VLOOKUP(C3015,DATA!#REF!,2,FALSE),"")</f>
        <v/>
      </c>
      <c r="I3015" s="17"/>
      <c r="J3015" s="17"/>
      <c r="P3015" s="17"/>
      <c r="Q3015" s="17"/>
    </row>
    <row r="3016" spans="2:17">
      <c r="B3016" s="17"/>
      <c r="C3016" s="16" t="str">
        <f>IFERROR(VLOOKUP(DATA!#REF!,DATA!#REF!,1,FALSE),"")</f>
        <v/>
      </c>
      <c r="D3016" s="16" t="str">
        <f>IFERROR(VLOOKUP(C3016,DATA!#REF!,2,FALSE),"")</f>
        <v/>
      </c>
      <c r="I3016" s="17"/>
      <c r="J3016" s="17"/>
      <c r="P3016" s="17"/>
      <c r="Q3016" s="17"/>
    </row>
    <row r="3017" spans="2:17">
      <c r="B3017" s="17"/>
      <c r="C3017" s="16" t="str">
        <f>IFERROR(VLOOKUP(DATA!#REF!,DATA!#REF!,1,FALSE),"")</f>
        <v/>
      </c>
      <c r="D3017" s="16" t="str">
        <f>IFERROR(VLOOKUP(C3017,DATA!#REF!,2,FALSE),"")</f>
        <v/>
      </c>
      <c r="I3017" s="17"/>
      <c r="J3017" s="17"/>
      <c r="P3017" s="17"/>
      <c r="Q3017" s="17"/>
    </row>
    <row r="3018" spans="2:17">
      <c r="B3018" s="17"/>
      <c r="C3018" s="16" t="str">
        <f>IFERROR(VLOOKUP(DATA!#REF!,DATA!#REF!,1,FALSE),"")</f>
        <v/>
      </c>
      <c r="D3018" s="16" t="str">
        <f>IFERROR(VLOOKUP(C3018,DATA!#REF!,2,FALSE),"")</f>
        <v/>
      </c>
      <c r="I3018" s="17"/>
      <c r="J3018" s="17"/>
      <c r="P3018" s="17"/>
      <c r="Q3018" s="17"/>
    </row>
    <row r="3019" spans="2:17">
      <c r="B3019" s="17"/>
      <c r="C3019" s="16" t="str">
        <f>IFERROR(VLOOKUP(DATA!#REF!,DATA!#REF!,1,FALSE),"")</f>
        <v/>
      </c>
      <c r="D3019" s="16" t="str">
        <f>IFERROR(VLOOKUP(C3019,DATA!#REF!,2,FALSE),"")</f>
        <v/>
      </c>
      <c r="I3019" s="17"/>
      <c r="J3019" s="17"/>
      <c r="P3019" s="17"/>
      <c r="Q3019" s="17"/>
    </row>
    <row r="3020" spans="2:17">
      <c r="B3020" s="17"/>
      <c r="C3020" s="16" t="str">
        <f>IFERROR(VLOOKUP(DATA!#REF!,DATA!#REF!,1,FALSE),"")</f>
        <v/>
      </c>
      <c r="D3020" s="16" t="str">
        <f>IFERROR(VLOOKUP(C3020,DATA!#REF!,2,FALSE),"")</f>
        <v/>
      </c>
      <c r="I3020" s="17"/>
      <c r="J3020" s="17"/>
      <c r="P3020" s="17"/>
      <c r="Q3020" s="17"/>
    </row>
    <row r="3021" spans="2:17">
      <c r="B3021" s="17"/>
      <c r="C3021" s="16" t="str">
        <f>IFERROR(VLOOKUP(DATA!#REF!,DATA!#REF!,1,FALSE),"")</f>
        <v/>
      </c>
      <c r="D3021" s="16" t="str">
        <f>IFERROR(VLOOKUP(C3021,DATA!#REF!,2,FALSE),"")</f>
        <v/>
      </c>
      <c r="I3021" s="17"/>
      <c r="J3021" s="17"/>
      <c r="P3021" s="17"/>
      <c r="Q3021" s="17"/>
    </row>
    <row r="3022" spans="2:17">
      <c r="B3022" s="17"/>
      <c r="C3022" s="16" t="str">
        <f>IFERROR(VLOOKUP(DATA!#REF!,DATA!#REF!,1,FALSE),"")</f>
        <v/>
      </c>
      <c r="D3022" s="16" t="str">
        <f>IFERROR(VLOOKUP(C3022,DATA!#REF!,2,FALSE),"")</f>
        <v/>
      </c>
      <c r="I3022" s="17"/>
      <c r="J3022" s="17"/>
      <c r="P3022" s="17"/>
      <c r="Q3022" s="17"/>
    </row>
    <row r="3023" spans="2:17">
      <c r="B3023" s="17"/>
      <c r="C3023" s="16" t="str">
        <f>IFERROR(VLOOKUP(DATA!#REF!,DATA!#REF!,1,FALSE),"")</f>
        <v/>
      </c>
      <c r="D3023" s="16" t="str">
        <f>IFERROR(VLOOKUP(C3023,DATA!#REF!,2,FALSE),"")</f>
        <v/>
      </c>
      <c r="I3023" s="17"/>
      <c r="J3023" s="17"/>
      <c r="P3023" s="17"/>
      <c r="Q3023" s="17"/>
    </row>
    <row r="3024" spans="2:17">
      <c r="B3024" s="17"/>
      <c r="C3024" s="16" t="str">
        <f>IFERROR(VLOOKUP(DATA!#REF!,DATA!#REF!,1,FALSE),"")</f>
        <v/>
      </c>
      <c r="D3024" s="16" t="str">
        <f>IFERROR(VLOOKUP(C3024,DATA!#REF!,2,FALSE),"")</f>
        <v/>
      </c>
      <c r="I3024" s="17"/>
      <c r="J3024" s="17"/>
      <c r="P3024" s="17"/>
      <c r="Q3024" s="17"/>
    </row>
    <row r="3025" spans="2:17">
      <c r="B3025" s="17"/>
      <c r="C3025" s="16" t="str">
        <f>IFERROR(VLOOKUP(DATA!#REF!,DATA!#REF!,1,FALSE),"")</f>
        <v/>
      </c>
      <c r="D3025" s="16" t="str">
        <f>IFERROR(VLOOKUP(C3025,DATA!#REF!,2,FALSE),"")</f>
        <v/>
      </c>
      <c r="I3025" s="17"/>
      <c r="J3025" s="17"/>
      <c r="P3025" s="17"/>
      <c r="Q3025" s="17"/>
    </row>
    <row r="3026" spans="2:17">
      <c r="B3026" s="17"/>
      <c r="C3026" s="16" t="str">
        <f>IFERROR(VLOOKUP(DATA!#REF!,DATA!#REF!,1,FALSE),"")</f>
        <v/>
      </c>
      <c r="D3026" s="16" t="str">
        <f>IFERROR(VLOOKUP(C3026,DATA!#REF!,2,FALSE),"")</f>
        <v/>
      </c>
      <c r="I3026" s="17"/>
      <c r="J3026" s="17"/>
      <c r="P3026" s="17"/>
      <c r="Q3026" s="17"/>
    </row>
    <row r="3027" spans="2:17">
      <c r="B3027" s="17"/>
      <c r="C3027" s="16" t="str">
        <f>IFERROR(VLOOKUP(DATA!#REF!,DATA!#REF!,1,FALSE),"")</f>
        <v/>
      </c>
      <c r="D3027" s="16" t="str">
        <f>IFERROR(VLOOKUP(C3027,DATA!#REF!,2,FALSE),"")</f>
        <v/>
      </c>
      <c r="I3027" s="17"/>
      <c r="J3027" s="17"/>
      <c r="P3027" s="17"/>
      <c r="Q3027" s="17"/>
    </row>
    <row r="3028" spans="2:17">
      <c r="B3028" s="17"/>
      <c r="C3028" s="16" t="str">
        <f>IFERROR(VLOOKUP(DATA!#REF!,DATA!#REF!,1,FALSE),"")</f>
        <v/>
      </c>
      <c r="D3028" s="16" t="str">
        <f>IFERROR(VLOOKUP(C3028,DATA!#REF!,2,FALSE),"")</f>
        <v/>
      </c>
      <c r="I3028" s="17"/>
      <c r="J3028" s="17"/>
      <c r="P3028" s="17"/>
      <c r="Q3028" s="17"/>
    </row>
    <row r="3029" spans="2:17">
      <c r="B3029" s="17"/>
      <c r="C3029" s="16" t="str">
        <f>IFERROR(VLOOKUP(DATA!#REF!,DATA!#REF!,1,FALSE),"")</f>
        <v/>
      </c>
      <c r="D3029" s="16" t="str">
        <f>IFERROR(VLOOKUP(C3029,DATA!#REF!,2,FALSE),"")</f>
        <v/>
      </c>
      <c r="I3029" s="17"/>
      <c r="J3029" s="17"/>
      <c r="P3029" s="17"/>
      <c r="Q3029" s="17"/>
    </row>
    <row r="3030" spans="2:17">
      <c r="B3030" s="17"/>
      <c r="C3030" s="16" t="str">
        <f>IFERROR(VLOOKUP(DATA!#REF!,DATA!#REF!,1,FALSE),"")</f>
        <v/>
      </c>
      <c r="D3030" s="16" t="str">
        <f>IFERROR(VLOOKUP(C3030,DATA!#REF!,2,FALSE),"")</f>
        <v/>
      </c>
      <c r="I3030" s="17"/>
      <c r="J3030" s="17"/>
      <c r="P3030" s="17"/>
      <c r="Q3030" s="17"/>
    </row>
    <row r="3031" spans="2:17">
      <c r="B3031" s="17"/>
      <c r="C3031" s="16" t="str">
        <f>IFERROR(VLOOKUP(DATA!#REF!,DATA!#REF!,1,FALSE),"")</f>
        <v/>
      </c>
      <c r="D3031" s="16" t="str">
        <f>IFERROR(VLOOKUP(C3031,DATA!#REF!,2,FALSE),"")</f>
        <v/>
      </c>
      <c r="I3031" s="17"/>
      <c r="J3031" s="17"/>
      <c r="P3031" s="17"/>
      <c r="Q3031" s="17"/>
    </row>
    <row r="3032" spans="2:17">
      <c r="B3032" s="17"/>
      <c r="C3032" s="16" t="str">
        <f>IFERROR(VLOOKUP(DATA!#REF!,DATA!#REF!,1,FALSE),"")</f>
        <v/>
      </c>
      <c r="D3032" s="16" t="str">
        <f>IFERROR(VLOOKUP(C3032,DATA!#REF!,2,FALSE),"")</f>
        <v/>
      </c>
      <c r="I3032" s="17"/>
      <c r="J3032" s="17"/>
      <c r="P3032" s="17"/>
      <c r="Q3032" s="17"/>
    </row>
    <row r="3033" spans="2:17">
      <c r="B3033" s="17"/>
      <c r="C3033" s="16" t="str">
        <f>IFERROR(VLOOKUP(DATA!#REF!,DATA!#REF!,1,FALSE),"")</f>
        <v/>
      </c>
      <c r="D3033" s="16" t="str">
        <f>IFERROR(VLOOKUP(C3033,DATA!#REF!,2,FALSE),"")</f>
        <v/>
      </c>
      <c r="I3033" s="17"/>
      <c r="J3033" s="17"/>
      <c r="P3033" s="17"/>
      <c r="Q3033" s="17"/>
    </row>
    <row r="3034" spans="2:17">
      <c r="B3034" s="17"/>
      <c r="C3034" s="16" t="str">
        <f>IFERROR(VLOOKUP(DATA!#REF!,DATA!#REF!,1,FALSE),"")</f>
        <v/>
      </c>
      <c r="D3034" s="16" t="str">
        <f>IFERROR(VLOOKUP(C3034,DATA!#REF!,2,FALSE),"")</f>
        <v/>
      </c>
      <c r="I3034" s="17"/>
      <c r="J3034" s="17"/>
      <c r="P3034" s="17"/>
      <c r="Q3034" s="17"/>
    </row>
    <row r="3035" spans="2:17">
      <c r="B3035" s="17"/>
      <c r="C3035" s="16" t="str">
        <f>IFERROR(VLOOKUP(DATA!#REF!,DATA!#REF!,1,FALSE),"")</f>
        <v/>
      </c>
      <c r="D3035" s="16" t="str">
        <f>IFERROR(VLOOKUP(C3035,DATA!#REF!,2,FALSE),"")</f>
        <v/>
      </c>
      <c r="I3035" s="17"/>
      <c r="J3035" s="17"/>
      <c r="P3035" s="17"/>
      <c r="Q3035" s="17"/>
    </row>
    <row r="3036" spans="2:17">
      <c r="B3036" s="17"/>
      <c r="C3036" s="16" t="str">
        <f>IFERROR(VLOOKUP(DATA!#REF!,DATA!#REF!,1,FALSE),"")</f>
        <v/>
      </c>
      <c r="D3036" s="16" t="str">
        <f>IFERROR(VLOOKUP(C3036,DATA!#REF!,2,FALSE),"")</f>
        <v/>
      </c>
      <c r="I3036" s="17"/>
      <c r="J3036" s="17"/>
      <c r="P3036" s="17"/>
      <c r="Q3036" s="17"/>
    </row>
    <row r="3037" spans="2:17">
      <c r="B3037" s="17"/>
      <c r="C3037" s="16" t="str">
        <f>IFERROR(VLOOKUP(DATA!#REF!,DATA!#REF!,1,FALSE),"")</f>
        <v/>
      </c>
      <c r="D3037" s="16" t="str">
        <f>IFERROR(VLOOKUP(C3037,DATA!#REF!,2,FALSE),"")</f>
        <v/>
      </c>
      <c r="I3037" s="17"/>
      <c r="J3037" s="17"/>
      <c r="P3037" s="17"/>
      <c r="Q3037" s="17"/>
    </row>
    <row r="3038" spans="2:17">
      <c r="B3038" s="17"/>
      <c r="C3038" s="16" t="str">
        <f>IFERROR(VLOOKUP(DATA!#REF!,DATA!#REF!,1,FALSE),"")</f>
        <v/>
      </c>
      <c r="D3038" s="16" t="str">
        <f>IFERROR(VLOOKUP(C3038,DATA!#REF!,2,FALSE),"")</f>
        <v/>
      </c>
      <c r="I3038" s="17"/>
      <c r="J3038" s="17"/>
      <c r="P3038" s="17"/>
      <c r="Q3038" s="17"/>
    </row>
    <row r="3039" spans="2:17">
      <c r="B3039" s="17"/>
      <c r="C3039" s="16" t="str">
        <f>IFERROR(VLOOKUP(DATA!#REF!,DATA!#REF!,1,FALSE),"")</f>
        <v/>
      </c>
      <c r="D3039" s="16" t="str">
        <f>IFERROR(VLOOKUP(C3039,DATA!#REF!,2,FALSE),"")</f>
        <v/>
      </c>
      <c r="I3039" s="17"/>
      <c r="J3039" s="17"/>
      <c r="P3039" s="17"/>
      <c r="Q3039" s="17"/>
    </row>
    <row r="3040" spans="2:17">
      <c r="B3040" s="17"/>
      <c r="C3040" s="16" t="str">
        <f>IFERROR(VLOOKUP(DATA!#REF!,DATA!#REF!,1,FALSE),"")</f>
        <v/>
      </c>
      <c r="D3040" s="16" t="str">
        <f>IFERROR(VLOOKUP(C3040,DATA!#REF!,2,FALSE),"")</f>
        <v/>
      </c>
      <c r="I3040" s="17"/>
      <c r="J3040" s="17"/>
      <c r="P3040" s="17"/>
      <c r="Q3040" s="17"/>
    </row>
    <row r="3041" spans="2:17">
      <c r="B3041" s="17"/>
      <c r="C3041" s="16" t="str">
        <f>IFERROR(VLOOKUP(DATA!#REF!,DATA!#REF!,1,FALSE),"")</f>
        <v/>
      </c>
      <c r="D3041" s="16" t="str">
        <f>IFERROR(VLOOKUP(C3041,DATA!#REF!,2,FALSE),"")</f>
        <v/>
      </c>
      <c r="I3041" s="17"/>
      <c r="J3041" s="17"/>
      <c r="P3041" s="17"/>
      <c r="Q3041" s="17"/>
    </row>
    <row r="3042" spans="2:17">
      <c r="B3042" s="17"/>
      <c r="C3042" s="16" t="str">
        <f>IFERROR(VLOOKUP(DATA!#REF!,DATA!#REF!,1,FALSE),"")</f>
        <v/>
      </c>
      <c r="D3042" s="16" t="str">
        <f>IFERROR(VLOOKUP(C3042,DATA!#REF!,2,FALSE),"")</f>
        <v/>
      </c>
      <c r="I3042" s="17"/>
      <c r="J3042" s="17"/>
      <c r="P3042" s="17"/>
      <c r="Q3042" s="17"/>
    </row>
    <row r="3043" spans="2:17">
      <c r="B3043" s="17"/>
      <c r="C3043" s="16" t="str">
        <f>IFERROR(VLOOKUP(DATA!#REF!,DATA!#REF!,1,FALSE),"")</f>
        <v/>
      </c>
      <c r="D3043" s="16" t="str">
        <f>IFERROR(VLOOKUP(C3043,DATA!#REF!,2,FALSE),"")</f>
        <v/>
      </c>
      <c r="I3043" s="17"/>
      <c r="J3043" s="17"/>
      <c r="P3043" s="17"/>
      <c r="Q3043" s="17"/>
    </row>
    <row r="3044" spans="2:17">
      <c r="B3044" s="17"/>
      <c r="C3044" s="16" t="str">
        <f>IFERROR(VLOOKUP(DATA!#REF!,DATA!#REF!,1,FALSE),"")</f>
        <v/>
      </c>
      <c r="D3044" s="16" t="str">
        <f>IFERROR(VLOOKUP(C3044,DATA!#REF!,2,FALSE),"")</f>
        <v/>
      </c>
      <c r="I3044" s="17"/>
      <c r="J3044" s="17"/>
      <c r="P3044" s="17"/>
      <c r="Q3044" s="17"/>
    </row>
    <row r="3045" spans="2:17">
      <c r="B3045" s="17"/>
      <c r="C3045" s="16" t="str">
        <f>IFERROR(VLOOKUP(DATA!#REF!,DATA!#REF!,1,FALSE),"")</f>
        <v/>
      </c>
      <c r="D3045" s="16" t="str">
        <f>IFERROR(VLOOKUP(C3045,DATA!#REF!,2,FALSE),"")</f>
        <v/>
      </c>
      <c r="I3045" s="17"/>
      <c r="J3045" s="17"/>
      <c r="P3045" s="17"/>
      <c r="Q3045" s="17"/>
    </row>
    <row r="3046" spans="2:17">
      <c r="B3046" s="17"/>
      <c r="C3046" s="16" t="str">
        <f>IFERROR(VLOOKUP(DATA!#REF!,DATA!#REF!,1,FALSE),"")</f>
        <v/>
      </c>
      <c r="D3046" s="16" t="str">
        <f>IFERROR(VLOOKUP(C3046,DATA!#REF!,2,FALSE),"")</f>
        <v/>
      </c>
      <c r="I3046" s="17"/>
      <c r="J3046" s="17"/>
      <c r="P3046" s="17"/>
      <c r="Q3046" s="17"/>
    </row>
    <row r="3047" spans="2:17">
      <c r="B3047" s="17"/>
      <c r="C3047" s="16" t="str">
        <f>IFERROR(VLOOKUP(DATA!#REF!,DATA!#REF!,1,FALSE),"")</f>
        <v/>
      </c>
      <c r="D3047" s="16" t="str">
        <f>IFERROR(VLOOKUP(C3047,DATA!#REF!,2,FALSE),"")</f>
        <v/>
      </c>
      <c r="I3047" s="17"/>
      <c r="J3047" s="17"/>
      <c r="P3047" s="17"/>
      <c r="Q3047" s="17"/>
    </row>
    <row r="3048" spans="2:17">
      <c r="B3048" s="17"/>
      <c r="C3048" s="16" t="str">
        <f>IFERROR(VLOOKUP(DATA!#REF!,DATA!#REF!,1,FALSE),"")</f>
        <v/>
      </c>
      <c r="D3048" s="16" t="str">
        <f>IFERROR(VLOOKUP(C3048,DATA!#REF!,2,FALSE),"")</f>
        <v/>
      </c>
      <c r="I3048" s="17"/>
      <c r="J3048" s="17"/>
      <c r="P3048" s="17"/>
      <c r="Q3048" s="17"/>
    </row>
    <row r="3049" spans="2:17">
      <c r="B3049" s="17"/>
      <c r="C3049" s="16" t="str">
        <f>IFERROR(VLOOKUP(DATA!#REF!,DATA!#REF!,1,FALSE),"")</f>
        <v/>
      </c>
      <c r="D3049" s="16" t="str">
        <f>IFERROR(VLOOKUP(C3049,DATA!#REF!,2,FALSE),"")</f>
        <v/>
      </c>
      <c r="I3049" s="17"/>
      <c r="J3049" s="17"/>
      <c r="P3049" s="17"/>
      <c r="Q3049" s="17"/>
    </row>
    <row r="3050" spans="2:17">
      <c r="B3050" s="17"/>
      <c r="C3050" s="16" t="str">
        <f>IFERROR(VLOOKUP(DATA!#REF!,DATA!#REF!,1,FALSE),"")</f>
        <v/>
      </c>
      <c r="D3050" s="16" t="str">
        <f>IFERROR(VLOOKUP(C3050,DATA!#REF!,2,FALSE),"")</f>
        <v/>
      </c>
      <c r="I3050" s="17"/>
      <c r="J3050" s="17"/>
      <c r="P3050" s="17"/>
      <c r="Q3050" s="17"/>
    </row>
    <row r="3051" spans="2:17">
      <c r="B3051" s="17"/>
      <c r="C3051" s="16" t="str">
        <f>IFERROR(VLOOKUP(DATA!#REF!,DATA!#REF!,1,FALSE),"")</f>
        <v/>
      </c>
      <c r="D3051" s="16" t="str">
        <f>IFERROR(VLOOKUP(C3051,DATA!#REF!,2,FALSE),"")</f>
        <v/>
      </c>
      <c r="I3051" s="17"/>
      <c r="J3051" s="17"/>
      <c r="P3051" s="17"/>
      <c r="Q3051" s="17"/>
    </row>
    <row r="3052" spans="2:17">
      <c r="B3052" s="17"/>
      <c r="C3052" s="16" t="str">
        <f>IFERROR(VLOOKUP(DATA!#REF!,DATA!#REF!,1,FALSE),"")</f>
        <v/>
      </c>
      <c r="D3052" s="16" t="str">
        <f>IFERROR(VLOOKUP(C3052,DATA!#REF!,2,FALSE),"")</f>
        <v/>
      </c>
      <c r="I3052" s="17"/>
      <c r="J3052" s="17"/>
      <c r="P3052" s="17"/>
      <c r="Q3052" s="17"/>
    </row>
    <row r="3053" spans="2:17">
      <c r="B3053" s="17"/>
      <c r="C3053" s="16" t="str">
        <f>IFERROR(VLOOKUP(DATA!#REF!,DATA!#REF!,1,FALSE),"")</f>
        <v/>
      </c>
      <c r="D3053" s="16" t="str">
        <f>IFERROR(VLOOKUP(C3053,DATA!#REF!,2,FALSE),"")</f>
        <v/>
      </c>
      <c r="I3053" s="17"/>
      <c r="J3053" s="17"/>
      <c r="P3053" s="17"/>
      <c r="Q3053" s="17"/>
    </row>
    <row r="3054" spans="2:17">
      <c r="B3054" s="17"/>
      <c r="C3054" s="16" t="str">
        <f>IFERROR(VLOOKUP(DATA!#REF!,DATA!#REF!,1,FALSE),"")</f>
        <v/>
      </c>
      <c r="D3054" s="16" t="str">
        <f>IFERROR(VLOOKUP(C3054,DATA!#REF!,2,FALSE),"")</f>
        <v/>
      </c>
      <c r="I3054" s="17"/>
      <c r="J3054" s="17"/>
      <c r="P3054" s="17"/>
      <c r="Q3054" s="17"/>
    </row>
    <row r="3055" spans="2:17">
      <c r="B3055" s="17"/>
      <c r="C3055" s="16" t="str">
        <f>IFERROR(VLOOKUP(DATA!#REF!,DATA!#REF!,1,FALSE),"")</f>
        <v/>
      </c>
      <c r="D3055" s="16" t="str">
        <f>IFERROR(VLOOKUP(C3055,DATA!#REF!,2,FALSE),"")</f>
        <v/>
      </c>
      <c r="I3055" s="17"/>
      <c r="J3055" s="17"/>
      <c r="P3055" s="17"/>
      <c r="Q3055" s="17"/>
    </row>
    <row r="3056" spans="2:17">
      <c r="B3056" s="17"/>
      <c r="C3056" s="16" t="str">
        <f>IFERROR(VLOOKUP(DATA!#REF!,DATA!#REF!,1,FALSE),"")</f>
        <v/>
      </c>
      <c r="D3056" s="16" t="str">
        <f>IFERROR(VLOOKUP(C3056,DATA!#REF!,2,FALSE),"")</f>
        <v/>
      </c>
      <c r="I3056" s="17"/>
      <c r="J3056" s="17"/>
      <c r="P3056" s="17"/>
      <c r="Q3056" s="17"/>
    </row>
    <row r="3057" spans="2:17">
      <c r="B3057" s="17"/>
      <c r="C3057" s="16" t="str">
        <f>IFERROR(VLOOKUP(DATA!#REF!,DATA!#REF!,1,FALSE),"")</f>
        <v/>
      </c>
      <c r="D3057" s="16" t="str">
        <f>IFERROR(VLOOKUP(C3057,DATA!#REF!,2,FALSE),"")</f>
        <v/>
      </c>
      <c r="I3057" s="17"/>
      <c r="J3057" s="17"/>
      <c r="P3057" s="17"/>
      <c r="Q3057" s="17"/>
    </row>
    <row r="3058" spans="2:17">
      <c r="B3058" s="17"/>
      <c r="C3058" s="16" t="str">
        <f>IFERROR(VLOOKUP(DATA!#REF!,DATA!#REF!,1,FALSE),"")</f>
        <v/>
      </c>
      <c r="D3058" s="16" t="str">
        <f>IFERROR(VLOOKUP(C3058,DATA!#REF!,2,FALSE),"")</f>
        <v/>
      </c>
      <c r="I3058" s="17"/>
      <c r="J3058" s="17"/>
      <c r="P3058" s="17"/>
      <c r="Q3058" s="17"/>
    </row>
    <row r="3059" spans="2:17">
      <c r="B3059" s="17"/>
      <c r="C3059" s="16" t="str">
        <f>IFERROR(VLOOKUP(DATA!#REF!,DATA!#REF!,1,FALSE),"")</f>
        <v/>
      </c>
      <c r="D3059" s="16" t="str">
        <f>IFERROR(VLOOKUP(C3059,DATA!#REF!,2,FALSE),"")</f>
        <v/>
      </c>
      <c r="I3059" s="17"/>
      <c r="J3059" s="17"/>
      <c r="P3059" s="17"/>
      <c r="Q3059" s="17"/>
    </row>
    <row r="3060" spans="2:17">
      <c r="B3060" s="17"/>
      <c r="C3060" s="16" t="str">
        <f>IFERROR(VLOOKUP(DATA!#REF!,DATA!#REF!,1,FALSE),"")</f>
        <v/>
      </c>
      <c r="D3060" s="16" t="str">
        <f>IFERROR(VLOOKUP(C3060,DATA!#REF!,2,FALSE),"")</f>
        <v/>
      </c>
      <c r="I3060" s="17"/>
      <c r="J3060" s="17"/>
      <c r="P3060" s="17"/>
      <c r="Q3060" s="17"/>
    </row>
    <row r="3061" spans="2:17">
      <c r="B3061" s="17"/>
      <c r="C3061" s="16" t="str">
        <f>IFERROR(VLOOKUP(DATA!#REF!,DATA!#REF!,1,FALSE),"")</f>
        <v/>
      </c>
      <c r="D3061" s="16" t="str">
        <f>IFERROR(VLOOKUP(C3061,DATA!#REF!,2,FALSE),"")</f>
        <v/>
      </c>
      <c r="I3061" s="17"/>
      <c r="J3061" s="17"/>
      <c r="P3061" s="17"/>
      <c r="Q3061" s="17"/>
    </row>
    <row r="3062" spans="2:17">
      <c r="B3062" s="17"/>
      <c r="C3062" s="16" t="str">
        <f>IFERROR(VLOOKUP(DATA!#REF!,DATA!#REF!,1,FALSE),"")</f>
        <v/>
      </c>
      <c r="D3062" s="16" t="str">
        <f>IFERROR(VLOOKUP(C3062,DATA!#REF!,2,FALSE),"")</f>
        <v/>
      </c>
      <c r="I3062" s="17"/>
      <c r="J3062" s="17"/>
      <c r="P3062" s="17"/>
      <c r="Q3062" s="17"/>
    </row>
    <row r="3063" spans="2:17">
      <c r="B3063" s="17"/>
      <c r="C3063" s="16" t="str">
        <f>IFERROR(VLOOKUP(DATA!#REF!,DATA!#REF!,1,FALSE),"")</f>
        <v/>
      </c>
      <c r="D3063" s="16" t="str">
        <f>IFERROR(VLOOKUP(C3063,DATA!#REF!,2,FALSE),"")</f>
        <v/>
      </c>
      <c r="I3063" s="17"/>
      <c r="J3063" s="17"/>
      <c r="P3063" s="17"/>
      <c r="Q3063" s="17"/>
    </row>
    <row r="3064" spans="2:17">
      <c r="B3064" s="17"/>
      <c r="C3064" s="16" t="str">
        <f>IFERROR(VLOOKUP(DATA!#REF!,DATA!#REF!,1,FALSE),"")</f>
        <v/>
      </c>
      <c r="D3064" s="16" t="str">
        <f>IFERROR(VLOOKUP(C3064,DATA!#REF!,2,FALSE),"")</f>
        <v/>
      </c>
      <c r="I3064" s="17"/>
      <c r="J3064" s="17"/>
      <c r="P3064" s="17"/>
      <c r="Q3064" s="17"/>
    </row>
    <row r="3065" spans="2:17">
      <c r="B3065" s="17"/>
      <c r="C3065" s="16" t="str">
        <f>IFERROR(VLOOKUP(DATA!#REF!,DATA!#REF!,1,FALSE),"")</f>
        <v/>
      </c>
      <c r="D3065" s="16" t="str">
        <f>IFERROR(VLOOKUP(C3065,DATA!#REF!,2,FALSE),"")</f>
        <v/>
      </c>
      <c r="I3065" s="17"/>
      <c r="J3065" s="17"/>
      <c r="P3065" s="17"/>
      <c r="Q3065" s="17"/>
    </row>
    <row r="3066" spans="2:17">
      <c r="B3066" s="17"/>
      <c r="C3066" s="16" t="str">
        <f>IFERROR(VLOOKUP(DATA!#REF!,DATA!#REF!,1,FALSE),"")</f>
        <v/>
      </c>
      <c r="D3066" s="16" t="str">
        <f>IFERROR(VLOOKUP(C3066,DATA!#REF!,2,FALSE),"")</f>
        <v/>
      </c>
      <c r="I3066" s="17"/>
      <c r="J3066" s="17"/>
      <c r="P3066" s="17"/>
      <c r="Q3066" s="17"/>
    </row>
    <row r="3067" spans="2:17">
      <c r="B3067" s="17"/>
      <c r="C3067" s="16" t="str">
        <f>IFERROR(VLOOKUP(DATA!#REF!,DATA!#REF!,1,FALSE),"")</f>
        <v/>
      </c>
      <c r="D3067" s="16" t="str">
        <f>IFERROR(VLOOKUP(C3067,DATA!#REF!,2,FALSE),"")</f>
        <v/>
      </c>
      <c r="I3067" s="17"/>
      <c r="J3067" s="17"/>
      <c r="P3067" s="17"/>
      <c r="Q3067" s="17"/>
    </row>
    <row r="3068" spans="2:17">
      <c r="B3068" s="17"/>
      <c r="C3068" s="16" t="str">
        <f>IFERROR(VLOOKUP(DATA!#REF!,DATA!#REF!,1,FALSE),"")</f>
        <v/>
      </c>
      <c r="D3068" s="16" t="str">
        <f>IFERROR(VLOOKUP(C3068,DATA!#REF!,2,FALSE),"")</f>
        <v/>
      </c>
      <c r="I3068" s="17"/>
      <c r="J3068" s="17"/>
      <c r="P3068" s="17"/>
      <c r="Q3068" s="17"/>
    </row>
    <row r="3069" spans="2:17">
      <c r="B3069" s="17"/>
      <c r="C3069" s="16" t="str">
        <f>IFERROR(VLOOKUP(DATA!#REF!,DATA!#REF!,1,FALSE),"")</f>
        <v/>
      </c>
      <c r="D3069" s="16" t="str">
        <f>IFERROR(VLOOKUP(C3069,DATA!#REF!,2,FALSE),"")</f>
        <v/>
      </c>
      <c r="I3069" s="17"/>
      <c r="J3069" s="17"/>
      <c r="P3069" s="17"/>
      <c r="Q3069" s="17"/>
    </row>
    <row r="3070" spans="2:17">
      <c r="B3070" s="17"/>
      <c r="C3070" s="16" t="str">
        <f>IFERROR(VLOOKUP(DATA!#REF!,DATA!#REF!,1,FALSE),"")</f>
        <v/>
      </c>
      <c r="D3070" s="16" t="str">
        <f>IFERROR(VLOOKUP(C3070,DATA!#REF!,2,FALSE),"")</f>
        <v/>
      </c>
      <c r="I3070" s="17"/>
      <c r="J3070" s="17"/>
      <c r="P3070" s="17"/>
      <c r="Q3070" s="17"/>
    </row>
    <row r="3071" spans="2:17">
      <c r="B3071" s="17"/>
      <c r="C3071" s="16" t="str">
        <f>IFERROR(VLOOKUP(DATA!#REF!,DATA!#REF!,1,FALSE),"")</f>
        <v/>
      </c>
      <c r="D3071" s="16" t="str">
        <f>IFERROR(VLOOKUP(C3071,DATA!#REF!,2,FALSE),"")</f>
        <v/>
      </c>
      <c r="I3071" s="17"/>
      <c r="J3071" s="17"/>
      <c r="P3071" s="17"/>
      <c r="Q3071" s="17"/>
    </row>
    <row r="3072" spans="2:17">
      <c r="B3072" s="17"/>
      <c r="C3072" s="16" t="str">
        <f>IFERROR(VLOOKUP(DATA!#REF!,DATA!#REF!,1,FALSE),"")</f>
        <v/>
      </c>
      <c r="D3072" s="16" t="str">
        <f>IFERROR(VLOOKUP(C3072,DATA!#REF!,2,FALSE),"")</f>
        <v/>
      </c>
      <c r="I3072" s="17"/>
      <c r="J3072" s="17"/>
      <c r="P3072" s="17"/>
      <c r="Q3072" s="17"/>
    </row>
    <row r="3073" spans="2:17">
      <c r="B3073" s="17"/>
      <c r="C3073" s="16" t="str">
        <f>IFERROR(VLOOKUP(DATA!#REF!,DATA!#REF!,1,FALSE),"")</f>
        <v/>
      </c>
      <c r="D3073" s="16" t="str">
        <f>IFERROR(VLOOKUP(C3073,DATA!#REF!,2,FALSE),"")</f>
        <v/>
      </c>
      <c r="I3073" s="17"/>
      <c r="J3073" s="17"/>
      <c r="P3073" s="17"/>
      <c r="Q3073" s="17"/>
    </row>
    <row r="3074" spans="2:17">
      <c r="B3074" s="17"/>
      <c r="C3074" s="16" t="str">
        <f>IFERROR(VLOOKUP(DATA!#REF!,DATA!#REF!,1,FALSE),"")</f>
        <v/>
      </c>
      <c r="D3074" s="16" t="str">
        <f>IFERROR(VLOOKUP(C3074,DATA!#REF!,2,FALSE),"")</f>
        <v/>
      </c>
      <c r="I3074" s="17"/>
      <c r="J3074" s="17"/>
      <c r="P3074" s="17"/>
      <c r="Q3074" s="17"/>
    </row>
    <row r="3075" spans="2:17">
      <c r="B3075" s="17"/>
      <c r="C3075" s="16" t="str">
        <f>IFERROR(VLOOKUP(DATA!#REF!,DATA!#REF!,1,FALSE),"")</f>
        <v/>
      </c>
      <c r="D3075" s="16" t="str">
        <f>IFERROR(VLOOKUP(C3075,DATA!#REF!,2,FALSE),"")</f>
        <v/>
      </c>
      <c r="I3075" s="17"/>
      <c r="J3075" s="17"/>
      <c r="P3075" s="17"/>
      <c r="Q3075" s="17"/>
    </row>
    <row r="3076" spans="2:17">
      <c r="B3076" s="17"/>
      <c r="C3076" s="16" t="str">
        <f>IFERROR(VLOOKUP(DATA!#REF!,DATA!#REF!,1,FALSE),"")</f>
        <v/>
      </c>
      <c r="D3076" s="16" t="str">
        <f>IFERROR(VLOOKUP(C3076,DATA!#REF!,2,FALSE),"")</f>
        <v/>
      </c>
      <c r="I3076" s="17"/>
      <c r="J3076" s="17"/>
      <c r="P3076" s="17"/>
      <c r="Q3076" s="17"/>
    </row>
    <row r="3077" spans="2:17">
      <c r="B3077" s="17"/>
      <c r="C3077" s="16" t="str">
        <f>IFERROR(VLOOKUP(DATA!#REF!,DATA!#REF!,1,FALSE),"")</f>
        <v/>
      </c>
      <c r="D3077" s="16" t="str">
        <f>IFERROR(VLOOKUP(C3077,DATA!#REF!,2,FALSE),"")</f>
        <v/>
      </c>
      <c r="I3077" s="17"/>
      <c r="J3077" s="17"/>
      <c r="P3077" s="17"/>
      <c r="Q3077" s="17"/>
    </row>
    <row r="3078" spans="2:17">
      <c r="B3078" s="17"/>
      <c r="C3078" s="16" t="str">
        <f>IFERROR(VLOOKUP(DATA!#REF!,DATA!#REF!,1,FALSE),"")</f>
        <v/>
      </c>
      <c r="D3078" s="16" t="str">
        <f>IFERROR(VLOOKUP(C3078,DATA!#REF!,2,FALSE),"")</f>
        <v/>
      </c>
      <c r="I3078" s="17"/>
      <c r="J3078" s="17"/>
      <c r="P3078" s="17"/>
      <c r="Q3078" s="17"/>
    </row>
    <row r="3079" spans="2:17">
      <c r="B3079" s="17"/>
      <c r="C3079" s="16" t="str">
        <f>IFERROR(VLOOKUP(DATA!#REF!,DATA!#REF!,1,FALSE),"")</f>
        <v/>
      </c>
      <c r="D3079" s="16" t="str">
        <f>IFERROR(VLOOKUP(C3079,DATA!#REF!,2,FALSE),"")</f>
        <v/>
      </c>
      <c r="I3079" s="17"/>
      <c r="J3079" s="17"/>
      <c r="P3079" s="17"/>
      <c r="Q3079" s="17"/>
    </row>
    <row r="3080" spans="2:17">
      <c r="B3080" s="17"/>
      <c r="C3080" s="16" t="str">
        <f>IFERROR(VLOOKUP(DATA!#REF!,DATA!#REF!,1,FALSE),"")</f>
        <v/>
      </c>
      <c r="D3080" s="16" t="str">
        <f>IFERROR(VLOOKUP(C3080,DATA!#REF!,2,FALSE),"")</f>
        <v/>
      </c>
      <c r="I3080" s="17"/>
      <c r="J3080" s="17"/>
      <c r="P3080" s="17"/>
      <c r="Q3080" s="17"/>
    </row>
    <row r="3081" spans="2:17">
      <c r="B3081" s="17"/>
      <c r="C3081" s="16" t="str">
        <f>IFERROR(VLOOKUP(DATA!#REF!,DATA!#REF!,1,FALSE),"")</f>
        <v/>
      </c>
      <c r="D3081" s="16" t="str">
        <f>IFERROR(VLOOKUP(C3081,DATA!#REF!,2,FALSE),"")</f>
        <v/>
      </c>
      <c r="I3081" s="17"/>
      <c r="J3081" s="17"/>
      <c r="P3081" s="17"/>
      <c r="Q3081" s="17"/>
    </row>
    <row r="3082" spans="2:17">
      <c r="B3082" s="17"/>
      <c r="C3082" s="16" t="str">
        <f>IFERROR(VLOOKUP(DATA!#REF!,DATA!#REF!,1,FALSE),"")</f>
        <v/>
      </c>
      <c r="D3082" s="16" t="str">
        <f>IFERROR(VLOOKUP(C3082,DATA!#REF!,2,FALSE),"")</f>
        <v/>
      </c>
      <c r="I3082" s="17"/>
      <c r="J3082" s="17"/>
      <c r="P3082" s="17"/>
      <c r="Q3082" s="17"/>
    </row>
    <row r="3083" spans="2:17">
      <c r="B3083" s="17"/>
      <c r="C3083" s="16" t="str">
        <f>IFERROR(VLOOKUP(DATA!#REF!,DATA!#REF!,1,FALSE),"")</f>
        <v/>
      </c>
      <c r="D3083" s="16" t="str">
        <f>IFERROR(VLOOKUP(C3083,DATA!#REF!,2,FALSE),"")</f>
        <v/>
      </c>
      <c r="I3083" s="17"/>
      <c r="J3083" s="17"/>
      <c r="P3083" s="17"/>
      <c r="Q3083" s="17"/>
    </row>
    <row r="3084" spans="2:17">
      <c r="B3084" s="17"/>
      <c r="C3084" s="16" t="str">
        <f>IFERROR(VLOOKUP(DATA!#REF!,DATA!#REF!,1,FALSE),"")</f>
        <v/>
      </c>
      <c r="D3084" s="16" t="str">
        <f>IFERROR(VLOOKUP(C3084,DATA!#REF!,2,FALSE),"")</f>
        <v/>
      </c>
      <c r="I3084" s="17"/>
      <c r="J3084" s="17"/>
      <c r="P3084" s="17"/>
      <c r="Q3084" s="17"/>
    </row>
    <row r="3085" spans="2:17">
      <c r="B3085" s="17"/>
      <c r="C3085" s="16" t="str">
        <f>IFERROR(VLOOKUP(DATA!#REF!,DATA!#REF!,1,FALSE),"")</f>
        <v/>
      </c>
      <c r="D3085" s="16" t="str">
        <f>IFERROR(VLOOKUP(C3085,DATA!#REF!,2,FALSE),"")</f>
        <v/>
      </c>
      <c r="I3085" s="17"/>
      <c r="J3085" s="17"/>
      <c r="P3085" s="17"/>
      <c r="Q3085" s="17"/>
    </row>
    <row r="3086" spans="2:17">
      <c r="B3086" s="17"/>
      <c r="C3086" s="16" t="str">
        <f>IFERROR(VLOOKUP(DATA!#REF!,DATA!#REF!,1,FALSE),"")</f>
        <v/>
      </c>
      <c r="D3086" s="16" t="str">
        <f>IFERROR(VLOOKUP(C3086,DATA!#REF!,2,FALSE),"")</f>
        <v/>
      </c>
      <c r="I3086" s="17"/>
      <c r="J3086" s="17"/>
      <c r="P3086" s="17"/>
      <c r="Q3086" s="17"/>
    </row>
    <row r="3087" spans="2:17">
      <c r="B3087" s="17"/>
      <c r="C3087" s="16" t="str">
        <f>IFERROR(VLOOKUP(DATA!#REF!,DATA!#REF!,1,FALSE),"")</f>
        <v/>
      </c>
      <c r="D3087" s="16" t="str">
        <f>IFERROR(VLOOKUP(C3087,DATA!#REF!,2,FALSE),"")</f>
        <v/>
      </c>
      <c r="I3087" s="17"/>
      <c r="J3087" s="17"/>
      <c r="P3087" s="17"/>
      <c r="Q3087" s="17"/>
    </row>
    <row r="3088" spans="2:17">
      <c r="B3088" s="17"/>
      <c r="C3088" s="16" t="str">
        <f>IFERROR(VLOOKUP(DATA!#REF!,DATA!#REF!,1,FALSE),"")</f>
        <v/>
      </c>
      <c r="D3088" s="16" t="str">
        <f>IFERROR(VLOOKUP(C3088,DATA!#REF!,2,FALSE),"")</f>
        <v/>
      </c>
      <c r="I3088" s="17"/>
      <c r="J3088" s="17"/>
      <c r="P3088" s="17"/>
      <c r="Q3088" s="17"/>
    </row>
    <row r="3089" spans="2:17">
      <c r="B3089" s="17"/>
      <c r="C3089" s="16" t="str">
        <f>IFERROR(VLOOKUP(DATA!#REF!,DATA!#REF!,1,FALSE),"")</f>
        <v/>
      </c>
      <c r="D3089" s="16" t="str">
        <f>IFERROR(VLOOKUP(C3089,DATA!#REF!,2,FALSE),"")</f>
        <v/>
      </c>
      <c r="I3089" s="17"/>
      <c r="J3089" s="17"/>
      <c r="P3089" s="17"/>
      <c r="Q3089" s="17"/>
    </row>
    <row r="3090" spans="2:17">
      <c r="B3090" s="17"/>
      <c r="C3090" s="16" t="str">
        <f>IFERROR(VLOOKUP(DATA!#REF!,DATA!#REF!,1,FALSE),"")</f>
        <v/>
      </c>
      <c r="D3090" s="16" t="str">
        <f>IFERROR(VLOOKUP(C3090,DATA!#REF!,2,FALSE),"")</f>
        <v/>
      </c>
      <c r="I3090" s="17"/>
      <c r="J3090" s="17"/>
      <c r="P3090" s="17"/>
      <c r="Q3090" s="17"/>
    </row>
    <row r="3091" spans="2:17">
      <c r="B3091" s="17"/>
      <c r="C3091" s="16" t="str">
        <f>IFERROR(VLOOKUP(DATA!#REF!,DATA!#REF!,1,FALSE),"")</f>
        <v/>
      </c>
      <c r="D3091" s="16" t="str">
        <f>IFERROR(VLOOKUP(C3091,DATA!#REF!,2,FALSE),"")</f>
        <v/>
      </c>
      <c r="I3091" s="17"/>
      <c r="J3091" s="17"/>
      <c r="P3091" s="17"/>
      <c r="Q3091" s="17"/>
    </row>
    <row r="3092" spans="2:17">
      <c r="B3092" s="17"/>
      <c r="C3092" s="16" t="str">
        <f>IFERROR(VLOOKUP(DATA!#REF!,DATA!#REF!,1,FALSE),"")</f>
        <v/>
      </c>
      <c r="D3092" s="16" t="str">
        <f>IFERROR(VLOOKUP(C3092,DATA!#REF!,2,FALSE),"")</f>
        <v/>
      </c>
      <c r="I3092" s="17"/>
      <c r="J3092" s="17"/>
      <c r="P3092" s="17"/>
      <c r="Q3092" s="17"/>
    </row>
    <row r="3093" spans="2:17">
      <c r="B3093" s="17"/>
      <c r="C3093" s="16" t="str">
        <f>IFERROR(VLOOKUP(DATA!#REF!,DATA!#REF!,1,FALSE),"")</f>
        <v/>
      </c>
      <c r="D3093" s="16" t="str">
        <f>IFERROR(VLOOKUP(C3093,DATA!#REF!,2,FALSE),"")</f>
        <v/>
      </c>
      <c r="I3093" s="17"/>
      <c r="J3093" s="17"/>
      <c r="P3093" s="17"/>
      <c r="Q3093" s="17"/>
    </row>
    <row r="3094" spans="2:17">
      <c r="B3094" s="17"/>
      <c r="C3094" s="16" t="str">
        <f>IFERROR(VLOOKUP(DATA!#REF!,DATA!#REF!,1,FALSE),"")</f>
        <v/>
      </c>
      <c r="D3094" s="16" t="str">
        <f>IFERROR(VLOOKUP(C3094,DATA!#REF!,2,FALSE),"")</f>
        <v/>
      </c>
      <c r="I3094" s="17"/>
      <c r="J3094" s="17"/>
      <c r="P3094" s="17"/>
      <c r="Q3094" s="17"/>
    </row>
    <row r="3095" spans="2:17">
      <c r="B3095" s="17"/>
      <c r="C3095" s="16" t="str">
        <f>IFERROR(VLOOKUP(DATA!#REF!,DATA!#REF!,1,FALSE),"")</f>
        <v/>
      </c>
      <c r="D3095" s="16" t="str">
        <f>IFERROR(VLOOKUP(C3095,DATA!#REF!,2,FALSE),"")</f>
        <v/>
      </c>
      <c r="I3095" s="17"/>
      <c r="J3095" s="17"/>
      <c r="P3095" s="17"/>
      <c r="Q3095" s="17"/>
    </row>
    <row r="3096" spans="2:17">
      <c r="B3096" s="17"/>
      <c r="C3096" s="16" t="str">
        <f>IFERROR(VLOOKUP(DATA!#REF!,DATA!#REF!,1,FALSE),"")</f>
        <v/>
      </c>
      <c r="D3096" s="16" t="str">
        <f>IFERROR(VLOOKUP(C3096,DATA!#REF!,2,FALSE),"")</f>
        <v/>
      </c>
      <c r="I3096" s="17"/>
      <c r="J3096" s="17"/>
      <c r="P3096" s="17"/>
      <c r="Q3096" s="17"/>
    </row>
    <row r="3097" spans="2:17">
      <c r="B3097" s="17"/>
      <c r="C3097" s="16" t="str">
        <f>IFERROR(VLOOKUP(DATA!#REF!,DATA!#REF!,1,FALSE),"")</f>
        <v/>
      </c>
      <c r="D3097" s="16" t="str">
        <f>IFERROR(VLOOKUP(C3097,DATA!#REF!,2,FALSE),"")</f>
        <v/>
      </c>
      <c r="I3097" s="17"/>
      <c r="J3097" s="17"/>
      <c r="P3097" s="17"/>
      <c r="Q3097" s="17"/>
    </row>
    <row r="3098" spans="2:17">
      <c r="B3098" s="17"/>
      <c r="C3098" s="16" t="str">
        <f>IFERROR(VLOOKUP(DATA!#REF!,DATA!#REF!,1,FALSE),"")</f>
        <v/>
      </c>
      <c r="D3098" s="16" t="str">
        <f>IFERROR(VLOOKUP(C3098,DATA!#REF!,2,FALSE),"")</f>
        <v/>
      </c>
      <c r="I3098" s="17"/>
      <c r="J3098" s="17"/>
      <c r="P3098" s="17"/>
      <c r="Q3098" s="17"/>
    </row>
    <row r="3099" spans="2:17">
      <c r="B3099" s="17"/>
      <c r="C3099" s="16" t="str">
        <f>IFERROR(VLOOKUP(DATA!#REF!,DATA!#REF!,1,FALSE),"")</f>
        <v/>
      </c>
      <c r="D3099" s="16" t="str">
        <f>IFERROR(VLOOKUP(C3099,DATA!#REF!,2,FALSE),"")</f>
        <v/>
      </c>
      <c r="I3099" s="17"/>
      <c r="J3099" s="17"/>
      <c r="P3099" s="17"/>
      <c r="Q3099" s="17"/>
    </row>
    <row r="3100" spans="2:17">
      <c r="B3100" s="17"/>
      <c r="C3100" s="16" t="str">
        <f>IFERROR(VLOOKUP(DATA!#REF!,DATA!#REF!,1,FALSE),"")</f>
        <v/>
      </c>
      <c r="D3100" s="16" t="str">
        <f>IFERROR(VLOOKUP(C3100,DATA!#REF!,2,FALSE),"")</f>
        <v/>
      </c>
      <c r="I3100" s="17"/>
      <c r="J3100" s="17"/>
      <c r="P3100" s="17"/>
      <c r="Q3100" s="17"/>
    </row>
    <row r="3101" spans="2:17">
      <c r="B3101" s="17"/>
      <c r="C3101" s="16" t="str">
        <f>IFERROR(VLOOKUP(DATA!#REF!,DATA!#REF!,1,FALSE),"")</f>
        <v/>
      </c>
      <c r="D3101" s="16" t="str">
        <f>IFERROR(VLOOKUP(C3101,DATA!#REF!,2,FALSE),"")</f>
        <v/>
      </c>
      <c r="I3101" s="17"/>
      <c r="J3101" s="17"/>
      <c r="P3101" s="17"/>
      <c r="Q3101" s="17"/>
    </row>
    <row r="3102" spans="2:17">
      <c r="B3102" s="17"/>
      <c r="C3102" s="16" t="str">
        <f>IFERROR(VLOOKUP(DATA!#REF!,DATA!#REF!,1,FALSE),"")</f>
        <v/>
      </c>
      <c r="D3102" s="16" t="str">
        <f>IFERROR(VLOOKUP(C3102,DATA!#REF!,2,FALSE),"")</f>
        <v/>
      </c>
      <c r="I3102" s="17"/>
      <c r="J3102" s="17"/>
      <c r="P3102" s="17"/>
      <c r="Q3102" s="17"/>
    </row>
    <row r="3103" spans="2:17">
      <c r="B3103" s="17"/>
      <c r="C3103" s="16" t="str">
        <f>IFERROR(VLOOKUP(DATA!#REF!,DATA!#REF!,1,FALSE),"")</f>
        <v/>
      </c>
      <c r="D3103" s="16" t="str">
        <f>IFERROR(VLOOKUP(C3103,DATA!#REF!,2,FALSE),"")</f>
        <v/>
      </c>
      <c r="I3103" s="17"/>
      <c r="J3103" s="17"/>
      <c r="P3103" s="17"/>
      <c r="Q3103" s="17"/>
    </row>
    <row r="3104" spans="2:17">
      <c r="B3104" s="17"/>
      <c r="C3104" s="16" t="str">
        <f>IFERROR(VLOOKUP(DATA!#REF!,DATA!#REF!,1,FALSE),"")</f>
        <v/>
      </c>
      <c r="D3104" s="16" t="str">
        <f>IFERROR(VLOOKUP(C3104,DATA!#REF!,2,FALSE),"")</f>
        <v/>
      </c>
      <c r="I3104" s="17"/>
      <c r="J3104" s="17"/>
      <c r="P3104" s="17"/>
      <c r="Q3104" s="17"/>
    </row>
    <row r="3105" spans="2:17">
      <c r="B3105" s="17"/>
      <c r="C3105" s="16" t="str">
        <f>IFERROR(VLOOKUP(DATA!#REF!,DATA!#REF!,1,FALSE),"")</f>
        <v/>
      </c>
      <c r="D3105" s="16" t="str">
        <f>IFERROR(VLOOKUP(C3105,DATA!#REF!,2,FALSE),"")</f>
        <v/>
      </c>
      <c r="I3105" s="17"/>
      <c r="J3105" s="17"/>
      <c r="P3105" s="17"/>
      <c r="Q3105" s="17"/>
    </row>
    <row r="3106" spans="2:17">
      <c r="B3106" s="17"/>
      <c r="C3106" s="16" t="str">
        <f>IFERROR(VLOOKUP(DATA!#REF!,DATA!#REF!,1,FALSE),"")</f>
        <v/>
      </c>
      <c r="D3106" s="16" t="str">
        <f>IFERROR(VLOOKUP(C3106,DATA!#REF!,2,FALSE),"")</f>
        <v/>
      </c>
      <c r="I3106" s="17"/>
      <c r="J3106" s="17"/>
      <c r="P3106" s="17"/>
      <c r="Q3106" s="17"/>
    </row>
    <row r="3107" spans="2:17">
      <c r="B3107" s="17"/>
      <c r="C3107" s="16" t="str">
        <f>IFERROR(VLOOKUP(DATA!#REF!,DATA!#REF!,1,FALSE),"")</f>
        <v/>
      </c>
      <c r="D3107" s="16" t="str">
        <f>IFERROR(VLOOKUP(C3107,DATA!#REF!,2,FALSE),"")</f>
        <v/>
      </c>
      <c r="I3107" s="17"/>
      <c r="J3107" s="17"/>
      <c r="P3107" s="17"/>
      <c r="Q3107" s="17"/>
    </row>
    <row r="3108" spans="2:17">
      <c r="B3108" s="17"/>
      <c r="C3108" s="16" t="str">
        <f>IFERROR(VLOOKUP(DATA!#REF!,DATA!#REF!,1,FALSE),"")</f>
        <v/>
      </c>
      <c r="D3108" s="16" t="str">
        <f>IFERROR(VLOOKUP(C3108,DATA!#REF!,2,FALSE),"")</f>
        <v/>
      </c>
      <c r="I3108" s="17"/>
      <c r="J3108" s="17"/>
      <c r="P3108" s="17"/>
      <c r="Q3108" s="17"/>
    </row>
    <row r="3109" spans="2:17">
      <c r="B3109" s="17"/>
      <c r="C3109" s="16" t="str">
        <f>IFERROR(VLOOKUP(DATA!#REF!,DATA!#REF!,1,FALSE),"")</f>
        <v/>
      </c>
      <c r="D3109" s="16" t="str">
        <f>IFERROR(VLOOKUP(C3109,DATA!#REF!,2,FALSE),"")</f>
        <v/>
      </c>
      <c r="I3109" s="17"/>
      <c r="J3109" s="17"/>
      <c r="P3109" s="17"/>
      <c r="Q3109" s="17"/>
    </row>
    <row r="3110" spans="2:17">
      <c r="B3110" s="17"/>
      <c r="C3110" s="16" t="str">
        <f>IFERROR(VLOOKUP(DATA!#REF!,DATA!#REF!,1,FALSE),"")</f>
        <v/>
      </c>
      <c r="D3110" s="16" t="str">
        <f>IFERROR(VLOOKUP(C3110,DATA!#REF!,2,FALSE),"")</f>
        <v/>
      </c>
      <c r="I3110" s="17"/>
      <c r="J3110" s="17"/>
      <c r="P3110" s="17"/>
      <c r="Q3110" s="17"/>
    </row>
    <row r="3111" spans="2:17">
      <c r="B3111" s="17"/>
      <c r="C3111" s="16" t="str">
        <f>IFERROR(VLOOKUP(DATA!#REF!,DATA!#REF!,1,FALSE),"")</f>
        <v/>
      </c>
      <c r="D3111" s="16" t="str">
        <f>IFERROR(VLOOKUP(C3111,DATA!#REF!,2,FALSE),"")</f>
        <v/>
      </c>
      <c r="I3111" s="17"/>
      <c r="J3111" s="17"/>
      <c r="P3111" s="17"/>
      <c r="Q3111" s="17"/>
    </row>
    <row r="3112" spans="2:17">
      <c r="B3112" s="17"/>
      <c r="C3112" s="16" t="str">
        <f>IFERROR(VLOOKUP(DATA!#REF!,DATA!#REF!,1,FALSE),"")</f>
        <v/>
      </c>
      <c r="D3112" s="16" t="str">
        <f>IFERROR(VLOOKUP(C3112,DATA!#REF!,2,FALSE),"")</f>
        <v/>
      </c>
      <c r="I3112" s="17"/>
      <c r="J3112" s="17"/>
      <c r="P3112" s="17"/>
      <c r="Q3112" s="17"/>
    </row>
    <row r="3113" spans="2:17">
      <c r="B3113" s="17"/>
      <c r="C3113" s="16" t="str">
        <f>IFERROR(VLOOKUP(DATA!#REF!,DATA!#REF!,1,FALSE),"")</f>
        <v/>
      </c>
      <c r="D3113" s="16" t="str">
        <f>IFERROR(VLOOKUP(C3113,DATA!#REF!,2,FALSE),"")</f>
        <v/>
      </c>
      <c r="I3113" s="17"/>
      <c r="J3113" s="17"/>
      <c r="P3113" s="17"/>
      <c r="Q3113" s="17"/>
    </row>
    <row r="3114" spans="2:17">
      <c r="B3114" s="17"/>
      <c r="C3114" s="16" t="str">
        <f>IFERROR(VLOOKUP(DATA!#REF!,DATA!#REF!,1,FALSE),"")</f>
        <v/>
      </c>
      <c r="D3114" s="16" t="str">
        <f>IFERROR(VLOOKUP(C3114,DATA!#REF!,2,FALSE),"")</f>
        <v/>
      </c>
      <c r="I3114" s="17"/>
      <c r="J3114" s="17"/>
      <c r="P3114" s="17"/>
      <c r="Q3114" s="17"/>
    </row>
    <row r="3115" spans="2:17">
      <c r="B3115" s="17"/>
      <c r="C3115" s="16" t="str">
        <f>IFERROR(VLOOKUP(DATA!#REF!,DATA!#REF!,1,FALSE),"")</f>
        <v/>
      </c>
      <c r="D3115" s="16" t="str">
        <f>IFERROR(VLOOKUP(C3115,DATA!#REF!,2,FALSE),"")</f>
        <v/>
      </c>
      <c r="I3115" s="17"/>
      <c r="J3115" s="17"/>
      <c r="P3115" s="17"/>
      <c r="Q3115" s="17"/>
    </row>
    <row r="3116" spans="2:17">
      <c r="B3116" s="17"/>
      <c r="C3116" s="16" t="str">
        <f>IFERROR(VLOOKUP(DATA!#REF!,DATA!#REF!,1,FALSE),"")</f>
        <v/>
      </c>
      <c r="D3116" s="16" t="str">
        <f>IFERROR(VLOOKUP(C3116,DATA!#REF!,2,FALSE),"")</f>
        <v/>
      </c>
      <c r="I3116" s="17"/>
      <c r="J3116" s="17"/>
      <c r="P3116" s="17"/>
      <c r="Q3116" s="17"/>
    </row>
    <row r="3117" spans="2:17">
      <c r="B3117" s="17"/>
      <c r="C3117" s="16" t="str">
        <f>IFERROR(VLOOKUP(DATA!#REF!,DATA!#REF!,1,FALSE),"")</f>
        <v/>
      </c>
      <c r="D3117" s="16" t="str">
        <f>IFERROR(VLOOKUP(C3117,DATA!#REF!,2,FALSE),"")</f>
        <v/>
      </c>
      <c r="I3117" s="17"/>
      <c r="J3117" s="17"/>
      <c r="P3117" s="17"/>
      <c r="Q3117" s="17"/>
    </row>
    <row r="3118" spans="2:17">
      <c r="B3118" s="17"/>
      <c r="C3118" s="16" t="str">
        <f>IFERROR(VLOOKUP(DATA!#REF!,DATA!#REF!,1,FALSE),"")</f>
        <v/>
      </c>
      <c r="D3118" s="16" t="str">
        <f>IFERROR(VLOOKUP(C3118,DATA!#REF!,2,FALSE),"")</f>
        <v/>
      </c>
      <c r="I3118" s="17"/>
      <c r="J3118" s="17"/>
      <c r="P3118" s="17"/>
      <c r="Q3118" s="17"/>
    </row>
    <row r="3119" spans="2:17">
      <c r="B3119" s="17"/>
      <c r="C3119" s="16" t="str">
        <f>IFERROR(VLOOKUP(DATA!#REF!,DATA!#REF!,1,FALSE),"")</f>
        <v/>
      </c>
      <c r="D3119" s="16" t="str">
        <f>IFERROR(VLOOKUP(C3119,DATA!#REF!,2,FALSE),"")</f>
        <v/>
      </c>
      <c r="I3119" s="17"/>
      <c r="J3119" s="17"/>
      <c r="P3119" s="17"/>
      <c r="Q3119" s="17"/>
    </row>
    <row r="3120" spans="2:17">
      <c r="B3120" s="17"/>
      <c r="C3120" s="16" t="str">
        <f>IFERROR(VLOOKUP(DATA!#REF!,DATA!#REF!,1,FALSE),"")</f>
        <v/>
      </c>
      <c r="D3120" s="16" t="str">
        <f>IFERROR(VLOOKUP(C3120,DATA!#REF!,2,FALSE),"")</f>
        <v/>
      </c>
      <c r="I3120" s="17"/>
      <c r="J3120" s="17"/>
      <c r="P3120" s="17"/>
      <c r="Q3120" s="17"/>
    </row>
    <row r="3121" spans="2:17">
      <c r="B3121" s="17"/>
      <c r="C3121" s="16" t="str">
        <f>IFERROR(VLOOKUP(DATA!#REF!,DATA!#REF!,1,FALSE),"")</f>
        <v/>
      </c>
      <c r="D3121" s="16" t="str">
        <f>IFERROR(VLOOKUP(C3121,DATA!#REF!,2,FALSE),"")</f>
        <v/>
      </c>
      <c r="I3121" s="17"/>
      <c r="J3121" s="17"/>
      <c r="P3121" s="17"/>
      <c r="Q3121" s="17"/>
    </row>
    <row r="3122" spans="2:17">
      <c r="B3122" s="17"/>
      <c r="C3122" s="16" t="str">
        <f>IFERROR(VLOOKUP(DATA!#REF!,DATA!#REF!,1,FALSE),"")</f>
        <v/>
      </c>
      <c r="D3122" s="16" t="str">
        <f>IFERROR(VLOOKUP(C3122,DATA!#REF!,2,FALSE),"")</f>
        <v/>
      </c>
      <c r="I3122" s="17"/>
      <c r="J3122" s="17"/>
      <c r="P3122" s="17"/>
      <c r="Q3122" s="17"/>
    </row>
    <row r="3123" spans="2:17">
      <c r="B3123" s="17"/>
      <c r="C3123" s="16" t="str">
        <f>IFERROR(VLOOKUP(DATA!#REF!,DATA!#REF!,1,FALSE),"")</f>
        <v/>
      </c>
      <c r="D3123" s="16" t="str">
        <f>IFERROR(VLOOKUP(C3123,DATA!#REF!,2,FALSE),"")</f>
        <v/>
      </c>
      <c r="I3123" s="17"/>
      <c r="J3123" s="17"/>
      <c r="P3123" s="17"/>
      <c r="Q3123" s="17"/>
    </row>
    <row r="3124" spans="2:17">
      <c r="B3124" s="17"/>
      <c r="C3124" s="16" t="str">
        <f>IFERROR(VLOOKUP(DATA!#REF!,DATA!#REF!,1,FALSE),"")</f>
        <v/>
      </c>
      <c r="D3124" s="16" t="str">
        <f>IFERROR(VLOOKUP(C3124,DATA!#REF!,2,FALSE),"")</f>
        <v/>
      </c>
      <c r="I3124" s="17"/>
      <c r="J3124" s="17"/>
      <c r="P3124" s="17"/>
      <c r="Q3124" s="17"/>
    </row>
    <row r="3125" spans="2:17">
      <c r="B3125" s="17"/>
      <c r="C3125" s="16" t="str">
        <f>IFERROR(VLOOKUP(DATA!#REF!,DATA!#REF!,1,FALSE),"")</f>
        <v/>
      </c>
      <c r="D3125" s="16" t="str">
        <f>IFERROR(VLOOKUP(C3125,DATA!#REF!,2,FALSE),"")</f>
        <v/>
      </c>
      <c r="I3125" s="17"/>
      <c r="J3125" s="17"/>
      <c r="P3125" s="17"/>
      <c r="Q3125" s="17"/>
    </row>
    <row r="3126" spans="2:17">
      <c r="B3126" s="17"/>
      <c r="C3126" s="16" t="str">
        <f>IFERROR(VLOOKUP(DATA!#REF!,DATA!#REF!,1,FALSE),"")</f>
        <v/>
      </c>
      <c r="D3126" s="16" t="str">
        <f>IFERROR(VLOOKUP(C3126,DATA!#REF!,2,FALSE),"")</f>
        <v/>
      </c>
      <c r="I3126" s="17"/>
      <c r="J3126" s="17"/>
      <c r="P3126" s="17"/>
      <c r="Q3126" s="17"/>
    </row>
    <row r="3127" spans="2:17">
      <c r="B3127" s="17"/>
      <c r="C3127" s="16" t="str">
        <f>IFERROR(VLOOKUP(DATA!#REF!,DATA!#REF!,1,FALSE),"")</f>
        <v/>
      </c>
      <c r="D3127" s="16" t="str">
        <f>IFERROR(VLOOKUP(C3127,DATA!#REF!,2,FALSE),"")</f>
        <v/>
      </c>
      <c r="I3127" s="17"/>
      <c r="J3127" s="17"/>
      <c r="P3127" s="17"/>
      <c r="Q3127" s="17"/>
    </row>
    <row r="3128" spans="2:17">
      <c r="B3128" s="17"/>
      <c r="C3128" s="16" t="str">
        <f>IFERROR(VLOOKUP(DATA!#REF!,DATA!#REF!,1,FALSE),"")</f>
        <v/>
      </c>
      <c r="D3128" s="16" t="str">
        <f>IFERROR(VLOOKUP(C3128,DATA!#REF!,2,FALSE),"")</f>
        <v/>
      </c>
      <c r="I3128" s="17"/>
      <c r="J3128" s="17"/>
      <c r="P3128" s="17"/>
      <c r="Q3128" s="17"/>
    </row>
    <row r="3129" spans="2:17">
      <c r="B3129" s="17"/>
      <c r="C3129" s="16" t="str">
        <f>IFERROR(VLOOKUP(DATA!#REF!,DATA!#REF!,1,FALSE),"")</f>
        <v/>
      </c>
      <c r="D3129" s="16" t="str">
        <f>IFERROR(VLOOKUP(C3129,DATA!#REF!,2,FALSE),"")</f>
        <v/>
      </c>
      <c r="I3129" s="17"/>
      <c r="J3129" s="17"/>
      <c r="P3129" s="17"/>
      <c r="Q3129" s="17"/>
    </row>
    <row r="3130" spans="2:17">
      <c r="B3130" s="17"/>
      <c r="C3130" s="16" t="str">
        <f>IFERROR(VLOOKUP(DATA!#REF!,DATA!#REF!,1,FALSE),"")</f>
        <v/>
      </c>
      <c r="D3130" s="16" t="str">
        <f>IFERROR(VLOOKUP(C3130,DATA!#REF!,2,FALSE),"")</f>
        <v/>
      </c>
      <c r="I3130" s="17"/>
      <c r="J3130" s="17"/>
      <c r="P3130" s="17"/>
      <c r="Q3130" s="17"/>
    </row>
    <row r="3131" spans="2:17">
      <c r="B3131" s="17"/>
      <c r="C3131" s="16" t="str">
        <f>IFERROR(VLOOKUP(DATA!#REF!,DATA!#REF!,1,FALSE),"")</f>
        <v/>
      </c>
      <c r="D3131" s="16" t="str">
        <f>IFERROR(VLOOKUP(C3131,DATA!#REF!,2,FALSE),"")</f>
        <v/>
      </c>
      <c r="I3131" s="17"/>
      <c r="J3131" s="17"/>
      <c r="P3131" s="17"/>
      <c r="Q3131" s="17"/>
    </row>
    <row r="3132" spans="2:17">
      <c r="B3132" s="17"/>
      <c r="C3132" s="16" t="str">
        <f>IFERROR(VLOOKUP(DATA!#REF!,DATA!#REF!,1,FALSE),"")</f>
        <v/>
      </c>
      <c r="D3132" s="16" t="str">
        <f>IFERROR(VLOOKUP(C3132,DATA!#REF!,2,FALSE),"")</f>
        <v/>
      </c>
      <c r="I3132" s="17"/>
      <c r="J3132" s="17"/>
      <c r="P3132" s="17"/>
      <c r="Q3132" s="17"/>
    </row>
    <row r="3133" spans="2:17">
      <c r="B3133" s="17"/>
      <c r="C3133" s="16" t="str">
        <f>IFERROR(VLOOKUP(DATA!#REF!,DATA!#REF!,1,FALSE),"")</f>
        <v/>
      </c>
      <c r="D3133" s="16" t="str">
        <f>IFERROR(VLOOKUP(C3133,DATA!#REF!,2,FALSE),"")</f>
        <v/>
      </c>
      <c r="I3133" s="17"/>
      <c r="J3133" s="17"/>
      <c r="P3133" s="17"/>
      <c r="Q3133" s="17"/>
    </row>
    <row r="3134" spans="2:17">
      <c r="B3134" s="17"/>
      <c r="C3134" s="16" t="str">
        <f>IFERROR(VLOOKUP(DATA!#REF!,DATA!#REF!,1,FALSE),"")</f>
        <v/>
      </c>
      <c r="D3134" s="16" t="str">
        <f>IFERROR(VLOOKUP(C3134,DATA!#REF!,2,FALSE),"")</f>
        <v/>
      </c>
      <c r="I3134" s="17"/>
      <c r="J3134" s="17"/>
      <c r="P3134" s="17"/>
      <c r="Q3134" s="17"/>
    </row>
    <row r="3135" spans="2:17">
      <c r="B3135" s="17"/>
      <c r="C3135" s="16" t="str">
        <f>IFERROR(VLOOKUP(DATA!#REF!,DATA!#REF!,1,FALSE),"")</f>
        <v/>
      </c>
      <c r="D3135" s="16" t="str">
        <f>IFERROR(VLOOKUP(C3135,DATA!#REF!,2,FALSE),"")</f>
        <v/>
      </c>
      <c r="I3135" s="17"/>
      <c r="J3135" s="17"/>
      <c r="P3135" s="17"/>
      <c r="Q3135" s="17"/>
    </row>
    <row r="3136" spans="2:17">
      <c r="B3136" s="17"/>
      <c r="C3136" s="16" t="str">
        <f>IFERROR(VLOOKUP(DATA!#REF!,DATA!#REF!,1,FALSE),"")</f>
        <v/>
      </c>
      <c r="D3136" s="16" t="str">
        <f>IFERROR(VLOOKUP(C3136,DATA!#REF!,2,FALSE),"")</f>
        <v/>
      </c>
      <c r="I3136" s="17"/>
      <c r="J3136" s="17"/>
      <c r="P3136" s="17"/>
      <c r="Q3136" s="17"/>
    </row>
    <row r="3137" spans="2:17">
      <c r="B3137" s="17"/>
      <c r="C3137" s="16" t="str">
        <f>IFERROR(VLOOKUP(DATA!#REF!,DATA!#REF!,1,FALSE),"")</f>
        <v/>
      </c>
      <c r="D3137" s="16" t="str">
        <f>IFERROR(VLOOKUP(C3137,DATA!#REF!,2,FALSE),"")</f>
        <v/>
      </c>
      <c r="I3137" s="17"/>
      <c r="J3137" s="17"/>
      <c r="P3137" s="17"/>
      <c r="Q3137" s="17"/>
    </row>
    <row r="3138" spans="2:17">
      <c r="B3138" s="17"/>
      <c r="C3138" s="16" t="str">
        <f>IFERROR(VLOOKUP(DATA!#REF!,DATA!#REF!,1,FALSE),"")</f>
        <v/>
      </c>
      <c r="D3138" s="16" t="str">
        <f>IFERROR(VLOOKUP(C3138,DATA!#REF!,2,FALSE),"")</f>
        <v/>
      </c>
      <c r="I3138" s="17"/>
      <c r="J3138" s="17"/>
      <c r="P3138" s="17"/>
      <c r="Q3138" s="17"/>
    </row>
    <row r="3139" spans="2:17">
      <c r="B3139" s="17"/>
      <c r="C3139" s="16" t="str">
        <f>IFERROR(VLOOKUP(DATA!#REF!,DATA!#REF!,1,FALSE),"")</f>
        <v/>
      </c>
      <c r="D3139" s="16" t="str">
        <f>IFERROR(VLOOKUP(C3139,DATA!#REF!,2,FALSE),"")</f>
        <v/>
      </c>
      <c r="I3139" s="17"/>
      <c r="J3139" s="17"/>
      <c r="P3139" s="17"/>
      <c r="Q3139" s="17"/>
    </row>
    <row r="3140" spans="2:17">
      <c r="B3140" s="17"/>
      <c r="C3140" s="16" t="str">
        <f>IFERROR(VLOOKUP(DATA!#REF!,DATA!#REF!,1,FALSE),"")</f>
        <v/>
      </c>
      <c r="D3140" s="16" t="str">
        <f>IFERROR(VLOOKUP(C3140,DATA!#REF!,2,FALSE),"")</f>
        <v/>
      </c>
      <c r="I3140" s="17"/>
      <c r="J3140" s="17"/>
      <c r="P3140" s="17"/>
      <c r="Q3140" s="17"/>
    </row>
    <row r="3141" spans="2:17">
      <c r="B3141" s="17"/>
      <c r="C3141" s="16" t="str">
        <f>IFERROR(VLOOKUP(DATA!#REF!,DATA!#REF!,1,FALSE),"")</f>
        <v/>
      </c>
      <c r="D3141" s="16" t="str">
        <f>IFERROR(VLOOKUP(C3141,DATA!#REF!,2,FALSE),"")</f>
        <v/>
      </c>
      <c r="I3141" s="17"/>
      <c r="J3141" s="17"/>
      <c r="P3141" s="17"/>
      <c r="Q3141" s="17"/>
    </row>
    <row r="3142" spans="2:17">
      <c r="B3142" s="17"/>
      <c r="C3142" s="16" t="str">
        <f>IFERROR(VLOOKUP(DATA!#REF!,DATA!#REF!,1,FALSE),"")</f>
        <v/>
      </c>
      <c r="D3142" s="16" t="str">
        <f>IFERROR(VLOOKUP(C3142,DATA!#REF!,2,FALSE),"")</f>
        <v/>
      </c>
      <c r="I3142" s="17"/>
      <c r="J3142" s="17"/>
      <c r="P3142" s="17"/>
      <c r="Q3142" s="17"/>
    </row>
    <row r="3143" spans="2:17">
      <c r="B3143" s="17"/>
      <c r="C3143" s="16" t="str">
        <f>IFERROR(VLOOKUP(DATA!#REF!,DATA!#REF!,1,FALSE),"")</f>
        <v/>
      </c>
      <c r="D3143" s="16" t="str">
        <f>IFERROR(VLOOKUP(C3143,DATA!#REF!,2,FALSE),"")</f>
        <v/>
      </c>
      <c r="I3143" s="17"/>
      <c r="J3143" s="17"/>
      <c r="P3143" s="17"/>
      <c r="Q3143" s="17"/>
    </row>
    <row r="3144" spans="2:17">
      <c r="B3144" s="17"/>
      <c r="C3144" s="16" t="str">
        <f>IFERROR(VLOOKUP(DATA!#REF!,DATA!#REF!,1,FALSE),"")</f>
        <v/>
      </c>
      <c r="D3144" s="16" t="str">
        <f>IFERROR(VLOOKUP(C3144,DATA!#REF!,2,FALSE),"")</f>
        <v/>
      </c>
      <c r="I3144" s="17"/>
      <c r="J3144" s="17"/>
      <c r="P3144" s="17"/>
      <c r="Q3144" s="17"/>
    </row>
    <row r="3145" spans="2:17">
      <c r="B3145" s="17"/>
      <c r="C3145" s="16" t="str">
        <f>IFERROR(VLOOKUP(DATA!#REF!,DATA!#REF!,1,FALSE),"")</f>
        <v/>
      </c>
      <c r="D3145" s="16" t="str">
        <f>IFERROR(VLOOKUP(C3145,DATA!#REF!,2,FALSE),"")</f>
        <v/>
      </c>
      <c r="I3145" s="17"/>
      <c r="J3145" s="17"/>
      <c r="P3145" s="17"/>
      <c r="Q3145" s="17"/>
    </row>
    <row r="3146" spans="2:17">
      <c r="B3146" s="17"/>
      <c r="C3146" s="16" t="str">
        <f>IFERROR(VLOOKUP(DATA!#REF!,DATA!#REF!,1,FALSE),"")</f>
        <v/>
      </c>
      <c r="D3146" s="16" t="str">
        <f>IFERROR(VLOOKUP(C3146,DATA!#REF!,2,FALSE),"")</f>
        <v/>
      </c>
      <c r="I3146" s="17"/>
      <c r="J3146" s="17"/>
      <c r="P3146" s="17"/>
      <c r="Q3146" s="17"/>
    </row>
    <row r="3147" spans="2:17">
      <c r="B3147" s="17"/>
      <c r="C3147" s="16" t="str">
        <f>IFERROR(VLOOKUP(DATA!#REF!,DATA!#REF!,1,FALSE),"")</f>
        <v/>
      </c>
      <c r="D3147" s="16" t="str">
        <f>IFERROR(VLOOKUP(C3147,DATA!#REF!,2,FALSE),"")</f>
        <v/>
      </c>
      <c r="I3147" s="17"/>
      <c r="J3147" s="17"/>
      <c r="P3147" s="17"/>
      <c r="Q3147" s="17"/>
    </row>
    <row r="3148" spans="2:17">
      <c r="B3148" s="17"/>
      <c r="C3148" s="16" t="str">
        <f>IFERROR(VLOOKUP(DATA!#REF!,DATA!#REF!,1,FALSE),"")</f>
        <v/>
      </c>
      <c r="D3148" s="16" t="str">
        <f>IFERROR(VLOOKUP(C3148,DATA!#REF!,2,FALSE),"")</f>
        <v/>
      </c>
      <c r="I3148" s="17"/>
      <c r="J3148" s="17"/>
      <c r="P3148" s="17"/>
      <c r="Q3148" s="17"/>
    </row>
    <row r="3149" spans="2:17">
      <c r="B3149" s="17"/>
      <c r="C3149" s="16" t="str">
        <f>IFERROR(VLOOKUP(DATA!#REF!,DATA!#REF!,1,FALSE),"")</f>
        <v/>
      </c>
      <c r="D3149" s="16" t="str">
        <f>IFERROR(VLOOKUP(C3149,DATA!#REF!,2,FALSE),"")</f>
        <v/>
      </c>
      <c r="I3149" s="17"/>
      <c r="J3149" s="17"/>
      <c r="P3149" s="17"/>
      <c r="Q3149" s="17"/>
    </row>
    <row r="3150" spans="2:17">
      <c r="B3150" s="17"/>
      <c r="C3150" s="16" t="str">
        <f>IFERROR(VLOOKUP(DATA!#REF!,DATA!#REF!,1,FALSE),"")</f>
        <v/>
      </c>
      <c r="D3150" s="16" t="str">
        <f>IFERROR(VLOOKUP(C3150,DATA!#REF!,2,FALSE),"")</f>
        <v/>
      </c>
      <c r="I3150" s="17"/>
      <c r="J3150" s="17"/>
      <c r="P3150" s="17"/>
      <c r="Q3150" s="17"/>
    </row>
    <row r="3151" spans="2:17">
      <c r="B3151" s="17"/>
      <c r="C3151" s="16" t="str">
        <f>IFERROR(VLOOKUP(DATA!#REF!,DATA!#REF!,1,FALSE),"")</f>
        <v/>
      </c>
      <c r="D3151" s="16" t="str">
        <f>IFERROR(VLOOKUP(C3151,DATA!#REF!,2,FALSE),"")</f>
        <v/>
      </c>
      <c r="I3151" s="17"/>
      <c r="J3151" s="17"/>
      <c r="P3151" s="17"/>
      <c r="Q3151" s="17"/>
    </row>
    <row r="3152" spans="2:17">
      <c r="B3152" s="17"/>
      <c r="C3152" s="16" t="str">
        <f>IFERROR(VLOOKUP(DATA!#REF!,DATA!#REF!,1,FALSE),"")</f>
        <v/>
      </c>
      <c r="D3152" s="16" t="str">
        <f>IFERROR(VLOOKUP(C3152,DATA!#REF!,2,FALSE),"")</f>
        <v/>
      </c>
      <c r="I3152" s="17"/>
      <c r="J3152" s="17"/>
      <c r="P3152" s="17"/>
      <c r="Q3152" s="17"/>
    </row>
    <row r="3153" spans="2:17">
      <c r="B3153" s="17"/>
      <c r="C3153" s="16" t="str">
        <f>IFERROR(VLOOKUP(DATA!#REF!,DATA!#REF!,1,FALSE),"")</f>
        <v/>
      </c>
      <c r="D3153" s="16" t="str">
        <f>IFERROR(VLOOKUP(C3153,DATA!#REF!,2,FALSE),"")</f>
        <v/>
      </c>
      <c r="I3153" s="17"/>
      <c r="J3153" s="17"/>
      <c r="P3153" s="17"/>
      <c r="Q3153" s="17"/>
    </row>
    <row r="3154" spans="2:17">
      <c r="B3154" s="17"/>
      <c r="C3154" s="16" t="str">
        <f>IFERROR(VLOOKUP(DATA!#REF!,DATA!#REF!,1,FALSE),"")</f>
        <v/>
      </c>
      <c r="D3154" s="16" t="str">
        <f>IFERROR(VLOOKUP(C3154,DATA!#REF!,2,FALSE),"")</f>
        <v/>
      </c>
      <c r="I3154" s="17"/>
      <c r="J3154" s="17"/>
      <c r="P3154" s="17"/>
      <c r="Q3154" s="17"/>
    </row>
    <row r="3155" spans="2:17">
      <c r="B3155" s="17"/>
      <c r="C3155" s="16" t="str">
        <f>IFERROR(VLOOKUP(DATA!#REF!,DATA!#REF!,1,FALSE),"")</f>
        <v/>
      </c>
      <c r="D3155" s="16" t="str">
        <f>IFERROR(VLOOKUP(C3155,DATA!#REF!,2,FALSE),"")</f>
        <v/>
      </c>
      <c r="I3155" s="17"/>
      <c r="J3155" s="17"/>
      <c r="P3155" s="17"/>
      <c r="Q3155" s="17"/>
    </row>
    <row r="3156" spans="2:17">
      <c r="B3156" s="17"/>
      <c r="C3156" s="16" t="str">
        <f>IFERROR(VLOOKUP(DATA!#REF!,DATA!#REF!,1,FALSE),"")</f>
        <v/>
      </c>
      <c r="D3156" s="16" t="str">
        <f>IFERROR(VLOOKUP(C3156,DATA!#REF!,2,FALSE),"")</f>
        <v/>
      </c>
      <c r="I3156" s="17"/>
      <c r="J3156" s="17"/>
      <c r="P3156" s="17"/>
      <c r="Q3156" s="17"/>
    </row>
    <row r="3157" spans="2:17">
      <c r="B3157" s="17"/>
      <c r="C3157" s="16" t="str">
        <f>IFERROR(VLOOKUP(DATA!#REF!,DATA!#REF!,1,FALSE),"")</f>
        <v/>
      </c>
      <c r="D3157" s="16" t="str">
        <f>IFERROR(VLOOKUP(C3157,DATA!#REF!,2,FALSE),"")</f>
        <v/>
      </c>
      <c r="I3157" s="17"/>
      <c r="J3157" s="17"/>
      <c r="P3157" s="17"/>
      <c r="Q3157" s="17"/>
    </row>
    <row r="3158" spans="2:17">
      <c r="B3158" s="17"/>
      <c r="C3158" s="16" t="str">
        <f>IFERROR(VLOOKUP(DATA!#REF!,DATA!#REF!,1,FALSE),"")</f>
        <v/>
      </c>
      <c r="D3158" s="16" t="str">
        <f>IFERROR(VLOOKUP(C3158,DATA!#REF!,2,FALSE),"")</f>
        <v/>
      </c>
      <c r="I3158" s="17"/>
      <c r="J3158" s="17"/>
      <c r="P3158" s="17"/>
      <c r="Q3158" s="17"/>
    </row>
    <row r="3159" spans="2:17">
      <c r="B3159" s="17"/>
      <c r="C3159" s="16" t="str">
        <f>IFERROR(VLOOKUP(DATA!#REF!,DATA!#REF!,1,FALSE),"")</f>
        <v/>
      </c>
      <c r="D3159" s="16" t="str">
        <f>IFERROR(VLOOKUP(C3159,DATA!#REF!,2,FALSE),"")</f>
        <v/>
      </c>
      <c r="I3159" s="17"/>
      <c r="J3159" s="17"/>
      <c r="P3159" s="17"/>
      <c r="Q3159" s="17"/>
    </row>
    <row r="3160" spans="2:17">
      <c r="B3160" s="17"/>
      <c r="C3160" s="16" t="str">
        <f>IFERROR(VLOOKUP(DATA!#REF!,DATA!#REF!,1,FALSE),"")</f>
        <v/>
      </c>
      <c r="D3160" s="16" t="str">
        <f>IFERROR(VLOOKUP(C3160,DATA!#REF!,2,FALSE),"")</f>
        <v/>
      </c>
      <c r="I3160" s="17"/>
      <c r="J3160" s="17"/>
      <c r="P3160" s="17"/>
      <c r="Q3160" s="17"/>
    </row>
    <row r="3161" spans="2:17">
      <c r="B3161" s="17"/>
      <c r="C3161" s="16" t="str">
        <f>IFERROR(VLOOKUP(DATA!#REF!,DATA!#REF!,1,FALSE),"")</f>
        <v/>
      </c>
      <c r="D3161" s="16" t="str">
        <f>IFERROR(VLOOKUP(C3161,DATA!#REF!,2,FALSE),"")</f>
        <v/>
      </c>
      <c r="I3161" s="17"/>
      <c r="J3161" s="17"/>
      <c r="P3161" s="17"/>
      <c r="Q3161" s="17"/>
    </row>
    <row r="3162" spans="2:17">
      <c r="B3162" s="17"/>
      <c r="C3162" s="16" t="str">
        <f>IFERROR(VLOOKUP(DATA!#REF!,DATA!#REF!,1,FALSE),"")</f>
        <v/>
      </c>
      <c r="D3162" s="16" t="str">
        <f>IFERROR(VLOOKUP(C3162,DATA!#REF!,2,FALSE),"")</f>
        <v/>
      </c>
      <c r="I3162" s="17"/>
      <c r="J3162" s="17"/>
      <c r="P3162" s="17"/>
      <c r="Q3162" s="17"/>
    </row>
    <row r="3163" spans="2:17">
      <c r="B3163" s="17"/>
      <c r="C3163" s="16" t="str">
        <f>IFERROR(VLOOKUP(DATA!#REF!,DATA!#REF!,1,FALSE),"")</f>
        <v/>
      </c>
      <c r="D3163" s="16" t="str">
        <f>IFERROR(VLOOKUP(C3163,DATA!#REF!,2,FALSE),"")</f>
        <v/>
      </c>
      <c r="I3163" s="17"/>
      <c r="J3163" s="17"/>
      <c r="P3163" s="17"/>
      <c r="Q3163" s="17"/>
    </row>
    <row r="3164" spans="2:17">
      <c r="B3164" s="17"/>
      <c r="C3164" s="16" t="str">
        <f>IFERROR(VLOOKUP(DATA!#REF!,DATA!#REF!,1,FALSE),"")</f>
        <v/>
      </c>
      <c r="D3164" s="16" t="str">
        <f>IFERROR(VLOOKUP(C3164,DATA!#REF!,2,FALSE),"")</f>
        <v/>
      </c>
      <c r="I3164" s="17"/>
      <c r="J3164" s="17"/>
      <c r="P3164" s="17"/>
      <c r="Q3164" s="17"/>
    </row>
    <row r="3165" spans="2:17">
      <c r="B3165" s="17"/>
      <c r="C3165" s="16" t="str">
        <f>IFERROR(VLOOKUP(DATA!#REF!,DATA!#REF!,1,FALSE),"")</f>
        <v/>
      </c>
      <c r="D3165" s="16" t="str">
        <f>IFERROR(VLOOKUP(C3165,DATA!#REF!,2,FALSE),"")</f>
        <v/>
      </c>
      <c r="I3165" s="17"/>
      <c r="J3165" s="17"/>
      <c r="P3165" s="17"/>
      <c r="Q3165" s="17"/>
    </row>
    <row r="3166" spans="2:17">
      <c r="B3166" s="17"/>
      <c r="C3166" s="16" t="str">
        <f>IFERROR(VLOOKUP(DATA!#REF!,DATA!#REF!,1,FALSE),"")</f>
        <v/>
      </c>
      <c r="D3166" s="16" t="str">
        <f>IFERROR(VLOOKUP(C3166,DATA!#REF!,2,FALSE),"")</f>
        <v/>
      </c>
      <c r="I3166" s="17"/>
      <c r="J3166" s="17"/>
      <c r="P3166" s="17"/>
      <c r="Q3166" s="17"/>
    </row>
    <row r="3167" spans="2:17">
      <c r="B3167" s="17"/>
      <c r="C3167" s="16" t="str">
        <f>IFERROR(VLOOKUP(DATA!#REF!,DATA!#REF!,1,FALSE),"")</f>
        <v/>
      </c>
      <c r="D3167" s="16" t="str">
        <f>IFERROR(VLOOKUP(C3167,DATA!#REF!,2,FALSE),"")</f>
        <v/>
      </c>
      <c r="I3167" s="17"/>
      <c r="J3167" s="17"/>
      <c r="P3167" s="17"/>
      <c r="Q3167" s="17"/>
    </row>
    <row r="3168" spans="2:17">
      <c r="B3168" s="17"/>
      <c r="C3168" s="16" t="str">
        <f>IFERROR(VLOOKUP(DATA!#REF!,DATA!#REF!,1,FALSE),"")</f>
        <v/>
      </c>
      <c r="D3168" s="16" t="str">
        <f>IFERROR(VLOOKUP(C3168,DATA!#REF!,2,FALSE),"")</f>
        <v/>
      </c>
      <c r="I3168" s="17"/>
      <c r="J3168" s="17"/>
      <c r="P3168" s="17"/>
      <c r="Q3168" s="17"/>
    </row>
    <row r="3169" spans="2:17">
      <c r="B3169" s="17"/>
      <c r="C3169" s="16" t="str">
        <f>IFERROR(VLOOKUP(DATA!#REF!,DATA!#REF!,1,FALSE),"")</f>
        <v/>
      </c>
      <c r="D3169" s="16" t="str">
        <f>IFERROR(VLOOKUP(C3169,DATA!#REF!,2,FALSE),"")</f>
        <v/>
      </c>
      <c r="I3169" s="17"/>
      <c r="J3169" s="17"/>
      <c r="P3169" s="17"/>
      <c r="Q3169" s="17"/>
    </row>
    <row r="3170" spans="2:17">
      <c r="B3170" s="17"/>
      <c r="C3170" s="16" t="str">
        <f>IFERROR(VLOOKUP(DATA!#REF!,DATA!#REF!,1,FALSE),"")</f>
        <v/>
      </c>
      <c r="D3170" s="16" t="str">
        <f>IFERROR(VLOOKUP(C3170,DATA!#REF!,2,FALSE),"")</f>
        <v/>
      </c>
      <c r="I3170" s="17"/>
      <c r="J3170" s="17"/>
      <c r="P3170" s="17"/>
      <c r="Q3170" s="17"/>
    </row>
    <row r="3171" spans="2:17">
      <c r="B3171" s="17"/>
      <c r="C3171" s="16" t="str">
        <f>IFERROR(VLOOKUP(DATA!#REF!,DATA!#REF!,1,FALSE),"")</f>
        <v/>
      </c>
      <c r="D3171" s="16" t="str">
        <f>IFERROR(VLOOKUP(C3171,DATA!#REF!,2,FALSE),"")</f>
        <v/>
      </c>
      <c r="I3171" s="17"/>
      <c r="J3171" s="17"/>
      <c r="P3171" s="17"/>
      <c r="Q3171" s="17"/>
    </row>
    <row r="3172" spans="2:17">
      <c r="B3172" s="17"/>
      <c r="C3172" s="16" t="str">
        <f>IFERROR(VLOOKUP(DATA!#REF!,DATA!#REF!,1,FALSE),"")</f>
        <v/>
      </c>
      <c r="D3172" s="16" t="str">
        <f>IFERROR(VLOOKUP(C3172,DATA!#REF!,2,FALSE),"")</f>
        <v/>
      </c>
      <c r="I3172" s="17"/>
      <c r="J3172" s="17"/>
      <c r="P3172" s="17"/>
      <c r="Q3172" s="17"/>
    </row>
    <row r="3173" spans="2:17">
      <c r="B3173" s="17"/>
      <c r="C3173" s="16" t="str">
        <f>IFERROR(VLOOKUP(DATA!#REF!,DATA!#REF!,1,FALSE),"")</f>
        <v/>
      </c>
      <c r="D3173" s="16" t="str">
        <f>IFERROR(VLOOKUP(C3173,DATA!#REF!,2,FALSE),"")</f>
        <v/>
      </c>
      <c r="I3173" s="17"/>
      <c r="J3173" s="17"/>
      <c r="P3173" s="17"/>
      <c r="Q3173" s="17"/>
    </row>
    <row r="3174" spans="2:17">
      <c r="B3174" s="17"/>
      <c r="C3174" s="16" t="str">
        <f>IFERROR(VLOOKUP(DATA!#REF!,DATA!#REF!,1,FALSE),"")</f>
        <v/>
      </c>
      <c r="D3174" s="16" t="str">
        <f>IFERROR(VLOOKUP(C3174,DATA!#REF!,2,FALSE),"")</f>
        <v/>
      </c>
      <c r="I3174" s="17"/>
      <c r="J3174" s="17"/>
      <c r="P3174" s="17"/>
      <c r="Q3174" s="17"/>
    </row>
    <row r="3175" spans="2:17">
      <c r="B3175" s="17"/>
      <c r="C3175" s="16" t="str">
        <f>IFERROR(VLOOKUP(DATA!#REF!,DATA!#REF!,1,FALSE),"")</f>
        <v/>
      </c>
      <c r="D3175" s="16" t="str">
        <f>IFERROR(VLOOKUP(C3175,DATA!#REF!,2,FALSE),"")</f>
        <v/>
      </c>
      <c r="I3175" s="17"/>
      <c r="J3175" s="17"/>
      <c r="P3175" s="17"/>
      <c r="Q3175" s="17"/>
    </row>
    <row r="3176" spans="2:17">
      <c r="B3176" s="17"/>
      <c r="C3176" s="16" t="str">
        <f>IFERROR(VLOOKUP(DATA!#REF!,DATA!#REF!,1,FALSE),"")</f>
        <v/>
      </c>
      <c r="D3176" s="16" t="str">
        <f>IFERROR(VLOOKUP(C3176,DATA!#REF!,2,FALSE),"")</f>
        <v/>
      </c>
      <c r="I3176" s="17"/>
      <c r="J3176" s="17"/>
      <c r="P3176" s="17"/>
      <c r="Q3176" s="17"/>
    </row>
    <row r="3177" spans="2:17">
      <c r="B3177" s="17"/>
      <c r="C3177" s="16" t="str">
        <f>IFERROR(VLOOKUP(DATA!#REF!,DATA!#REF!,1,FALSE),"")</f>
        <v/>
      </c>
      <c r="D3177" s="16" t="str">
        <f>IFERROR(VLOOKUP(C3177,DATA!#REF!,2,FALSE),"")</f>
        <v/>
      </c>
      <c r="I3177" s="17"/>
      <c r="J3177" s="17"/>
      <c r="P3177" s="17"/>
      <c r="Q3177" s="17"/>
    </row>
    <row r="3178" spans="2:17">
      <c r="B3178" s="17"/>
      <c r="C3178" s="16" t="str">
        <f>IFERROR(VLOOKUP(DATA!#REF!,DATA!#REF!,1,FALSE),"")</f>
        <v/>
      </c>
      <c r="D3178" s="16" t="str">
        <f>IFERROR(VLOOKUP(C3178,DATA!#REF!,2,FALSE),"")</f>
        <v/>
      </c>
      <c r="I3178" s="17"/>
      <c r="J3178" s="17"/>
      <c r="P3178" s="17"/>
      <c r="Q3178" s="17"/>
    </row>
    <row r="3179" spans="2:17">
      <c r="B3179" s="17"/>
      <c r="C3179" s="16" t="str">
        <f>IFERROR(VLOOKUP(DATA!#REF!,DATA!#REF!,1,FALSE),"")</f>
        <v/>
      </c>
      <c r="D3179" s="16" t="str">
        <f>IFERROR(VLOOKUP(C3179,DATA!#REF!,2,FALSE),"")</f>
        <v/>
      </c>
      <c r="I3179" s="17"/>
      <c r="J3179" s="17"/>
      <c r="P3179" s="17"/>
      <c r="Q3179" s="17"/>
    </row>
    <row r="3180" spans="2:17">
      <c r="B3180" s="17"/>
      <c r="C3180" s="16" t="str">
        <f>IFERROR(VLOOKUP(DATA!#REF!,DATA!#REF!,1,FALSE),"")</f>
        <v/>
      </c>
      <c r="D3180" s="16" t="str">
        <f>IFERROR(VLOOKUP(C3180,DATA!#REF!,2,FALSE),"")</f>
        <v/>
      </c>
      <c r="I3180" s="17"/>
      <c r="J3180" s="17"/>
      <c r="P3180" s="17"/>
      <c r="Q3180" s="17"/>
    </row>
    <row r="3181" spans="2:17">
      <c r="B3181" s="17"/>
      <c r="C3181" s="16" t="str">
        <f>IFERROR(VLOOKUP(DATA!#REF!,DATA!#REF!,1,FALSE),"")</f>
        <v/>
      </c>
      <c r="D3181" s="16" t="str">
        <f>IFERROR(VLOOKUP(C3181,DATA!#REF!,2,FALSE),"")</f>
        <v/>
      </c>
      <c r="I3181" s="17"/>
      <c r="J3181" s="17"/>
      <c r="P3181" s="17"/>
      <c r="Q3181" s="17"/>
    </row>
    <row r="3182" spans="2:17">
      <c r="B3182" s="17"/>
      <c r="C3182" s="16" t="str">
        <f>IFERROR(VLOOKUP(DATA!#REF!,DATA!#REF!,1,FALSE),"")</f>
        <v/>
      </c>
      <c r="D3182" s="16" t="str">
        <f>IFERROR(VLOOKUP(C3182,DATA!#REF!,2,FALSE),"")</f>
        <v/>
      </c>
      <c r="I3182" s="17"/>
      <c r="J3182" s="17"/>
      <c r="P3182" s="17"/>
      <c r="Q3182" s="17"/>
    </row>
    <row r="3183" spans="2:17">
      <c r="B3183" s="17"/>
      <c r="C3183" s="16" t="str">
        <f>IFERROR(VLOOKUP(DATA!#REF!,DATA!#REF!,1,FALSE),"")</f>
        <v/>
      </c>
      <c r="D3183" s="16" t="str">
        <f>IFERROR(VLOOKUP(C3183,DATA!#REF!,2,FALSE),"")</f>
        <v/>
      </c>
      <c r="I3183" s="17"/>
      <c r="J3183" s="17"/>
      <c r="P3183" s="17"/>
      <c r="Q3183" s="17"/>
    </row>
    <row r="3184" spans="2:17">
      <c r="B3184" s="17"/>
      <c r="C3184" s="16" t="str">
        <f>IFERROR(VLOOKUP(DATA!#REF!,DATA!#REF!,1,FALSE),"")</f>
        <v/>
      </c>
      <c r="D3184" s="16" t="str">
        <f>IFERROR(VLOOKUP(C3184,DATA!#REF!,2,FALSE),"")</f>
        <v/>
      </c>
      <c r="I3184" s="17"/>
      <c r="J3184" s="17"/>
      <c r="P3184" s="17"/>
      <c r="Q3184" s="17"/>
    </row>
    <row r="3185" spans="2:17">
      <c r="B3185" s="17"/>
      <c r="C3185" s="16" t="str">
        <f>IFERROR(VLOOKUP(DATA!#REF!,DATA!#REF!,1,FALSE),"")</f>
        <v/>
      </c>
      <c r="D3185" s="16" t="str">
        <f>IFERROR(VLOOKUP(C3185,DATA!#REF!,2,FALSE),"")</f>
        <v/>
      </c>
      <c r="I3185" s="17"/>
      <c r="J3185" s="17"/>
      <c r="P3185" s="17"/>
      <c r="Q3185" s="17"/>
    </row>
    <row r="3186" spans="2:17">
      <c r="B3186" s="17"/>
      <c r="C3186" s="16" t="str">
        <f>IFERROR(VLOOKUP(DATA!#REF!,DATA!#REF!,1,FALSE),"")</f>
        <v/>
      </c>
      <c r="D3186" s="16" t="str">
        <f>IFERROR(VLOOKUP(C3186,DATA!#REF!,2,FALSE),"")</f>
        <v/>
      </c>
      <c r="I3186" s="17"/>
      <c r="J3186" s="17"/>
      <c r="P3186" s="17"/>
      <c r="Q3186" s="17"/>
    </row>
    <row r="3187" spans="2:17">
      <c r="B3187" s="17"/>
      <c r="C3187" s="16" t="str">
        <f>IFERROR(VLOOKUP(DATA!#REF!,DATA!#REF!,1,FALSE),"")</f>
        <v/>
      </c>
      <c r="D3187" s="16" t="str">
        <f>IFERROR(VLOOKUP(C3187,DATA!#REF!,2,FALSE),"")</f>
        <v/>
      </c>
      <c r="I3187" s="17"/>
      <c r="J3187" s="17"/>
      <c r="P3187" s="17"/>
      <c r="Q3187" s="17"/>
    </row>
    <row r="3188" spans="2:17">
      <c r="B3188" s="17"/>
      <c r="C3188" s="16" t="str">
        <f>IFERROR(VLOOKUP(DATA!#REF!,DATA!#REF!,1,FALSE),"")</f>
        <v/>
      </c>
      <c r="D3188" s="16" t="str">
        <f>IFERROR(VLOOKUP(C3188,DATA!#REF!,2,FALSE),"")</f>
        <v/>
      </c>
      <c r="I3188" s="17"/>
      <c r="J3188" s="17"/>
      <c r="P3188" s="17"/>
      <c r="Q3188" s="17"/>
    </row>
    <row r="3189" spans="2:17">
      <c r="B3189" s="17"/>
      <c r="C3189" s="16" t="str">
        <f>IFERROR(VLOOKUP(DATA!#REF!,DATA!#REF!,1,FALSE),"")</f>
        <v/>
      </c>
      <c r="D3189" s="16" t="str">
        <f>IFERROR(VLOOKUP(C3189,DATA!#REF!,2,FALSE),"")</f>
        <v/>
      </c>
      <c r="I3189" s="17"/>
      <c r="J3189" s="17"/>
      <c r="P3189" s="17"/>
      <c r="Q3189" s="17"/>
    </row>
    <row r="3190" spans="2:17">
      <c r="B3190" s="17"/>
      <c r="C3190" s="16" t="str">
        <f>IFERROR(VLOOKUP(DATA!#REF!,DATA!#REF!,1,FALSE),"")</f>
        <v/>
      </c>
      <c r="D3190" s="16" t="str">
        <f>IFERROR(VLOOKUP(C3190,DATA!#REF!,2,FALSE),"")</f>
        <v/>
      </c>
      <c r="I3190" s="17"/>
      <c r="J3190" s="17"/>
      <c r="P3190" s="17"/>
      <c r="Q3190" s="17"/>
    </row>
    <row r="3191" spans="2:17">
      <c r="B3191" s="17"/>
      <c r="C3191" s="16" t="str">
        <f>IFERROR(VLOOKUP(DATA!#REF!,DATA!#REF!,1,FALSE),"")</f>
        <v/>
      </c>
      <c r="D3191" s="16" t="str">
        <f>IFERROR(VLOOKUP(C3191,DATA!#REF!,2,FALSE),"")</f>
        <v/>
      </c>
      <c r="I3191" s="17"/>
      <c r="J3191" s="17"/>
      <c r="P3191" s="17"/>
      <c r="Q3191" s="17"/>
    </row>
    <row r="3192" spans="2:17">
      <c r="B3192" s="17"/>
      <c r="C3192" s="16" t="str">
        <f>IFERROR(VLOOKUP(DATA!#REF!,DATA!#REF!,1,FALSE),"")</f>
        <v/>
      </c>
      <c r="D3192" s="16" t="str">
        <f>IFERROR(VLOOKUP(C3192,DATA!#REF!,2,FALSE),"")</f>
        <v/>
      </c>
      <c r="I3192" s="17"/>
      <c r="J3192" s="17"/>
      <c r="P3192" s="17"/>
      <c r="Q3192" s="17"/>
    </row>
    <row r="3193" spans="2:17">
      <c r="B3193" s="17"/>
      <c r="C3193" s="16" t="str">
        <f>IFERROR(VLOOKUP(DATA!#REF!,DATA!#REF!,1,FALSE),"")</f>
        <v/>
      </c>
      <c r="D3193" s="16" t="str">
        <f>IFERROR(VLOOKUP(C3193,DATA!#REF!,2,FALSE),"")</f>
        <v/>
      </c>
      <c r="I3193" s="17"/>
      <c r="J3193" s="17"/>
      <c r="P3193" s="17"/>
      <c r="Q3193" s="17"/>
    </row>
    <row r="3194" spans="2:17">
      <c r="B3194" s="17"/>
      <c r="C3194" s="16" t="str">
        <f>IFERROR(VLOOKUP(DATA!#REF!,DATA!#REF!,1,FALSE),"")</f>
        <v/>
      </c>
      <c r="D3194" s="16" t="str">
        <f>IFERROR(VLOOKUP(C3194,DATA!#REF!,2,FALSE),"")</f>
        <v/>
      </c>
      <c r="I3194" s="17"/>
      <c r="J3194" s="17"/>
      <c r="P3194" s="17"/>
      <c r="Q3194" s="17"/>
    </row>
    <row r="3195" spans="2:17">
      <c r="B3195" s="17"/>
      <c r="C3195" s="16" t="str">
        <f>IFERROR(VLOOKUP(DATA!#REF!,DATA!#REF!,1,FALSE),"")</f>
        <v/>
      </c>
      <c r="D3195" s="16" t="str">
        <f>IFERROR(VLOOKUP(C3195,DATA!#REF!,2,FALSE),"")</f>
        <v/>
      </c>
      <c r="I3195" s="17"/>
      <c r="J3195" s="17"/>
      <c r="P3195" s="17"/>
      <c r="Q3195" s="17"/>
    </row>
    <row r="3196" spans="2:17">
      <c r="B3196" s="17"/>
      <c r="C3196" s="16" t="str">
        <f>IFERROR(VLOOKUP(DATA!#REF!,DATA!#REF!,1,FALSE),"")</f>
        <v/>
      </c>
      <c r="D3196" s="16" t="str">
        <f>IFERROR(VLOOKUP(C3196,DATA!#REF!,2,FALSE),"")</f>
        <v/>
      </c>
      <c r="I3196" s="17"/>
      <c r="J3196" s="17"/>
      <c r="P3196" s="17"/>
      <c r="Q3196" s="17"/>
    </row>
    <row r="3197" spans="2:17">
      <c r="B3197" s="17"/>
      <c r="C3197" s="16" t="str">
        <f>IFERROR(VLOOKUP(DATA!#REF!,DATA!#REF!,1,FALSE),"")</f>
        <v/>
      </c>
      <c r="D3197" s="16" t="str">
        <f>IFERROR(VLOOKUP(C3197,DATA!#REF!,2,FALSE),"")</f>
        <v/>
      </c>
      <c r="I3197" s="17"/>
      <c r="J3197" s="17"/>
      <c r="P3197" s="17"/>
      <c r="Q3197" s="17"/>
    </row>
    <row r="3198" spans="2:17">
      <c r="B3198" s="17"/>
      <c r="C3198" s="16" t="str">
        <f>IFERROR(VLOOKUP(DATA!#REF!,DATA!#REF!,1,FALSE),"")</f>
        <v/>
      </c>
      <c r="D3198" s="16" t="str">
        <f>IFERROR(VLOOKUP(C3198,DATA!#REF!,2,FALSE),"")</f>
        <v/>
      </c>
      <c r="I3198" s="17"/>
      <c r="J3198" s="17"/>
      <c r="P3198" s="17"/>
      <c r="Q3198" s="17"/>
    </row>
    <row r="3199" spans="2:17">
      <c r="B3199" s="17"/>
      <c r="C3199" s="16" t="str">
        <f>IFERROR(VLOOKUP(DATA!#REF!,DATA!#REF!,1,FALSE),"")</f>
        <v/>
      </c>
      <c r="D3199" s="16" t="str">
        <f>IFERROR(VLOOKUP(C3199,DATA!#REF!,2,FALSE),"")</f>
        <v/>
      </c>
      <c r="I3199" s="17"/>
      <c r="J3199" s="17"/>
      <c r="P3199" s="17"/>
      <c r="Q3199" s="17"/>
    </row>
    <row r="3200" spans="2:17">
      <c r="B3200" s="17"/>
      <c r="C3200" s="16" t="str">
        <f>IFERROR(VLOOKUP(DATA!#REF!,DATA!#REF!,1,FALSE),"")</f>
        <v/>
      </c>
      <c r="D3200" s="16" t="str">
        <f>IFERROR(VLOOKUP(C3200,DATA!#REF!,2,FALSE),"")</f>
        <v/>
      </c>
      <c r="I3200" s="17"/>
      <c r="J3200" s="17"/>
      <c r="P3200" s="17"/>
      <c r="Q3200" s="17"/>
    </row>
    <row r="3201" spans="2:17">
      <c r="B3201" s="17"/>
      <c r="C3201" s="16" t="str">
        <f>IFERROR(VLOOKUP(DATA!#REF!,DATA!#REF!,1,FALSE),"")</f>
        <v/>
      </c>
      <c r="D3201" s="16" t="str">
        <f>IFERROR(VLOOKUP(C3201,DATA!#REF!,2,FALSE),"")</f>
        <v/>
      </c>
      <c r="I3201" s="17"/>
      <c r="J3201" s="17"/>
      <c r="P3201" s="17"/>
      <c r="Q3201" s="17"/>
    </row>
    <row r="3202" spans="2:17">
      <c r="B3202" s="17"/>
      <c r="C3202" s="16" t="str">
        <f>IFERROR(VLOOKUP(DATA!#REF!,DATA!#REF!,1,FALSE),"")</f>
        <v/>
      </c>
      <c r="D3202" s="16" t="str">
        <f>IFERROR(VLOOKUP(C3202,DATA!#REF!,2,FALSE),"")</f>
        <v/>
      </c>
      <c r="I3202" s="17"/>
      <c r="J3202" s="17"/>
      <c r="P3202" s="17"/>
      <c r="Q3202" s="17"/>
    </row>
    <row r="3203" spans="2:17">
      <c r="B3203" s="17"/>
      <c r="C3203" s="16" t="str">
        <f>IFERROR(VLOOKUP(DATA!#REF!,DATA!#REF!,1,FALSE),"")</f>
        <v/>
      </c>
      <c r="D3203" s="16" t="str">
        <f>IFERROR(VLOOKUP(C3203,DATA!#REF!,2,FALSE),"")</f>
        <v/>
      </c>
      <c r="I3203" s="17"/>
      <c r="J3203" s="17"/>
      <c r="P3203" s="17"/>
      <c r="Q3203" s="17"/>
    </row>
    <row r="3204" spans="2:17">
      <c r="B3204" s="17"/>
      <c r="C3204" s="16" t="str">
        <f>IFERROR(VLOOKUP(DATA!#REF!,DATA!#REF!,1,FALSE),"")</f>
        <v/>
      </c>
      <c r="D3204" s="16" t="str">
        <f>IFERROR(VLOOKUP(C3204,DATA!#REF!,2,FALSE),"")</f>
        <v/>
      </c>
      <c r="I3204" s="17"/>
      <c r="J3204" s="17"/>
      <c r="P3204" s="17"/>
      <c r="Q3204" s="17"/>
    </row>
    <row r="3205" spans="2:17">
      <c r="B3205" s="17"/>
      <c r="C3205" s="16" t="str">
        <f>IFERROR(VLOOKUP(DATA!#REF!,DATA!#REF!,1,FALSE),"")</f>
        <v/>
      </c>
      <c r="D3205" s="16" t="str">
        <f>IFERROR(VLOOKUP(C3205,DATA!#REF!,2,FALSE),"")</f>
        <v/>
      </c>
      <c r="I3205" s="17"/>
      <c r="J3205" s="17"/>
      <c r="P3205" s="17"/>
      <c r="Q3205" s="17"/>
    </row>
    <row r="3206" spans="2:17">
      <c r="B3206" s="17"/>
      <c r="C3206" s="16" t="str">
        <f>IFERROR(VLOOKUP(DATA!#REF!,DATA!#REF!,1,FALSE),"")</f>
        <v/>
      </c>
      <c r="D3206" s="16" t="str">
        <f>IFERROR(VLOOKUP(C3206,DATA!#REF!,2,FALSE),"")</f>
        <v/>
      </c>
      <c r="I3206" s="17"/>
      <c r="J3206" s="17"/>
      <c r="P3206" s="17"/>
      <c r="Q3206" s="17"/>
    </row>
    <row r="3207" spans="2:17">
      <c r="B3207" s="17"/>
      <c r="C3207" s="16" t="str">
        <f>IFERROR(VLOOKUP(DATA!#REF!,DATA!#REF!,1,FALSE),"")</f>
        <v/>
      </c>
      <c r="D3207" s="16" t="str">
        <f>IFERROR(VLOOKUP(C3207,DATA!#REF!,2,FALSE),"")</f>
        <v/>
      </c>
      <c r="I3207" s="17"/>
      <c r="J3207" s="17"/>
      <c r="P3207" s="17"/>
      <c r="Q3207" s="17"/>
    </row>
    <row r="3208" spans="2:17">
      <c r="B3208" s="17"/>
      <c r="C3208" s="16" t="str">
        <f>IFERROR(VLOOKUP(DATA!#REF!,DATA!#REF!,1,FALSE),"")</f>
        <v/>
      </c>
      <c r="D3208" s="16" t="str">
        <f>IFERROR(VLOOKUP(C3208,DATA!#REF!,2,FALSE),"")</f>
        <v/>
      </c>
      <c r="I3208" s="17"/>
      <c r="J3208" s="17"/>
      <c r="P3208" s="17"/>
      <c r="Q3208" s="17"/>
    </row>
    <row r="3209" spans="2:17">
      <c r="B3209" s="17"/>
      <c r="C3209" s="16" t="str">
        <f>IFERROR(VLOOKUP(DATA!#REF!,DATA!#REF!,1,FALSE),"")</f>
        <v/>
      </c>
      <c r="D3209" s="16" t="str">
        <f>IFERROR(VLOOKUP(C3209,DATA!#REF!,2,FALSE),"")</f>
        <v/>
      </c>
      <c r="I3209" s="17"/>
      <c r="J3209" s="17"/>
      <c r="P3209" s="17"/>
      <c r="Q3209" s="17"/>
    </row>
    <row r="3210" spans="2:17">
      <c r="B3210" s="17"/>
      <c r="C3210" s="16" t="str">
        <f>IFERROR(VLOOKUP(DATA!#REF!,DATA!#REF!,1,FALSE),"")</f>
        <v/>
      </c>
      <c r="D3210" s="16" t="str">
        <f>IFERROR(VLOOKUP(C3210,DATA!#REF!,2,FALSE),"")</f>
        <v/>
      </c>
      <c r="I3210" s="17"/>
      <c r="J3210" s="17"/>
      <c r="P3210" s="17"/>
      <c r="Q3210" s="17"/>
    </row>
    <row r="3211" spans="2:17">
      <c r="B3211" s="17"/>
      <c r="C3211" s="16" t="str">
        <f>IFERROR(VLOOKUP(DATA!#REF!,DATA!#REF!,1,FALSE),"")</f>
        <v/>
      </c>
      <c r="D3211" s="16" t="str">
        <f>IFERROR(VLOOKUP(C3211,DATA!#REF!,2,FALSE),"")</f>
        <v/>
      </c>
      <c r="I3211" s="17"/>
      <c r="J3211" s="17"/>
      <c r="P3211" s="17"/>
      <c r="Q3211" s="17"/>
    </row>
    <row r="3212" spans="2:17">
      <c r="B3212" s="17"/>
      <c r="C3212" s="16" t="str">
        <f>IFERROR(VLOOKUP(DATA!#REF!,DATA!#REF!,1,FALSE),"")</f>
        <v/>
      </c>
      <c r="D3212" s="16" t="str">
        <f>IFERROR(VLOOKUP(C3212,DATA!#REF!,2,FALSE),"")</f>
        <v/>
      </c>
      <c r="I3212" s="17"/>
      <c r="J3212" s="17"/>
      <c r="P3212" s="17"/>
      <c r="Q3212" s="17"/>
    </row>
    <row r="3213" spans="2:17">
      <c r="B3213" s="17"/>
      <c r="C3213" s="16" t="str">
        <f>IFERROR(VLOOKUP(DATA!#REF!,DATA!#REF!,1,FALSE),"")</f>
        <v/>
      </c>
      <c r="D3213" s="16" t="str">
        <f>IFERROR(VLOOKUP(C3213,DATA!#REF!,2,FALSE),"")</f>
        <v/>
      </c>
      <c r="I3213" s="17"/>
      <c r="J3213" s="17"/>
      <c r="P3213" s="17"/>
      <c r="Q3213" s="17"/>
    </row>
    <row r="3214" spans="2:17">
      <c r="B3214" s="17"/>
      <c r="C3214" s="16" t="str">
        <f>IFERROR(VLOOKUP(DATA!#REF!,DATA!#REF!,1,FALSE),"")</f>
        <v/>
      </c>
      <c r="D3214" s="16" t="str">
        <f>IFERROR(VLOOKUP(C3214,DATA!#REF!,2,FALSE),"")</f>
        <v/>
      </c>
      <c r="I3214" s="17"/>
      <c r="J3214" s="17"/>
      <c r="P3214" s="17"/>
      <c r="Q3214" s="17"/>
    </row>
    <row r="3215" spans="2:17">
      <c r="B3215" s="17"/>
      <c r="C3215" s="16" t="str">
        <f>IFERROR(VLOOKUP(DATA!#REF!,DATA!#REF!,1,FALSE),"")</f>
        <v/>
      </c>
      <c r="D3215" s="16" t="str">
        <f>IFERROR(VLOOKUP(C3215,DATA!#REF!,2,FALSE),"")</f>
        <v/>
      </c>
      <c r="I3215" s="17"/>
      <c r="J3215" s="17"/>
      <c r="P3215" s="17"/>
      <c r="Q3215" s="17"/>
    </row>
    <row r="3216" spans="2:17">
      <c r="B3216" s="17"/>
      <c r="C3216" s="16" t="str">
        <f>IFERROR(VLOOKUP(DATA!#REF!,DATA!#REF!,1,FALSE),"")</f>
        <v/>
      </c>
      <c r="D3216" s="16" t="str">
        <f>IFERROR(VLOOKUP(C3216,DATA!#REF!,2,FALSE),"")</f>
        <v/>
      </c>
      <c r="I3216" s="17"/>
      <c r="J3216" s="17"/>
      <c r="P3216" s="17"/>
      <c r="Q3216" s="17"/>
    </row>
    <row r="3217" spans="2:17">
      <c r="B3217" s="17"/>
      <c r="C3217" s="16" t="str">
        <f>IFERROR(VLOOKUP(DATA!#REF!,DATA!#REF!,1,FALSE),"")</f>
        <v/>
      </c>
      <c r="D3217" s="16" t="str">
        <f>IFERROR(VLOOKUP(C3217,DATA!#REF!,2,FALSE),"")</f>
        <v/>
      </c>
      <c r="I3217" s="17"/>
      <c r="J3217" s="17"/>
      <c r="P3217" s="17"/>
      <c r="Q3217" s="17"/>
    </row>
    <row r="3218" spans="2:17">
      <c r="B3218" s="17"/>
      <c r="C3218" s="16" t="str">
        <f>IFERROR(VLOOKUP(DATA!#REF!,DATA!#REF!,1,FALSE),"")</f>
        <v/>
      </c>
      <c r="D3218" s="16" t="str">
        <f>IFERROR(VLOOKUP(C3218,DATA!#REF!,2,FALSE),"")</f>
        <v/>
      </c>
      <c r="I3218" s="17"/>
      <c r="J3218" s="17"/>
      <c r="P3218" s="17"/>
      <c r="Q3218" s="17"/>
    </row>
    <row r="3219" spans="2:17">
      <c r="B3219" s="17"/>
      <c r="C3219" s="16" t="str">
        <f>IFERROR(VLOOKUP(DATA!#REF!,DATA!#REF!,1,FALSE),"")</f>
        <v/>
      </c>
      <c r="D3219" s="16" t="str">
        <f>IFERROR(VLOOKUP(C3219,DATA!#REF!,2,FALSE),"")</f>
        <v/>
      </c>
      <c r="I3219" s="17"/>
      <c r="J3219" s="17"/>
      <c r="P3219" s="17"/>
      <c r="Q3219" s="17"/>
    </row>
    <row r="3220" spans="2:17">
      <c r="B3220" s="17"/>
      <c r="C3220" s="16" t="str">
        <f>IFERROR(VLOOKUP(DATA!#REF!,DATA!#REF!,1,FALSE),"")</f>
        <v/>
      </c>
      <c r="D3220" s="16" t="str">
        <f>IFERROR(VLOOKUP(C3220,DATA!#REF!,2,FALSE),"")</f>
        <v/>
      </c>
      <c r="I3220" s="17"/>
      <c r="J3220" s="17"/>
      <c r="P3220" s="17"/>
      <c r="Q3220" s="17"/>
    </row>
    <row r="3221" spans="2:17">
      <c r="B3221" s="17"/>
      <c r="C3221" s="16" t="str">
        <f>IFERROR(VLOOKUP(DATA!#REF!,DATA!#REF!,1,FALSE),"")</f>
        <v/>
      </c>
      <c r="D3221" s="16" t="str">
        <f>IFERROR(VLOOKUP(C3221,DATA!#REF!,2,FALSE),"")</f>
        <v/>
      </c>
      <c r="I3221" s="17"/>
      <c r="J3221" s="17"/>
      <c r="P3221" s="17"/>
      <c r="Q3221" s="17"/>
    </row>
    <row r="3222" spans="2:17">
      <c r="B3222" s="17"/>
      <c r="C3222" s="16" t="str">
        <f>IFERROR(VLOOKUP(DATA!#REF!,DATA!#REF!,1,FALSE),"")</f>
        <v/>
      </c>
      <c r="D3222" s="16" t="str">
        <f>IFERROR(VLOOKUP(C3222,DATA!#REF!,2,FALSE),"")</f>
        <v/>
      </c>
      <c r="I3222" s="17"/>
      <c r="J3222" s="17"/>
      <c r="P3222" s="17"/>
      <c r="Q3222" s="17"/>
    </row>
    <row r="3223" spans="2:17">
      <c r="B3223" s="17"/>
      <c r="C3223" s="16" t="str">
        <f>IFERROR(VLOOKUP(DATA!#REF!,DATA!#REF!,1,FALSE),"")</f>
        <v/>
      </c>
      <c r="D3223" s="16" t="str">
        <f>IFERROR(VLOOKUP(C3223,DATA!#REF!,2,FALSE),"")</f>
        <v/>
      </c>
      <c r="I3223" s="17"/>
      <c r="J3223" s="17"/>
      <c r="P3223" s="17"/>
      <c r="Q3223" s="17"/>
    </row>
    <row r="3224" spans="2:17">
      <c r="B3224" s="17"/>
      <c r="C3224" s="16" t="str">
        <f>IFERROR(VLOOKUP(DATA!#REF!,DATA!#REF!,1,FALSE),"")</f>
        <v/>
      </c>
      <c r="D3224" s="16" t="str">
        <f>IFERROR(VLOOKUP(C3224,DATA!#REF!,2,FALSE),"")</f>
        <v/>
      </c>
      <c r="I3224" s="17"/>
      <c r="J3224" s="17"/>
      <c r="P3224" s="17"/>
      <c r="Q3224" s="17"/>
    </row>
    <row r="3225" spans="2:17">
      <c r="B3225" s="17"/>
      <c r="C3225" s="16" t="str">
        <f>IFERROR(VLOOKUP(DATA!#REF!,DATA!#REF!,1,FALSE),"")</f>
        <v/>
      </c>
      <c r="D3225" s="16" t="str">
        <f>IFERROR(VLOOKUP(C3225,DATA!#REF!,2,FALSE),"")</f>
        <v/>
      </c>
      <c r="I3225" s="17"/>
      <c r="J3225" s="17"/>
      <c r="P3225" s="17"/>
      <c r="Q3225" s="17"/>
    </row>
    <row r="3226" spans="2:17">
      <c r="B3226" s="17"/>
      <c r="C3226" s="16" t="str">
        <f>IFERROR(VLOOKUP(DATA!#REF!,DATA!#REF!,1,FALSE),"")</f>
        <v/>
      </c>
      <c r="D3226" s="16" t="str">
        <f>IFERROR(VLOOKUP(C3226,DATA!#REF!,2,FALSE),"")</f>
        <v/>
      </c>
      <c r="I3226" s="17"/>
      <c r="J3226" s="17"/>
      <c r="P3226" s="17"/>
      <c r="Q3226" s="17"/>
    </row>
    <row r="3227" spans="2:17">
      <c r="B3227" s="17"/>
      <c r="C3227" s="16" t="str">
        <f>IFERROR(VLOOKUP(DATA!#REF!,DATA!#REF!,1,FALSE),"")</f>
        <v/>
      </c>
      <c r="D3227" s="16" t="str">
        <f>IFERROR(VLOOKUP(C3227,DATA!#REF!,2,FALSE),"")</f>
        <v/>
      </c>
      <c r="I3227" s="17"/>
      <c r="J3227" s="17"/>
      <c r="P3227" s="17"/>
      <c r="Q3227" s="17"/>
    </row>
    <row r="3228" spans="2:17">
      <c r="B3228" s="17"/>
      <c r="C3228" s="16" t="str">
        <f>IFERROR(VLOOKUP(DATA!#REF!,DATA!#REF!,1,FALSE),"")</f>
        <v/>
      </c>
      <c r="D3228" s="16" t="str">
        <f>IFERROR(VLOOKUP(C3228,DATA!#REF!,2,FALSE),"")</f>
        <v/>
      </c>
      <c r="I3228" s="17"/>
      <c r="J3228" s="17"/>
      <c r="P3228" s="17"/>
      <c r="Q3228" s="17"/>
    </row>
    <row r="3229" spans="2:17">
      <c r="B3229" s="17"/>
      <c r="C3229" s="16" t="str">
        <f>IFERROR(VLOOKUP(DATA!#REF!,DATA!#REF!,1,FALSE),"")</f>
        <v/>
      </c>
      <c r="D3229" s="16" t="str">
        <f>IFERROR(VLOOKUP(C3229,DATA!#REF!,2,FALSE),"")</f>
        <v/>
      </c>
      <c r="I3229" s="17"/>
      <c r="J3229" s="17"/>
      <c r="P3229" s="17"/>
      <c r="Q3229" s="17"/>
    </row>
    <row r="3230" spans="2:17">
      <c r="B3230" s="17"/>
      <c r="C3230" s="16" t="str">
        <f>IFERROR(VLOOKUP(DATA!#REF!,DATA!#REF!,1,FALSE),"")</f>
        <v/>
      </c>
      <c r="D3230" s="16" t="str">
        <f>IFERROR(VLOOKUP(C3230,DATA!#REF!,2,FALSE),"")</f>
        <v/>
      </c>
      <c r="I3230" s="17"/>
      <c r="J3230" s="17"/>
      <c r="P3230" s="17"/>
      <c r="Q3230" s="17"/>
    </row>
    <row r="3231" spans="2:17">
      <c r="B3231" s="17"/>
      <c r="C3231" s="16" t="str">
        <f>IFERROR(VLOOKUP(DATA!#REF!,DATA!#REF!,1,FALSE),"")</f>
        <v/>
      </c>
      <c r="D3231" s="16" t="str">
        <f>IFERROR(VLOOKUP(C3231,DATA!#REF!,2,FALSE),"")</f>
        <v/>
      </c>
      <c r="I3231" s="17"/>
      <c r="J3231" s="17"/>
      <c r="P3231" s="17"/>
      <c r="Q3231" s="17"/>
    </row>
    <row r="3232" spans="2:17">
      <c r="B3232" s="17"/>
      <c r="C3232" s="16" t="str">
        <f>IFERROR(VLOOKUP(DATA!#REF!,DATA!#REF!,1,FALSE),"")</f>
        <v/>
      </c>
      <c r="D3232" s="16" t="str">
        <f>IFERROR(VLOOKUP(C3232,DATA!#REF!,2,FALSE),"")</f>
        <v/>
      </c>
      <c r="I3232" s="17"/>
      <c r="J3232" s="17"/>
      <c r="P3232" s="17"/>
      <c r="Q3232" s="17"/>
    </row>
    <row r="3233" spans="2:17">
      <c r="B3233" s="17"/>
      <c r="C3233" s="16" t="str">
        <f>IFERROR(VLOOKUP(DATA!#REF!,DATA!#REF!,1,FALSE),"")</f>
        <v/>
      </c>
      <c r="D3233" s="16" t="str">
        <f>IFERROR(VLOOKUP(C3233,DATA!#REF!,2,FALSE),"")</f>
        <v/>
      </c>
      <c r="I3233" s="17"/>
      <c r="J3233" s="17"/>
      <c r="P3233" s="17"/>
      <c r="Q3233" s="17"/>
    </row>
    <row r="3234" spans="2:17">
      <c r="B3234" s="17"/>
      <c r="C3234" s="16" t="str">
        <f>IFERROR(VLOOKUP(DATA!#REF!,DATA!#REF!,1,FALSE),"")</f>
        <v/>
      </c>
      <c r="D3234" s="16" t="str">
        <f>IFERROR(VLOOKUP(C3234,DATA!#REF!,2,FALSE),"")</f>
        <v/>
      </c>
      <c r="I3234" s="17"/>
      <c r="J3234" s="17"/>
      <c r="P3234" s="17"/>
      <c r="Q3234" s="17"/>
    </row>
    <row r="3235" spans="2:17">
      <c r="B3235" s="17"/>
      <c r="C3235" s="16" t="str">
        <f>IFERROR(VLOOKUP(DATA!#REF!,DATA!#REF!,1,FALSE),"")</f>
        <v/>
      </c>
      <c r="D3235" s="16" t="str">
        <f>IFERROR(VLOOKUP(C3235,DATA!#REF!,2,FALSE),"")</f>
        <v/>
      </c>
      <c r="I3235" s="17"/>
      <c r="J3235" s="17"/>
      <c r="P3235" s="17"/>
      <c r="Q3235" s="17"/>
    </row>
    <row r="3236" spans="2:17">
      <c r="B3236" s="17"/>
      <c r="C3236" s="16" t="str">
        <f>IFERROR(VLOOKUP(DATA!#REF!,DATA!#REF!,1,FALSE),"")</f>
        <v/>
      </c>
      <c r="D3236" s="16" t="str">
        <f>IFERROR(VLOOKUP(C3236,DATA!#REF!,2,FALSE),"")</f>
        <v/>
      </c>
      <c r="I3236" s="17"/>
      <c r="J3236" s="17"/>
      <c r="P3236" s="17"/>
      <c r="Q3236" s="17"/>
    </row>
    <row r="3237" spans="2:17">
      <c r="B3237" s="17"/>
      <c r="C3237" s="16" t="str">
        <f>IFERROR(VLOOKUP(DATA!#REF!,DATA!#REF!,1,FALSE),"")</f>
        <v/>
      </c>
      <c r="D3237" s="16" t="str">
        <f>IFERROR(VLOOKUP(C3237,DATA!#REF!,2,FALSE),"")</f>
        <v/>
      </c>
      <c r="I3237" s="17"/>
      <c r="J3237" s="17"/>
      <c r="P3237" s="17"/>
      <c r="Q3237" s="17"/>
    </row>
    <row r="3238" spans="2:17">
      <c r="B3238" s="17"/>
      <c r="C3238" s="16" t="str">
        <f>IFERROR(VLOOKUP(DATA!#REF!,DATA!#REF!,1,FALSE),"")</f>
        <v/>
      </c>
      <c r="D3238" s="16" t="str">
        <f>IFERROR(VLOOKUP(C3238,DATA!#REF!,2,FALSE),"")</f>
        <v/>
      </c>
      <c r="I3238" s="17"/>
      <c r="J3238" s="17"/>
      <c r="P3238" s="17"/>
      <c r="Q3238" s="17"/>
    </row>
    <row r="3239" spans="2:17">
      <c r="B3239" s="17"/>
      <c r="C3239" s="16" t="str">
        <f>IFERROR(VLOOKUP(DATA!#REF!,DATA!#REF!,1,FALSE),"")</f>
        <v/>
      </c>
      <c r="D3239" s="16" t="str">
        <f>IFERROR(VLOOKUP(C3239,DATA!#REF!,2,FALSE),"")</f>
        <v/>
      </c>
      <c r="I3239" s="17"/>
      <c r="J3239" s="17"/>
      <c r="P3239" s="17"/>
      <c r="Q3239" s="17"/>
    </row>
    <row r="3240" spans="2:17">
      <c r="B3240" s="17"/>
      <c r="C3240" s="16" t="str">
        <f>IFERROR(VLOOKUP(DATA!#REF!,DATA!#REF!,1,FALSE),"")</f>
        <v/>
      </c>
      <c r="D3240" s="16" t="str">
        <f>IFERROR(VLOOKUP(C3240,DATA!#REF!,2,FALSE),"")</f>
        <v/>
      </c>
      <c r="I3240" s="17"/>
      <c r="J3240" s="17"/>
      <c r="P3240" s="17"/>
      <c r="Q3240" s="17"/>
    </row>
    <row r="3241" spans="2:17">
      <c r="B3241" s="17"/>
      <c r="C3241" s="16" t="str">
        <f>IFERROR(VLOOKUP(DATA!#REF!,DATA!#REF!,1,FALSE),"")</f>
        <v/>
      </c>
      <c r="D3241" s="16" t="str">
        <f>IFERROR(VLOOKUP(C3241,DATA!#REF!,2,FALSE),"")</f>
        <v/>
      </c>
      <c r="I3241" s="17"/>
      <c r="J3241" s="17"/>
      <c r="P3241" s="17"/>
      <c r="Q3241" s="17"/>
    </row>
    <row r="3242" spans="2:17">
      <c r="B3242" s="17"/>
      <c r="C3242" s="16" t="str">
        <f>IFERROR(VLOOKUP(DATA!#REF!,DATA!#REF!,1,FALSE),"")</f>
        <v/>
      </c>
      <c r="D3242" s="16" t="str">
        <f>IFERROR(VLOOKUP(C3242,DATA!#REF!,2,FALSE),"")</f>
        <v/>
      </c>
      <c r="I3242" s="17"/>
      <c r="J3242" s="17"/>
      <c r="P3242" s="17"/>
      <c r="Q3242" s="17"/>
    </row>
    <row r="3243" spans="2:17">
      <c r="B3243" s="17"/>
      <c r="C3243" s="16" t="str">
        <f>IFERROR(VLOOKUP(DATA!#REF!,DATA!#REF!,1,FALSE),"")</f>
        <v/>
      </c>
      <c r="D3243" s="16" t="str">
        <f>IFERROR(VLOOKUP(C3243,DATA!#REF!,2,FALSE),"")</f>
        <v/>
      </c>
      <c r="I3243" s="17"/>
      <c r="J3243" s="17"/>
      <c r="P3243" s="17"/>
      <c r="Q3243" s="17"/>
    </row>
    <row r="3244" spans="2:17">
      <c r="B3244" s="17"/>
      <c r="C3244" s="16" t="str">
        <f>IFERROR(VLOOKUP(DATA!#REF!,DATA!#REF!,1,FALSE),"")</f>
        <v/>
      </c>
      <c r="D3244" s="16" t="str">
        <f>IFERROR(VLOOKUP(C3244,DATA!#REF!,2,FALSE),"")</f>
        <v/>
      </c>
      <c r="I3244" s="17"/>
      <c r="J3244" s="17"/>
      <c r="P3244" s="17"/>
      <c r="Q3244" s="17"/>
    </row>
    <row r="3245" spans="2:17">
      <c r="B3245" s="17"/>
      <c r="C3245" s="16" t="str">
        <f>IFERROR(VLOOKUP(DATA!#REF!,DATA!#REF!,1,FALSE),"")</f>
        <v/>
      </c>
      <c r="D3245" s="16" t="str">
        <f>IFERROR(VLOOKUP(C3245,DATA!#REF!,2,FALSE),"")</f>
        <v/>
      </c>
      <c r="I3245" s="17"/>
      <c r="J3245" s="17"/>
      <c r="P3245" s="17"/>
      <c r="Q3245" s="17"/>
    </row>
    <row r="3246" spans="2:17">
      <c r="B3246" s="17"/>
      <c r="C3246" s="16" t="str">
        <f>IFERROR(VLOOKUP(DATA!#REF!,DATA!#REF!,1,FALSE),"")</f>
        <v/>
      </c>
      <c r="D3246" s="16" t="str">
        <f>IFERROR(VLOOKUP(C3246,DATA!#REF!,2,FALSE),"")</f>
        <v/>
      </c>
      <c r="I3246" s="17"/>
      <c r="J3246" s="17"/>
      <c r="P3246" s="17"/>
      <c r="Q3246" s="17"/>
    </row>
    <row r="3247" spans="2:17">
      <c r="B3247" s="17"/>
      <c r="C3247" s="16" t="str">
        <f>IFERROR(VLOOKUP(DATA!#REF!,DATA!#REF!,1,FALSE),"")</f>
        <v/>
      </c>
      <c r="D3247" s="16" t="str">
        <f>IFERROR(VLOOKUP(C3247,DATA!#REF!,2,FALSE),"")</f>
        <v/>
      </c>
      <c r="I3247" s="17"/>
      <c r="J3247" s="17"/>
      <c r="P3247" s="17"/>
      <c r="Q3247" s="17"/>
    </row>
    <row r="3248" spans="2:17">
      <c r="B3248" s="17"/>
      <c r="C3248" s="16" t="str">
        <f>IFERROR(VLOOKUP(DATA!#REF!,DATA!#REF!,1,FALSE),"")</f>
        <v/>
      </c>
      <c r="D3248" s="16" t="str">
        <f>IFERROR(VLOOKUP(C3248,DATA!#REF!,2,FALSE),"")</f>
        <v/>
      </c>
      <c r="I3248" s="17"/>
      <c r="J3248" s="17"/>
      <c r="P3248" s="17"/>
      <c r="Q3248" s="17"/>
    </row>
    <row r="3249" spans="2:17">
      <c r="B3249" s="17"/>
      <c r="C3249" s="16" t="str">
        <f>IFERROR(VLOOKUP(DATA!#REF!,DATA!#REF!,1,FALSE),"")</f>
        <v/>
      </c>
      <c r="D3249" s="16" t="str">
        <f>IFERROR(VLOOKUP(C3249,DATA!#REF!,2,FALSE),"")</f>
        <v/>
      </c>
      <c r="I3249" s="17"/>
      <c r="J3249" s="17"/>
      <c r="P3249" s="17"/>
      <c r="Q3249" s="17"/>
    </row>
    <row r="3250" spans="2:17">
      <c r="B3250" s="17"/>
      <c r="C3250" s="16" t="str">
        <f>IFERROR(VLOOKUP(DATA!#REF!,DATA!#REF!,1,FALSE),"")</f>
        <v/>
      </c>
      <c r="D3250" s="16" t="str">
        <f>IFERROR(VLOOKUP(C3250,DATA!#REF!,2,FALSE),"")</f>
        <v/>
      </c>
      <c r="I3250" s="17"/>
      <c r="J3250" s="17"/>
      <c r="P3250" s="17"/>
      <c r="Q3250" s="17"/>
    </row>
    <row r="3251" spans="2:17">
      <c r="B3251" s="17"/>
      <c r="C3251" s="16" t="str">
        <f>IFERROR(VLOOKUP(DATA!#REF!,DATA!#REF!,1,FALSE),"")</f>
        <v/>
      </c>
      <c r="D3251" s="16" t="str">
        <f>IFERROR(VLOOKUP(C3251,DATA!#REF!,2,FALSE),"")</f>
        <v/>
      </c>
      <c r="I3251" s="17"/>
      <c r="J3251" s="17"/>
      <c r="P3251" s="17"/>
      <c r="Q3251" s="17"/>
    </row>
    <row r="3252" spans="2:17">
      <c r="B3252" s="17"/>
      <c r="C3252" s="16" t="str">
        <f>IFERROR(VLOOKUP(DATA!#REF!,DATA!#REF!,1,FALSE),"")</f>
        <v/>
      </c>
      <c r="D3252" s="16" t="str">
        <f>IFERROR(VLOOKUP(C3252,DATA!#REF!,2,FALSE),"")</f>
        <v/>
      </c>
      <c r="I3252" s="17"/>
      <c r="J3252" s="17"/>
      <c r="P3252" s="17"/>
      <c r="Q3252" s="17"/>
    </row>
    <row r="3253" spans="2:17">
      <c r="B3253" s="17"/>
      <c r="C3253" s="16" t="str">
        <f>IFERROR(VLOOKUP(DATA!#REF!,DATA!#REF!,1,FALSE),"")</f>
        <v/>
      </c>
      <c r="D3253" s="16" t="str">
        <f>IFERROR(VLOOKUP(C3253,DATA!#REF!,2,FALSE),"")</f>
        <v/>
      </c>
      <c r="I3253" s="17"/>
      <c r="J3253" s="17"/>
      <c r="P3253" s="17"/>
      <c r="Q3253" s="17"/>
    </row>
    <row r="3254" spans="2:17">
      <c r="B3254" s="17"/>
      <c r="C3254" s="16" t="str">
        <f>IFERROR(VLOOKUP(DATA!#REF!,DATA!#REF!,1,FALSE),"")</f>
        <v/>
      </c>
      <c r="D3254" s="16" t="str">
        <f>IFERROR(VLOOKUP(C3254,DATA!#REF!,2,FALSE),"")</f>
        <v/>
      </c>
      <c r="I3254" s="17"/>
      <c r="J3254" s="17"/>
      <c r="P3254" s="17"/>
      <c r="Q3254" s="17"/>
    </row>
    <row r="3255" spans="2:17">
      <c r="B3255" s="17"/>
      <c r="C3255" s="16" t="str">
        <f>IFERROR(VLOOKUP(DATA!#REF!,DATA!#REF!,1,FALSE),"")</f>
        <v/>
      </c>
      <c r="D3255" s="16" t="str">
        <f>IFERROR(VLOOKUP(C3255,DATA!#REF!,2,FALSE),"")</f>
        <v/>
      </c>
      <c r="I3255" s="17"/>
      <c r="J3255" s="17"/>
      <c r="P3255" s="17"/>
      <c r="Q3255" s="17"/>
    </row>
    <row r="3256" spans="2:17">
      <c r="B3256" s="17"/>
      <c r="C3256" s="16" t="str">
        <f>IFERROR(VLOOKUP(DATA!#REF!,DATA!#REF!,1,FALSE),"")</f>
        <v/>
      </c>
      <c r="D3256" s="16" t="str">
        <f>IFERROR(VLOOKUP(C3256,DATA!#REF!,2,FALSE),"")</f>
        <v/>
      </c>
      <c r="I3256" s="17"/>
      <c r="J3256" s="17"/>
      <c r="P3256" s="17"/>
      <c r="Q3256" s="17"/>
    </row>
    <row r="3257" spans="2:17">
      <c r="B3257" s="17"/>
      <c r="C3257" s="16" t="str">
        <f>IFERROR(VLOOKUP(DATA!#REF!,DATA!#REF!,1,FALSE),"")</f>
        <v/>
      </c>
      <c r="D3257" s="16" t="str">
        <f>IFERROR(VLOOKUP(C3257,DATA!#REF!,2,FALSE),"")</f>
        <v/>
      </c>
      <c r="I3257" s="17"/>
      <c r="J3257" s="17"/>
      <c r="P3257" s="17"/>
      <c r="Q3257" s="17"/>
    </row>
    <row r="3258" spans="2:17">
      <c r="B3258" s="17"/>
      <c r="C3258" s="16" t="str">
        <f>IFERROR(VLOOKUP(DATA!#REF!,DATA!#REF!,1,FALSE),"")</f>
        <v/>
      </c>
      <c r="D3258" s="16" t="str">
        <f>IFERROR(VLOOKUP(C3258,DATA!#REF!,2,FALSE),"")</f>
        <v/>
      </c>
      <c r="I3258" s="17"/>
      <c r="J3258" s="17"/>
      <c r="P3258" s="17"/>
      <c r="Q3258" s="17"/>
    </row>
    <row r="3259" spans="2:17">
      <c r="B3259" s="17"/>
      <c r="C3259" s="16" t="str">
        <f>IFERROR(VLOOKUP(DATA!#REF!,DATA!#REF!,1,FALSE),"")</f>
        <v/>
      </c>
      <c r="D3259" s="16" t="str">
        <f>IFERROR(VLOOKUP(C3259,DATA!#REF!,2,FALSE),"")</f>
        <v/>
      </c>
      <c r="I3259" s="17"/>
      <c r="J3259" s="17"/>
      <c r="P3259" s="17"/>
      <c r="Q3259" s="17"/>
    </row>
    <row r="3260" spans="2:17">
      <c r="B3260" s="17"/>
      <c r="C3260" s="16" t="str">
        <f>IFERROR(VLOOKUP(DATA!#REF!,DATA!#REF!,1,FALSE),"")</f>
        <v/>
      </c>
      <c r="D3260" s="16" t="str">
        <f>IFERROR(VLOOKUP(C3260,DATA!#REF!,2,FALSE),"")</f>
        <v/>
      </c>
      <c r="I3260" s="17"/>
      <c r="J3260" s="17"/>
      <c r="P3260" s="17"/>
      <c r="Q3260" s="17"/>
    </row>
    <row r="3261" spans="2:17">
      <c r="B3261" s="17"/>
      <c r="C3261" s="16" t="str">
        <f>IFERROR(VLOOKUP(DATA!#REF!,DATA!#REF!,1,FALSE),"")</f>
        <v/>
      </c>
      <c r="D3261" s="16" t="str">
        <f>IFERROR(VLOOKUP(C3261,DATA!#REF!,2,FALSE),"")</f>
        <v/>
      </c>
      <c r="I3261" s="17"/>
      <c r="J3261" s="17"/>
      <c r="P3261" s="17"/>
      <c r="Q3261" s="17"/>
    </row>
    <row r="3262" spans="2:17">
      <c r="B3262" s="17"/>
      <c r="C3262" s="16" t="str">
        <f>IFERROR(VLOOKUP(DATA!#REF!,DATA!#REF!,1,FALSE),"")</f>
        <v/>
      </c>
      <c r="D3262" s="16" t="str">
        <f>IFERROR(VLOOKUP(C3262,DATA!#REF!,2,FALSE),"")</f>
        <v/>
      </c>
      <c r="I3262" s="17"/>
      <c r="J3262" s="17"/>
      <c r="P3262" s="17"/>
      <c r="Q3262" s="17"/>
    </row>
    <row r="3263" spans="2:17">
      <c r="B3263" s="17"/>
      <c r="C3263" s="16" t="str">
        <f>IFERROR(VLOOKUP(DATA!#REF!,DATA!#REF!,1,FALSE),"")</f>
        <v/>
      </c>
      <c r="D3263" s="16" t="str">
        <f>IFERROR(VLOOKUP(C3263,DATA!#REF!,2,FALSE),"")</f>
        <v/>
      </c>
      <c r="I3263" s="17"/>
      <c r="J3263" s="17"/>
      <c r="P3263" s="17"/>
      <c r="Q3263" s="17"/>
    </row>
    <row r="3264" spans="2:17">
      <c r="B3264" s="17"/>
      <c r="C3264" s="16" t="str">
        <f>IFERROR(VLOOKUP(DATA!#REF!,DATA!#REF!,1,FALSE),"")</f>
        <v/>
      </c>
      <c r="D3264" s="16" t="str">
        <f>IFERROR(VLOOKUP(C3264,DATA!#REF!,2,FALSE),"")</f>
        <v/>
      </c>
      <c r="I3264" s="17"/>
      <c r="J3264" s="17"/>
      <c r="P3264" s="17"/>
      <c r="Q3264" s="17"/>
    </row>
    <row r="3265" spans="2:17">
      <c r="B3265" s="17"/>
      <c r="C3265" s="16" t="str">
        <f>IFERROR(VLOOKUP(DATA!#REF!,DATA!#REF!,1,FALSE),"")</f>
        <v/>
      </c>
      <c r="D3265" s="16" t="str">
        <f>IFERROR(VLOOKUP(C3265,DATA!#REF!,2,FALSE),"")</f>
        <v/>
      </c>
      <c r="I3265" s="17"/>
      <c r="J3265" s="17"/>
      <c r="P3265" s="17"/>
      <c r="Q3265" s="17"/>
    </row>
    <row r="3266" spans="2:17">
      <c r="B3266" s="17"/>
      <c r="C3266" s="16" t="str">
        <f>IFERROR(VLOOKUP(DATA!#REF!,DATA!#REF!,1,FALSE),"")</f>
        <v/>
      </c>
      <c r="D3266" s="16" t="str">
        <f>IFERROR(VLOOKUP(C3266,DATA!#REF!,2,FALSE),"")</f>
        <v/>
      </c>
      <c r="I3266" s="17"/>
      <c r="J3266" s="17"/>
      <c r="P3266" s="17"/>
      <c r="Q3266" s="17"/>
    </row>
    <row r="3267" spans="2:17">
      <c r="B3267" s="17"/>
      <c r="C3267" s="16" t="str">
        <f>IFERROR(VLOOKUP(DATA!#REF!,DATA!#REF!,1,FALSE),"")</f>
        <v/>
      </c>
      <c r="D3267" s="16" t="str">
        <f>IFERROR(VLOOKUP(C3267,DATA!#REF!,2,FALSE),"")</f>
        <v/>
      </c>
      <c r="I3267" s="17"/>
      <c r="J3267" s="17"/>
      <c r="P3267" s="17"/>
      <c r="Q3267" s="17"/>
    </row>
    <row r="3268" spans="2:17">
      <c r="B3268" s="17"/>
      <c r="C3268" s="16" t="str">
        <f>IFERROR(VLOOKUP(DATA!#REF!,DATA!#REF!,1,FALSE),"")</f>
        <v/>
      </c>
      <c r="D3268" s="16" t="str">
        <f>IFERROR(VLOOKUP(C3268,DATA!#REF!,2,FALSE),"")</f>
        <v/>
      </c>
      <c r="I3268" s="17"/>
      <c r="J3268" s="17"/>
      <c r="P3268" s="17"/>
      <c r="Q3268" s="17"/>
    </row>
    <row r="3269" spans="2:17">
      <c r="B3269" s="17"/>
      <c r="C3269" s="16" t="str">
        <f>IFERROR(VLOOKUP(DATA!#REF!,DATA!#REF!,1,FALSE),"")</f>
        <v/>
      </c>
      <c r="D3269" s="16" t="str">
        <f>IFERROR(VLOOKUP(C3269,DATA!#REF!,2,FALSE),"")</f>
        <v/>
      </c>
      <c r="I3269" s="17"/>
      <c r="J3269" s="17"/>
      <c r="P3269" s="17"/>
      <c r="Q3269" s="17"/>
    </row>
    <row r="3270" spans="2:17">
      <c r="B3270" s="17"/>
      <c r="C3270" s="16" t="str">
        <f>IFERROR(VLOOKUP(DATA!#REF!,DATA!#REF!,1,FALSE),"")</f>
        <v/>
      </c>
      <c r="D3270" s="16" t="str">
        <f>IFERROR(VLOOKUP(C3270,DATA!#REF!,2,FALSE),"")</f>
        <v/>
      </c>
      <c r="I3270" s="17"/>
      <c r="J3270" s="17"/>
      <c r="P3270" s="17"/>
      <c r="Q3270" s="17"/>
    </row>
    <row r="3271" spans="2:17">
      <c r="B3271" s="17"/>
      <c r="C3271" s="16" t="str">
        <f>IFERROR(VLOOKUP(DATA!#REF!,DATA!#REF!,1,FALSE),"")</f>
        <v/>
      </c>
      <c r="D3271" s="16" t="str">
        <f>IFERROR(VLOOKUP(C3271,DATA!#REF!,2,FALSE),"")</f>
        <v/>
      </c>
      <c r="I3271" s="17"/>
      <c r="J3271" s="17"/>
      <c r="P3271" s="17"/>
      <c r="Q3271" s="17"/>
    </row>
    <row r="3272" spans="2:17">
      <c r="B3272" s="17"/>
      <c r="C3272" s="16" t="str">
        <f>IFERROR(VLOOKUP(DATA!#REF!,DATA!#REF!,1,FALSE),"")</f>
        <v/>
      </c>
      <c r="D3272" s="16" t="str">
        <f>IFERROR(VLOOKUP(C3272,DATA!#REF!,2,FALSE),"")</f>
        <v/>
      </c>
      <c r="I3272" s="17"/>
      <c r="J3272" s="17"/>
      <c r="P3272" s="17"/>
      <c r="Q3272" s="17"/>
    </row>
    <row r="3273" spans="2:17">
      <c r="B3273" s="17"/>
      <c r="C3273" s="16" t="str">
        <f>IFERROR(VLOOKUP(DATA!#REF!,DATA!#REF!,1,FALSE),"")</f>
        <v/>
      </c>
      <c r="D3273" s="16" t="str">
        <f>IFERROR(VLOOKUP(C3273,DATA!#REF!,2,FALSE),"")</f>
        <v/>
      </c>
      <c r="I3273" s="17"/>
      <c r="J3273" s="17"/>
      <c r="P3273" s="17"/>
      <c r="Q3273" s="17"/>
    </row>
    <row r="3274" spans="2:17">
      <c r="B3274" s="17"/>
      <c r="C3274" s="16" t="str">
        <f>IFERROR(VLOOKUP(DATA!#REF!,DATA!#REF!,1,FALSE),"")</f>
        <v/>
      </c>
      <c r="D3274" s="16" t="str">
        <f>IFERROR(VLOOKUP(C3274,DATA!#REF!,2,FALSE),"")</f>
        <v/>
      </c>
      <c r="I3274" s="17"/>
      <c r="J3274" s="17"/>
      <c r="P3274" s="17"/>
      <c r="Q3274" s="17"/>
    </row>
    <row r="3275" spans="2:17">
      <c r="B3275" s="17"/>
      <c r="C3275" s="16" t="str">
        <f>IFERROR(VLOOKUP(DATA!#REF!,DATA!#REF!,1,FALSE),"")</f>
        <v/>
      </c>
      <c r="D3275" s="16" t="str">
        <f>IFERROR(VLOOKUP(C3275,DATA!#REF!,2,FALSE),"")</f>
        <v/>
      </c>
      <c r="I3275" s="17"/>
      <c r="J3275" s="17"/>
      <c r="P3275" s="17"/>
      <c r="Q3275" s="17"/>
    </row>
    <row r="3276" spans="2:17">
      <c r="B3276" s="17"/>
      <c r="C3276" s="16" t="str">
        <f>IFERROR(VLOOKUP(DATA!#REF!,DATA!#REF!,1,FALSE),"")</f>
        <v/>
      </c>
      <c r="D3276" s="16" t="str">
        <f>IFERROR(VLOOKUP(C3276,DATA!#REF!,2,FALSE),"")</f>
        <v/>
      </c>
      <c r="I3276" s="17"/>
      <c r="J3276" s="17"/>
      <c r="P3276" s="17"/>
      <c r="Q3276" s="17"/>
    </row>
    <row r="3277" spans="2:17">
      <c r="B3277" s="17"/>
      <c r="C3277" s="16" t="str">
        <f>IFERROR(VLOOKUP(DATA!#REF!,DATA!#REF!,1,FALSE),"")</f>
        <v/>
      </c>
      <c r="D3277" s="16" t="str">
        <f>IFERROR(VLOOKUP(C3277,DATA!#REF!,2,FALSE),"")</f>
        <v/>
      </c>
      <c r="I3277" s="17"/>
      <c r="J3277" s="17"/>
      <c r="P3277" s="17"/>
      <c r="Q3277" s="17"/>
    </row>
    <row r="3278" spans="2:17">
      <c r="B3278" s="17"/>
      <c r="C3278" s="16" t="str">
        <f>IFERROR(VLOOKUP(DATA!#REF!,DATA!#REF!,1,FALSE),"")</f>
        <v/>
      </c>
      <c r="D3278" s="16" t="str">
        <f>IFERROR(VLOOKUP(C3278,DATA!#REF!,2,FALSE),"")</f>
        <v/>
      </c>
      <c r="I3278" s="17"/>
      <c r="J3278" s="17"/>
      <c r="P3278" s="17"/>
      <c r="Q3278" s="17"/>
    </row>
    <row r="3279" spans="2:17">
      <c r="B3279" s="17"/>
      <c r="C3279" s="16" t="str">
        <f>IFERROR(VLOOKUP(DATA!#REF!,DATA!#REF!,1,FALSE),"")</f>
        <v/>
      </c>
      <c r="D3279" s="16" t="str">
        <f>IFERROR(VLOOKUP(C3279,DATA!#REF!,2,FALSE),"")</f>
        <v/>
      </c>
      <c r="I3279" s="17"/>
      <c r="J3279" s="17"/>
      <c r="P3279" s="17"/>
      <c r="Q3279" s="17"/>
    </row>
    <row r="3280" spans="2:17">
      <c r="B3280" s="17"/>
      <c r="C3280" s="16" t="str">
        <f>IFERROR(VLOOKUP(DATA!#REF!,DATA!#REF!,1,FALSE),"")</f>
        <v/>
      </c>
      <c r="D3280" s="16" t="str">
        <f>IFERROR(VLOOKUP(C3280,DATA!#REF!,2,FALSE),"")</f>
        <v/>
      </c>
      <c r="I3280" s="17"/>
      <c r="J3280" s="17"/>
      <c r="P3280" s="17"/>
      <c r="Q3280" s="17"/>
    </row>
    <row r="3281" spans="2:17">
      <c r="B3281" s="17"/>
      <c r="C3281" s="16" t="str">
        <f>IFERROR(VLOOKUP(DATA!#REF!,DATA!#REF!,1,FALSE),"")</f>
        <v/>
      </c>
      <c r="D3281" s="16" t="str">
        <f>IFERROR(VLOOKUP(C3281,DATA!#REF!,2,FALSE),"")</f>
        <v/>
      </c>
      <c r="I3281" s="17"/>
      <c r="J3281" s="17"/>
      <c r="P3281" s="17"/>
      <c r="Q3281" s="17"/>
    </row>
    <row r="3282" spans="2:17">
      <c r="B3282" s="17"/>
      <c r="C3282" s="16" t="str">
        <f>IFERROR(VLOOKUP(DATA!#REF!,DATA!#REF!,1,FALSE),"")</f>
        <v/>
      </c>
      <c r="D3282" s="16" t="str">
        <f>IFERROR(VLOOKUP(C3282,DATA!#REF!,2,FALSE),"")</f>
        <v/>
      </c>
      <c r="I3282" s="17"/>
      <c r="J3282" s="17"/>
      <c r="P3282" s="17"/>
      <c r="Q3282" s="17"/>
    </row>
    <row r="3283" spans="2:17">
      <c r="B3283" s="17"/>
      <c r="C3283" s="16" t="str">
        <f>IFERROR(VLOOKUP(DATA!#REF!,DATA!#REF!,1,FALSE),"")</f>
        <v/>
      </c>
      <c r="D3283" s="16" t="str">
        <f>IFERROR(VLOOKUP(C3283,DATA!#REF!,2,FALSE),"")</f>
        <v/>
      </c>
      <c r="I3283" s="17"/>
      <c r="J3283" s="17"/>
      <c r="P3283" s="17"/>
      <c r="Q3283" s="17"/>
    </row>
    <row r="3284" spans="2:17">
      <c r="B3284" s="17"/>
      <c r="C3284" s="16" t="str">
        <f>IFERROR(VLOOKUP(DATA!#REF!,DATA!#REF!,1,FALSE),"")</f>
        <v/>
      </c>
      <c r="D3284" s="16" t="str">
        <f>IFERROR(VLOOKUP(C3284,DATA!#REF!,2,FALSE),"")</f>
        <v/>
      </c>
      <c r="I3284" s="17"/>
      <c r="J3284" s="17"/>
      <c r="P3284" s="17"/>
      <c r="Q3284" s="17"/>
    </row>
    <row r="3285" spans="2:17">
      <c r="B3285" s="17"/>
      <c r="C3285" s="16" t="str">
        <f>IFERROR(VLOOKUP(DATA!#REF!,DATA!#REF!,1,FALSE),"")</f>
        <v/>
      </c>
      <c r="D3285" s="16" t="str">
        <f>IFERROR(VLOOKUP(C3285,DATA!#REF!,2,FALSE),"")</f>
        <v/>
      </c>
      <c r="I3285" s="17"/>
      <c r="J3285" s="17"/>
      <c r="P3285" s="17"/>
      <c r="Q3285" s="17"/>
    </row>
    <row r="3286" spans="2:17">
      <c r="B3286" s="17"/>
      <c r="C3286" s="16" t="str">
        <f>IFERROR(VLOOKUP(DATA!#REF!,DATA!#REF!,1,FALSE),"")</f>
        <v/>
      </c>
      <c r="D3286" s="16" t="str">
        <f>IFERROR(VLOOKUP(C3286,DATA!#REF!,2,FALSE),"")</f>
        <v/>
      </c>
      <c r="I3286" s="17"/>
      <c r="J3286" s="17"/>
      <c r="P3286" s="17"/>
      <c r="Q3286" s="17"/>
    </row>
    <row r="3287" spans="2:17">
      <c r="B3287" s="17"/>
      <c r="C3287" s="16" t="str">
        <f>IFERROR(VLOOKUP(DATA!#REF!,DATA!#REF!,1,FALSE),"")</f>
        <v/>
      </c>
      <c r="D3287" s="16" t="str">
        <f>IFERROR(VLOOKUP(C3287,DATA!#REF!,2,FALSE),"")</f>
        <v/>
      </c>
      <c r="I3287" s="17"/>
      <c r="J3287" s="17"/>
      <c r="P3287" s="17"/>
      <c r="Q3287" s="17"/>
    </row>
    <row r="3288" spans="2:17">
      <c r="B3288" s="17"/>
      <c r="C3288" s="16" t="str">
        <f>IFERROR(VLOOKUP(DATA!#REF!,DATA!#REF!,1,FALSE),"")</f>
        <v/>
      </c>
      <c r="D3288" s="16" t="str">
        <f>IFERROR(VLOOKUP(C3288,DATA!#REF!,2,FALSE),"")</f>
        <v/>
      </c>
      <c r="I3288" s="17"/>
      <c r="J3288" s="17"/>
      <c r="P3288" s="17"/>
      <c r="Q3288" s="17"/>
    </row>
    <row r="3289" spans="2:17">
      <c r="B3289" s="17"/>
      <c r="C3289" s="16" t="str">
        <f>IFERROR(VLOOKUP(DATA!#REF!,DATA!#REF!,1,FALSE),"")</f>
        <v/>
      </c>
      <c r="D3289" s="16" t="str">
        <f>IFERROR(VLOOKUP(C3289,DATA!#REF!,2,FALSE),"")</f>
        <v/>
      </c>
      <c r="I3289" s="17"/>
      <c r="J3289" s="17"/>
      <c r="P3289" s="17"/>
      <c r="Q3289" s="17"/>
    </row>
    <row r="3290" spans="2:17">
      <c r="B3290" s="17"/>
      <c r="C3290" s="16" t="str">
        <f>IFERROR(VLOOKUP(DATA!#REF!,DATA!#REF!,1,FALSE),"")</f>
        <v/>
      </c>
      <c r="D3290" s="16" t="str">
        <f>IFERROR(VLOOKUP(C3290,DATA!#REF!,2,FALSE),"")</f>
        <v/>
      </c>
      <c r="I3290" s="17"/>
      <c r="J3290" s="17"/>
      <c r="P3290" s="17"/>
      <c r="Q3290" s="17"/>
    </row>
    <row r="3291" spans="2:17">
      <c r="B3291" s="17"/>
      <c r="C3291" s="16" t="str">
        <f>IFERROR(VLOOKUP(DATA!#REF!,DATA!#REF!,1,FALSE),"")</f>
        <v/>
      </c>
      <c r="D3291" s="16" t="str">
        <f>IFERROR(VLOOKUP(C3291,DATA!#REF!,2,FALSE),"")</f>
        <v/>
      </c>
      <c r="I3291" s="17"/>
      <c r="J3291" s="17"/>
      <c r="P3291" s="17"/>
      <c r="Q3291" s="17"/>
    </row>
    <row r="3292" spans="2:17">
      <c r="B3292" s="17"/>
      <c r="C3292" s="16" t="str">
        <f>IFERROR(VLOOKUP(DATA!#REF!,DATA!#REF!,1,FALSE),"")</f>
        <v/>
      </c>
      <c r="D3292" s="16" t="str">
        <f>IFERROR(VLOOKUP(C3292,DATA!#REF!,2,FALSE),"")</f>
        <v/>
      </c>
      <c r="I3292" s="17"/>
      <c r="J3292" s="17"/>
      <c r="P3292" s="17"/>
      <c r="Q3292" s="17"/>
    </row>
    <row r="3293" spans="2:17">
      <c r="B3293" s="17"/>
      <c r="C3293" s="16" t="str">
        <f>IFERROR(VLOOKUP(DATA!#REF!,DATA!#REF!,1,FALSE),"")</f>
        <v/>
      </c>
      <c r="D3293" s="16" t="str">
        <f>IFERROR(VLOOKUP(C3293,DATA!#REF!,2,FALSE),"")</f>
        <v/>
      </c>
      <c r="I3293" s="17"/>
      <c r="J3293" s="17"/>
      <c r="P3293" s="17"/>
      <c r="Q3293" s="17"/>
    </row>
    <row r="3294" spans="2:17">
      <c r="B3294" s="17"/>
      <c r="C3294" s="16" t="str">
        <f>IFERROR(VLOOKUP(DATA!#REF!,DATA!#REF!,1,FALSE),"")</f>
        <v/>
      </c>
      <c r="D3294" s="16" t="str">
        <f>IFERROR(VLOOKUP(C3294,DATA!#REF!,2,FALSE),"")</f>
        <v/>
      </c>
      <c r="I3294" s="17"/>
      <c r="J3294" s="17"/>
      <c r="P3294" s="17"/>
      <c r="Q3294" s="17"/>
    </row>
    <row r="3295" spans="2:17">
      <c r="B3295" s="17"/>
      <c r="C3295" s="16" t="str">
        <f>IFERROR(VLOOKUP(DATA!#REF!,DATA!#REF!,1,FALSE),"")</f>
        <v/>
      </c>
      <c r="D3295" s="16" t="str">
        <f>IFERROR(VLOOKUP(C3295,DATA!#REF!,2,FALSE),"")</f>
        <v/>
      </c>
      <c r="I3295" s="17"/>
      <c r="J3295" s="17"/>
      <c r="P3295" s="17"/>
      <c r="Q3295" s="17"/>
    </row>
    <row r="3296" spans="2:17">
      <c r="B3296" s="17"/>
      <c r="C3296" s="16" t="str">
        <f>IFERROR(VLOOKUP(DATA!#REF!,DATA!#REF!,1,FALSE),"")</f>
        <v/>
      </c>
      <c r="D3296" s="16" t="str">
        <f>IFERROR(VLOOKUP(C3296,DATA!#REF!,2,FALSE),"")</f>
        <v/>
      </c>
      <c r="I3296" s="17"/>
      <c r="J3296" s="17"/>
      <c r="P3296" s="17"/>
      <c r="Q3296" s="17"/>
    </row>
    <row r="3297" spans="2:17">
      <c r="B3297" s="17"/>
      <c r="C3297" s="16" t="str">
        <f>IFERROR(VLOOKUP(DATA!#REF!,DATA!#REF!,1,FALSE),"")</f>
        <v/>
      </c>
      <c r="D3297" s="16" t="str">
        <f>IFERROR(VLOOKUP(C3297,DATA!#REF!,2,FALSE),"")</f>
        <v/>
      </c>
      <c r="I3297" s="17"/>
      <c r="J3297" s="17"/>
      <c r="P3297" s="17"/>
      <c r="Q3297" s="17"/>
    </row>
    <row r="3298" spans="2:17">
      <c r="B3298" s="17"/>
      <c r="C3298" s="16" t="str">
        <f>IFERROR(VLOOKUP(DATA!#REF!,DATA!#REF!,1,FALSE),"")</f>
        <v/>
      </c>
      <c r="D3298" s="16" t="str">
        <f>IFERROR(VLOOKUP(C3298,DATA!#REF!,2,FALSE),"")</f>
        <v/>
      </c>
      <c r="I3298" s="17"/>
      <c r="J3298" s="17"/>
      <c r="P3298" s="17"/>
      <c r="Q3298" s="17"/>
    </row>
    <row r="3299" spans="2:17">
      <c r="B3299" s="17"/>
      <c r="C3299" s="16" t="str">
        <f>IFERROR(VLOOKUP(DATA!#REF!,DATA!#REF!,1,FALSE),"")</f>
        <v/>
      </c>
      <c r="D3299" s="16" t="str">
        <f>IFERROR(VLOOKUP(C3299,DATA!#REF!,2,FALSE),"")</f>
        <v/>
      </c>
      <c r="I3299" s="17"/>
      <c r="J3299" s="17"/>
      <c r="P3299" s="17"/>
      <c r="Q3299" s="17"/>
    </row>
    <row r="3300" spans="2:17">
      <c r="B3300" s="17"/>
      <c r="C3300" s="16" t="str">
        <f>IFERROR(VLOOKUP(DATA!#REF!,DATA!#REF!,1,FALSE),"")</f>
        <v/>
      </c>
      <c r="D3300" s="16" t="str">
        <f>IFERROR(VLOOKUP(C3300,DATA!#REF!,2,FALSE),"")</f>
        <v/>
      </c>
      <c r="I3300" s="17"/>
      <c r="J3300" s="17"/>
      <c r="P3300" s="17"/>
      <c r="Q3300" s="17"/>
    </row>
    <row r="3301" spans="2:17">
      <c r="B3301" s="17"/>
      <c r="C3301" s="16" t="str">
        <f>IFERROR(VLOOKUP(DATA!#REF!,DATA!#REF!,1,FALSE),"")</f>
        <v/>
      </c>
      <c r="D3301" s="16" t="str">
        <f>IFERROR(VLOOKUP(C3301,DATA!#REF!,2,FALSE),"")</f>
        <v/>
      </c>
      <c r="I3301" s="17"/>
      <c r="J3301" s="17"/>
      <c r="P3301" s="17"/>
      <c r="Q3301" s="17"/>
    </row>
    <row r="3302" spans="2:17">
      <c r="B3302" s="17"/>
      <c r="C3302" s="16" t="str">
        <f>IFERROR(VLOOKUP(DATA!#REF!,DATA!#REF!,1,FALSE),"")</f>
        <v/>
      </c>
      <c r="D3302" s="16" t="str">
        <f>IFERROR(VLOOKUP(C3302,DATA!#REF!,2,FALSE),"")</f>
        <v/>
      </c>
      <c r="I3302" s="17"/>
      <c r="J3302" s="17"/>
      <c r="P3302" s="17"/>
      <c r="Q3302" s="17"/>
    </row>
    <row r="3303" spans="2:17">
      <c r="B3303" s="17"/>
      <c r="C3303" s="16" t="str">
        <f>IFERROR(VLOOKUP(DATA!#REF!,DATA!#REF!,1,FALSE),"")</f>
        <v/>
      </c>
      <c r="D3303" s="16" t="str">
        <f>IFERROR(VLOOKUP(C3303,DATA!#REF!,2,FALSE),"")</f>
        <v/>
      </c>
      <c r="I3303" s="17"/>
      <c r="J3303" s="17"/>
      <c r="P3303" s="17"/>
      <c r="Q3303" s="17"/>
    </row>
    <row r="3304" spans="2:17">
      <c r="B3304" s="17"/>
      <c r="C3304" s="16" t="str">
        <f>IFERROR(VLOOKUP(DATA!#REF!,DATA!#REF!,1,FALSE),"")</f>
        <v/>
      </c>
      <c r="D3304" s="16" t="str">
        <f>IFERROR(VLOOKUP(C3304,DATA!#REF!,2,FALSE),"")</f>
        <v/>
      </c>
      <c r="I3304" s="17"/>
      <c r="J3304" s="17"/>
      <c r="P3304" s="17"/>
      <c r="Q3304" s="17"/>
    </row>
    <row r="3305" spans="2:17">
      <c r="B3305" s="17"/>
      <c r="C3305" s="16" t="str">
        <f>IFERROR(VLOOKUP(DATA!#REF!,DATA!#REF!,1,FALSE),"")</f>
        <v/>
      </c>
      <c r="D3305" s="16" t="str">
        <f>IFERROR(VLOOKUP(C3305,DATA!#REF!,2,FALSE),"")</f>
        <v/>
      </c>
      <c r="I3305" s="17"/>
      <c r="J3305" s="17"/>
      <c r="P3305" s="17"/>
      <c r="Q3305" s="17"/>
    </row>
    <row r="3306" spans="2:17">
      <c r="B3306" s="17"/>
      <c r="C3306" s="16" t="str">
        <f>IFERROR(VLOOKUP(DATA!#REF!,DATA!#REF!,1,FALSE),"")</f>
        <v/>
      </c>
      <c r="D3306" s="16" t="str">
        <f>IFERROR(VLOOKUP(C3306,DATA!#REF!,2,FALSE),"")</f>
        <v/>
      </c>
      <c r="I3306" s="17"/>
      <c r="J3306" s="17"/>
      <c r="P3306" s="17"/>
      <c r="Q3306" s="17"/>
    </row>
    <row r="3307" spans="2:17">
      <c r="B3307" s="17"/>
      <c r="C3307" s="16" t="str">
        <f>IFERROR(VLOOKUP(DATA!#REF!,DATA!#REF!,1,FALSE),"")</f>
        <v/>
      </c>
      <c r="D3307" s="16" t="str">
        <f>IFERROR(VLOOKUP(C3307,DATA!#REF!,2,FALSE),"")</f>
        <v/>
      </c>
      <c r="I3307" s="17"/>
      <c r="J3307" s="17"/>
      <c r="P3307" s="17"/>
      <c r="Q3307" s="17"/>
    </row>
    <row r="3308" spans="2:17">
      <c r="B3308" s="17"/>
      <c r="C3308" s="16" t="str">
        <f>IFERROR(VLOOKUP(DATA!#REF!,DATA!#REF!,1,FALSE),"")</f>
        <v/>
      </c>
      <c r="D3308" s="16" t="str">
        <f>IFERROR(VLOOKUP(C3308,DATA!#REF!,2,FALSE),"")</f>
        <v/>
      </c>
      <c r="I3308" s="17"/>
      <c r="J3308" s="17"/>
      <c r="P3308" s="17"/>
      <c r="Q3308" s="17"/>
    </row>
    <row r="3309" spans="2:17">
      <c r="B3309" s="17"/>
      <c r="C3309" s="16" t="str">
        <f>IFERROR(VLOOKUP(DATA!#REF!,DATA!#REF!,1,FALSE),"")</f>
        <v/>
      </c>
      <c r="D3309" s="16" t="str">
        <f>IFERROR(VLOOKUP(C3309,DATA!#REF!,2,FALSE),"")</f>
        <v/>
      </c>
      <c r="I3309" s="17"/>
      <c r="J3309" s="17"/>
      <c r="P3309" s="17"/>
      <c r="Q3309" s="17"/>
    </row>
    <row r="3310" spans="2:17">
      <c r="B3310" s="17"/>
      <c r="C3310" s="16" t="str">
        <f>IFERROR(VLOOKUP(DATA!#REF!,DATA!#REF!,1,FALSE),"")</f>
        <v/>
      </c>
      <c r="D3310" s="16" t="str">
        <f>IFERROR(VLOOKUP(C3310,DATA!#REF!,2,FALSE),"")</f>
        <v/>
      </c>
      <c r="I3310" s="17"/>
      <c r="J3310" s="17"/>
      <c r="P3310" s="17"/>
      <c r="Q3310" s="17"/>
    </row>
    <row r="3311" spans="2:17">
      <c r="B3311" s="17"/>
      <c r="C3311" s="16" t="str">
        <f>IFERROR(VLOOKUP(DATA!#REF!,DATA!#REF!,1,FALSE),"")</f>
        <v/>
      </c>
      <c r="D3311" s="16" t="str">
        <f>IFERROR(VLOOKUP(C3311,DATA!#REF!,2,FALSE),"")</f>
        <v/>
      </c>
      <c r="I3311" s="17"/>
      <c r="J3311" s="17"/>
      <c r="P3311" s="17"/>
      <c r="Q3311" s="17"/>
    </row>
    <row r="3312" spans="2:17">
      <c r="B3312" s="17"/>
      <c r="C3312" s="16" t="str">
        <f>IFERROR(VLOOKUP(DATA!#REF!,DATA!#REF!,1,FALSE),"")</f>
        <v/>
      </c>
      <c r="D3312" s="16" t="str">
        <f>IFERROR(VLOOKUP(C3312,DATA!#REF!,2,FALSE),"")</f>
        <v/>
      </c>
      <c r="I3312" s="17"/>
      <c r="J3312" s="17"/>
      <c r="P3312" s="17"/>
      <c r="Q3312" s="17"/>
    </row>
    <row r="3313" spans="2:17">
      <c r="B3313" s="17"/>
      <c r="C3313" s="16" t="str">
        <f>IFERROR(VLOOKUP(DATA!#REF!,DATA!#REF!,1,FALSE),"")</f>
        <v/>
      </c>
      <c r="D3313" s="16" t="str">
        <f>IFERROR(VLOOKUP(C3313,DATA!#REF!,2,FALSE),"")</f>
        <v/>
      </c>
      <c r="I3313" s="17"/>
      <c r="J3313" s="17"/>
      <c r="P3313" s="17"/>
      <c r="Q3313" s="17"/>
    </row>
    <row r="3314" spans="2:17">
      <c r="B3314" s="17"/>
      <c r="C3314" s="16" t="str">
        <f>IFERROR(VLOOKUP(DATA!#REF!,DATA!#REF!,1,FALSE),"")</f>
        <v/>
      </c>
      <c r="D3314" s="16" t="str">
        <f>IFERROR(VLOOKUP(C3314,DATA!#REF!,2,FALSE),"")</f>
        <v/>
      </c>
      <c r="I3314" s="17"/>
      <c r="J3314" s="17"/>
      <c r="P3314" s="17"/>
      <c r="Q3314" s="17"/>
    </row>
    <row r="3315" spans="2:17">
      <c r="B3315" s="17"/>
      <c r="C3315" s="16" t="str">
        <f>IFERROR(VLOOKUP(DATA!#REF!,DATA!#REF!,1,FALSE),"")</f>
        <v/>
      </c>
      <c r="D3315" s="16" t="str">
        <f>IFERROR(VLOOKUP(C3315,DATA!#REF!,2,FALSE),"")</f>
        <v/>
      </c>
      <c r="I3315" s="17"/>
      <c r="J3315" s="17"/>
      <c r="P3315" s="17"/>
      <c r="Q3315" s="17"/>
    </row>
    <row r="3316" spans="2:17">
      <c r="B3316" s="17"/>
      <c r="C3316" s="16" t="str">
        <f>IFERROR(VLOOKUP(DATA!#REF!,DATA!#REF!,1,FALSE),"")</f>
        <v/>
      </c>
      <c r="D3316" s="16" t="str">
        <f>IFERROR(VLOOKUP(C3316,DATA!#REF!,2,FALSE),"")</f>
        <v/>
      </c>
      <c r="I3316" s="17"/>
      <c r="J3316" s="17"/>
      <c r="P3316" s="17"/>
      <c r="Q3316" s="17"/>
    </row>
    <row r="3317" spans="2:17">
      <c r="B3317" s="17"/>
      <c r="C3317" s="16" t="str">
        <f>IFERROR(VLOOKUP(DATA!#REF!,DATA!#REF!,1,FALSE),"")</f>
        <v/>
      </c>
      <c r="D3317" s="16" t="str">
        <f>IFERROR(VLOOKUP(C3317,DATA!#REF!,2,FALSE),"")</f>
        <v/>
      </c>
      <c r="I3317" s="17"/>
      <c r="J3317" s="17"/>
      <c r="P3317" s="17"/>
      <c r="Q3317" s="17"/>
    </row>
    <row r="3318" spans="2:17">
      <c r="B3318" s="17"/>
      <c r="C3318" s="16" t="str">
        <f>IFERROR(VLOOKUP(DATA!#REF!,DATA!#REF!,1,FALSE),"")</f>
        <v/>
      </c>
      <c r="D3318" s="16" t="str">
        <f>IFERROR(VLOOKUP(C3318,DATA!#REF!,2,FALSE),"")</f>
        <v/>
      </c>
      <c r="I3318" s="17"/>
      <c r="J3318" s="17"/>
      <c r="P3318" s="17"/>
      <c r="Q3318" s="17"/>
    </row>
    <row r="3319" spans="2:17">
      <c r="B3319" s="17"/>
      <c r="C3319" s="16" t="str">
        <f>IFERROR(VLOOKUP(DATA!#REF!,DATA!#REF!,1,FALSE),"")</f>
        <v/>
      </c>
      <c r="D3319" s="16" t="str">
        <f>IFERROR(VLOOKUP(C3319,DATA!#REF!,2,FALSE),"")</f>
        <v/>
      </c>
      <c r="I3319" s="17"/>
      <c r="J3319" s="17"/>
      <c r="P3319" s="17"/>
      <c r="Q3319" s="17"/>
    </row>
    <row r="3320" spans="2:17">
      <c r="B3320" s="17"/>
      <c r="C3320" s="16" t="str">
        <f>IFERROR(VLOOKUP(DATA!#REF!,DATA!#REF!,1,FALSE),"")</f>
        <v/>
      </c>
      <c r="D3320" s="16" t="str">
        <f>IFERROR(VLOOKUP(C3320,DATA!#REF!,2,FALSE),"")</f>
        <v/>
      </c>
      <c r="I3320" s="17"/>
      <c r="J3320" s="17"/>
      <c r="P3320" s="17"/>
      <c r="Q3320" s="17"/>
    </row>
    <row r="3321" spans="2:17">
      <c r="B3321" s="17"/>
      <c r="C3321" s="16" t="str">
        <f>IFERROR(VLOOKUP(DATA!#REF!,DATA!#REF!,1,FALSE),"")</f>
        <v/>
      </c>
      <c r="D3321" s="16" t="str">
        <f>IFERROR(VLOOKUP(C3321,DATA!#REF!,2,FALSE),"")</f>
        <v/>
      </c>
      <c r="I3321" s="17"/>
      <c r="J3321" s="17"/>
      <c r="P3321" s="17"/>
      <c r="Q3321" s="17"/>
    </row>
    <row r="3322" spans="2:17">
      <c r="B3322" s="17"/>
      <c r="C3322" s="16" t="str">
        <f>IFERROR(VLOOKUP(DATA!#REF!,DATA!#REF!,1,FALSE),"")</f>
        <v/>
      </c>
      <c r="D3322" s="16" t="str">
        <f>IFERROR(VLOOKUP(C3322,DATA!#REF!,2,FALSE),"")</f>
        <v/>
      </c>
      <c r="I3322" s="17"/>
      <c r="J3322" s="17"/>
      <c r="P3322" s="17"/>
      <c r="Q3322" s="17"/>
    </row>
    <row r="3323" spans="2:17">
      <c r="B3323" s="17"/>
      <c r="C3323" s="16" t="str">
        <f>IFERROR(VLOOKUP(DATA!#REF!,DATA!#REF!,1,FALSE),"")</f>
        <v/>
      </c>
      <c r="D3323" s="16" t="str">
        <f>IFERROR(VLOOKUP(C3323,DATA!#REF!,2,FALSE),"")</f>
        <v/>
      </c>
      <c r="I3323" s="17"/>
      <c r="J3323" s="17"/>
      <c r="P3323" s="17"/>
      <c r="Q3323" s="17"/>
    </row>
    <row r="3324" spans="2:17">
      <c r="B3324" s="17"/>
      <c r="C3324" s="16" t="str">
        <f>IFERROR(VLOOKUP(DATA!#REF!,DATA!#REF!,1,FALSE),"")</f>
        <v/>
      </c>
      <c r="D3324" s="16" t="str">
        <f>IFERROR(VLOOKUP(C3324,DATA!#REF!,2,FALSE),"")</f>
        <v/>
      </c>
      <c r="I3324" s="17"/>
      <c r="J3324" s="17"/>
      <c r="P3324" s="17"/>
      <c r="Q3324" s="17"/>
    </row>
    <row r="3325" spans="2:17">
      <c r="B3325" s="17"/>
      <c r="C3325" s="16" t="str">
        <f>IFERROR(VLOOKUP(DATA!#REF!,DATA!#REF!,1,FALSE),"")</f>
        <v/>
      </c>
      <c r="D3325" s="16" t="str">
        <f>IFERROR(VLOOKUP(C3325,DATA!#REF!,2,FALSE),"")</f>
        <v/>
      </c>
      <c r="I3325" s="17"/>
      <c r="J3325" s="17"/>
      <c r="P3325" s="17"/>
      <c r="Q3325" s="17"/>
    </row>
    <row r="3326" spans="2:17">
      <c r="B3326" s="17"/>
      <c r="C3326" s="16" t="str">
        <f>IFERROR(VLOOKUP(DATA!#REF!,DATA!#REF!,1,FALSE),"")</f>
        <v/>
      </c>
      <c r="D3326" s="16" t="str">
        <f>IFERROR(VLOOKUP(C3326,DATA!#REF!,2,FALSE),"")</f>
        <v/>
      </c>
      <c r="I3326" s="17"/>
      <c r="J3326" s="17"/>
      <c r="P3326" s="17"/>
      <c r="Q3326" s="17"/>
    </row>
    <row r="3327" spans="2:17">
      <c r="B3327" s="17"/>
      <c r="C3327" s="16" t="str">
        <f>IFERROR(VLOOKUP(DATA!#REF!,DATA!#REF!,1,FALSE),"")</f>
        <v/>
      </c>
      <c r="D3327" s="16" t="str">
        <f>IFERROR(VLOOKUP(C3327,DATA!#REF!,2,FALSE),"")</f>
        <v/>
      </c>
      <c r="I3327" s="17"/>
      <c r="J3327" s="17"/>
      <c r="P3327" s="17"/>
      <c r="Q3327" s="17"/>
    </row>
    <row r="3328" spans="2:17">
      <c r="B3328" s="17"/>
      <c r="C3328" s="16" t="str">
        <f>IFERROR(VLOOKUP(DATA!#REF!,DATA!#REF!,1,FALSE),"")</f>
        <v/>
      </c>
      <c r="D3328" s="16" t="str">
        <f>IFERROR(VLOOKUP(C3328,DATA!#REF!,2,FALSE),"")</f>
        <v/>
      </c>
      <c r="I3328" s="17"/>
      <c r="J3328" s="17"/>
      <c r="P3328" s="17"/>
      <c r="Q3328" s="17"/>
    </row>
    <row r="3329" spans="2:17">
      <c r="B3329" s="17"/>
      <c r="C3329" s="16" t="str">
        <f>IFERROR(VLOOKUP(DATA!#REF!,DATA!#REF!,1,FALSE),"")</f>
        <v/>
      </c>
      <c r="D3329" s="16" t="str">
        <f>IFERROR(VLOOKUP(C3329,DATA!#REF!,2,FALSE),"")</f>
        <v/>
      </c>
      <c r="I3329" s="17"/>
      <c r="J3329" s="17"/>
      <c r="P3329" s="17"/>
      <c r="Q3329" s="17"/>
    </row>
    <row r="3330" spans="2:17">
      <c r="B3330" s="17"/>
      <c r="C3330" s="16" t="str">
        <f>IFERROR(VLOOKUP(DATA!#REF!,DATA!#REF!,1,FALSE),"")</f>
        <v/>
      </c>
      <c r="D3330" s="16" t="str">
        <f>IFERROR(VLOOKUP(C3330,DATA!#REF!,2,FALSE),"")</f>
        <v/>
      </c>
      <c r="I3330" s="17"/>
      <c r="J3330" s="17"/>
      <c r="P3330" s="17"/>
      <c r="Q3330" s="17"/>
    </row>
    <row r="3331" spans="2:17">
      <c r="B3331" s="17"/>
      <c r="C3331" s="16" t="str">
        <f>IFERROR(VLOOKUP(DATA!#REF!,DATA!#REF!,1,FALSE),"")</f>
        <v/>
      </c>
      <c r="D3331" s="16" t="str">
        <f>IFERROR(VLOOKUP(C3331,DATA!#REF!,2,FALSE),"")</f>
        <v/>
      </c>
      <c r="I3331" s="17"/>
      <c r="J3331" s="17"/>
      <c r="P3331" s="17"/>
      <c r="Q3331" s="17"/>
    </row>
    <row r="3332" spans="2:17">
      <c r="B3332" s="17"/>
      <c r="C3332" s="16" t="str">
        <f>IFERROR(VLOOKUP(DATA!#REF!,DATA!#REF!,1,FALSE),"")</f>
        <v/>
      </c>
      <c r="D3332" s="16" t="str">
        <f>IFERROR(VLOOKUP(C3332,DATA!#REF!,2,FALSE),"")</f>
        <v/>
      </c>
      <c r="I3332" s="17"/>
      <c r="J3332" s="17"/>
      <c r="P3332" s="17"/>
      <c r="Q3332" s="17"/>
    </row>
    <row r="3333" spans="2:17">
      <c r="B3333" s="17"/>
      <c r="C3333" s="16" t="str">
        <f>IFERROR(VLOOKUP(DATA!#REF!,DATA!#REF!,1,FALSE),"")</f>
        <v/>
      </c>
      <c r="D3333" s="16" t="str">
        <f>IFERROR(VLOOKUP(C3333,DATA!#REF!,2,FALSE),"")</f>
        <v/>
      </c>
      <c r="I3333" s="17"/>
      <c r="J3333" s="17"/>
      <c r="P3333" s="17"/>
      <c r="Q3333" s="17"/>
    </row>
    <row r="3334" spans="2:17">
      <c r="B3334" s="17"/>
      <c r="C3334" s="16" t="str">
        <f>IFERROR(VLOOKUP(DATA!#REF!,DATA!#REF!,1,FALSE),"")</f>
        <v/>
      </c>
      <c r="D3334" s="16" t="str">
        <f>IFERROR(VLOOKUP(C3334,DATA!#REF!,2,FALSE),"")</f>
        <v/>
      </c>
      <c r="I3334" s="17"/>
      <c r="J3334" s="17"/>
      <c r="P3334" s="17"/>
      <c r="Q3334" s="17"/>
    </row>
    <row r="3335" spans="2:17">
      <c r="B3335" s="17"/>
      <c r="C3335" s="16" t="str">
        <f>IFERROR(VLOOKUP(DATA!#REF!,DATA!#REF!,1,FALSE),"")</f>
        <v/>
      </c>
      <c r="D3335" s="16" t="str">
        <f>IFERROR(VLOOKUP(C3335,DATA!#REF!,2,FALSE),"")</f>
        <v/>
      </c>
      <c r="I3335" s="17"/>
      <c r="J3335" s="17"/>
      <c r="P3335" s="17"/>
      <c r="Q3335" s="17"/>
    </row>
    <row r="3336" spans="2:17">
      <c r="B3336" s="17"/>
      <c r="C3336" s="16" t="str">
        <f>IFERROR(VLOOKUP(DATA!#REF!,DATA!#REF!,1,FALSE),"")</f>
        <v/>
      </c>
      <c r="D3336" s="16" t="str">
        <f>IFERROR(VLOOKUP(C3336,DATA!#REF!,2,FALSE),"")</f>
        <v/>
      </c>
      <c r="I3336" s="17"/>
      <c r="J3336" s="17"/>
      <c r="P3336" s="17"/>
      <c r="Q3336" s="17"/>
    </row>
    <row r="3337" spans="2:17">
      <c r="B3337" s="17"/>
      <c r="C3337" s="16" t="str">
        <f>IFERROR(VLOOKUP(DATA!#REF!,DATA!#REF!,1,FALSE),"")</f>
        <v/>
      </c>
      <c r="D3337" s="16" t="str">
        <f>IFERROR(VLOOKUP(C3337,DATA!#REF!,2,FALSE),"")</f>
        <v/>
      </c>
      <c r="I3337" s="17"/>
      <c r="J3337" s="17"/>
      <c r="P3337" s="17"/>
      <c r="Q3337" s="17"/>
    </row>
    <row r="3338" spans="2:17">
      <c r="B3338" s="17"/>
      <c r="C3338" s="16" t="str">
        <f>IFERROR(VLOOKUP(DATA!#REF!,DATA!#REF!,1,FALSE),"")</f>
        <v/>
      </c>
      <c r="D3338" s="16" t="str">
        <f>IFERROR(VLOOKUP(C3338,DATA!#REF!,2,FALSE),"")</f>
        <v/>
      </c>
      <c r="I3338" s="17"/>
      <c r="J3338" s="17"/>
      <c r="P3338" s="17"/>
      <c r="Q3338" s="17"/>
    </row>
    <row r="3339" spans="2:17">
      <c r="B3339" s="17"/>
      <c r="C3339" s="16" t="str">
        <f>IFERROR(VLOOKUP(DATA!#REF!,DATA!#REF!,1,FALSE),"")</f>
        <v/>
      </c>
      <c r="D3339" s="16" t="str">
        <f>IFERROR(VLOOKUP(C3339,DATA!#REF!,2,FALSE),"")</f>
        <v/>
      </c>
      <c r="I3339" s="17"/>
      <c r="J3339" s="17"/>
      <c r="P3339" s="17"/>
      <c r="Q3339" s="17"/>
    </row>
    <row r="3340" spans="2:17">
      <c r="B3340" s="17"/>
      <c r="C3340" s="16" t="str">
        <f>IFERROR(VLOOKUP(DATA!#REF!,DATA!#REF!,1,FALSE),"")</f>
        <v/>
      </c>
      <c r="D3340" s="16" t="str">
        <f>IFERROR(VLOOKUP(C3340,DATA!#REF!,2,FALSE),"")</f>
        <v/>
      </c>
      <c r="I3340" s="17"/>
      <c r="J3340" s="17"/>
      <c r="P3340" s="17"/>
      <c r="Q3340" s="17"/>
    </row>
    <row r="3341" spans="2:17">
      <c r="B3341" s="17"/>
      <c r="C3341" s="16" t="str">
        <f>IFERROR(VLOOKUP(DATA!#REF!,DATA!#REF!,1,FALSE),"")</f>
        <v/>
      </c>
      <c r="D3341" s="16" t="str">
        <f>IFERROR(VLOOKUP(C3341,DATA!#REF!,2,FALSE),"")</f>
        <v/>
      </c>
      <c r="I3341" s="17"/>
      <c r="J3341" s="17"/>
      <c r="P3341" s="17"/>
      <c r="Q3341" s="17"/>
    </row>
    <row r="3342" spans="2:17">
      <c r="B3342" s="17"/>
      <c r="C3342" s="16" t="str">
        <f>IFERROR(VLOOKUP(DATA!#REF!,DATA!#REF!,1,FALSE),"")</f>
        <v/>
      </c>
      <c r="D3342" s="16" t="str">
        <f>IFERROR(VLOOKUP(C3342,DATA!#REF!,2,FALSE),"")</f>
        <v/>
      </c>
      <c r="I3342" s="17"/>
      <c r="J3342" s="17"/>
      <c r="P3342" s="17"/>
      <c r="Q3342" s="17"/>
    </row>
    <row r="3343" spans="2:17">
      <c r="B3343" s="17"/>
      <c r="C3343" s="16" t="str">
        <f>IFERROR(VLOOKUP(DATA!#REF!,DATA!#REF!,1,FALSE),"")</f>
        <v/>
      </c>
      <c r="D3343" s="16" t="str">
        <f>IFERROR(VLOOKUP(C3343,DATA!#REF!,2,FALSE),"")</f>
        <v/>
      </c>
      <c r="I3343" s="17"/>
      <c r="J3343" s="17"/>
      <c r="P3343" s="17"/>
      <c r="Q3343" s="17"/>
    </row>
    <row r="3344" spans="2:17">
      <c r="B3344" s="17"/>
      <c r="C3344" s="16" t="str">
        <f>IFERROR(VLOOKUP(DATA!#REF!,DATA!#REF!,1,FALSE),"")</f>
        <v/>
      </c>
      <c r="D3344" s="16" t="str">
        <f>IFERROR(VLOOKUP(C3344,DATA!#REF!,2,FALSE),"")</f>
        <v/>
      </c>
      <c r="I3344" s="17"/>
      <c r="J3344" s="17"/>
      <c r="P3344" s="17"/>
      <c r="Q3344" s="17"/>
    </row>
    <row r="3345" spans="2:17">
      <c r="B3345" s="17"/>
      <c r="C3345" s="16" t="str">
        <f>IFERROR(VLOOKUP(DATA!#REF!,DATA!#REF!,1,FALSE),"")</f>
        <v/>
      </c>
      <c r="D3345" s="16" t="str">
        <f>IFERROR(VLOOKUP(C3345,DATA!#REF!,2,FALSE),"")</f>
        <v/>
      </c>
      <c r="I3345" s="17"/>
      <c r="J3345" s="17"/>
      <c r="P3345" s="17"/>
      <c r="Q3345" s="17"/>
    </row>
    <row r="3346" spans="2:17">
      <c r="B3346" s="17"/>
      <c r="C3346" s="16" t="str">
        <f>IFERROR(VLOOKUP(DATA!#REF!,DATA!#REF!,1,FALSE),"")</f>
        <v/>
      </c>
      <c r="D3346" s="16" t="str">
        <f>IFERROR(VLOOKUP(C3346,DATA!#REF!,2,FALSE),"")</f>
        <v/>
      </c>
      <c r="I3346" s="17"/>
      <c r="J3346" s="17"/>
      <c r="P3346" s="17"/>
      <c r="Q3346" s="17"/>
    </row>
    <row r="3347" spans="2:17">
      <c r="B3347" s="17"/>
      <c r="C3347" s="16" t="str">
        <f>IFERROR(VLOOKUP(DATA!#REF!,DATA!#REF!,1,FALSE),"")</f>
        <v/>
      </c>
      <c r="D3347" s="16" t="str">
        <f>IFERROR(VLOOKUP(C3347,DATA!#REF!,2,FALSE),"")</f>
        <v/>
      </c>
      <c r="I3347" s="17"/>
      <c r="J3347" s="17"/>
      <c r="P3347" s="17"/>
      <c r="Q3347" s="17"/>
    </row>
    <row r="3348" spans="2:17">
      <c r="B3348" s="17"/>
      <c r="C3348" s="16" t="str">
        <f>IFERROR(VLOOKUP(DATA!#REF!,DATA!#REF!,1,FALSE),"")</f>
        <v/>
      </c>
      <c r="D3348" s="16" t="str">
        <f>IFERROR(VLOOKUP(C3348,DATA!#REF!,2,FALSE),"")</f>
        <v/>
      </c>
      <c r="I3348" s="17"/>
      <c r="J3348" s="17"/>
      <c r="P3348" s="17"/>
      <c r="Q3348" s="17"/>
    </row>
    <row r="3349" spans="2:17">
      <c r="B3349" s="17"/>
      <c r="C3349" s="16" t="str">
        <f>IFERROR(VLOOKUP(DATA!#REF!,DATA!#REF!,1,FALSE),"")</f>
        <v/>
      </c>
      <c r="D3349" s="16" t="str">
        <f>IFERROR(VLOOKUP(C3349,DATA!#REF!,2,FALSE),"")</f>
        <v/>
      </c>
      <c r="I3349" s="17"/>
      <c r="J3349" s="17"/>
      <c r="P3349" s="17"/>
      <c r="Q3349" s="17"/>
    </row>
    <row r="3350" spans="2:17">
      <c r="B3350" s="17"/>
      <c r="C3350" s="16" t="str">
        <f>IFERROR(VLOOKUP(DATA!#REF!,DATA!#REF!,1,FALSE),"")</f>
        <v/>
      </c>
      <c r="D3350" s="16" t="str">
        <f>IFERROR(VLOOKUP(C3350,DATA!#REF!,2,FALSE),"")</f>
        <v/>
      </c>
      <c r="I3350" s="17"/>
      <c r="J3350" s="17"/>
      <c r="P3350" s="17"/>
      <c r="Q3350" s="17"/>
    </row>
    <row r="3351" spans="2:17">
      <c r="B3351" s="17"/>
      <c r="C3351" s="16" t="str">
        <f>IFERROR(VLOOKUP(DATA!#REF!,DATA!#REF!,1,FALSE),"")</f>
        <v/>
      </c>
      <c r="D3351" s="16" t="str">
        <f>IFERROR(VLOOKUP(C3351,DATA!#REF!,2,FALSE),"")</f>
        <v/>
      </c>
      <c r="I3351" s="17"/>
      <c r="J3351" s="17"/>
      <c r="P3351" s="17"/>
      <c r="Q3351" s="17"/>
    </row>
    <row r="3352" spans="2:17">
      <c r="B3352" s="17"/>
      <c r="C3352" s="16" t="str">
        <f>IFERROR(VLOOKUP(DATA!#REF!,DATA!#REF!,1,FALSE),"")</f>
        <v/>
      </c>
      <c r="D3352" s="16" t="str">
        <f>IFERROR(VLOOKUP(C3352,DATA!#REF!,2,FALSE),"")</f>
        <v/>
      </c>
      <c r="I3352" s="17"/>
      <c r="J3352" s="17"/>
      <c r="P3352" s="17"/>
      <c r="Q3352" s="17"/>
    </row>
    <row r="3353" spans="2:17">
      <c r="B3353" s="17"/>
      <c r="C3353" s="16" t="str">
        <f>IFERROR(VLOOKUP(DATA!#REF!,DATA!#REF!,1,FALSE),"")</f>
        <v/>
      </c>
      <c r="D3353" s="16" t="str">
        <f>IFERROR(VLOOKUP(C3353,DATA!#REF!,2,FALSE),"")</f>
        <v/>
      </c>
      <c r="I3353" s="17"/>
      <c r="J3353" s="17"/>
      <c r="P3353" s="17"/>
      <c r="Q3353" s="17"/>
    </row>
    <row r="3354" spans="2:17">
      <c r="B3354" s="17"/>
      <c r="C3354" s="16" t="str">
        <f>IFERROR(VLOOKUP(DATA!#REF!,DATA!#REF!,1,FALSE),"")</f>
        <v/>
      </c>
      <c r="D3354" s="16" t="str">
        <f>IFERROR(VLOOKUP(C3354,DATA!#REF!,2,FALSE),"")</f>
        <v/>
      </c>
      <c r="I3354" s="17"/>
      <c r="J3354" s="17"/>
      <c r="P3354" s="17"/>
      <c r="Q3354" s="17"/>
    </row>
    <row r="3355" spans="2:17">
      <c r="B3355" s="17"/>
      <c r="C3355" s="16" t="str">
        <f>IFERROR(VLOOKUP(DATA!#REF!,DATA!#REF!,1,FALSE),"")</f>
        <v/>
      </c>
      <c r="D3355" s="16" t="str">
        <f>IFERROR(VLOOKUP(C3355,DATA!#REF!,2,FALSE),"")</f>
        <v/>
      </c>
      <c r="I3355" s="17"/>
      <c r="J3355" s="17"/>
      <c r="P3355" s="17"/>
      <c r="Q3355" s="17"/>
    </row>
    <row r="3356" spans="2:17">
      <c r="B3356" s="17"/>
      <c r="C3356" s="16" t="str">
        <f>IFERROR(VLOOKUP(DATA!#REF!,DATA!#REF!,1,FALSE),"")</f>
        <v/>
      </c>
      <c r="D3356" s="16" t="str">
        <f>IFERROR(VLOOKUP(C3356,DATA!#REF!,2,FALSE),"")</f>
        <v/>
      </c>
      <c r="I3356" s="17"/>
      <c r="J3356" s="17"/>
      <c r="P3356" s="17"/>
      <c r="Q3356" s="17"/>
    </row>
    <row r="3357" spans="2:17">
      <c r="B3357" s="17"/>
      <c r="C3357" s="16" t="str">
        <f>IFERROR(VLOOKUP(DATA!#REF!,DATA!#REF!,1,FALSE),"")</f>
        <v/>
      </c>
      <c r="D3357" s="16" t="str">
        <f>IFERROR(VLOOKUP(C3357,DATA!#REF!,2,FALSE),"")</f>
        <v/>
      </c>
      <c r="I3357" s="17"/>
      <c r="J3357" s="17"/>
      <c r="P3357" s="17"/>
      <c r="Q3357" s="17"/>
    </row>
    <row r="3358" spans="2:17">
      <c r="B3358" s="17"/>
      <c r="C3358" s="16" t="str">
        <f>IFERROR(VLOOKUP(DATA!#REF!,DATA!#REF!,1,FALSE),"")</f>
        <v/>
      </c>
      <c r="D3358" s="16" t="str">
        <f>IFERROR(VLOOKUP(C3358,DATA!#REF!,2,FALSE),"")</f>
        <v/>
      </c>
      <c r="I3358" s="17"/>
      <c r="J3358" s="17"/>
      <c r="P3358" s="17"/>
      <c r="Q3358" s="17"/>
    </row>
    <row r="3359" spans="2:17">
      <c r="B3359" s="17"/>
      <c r="C3359" s="16" t="str">
        <f>IFERROR(VLOOKUP(DATA!#REF!,DATA!#REF!,1,FALSE),"")</f>
        <v/>
      </c>
      <c r="D3359" s="16" t="str">
        <f>IFERROR(VLOOKUP(C3359,DATA!#REF!,2,FALSE),"")</f>
        <v/>
      </c>
      <c r="I3359" s="17"/>
      <c r="J3359" s="17"/>
      <c r="P3359" s="17"/>
      <c r="Q3359" s="17"/>
    </row>
    <row r="3360" spans="2:17">
      <c r="B3360" s="17"/>
      <c r="C3360" s="16" t="str">
        <f>IFERROR(VLOOKUP(DATA!#REF!,DATA!#REF!,1,FALSE),"")</f>
        <v/>
      </c>
      <c r="D3360" s="16" t="str">
        <f>IFERROR(VLOOKUP(C3360,DATA!#REF!,2,FALSE),"")</f>
        <v/>
      </c>
      <c r="I3360" s="17"/>
      <c r="J3360" s="17"/>
      <c r="P3360" s="17"/>
      <c r="Q3360" s="17"/>
    </row>
    <row r="3361" spans="2:17">
      <c r="B3361" s="17"/>
      <c r="C3361" s="16" t="str">
        <f>IFERROR(VLOOKUP(DATA!#REF!,DATA!#REF!,1,FALSE),"")</f>
        <v/>
      </c>
      <c r="D3361" s="16" t="str">
        <f>IFERROR(VLOOKUP(C3361,DATA!#REF!,2,FALSE),"")</f>
        <v/>
      </c>
      <c r="I3361" s="17"/>
      <c r="J3361" s="17"/>
      <c r="P3361" s="17"/>
      <c r="Q3361" s="17"/>
    </row>
    <row r="3362" spans="2:17">
      <c r="B3362" s="17"/>
      <c r="C3362" s="16" t="str">
        <f>IFERROR(VLOOKUP(DATA!#REF!,DATA!#REF!,1,FALSE),"")</f>
        <v/>
      </c>
      <c r="D3362" s="16" t="str">
        <f>IFERROR(VLOOKUP(C3362,DATA!#REF!,2,FALSE),"")</f>
        <v/>
      </c>
      <c r="I3362" s="17"/>
      <c r="J3362" s="17"/>
      <c r="P3362" s="17"/>
      <c r="Q3362" s="17"/>
    </row>
    <row r="3363" spans="2:17">
      <c r="B3363" s="17"/>
      <c r="C3363" s="16" t="str">
        <f>IFERROR(VLOOKUP(DATA!#REF!,DATA!#REF!,1,FALSE),"")</f>
        <v/>
      </c>
      <c r="D3363" s="16" t="str">
        <f>IFERROR(VLOOKUP(C3363,DATA!#REF!,2,FALSE),"")</f>
        <v/>
      </c>
      <c r="I3363" s="17"/>
      <c r="J3363" s="17"/>
      <c r="P3363" s="17"/>
      <c r="Q3363" s="17"/>
    </row>
    <row r="3364" spans="2:17">
      <c r="B3364" s="17"/>
      <c r="C3364" s="16" t="str">
        <f>IFERROR(VLOOKUP(DATA!#REF!,DATA!#REF!,1,FALSE),"")</f>
        <v/>
      </c>
      <c r="D3364" s="16" t="str">
        <f>IFERROR(VLOOKUP(C3364,DATA!#REF!,2,FALSE),"")</f>
        <v/>
      </c>
      <c r="I3364" s="17"/>
      <c r="J3364" s="17"/>
      <c r="P3364" s="17"/>
      <c r="Q3364" s="17"/>
    </row>
    <row r="3365" spans="2:17">
      <c r="B3365" s="17"/>
      <c r="C3365" s="16" t="str">
        <f>IFERROR(VLOOKUP(DATA!#REF!,DATA!#REF!,1,FALSE),"")</f>
        <v/>
      </c>
      <c r="D3365" s="16" t="str">
        <f>IFERROR(VLOOKUP(C3365,DATA!#REF!,2,FALSE),"")</f>
        <v/>
      </c>
      <c r="I3365" s="17"/>
      <c r="J3365" s="17"/>
      <c r="P3365" s="17"/>
      <c r="Q3365" s="17"/>
    </row>
    <row r="3366" spans="2:17">
      <c r="B3366" s="17"/>
      <c r="C3366" s="16" t="str">
        <f>IFERROR(VLOOKUP(DATA!#REF!,DATA!#REF!,1,FALSE),"")</f>
        <v/>
      </c>
      <c r="D3366" s="16" t="str">
        <f>IFERROR(VLOOKUP(C3366,DATA!#REF!,2,FALSE),"")</f>
        <v/>
      </c>
      <c r="I3366" s="17"/>
      <c r="J3366" s="17"/>
      <c r="P3366" s="17"/>
      <c r="Q3366" s="17"/>
    </row>
    <row r="3367" spans="2:17">
      <c r="B3367" s="17"/>
      <c r="C3367" s="16" t="str">
        <f>IFERROR(VLOOKUP(DATA!#REF!,DATA!#REF!,1,FALSE),"")</f>
        <v/>
      </c>
      <c r="D3367" s="16" t="str">
        <f>IFERROR(VLOOKUP(C3367,DATA!#REF!,2,FALSE),"")</f>
        <v/>
      </c>
      <c r="I3367" s="17"/>
      <c r="J3367" s="17"/>
      <c r="P3367" s="17"/>
      <c r="Q3367" s="17"/>
    </row>
    <row r="3368" spans="2:17">
      <c r="B3368" s="17"/>
      <c r="C3368" s="16" t="str">
        <f>IFERROR(VLOOKUP(DATA!#REF!,DATA!#REF!,1,FALSE),"")</f>
        <v/>
      </c>
      <c r="D3368" s="16" t="str">
        <f>IFERROR(VLOOKUP(C3368,DATA!#REF!,2,FALSE),"")</f>
        <v/>
      </c>
      <c r="I3368" s="17"/>
      <c r="J3368" s="17"/>
      <c r="P3368" s="17"/>
      <c r="Q3368" s="17"/>
    </row>
    <row r="3369" spans="2:17">
      <c r="B3369" s="17"/>
      <c r="C3369" s="16" t="str">
        <f>IFERROR(VLOOKUP(DATA!#REF!,DATA!#REF!,1,FALSE),"")</f>
        <v/>
      </c>
      <c r="D3369" s="16" t="str">
        <f>IFERROR(VLOOKUP(C3369,DATA!#REF!,2,FALSE),"")</f>
        <v/>
      </c>
      <c r="I3369" s="17"/>
      <c r="J3369" s="17"/>
      <c r="P3369" s="17"/>
      <c r="Q3369" s="17"/>
    </row>
    <row r="3370" spans="2:17">
      <c r="B3370" s="17"/>
      <c r="C3370" s="16" t="str">
        <f>IFERROR(VLOOKUP(DATA!#REF!,DATA!#REF!,1,FALSE),"")</f>
        <v/>
      </c>
      <c r="D3370" s="16" t="str">
        <f>IFERROR(VLOOKUP(C3370,DATA!#REF!,2,FALSE),"")</f>
        <v/>
      </c>
      <c r="I3370" s="17"/>
      <c r="J3370" s="17"/>
      <c r="P3370" s="17"/>
      <c r="Q3370" s="17"/>
    </row>
    <row r="3371" spans="2:17">
      <c r="B3371" s="17"/>
      <c r="C3371" s="16" t="str">
        <f>IFERROR(VLOOKUP(DATA!#REF!,DATA!#REF!,1,FALSE),"")</f>
        <v/>
      </c>
      <c r="D3371" s="16" t="str">
        <f>IFERROR(VLOOKUP(C3371,DATA!#REF!,2,FALSE),"")</f>
        <v/>
      </c>
      <c r="I3371" s="17"/>
      <c r="J3371" s="17"/>
      <c r="P3371" s="17"/>
      <c r="Q3371" s="17"/>
    </row>
    <row r="3372" spans="2:17">
      <c r="B3372" s="17"/>
      <c r="C3372" s="16" t="str">
        <f>IFERROR(VLOOKUP(DATA!#REF!,DATA!#REF!,1,FALSE),"")</f>
        <v/>
      </c>
      <c r="D3372" s="16" t="str">
        <f>IFERROR(VLOOKUP(C3372,DATA!#REF!,2,FALSE),"")</f>
        <v/>
      </c>
      <c r="I3372" s="17"/>
      <c r="J3372" s="17"/>
      <c r="P3372" s="17"/>
      <c r="Q3372" s="17"/>
    </row>
    <row r="3373" spans="2:17">
      <c r="B3373" s="17"/>
      <c r="C3373" s="16" t="str">
        <f>IFERROR(VLOOKUP(DATA!#REF!,DATA!#REF!,1,FALSE),"")</f>
        <v/>
      </c>
      <c r="D3373" s="16" t="str">
        <f>IFERROR(VLOOKUP(C3373,DATA!#REF!,2,FALSE),"")</f>
        <v/>
      </c>
      <c r="I3373" s="17"/>
      <c r="J3373" s="17"/>
      <c r="P3373" s="17"/>
      <c r="Q3373" s="17"/>
    </row>
    <row r="3374" spans="2:17">
      <c r="B3374" s="17"/>
      <c r="C3374" s="16" t="str">
        <f>IFERROR(VLOOKUP(DATA!#REF!,DATA!#REF!,1,FALSE),"")</f>
        <v/>
      </c>
      <c r="D3374" s="16" t="str">
        <f>IFERROR(VLOOKUP(C3374,DATA!#REF!,2,FALSE),"")</f>
        <v/>
      </c>
      <c r="I3374" s="17"/>
      <c r="J3374" s="17"/>
      <c r="P3374" s="17"/>
      <c r="Q3374" s="17"/>
    </row>
    <row r="3375" spans="2:17">
      <c r="B3375" s="17"/>
      <c r="C3375" s="16" t="str">
        <f>IFERROR(VLOOKUP(DATA!#REF!,DATA!#REF!,1,FALSE),"")</f>
        <v/>
      </c>
      <c r="D3375" s="16" t="str">
        <f>IFERROR(VLOOKUP(C3375,DATA!#REF!,2,FALSE),"")</f>
        <v/>
      </c>
      <c r="I3375" s="17"/>
      <c r="J3375" s="17"/>
      <c r="P3375" s="17"/>
      <c r="Q3375" s="17"/>
    </row>
    <row r="3376" spans="2:17">
      <c r="B3376" s="17"/>
      <c r="C3376" s="16" t="str">
        <f>IFERROR(VLOOKUP(DATA!#REF!,DATA!#REF!,1,FALSE),"")</f>
        <v/>
      </c>
      <c r="D3376" s="16" t="str">
        <f>IFERROR(VLOOKUP(C3376,DATA!#REF!,2,FALSE),"")</f>
        <v/>
      </c>
      <c r="I3376" s="17"/>
      <c r="J3376" s="17"/>
      <c r="P3376" s="17"/>
      <c r="Q3376" s="17"/>
    </row>
    <row r="3377" spans="2:17">
      <c r="B3377" s="17"/>
      <c r="C3377" s="16" t="str">
        <f>IFERROR(VLOOKUP(DATA!#REF!,DATA!#REF!,1,FALSE),"")</f>
        <v/>
      </c>
      <c r="D3377" s="16" t="str">
        <f>IFERROR(VLOOKUP(C3377,DATA!#REF!,2,FALSE),"")</f>
        <v/>
      </c>
      <c r="I3377" s="17"/>
      <c r="J3377" s="17"/>
      <c r="P3377" s="17"/>
      <c r="Q3377" s="17"/>
    </row>
    <row r="3378" spans="2:17">
      <c r="B3378" s="17"/>
      <c r="C3378" s="16" t="str">
        <f>IFERROR(VLOOKUP(DATA!#REF!,DATA!#REF!,1,FALSE),"")</f>
        <v/>
      </c>
      <c r="D3378" s="16" t="str">
        <f>IFERROR(VLOOKUP(C3378,DATA!#REF!,2,FALSE),"")</f>
        <v/>
      </c>
      <c r="I3378" s="17"/>
      <c r="J3378" s="17"/>
      <c r="P3378" s="17"/>
      <c r="Q3378" s="17"/>
    </row>
    <row r="3379" spans="2:17">
      <c r="B3379" s="17"/>
      <c r="C3379" s="16" t="str">
        <f>IFERROR(VLOOKUP(DATA!#REF!,DATA!#REF!,1,FALSE),"")</f>
        <v/>
      </c>
      <c r="D3379" s="16" t="str">
        <f>IFERROR(VLOOKUP(C3379,DATA!#REF!,2,FALSE),"")</f>
        <v/>
      </c>
      <c r="I3379" s="17"/>
      <c r="J3379" s="17"/>
      <c r="P3379" s="17"/>
      <c r="Q3379" s="17"/>
    </row>
    <row r="3380" spans="2:17">
      <c r="B3380" s="17"/>
      <c r="C3380" s="16" t="str">
        <f>IFERROR(VLOOKUP(DATA!#REF!,DATA!#REF!,1,FALSE),"")</f>
        <v/>
      </c>
      <c r="D3380" s="16" t="str">
        <f>IFERROR(VLOOKUP(C3380,DATA!#REF!,2,FALSE),"")</f>
        <v/>
      </c>
      <c r="I3380" s="17"/>
      <c r="J3380" s="17"/>
      <c r="P3380" s="17"/>
      <c r="Q3380" s="17"/>
    </row>
    <row r="3381" spans="2:17">
      <c r="B3381" s="17"/>
      <c r="C3381" s="16" t="str">
        <f>IFERROR(VLOOKUP(DATA!#REF!,DATA!#REF!,1,FALSE),"")</f>
        <v/>
      </c>
      <c r="D3381" s="16" t="str">
        <f>IFERROR(VLOOKUP(C3381,DATA!#REF!,2,FALSE),"")</f>
        <v/>
      </c>
      <c r="I3381" s="17"/>
      <c r="J3381" s="17"/>
      <c r="P3381" s="17"/>
      <c r="Q3381" s="17"/>
    </row>
    <row r="3382" spans="2:17">
      <c r="B3382" s="17"/>
      <c r="C3382" s="16" t="str">
        <f>IFERROR(VLOOKUP(DATA!#REF!,DATA!#REF!,1,FALSE),"")</f>
        <v/>
      </c>
      <c r="D3382" s="16" t="str">
        <f>IFERROR(VLOOKUP(C3382,DATA!#REF!,2,FALSE),"")</f>
        <v/>
      </c>
      <c r="I3382" s="17"/>
      <c r="J3382" s="17"/>
      <c r="P3382" s="17"/>
      <c r="Q3382" s="17"/>
    </row>
    <row r="3383" spans="2:17">
      <c r="B3383" s="17"/>
      <c r="C3383" s="16" t="str">
        <f>IFERROR(VLOOKUP(DATA!#REF!,DATA!#REF!,1,FALSE),"")</f>
        <v/>
      </c>
      <c r="D3383" s="16" t="str">
        <f>IFERROR(VLOOKUP(C3383,DATA!#REF!,2,FALSE),"")</f>
        <v/>
      </c>
      <c r="I3383" s="17"/>
      <c r="J3383" s="17"/>
      <c r="P3383" s="17"/>
      <c r="Q3383" s="17"/>
    </row>
    <row r="3384" spans="2:17">
      <c r="B3384" s="17"/>
      <c r="C3384" s="16" t="str">
        <f>IFERROR(VLOOKUP(DATA!#REF!,DATA!#REF!,1,FALSE),"")</f>
        <v/>
      </c>
      <c r="D3384" s="16" t="str">
        <f>IFERROR(VLOOKUP(C3384,DATA!#REF!,2,FALSE),"")</f>
        <v/>
      </c>
      <c r="I3384" s="17"/>
      <c r="J3384" s="17"/>
      <c r="P3384" s="17"/>
      <c r="Q3384" s="17"/>
    </row>
    <row r="3385" spans="2:17">
      <c r="B3385" s="17"/>
      <c r="C3385" s="16" t="str">
        <f>IFERROR(VLOOKUP(DATA!#REF!,DATA!#REF!,1,FALSE),"")</f>
        <v/>
      </c>
      <c r="D3385" s="16" t="str">
        <f>IFERROR(VLOOKUP(C3385,DATA!#REF!,2,FALSE),"")</f>
        <v/>
      </c>
      <c r="I3385" s="17"/>
      <c r="J3385" s="17"/>
      <c r="P3385" s="17"/>
      <c r="Q3385" s="17"/>
    </row>
    <row r="3386" spans="2:17">
      <c r="B3386" s="17"/>
      <c r="C3386" s="16" t="str">
        <f>IFERROR(VLOOKUP(DATA!#REF!,DATA!#REF!,1,FALSE),"")</f>
        <v/>
      </c>
      <c r="D3386" s="16" t="str">
        <f>IFERROR(VLOOKUP(C3386,DATA!#REF!,2,FALSE),"")</f>
        <v/>
      </c>
      <c r="I3386" s="17"/>
      <c r="J3386" s="17"/>
      <c r="P3386" s="17"/>
      <c r="Q3386" s="17"/>
    </row>
    <row r="3387" spans="2:17">
      <c r="B3387" s="17"/>
      <c r="C3387" s="16" t="str">
        <f>IFERROR(VLOOKUP(DATA!#REF!,DATA!#REF!,1,FALSE),"")</f>
        <v/>
      </c>
      <c r="D3387" s="16" t="str">
        <f>IFERROR(VLOOKUP(C3387,DATA!#REF!,2,FALSE),"")</f>
        <v/>
      </c>
      <c r="I3387" s="17"/>
      <c r="J3387" s="17"/>
      <c r="P3387" s="17"/>
      <c r="Q3387" s="17"/>
    </row>
    <row r="3388" spans="2:17">
      <c r="B3388" s="17"/>
      <c r="C3388" s="16" t="str">
        <f>IFERROR(VLOOKUP(DATA!#REF!,DATA!#REF!,1,FALSE),"")</f>
        <v/>
      </c>
      <c r="D3388" s="16" t="str">
        <f>IFERROR(VLOOKUP(C3388,DATA!#REF!,2,FALSE),"")</f>
        <v/>
      </c>
      <c r="I3388" s="17"/>
      <c r="J3388" s="17"/>
      <c r="P3388" s="17"/>
      <c r="Q3388" s="17"/>
    </row>
    <row r="3389" spans="2:17">
      <c r="B3389" s="17"/>
      <c r="C3389" s="16" t="str">
        <f>IFERROR(VLOOKUP(DATA!#REF!,DATA!#REF!,1,FALSE),"")</f>
        <v/>
      </c>
      <c r="D3389" s="16" t="str">
        <f>IFERROR(VLOOKUP(C3389,DATA!#REF!,2,FALSE),"")</f>
        <v/>
      </c>
      <c r="I3389" s="17"/>
      <c r="J3389" s="17"/>
      <c r="P3389" s="17"/>
      <c r="Q3389" s="17"/>
    </row>
    <row r="3390" spans="2:17">
      <c r="B3390" s="17"/>
      <c r="C3390" s="16" t="str">
        <f>IFERROR(VLOOKUP(DATA!#REF!,DATA!#REF!,1,FALSE),"")</f>
        <v/>
      </c>
      <c r="D3390" s="16" t="str">
        <f>IFERROR(VLOOKUP(C3390,DATA!#REF!,2,FALSE),"")</f>
        <v/>
      </c>
      <c r="I3390" s="17"/>
      <c r="J3390" s="17"/>
      <c r="P3390" s="17"/>
      <c r="Q3390" s="17"/>
    </row>
    <row r="3391" spans="2:17">
      <c r="B3391" s="17"/>
      <c r="C3391" s="16" t="str">
        <f>IFERROR(VLOOKUP(DATA!#REF!,DATA!#REF!,1,FALSE),"")</f>
        <v/>
      </c>
      <c r="D3391" s="16" t="str">
        <f>IFERROR(VLOOKUP(C3391,DATA!#REF!,2,FALSE),"")</f>
        <v/>
      </c>
      <c r="I3391" s="17"/>
      <c r="J3391" s="17"/>
      <c r="P3391" s="17"/>
      <c r="Q3391" s="17"/>
    </row>
    <row r="3392" spans="2:17">
      <c r="B3392" s="17"/>
      <c r="C3392" s="16" t="str">
        <f>IFERROR(VLOOKUP(DATA!#REF!,DATA!#REF!,1,FALSE),"")</f>
        <v/>
      </c>
      <c r="D3392" s="16" t="str">
        <f>IFERROR(VLOOKUP(C3392,DATA!#REF!,2,FALSE),"")</f>
        <v/>
      </c>
      <c r="I3392" s="17"/>
      <c r="J3392" s="17"/>
      <c r="P3392" s="17"/>
      <c r="Q3392" s="17"/>
    </row>
    <row r="3393" spans="2:17">
      <c r="B3393" s="17"/>
      <c r="C3393" s="16" t="str">
        <f>IFERROR(VLOOKUP(DATA!#REF!,DATA!#REF!,1,FALSE),"")</f>
        <v/>
      </c>
      <c r="D3393" s="16" t="str">
        <f>IFERROR(VLOOKUP(C3393,DATA!#REF!,2,FALSE),"")</f>
        <v/>
      </c>
      <c r="I3393" s="17"/>
      <c r="J3393" s="17"/>
      <c r="P3393" s="17"/>
      <c r="Q3393" s="17"/>
    </row>
    <row r="3394" spans="2:17">
      <c r="B3394" s="17"/>
      <c r="C3394" s="16" t="str">
        <f>IFERROR(VLOOKUP(DATA!#REF!,DATA!#REF!,1,FALSE),"")</f>
        <v/>
      </c>
      <c r="D3394" s="16" t="str">
        <f>IFERROR(VLOOKUP(C3394,DATA!#REF!,2,FALSE),"")</f>
        <v/>
      </c>
      <c r="I3394" s="17"/>
      <c r="J3394" s="17"/>
      <c r="P3394" s="17"/>
      <c r="Q3394" s="17"/>
    </row>
    <row r="3395" spans="2:17">
      <c r="B3395" s="17"/>
      <c r="C3395" s="16" t="str">
        <f>IFERROR(VLOOKUP(DATA!#REF!,DATA!#REF!,1,FALSE),"")</f>
        <v/>
      </c>
      <c r="D3395" s="16" t="str">
        <f>IFERROR(VLOOKUP(C3395,DATA!#REF!,2,FALSE),"")</f>
        <v/>
      </c>
      <c r="I3395" s="17"/>
      <c r="J3395" s="17"/>
      <c r="P3395" s="17"/>
      <c r="Q3395" s="17"/>
    </row>
    <row r="3396" spans="2:17">
      <c r="B3396" s="17"/>
      <c r="C3396" s="16" t="str">
        <f>IFERROR(VLOOKUP(DATA!#REF!,DATA!#REF!,1,FALSE),"")</f>
        <v/>
      </c>
      <c r="D3396" s="16" t="str">
        <f>IFERROR(VLOOKUP(C3396,DATA!#REF!,2,FALSE),"")</f>
        <v/>
      </c>
      <c r="I3396" s="17"/>
      <c r="J3396" s="17"/>
      <c r="P3396" s="17"/>
      <c r="Q3396" s="17"/>
    </row>
    <row r="3397" spans="2:17">
      <c r="B3397" s="17"/>
      <c r="C3397" s="16" t="str">
        <f>IFERROR(VLOOKUP(DATA!#REF!,DATA!#REF!,1,FALSE),"")</f>
        <v/>
      </c>
      <c r="D3397" s="16" t="str">
        <f>IFERROR(VLOOKUP(C3397,DATA!#REF!,2,FALSE),"")</f>
        <v/>
      </c>
      <c r="I3397" s="17"/>
      <c r="J3397" s="17"/>
      <c r="P3397" s="17"/>
      <c r="Q3397" s="17"/>
    </row>
    <row r="3398" spans="2:17">
      <c r="B3398" s="17"/>
      <c r="C3398" s="16" t="str">
        <f>IFERROR(VLOOKUP(DATA!#REF!,DATA!#REF!,1,FALSE),"")</f>
        <v/>
      </c>
      <c r="D3398" s="16" t="str">
        <f>IFERROR(VLOOKUP(C3398,DATA!#REF!,2,FALSE),"")</f>
        <v/>
      </c>
      <c r="I3398" s="17"/>
      <c r="J3398" s="17"/>
      <c r="P3398" s="17"/>
      <c r="Q3398" s="17"/>
    </row>
    <row r="3399" spans="2:17">
      <c r="B3399" s="17"/>
      <c r="C3399" s="16" t="str">
        <f>IFERROR(VLOOKUP(DATA!#REF!,DATA!#REF!,1,FALSE),"")</f>
        <v/>
      </c>
      <c r="D3399" s="16" t="str">
        <f>IFERROR(VLOOKUP(C3399,DATA!#REF!,2,FALSE),"")</f>
        <v/>
      </c>
      <c r="I3399" s="17"/>
      <c r="J3399" s="17"/>
      <c r="P3399" s="17"/>
      <c r="Q3399" s="17"/>
    </row>
    <row r="3400" spans="2:17">
      <c r="B3400" s="17"/>
      <c r="C3400" s="16" t="str">
        <f>IFERROR(VLOOKUP(DATA!#REF!,DATA!#REF!,1,FALSE),"")</f>
        <v/>
      </c>
      <c r="D3400" s="16" t="str">
        <f>IFERROR(VLOOKUP(C3400,DATA!#REF!,2,FALSE),"")</f>
        <v/>
      </c>
      <c r="I3400" s="17"/>
      <c r="J3400" s="17"/>
      <c r="P3400" s="17"/>
      <c r="Q3400" s="17"/>
    </row>
    <row r="3401" spans="2:17">
      <c r="B3401" s="17"/>
      <c r="C3401" s="16" t="str">
        <f>IFERROR(VLOOKUP(DATA!#REF!,DATA!#REF!,1,FALSE),"")</f>
        <v/>
      </c>
      <c r="D3401" s="16" t="str">
        <f>IFERROR(VLOOKUP(C3401,DATA!#REF!,2,FALSE),"")</f>
        <v/>
      </c>
      <c r="I3401" s="17"/>
      <c r="J3401" s="17"/>
      <c r="P3401" s="17"/>
      <c r="Q3401" s="17"/>
    </row>
    <row r="3402" spans="2:17">
      <c r="B3402" s="17"/>
      <c r="C3402" s="16" t="str">
        <f>IFERROR(VLOOKUP(DATA!#REF!,DATA!#REF!,1,FALSE),"")</f>
        <v/>
      </c>
      <c r="D3402" s="16" t="str">
        <f>IFERROR(VLOOKUP(C3402,DATA!#REF!,2,FALSE),"")</f>
        <v/>
      </c>
      <c r="I3402" s="17"/>
      <c r="J3402" s="17"/>
      <c r="P3402" s="17"/>
      <c r="Q3402" s="17"/>
    </row>
    <row r="3403" spans="2:17">
      <c r="B3403" s="17"/>
      <c r="C3403" s="16" t="str">
        <f>IFERROR(VLOOKUP(DATA!#REF!,DATA!#REF!,1,FALSE),"")</f>
        <v/>
      </c>
      <c r="D3403" s="16" t="str">
        <f>IFERROR(VLOOKUP(C3403,DATA!#REF!,2,FALSE),"")</f>
        <v/>
      </c>
      <c r="I3403" s="17"/>
      <c r="J3403" s="17"/>
      <c r="P3403" s="17"/>
      <c r="Q3403" s="17"/>
    </row>
    <row r="3404" spans="2:17">
      <c r="B3404" s="17"/>
      <c r="C3404" s="16" t="str">
        <f>IFERROR(VLOOKUP(DATA!#REF!,DATA!#REF!,1,FALSE),"")</f>
        <v/>
      </c>
      <c r="D3404" s="16" t="str">
        <f>IFERROR(VLOOKUP(C3404,DATA!#REF!,2,FALSE),"")</f>
        <v/>
      </c>
      <c r="I3404" s="17"/>
      <c r="J3404" s="17"/>
      <c r="P3404" s="17"/>
      <c r="Q3404" s="17"/>
    </row>
    <row r="3405" spans="2:17">
      <c r="B3405" s="17"/>
      <c r="C3405" s="16" t="str">
        <f>IFERROR(VLOOKUP(DATA!#REF!,DATA!#REF!,1,FALSE),"")</f>
        <v/>
      </c>
      <c r="D3405" s="16" t="str">
        <f>IFERROR(VLOOKUP(C3405,DATA!#REF!,2,FALSE),"")</f>
        <v/>
      </c>
      <c r="I3405" s="17"/>
      <c r="J3405" s="17"/>
      <c r="P3405" s="17"/>
      <c r="Q3405" s="17"/>
    </row>
    <row r="3406" spans="2:17">
      <c r="B3406" s="17"/>
      <c r="C3406" s="16" t="str">
        <f>IFERROR(VLOOKUP(DATA!#REF!,DATA!#REF!,1,FALSE),"")</f>
        <v/>
      </c>
      <c r="D3406" s="16" t="str">
        <f>IFERROR(VLOOKUP(C3406,DATA!#REF!,2,FALSE),"")</f>
        <v/>
      </c>
      <c r="I3406" s="17"/>
      <c r="J3406" s="17"/>
      <c r="P3406" s="17"/>
      <c r="Q3406" s="17"/>
    </row>
    <row r="3407" spans="2:17">
      <c r="B3407" s="17"/>
      <c r="C3407" s="16" t="str">
        <f>IFERROR(VLOOKUP(DATA!#REF!,DATA!#REF!,1,FALSE),"")</f>
        <v/>
      </c>
      <c r="D3407" s="16" t="str">
        <f>IFERROR(VLOOKUP(C3407,DATA!#REF!,2,FALSE),"")</f>
        <v/>
      </c>
      <c r="I3407" s="17"/>
      <c r="J3407" s="17"/>
      <c r="P3407" s="17"/>
      <c r="Q3407" s="17"/>
    </row>
    <row r="3408" spans="2:17">
      <c r="B3408" s="17"/>
      <c r="C3408" s="16" t="str">
        <f>IFERROR(VLOOKUP(DATA!#REF!,DATA!#REF!,1,FALSE),"")</f>
        <v/>
      </c>
      <c r="D3408" s="16" t="str">
        <f>IFERROR(VLOOKUP(C3408,DATA!#REF!,2,FALSE),"")</f>
        <v/>
      </c>
      <c r="I3408" s="17"/>
      <c r="J3408" s="17"/>
      <c r="P3408" s="17"/>
      <c r="Q3408" s="17"/>
    </row>
    <row r="3409" spans="2:17">
      <c r="B3409" s="17"/>
      <c r="C3409" s="16" t="str">
        <f>IFERROR(VLOOKUP(DATA!#REF!,DATA!#REF!,1,FALSE),"")</f>
        <v/>
      </c>
      <c r="D3409" s="16" t="str">
        <f>IFERROR(VLOOKUP(C3409,DATA!#REF!,2,FALSE),"")</f>
        <v/>
      </c>
      <c r="I3409" s="17"/>
      <c r="J3409" s="17"/>
      <c r="P3409" s="17"/>
      <c r="Q3409" s="17"/>
    </row>
    <row r="3410" spans="2:17">
      <c r="B3410" s="17"/>
      <c r="C3410" s="16" t="str">
        <f>IFERROR(VLOOKUP(DATA!#REF!,DATA!#REF!,1,FALSE),"")</f>
        <v/>
      </c>
      <c r="D3410" s="16" t="str">
        <f>IFERROR(VLOOKUP(C3410,DATA!#REF!,2,FALSE),"")</f>
        <v/>
      </c>
      <c r="I3410" s="17"/>
      <c r="J3410" s="17"/>
      <c r="P3410" s="17"/>
      <c r="Q3410" s="17"/>
    </row>
    <row r="3411" spans="2:17">
      <c r="B3411" s="17"/>
      <c r="C3411" s="16" t="str">
        <f>IFERROR(VLOOKUP(DATA!#REF!,DATA!#REF!,1,FALSE),"")</f>
        <v/>
      </c>
      <c r="D3411" s="16" t="str">
        <f>IFERROR(VLOOKUP(C3411,DATA!#REF!,2,FALSE),"")</f>
        <v/>
      </c>
      <c r="I3411" s="17"/>
      <c r="J3411" s="17"/>
      <c r="P3411" s="17"/>
      <c r="Q3411" s="17"/>
    </row>
    <row r="3412" spans="2:17">
      <c r="B3412" s="17"/>
      <c r="C3412" s="16" t="str">
        <f>IFERROR(VLOOKUP(DATA!#REF!,DATA!#REF!,1,FALSE),"")</f>
        <v/>
      </c>
      <c r="D3412" s="16" t="str">
        <f>IFERROR(VLOOKUP(C3412,DATA!#REF!,2,FALSE),"")</f>
        <v/>
      </c>
      <c r="I3412" s="17"/>
      <c r="J3412" s="17"/>
      <c r="P3412" s="17"/>
      <c r="Q3412" s="17"/>
    </row>
    <row r="3413" spans="2:17">
      <c r="B3413" s="17"/>
      <c r="C3413" s="16" t="str">
        <f>IFERROR(VLOOKUP(DATA!#REF!,DATA!#REF!,1,FALSE),"")</f>
        <v/>
      </c>
      <c r="D3413" s="16" t="str">
        <f>IFERROR(VLOOKUP(C3413,DATA!#REF!,2,FALSE),"")</f>
        <v/>
      </c>
      <c r="I3413" s="17"/>
      <c r="J3413" s="17"/>
      <c r="P3413" s="17"/>
      <c r="Q3413" s="17"/>
    </row>
    <row r="3414" spans="2:17">
      <c r="B3414" s="17"/>
      <c r="C3414" s="16" t="str">
        <f>IFERROR(VLOOKUP(DATA!#REF!,DATA!#REF!,1,FALSE),"")</f>
        <v/>
      </c>
      <c r="D3414" s="16" t="str">
        <f>IFERROR(VLOOKUP(C3414,DATA!#REF!,2,FALSE),"")</f>
        <v/>
      </c>
      <c r="I3414" s="17"/>
      <c r="J3414" s="17"/>
      <c r="P3414" s="17"/>
      <c r="Q3414" s="17"/>
    </row>
    <row r="3415" spans="2:17">
      <c r="B3415" s="17"/>
      <c r="C3415" s="16" t="str">
        <f>IFERROR(VLOOKUP(DATA!#REF!,DATA!#REF!,1,FALSE),"")</f>
        <v/>
      </c>
      <c r="D3415" s="16" t="str">
        <f>IFERROR(VLOOKUP(C3415,DATA!#REF!,2,FALSE),"")</f>
        <v/>
      </c>
      <c r="I3415" s="17"/>
      <c r="J3415" s="17"/>
      <c r="P3415" s="17"/>
      <c r="Q3415" s="17"/>
    </row>
    <row r="3416" spans="2:17">
      <c r="B3416" s="17"/>
      <c r="C3416" s="16" t="str">
        <f>IFERROR(VLOOKUP(DATA!#REF!,DATA!#REF!,1,FALSE),"")</f>
        <v/>
      </c>
      <c r="D3416" s="16" t="str">
        <f>IFERROR(VLOOKUP(C3416,DATA!#REF!,2,FALSE),"")</f>
        <v/>
      </c>
      <c r="I3416" s="17"/>
      <c r="J3416" s="17"/>
      <c r="P3416" s="17"/>
      <c r="Q3416" s="17"/>
    </row>
    <row r="3417" spans="2:17">
      <c r="B3417" s="17"/>
      <c r="C3417" s="16" t="str">
        <f>IFERROR(VLOOKUP(DATA!#REF!,DATA!#REF!,1,FALSE),"")</f>
        <v/>
      </c>
      <c r="D3417" s="16" t="str">
        <f>IFERROR(VLOOKUP(C3417,DATA!#REF!,2,FALSE),"")</f>
        <v/>
      </c>
      <c r="I3417" s="17"/>
      <c r="J3417" s="17"/>
      <c r="P3417" s="17"/>
      <c r="Q3417" s="17"/>
    </row>
    <row r="3418" spans="2:17">
      <c r="B3418" s="17"/>
      <c r="C3418" s="16" t="str">
        <f>IFERROR(VLOOKUP(DATA!#REF!,DATA!#REF!,1,FALSE),"")</f>
        <v/>
      </c>
      <c r="D3418" s="16" t="str">
        <f>IFERROR(VLOOKUP(C3418,DATA!#REF!,2,FALSE),"")</f>
        <v/>
      </c>
      <c r="I3418" s="17"/>
      <c r="J3418" s="17"/>
      <c r="P3418" s="17"/>
      <c r="Q3418" s="17"/>
    </row>
    <row r="3419" spans="2:17">
      <c r="B3419" s="17"/>
      <c r="C3419" s="16" t="str">
        <f>IFERROR(VLOOKUP(DATA!#REF!,DATA!#REF!,1,FALSE),"")</f>
        <v/>
      </c>
      <c r="D3419" s="16" t="str">
        <f>IFERROR(VLOOKUP(C3419,DATA!#REF!,2,FALSE),"")</f>
        <v/>
      </c>
      <c r="I3419" s="17"/>
      <c r="J3419" s="17"/>
      <c r="P3419" s="17"/>
      <c r="Q3419" s="17"/>
    </row>
    <row r="3420" spans="2:17">
      <c r="B3420" s="17"/>
      <c r="C3420" s="16" t="str">
        <f>IFERROR(VLOOKUP(DATA!#REF!,DATA!#REF!,1,FALSE),"")</f>
        <v/>
      </c>
      <c r="D3420" s="16" t="str">
        <f>IFERROR(VLOOKUP(C3420,DATA!#REF!,2,FALSE),"")</f>
        <v/>
      </c>
      <c r="I3420" s="17"/>
      <c r="J3420" s="17"/>
      <c r="P3420" s="17"/>
      <c r="Q3420" s="17"/>
    </row>
    <row r="3421" spans="2:17">
      <c r="B3421" s="17"/>
      <c r="C3421" s="16" t="str">
        <f>IFERROR(VLOOKUP(DATA!#REF!,DATA!#REF!,1,FALSE),"")</f>
        <v/>
      </c>
      <c r="D3421" s="16" t="str">
        <f>IFERROR(VLOOKUP(C3421,DATA!#REF!,2,FALSE),"")</f>
        <v/>
      </c>
      <c r="I3421" s="17"/>
      <c r="J3421" s="17"/>
      <c r="P3421" s="17"/>
      <c r="Q3421" s="17"/>
    </row>
    <row r="3422" spans="2:17">
      <c r="B3422" s="17"/>
      <c r="C3422" s="16" t="str">
        <f>IFERROR(VLOOKUP(DATA!#REF!,DATA!#REF!,1,FALSE),"")</f>
        <v/>
      </c>
      <c r="D3422" s="16" t="str">
        <f>IFERROR(VLOOKUP(C3422,DATA!#REF!,2,FALSE),"")</f>
        <v/>
      </c>
      <c r="I3422" s="17"/>
      <c r="J3422" s="17"/>
      <c r="P3422" s="17"/>
      <c r="Q3422" s="17"/>
    </row>
    <row r="3423" spans="2:17">
      <c r="B3423" s="17"/>
      <c r="C3423" s="16" t="str">
        <f>IFERROR(VLOOKUP(DATA!#REF!,DATA!#REF!,1,FALSE),"")</f>
        <v/>
      </c>
      <c r="D3423" s="16" t="str">
        <f>IFERROR(VLOOKUP(C3423,DATA!#REF!,2,FALSE),"")</f>
        <v/>
      </c>
      <c r="I3423" s="17"/>
      <c r="J3423" s="17"/>
      <c r="P3423" s="17"/>
      <c r="Q3423" s="17"/>
    </row>
    <row r="3424" spans="2:17">
      <c r="B3424" s="17"/>
      <c r="C3424" s="16" t="str">
        <f>IFERROR(VLOOKUP(DATA!#REF!,DATA!#REF!,1,FALSE),"")</f>
        <v/>
      </c>
      <c r="D3424" s="16" t="str">
        <f>IFERROR(VLOOKUP(C3424,DATA!#REF!,2,FALSE),"")</f>
        <v/>
      </c>
      <c r="I3424" s="17"/>
      <c r="J3424" s="17"/>
      <c r="P3424" s="17"/>
      <c r="Q3424" s="17"/>
    </row>
    <row r="3425" spans="2:17">
      <c r="B3425" s="17"/>
      <c r="C3425" s="16" t="str">
        <f>IFERROR(VLOOKUP(DATA!#REF!,DATA!#REF!,1,FALSE),"")</f>
        <v/>
      </c>
      <c r="D3425" s="16" t="str">
        <f>IFERROR(VLOOKUP(C3425,DATA!#REF!,2,FALSE),"")</f>
        <v/>
      </c>
      <c r="I3425" s="17"/>
      <c r="J3425" s="17"/>
      <c r="P3425" s="17"/>
      <c r="Q3425" s="17"/>
    </row>
    <row r="3426" spans="2:17">
      <c r="B3426" s="17"/>
      <c r="C3426" s="16" t="str">
        <f>IFERROR(VLOOKUP(DATA!#REF!,DATA!#REF!,1,FALSE),"")</f>
        <v/>
      </c>
      <c r="D3426" s="16" t="str">
        <f>IFERROR(VLOOKUP(C3426,DATA!#REF!,2,FALSE),"")</f>
        <v/>
      </c>
      <c r="I3426" s="17"/>
      <c r="J3426" s="17"/>
      <c r="P3426" s="17"/>
      <c r="Q3426" s="17"/>
    </row>
    <row r="3427" spans="2:17">
      <c r="B3427" s="17"/>
      <c r="C3427" s="16" t="str">
        <f>IFERROR(VLOOKUP(DATA!#REF!,DATA!#REF!,1,FALSE),"")</f>
        <v/>
      </c>
      <c r="D3427" s="16" t="str">
        <f>IFERROR(VLOOKUP(C3427,DATA!#REF!,2,FALSE),"")</f>
        <v/>
      </c>
      <c r="I3427" s="17"/>
      <c r="J3427" s="17"/>
      <c r="P3427" s="17"/>
      <c r="Q3427" s="17"/>
    </row>
    <row r="3428" spans="2:17">
      <c r="B3428" s="17"/>
      <c r="C3428" s="16" t="str">
        <f>IFERROR(VLOOKUP(DATA!#REF!,DATA!#REF!,1,FALSE),"")</f>
        <v/>
      </c>
      <c r="D3428" s="16" t="str">
        <f>IFERROR(VLOOKUP(C3428,DATA!#REF!,2,FALSE),"")</f>
        <v/>
      </c>
      <c r="I3428" s="17"/>
      <c r="J3428" s="17"/>
      <c r="P3428" s="17"/>
      <c r="Q3428" s="17"/>
    </row>
    <row r="3429" spans="2:17">
      <c r="B3429" s="17"/>
      <c r="C3429" s="16" t="str">
        <f>IFERROR(VLOOKUP(DATA!#REF!,DATA!#REF!,1,FALSE),"")</f>
        <v/>
      </c>
      <c r="D3429" s="16" t="str">
        <f>IFERROR(VLOOKUP(C3429,DATA!#REF!,2,FALSE),"")</f>
        <v/>
      </c>
      <c r="I3429" s="17"/>
      <c r="J3429" s="17"/>
      <c r="P3429" s="17"/>
      <c r="Q3429" s="17"/>
    </row>
    <row r="3430" spans="2:17">
      <c r="B3430" s="17"/>
      <c r="C3430" s="16" t="str">
        <f>IFERROR(VLOOKUP(DATA!#REF!,DATA!#REF!,1,FALSE),"")</f>
        <v/>
      </c>
      <c r="D3430" s="16" t="str">
        <f>IFERROR(VLOOKUP(C3430,DATA!#REF!,2,FALSE),"")</f>
        <v/>
      </c>
      <c r="I3430" s="17"/>
      <c r="J3430" s="17"/>
      <c r="P3430" s="17"/>
      <c r="Q3430" s="17"/>
    </row>
    <row r="3431" spans="2:17">
      <c r="B3431" s="17"/>
      <c r="C3431" s="16" t="str">
        <f>IFERROR(VLOOKUP(DATA!#REF!,DATA!#REF!,1,FALSE),"")</f>
        <v/>
      </c>
      <c r="D3431" s="16" t="str">
        <f>IFERROR(VLOOKUP(C3431,DATA!#REF!,2,FALSE),"")</f>
        <v/>
      </c>
      <c r="I3431" s="17"/>
      <c r="J3431" s="17"/>
      <c r="P3431" s="17"/>
      <c r="Q3431" s="17"/>
    </row>
    <row r="3432" spans="2:17">
      <c r="B3432" s="17"/>
      <c r="C3432" s="16" t="str">
        <f>IFERROR(VLOOKUP(DATA!#REF!,DATA!#REF!,1,FALSE),"")</f>
        <v/>
      </c>
      <c r="D3432" s="16" t="str">
        <f>IFERROR(VLOOKUP(C3432,DATA!#REF!,2,FALSE),"")</f>
        <v/>
      </c>
      <c r="I3432" s="17"/>
      <c r="J3432" s="17"/>
      <c r="P3432" s="17"/>
      <c r="Q3432" s="17"/>
    </row>
    <row r="3433" spans="2:17">
      <c r="B3433" s="17"/>
      <c r="C3433" s="16" t="str">
        <f>IFERROR(VLOOKUP(DATA!#REF!,DATA!#REF!,1,FALSE),"")</f>
        <v/>
      </c>
      <c r="D3433" s="16" t="str">
        <f>IFERROR(VLOOKUP(C3433,DATA!#REF!,2,FALSE),"")</f>
        <v/>
      </c>
      <c r="I3433" s="17"/>
      <c r="J3433" s="17"/>
      <c r="P3433" s="17"/>
      <c r="Q3433" s="17"/>
    </row>
    <row r="3434" spans="2:17">
      <c r="B3434" s="17"/>
      <c r="C3434" s="16" t="str">
        <f>IFERROR(VLOOKUP(DATA!#REF!,DATA!#REF!,1,FALSE),"")</f>
        <v/>
      </c>
      <c r="D3434" s="16" t="str">
        <f>IFERROR(VLOOKUP(C3434,DATA!#REF!,2,FALSE),"")</f>
        <v/>
      </c>
      <c r="I3434" s="17"/>
      <c r="J3434" s="17"/>
      <c r="P3434" s="17"/>
      <c r="Q3434" s="17"/>
    </row>
    <row r="3435" spans="2:17">
      <c r="B3435" s="17"/>
      <c r="C3435" s="16" t="str">
        <f>IFERROR(VLOOKUP(DATA!#REF!,DATA!#REF!,1,FALSE),"")</f>
        <v/>
      </c>
      <c r="D3435" s="16" t="str">
        <f>IFERROR(VLOOKUP(C3435,DATA!#REF!,2,FALSE),"")</f>
        <v/>
      </c>
      <c r="I3435" s="17"/>
      <c r="J3435" s="17"/>
      <c r="P3435" s="17"/>
      <c r="Q3435" s="17"/>
    </row>
    <row r="3436" spans="2:17">
      <c r="B3436" s="17"/>
      <c r="C3436" s="16" t="str">
        <f>IFERROR(VLOOKUP(DATA!#REF!,DATA!#REF!,1,FALSE),"")</f>
        <v/>
      </c>
      <c r="D3436" s="16" t="str">
        <f>IFERROR(VLOOKUP(C3436,DATA!#REF!,2,FALSE),"")</f>
        <v/>
      </c>
      <c r="I3436" s="17"/>
      <c r="J3436" s="17"/>
      <c r="P3436" s="17"/>
      <c r="Q3436" s="17"/>
    </row>
    <row r="3437" spans="2:17">
      <c r="B3437" s="17"/>
      <c r="C3437" s="16" t="str">
        <f>IFERROR(VLOOKUP(DATA!#REF!,DATA!#REF!,1,FALSE),"")</f>
        <v/>
      </c>
      <c r="D3437" s="16" t="str">
        <f>IFERROR(VLOOKUP(C3437,DATA!#REF!,2,FALSE),"")</f>
        <v/>
      </c>
      <c r="I3437" s="17"/>
      <c r="J3437" s="17"/>
      <c r="P3437" s="17"/>
      <c r="Q3437" s="17"/>
    </row>
    <row r="3438" spans="2:17">
      <c r="B3438" s="17"/>
      <c r="C3438" s="16" t="str">
        <f>IFERROR(VLOOKUP(DATA!#REF!,DATA!#REF!,1,FALSE),"")</f>
        <v/>
      </c>
      <c r="D3438" s="16" t="str">
        <f>IFERROR(VLOOKUP(C3438,DATA!#REF!,2,FALSE),"")</f>
        <v/>
      </c>
      <c r="I3438" s="17"/>
      <c r="J3438" s="17"/>
      <c r="P3438" s="17"/>
      <c r="Q3438" s="17"/>
    </row>
    <row r="3439" spans="2:17">
      <c r="B3439" s="17"/>
      <c r="C3439" s="16" t="str">
        <f>IFERROR(VLOOKUP(DATA!#REF!,DATA!#REF!,1,FALSE),"")</f>
        <v/>
      </c>
      <c r="D3439" s="16" t="str">
        <f>IFERROR(VLOOKUP(C3439,DATA!#REF!,2,FALSE),"")</f>
        <v/>
      </c>
      <c r="I3439" s="17"/>
      <c r="J3439" s="17"/>
      <c r="P3439" s="17"/>
      <c r="Q3439" s="17"/>
    </row>
    <row r="3440" spans="2:17">
      <c r="B3440" s="17"/>
      <c r="C3440" s="16" t="str">
        <f>IFERROR(VLOOKUP(DATA!#REF!,DATA!#REF!,1,FALSE),"")</f>
        <v/>
      </c>
      <c r="D3440" s="16" t="str">
        <f>IFERROR(VLOOKUP(C3440,DATA!#REF!,2,FALSE),"")</f>
        <v/>
      </c>
      <c r="I3440" s="17"/>
      <c r="J3440" s="17"/>
      <c r="P3440" s="17"/>
      <c r="Q3440" s="17"/>
    </row>
    <row r="3441" spans="2:17">
      <c r="B3441" s="17"/>
      <c r="C3441" s="16" t="str">
        <f>IFERROR(VLOOKUP(DATA!#REF!,DATA!#REF!,1,FALSE),"")</f>
        <v/>
      </c>
      <c r="D3441" s="16" t="str">
        <f>IFERROR(VLOOKUP(C3441,DATA!#REF!,2,FALSE),"")</f>
        <v/>
      </c>
      <c r="I3441" s="17"/>
      <c r="J3441" s="17"/>
      <c r="P3441" s="17"/>
      <c r="Q3441" s="17"/>
    </row>
    <row r="3442" spans="2:17">
      <c r="B3442" s="17"/>
      <c r="C3442" s="16" t="str">
        <f>IFERROR(VLOOKUP(DATA!#REF!,DATA!#REF!,1,FALSE),"")</f>
        <v/>
      </c>
      <c r="D3442" s="16" t="str">
        <f>IFERROR(VLOOKUP(C3442,DATA!#REF!,2,FALSE),"")</f>
        <v/>
      </c>
      <c r="I3442" s="17"/>
      <c r="J3442" s="17"/>
      <c r="P3442" s="17"/>
      <c r="Q3442" s="17"/>
    </row>
    <row r="3443" spans="2:17">
      <c r="B3443" s="17"/>
      <c r="C3443" s="16" t="str">
        <f>IFERROR(VLOOKUP(DATA!#REF!,DATA!#REF!,1,FALSE),"")</f>
        <v/>
      </c>
      <c r="D3443" s="16" t="str">
        <f>IFERROR(VLOOKUP(C3443,DATA!#REF!,2,FALSE),"")</f>
        <v/>
      </c>
      <c r="I3443" s="17"/>
      <c r="J3443" s="17"/>
      <c r="P3443" s="17"/>
      <c r="Q3443" s="17"/>
    </row>
    <row r="3444" spans="2:17">
      <c r="B3444" s="17"/>
      <c r="C3444" s="16" t="str">
        <f>IFERROR(VLOOKUP(DATA!#REF!,DATA!#REF!,1,FALSE),"")</f>
        <v/>
      </c>
      <c r="D3444" s="16" t="str">
        <f>IFERROR(VLOOKUP(C3444,DATA!#REF!,2,FALSE),"")</f>
        <v/>
      </c>
      <c r="I3444" s="17"/>
      <c r="J3444" s="17"/>
      <c r="P3444" s="17"/>
      <c r="Q3444" s="17"/>
    </row>
    <row r="3445" spans="2:17">
      <c r="B3445" s="17"/>
      <c r="C3445" s="16" t="str">
        <f>IFERROR(VLOOKUP(DATA!#REF!,DATA!#REF!,1,FALSE),"")</f>
        <v/>
      </c>
      <c r="D3445" s="16" t="str">
        <f>IFERROR(VLOOKUP(C3445,DATA!#REF!,2,FALSE),"")</f>
        <v/>
      </c>
      <c r="I3445" s="17"/>
      <c r="J3445" s="17"/>
      <c r="P3445" s="17"/>
      <c r="Q3445" s="17"/>
    </row>
    <row r="3446" spans="2:17">
      <c r="B3446" s="17"/>
      <c r="C3446" s="16" t="str">
        <f>IFERROR(VLOOKUP(DATA!#REF!,DATA!#REF!,1,FALSE),"")</f>
        <v/>
      </c>
      <c r="D3446" s="16" t="str">
        <f>IFERROR(VLOOKUP(C3446,DATA!#REF!,2,FALSE),"")</f>
        <v/>
      </c>
      <c r="I3446" s="17"/>
      <c r="J3446" s="17"/>
      <c r="P3446" s="17"/>
      <c r="Q3446" s="17"/>
    </row>
    <row r="3447" spans="2:17">
      <c r="B3447" s="17"/>
      <c r="C3447" s="16" t="str">
        <f>IFERROR(VLOOKUP(DATA!#REF!,DATA!#REF!,1,FALSE),"")</f>
        <v/>
      </c>
      <c r="D3447" s="16" t="str">
        <f>IFERROR(VLOOKUP(C3447,DATA!#REF!,2,FALSE),"")</f>
        <v/>
      </c>
      <c r="I3447" s="17"/>
      <c r="J3447" s="17"/>
      <c r="P3447" s="17"/>
      <c r="Q3447" s="17"/>
    </row>
    <row r="3448" spans="2:17">
      <c r="B3448" s="17"/>
      <c r="C3448" s="16" t="str">
        <f>IFERROR(VLOOKUP(DATA!#REF!,DATA!#REF!,1,FALSE),"")</f>
        <v/>
      </c>
      <c r="D3448" s="16" t="str">
        <f>IFERROR(VLOOKUP(C3448,DATA!#REF!,2,FALSE),"")</f>
        <v/>
      </c>
      <c r="I3448" s="17"/>
      <c r="J3448" s="17"/>
      <c r="P3448" s="17"/>
      <c r="Q3448" s="17"/>
    </row>
    <row r="3449" spans="2:17">
      <c r="B3449" s="17"/>
      <c r="C3449" s="16" t="str">
        <f>IFERROR(VLOOKUP(DATA!#REF!,DATA!#REF!,1,FALSE),"")</f>
        <v/>
      </c>
      <c r="D3449" s="16" t="str">
        <f>IFERROR(VLOOKUP(C3449,DATA!#REF!,2,FALSE),"")</f>
        <v/>
      </c>
      <c r="I3449" s="17"/>
      <c r="J3449" s="17"/>
      <c r="P3449" s="17"/>
      <c r="Q3449" s="17"/>
    </row>
    <row r="3450" spans="2:17">
      <c r="B3450" s="17"/>
      <c r="C3450" s="16" t="str">
        <f>IFERROR(VLOOKUP(DATA!#REF!,DATA!#REF!,1,FALSE),"")</f>
        <v/>
      </c>
      <c r="D3450" s="16" t="str">
        <f>IFERROR(VLOOKUP(C3450,DATA!#REF!,2,FALSE),"")</f>
        <v/>
      </c>
      <c r="I3450" s="17"/>
      <c r="J3450" s="17"/>
      <c r="P3450" s="17"/>
      <c r="Q3450" s="17"/>
    </row>
    <row r="3451" spans="2:17">
      <c r="B3451" s="17"/>
      <c r="C3451" s="16" t="str">
        <f>IFERROR(VLOOKUP(DATA!#REF!,DATA!#REF!,1,FALSE),"")</f>
        <v/>
      </c>
      <c r="D3451" s="16" t="str">
        <f>IFERROR(VLOOKUP(C3451,DATA!#REF!,2,FALSE),"")</f>
        <v/>
      </c>
      <c r="I3451" s="17"/>
      <c r="J3451" s="17"/>
      <c r="P3451" s="17"/>
      <c r="Q3451" s="17"/>
    </row>
    <row r="3452" spans="2:17">
      <c r="B3452" s="17"/>
      <c r="C3452" s="16" t="str">
        <f>IFERROR(VLOOKUP(DATA!#REF!,DATA!#REF!,1,FALSE),"")</f>
        <v/>
      </c>
      <c r="D3452" s="16" t="str">
        <f>IFERROR(VLOOKUP(C3452,DATA!#REF!,2,FALSE),"")</f>
        <v/>
      </c>
      <c r="I3452" s="17"/>
      <c r="J3452" s="17"/>
      <c r="P3452" s="17"/>
      <c r="Q3452" s="17"/>
    </row>
    <row r="3453" spans="2:17">
      <c r="B3453" s="17"/>
      <c r="C3453" s="16" t="str">
        <f>IFERROR(VLOOKUP(DATA!#REF!,DATA!#REF!,1,FALSE),"")</f>
        <v/>
      </c>
      <c r="D3453" s="16" t="str">
        <f>IFERROR(VLOOKUP(C3453,DATA!#REF!,2,FALSE),"")</f>
        <v/>
      </c>
      <c r="I3453" s="17"/>
      <c r="J3453" s="17"/>
      <c r="P3453" s="17"/>
      <c r="Q3453" s="17"/>
    </row>
    <row r="3454" spans="2:17">
      <c r="B3454" s="17"/>
      <c r="C3454" s="16" t="str">
        <f>IFERROR(VLOOKUP(DATA!#REF!,DATA!#REF!,1,FALSE),"")</f>
        <v/>
      </c>
      <c r="D3454" s="16" t="str">
        <f>IFERROR(VLOOKUP(C3454,DATA!#REF!,2,FALSE),"")</f>
        <v/>
      </c>
      <c r="I3454" s="17"/>
      <c r="J3454" s="17"/>
      <c r="P3454" s="17"/>
      <c r="Q3454" s="17"/>
    </row>
    <row r="3455" spans="2:17">
      <c r="B3455" s="17"/>
      <c r="C3455" s="16" t="str">
        <f>IFERROR(VLOOKUP(DATA!#REF!,DATA!#REF!,1,FALSE),"")</f>
        <v/>
      </c>
      <c r="D3455" s="16" t="str">
        <f>IFERROR(VLOOKUP(C3455,DATA!#REF!,2,FALSE),"")</f>
        <v/>
      </c>
      <c r="I3455" s="17"/>
      <c r="J3455" s="17"/>
      <c r="P3455" s="17"/>
      <c r="Q3455" s="17"/>
    </row>
    <row r="3456" spans="2:17">
      <c r="B3456" s="17"/>
      <c r="C3456" s="16" t="str">
        <f>IFERROR(VLOOKUP(DATA!#REF!,DATA!#REF!,1,FALSE),"")</f>
        <v/>
      </c>
      <c r="D3456" s="16" t="str">
        <f>IFERROR(VLOOKUP(C3456,DATA!#REF!,2,FALSE),"")</f>
        <v/>
      </c>
      <c r="I3456" s="17"/>
      <c r="J3456" s="17"/>
      <c r="P3456" s="17"/>
      <c r="Q3456" s="17"/>
    </row>
    <row r="3457" spans="2:17">
      <c r="B3457" s="17"/>
      <c r="C3457" s="16" t="str">
        <f>IFERROR(VLOOKUP(DATA!#REF!,DATA!#REF!,1,FALSE),"")</f>
        <v/>
      </c>
      <c r="D3457" s="16" t="str">
        <f>IFERROR(VLOOKUP(C3457,DATA!#REF!,2,FALSE),"")</f>
        <v/>
      </c>
      <c r="I3457" s="17"/>
      <c r="J3457" s="17"/>
      <c r="P3457" s="17"/>
      <c r="Q3457" s="17"/>
    </row>
    <row r="3458" spans="2:17">
      <c r="B3458" s="17"/>
      <c r="C3458" s="16" t="str">
        <f>IFERROR(VLOOKUP(DATA!#REF!,DATA!#REF!,1,FALSE),"")</f>
        <v/>
      </c>
      <c r="D3458" s="16" t="str">
        <f>IFERROR(VLOOKUP(C3458,DATA!#REF!,2,FALSE),"")</f>
        <v/>
      </c>
      <c r="I3458" s="17"/>
      <c r="J3458" s="17"/>
      <c r="P3458" s="17"/>
      <c r="Q3458" s="17"/>
    </row>
    <row r="3459" spans="2:17">
      <c r="B3459" s="17"/>
      <c r="C3459" s="16" t="str">
        <f>IFERROR(VLOOKUP(DATA!#REF!,DATA!#REF!,1,FALSE),"")</f>
        <v/>
      </c>
      <c r="D3459" s="16" t="str">
        <f>IFERROR(VLOOKUP(C3459,DATA!#REF!,2,FALSE),"")</f>
        <v/>
      </c>
      <c r="I3459" s="17"/>
      <c r="J3459" s="17"/>
      <c r="P3459" s="17"/>
      <c r="Q3459" s="17"/>
    </row>
    <row r="3460" spans="2:17">
      <c r="B3460" s="17"/>
      <c r="C3460" s="16" t="str">
        <f>IFERROR(VLOOKUP(DATA!#REF!,DATA!#REF!,1,FALSE),"")</f>
        <v/>
      </c>
      <c r="D3460" s="16" t="str">
        <f>IFERROR(VLOOKUP(C3460,DATA!#REF!,2,FALSE),"")</f>
        <v/>
      </c>
      <c r="I3460" s="17"/>
      <c r="J3460" s="17"/>
      <c r="P3460" s="17"/>
      <c r="Q3460" s="17"/>
    </row>
    <row r="3461" spans="2:17">
      <c r="B3461" s="17"/>
      <c r="C3461" s="16" t="str">
        <f>IFERROR(VLOOKUP(DATA!#REF!,DATA!#REF!,1,FALSE),"")</f>
        <v/>
      </c>
      <c r="D3461" s="16" t="str">
        <f>IFERROR(VLOOKUP(C3461,DATA!#REF!,2,FALSE),"")</f>
        <v/>
      </c>
      <c r="I3461" s="17"/>
      <c r="J3461" s="17"/>
      <c r="P3461" s="17"/>
      <c r="Q3461" s="17"/>
    </row>
    <row r="3462" spans="2:17">
      <c r="B3462" s="17"/>
      <c r="C3462" s="16" t="str">
        <f>IFERROR(VLOOKUP(DATA!#REF!,DATA!#REF!,1,FALSE),"")</f>
        <v/>
      </c>
      <c r="D3462" s="16" t="str">
        <f>IFERROR(VLOOKUP(C3462,DATA!#REF!,2,FALSE),"")</f>
        <v/>
      </c>
      <c r="I3462" s="17"/>
      <c r="J3462" s="17"/>
      <c r="P3462" s="17"/>
      <c r="Q3462" s="17"/>
    </row>
    <row r="3463" spans="2:17">
      <c r="B3463" s="17"/>
      <c r="C3463" s="16" t="str">
        <f>IFERROR(VLOOKUP(DATA!#REF!,DATA!#REF!,1,FALSE),"")</f>
        <v/>
      </c>
      <c r="D3463" s="16" t="str">
        <f>IFERROR(VLOOKUP(C3463,DATA!#REF!,2,FALSE),"")</f>
        <v/>
      </c>
      <c r="I3463" s="17"/>
      <c r="J3463" s="17"/>
      <c r="P3463" s="17"/>
      <c r="Q3463" s="17"/>
    </row>
    <row r="3464" spans="2:17">
      <c r="B3464" s="17"/>
      <c r="C3464" s="16" t="str">
        <f>IFERROR(VLOOKUP(DATA!#REF!,DATA!#REF!,1,FALSE),"")</f>
        <v/>
      </c>
      <c r="D3464" s="16" t="str">
        <f>IFERROR(VLOOKUP(C3464,DATA!#REF!,2,FALSE),"")</f>
        <v/>
      </c>
      <c r="I3464" s="17"/>
      <c r="J3464" s="17"/>
      <c r="P3464" s="17"/>
      <c r="Q3464" s="17"/>
    </row>
    <row r="3465" spans="2:17">
      <c r="B3465" s="17"/>
      <c r="C3465" s="16" t="str">
        <f>IFERROR(VLOOKUP(DATA!#REF!,DATA!#REF!,1,FALSE),"")</f>
        <v/>
      </c>
      <c r="D3465" s="16" t="str">
        <f>IFERROR(VLOOKUP(C3465,DATA!#REF!,2,FALSE),"")</f>
        <v/>
      </c>
      <c r="I3465" s="17"/>
      <c r="J3465" s="17"/>
      <c r="P3465" s="17"/>
      <c r="Q3465" s="17"/>
    </row>
    <row r="3466" spans="2:17">
      <c r="B3466" s="17"/>
      <c r="C3466" s="16" t="str">
        <f>IFERROR(VLOOKUP(DATA!#REF!,DATA!#REF!,1,FALSE),"")</f>
        <v/>
      </c>
      <c r="D3466" s="16" t="str">
        <f>IFERROR(VLOOKUP(C3466,DATA!#REF!,2,FALSE),"")</f>
        <v/>
      </c>
      <c r="I3466" s="17"/>
      <c r="J3466" s="17"/>
      <c r="P3466" s="17"/>
      <c r="Q3466" s="17"/>
    </row>
    <row r="3467" spans="2:17">
      <c r="B3467" s="17"/>
      <c r="C3467" s="16" t="str">
        <f>IFERROR(VLOOKUP(DATA!#REF!,DATA!#REF!,1,FALSE),"")</f>
        <v/>
      </c>
      <c r="D3467" s="16" t="str">
        <f>IFERROR(VLOOKUP(C3467,DATA!#REF!,2,FALSE),"")</f>
        <v/>
      </c>
      <c r="I3467" s="17"/>
      <c r="J3467" s="17"/>
      <c r="P3467" s="17"/>
      <c r="Q3467" s="17"/>
    </row>
    <row r="3468" spans="2:17">
      <c r="B3468" s="17"/>
      <c r="C3468" s="16" t="str">
        <f>IFERROR(VLOOKUP(DATA!#REF!,DATA!#REF!,1,FALSE),"")</f>
        <v/>
      </c>
      <c r="D3468" s="16" t="str">
        <f>IFERROR(VLOOKUP(C3468,DATA!#REF!,2,FALSE),"")</f>
        <v/>
      </c>
      <c r="I3468" s="17"/>
      <c r="J3468" s="17"/>
      <c r="P3468" s="17"/>
      <c r="Q3468" s="17"/>
    </row>
    <row r="3469" spans="2:17">
      <c r="B3469" s="17"/>
      <c r="C3469" s="16" t="str">
        <f>IFERROR(VLOOKUP(DATA!#REF!,DATA!#REF!,1,FALSE),"")</f>
        <v/>
      </c>
      <c r="D3469" s="16" t="str">
        <f>IFERROR(VLOOKUP(C3469,DATA!#REF!,2,FALSE),"")</f>
        <v/>
      </c>
      <c r="I3469" s="17"/>
      <c r="J3469" s="17"/>
      <c r="P3469" s="17"/>
      <c r="Q3469" s="17"/>
    </row>
    <row r="3470" spans="2:17">
      <c r="B3470" s="17"/>
      <c r="C3470" s="16" t="str">
        <f>IFERROR(VLOOKUP(DATA!#REF!,DATA!#REF!,1,FALSE),"")</f>
        <v/>
      </c>
      <c r="D3470" s="16" t="str">
        <f>IFERROR(VLOOKUP(C3470,DATA!#REF!,2,FALSE),"")</f>
        <v/>
      </c>
      <c r="I3470" s="17"/>
      <c r="J3470" s="17"/>
      <c r="P3470" s="17"/>
      <c r="Q3470" s="17"/>
    </row>
    <row r="3471" spans="2:17">
      <c r="B3471" s="17"/>
      <c r="C3471" s="16" t="str">
        <f>IFERROR(VLOOKUP(DATA!#REF!,DATA!#REF!,1,FALSE),"")</f>
        <v/>
      </c>
      <c r="D3471" s="16" t="str">
        <f>IFERROR(VLOOKUP(C3471,DATA!#REF!,2,FALSE),"")</f>
        <v/>
      </c>
      <c r="I3471" s="17"/>
      <c r="J3471" s="17"/>
      <c r="P3471" s="17"/>
      <c r="Q3471" s="17"/>
    </row>
    <row r="3472" spans="2:17">
      <c r="B3472" s="17"/>
      <c r="C3472" s="16" t="str">
        <f>IFERROR(VLOOKUP(DATA!#REF!,DATA!#REF!,1,FALSE),"")</f>
        <v/>
      </c>
      <c r="D3472" s="16" t="str">
        <f>IFERROR(VLOOKUP(C3472,DATA!#REF!,2,FALSE),"")</f>
        <v/>
      </c>
      <c r="I3472" s="17"/>
      <c r="J3472" s="17"/>
      <c r="P3472" s="17"/>
      <c r="Q3472" s="17"/>
    </row>
    <row r="3473" spans="2:17">
      <c r="B3473" s="17"/>
      <c r="C3473" s="16" t="str">
        <f>IFERROR(VLOOKUP(DATA!#REF!,DATA!#REF!,1,FALSE),"")</f>
        <v/>
      </c>
      <c r="D3473" s="16" t="str">
        <f>IFERROR(VLOOKUP(C3473,DATA!#REF!,2,FALSE),"")</f>
        <v/>
      </c>
      <c r="I3473" s="17"/>
      <c r="J3473" s="17"/>
      <c r="P3473" s="17"/>
      <c r="Q3473" s="17"/>
    </row>
    <row r="3474" spans="2:17">
      <c r="B3474" s="17"/>
      <c r="C3474" s="16" t="str">
        <f>IFERROR(VLOOKUP(DATA!#REF!,DATA!#REF!,1,FALSE),"")</f>
        <v/>
      </c>
      <c r="D3474" s="16" t="str">
        <f>IFERROR(VLOOKUP(C3474,DATA!#REF!,2,FALSE),"")</f>
        <v/>
      </c>
      <c r="I3474" s="17"/>
      <c r="J3474" s="17"/>
      <c r="P3474" s="17"/>
      <c r="Q3474" s="17"/>
    </row>
    <row r="3475" spans="2:17">
      <c r="B3475" s="17"/>
      <c r="C3475" s="16" t="str">
        <f>IFERROR(VLOOKUP(DATA!#REF!,DATA!#REF!,1,FALSE),"")</f>
        <v/>
      </c>
      <c r="D3475" s="16" t="str">
        <f>IFERROR(VLOOKUP(C3475,DATA!#REF!,2,FALSE),"")</f>
        <v/>
      </c>
      <c r="I3475" s="17"/>
      <c r="J3475" s="17"/>
      <c r="P3475" s="17"/>
      <c r="Q3475" s="17"/>
    </row>
    <row r="3476" spans="2:17">
      <c r="B3476" s="17"/>
      <c r="C3476" s="16" t="str">
        <f>IFERROR(VLOOKUP(DATA!#REF!,DATA!#REF!,1,FALSE),"")</f>
        <v/>
      </c>
      <c r="D3476" s="16" t="str">
        <f>IFERROR(VLOOKUP(C3476,DATA!#REF!,2,FALSE),"")</f>
        <v/>
      </c>
      <c r="I3476" s="17"/>
      <c r="J3476" s="17"/>
      <c r="P3476" s="17"/>
      <c r="Q3476" s="17"/>
    </row>
    <row r="3477" spans="2:17">
      <c r="B3477" s="17"/>
      <c r="C3477" s="16" t="str">
        <f>IFERROR(VLOOKUP(DATA!#REF!,DATA!#REF!,1,FALSE),"")</f>
        <v/>
      </c>
      <c r="D3477" s="16" t="str">
        <f>IFERROR(VLOOKUP(C3477,DATA!#REF!,2,FALSE),"")</f>
        <v/>
      </c>
      <c r="I3477" s="17"/>
      <c r="J3477" s="17"/>
      <c r="P3477" s="17"/>
      <c r="Q3477" s="17"/>
    </row>
    <row r="3478" spans="2:17">
      <c r="B3478" s="17"/>
      <c r="C3478" s="16" t="str">
        <f>IFERROR(VLOOKUP(DATA!#REF!,DATA!#REF!,1,FALSE),"")</f>
        <v/>
      </c>
      <c r="D3478" s="16" t="str">
        <f>IFERROR(VLOOKUP(C3478,DATA!#REF!,2,FALSE),"")</f>
        <v/>
      </c>
      <c r="I3478" s="17"/>
      <c r="J3478" s="17"/>
      <c r="P3478" s="17"/>
      <c r="Q3478" s="17"/>
    </row>
    <row r="3479" spans="2:17">
      <c r="B3479" s="17"/>
      <c r="C3479" s="16" t="str">
        <f>IFERROR(VLOOKUP(DATA!#REF!,DATA!#REF!,1,FALSE),"")</f>
        <v/>
      </c>
      <c r="D3479" s="16" t="str">
        <f>IFERROR(VLOOKUP(C3479,DATA!#REF!,2,FALSE),"")</f>
        <v/>
      </c>
      <c r="I3479" s="17"/>
      <c r="J3479" s="17"/>
      <c r="P3479" s="17"/>
      <c r="Q3479" s="17"/>
    </row>
    <row r="3480" spans="2:17">
      <c r="B3480" s="17"/>
      <c r="C3480" s="16" t="str">
        <f>IFERROR(VLOOKUP(DATA!#REF!,DATA!#REF!,1,FALSE),"")</f>
        <v/>
      </c>
      <c r="D3480" s="16" t="str">
        <f>IFERROR(VLOOKUP(C3480,DATA!#REF!,2,FALSE),"")</f>
        <v/>
      </c>
      <c r="I3480" s="17"/>
      <c r="J3480" s="17"/>
      <c r="P3480" s="17"/>
      <c r="Q3480" s="17"/>
    </row>
    <row r="3481" spans="2:17">
      <c r="B3481" s="17"/>
      <c r="C3481" s="16" t="str">
        <f>IFERROR(VLOOKUP(DATA!#REF!,DATA!#REF!,1,FALSE),"")</f>
        <v/>
      </c>
      <c r="D3481" s="16" t="str">
        <f>IFERROR(VLOOKUP(C3481,DATA!#REF!,2,FALSE),"")</f>
        <v/>
      </c>
      <c r="I3481" s="17"/>
      <c r="J3481" s="17"/>
      <c r="P3481" s="17"/>
      <c r="Q3481" s="17"/>
    </row>
    <row r="3482" spans="2:17">
      <c r="B3482" s="17"/>
      <c r="C3482" s="16" t="str">
        <f>IFERROR(VLOOKUP(DATA!#REF!,DATA!#REF!,1,FALSE),"")</f>
        <v/>
      </c>
      <c r="D3482" s="16" t="str">
        <f>IFERROR(VLOOKUP(C3482,DATA!#REF!,2,FALSE),"")</f>
        <v/>
      </c>
      <c r="I3482" s="17"/>
      <c r="J3482" s="17"/>
      <c r="P3482" s="17"/>
      <c r="Q3482" s="17"/>
    </row>
    <row r="3483" spans="2:17">
      <c r="B3483" s="17"/>
      <c r="C3483" s="16" t="str">
        <f>IFERROR(VLOOKUP(DATA!#REF!,DATA!#REF!,1,FALSE),"")</f>
        <v/>
      </c>
      <c r="D3483" s="16" t="str">
        <f>IFERROR(VLOOKUP(C3483,DATA!#REF!,2,FALSE),"")</f>
        <v/>
      </c>
      <c r="I3483" s="17"/>
      <c r="J3483" s="17"/>
      <c r="P3483" s="17"/>
      <c r="Q3483" s="17"/>
    </row>
    <row r="3484" spans="2:17">
      <c r="B3484" s="17"/>
      <c r="C3484" s="16" t="str">
        <f>IFERROR(VLOOKUP(DATA!#REF!,DATA!#REF!,1,FALSE),"")</f>
        <v/>
      </c>
      <c r="D3484" s="16" t="str">
        <f>IFERROR(VLOOKUP(C3484,DATA!#REF!,2,FALSE),"")</f>
        <v/>
      </c>
      <c r="I3484" s="17"/>
      <c r="J3484" s="17"/>
      <c r="P3484" s="17"/>
      <c r="Q3484" s="17"/>
    </row>
    <row r="3485" spans="2:17">
      <c r="B3485" s="17"/>
      <c r="C3485" s="16" t="str">
        <f>IFERROR(VLOOKUP(DATA!#REF!,DATA!#REF!,1,FALSE),"")</f>
        <v/>
      </c>
      <c r="D3485" s="16" t="str">
        <f>IFERROR(VLOOKUP(C3485,DATA!#REF!,2,FALSE),"")</f>
        <v/>
      </c>
      <c r="I3485" s="17"/>
      <c r="J3485" s="17"/>
      <c r="P3485" s="17"/>
      <c r="Q3485" s="17"/>
    </row>
    <row r="3486" spans="2:17">
      <c r="B3486" s="17"/>
      <c r="C3486" s="16" t="str">
        <f>IFERROR(VLOOKUP(DATA!#REF!,DATA!#REF!,1,FALSE),"")</f>
        <v/>
      </c>
      <c r="D3486" s="16" t="str">
        <f>IFERROR(VLOOKUP(C3486,DATA!#REF!,2,FALSE),"")</f>
        <v/>
      </c>
      <c r="I3486" s="17"/>
      <c r="J3486" s="17"/>
      <c r="P3486" s="17"/>
      <c r="Q3486" s="17"/>
    </row>
    <row r="3487" spans="2:17">
      <c r="B3487" s="17"/>
      <c r="C3487" s="16" t="str">
        <f>IFERROR(VLOOKUP(DATA!#REF!,DATA!#REF!,1,FALSE),"")</f>
        <v/>
      </c>
      <c r="D3487" s="16" t="str">
        <f>IFERROR(VLOOKUP(C3487,DATA!#REF!,2,FALSE),"")</f>
        <v/>
      </c>
      <c r="I3487" s="17"/>
      <c r="J3487" s="17"/>
      <c r="P3487" s="17"/>
      <c r="Q3487" s="17"/>
    </row>
    <row r="3488" spans="2:17">
      <c r="B3488" s="17"/>
      <c r="C3488" s="16" t="str">
        <f>IFERROR(VLOOKUP(DATA!#REF!,DATA!#REF!,1,FALSE),"")</f>
        <v/>
      </c>
      <c r="D3488" s="16" t="str">
        <f>IFERROR(VLOOKUP(C3488,DATA!#REF!,2,FALSE),"")</f>
        <v/>
      </c>
      <c r="I3488" s="17"/>
      <c r="J3488" s="17"/>
      <c r="P3488" s="17"/>
      <c r="Q3488" s="17"/>
    </row>
    <row r="3489" spans="2:17">
      <c r="B3489" s="17"/>
      <c r="C3489" s="16" t="str">
        <f>IFERROR(VLOOKUP(DATA!#REF!,DATA!#REF!,1,FALSE),"")</f>
        <v/>
      </c>
      <c r="D3489" s="16" t="str">
        <f>IFERROR(VLOOKUP(C3489,DATA!#REF!,2,FALSE),"")</f>
        <v/>
      </c>
      <c r="I3489" s="17"/>
      <c r="J3489" s="17"/>
      <c r="P3489" s="17"/>
      <c r="Q3489" s="17"/>
    </row>
    <row r="3490" spans="2:17">
      <c r="B3490" s="17"/>
      <c r="C3490" s="16" t="str">
        <f>IFERROR(VLOOKUP(DATA!#REF!,DATA!#REF!,1,FALSE),"")</f>
        <v/>
      </c>
      <c r="D3490" s="16" t="str">
        <f>IFERROR(VLOOKUP(C3490,DATA!#REF!,2,FALSE),"")</f>
        <v/>
      </c>
      <c r="I3490" s="17"/>
      <c r="J3490" s="17"/>
      <c r="P3490" s="17"/>
      <c r="Q3490" s="17"/>
    </row>
    <row r="3491" spans="2:17">
      <c r="B3491" s="17"/>
      <c r="C3491" s="16" t="str">
        <f>IFERROR(VLOOKUP(DATA!#REF!,DATA!#REF!,1,FALSE),"")</f>
        <v/>
      </c>
      <c r="D3491" s="16" t="str">
        <f>IFERROR(VLOOKUP(C3491,DATA!#REF!,2,FALSE),"")</f>
        <v/>
      </c>
      <c r="I3491" s="17"/>
      <c r="J3491" s="17"/>
      <c r="P3491" s="17"/>
      <c r="Q3491" s="17"/>
    </row>
    <row r="3492" spans="2:17">
      <c r="B3492" s="17"/>
      <c r="C3492" s="16" t="str">
        <f>IFERROR(VLOOKUP(DATA!#REF!,DATA!#REF!,1,FALSE),"")</f>
        <v/>
      </c>
      <c r="D3492" s="16" t="str">
        <f>IFERROR(VLOOKUP(C3492,DATA!#REF!,2,FALSE),"")</f>
        <v/>
      </c>
      <c r="I3492" s="17"/>
      <c r="J3492" s="17"/>
      <c r="P3492" s="17"/>
      <c r="Q3492" s="17"/>
    </row>
    <row r="3493" spans="2:17">
      <c r="B3493" s="17"/>
      <c r="C3493" s="16" t="str">
        <f>IFERROR(VLOOKUP(DATA!#REF!,DATA!#REF!,1,FALSE),"")</f>
        <v/>
      </c>
      <c r="D3493" s="16" t="str">
        <f>IFERROR(VLOOKUP(C3493,DATA!#REF!,2,FALSE),"")</f>
        <v/>
      </c>
      <c r="I3493" s="17"/>
      <c r="J3493" s="17"/>
      <c r="P3493" s="17"/>
      <c r="Q3493" s="17"/>
    </row>
    <row r="3494" spans="2:17">
      <c r="B3494" s="17"/>
      <c r="C3494" s="16" t="str">
        <f>IFERROR(VLOOKUP(DATA!#REF!,DATA!#REF!,1,FALSE),"")</f>
        <v/>
      </c>
      <c r="D3494" s="16" t="str">
        <f>IFERROR(VLOOKUP(C3494,DATA!#REF!,2,FALSE),"")</f>
        <v/>
      </c>
      <c r="I3494" s="17"/>
      <c r="J3494" s="17"/>
      <c r="P3494" s="17"/>
      <c r="Q3494" s="17"/>
    </row>
    <row r="3495" spans="2:17">
      <c r="B3495" s="17"/>
      <c r="C3495" s="16" t="str">
        <f>IFERROR(VLOOKUP(DATA!#REF!,DATA!#REF!,1,FALSE),"")</f>
        <v/>
      </c>
      <c r="D3495" s="16" t="str">
        <f>IFERROR(VLOOKUP(C3495,DATA!#REF!,2,FALSE),"")</f>
        <v/>
      </c>
      <c r="I3495" s="17"/>
      <c r="J3495" s="17"/>
      <c r="P3495" s="17"/>
      <c r="Q3495" s="17"/>
    </row>
    <row r="3496" spans="2:17">
      <c r="B3496" s="17"/>
      <c r="C3496" s="16" t="str">
        <f>IFERROR(VLOOKUP(DATA!#REF!,DATA!#REF!,1,FALSE),"")</f>
        <v/>
      </c>
      <c r="D3496" s="16" t="str">
        <f>IFERROR(VLOOKUP(C3496,DATA!#REF!,2,FALSE),"")</f>
        <v/>
      </c>
      <c r="I3496" s="17"/>
      <c r="J3496" s="17"/>
      <c r="P3496" s="17"/>
      <c r="Q3496" s="17"/>
    </row>
    <row r="3497" spans="2:17">
      <c r="B3497" s="17"/>
      <c r="C3497" s="16" t="str">
        <f>IFERROR(VLOOKUP(DATA!#REF!,DATA!#REF!,1,FALSE),"")</f>
        <v/>
      </c>
      <c r="D3497" s="16" t="str">
        <f>IFERROR(VLOOKUP(C3497,DATA!#REF!,2,FALSE),"")</f>
        <v/>
      </c>
      <c r="I3497" s="17"/>
      <c r="J3497" s="17"/>
      <c r="P3497" s="17"/>
      <c r="Q3497" s="17"/>
    </row>
    <row r="3498" spans="2:17">
      <c r="B3498" s="17"/>
      <c r="C3498" s="16" t="str">
        <f>IFERROR(VLOOKUP(DATA!#REF!,DATA!#REF!,1,FALSE),"")</f>
        <v/>
      </c>
      <c r="D3498" s="16" t="str">
        <f>IFERROR(VLOOKUP(C3498,DATA!#REF!,2,FALSE),"")</f>
        <v/>
      </c>
      <c r="I3498" s="17"/>
      <c r="J3498" s="17"/>
      <c r="P3498" s="17"/>
      <c r="Q3498" s="17"/>
    </row>
    <row r="3499" spans="2:17">
      <c r="B3499" s="17"/>
      <c r="C3499" s="16" t="str">
        <f>IFERROR(VLOOKUP(DATA!#REF!,DATA!#REF!,1,FALSE),"")</f>
        <v/>
      </c>
      <c r="D3499" s="16" t="str">
        <f>IFERROR(VLOOKUP(C3499,DATA!#REF!,2,FALSE),"")</f>
        <v/>
      </c>
      <c r="I3499" s="17"/>
      <c r="J3499" s="17"/>
      <c r="P3499" s="17"/>
      <c r="Q3499" s="17"/>
    </row>
    <row r="3500" spans="2:17">
      <c r="B3500" s="17"/>
      <c r="C3500" s="16" t="str">
        <f>IFERROR(VLOOKUP(DATA!#REF!,DATA!#REF!,1,FALSE),"")</f>
        <v/>
      </c>
      <c r="D3500" s="16" t="str">
        <f>IFERROR(VLOOKUP(C3500,DATA!#REF!,2,FALSE),"")</f>
        <v/>
      </c>
      <c r="I3500" s="17"/>
      <c r="J3500" s="17"/>
      <c r="P3500" s="17"/>
      <c r="Q3500" s="17"/>
    </row>
    <row r="3501" spans="2:17">
      <c r="B3501" s="17"/>
      <c r="C3501" s="16" t="str">
        <f>IFERROR(VLOOKUP(DATA!#REF!,DATA!#REF!,1,FALSE),"")</f>
        <v/>
      </c>
      <c r="D3501" s="16" t="str">
        <f>IFERROR(VLOOKUP(C3501,DATA!#REF!,2,FALSE),"")</f>
        <v/>
      </c>
      <c r="I3501" s="17"/>
      <c r="J3501" s="17"/>
      <c r="P3501" s="17"/>
      <c r="Q3501" s="17"/>
    </row>
    <row r="3502" spans="2:17">
      <c r="B3502" s="17"/>
      <c r="C3502" s="16" t="str">
        <f>IFERROR(VLOOKUP(DATA!#REF!,DATA!#REF!,1,FALSE),"")</f>
        <v/>
      </c>
      <c r="D3502" s="16" t="str">
        <f>IFERROR(VLOOKUP(C3502,DATA!#REF!,2,FALSE),"")</f>
        <v/>
      </c>
      <c r="I3502" s="17"/>
      <c r="J3502" s="17"/>
      <c r="P3502" s="17"/>
      <c r="Q3502" s="17"/>
    </row>
    <row r="3503" spans="2:17">
      <c r="B3503" s="17"/>
      <c r="C3503" s="16" t="str">
        <f>IFERROR(VLOOKUP(DATA!#REF!,DATA!#REF!,1,FALSE),"")</f>
        <v/>
      </c>
      <c r="D3503" s="16" t="str">
        <f>IFERROR(VLOOKUP(C3503,DATA!#REF!,2,FALSE),"")</f>
        <v/>
      </c>
      <c r="I3503" s="17"/>
      <c r="J3503" s="17"/>
      <c r="P3503" s="17"/>
      <c r="Q3503" s="17"/>
    </row>
    <row r="3504" spans="2:17">
      <c r="B3504" s="17"/>
      <c r="C3504" s="16" t="str">
        <f>IFERROR(VLOOKUP(DATA!#REF!,DATA!#REF!,1,FALSE),"")</f>
        <v/>
      </c>
      <c r="D3504" s="16" t="str">
        <f>IFERROR(VLOOKUP(C3504,DATA!#REF!,2,FALSE),"")</f>
        <v/>
      </c>
      <c r="I3504" s="17"/>
      <c r="J3504" s="17"/>
      <c r="P3504" s="17"/>
      <c r="Q3504" s="17"/>
    </row>
    <row r="3505" spans="2:17">
      <c r="B3505" s="17"/>
      <c r="C3505" s="16" t="str">
        <f>IFERROR(VLOOKUP(DATA!#REF!,DATA!#REF!,1,FALSE),"")</f>
        <v/>
      </c>
      <c r="D3505" s="16" t="str">
        <f>IFERROR(VLOOKUP(C3505,DATA!#REF!,2,FALSE),"")</f>
        <v/>
      </c>
      <c r="I3505" s="17"/>
      <c r="J3505" s="17"/>
      <c r="P3505" s="17"/>
      <c r="Q3505" s="17"/>
    </row>
    <row r="3506" spans="2:17">
      <c r="B3506" s="17"/>
      <c r="C3506" s="16" t="str">
        <f>IFERROR(VLOOKUP(DATA!#REF!,DATA!#REF!,1,FALSE),"")</f>
        <v/>
      </c>
      <c r="D3506" s="16" t="str">
        <f>IFERROR(VLOOKUP(C3506,DATA!#REF!,2,FALSE),"")</f>
        <v/>
      </c>
      <c r="I3506" s="17"/>
      <c r="J3506" s="17"/>
      <c r="P3506" s="17"/>
      <c r="Q3506" s="17"/>
    </row>
    <row r="3507" spans="2:17">
      <c r="B3507" s="17"/>
      <c r="C3507" s="16" t="str">
        <f>IFERROR(VLOOKUP(DATA!#REF!,DATA!#REF!,1,FALSE),"")</f>
        <v/>
      </c>
      <c r="D3507" s="16" t="str">
        <f>IFERROR(VLOOKUP(C3507,DATA!#REF!,2,FALSE),"")</f>
        <v/>
      </c>
      <c r="I3507" s="17"/>
      <c r="J3507" s="17"/>
      <c r="P3507" s="17"/>
      <c r="Q3507" s="17"/>
    </row>
    <row r="3508" spans="2:17">
      <c r="B3508" s="17"/>
      <c r="C3508" s="16" t="str">
        <f>IFERROR(VLOOKUP(DATA!#REF!,DATA!#REF!,1,FALSE),"")</f>
        <v/>
      </c>
      <c r="D3508" s="16" t="str">
        <f>IFERROR(VLOOKUP(C3508,DATA!#REF!,2,FALSE),"")</f>
        <v/>
      </c>
      <c r="I3508" s="17"/>
      <c r="J3508" s="17"/>
      <c r="P3508" s="17"/>
      <c r="Q3508" s="17"/>
    </row>
    <row r="3509" spans="2:17">
      <c r="B3509" s="17"/>
      <c r="C3509" s="16" t="str">
        <f>IFERROR(VLOOKUP(DATA!#REF!,DATA!#REF!,1,FALSE),"")</f>
        <v/>
      </c>
      <c r="D3509" s="16" t="str">
        <f>IFERROR(VLOOKUP(C3509,DATA!#REF!,2,FALSE),"")</f>
        <v/>
      </c>
      <c r="I3509" s="17"/>
      <c r="J3509" s="17"/>
      <c r="P3509" s="17"/>
      <c r="Q3509" s="17"/>
    </row>
    <row r="3510" spans="2:17">
      <c r="B3510" s="17"/>
      <c r="C3510" s="16" t="str">
        <f>IFERROR(VLOOKUP(DATA!#REF!,DATA!#REF!,1,FALSE),"")</f>
        <v/>
      </c>
      <c r="D3510" s="16" t="str">
        <f>IFERROR(VLOOKUP(C3510,DATA!#REF!,2,FALSE),"")</f>
        <v/>
      </c>
      <c r="I3510" s="17"/>
      <c r="J3510" s="17"/>
      <c r="P3510" s="17"/>
      <c r="Q3510" s="17"/>
    </row>
    <row r="3511" spans="2:17">
      <c r="B3511" s="17"/>
      <c r="C3511" s="16" t="str">
        <f>IFERROR(VLOOKUP(DATA!#REF!,DATA!#REF!,1,FALSE),"")</f>
        <v/>
      </c>
      <c r="D3511" s="16" t="str">
        <f>IFERROR(VLOOKUP(C3511,DATA!#REF!,2,FALSE),"")</f>
        <v/>
      </c>
      <c r="I3511" s="17"/>
      <c r="J3511" s="17"/>
      <c r="P3511" s="17"/>
      <c r="Q3511" s="17"/>
    </row>
    <row r="3512" spans="2:17">
      <c r="B3512" s="17"/>
      <c r="C3512" s="16" t="str">
        <f>IFERROR(VLOOKUP(DATA!#REF!,DATA!#REF!,1,FALSE),"")</f>
        <v/>
      </c>
      <c r="D3512" s="16" t="str">
        <f>IFERROR(VLOOKUP(C3512,DATA!#REF!,2,FALSE),"")</f>
        <v/>
      </c>
      <c r="I3512" s="17"/>
      <c r="J3512" s="17"/>
      <c r="P3512" s="17"/>
      <c r="Q3512" s="17"/>
    </row>
    <row r="3513" spans="2:17">
      <c r="B3513" s="17"/>
      <c r="C3513" s="16" t="str">
        <f>IFERROR(VLOOKUP(DATA!#REF!,DATA!#REF!,1,FALSE),"")</f>
        <v/>
      </c>
      <c r="D3513" s="16" t="str">
        <f>IFERROR(VLOOKUP(C3513,DATA!#REF!,2,FALSE),"")</f>
        <v/>
      </c>
      <c r="I3513" s="17"/>
      <c r="J3513" s="17"/>
      <c r="P3513" s="17"/>
      <c r="Q3513" s="17"/>
    </row>
    <row r="3514" spans="2:17">
      <c r="B3514" s="17"/>
      <c r="C3514" s="16" t="str">
        <f>IFERROR(VLOOKUP(DATA!#REF!,DATA!#REF!,1,FALSE),"")</f>
        <v/>
      </c>
      <c r="D3514" s="16" t="str">
        <f>IFERROR(VLOOKUP(C3514,DATA!#REF!,2,FALSE),"")</f>
        <v/>
      </c>
      <c r="I3514" s="17"/>
      <c r="J3514" s="17"/>
      <c r="P3514" s="17"/>
      <c r="Q3514" s="17"/>
    </row>
    <row r="3515" spans="2:17">
      <c r="B3515" s="17"/>
      <c r="C3515" s="16" t="str">
        <f>IFERROR(VLOOKUP(DATA!#REF!,DATA!#REF!,1,FALSE),"")</f>
        <v/>
      </c>
      <c r="D3515" s="16" t="str">
        <f>IFERROR(VLOOKUP(C3515,DATA!#REF!,2,FALSE),"")</f>
        <v/>
      </c>
      <c r="I3515" s="17"/>
      <c r="J3515" s="17"/>
      <c r="P3515" s="17"/>
      <c r="Q3515" s="17"/>
    </row>
    <row r="3516" spans="2:17">
      <c r="B3516" s="17"/>
      <c r="C3516" s="16" t="str">
        <f>IFERROR(VLOOKUP(DATA!#REF!,DATA!#REF!,1,FALSE),"")</f>
        <v/>
      </c>
      <c r="D3516" s="16" t="str">
        <f>IFERROR(VLOOKUP(C3516,DATA!#REF!,2,FALSE),"")</f>
        <v/>
      </c>
      <c r="I3516" s="17"/>
      <c r="J3516" s="17"/>
      <c r="P3516" s="17"/>
      <c r="Q3516" s="17"/>
    </row>
    <row r="3517" spans="2:17">
      <c r="B3517" s="17"/>
      <c r="C3517" s="16" t="str">
        <f>IFERROR(VLOOKUP(DATA!#REF!,DATA!#REF!,1,FALSE),"")</f>
        <v/>
      </c>
      <c r="D3517" s="16" t="str">
        <f>IFERROR(VLOOKUP(C3517,DATA!#REF!,2,FALSE),"")</f>
        <v/>
      </c>
      <c r="I3517" s="17"/>
      <c r="J3517" s="17"/>
      <c r="P3517" s="17"/>
      <c r="Q3517" s="17"/>
    </row>
    <row r="3518" spans="2:17">
      <c r="B3518" s="17"/>
      <c r="C3518" s="16" t="str">
        <f>IFERROR(VLOOKUP(DATA!#REF!,DATA!#REF!,1,FALSE),"")</f>
        <v/>
      </c>
      <c r="D3518" s="16" t="str">
        <f>IFERROR(VLOOKUP(C3518,DATA!#REF!,2,FALSE),"")</f>
        <v/>
      </c>
      <c r="I3518" s="17"/>
      <c r="J3518" s="17"/>
      <c r="P3518" s="17"/>
      <c r="Q3518" s="17"/>
    </row>
    <row r="3519" spans="2:17">
      <c r="B3519" s="17"/>
      <c r="C3519" s="16" t="str">
        <f>IFERROR(VLOOKUP(DATA!#REF!,DATA!#REF!,1,FALSE),"")</f>
        <v/>
      </c>
      <c r="D3519" s="16" t="str">
        <f>IFERROR(VLOOKUP(C3519,DATA!#REF!,2,FALSE),"")</f>
        <v/>
      </c>
      <c r="I3519" s="17"/>
      <c r="J3519" s="17"/>
      <c r="P3519" s="17"/>
      <c r="Q3519" s="17"/>
    </row>
    <row r="3520" spans="2:17">
      <c r="B3520" s="17"/>
      <c r="C3520" s="16" t="str">
        <f>IFERROR(VLOOKUP(DATA!#REF!,DATA!#REF!,1,FALSE),"")</f>
        <v/>
      </c>
      <c r="D3520" s="16" t="str">
        <f>IFERROR(VLOOKUP(C3520,DATA!#REF!,2,FALSE),"")</f>
        <v/>
      </c>
      <c r="I3520" s="17"/>
      <c r="J3520" s="17"/>
      <c r="P3520" s="17"/>
      <c r="Q3520" s="17"/>
    </row>
    <row r="3521" spans="2:17">
      <c r="B3521" s="17"/>
      <c r="C3521" s="16" t="str">
        <f>IFERROR(VLOOKUP(DATA!#REF!,DATA!#REF!,1,FALSE),"")</f>
        <v/>
      </c>
      <c r="D3521" s="16" t="str">
        <f>IFERROR(VLOOKUP(C3521,DATA!#REF!,2,FALSE),"")</f>
        <v/>
      </c>
      <c r="I3521" s="17"/>
      <c r="J3521" s="17"/>
      <c r="P3521" s="17"/>
      <c r="Q3521" s="17"/>
    </row>
    <row r="3522" spans="2:17">
      <c r="B3522" s="17"/>
      <c r="C3522" s="16" t="str">
        <f>IFERROR(VLOOKUP(DATA!#REF!,DATA!#REF!,1,FALSE),"")</f>
        <v/>
      </c>
      <c r="D3522" s="16" t="str">
        <f>IFERROR(VLOOKUP(C3522,DATA!#REF!,2,FALSE),"")</f>
        <v/>
      </c>
      <c r="I3522" s="17"/>
      <c r="J3522" s="17"/>
      <c r="P3522" s="17"/>
      <c r="Q3522" s="17"/>
    </row>
    <row r="3523" spans="2:17">
      <c r="B3523" s="17"/>
      <c r="C3523" s="16" t="str">
        <f>IFERROR(VLOOKUP(DATA!#REF!,DATA!#REF!,1,FALSE),"")</f>
        <v/>
      </c>
      <c r="D3523" s="16" t="str">
        <f>IFERROR(VLOOKUP(C3523,DATA!#REF!,2,FALSE),"")</f>
        <v/>
      </c>
      <c r="I3523" s="17"/>
      <c r="J3523" s="17"/>
      <c r="P3523" s="17"/>
      <c r="Q3523" s="17"/>
    </row>
    <row r="3524" spans="2:17">
      <c r="B3524" s="17"/>
      <c r="C3524" s="16" t="str">
        <f>IFERROR(VLOOKUP(DATA!#REF!,DATA!#REF!,1,FALSE),"")</f>
        <v/>
      </c>
      <c r="D3524" s="16" t="str">
        <f>IFERROR(VLOOKUP(C3524,DATA!#REF!,2,FALSE),"")</f>
        <v/>
      </c>
      <c r="I3524" s="17"/>
      <c r="J3524" s="17"/>
      <c r="P3524" s="17"/>
      <c r="Q3524" s="17"/>
    </row>
    <row r="3525" spans="2:17">
      <c r="B3525" s="17"/>
      <c r="C3525" s="16" t="str">
        <f>IFERROR(VLOOKUP(DATA!#REF!,DATA!#REF!,1,FALSE),"")</f>
        <v/>
      </c>
      <c r="D3525" s="16" t="str">
        <f>IFERROR(VLOOKUP(C3525,DATA!#REF!,2,FALSE),"")</f>
        <v/>
      </c>
      <c r="I3525" s="17"/>
      <c r="J3525" s="17"/>
      <c r="P3525" s="17"/>
      <c r="Q3525" s="17"/>
    </row>
    <row r="3526" spans="2:17">
      <c r="B3526" s="17"/>
      <c r="C3526" s="16" t="str">
        <f>IFERROR(VLOOKUP(DATA!#REF!,DATA!#REF!,1,FALSE),"")</f>
        <v/>
      </c>
      <c r="D3526" s="16" t="str">
        <f>IFERROR(VLOOKUP(C3526,DATA!#REF!,2,FALSE),"")</f>
        <v/>
      </c>
      <c r="I3526" s="17"/>
      <c r="J3526" s="17"/>
      <c r="P3526" s="17"/>
      <c r="Q3526" s="17"/>
    </row>
    <row r="3527" spans="2:17">
      <c r="B3527" s="17"/>
      <c r="C3527" s="16" t="str">
        <f>IFERROR(VLOOKUP(DATA!#REF!,DATA!#REF!,1,FALSE),"")</f>
        <v/>
      </c>
      <c r="D3527" s="16" t="str">
        <f>IFERROR(VLOOKUP(C3527,DATA!#REF!,2,FALSE),"")</f>
        <v/>
      </c>
      <c r="I3527" s="17"/>
      <c r="J3527" s="17"/>
      <c r="P3527" s="17"/>
      <c r="Q3527" s="17"/>
    </row>
    <row r="3528" spans="2:17">
      <c r="B3528" s="17"/>
      <c r="C3528" s="16" t="str">
        <f>IFERROR(VLOOKUP(DATA!#REF!,DATA!#REF!,1,FALSE),"")</f>
        <v/>
      </c>
      <c r="D3528" s="16" t="str">
        <f>IFERROR(VLOOKUP(C3528,DATA!#REF!,2,FALSE),"")</f>
        <v/>
      </c>
      <c r="I3528" s="17"/>
      <c r="J3528" s="17"/>
      <c r="P3528" s="17"/>
      <c r="Q3528" s="17"/>
    </row>
    <row r="3529" spans="2:17">
      <c r="B3529" s="17"/>
      <c r="C3529" s="16" t="str">
        <f>IFERROR(VLOOKUP(DATA!#REF!,DATA!#REF!,1,FALSE),"")</f>
        <v/>
      </c>
      <c r="D3529" s="16" t="str">
        <f>IFERROR(VLOOKUP(C3529,DATA!#REF!,2,FALSE),"")</f>
        <v/>
      </c>
      <c r="I3529" s="17"/>
      <c r="J3529" s="17"/>
      <c r="P3529" s="17"/>
      <c r="Q3529" s="17"/>
    </row>
    <row r="3530" spans="2:17">
      <c r="B3530" s="17"/>
      <c r="C3530" s="16" t="str">
        <f>IFERROR(VLOOKUP(DATA!#REF!,DATA!#REF!,1,FALSE),"")</f>
        <v/>
      </c>
      <c r="D3530" s="16" t="str">
        <f>IFERROR(VLOOKUP(C3530,DATA!#REF!,2,FALSE),"")</f>
        <v/>
      </c>
      <c r="I3530" s="17"/>
      <c r="J3530" s="17"/>
      <c r="P3530" s="17"/>
      <c r="Q3530" s="17"/>
    </row>
    <row r="3531" spans="2:17">
      <c r="B3531" s="17"/>
      <c r="C3531" s="16" t="str">
        <f>IFERROR(VLOOKUP(DATA!#REF!,DATA!#REF!,1,FALSE),"")</f>
        <v/>
      </c>
      <c r="D3531" s="16" t="str">
        <f>IFERROR(VLOOKUP(C3531,DATA!#REF!,2,FALSE),"")</f>
        <v/>
      </c>
      <c r="I3531" s="17"/>
      <c r="J3531" s="17"/>
      <c r="P3531" s="17"/>
      <c r="Q3531" s="17"/>
    </row>
    <row r="3532" spans="2:17">
      <c r="B3532" s="17"/>
      <c r="C3532" s="16" t="str">
        <f>IFERROR(VLOOKUP(DATA!#REF!,DATA!#REF!,1,FALSE),"")</f>
        <v/>
      </c>
      <c r="D3532" s="16" t="str">
        <f>IFERROR(VLOOKUP(C3532,DATA!#REF!,2,FALSE),"")</f>
        <v/>
      </c>
      <c r="I3532" s="17"/>
      <c r="J3532" s="17"/>
      <c r="P3532" s="17"/>
      <c r="Q3532" s="17"/>
    </row>
    <row r="3533" spans="2:17">
      <c r="B3533" s="17"/>
      <c r="C3533" s="16" t="str">
        <f>IFERROR(VLOOKUP(DATA!#REF!,DATA!#REF!,1,FALSE),"")</f>
        <v/>
      </c>
      <c r="D3533" s="16" t="str">
        <f>IFERROR(VLOOKUP(C3533,DATA!#REF!,2,FALSE),"")</f>
        <v/>
      </c>
      <c r="I3533" s="17"/>
      <c r="J3533" s="17"/>
      <c r="P3533" s="17"/>
      <c r="Q3533" s="17"/>
    </row>
    <row r="3534" spans="2:17">
      <c r="B3534" s="17"/>
      <c r="C3534" s="16" t="str">
        <f>IFERROR(VLOOKUP(DATA!#REF!,DATA!#REF!,1,FALSE),"")</f>
        <v/>
      </c>
      <c r="D3534" s="16" t="str">
        <f>IFERROR(VLOOKUP(C3534,DATA!#REF!,2,FALSE),"")</f>
        <v/>
      </c>
      <c r="I3534" s="17"/>
      <c r="J3534" s="17"/>
      <c r="P3534" s="17"/>
      <c r="Q3534" s="17"/>
    </row>
    <row r="3535" spans="2:17">
      <c r="B3535" s="17"/>
      <c r="C3535" s="16" t="str">
        <f>IFERROR(VLOOKUP(DATA!#REF!,DATA!#REF!,1,FALSE),"")</f>
        <v/>
      </c>
      <c r="D3535" s="16" t="str">
        <f>IFERROR(VLOOKUP(C3535,DATA!#REF!,2,FALSE),"")</f>
        <v/>
      </c>
      <c r="I3535" s="17"/>
      <c r="J3535" s="17"/>
      <c r="P3535" s="17"/>
      <c r="Q3535" s="17"/>
    </row>
    <row r="3536" spans="2:17">
      <c r="B3536" s="17"/>
      <c r="C3536" s="16" t="str">
        <f>IFERROR(VLOOKUP(DATA!#REF!,DATA!#REF!,1,FALSE),"")</f>
        <v/>
      </c>
      <c r="D3536" s="16" t="str">
        <f>IFERROR(VLOOKUP(C3536,DATA!#REF!,2,FALSE),"")</f>
        <v/>
      </c>
      <c r="I3536" s="17"/>
      <c r="J3536" s="17"/>
      <c r="P3536" s="17"/>
      <c r="Q3536" s="17"/>
    </row>
    <row r="3537" spans="2:17">
      <c r="B3537" s="17"/>
      <c r="C3537" s="16" t="str">
        <f>IFERROR(VLOOKUP(DATA!#REF!,DATA!#REF!,1,FALSE),"")</f>
        <v/>
      </c>
      <c r="D3537" s="16" t="str">
        <f>IFERROR(VLOOKUP(C3537,DATA!#REF!,2,FALSE),"")</f>
        <v/>
      </c>
      <c r="I3537" s="17"/>
      <c r="J3537" s="17"/>
      <c r="P3537" s="17"/>
      <c r="Q3537" s="17"/>
    </row>
    <row r="3538" spans="2:17">
      <c r="B3538" s="17"/>
      <c r="C3538" s="16" t="str">
        <f>IFERROR(VLOOKUP(DATA!#REF!,DATA!#REF!,1,FALSE),"")</f>
        <v/>
      </c>
      <c r="D3538" s="16" t="str">
        <f>IFERROR(VLOOKUP(C3538,DATA!#REF!,2,FALSE),"")</f>
        <v/>
      </c>
      <c r="I3538" s="17"/>
      <c r="J3538" s="17"/>
      <c r="P3538" s="17"/>
      <c r="Q3538" s="17"/>
    </row>
    <row r="3539" spans="2:17">
      <c r="B3539" s="17"/>
      <c r="C3539" s="16" t="str">
        <f>IFERROR(VLOOKUP(DATA!#REF!,DATA!#REF!,1,FALSE),"")</f>
        <v/>
      </c>
      <c r="D3539" s="16" t="str">
        <f>IFERROR(VLOOKUP(C3539,DATA!#REF!,2,FALSE),"")</f>
        <v/>
      </c>
      <c r="I3539" s="17"/>
      <c r="J3539" s="17"/>
      <c r="P3539" s="17"/>
      <c r="Q3539" s="17"/>
    </row>
    <row r="3540" spans="2:17">
      <c r="B3540" s="17"/>
      <c r="C3540" s="16" t="str">
        <f>IFERROR(VLOOKUP(DATA!#REF!,DATA!#REF!,1,FALSE),"")</f>
        <v/>
      </c>
      <c r="D3540" s="16" t="str">
        <f>IFERROR(VLOOKUP(C3540,DATA!#REF!,2,FALSE),"")</f>
        <v/>
      </c>
      <c r="I3540" s="17"/>
      <c r="J3540" s="17"/>
      <c r="P3540" s="17"/>
      <c r="Q3540" s="17"/>
    </row>
    <row r="3541" spans="2:17">
      <c r="B3541" s="17"/>
      <c r="C3541" s="16" t="str">
        <f>IFERROR(VLOOKUP(DATA!#REF!,DATA!#REF!,1,FALSE),"")</f>
        <v/>
      </c>
      <c r="D3541" s="16" t="str">
        <f>IFERROR(VLOOKUP(C3541,DATA!#REF!,2,FALSE),"")</f>
        <v/>
      </c>
      <c r="I3541" s="17"/>
      <c r="J3541" s="17"/>
      <c r="P3541" s="17"/>
      <c r="Q3541" s="17"/>
    </row>
    <row r="3542" spans="2:17">
      <c r="B3542" s="17"/>
      <c r="C3542" s="16" t="str">
        <f>IFERROR(VLOOKUP(DATA!#REF!,DATA!#REF!,1,FALSE),"")</f>
        <v/>
      </c>
      <c r="D3542" s="16" t="str">
        <f>IFERROR(VLOOKUP(C3542,DATA!#REF!,2,FALSE),"")</f>
        <v/>
      </c>
      <c r="I3542" s="17"/>
      <c r="J3542" s="17"/>
      <c r="P3542" s="17"/>
      <c r="Q3542" s="17"/>
    </row>
    <row r="3543" spans="2:17">
      <c r="B3543" s="17"/>
      <c r="C3543" s="16" t="str">
        <f>IFERROR(VLOOKUP(DATA!#REF!,DATA!#REF!,1,FALSE),"")</f>
        <v/>
      </c>
      <c r="D3543" s="16" t="str">
        <f>IFERROR(VLOOKUP(C3543,DATA!#REF!,2,FALSE),"")</f>
        <v/>
      </c>
      <c r="I3543" s="17"/>
      <c r="J3543" s="17"/>
      <c r="P3543" s="17"/>
      <c r="Q3543" s="17"/>
    </row>
    <row r="3544" spans="2:17">
      <c r="B3544" s="17"/>
      <c r="C3544" s="16" t="str">
        <f>IFERROR(VLOOKUP(DATA!#REF!,DATA!#REF!,1,FALSE),"")</f>
        <v/>
      </c>
      <c r="D3544" s="16" t="str">
        <f>IFERROR(VLOOKUP(C3544,DATA!#REF!,2,FALSE),"")</f>
        <v/>
      </c>
      <c r="I3544" s="17"/>
      <c r="J3544" s="17"/>
      <c r="P3544" s="17"/>
      <c r="Q3544" s="17"/>
    </row>
    <row r="3545" spans="2:17">
      <c r="B3545" s="17"/>
      <c r="C3545" s="16" t="str">
        <f>IFERROR(VLOOKUP(DATA!#REF!,DATA!#REF!,1,FALSE),"")</f>
        <v/>
      </c>
      <c r="D3545" s="16" t="str">
        <f>IFERROR(VLOOKUP(C3545,DATA!#REF!,2,FALSE),"")</f>
        <v/>
      </c>
      <c r="I3545" s="17"/>
      <c r="J3545" s="17"/>
      <c r="P3545" s="17"/>
      <c r="Q3545" s="17"/>
    </row>
    <row r="3546" spans="2:17">
      <c r="B3546" s="17"/>
      <c r="C3546" s="16" t="str">
        <f>IFERROR(VLOOKUP(DATA!#REF!,DATA!#REF!,1,FALSE),"")</f>
        <v/>
      </c>
      <c r="D3546" s="16" t="str">
        <f>IFERROR(VLOOKUP(C3546,DATA!#REF!,2,FALSE),"")</f>
        <v/>
      </c>
      <c r="I3546" s="17"/>
      <c r="J3546" s="17"/>
      <c r="P3546" s="17"/>
      <c r="Q3546" s="17"/>
    </row>
    <row r="3547" spans="2:17">
      <c r="B3547" s="17"/>
      <c r="C3547" s="16" t="str">
        <f>IFERROR(VLOOKUP(DATA!#REF!,DATA!#REF!,1,FALSE),"")</f>
        <v/>
      </c>
      <c r="D3547" s="16" t="str">
        <f>IFERROR(VLOOKUP(C3547,DATA!#REF!,2,FALSE),"")</f>
        <v/>
      </c>
      <c r="I3547" s="17"/>
      <c r="J3547" s="17"/>
      <c r="P3547" s="17"/>
      <c r="Q3547" s="17"/>
    </row>
    <row r="3548" spans="2:17">
      <c r="B3548" s="17"/>
      <c r="C3548" s="16" t="str">
        <f>IFERROR(VLOOKUP(DATA!#REF!,DATA!#REF!,1,FALSE),"")</f>
        <v/>
      </c>
      <c r="D3548" s="16" t="str">
        <f>IFERROR(VLOOKUP(C3548,DATA!#REF!,2,FALSE),"")</f>
        <v/>
      </c>
      <c r="I3548" s="17"/>
      <c r="J3548" s="17"/>
      <c r="P3548" s="17"/>
      <c r="Q3548" s="17"/>
    </row>
    <row r="3549" spans="2:17">
      <c r="B3549" s="17"/>
      <c r="C3549" s="16" t="str">
        <f>IFERROR(VLOOKUP(DATA!#REF!,DATA!#REF!,1,FALSE),"")</f>
        <v/>
      </c>
      <c r="D3549" s="16" t="str">
        <f>IFERROR(VLOOKUP(C3549,DATA!#REF!,2,FALSE),"")</f>
        <v/>
      </c>
      <c r="I3549" s="17"/>
      <c r="J3549" s="17"/>
      <c r="P3549" s="17"/>
      <c r="Q3549" s="17"/>
    </row>
    <row r="3550" spans="2:17">
      <c r="B3550" s="17"/>
      <c r="C3550" s="16" t="str">
        <f>IFERROR(VLOOKUP(DATA!#REF!,DATA!#REF!,1,FALSE),"")</f>
        <v/>
      </c>
      <c r="D3550" s="16" t="str">
        <f>IFERROR(VLOOKUP(C3550,DATA!#REF!,2,FALSE),"")</f>
        <v/>
      </c>
      <c r="I3550" s="17"/>
      <c r="J3550" s="17"/>
      <c r="P3550" s="17"/>
      <c r="Q3550" s="17"/>
    </row>
    <row r="3551" spans="2:17">
      <c r="B3551" s="17"/>
      <c r="C3551" s="16" t="str">
        <f>IFERROR(VLOOKUP(DATA!#REF!,DATA!#REF!,1,FALSE),"")</f>
        <v/>
      </c>
      <c r="D3551" s="16" t="str">
        <f>IFERROR(VLOOKUP(C3551,DATA!#REF!,2,FALSE),"")</f>
        <v/>
      </c>
      <c r="I3551" s="17"/>
      <c r="J3551" s="17"/>
      <c r="P3551" s="17"/>
      <c r="Q3551" s="17"/>
    </row>
    <row r="3552" spans="2:17">
      <c r="B3552" s="17"/>
      <c r="C3552" s="16" t="str">
        <f>IFERROR(VLOOKUP(DATA!#REF!,DATA!#REF!,1,FALSE),"")</f>
        <v/>
      </c>
      <c r="D3552" s="16" t="str">
        <f>IFERROR(VLOOKUP(C3552,DATA!#REF!,2,FALSE),"")</f>
        <v/>
      </c>
      <c r="I3552" s="17"/>
      <c r="J3552" s="17"/>
      <c r="P3552" s="17"/>
      <c r="Q3552" s="17"/>
    </row>
    <row r="3553" spans="2:17">
      <c r="B3553" s="17"/>
      <c r="C3553" s="16" t="str">
        <f>IFERROR(VLOOKUP(DATA!#REF!,DATA!#REF!,1,FALSE),"")</f>
        <v/>
      </c>
      <c r="D3553" s="16" t="str">
        <f>IFERROR(VLOOKUP(C3553,DATA!#REF!,2,FALSE),"")</f>
        <v/>
      </c>
      <c r="I3553" s="17"/>
      <c r="J3553" s="17"/>
      <c r="P3553" s="17"/>
      <c r="Q3553" s="17"/>
    </row>
    <row r="3554" spans="2:17">
      <c r="B3554" s="17"/>
      <c r="C3554" s="16" t="str">
        <f>IFERROR(VLOOKUP(DATA!#REF!,DATA!#REF!,1,FALSE),"")</f>
        <v/>
      </c>
      <c r="D3554" s="16" t="str">
        <f>IFERROR(VLOOKUP(C3554,DATA!#REF!,2,FALSE),"")</f>
        <v/>
      </c>
      <c r="I3554" s="17"/>
      <c r="J3554" s="17"/>
      <c r="P3554" s="17"/>
      <c r="Q3554" s="17"/>
    </row>
    <row r="3555" spans="2:17">
      <c r="B3555" s="17"/>
      <c r="C3555" s="16" t="str">
        <f>IFERROR(VLOOKUP(DATA!#REF!,DATA!#REF!,1,FALSE),"")</f>
        <v/>
      </c>
      <c r="D3555" s="16" t="str">
        <f>IFERROR(VLOOKUP(C3555,DATA!#REF!,2,FALSE),"")</f>
        <v/>
      </c>
      <c r="I3555" s="17"/>
      <c r="J3555" s="17"/>
      <c r="P3555" s="17"/>
      <c r="Q3555" s="17"/>
    </row>
    <row r="3556" spans="2:17">
      <c r="B3556" s="17"/>
      <c r="C3556" s="16" t="str">
        <f>IFERROR(VLOOKUP(DATA!#REF!,DATA!#REF!,1,FALSE),"")</f>
        <v/>
      </c>
      <c r="D3556" s="16" t="str">
        <f>IFERROR(VLOOKUP(C3556,DATA!#REF!,2,FALSE),"")</f>
        <v/>
      </c>
      <c r="I3556" s="17"/>
      <c r="J3556" s="17"/>
      <c r="P3556" s="17"/>
      <c r="Q3556" s="17"/>
    </row>
    <row r="3557" spans="2:17">
      <c r="B3557" s="17"/>
      <c r="C3557" s="16" t="str">
        <f>IFERROR(VLOOKUP(DATA!#REF!,DATA!#REF!,1,FALSE),"")</f>
        <v/>
      </c>
      <c r="D3557" s="16" t="str">
        <f>IFERROR(VLOOKUP(C3557,DATA!#REF!,2,FALSE),"")</f>
        <v/>
      </c>
      <c r="I3557" s="17"/>
      <c r="J3557" s="17"/>
      <c r="P3557" s="17"/>
      <c r="Q3557" s="17"/>
    </row>
    <row r="3558" spans="2:17">
      <c r="B3558" s="17"/>
      <c r="C3558" s="16" t="str">
        <f>IFERROR(VLOOKUP(DATA!#REF!,DATA!#REF!,1,FALSE),"")</f>
        <v/>
      </c>
      <c r="D3558" s="16" t="str">
        <f>IFERROR(VLOOKUP(C3558,DATA!#REF!,2,FALSE),"")</f>
        <v/>
      </c>
      <c r="I3558" s="17"/>
      <c r="J3558" s="17"/>
      <c r="P3558" s="17"/>
      <c r="Q3558" s="17"/>
    </row>
    <row r="3559" spans="2:17">
      <c r="B3559" s="17"/>
      <c r="C3559" s="16" t="str">
        <f>IFERROR(VLOOKUP(DATA!#REF!,DATA!#REF!,1,FALSE),"")</f>
        <v/>
      </c>
      <c r="D3559" s="16" t="str">
        <f>IFERROR(VLOOKUP(C3559,DATA!#REF!,2,FALSE),"")</f>
        <v/>
      </c>
      <c r="I3559" s="17"/>
      <c r="J3559" s="17"/>
      <c r="P3559" s="17"/>
      <c r="Q3559" s="17"/>
    </row>
    <row r="3560" spans="2:17">
      <c r="B3560" s="17"/>
      <c r="C3560" s="16" t="str">
        <f>IFERROR(VLOOKUP(DATA!#REF!,DATA!#REF!,1,FALSE),"")</f>
        <v/>
      </c>
      <c r="D3560" s="16" t="str">
        <f>IFERROR(VLOOKUP(C3560,DATA!#REF!,2,FALSE),"")</f>
        <v/>
      </c>
      <c r="I3560" s="17"/>
      <c r="J3560" s="17"/>
      <c r="P3560" s="17"/>
      <c r="Q3560" s="17"/>
    </row>
    <row r="3561" spans="2:17">
      <c r="B3561" s="17"/>
      <c r="C3561" s="16" t="str">
        <f>IFERROR(VLOOKUP(DATA!#REF!,DATA!#REF!,1,FALSE),"")</f>
        <v/>
      </c>
      <c r="D3561" s="16" t="str">
        <f>IFERROR(VLOOKUP(C3561,DATA!#REF!,2,FALSE),"")</f>
        <v/>
      </c>
      <c r="I3561" s="17"/>
      <c r="J3561" s="17"/>
      <c r="P3561" s="17"/>
      <c r="Q3561" s="17"/>
    </row>
    <row r="3562" spans="2:17">
      <c r="B3562" s="17"/>
      <c r="C3562" s="16" t="str">
        <f>IFERROR(VLOOKUP(DATA!#REF!,DATA!#REF!,1,FALSE),"")</f>
        <v/>
      </c>
      <c r="D3562" s="16" t="str">
        <f>IFERROR(VLOOKUP(C3562,DATA!#REF!,2,FALSE),"")</f>
        <v/>
      </c>
      <c r="I3562" s="17"/>
      <c r="J3562" s="17"/>
      <c r="P3562" s="17"/>
      <c r="Q3562" s="17"/>
    </row>
    <row r="3563" spans="2:17">
      <c r="B3563" s="17"/>
      <c r="C3563" s="16" t="str">
        <f>IFERROR(VLOOKUP(DATA!#REF!,DATA!#REF!,1,FALSE),"")</f>
        <v/>
      </c>
      <c r="D3563" s="16" t="str">
        <f>IFERROR(VLOOKUP(C3563,DATA!#REF!,2,FALSE),"")</f>
        <v/>
      </c>
      <c r="I3563" s="17"/>
      <c r="J3563" s="17"/>
      <c r="P3563" s="17"/>
      <c r="Q3563" s="17"/>
    </row>
    <row r="3564" spans="2:17">
      <c r="B3564" s="17"/>
      <c r="C3564" s="16" t="str">
        <f>IFERROR(VLOOKUP(DATA!#REF!,DATA!#REF!,1,FALSE),"")</f>
        <v/>
      </c>
      <c r="D3564" s="16" t="str">
        <f>IFERROR(VLOOKUP(C3564,DATA!#REF!,2,FALSE),"")</f>
        <v/>
      </c>
      <c r="I3564" s="17"/>
      <c r="J3564" s="17"/>
      <c r="P3564" s="17"/>
      <c r="Q3564" s="17"/>
    </row>
    <row r="3565" spans="2:17">
      <c r="B3565" s="17"/>
      <c r="C3565" s="16" t="str">
        <f>IFERROR(VLOOKUP(DATA!#REF!,DATA!#REF!,1,FALSE),"")</f>
        <v/>
      </c>
      <c r="D3565" s="16" t="str">
        <f>IFERROR(VLOOKUP(C3565,DATA!#REF!,2,FALSE),"")</f>
        <v/>
      </c>
      <c r="I3565" s="17"/>
      <c r="J3565" s="17"/>
      <c r="P3565" s="17"/>
      <c r="Q3565" s="17"/>
    </row>
    <row r="3566" spans="2:17">
      <c r="B3566" s="17"/>
      <c r="C3566" s="16" t="str">
        <f>IFERROR(VLOOKUP(DATA!#REF!,DATA!#REF!,1,FALSE),"")</f>
        <v/>
      </c>
      <c r="D3566" s="16" t="str">
        <f>IFERROR(VLOOKUP(C3566,DATA!#REF!,2,FALSE),"")</f>
        <v/>
      </c>
      <c r="I3566" s="17"/>
      <c r="J3566" s="17"/>
      <c r="P3566" s="17"/>
      <c r="Q3566" s="17"/>
    </row>
    <row r="3567" spans="2:17">
      <c r="B3567" s="17"/>
      <c r="C3567" s="16" t="str">
        <f>IFERROR(VLOOKUP(DATA!#REF!,DATA!#REF!,1,FALSE),"")</f>
        <v/>
      </c>
      <c r="D3567" s="16" t="str">
        <f>IFERROR(VLOOKUP(C3567,DATA!#REF!,2,FALSE),"")</f>
        <v/>
      </c>
      <c r="I3567" s="17"/>
      <c r="J3567" s="17"/>
      <c r="P3567" s="17"/>
      <c r="Q3567" s="17"/>
    </row>
    <row r="3568" spans="2:17">
      <c r="B3568" s="17"/>
      <c r="C3568" s="16" t="str">
        <f>IFERROR(VLOOKUP(DATA!#REF!,DATA!#REF!,1,FALSE),"")</f>
        <v/>
      </c>
      <c r="D3568" s="16" t="str">
        <f>IFERROR(VLOOKUP(C3568,DATA!#REF!,2,FALSE),"")</f>
        <v/>
      </c>
      <c r="I3568" s="17"/>
      <c r="J3568" s="17"/>
      <c r="P3568" s="17"/>
      <c r="Q3568" s="17"/>
    </row>
    <row r="3569" spans="2:17">
      <c r="B3569" s="17"/>
      <c r="C3569" s="16" t="str">
        <f>IFERROR(VLOOKUP(DATA!#REF!,DATA!#REF!,1,FALSE),"")</f>
        <v/>
      </c>
      <c r="D3569" s="16" t="str">
        <f>IFERROR(VLOOKUP(C3569,DATA!#REF!,2,FALSE),"")</f>
        <v/>
      </c>
      <c r="I3569" s="17"/>
      <c r="J3569" s="17"/>
      <c r="P3569" s="17"/>
      <c r="Q3569" s="17"/>
    </row>
    <row r="3570" spans="2:17">
      <c r="B3570" s="17"/>
      <c r="C3570" s="16" t="str">
        <f>IFERROR(VLOOKUP(DATA!#REF!,DATA!#REF!,1,FALSE),"")</f>
        <v/>
      </c>
      <c r="D3570" s="16" t="str">
        <f>IFERROR(VLOOKUP(C3570,DATA!#REF!,2,FALSE),"")</f>
        <v/>
      </c>
      <c r="I3570" s="17"/>
      <c r="J3570" s="17"/>
      <c r="P3570" s="17"/>
      <c r="Q3570" s="17"/>
    </row>
    <row r="3571" spans="2:17">
      <c r="B3571" s="17"/>
      <c r="C3571" s="16" t="str">
        <f>IFERROR(VLOOKUP(DATA!#REF!,DATA!#REF!,1,FALSE),"")</f>
        <v/>
      </c>
      <c r="D3571" s="16" t="str">
        <f>IFERROR(VLOOKUP(C3571,DATA!#REF!,2,FALSE),"")</f>
        <v/>
      </c>
      <c r="I3571" s="17"/>
      <c r="J3571" s="17"/>
      <c r="P3571" s="17"/>
      <c r="Q3571" s="17"/>
    </row>
    <row r="3572" spans="2:17">
      <c r="B3572" s="17"/>
      <c r="C3572" s="16" t="str">
        <f>IFERROR(VLOOKUP(DATA!#REF!,DATA!#REF!,1,FALSE),"")</f>
        <v/>
      </c>
      <c r="D3572" s="16" t="str">
        <f>IFERROR(VLOOKUP(C3572,DATA!#REF!,2,FALSE),"")</f>
        <v/>
      </c>
      <c r="I3572" s="17"/>
      <c r="J3572" s="17"/>
      <c r="P3572" s="17"/>
      <c r="Q3572" s="17"/>
    </row>
    <row r="3573" spans="2:17">
      <c r="B3573" s="17"/>
      <c r="C3573" s="16" t="str">
        <f>IFERROR(VLOOKUP(DATA!#REF!,DATA!#REF!,1,FALSE),"")</f>
        <v/>
      </c>
      <c r="D3573" s="16" t="str">
        <f>IFERROR(VLOOKUP(C3573,DATA!#REF!,2,FALSE),"")</f>
        <v/>
      </c>
      <c r="I3573" s="17"/>
      <c r="J3573" s="17"/>
      <c r="P3573" s="17"/>
      <c r="Q3573" s="17"/>
    </row>
    <row r="3574" spans="2:17">
      <c r="B3574" s="17"/>
      <c r="C3574" s="16" t="str">
        <f>IFERROR(VLOOKUP(DATA!#REF!,DATA!#REF!,1,FALSE),"")</f>
        <v/>
      </c>
      <c r="D3574" s="16" t="str">
        <f>IFERROR(VLOOKUP(C3574,DATA!#REF!,2,FALSE),"")</f>
        <v/>
      </c>
      <c r="I3574" s="17"/>
      <c r="J3574" s="17"/>
      <c r="P3574" s="17"/>
      <c r="Q3574" s="17"/>
    </row>
    <row r="3575" spans="2:17">
      <c r="B3575" s="17"/>
      <c r="C3575" s="16" t="str">
        <f>IFERROR(VLOOKUP(DATA!#REF!,DATA!#REF!,1,FALSE),"")</f>
        <v/>
      </c>
      <c r="D3575" s="16" t="str">
        <f>IFERROR(VLOOKUP(C3575,DATA!#REF!,2,FALSE),"")</f>
        <v/>
      </c>
      <c r="I3575" s="17"/>
      <c r="J3575" s="17"/>
      <c r="P3575" s="17"/>
      <c r="Q3575" s="17"/>
    </row>
    <row r="3576" spans="2:17">
      <c r="B3576" s="17"/>
      <c r="C3576" s="16" t="str">
        <f>IFERROR(VLOOKUP(DATA!#REF!,DATA!#REF!,1,FALSE),"")</f>
        <v/>
      </c>
      <c r="D3576" s="16" t="str">
        <f>IFERROR(VLOOKUP(C3576,DATA!#REF!,2,FALSE),"")</f>
        <v/>
      </c>
      <c r="I3576" s="17"/>
      <c r="J3576" s="17"/>
      <c r="P3576" s="17"/>
      <c r="Q3576" s="17"/>
    </row>
    <row r="3577" spans="2:17">
      <c r="B3577" s="17"/>
      <c r="C3577" s="16" t="str">
        <f>IFERROR(VLOOKUP(DATA!#REF!,DATA!#REF!,1,FALSE),"")</f>
        <v/>
      </c>
      <c r="D3577" s="16" t="str">
        <f>IFERROR(VLOOKUP(C3577,DATA!#REF!,2,FALSE),"")</f>
        <v/>
      </c>
      <c r="I3577" s="17"/>
      <c r="J3577" s="17"/>
      <c r="P3577" s="17"/>
      <c r="Q3577" s="17"/>
    </row>
    <row r="3578" spans="2:17">
      <c r="B3578" s="17"/>
      <c r="C3578" s="16" t="str">
        <f>IFERROR(VLOOKUP(DATA!#REF!,DATA!#REF!,1,FALSE),"")</f>
        <v/>
      </c>
      <c r="D3578" s="16" t="str">
        <f>IFERROR(VLOOKUP(C3578,DATA!#REF!,2,FALSE),"")</f>
        <v/>
      </c>
      <c r="I3578" s="17"/>
      <c r="J3578" s="17"/>
      <c r="P3578" s="17"/>
      <c r="Q3578" s="17"/>
    </row>
    <row r="3579" spans="2:17">
      <c r="B3579" s="17"/>
      <c r="C3579" s="16" t="str">
        <f>IFERROR(VLOOKUP(DATA!#REF!,DATA!#REF!,1,FALSE),"")</f>
        <v/>
      </c>
      <c r="D3579" s="16" t="str">
        <f>IFERROR(VLOOKUP(C3579,DATA!#REF!,2,FALSE),"")</f>
        <v/>
      </c>
      <c r="I3579" s="17"/>
      <c r="J3579" s="17"/>
      <c r="P3579" s="17"/>
      <c r="Q3579" s="17"/>
    </row>
    <row r="3580" spans="2:17">
      <c r="B3580" s="17"/>
      <c r="C3580" s="16" t="str">
        <f>IFERROR(VLOOKUP(DATA!#REF!,DATA!#REF!,1,FALSE),"")</f>
        <v/>
      </c>
      <c r="D3580" s="16" t="str">
        <f>IFERROR(VLOOKUP(C3580,DATA!#REF!,2,FALSE),"")</f>
        <v/>
      </c>
      <c r="I3580" s="17"/>
      <c r="J3580" s="17"/>
      <c r="P3580" s="17"/>
      <c r="Q3580" s="17"/>
    </row>
    <row r="3581" spans="2:17">
      <c r="B3581" s="17"/>
      <c r="C3581" s="16" t="str">
        <f>IFERROR(VLOOKUP(DATA!#REF!,DATA!#REF!,1,FALSE),"")</f>
        <v/>
      </c>
      <c r="D3581" s="16" t="str">
        <f>IFERROR(VLOOKUP(C3581,DATA!#REF!,2,FALSE),"")</f>
        <v/>
      </c>
      <c r="I3581" s="17"/>
      <c r="J3581" s="17"/>
      <c r="P3581" s="17"/>
      <c r="Q3581" s="17"/>
    </row>
    <row r="3582" spans="2:17">
      <c r="B3582" s="17"/>
      <c r="C3582" s="16" t="str">
        <f>IFERROR(VLOOKUP(DATA!#REF!,DATA!#REF!,1,FALSE),"")</f>
        <v/>
      </c>
      <c r="D3582" s="16" t="str">
        <f>IFERROR(VLOOKUP(C3582,DATA!#REF!,2,FALSE),"")</f>
        <v/>
      </c>
      <c r="I3582" s="17"/>
      <c r="J3582" s="17"/>
      <c r="P3582" s="17"/>
      <c r="Q3582" s="17"/>
    </row>
    <row r="3583" spans="2:17">
      <c r="B3583" s="17"/>
      <c r="C3583" s="16" t="str">
        <f>IFERROR(VLOOKUP(DATA!#REF!,DATA!#REF!,1,FALSE),"")</f>
        <v/>
      </c>
      <c r="D3583" s="16" t="str">
        <f>IFERROR(VLOOKUP(C3583,DATA!#REF!,2,FALSE),"")</f>
        <v/>
      </c>
      <c r="I3583" s="17"/>
      <c r="J3583" s="17"/>
      <c r="P3583" s="17"/>
      <c r="Q3583" s="17"/>
    </row>
    <row r="3584" spans="2:17">
      <c r="B3584" s="17"/>
      <c r="C3584" s="16" t="str">
        <f>IFERROR(VLOOKUP(DATA!#REF!,DATA!#REF!,1,FALSE),"")</f>
        <v/>
      </c>
      <c r="D3584" s="16" t="str">
        <f>IFERROR(VLOOKUP(C3584,DATA!#REF!,2,FALSE),"")</f>
        <v/>
      </c>
      <c r="I3584" s="17"/>
      <c r="J3584" s="17"/>
      <c r="P3584" s="17"/>
      <c r="Q3584" s="17"/>
    </row>
    <row r="3585" spans="2:17">
      <c r="B3585" s="17"/>
      <c r="C3585" s="16" t="str">
        <f>IFERROR(VLOOKUP(DATA!#REF!,DATA!#REF!,1,FALSE),"")</f>
        <v/>
      </c>
      <c r="D3585" s="16" t="str">
        <f>IFERROR(VLOOKUP(C3585,DATA!#REF!,2,FALSE),"")</f>
        <v/>
      </c>
      <c r="I3585" s="17"/>
      <c r="J3585" s="17"/>
      <c r="P3585" s="17"/>
      <c r="Q3585" s="17"/>
    </row>
    <row r="3586" spans="2:17">
      <c r="B3586" s="17"/>
      <c r="C3586" s="16" t="str">
        <f>IFERROR(VLOOKUP(DATA!#REF!,DATA!#REF!,1,FALSE),"")</f>
        <v/>
      </c>
      <c r="D3586" s="16" t="str">
        <f>IFERROR(VLOOKUP(C3586,DATA!#REF!,2,FALSE),"")</f>
        <v/>
      </c>
      <c r="I3586" s="17"/>
      <c r="J3586" s="17"/>
      <c r="P3586" s="17"/>
      <c r="Q3586" s="17"/>
    </row>
    <row r="3587" spans="2:17">
      <c r="B3587" s="17"/>
      <c r="C3587" s="16" t="str">
        <f>IFERROR(VLOOKUP(DATA!#REF!,DATA!#REF!,1,FALSE),"")</f>
        <v/>
      </c>
      <c r="D3587" s="16" t="str">
        <f>IFERROR(VLOOKUP(C3587,DATA!#REF!,2,FALSE),"")</f>
        <v/>
      </c>
      <c r="I3587" s="17"/>
      <c r="J3587" s="17"/>
      <c r="P3587" s="17"/>
      <c r="Q3587" s="17"/>
    </row>
    <row r="3588" spans="2:17">
      <c r="B3588" s="17"/>
      <c r="C3588" s="16" t="str">
        <f>IFERROR(VLOOKUP(DATA!#REF!,DATA!#REF!,1,FALSE),"")</f>
        <v/>
      </c>
      <c r="D3588" s="16" t="str">
        <f>IFERROR(VLOOKUP(C3588,DATA!#REF!,2,FALSE),"")</f>
        <v/>
      </c>
      <c r="I3588" s="17"/>
      <c r="J3588" s="17"/>
      <c r="P3588" s="17"/>
      <c r="Q3588" s="17"/>
    </row>
    <row r="3589" spans="2:17">
      <c r="B3589" s="17"/>
      <c r="C3589" s="16" t="str">
        <f>IFERROR(VLOOKUP(DATA!#REF!,DATA!#REF!,1,FALSE),"")</f>
        <v/>
      </c>
      <c r="D3589" s="16" t="str">
        <f>IFERROR(VLOOKUP(C3589,DATA!#REF!,2,FALSE),"")</f>
        <v/>
      </c>
      <c r="I3589" s="17"/>
      <c r="J3589" s="17"/>
      <c r="P3589" s="17"/>
      <c r="Q3589" s="17"/>
    </row>
    <row r="3590" spans="2:17">
      <c r="B3590" s="17"/>
      <c r="C3590" s="16" t="str">
        <f>IFERROR(VLOOKUP(DATA!#REF!,DATA!#REF!,1,FALSE),"")</f>
        <v/>
      </c>
      <c r="D3590" s="16" t="str">
        <f>IFERROR(VLOOKUP(C3590,DATA!#REF!,2,FALSE),"")</f>
        <v/>
      </c>
      <c r="I3590" s="17"/>
      <c r="J3590" s="17"/>
      <c r="P3590" s="17"/>
      <c r="Q3590" s="17"/>
    </row>
    <row r="3591" spans="2:17">
      <c r="B3591" s="17"/>
      <c r="C3591" s="16" t="str">
        <f>IFERROR(VLOOKUP(DATA!#REF!,DATA!#REF!,1,FALSE),"")</f>
        <v/>
      </c>
      <c r="D3591" s="16" t="str">
        <f>IFERROR(VLOOKUP(C3591,DATA!#REF!,2,FALSE),"")</f>
        <v/>
      </c>
      <c r="I3591" s="17"/>
      <c r="J3591" s="17"/>
      <c r="P3591" s="17"/>
      <c r="Q3591" s="17"/>
    </row>
    <row r="3592" spans="2:17">
      <c r="B3592" s="17"/>
      <c r="C3592" s="16" t="str">
        <f>IFERROR(VLOOKUP(DATA!#REF!,DATA!#REF!,1,FALSE),"")</f>
        <v/>
      </c>
      <c r="D3592" s="16" t="str">
        <f>IFERROR(VLOOKUP(C3592,DATA!#REF!,2,FALSE),"")</f>
        <v/>
      </c>
      <c r="I3592" s="17"/>
      <c r="J3592" s="17"/>
      <c r="P3592" s="17"/>
      <c r="Q3592" s="17"/>
    </row>
    <row r="3593" spans="2:17">
      <c r="B3593" s="17"/>
      <c r="C3593" s="16" t="str">
        <f>IFERROR(VLOOKUP(DATA!#REF!,DATA!#REF!,1,FALSE),"")</f>
        <v/>
      </c>
      <c r="D3593" s="16" t="str">
        <f>IFERROR(VLOOKUP(C3593,DATA!#REF!,2,FALSE),"")</f>
        <v/>
      </c>
      <c r="I3593" s="17"/>
      <c r="J3593" s="17"/>
      <c r="P3593" s="17"/>
      <c r="Q3593" s="17"/>
    </row>
    <row r="3594" spans="2:17">
      <c r="B3594" s="17"/>
      <c r="C3594" s="16" t="str">
        <f>IFERROR(VLOOKUP(DATA!#REF!,DATA!#REF!,1,FALSE),"")</f>
        <v/>
      </c>
      <c r="D3594" s="16" t="str">
        <f>IFERROR(VLOOKUP(C3594,DATA!#REF!,2,FALSE),"")</f>
        <v/>
      </c>
      <c r="I3594" s="17"/>
      <c r="J3594" s="17"/>
      <c r="P3594" s="17"/>
      <c r="Q3594" s="17"/>
    </row>
    <row r="3595" spans="2:17">
      <c r="B3595" s="17"/>
      <c r="C3595" s="16" t="str">
        <f>IFERROR(VLOOKUP(DATA!#REF!,DATA!#REF!,1,FALSE),"")</f>
        <v/>
      </c>
      <c r="D3595" s="16" t="str">
        <f>IFERROR(VLOOKUP(C3595,DATA!#REF!,2,FALSE),"")</f>
        <v/>
      </c>
      <c r="I3595" s="17"/>
      <c r="J3595" s="17"/>
      <c r="P3595" s="17"/>
      <c r="Q3595" s="17"/>
    </row>
    <row r="3596" spans="2:17">
      <c r="B3596" s="17"/>
      <c r="C3596" s="16" t="str">
        <f>IFERROR(VLOOKUP(DATA!#REF!,DATA!#REF!,1,FALSE),"")</f>
        <v/>
      </c>
      <c r="D3596" s="16" t="str">
        <f>IFERROR(VLOOKUP(C3596,DATA!#REF!,2,FALSE),"")</f>
        <v/>
      </c>
      <c r="I3596" s="17"/>
      <c r="J3596" s="17"/>
      <c r="P3596" s="17"/>
      <c r="Q3596" s="17"/>
    </row>
    <row r="3597" spans="2:17">
      <c r="B3597" s="17"/>
      <c r="C3597" s="16" t="str">
        <f>IFERROR(VLOOKUP(DATA!#REF!,DATA!#REF!,1,FALSE),"")</f>
        <v/>
      </c>
      <c r="D3597" s="16" t="str">
        <f>IFERROR(VLOOKUP(C3597,DATA!#REF!,2,FALSE),"")</f>
        <v/>
      </c>
      <c r="I3597" s="17"/>
      <c r="J3597" s="17"/>
      <c r="P3597" s="17"/>
      <c r="Q3597" s="17"/>
    </row>
    <row r="3598" spans="2:17">
      <c r="B3598" s="17"/>
      <c r="C3598" s="16" t="str">
        <f>IFERROR(VLOOKUP(DATA!#REF!,DATA!#REF!,1,FALSE),"")</f>
        <v/>
      </c>
      <c r="D3598" s="16" t="str">
        <f>IFERROR(VLOOKUP(C3598,DATA!#REF!,2,FALSE),"")</f>
        <v/>
      </c>
      <c r="I3598" s="17"/>
      <c r="J3598" s="17"/>
      <c r="P3598" s="17"/>
      <c r="Q3598" s="17"/>
    </row>
    <row r="3599" spans="2:17">
      <c r="B3599" s="17"/>
      <c r="C3599" s="16" t="str">
        <f>IFERROR(VLOOKUP(DATA!#REF!,DATA!#REF!,1,FALSE),"")</f>
        <v/>
      </c>
      <c r="D3599" s="16" t="str">
        <f>IFERROR(VLOOKUP(C3599,DATA!#REF!,2,FALSE),"")</f>
        <v/>
      </c>
      <c r="I3599" s="17"/>
      <c r="J3599" s="17"/>
      <c r="P3599" s="17"/>
      <c r="Q3599" s="17"/>
    </row>
    <row r="3600" spans="2:17">
      <c r="B3600" s="17"/>
      <c r="C3600" s="16" t="str">
        <f>IFERROR(VLOOKUP(DATA!#REF!,DATA!#REF!,1,FALSE),"")</f>
        <v/>
      </c>
      <c r="D3600" s="16" t="str">
        <f>IFERROR(VLOOKUP(C3600,DATA!#REF!,2,FALSE),"")</f>
        <v/>
      </c>
      <c r="I3600" s="17"/>
      <c r="J3600" s="17"/>
      <c r="P3600" s="17"/>
      <c r="Q3600" s="17"/>
    </row>
    <row r="3601" spans="2:17">
      <c r="B3601" s="17"/>
      <c r="C3601" s="16" t="str">
        <f>IFERROR(VLOOKUP(DATA!#REF!,DATA!#REF!,1,FALSE),"")</f>
        <v/>
      </c>
      <c r="D3601" s="16" t="str">
        <f>IFERROR(VLOOKUP(C3601,DATA!#REF!,2,FALSE),"")</f>
        <v/>
      </c>
      <c r="I3601" s="17"/>
      <c r="J3601" s="17"/>
      <c r="P3601" s="17"/>
      <c r="Q3601" s="17"/>
    </row>
    <row r="3602" spans="2:17">
      <c r="B3602" s="17"/>
      <c r="C3602" s="16" t="str">
        <f>IFERROR(VLOOKUP(DATA!#REF!,DATA!#REF!,1,FALSE),"")</f>
        <v/>
      </c>
      <c r="D3602" s="16" t="str">
        <f>IFERROR(VLOOKUP(C3602,DATA!#REF!,2,FALSE),"")</f>
        <v/>
      </c>
      <c r="I3602" s="17"/>
      <c r="J3602" s="17"/>
      <c r="P3602" s="17"/>
      <c r="Q3602" s="17"/>
    </row>
    <row r="3603" spans="2:17">
      <c r="B3603" s="17"/>
      <c r="C3603" s="16" t="str">
        <f>IFERROR(VLOOKUP(DATA!#REF!,DATA!#REF!,1,FALSE),"")</f>
        <v/>
      </c>
      <c r="D3603" s="16" t="str">
        <f>IFERROR(VLOOKUP(C3603,DATA!#REF!,2,FALSE),"")</f>
        <v/>
      </c>
      <c r="I3603" s="17"/>
      <c r="J3603" s="17"/>
      <c r="P3603" s="17"/>
      <c r="Q3603" s="17"/>
    </row>
    <row r="3604" spans="2:17">
      <c r="B3604" s="17"/>
      <c r="C3604" s="16" t="str">
        <f>IFERROR(VLOOKUP(DATA!#REF!,DATA!#REF!,1,FALSE),"")</f>
        <v/>
      </c>
      <c r="D3604" s="16" t="str">
        <f>IFERROR(VLOOKUP(C3604,DATA!#REF!,2,FALSE),"")</f>
        <v/>
      </c>
      <c r="I3604" s="17"/>
      <c r="J3604" s="17"/>
      <c r="P3604" s="17"/>
      <c r="Q3604" s="17"/>
    </row>
    <row r="3605" spans="2:17">
      <c r="B3605" s="17"/>
      <c r="C3605" s="16" t="str">
        <f>IFERROR(VLOOKUP(DATA!#REF!,DATA!#REF!,1,FALSE),"")</f>
        <v/>
      </c>
      <c r="D3605" s="16" t="str">
        <f>IFERROR(VLOOKUP(C3605,DATA!#REF!,2,FALSE),"")</f>
        <v/>
      </c>
      <c r="I3605" s="17"/>
      <c r="J3605" s="17"/>
      <c r="P3605" s="17"/>
      <c r="Q3605" s="17"/>
    </row>
    <row r="3606" spans="2:17">
      <c r="B3606" s="17"/>
      <c r="C3606" s="16" t="str">
        <f>IFERROR(VLOOKUP(DATA!#REF!,DATA!#REF!,1,FALSE),"")</f>
        <v/>
      </c>
      <c r="D3606" s="16" t="str">
        <f>IFERROR(VLOOKUP(C3606,DATA!#REF!,2,FALSE),"")</f>
        <v/>
      </c>
      <c r="I3606" s="17"/>
      <c r="J3606" s="17"/>
      <c r="P3606" s="17"/>
      <c r="Q3606" s="17"/>
    </row>
    <row r="3607" spans="2:17">
      <c r="B3607" s="17"/>
      <c r="C3607" s="16" t="str">
        <f>IFERROR(VLOOKUP(DATA!#REF!,DATA!#REF!,1,FALSE),"")</f>
        <v/>
      </c>
      <c r="D3607" s="16" t="str">
        <f>IFERROR(VLOOKUP(C3607,DATA!#REF!,2,FALSE),"")</f>
        <v/>
      </c>
      <c r="I3607" s="17"/>
      <c r="J3607" s="17"/>
      <c r="P3607" s="17"/>
      <c r="Q3607" s="17"/>
    </row>
    <row r="3608" spans="2:17">
      <c r="B3608" s="17"/>
      <c r="C3608" s="16" t="str">
        <f>IFERROR(VLOOKUP(DATA!#REF!,DATA!#REF!,1,FALSE),"")</f>
        <v/>
      </c>
      <c r="D3608" s="16" t="str">
        <f>IFERROR(VLOOKUP(C3608,DATA!#REF!,2,FALSE),"")</f>
        <v/>
      </c>
      <c r="I3608" s="17"/>
      <c r="J3608" s="17"/>
      <c r="P3608" s="17"/>
      <c r="Q3608" s="17"/>
    </row>
    <row r="3609" spans="2:17">
      <c r="B3609" s="17"/>
      <c r="C3609" s="16" t="str">
        <f>IFERROR(VLOOKUP(DATA!#REF!,DATA!#REF!,1,FALSE),"")</f>
        <v/>
      </c>
      <c r="D3609" s="16" t="str">
        <f>IFERROR(VLOOKUP(C3609,DATA!#REF!,2,FALSE),"")</f>
        <v/>
      </c>
      <c r="I3609" s="17"/>
      <c r="J3609" s="17"/>
      <c r="P3609" s="17"/>
      <c r="Q3609" s="17"/>
    </row>
    <row r="3610" spans="2:17">
      <c r="B3610" s="17"/>
      <c r="C3610" s="16" t="str">
        <f>IFERROR(VLOOKUP(DATA!#REF!,DATA!#REF!,1,FALSE),"")</f>
        <v/>
      </c>
      <c r="D3610" s="16" t="str">
        <f>IFERROR(VLOOKUP(C3610,DATA!#REF!,2,FALSE),"")</f>
        <v/>
      </c>
      <c r="I3610" s="17"/>
      <c r="J3610" s="17"/>
      <c r="P3610" s="17"/>
      <c r="Q3610" s="17"/>
    </row>
    <row r="3611" spans="2:17">
      <c r="B3611" s="17"/>
      <c r="C3611" s="16" t="str">
        <f>IFERROR(VLOOKUP(DATA!#REF!,DATA!#REF!,1,FALSE),"")</f>
        <v/>
      </c>
      <c r="D3611" s="16" t="str">
        <f>IFERROR(VLOOKUP(C3611,DATA!#REF!,2,FALSE),"")</f>
        <v/>
      </c>
      <c r="I3611" s="17"/>
      <c r="J3611" s="17"/>
      <c r="P3611" s="17"/>
      <c r="Q3611" s="17"/>
    </row>
    <row r="3612" spans="2:17">
      <c r="B3612" s="17"/>
      <c r="C3612" s="16" t="str">
        <f>IFERROR(VLOOKUP(DATA!#REF!,DATA!#REF!,1,FALSE),"")</f>
        <v/>
      </c>
      <c r="D3612" s="16" t="str">
        <f>IFERROR(VLOOKUP(C3612,DATA!#REF!,2,FALSE),"")</f>
        <v/>
      </c>
      <c r="I3612" s="17"/>
      <c r="J3612" s="17"/>
      <c r="P3612" s="17"/>
      <c r="Q3612" s="17"/>
    </row>
    <row r="3613" spans="2:17">
      <c r="B3613" s="17"/>
      <c r="C3613" s="16" t="str">
        <f>IFERROR(VLOOKUP(DATA!#REF!,DATA!#REF!,1,FALSE),"")</f>
        <v/>
      </c>
      <c r="D3613" s="16" t="str">
        <f>IFERROR(VLOOKUP(C3613,DATA!#REF!,2,FALSE),"")</f>
        <v/>
      </c>
      <c r="I3613" s="17"/>
      <c r="J3613" s="17"/>
      <c r="P3613" s="17"/>
      <c r="Q3613" s="17"/>
    </row>
    <row r="3614" spans="2:17">
      <c r="B3614" s="17"/>
      <c r="C3614" s="16" t="str">
        <f>IFERROR(VLOOKUP(DATA!#REF!,DATA!#REF!,1,FALSE),"")</f>
        <v/>
      </c>
      <c r="D3614" s="16" t="str">
        <f>IFERROR(VLOOKUP(C3614,DATA!#REF!,2,FALSE),"")</f>
        <v/>
      </c>
      <c r="I3614" s="17"/>
      <c r="J3614" s="17"/>
      <c r="P3614" s="17"/>
      <c r="Q3614" s="17"/>
    </row>
    <row r="3615" spans="2:17">
      <c r="B3615" s="17"/>
      <c r="C3615" s="16" t="str">
        <f>IFERROR(VLOOKUP(DATA!#REF!,DATA!#REF!,1,FALSE),"")</f>
        <v/>
      </c>
      <c r="D3615" s="16" t="str">
        <f>IFERROR(VLOOKUP(C3615,DATA!#REF!,2,FALSE),"")</f>
        <v/>
      </c>
      <c r="I3615" s="17"/>
      <c r="J3615" s="17"/>
      <c r="P3615" s="17"/>
      <c r="Q3615" s="17"/>
    </row>
    <row r="3616" spans="2:17">
      <c r="B3616" s="17"/>
      <c r="C3616" s="16" t="str">
        <f>IFERROR(VLOOKUP(DATA!#REF!,DATA!#REF!,1,FALSE),"")</f>
        <v/>
      </c>
      <c r="D3616" s="16" t="str">
        <f>IFERROR(VLOOKUP(C3616,DATA!#REF!,2,FALSE),"")</f>
        <v/>
      </c>
      <c r="I3616" s="17"/>
      <c r="J3616" s="17"/>
      <c r="P3616" s="17"/>
      <c r="Q3616" s="17"/>
    </row>
    <row r="3617" spans="2:17">
      <c r="B3617" s="17"/>
      <c r="C3617" s="16" t="str">
        <f>IFERROR(VLOOKUP(DATA!#REF!,DATA!#REF!,1,FALSE),"")</f>
        <v/>
      </c>
      <c r="D3617" s="16" t="str">
        <f>IFERROR(VLOOKUP(C3617,DATA!#REF!,2,FALSE),"")</f>
        <v/>
      </c>
      <c r="I3617" s="17"/>
      <c r="J3617" s="17"/>
      <c r="P3617" s="17"/>
      <c r="Q3617" s="17"/>
    </row>
    <row r="3618" spans="2:17">
      <c r="B3618" s="17"/>
      <c r="C3618" s="16" t="str">
        <f>IFERROR(VLOOKUP(DATA!#REF!,DATA!#REF!,1,FALSE),"")</f>
        <v/>
      </c>
      <c r="D3618" s="16" t="str">
        <f>IFERROR(VLOOKUP(C3618,DATA!#REF!,2,FALSE),"")</f>
        <v/>
      </c>
      <c r="I3618" s="17"/>
      <c r="J3618" s="17"/>
      <c r="P3618" s="17"/>
      <c r="Q3618" s="17"/>
    </row>
    <row r="3619" spans="2:17">
      <c r="B3619" s="17"/>
      <c r="C3619" s="16" t="str">
        <f>IFERROR(VLOOKUP(DATA!#REF!,DATA!#REF!,1,FALSE),"")</f>
        <v/>
      </c>
      <c r="D3619" s="16" t="str">
        <f>IFERROR(VLOOKUP(C3619,DATA!#REF!,2,FALSE),"")</f>
        <v/>
      </c>
      <c r="I3619" s="17"/>
      <c r="J3619" s="17"/>
      <c r="P3619" s="17"/>
      <c r="Q3619" s="17"/>
    </row>
    <row r="3620" spans="2:17">
      <c r="B3620" s="17"/>
      <c r="C3620" s="16" t="str">
        <f>IFERROR(VLOOKUP(DATA!#REF!,DATA!#REF!,1,FALSE),"")</f>
        <v/>
      </c>
      <c r="D3620" s="16" t="str">
        <f>IFERROR(VLOOKUP(C3620,DATA!#REF!,2,FALSE),"")</f>
        <v/>
      </c>
      <c r="I3620" s="17"/>
      <c r="J3620" s="17"/>
      <c r="P3620" s="17"/>
      <c r="Q3620" s="17"/>
    </row>
    <row r="3621" spans="2:17">
      <c r="B3621" s="17"/>
      <c r="C3621" s="16" t="str">
        <f>IFERROR(VLOOKUP(DATA!#REF!,DATA!#REF!,1,FALSE),"")</f>
        <v/>
      </c>
      <c r="D3621" s="16" t="str">
        <f>IFERROR(VLOOKUP(C3621,DATA!#REF!,2,FALSE),"")</f>
        <v/>
      </c>
      <c r="I3621" s="17"/>
      <c r="J3621" s="17"/>
      <c r="P3621" s="17"/>
      <c r="Q3621" s="17"/>
    </row>
    <row r="3622" spans="2:17">
      <c r="B3622" s="17"/>
      <c r="C3622" s="16" t="str">
        <f>IFERROR(VLOOKUP(DATA!#REF!,DATA!#REF!,1,FALSE),"")</f>
        <v/>
      </c>
      <c r="D3622" s="16" t="str">
        <f>IFERROR(VLOOKUP(C3622,DATA!#REF!,2,FALSE),"")</f>
        <v/>
      </c>
      <c r="I3622" s="17"/>
      <c r="J3622" s="17"/>
      <c r="P3622" s="17"/>
      <c r="Q3622" s="17"/>
    </row>
    <row r="3623" spans="2:17">
      <c r="B3623" s="17"/>
      <c r="C3623" s="16" t="str">
        <f>IFERROR(VLOOKUP(DATA!#REF!,DATA!#REF!,1,FALSE),"")</f>
        <v/>
      </c>
      <c r="D3623" s="16" t="str">
        <f>IFERROR(VLOOKUP(C3623,DATA!#REF!,2,FALSE),"")</f>
        <v/>
      </c>
      <c r="I3623" s="17"/>
      <c r="J3623" s="17"/>
      <c r="P3623" s="17"/>
      <c r="Q3623" s="17"/>
    </row>
    <row r="3624" spans="2:17">
      <c r="B3624" s="17"/>
      <c r="C3624" s="16" t="str">
        <f>IFERROR(VLOOKUP(DATA!#REF!,DATA!#REF!,1,FALSE),"")</f>
        <v/>
      </c>
      <c r="D3624" s="16" t="str">
        <f>IFERROR(VLOOKUP(C3624,DATA!#REF!,2,FALSE),"")</f>
        <v/>
      </c>
      <c r="I3624" s="17"/>
      <c r="J3624" s="17"/>
      <c r="P3624" s="17"/>
      <c r="Q3624" s="17"/>
    </row>
    <row r="3625" spans="2:17">
      <c r="B3625" s="17"/>
      <c r="C3625" s="16" t="str">
        <f>IFERROR(VLOOKUP(DATA!#REF!,DATA!#REF!,1,FALSE),"")</f>
        <v/>
      </c>
      <c r="D3625" s="16" t="str">
        <f>IFERROR(VLOOKUP(C3625,DATA!#REF!,2,FALSE),"")</f>
        <v/>
      </c>
      <c r="I3625" s="17"/>
      <c r="J3625" s="17"/>
      <c r="P3625" s="17"/>
      <c r="Q3625" s="17"/>
    </row>
    <row r="3626" spans="2:17">
      <c r="B3626" s="17"/>
      <c r="C3626" s="16" t="str">
        <f>IFERROR(VLOOKUP(DATA!#REF!,DATA!#REF!,1,FALSE),"")</f>
        <v/>
      </c>
      <c r="D3626" s="16" t="str">
        <f>IFERROR(VLOOKUP(C3626,DATA!#REF!,2,FALSE),"")</f>
        <v/>
      </c>
      <c r="I3626" s="17"/>
      <c r="J3626" s="17"/>
      <c r="P3626" s="17"/>
      <c r="Q3626" s="17"/>
    </row>
    <row r="3627" spans="2:17">
      <c r="B3627" s="17"/>
      <c r="C3627" s="16" t="str">
        <f>IFERROR(VLOOKUP(DATA!#REF!,DATA!#REF!,1,FALSE),"")</f>
        <v/>
      </c>
      <c r="D3627" s="16" t="str">
        <f>IFERROR(VLOOKUP(C3627,DATA!#REF!,2,FALSE),"")</f>
        <v/>
      </c>
      <c r="I3627" s="17"/>
      <c r="J3627" s="17"/>
      <c r="P3627" s="17"/>
      <c r="Q3627" s="17"/>
    </row>
    <row r="3628" spans="2:17">
      <c r="B3628" s="17"/>
      <c r="C3628" s="16" t="str">
        <f>IFERROR(VLOOKUP(DATA!#REF!,DATA!#REF!,1,FALSE),"")</f>
        <v/>
      </c>
      <c r="D3628" s="16" t="str">
        <f>IFERROR(VLOOKUP(C3628,DATA!#REF!,2,FALSE),"")</f>
        <v/>
      </c>
      <c r="I3628" s="17"/>
      <c r="J3628" s="17"/>
      <c r="P3628" s="17"/>
      <c r="Q3628" s="17"/>
    </row>
    <row r="3629" spans="2:17">
      <c r="B3629" s="17"/>
      <c r="C3629" s="16" t="str">
        <f>IFERROR(VLOOKUP(DATA!#REF!,DATA!#REF!,1,FALSE),"")</f>
        <v/>
      </c>
      <c r="D3629" s="16" t="str">
        <f>IFERROR(VLOOKUP(C3629,DATA!#REF!,2,FALSE),"")</f>
        <v/>
      </c>
      <c r="I3629" s="17"/>
      <c r="J3629" s="17"/>
      <c r="P3629" s="17"/>
      <c r="Q3629" s="17"/>
    </row>
    <row r="3630" spans="2:17">
      <c r="B3630" s="17"/>
      <c r="C3630" s="16" t="str">
        <f>IFERROR(VLOOKUP(DATA!#REF!,DATA!#REF!,1,FALSE),"")</f>
        <v/>
      </c>
      <c r="D3630" s="16" t="str">
        <f>IFERROR(VLOOKUP(C3630,DATA!#REF!,2,FALSE),"")</f>
        <v/>
      </c>
      <c r="I3630" s="17"/>
      <c r="J3630" s="17"/>
      <c r="P3630" s="17"/>
      <c r="Q3630" s="17"/>
    </row>
    <row r="3631" spans="2:17">
      <c r="B3631" s="17"/>
      <c r="C3631" s="16" t="str">
        <f>IFERROR(VLOOKUP(DATA!#REF!,DATA!#REF!,1,FALSE),"")</f>
        <v/>
      </c>
      <c r="D3631" s="16" t="str">
        <f>IFERROR(VLOOKUP(C3631,DATA!#REF!,2,FALSE),"")</f>
        <v/>
      </c>
      <c r="I3631" s="17"/>
      <c r="J3631" s="17"/>
      <c r="P3631" s="17"/>
      <c r="Q3631" s="17"/>
    </row>
    <row r="3632" spans="2:17">
      <c r="B3632" s="17"/>
      <c r="C3632" s="16" t="str">
        <f>IFERROR(VLOOKUP(DATA!#REF!,DATA!#REF!,1,FALSE),"")</f>
        <v/>
      </c>
      <c r="D3632" s="16" t="str">
        <f>IFERROR(VLOOKUP(C3632,DATA!#REF!,2,FALSE),"")</f>
        <v/>
      </c>
      <c r="I3632" s="17"/>
      <c r="J3632" s="17"/>
      <c r="P3632" s="17"/>
      <c r="Q3632" s="17"/>
    </row>
    <row r="3633" spans="2:17">
      <c r="B3633" s="17"/>
      <c r="C3633" s="16" t="str">
        <f>IFERROR(VLOOKUP(DATA!#REF!,DATA!#REF!,1,FALSE),"")</f>
        <v/>
      </c>
      <c r="D3633" s="16" t="str">
        <f>IFERROR(VLOOKUP(C3633,DATA!#REF!,2,FALSE),"")</f>
        <v/>
      </c>
      <c r="I3633" s="17"/>
      <c r="J3633" s="17"/>
      <c r="P3633" s="17"/>
      <c r="Q3633" s="17"/>
    </row>
    <row r="3634" spans="2:17">
      <c r="B3634" s="17"/>
      <c r="C3634" s="16" t="str">
        <f>IFERROR(VLOOKUP(DATA!#REF!,DATA!#REF!,1,FALSE),"")</f>
        <v/>
      </c>
      <c r="D3634" s="16" t="str">
        <f>IFERROR(VLOOKUP(C3634,DATA!#REF!,2,FALSE),"")</f>
        <v/>
      </c>
      <c r="I3634" s="17"/>
      <c r="J3634" s="17"/>
      <c r="P3634" s="17"/>
      <c r="Q3634" s="17"/>
    </row>
    <row r="3635" spans="2:17">
      <c r="B3635" s="17"/>
      <c r="C3635" s="16" t="str">
        <f>IFERROR(VLOOKUP(DATA!#REF!,DATA!#REF!,1,FALSE),"")</f>
        <v/>
      </c>
      <c r="D3635" s="16" t="str">
        <f>IFERROR(VLOOKUP(C3635,DATA!#REF!,2,FALSE),"")</f>
        <v/>
      </c>
      <c r="I3635" s="17"/>
      <c r="J3635" s="17"/>
      <c r="P3635" s="17"/>
      <c r="Q3635" s="17"/>
    </row>
    <row r="3636" spans="2:17">
      <c r="B3636" s="17"/>
      <c r="C3636" s="16" t="str">
        <f>IFERROR(VLOOKUP(DATA!#REF!,DATA!#REF!,1,FALSE),"")</f>
        <v/>
      </c>
      <c r="D3636" s="16" t="str">
        <f>IFERROR(VLOOKUP(C3636,DATA!#REF!,2,FALSE),"")</f>
        <v/>
      </c>
      <c r="I3636" s="17"/>
      <c r="J3636" s="17"/>
      <c r="P3636" s="17"/>
      <c r="Q3636" s="17"/>
    </row>
    <row r="3637" spans="2:17">
      <c r="B3637" s="17"/>
      <c r="C3637" s="16" t="str">
        <f>IFERROR(VLOOKUP(DATA!#REF!,DATA!#REF!,1,FALSE),"")</f>
        <v/>
      </c>
      <c r="D3637" s="16" t="str">
        <f>IFERROR(VLOOKUP(C3637,DATA!#REF!,2,FALSE),"")</f>
        <v/>
      </c>
      <c r="I3637" s="17"/>
      <c r="J3637" s="17"/>
      <c r="P3637" s="17"/>
      <c r="Q3637" s="17"/>
    </row>
    <row r="3638" spans="2:17">
      <c r="B3638" s="17"/>
      <c r="C3638" s="16" t="str">
        <f>IFERROR(VLOOKUP(DATA!#REF!,DATA!#REF!,1,FALSE),"")</f>
        <v/>
      </c>
      <c r="D3638" s="16" t="str">
        <f>IFERROR(VLOOKUP(C3638,DATA!#REF!,2,FALSE),"")</f>
        <v/>
      </c>
      <c r="I3638" s="17"/>
      <c r="J3638" s="17"/>
      <c r="P3638" s="17"/>
      <c r="Q3638" s="17"/>
    </row>
    <row r="3639" spans="2:17">
      <c r="B3639" s="17"/>
      <c r="C3639" s="16" t="str">
        <f>IFERROR(VLOOKUP(DATA!#REF!,DATA!#REF!,1,FALSE),"")</f>
        <v/>
      </c>
      <c r="D3639" s="16" t="str">
        <f>IFERROR(VLOOKUP(C3639,DATA!#REF!,2,FALSE),"")</f>
        <v/>
      </c>
      <c r="I3639" s="17"/>
      <c r="J3639" s="17"/>
      <c r="P3639" s="17"/>
      <c r="Q3639" s="17"/>
    </row>
    <row r="3640" spans="2:17">
      <c r="B3640" s="17"/>
      <c r="C3640" s="16" t="str">
        <f>IFERROR(VLOOKUP(DATA!#REF!,DATA!#REF!,1,FALSE),"")</f>
        <v/>
      </c>
      <c r="D3640" s="16" t="str">
        <f>IFERROR(VLOOKUP(C3640,DATA!#REF!,2,FALSE),"")</f>
        <v/>
      </c>
      <c r="I3640" s="17"/>
      <c r="J3640" s="17"/>
      <c r="P3640" s="17"/>
      <c r="Q3640" s="17"/>
    </row>
    <row r="3641" spans="2:17">
      <c r="B3641" s="17"/>
      <c r="C3641" s="16" t="str">
        <f>IFERROR(VLOOKUP(DATA!#REF!,DATA!#REF!,1,FALSE),"")</f>
        <v/>
      </c>
      <c r="D3641" s="16" t="str">
        <f>IFERROR(VLOOKUP(C3641,DATA!#REF!,2,FALSE),"")</f>
        <v/>
      </c>
      <c r="I3641" s="17"/>
      <c r="J3641" s="17"/>
      <c r="P3641" s="17"/>
      <c r="Q3641" s="17"/>
    </row>
    <row r="3642" spans="2:17">
      <c r="B3642" s="17"/>
      <c r="C3642" s="16" t="str">
        <f>IFERROR(VLOOKUP(DATA!#REF!,DATA!#REF!,1,FALSE),"")</f>
        <v/>
      </c>
      <c r="D3642" s="16" t="str">
        <f>IFERROR(VLOOKUP(C3642,DATA!#REF!,2,FALSE),"")</f>
        <v/>
      </c>
      <c r="I3642" s="17"/>
      <c r="J3642" s="17"/>
      <c r="P3642" s="17"/>
      <c r="Q3642" s="17"/>
    </row>
    <row r="3643" spans="2:17">
      <c r="B3643" s="17"/>
      <c r="C3643" s="16" t="str">
        <f>IFERROR(VLOOKUP(DATA!#REF!,DATA!#REF!,1,FALSE),"")</f>
        <v/>
      </c>
      <c r="D3643" s="16" t="str">
        <f>IFERROR(VLOOKUP(C3643,DATA!#REF!,2,FALSE),"")</f>
        <v/>
      </c>
      <c r="I3643" s="17"/>
      <c r="J3643" s="17"/>
      <c r="P3643" s="17"/>
      <c r="Q3643" s="17"/>
    </row>
    <row r="3644" spans="2:17">
      <c r="B3644" s="17"/>
      <c r="C3644" s="16" t="str">
        <f>IFERROR(VLOOKUP(DATA!#REF!,DATA!#REF!,1,FALSE),"")</f>
        <v/>
      </c>
      <c r="D3644" s="16" t="str">
        <f>IFERROR(VLOOKUP(C3644,DATA!#REF!,2,FALSE),"")</f>
        <v/>
      </c>
      <c r="I3644" s="17"/>
      <c r="J3644" s="17"/>
      <c r="P3644" s="17"/>
      <c r="Q3644" s="17"/>
    </row>
    <row r="3645" spans="2:17">
      <c r="B3645" s="17"/>
      <c r="C3645" s="16" t="str">
        <f>IFERROR(VLOOKUP(DATA!#REF!,DATA!#REF!,1,FALSE),"")</f>
        <v/>
      </c>
      <c r="D3645" s="16" t="str">
        <f>IFERROR(VLOOKUP(C3645,DATA!#REF!,2,FALSE),"")</f>
        <v/>
      </c>
      <c r="I3645" s="17"/>
      <c r="J3645" s="17"/>
      <c r="P3645" s="17"/>
      <c r="Q3645" s="17"/>
    </row>
    <row r="3646" spans="2:17">
      <c r="B3646" s="17"/>
      <c r="C3646" s="16" t="str">
        <f>IFERROR(VLOOKUP(DATA!#REF!,DATA!#REF!,1,FALSE),"")</f>
        <v/>
      </c>
      <c r="D3646" s="16" t="str">
        <f>IFERROR(VLOOKUP(C3646,DATA!#REF!,2,FALSE),"")</f>
        <v/>
      </c>
      <c r="I3646" s="17"/>
      <c r="J3646" s="17"/>
      <c r="P3646" s="17"/>
      <c r="Q3646" s="17"/>
    </row>
    <row r="3647" spans="2:17">
      <c r="B3647" s="17"/>
      <c r="C3647" s="16" t="str">
        <f>IFERROR(VLOOKUP(DATA!#REF!,DATA!#REF!,1,FALSE),"")</f>
        <v/>
      </c>
      <c r="D3647" s="16" t="str">
        <f>IFERROR(VLOOKUP(C3647,DATA!#REF!,2,FALSE),"")</f>
        <v/>
      </c>
      <c r="I3647" s="17"/>
      <c r="J3647" s="17"/>
      <c r="P3647" s="17"/>
      <c r="Q3647" s="17"/>
    </row>
    <row r="3648" spans="2:17">
      <c r="B3648" s="17"/>
      <c r="C3648" s="16" t="str">
        <f>IFERROR(VLOOKUP(DATA!#REF!,DATA!#REF!,1,FALSE),"")</f>
        <v/>
      </c>
      <c r="D3648" s="16" t="str">
        <f>IFERROR(VLOOKUP(C3648,DATA!#REF!,2,FALSE),"")</f>
        <v/>
      </c>
      <c r="I3648" s="17"/>
      <c r="J3648" s="17"/>
      <c r="P3648" s="17"/>
      <c r="Q3648" s="17"/>
    </row>
    <row r="3649" spans="2:17">
      <c r="B3649" s="17"/>
      <c r="C3649" s="16" t="str">
        <f>IFERROR(VLOOKUP(DATA!#REF!,DATA!#REF!,1,FALSE),"")</f>
        <v/>
      </c>
      <c r="D3649" s="16" t="str">
        <f>IFERROR(VLOOKUP(C3649,DATA!#REF!,2,FALSE),"")</f>
        <v/>
      </c>
      <c r="I3649" s="17"/>
      <c r="J3649" s="17"/>
      <c r="P3649" s="17"/>
      <c r="Q3649" s="17"/>
    </row>
    <row r="3650" spans="2:17">
      <c r="B3650" s="17"/>
      <c r="C3650" s="16" t="str">
        <f>IFERROR(VLOOKUP(DATA!#REF!,DATA!#REF!,1,FALSE),"")</f>
        <v/>
      </c>
      <c r="D3650" s="16" t="str">
        <f>IFERROR(VLOOKUP(C3650,DATA!#REF!,2,FALSE),"")</f>
        <v/>
      </c>
      <c r="I3650" s="17"/>
      <c r="J3650" s="17"/>
      <c r="P3650" s="17"/>
      <c r="Q3650" s="17"/>
    </row>
    <row r="3651" spans="2:17">
      <c r="B3651" s="17"/>
      <c r="C3651" s="16" t="str">
        <f>IFERROR(VLOOKUP(DATA!#REF!,DATA!#REF!,1,FALSE),"")</f>
        <v/>
      </c>
      <c r="D3651" s="16" t="str">
        <f>IFERROR(VLOOKUP(C3651,DATA!#REF!,2,FALSE),"")</f>
        <v/>
      </c>
      <c r="I3651" s="17"/>
      <c r="J3651" s="17"/>
      <c r="P3651" s="17"/>
      <c r="Q3651" s="17"/>
    </row>
    <row r="3652" spans="2:17">
      <c r="B3652" s="17"/>
      <c r="C3652" s="16" t="str">
        <f>IFERROR(VLOOKUP(DATA!#REF!,DATA!#REF!,1,FALSE),"")</f>
        <v/>
      </c>
      <c r="D3652" s="16" t="str">
        <f>IFERROR(VLOOKUP(C3652,DATA!#REF!,2,FALSE),"")</f>
        <v/>
      </c>
      <c r="I3652" s="17"/>
      <c r="J3652" s="17"/>
      <c r="P3652" s="17"/>
      <c r="Q3652" s="17"/>
    </row>
    <row r="3653" spans="2:17">
      <c r="B3653" s="17"/>
      <c r="C3653" s="16" t="str">
        <f>IFERROR(VLOOKUP(DATA!#REF!,DATA!#REF!,1,FALSE),"")</f>
        <v/>
      </c>
      <c r="D3653" s="16" t="str">
        <f>IFERROR(VLOOKUP(C3653,DATA!#REF!,2,FALSE),"")</f>
        <v/>
      </c>
      <c r="I3653" s="17"/>
      <c r="J3653" s="17"/>
      <c r="P3653" s="17"/>
      <c r="Q3653" s="17"/>
    </row>
    <row r="3654" spans="2:17">
      <c r="B3654" s="17"/>
      <c r="C3654" s="16" t="str">
        <f>IFERROR(VLOOKUP(DATA!#REF!,DATA!#REF!,1,FALSE),"")</f>
        <v/>
      </c>
      <c r="D3654" s="16" t="str">
        <f>IFERROR(VLOOKUP(C3654,DATA!#REF!,2,FALSE),"")</f>
        <v/>
      </c>
      <c r="I3654" s="17"/>
      <c r="J3654" s="17"/>
      <c r="P3654" s="17"/>
      <c r="Q3654" s="17"/>
    </row>
    <row r="3655" spans="2:17">
      <c r="B3655" s="17"/>
      <c r="C3655" s="16" t="str">
        <f>IFERROR(VLOOKUP(DATA!#REF!,DATA!#REF!,1,FALSE),"")</f>
        <v/>
      </c>
      <c r="D3655" s="16" t="str">
        <f>IFERROR(VLOOKUP(C3655,DATA!#REF!,2,FALSE),"")</f>
        <v/>
      </c>
      <c r="I3655" s="17"/>
      <c r="J3655" s="17"/>
      <c r="P3655" s="17"/>
      <c r="Q3655" s="17"/>
    </row>
    <row r="3656" spans="2:17">
      <c r="B3656" s="17"/>
      <c r="C3656" s="16" t="str">
        <f>IFERROR(VLOOKUP(DATA!#REF!,DATA!#REF!,1,FALSE),"")</f>
        <v/>
      </c>
      <c r="D3656" s="16" t="str">
        <f>IFERROR(VLOOKUP(C3656,DATA!#REF!,2,FALSE),"")</f>
        <v/>
      </c>
      <c r="I3656" s="17"/>
      <c r="J3656" s="17"/>
      <c r="P3656" s="17"/>
      <c r="Q3656" s="17"/>
    </row>
    <row r="3657" spans="2:17">
      <c r="B3657" s="17"/>
      <c r="C3657" s="16" t="str">
        <f>IFERROR(VLOOKUP(DATA!#REF!,DATA!#REF!,1,FALSE),"")</f>
        <v/>
      </c>
      <c r="D3657" s="16" t="str">
        <f>IFERROR(VLOOKUP(C3657,DATA!#REF!,2,FALSE),"")</f>
        <v/>
      </c>
      <c r="I3657" s="17"/>
      <c r="J3657" s="17"/>
      <c r="P3657" s="17"/>
      <c r="Q3657" s="17"/>
    </row>
    <row r="3658" spans="2:17">
      <c r="B3658" s="17"/>
      <c r="C3658" s="16" t="str">
        <f>IFERROR(VLOOKUP(DATA!#REF!,DATA!#REF!,1,FALSE),"")</f>
        <v/>
      </c>
      <c r="D3658" s="16" t="str">
        <f>IFERROR(VLOOKUP(C3658,DATA!#REF!,2,FALSE),"")</f>
        <v/>
      </c>
      <c r="I3658" s="17"/>
      <c r="J3658" s="17"/>
      <c r="P3658" s="17"/>
      <c r="Q3658" s="17"/>
    </row>
    <row r="3659" spans="2:17">
      <c r="B3659" s="17"/>
      <c r="C3659" s="16" t="str">
        <f>IFERROR(VLOOKUP(DATA!#REF!,DATA!#REF!,1,FALSE),"")</f>
        <v/>
      </c>
      <c r="D3659" s="16" t="str">
        <f>IFERROR(VLOOKUP(C3659,DATA!#REF!,2,FALSE),"")</f>
        <v/>
      </c>
      <c r="I3659" s="17"/>
      <c r="J3659" s="17"/>
      <c r="P3659" s="17"/>
      <c r="Q3659" s="17"/>
    </row>
    <row r="3660" spans="2:17">
      <c r="B3660" s="17"/>
      <c r="C3660" s="16" t="str">
        <f>IFERROR(VLOOKUP(DATA!#REF!,DATA!#REF!,1,FALSE),"")</f>
        <v/>
      </c>
      <c r="D3660" s="16" t="str">
        <f>IFERROR(VLOOKUP(C3660,DATA!#REF!,2,FALSE),"")</f>
        <v/>
      </c>
      <c r="I3660" s="17"/>
      <c r="J3660" s="17"/>
      <c r="P3660" s="17"/>
      <c r="Q3660" s="17"/>
    </row>
    <row r="3661" spans="2:17">
      <c r="B3661" s="17"/>
      <c r="C3661" s="16" t="str">
        <f>IFERROR(VLOOKUP(DATA!#REF!,DATA!#REF!,1,FALSE),"")</f>
        <v/>
      </c>
      <c r="D3661" s="16" t="str">
        <f>IFERROR(VLOOKUP(C3661,DATA!#REF!,2,FALSE),"")</f>
        <v/>
      </c>
      <c r="I3661" s="17"/>
      <c r="J3661" s="17"/>
      <c r="P3661" s="17"/>
      <c r="Q3661" s="17"/>
    </row>
    <row r="3662" spans="2:17">
      <c r="B3662" s="17"/>
      <c r="C3662" s="16" t="str">
        <f>IFERROR(VLOOKUP(DATA!#REF!,DATA!#REF!,1,FALSE),"")</f>
        <v/>
      </c>
      <c r="D3662" s="16" t="str">
        <f>IFERROR(VLOOKUP(C3662,DATA!#REF!,2,FALSE),"")</f>
        <v/>
      </c>
      <c r="I3662" s="17"/>
      <c r="J3662" s="17"/>
      <c r="P3662" s="17"/>
      <c r="Q3662" s="17"/>
    </row>
    <row r="3663" spans="2:17">
      <c r="B3663" s="17"/>
      <c r="C3663" s="16" t="str">
        <f>IFERROR(VLOOKUP(DATA!#REF!,DATA!#REF!,1,FALSE),"")</f>
        <v/>
      </c>
      <c r="D3663" s="16" t="str">
        <f>IFERROR(VLOOKUP(C3663,DATA!#REF!,2,FALSE),"")</f>
        <v/>
      </c>
      <c r="I3663" s="17"/>
      <c r="J3663" s="17"/>
      <c r="P3663" s="17"/>
      <c r="Q3663" s="17"/>
    </row>
    <row r="3664" spans="2:17">
      <c r="B3664" s="17"/>
      <c r="C3664" s="16" t="str">
        <f>IFERROR(VLOOKUP(DATA!#REF!,DATA!#REF!,1,FALSE),"")</f>
        <v/>
      </c>
      <c r="D3664" s="16" t="str">
        <f>IFERROR(VLOOKUP(C3664,DATA!#REF!,2,FALSE),"")</f>
        <v/>
      </c>
      <c r="I3664" s="17"/>
      <c r="J3664" s="17"/>
      <c r="P3664" s="17"/>
      <c r="Q3664" s="17"/>
    </row>
    <row r="3665" spans="2:17">
      <c r="B3665" s="17"/>
      <c r="C3665" s="16" t="str">
        <f>IFERROR(VLOOKUP(DATA!#REF!,DATA!#REF!,1,FALSE),"")</f>
        <v/>
      </c>
      <c r="D3665" s="16" t="str">
        <f>IFERROR(VLOOKUP(C3665,DATA!#REF!,2,FALSE),"")</f>
        <v/>
      </c>
      <c r="I3665" s="17"/>
      <c r="J3665" s="17"/>
      <c r="P3665" s="17"/>
      <c r="Q3665" s="17"/>
    </row>
    <row r="3666" spans="2:17">
      <c r="B3666" s="17"/>
      <c r="C3666" s="16" t="str">
        <f>IFERROR(VLOOKUP(DATA!#REF!,DATA!#REF!,1,FALSE),"")</f>
        <v/>
      </c>
      <c r="D3666" s="16" t="str">
        <f>IFERROR(VLOOKUP(C3666,DATA!#REF!,2,FALSE),"")</f>
        <v/>
      </c>
      <c r="I3666" s="17"/>
      <c r="J3666" s="17"/>
      <c r="P3666" s="17"/>
      <c r="Q3666" s="17"/>
    </row>
    <row r="3667" spans="2:17">
      <c r="B3667" s="17"/>
      <c r="C3667" s="16" t="str">
        <f>IFERROR(VLOOKUP(DATA!#REF!,DATA!#REF!,1,FALSE),"")</f>
        <v/>
      </c>
      <c r="D3667" s="16" t="str">
        <f>IFERROR(VLOOKUP(C3667,DATA!#REF!,2,FALSE),"")</f>
        <v/>
      </c>
      <c r="I3667" s="17"/>
      <c r="J3667" s="17"/>
      <c r="P3667" s="17"/>
      <c r="Q3667" s="17"/>
    </row>
    <row r="3668" spans="2:17">
      <c r="B3668" s="17"/>
      <c r="C3668" s="16" t="str">
        <f>IFERROR(VLOOKUP(DATA!#REF!,DATA!#REF!,1,FALSE),"")</f>
        <v/>
      </c>
      <c r="D3668" s="16" t="str">
        <f>IFERROR(VLOOKUP(C3668,DATA!#REF!,2,FALSE),"")</f>
        <v/>
      </c>
      <c r="I3668" s="17"/>
      <c r="J3668" s="17"/>
      <c r="P3668" s="17"/>
      <c r="Q3668" s="17"/>
    </row>
    <row r="3669" spans="2:17">
      <c r="B3669" s="17"/>
      <c r="C3669" s="16" t="str">
        <f>IFERROR(VLOOKUP(DATA!#REF!,DATA!#REF!,1,FALSE),"")</f>
        <v/>
      </c>
      <c r="D3669" s="16" t="str">
        <f>IFERROR(VLOOKUP(C3669,DATA!#REF!,2,FALSE),"")</f>
        <v/>
      </c>
      <c r="I3669" s="17"/>
      <c r="J3669" s="17"/>
      <c r="P3669" s="17"/>
      <c r="Q3669" s="17"/>
    </row>
    <row r="3670" spans="2:17">
      <c r="B3670" s="17"/>
      <c r="C3670" s="16" t="str">
        <f>IFERROR(VLOOKUP(DATA!#REF!,DATA!#REF!,1,FALSE),"")</f>
        <v/>
      </c>
      <c r="D3670" s="16" t="str">
        <f>IFERROR(VLOOKUP(C3670,DATA!#REF!,2,FALSE),"")</f>
        <v/>
      </c>
      <c r="I3670" s="17"/>
      <c r="J3670" s="17"/>
      <c r="P3670" s="17"/>
      <c r="Q3670" s="17"/>
    </row>
    <row r="3671" spans="2:17">
      <c r="B3671" s="17"/>
      <c r="C3671" s="16" t="str">
        <f>IFERROR(VLOOKUP(DATA!#REF!,DATA!#REF!,1,FALSE),"")</f>
        <v/>
      </c>
      <c r="D3671" s="16" t="str">
        <f>IFERROR(VLOOKUP(C3671,DATA!#REF!,2,FALSE),"")</f>
        <v/>
      </c>
      <c r="I3671" s="17"/>
      <c r="J3671" s="17"/>
      <c r="P3671" s="17"/>
      <c r="Q3671" s="17"/>
    </row>
    <row r="3672" spans="2:17">
      <c r="B3672" s="17"/>
      <c r="C3672" s="16" t="str">
        <f>IFERROR(VLOOKUP(DATA!#REF!,DATA!#REF!,1,FALSE),"")</f>
        <v/>
      </c>
      <c r="D3672" s="16" t="str">
        <f>IFERROR(VLOOKUP(C3672,DATA!#REF!,2,FALSE),"")</f>
        <v/>
      </c>
      <c r="I3672" s="17"/>
      <c r="J3672" s="17"/>
      <c r="P3672" s="17"/>
      <c r="Q3672" s="17"/>
    </row>
    <row r="3673" spans="2:17">
      <c r="B3673" s="17"/>
      <c r="C3673" s="16" t="str">
        <f>IFERROR(VLOOKUP(DATA!#REF!,DATA!#REF!,1,FALSE),"")</f>
        <v/>
      </c>
      <c r="D3673" s="16" t="str">
        <f>IFERROR(VLOOKUP(C3673,DATA!#REF!,2,FALSE),"")</f>
        <v/>
      </c>
      <c r="I3673" s="17"/>
      <c r="J3673" s="17"/>
      <c r="P3673" s="17"/>
      <c r="Q3673" s="17"/>
    </row>
    <row r="3674" spans="2:17">
      <c r="B3674" s="17"/>
      <c r="C3674" s="16" t="str">
        <f>IFERROR(VLOOKUP(DATA!#REF!,DATA!#REF!,1,FALSE),"")</f>
        <v/>
      </c>
      <c r="D3674" s="16" t="str">
        <f>IFERROR(VLOOKUP(C3674,DATA!#REF!,2,FALSE),"")</f>
        <v/>
      </c>
      <c r="I3674" s="17"/>
      <c r="J3674" s="17"/>
      <c r="P3674" s="17"/>
      <c r="Q3674" s="17"/>
    </row>
    <row r="3675" spans="2:17">
      <c r="B3675" s="17"/>
      <c r="C3675" s="16" t="str">
        <f>IFERROR(VLOOKUP(DATA!#REF!,DATA!#REF!,1,FALSE),"")</f>
        <v/>
      </c>
      <c r="D3675" s="16" t="str">
        <f>IFERROR(VLOOKUP(C3675,DATA!#REF!,2,FALSE),"")</f>
        <v/>
      </c>
      <c r="I3675" s="17"/>
      <c r="J3675" s="17"/>
      <c r="P3675" s="17"/>
      <c r="Q3675" s="17"/>
    </row>
    <row r="3676" spans="2:17">
      <c r="B3676" s="17"/>
      <c r="C3676" s="16" t="str">
        <f>IFERROR(VLOOKUP(DATA!#REF!,DATA!#REF!,1,FALSE),"")</f>
        <v/>
      </c>
      <c r="D3676" s="16" t="str">
        <f>IFERROR(VLOOKUP(C3676,DATA!#REF!,2,FALSE),"")</f>
        <v/>
      </c>
      <c r="I3676" s="17"/>
      <c r="J3676" s="17"/>
      <c r="P3676" s="17"/>
      <c r="Q3676" s="17"/>
    </row>
    <row r="3677" spans="2:17">
      <c r="B3677" s="17"/>
      <c r="C3677" s="16" t="str">
        <f>IFERROR(VLOOKUP(DATA!#REF!,DATA!#REF!,1,FALSE),"")</f>
        <v/>
      </c>
      <c r="D3677" s="16" t="str">
        <f>IFERROR(VLOOKUP(C3677,DATA!#REF!,2,FALSE),"")</f>
        <v/>
      </c>
      <c r="I3677" s="17"/>
      <c r="J3677" s="17"/>
      <c r="P3677" s="17"/>
      <c r="Q3677" s="17"/>
    </row>
    <row r="3678" spans="2:17">
      <c r="B3678" s="17"/>
      <c r="C3678" s="16" t="str">
        <f>IFERROR(VLOOKUP(DATA!#REF!,DATA!#REF!,1,FALSE),"")</f>
        <v/>
      </c>
      <c r="D3678" s="16" t="str">
        <f>IFERROR(VLOOKUP(C3678,DATA!#REF!,2,FALSE),"")</f>
        <v/>
      </c>
      <c r="I3678" s="17"/>
      <c r="J3678" s="17"/>
      <c r="P3678" s="17"/>
      <c r="Q3678" s="17"/>
    </row>
    <row r="3679" spans="2:17">
      <c r="B3679" s="17"/>
      <c r="C3679" s="16" t="str">
        <f>IFERROR(VLOOKUP(DATA!#REF!,DATA!#REF!,1,FALSE),"")</f>
        <v/>
      </c>
      <c r="D3679" s="16" t="str">
        <f>IFERROR(VLOOKUP(C3679,DATA!#REF!,2,FALSE),"")</f>
        <v/>
      </c>
      <c r="I3679" s="17"/>
      <c r="J3679" s="17"/>
      <c r="P3679" s="17"/>
      <c r="Q3679" s="17"/>
    </row>
    <row r="3680" spans="2:17">
      <c r="B3680" s="17"/>
      <c r="C3680" s="16" t="str">
        <f>IFERROR(VLOOKUP(DATA!#REF!,DATA!#REF!,1,FALSE),"")</f>
        <v/>
      </c>
      <c r="D3680" s="16" t="str">
        <f>IFERROR(VLOOKUP(C3680,DATA!#REF!,2,FALSE),"")</f>
        <v/>
      </c>
      <c r="I3680" s="17"/>
      <c r="J3680" s="17"/>
      <c r="P3680" s="17"/>
      <c r="Q3680" s="17"/>
    </row>
    <row r="3681" spans="2:17">
      <c r="B3681" s="17"/>
      <c r="C3681" s="16" t="str">
        <f>IFERROR(VLOOKUP(DATA!#REF!,DATA!#REF!,1,FALSE),"")</f>
        <v/>
      </c>
      <c r="D3681" s="16" t="str">
        <f>IFERROR(VLOOKUP(C3681,DATA!#REF!,2,FALSE),"")</f>
        <v/>
      </c>
      <c r="I3681" s="17"/>
      <c r="J3681" s="17"/>
      <c r="P3681" s="17"/>
      <c r="Q3681" s="17"/>
    </row>
    <row r="3682" spans="2:17">
      <c r="B3682" s="17"/>
      <c r="C3682" s="16" t="str">
        <f>IFERROR(VLOOKUP(DATA!#REF!,DATA!#REF!,1,FALSE),"")</f>
        <v/>
      </c>
      <c r="D3682" s="16" t="str">
        <f>IFERROR(VLOOKUP(C3682,DATA!#REF!,2,FALSE),"")</f>
        <v/>
      </c>
      <c r="I3682" s="17"/>
      <c r="J3682" s="17"/>
      <c r="P3682" s="17"/>
      <c r="Q3682" s="17"/>
    </row>
    <row r="3683" spans="2:17">
      <c r="B3683" s="17"/>
      <c r="C3683" s="16" t="str">
        <f>IFERROR(VLOOKUP(DATA!#REF!,DATA!#REF!,1,FALSE),"")</f>
        <v/>
      </c>
      <c r="D3683" s="16" t="str">
        <f>IFERROR(VLOOKUP(C3683,DATA!#REF!,2,FALSE),"")</f>
        <v/>
      </c>
      <c r="I3683" s="17"/>
      <c r="J3683" s="17"/>
      <c r="P3683" s="17"/>
      <c r="Q3683" s="17"/>
    </row>
    <row r="3684" spans="2:17">
      <c r="B3684" s="17"/>
      <c r="C3684" s="16" t="str">
        <f>IFERROR(VLOOKUP(DATA!#REF!,DATA!#REF!,1,FALSE),"")</f>
        <v/>
      </c>
      <c r="D3684" s="16" t="str">
        <f>IFERROR(VLOOKUP(C3684,DATA!#REF!,2,FALSE),"")</f>
        <v/>
      </c>
      <c r="I3684" s="17"/>
      <c r="J3684" s="17"/>
      <c r="P3684" s="17"/>
      <c r="Q3684" s="17"/>
    </row>
    <row r="3685" spans="2:17">
      <c r="B3685" s="17"/>
      <c r="C3685" s="16" t="str">
        <f>IFERROR(VLOOKUP(DATA!#REF!,DATA!#REF!,1,FALSE),"")</f>
        <v/>
      </c>
      <c r="D3685" s="16" t="str">
        <f>IFERROR(VLOOKUP(C3685,DATA!#REF!,2,FALSE),"")</f>
        <v/>
      </c>
      <c r="I3685" s="17"/>
      <c r="J3685" s="17"/>
      <c r="P3685" s="17"/>
      <c r="Q3685" s="17"/>
    </row>
    <row r="3686" spans="2:17">
      <c r="B3686" s="17"/>
      <c r="C3686" s="16" t="str">
        <f>IFERROR(VLOOKUP(DATA!#REF!,DATA!#REF!,1,FALSE),"")</f>
        <v/>
      </c>
      <c r="D3686" s="16" t="str">
        <f>IFERROR(VLOOKUP(C3686,DATA!#REF!,2,FALSE),"")</f>
        <v/>
      </c>
      <c r="I3686" s="17"/>
      <c r="J3686" s="17"/>
      <c r="P3686" s="17"/>
      <c r="Q3686" s="17"/>
    </row>
    <row r="3687" spans="2:17">
      <c r="B3687" s="17"/>
      <c r="C3687" s="16" t="str">
        <f>IFERROR(VLOOKUP(DATA!#REF!,DATA!#REF!,1,FALSE),"")</f>
        <v/>
      </c>
      <c r="D3687" s="16" t="str">
        <f>IFERROR(VLOOKUP(C3687,DATA!#REF!,2,FALSE),"")</f>
        <v/>
      </c>
      <c r="I3687" s="17"/>
      <c r="J3687" s="17"/>
      <c r="P3687" s="17"/>
      <c r="Q3687" s="17"/>
    </row>
    <row r="3688" spans="2:17">
      <c r="B3688" s="17"/>
      <c r="C3688" s="16" t="str">
        <f>IFERROR(VLOOKUP(DATA!#REF!,DATA!#REF!,1,FALSE),"")</f>
        <v/>
      </c>
      <c r="D3688" s="16" t="str">
        <f>IFERROR(VLOOKUP(C3688,DATA!#REF!,2,FALSE),"")</f>
        <v/>
      </c>
      <c r="I3688" s="17"/>
      <c r="J3688" s="17"/>
      <c r="P3688" s="17"/>
      <c r="Q3688" s="17"/>
    </row>
    <row r="3689" spans="2:17">
      <c r="B3689" s="17"/>
      <c r="C3689" s="16" t="str">
        <f>IFERROR(VLOOKUP(DATA!#REF!,DATA!#REF!,1,FALSE),"")</f>
        <v/>
      </c>
      <c r="D3689" s="16" t="str">
        <f>IFERROR(VLOOKUP(C3689,DATA!#REF!,2,FALSE),"")</f>
        <v/>
      </c>
      <c r="I3689" s="17"/>
      <c r="J3689" s="17"/>
      <c r="P3689" s="17"/>
      <c r="Q3689" s="17"/>
    </row>
    <row r="3690" spans="2:17">
      <c r="B3690" s="17"/>
      <c r="C3690" s="16" t="str">
        <f>IFERROR(VLOOKUP(DATA!#REF!,DATA!#REF!,1,FALSE),"")</f>
        <v/>
      </c>
      <c r="D3690" s="16" t="str">
        <f>IFERROR(VLOOKUP(C3690,DATA!#REF!,2,FALSE),"")</f>
        <v/>
      </c>
      <c r="I3690" s="17"/>
      <c r="J3690" s="17"/>
      <c r="P3690" s="17"/>
      <c r="Q3690" s="17"/>
    </row>
    <row r="3691" spans="2:17">
      <c r="B3691" s="17"/>
      <c r="C3691" s="16" t="str">
        <f>IFERROR(VLOOKUP(DATA!#REF!,DATA!#REF!,1,FALSE),"")</f>
        <v/>
      </c>
      <c r="D3691" s="16" t="str">
        <f>IFERROR(VLOOKUP(C3691,DATA!#REF!,2,FALSE),"")</f>
        <v/>
      </c>
      <c r="I3691" s="17"/>
      <c r="J3691" s="17"/>
      <c r="P3691" s="17"/>
      <c r="Q3691" s="17"/>
    </row>
    <row r="3692" spans="2:17">
      <c r="B3692" s="17"/>
      <c r="C3692" s="16" t="str">
        <f>IFERROR(VLOOKUP(DATA!#REF!,DATA!#REF!,1,FALSE),"")</f>
        <v/>
      </c>
      <c r="D3692" s="16" t="str">
        <f>IFERROR(VLOOKUP(C3692,DATA!#REF!,2,FALSE),"")</f>
        <v/>
      </c>
      <c r="I3692" s="17"/>
      <c r="J3692" s="17"/>
      <c r="P3692" s="17"/>
      <c r="Q3692" s="17"/>
    </row>
    <row r="3693" spans="2:17">
      <c r="B3693" s="17"/>
      <c r="C3693" s="16" t="str">
        <f>IFERROR(VLOOKUP(DATA!#REF!,DATA!#REF!,1,FALSE),"")</f>
        <v/>
      </c>
      <c r="D3693" s="16" t="str">
        <f>IFERROR(VLOOKUP(C3693,DATA!#REF!,2,FALSE),"")</f>
        <v/>
      </c>
      <c r="I3693" s="17"/>
      <c r="J3693" s="17"/>
      <c r="P3693" s="17"/>
      <c r="Q3693" s="17"/>
    </row>
    <row r="3694" spans="2:17">
      <c r="B3694" s="17"/>
      <c r="C3694" s="16" t="str">
        <f>IFERROR(VLOOKUP(DATA!#REF!,DATA!#REF!,1,FALSE),"")</f>
        <v/>
      </c>
      <c r="D3694" s="16" t="str">
        <f>IFERROR(VLOOKUP(C3694,DATA!#REF!,2,FALSE),"")</f>
        <v/>
      </c>
      <c r="I3694" s="17"/>
      <c r="J3694" s="17"/>
      <c r="P3694" s="17"/>
      <c r="Q3694" s="17"/>
    </row>
    <row r="3695" spans="2:17">
      <c r="B3695" s="17"/>
      <c r="C3695" s="16" t="str">
        <f>IFERROR(VLOOKUP(DATA!#REF!,DATA!#REF!,1,FALSE),"")</f>
        <v/>
      </c>
      <c r="D3695" s="16" t="str">
        <f>IFERROR(VLOOKUP(C3695,DATA!#REF!,2,FALSE),"")</f>
        <v/>
      </c>
      <c r="I3695" s="17"/>
      <c r="J3695" s="17"/>
      <c r="P3695" s="17"/>
      <c r="Q3695" s="17"/>
    </row>
    <row r="3696" spans="2:17">
      <c r="B3696" s="17"/>
      <c r="C3696" s="16" t="str">
        <f>IFERROR(VLOOKUP(DATA!#REF!,DATA!#REF!,1,FALSE),"")</f>
        <v/>
      </c>
      <c r="D3696" s="16" t="str">
        <f>IFERROR(VLOOKUP(C3696,DATA!#REF!,2,FALSE),"")</f>
        <v/>
      </c>
      <c r="I3696" s="17"/>
      <c r="J3696" s="17"/>
      <c r="P3696" s="17"/>
      <c r="Q3696" s="17"/>
    </row>
    <row r="3697" spans="2:17">
      <c r="B3697" s="17"/>
      <c r="C3697" s="16" t="str">
        <f>IFERROR(VLOOKUP(DATA!#REF!,DATA!#REF!,1,FALSE),"")</f>
        <v/>
      </c>
      <c r="D3697" s="16" t="str">
        <f>IFERROR(VLOOKUP(C3697,DATA!#REF!,2,FALSE),"")</f>
        <v/>
      </c>
      <c r="I3697" s="17"/>
      <c r="J3697" s="17"/>
      <c r="P3697" s="17"/>
      <c r="Q3697" s="17"/>
    </row>
    <row r="3698" spans="2:17">
      <c r="B3698" s="17"/>
      <c r="C3698" s="16" t="str">
        <f>IFERROR(VLOOKUP(DATA!#REF!,DATA!#REF!,1,FALSE),"")</f>
        <v/>
      </c>
      <c r="D3698" s="16" t="str">
        <f>IFERROR(VLOOKUP(C3698,DATA!#REF!,2,FALSE),"")</f>
        <v/>
      </c>
      <c r="I3698" s="17"/>
      <c r="J3698" s="17"/>
      <c r="P3698" s="17"/>
      <c r="Q3698" s="17"/>
    </row>
    <row r="3699" spans="2:17">
      <c r="B3699" s="17"/>
      <c r="C3699" s="16" t="str">
        <f>IFERROR(VLOOKUP(DATA!#REF!,DATA!#REF!,1,FALSE),"")</f>
        <v/>
      </c>
      <c r="D3699" s="16" t="str">
        <f>IFERROR(VLOOKUP(C3699,DATA!#REF!,2,FALSE),"")</f>
        <v/>
      </c>
      <c r="I3699" s="17"/>
      <c r="J3699" s="17"/>
      <c r="P3699" s="17"/>
      <c r="Q3699" s="17"/>
    </row>
    <row r="3700" spans="2:17">
      <c r="B3700" s="17"/>
      <c r="C3700" s="16" t="str">
        <f>IFERROR(VLOOKUP(DATA!#REF!,DATA!#REF!,1,FALSE),"")</f>
        <v/>
      </c>
      <c r="D3700" s="16" t="str">
        <f>IFERROR(VLOOKUP(C3700,DATA!#REF!,2,FALSE),"")</f>
        <v/>
      </c>
      <c r="I3700" s="17"/>
      <c r="J3700" s="17"/>
      <c r="P3700" s="17"/>
      <c r="Q3700" s="17"/>
    </row>
    <row r="3701" spans="2:17">
      <c r="B3701" s="17"/>
      <c r="C3701" s="16" t="str">
        <f>IFERROR(VLOOKUP(DATA!#REF!,DATA!#REF!,1,FALSE),"")</f>
        <v/>
      </c>
      <c r="D3701" s="16" t="str">
        <f>IFERROR(VLOOKUP(C3701,DATA!#REF!,2,FALSE),"")</f>
        <v/>
      </c>
      <c r="I3701" s="17"/>
      <c r="J3701" s="17"/>
      <c r="P3701" s="17"/>
      <c r="Q3701" s="17"/>
    </row>
    <row r="3702" spans="2:17">
      <c r="B3702" s="17"/>
      <c r="C3702" s="16" t="str">
        <f>IFERROR(VLOOKUP(DATA!#REF!,DATA!#REF!,1,FALSE),"")</f>
        <v/>
      </c>
      <c r="D3702" s="16" t="str">
        <f>IFERROR(VLOOKUP(C3702,DATA!#REF!,2,FALSE),"")</f>
        <v/>
      </c>
      <c r="I3702" s="17"/>
      <c r="J3702" s="17"/>
      <c r="P3702" s="17"/>
      <c r="Q3702" s="17"/>
    </row>
    <row r="3703" spans="2:17">
      <c r="B3703" s="17"/>
      <c r="C3703" s="16" t="str">
        <f>IFERROR(VLOOKUP(DATA!#REF!,DATA!#REF!,1,FALSE),"")</f>
        <v/>
      </c>
      <c r="D3703" s="16" t="str">
        <f>IFERROR(VLOOKUP(C3703,DATA!#REF!,2,FALSE),"")</f>
        <v/>
      </c>
      <c r="I3703" s="17"/>
      <c r="J3703" s="17"/>
      <c r="P3703" s="17"/>
      <c r="Q3703" s="17"/>
    </row>
    <row r="3704" spans="2:17">
      <c r="B3704" s="17"/>
      <c r="C3704" s="16" t="str">
        <f>IFERROR(VLOOKUP(DATA!#REF!,DATA!#REF!,1,FALSE),"")</f>
        <v/>
      </c>
      <c r="D3704" s="16" t="str">
        <f>IFERROR(VLOOKUP(C3704,DATA!#REF!,2,FALSE),"")</f>
        <v/>
      </c>
      <c r="I3704" s="17"/>
      <c r="J3704" s="17"/>
      <c r="P3704" s="17"/>
      <c r="Q3704" s="17"/>
    </row>
    <row r="3705" spans="2:17">
      <c r="B3705" s="17"/>
      <c r="C3705" s="16" t="str">
        <f>IFERROR(VLOOKUP(DATA!#REF!,DATA!#REF!,1,FALSE),"")</f>
        <v/>
      </c>
      <c r="D3705" s="16" t="str">
        <f>IFERROR(VLOOKUP(C3705,DATA!#REF!,2,FALSE),"")</f>
        <v/>
      </c>
      <c r="I3705" s="17"/>
      <c r="J3705" s="17"/>
      <c r="P3705" s="17"/>
      <c r="Q3705" s="17"/>
    </row>
    <row r="3706" spans="2:17">
      <c r="B3706" s="17"/>
      <c r="C3706" s="16" t="str">
        <f>IFERROR(VLOOKUP(DATA!#REF!,DATA!#REF!,1,FALSE),"")</f>
        <v/>
      </c>
      <c r="D3706" s="16" t="str">
        <f>IFERROR(VLOOKUP(C3706,DATA!#REF!,2,FALSE),"")</f>
        <v/>
      </c>
      <c r="I3706" s="17"/>
      <c r="J3706" s="17"/>
      <c r="P3706" s="17"/>
      <c r="Q3706" s="17"/>
    </row>
    <row r="3707" spans="2:17">
      <c r="B3707" s="17"/>
      <c r="C3707" s="16" t="str">
        <f>IFERROR(VLOOKUP(DATA!#REF!,DATA!#REF!,1,FALSE),"")</f>
        <v/>
      </c>
      <c r="D3707" s="16" t="str">
        <f>IFERROR(VLOOKUP(C3707,DATA!#REF!,2,FALSE),"")</f>
        <v/>
      </c>
      <c r="I3707" s="17"/>
      <c r="J3707" s="17"/>
      <c r="P3707" s="17"/>
      <c r="Q3707" s="17"/>
    </row>
    <row r="3708" spans="2:17">
      <c r="B3708" s="17"/>
      <c r="C3708" s="16" t="str">
        <f>IFERROR(VLOOKUP(DATA!#REF!,DATA!#REF!,1,FALSE),"")</f>
        <v/>
      </c>
      <c r="D3708" s="16" t="str">
        <f>IFERROR(VLOOKUP(C3708,DATA!#REF!,2,FALSE),"")</f>
        <v/>
      </c>
      <c r="I3708" s="17"/>
      <c r="J3708" s="17"/>
      <c r="P3708" s="17"/>
      <c r="Q3708" s="17"/>
    </row>
    <row r="3709" spans="2:17">
      <c r="B3709" s="17"/>
      <c r="C3709" s="16" t="str">
        <f>IFERROR(VLOOKUP(DATA!#REF!,DATA!#REF!,1,FALSE),"")</f>
        <v/>
      </c>
      <c r="D3709" s="16" t="str">
        <f>IFERROR(VLOOKUP(C3709,DATA!#REF!,2,FALSE),"")</f>
        <v/>
      </c>
      <c r="I3709" s="17"/>
      <c r="J3709" s="17"/>
      <c r="P3709" s="17"/>
      <c r="Q3709" s="17"/>
    </row>
    <row r="3710" spans="2:17">
      <c r="B3710" s="17"/>
      <c r="C3710" s="16" t="str">
        <f>IFERROR(VLOOKUP(DATA!#REF!,DATA!#REF!,1,FALSE),"")</f>
        <v/>
      </c>
      <c r="D3710" s="16" t="str">
        <f>IFERROR(VLOOKUP(C3710,DATA!#REF!,2,FALSE),"")</f>
        <v/>
      </c>
      <c r="I3710" s="17"/>
      <c r="J3710" s="17"/>
      <c r="P3710" s="17"/>
      <c r="Q3710" s="17"/>
    </row>
    <row r="3711" spans="2:17">
      <c r="B3711" s="17"/>
      <c r="C3711" s="16" t="str">
        <f>IFERROR(VLOOKUP(DATA!#REF!,DATA!#REF!,1,FALSE),"")</f>
        <v/>
      </c>
      <c r="D3711" s="16" t="str">
        <f>IFERROR(VLOOKUP(C3711,DATA!#REF!,2,FALSE),"")</f>
        <v/>
      </c>
      <c r="I3711" s="17"/>
      <c r="J3711" s="17"/>
      <c r="P3711" s="17"/>
      <c r="Q3711" s="17"/>
    </row>
    <row r="3712" spans="2:17">
      <c r="B3712" s="17"/>
      <c r="C3712" s="16" t="str">
        <f>IFERROR(VLOOKUP(DATA!#REF!,DATA!#REF!,1,FALSE),"")</f>
        <v/>
      </c>
      <c r="D3712" s="16" t="str">
        <f>IFERROR(VLOOKUP(C3712,DATA!#REF!,2,FALSE),"")</f>
        <v/>
      </c>
      <c r="I3712" s="17"/>
      <c r="J3712" s="17"/>
      <c r="P3712" s="17"/>
      <c r="Q3712" s="17"/>
    </row>
    <row r="3713" spans="2:17">
      <c r="B3713" s="17"/>
      <c r="C3713" s="16" t="str">
        <f>IFERROR(VLOOKUP(DATA!#REF!,DATA!#REF!,1,FALSE),"")</f>
        <v/>
      </c>
      <c r="D3713" s="16" t="str">
        <f>IFERROR(VLOOKUP(C3713,DATA!#REF!,2,FALSE),"")</f>
        <v/>
      </c>
      <c r="I3713" s="17"/>
      <c r="J3713" s="17"/>
      <c r="P3713" s="17"/>
      <c r="Q3713" s="17"/>
    </row>
    <row r="3714" spans="2:17">
      <c r="B3714" s="17"/>
      <c r="C3714" s="16" t="str">
        <f>IFERROR(VLOOKUP(DATA!#REF!,DATA!#REF!,1,FALSE),"")</f>
        <v/>
      </c>
      <c r="D3714" s="16" t="str">
        <f>IFERROR(VLOOKUP(C3714,DATA!#REF!,2,FALSE),"")</f>
        <v/>
      </c>
      <c r="I3714" s="17"/>
      <c r="J3714" s="17"/>
      <c r="P3714" s="17"/>
      <c r="Q3714" s="17"/>
    </row>
    <row r="3715" spans="2:17">
      <c r="B3715" s="17"/>
      <c r="C3715" s="16" t="str">
        <f>IFERROR(VLOOKUP(DATA!#REF!,DATA!#REF!,1,FALSE),"")</f>
        <v/>
      </c>
      <c r="D3715" s="16" t="str">
        <f>IFERROR(VLOOKUP(C3715,DATA!#REF!,2,FALSE),"")</f>
        <v/>
      </c>
      <c r="I3715" s="17"/>
      <c r="J3715" s="17"/>
      <c r="P3715" s="17"/>
      <c r="Q3715" s="17"/>
    </row>
    <row r="3716" spans="2:17">
      <c r="B3716" s="17"/>
      <c r="C3716" s="16" t="str">
        <f>IFERROR(VLOOKUP(DATA!#REF!,DATA!#REF!,1,FALSE),"")</f>
        <v/>
      </c>
      <c r="D3716" s="16" t="str">
        <f>IFERROR(VLOOKUP(C3716,DATA!#REF!,2,FALSE),"")</f>
        <v/>
      </c>
      <c r="I3716" s="17"/>
      <c r="J3716" s="17"/>
      <c r="P3716" s="17"/>
      <c r="Q3716" s="17"/>
    </row>
    <row r="3717" spans="2:17">
      <c r="B3717" s="17"/>
      <c r="C3717" s="16" t="str">
        <f>IFERROR(VLOOKUP(DATA!#REF!,DATA!#REF!,1,FALSE),"")</f>
        <v/>
      </c>
      <c r="D3717" s="16" t="str">
        <f>IFERROR(VLOOKUP(C3717,DATA!#REF!,2,FALSE),"")</f>
        <v/>
      </c>
      <c r="I3717" s="17"/>
      <c r="J3717" s="17"/>
      <c r="P3717" s="17"/>
      <c r="Q3717" s="17"/>
    </row>
    <row r="3718" spans="2:17">
      <c r="B3718" s="17"/>
      <c r="C3718" s="16" t="str">
        <f>IFERROR(VLOOKUP(DATA!#REF!,DATA!#REF!,1,FALSE),"")</f>
        <v/>
      </c>
      <c r="D3718" s="16" t="str">
        <f>IFERROR(VLOOKUP(C3718,DATA!#REF!,2,FALSE),"")</f>
        <v/>
      </c>
      <c r="I3718" s="17"/>
      <c r="J3718" s="17"/>
      <c r="P3718" s="17"/>
      <c r="Q3718" s="17"/>
    </row>
    <row r="3719" spans="2:17">
      <c r="B3719" s="17"/>
      <c r="C3719" s="16" t="str">
        <f>IFERROR(VLOOKUP(DATA!#REF!,DATA!#REF!,1,FALSE),"")</f>
        <v/>
      </c>
      <c r="D3719" s="16" t="str">
        <f>IFERROR(VLOOKUP(C3719,DATA!#REF!,2,FALSE),"")</f>
        <v/>
      </c>
      <c r="I3719" s="17"/>
      <c r="J3719" s="17"/>
      <c r="P3719" s="17"/>
      <c r="Q3719" s="17"/>
    </row>
    <row r="3720" spans="2:17">
      <c r="B3720" s="17"/>
      <c r="C3720" s="16" t="str">
        <f>IFERROR(VLOOKUP(DATA!#REF!,DATA!#REF!,1,FALSE),"")</f>
        <v/>
      </c>
      <c r="D3720" s="16" t="str">
        <f>IFERROR(VLOOKUP(C3720,DATA!#REF!,2,FALSE),"")</f>
        <v/>
      </c>
      <c r="I3720" s="17"/>
      <c r="J3720" s="17"/>
      <c r="P3720" s="17"/>
      <c r="Q3720" s="17"/>
    </row>
    <row r="3721" spans="2:17">
      <c r="B3721" s="17"/>
      <c r="C3721" s="16" t="str">
        <f>IFERROR(VLOOKUP(DATA!#REF!,DATA!#REF!,1,FALSE),"")</f>
        <v/>
      </c>
      <c r="D3721" s="16" t="str">
        <f>IFERROR(VLOOKUP(C3721,DATA!#REF!,2,FALSE),"")</f>
        <v/>
      </c>
      <c r="I3721" s="17"/>
      <c r="J3721" s="17"/>
      <c r="P3721" s="17"/>
      <c r="Q3721" s="17"/>
    </row>
    <row r="3722" spans="2:17">
      <c r="B3722" s="17"/>
      <c r="C3722" s="16" t="str">
        <f>IFERROR(VLOOKUP(DATA!#REF!,DATA!#REF!,1,FALSE),"")</f>
        <v/>
      </c>
      <c r="D3722" s="16" t="str">
        <f>IFERROR(VLOOKUP(C3722,DATA!#REF!,2,FALSE),"")</f>
        <v/>
      </c>
      <c r="I3722" s="17"/>
      <c r="J3722" s="17"/>
      <c r="P3722" s="17"/>
      <c r="Q3722" s="17"/>
    </row>
    <row r="3723" spans="2:17">
      <c r="B3723" s="17"/>
      <c r="C3723" s="16" t="str">
        <f>IFERROR(VLOOKUP(DATA!#REF!,DATA!#REF!,1,FALSE),"")</f>
        <v/>
      </c>
      <c r="D3723" s="16" t="str">
        <f>IFERROR(VLOOKUP(C3723,DATA!#REF!,2,FALSE),"")</f>
        <v/>
      </c>
      <c r="I3723" s="17"/>
      <c r="J3723" s="17"/>
      <c r="P3723" s="17"/>
      <c r="Q3723" s="17"/>
    </row>
    <row r="3724" spans="2:17">
      <c r="B3724" s="17"/>
      <c r="C3724" s="16" t="str">
        <f>IFERROR(VLOOKUP(DATA!#REF!,DATA!#REF!,1,FALSE),"")</f>
        <v/>
      </c>
      <c r="D3724" s="16" t="str">
        <f>IFERROR(VLOOKUP(C3724,DATA!#REF!,2,FALSE),"")</f>
        <v/>
      </c>
      <c r="I3724" s="17"/>
      <c r="J3724" s="17"/>
      <c r="P3724" s="17"/>
      <c r="Q3724" s="17"/>
    </row>
    <row r="3725" spans="2:17">
      <c r="B3725" s="17"/>
      <c r="C3725" s="16" t="str">
        <f>IFERROR(VLOOKUP(DATA!#REF!,DATA!#REF!,1,FALSE),"")</f>
        <v/>
      </c>
      <c r="D3725" s="16" t="str">
        <f>IFERROR(VLOOKUP(C3725,DATA!#REF!,2,FALSE),"")</f>
        <v/>
      </c>
      <c r="I3725" s="17"/>
      <c r="J3725" s="17"/>
      <c r="P3725" s="17"/>
      <c r="Q3725" s="17"/>
    </row>
    <row r="3726" spans="2:17">
      <c r="B3726" s="17"/>
      <c r="C3726" s="16" t="str">
        <f>IFERROR(VLOOKUP(DATA!#REF!,DATA!#REF!,1,FALSE),"")</f>
        <v/>
      </c>
      <c r="D3726" s="16" t="str">
        <f>IFERROR(VLOOKUP(C3726,DATA!#REF!,2,FALSE),"")</f>
        <v/>
      </c>
      <c r="I3726" s="17"/>
      <c r="J3726" s="17"/>
      <c r="P3726" s="17"/>
      <c r="Q3726" s="17"/>
    </row>
    <row r="3727" spans="2:17">
      <c r="B3727" s="17"/>
      <c r="C3727" s="16" t="str">
        <f>IFERROR(VLOOKUP(DATA!#REF!,DATA!#REF!,1,FALSE),"")</f>
        <v/>
      </c>
      <c r="D3727" s="16" t="str">
        <f>IFERROR(VLOOKUP(C3727,DATA!#REF!,2,FALSE),"")</f>
        <v/>
      </c>
      <c r="I3727" s="17"/>
      <c r="J3727" s="17"/>
      <c r="P3727" s="17"/>
      <c r="Q3727" s="17"/>
    </row>
    <row r="3728" spans="2:17">
      <c r="B3728" s="17"/>
      <c r="C3728" s="16" t="str">
        <f>IFERROR(VLOOKUP(DATA!#REF!,DATA!#REF!,1,FALSE),"")</f>
        <v/>
      </c>
      <c r="D3728" s="16" t="str">
        <f>IFERROR(VLOOKUP(C3728,DATA!#REF!,2,FALSE),"")</f>
        <v/>
      </c>
      <c r="I3728" s="17"/>
      <c r="J3728" s="17"/>
      <c r="P3728" s="17"/>
      <c r="Q3728" s="17"/>
    </row>
    <row r="3729" spans="2:17">
      <c r="B3729" s="17"/>
      <c r="C3729" s="16" t="str">
        <f>IFERROR(VLOOKUP(DATA!#REF!,DATA!#REF!,1,FALSE),"")</f>
        <v/>
      </c>
      <c r="D3729" s="16" t="str">
        <f>IFERROR(VLOOKUP(C3729,DATA!#REF!,2,FALSE),"")</f>
        <v/>
      </c>
      <c r="I3729" s="17"/>
      <c r="J3729" s="17"/>
      <c r="P3729" s="17"/>
      <c r="Q3729" s="17"/>
    </row>
    <row r="3730" spans="2:17">
      <c r="B3730" s="17"/>
      <c r="C3730" s="16" t="str">
        <f>IFERROR(VLOOKUP(DATA!#REF!,DATA!#REF!,1,FALSE),"")</f>
        <v/>
      </c>
      <c r="D3730" s="16" t="str">
        <f>IFERROR(VLOOKUP(C3730,DATA!#REF!,2,FALSE),"")</f>
        <v/>
      </c>
      <c r="I3730" s="17"/>
      <c r="J3730" s="17"/>
      <c r="P3730" s="17"/>
      <c r="Q3730" s="17"/>
    </row>
    <row r="3731" spans="2:17">
      <c r="B3731" s="17"/>
      <c r="C3731" s="16" t="str">
        <f>IFERROR(VLOOKUP(DATA!#REF!,DATA!#REF!,1,FALSE),"")</f>
        <v/>
      </c>
      <c r="D3731" s="16" t="str">
        <f>IFERROR(VLOOKUP(C3731,DATA!#REF!,2,FALSE),"")</f>
        <v/>
      </c>
      <c r="I3731" s="17"/>
      <c r="J3731" s="17"/>
      <c r="P3731" s="17"/>
      <c r="Q3731" s="17"/>
    </row>
    <row r="3732" spans="2:17">
      <c r="B3732" s="17"/>
      <c r="C3732" s="16" t="str">
        <f>IFERROR(VLOOKUP(DATA!#REF!,DATA!#REF!,1,FALSE),"")</f>
        <v/>
      </c>
      <c r="D3732" s="16" t="str">
        <f>IFERROR(VLOOKUP(C3732,DATA!#REF!,2,FALSE),"")</f>
        <v/>
      </c>
      <c r="I3732" s="17"/>
      <c r="J3732" s="17"/>
      <c r="P3732" s="17"/>
      <c r="Q3732" s="17"/>
    </row>
    <row r="3733" spans="2:17">
      <c r="B3733" s="17"/>
      <c r="C3733" s="16" t="str">
        <f>IFERROR(VLOOKUP(DATA!#REF!,DATA!#REF!,1,FALSE),"")</f>
        <v/>
      </c>
      <c r="D3733" s="16" t="str">
        <f>IFERROR(VLOOKUP(C3733,DATA!#REF!,2,FALSE),"")</f>
        <v/>
      </c>
      <c r="I3733" s="17"/>
      <c r="J3733" s="17"/>
      <c r="P3733" s="17"/>
      <c r="Q3733" s="17"/>
    </row>
    <row r="3734" spans="2:17">
      <c r="B3734" s="17"/>
      <c r="C3734" s="16" t="str">
        <f>IFERROR(VLOOKUP(DATA!#REF!,DATA!#REF!,1,FALSE),"")</f>
        <v/>
      </c>
      <c r="D3734" s="16" t="str">
        <f>IFERROR(VLOOKUP(C3734,DATA!#REF!,2,FALSE),"")</f>
        <v/>
      </c>
      <c r="I3734" s="17"/>
      <c r="J3734" s="17"/>
      <c r="P3734" s="17"/>
      <c r="Q3734" s="17"/>
    </row>
    <row r="3735" spans="2:17">
      <c r="B3735" s="17"/>
      <c r="C3735" s="16" t="str">
        <f>IFERROR(VLOOKUP(DATA!#REF!,DATA!#REF!,1,FALSE),"")</f>
        <v/>
      </c>
      <c r="D3735" s="16" t="str">
        <f>IFERROR(VLOOKUP(C3735,DATA!#REF!,2,FALSE),"")</f>
        <v/>
      </c>
      <c r="I3735" s="17"/>
      <c r="J3735" s="17"/>
      <c r="P3735" s="17"/>
      <c r="Q3735" s="17"/>
    </row>
    <row r="3736" spans="2:17">
      <c r="B3736" s="17"/>
      <c r="C3736" s="16" t="str">
        <f>IFERROR(VLOOKUP(DATA!#REF!,DATA!#REF!,1,FALSE),"")</f>
        <v/>
      </c>
      <c r="D3736" s="16" t="str">
        <f>IFERROR(VLOOKUP(C3736,DATA!#REF!,2,FALSE),"")</f>
        <v/>
      </c>
      <c r="I3736" s="17"/>
      <c r="J3736" s="17"/>
      <c r="P3736" s="17"/>
      <c r="Q3736" s="17"/>
    </row>
    <row r="3737" spans="2:17">
      <c r="B3737" s="17"/>
      <c r="C3737" s="16" t="str">
        <f>IFERROR(VLOOKUP(DATA!#REF!,DATA!#REF!,1,FALSE),"")</f>
        <v/>
      </c>
      <c r="D3737" s="16" t="str">
        <f>IFERROR(VLOOKUP(C3737,DATA!#REF!,2,FALSE),"")</f>
        <v/>
      </c>
      <c r="I3737" s="17"/>
      <c r="J3737" s="17"/>
      <c r="P3737" s="17"/>
      <c r="Q3737" s="17"/>
    </row>
    <row r="3738" spans="2:17">
      <c r="B3738" s="17"/>
      <c r="C3738" s="16" t="str">
        <f>IFERROR(VLOOKUP(DATA!#REF!,DATA!#REF!,1,FALSE),"")</f>
        <v/>
      </c>
      <c r="D3738" s="16" t="str">
        <f>IFERROR(VLOOKUP(C3738,DATA!#REF!,2,FALSE),"")</f>
        <v/>
      </c>
      <c r="I3738" s="17"/>
      <c r="J3738" s="17"/>
      <c r="P3738" s="17"/>
      <c r="Q3738" s="17"/>
    </row>
    <row r="3739" spans="2:17">
      <c r="B3739" s="17"/>
      <c r="C3739" s="16" t="str">
        <f>IFERROR(VLOOKUP(DATA!#REF!,DATA!#REF!,1,FALSE),"")</f>
        <v/>
      </c>
      <c r="D3739" s="16" t="str">
        <f>IFERROR(VLOOKUP(C3739,DATA!#REF!,2,FALSE),"")</f>
        <v/>
      </c>
      <c r="I3739" s="17"/>
      <c r="J3739" s="17"/>
      <c r="P3739" s="17"/>
      <c r="Q3739" s="17"/>
    </row>
    <row r="3740" spans="2:17">
      <c r="B3740" s="17"/>
      <c r="C3740" s="16" t="str">
        <f>IFERROR(VLOOKUP(DATA!#REF!,DATA!#REF!,1,FALSE),"")</f>
        <v/>
      </c>
      <c r="D3740" s="16" t="str">
        <f>IFERROR(VLOOKUP(C3740,DATA!#REF!,2,FALSE),"")</f>
        <v/>
      </c>
      <c r="I3740" s="17"/>
      <c r="J3740" s="17"/>
      <c r="P3740" s="17"/>
      <c r="Q3740" s="17"/>
    </row>
    <row r="3741" spans="2:17">
      <c r="B3741" s="17"/>
      <c r="C3741" s="16" t="str">
        <f>IFERROR(VLOOKUP(DATA!#REF!,DATA!#REF!,1,FALSE),"")</f>
        <v/>
      </c>
      <c r="D3741" s="16" t="str">
        <f>IFERROR(VLOOKUP(C3741,DATA!#REF!,2,FALSE),"")</f>
        <v/>
      </c>
      <c r="I3741" s="17"/>
      <c r="J3741" s="17"/>
      <c r="P3741" s="17"/>
      <c r="Q3741" s="17"/>
    </row>
    <row r="3742" spans="2:17">
      <c r="B3742" s="17"/>
      <c r="C3742" s="16" t="str">
        <f>IFERROR(VLOOKUP(DATA!#REF!,DATA!#REF!,1,FALSE),"")</f>
        <v/>
      </c>
      <c r="D3742" s="16" t="str">
        <f>IFERROR(VLOOKUP(C3742,DATA!#REF!,2,FALSE),"")</f>
        <v/>
      </c>
      <c r="I3742" s="17"/>
      <c r="J3742" s="17"/>
      <c r="P3742" s="17"/>
      <c r="Q3742" s="17"/>
    </row>
    <row r="3743" spans="2:17">
      <c r="B3743" s="17"/>
      <c r="C3743" s="16" t="str">
        <f>IFERROR(VLOOKUP(DATA!#REF!,DATA!#REF!,1,FALSE),"")</f>
        <v/>
      </c>
      <c r="D3743" s="16" t="str">
        <f>IFERROR(VLOOKUP(C3743,DATA!#REF!,2,FALSE),"")</f>
        <v/>
      </c>
      <c r="I3743" s="17"/>
      <c r="J3743" s="17"/>
      <c r="P3743" s="17"/>
      <c r="Q3743" s="17"/>
    </row>
    <row r="3744" spans="2:17">
      <c r="B3744" s="17"/>
      <c r="C3744" s="16" t="str">
        <f>IFERROR(VLOOKUP(DATA!#REF!,DATA!#REF!,1,FALSE),"")</f>
        <v/>
      </c>
      <c r="D3744" s="16" t="str">
        <f>IFERROR(VLOOKUP(C3744,DATA!#REF!,2,FALSE),"")</f>
        <v/>
      </c>
      <c r="I3744" s="17"/>
      <c r="J3744" s="17"/>
      <c r="P3744" s="17"/>
      <c r="Q3744" s="17"/>
    </row>
    <row r="3745" spans="2:17">
      <c r="B3745" s="17"/>
      <c r="C3745" s="16" t="str">
        <f>IFERROR(VLOOKUP(DATA!#REF!,DATA!#REF!,1,FALSE),"")</f>
        <v/>
      </c>
      <c r="D3745" s="16" t="str">
        <f>IFERROR(VLOOKUP(C3745,DATA!#REF!,2,FALSE),"")</f>
        <v/>
      </c>
      <c r="I3745" s="17"/>
      <c r="J3745" s="17"/>
      <c r="P3745" s="17"/>
      <c r="Q3745" s="17"/>
    </row>
    <row r="3746" spans="2:17">
      <c r="B3746" s="17"/>
      <c r="C3746" s="16" t="str">
        <f>IFERROR(VLOOKUP(DATA!#REF!,DATA!#REF!,1,FALSE),"")</f>
        <v/>
      </c>
      <c r="D3746" s="16" t="str">
        <f>IFERROR(VLOOKUP(C3746,DATA!#REF!,2,FALSE),"")</f>
        <v/>
      </c>
      <c r="I3746" s="17"/>
      <c r="J3746" s="17"/>
      <c r="P3746" s="17"/>
      <c r="Q3746" s="17"/>
    </row>
    <row r="3747" spans="2:17">
      <c r="B3747" s="17"/>
      <c r="C3747" s="16" t="str">
        <f>IFERROR(VLOOKUP(DATA!#REF!,DATA!#REF!,1,FALSE),"")</f>
        <v/>
      </c>
      <c r="D3747" s="16" t="str">
        <f>IFERROR(VLOOKUP(C3747,DATA!#REF!,2,FALSE),"")</f>
        <v/>
      </c>
      <c r="I3747" s="17"/>
      <c r="J3747" s="17"/>
      <c r="P3747" s="17"/>
      <c r="Q3747" s="17"/>
    </row>
    <row r="3748" spans="2:17">
      <c r="B3748" s="17"/>
      <c r="C3748" s="16" t="str">
        <f>IFERROR(VLOOKUP(DATA!#REF!,DATA!#REF!,1,FALSE),"")</f>
        <v/>
      </c>
      <c r="D3748" s="16" t="str">
        <f>IFERROR(VLOOKUP(C3748,DATA!#REF!,2,FALSE),"")</f>
        <v/>
      </c>
      <c r="I3748" s="17"/>
      <c r="J3748" s="17"/>
      <c r="P3748" s="17"/>
      <c r="Q3748" s="17"/>
    </row>
    <row r="3749" spans="2:17">
      <c r="B3749" s="17"/>
      <c r="C3749" s="16" t="str">
        <f>IFERROR(VLOOKUP(DATA!#REF!,DATA!#REF!,1,FALSE),"")</f>
        <v/>
      </c>
      <c r="D3749" s="16" t="str">
        <f>IFERROR(VLOOKUP(C3749,DATA!#REF!,2,FALSE),"")</f>
        <v/>
      </c>
      <c r="I3749" s="17"/>
      <c r="J3749" s="17"/>
      <c r="P3749" s="17"/>
      <c r="Q3749" s="17"/>
    </row>
    <row r="3750" spans="2:17">
      <c r="B3750" s="17"/>
      <c r="C3750" s="16" t="str">
        <f>IFERROR(VLOOKUP(DATA!#REF!,DATA!#REF!,1,FALSE),"")</f>
        <v/>
      </c>
      <c r="D3750" s="16" t="str">
        <f>IFERROR(VLOOKUP(C3750,DATA!#REF!,2,FALSE),"")</f>
        <v/>
      </c>
      <c r="I3750" s="17"/>
      <c r="J3750" s="17"/>
      <c r="P3750" s="17"/>
      <c r="Q3750" s="17"/>
    </row>
    <row r="3751" spans="2:17">
      <c r="B3751" s="17"/>
      <c r="C3751" s="16" t="str">
        <f>IFERROR(VLOOKUP(DATA!#REF!,DATA!#REF!,1,FALSE),"")</f>
        <v/>
      </c>
      <c r="D3751" s="16" t="str">
        <f>IFERROR(VLOOKUP(C3751,DATA!#REF!,2,FALSE),"")</f>
        <v/>
      </c>
      <c r="I3751" s="17"/>
      <c r="J3751" s="17"/>
      <c r="P3751" s="17"/>
      <c r="Q3751" s="17"/>
    </row>
    <row r="3752" spans="2:17">
      <c r="B3752" s="17"/>
      <c r="C3752" s="16" t="str">
        <f>IFERROR(VLOOKUP(DATA!#REF!,DATA!#REF!,1,FALSE),"")</f>
        <v/>
      </c>
      <c r="D3752" s="16" t="str">
        <f>IFERROR(VLOOKUP(C3752,DATA!#REF!,2,FALSE),"")</f>
        <v/>
      </c>
      <c r="I3752" s="17"/>
      <c r="J3752" s="17"/>
      <c r="P3752" s="17"/>
      <c r="Q3752" s="17"/>
    </row>
    <row r="3753" spans="2:17">
      <c r="B3753" s="17"/>
      <c r="C3753" s="16" t="str">
        <f>IFERROR(VLOOKUP(DATA!#REF!,DATA!#REF!,1,FALSE),"")</f>
        <v/>
      </c>
      <c r="D3753" s="16" t="str">
        <f>IFERROR(VLOOKUP(C3753,DATA!#REF!,2,FALSE),"")</f>
        <v/>
      </c>
      <c r="I3753" s="17"/>
      <c r="J3753" s="17"/>
      <c r="P3753" s="17"/>
      <c r="Q3753" s="17"/>
    </row>
    <row r="3754" spans="2:17">
      <c r="B3754" s="17"/>
      <c r="C3754" s="16" t="str">
        <f>IFERROR(VLOOKUP(DATA!#REF!,DATA!#REF!,1,FALSE),"")</f>
        <v/>
      </c>
      <c r="D3754" s="16" t="str">
        <f>IFERROR(VLOOKUP(C3754,DATA!#REF!,2,FALSE),"")</f>
        <v/>
      </c>
      <c r="I3754" s="17"/>
      <c r="J3754" s="17"/>
      <c r="P3754" s="17"/>
      <c r="Q3754" s="17"/>
    </row>
    <row r="3755" spans="2:17">
      <c r="B3755" s="17"/>
      <c r="C3755" s="16" t="str">
        <f>IFERROR(VLOOKUP(DATA!#REF!,DATA!#REF!,1,FALSE),"")</f>
        <v/>
      </c>
      <c r="D3755" s="16" t="str">
        <f>IFERROR(VLOOKUP(C3755,DATA!#REF!,2,FALSE),"")</f>
        <v/>
      </c>
      <c r="I3755" s="17"/>
      <c r="J3755" s="17"/>
      <c r="P3755" s="17"/>
      <c r="Q3755" s="17"/>
    </row>
    <row r="3756" spans="2:17">
      <c r="B3756" s="17"/>
      <c r="C3756" s="16" t="str">
        <f>IFERROR(VLOOKUP(DATA!#REF!,DATA!#REF!,1,FALSE),"")</f>
        <v/>
      </c>
      <c r="D3756" s="16" t="str">
        <f>IFERROR(VLOOKUP(C3756,DATA!#REF!,2,FALSE),"")</f>
        <v/>
      </c>
      <c r="I3756" s="17"/>
      <c r="J3756" s="17"/>
      <c r="P3756" s="17"/>
      <c r="Q3756" s="17"/>
    </row>
    <row r="3757" spans="2:17">
      <c r="B3757" s="17"/>
      <c r="C3757" s="16" t="str">
        <f>IFERROR(VLOOKUP(DATA!#REF!,DATA!#REF!,1,FALSE),"")</f>
        <v/>
      </c>
      <c r="D3757" s="16" t="str">
        <f>IFERROR(VLOOKUP(C3757,DATA!#REF!,2,FALSE),"")</f>
        <v/>
      </c>
      <c r="I3757" s="17"/>
      <c r="J3757" s="17"/>
      <c r="P3757" s="17"/>
      <c r="Q3757" s="17"/>
    </row>
    <row r="3758" spans="2:17">
      <c r="B3758" s="17"/>
      <c r="C3758" s="16" t="str">
        <f>IFERROR(VLOOKUP(DATA!#REF!,DATA!#REF!,1,FALSE),"")</f>
        <v/>
      </c>
      <c r="D3758" s="16" t="str">
        <f>IFERROR(VLOOKUP(C3758,DATA!#REF!,2,FALSE),"")</f>
        <v/>
      </c>
      <c r="I3758" s="17"/>
      <c r="J3758" s="17"/>
      <c r="P3758" s="17"/>
      <c r="Q3758" s="17"/>
    </row>
    <row r="3759" spans="2:17">
      <c r="B3759" s="17"/>
      <c r="C3759" s="16" t="str">
        <f>IFERROR(VLOOKUP(DATA!#REF!,DATA!#REF!,1,FALSE),"")</f>
        <v/>
      </c>
      <c r="D3759" s="16" t="str">
        <f>IFERROR(VLOOKUP(C3759,DATA!#REF!,2,FALSE),"")</f>
        <v/>
      </c>
      <c r="I3759" s="17"/>
      <c r="J3759" s="17"/>
      <c r="P3759" s="17"/>
      <c r="Q3759" s="17"/>
    </row>
    <row r="3760" spans="2:17">
      <c r="B3760" s="17"/>
      <c r="C3760" s="16" t="str">
        <f>IFERROR(VLOOKUP(DATA!#REF!,DATA!#REF!,1,FALSE),"")</f>
        <v/>
      </c>
      <c r="D3760" s="16" t="str">
        <f>IFERROR(VLOOKUP(C3760,DATA!#REF!,2,FALSE),"")</f>
        <v/>
      </c>
      <c r="I3760" s="17"/>
      <c r="J3760" s="17"/>
      <c r="P3760" s="17"/>
      <c r="Q3760" s="17"/>
    </row>
    <row r="3761" spans="2:17">
      <c r="B3761" s="17"/>
      <c r="C3761" s="16" t="str">
        <f>IFERROR(VLOOKUP(DATA!#REF!,DATA!#REF!,1,FALSE),"")</f>
        <v/>
      </c>
      <c r="D3761" s="16" t="str">
        <f>IFERROR(VLOOKUP(C3761,DATA!#REF!,2,FALSE),"")</f>
        <v/>
      </c>
      <c r="I3761" s="17"/>
      <c r="J3761" s="17"/>
      <c r="P3761" s="17"/>
      <c r="Q3761" s="17"/>
    </row>
    <row r="3762" spans="2:17">
      <c r="B3762" s="17"/>
      <c r="C3762" s="16" t="str">
        <f>IFERROR(VLOOKUP(DATA!#REF!,DATA!#REF!,1,FALSE),"")</f>
        <v/>
      </c>
      <c r="D3762" s="16" t="str">
        <f>IFERROR(VLOOKUP(C3762,DATA!#REF!,2,FALSE),"")</f>
        <v/>
      </c>
      <c r="I3762" s="17"/>
      <c r="J3762" s="17"/>
      <c r="P3762" s="17"/>
      <c r="Q3762" s="17"/>
    </row>
    <row r="3763" spans="2:17">
      <c r="B3763" s="17"/>
      <c r="C3763" s="16" t="str">
        <f>IFERROR(VLOOKUP(DATA!#REF!,DATA!#REF!,1,FALSE),"")</f>
        <v/>
      </c>
      <c r="D3763" s="16" t="str">
        <f>IFERROR(VLOOKUP(C3763,DATA!#REF!,2,FALSE),"")</f>
        <v/>
      </c>
      <c r="I3763" s="17"/>
      <c r="J3763" s="17"/>
      <c r="P3763" s="17"/>
      <c r="Q3763" s="17"/>
    </row>
    <row r="3764" spans="2:17">
      <c r="B3764" s="17"/>
      <c r="C3764" s="16" t="str">
        <f>IFERROR(VLOOKUP(DATA!#REF!,DATA!#REF!,1,FALSE),"")</f>
        <v/>
      </c>
      <c r="D3764" s="16" t="str">
        <f>IFERROR(VLOOKUP(C3764,DATA!#REF!,2,FALSE),"")</f>
        <v/>
      </c>
      <c r="I3764" s="17"/>
      <c r="J3764" s="17"/>
      <c r="P3764" s="17"/>
      <c r="Q3764" s="17"/>
    </row>
    <row r="3765" spans="2:17">
      <c r="B3765" s="17"/>
      <c r="C3765" s="16" t="str">
        <f>IFERROR(VLOOKUP(DATA!#REF!,DATA!#REF!,1,FALSE),"")</f>
        <v/>
      </c>
      <c r="D3765" s="16" t="str">
        <f>IFERROR(VLOOKUP(C3765,DATA!#REF!,2,FALSE),"")</f>
        <v/>
      </c>
      <c r="I3765" s="17"/>
      <c r="J3765" s="17"/>
      <c r="P3765" s="17"/>
      <c r="Q3765" s="17"/>
    </row>
    <row r="3766" spans="2:17">
      <c r="B3766" s="17"/>
      <c r="C3766" s="16" t="str">
        <f>IFERROR(VLOOKUP(DATA!#REF!,DATA!#REF!,1,FALSE),"")</f>
        <v/>
      </c>
      <c r="D3766" s="16" t="str">
        <f>IFERROR(VLOOKUP(C3766,DATA!#REF!,2,FALSE),"")</f>
        <v/>
      </c>
      <c r="I3766" s="17"/>
      <c r="J3766" s="17"/>
      <c r="P3766" s="17"/>
      <c r="Q3766" s="17"/>
    </row>
    <row r="3767" spans="2:17">
      <c r="B3767" s="17"/>
      <c r="C3767" s="16" t="str">
        <f>IFERROR(VLOOKUP(DATA!#REF!,DATA!#REF!,1,FALSE),"")</f>
        <v/>
      </c>
      <c r="D3767" s="16" t="str">
        <f>IFERROR(VLOOKUP(C3767,DATA!#REF!,2,FALSE),"")</f>
        <v/>
      </c>
      <c r="I3767" s="17"/>
      <c r="J3767" s="17"/>
      <c r="P3767" s="17"/>
      <c r="Q3767" s="17"/>
    </row>
    <row r="3768" spans="2:17">
      <c r="B3768" s="17"/>
      <c r="C3768" s="16" t="str">
        <f>IFERROR(VLOOKUP(DATA!#REF!,DATA!#REF!,1,FALSE),"")</f>
        <v/>
      </c>
      <c r="D3768" s="16" t="str">
        <f>IFERROR(VLOOKUP(C3768,DATA!#REF!,2,FALSE),"")</f>
        <v/>
      </c>
      <c r="I3768" s="17"/>
      <c r="J3768" s="17"/>
      <c r="P3768" s="17"/>
      <c r="Q3768" s="17"/>
    </row>
    <row r="3769" spans="2:17">
      <c r="B3769" s="17"/>
      <c r="C3769" s="16" t="str">
        <f>IFERROR(VLOOKUP(DATA!#REF!,DATA!#REF!,1,FALSE),"")</f>
        <v/>
      </c>
      <c r="D3769" s="16" t="str">
        <f>IFERROR(VLOOKUP(C3769,DATA!#REF!,2,FALSE),"")</f>
        <v/>
      </c>
      <c r="I3769" s="17"/>
      <c r="J3769" s="17"/>
      <c r="P3769" s="17"/>
      <c r="Q3769" s="17"/>
    </row>
    <row r="3770" spans="2:17">
      <c r="B3770" s="17"/>
      <c r="C3770" s="16" t="str">
        <f>IFERROR(VLOOKUP(DATA!#REF!,DATA!#REF!,1,FALSE),"")</f>
        <v/>
      </c>
      <c r="D3770" s="16" t="str">
        <f>IFERROR(VLOOKUP(C3770,DATA!#REF!,2,FALSE),"")</f>
        <v/>
      </c>
      <c r="I3770" s="17"/>
      <c r="J3770" s="17"/>
      <c r="P3770" s="17"/>
      <c r="Q3770" s="17"/>
    </row>
    <row r="3771" spans="2:17">
      <c r="B3771" s="17"/>
      <c r="C3771" s="16" t="str">
        <f>IFERROR(VLOOKUP(DATA!#REF!,DATA!#REF!,1,FALSE),"")</f>
        <v/>
      </c>
      <c r="D3771" s="16" t="str">
        <f>IFERROR(VLOOKUP(C3771,DATA!#REF!,2,FALSE),"")</f>
        <v/>
      </c>
      <c r="I3771" s="17"/>
      <c r="J3771" s="17"/>
      <c r="P3771" s="17"/>
      <c r="Q3771" s="17"/>
    </row>
    <row r="3772" spans="2:17">
      <c r="B3772" s="17"/>
      <c r="C3772" s="16" t="str">
        <f>IFERROR(VLOOKUP(DATA!#REF!,DATA!#REF!,1,FALSE),"")</f>
        <v/>
      </c>
      <c r="D3772" s="16" t="str">
        <f>IFERROR(VLOOKUP(C3772,DATA!#REF!,2,FALSE),"")</f>
        <v/>
      </c>
      <c r="I3772" s="17"/>
      <c r="J3772" s="17"/>
      <c r="P3772" s="17"/>
      <c r="Q3772" s="17"/>
    </row>
    <row r="3773" spans="2:17">
      <c r="B3773" s="17"/>
      <c r="C3773" s="16" t="str">
        <f>IFERROR(VLOOKUP(DATA!#REF!,DATA!#REF!,1,FALSE),"")</f>
        <v/>
      </c>
      <c r="D3773" s="16" t="str">
        <f>IFERROR(VLOOKUP(C3773,DATA!#REF!,2,FALSE),"")</f>
        <v/>
      </c>
      <c r="I3773" s="17"/>
      <c r="J3773" s="17"/>
      <c r="P3773" s="17"/>
      <c r="Q3773" s="17"/>
    </row>
    <row r="3774" spans="2:17">
      <c r="B3774" s="17"/>
      <c r="C3774" s="16" t="str">
        <f>IFERROR(VLOOKUP(DATA!#REF!,DATA!#REF!,1,FALSE),"")</f>
        <v/>
      </c>
      <c r="D3774" s="16" t="str">
        <f>IFERROR(VLOOKUP(C3774,DATA!#REF!,2,FALSE),"")</f>
        <v/>
      </c>
      <c r="I3774" s="17"/>
      <c r="J3774" s="17"/>
      <c r="P3774" s="17"/>
      <c r="Q3774" s="17"/>
    </row>
    <row r="3775" spans="2:17">
      <c r="B3775" s="17"/>
      <c r="C3775" s="16" t="str">
        <f>IFERROR(VLOOKUP(DATA!#REF!,DATA!#REF!,1,FALSE),"")</f>
        <v/>
      </c>
      <c r="D3775" s="16" t="str">
        <f>IFERROR(VLOOKUP(C3775,DATA!#REF!,2,FALSE),"")</f>
        <v/>
      </c>
      <c r="I3775" s="17"/>
      <c r="J3775" s="17"/>
      <c r="P3775" s="17"/>
      <c r="Q3775" s="17"/>
    </row>
    <row r="3776" spans="2:17">
      <c r="B3776" s="17"/>
      <c r="C3776" s="16" t="str">
        <f>IFERROR(VLOOKUP(DATA!#REF!,DATA!#REF!,1,FALSE),"")</f>
        <v/>
      </c>
      <c r="D3776" s="16" t="str">
        <f>IFERROR(VLOOKUP(C3776,DATA!#REF!,2,FALSE),"")</f>
        <v/>
      </c>
      <c r="I3776" s="17"/>
      <c r="J3776" s="17"/>
      <c r="P3776" s="17"/>
      <c r="Q3776" s="17"/>
    </row>
    <row r="3777" spans="2:17">
      <c r="B3777" s="17"/>
      <c r="C3777" s="16" t="str">
        <f>IFERROR(VLOOKUP(DATA!#REF!,DATA!#REF!,1,FALSE),"")</f>
        <v/>
      </c>
      <c r="D3777" s="16" t="str">
        <f>IFERROR(VLOOKUP(C3777,DATA!#REF!,2,FALSE),"")</f>
        <v/>
      </c>
      <c r="I3777" s="17"/>
      <c r="J3777" s="17"/>
      <c r="P3777" s="17"/>
      <c r="Q3777" s="17"/>
    </row>
    <row r="3778" spans="2:17">
      <c r="B3778" s="17"/>
      <c r="C3778" s="16" t="str">
        <f>IFERROR(VLOOKUP(DATA!#REF!,DATA!#REF!,1,FALSE),"")</f>
        <v/>
      </c>
      <c r="D3778" s="16" t="str">
        <f>IFERROR(VLOOKUP(C3778,DATA!#REF!,2,FALSE),"")</f>
        <v/>
      </c>
      <c r="I3778" s="17"/>
      <c r="J3778" s="17"/>
      <c r="P3778" s="17"/>
      <c r="Q3778" s="17"/>
    </row>
    <row r="3779" spans="2:17">
      <c r="B3779" s="17"/>
      <c r="C3779" s="16" t="str">
        <f>IFERROR(VLOOKUP(DATA!#REF!,DATA!#REF!,1,FALSE),"")</f>
        <v/>
      </c>
      <c r="D3779" s="16" t="str">
        <f>IFERROR(VLOOKUP(C3779,DATA!#REF!,2,FALSE),"")</f>
        <v/>
      </c>
      <c r="I3779" s="17"/>
      <c r="J3779" s="17"/>
      <c r="P3779" s="17"/>
      <c r="Q3779" s="17"/>
    </row>
    <row r="3780" spans="2:17">
      <c r="B3780" s="17"/>
      <c r="C3780" s="16" t="str">
        <f>IFERROR(VLOOKUP(DATA!#REF!,DATA!#REF!,1,FALSE),"")</f>
        <v/>
      </c>
      <c r="D3780" s="16" t="str">
        <f>IFERROR(VLOOKUP(C3780,DATA!#REF!,2,FALSE),"")</f>
        <v/>
      </c>
      <c r="I3780" s="17"/>
      <c r="J3780" s="17"/>
      <c r="P3780" s="17"/>
      <c r="Q3780" s="17"/>
    </row>
    <row r="3781" spans="2:17">
      <c r="B3781" s="17"/>
      <c r="C3781" s="16" t="str">
        <f>IFERROR(VLOOKUP(DATA!#REF!,DATA!#REF!,1,FALSE),"")</f>
        <v/>
      </c>
      <c r="D3781" s="16" t="str">
        <f>IFERROR(VLOOKUP(C3781,DATA!#REF!,2,FALSE),"")</f>
        <v/>
      </c>
      <c r="I3781" s="17"/>
      <c r="J3781" s="17"/>
      <c r="P3781" s="17"/>
      <c r="Q3781" s="17"/>
    </row>
    <row r="3782" spans="2:17">
      <c r="B3782" s="17"/>
      <c r="C3782" s="16" t="str">
        <f>IFERROR(VLOOKUP(DATA!#REF!,DATA!#REF!,1,FALSE),"")</f>
        <v/>
      </c>
      <c r="D3782" s="16" t="str">
        <f>IFERROR(VLOOKUP(C3782,DATA!#REF!,2,FALSE),"")</f>
        <v/>
      </c>
      <c r="I3782" s="17"/>
      <c r="J3782" s="17"/>
      <c r="P3782" s="17"/>
      <c r="Q3782" s="17"/>
    </row>
    <row r="3783" spans="2:17">
      <c r="B3783" s="17"/>
      <c r="C3783" s="16" t="str">
        <f>IFERROR(VLOOKUP(DATA!#REF!,DATA!#REF!,1,FALSE),"")</f>
        <v/>
      </c>
      <c r="D3783" s="16" t="str">
        <f>IFERROR(VLOOKUP(C3783,DATA!#REF!,2,FALSE),"")</f>
        <v/>
      </c>
      <c r="I3783" s="17"/>
      <c r="J3783" s="17"/>
      <c r="P3783" s="17"/>
      <c r="Q3783" s="17"/>
    </row>
    <row r="3784" spans="2:17">
      <c r="B3784" s="17"/>
      <c r="C3784" s="16" t="str">
        <f>IFERROR(VLOOKUP(DATA!#REF!,DATA!#REF!,1,FALSE),"")</f>
        <v/>
      </c>
      <c r="D3784" s="16" t="str">
        <f>IFERROR(VLOOKUP(C3784,DATA!#REF!,2,FALSE),"")</f>
        <v/>
      </c>
      <c r="I3784" s="17"/>
      <c r="J3784" s="17"/>
      <c r="P3784" s="17"/>
      <c r="Q3784" s="17"/>
    </row>
    <row r="3785" spans="2:17">
      <c r="B3785" s="17"/>
      <c r="C3785" s="16" t="str">
        <f>IFERROR(VLOOKUP(DATA!#REF!,DATA!#REF!,1,FALSE),"")</f>
        <v/>
      </c>
      <c r="D3785" s="16" t="str">
        <f>IFERROR(VLOOKUP(C3785,DATA!#REF!,2,FALSE),"")</f>
        <v/>
      </c>
      <c r="I3785" s="17"/>
      <c r="J3785" s="17"/>
      <c r="P3785" s="17"/>
      <c r="Q3785" s="17"/>
    </row>
    <row r="3786" spans="2:17">
      <c r="B3786" s="17"/>
      <c r="C3786" s="16" t="str">
        <f>IFERROR(VLOOKUP(DATA!#REF!,DATA!#REF!,1,FALSE),"")</f>
        <v/>
      </c>
      <c r="D3786" s="16" t="str">
        <f>IFERROR(VLOOKUP(C3786,DATA!#REF!,2,FALSE),"")</f>
        <v/>
      </c>
      <c r="I3786" s="17"/>
      <c r="J3786" s="17"/>
      <c r="P3786" s="17"/>
      <c r="Q3786" s="17"/>
    </row>
    <row r="3787" spans="2:17">
      <c r="B3787" s="17"/>
      <c r="C3787" s="16" t="str">
        <f>IFERROR(VLOOKUP(DATA!#REF!,DATA!#REF!,1,FALSE),"")</f>
        <v/>
      </c>
      <c r="D3787" s="16" t="str">
        <f>IFERROR(VLOOKUP(C3787,DATA!#REF!,2,FALSE),"")</f>
        <v/>
      </c>
      <c r="I3787" s="17"/>
      <c r="J3787" s="17"/>
      <c r="P3787" s="17"/>
      <c r="Q3787" s="17"/>
    </row>
    <row r="3788" spans="2:17">
      <c r="B3788" s="17"/>
      <c r="C3788" s="16" t="str">
        <f>IFERROR(VLOOKUP(DATA!#REF!,DATA!#REF!,1,FALSE),"")</f>
        <v/>
      </c>
      <c r="D3788" s="16" t="str">
        <f>IFERROR(VLOOKUP(C3788,DATA!#REF!,2,FALSE),"")</f>
        <v/>
      </c>
      <c r="I3788" s="17"/>
      <c r="J3788" s="17"/>
      <c r="P3788" s="17"/>
      <c r="Q3788" s="17"/>
    </row>
    <row r="3789" spans="2:17">
      <c r="B3789" s="17"/>
      <c r="C3789" s="16" t="str">
        <f>IFERROR(VLOOKUP(DATA!#REF!,DATA!#REF!,1,FALSE),"")</f>
        <v/>
      </c>
      <c r="D3789" s="16" t="str">
        <f>IFERROR(VLOOKUP(C3789,DATA!#REF!,2,FALSE),"")</f>
        <v/>
      </c>
      <c r="I3789" s="17"/>
      <c r="J3789" s="17"/>
      <c r="P3789" s="17"/>
      <c r="Q3789" s="17"/>
    </row>
    <row r="3790" spans="2:17">
      <c r="B3790" s="17"/>
      <c r="C3790" s="16" t="str">
        <f>IFERROR(VLOOKUP(DATA!#REF!,DATA!#REF!,1,FALSE),"")</f>
        <v/>
      </c>
      <c r="D3790" s="16" t="str">
        <f>IFERROR(VLOOKUP(C3790,DATA!#REF!,2,FALSE),"")</f>
        <v/>
      </c>
      <c r="I3790" s="17"/>
      <c r="J3790" s="17"/>
      <c r="P3790" s="17"/>
      <c r="Q3790" s="17"/>
    </row>
    <row r="3791" spans="2:17">
      <c r="B3791" s="17"/>
      <c r="C3791" s="16" t="str">
        <f>IFERROR(VLOOKUP(DATA!#REF!,DATA!#REF!,1,FALSE),"")</f>
        <v/>
      </c>
      <c r="D3791" s="16" t="str">
        <f>IFERROR(VLOOKUP(C3791,DATA!#REF!,2,FALSE),"")</f>
        <v/>
      </c>
      <c r="I3791" s="17"/>
      <c r="J3791" s="17"/>
      <c r="P3791" s="17"/>
      <c r="Q3791" s="17"/>
    </row>
    <row r="3792" spans="2:17">
      <c r="B3792" s="17"/>
      <c r="C3792" s="16" t="str">
        <f>IFERROR(VLOOKUP(DATA!#REF!,DATA!#REF!,1,FALSE),"")</f>
        <v/>
      </c>
      <c r="D3792" s="16" t="str">
        <f>IFERROR(VLOOKUP(C3792,DATA!#REF!,2,FALSE),"")</f>
        <v/>
      </c>
      <c r="I3792" s="17"/>
      <c r="J3792" s="17"/>
      <c r="P3792" s="17"/>
      <c r="Q3792" s="17"/>
    </row>
    <row r="3793" spans="2:17">
      <c r="B3793" s="17"/>
      <c r="C3793" s="16" t="str">
        <f>IFERROR(VLOOKUP(DATA!#REF!,DATA!#REF!,1,FALSE),"")</f>
        <v/>
      </c>
      <c r="D3793" s="16" t="str">
        <f>IFERROR(VLOOKUP(C3793,DATA!#REF!,2,FALSE),"")</f>
        <v/>
      </c>
      <c r="I3793" s="17"/>
      <c r="J3793" s="17"/>
      <c r="P3793" s="17"/>
      <c r="Q3793" s="17"/>
    </row>
    <row r="3794" spans="2:17">
      <c r="B3794" s="17"/>
      <c r="C3794" s="16" t="str">
        <f>IFERROR(VLOOKUP(DATA!#REF!,DATA!#REF!,1,FALSE),"")</f>
        <v/>
      </c>
      <c r="D3794" s="16" t="str">
        <f>IFERROR(VLOOKUP(C3794,DATA!#REF!,2,FALSE),"")</f>
        <v/>
      </c>
      <c r="I3794" s="17"/>
      <c r="J3794" s="17"/>
      <c r="P3794" s="17"/>
      <c r="Q3794" s="17"/>
    </row>
    <row r="3795" spans="2:17">
      <c r="B3795" s="17"/>
      <c r="C3795" s="16" t="str">
        <f>IFERROR(VLOOKUP(DATA!#REF!,DATA!#REF!,1,FALSE),"")</f>
        <v/>
      </c>
      <c r="D3795" s="16" t="str">
        <f>IFERROR(VLOOKUP(C3795,DATA!#REF!,2,FALSE),"")</f>
        <v/>
      </c>
      <c r="I3795" s="17"/>
      <c r="J3795" s="17"/>
      <c r="P3795" s="17"/>
      <c r="Q3795" s="17"/>
    </row>
    <row r="3796" spans="2:17">
      <c r="B3796" s="17"/>
      <c r="C3796" s="16" t="str">
        <f>IFERROR(VLOOKUP(DATA!#REF!,DATA!#REF!,1,FALSE),"")</f>
        <v/>
      </c>
      <c r="D3796" s="16" t="str">
        <f>IFERROR(VLOOKUP(C3796,DATA!#REF!,2,FALSE),"")</f>
        <v/>
      </c>
      <c r="I3796" s="17"/>
      <c r="J3796" s="17"/>
      <c r="P3796" s="17"/>
      <c r="Q3796" s="17"/>
    </row>
    <row r="3797" spans="2:17">
      <c r="B3797" s="17"/>
      <c r="C3797" s="16" t="str">
        <f>IFERROR(VLOOKUP(DATA!#REF!,DATA!#REF!,1,FALSE),"")</f>
        <v/>
      </c>
      <c r="D3797" s="16" t="str">
        <f>IFERROR(VLOOKUP(C3797,DATA!#REF!,2,FALSE),"")</f>
        <v/>
      </c>
      <c r="I3797" s="17"/>
      <c r="J3797" s="17"/>
      <c r="P3797" s="17"/>
      <c r="Q3797" s="17"/>
    </row>
    <row r="3798" spans="2:17">
      <c r="B3798" s="17"/>
      <c r="C3798" s="16" t="str">
        <f>IFERROR(VLOOKUP(DATA!#REF!,DATA!#REF!,1,FALSE),"")</f>
        <v/>
      </c>
      <c r="D3798" s="16" t="str">
        <f>IFERROR(VLOOKUP(C3798,DATA!#REF!,2,FALSE),"")</f>
        <v/>
      </c>
      <c r="I3798" s="17"/>
      <c r="J3798" s="17"/>
      <c r="P3798" s="17"/>
      <c r="Q3798" s="17"/>
    </row>
    <row r="3799" spans="2:17">
      <c r="B3799" s="17"/>
      <c r="C3799" s="16" t="str">
        <f>IFERROR(VLOOKUP(DATA!#REF!,DATA!#REF!,1,FALSE),"")</f>
        <v/>
      </c>
      <c r="D3799" s="16" t="str">
        <f>IFERROR(VLOOKUP(C3799,DATA!#REF!,2,FALSE),"")</f>
        <v/>
      </c>
      <c r="I3799" s="17"/>
      <c r="J3799" s="17"/>
      <c r="P3799" s="17"/>
      <c r="Q3799" s="17"/>
    </row>
    <row r="3800" spans="2:17">
      <c r="B3800" s="17"/>
      <c r="C3800" s="16" t="str">
        <f>IFERROR(VLOOKUP(DATA!#REF!,DATA!#REF!,1,FALSE),"")</f>
        <v/>
      </c>
      <c r="D3800" s="16" t="str">
        <f>IFERROR(VLOOKUP(C3800,DATA!#REF!,2,FALSE),"")</f>
        <v/>
      </c>
      <c r="I3800" s="17"/>
      <c r="J3800" s="17"/>
      <c r="P3800" s="17"/>
      <c r="Q3800" s="17"/>
    </row>
    <row r="3801" spans="2:17">
      <c r="B3801" s="17"/>
      <c r="C3801" s="16" t="str">
        <f>IFERROR(VLOOKUP(DATA!#REF!,DATA!#REF!,1,FALSE),"")</f>
        <v/>
      </c>
      <c r="D3801" s="16" t="str">
        <f>IFERROR(VLOOKUP(C3801,DATA!#REF!,2,FALSE),"")</f>
        <v/>
      </c>
      <c r="I3801" s="17"/>
      <c r="J3801" s="17"/>
      <c r="P3801" s="17"/>
      <c r="Q3801" s="17"/>
    </row>
    <row r="3802" spans="2:17">
      <c r="B3802" s="17"/>
      <c r="C3802" s="16" t="str">
        <f>IFERROR(VLOOKUP(DATA!#REF!,DATA!#REF!,1,FALSE),"")</f>
        <v/>
      </c>
      <c r="D3802" s="16" t="str">
        <f>IFERROR(VLOOKUP(C3802,DATA!#REF!,2,FALSE),"")</f>
        <v/>
      </c>
      <c r="I3802" s="17"/>
      <c r="J3802" s="17"/>
      <c r="P3802" s="17"/>
      <c r="Q3802" s="17"/>
    </row>
    <row r="3803" spans="2:17">
      <c r="B3803" s="17"/>
      <c r="C3803" s="16" t="str">
        <f>IFERROR(VLOOKUP(DATA!#REF!,DATA!#REF!,1,FALSE),"")</f>
        <v/>
      </c>
      <c r="D3803" s="16" t="str">
        <f>IFERROR(VLOOKUP(C3803,DATA!#REF!,2,FALSE),"")</f>
        <v/>
      </c>
      <c r="I3803" s="17"/>
      <c r="J3803" s="17"/>
      <c r="P3803" s="17"/>
      <c r="Q3803" s="17"/>
    </row>
    <row r="3804" spans="2:17">
      <c r="B3804" s="17"/>
      <c r="C3804" s="16" t="str">
        <f>IFERROR(VLOOKUP(DATA!#REF!,DATA!#REF!,1,FALSE),"")</f>
        <v/>
      </c>
      <c r="D3804" s="16" t="str">
        <f>IFERROR(VLOOKUP(C3804,DATA!#REF!,2,FALSE),"")</f>
        <v/>
      </c>
      <c r="I3804" s="17"/>
      <c r="J3804" s="17"/>
      <c r="P3804" s="17"/>
      <c r="Q3804" s="17"/>
    </row>
    <row r="3805" spans="2:17">
      <c r="B3805" s="17"/>
      <c r="C3805" s="16" t="str">
        <f>IFERROR(VLOOKUP(DATA!#REF!,DATA!#REF!,1,FALSE),"")</f>
        <v/>
      </c>
      <c r="D3805" s="16" t="str">
        <f>IFERROR(VLOOKUP(C3805,DATA!#REF!,2,FALSE),"")</f>
        <v/>
      </c>
      <c r="I3805" s="17"/>
      <c r="J3805" s="17"/>
      <c r="P3805" s="17"/>
      <c r="Q3805" s="17"/>
    </row>
    <row r="3806" spans="2:17">
      <c r="B3806" s="17"/>
      <c r="C3806" s="16" t="str">
        <f>IFERROR(VLOOKUP(DATA!#REF!,DATA!#REF!,1,FALSE),"")</f>
        <v/>
      </c>
      <c r="D3806" s="16" t="str">
        <f>IFERROR(VLOOKUP(C3806,DATA!#REF!,2,FALSE),"")</f>
        <v/>
      </c>
      <c r="I3806" s="17"/>
      <c r="J3806" s="17"/>
      <c r="P3806" s="17"/>
      <c r="Q3806" s="17"/>
    </row>
    <row r="3807" spans="2:17">
      <c r="B3807" s="17"/>
      <c r="C3807" s="16" t="str">
        <f>IFERROR(VLOOKUP(DATA!#REF!,DATA!#REF!,1,FALSE),"")</f>
        <v/>
      </c>
      <c r="D3807" s="16" t="str">
        <f>IFERROR(VLOOKUP(C3807,DATA!#REF!,2,FALSE),"")</f>
        <v/>
      </c>
      <c r="I3807" s="17"/>
      <c r="J3807" s="17"/>
      <c r="P3807" s="17"/>
      <c r="Q3807" s="17"/>
    </row>
    <row r="3808" spans="2:17">
      <c r="B3808" s="17"/>
      <c r="C3808" s="16" t="str">
        <f>IFERROR(VLOOKUP(DATA!#REF!,DATA!#REF!,1,FALSE),"")</f>
        <v/>
      </c>
      <c r="D3808" s="16" t="str">
        <f>IFERROR(VLOOKUP(C3808,DATA!#REF!,2,FALSE),"")</f>
        <v/>
      </c>
      <c r="I3808" s="17"/>
      <c r="J3808" s="17"/>
      <c r="P3808" s="17"/>
      <c r="Q3808" s="17"/>
    </row>
    <row r="3809" spans="2:17">
      <c r="B3809" s="17"/>
      <c r="C3809" s="16" t="str">
        <f>IFERROR(VLOOKUP(DATA!#REF!,DATA!#REF!,1,FALSE),"")</f>
        <v/>
      </c>
      <c r="D3809" s="16" t="str">
        <f>IFERROR(VLOOKUP(C3809,DATA!#REF!,2,FALSE),"")</f>
        <v/>
      </c>
      <c r="I3809" s="17"/>
      <c r="J3809" s="17"/>
      <c r="P3809" s="17"/>
      <c r="Q3809" s="17"/>
    </row>
    <row r="3810" spans="2:17">
      <c r="B3810" s="17"/>
      <c r="C3810" s="16" t="str">
        <f>IFERROR(VLOOKUP(DATA!#REF!,DATA!#REF!,1,FALSE),"")</f>
        <v/>
      </c>
      <c r="D3810" s="16" t="str">
        <f>IFERROR(VLOOKUP(C3810,DATA!#REF!,2,FALSE),"")</f>
        <v/>
      </c>
      <c r="I3810" s="17"/>
      <c r="J3810" s="17"/>
      <c r="P3810" s="17"/>
      <c r="Q3810" s="17"/>
    </row>
    <row r="3811" spans="2:17">
      <c r="B3811" s="17"/>
      <c r="C3811" s="16" t="str">
        <f>IFERROR(VLOOKUP(DATA!#REF!,DATA!#REF!,1,FALSE),"")</f>
        <v/>
      </c>
      <c r="D3811" s="16" t="str">
        <f>IFERROR(VLOOKUP(C3811,DATA!#REF!,2,FALSE),"")</f>
        <v/>
      </c>
      <c r="I3811" s="17"/>
      <c r="J3811" s="17"/>
      <c r="P3811" s="17"/>
      <c r="Q3811" s="17"/>
    </row>
    <row r="3812" spans="2:17">
      <c r="B3812" s="17"/>
      <c r="C3812" s="16" t="str">
        <f>IFERROR(VLOOKUP(DATA!#REF!,DATA!#REF!,1,FALSE),"")</f>
        <v/>
      </c>
      <c r="D3812" s="16" t="str">
        <f>IFERROR(VLOOKUP(C3812,DATA!#REF!,2,FALSE),"")</f>
        <v/>
      </c>
      <c r="I3812" s="17"/>
      <c r="J3812" s="17"/>
      <c r="P3812" s="17"/>
      <c r="Q3812" s="17"/>
    </row>
    <row r="3813" spans="2:17">
      <c r="B3813" s="17"/>
      <c r="C3813" s="16" t="str">
        <f>IFERROR(VLOOKUP(DATA!#REF!,DATA!#REF!,1,FALSE),"")</f>
        <v/>
      </c>
      <c r="D3813" s="16" t="str">
        <f>IFERROR(VLOOKUP(C3813,DATA!#REF!,2,FALSE),"")</f>
        <v/>
      </c>
      <c r="I3813" s="17"/>
      <c r="J3813" s="17"/>
      <c r="P3813" s="17"/>
      <c r="Q3813" s="17"/>
    </row>
    <row r="3814" spans="2:17">
      <c r="B3814" s="17"/>
      <c r="C3814" s="16" t="str">
        <f>IFERROR(VLOOKUP(DATA!#REF!,DATA!#REF!,1,FALSE),"")</f>
        <v/>
      </c>
      <c r="D3814" s="16" t="str">
        <f>IFERROR(VLOOKUP(C3814,DATA!#REF!,2,FALSE),"")</f>
        <v/>
      </c>
      <c r="I3814" s="17"/>
      <c r="J3814" s="17"/>
      <c r="P3814" s="17"/>
      <c r="Q3814" s="17"/>
    </row>
    <row r="3815" spans="2:17">
      <c r="B3815" s="17"/>
      <c r="C3815" s="16" t="str">
        <f>IFERROR(VLOOKUP(DATA!#REF!,DATA!#REF!,1,FALSE),"")</f>
        <v/>
      </c>
      <c r="D3815" s="16" t="str">
        <f>IFERROR(VLOOKUP(C3815,DATA!#REF!,2,FALSE),"")</f>
        <v/>
      </c>
      <c r="I3815" s="17"/>
      <c r="J3815" s="17"/>
      <c r="P3815" s="17"/>
      <c r="Q3815" s="17"/>
    </row>
    <row r="3816" spans="2:17">
      <c r="B3816" s="17"/>
      <c r="C3816" s="16" t="str">
        <f>IFERROR(VLOOKUP(DATA!#REF!,DATA!#REF!,1,FALSE),"")</f>
        <v/>
      </c>
      <c r="D3816" s="16" t="str">
        <f>IFERROR(VLOOKUP(C3816,DATA!#REF!,2,FALSE),"")</f>
        <v/>
      </c>
      <c r="I3816" s="17"/>
      <c r="J3816" s="17"/>
      <c r="P3816" s="17"/>
      <c r="Q3816" s="17"/>
    </row>
    <row r="3817" spans="2:17">
      <c r="B3817" s="17"/>
      <c r="C3817" s="16" t="str">
        <f>IFERROR(VLOOKUP(DATA!#REF!,DATA!#REF!,1,FALSE),"")</f>
        <v/>
      </c>
      <c r="D3817" s="16" t="str">
        <f>IFERROR(VLOOKUP(C3817,DATA!#REF!,2,FALSE),"")</f>
        <v/>
      </c>
      <c r="I3817" s="17"/>
      <c r="J3817" s="17"/>
      <c r="P3817" s="17"/>
      <c r="Q3817" s="17"/>
    </row>
    <row r="3818" spans="2:17">
      <c r="B3818" s="17"/>
      <c r="C3818" s="16" t="str">
        <f>IFERROR(VLOOKUP(DATA!#REF!,DATA!#REF!,1,FALSE),"")</f>
        <v/>
      </c>
      <c r="D3818" s="16" t="str">
        <f>IFERROR(VLOOKUP(C3818,DATA!#REF!,2,FALSE),"")</f>
        <v/>
      </c>
      <c r="I3818" s="17"/>
      <c r="J3818" s="17"/>
      <c r="P3818" s="17"/>
      <c r="Q3818" s="17"/>
    </row>
    <row r="3819" spans="2:17">
      <c r="B3819" s="17"/>
      <c r="C3819" s="16" t="str">
        <f>IFERROR(VLOOKUP(DATA!#REF!,DATA!#REF!,1,FALSE),"")</f>
        <v/>
      </c>
      <c r="D3819" s="16" t="str">
        <f>IFERROR(VLOOKUP(C3819,DATA!#REF!,2,FALSE),"")</f>
        <v/>
      </c>
      <c r="I3819" s="17"/>
      <c r="J3819" s="17"/>
      <c r="P3819" s="17"/>
      <c r="Q3819" s="17"/>
    </row>
    <row r="3820" spans="2:17">
      <c r="B3820" s="17"/>
      <c r="C3820" s="16" t="str">
        <f>IFERROR(VLOOKUP(DATA!#REF!,DATA!#REF!,1,FALSE),"")</f>
        <v/>
      </c>
      <c r="D3820" s="16" t="str">
        <f>IFERROR(VLOOKUP(C3820,DATA!#REF!,2,FALSE),"")</f>
        <v/>
      </c>
      <c r="I3820" s="17"/>
      <c r="J3820" s="17"/>
      <c r="P3820" s="17"/>
      <c r="Q3820" s="17"/>
    </row>
    <row r="3821" spans="2:17">
      <c r="B3821" s="17"/>
      <c r="C3821" s="16" t="str">
        <f>IFERROR(VLOOKUP(DATA!#REF!,DATA!#REF!,1,FALSE),"")</f>
        <v/>
      </c>
      <c r="D3821" s="16" t="str">
        <f>IFERROR(VLOOKUP(C3821,DATA!#REF!,2,FALSE),"")</f>
        <v/>
      </c>
      <c r="I3821" s="17"/>
      <c r="J3821" s="17"/>
      <c r="P3821" s="17"/>
      <c r="Q3821" s="17"/>
    </row>
    <row r="3822" spans="2:17">
      <c r="B3822" s="17"/>
      <c r="C3822" s="16" t="str">
        <f>IFERROR(VLOOKUP(DATA!#REF!,DATA!#REF!,1,FALSE),"")</f>
        <v/>
      </c>
      <c r="D3822" s="16" t="str">
        <f>IFERROR(VLOOKUP(C3822,DATA!#REF!,2,FALSE),"")</f>
        <v/>
      </c>
      <c r="I3822" s="17"/>
      <c r="J3822" s="17"/>
      <c r="P3822" s="17"/>
      <c r="Q3822" s="17"/>
    </row>
    <row r="3823" spans="2:17">
      <c r="B3823" s="17"/>
      <c r="C3823" s="16" t="str">
        <f>IFERROR(VLOOKUP(DATA!#REF!,DATA!#REF!,1,FALSE),"")</f>
        <v/>
      </c>
      <c r="D3823" s="16" t="str">
        <f>IFERROR(VLOOKUP(C3823,DATA!#REF!,2,FALSE),"")</f>
        <v/>
      </c>
      <c r="I3823" s="17"/>
      <c r="J3823" s="17"/>
      <c r="P3823" s="17"/>
      <c r="Q3823" s="17"/>
    </row>
    <row r="3824" spans="2:17">
      <c r="B3824" s="17"/>
      <c r="C3824" s="16" t="str">
        <f>IFERROR(VLOOKUP(DATA!#REF!,DATA!#REF!,1,FALSE),"")</f>
        <v/>
      </c>
      <c r="D3824" s="16" t="str">
        <f>IFERROR(VLOOKUP(C3824,DATA!#REF!,2,FALSE),"")</f>
        <v/>
      </c>
      <c r="I3824" s="17"/>
      <c r="J3824" s="17"/>
      <c r="P3824" s="17"/>
      <c r="Q3824" s="17"/>
    </row>
    <row r="3825" spans="2:17">
      <c r="B3825" s="17"/>
      <c r="C3825" s="16" t="str">
        <f>IFERROR(VLOOKUP(DATA!#REF!,DATA!#REF!,1,FALSE),"")</f>
        <v/>
      </c>
      <c r="D3825" s="16" t="str">
        <f>IFERROR(VLOOKUP(C3825,DATA!#REF!,2,FALSE),"")</f>
        <v/>
      </c>
      <c r="I3825" s="17"/>
      <c r="J3825" s="17"/>
      <c r="P3825" s="17"/>
      <c r="Q3825" s="17"/>
    </row>
    <row r="3826" spans="2:17">
      <c r="B3826" s="17"/>
      <c r="C3826" s="16" t="str">
        <f>IFERROR(VLOOKUP(DATA!#REF!,DATA!#REF!,1,FALSE),"")</f>
        <v/>
      </c>
      <c r="D3826" s="16" t="str">
        <f>IFERROR(VLOOKUP(C3826,DATA!#REF!,2,FALSE),"")</f>
        <v/>
      </c>
      <c r="I3826" s="17"/>
      <c r="J3826" s="17"/>
      <c r="P3826" s="17"/>
      <c r="Q3826" s="17"/>
    </row>
    <row r="3827" spans="2:17">
      <c r="B3827" s="17"/>
      <c r="C3827" s="16" t="str">
        <f>IFERROR(VLOOKUP(DATA!#REF!,DATA!#REF!,1,FALSE),"")</f>
        <v/>
      </c>
      <c r="D3827" s="16" t="str">
        <f>IFERROR(VLOOKUP(C3827,DATA!#REF!,2,FALSE),"")</f>
        <v/>
      </c>
      <c r="I3827" s="17"/>
      <c r="J3827" s="17"/>
      <c r="P3827" s="17"/>
      <c r="Q3827" s="17"/>
    </row>
    <row r="3828" spans="2:17">
      <c r="B3828" s="17"/>
      <c r="C3828" s="16" t="str">
        <f>IFERROR(VLOOKUP(DATA!#REF!,DATA!#REF!,1,FALSE),"")</f>
        <v/>
      </c>
      <c r="D3828" s="16" t="str">
        <f>IFERROR(VLOOKUP(C3828,DATA!#REF!,2,FALSE),"")</f>
        <v/>
      </c>
      <c r="I3828" s="17"/>
      <c r="J3828" s="17"/>
      <c r="P3828" s="17"/>
      <c r="Q3828" s="17"/>
    </row>
    <row r="3829" spans="2:17">
      <c r="B3829" s="17"/>
      <c r="C3829" s="16" t="str">
        <f>IFERROR(VLOOKUP(DATA!#REF!,DATA!#REF!,1,FALSE),"")</f>
        <v/>
      </c>
      <c r="D3829" s="16" t="str">
        <f>IFERROR(VLOOKUP(C3829,DATA!#REF!,2,FALSE),"")</f>
        <v/>
      </c>
      <c r="I3829" s="17"/>
      <c r="J3829" s="17"/>
      <c r="P3829" s="17"/>
      <c r="Q3829" s="17"/>
    </row>
    <row r="3830" spans="2:17">
      <c r="B3830" s="17"/>
      <c r="C3830" s="16" t="str">
        <f>IFERROR(VLOOKUP(DATA!#REF!,DATA!#REF!,1,FALSE),"")</f>
        <v/>
      </c>
      <c r="D3830" s="16" t="str">
        <f>IFERROR(VLOOKUP(C3830,DATA!#REF!,2,FALSE),"")</f>
        <v/>
      </c>
      <c r="I3830" s="17"/>
      <c r="J3830" s="17"/>
      <c r="P3830" s="17"/>
      <c r="Q3830" s="17"/>
    </row>
    <row r="3831" spans="2:17">
      <c r="B3831" s="17"/>
      <c r="C3831" s="16" t="str">
        <f>IFERROR(VLOOKUP(DATA!#REF!,DATA!#REF!,1,FALSE),"")</f>
        <v/>
      </c>
      <c r="D3831" s="16" t="str">
        <f>IFERROR(VLOOKUP(C3831,DATA!#REF!,2,FALSE),"")</f>
        <v/>
      </c>
      <c r="I3831" s="17"/>
      <c r="J3831" s="17"/>
      <c r="P3831" s="17"/>
      <c r="Q3831" s="17"/>
    </row>
    <row r="3832" spans="2:17">
      <c r="B3832" s="17"/>
      <c r="C3832" s="16" t="str">
        <f>IFERROR(VLOOKUP(DATA!#REF!,DATA!#REF!,1,FALSE),"")</f>
        <v/>
      </c>
      <c r="D3832" s="16" t="str">
        <f>IFERROR(VLOOKUP(C3832,DATA!#REF!,2,FALSE),"")</f>
        <v/>
      </c>
      <c r="I3832" s="17"/>
      <c r="J3832" s="17"/>
      <c r="P3832" s="17"/>
      <c r="Q3832" s="17"/>
    </row>
    <row r="3833" spans="2:17">
      <c r="B3833" s="17"/>
      <c r="C3833" s="16" t="str">
        <f>IFERROR(VLOOKUP(DATA!#REF!,DATA!#REF!,1,FALSE),"")</f>
        <v/>
      </c>
      <c r="D3833" s="16" t="str">
        <f>IFERROR(VLOOKUP(C3833,DATA!#REF!,2,FALSE),"")</f>
        <v/>
      </c>
      <c r="I3833" s="17"/>
      <c r="J3833" s="17"/>
      <c r="P3833" s="17"/>
      <c r="Q3833" s="17"/>
    </row>
    <row r="3834" spans="2:17">
      <c r="B3834" s="17"/>
      <c r="C3834" s="16" t="str">
        <f>IFERROR(VLOOKUP(DATA!#REF!,DATA!#REF!,1,FALSE),"")</f>
        <v/>
      </c>
      <c r="D3834" s="16" t="str">
        <f>IFERROR(VLOOKUP(C3834,DATA!#REF!,2,FALSE),"")</f>
        <v/>
      </c>
      <c r="I3834" s="17"/>
      <c r="J3834" s="17"/>
      <c r="P3834" s="17"/>
      <c r="Q3834" s="17"/>
    </row>
    <row r="3835" spans="2:17">
      <c r="B3835" s="17"/>
      <c r="C3835" s="16" t="str">
        <f>IFERROR(VLOOKUP(DATA!#REF!,DATA!#REF!,1,FALSE),"")</f>
        <v/>
      </c>
      <c r="D3835" s="16" t="str">
        <f>IFERROR(VLOOKUP(C3835,DATA!#REF!,2,FALSE),"")</f>
        <v/>
      </c>
      <c r="I3835" s="17"/>
      <c r="J3835" s="17"/>
      <c r="P3835" s="17"/>
      <c r="Q3835" s="17"/>
    </row>
    <row r="3836" spans="2:17">
      <c r="B3836" s="17"/>
      <c r="C3836" s="16" t="str">
        <f>IFERROR(VLOOKUP(DATA!#REF!,DATA!#REF!,1,FALSE),"")</f>
        <v/>
      </c>
      <c r="D3836" s="16" t="str">
        <f>IFERROR(VLOOKUP(C3836,DATA!#REF!,2,FALSE),"")</f>
        <v/>
      </c>
      <c r="I3836" s="17"/>
      <c r="J3836" s="17"/>
      <c r="P3836" s="17"/>
      <c r="Q3836" s="17"/>
    </row>
    <row r="3837" spans="2:17">
      <c r="B3837" s="17"/>
      <c r="C3837" s="16" t="str">
        <f>IFERROR(VLOOKUP(DATA!#REF!,DATA!#REF!,1,FALSE),"")</f>
        <v/>
      </c>
      <c r="D3837" s="16" t="str">
        <f>IFERROR(VLOOKUP(C3837,DATA!#REF!,2,FALSE),"")</f>
        <v/>
      </c>
      <c r="I3837" s="17"/>
      <c r="J3837" s="17"/>
      <c r="P3837" s="17"/>
      <c r="Q3837" s="17"/>
    </row>
    <row r="3838" spans="2:17">
      <c r="B3838" s="17"/>
      <c r="C3838" s="16" t="str">
        <f>IFERROR(VLOOKUP(DATA!#REF!,DATA!#REF!,1,FALSE),"")</f>
        <v/>
      </c>
      <c r="D3838" s="16" t="str">
        <f>IFERROR(VLOOKUP(C3838,DATA!#REF!,2,FALSE),"")</f>
        <v/>
      </c>
      <c r="I3838" s="17"/>
      <c r="J3838" s="17"/>
      <c r="P3838" s="17"/>
      <c r="Q3838" s="17"/>
    </row>
    <row r="3839" spans="2:17">
      <c r="B3839" s="17"/>
      <c r="C3839" s="16" t="str">
        <f>IFERROR(VLOOKUP(DATA!#REF!,DATA!#REF!,1,FALSE),"")</f>
        <v/>
      </c>
      <c r="D3839" s="16" t="str">
        <f>IFERROR(VLOOKUP(C3839,DATA!#REF!,2,FALSE),"")</f>
        <v/>
      </c>
      <c r="I3839" s="17"/>
      <c r="J3839" s="17"/>
      <c r="P3839" s="17"/>
      <c r="Q3839" s="17"/>
    </row>
    <row r="3840" spans="2:17">
      <c r="B3840" s="17"/>
      <c r="C3840" s="16" t="str">
        <f>IFERROR(VLOOKUP(DATA!#REF!,DATA!#REF!,1,FALSE),"")</f>
        <v/>
      </c>
      <c r="D3840" s="16" t="str">
        <f>IFERROR(VLOOKUP(C3840,DATA!#REF!,2,FALSE),"")</f>
        <v/>
      </c>
      <c r="I3840" s="17"/>
      <c r="J3840" s="17"/>
      <c r="P3840" s="17"/>
      <c r="Q3840" s="17"/>
    </row>
    <row r="3841" spans="2:17">
      <c r="B3841" s="17"/>
      <c r="C3841" s="16" t="str">
        <f>IFERROR(VLOOKUP(DATA!#REF!,DATA!#REF!,1,FALSE),"")</f>
        <v/>
      </c>
      <c r="D3841" s="16" t="str">
        <f>IFERROR(VLOOKUP(C3841,DATA!#REF!,2,FALSE),"")</f>
        <v/>
      </c>
      <c r="I3841" s="17"/>
      <c r="J3841" s="17"/>
      <c r="P3841" s="17"/>
      <c r="Q3841" s="17"/>
    </row>
    <row r="3842" spans="2:17">
      <c r="B3842" s="17"/>
      <c r="C3842" s="16" t="str">
        <f>IFERROR(VLOOKUP(DATA!#REF!,DATA!#REF!,1,FALSE),"")</f>
        <v/>
      </c>
      <c r="D3842" s="16" t="str">
        <f>IFERROR(VLOOKUP(C3842,DATA!#REF!,2,FALSE),"")</f>
        <v/>
      </c>
      <c r="I3842" s="17"/>
      <c r="J3842" s="17"/>
      <c r="P3842" s="17"/>
      <c r="Q3842" s="17"/>
    </row>
    <row r="3843" spans="2:17">
      <c r="B3843" s="17"/>
      <c r="C3843" s="16" t="str">
        <f>IFERROR(VLOOKUP(DATA!#REF!,DATA!#REF!,1,FALSE),"")</f>
        <v/>
      </c>
      <c r="D3843" s="16" t="str">
        <f>IFERROR(VLOOKUP(C3843,DATA!#REF!,2,FALSE),"")</f>
        <v/>
      </c>
      <c r="I3843" s="17"/>
      <c r="J3843" s="17"/>
      <c r="P3843" s="17"/>
      <c r="Q3843" s="17"/>
    </row>
    <row r="3844" spans="2:17">
      <c r="B3844" s="17"/>
      <c r="C3844" s="16" t="str">
        <f>IFERROR(VLOOKUP(DATA!#REF!,DATA!#REF!,1,FALSE),"")</f>
        <v/>
      </c>
      <c r="D3844" s="16" t="str">
        <f>IFERROR(VLOOKUP(C3844,DATA!#REF!,2,FALSE),"")</f>
        <v/>
      </c>
      <c r="I3844" s="17"/>
      <c r="J3844" s="17"/>
      <c r="P3844" s="17"/>
      <c r="Q3844" s="17"/>
    </row>
    <row r="3845" spans="2:17">
      <c r="B3845" s="17"/>
      <c r="C3845" s="16" t="str">
        <f>IFERROR(VLOOKUP(DATA!#REF!,DATA!#REF!,1,FALSE),"")</f>
        <v/>
      </c>
      <c r="D3845" s="16" t="str">
        <f>IFERROR(VLOOKUP(C3845,DATA!#REF!,2,FALSE),"")</f>
        <v/>
      </c>
      <c r="I3845" s="17"/>
      <c r="J3845" s="17"/>
      <c r="P3845" s="17"/>
      <c r="Q3845" s="17"/>
    </row>
    <row r="3846" spans="2:17">
      <c r="B3846" s="17"/>
      <c r="C3846" s="16" t="str">
        <f>IFERROR(VLOOKUP(DATA!#REF!,DATA!#REF!,1,FALSE),"")</f>
        <v/>
      </c>
      <c r="D3846" s="16" t="str">
        <f>IFERROR(VLOOKUP(C3846,DATA!#REF!,2,FALSE),"")</f>
        <v/>
      </c>
      <c r="I3846" s="17"/>
      <c r="J3846" s="17"/>
      <c r="P3846" s="17"/>
      <c r="Q3846" s="17"/>
    </row>
    <row r="3847" spans="2:17">
      <c r="B3847" s="17"/>
      <c r="C3847" s="16" t="str">
        <f>IFERROR(VLOOKUP(DATA!#REF!,DATA!#REF!,1,FALSE),"")</f>
        <v/>
      </c>
      <c r="D3847" s="16" t="str">
        <f>IFERROR(VLOOKUP(C3847,DATA!#REF!,2,FALSE),"")</f>
        <v/>
      </c>
      <c r="I3847" s="17"/>
      <c r="J3847" s="17"/>
      <c r="P3847" s="17"/>
      <c r="Q3847" s="17"/>
    </row>
    <row r="3848" spans="2:17">
      <c r="B3848" s="17"/>
      <c r="C3848" s="16" t="str">
        <f>IFERROR(VLOOKUP(DATA!#REF!,DATA!#REF!,1,FALSE),"")</f>
        <v/>
      </c>
      <c r="D3848" s="16" t="str">
        <f>IFERROR(VLOOKUP(C3848,DATA!#REF!,2,FALSE),"")</f>
        <v/>
      </c>
      <c r="I3848" s="17"/>
      <c r="J3848" s="17"/>
      <c r="P3848" s="17"/>
      <c r="Q3848" s="17"/>
    </row>
    <row r="3849" spans="2:17">
      <c r="B3849" s="17"/>
      <c r="C3849" s="16" t="str">
        <f>IFERROR(VLOOKUP(DATA!#REF!,DATA!#REF!,1,FALSE),"")</f>
        <v/>
      </c>
      <c r="D3849" s="16" t="str">
        <f>IFERROR(VLOOKUP(C3849,DATA!#REF!,2,FALSE),"")</f>
        <v/>
      </c>
      <c r="I3849" s="17"/>
      <c r="J3849" s="17"/>
      <c r="P3849" s="17"/>
      <c r="Q3849" s="17"/>
    </row>
    <row r="3850" spans="2:17">
      <c r="B3850" s="17"/>
      <c r="C3850" s="16" t="str">
        <f>IFERROR(VLOOKUP(DATA!#REF!,DATA!#REF!,1,FALSE),"")</f>
        <v/>
      </c>
      <c r="D3850" s="16" t="str">
        <f>IFERROR(VLOOKUP(C3850,DATA!#REF!,2,FALSE),"")</f>
        <v/>
      </c>
      <c r="I3850" s="17"/>
      <c r="J3850" s="17"/>
      <c r="P3850" s="17"/>
      <c r="Q3850" s="17"/>
    </row>
    <row r="3851" spans="2:17">
      <c r="B3851" s="17"/>
      <c r="C3851" s="16" t="str">
        <f>IFERROR(VLOOKUP(DATA!#REF!,DATA!#REF!,1,FALSE),"")</f>
        <v/>
      </c>
      <c r="D3851" s="16" t="str">
        <f>IFERROR(VLOOKUP(C3851,DATA!#REF!,2,FALSE),"")</f>
        <v/>
      </c>
      <c r="I3851" s="17"/>
      <c r="J3851" s="17"/>
      <c r="P3851" s="17"/>
      <c r="Q3851" s="17"/>
    </row>
    <row r="3852" spans="2:17">
      <c r="B3852" s="17"/>
      <c r="C3852" s="16" t="str">
        <f>IFERROR(VLOOKUP(DATA!#REF!,DATA!#REF!,1,FALSE),"")</f>
        <v/>
      </c>
      <c r="D3852" s="16" t="str">
        <f>IFERROR(VLOOKUP(C3852,DATA!#REF!,2,FALSE),"")</f>
        <v/>
      </c>
      <c r="I3852" s="17"/>
      <c r="J3852" s="17"/>
      <c r="P3852" s="17"/>
      <c r="Q3852" s="17"/>
    </row>
    <row r="3853" spans="2:17">
      <c r="B3853" s="17"/>
      <c r="C3853" s="16" t="str">
        <f>IFERROR(VLOOKUP(DATA!#REF!,DATA!#REF!,1,FALSE),"")</f>
        <v/>
      </c>
      <c r="D3853" s="16" t="str">
        <f>IFERROR(VLOOKUP(C3853,DATA!#REF!,2,FALSE),"")</f>
        <v/>
      </c>
      <c r="I3853" s="17"/>
      <c r="J3853" s="17"/>
      <c r="P3853" s="17"/>
      <c r="Q3853" s="17"/>
    </row>
    <row r="3854" spans="2:17">
      <c r="B3854" s="17"/>
      <c r="C3854" s="16" t="str">
        <f>IFERROR(VLOOKUP(DATA!#REF!,DATA!#REF!,1,FALSE),"")</f>
        <v/>
      </c>
      <c r="D3854" s="16" t="str">
        <f>IFERROR(VLOOKUP(C3854,DATA!#REF!,2,FALSE),"")</f>
        <v/>
      </c>
      <c r="I3854" s="17"/>
      <c r="J3854" s="17"/>
      <c r="P3854" s="17"/>
      <c r="Q3854" s="17"/>
    </row>
    <row r="3855" spans="2:17">
      <c r="B3855" s="17"/>
      <c r="C3855" s="16" t="str">
        <f>IFERROR(VLOOKUP(DATA!#REF!,DATA!#REF!,1,FALSE),"")</f>
        <v/>
      </c>
      <c r="D3855" s="16" t="str">
        <f>IFERROR(VLOOKUP(C3855,DATA!#REF!,2,FALSE),"")</f>
        <v/>
      </c>
      <c r="I3855" s="17"/>
      <c r="J3855" s="17"/>
      <c r="P3855" s="17"/>
      <c r="Q3855" s="17"/>
    </row>
    <row r="3856" spans="2:17">
      <c r="B3856" s="17"/>
      <c r="C3856" s="16" t="str">
        <f>IFERROR(VLOOKUP(DATA!#REF!,DATA!#REF!,1,FALSE),"")</f>
        <v/>
      </c>
      <c r="D3856" s="16" t="str">
        <f>IFERROR(VLOOKUP(C3856,DATA!#REF!,2,FALSE),"")</f>
        <v/>
      </c>
      <c r="I3856" s="17"/>
      <c r="J3856" s="17"/>
      <c r="P3856" s="17"/>
      <c r="Q3856" s="17"/>
    </row>
    <row r="3857" spans="2:17">
      <c r="B3857" s="17"/>
      <c r="C3857" s="16" t="str">
        <f>IFERROR(VLOOKUP(DATA!#REF!,DATA!#REF!,1,FALSE),"")</f>
        <v/>
      </c>
      <c r="D3857" s="16" t="str">
        <f>IFERROR(VLOOKUP(C3857,DATA!#REF!,2,FALSE),"")</f>
        <v/>
      </c>
      <c r="I3857" s="17"/>
      <c r="J3857" s="17"/>
      <c r="P3857" s="17"/>
      <c r="Q3857" s="17"/>
    </row>
    <row r="3858" spans="2:17">
      <c r="B3858" s="17"/>
      <c r="C3858" s="16" t="str">
        <f>IFERROR(VLOOKUP(DATA!#REF!,DATA!#REF!,1,FALSE),"")</f>
        <v/>
      </c>
      <c r="D3858" s="16" t="str">
        <f>IFERROR(VLOOKUP(C3858,DATA!#REF!,2,FALSE),"")</f>
        <v/>
      </c>
      <c r="I3858" s="17"/>
      <c r="J3858" s="17"/>
      <c r="P3858" s="17"/>
      <c r="Q3858" s="17"/>
    </row>
    <row r="3859" spans="2:17">
      <c r="B3859" s="17"/>
      <c r="C3859" s="16" t="str">
        <f>IFERROR(VLOOKUP(DATA!#REF!,DATA!#REF!,1,FALSE),"")</f>
        <v/>
      </c>
      <c r="D3859" s="16" t="str">
        <f>IFERROR(VLOOKUP(C3859,DATA!#REF!,2,FALSE),"")</f>
        <v/>
      </c>
      <c r="I3859" s="17"/>
      <c r="J3859" s="17"/>
      <c r="P3859" s="17"/>
      <c r="Q3859" s="17"/>
    </row>
    <row r="3860" spans="2:17">
      <c r="B3860" s="17"/>
      <c r="C3860" s="16" t="str">
        <f>IFERROR(VLOOKUP(DATA!#REF!,DATA!#REF!,1,FALSE),"")</f>
        <v/>
      </c>
      <c r="D3860" s="16" t="str">
        <f>IFERROR(VLOOKUP(C3860,DATA!#REF!,2,FALSE),"")</f>
        <v/>
      </c>
      <c r="I3860" s="17"/>
      <c r="J3860" s="17"/>
      <c r="P3860" s="17"/>
      <c r="Q3860" s="17"/>
    </row>
    <row r="3861" spans="2:17">
      <c r="B3861" s="17"/>
      <c r="C3861" s="16" t="str">
        <f>IFERROR(VLOOKUP(DATA!#REF!,DATA!#REF!,1,FALSE),"")</f>
        <v/>
      </c>
      <c r="D3861" s="16" t="str">
        <f>IFERROR(VLOOKUP(C3861,DATA!#REF!,2,FALSE),"")</f>
        <v/>
      </c>
      <c r="I3861" s="17"/>
      <c r="J3861" s="17"/>
      <c r="P3861" s="17"/>
      <c r="Q3861" s="17"/>
    </row>
    <row r="3862" spans="2:17">
      <c r="B3862" s="17"/>
      <c r="C3862" s="16" t="str">
        <f>IFERROR(VLOOKUP(DATA!#REF!,DATA!#REF!,1,FALSE),"")</f>
        <v/>
      </c>
      <c r="D3862" s="16" t="str">
        <f>IFERROR(VLOOKUP(C3862,DATA!#REF!,2,FALSE),"")</f>
        <v/>
      </c>
      <c r="I3862" s="17"/>
      <c r="J3862" s="17"/>
      <c r="P3862" s="17"/>
      <c r="Q3862" s="17"/>
    </row>
    <row r="3863" spans="2:17">
      <c r="B3863" s="17"/>
      <c r="C3863" s="16" t="str">
        <f>IFERROR(VLOOKUP(DATA!#REF!,DATA!#REF!,1,FALSE),"")</f>
        <v/>
      </c>
      <c r="D3863" s="16" t="str">
        <f>IFERROR(VLOOKUP(C3863,DATA!#REF!,2,FALSE),"")</f>
        <v/>
      </c>
      <c r="I3863" s="17"/>
      <c r="J3863" s="17"/>
      <c r="P3863" s="17"/>
      <c r="Q3863" s="17"/>
    </row>
    <row r="3864" spans="2:17">
      <c r="B3864" s="17"/>
      <c r="C3864" s="16" t="str">
        <f>IFERROR(VLOOKUP(DATA!#REF!,DATA!#REF!,1,FALSE),"")</f>
        <v/>
      </c>
      <c r="D3864" s="16" t="str">
        <f>IFERROR(VLOOKUP(C3864,DATA!#REF!,2,FALSE),"")</f>
        <v/>
      </c>
      <c r="I3864" s="17"/>
      <c r="J3864" s="17"/>
      <c r="P3864" s="17"/>
      <c r="Q3864" s="17"/>
    </row>
    <row r="3865" spans="2:17">
      <c r="B3865" s="17"/>
      <c r="C3865" s="16" t="str">
        <f>IFERROR(VLOOKUP(DATA!#REF!,DATA!#REF!,1,FALSE),"")</f>
        <v/>
      </c>
      <c r="D3865" s="16" t="str">
        <f>IFERROR(VLOOKUP(C3865,DATA!#REF!,2,FALSE),"")</f>
        <v/>
      </c>
      <c r="I3865" s="17"/>
      <c r="J3865" s="17"/>
      <c r="P3865" s="17"/>
      <c r="Q3865" s="17"/>
    </row>
    <row r="3866" spans="2:17">
      <c r="B3866" s="17"/>
      <c r="C3866" s="16" t="str">
        <f>IFERROR(VLOOKUP(DATA!#REF!,DATA!#REF!,1,FALSE),"")</f>
        <v/>
      </c>
      <c r="D3866" s="16" t="str">
        <f>IFERROR(VLOOKUP(C3866,DATA!#REF!,2,FALSE),"")</f>
        <v/>
      </c>
      <c r="I3866" s="17"/>
      <c r="J3866" s="17"/>
      <c r="P3866" s="17"/>
      <c r="Q3866" s="17"/>
    </row>
    <row r="3867" spans="2:17">
      <c r="B3867" s="17"/>
      <c r="C3867" s="16" t="str">
        <f>IFERROR(VLOOKUP(DATA!#REF!,DATA!#REF!,1,FALSE),"")</f>
        <v/>
      </c>
      <c r="D3867" s="16" t="str">
        <f>IFERROR(VLOOKUP(C3867,DATA!#REF!,2,FALSE),"")</f>
        <v/>
      </c>
      <c r="I3867" s="17"/>
      <c r="J3867" s="17"/>
      <c r="P3867" s="17"/>
      <c r="Q3867" s="17"/>
    </row>
    <row r="3868" spans="2:17">
      <c r="B3868" s="17"/>
      <c r="C3868" s="16" t="str">
        <f>IFERROR(VLOOKUP(DATA!#REF!,DATA!#REF!,1,FALSE),"")</f>
        <v/>
      </c>
      <c r="D3868" s="16" t="str">
        <f>IFERROR(VLOOKUP(C3868,DATA!#REF!,2,FALSE),"")</f>
        <v/>
      </c>
      <c r="I3868" s="17"/>
      <c r="J3868" s="17"/>
      <c r="P3868" s="17"/>
      <c r="Q3868" s="17"/>
    </row>
    <row r="3869" spans="2:17">
      <c r="B3869" s="17"/>
      <c r="C3869" s="16" t="str">
        <f>IFERROR(VLOOKUP(DATA!#REF!,DATA!#REF!,1,FALSE),"")</f>
        <v/>
      </c>
      <c r="D3869" s="16" t="str">
        <f>IFERROR(VLOOKUP(C3869,DATA!#REF!,2,FALSE),"")</f>
        <v/>
      </c>
      <c r="I3869" s="17"/>
      <c r="J3869" s="17"/>
      <c r="P3869" s="17"/>
      <c r="Q3869" s="17"/>
    </row>
    <row r="3870" spans="2:17">
      <c r="B3870" s="17"/>
      <c r="C3870" s="16" t="str">
        <f>IFERROR(VLOOKUP(DATA!#REF!,DATA!#REF!,1,FALSE),"")</f>
        <v/>
      </c>
      <c r="D3870" s="16" t="str">
        <f>IFERROR(VLOOKUP(C3870,DATA!#REF!,2,FALSE),"")</f>
        <v/>
      </c>
      <c r="I3870" s="17"/>
      <c r="J3870" s="17"/>
      <c r="P3870" s="17"/>
      <c r="Q3870" s="17"/>
    </row>
    <row r="3871" spans="2:17">
      <c r="B3871" s="17"/>
      <c r="C3871" s="16" t="str">
        <f>IFERROR(VLOOKUP(DATA!#REF!,DATA!#REF!,1,FALSE),"")</f>
        <v/>
      </c>
      <c r="D3871" s="16" t="str">
        <f>IFERROR(VLOOKUP(C3871,DATA!#REF!,2,FALSE),"")</f>
        <v/>
      </c>
      <c r="I3871" s="17"/>
      <c r="J3871" s="17"/>
      <c r="P3871" s="17"/>
      <c r="Q3871" s="17"/>
    </row>
    <row r="3872" spans="2:17">
      <c r="B3872" s="17"/>
      <c r="C3872" s="16" t="str">
        <f>IFERROR(VLOOKUP(DATA!#REF!,DATA!#REF!,1,FALSE),"")</f>
        <v/>
      </c>
      <c r="D3872" s="16" t="str">
        <f>IFERROR(VLOOKUP(C3872,DATA!#REF!,2,FALSE),"")</f>
        <v/>
      </c>
      <c r="I3872" s="17"/>
      <c r="J3872" s="17"/>
      <c r="P3872" s="17"/>
      <c r="Q3872" s="17"/>
    </row>
    <row r="3873" spans="2:17">
      <c r="B3873" s="17"/>
      <c r="C3873" s="16" t="str">
        <f>IFERROR(VLOOKUP(DATA!#REF!,DATA!#REF!,1,FALSE),"")</f>
        <v/>
      </c>
      <c r="D3873" s="16" t="str">
        <f>IFERROR(VLOOKUP(C3873,DATA!#REF!,2,FALSE),"")</f>
        <v/>
      </c>
      <c r="I3873" s="17"/>
      <c r="J3873" s="17"/>
      <c r="P3873" s="17"/>
      <c r="Q3873" s="17"/>
    </row>
    <row r="3874" spans="2:17">
      <c r="B3874" s="17"/>
      <c r="C3874" s="16" t="str">
        <f>IFERROR(VLOOKUP(DATA!#REF!,DATA!#REF!,1,FALSE),"")</f>
        <v/>
      </c>
      <c r="D3874" s="16" t="str">
        <f>IFERROR(VLOOKUP(C3874,DATA!#REF!,2,FALSE),"")</f>
        <v/>
      </c>
      <c r="I3874" s="17"/>
      <c r="J3874" s="17"/>
      <c r="P3874" s="17"/>
      <c r="Q3874" s="17"/>
    </row>
    <row r="3875" spans="2:17">
      <c r="B3875" s="17"/>
      <c r="C3875" s="16" t="str">
        <f>IFERROR(VLOOKUP(DATA!#REF!,DATA!#REF!,1,FALSE),"")</f>
        <v/>
      </c>
      <c r="D3875" s="16" t="str">
        <f>IFERROR(VLOOKUP(C3875,DATA!#REF!,2,FALSE),"")</f>
        <v/>
      </c>
      <c r="I3875" s="17"/>
      <c r="J3875" s="17"/>
      <c r="P3875" s="17"/>
      <c r="Q3875" s="17"/>
    </row>
    <row r="3876" spans="2:17">
      <c r="B3876" s="17"/>
      <c r="C3876" s="16" t="str">
        <f>IFERROR(VLOOKUP(DATA!#REF!,DATA!#REF!,1,FALSE),"")</f>
        <v/>
      </c>
      <c r="D3876" s="16" t="str">
        <f>IFERROR(VLOOKUP(C3876,DATA!#REF!,2,FALSE),"")</f>
        <v/>
      </c>
      <c r="I3876" s="17"/>
      <c r="J3876" s="17"/>
      <c r="P3876" s="17"/>
      <c r="Q3876" s="17"/>
    </row>
    <row r="3877" spans="2:17">
      <c r="B3877" s="17"/>
      <c r="C3877" s="16" t="str">
        <f>IFERROR(VLOOKUP(DATA!#REF!,DATA!#REF!,1,FALSE),"")</f>
        <v/>
      </c>
      <c r="D3877" s="16" t="str">
        <f>IFERROR(VLOOKUP(C3877,DATA!#REF!,2,FALSE),"")</f>
        <v/>
      </c>
      <c r="I3877" s="17"/>
      <c r="J3877" s="17"/>
      <c r="P3877" s="17"/>
      <c r="Q3877" s="17"/>
    </row>
    <row r="3878" spans="2:17">
      <c r="B3878" s="17"/>
      <c r="C3878" s="16" t="str">
        <f>IFERROR(VLOOKUP(DATA!#REF!,DATA!#REF!,1,FALSE),"")</f>
        <v/>
      </c>
      <c r="D3878" s="16" t="str">
        <f>IFERROR(VLOOKUP(C3878,DATA!#REF!,2,FALSE),"")</f>
        <v/>
      </c>
      <c r="I3878" s="17"/>
      <c r="J3878" s="17"/>
      <c r="P3878" s="17"/>
      <c r="Q3878" s="17"/>
    </row>
    <row r="3879" spans="2:17">
      <c r="B3879" s="17"/>
      <c r="C3879" s="16" t="str">
        <f>IFERROR(VLOOKUP(DATA!#REF!,DATA!#REF!,1,FALSE),"")</f>
        <v/>
      </c>
      <c r="D3879" s="16" t="str">
        <f>IFERROR(VLOOKUP(C3879,DATA!#REF!,2,FALSE),"")</f>
        <v/>
      </c>
      <c r="I3879" s="17"/>
      <c r="J3879" s="17"/>
      <c r="P3879" s="17"/>
      <c r="Q3879" s="17"/>
    </row>
    <row r="3880" spans="2:17">
      <c r="B3880" s="17"/>
      <c r="C3880" s="16" t="str">
        <f>IFERROR(VLOOKUP(DATA!#REF!,DATA!#REF!,1,FALSE),"")</f>
        <v/>
      </c>
      <c r="D3880" s="16" t="str">
        <f>IFERROR(VLOOKUP(C3880,DATA!#REF!,2,FALSE),"")</f>
        <v/>
      </c>
      <c r="I3880" s="17"/>
      <c r="J3880" s="17"/>
      <c r="P3880" s="17"/>
      <c r="Q3880" s="17"/>
    </row>
    <row r="3881" spans="2:17">
      <c r="B3881" s="17"/>
      <c r="C3881" s="16" t="str">
        <f>IFERROR(VLOOKUP(DATA!#REF!,DATA!#REF!,1,FALSE),"")</f>
        <v/>
      </c>
      <c r="D3881" s="16" t="str">
        <f>IFERROR(VLOOKUP(C3881,DATA!#REF!,2,FALSE),"")</f>
        <v/>
      </c>
      <c r="I3881" s="17"/>
      <c r="J3881" s="17"/>
      <c r="P3881" s="17"/>
      <c r="Q3881" s="17"/>
    </row>
    <row r="3882" spans="2:17">
      <c r="B3882" s="17"/>
      <c r="C3882" s="16" t="str">
        <f>IFERROR(VLOOKUP(DATA!#REF!,DATA!#REF!,1,FALSE),"")</f>
        <v/>
      </c>
      <c r="D3882" s="16" t="str">
        <f>IFERROR(VLOOKUP(C3882,DATA!#REF!,2,FALSE),"")</f>
        <v/>
      </c>
      <c r="I3882" s="17"/>
      <c r="J3882" s="17"/>
      <c r="P3882" s="17"/>
      <c r="Q3882" s="17"/>
    </row>
    <row r="3883" spans="2:17">
      <c r="B3883" s="17"/>
      <c r="C3883" s="16" t="str">
        <f>IFERROR(VLOOKUP(DATA!#REF!,DATA!#REF!,1,FALSE),"")</f>
        <v/>
      </c>
      <c r="D3883" s="16" t="str">
        <f>IFERROR(VLOOKUP(C3883,DATA!#REF!,2,FALSE),"")</f>
        <v/>
      </c>
      <c r="I3883" s="17"/>
      <c r="J3883" s="17"/>
      <c r="P3883" s="17"/>
      <c r="Q3883" s="17"/>
    </row>
    <row r="3884" spans="2:17">
      <c r="B3884" s="17"/>
      <c r="C3884" s="16" t="str">
        <f>IFERROR(VLOOKUP(DATA!#REF!,DATA!#REF!,1,FALSE),"")</f>
        <v/>
      </c>
      <c r="D3884" s="16" t="str">
        <f>IFERROR(VLOOKUP(C3884,DATA!#REF!,2,FALSE),"")</f>
        <v/>
      </c>
      <c r="I3884" s="17"/>
      <c r="J3884" s="17"/>
      <c r="P3884" s="17"/>
      <c r="Q3884" s="17"/>
    </row>
    <row r="3885" spans="2:17">
      <c r="B3885" s="17"/>
      <c r="C3885" s="16" t="str">
        <f>IFERROR(VLOOKUP(DATA!#REF!,DATA!#REF!,1,FALSE),"")</f>
        <v/>
      </c>
      <c r="D3885" s="16" t="str">
        <f>IFERROR(VLOOKUP(C3885,DATA!#REF!,2,FALSE),"")</f>
        <v/>
      </c>
      <c r="I3885" s="17"/>
      <c r="J3885" s="17"/>
      <c r="P3885" s="17"/>
      <c r="Q3885" s="17"/>
    </row>
    <row r="3886" spans="2:17">
      <c r="B3886" s="17"/>
      <c r="C3886" s="16" t="str">
        <f>IFERROR(VLOOKUP(DATA!#REF!,DATA!#REF!,1,FALSE),"")</f>
        <v/>
      </c>
      <c r="D3886" s="16" t="str">
        <f>IFERROR(VLOOKUP(C3886,DATA!#REF!,2,FALSE),"")</f>
        <v/>
      </c>
      <c r="I3886" s="17"/>
      <c r="J3886" s="17"/>
      <c r="P3886" s="17"/>
      <c r="Q3886" s="17"/>
    </row>
    <row r="3887" spans="2:17">
      <c r="B3887" s="17"/>
      <c r="C3887" s="16" t="str">
        <f>IFERROR(VLOOKUP(DATA!#REF!,DATA!#REF!,1,FALSE),"")</f>
        <v/>
      </c>
      <c r="D3887" s="16" t="str">
        <f>IFERROR(VLOOKUP(C3887,DATA!#REF!,2,FALSE),"")</f>
        <v/>
      </c>
      <c r="I3887" s="17"/>
      <c r="J3887" s="17"/>
      <c r="P3887" s="17"/>
      <c r="Q3887" s="17"/>
    </row>
    <row r="3888" spans="2:17">
      <c r="B3888" s="17"/>
      <c r="C3888" s="16" t="str">
        <f>IFERROR(VLOOKUP(DATA!#REF!,DATA!#REF!,1,FALSE),"")</f>
        <v/>
      </c>
      <c r="D3888" s="16" t="str">
        <f>IFERROR(VLOOKUP(C3888,DATA!#REF!,2,FALSE),"")</f>
        <v/>
      </c>
      <c r="I3888" s="17"/>
      <c r="J3888" s="17"/>
      <c r="P3888" s="17"/>
      <c r="Q3888" s="17"/>
    </row>
    <row r="3889" spans="2:17">
      <c r="B3889" s="17"/>
      <c r="C3889" s="16" t="str">
        <f>IFERROR(VLOOKUP(DATA!#REF!,DATA!#REF!,1,FALSE),"")</f>
        <v/>
      </c>
      <c r="D3889" s="16" t="str">
        <f>IFERROR(VLOOKUP(C3889,DATA!#REF!,2,FALSE),"")</f>
        <v/>
      </c>
      <c r="I3889" s="17"/>
      <c r="J3889" s="17"/>
      <c r="P3889" s="17"/>
      <c r="Q3889" s="17"/>
    </row>
    <row r="3890" spans="2:17">
      <c r="B3890" s="17"/>
      <c r="C3890" s="16" t="str">
        <f>IFERROR(VLOOKUP(DATA!#REF!,DATA!#REF!,1,FALSE),"")</f>
        <v/>
      </c>
      <c r="D3890" s="16" t="str">
        <f>IFERROR(VLOOKUP(C3890,DATA!#REF!,2,FALSE),"")</f>
        <v/>
      </c>
      <c r="I3890" s="17"/>
      <c r="J3890" s="17"/>
      <c r="P3890" s="17"/>
      <c r="Q3890" s="17"/>
    </row>
    <row r="3891" spans="2:17">
      <c r="B3891" s="17"/>
      <c r="C3891" s="16" t="str">
        <f>IFERROR(VLOOKUP(DATA!#REF!,DATA!#REF!,1,FALSE),"")</f>
        <v/>
      </c>
      <c r="D3891" s="16" t="str">
        <f>IFERROR(VLOOKUP(C3891,DATA!#REF!,2,FALSE),"")</f>
        <v/>
      </c>
      <c r="I3891" s="17"/>
      <c r="J3891" s="17"/>
      <c r="P3891" s="17"/>
      <c r="Q3891" s="17"/>
    </row>
    <row r="3892" spans="2:17">
      <c r="B3892" s="17"/>
      <c r="C3892" s="16" t="str">
        <f>IFERROR(VLOOKUP(DATA!#REF!,DATA!#REF!,1,FALSE),"")</f>
        <v/>
      </c>
      <c r="D3892" s="16" t="str">
        <f>IFERROR(VLOOKUP(C3892,DATA!#REF!,2,FALSE),"")</f>
        <v/>
      </c>
      <c r="I3892" s="17"/>
      <c r="J3892" s="17"/>
      <c r="P3892" s="17"/>
      <c r="Q3892" s="17"/>
    </row>
    <row r="3893" spans="2:17">
      <c r="B3893" s="17"/>
      <c r="C3893" s="16" t="str">
        <f>IFERROR(VLOOKUP(DATA!#REF!,DATA!#REF!,1,FALSE),"")</f>
        <v/>
      </c>
      <c r="D3893" s="16" t="str">
        <f>IFERROR(VLOOKUP(C3893,DATA!#REF!,2,FALSE),"")</f>
        <v/>
      </c>
      <c r="I3893" s="17"/>
      <c r="J3893" s="17"/>
      <c r="P3893" s="17"/>
      <c r="Q3893" s="17"/>
    </row>
    <row r="3894" spans="2:17">
      <c r="B3894" s="17"/>
      <c r="C3894" s="16" t="str">
        <f>IFERROR(VLOOKUP(DATA!#REF!,DATA!#REF!,1,FALSE),"")</f>
        <v/>
      </c>
      <c r="D3894" s="16" t="str">
        <f>IFERROR(VLOOKUP(C3894,DATA!#REF!,2,FALSE),"")</f>
        <v/>
      </c>
      <c r="I3894" s="17"/>
      <c r="J3894" s="17"/>
      <c r="P3894" s="17"/>
      <c r="Q3894" s="17"/>
    </row>
    <row r="3895" spans="2:17">
      <c r="B3895" s="17"/>
      <c r="C3895" s="16" t="str">
        <f>IFERROR(VLOOKUP(DATA!#REF!,DATA!#REF!,1,FALSE),"")</f>
        <v/>
      </c>
      <c r="D3895" s="16" t="str">
        <f>IFERROR(VLOOKUP(C3895,DATA!#REF!,2,FALSE),"")</f>
        <v/>
      </c>
      <c r="I3895" s="17"/>
      <c r="J3895" s="17"/>
      <c r="P3895" s="17"/>
      <c r="Q3895" s="17"/>
    </row>
    <row r="3896" spans="2:17">
      <c r="B3896" s="17"/>
      <c r="C3896" s="16" t="str">
        <f>IFERROR(VLOOKUP(DATA!#REF!,DATA!#REF!,1,FALSE),"")</f>
        <v/>
      </c>
      <c r="D3896" s="16" t="str">
        <f>IFERROR(VLOOKUP(C3896,DATA!#REF!,2,FALSE),"")</f>
        <v/>
      </c>
      <c r="I3896" s="17"/>
      <c r="J3896" s="17"/>
      <c r="P3896" s="17"/>
      <c r="Q3896" s="17"/>
    </row>
    <row r="3897" spans="2:17">
      <c r="B3897" s="17"/>
      <c r="C3897" s="16" t="str">
        <f>IFERROR(VLOOKUP(DATA!#REF!,DATA!#REF!,1,FALSE),"")</f>
        <v/>
      </c>
      <c r="D3897" s="16" t="str">
        <f>IFERROR(VLOOKUP(C3897,DATA!#REF!,2,FALSE),"")</f>
        <v/>
      </c>
      <c r="I3897" s="17"/>
      <c r="J3897" s="17"/>
      <c r="P3897" s="17"/>
      <c r="Q3897" s="17"/>
    </row>
    <row r="3898" spans="2:17">
      <c r="B3898" s="17"/>
      <c r="C3898" s="16" t="str">
        <f>IFERROR(VLOOKUP(DATA!#REF!,DATA!#REF!,1,FALSE),"")</f>
        <v/>
      </c>
      <c r="D3898" s="16" t="str">
        <f>IFERROR(VLOOKUP(C3898,DATA!#REF!,2,FALSE),"")</f>
        <v/>
      </c>
      <c r="I3898" s="17"/>
      <c r="J3898" s="17"/>
      <c r="P3898" s="17"/>
      <c r="Q3898" s="17"/>
    </row>
    <row r="3899" spans="2:17">
      <c r="B3899" s="17"/>
      <c r="C3899" s="16" t="str">
        <f>IFERROR(VLOOKUP(DATA!#REF!,DATA!#REF!,1,FALSE),"")</f>
        <v/>
      </c>
      <c r="D3899" s="16" t="str">
        <f>IFERROR(VLOOKUP(C3899,DATA!#REF!,2,FALSE),"")</f>
        <v/>
      </c>
      <c r="I3899" s="17"/>
      <c r="J3899" s="17"/>
      <c r="P3899" s="17"/>
      <c r="Q3899" s="17"/>
    </row>
    <row r="3900" spans="2:17">
      <c r="B3900" s="17"/>
      <c r="C3900" s="16" t="str">
        <f>IFERROR(VLOOKUP(DATA!#REF!,DATA!#REF!,1,FALSE),"")</f>
        <v/>
      </c>
      <c r="D3900" s="16" t="str">
        <f>IFERROR(VLOOKUP(C3900,DATA!#REF!,2,FALSE),"")</f>
        <v/>
      </c>
      <c r="I3900" s="17"/>
      <c r="J3900" s="17"/>
      <c r="P3900" s="17"/>
      <c r="Q3900" s="17"/>
    </row>
    <row r="3901" spans="2:17">
      <c r="B3901" s="17"/>
      <c r="C3901" s="16" t="str">
        <f>IFERROR(VLOOKUP(DATA!#REF!,DATA!#REF!,1,FALSE),"")</f>
        <v/>
      </c>
      <c r="D3901" s="16" t="str">
        <f>IFERROR(VLOOKUP(C3901,DATA!#REF!,2,FALSE),"")</f>
        <v/>
      </c>
      <c r="I3901" s="17"/>
      <c r="J3901" s="17"/>
      <c r="P3901" s="17"/>
      <c r="Q3901" s="17"/>
    </row>
    <row r="3902" spans="2:17">
      <c r="B3902" s="17"/>
      <c r="C3902" s="16" t="str">
        <f>IFERROR(VLOOKUP(DATA!#REF!,DATA!#REF!,1,FALSE),"")</f>
        <v/>
      </c>
      <c r="D3902" s="16" t="str">
        <f>IFERROR(VLOOKUP(C3902,DATA!#REF!,2,FALSE),"")</f>
        <v/>
      </c>
      <c r="I3902" s="17"/>
      <c r="J3902" s="17"/>
      <c r="P3902" s="17"/>
      <c r="Q3902" s="17"/>
    </row>
    <row r="3903" spans="2:17">
      <c r="B3903" s="17"/>
      <c r="C3903" s="16" t="str">
        <f>IFERROR(VLOOKUP(DATA!#REF!,DATA!#REF!,1,FALSE),"")</f>
        <v/>
      </c>
      <c r="D3903" s="16" t="str">
        <f>IFERROR(VLOOKUP(C3903,DATA!#REF!,2,FALSE),"")</f>
        <v/>
      </c>
      <c r="I3903" s="17"/>
      <c r="J3903" s="17"/>
      <c r="P3903" s="17"/>
      <c r="Q3903" s="17"/>
    </row>
    <row r="3904" spans="2:17">
      <c r="B3904" s="17"/>
      <c r="C3904" s="16" t="str">
        <f>IFERROR(VLOOKUP(DATA!#REF!,DATA!#REF!,1,FALSE),"")</f>
        <v/>
      </c>
      <c r="D3904" s="16" t="str">
        <f>IFERROR(VLOOKUP(C3904,DATA!#REF!,2,FALSE),"")</f>
        <v/>
      </c>
      <c r="I3904" s="17"/>
      <c r="J3904" s="17"/>
      <c r="P3904" s="17"/>
      <c r="Q3904" s="17"/>
    </row>
    <row r="3905" spans="2:17">
      <c r="B3905" s="17"/>
      <c r="C3905" s="16" t="str">
        <f>IFERROR(VLOOKUP(DATA!#REF!,DATA!#REF!,1,FALSE),"")</f>
        <v/>
      </c>
      <c r="D3905" s="16" t="str">
        <f>IFERROR(VLOOKUP(C3905,DATA!#REF!,2,FALSE),"")</f>
        <v/>
      </c>
      <c r="I3905" s="17"/>
      <c r="J3905" s="17"/>
      <c r="P3905" s="17"/>
      <c r="Q3905" s="17"/>
    </row>
    <row r="3906" spans="2:17">
      <c r="B3906" s="17"/>
      <c r="C3906" s="16" t="str">
        <f>IFERROR(VLOOKUP(DATA!#REF!,DATA!#REF!,1,FALSE),"")</f>
        <v/>
      </c>
      <c r="D3906" s="16" t="str">
        <f>IFERROR(VLOOKUP(C3906,DATA!#REF!,2,FALSE),"")</f>
        <v/>
      </c>
      <c r="I3906" s="17"/>
      <c r="J3906" s="17"/>
      <c r="P3906" s="17"/>
      <c r="Q3906" s="17"/>
    </row>
    <row r="3907" spans="2:17">
      <c r="B3907" s="17"/>
      <c r="C3907" s="16" t="str">
        <f>IFERROR(VLOOKUP(DATA!#REF!,DATA!#REF!,1,FALSE),"")</f>
        <v/>
      </c>
      <c r="D3907" s="16" t="str">
        <f>IFERROR(VLOOKUP(C3907,DATA!#REF!,2,FALSE),"")</f>
        <v/>
      </c>
      <c r="I3907" s="17"/>
      <c r="J3907" s="17"/>
      <c r="P3907" s="17"/>
      <c r="Q3907" s="17"/>
    </row>
    <row r="3908" spans="2:17">
      <c r="B3908" s="17"/>
      <c r="C3908" s="16" t="str">
        <f>IFERROR(VLOOKUP(DATA!#REF!,DATA!#REF!,1,FALSE),"")</f>
        <v/>
      </c>
      <c r="D3908" s="16" t="str">
        <f>IFERROR(VLOOKUP(C3908,DATA!#REF!,2,FALSE),"")</f>
        <v/>
      </c>
      <c r="I3908" s="17"/>
      <c r="J3908" s="17"/>
      <c r="P3908" s="17"/>
      <c r="Q3908" s="17"/>
    </row>
    <row r="3909" spans="2:17">
      <c r="B3909" s="17"/>
      <c r="C3909" s="16" t="str">
        <f>IFERROR(VLOOKUP(DATA!#REF!,DATA!#REF!,1,FALSE),"")</f>
        <v/>
      </c>
      <c r="D3909" s="16" t="str">
        <f>IFERROR(VLOOKUP(C3909,DATA!#REF!,2,FALSE),"")</f>
        <v/>
      </c>
      <c r="I3909" s="17"/>
      <c r="J3909" s="17"/>
      <c r="P3909" s="17"/>
      <c r="Q3909" s="17"/>
    </row>
    <row r="3910" spans="2:17">
      <c r="B3910" s="17"/>
      <c r="C3910" s="16" t="str">
        <f>IFERROR(VLOOKUP(DATA!#REF!,DATA!#REF!,1,FALSE),"")</f>
        <v/>
      </c>
      <c r="D3910" s="16" t="str">
        <f>IFERROR(VLOOKUP(C3910,DATA!#REF!,2,FALSE),"")</f>
        <v/>
      </c>
      <c r="I3910" s="17"/>
      <c r="J3910" s="17"/>
      <c r="P3910" s="17"/>
      <c r="Q3910" s="17"/>
    </row>
    <row r="3911" spans="2:17">
      <c r="B3911" s="17"/>
      <c r="C3911" s="16" t="str">
        <f>IFERROR(VLOOKUP(DATA!#REF!,DATA!#REF!,1,FALSE),"")</f>
        <v/>
      </c>
      <c r="D3911" s="16" t="str">
        <f>IFERROR(VLOOKUP(C3911,DATA!#REF!,2,FALSE),"")</f>
        <v/>
      </c>
      <c r="I3911" s="17"/>
      <c r="J3911" s="17"/>
      <c r="P3911" s="17"/>
      <c r="Q3911" s="17"/>
    </row>
    <row r="3912" spans="2:17">
      <c r="B3912" s="17"/>
      <c r="C3912" s="16" t="str">
        <f>IFERROR(VLOOKUP(DATA!#REF!,DATA!#REF!,1,FALSE),"")</f>
        <v/>
      </c>
      <c r="D3912" s="16" t="str">
        <f>IFERROR(VLOOKUP(C3912,DATA!#REF!,2,FALSE),"")</f>
        <v/>
      </c>
      <c r="I3912" s="17"/>
      <c r="J3912" s="17"/>
      <c r="P3912" s="17"/>
      <c r="Q3912" s="17"/>
    </row>
    <row r="3913" spans="2:17">
      <c r="B3913" s="17"/>
      <c r="C3913" s="16" t="str">
        <f>IFERROR(VLOOKUP(DATA!#REF!,DATA!#REF!,1,FALSE),"")</f>
        <v/>
      </c>
      <c r="D3913" s="16" t="str">
        <f>IFERROR(VLOOKUP(C3913,DATA!#REF!,2,FALSE),"")</f>
        <v/>
      </c>
      <c r="I3913" s="17"/>
      <c r="J3913" s="17"/>
      <c r="P3913" s="17"/>
      <c r="Q3913" s="17"/>
    </row>
    <row r="3914" spans="2:17">
      <c r="B3914" s="17"/>
      <c r="C3914" s="16" t="str">
        <f>IFERROR(VLOOKUP(DATA!#REF!,DATA!#REF!,1,FALSE),"")</f>
        <v/>
      </c>
      <c r="D3914" s="16" t="str">
        <f>IFERROR(VLOOKUP(C3914,DATA!#REF!,2,FALSE),"")</f>
        <v/>
      </c>
      <c r="I3914" s="17"/>
      <c r="J3914" s="17"/>
      <c r="P3914" s="17"/>
      <c r="Q3914" s="17"/>
    </row>
    <row r="3915" spans="2:17">
      <c r="B3915" s="17"/>
      <c r="C3915" s="16" t="str">
        <f>IFERROR(VLOOKUP(DATA!#REF!,DATA!#REF!,1,FALSE),"")</f>
        <v/>
      </c>
      <c r="D3915" s="16" t="str">
        <f>IFERROR(VLOOKUP(C3915,DATA!#REF!,2,FALSE),"")</f>
        <v/>
      </c>
      <c r="I3915" s="17"/>
      <c r="J3915" s="17"/>
      <c r="P3915" s="17"/>
      <c r="Q3915" s="17"/>
    </row>
    <row r="3916" spans="2:17">
      <c r="B3916" s="17"/>
      <c r="C3916" s="16" t="str">
        <f>IFERROR(VLOOKUP(DATA!#REF!,DATA!#REF!,1,FALSE),"")</f>
        <v/>
      </c>
      <c r="D3916" s="16" t="str">
        <f>IFERROR(VLOOKUP(C3916,DATA!#REF!,2,FALSE),"")</f>
        <v/>
      </c>
      <c r="I3916" s="17"/>
      <c r="J3916" s="17"/>
      <c r="P3916" s="17"/>
      <c r="Q3916" s="17"/>
    </row>
    <row r="3917" spans="2:17">
      <c r="B3917" s="17"/>
      <c r="C3917" s="16" t="str">
        <f>IFERROR(VLOOKUP(DATA!#REF!,DATA!#REF!,1,FALSE),"")</f>
        <v/>
      </c>
      <c r="D3917" s="16" t="str">
        <f>IFERROR(VLOOKUP(C3917,DATA!#REF!,2,FALSE),"")</f>
        <v/>
      </c>
      <c r="I3917" s="17"/>
      <c r="J3917" s="17"/>
      <c r="P3917" s="17"/>
      <c r="Q3917" s="17"/>
    </row>
    <row r="3918" spans="2:17">
      <c r="B3918" s="17"/>
      <c r="C3918" s="16" t="str">
        <f>IFERROR(VLOOKUP(DATA!#REF!,DATA!#REF!,1,FALSE),"")</f>
        <v/>
      </c>
      <c r="D3918" s="16" t="str">
        <f>IFERROR(VLOOKUP(C3918,DATA!#REF!,2,FALSE),"")</f>
        <v/>
      </c>
      <c r="I3918" s="17"/>
      <c r="J3918" s="17"/>
      <c r="P3918" s="17"/>
      <c r="Q3918" s="17"/>
    </row>
    <row r="3919" spans="2:17">
      <c r="B3919" s="17"/>
      <c r="C3919" s="16" t="str">
        <f>IFERROR(VLOOKUP(DATA!#REF!,DATA!#REF!,1,FALSE),"")</f>
        <v/>
      </c>
      <c r="D3919" s="16" t="str">
        <f>IFERROR(VLOOKUP(C3919,DATA!#REF!,2,FALSE),"")</f>
        <v/>
      </c>
      <c r="I3919" s="17"/>
      <c r="J3919" s="17"/>
      <c r="P3919" s="17"/>
      <c r="Q3919" s="17"/>
    </row>
    <row r="3920" spans="2:17">
      <c r="B3920" s="17"/>
      <c r="C3920" s="16" t="str">
        <f>IFERROR(VLOOKUP(DATA!#REF!,DATA!#REF!,1,FALSE),"")</f>
        <v/>
      </c>
      <c r="D3920" s="16" t="str">
        <f>IFERROR(VLOOKUP(C3920,DATA!#REF!,2,FALSE),"")</f>
        <v/>
      </c>
      <c r="I3920" s="17"/>
      <c r="J3920" s="17"/>
      <c r="P3920" s="17"/>
      <c r="Q3920" s="17"/>
    </row>
    <row r="3921" spans="2:17">
      <c r="B3921" s="17"/>
      <c r="C3921" s="16" t="str">
        <f>IFERROR(VLOOKUP(DATA!#REF!,DATA!#REF!,1,FALSE),"")</f>
        <v/>
      </c>
      <c r="D3921" s="16" t="str">
        <f>IFERROR(VLOOKUP(C3921,DATA!#REF!,2,FALSE),"")</f>
        <v/>
      </c>
      <c r="I3921" s="17"/>
      <c r="J3921" s="17"/>
      <c r="P3921" s="17"/>
      <c r="Q3921" s="17"/>
    </row>
    <row r="3922" spans="2:17">
      <c r="B3922" s="17"/>
      <c r="C3922" s="16" t="str">
        <f>IFERROR(VLOOKUP(DATA!#REF!,DATA!#REF!,1,FALSE),"")</f>
        <v/>
      </c>
      <c r="D3922" s="16" t="str">
        <f>IFERROR(VLOOKUP(C3922,DATA!#REF!,2,FALSE),"")</f>
        <v/>
      </c>
      <c r="I3922" s="17"/>
      <c r="J3922" s="17"/>
      <c r="P3922" s="17"/>
      <c r="Q3922" s="17"/>
    </row>
    <row r="3923" spans="2:17">
      <c r="B3923" s="17"/>
      <c r="C3923" s="16" t="str">
        <f>IFERROR(VLOOKUP(DATA!#REF!,DATA!#REF!,1,FALSE),"")</f>
        <v/>
      </c>
      <c r="D3923" s="16" t="str">
        <f>IFERROR(VLOOKUP(C3923,DATA!#REF!,2,FALSE),"")</f>
        <v/>
      </c>
      <c r="I3923" s="17"/>
      <c r="J3923" s="17"/>
      <c r="P3923" s="17"/>
      <c r="Q3923" s="17"/>
    </row>
    <row r="3924" spans="2:17">
      <c r="B3924" s="17"/>
      <c r="C3924" s="16" t="str">
        <f>IFERROR(VLOOKUP(DATA!#REF!,DATA!#REF!,1,FALSE),"")</f>
        <v/>
      </c>
      <c r="D3924" s="16" t="str">
        <f>IFERROR(VLOOKUP(C3924,DATA!#REF!,2,FALSE),"")</f>
        <v/>
      </c>
      <c r="I3924" s="17"/>
      <c r="J3924" s="17"/>
      <c r="P3924" s="17"/>
      <c r="Q3924" s="17"/>
    </row>
    <row r="3925" spans="2:17">
      <c r="B3925" s="17"/>
      <c r="C3925" s="16" t="str">
        <f>IFERROR(VLOOKUP(DATA!#REF!,DATA!#REF!,1,FALSE),"")</f>
        <v/>
      </c>
      <c r="D3925" s="16" t="str">
        <f>IFERROR(VLOOKUP(C3925,DATA!#REF!,2,FALSE),"")</f>
        <v/>
      </c>
      <c r="I3925" s="17"/>
      <c r="J3925" s="17"/>
      <c r="P3925" s="17"/>
      <c r="Q3925" s="17"/>
    </row>
    <row r="3926" spans="2:17">
      <c r="B3926" s="17"/>
      <c r="C3926" s="16" t="str">
        <f>IFERROR(VLOOKUP(DATA!#REF!,DATA!#REF!,1,FALSE),"")</f>
        <v/>
      </c>
      <c r="D3926" s="16" t="str">
        <f>IFERROR(VLOOKUP(C3926,DATA!#REF!,2,FALSE),"")</f>
        <v/>
      </c>
      <c r="I3926" s="17"/>
      <c r="J3926" s="17"/>
      <c r="P3926" s="17"/>
      <c r="Q3926" s="17"/>
    </row>
    <row r="3927" spans="2:17">
      <c r="B3927" s="17"/>
      <c r="C3927" s="16" t="str">
        <f>IFERROR(VLOOKUP(DATA!#REF!,DATA!#REF!,1,FALSE),"")</f>
        <v/>
      </c>
      <c r="D3927" s="16" t="str">
        <f>IFERROR(VLOOKUP(C3927,DATA!#REF!,2,FALSE),"")</f>
        <v/>
      </c>
      <c r="I3927" s="17"/>
      <c r="J3927" s="17"/>
      <c r="P3927" s="17"/>
      <c r="Q3927" s="17"/>
    </row>
    <row r="3928" spans="2:17">
      <c r="B3928" s="17"/>
      <c r="C3928" s="16" t="str">
        <f>IFERROR(VLOOKUP(DATA!#REF!,DATA!#REF!,1,FALSE),"")</f>
        <v/>
      </c>
      <c r="D3928" s="16" t="str">
        <f>IFERROR(VLOOKUP(C3928,DATA!#REF!,2,FALSE),"")</f>
        <v/>
      </c>
      <c r="I3928" s="17"/>
      <c r="J3928" s="17"/>
      <c r="P3928" s="17"/>
      <c r="Q3928" s="17"/>
    </row>
    <row r="3929" spans="2:17">
      <c r="B3929" s="17"/>
      <c r="C3929" s="16" t="str">
        <f>IFERROR(VLOOKUP(DATA!#REF!,DATA!#REF!,1,FALSE),"")</f>
        <v/>
      </c>
      <c r="D3929" s="16" t="str">
        <f>IFERROR(VLOOKUP(C3929,DATA!#REF!,2,FALSE),"")</f>
        <v/>
      </c>
      <c r="I3929" s="17"/>
      <c r="J3929" s="17"/>
      <c r="P3929" s="17"/>
      <c r="Q3929" s="17"/>
    </row>
    <row r="3930" spans="2:17">
      <c r="B3930" s="17"/>
      <c r="C3930" s="16" t="str">
        <f>IFERROR(VLOOKUP(DATA!#REF!,DATA!#REF!,1,FALSE),"")</f>
        <v/>
      </c>
      <c r="D3930" s="16" t="str">
        <f>IFERROR(VLOOKUP(C3930,DATA!#REF!,2,FALSE),"")</f>
        <v/>
      </c>
      <c r="I3930" s="17"/>
      <c r="J3930" s="17"/>
      <c r="P3930" s="17"/>
      <c r="Q3930" s="17"/>
    </row>
    <row r="3931" spans="2:17">
      <c r="B3931" s="17"/>
      <c r="C3931" s="16" t="str">
        <f>IFERROR(VLOOKUP(DATA!#REF!,DATA!#REF!,1,FALSE),"")</f>
        <v/>
      </c>
      <c r="D3931" s="16" t="str">
        <f>IFERROR(VLOOKUP(C3931,DATA!#REF!,2,FALSE),"")</f>
        <v/>
      </c>
      <c r="I3931" s="17"/>
      <c r="J3931" s="17"/>
      <c r="P3931" s="17"/>
      <c r="Q3931" s="17"/>
    </row>
    <row r="3932" spans="2:17">
      <c r="B3932" s="17"/>
      <c r="C3932" s="16" t="str">
        <f>IFERROR(VLOOKUP(DATA!#REF!,DATA!#REF!,1,FALSE),"")</f>
        <v/>
      </c>
      <c r="D3932" s="16" t="str">
        <f>IFERROR(VLOOKUP(C3932,DATA!#REF!,2,FALSE),"")</f>
        <v/>
      </c>
      <c r="I3932" s="17"/>
      <c r="J3932" s="17"/>
      <c r="P3932" s="17"/>
      <c r="Q3932" s="17"/>
    </row>
    <row r="3933" spans="2:17">
      <c r="B3933" s="17"/>
      <c r="C3933" s="16" t="str">
        <f>IFERROR(VLOOKUP(DATA!#REF!,DATA!#REF!,1,FALSE),"")</f>
        <v/>
      </c>
      <c r="D3933" s="16" t="str">
        <f>IFERROR(VLOOKUP(C3933,DATA!#REF!,2,FALSE),"")</f>
        <v/>
      </c>
      <c r="I3933" s="17"/>
      <c r="J3933" s="17"/>
      <c r="P3933" s="17"/>
      <c r="Q3933" s="17"/>
    </row>
    <row r="3934" spans="2:17">
      <c r="B3934" s="17"/>
      <c r="C3934" s="16" t="str">
        <f>IFERROR(VLOOKUP(DATA!#REF!,DATA!#REF!,1,FALSE),"")</f>
        <v/>
      </c>
      <c r="D3934" s="16" t="str">
        <f>IFERROR(VLOOKUP(C3934,DATA!#REF!,2,FALSE),"")</f>
        <v/>
      </c>
      <c r="I3934" s="17"/>
      <c r="J3934" s="17"/>
      <c r="P3934" s="17"/>
      <c r="Q3934" s="17"/>
    </row>
    <row r="3935" spans="2:17">
      <c r="B3935" s="17"/>
      <c r="C3935" s="16" t="str">
        <f>IFERROR(VLOOKUP(DATA!#REF!,DATA!#REF!,1,FALSE),"")</f>
        <v/>
      </c>
      <c r="D3935" s="16" t="str">
        <f>IFERROR(VLOOKUP(C3935,DATA!#REF!,2,FALSE),"")</f>
        <v/>
      </c>
      <c r="I3935" s="17"/>
      <c r="J3935" s="17"/>
      <c r="P3935" s="17"/>
      <c r="Q3935" s="17"/>
    </row>
    <row r="3936" spans="2:17">
      <c r="B3936" s="17"/>
      <c r="C3936" s="16" t="str">
        <f>IFERROR(VLOOKUP(DATA!#REF!,DATA!#REF!,1,FALSE),"")</f>
        <v/>
      </c>
      <c r="D3936" s="16" t="str">
        <f>IFERROR(VLOOKUP(C3936,DATA!#REF!,2,FALSE),"")</f>
        <v/>
      </c>
      <c r="I3936" s="17"/>
      <c r="J3936" s="17"/>
      <c r="P3936" s="17"/>
      <c r="Q3936" s="17"/>
    </row>
    <row r="3937" spans="2:17">
      <c r="B3937" s="17"/>
      <c r="C3937" s="16" t="str">
        <f>IFERROR(VLOOKUP(DATA!#REF!,DATA!#REF!,1,FALSE),"")</f>
        <v/>
      </c>
      <c r="D3937" s="16" t="str">
        <f>IFERROR(VLOOKUP(C3937,DATA!#REF!,2,FALSE),"")</f>
        <v/>
      </c>
      <c r="I3937" s="17"/>
      <c r="J3937" s="17"/>
      <c r="P3937" s="17"/>
      <c r="Q3937" s="17"/>
    </row>
    <row r="3938" spans="2:17">
      <c r="B3938" s="17"/>
      <c r="C3938" s="16" t="str">
        <f>IFERROR(VLOOKUP(DATA!#REF!,DATA!#REF!,1,FALSE),"")</f>
        <v/>
      </c>
      <c r="D3938" s="16" t="str">
        <f>IFERROR(VLOOKUP(C3938,DATA!#REF!,2,FALSE),"")</f>
        <v/>
      </c>
      <c r="I3938" s="17"/>
      <c r="J3938" s="17"/>
      <c r="P3938" s="17"/>
      <c r="Q3938" s="17"/>
    </row>
    <row r="3939" spans="2:17">
      <c r="B3939" s="17"/>
      <c r="C3939" s="16" t="str">
        <f>IFERROR(VLOOKUP(DATA!#REF!,DATA!#REF!,1,FALSE),"")</f>
        <v/>
      </c>
      <c r="D3939" s="16" t="str">
        <f>IFERROR(VLOOKUP(C3939,DATA!#REF!,2,FALSE),"")</f>
        <v/>
      </c>
      <c r="I3939" s="17"/>
      <c r="J3939" s="17"/>
      <c r="P3939" s="17"/>
      <c r="Q3939" s="17"/>
    </row>
    <row r="3940" spans="2:17">
      <c r="B3940" s="17"/>
      <c r="C3940" s="16" t="str">
        <f>IFERROR(VLOOKUP(DATA!#REF!,DATA!#REF!,1,FALSE),"")</f>
        <v/>
      </c>
      <c r="D3940" s="16" t="str">
        <f>IFERROR(VLOOKUP(C3940,DATA!#REF!,2,FALSE),"")</f>
        <v/>
      </c>
      <c r="I3940" s="17"/>
      <c r="J3940" s="17"/>
      <c r="P3940" s="17"/>
      <c r="Q3940" s="17"/>
    </row>
    <row r="3941" spans="2:17">
      <c r="B3941" s="17"/>
      <c r="C3941" s="16" t="str">
        <f>IFERROR(VLOOKUP(DATA!#REF!,DATA!#REF!,1,FALSE),"")</f>
        <v/>
      </c>
      <c r="D3941" s="16" t="str">
        <f>IFERROR(VLOOKUP(C3941,DATA!#REF!,2,FALSE),"")</f>
        <v/>
      </c>
      <c r="I3941" s="17"/>
      <c r="J3941" s="17"/>
      <c r="P3941" s="17"/>
      <c r="Q3941" s="17"/>
    </row>
    <row r="3942" spans="2:17">
      <c r="B3942" s="17"/>
      <c r="C3942" s="16" t="str">
        <f>IFERROR(VLOOKUP(DATA!#REF!,DATA!#REF!,1,FALSE),"")</f>
        <v/>
      </c>
      <c r="D3942" s="16" t="str">
        <f>IFERROR(VLOOKUP(C3942,DATA!#REF!,2,FALSE),"")</f>
        <v/>
      </c>
      <c r="I3942" s="17"/>
      <c r="J3942" s="17"/>
      <c r="P3942" s="17"/>
      <c r="Q3942" s="17"/>
    </row>
    <row r="3943" spans="2:17">
      <c r="B3943" s="17"/>
      <c r="C3943" s="16" t="str">
        <f>IFERROR(VLOOKUP(DATA!#REF!,DATA!#REF!,1,FALSE),"")</f>
        <v/>
      </c>
      <c r="D3943" s="16" t="str">
        <f>IFERROR(VLOOKUP(C3943,DATA!#REF!,2,FALSE),"")</f>
        <v/>
      </c>
      <c r="I3943" s="17"/>
      <c r="J3943" s="17"/>
      <c r="P3943" s="17"/>
      <c r="Q3943" s="17"/>
    </row>
    <row r="3944" spans="2:17">
      <c r="B3944" s="17"/>
      <c r="C3944" s="16" t="str">
        <f>IFERROR(VLOOKUP(DATA!#REF!,DATA!#REF!,1,FALSE),"")</f>
        <v/>
      </c>
      <c r="D3944" s="16" t="str">
        <f>IFERROR(VLOOKUP(C3944,DATA!#REF!,2,FALSE),"")</f>
        <v/>
      </c>
      <c r="I3944" s="17"/>
      <c r="J3944" s="17"/>
      <c r="P3944" s="17"/>
      <c r="Q3944" s="17"/>
    </row>
    <row r="3945" spans="2:17">
      <c r="B3945" s="17"/>
      <c r="C3945" s="16" t="str">
        <f>IFERROR(VLOOKUP(DATA!#REF!,DATA!#REF!,1,FALSE),"")</f>
        <v/>
      </c>
      <c r="D3945" s="16" t="str">
        <f>IFERROR(VLOOKUP(C3945,DATA!#REF!,2,FALSE),"")</f>
        <v/>
      </c>
      <c r="I3945" s="17"/>
      <c r="J3945" s="17"/>
      <c r="P3945" s="17"/>
      <c r="Q3945" s="17"/>
    </row>
    <row r="3946" spans="2:17">
      <c r="B3946" s="17"/>
      <c r="C3946" s="16" t="str">
        <f>IFERROR(VLOOKUP(DATA!#REF!,DATA!#REF!,1,FALSE),"")</f>
        <v/>
      </c>
      <c r="D3946" s="16" t="str">
        <f>IFERROR(VLOOKUP(C3946,DATA!#REF!,2,FALSE),"")</f>
        <v/>
      </c>
      <c r="I3946" s="17"/>
      <c r="J3946" s="17"/>
      <c r="P3946" s="17"/>
      <c r="Q3946" s="17"/>
    </row>
    <row r="3947" spans="2:17">
      <c r="B3947" s="17"/>
      <c r="C3947" s="16" t="str">
        <f>IFERROR(VLOOKUP(DATA!#REF!,DATA!#REF!,1,FALSE),"")</f>
        <v/>
      </c>
      <c r="D3947" s="16" t="str">
        <f>IFERROR(VLOOKUP(C3947,DATA!#REF!,2,FALSE),"")</f>
        <v/>
      </c>
      <c r="I3947" s="17"/>
      <c r="J3947" s="17"/>
      <c r="P3947" s="17"/>
      <c r="Q3947" s="17"/>
    </row>
    <row r="3948" spans="2:17">
      <c r="B3948" s="17"/>
      <c r="C3948" s="16" t="str">
        <f>IFERROR(VLOOKUP(DATA!#REF!,DATA!#REF!,1,FALSE),"")</f>
        <v/>
      </c>
      <c r="D3948" s="16" t="str">
        <f>IFERROR(VLOOKUP(C3948,DATA!#REF!,2,FALSE),"")</f>
        <v/>
      </c>
      <c r="I3948" s="17"/>
      <c r="J3948" s="17"/>
      <c r="P3948" s="17"/>
      <c r="Q3948" s="17"/>
    </row>
    <row r="3949" spans="2:17">
      <c r="B3949" s="17"/>
      <c r="C3949" s="16" t="str">
        <f>IFERROR(VLOOKUP(DATA!#REF!,DATA!#REF!,1,FALSE),"")</f>
        <v/>
      </c>
      <c r="D3949" s="16" t="str">
        <f>IFERROR(VLOOKUP(C3949,DATA!#REF!,2,FALSE),"")</f>
        <v/>
      </c>
      <c r="I3949" s="17"/>
      <c r="J3949" s="17"/>
      <c r="P3949" s="17"/>
      <c r="Q3949" s="17"/>
    </row>
    <row r="3950" spans="2:17">
      <c r="B3950" s="17"/>
      <c r="C3950" s="16" t="str">
        <f>IFERROR(VLOOKUP(DATA!#REF!,DATA!#REF!,1,FALSE),"")</f>
        <v/>
      </c>
      <c r="D3950" s="16" t="str">
        <f>IFERROR(VLOOKUP(C3950,DATA!#REF!,2,FALSE),"")</f>
        <v/>
      </c>
      <c r="I3950" s="17"/>
      <c r="J3950" s="17"/>
      <c r="P3950" s="17"/>
      <c r="Q3950" s="17"/>
    </row>
    <row r="3951" spans="2:17">
      <c r="B3951" s="17"/>
      <c r="C3951" s="16" t="str">
        <f>IFERROR(VLOOKUP(DATA!#REF!,DATA!#REF!,1,FALSE),"")</f>
        <v/>
      </c>
      <c r="D3951" s="16" t="str">
        <f>IFERROR(VLOOKUP(C3951,DATA!#REF!,2,FALSE),"")</f>
        <v/>
      </c>
      <c r="I3951" s="17"/>
      <c r="J3951" s="17"/>
      <c r="P3951" s="17"/>
      <c r="Q3951" s="17"/>
    </row>
    <row r="3952" spans="2:17">
      <c r="B3952" s="17"/>
      <c r="C3952" s="16" t="str">
        <f>IFERROR(VLOOKUP(DATA!#REF!,DATA!#REF!,1,FALSE),"")</f>
        <v/>
      </c>
      <c r="D3952" s="16" t="str">
        <f>IFERROR(VLOOKUP(C3952,DATA!#REF!,2,FALSE),"")</f>
        <v/>
      </c>
      <c r="I3952" s="17"/>
      <c r="J3952" s="17"/>
      <c r="P3952" s="17"/>
      <c r="Q3952" s="17"/>
    </row>
    <row r="3953" spans="2:17">
      <c r="B3953" s="17"/>
      <c r="C3953" s="16" t="str">
        <f>IFERROR(VLOOKUP(DATA!#REF!,DATA!#REF!,1,FALSE),"")</f>
        <v/>
      </c>
      <c r="D3953" s="16" t="str">
        <f>IFERROR(VLOOKUP(C3953,DATA!#REF!,2,FALSE),"")</f>
        <v/>
      </c>
      <c r="I3953" s="17"/>
      <c r="J3953" s="17"/>
      <c r="P3953" s="17"/>
      <c r="Q3953" s="17"/>
    </row>
    <row r="3954" spans="2:17">
      <c r="B3954" s="17"/>
      <c r="C3954" s="16" t="str">
        <f>IFERROR(VLOOKUP(DATA!#REF!,DATA!#REF!,1,FALSE),"")</f>
        <v/>
      </c>
      <c r="D3954" s="16" t="str">
        <f>IFERROR(VLOOKUP(C3954,DATA!#REF!,2,FALSE),"")</f>
        <v/>
      </c>
      <c r="I3954" s="17"/>
      <c r="J3954" s="17"/>
      <c r="P3954" s="17"/>
      <c r="Q3954" s="17"/>
    </row>
    <row r="3955" spans="2:17">
      <c r="B3955" s="17"/>
      <c r="C3955" s="16" t="str">
        <f>IFERROR(VLOOKUP(DATA!#REF!,DATA!#REF!,1,FALSE),"")</f>
        <v/>
      </c>
      <c r="D3955" s="16" t="str">
        <f>IFERROR(VLOOKUP(C3955,DATA!#REF!,2,FALSE),"")</f>
        <v/>
      </c>
      <c r="I3955" s="17"/>
      <c r="J3955" s="17"/>
      <c r="P3955" s="17"/>
      <c r="Q3955" s="17"/>
    </row>
    <row r="3956" spans="2:17">
      <c r="B3956" s="17"/>
      <c r="C3956" s="16" t="str">
        <f>IFERROR(VLOOKUP(DATA!#REF!,DATA!#REF!,1,FALSE),"")</f>
        <v/>
      </c>
      <c r="D3956" s="16" t="str">
        <f>IFERROR(VLOOKUP(C3956,DATA!#REF!,2,FALSE),"")</f>
        <v/>
      </c>
      <c r="I3956" s="17"/>
      <c r="J3956" s="17"/>
      <c r="P3956" s="17"/>
      <c r="Q3956" s="17"/>
    </row>
    <row r="3957" spans="2:17">
      <c r="B3957" s="17"/>
      <c r="C3957" s="16" t="str">
        <f>IFERROR(VLOOKUP(DATA!#REF!,DATA!#REF!,1,FALSE),"")</f>
        <v/>
      </c>
      <c r="D3957" s="16" t="str">
        <f>IFERROR(VLOOKUP(C3957,DATA!#REF!,2,FALSE),"")</f>
        <v/>
      </c>
      <c r="I3957" s="17"/>
      <c r="J3957" s="17"/>
      <c r="P3957" s="17"/>
      <c r="Q3957" s="17"/>
    </row>
    <row r="3958" spans="2:17">
      <c r="B3958" s="17"/>
      <c r="C3958" s="16" t="str">
        <f>IFERROR(VLOOKUP(DATA!#REF!,DATA!#REF!,1,FALSE),"")</f>
        <v/>
      </c>
      <c r="D3958" s="16" t="str">
        <f>IFERROR(VLOOKUP(C3958,DATA!#REF!,2,FALSE),"")</f>
        <v/>
      </c>
      <c r="I3958" s="17"/>
      <c r="J3958" s="17"/>
      <c r="P3958" s="17"/>
      <c r="Q3958" s="17"/>
    </row>
    <row r="3959" spans="2:17">
      <c r="B3959" s="17"/>
      <c r="C3959" s="16" t="str">
        <f>IFERROR(VLOOKUP(DATA!#REF!,DATA!#REF!,1,FALSE),"")</f>
        <v/>
      </c>
      <c r="D3959" s="16" t="str">
        <f>IFERROR(VLOOKUP(C3959,DATA!#REF!,2,FALSE),"")</f>
        <v/>
      </c>
      <c r="I3959" s="17"/>
      <c r="J3959" s="17"/>
      <c r="P3959" s="17"/>
      <c r="Q3959" s="17"/>
    </row>
    <row r="3960" spans="2:17">
      <c r="B3960" s="17"/>
      <c r="C3960" s="16" t="str">
        <f>IFERROR(VLOOKUP(DATA!#REF!,DATA!#REF!,1,FALSE),"")</f>
        <v/>
      </c>
      <c r="D3960" s="16" t="str">
        <f>IFERROR(VLOOKUP(C3960,DATA!#REF!,2,FALSE),"")</f>
        <v/>
      </c>
      <c r="I3960" s="17"/>
      <c r="J3960" s="17"/>
      <c r="P3960" s="17"/>
      <c r="Q3960" s="17"/>
    </row>
    <row r="3961" spans="2:17">
      <c r="B3961" s="17"/>
      <c r="C3961" s="16" t="str">
        <f>IFERROR(VLOOKUP(DATA!#REF!,DATA!#REF!,1,FALSE),"")</f>
        <v/>
      </c>
      <c r="D3961" s="16" t="str">
        <f>IFERROR(VLOOKUP(C3961,DATA!#REF!,2,FALSE),"")</f>
        <v/>
      </c>
      <c r="I3961" s="17"/>
      <c r="J3961" s="17"/>
      <c r="P3961" s="17"/>
      <c r="Q3961" s="17"/>
    </row>
    <row r="3962" spans="2:17">
      <c r="B3962" s="17"/>
      <c r="C3962" s="16" t="str">
        <f>IFERROR(VLOOKUP(DATA!#REF!,DATA!#REF!,1,FALSE),"")</f>
        <v/>
      </c>
      <c r="D3962" s="16" t="str">
        <f>IFERROR(VLOOKUP(C3962,DATA!#REF!,2,FALSE),"")</f>
        <v/>
      </c>
      <c r="I3962" s="17"/>
      <c r="J3962" s="17"/>
      <c r="P3962" s="17"/>
      <c r="Q3962" s="17"/>
    </row>
    <row r="3963" spans="2:17">
      <c r="B3963" s="17"/>
      <c r="C3963" s="16" t="str">
        <f>IFERROR(VLOOKUP(DATA!#REF!,DATA!#REF!,1,FALSE),"")</f>
        <v/>
      </c>
      <c r="D3963" s="16" t="str">
        <f>IFERROR(VLOOKUP(C3963,DATA!#REF!,2,FALSE),"")</f>
        <v/>
      </c>
      <c r="I3963" s="17"/>
      <c r="J3963" s="17"/>
      <c r="P3963" s="17"/>
      <c r="Q3963" s="17"/>
    </row>
    <row r="3964" spans="2:17">
      <c r="B3964" s="17"/>
      <c r="C3964" s="16" t="str">
        <f>IFERROR(VLOOKUP(DATA!#REF!,DATA!#REF!,1,FALSE),"")</f>
        <v/>
      </c>
      <c r="D3964" s="16" t="str">
        <f>IFERROR(VLOOKUP(C3964,DATA!#REF!,2,FALSE),"")</f>
        <v/>
      </c>
      <c r="I3964" s="17"/>
      <c r="J3964" s="17"/>
      <c r="P3964" s="17"/>
      <c r="Q3964" s="17"/>
    </row>
    <row r="3965" spans="2:17">
      <c r="B3965" s="17"/>
      <c r="C3965" s="16" t="str">
        <f>IFERROR(VLOOKUP(DATA!#REF!,DATA!#REF!,1,FALSE),"")</f>
        <v/>
      </c>
      <c r="D3965" s="16" t="str">
        <f>IFERROR(VLOOKUP(C3965,DATA!#REF!,2,FALSE),"")</f>
        <v/>
      </c>
      <c r="I3965" s="17"/>
      <c r="J3965" s="17"/>
      <c r="P3965" s="17"/>
      <c r="Q3965" s="17"/>
    </row>
    <row r="3966" spans="2:17">
      <c r="B3966" s="17"/>
      <c r="C3966" s="16" t="str">
        <f>IFERROR(VLOOKUP(DATA!#REF!,DATA!#REF!,1,FALSE),"")</f>
        <v/>
      </c>
      <c r="D3966" s="16" t="str">
        <f>IFERROR(VLOOKUP(C3966,DATA!#REF!,2,FALSE),"")</f>
        <v/>
      </c>
      <c r="I3966" s="17"/>
      <c r="J3966" s="17"/>
      <c r="P3966" s="17"/>
      <c r="Q3966" s="17"/>
    </row>
    <row r="3967" spans="2:17">
      <c r="B3967" s="17"/>
      <c r="C3967" s="16" t="str">
        <f>IFERROR(VLOOKUP(DATA!#REF!,DATA!#REF!,1,FALSE),"")</f>
        <v/>
      </c>
      <c r="D3967" s="16" t="str">
        <f>IFERROR(VLOOKUP(C3967,DATA!#REF!,2,FALSE),"")</f>
        <v/>
      </c>
      <c r="I3967" s="17"/>
      <c r="J3967" s="17"/>
      <c r="P3967" s="17"/>
      <c r="Q3967" s="17"/>
    </row>
    <row r="3968" spans="2:17">
      <c r="B3968" s="17"/>
      <c r="C3968" s="16" t="str">
        <f>IFERROR(VLOOKUP(DATA!#REF!,DATA!#REF!,1,FALSE),"")</f>
        <v/>
      </c>
      <c r="D3968" s="16" t="str">
        <f>IFERROR(VLOOKUP(C3968,DATA!#REF!,2,FALSE),"")</f>
        <v/>
      </c>
      <c r="I3968" s="17"/>
      <c r="J3968" s="17"/>
      <c r="P3968" s="17"/>
      <c r="Q3968" s="17"/>
    </row>
    <row r="3969" spans="2:17">
      <c r="B3969" s="17"/>
      <c r="C3969" s="16" t="str">
        <f>IFERROR(VLOOKUP(DATA!#REF!,DATA!#REF!,1,FALSE),"")</f>
        <v/>
      </c>
      <c r="D3969" s="16" t="str">
        <f>IFERROR(VLOOKUP(C3969,DATA!#REF!,2,FALSE),"")</f>
        <v/>
      </c>
      <c r="I3969" s="17"/>
      <c r="J3969" s="17"/>
      <c r="P3969" s="17"/>
      <c r="Q3969" s="17"/>
    </row>
    <row r="3970" spans="2:17">
      <c r="B3970" s="17"/>
      <c r="C3970" s="16" t="str">
        <f>IFERROR(VLOOKUP(DATA!#REF!,DATA!#REF!,1,FALSE),"")</f>
        <v/>
      </c>
      <c r="D3970" s="16" t="str">
        <f>IFERROR(VLOOKUP(C3970,DATA!#REF!,2,FALSE),"")</f>
        <v/>
      </c>
      <c r="I3970" s="17"/>
      <c r="J3970" s="17"/>
      <c r="P3970" s="17"/>
      <c r="Q3970" s="17"/>
    </row>
    <row r="3971" spans="2:17">
      <c r="B3971" s="17"/>
      <c r="C3971" s="16" t="str">
        <f>IFERROR(VLOOKUP(DATA!#REF!,DATA!#REF!,1,FALSE),"")</f>
        <v/>
      </c>
      <c r="D3971" s="16" t="str">
        <f>IFERROR(VLOOKUP(C3971,DATA!#REF!,2,FALSE),"")</f>
        <v/>
      </c>
      <c r="I3971" s="17"/>
      <c r="J3971" s="17"/>
      <c r="P3971" s="17"/>
      <c r="Q3971" s="17"/>
    </row>
    <row r="3972" spans="2:17">
      <c r="B3972" s="17"/>
      <c r="C3972" s="16" t="str">
        <f>IFERROR(VLOOKUP(DATA!#REF!,DATA!#REF!,1,FALSE),"")</f>
        <v/>
      </c>
      <c r="D3972" s="16" t="str">
        <f>IFERROR(VLOOKUP(C3972,DATA!#REF!,2,FALSE),"")</f>
        <v/>
      </c>
      <c r="I3972" s="17"/>
      <c r="J3972" s="17"/>
      <c r="P3972" s="17"/>
      <c r="Q3972" s="17"/>
    </row>
    <row r="3973" spans="2:17">
      <c r="B3973" s="17"/>
      <c r="C3973" s="16" t="str">
        <f>IFERROR(VLOOKUP(DATA!#REF!,DATA!#REF!,1,FALSE),"")</f>
        <v/>
      </c>
      <c r="D3973" s="16" t="str">
        <f>IFERROR(VLOOKUP(C3973,DATA!#REF!,2,FALSE),"")</f>
        <v/>
      </c>
      <c r="I3973" s="17"/>
      <c r="J3973" s="17"/>
      <c r="P3973" s="17"/>
      <c r="Q3973" s="17"/>
    </row>
    <row r="3974" spans="2:17">
      <c r="B3974" s="17"/>
      <c r="C3974" s="16" t="str">
        <f>IFERROR(VLOOKUP(DATA!#REF!,DATA!#REF!,1,FALSE),"")</f>
        <v/>
      </c>
      <c r="D3974" s="16" t="str">
        <f>IFERROR(VLOOKUP(C3974,DATA!#REF!,2,FALSE),"")</f>
        <v/>
      </c>
      <c r="I3974" s="17"/>
      <c r="J3974" s="17"/>
      <c r="P3974" s="17"/>
      <c r="Q3974" s="17"/>
    </row>
    <row r="3975" spans="2:17">
      <c r="B3975" s="17"/>
      <c r="C3975" s="16" t="str">
        <f>IFERROR(VLOOKUP(DATA!#REF!,DATA!#REF!,1,FALSE),"")</f>
        <v/>
      </c>
      <c r="D3975" s="16" t="str">
        <f>IFERROR(VLOOKUP(C3975,DATA!#REF!,2,FALSE),"")</f>
        <v/>
      </c>
      <c r="I3975" s="17"/>
      <c r="J3975" s="17"/>
      <c r="P3975" s="17"/>
      <c r="Q3975" s="17"/>
    </row>
    <row r="3976" spans="2:17">
      <c r="B3976" s="17"/>
      <c r="C3976" s="16" t="str">
        <f>IFERROR(VLOOKUP(DATA!#REF!,DATA!#REF!,1,FALSE),"")</f>
        <v/>
      </c>
      <c r="D3976" s="16" t="str">
        <f>IFERROR(VLOOKUP(C3976,DATA!#REF!,2,FALSE),"")</f>
        <v/>
      </c>
      <c r="I3976" s="17"/>
      <c r="J3976" s="17"/>
      <c r="P3976" s="17"/>
      <c r="Q3976" s="17"/>
    </row>
    <row r="3977" spans="2:17">
      <c r="B3977" s="17"/>
      <c r="C3977" s="16" t="str">
        <f>IFERROR(VLOOKUP(DATA!#REF!,DATA!#REF!,1,FALSE),"")</f>
        <v/>
      </c>
      <c r="D3977" s="16" t="str">
        <f>IFERROR(VLOOKUP(C3977,DATA!#REF!,2,FALSE),"")</f>
        <v/>
      </c>
      <c r="I3977" s="17"/>
      <c r="J3977" s="17"/>
      <c r="P3977" s="17"/>
      <c r="Q3977" s="17"/>
    </row>
    <row r="3978" spans="2:17">
      <c r="B3978" s="17"/>
      <c r="C3978" s="16" t="str">
        <f>IFERROR(VLOOKUP(DATA!#REF!,DATA!#REF!,1,FALSE),"")</f>
        <v/>
      </c>
      <c r="D3978" s="16" t="str">
        <f>IFERROR(VLOOKUP(C3978,DATA!#REF!,2,FALSE),"")</f>
        <v/>
      </c>
      <c r="I3978" s="17"/>
      <c r="J3978" s="17"/>
      <c r="P3978" s="17"/>
      <c r="Q3978" s="17"/>
    </row>
    <row r="3979" spans="2:17">
      <c r="B3979" s="17"/>
      <c r="C3979" s="16" t="str">
        <f>IFERROR(VLOOKUP(DATA!#REF!,DATA!#REF!,1,FALSE),"")</f>
        <v/>
      </c>
      <c r="D3979" s="16" t="str">
        <f>IFERROR(VLOOKUP(C3979,DATA!#REF!,2,FALSE),"")</f>
        <v/>
      </c>
      <c r="I3979" s="17"/>
      <c r="J3979" s="17"/>
      <c r="P3979" s="17"/>
      <c r="Q3979" s="17"/>
    </row>
    <row r="3980" spans="2:17">
      <c r="B3980" s="17"/>
      <c r="C3980" s="16" t="str">
        <f>IFERROR(VLOOKUP(DATA!#REF!,DATA!#REF!,1,FALSE),"")</f>
        <v/>
      </c>
      <c r="D3980" s="16" t="str">
        <f>IFERROR(VLOOKUP(C3980,DATA!#REF!,2,FALSE),"")</f>
        <v/>
      </c>
      <c r="I3980" s="17"/>
      <c r="J3980" s="17"/>
      <c r="P3980" s="17"/>
      <c r="Q3980" s="17"/>
    </row>
    <row r="3981" spans="2:17">
      <c r="B3981" s="17"/>
      <c r="C3981" s="16" t="str">
        <f>IFERROR(VLOOKUP(DATA!#REF!,DATA!#REF!,1,FALSE),"")</f>
        <v/>
      </c>
      <c r="D3981" s="16" t="str">
        <f>IFERROR(VLOOKUP(C3981,DATA!#REF!,2,FALSE),"")</f>
        <v/>
      </c>
      <c r="I3981" s="17"/>
      <c r="J3981" s="17"/>
      <c r="P3981" s="17"/>
      <c r="Q3981" s="17"/>
    </row>
    <row r="3982" spans="2:17">
      <c r="B3982" s="17"/>
      <c r="C3982" s="16" t="str">
        <f>IFERROR(VLOOKUP(DATA!#REF!,DATA!#REF!,1,FALSE),"")</f>
        <v/>
      </c>
      <c r="D3982" s="16" t="str">
        <f>IFERROR(VLOOKUP(C3982,DATA!#REF!,2,FALSE),"")</f>
        <v/>
      </c>
      <c r="I3982" s="17"/>
      <c r="J3982" s="17"/>
      <c r="P3982" s="17"/>
      <c r="Q3982" s="17"/>
    </row>
    <row r="3983" spans="2:17">
      <c r="B3983" s="17"/>
      <c r="C3983" s="16" t="str">
        <f>IFERROR(VLOOKUP(DATA!#REF!,DATA!#REF!,1,FALSE),"")</f>
        <v/>
      </c>
      <c r="D3983" s="16" t="str">
        <f>IFERROR(VLOOKUP(C3983,DATA!#REF!,2,FALSE),"")</f>
        <v/>
      </c>
      <c r="I3983" s="17"/>
      <c r="J3983" s="17"/>
      <c r="P3983" s="17"/>
      <c r="Q3983" s="17"/>
    </row>
    <row r="3984" spans="2:17">
      <c r="B3984" s="17"/>
      <c r="C3984" s="16" t="str">
        <f>IFERROR(VLOOKUP(DATA!#REF!,DATA!#REF!,1,FALSE),"")</f>
        <v/>
      </c>
      <c r="D3984" s="16" t="str">
        <f>IFERROR(VLOOKUP(C3984,DATA!#REF!,2,FALSE),"")</f>
        <v/>
      </c>
      <c r="I3984" s="17"/>
      <c r="J3984" s="17"/>
      <c r="P3984" s="17"/>
      <c r="Q3984" s="17"/>
    </row>
    <row r="3985" spans="2:17">
      <c r="B3985" s="17"/>
      <c r="C3985" s="16" t="str">
        <f>IFERROR(VLOOKUP(DATA!#REF!,DATA!#REF!,1,FALSE),"")</f>
        <v/>
      </c>
      <c r="D3985" s="16" t="str">
        <f>IFERROR(VLOOKUP(C3985,DATA!#REF!,2,FALSE),"")</f>
        <v/>
      </c>
      <c r="I3985" s="17"/>
      <c r="J3985" s="17"/>
      <c r="P3985" s="17"/>
      <c r="Q3985" s="17"/>
    </row>
    <row r="3986" spans="2:17">
      <c r="B3986" s="17"/>
      <c r="C3986" s="16" t="str">
        <f>IFERROR(VLOOKUP(DATA!#REF!,DATA!#REF!,1,FALSE),"")</f>
        <v/>
      </c>
      <c r="D3986" s="16" t="str">
        <f>IFERROR(VLOOKUP(C3986,DATA!#REF!,2,FALSE),"")</f>
        <v/>
      </c>
      <c r="I3986" s="17"/>
      <c r="J3986" s="17"/>
      <c r="P3986" s="17"/>
      <c r="Q3986" s="17"/>
    </row>
    <row r="3987" spans="2:17">
      <c r="B3987" s="17"/>
      <c r="C3987" s="16" t="str">
        <f>IFERROR(VLOOKUP(DATA!#REF!,DATA!#REF!,1,FALSE),"")</f>
        <v/>
      </c>
      <c r="D3987" s="16" t="str">
        <f>IFERROR(VLOOKUP(C3987,DATA!#REF!,2,FALSE),"")</f>
        <v/>
      </c>
      <c r="I3987" s="17"/>
      <c r="J3987" s="17"/>
      <c r="P3987" s="17"/>
      <c r="Q3987" s="17"/>
    </row>
    <row r="3988" spans="2:17">
      <c r="B3988" s="17"/>
      <c r="C3988" s="16" t="str">
        <f>IFERROR(VLOOKUP(DATA!#REF!,DATA!#REF!,1,FALSE),"")</f>
        <v/>
      </c>
      <c r="D3988" s="16" t="str">
        <f>IFERROR(VLOOKUP(C3988,DATA!#REF!,2,FALSE),"")</f>
        <v/>
      </c>
      <c r="I3988" s="17"/>
      <c r="J3988" s="17"/>
      <c r="P3988" s="17"/>
      <c r="Q3988" s="17"/>
    </row>
    <row r="3989" spans="2:17">
      <c r="B3989" s="17"/>
      <c r="C3989" s="16" t="str">
        <f>IFERROR(VLOOKUP(DATA!#REF!,DATA!#REF!,1,FALSE),"")</f>
        <v/>
      </c>
      <c r="D3989" s="16" t="str">
        <f>IFERROR(VLOOKUP(C3989,DATA!#REF!,2,FALSE),"")</f>
        <v/>
      </c>
      <c r="I3989" s="17"/>
      <c r="J3989" s="17"/>
      <c r="P3989" s="17"/>
      <c r="Q3989" s="17"/>
    </row>
    <row r="3990" spans="2:17">
      <c r="B3990" s="17"/>
      <c r="C3990" s="16" t="str">
        <f>IFERROR(VLOOKUP(DATA!#REF!,DATA!#REF!,1,FALSE),"")</f>
        <v/>
      </c>
      <c r="D3990" s="16" t="str">
        <f>IFERROR(VLOOKUP(C3990,DATA!#REF!,2,FALSE),"")</f>
        <v/>
      </c>
      <c r="I3990" s="17"/>
      <c r="J3990" s="17"/>
      <c r="P3990" s="17"/>
      <c r="Q3990" s="17"/>
    </row>
    <row r="3991" spans="2:17">
      <c r="B3991" s="17"/>
      <c r="C3991" s="16" t="str">
        <f>IFERROR(VLOOKUP(DATA!#REF!,DATA!#REF!,1,FALSE),"")</f>
        <v/>
      </c>
      <c r="D3991" s="16" t="str">
        <f>IFERROR(VLOOKUP(C3991,DATA!#REF!,2,FALSE),"")</f>
        <v/>
      </c>
      <c r="I3991" s="17"/>
      <c r="J3991" s="17"/>
      <c r="P3991" s="17"/>
      <c r="Q3991" s="17"/>
    </row>
    <row r="3992" spans="2:17">
      <c r="B3992" s="17"/>
      <c r="C3992" s="16" t="str">
        <f>IFERROR(VLOOKUP(DATA!#REF!,DATA!#REF!,1,FALSE),"")</f>
        <v/>
      </c>
      <c r="D3992" s="16" t="str">
        <f>IFERROR(VLOOKUP(C3992,DATA!#REF!,2,FALSE),"")</f>
        <v/>
      </c>
      <c r="I3992" s="17"/>
      <c r="J3992" s="17"/>
      <c r="P3992" s="17"/>
      <c r="Q3992" s="17"/>
    </row>
    <row r="3993" spans="2:17">
      <c r="B3993" s="17"/>
      <c r="C3993" s="16" t="str">
        <f>IFERROR(VLOOKUP(DATA!#REF!,DATA!#REF!,1,FALSE),"")</f>
        <v/>
      </c>
      <c r="D3993" s="16" t="str">
        <f>IFERROR(VLOOKUP(C3993,DATA!#REF!,2,FALSE),"")</f>
        <v/>
      </c>
      <c r="I3993" s="17"/>
      <c r="J3993" s="17"/>
      <c r="P3993" s="17"/>
      <c r="Q3993" s="17"/>
    </row>
    <row r="3994" spans="2:17">
      <c r="B3994" s="17"/>
      <c r="C3994" s="16" t="str">
        <f>IFERROR(VLOOKUP(DATA!#REF!,DATA!#REF!,1,FALSE),"")</f>
        <v/>
      </c>
      <c r="D3994" s="16" t="str">
        <f>IFERROR(VLOOKUP(C3994,DATA!#REF!,2,FALSE),"")</f>
        <v/>
      </c>
      <c r="I3994" s="17"/>
      <c r="J3994" s="17"/>
      <c r="P3994" s="17"/>
      <c r="Q3994" s="17"/>
    </row>
    <row r="3995" spans="2:17">
      <c r="B3995" s="17"/>
      <c r="C3995" s="16" t="str">
        <f>IFERROR(VLOOKUP(DATA!#REF!,DATA!#REF!,1,FALSE),"")</f>
        <v/>
      </c>
      <c r="D3995" s="16" t="str">
        <f>IFERROR(VLOOKUP(C3995,DATA!#REF!,2,FALSE),"")</f>
        <v/>
      </c>
      <c r="I3995" s="17"/>
      <c r="J3995" s="17"/>
      <c r="P3995" s="17"/>
      <c r="Q3995" s="17"/>
    </row>
    <row r="3996" spans="2:17">
      <c r="B3996" s="17"/>
      <c r="C3996" s="16" t="str">
        <f>IFERROR(VLOOKUP(DATA!#REF!,DATA!#REF!,1,FALSE),"")</f>
        <v/>
      </c>
      <c r="D3996" s="16" t="str">
        <f>IFERROR(VLOOKUP(C3996,DATA!#REF!,2,FALSE),"")</f>
        <v/>
      </c>
      <c r="I3996" s="17"/>
      <c r="J3996" s="17"/>
      <c r="P3996" s="17"/>
      <c r="Q3996" s="17"/>
    </row>
    <row r="3997" spans="2:17">
      <c r="B3997" s="17"/>
      <c r="C3997" s="16" t="str">
        <f>IFERROR(VLOOKUP(DATA!#REF!,DATA!#REF!,1,FALSE),"")</f>
        <v/>
      </c>
      <c r="D3997" s="16" t="str">
        <f>IFERROR(VLOOKUP(C3997,DATA!#REF!,2,FALSE),"")</f>
        <v/>
      </c>
      <c r="I3997" s="17"/>
      <c r="J3997" s="17"/>
      <c r="P3997" s="17"/>
      <c r="Q3997" s="17"/>
    </row>
    <row r="3998" spans="2:17">
      <c r="B3998" s="17"/>
      <c r="C3998" s="16" t="str">
        <f>IFERROR(VLOOKUP(DATA!#REF!,DATA!#REF!,1,FALSE),"")</f>
        <v/>
      </c>
      <c r="D3998" s="16" t="str">
        <f>IFERROR(VLOOKUP(C3998,DATA!#REF!,2,FALSE),"")</f>
        <v/>
      </c>
      <c r="I3998" s="17"/>
      <c r="J3998" s="17"/>
      <c r="P3998" s="17"/>
      <c r="Q3998" s="17"/>
    </row>
    <row r="3999" spans="2:17">
      <c r="B3999" s="17"/>
      <c r="C3999" s="16" t="str">
        <f>IFERROR(VLOOKUP(DATA!#REF!,DATA!#REF!,1,FALSE),"")</f>
        <v/>
      </c>
      <c r="D3999" s="16" t="str">
        <f>IFERROR(VLOOKUP(C3999,DATA!#REF!,2,FALSE),"")</f>
        <v/>
      </c>
      <c r="I3999" s="17"/>
      <c r="J3999" s="17"/>
      <c r="P3999" s="17"/>
      <c r="Q3999" s="17"/>
    </row>
    <row r="4000" spans="2:17">
      <c r="B4000" s="17"/>
      <c r="C4000" s="16" t="str">
        <f>IFERROR(VLOOKUP(DATA!#REF!,DATA!#REF!,1,FALSE),"")</f>
        <v/>
      </c>
      <c r="D4000" s="16" t="str">
        <f>IFERROR(VLOOKUP(C4000,DATA!#REF!,2,FALSE),"")</f>
        <v/>
      </c>
      <c r="I4000" s="17"/>
      <c r="J4000" s="17"/>
      <c r="P4000" s="17"/>
      <c r="Q4000" s="17"/>
    </row>
    <row r="4001" spans="2:17">
      <c r="B4001" s="17"/>
      <c r="C4001" s="16" t="str">
        <f>IFERROR(VLOOKUP(DATA!#REF!,DATA!#REF!,1,FALSE),"")</f>
        <v/>
      </c>
      <c r="D4001" s="16" t="str">
        <f>IFERROR(VLOOKUP(C4001,DATA!#REF!,2,FALSE),"")</f>
        <v/>
      </c>
      <c r="I4001" s="17"/>
      <c r="J4001" s="17"/>
      <c r="P4001" s="17"/>
      <c r="Q4001" s="17"/>
    </row>
    <row r="4002" spans="2:17">
      <c r="B4002" s="17"/>
      <c r="C4002" s="16" t="str">
        <f>IFERROR(VLOOKUP(DATA!#REF!,DATA!#REF!,1,FALSE),"")</f>
        <v/>
      </c>
      <c r="D4002" s="16" t="str">
        <f>IFERROR(VLOOKUP(C4002,DATA!#REF!,2,FALSE),"")</f>
        <v/>
      </c>
      <c r="I4002" s="17"/>
      <c r="J4002" s="17"/>
      <c r="P4002" s="17"/>
      <c r="Q4002" s="17"/>
    </row>
    <row r="4003" spans="2:17">
      <c r="B4003" s="17"/>
      <c r="C4003" s="16" t="str">
        <f>IFERROR(VLOOKUP(DATA!#REF!,DATA!#REF!,1,FALSE),"")</f>
        <v/>
      </c>
      <c r="D4003" s="16" t="str">
        <f>IFERROR(VLOOKUP(C4003,DATA!#REF!,2,FALSE),"")</f>
        <v/>
      </c>
      <c r="I4003" s="17"/>
      <c r="J4003" s="17"/>
      <c r="P4003" s="17"/>
      <c r="Q4003" s="17"/>
    </row>
    <row r="4004" spans="2:17">
      <c r="B4004" s="17"/>
      <c r="C4004" s="16" t="str">
        <f>IFERROR(VLOOKUP(DATA!#REF!,DATA!#REF!,1,FALSE),"")</f>
        <v/>
      </c>
      <c r="D4004" s="16" t="str">
        <f>IFERROR(VLOOKUP(C4004,DATA!#REF!,2,FALSE),"")</f>
        <v/>
      </c>
      <c r="I4004" s="17"/>
      <c r="J4004" s="17"/>
      <c r="P4004" s="17"/>
      <c r="Q4004" s="17"/>
    </row>
    <row r="4005" spans="2:17">
      <c r="B4005" s="17"/>
      <c r="C4005" s="16" t="str">
        <f>IFERROR(VLOOKUP(DATA!#REF!,DATA!#REF!,1,FALSE),"")</f>
        <v/>
      </c>
      <c r="D4005" s="16" t="str">
        <f>IFERROR(VLOOKUP(C4005,DATA!#REF!,2,FALSE),"")</f>
        <v/>
      </c>
      <c r="I4005" s="17"/>
      <c r="J4005" s="17"/>
      <c r="P4005" s="17"/>
      <c r="Q4005" s="17"/>
    </row>
    <row r="4006" spans="2:17">
      <c r="B4006" s="17"/>
      <c r="C4006" s="16" t="str">
        <f>IFERROR(VLOOKUP(DATA!#REF!,DATA!#REF!,1,FALSE),"")</f>
        <v/>
      </c>
      <c r="D4006" s="16" t="str">
        <f>IFERROR(VLOOKUP(C4006,DATA!#REF!,2,FALSE),"")</f>
        <v/>
      </c>
      <c r="I4006" s="17"/>
      <c r="J4006" s="17"/>
      <c r="P4006" s="17"/>
      <c r="Q4006" s="17"/>
    </row>
    <row r="4007" spans="2:17">
      <c r="B4007" s="17"/>
      <c r="C4007" s="16" t="str">
        <f>IFERROR(VLOOKUP(DATA!#REF!,DATA!#REF!,1,FALSE),"")</f>
        <v/>
      </c>
      <c r="D4007" s="16" t="str">
        <f>IFERROR(VLOOKUP(C4007,DATA!#REF!,2,FALSE),"")</f>
        <v/>
      </c>
      <c r="I4007" s="17"/>
      <c r="J4007" s="17"/>
      <c r="P4007" s="17"/>
      <c r="Q4007" s="17"/>
    </row>
    <row r="4008" spans="2:17">
      <c r="B4008" s="17"/>
      <c r="C4008" s="16" t="str">
        <f>IFERROR(VLOOKUP(DATA!#REF!,DATA!#REF!,1,FALSE),"")</f>
        <v/>
      </c>
      <c r="D4008" s="16" t="str">
        <f>IFERROR(VLOOKUP(C4008,DATA!#REF!,2,FALSE),"")</f>
        <v/>
      </c>
      <c r="I4008" s="17"/>
      <c r="J4008" s="17"/>
      <c r="P4008" s="17"/>
      <c r="Q4008" s="17"/>
    </row>
    <row r="4009" spans="2:17">
      <c r="B4009" s="17"/>
      <c r="C4009" s="16" t="str">
        <f>IFERROR(VLOOKUP(DATA!#REF!,DATA!#REF!,1,FALSE),"")</f>
        <v/>
      </c>
      <c r="D4009" s="16" t="str">
        <f>IFERROR(VLOOKUP(C4009,DATA!#REF!,2,FALSE),"")</f>
        <v/>
      </c>
      <c r="I4009" s="17"/>
      <c r="J4009" s="17"/>
      <c r="P4009" s="17"/>
      <c r="Q4009" s="17"/>
    </row>
    <row r="4010" spans="2:17">
      <c r="B4010" s="17"/>
      <c r="C4010" s="16" t="str">
        <f>IFERROR(VLOOKUP(DATA!#REF!,DATA!#REF!,1,FALSE),"")</f>
        <v/>
      </c>
      <c r="D4010" s="16" t="str">
        <f>IFERROR(VLOOKUP(C4010,DATA!#REF!,2,FALSE),"")</f>
        <v/>
      </c>
      <c r="I4010" s="17"/>
      <c r="J4010" s="17"/>
      <c r="P4010" s="17"/>
      <c r="Q4010" s="17"/>
    </row>
    <row r="4011" spans="2:17">
      <c r="B4011" s="17"/>
      <c r="C4011" s="16" t="str">
        <f>IFERROR(VLOOKUP(DATA!#REF!,DATA!#REF!,1,FALSE),"")</f>
        <v/>
      </c>
      <c r="D4011" s="16" t="str">
        <f>IFERROR(VLOOKUP(C4011,DATA!#REF!,2,FALSE),"")</f>
        <v/>
      </c>
      <c r="I4011" s="17"/>
      <c r="J4011" s="17"/>
      <c r="P4011" s="17"/>
      <c r="Q4011" s="17"/>
    </row>
    <row r="4012" spans="2:17">
      <c r="B4012" s="17"/>
      <c r="C4012" s="16" t="str">
        <f>IFERROR(VLOOKUP(DATA!#REF!,DATA!#REF!,1,FALSE),"")</f>
        <v/>
      </c>
      <c r="D4012" s="16" t="str">
        <f>IFERROR(VLOOKUP(C4012,DATA!#REF!,2,FALSE),"")</f>
        <v/>
      </c>
      <c r="I4012" s="17"/>
      <c r="J4012" s="17"/>
      <c r="P4012" s="17"/>
      <c r="Q4012" s="17"/>
    </row>
    <row r="4013" spans="2:17">
      <c r="B4013" s="17"/>
      <c r="C4013" s="16" t="str">
        <f>IFERROR(VLOOKUP(DATA!#REF!,DATA!#REF!,1,FALSE),"")</f>
        <v/>
      </c>
      <c r="D4013" s="16" t="str">
        <f>IFERROR(VLOOKUP(C4013,DATA!#REF!,2,FALSE),"")</f>
        <v/>
      </c>
      <c r="I4013" s="17"/>
      <c r="J4013" s="17"/>
      <c r="P4013" s="17"/>
      <c r="Q4013" s="17"/>
    </row>
    <row r="4014" spans="2:17">
      <c r="B4014" s="17"/>
      <c r="C4014" s="16" t="str">
        <f>IFERROR(VLOOKUP(DATA!#REF!,DATA!#REF!,1,FALSE),"")</f>
        <v/>
      </c>
      <c r="D4014" s="16" t="str">
        <f>IFERROR(VLOOKUP(C4014,DATA!#REF!,2,FALSE),"")</f>
        <v/>
      </c>
      <c r="I4014" s="17"/>
      <c r="J4014" s="17"/>
      <c r="P4014" s="17"/>
      <c r="Q4014" s="17"/>
    </row>
    <row r="4015" spans="2:17">
      <c r="B4015" s="17"/>
      <c r="C4015" s="16" t="str">
        <f>IFERROR(VLOOKUP(DATA!#REF!,DATA!#REF!,1,FALSE),"")</f>
        <v/>
      </c>
      <c r="D4015" s="16" t="str">
        <f>IFERROR(VLOOKUP(C4015,DATA!#REF!,2,FALSE),"")</f>
        <v/>
      </c>
      <c r="I4015" s="17"/>
      <c r="J4015" s="17"/>
      <c r="P4015" s="17"/>
      <c r="Q4015" s="17"/>
    </row>
    <row r="4016" spans="2:17">
      <c r="B4016" s="17"/>
      <c r="C4016" s="16" t="str">
        <f>IFERROR(VLOOKUP(DATA!#REF!,DATA!#REF!,1,FALSE),"")</f>
        <v/>
      </c>
      <c r="D4016" s="16" t="str">
        <f>IFERROR(VLOOKUP(C4016,DATA!#REF!,2,FALSE),"")</f>
        <v/>
      </c>
      <c r="I4016" s="17"/>
      <c r="J4016" s="17"/>
      <c r="P4016" s="17"/>
      <c r="Q4016" s="17"/>
    </row>
    <row r="4017" spans="2:17">
      <c r="B4017" s="17"/>
      <c r="C4017" s="16" t="str">
        <f>IFERROR(VLOOKUP(DATA!#REF!,DATA!#REF!,1,FALSE),"")</f>
        <v/>
      </c>
      <c r="D4017" s="16" t="str">
        <f>IFERROR(VLOOKUP(C4017,DATA!#REF!,2,FALSE),"")</f>
        <v/>
      </c>
      <c r="I4017" s="17"/>
      <c r="J4017" s="17"/>
      <c r="P4017" s="17"/>
      <c r="Q4017" s="17"/>
    </row>
    <row r="4018" spans="2:17">
      <c r="B4018" s="17"/>
      <c r="C4018" s="16" t="str">
        <f>IFERROR(VLOOKUP(DATA!#REF!,DATA!#REF!,1,FALSE),"")</f>
        <v/>
      </c>
      <c r="D4018" s="16" t="str">
        <f>IFERROR(VLOOKUP(C4018,DATA!#REF!,2,FALSE),"")</f>
        <v/>
      </c>
      <c r="I4018" s="17"/>
      <c r="J4018" s="17"/>
      <c r="P4018" s="17"/>
      <c r="Q4018" s="17"/>
    </row>
    <row r="4019" spans="2:17">
      <c r="B4019" s="17"/>
      <c r="C4019" s="16" t="str">
        <f>IFERROR(VLOOKUP(DATA!#REF!,DATA!#REF!,1,FALSE),"")</f>
        <v/>
      </c>
      <c r="D4019" s="16" t="str">
        <f>IFERROR(VLOOKUP(C4019,DATA!#REF!,2,FALSE),"")</f>
        <v/>
      </c>
      <c r="I4019" s="17"/>
      <c r="J4019" s="17"/>
      <c r="P4019" s="17"/>
      <c r="Q4019" s="17"/>
    </row>
    <row r="4020" spans="2:17">
      <c r="B4020" s="17"/>
      <c r="C4020" s="16" t="str">
        <f>IFERROR(VLOOKUP(DATA!#REF!,DATA!#REF!,1,FALSE),"")</f>
        <v/>
      </c>
      <c r="D4020" s="16" t="str">
        <f>IFERROR(VLOOKUP(C4020,DATA!#REF!,2,FALSE),"")</f>
        <v/>
      </c>
      <c r="I4020" s="17"/>
      <c r="J4020" s="17"/>
      <c r="P4020" s="17"/>
      <c r="Q4020" s="17"/>
    </row>
    <row r="4021" spans="2:17">
      <c r="B4021" s="17"/>
      <c r="C4021" s="16" t="str">
        <f>IFERROR(VLOOKUP(DATA!#REF!,DATA!#REF!,1,FALSE),"")</f>
        <v/>
      </c>
      <c r="D4021" s="16" t="str">
        <f>IFERROR(VLOOKUP(C4021,DATA!#REF!,2,FALSE),"")</f>
        <v/>
      </c>
      <c r="I4021" s="17"/>
      <c r="J4021" s="17"/>
      <c r="P4021" s="17"/>
      <c r="Q4021" s="17"/>
    </row>
    <row r="4022" spans="2:17">
      <c r="B4022" s="17"/>
      <c r="C4022" s="16" t="str">
        <f>IFERROR(VLOOKUP(DATA!#REF!,DATA!#REF!,1,FALSE),"")</f>
        <v/>
      </c>
      <c r="D4022" s="16" t="str">
        <f>IFERROR(VLOOKUP(C4022,DATA!#REF!,2,FALSE),"")</f>
        <v/>
      </c>
      <c r="I4022" s="17"/>
      <c r="J4022" s="17"/>
      <c r="P4022" s="17"/>
      <c r="Q4022" s="17"/>
    </row>
    <row r="4023" spans="2:17">
      <c r="B4023" s="17"/>
      <c r="C4023" s="16" t="str">
        <f>IFERROR(VLOOKUP(DATA!#REF!,DATA!#REF!,1,FALSE),"")</f>
        <v/>
      </c>
      <c r="D4023" s="16" t="str">
        <f>IFERROR(VLOOKUP(C4023,DATA!#REF!,2,FALSE),"")</f>
        <v/>
      </c>
      <c r="I4023" s="17"/>
      <c r="J4023" s="17"/>
      <c r="P4023" s="17"/>
      <c r="Q4023" s="17"/>
    </row>
    <row r="4024" spans="2:17">
      <c r="B4024" s="17"/>
      <c r="C4024" s="16" t="str">
        <f>IFERROR(VLOOKUP(DATA!#REF!,DATA!#REF!,1,FALSE),"")</f>
        <v/>
      </c>
      <c r="D4024" s="16" t="str">
        <f>IFERROR(VLOOKUP(C4024,DATA!#REF!,2,FALSE),"")</f>
        <v/>
      </c>
      <c r="I4024" s="17"/>
      <c r="J4024" s="17"/>
      <c r="P4024" s="17"/>
      <c r="Q4024" s="17"/>
    </row>
    <row r="4025" spans="2:17">
      <c r="B4025" s="17"/>
      <c r="C4025" s="16" t="str">
        <f>IFERROR(VLOOKUP(DATA!#REF!,DATA!#REF!,1,FALSE),"")</f>
        <v/>
      </c>
      <c r="D4025" s="16" t="str">
        <f>IFERROR(VLOOKUP(C4025,DATA!#REF!,2,FALSE),"")</f>
        <v/>
      </c>
      <c r="I4025" s="17"/>
      <c r="J4025" s="17"/>
      <c r="P4025" s="17"/>
      <c r="Q4025" s="17"/>
    </row>
    <row r="4026" spans="2:17">
      <c r="B4026" s="17"/>
      <c r="C4026" s="16" t="str">
        <f>IFERROR(VLOOKUP(DATA!#REF!,DATA!#REF!,1,FALSE),"")</f>
        <v/>
      </c>
      <c r="D4026" s="16" t="str">
        <f>IFERROR(VLOOKUP(C4026,DATA!#REF!,2,FALSE),"")</f>
        <v/>
      </c>
      <c r="I4026" s="17"/>
      <c r="J4026" s="17"/>
      <c r="P4026" s="17"/>
      <c r="Q4026" s="17"/>
    </row>
    <row r="4027" spans="2:17">
      <c r="B4027" s="17"/>
      <c r="C4027" s="16" t="str">
        <f>IFERROR(VLOOKUP(DATA!#REF!,DATA!#REF!,1,FALSE),"")</f>
        <v/>
      </c>
      <c r="D4027" s="16" t="str">
        <f>IFERROR(VLOOKUP(C4027,DATA!#REF!,2,FALSE),"")</f>
        <v/>
      </c>
      <c r="I4027" s="17"/>
      <c r="J4027" s="17"/>
      <c r="P4027" s="17"/>
      <c r="Q4027" s="17"/>
    </row>
    <row r="4028" spans="2:17">
      <c r="B4028" s="17"/>
      <c r="C4028" s="16" t="str">
        <f>IFERROR(VLOOKUP(DATA!#REF!,DATA!#REF!,1,FALSE),"")</f>
        <v/>
      </c>
      <c r="D4028" s="16" t="str">
        <f>IFERROR(VLOOKUP(C4028,DATA!#REF!,2,FALSE),"")</f>
        <v/>
      </c>
      <c r="I4028" s="17"/>
      <c r="J4028" s="17"/>
      <c r="P4028" s="17"/>
      <c r="Q4028" s="17"/>
    </row>
    <row r="4029" spans="2:17">
      <c r="B4029" s="17"/>
      <c r="C4029" s="16" t="str">
        <f>IFERROR(VLOOKUP(DATA!#REF!,DATA!#REF!,1,FALSE),"")</f>
        <v/>
      </c>
      <c r="D4029" s="16" t="str">
        <f>IFERROR(VLOOKUP(C4029,DATA!#REF!,2,FALSE),"")</f>
        <v/>
      </c>
      <c r="I4029" s="17"/>
      <c r="J4029" s="17"/>
      <c r="P4029" s="17"/>
      <c r="Q4029" s="17"/>
    </row>
    <row r="4030" spans="2:17">
      <c r="B4030" s="17"/>
      <c r="C4030" s="16" t="str">
        <f>IFERROR(VLOOKUP(DATA!#REF!,DATA!#REF!,1,FALSE),"")</f>
        <v/>
      </c>
      <c r="D4030" s="16" t="str">
        <f>IFERROR(VLOOKUP(C4030,DATA!#REF!,2,FALSE),"")</f>
        <v/>
      </c>
      <c r="I4030" s="17"/>
      <c r="J4030" s="17"/>
      <c r="P4030" s="17"/>
      <c r="Q4030" s="17"/>
    </row>
    <row r="4031" spans="2:17">
      <c r="B4031" s="17"/>
      <c r="C4031" s="16" t="str">
        <f>IFERROR(VLOOKUP(DATA!#REF!,DATA!#REF!,1,FALSE),"")</f>
        <v/>
      </c>
      <c r="D4031" s="16" t="str">
        <f>IFERROR(VLOOKUP(C4031,DATA!#REF!,2,FALSE),"")</f>
        <v/>
      </c>
      <c r="I4031" s="17"/>
      <c r="J4031" s="17"/>
      <c r="P4031" s="17"/>
      <c r="Q4031" s="17"/>
    </row>
    <row r="4032" spans="2:17">
      <c r="B4032" s="17"/>
      <c r="C4032" s="16" t="str">
        <f>IFERROR(VLOOKUP(DATA!#REF!,DATA!#REF!,1,FALSE),"")</f>
        <v/>
      </c>
      <c r="D4032" s="16" t="str">
        <f>IFERROR(VLOOKUP(C4032,DATA!#REF!,2,FALSE),"")</f>
        <v/>
      </c>
      <c r="I4032" s="17"/>
      <c r="J4032" s="17"/>
      <c r="P4032" s="17"/>
      <c r="Q4032" s="17"/>
    </row>
    <row r="4033" spans="2:17">
      <c r="B4033" s="17"/>
      <c r="C4033" s="16" t="str">
        <f>IFERROR(VLOOKUP(DATA!#REF!,DATA!#REF!,1,FALSE),"")</f>
        <v/>
      </c>
      <c r="D4033" s="16" t="str">
        <f>IFERROR(VLOOKUP(C4033,DATA!#REF!,2,FALSE),"")</f>
        <v/>
      </c>
      <c r="I4033" s="17"/>
      <c r="J4033" s="17"/>
      <c r="P4033" s="17"/>
      <c r="Q4033" s="17"/>
    </row>
    <row r="4034" spans="2:17">
      <c r="B4034" s="17"/>
      <c r="C4034" s="16" t="str">
        <f>IFERROR(VLOOKUP(DATA!#REF!,DATA!#REF!,1,FALSE),"")</f>
        <v/>
      </c>
      <c r="D4034" s="16" t="str">
        <f>IFERROR(VLOOKUP(C4034,DATA!#REF!,2,FALSE),"")</f>
        <v/>
      </c>
      <c r="I4034" s="17"/>
      <c r="J4034" s="17"/>
      <c r="P4034" s="17"/>
      <c r="Q4034" s="17"/>
    </row>
    <row r="4035" spans="2:17">
      <c r="B4035" s="17"/>
      <c r="C4035" s="16" t="str">
        <f>IFERROR(VLOOKUP(DATA!#REF!,DATA!#REF!,1,FALSE),"")</f>
        <v/>
      </c>
      <c r="D4035" s="16" t="str">
        <f>IFERROR(VLOOKUP(C4035,DATA!#REF!,2,FALSE),"")</f>
        <v/>
      </c>
      <c r="I4035" s="17"/>
      <c r="J4035" s="17"/>
      <c r="P4035" s="17"/>
      <c r="Q4035" s="17"/>
    </row>
    <row r="4036" spans="2:17">
      <c r="B4036" s="17"/>
      <c r="C4036" s="16" t="str">
        <f>IFERROR(VLOOKUP(DATA!#REF!,DATA!#REF!,1,FALSE),"")</f>
        <v/>
      </c>
      <c r="D4036" s="16" t="str">
        <f>IFERROR(VLOOKUP(C4036,DATA!#REF!,2,FALSE),"")</f>
        <v/>
      </c>
      <c r="I4036" s="17"/>
      <c r="J4036" s="17"/>
      <c r="P4036" s="17"/>
      <c r="Q4036" s="17"/>
    </row>
    <row r="4037" spans="2:17">
      <c r="B4037" s="17"/>
      <c r="C4037" s="16" t="str">
        <f>IFERROR(VLOOKUP(DATA!#REF!,DATA!#REF!,1,FALSE),"")</f>
        <v/>
      </c>
      <c r="D4037" s="16" t="str">
        <f>IFERROR(VLOOKUP(C4037,DATA!#REF!,2,FALSE),"")</f>
        <v/>
      </c>
      <c r="I4037" s="17"/>
      <c r="J4037" s="17"/>
      <c r="P4037" s="17"/>
      <c r="Q4037" s="17"/>
    </row>
    <row r="4038" spans="2:17">
      <c r="B4038" s="17"/>
      <c r="C4038" s="16" t="str">
        <f>IFERROR(VLOOKUP(DATA!#REF!,DATA!#REF!,1,FALSE),"")</f>
        <v/>
      </c>
      <c r="D4038" s="16" t="str">
        <f>IFERROR(VLOOKUP(C4038,DATA!#REF!,2,FALSE),"")</f>
        <v/>
      </c>
      <c r="I4038" s="17"/>
      <c r="J4038" s="17"/>
      <c r="P4038" s="17"/>
      <c r="Q4038" s="17"/>
    </row>
    <row r="4039" spans="2:17">
      <c r="B4039" s="17"/>
      <c r="C4039" s="16" t="str">
        <f>IFERROR(VLOOKUP(DATA!#REF!,DATA!#REF!,1,FALSE),"")</f>
        <v/>
      </c>
      <c r="D4039" s="16" t="str">
        <f>IFERROR(VLOOKUP(C4039,DATA!#REF!,2,FALSE),"")</f>
        <v/>
      </c>
      <c r="I4039" s="17"/>
      <c r="J4039" s="17"/>
      <c r="P4039" s="17"/>
      <c r="Q4039" s="17"/>
    </row>
    <row r="4040" spans="2:17">
      <c r="B4040" s="17"/>
      <c r="C4040" s="16" t="str">
        <f>IFERROR(VLOOKUP(DATA!#REF!,DATA!#REF!,1,FALSE),"")</f>
        <v/>
      </c>
      <c r="D4040" s="16" t="str">
        <f>IFERROR(VLOOKUP(C4040,DATA!#REF!,2,FALSE),"")</f>
        <v/>
      </c>
      <c r="I4040" s="17"/>
      <c r="J4040" s="17"/>
      <c r="P4040" s="17"/>
      <c r="Q4040" s="17"/>
    </row>
    <row r="4041" spans="2:17">
      <c r="B4041" s="17"/>
      <c r="C4041" s="16" t="str">
        <f>IFERROR(VLOOKUP(DATA!#REF!,DATA!#REF!,1,FALSE),"")</f>
        <v/>
      </c>
      <c r="D4041" s="16" t="str">
        <f>IFERROR(VLOOKUP(C4041,DATA!#REF!,2,FALSE),"")</f>
        <v/>
      </c>
      <c r="I4041" s="17"/>
      <c r="J4041" s="17"/>
      <c r="P4041" s="17"/>
      <c r="Q4041" s="17"/>
    </row>
    <row r="4042" spans="2:17">
      <c r="B4042" s="17"/>
      <c r="C4042" s="16" t="str">
        <f>IFERROR(VLOOKUP(DATA!#REF!,DATA!#REF!,1,FALSE),"")</f>
        <v/>
      </c>
      <c r="D4042" s="16" t="str">
        <f>IFERROR(VLOOKUP(C4042,DATA!#REF!,2,FALSE),"")</f>
        <v/>
      </c>
      <c r="I4042" s="17"/>
      <c r="J4042" s="17"/>
      <c r="P4042" s="17"/>
      <c r="Q4042" s="17"/>
    </row>
    <row r="4043" spans="2:17">
      <c r="B4043" s="17"/>
      <c r="C4043" s="16" t="str">
        <f>IFERROR(VLOOKUP(DATA!#REF!,DATA!#REF!,1,FALSE),"")</f>
        <v/>
      </c>
      <c r="D4043" s="16" t="str">
        <f>IFERROR(VLOOKUP(C4043,DATA!#REF!,2,FALSE),"")</f>
        <v/>
      </c>
      <c r="I4043" s="17"/>
      <c r="J4043" s="17"/>
      <c r="P4043" s="17"/>
      <c r="Q4043" s="17"/>
    </row>
    <row r="4044" spans="2:17">
      <c r="B4044" s="17"/>
      <c r="C4044" s="16" t="str">
        <f>IFERROR(VLOOKUP(DATA!#REF!,DATA!#REF!,1,FALSE),"")</f>
        <v/>
      </c>
      <c r="D4044" s="16" t="str">
        <f>IFERROR(VLOOKUP(C4044,DATA!#REF!,2,FALSE),"")</f>
        <v/>
      </c>
      <c r="I4044" s="17"/>
      <c r="J4044" s="17"/>
      <c r="P4044" s="17"/>
      <c r="Q4044" s="17"/>
    </row>
    <row r="4045" spans="2:17">
      <c r="B4045" s="17"/>
      <c r="C4045" s="16" t="str">
        <f>IFERROR(VLOOKUP(DATA!#REF!,DATA!#REF!,1,FALSE),"")</f>
        <v/>
      </c>
      <c r="D4045" s="16" t="str">
        <f>IFERROR(VLOOKUP(C4045,DATA!#REF!,2,FALSE),"")</f>
        <v/>
      </c>
      <c r="I4045" s="17"/>
      <c r="J4045" s="17"/>
      <c r="P4045" s="17"/>
      <c r="Q4045" s="17"/>
    </row>
    <row r="4046" spans="2:17">
      <c r="B4046" s="17"/>
      <c r="C4046" s="16" t="str">
        <f>IFERROR(VLOOKUP(DATA!#REF!,DATA!#REF!,1,FALSE),"")</f>
        <v/>
      </c>
      <c r="D4046" s="16" t="str">
        <f>IFERROR(VLOOKUP(C4046,DATA!#REF!,2,FALSE),"")</f>
        <v/>
      </c>
      <c r="I4046" s="17"/>
      <c r="J4046" s="17"/>
      <c r="P4046" s="17"/>
      <c r="Q4046" s="17"/>
    </row>
    <row r="4047" spans="2:17">
      <c r="B4047" s="17"/>
      <c r="C4047" s="16" t="str">
        <f>IFERROR(VLOOKUP(DATA!#REF!,DATA!#REF!,1,FALSE),"")</f>
        <v/>
      </c>
      <c r="D4047" s="16" t="str">
        <f>IFERROR(VLOOKUP(C4047,DATA!#REF!,2,FALSE),"")</f>
        <v/>
      </c>
      <c r="I4047" s="17"/>
      <c r="J4047" s="17"/>
      <c r="P4047" s="17"/>
      <c r="Q4047" s="17"/>
    </row>
    <row r="4048" spans="2:17">
      <c r="B4048" s="17"/>
      <c r="C4048" s="16" t="str">
        <f>IFERROR(VLOOKUP(DATA!#REF!,DATA!#REF!,1,FALSE),"")</f>
        <v/>
      </c>
      <c r="D4048" s="16" t="str">
        <f>IFERROR(VLOOKUP(C4048,DATA!#REF!,2,FALSE),"")</f>
        <v/>
      </c>
      <c r="I4048" s="17"/>
      <c r="J4048" s="17"/>
      <c r="P4048" s="17"/>
      <c r="Q4048" s="17"/>
    </row>
    <row r="4049" spans="2:17">
      <c r="B4049" s="17"/>
      <c r="C4049" s="16" t="str">
        <f>IFERROR(VLOOKUP(DATA!#REF!,DATA!#REF!,1,FALSE),"")</f>
        <v/>
      </c>
      <c r="D4049" s="16" t="str">
        <f>IFERROR(VLOOKUP(C4049,DATA!#REF!,2,FALSE),"")</f>
        <v/>
      </c>
      <c r="I4049" s="17"/>
      <c r="J4049" s="17"/>
      <c r="P4049" s="17"/>
      <c r="Q4049" s="17"/>
    </row>
    <row r="4050" spans="2:17">
      <c r="B4050" s="17"/>
      <c r="C4050" s="16" t="str">
        <f>IFERROR(VLOOKUP(DATA!#REF!,DATA!#REF!,1,FALSE),"")</f>
        <v/>
      </c>
      <c r="D4050" s="16" t="str">
        <f>IFERROR(VLOOKUP(C4050,DATA!#REF!,2,FALSE),"")</f>
        <v/>
      </c>
      <c r="I4050" s="17"/>
      <c r="J4050" s="17"/>
      <c r="P4050" s="17"/>
      <c r="Q4050" s="17"/>
    </row>
    <row r="4051" spans="2:17">
      <c r="B4051" s="17"/>
      <c r="C4051" s="16" t="str">
        <f>IFERROR(VLOOKUP(DATA!#REF!,DATA!#REF!,1,FALSE),"")</f>
        <v/>
      </c>
      <c r="D4051" s="16" t="str">
        <f>IFERROR(VLOOKUP(C4051,DATA!#REF!,2,FALSE),"")</f>
        <v/>
      </c>
      <c r="I4051" s="17"/>
      <c r="J4051" s="17"/>
      <c r="P4051" s="17"/>
      <c r="Q4051" s="17"/>
    </row>
    <row r="4052" spans="2:17">
      <c r="B4052" s="17"/>
      <c r="C4052" s="16" t="str">
        <f>IFERROR(VLOOKUP(DATA!#REF!,DATA!#REF!,1,FALSE),"")</f>
        <v/>
      </c>
      <c r="D4052" s="16" t="str">
        <f>IFERROR(VLOOKUP(C4052,DATA!#REF!,2,FALSE),"")</f>
        <v/>
      </c>
      <c r="I4052" s="17"/>
      <c r="J4052" s="17"/>
      <c r="P4052" s="17"/>
      <c r="Q4052" s="17"/>
    </row>
    <row r="4053" spans="2:17">
      <c r="B4053" s="17"/>
      <c r="C4053" s="16" t="str">
        <f>IFERROR(VLOOKUP(DATA!#REF!,DATA!#REF!,1,FALSE),"")</f>
        <v/>
      </c>
      <c r="D4053" s="16" t="str">
        <f>IFERROR(VLOOKUP(C4053,DATA!#REF!,2,FALSE),"")</f>
        <v/>
      </c>
      <c r="I4053" s="17"/>
      <c r="J4053" s="17"/>
      <c r="P4053" s="17"/>
      <c r="Q4053" s="17"/>
    </row>
    <row r="4054" spans="2:17">
      <c r="B4054" s="17"/>
      <c r="C4054" s="16" t="str">
        <f>IFERROR(VLOOKUP(DATA!#REF!,DATA!#REF!,1,FALSE),"")</f>
        <v/>
      </c>
      <c r="D4054" s="16" t="str">
        <f>IFERROR(VLOOKUP(C4054,DATA!#REF!,2,FALSE),"")</f>
        <v/>
      </c>
      <c r="I4054" s="17"/>
      <c r="J4054" s="17"/>
      <c r="P4054" s="17"/>
      <c r="Q4054" s="17"/>
    </row>
    <row r="4055" spans="2:17">
      <c r="B4055" s="17"/>
      <c r="C4055" s="16" t="str">
        <f>IFERROR(VLOOKUP(DATA!#REF!,DATA!#REF!,1,FALSE),"")</f>
        <v/>
      </c>
      <c r="D4055" s="16" t="str">
        <f>IFERROR(VLOOKUP(C4055,DATA!#REF!,2,FALSE),"")</f>
        <v/>
      </c>
      <c r="I4055" s="17"/>
      <c r="J4055" s="17"/>
      <c r="P4055" s="17"/>
      <c r="Q4055" s="17"/>
    </row>
    <row r="4056" spans="2:17">
      <c r="B4056" s="17"/>
      <c r="C4056" s="16" t="str">
        <f>IFERROR(VLOOKUP(DATA!#REF!,DATA!#REF!,1,FALSE),"")</f>
        <v/>
      </c>
      <c r="D4056" s="16" t="str">
        <f>IFERROR(VLOOKUP(C4056,DATA!#REF!,2,FALSE),"")</f>
        <v/>
      </c>
      <c r="I4056" s="17"/>
      <c r="J4056" s="17"/>
      <c r="P4056" s="17"/>
      <c r="Q4056" s="17"/>
    </row>
    <row r="4057" spans="2:17">
      <c r="B4057" s="17"/>
      <c r="C4057" s="16" t="str">
        <f>IFERROR(VLOOKUP(DATA!#REF!,DATA!#REF!,1,FALSE),"")</f>
        <v/>
      </c>
      <c r="D4057" s="16" t="str">
        <f>IFERROR(VLOOKUP(C4057,DATA!#REF!,2,FALSE),"")</f>
        <v/>
      </c>
      <c r="I4057" s="17"/>
      <c r="J4057" s="17"/>
      <c r="P4057" s="17"/>
      <c r="Q4057" s="17"/>
    </row>
    <row r="4058" spans="2:17">
      <c r="B4058" s="17"/>
      <c r="C4058" s="16" t="str">
        <f>IFERROR(VLOOKUP(DATA!#REF!,DATA!#REF!,1,FALSE),"")</f>
        <v/>
      </c>
      <c r="D4058" s="16" t="str">
        <f>IFERROR(VLOOKUP(C4058,DATA!#REF!,2,FALSE),"")</f>
        <v/>
      </c>
      <c r="I4058" s="17"/>
      <c r="J4058" s="17"/>
      <c r="P4058" s="17"/>
      <c r="Q4058" s="17"/>
    </row>
    <row r="4059" spans="2:17">
      <c r="B4059" s="17"/>
      <c r="C4059" s="16" t="str">
        <f>IFERROR(VLOOKUP(DATA!#REF!,DATA!#REF!,1,FALSE),"")</f>
        <v/>
      </c>
      <c r="D4059" s="16" t="str">
        <f>IFERROR(VLOOKUP(C4059,DATA!#REF!,2,FALSE),"")</f>
        <v/>
      </c>
      <c r="I4059" s="17"/>
      <c r="J4059" s="17"/>
      <c r="P4059" s="17"/>
      <c r="Q4059" s="17"/>
    </row>
    <row r="4060" spans="2:17">
      <c r="B4060" s="17"/>
      <c r="C4060" s="16" t="str">
        <f>IFERROR(VLOOKUP(DATA!#REF!,DATA!#REF!,1,FALSE),"")</f>
        <v/>
      </c>
      <c r="D4060" s="16" t="str">
        <f>IFERROR(VLOOKUP(C4060,DATA!#REF!,2,FALSE),"")</f>
        <v/>
      </c>
      <c r="I4060" s="17"/>
      <c r="J4060" s="17"/>
      <c r="P4060" s="17"/>
      <c r="Q4060" s="17"/>
    </row>
    <row r="4061" spans="2:17">
      <c r="B4061" s="17"/>
      <c r="C4061" s="16" t="str">
        <f>IFERROR(VLOOKUP(DATA!#REF!,DATA!#REF!,1,FALSE),"")</f>
        <v/>
      </c>
      <c r="D4061" s="16" t="str">
        <f>IFERROR(VLOOKUP(C4061,DATA!#REF!,2,FALSE),"")</f>
        <v/>
      </c>
      <c r="I4061" s="17"/>
      <c r="J4061" s="17"/>
      <c r="P4061" s="17"/>
      <c r="Q4061" s="17"/>
    </row>
    <row r="4062" spans="2:17">
      <c r="B4062" s="17"/>
      <c r="C4062" s="16" t="str">
        <f>IFERROR(VLOOKUP(DATA!#REF!,DATA!#REF!,1,FALSE),"")</f>
        <v/>
      </c>
      <c r="D4062" s="16" t="str">
        <f>IFERROR(VLOOKUP(C4062,DATA!#REF!,2,FALSE),"")</f>
        <v/>
      </c>
      <c r="I4062" s="17"/>
      <c r="J4062" s="17"/>
      <c r="P4062" s="17"/>
      <c r="Q4062" s="17"/>
    </row>
    <row r="4063" spans="2:17">
      <c r="B4063" s="17"/>
      <c r="C4063" s="16" t="str">
        <f>IFERROR(VLOOKUP(DATA!#REF!,DATA!#REF!,1,FALSE),"")</f>
        <v/>
      </c>
      <c r="D4063" s="16" t="str">
        <f>IFERROR(VLOOKUP(C4063,DATA!#REF!,2,FALSE),"")</f>
        <v/>
      </c>
      <c r="I4063" s="17"/>
      <c r="J4063" s="17"/>
      <c r="P4063" s="17"/>
      <c r="Q4063" s="17"/>
    </row>
    <row r="4064" spans="2:17">
      <c r="B4064" s="17"/>
      <c r="C4064" s="16" t="str">
        <f>IFERROR(VLOOKUP(DATA!#REF!,DATA!#REF!,1,FALSE),"")</f>
        <v/>
      </c>
      <c r="D4064" s="16" t="str">
        <f>IFERROR(VLOOKUP(C4064,DATA!#REF!,2,FALSE),"")</f>
        <v/>
      </c>
      <c r="I4064" s="17"/>
      <c r="J4064" s="17"/>
      <c r="P4064" s="17"/>
      <c r="Q4064" s="17"/>
    </row>
    <row r="4065" spans="2:17">
      <c r="B4065" s="17"/>
      <c r="C4065" s="16" t="str">
        <f>IFERROR(VLOOKUP(DATA!#REF!,DATA!#REF!,1,FALSE),"")</f>
        <v/>
      </c>
      <c r="D4065" s="16" t="str">
        <f>IFERROR(VLOOKUP(C4065,DATA!#REF!,2,FALSE),"")</f>
        <v/>
      </c>
      <c r="I4065" s="17"/>
      <c r="J4065" s="17"/>
      <c r="P4065" s="17"/>
      <c r="Q4065" s="17"/>
    </row>
    <row r="4066" spans="2:17">
      <c r="B4066" s="17"/>
      <c r="C4066" s="16" t="str">
        <f>IFERROR(VLOOKUP(DATA!#REF!,DATA!#REF!,1,FALSE),"")</f>
        <v/>
      </c>
      <c r="D4066" s="16" t="str">
        <f>IFERROR(VLOOKUP(C4066,DATA!#REF!,2,FALSE),"")</f>
        <v/>
      </c>
      <c r="I4066" s="17"/>
      <c r="J4066" s="17"/>
      <c r="P4066" s="17"/>
      <c r="Q4066" s="17"/>
    </row>
    <row r="4067" spans="2:17">
      <c r="B4067" s="17"/>
      <c r="C4067" s="16" t="str">
        <f>IFERROR(VLOOKUP(DATA!#REF!,DATA!#REF!,1,FALSE),"")</f>
        <v/>
      </c>
      <c r="D4067" s="16" t="str">
        <f>IFERROR(VLOOKUP(C4067,DATA!#REF!,2,FALSE),"")</f>
        <v/>
      </c>
      <c r="I4067" s="17"/>
      <c r="J4067" s="17"/>
      <c r="P4067" s="17"/>
      <c r="Q4067" s="17"/>
    </row>
    <row r="4068" spans="2:17">
      <c r="B4068" s="17"/>
      <c r="C4068" s="16" t="str">
        <f>IFERROR(VLOOKUP(DATA!#REF!,DATA!#REF!,1,FALSE),"")</f>
        <v/>
      </c>
      <c r="D4068" s="16" t="str">
        <f>IFERROR(VLOOKUP(C4068,DATA!#REF!,2,FALSE),"")</f>
        <v/>
      </c>
      <c r="I4068" s="17"/>
      <c r="J4068" s="17"/>
      <c r="P4068" s="17"/>
      <c r="Q4068" s="17"/>
    </row>
    <row r="4069" spans="2:17">
      <c r="B4069" s="17"/>
      <c r="C4069" s="16" t="str">
        <f>IFERROR(VLOOKUP(DATA!#REF!,DATA!#REF!,1,FALSE),"")</f>
        <v/>
      </c>
      <c r="D4069" s="16" t="str">
        <f>IFERROR(VLOOKUP(C4069,DATA!#REF!,2,FALSE),"")</f>
        <v/>
      </c>
      <c r="I4069" s="17"/>
      <c r="J4069" s="17"/>
      <c r="P4069" s="17"/>
      <c r="Q4069" s="17"/>
    </row>
    <row r="4070" spans="2:17">
      <c r="B4070" s="17"/>
      <c r="C4070" s="16" t="str">
        <f>IFERROR(VLOOKUP(DATA!#REF!,DATA!#REF!,1,FALSE),"")</f>
        <v/>
      </c>
      <c r="D4070" s="16" t="str">
        <f>IFERROR(VLOOKUP(C4070,DATA!#REF!,2,FALSE),"")</f>
        <v/>
      </c>
      <c r="I4070" s="17"/>
      <c r="J4070" s="17"/>
      <c r="P4070" s="17"/>
      <c r="Q4070" s="17"/>
    </row>
    <row r="4071" spans="2:17">
      <c r="B4071" s="17"/>
      <c r="C4071" s="16" t="str">
        <f>IFERROR(VLOOKUP(DATA!#REF!,DATA!#REF!,1,FALSE),"")</f>
        <v/>
      </c>
      <c r="D4071" s="16" t="str">
        <f>IFERROR(VLOOKUP(C4071,DATA!#REF!,2,FALSE),"")</f>
        <v/>
      </c>
      <c r="I4071" s="17"/>
      <c r="J4071" s="17"/>
      <c r="P4071" s="17"/>
      <c r="Q4071" s="17"/>
    </row>
    <row r="4072" spans="2:17">
      <c r="B4072" s="17"/>
      <c r="C4072" s="16" t="str">
        <f>IFERROR(VLOOKUP(DATA!#REF!,DATA!#REF!,1,FALSE),"")</f>
        <v/>
      </c>
      <c r="D4072" s="16" t="str">
        <f>IFERROR(VLOOKUP(C4072,DATA!#REF!,2,FALSE),"")</f>
        <v/>
      </c>
      <c r="I4072" s="17"/>
      <c r="J4072" s="17"/>
      <c r="P4072" s="17"/>
      <c r="Q4072" s="17"/>
    </row>
    <row r="4073" spans="2:17">
      <c r="B4073" s="17"/>
      <c r="C4073" s="16" t="str">
        <f>IFERROR(VLOOKUP(DATA!#REF!,DATA!#REF!,1,FALSE),"")</f>
        <v/>
      </c>
      <c r="D4073" s="16" t="str">
        <f>IFERROR(VLOOKUP(C4073,DATA!#REF!,2,FALSE),"")</f>
        <v/>
      </c>
      <c r="I4073" s="17"/>
      <c r="J4073" s="17"/>
      <c r="P4073" s="17"/>
      <c r="Q4073" s="17"/>
    </row>
    <row r="4074" spans="2:17">
      <c r="B4074" s="17"/>
      <c r="C4074" s="16" t="str">
        <f>IFERROR(VLOOKUP(DATA!#REF!,DATA!#REF!,1,FALSE),"")</f>
        <v/>
      </c>
      <c r="D4074" s="16" t="str">
        <f>IFERROR(VLOOKUP(C4074,DATA!#REF!,2,FALSE),"")</f>
        <v/>
      </c>
      <c r="I4074" s="17"/>
      <c r="J4074" s="17"/>
      <c r="P4074" s="17"/>
      <c r="Q4074" s="17"/>
    </row>
    <row r="4075" spans="2:17">
      <c r="B4075" s="17"/>
      <c r="C4075" s="16" t="str">
        <f>IFERROR(VLOOKUP(DATA!#REF!,DATA!#REF!,1,FALSE),"")</f>
        <v/>
      </c>
      <c r="D4075" s="16" t="str">
        <f>IFERROR(VLOOKUP(C4075,DATA!#REF!,2,FALSE),"")</f>
        <v/>
      </c>
      <c r="I4075" s="17"/>
      <c r="J4075" s="17"/>
      <c r="P4075" s="17"/>
      <c r="Q4075" s="17"/>
    </row>
    <row r="4076" spans="2:17">
      <c r="B4076" s="17"/>
      <c r="C4076" s="16" t="str">
        <f>IFERROR(VLOOKUP(DATA!#REF!,DATA!#REF!,1,FALSE),"")</f>
        <v/>
      </c>
      <c r="D4076" s="16" t="str">
        <f>IFERROR(VLOOKUP(C4076,DATA!#REF!,2,FALSE),"")</f>
        <v/>
      </c>
      <c r="I4076" s="17"/>
      <c r="J4076" s="17"/>
      <c r="P4076" s="17"/>
      <c r="Q4076" s="17"/>
    </row>
    <row r="4077" spans="2:17">
      <c r="B4077" s="17"/>
      <c r="C4077" s="16" t="str">
        <f>IFERROR(VLOOKUP(DATA!#REF!,DATA!#REF!,1,FALSE),"")</f>
        <v/>
      </c>
      <c r="D4077" s="16" t="str">
        <f>IFERROR(VLOOKUP(C4077,DATA!#REF!,2,FALSE),"")</f>
        <v/>
      </c>
      <c r="I4077" s="17"/>
      <c r="J4077" s="17"/>
      <c r="P4077" s="17"/>
      <c r="Q4077" s="17"/>
    </row>
    <row r="4078" spans="2:17">
      <c r="B4078" s="17"/>
      <c r="C4078" s="16" t="str">
        <f>IFERROR(VLOOKUP(DATA!#REF!,DATA!#REF!,1,FALSE),"")</f>
        <v/>
      </c>
      <c r="D4078" s="16" t="str">
        <f>IFERROR(VLOOKUP(C4078,DATA!#REF!,2,FALSE),"")</f>
        <v/>
      </c>
      <c r="I4078" s="17"/>
      <c r="J4078" s="17"/>
      <c r="P4078" s="17"/>
      <c r="Q4078" s="17"/>
    </row>
    <row r="4079" spans="2:17">
      <c r="B4079" s="17"/>
      <c r="C4079" s="16" t="str">
        <f>IFERROR(VLOOKUP(DATA!#REF!,DATA!#REF!,1,FALSE),"")</f>
        <v/>
      </c>
      <c r="D4079" s="16" t="str">
        <f>IFERROR(VLOOKUP(C4079,DATA!#REF!,2,FALSE),"")</f>
        <v/>
      </c>
      <c r="I4079" s="17"/>
      <c r="J4079" s="17"/>
      <c r="P4079" s="17"/>
      <c r="Q4079" s="17"/>
    </row>
    <row r="4080" spans="2:17">
      <c r="B4080" s="17"/>
      <c r="C4080" s="16" t="str">
        <f>IFERROR(VLOOKUP(DATA!#REF!,DATA!#REF!,1,FALSE),"")</f>
        <v/>
      </c>
      <c r="D4080" s="16" t="str">
        <f>IFERROR(VLOOKUP(C4080,DATA!#REF!,2,FALSE),"")</f>
        <v/>
      </c>
      <c r="I4080" s="17"/>
      <c r="J4080" s="17"/>
      <c r="P4080" s="17"/>
      <c r="Q4080" s="17"/>
    </row>
    <row r="4081" spans="2:17">
      <c r="B4081" s="17"/>
      <c r="C4081" s="16" t="str">
        <f>IFERROR(VLOOKUP(DATA!#REF!,DATA!#REF!,1,FALSE),"")</f>
        <v/>
      </c>
      <c r="D4081" s="16" t="str">
        <f>IFERROR(VLOOKUP(C4081,DATA!#REF!,2,FALSE),"")</f>
        <v/>
      </c>
      <c r="I4081" s="17"/>
      <c r="J4081" s="17"/>
      <c r="P4081" s="17"/>
      <c r="Q4081" s="17"/>
    </row>
    <row r="4082" spans="2:17">
      <c r="B4082" s="17"/>
      <c r="C4082" s="16" t="str">
        <f>IFERROR(VLOOKUP(DATA!#REF!,DATA!#REF!,1,FALSE),"")</f>
        <v/>
      </c>
      <c r="D4082" s="16" t="str">
        <f>IFERROR(VLOOKUP(C4082,DATA!#REF!,2,FALSE),"")</f>
        <v/>
      </c>
      <c r="I4082" s="17"/>
      <c r="J4082" s="17"/>
      <c r="P4082" s="17"/>
      <c r="Q4082" s="17"/>
    </row>
    <row r="4083" spans="2:17">
      <c r="B4083" s="17"/>
      <c r="C4083" s="16" t="str">
        <f>IFERROR(VLOOKUP(DATA!#REF!,DATA!#REF!,1,FALSE),"")</f>
        <v/>
      </c>
      <c r="D4083" s="16" t="str">
        <f>IFERROR(VLOOKUP(C4083,DATA!#REF!,2,FALSE),"")</f>
        <v/>
      </c>
      <c r="I4083" s="17"/>
      <c r="J4083" s="17"/>
      <c r="P4083" s="17"/>
      <c r="Q4083" s="17"/>
    </row>
    <row r="4084" spans="2:17">
      <c r="B4084" s="17"/>
      <c r="C4084" s="16" t="str">
        <f>IFERROR(VLOOKUP(DATA!#REF!,DATA!#REF!,1,FALSE),"")</f>
        <v/>
      </c>
      <c r="D4084" s="16" t="str">
        <f>IFERROR(VLOOKUP(C4084,DATA!#REF!,2,FALSE),"")</f>
        <v/>
      </c>
      <c r="I4084" s="17"/>
      <c r="J4084" s="17"/>
      <c r="P4084" s="17"/>
      <c r="Q4084" s="17"/>
    </row>
    <row r="4085" spans="2:17">
      <c r="B4085" s="17"/>
      <c r="C4085" s="16" t="str">
        <f>IFERROR(VLOOKUP(DATA!#REF!,DATA!#REF!,1,FALSE),"")</f>
        <v/>
      </c>
      <c r="D4085" s="16" t="str">
        <f>IFERROR(VLOOKUP(C4085,DATA!#REF!,2,FALSE),"")</f>
        <v/>
      </c>
      <c r="I4085" s="17"/>
      <c r="J4085" s="17"/>
      <c r="P4085" s="17"/>
      <c r="Q4085" s="17"/>
    </row>
    <row r="4086" spans="2:17">
      <c r="B4086" s="17"/>
      <c r="C4086" s="16" t="str">
        <f>IFERROR(VLOOKUP(DATA!#REF!,DATA!#REF!,1,FALSE),"")</f>
        <v/>
      </c>
      <c r="D4086" s="16" t="str">
        <f>IFERROR(VLOOKUP(C4086,DATA!#REF!,2,FALSE),"")</f>
        <v/>
      </c>
      <c r="I4086" s="17"/>
      <c r="J4086" s="17"/>
      <c r="P4086" s="17"/>
      <c r="Q4086" s="17"/>
    </row>
    <row r="4087" spans="2:17">
      <c r="B4087" s="17"/>
      <c r="C4087" s="16" t="str">
        <f>IFERROR(VLOOKUP(DATA!#REF!,DATA!#REF!,1,FALSE),"")</f>
        <v/>
      </c>
      <c r="D4087" s="16" t="str">
        <f>IFERROR(VLOOKUP(C4087,DATA!#REF!,2,FALSE),"")</f>
        <v/>
      </c>
      <c r="I4087" s="17"/>
      <c r="J4087" s="17"/>
      <c r="P4087" s="17"/>
      <c r="Q4087" s="17"/>
    </row>
    <row r="4088" spans="2:17">
      <c r="B4088" s="17"/>
      <c r="C4088" s="16" t="str">
        <f>IFERROR(VLOOKUP(DATA!#REF!,DATA!#REF!,1,FALSE),"")</f>
        <v/>
      </c>
      <c r="D4088" s="16" t="str">
        <f>IFERROR(VLOOKUP(C4088,DATA!#REF!,2,FALSE),"")</f>
        <v/>
      </c>
      <c r="I4088" s="17"/>
      <c r="J4088" s="17"/>
      <c r="P4088" s="17"/>
      <c r="Q4088" s="17"/>
    </row>
    <row r="4089" spans="2:17">
      <c r="B4089" s="17"/>
      <c r="C4089" s="16" t="str">
        <f>IFERROR(VLOOKUP(DATA!#REF!,DATA!#REF!,1,FALSE),"")</f>
        <v/>
      </c>
      <c r="D4089" s="16" t="str">
        <f>IFERROR(VLOOKUP(C4089,DATA!#REF!,2,FALSE),"")</f>
        <v/>
      </c>
      <c r="I4089" s="17"/>
      <c r="J4089" s="17"/>
      <c r="P4089" s="17"/>
      <c r="Q4089" s="17"/>
    </row>
    <row r="4090" spans="2:17">
      <c r="B4090" s="17"/>
      <c r="C4090" s="16" t="str">
        <f>IFERROR(VLOOKUP(DATA!#REF!,DATA!#REF!,1,FALSE),"")</f>
        <v/>
      </c>
      <c r="D4090" s="16" t="str">
        <f>IFERROR(VLOOKUP(C4090,DATA!#REF!,2,FALSE),"")</f>
        <v/>
      </c>
      <c r="I4090" s="17"/>
      <c r="J4090" s="17"/>
      <c r="P4090" s="17"/>
      <c r="Q4090" s="17"/>
    </row>
    <row r="4091" spans="2:17">
      <c r="B4091" s="17"/>
      <c r="C4091" s="16" t="str">
        <f>IFERROR(VLOOKUP(DATA!#REF!,DATA!#REF!,1,FALSE),"")</f>
        <v/>
      </c>
      <c r="D4091" s="16" t="str">
        <f>IFERROR(VLOOKUP(C4091,DATA!#REF!,2,FALSE),"")</f>
        <v/>
      </c>
      <c r="I4091" s="17"/>
      <c r="J4091" s="17"/>
      <c r="P4091" s="17"/>
      <c r="Q4091" s="17"/>
    </row>
    <row r="4092" spans="2:17">
      <c r="B4092" s="17"/>
      <c r="C4092" s="16" t="str">
        <f>IFERROR(VLOOKUP(DATA!#REF!,DATA!#REF!,1,FALSE),"")</f>
        <v/>
      </c>
      <c r="D4092" s="16" t="str">
        <f>IFERROR(VLOOKUP(C4092,DATA!#REF!,2,FALSE),"")</f>
        <v/>
      </c>
      <c r="I4092" s="17"/>
      <c r="J4092" s="17"/>
      <c r="P4092" s="17"/>
      <c r="Q4092" s="17"/>
    </row>
    <row r="4093" spans="2:17">
      <c r="B4093" s="17"/>
      <c r="C4093" s="16" t="str">
        <f>IFERROR(VLOOKUP(DATA!#REF!,DATA!#REF!,1,FALSE),"")</f>
        <v/>
      </c>
      <c r="D4093" s="16" t="str">
        <f>IFERROR(VLOOKUP(C4093,DATA!#REF!,2,FALSE),"")</f>
        <v/>
      </c>
      <c r="I4093" s="17"/>
      <c r="J4093" s="17"/>
      <c r="P4093" s="17"/>
      <c r="Q4093" s="17"/>
    </row>
    <row r="4094" spans="2:17">
      <c r="B4094" s="17"/>
      <c r="C4094" s="16" t="str">
        <f>IFERROR(VLOOKUP(DATA!#REF!,DATA!#REF!,1,FALSE),"")</f>
        <v/>
      </c>
      <c r="D4094" s="16" t="str">
        <f>IFERROR(VLOOKUP(C4094,DATA!#REF!,2,FALSE),"")</f>
        <v/>
      </c>
      <c r="I4094" s="17"/>
      <c r="J4094" s="17"/>
      <c r="P4094" s="17"/>
      <c r="Q4094" s="17"/>
    </row>
    <row r="4095" spans="2:17">
      <c r="B4095" s="17"/>
      <c r="C4095" s="16" t="str">
        <f>IFERROR(VLOOKUP(DATA!#REF!,DATA!#REF!,1,FALSE),"")</f>
        <v/>
      </c>
      <c r="D4095" s="16" t="str">
        <f>IFERROR(VLOOKUP(C4095,DATA!#REF!,2,FALSE),"")</f>
        <v/>
      </c>
      <c r="I4095" s="17"/>
      <c r="J4095" s="17"/>
      <c r="P4095" s="17"/>
      <c r="Q4095" s="17"/>
    </row>
    <row r="4096" spans="2:17">
      <c r="B4096" s="17"/>
      <c r="C4096" s="16" t="str">
        <f>IFERROR(VLOOKUP(DATA!#REF!,DATA!#REF!,1,FALSE),"")</f>
        <v/>
      </c>
      <c r="D4096" s="16" t="str">
        <f>IFERROR(VLOOKUP(C4096,DATA!#REF!,2,FALSE),"")</f>
        <v/>
      </c>
      <c r="I4096" s="17"/>
      <c r="J4096" s="17"/>
      <c r="P4096" s="17"/>
      <c r="Q4096" s="17"/>
    </row>
    <row r="4097" spans="2:17">
      <c r="B4097" s="17"/>
      <c r="C4097" s="16" t="str">
        <f>IFERROR(VLOOKUP(DATA!#REF!,DATA!#REF!,1,FALSE),"")</f>
        <v/>
      </c>
      <c r="D4097" s="16" t="str">
        <f>IFERROR(VLOOKUP(C4097,DATA!#REF!,2,FALSE),"")</f>
        <v/>
      </c>
      <c r="I4097" s="17"/>
      <c r="J4097" s="17"/>
      <c r="P4097" s="17"/>
      <c r="Q4097" s="17"/>
    </row>
    <row r="4098" spans="2:17">
      <c r="B4098" s="17"/>
      <c r="C4098" s="16" t="str">
        <f>IFERROR(VLOOKUP(DATA!#REF!,DATA!#REF!,1,FALSE),"")</f>
        <v/>
      </c>
      <c r="D4098" s="16" t="str">
        <f>IFERROR(VLOOKUP(C4098,DATA!#REF!,2,FALSE),"")</f>
        <v/>
      </c>
      <c r="I4098" s="17"/>
      <c r="J4098" s="17"/>
      <c r="P4098" s="17"/>
      <c r="Q4098" s="17"/>
    </row>
    <row r="4099" spans="2:17">
      <c r="B4099" s="17"/>
      <c r="C4099" s="16" t="str">
        <f>IFERROR(VLOOKUP(DATA!#REF!,DATA!#REF!,1,FALSE),"")</f>
        <v/>
      </c>
      <c r="D4099" s="16" t="str">
        <f>IFERROR(VLOOKUP(C4099,DATA!#REF!,2,FALSE),"")</f>
        <v/>
      </c>
      <c r="I4099" s="17"/>
      <c r="J4099" s="17"/>
      <c r="P4099" s="17"/>
      <c r="Q4099" s="17"/>
    </row>
    <row r="4100" spans="2:17">
      <c r="B4100" s="17"/>
      <c r="C4100" s="16" t="str">
        <f>IFERROR(VLOOKUP(DATA!#REF!,DATA!#REF!,1,FALSE),"")</f>
        <v/>
      </c>
      <c r="D4100" s="16" t="str">
        <f>IFERROR(VLOOKUP(C4100,DATA!#REF!,2,FALSE),"")</f>
        <v/>
      </c>
      <c r="I4100" s="17"/>
      <c r="J4100" s="17"/>
      <c r="P4100" s="17"/>
      <c r="Q4100" s="17"/>
    </row>
    <row r="4101" spans="2:17">
      <c r="B4101" s="17"/>
      <c r="C4101" s="16" t="str">
        <f>IFERROR(VLOOKUP(DATA!#REF!,DATA!#REF!,1,FALSE),"")</f>
        <v/>
      </c>
      <c r="D4101" s="16" t="str">
        <f>IFERROR(VLOOKUP(C4101,DATA!#REF!,2,FALSE),"")</f>
        <v/>
      </c>
      <c r="I4101" s="17"/>
      <c r="J4101" s="17"/>
      <c r="P4101" s="17"/>
      <c r="Q4101" s="17"/>
    </row>
    <row r="4102" spans="2:17">
      <c r="B4102" s="17"/>
      <c r="C4102" s="16" t="str">
        <f>IFERROR(VLOOKUP(DATA!#REF!,DATA!#REF!,1,FALSE),"")</f>
        <v/>
      </c>
      <c r="D4102" s="16" t="str">
        <f>IFERROR(VLOOKUP(C4102,DATA!#REF!,2,FALSE),"")</f>
        <v/>
      </c>
      <c r="I4102" s="17"/>
      <c r="J4102" s="17"/>
      <c r="P4102" s="17"/>
      <c r="Q4102" s="17"/>
    </row>
    <row r="4103" spans="2:17">
      <c r="B4103" s="17"/>
      <c r="C4103" s="16" t="str">
        <f>IFERROR(VLOOKUP(DATA!#REF!,DATA!#REF!,1,FALSE),"")</f>
        <v/>
      </c>
      <c r="D4103" s="16" t="str">
        <f>IFERROR(VLOOKUP(C4103,DATA!#REF!,2,FALSE),"")</f>
        <v/>
      </c>
      <c r="I4103" s="17"/>
      <c r="J4103" s="17"/>
      <c r="P4103" s="17"/>
      <c r="Q4103" s="17"/>
    </row>
    <row r="4104" spans="2:17">
      <c r="B4104" s="17"/>
      <c r="C4104" s="16" t="str">
        <f>IFERROR(VLOOKUP(DATA!#REF!,DATA!#REF!,1,FALSE),"")</f>
        <v/>
      </c>
      <c r="D4104" s="16" t="str">
        <f>IFERROR(VLOOKUP(C4104,DATA!#REF!,2,FALSE),"")</f>
        <v/>
      </c>
      <c r="I4104" s="17"/>
      <c r="J4104" s="17"/>
      <c r="P4104" s="17"/>
      <c r="Q4104" s="17"/>
    </row>
    <row r="4105" spans="2:17">
      <c r="B4105" s="17"/>
      <c r="C4105" s="16" t="str">
        <f>IFERROR(VLOOKUP(DATA!#REF!,DATA!#REF!,1,FALSE),"")</f>
        <v/>
      </c>
      <c r="D4105" s="16" t="str">
        <f>IFERROR(VLOOKUP(C4105,DATA!#REF!,2,FALSE),"")</f>
        <v/>
      </c>
      <c r="I4105" s="17"/>
      <c r="J4105" s="17"/>
      <c r="P4105" s="17"/>
      <c r="Q4105" s="17"/>
    </row>
    <row r="4106" spans="2:17">
      <c r="B4106" s="17"/>
      <c r="C4106" s="16" t="str">
        <f>IFERROR(VLOOKUP(DATA!#REF!,DATA!#REF!,1,FALSE),"")</f>
        <v/>
      </c>
      <c r="D4106" s="16" t="str">
        <f>IFERROR(VLOOKUP(C4106,DATA!#REF!,2,FALSE),"")</f>
        <v/>
      </c>
      <c r="I4106" s="17"/>
      <c r="J4106" s="17"/>
      <c r="P4106" s="17"/>
      <c r="Q4106" s="17"/>
    </row>
    <row r="4107" spans="2:17">
      <c r="B4107" s="17"/>
      <c r="C4107" s="16" t="str">
        <f>IFERROR(VLOOKUP(DATA!#REF!,DATA!#REF!,1,FALSE),"")</f>
        <v/>
      </c>
      <c r="D4107" s="16" t="str">
        <f>IFERROR(VLOOKUP(C4107,DATA!#REF!,2,FALSE),"")</f>
        <v/>
      </c>
      <c r="I4107" s="17"/>
      <c r="J4107" s="17"/>
      <c r="P4107" s="17"/>
      <c r="Q4107" s="17"/>
    </row>
    <row r="4108" spans="2:17">
      <c r="B4108" s="17"/>
      <c r="C4108" s="16" t="str">
        <f>IFERROR(VLOOKUP(DATA!#REF!,DATA!#REF!,1,FALSE),"")</f>
        <v/>
      </c>
      <c r="D4108" s="16" t="str">
        <f>IFERROR(VLOOKUP(C4108,DATA!#REF!,2,FALSE),"")</f>
        <v/>
      </c>
      <c r="I4108" s="17"/>
      <c r="J4108" s="17"/>
      <c r="P4108" s="17"/>
      <c r="Q4108" s="17"/>
    </row>
    <row r="4109" spans="2:17">
      <c r="B4109" s="17"/>
      <c r="C4109" s="16" t="str">
        <f>IFERROR(VLOOKUP(DATA!#REF!,DATA!#REF!,1,FALSE),"")</f>
        <v/>
      </c>
      <c r="D4109" s="16" t="str">
        <f>IFERROR(VLOOKUP(C4109,DATA!#REF!,2,FALSE),"")</f>
        <v/>
      </c>
      <c r="I4109" s="17"/>
      <c r="J4109" s="17"/>
      <c r="P4109" s="17"/>
      <c r="Q4109" s="17"/>
    </row>
    <row r="4110" spans="2:17">
      <c r="B4110" s="17"/>
      <c r="C4110" s="16" t="str">
        <f>IFERROR(VLOOKUP(DATA!#REF!,DATA!#REF!,1,FALSE),"")</f>
        <v/>
      </c>
      <c r="D4110" s="16" t="str">
        <f>IFERROR(VLOOKUP(C4110,DATA!#REF!,2,FALSE),"")</f>
        <v/>
      </c>
      <c r="I4110" s="17"/>
      <c r="J4110" s="17"/>
      <c r="P4110" s="17"/>
      <c r="Q4110" s="17"/>
    </row>
    <row r="4111" spans="2:17">
      <c r="B4111" s="17"/>
      <c r="C4111" s="16" t="str">
        <f>IFERROR(VLOOKUP(DATA!#REF!,DATA!#REF!,1,FALSE),"")</f>
        <v/>
      </c>
      <c r="D4111" s="16" t="str">
        <f>IFERROR(VLOOKUP(C4111,DATA!#REF!,2,FALSE),"")</f>
        <v/>
      </c>
      <c r="I4111" s="17"/>
      <c r="J4111" s="17"/>
      <c r="P4111" s="17"/>
      <c r="Q4111" s="17"/>
    </row>
    <row r="4112" spans="2:17">
      <c r="B4112" s="17"/>
      <c r="C4112" s="16" t="str">
        <f>IFERROR(VLOOKUP(DATA!#REF!,DATA!#REF!,1,FALSE),"")</f>
        <v/>
      </c>
      <c r="D4112" s="16" t="str">
        <f>IFERROR(VLOOKUP(C4112,DATA!#REF!,2,FALSE),"")</f>
        <v/>
      </c>
      <c r="I4112" s="17"/>
      <c r="J4112" s="17"/>
      <c r="P4112" s="17"/>
      <c r="Q4112" s="17"/>
    </row>
    <row r="4113" spans="2:17">
      <c r="B4113" s="17"/>
      <c r="C4113" s="16" t="str">
        <f>IFERROR(VLOOKUP(DATA!#REF!,DATA!#REF!,1,FALSE),"")</f>
        <v/>
      </c>
      <c r="D4113" s="16" t="str">
        <f>IFERROR(VLOOKUP(C4113,DATA!#REF!,2,FALSE),"")</f>
        <v/>
      </c>
      <c r="I4113" s="17"/>
      <c r="J4113" s="17"/>
      <c r="P4113" s="17"/>
      <c r="Q4113" s="17"/>
    </row>
    <row r="4114" spans="2:17">
      <c r="B4114" s="17"/>
      <c r="C4114" s="16" t="str">
        <f>IFERROR(VLOOKUP(DATA!#REF!,DATA!#REF!,1,FALSE),"")</f>
        <v/>
      </c>
      <c r="D4114" s="16" t="str">
        <f>IFERROR(VLOOKUP(C4114,DATA!#REF!,2,FALSE),"")</f>
        <v/>
      </c>
      <c r="I4114" s="17"/>
      <c r="J4114" s="17"/>
      <c r="P4114" s="17"/>
      <c r="Q4114" s="17"/>
    </row>
    <row r="4115" spans="2:17">
      <c r="B4115" s="17"/>
      <c r="C4115" s="16" t="str">
        <f>IFERROR(VLOOKUP(DATA!#REF!,DATA!#REF!,1,FALSE),"")</f>
        <v/>
      </c>
      <c r="D4115" s="16" t="str">
        <f>IFERROR(VLOOKUP(C4115,DATA!#REF!,2,FALSE),"")</f>
        <v/>
      </c>
      <c r="I4115" s="17"/>
      <c r="J4115" s="17"/>
      <c r="P4115" s="17"/>
      <c r="Q4115" s="17"/>
    </row>
    <row r="4116" spans="2:17">
      <c r="B4116" s="17"/>
      <c r="C4116" s="16" t="str">
        <f>IFERROR(VLOOKUP(DATA!#REF!,DATA!#REF!,1,FALSE),"")</f>
        <v/>
      </c>
      <c r="D4116" s="16" t="str">
        <f>IFERROR(VLOOKUP(C4116,DATA!#REF!,2,FALSE),"")</f>
        <v/>
      </c>
      <c r="I4116" s="17"/>
      <c r="J4116" s="17"/>
      <c r="P4116" s="17"/>
      <c r="Q4116" s="17"/>
    </row>
    <row r="4117" spans="2:17">
      <c r="B4117" s="17"/>
      <c r="C4117" s="16" t="str">
        <f>IFERROR(VLOOKUP(DATA!#REF!,DATA!#REF!,1,FALSE),"")</f>
        <v/>
      </c>
      <c r="D4117" s="16" t="str">
        <f>IFERROR(VLOOKUP(C4117,DATA!#REF!,2,FALSE),"")</f>
        <v/>
      </c>
      <c r="I4117" s="17"/>
      <c r="J4117" s="17"/>
      <c r="P4117" s="17"/>
      <c r="Q4117" s="17"/>
    </row>
    <row r="4118" spans="2:17">
      <c r="B4118" s="17"/>
      <c r="C4118" s="16" t="str">
        <f>IFERROR(VLOOKUP(DATA!#REF!,DATA!#REF!,1,FALSE),"")</f>
        <v/>
      </c>
      <c r="D4118" s="16" t="str">
        <f>IFERROR(VLOOKUP(C4118,DATA!#REF!,2,FALSE),"")</f>
        <v/>
      </c>
      <c r="I4118" s="17"/>
      <c r="J4118" s="17"/>
      <c r="P4118" s="17"/>
      <c r="Q4118" s="17"/>
    </row>
    <row r="4119" spans="2:17">
      <c r="B4119" s="17"/>
      <c r="C4119" s="16" t="str">
        <f>IFERROR(VLOOKUP(DATA!#REF!,DATA!#REF!,1,FALSE),"")</f>
        <v/>
      </c>
      <c r="D4119" s="16" t="str">
        <f>IFERROR(VLOOKUP(C4119,DATA!#REF!,2,FALSE),"")</f>
        <v/>
      </c>
      <c r="I4119" s="17"/>
      <c r="J4119" s="17"/>
      <c r="P4119" s="17"/>
      <c r="Q4119" s="17"/>
    </row>
    <row r="4120" spans="2:17">
      <c r="B4120" s="17"/>
      <c r="C4120" s="16" t="str">
        <f>IFERROR(VLOOKUP(DATA!#REF!,DATA!#REF!,1,FALSE),"")</f>
        <v/>
      </c>
      <c r="D4120" s="16" t="str">
        <f>IFERROR(VLOOKUP(C4120,DATA!#REF!,2,FALSE),"")</f>
        <v/>
      </c>
      <c r="I4120" s="17"/>
      <c r="J4120" s="17"/>
      <c r="P4120" s="17"/>
      <c r="Q4120" s="17"/>
    </row>
    <row r="4121" spans="2:17">
      <c r="B4121" s="17"/>
      <c r="C4121" s="16" t="str">
        <f>IFERROR(VLOOKUP(DATA!#REF!,DATA!#REF!,1,FALSE),"")</f>
        <v/>
      </c>
      <c r="D4121" s="16" t="str">
        <f>IFERROR(VLOOKUP(C4121,DATA!#REF!,2,FALSE),"")</f>
        <v/>
      </c>
      <c r="I4121" s="17"/>
      <c r="J4121" s="17"/>
      <c r="P4121" s="17"/>
      <c r="Q4121" s="17"/>
    </row>
    <row r="4122" spans="2:17">
      <c r="B4122" s="17"/>
      <c r="C4122" s="16" t="str">
        <f>IFERROR(VLOOKUP(DATA!#REF!,DATA!#REF!,1,FALSE),"")</f>
        <v/>
      </c>
      <c r="D4122" s="16" t="str">
        <f>IFERROR(VLOOKUP(C4122,DATA!#REF!,2,FALSE),"")</f>
        <v/>
      </c>
      <c r="I4122" s="17"/>
      <c r="J4122" s="17"/>
      <c r="P4122" s="17"/>
      <c r="Q4122" s="17"/>
    </row>
    <row r="4123" spans="2:17">
      <c r="B4123" s="17"/>
      <c r="C4123" s="16" t="str">
        <f>IFERROR(VLOOKUP(DATA!#REF!,DATA!#REF!,1,FALSE),"")</f>
        <v/>
      </c>
      <c r="D4123" s="16" t="str">
        <f>IFERROR(VLOOKUP(C4123,DATA!#REF!,2,FALSE),"")</f>
        <v/>
      </c>
      <c r="I4123" s="17"/>
      <c r="J4123" s="17"/>
      <c r="P4123" s="17"/>
      <c r="Q4123" s="17"/>
    </row>
    <row r="4124" spans="2:17">
      <c r="B4124" s="17"/>
      <c r="C4124" s="16" t="str">
        <f>IFERROR(VLOOKUP(DATA!#REF!,DATA!#REF!,1,FALSE),"")</f>
        <v/>
      </c>
      <c r="D4124" s="16" t="str">
        <f>IFERROR(VLOOKUP(C4124,DATA!#REF!,2,FALSE),"")</f>
        <v/>
      </c>
      <c r="I4124" s="17"/>
      <c r="J4124" s="17"/>
      <c r="P4124" s="17"/>
      <c r="Q4124" s="17"/>
    </row>
    <row r="4125" spans="2:17">
      <c r="B4125" s="17"/>
      <c r="C4125" s="16" t="str">
        <f>IFERROR(VLOOKUP(DATA!#REF!,DATA!#REF!,1,FALSE),"")</f>
        <v/>
      </c>
      <c r="D4125" s="16" t="str">
        <f>IFERROR(VLOOKUP(C4125,DATA!#REF!,2,FALSE),"")</f>
        <v/>
      </c>
      <c r="I4125" s="17"/>
      <c r="J4125" s="17"/>
      <c r="P4125" s="17"/>
      <c r="Q4125" s="17"/>
    </row>
    <row r="4126" spans="2:17">
      <c r="B4126" s="17"/>
      <c r="C4126" s="16" t="str">
        <f>IFERROR(VLOOKUP(DATA!#REF!,DATA!#REF!,1,FALSE),"")</f>
        <v/>
      </c>
      <c r="D4126" s="16" t="str">
        <f>IFERROR(VLOOKUP(C4126,DATA!#REF!,2,FALSE),"")</f>
        <v/>
      </c>
      <c r="I4126" s="17"/>
      <c r="J4126" s="17"/>
      <c r="P4126" s="17"/>
      <c r="Q4126" s="17"/>
    </row>
    <row r="4127" spans="2:17">
      <c r="B4127" s="17"/>
      <c r="C4127" s="16" t="str">
        <f>IFERROR(VLOOKUP(DATA!#REF!,DATA!#REF!,1,FALSE),"")</f>
        <v/>
      </c>
      <c r="D4127" s="16" t="str">
        <f>IFERROR(VLOOKUP(C4127,DATA!#REF!,2,FALSE),"")</f>
        <v/>
      </c>
      <c r="I4127" s="17"/>
      <c r="J4127" s="17"/>
      <c r="P4127" s="17"/>
      <c r="Q4127" s="17"/>
    </row>
    <row r="4128" spans="2:17">
      <c r="B4128" s="17"/>
      <c r="C4128" s="16" t="str">
        <f>IFERROR(VLOOKUP(DATA!#REF!,DATA!#REF!,1,FALSE),"")</f>
        <v/>
      </c>
      <c r="D4128" s="16" t="str">
        <f>IFERROR(VLOOKUP(C4128,DATA!#REF!,2,FALSE),"")</f>
        <v/>
      </c>
      <c r="I4128" s="17"/>
      <c r="J4128" s="17"/>
      <c r="P4128" s="17"/>
      <c r="Q4128" s="17"/>
    </row>
    <row r="4129" spans="2:17">
      <c r="B4129" s="17"/>
      <c r="C4129" s="16" t="str">
        <f>IFERROR(VLOOKUP(DATA!#REF!,DATA!#REF!,1,FALSE),"")</f>
        <v/>
      </c>
      <c r="D4129" s="16" t="str">
        <f>IFERROR(VLOOKUP(C4129,DATA!#REF!,2,FALSE),"")</f>
        <v/>
      </c>
      <c r="I4129" s="17"/>
      <c r="J4129" s="17"/>
      <c r="P4129" s="17"/>
      <c r="Q4129" s="17"/>
    </row>
    <row r="4130" spans="2:17">
      <c r="B4130" s="17"/>
      <c r="C4130" s="16" t="str">
        <f>IFERROR(VLOOKUP(DATA!#REF!,DATA!#REF!,1,FALSE),"")</f>
        <v/>
      </c>
      <c r="D4130" s="16" t="str">
        <f>IFERROR(VLOOKUP(C4130,DATA!#REF!,2,FALSE),"")</f>
        <v/>
      </c>
      <c r="I4130" s="17"/>
      <c r="J4130" s="17"/>
      <c r="P4130" s="17"/>
      <c r="Q4130" s="17"/>
    </row>
    <row r="4131" spans="2:17">
      <c r="B4131" s="17"/>
      <c r="C4131" s="16" t="str">
        <f>IFERROR(VLOOKUP(DATA!#REF!,DATA!#REF!,1,FALSE),"")</f>
        <v/>
      </c>
      <c r="D4131" s="16" t="str">
        <f>IFERROR(VLOOKUP(C4131,DATA!#REF!,2,FALSE),"")</f>
        <v/>
      </c>
      <c r="I4131" s="17"/>
      <c r="J4131" s="17"/>
      <c r="P4131" s="17"/>
      <c r="Q4131" s="17"/>
    </row>
    <row r="4132" spans="2:17">
      <c r="B4132" s="17"/>
      <c r="C4132" s="16" t="str">
        <f>IFERROR(VLOOKUP(DATA!#REF!,DATA!#REF!,1,FALSE),"")</f>
        <v/>
      </c>
      <c r="D4132" s="16" t="str">
        <f>IFERROR(VLOOKUP(C4132,DATA!#REF!,2,FALSE),"")</f>
        <v/>
      </c>
      <c r="I4132" s="17"/>
      <c r="J4132" s="17"/>
      <c r="P4132" s="17"/>
      <c r="Q4132" s="17"/>
    </row>
    <row r="4133" spans="2:17">
      <c r="B4133" s="17"/>
      <c r="C4133" s="16" t="str">
        <f>IFERROR(VLOOKUP(DATA!#REF!,DATA!#REF!,1,FALSE),"")</f>
        <v/>
      </c>
      <c r="D4133" s="16" t="str">
        <f>IFERROR(VLOOKUP(C4133,DATA!#REF!,2,FALSE),"")</f>
        <v/>
      </c>
      <c r="I4133" s="17"/>
      <c r="J4133" s="17"/>
      <c r="P4133" s="17"/>
      <c r="Q4133" s="17"/>
    </row>
    <row r="4134" spans="2:17">
      <c r="B4134" s="17"/>
      <c r="C4134" s="16" t="str">
        <f>IFERROR(VLOOKUP(DATA!#REF!,DATA!#REF!,1,FALSE),"")</f>
        <v/>
      </c>
      <c r="D4134" s="16" t="str">
        <f>IFERROR(VLOOKUP(C4134,DATA!#REF!,2,FALSE),"")</f>
        <v/>
      </c>
      <c r="I4134" s="17"/>
      <c r="J4134" s="17"/>
      <c r="P4134" s="17"/>
      <c r="Q4134" s="17"/>
    </row>
    <row r="4135" spans="2:17">
      <c r="B4135" s="17"/>
      <c r="C4135" s="16" t="str">
        <f>IFERROR(VLOOKUP(DATA!#REF!,DATA!#REF!,1,FALSE),"")</f>
        <v/>
      </c>
      <c r="D4135" s="16" t="str">
        <f>IFERROR(VLOOKUP(C4135,DATA!#REF!,2,FALSE),"")</f>
        <v/>
      </c>
      <c r="I4135" s="17"/>
      <c r="J4135" s="17"/>
      <c r="P4135" s="17"/>
      <c r="Q4135" s="17"/>
    </row>
    <row r="4136" spans="2:17">
      <c r="B4136" s="17"/>
      <c r="C4136" s="16" t="str">
        <f>IFERROR(VLOOKUP(DATA!#REF!,DATA!#REF!,1,FALSE),"")</f>
        <v/>
      </c>
      <c r="D4136" s="16" t="str">
        <f>IFERROR(VLOOKUP(C4136,DATA!#REF!,2,FALSE),"")</f>
        <v/>
      </c>
      <c r="I4136" s="17"/>
      <c r="J4136" s="17"/>
      <c r="P4136" s="17"/>
      <c r="Q4136" s="17"/>
    </row>
    <row r="4137" spans="2:17">
      <c r="B4137" s="17"/>
      <c r="C4137" s="16" t="str">
        <f>IFERROR(VLOOKUP(DATA!#REF!,DATA!#REF!,1,FALSE),"")</f>
        <v/>
      </c>
      <c r="D4137" s="16" t="str">
        <f>IFERROR(VLOOKUP(C4137,DATA!#REF!,2,FALSE),"")</f>
        <v/>
      </c>
      <c r="I4137" s="17"/>
      <c r="J4137" s="17"/>
      <c r="P4137" s="17"/>
      <c r="Q4137" s="17"/>
    </row>
    <row r="4138" spans="2:17">
      <c r="B4138" s="17"/>
      <c r="C4138" s="16" t="str">
        <f>IFERROR(VLOOKUP(DATA!#REF!,DATA!#REF!,1,FALSE),"")</f>
        <v/>
      </c>
      <c r="D4138" s="16" t="str">
        <f>IFERROR(VLOOKUP(C4138,DATA!#REF!,2,FALSE),"")</f>
        <v/>
      </c>
      <c r="I4138" s="17"/>
      <c r="J4138" s="17"/>
      <c r="P4138" s="17"/>
      <c r="Q4138" s="17"/>
    </row>
    <row r="4139" spans="2:17">
      <c r="B4139" s="17"/>
      <c r="C4139" s="16" t="str">
        <f>IFERROR(VLOOKUP(DATA!#REF!,DATA!#REF!,1,FALSE),"")</f>
        <v/>
      </c>
      <c r="D4139" s="16" t="str">
        <f>IFERROR(VLOOKUP(C4139,DATA!#REF!,2,FALSE),"")</f>
        <v/>
      </c>
      <c r="I4139" s="17"/>
      <c r="J4139" s="17"/>
      <c r="P4139" s="17"/>
      <c r="Q4139" s="17"/>
    </row>
    <row r="4140" spans="2:17">
      <c r="B4140" s="17"/>
      <c r="C4140" s="16" t="str">
        <f>IFERROR(VLOOKUP(DATA!#REF!,DATA!#REF!,1,FALSE),"")</f>
        <v/>
      </c>
      <c r="D4140" s="16" t="str">
        <f>IFERROR(VLOOKUP(C4140,DATA!#REF!,2,FALSE),"")</f>
        <v/>
      </c>
      <c r="I4140" s="17"/>
      <c r="J4140" s="17"/>
      <c r="P4140" s="17"/>
      <c r="Q4140" s="17"/>
    </row>
    <row r="4141" spans="2:17">
      <c r="B4141" s="17"/>
      <c r="C4141" s="16" t="str">
        <f>IFERROR(VLOOKUP(DATA!#REF!,DATA!#REF!,1,FALSE),"")</f>
        <v/>
      </c>
      <c r="D4141" s="16" t="str">
        <f>IFERROR(VLOOKUP(C4141,DATA!#REF!,2,FALSE),"")</f>
        <v/>
      </c>
      <c r="I4141" s="17"/>
      <c r="J4141" s="17"/>
      <c r="P4141" s="17"/>
      <c r="Q4141" s="17"/>
    </row>
    <row r="4142" spans="2:17">
      <c r="B4142" s="17"/>
      <c r="C4142" s="16" t="str">
        <f>IFERROR(VLOOKUP(DATA!#REF!,DATA!#REF!,1,FALSE),"")</f>
        <v/>
      </c>
      <c r="D4142" s="16" t="str">
        <f>IFERROR(VLOOKUP(C4142,DATA!#REF!,2,FALSE),"")</f>
        <v/>
      </c>
      <c r="I4142" s="17"/>
      <c r="J4142" s="17"/>
      <c r="P4142" s="17"/>
      <c r="Q4142" s="17"/>
    </row>
    <row r="4143" spans="2:17">
      <c r="B4143" s="17"/>
      <c r="C4143" s="16" t="str">
        <f>IFERROR(VLOOKUP(DATA!#REF!,DATA!#REF!,1,FALSE),"")</f>
        <v/>
      </c>
      <c r="D4143" s="16" t="str">
        <f>IFERROR(VLOOKUP(C4143,DATA!#REF!,2,FALSE),"")</f>
        <v/>
      </c>
      <c r="I4143" s="17"/>
      <c r="J4143" s="17"/>
      <c r="P4143" s="17"/>
      <c r="Q4143" s="17"/>
    </row>
    <row r="4144" spans="2:17">
      <c r="B4144" s="17"/>
      <c r="C4144" s="16" t="str">
        <f>IFERROR(VLOOKUP(DATA!#REF!,DATA!#REF!,1,FALSE),"")</f>
        <v/>
      </c>
      <c r="D4144" s="16" t="str">
        <f>IFERROR(VLOOKUP(C4144,DATA!#REF!,2,FALSE),"")</f>
        <v/>
      </c>
      <c r="I4144" s="17"/>
      <c r="J4144" s="17"/>
      <c r="P4144" s="17"/>
      <c r="Q4144" s="17"/>
    </row>
    <row r="4145" spans="2:17">
      <c r="B4145" s="17"/>
      <c r="C4145" s="16" t="str">
        <f>IFERROR(VLOOKUP(DATA!#REF!,DATA!#REF!,1,FALSE),"")</f>
        <v/>
      </c>
      <c r="D4145" s="16" t="str">
        <f>IFERROR(VLOOKUP(C4145,DATA!#REF!,2,FALSE),"")</f>
        <v/>
      </c>
      <c r="I4145" s="17"/>
      <c r="J4145" s="17"/>
      <c r="P4145" s="17"/>
      <c r="Q4145" s="17"/>
    </row>
    <row r="4146" spans="2:17">
      <c r="B4146" s="17"/>
      <c r="C4146" s="16" t="str">
        <f>IFERROR(VLOOKUP(DATA!#REF!,DATA!#REF!,1,FALSE),"")</f>
        <v/>
      </c>
      <c r="D4146" s="16" t="str">
        <f>IFERROR(VLOOKUP(C4146,DATA!#REF!,2,FALSE),"")</f>
        <v/>
      </c>
      <c r="I4146" s="17"/>
      <c r="J4146" s="17"/>
      <c r="P4146" s="17"/>
      <c r="Q4146" s="17"/>
    </row>
    <row r="4147" spans="2:17">
      <c r="B4147" s="17"/>
      <c r="C4147" s="16" t="str">
        <f>IFERROR(VLOOKUP(DATA!#REF!,DATA!#REF!,1,FALSE),"")</f>
        <v/>
      </c>
      <c r="D4147" s="16" t="str">
        <f>IFERROR(VLOOKUP(C4147,DATA!#REF!,2,FALSE),"")</f>
        <v/>
      </c>
      <c r="I4147" s="17"/>
      <c r="J4147" s="17"/>
      <c r="P4147" s="17"/>
      <c r="Q4147" s="17"/>
    </row>
    <row r="4148" spans="2:17">
      <c r="B4148" s="17"/>
      <c r="C4148" s="16" t="str">
        <f>IFERROR(VLOOKUP(DATA!#REF!,DATA!#REF!,1,FALSE),"")</f>
        <v/>
      </c>
      <c r="D4148" s="16" t="str">
        <f>IFERROR(VLOOKUP(C4148,DATA!#REF!,2,FALSE),"")</f>
        <v/>
      </c>
      <c r="I4148" s="17"/>
      <c r="J4148" s="17"/>
      <c r="P4148" s="17"/>
      <c r="Q4148" s="17"/>
    </row>
    <row r="4149" spans="2:17">
      <c r="B4149" s="17"/>
      <c r="C4149" s="16" t="str">
        <f>IFERROR(VLOOKUP(DATA!#REF!,DATA!#REF!,1,FALSE),"")</f>
        <v/>
      </c>
      <c r="D4149" s="16" t="str">
        <f>IFERROR(VLOOKUP(C4149,DATA!#REF!,2,FALSE),"")</f>
        <v/>
      </c>
      <c r="I4149" s="17"/>
      <c r="J4149" s="17"/>
      <c r="P4149" s="17"/>
      <c r="Q4149" s="17"/>
    </row>
    <row r="4150" spans="2:17">
      <c r="B4150" s="17"/>
      <c r="C4150" s="16" t="str">
        <f>IFERROR(VLOOKUP(DATA!#REF!,DATA!#REF!,1,FALSE),"")</f>
        <v/>
      </c>
      <c r="D4150" s="16" t="str">
        <f>IFERROR(VLOOKUP(C4150,DATA!#REF!,2,FALSE),"")</f>
        <v/>
      </c>
      <c r="I4150" s="17"/>
      <c r="J4150" s="17"/>
      <c r="P4150" s="17"/>
      <c r="Q4150" s="17"/>
    </row>
    <row r="4151" spans="2:17">
      <c r="B4151" s="17"/>
      <c r="C4151" s="16" t="str">
        <f>IFERROR(VLOOKUP(DATA!#REF!,DATA!#REF!,1,FALSE),"")</f>
        <v/>
      </c>
      <c r="D4151" s="16" t="str">
        <f>IFERROR(VLOOKUP(C4151,DATA!#REF!,2,FALSE),"")</f>
        <v/>
      </c>
      <c r="I4151" s="17"/>
      <c r="J4151" s="17"/>
      <c r="P4151" s="17"/>
      <c r="Q4151" s="17"/>
    </row>
    <row r="4152" spans="2:17">
      <c r="B4152" s="17"/>
      <c r="C4152" s="16" t="str">
        <f>IFERROR(VLOOKUP(DATA!#REF!,DATA!#REF!,1,FALSE),"")</f>
        <v/>
      </c>
      <c r="D4152" s="16" t="str">
        <f>IFERROR(VLOOKUP(C4152,DATA!#REF!,2,FALSE),"")</f>
        <v/>
      </c>
      <c r="I4152" s="17"/>
      <c r="J4152" s="17"/>
      <c r="P4152" s="17"/>
      <c r="Q4152" s="17"/>
    </row>
    <row r="4153" spans="2:17">
      <c r="B4153" s="17"/>
      <c r="C4153" s="16" t="str">
        <f>IFERROR(VLOOKUP(DATA!#REF!,DATA!#REF!,1,FALSE),"")</f>
        <v/>
      </c>
      <c r="D4153" s="16" t="str">
        <f>IFERROR(VLOOKUP(C4153,DATA!#REF!,2,FALSE),"")</f>
        <v/>
      </c>
      <c r="I4153" s="17"/>
      <c r="J4153" s="17"/>
      <c r="P4153" s="17"/>
      <c r="Q4153" s="17"/>
    </row>
    <row r="4154" spans="2:17">
      <c r="B4154" s="17"/>
      <c r="C4154" s="16" t="str">
        <f>IFERROR(VLOOKUP(DATA!#REF!,DATA!#REF!,1,FALSE),"")</f>
        <v/>
      </c>
      <c r="D4154" s="16" t="str">
        <f>IFERROR(VLOOKUP(C4154,DATA!#REF!,2,FALSE),"")</f>
        <v/>
      </c>
      <c r="I4154" s="17"/>
      <c r="J4154" s="17"/>
      <c r="P4154" s="17"/>
      <c r="Q4154" s="17"/>
    </row>
    <row r="4155" spans="2:17">
      <c r="B4155" s="17"/>
      <c r="C4155" s="16" t="str">
        <f>IFERROR(VLOOKUP(DATA!#REF!,DATA!#REF!,1,FALSE),"")</f>
        <v/>
      </c>
      <c r="D4155" s="16" t="str">
        <f>IFERROR(VLOOKUP(C4155,DATA!#REF!,2,FALSE),"")</f>
        <v/>
      </c>
      <c r="I4155" s="17"/>
      <c r="J4155" s="17"/>
      <c r="P4155" s="17"/>
      <c r="Q4155" s="17"/>
    </row>
    <row r="4156" spans="2:17">
      <c r="B4156" s="17"/>
      <c r="C4156" s="16" t="str">
        <f>IFERROR(VLOOKUP(DATA!#REF!,DATA!#REF!,1,FALSE),"")</f>
        <v/>
      </c>
      <c r="D4156" s="16" t="str">
        <f>IFERROR(VLOOKUP(C4156,DATA!#REF!,2,FALSE),"")</f>
        <v/>
      </c>
      <c r="I4156" s="17"/>
      <c r="J4156" s="17"/>
      <c r="P4156" s="17"/>
      <c r="Q4156" s="17"/>
    </row>
    <row r="4157" spans="2:17">
      <c r="B4157" s="17"/>
      <c r="C4157" s="16" t="str">
        <f>IFERROR(VLOOKUP(DATA!#REF!,DATA!#REF!,1,FALSE),"")</f>
        <v/>
      </c>
      <c r="D4157" s="16" t="str">
        <f>IFERROR(VLOOKUP(C4157,DATA!#REF!,2,FALSE),"")</f>
        <v/>
      </c>
      <c r="I4157" s="17"/>
      <c r="J4157" s="17"/>
      <c r="P4157" s="17"/>
      <c r="Q4157" s="17"/>
    </row>
    <row r="4158" spans="2:17">
      <c r="B4158" s="17"/>
      <c r="C4158" s="16" t="str">
        <f>IFERROR(VLOOKUP(DATA!#REF!,DATA!#REF!,1,FALSE),"")</f>
        <v/>
      </c>
      <c r="D4158" s="16" t="str">
        <f>IFERROR(VLOOKUP(C4158,DATA!#REF!,2,FALSE),"")</f>
        <v/>
      </c>
      <c r="I4158" s="17"/>
      <c r="J4158" s="17"/>
      <c r="P4158" s="17"/>
      <c r="Q4158" s="17"/>
    </row>
    <row r="4159" spans="2:17">
      <c r="B4159" s="17"/>
      <c r="C4159" s="16" t="str">
        <f>IFERROR(VLOOKUP(DATA!#REF!,DATA!#REF!,1,FALSE),"")</f>
        <v/>
      </c>
      <c r="D4159" s="16" t="str">
        <f>IFERROR(VLOOKUP(C4159,DATA!#REF!,2,FALSE),"")</f>
        <v/>
      </c>
      <c r="I4159" s="17"/>
      <c r="J4159" s="17"/>
      <c r="P4159" s="17"/>
      <c r="Q4159" s="17"/>
    </row>
    <row r="4160" spans="2:17">
      <c r="B4160" s="17"/>
      <c r="C4160" s="16" t="str">
        <f>IFERROR(VLOOKUP(DATA!#REF!,DATA!#REF!,1,FALSE),"")</f>
        <v/>
      </c>
      <c r="D4160" s="16" t="str">
        <f>IFERROR(VLOOKUP(C4160,DATA!#REF!,2,FALSE),"")</f>
        <v/>
      </c>
      <c r="I4160" s="17"/>
      <c r="J4160" s="17"/>
      <c r="P4160" s="17"/>
      <c r="Q4160" s="17"/>
    </row>
    <row r="4161" spans="2:17">
      <c r="B4161" s="17"/>
      <c r="C4161" s="16" t="str">
        <f>IFERROR(VLOOKUP(DATA!#REF!,DATA!#REF!,1,FALSE),"")</f>
        <v/>
      </c>
      <c r="D4161" s="16" t="str">
        <f>IFERROR(VLOOKUP(C4161,DATA!#REF!,2,FALSE),"")</f>
        <v/>
      </c>
      <c r="I4161" s="17"/>
      <c r="J4161" s="17"/>
      <c r="P4161" s="17"/>
      <c r="Q4161" s="17"/>
    </row>
    <row r="4162" spans="2:17">
      <c r="B4162" s="17"/>
      <c r="C4162" s="16" t="str">
        <f>IFERROR(VLOOKUP(DATA!#REF!,DATA!#REF!,1,FALSE),"")</f>
        <v/>
      </c>
      <c r="D4162" s="16" t="str">
        <f>IFERROR(VLOOKUP(C4162,DATA!#REF!,2,FALSE),"")</f>
        <v/>
      </c>
      <c r="I4162" s="17"/>
      <c r="J4162" s="17"/>
      <c r="P4162" s="17"/>
      <c r="Q4162" s="17"/>
    </row>
    <row r="4163" spans="2:17">
      <c r="B4163" s="17"/>
      <c r="C4163" s="16" t="str">
        <f>IFERROR(VLOOKUP(DATA!#REF!,DATA!#REF!,1,FALSE),"")</f>
        <v/>
      </c>
      <c r="D4163" s="16" t="str">
        <f>IFERROR(VLOOKUP(C4163,DATA!#REF!,2,FALSE),"")</f>
        <v/>
      </c>
      <c r="I4163" s="17"/>
      <c r="J4163" s="17"/>
      <c r="P4163" s="17"/>
      <c r="Q4163" s="17"/>
    </row>
    <row r="4164" spans="2:17">
      <c r="B4164" s="17"/>
      <c r="C4164" s="16" t="str">
        <f>IFERROR(VLOOKUP(DATA!#REF!,DATA!#REF!,1,FALSE),"")</f>
        <v/>
      </c>
      <c r="D4164" s="16" t="str">
        <f>IFERROR(VLOOKUP(C4164,DATA!#REF!,2,FALSE),"")</f>
        <v/>
      </c>
      <c r="I4164" s="17"/>
      <c r="J4164" s="17"/>
      <c r="P4164" s="17"/>
      <c r="Q4164" s="17"/>
    </row>
    <row r="4165" spans="2:17">
      <c r="B4165" s="17"/>
      <c r="C4165" s="16" t="str">
        <f>IFERROR(VLOOKUP(DATA!#REF!,DATA!#REF!,1,FALSE),"")</f>
        <v/>
      </c>
      <c r="D4165" s="16" t="str">
        <f>IFERROR(VLOOKUP(C4165,DATA!#REF!,2,FALSE),"")</f>
        <v/>
      </c>
      <c r="I4165" s="17"/>
      <c r="J4165" s="17"/>
      <c r="P4165" s="17"/>
      <c r="Q4165" s="17"/>
    </row>
    <row r="4166" spans="2:17">
      <c r="B4166" s="17"/>
      <c r="C4166" s="16" t="str">
        <f>IFERROR(VLOOKUP(DATA!#REF!,DATA!#REF!,1,FALSE),"")</f>
        <v/>
      </c>
      <c r="D4166" s="16" t="str">
        <f>IFERROR(VLOOKUP(C4166,DATA!#REF!,2,FALSE),"")</f>
        <v/>
      </c>
      <c r="I4166" s="17"/>
      <c r="J4166" s="17"/>
      <c r="P4166" s="17"/>
      <c r="Q4166" s="17"/>
    </row>
    <row r="4167" spans="2:17">
      <c r="B4167" s="17"/>
      <c r="C4167" s="16" t="str">
        <f>IFERROR(VLOOKUP(DATA!#REF!,DATA!#REF!,1,FALSE),"")</f>
        <v/>
      </c>
      <c r="D4167" s="16" t="str">
        <f>IFERROR(VLOOKUP(C4167,DATA!#REF!,2,FALSE),"")</f>
        <v/>
      </c>
      <c r="I4167" s="17"/>
      <c r="J4167" s="17"/>
      <c r="P4167" s="17"/>
      <c r="Q4167" s="17"/>
    </row>
    <row r="4168" spans="2:17">
      <c r="B4168" s="17"/>
      <c r="C4168" s="16" t="str">
        <f>IFERROR(VLOOKUP(DATA!#REF!,DATA!#REF!,1,FALSE),"")</f>
        <v/>
      </c>
      <c r="D4168" s="16" t="str">
        <f>IFERROR(VLOOKUP(C4168,DATA!#REF!,2,FALSE),"")</f>
        <v/>
      </c>
      <c r="I4168" s="17"/>
      <c r="J4168" s="17"/>
      <c r="P4168" s="17"/>
      <c r="Q4168" s="17"/>
    </row>
    <row r="4169" spans="2:17">
      <c r="B4169" s="17"/>
      <c r="C4169" s="16" t="str">
        <f>IFERROR(VLOOKUP(DATA!#REF!,DATA!#REF!,1,FALSE),"")</f>
        <v/>
      </c>
      <c r="D4169" s="16" t="str">
        <f>IFERROR(VLOOKUP(C4169,DATA!#REF!,2,FALSE),"")</f>
        <v/>
      </c>
      <c r="I4169" s="17"/>
      <c r="J4169" s="17"/>
      <c r="P4169" s="17"/>
      <c r="Q4169" s="17"/>
    </row>
    <row r="4170" spans="2:17">
      <c r="B4170" s="17"/>
      <c r="C4170" s="16" t="str">
        <f>IFERROR(VLOOKUP(DATA!#REF!,DATA!#REF!,1,FALSE),"")</f>
        <v/>
      </c>
      <c r="D4170" s="16" t="str">
        <f>IFERROR(VLOOKUP(C4170,DATA!#REF!,2,FALSE),"")</f>
        <v/>
      </c>
      <c r="I4170" s="17"/>
      <c r="J4170" s="17"/>
      <c r="P4170" s="17"/>
      <c r="Q4170" s="17"/>
    </row>
    <row r="4171" spans="2:17">
      <c r="B4171" s="17"/>
      <c r="C4171" s="16" t="str">
        <f>IFERROR(VLOOKUP(DATA!#REF!,DATA!#REF!,1,FALSE),"")</f>
        <v/>
      </c>
      <c r="D4171" s="16" t="str">
        <f>IFERROR(VLOOKUP(C4171,DATA!#REF!,2,FALSE),"")</f>
        <v/>
      </c>
      <c r="I4171" s="17"/>
      <c r="J4171" s="17"/>
      <c r="P4171" s="17"/>
      <c r="Q4171" s="17"/>
    </row>
    <row r="4172" spans="2:17">
      <c r="B4172" s="17"/>
      <c r="C4172" s="16" t="str">
        <f>IFERROR(VLOOKUP(DATA!#REF!,DATA!#REF!,1,FALSE),"")</f>
        <v/>
      </c>
      <c r="D4172" s="16" t="str">
        <f>IFERROR(VLOOKUP(C4172,DATA!#REF!,2,FALSE),"")</f>
        <v/>
      </c>
      <c r="I4172" s="17"/>
      <c r="J4172" s="17"/>
      <c r="P4172" s="17"/>
      <c r="Q4172" s="17"/>
    </row>
    <row r="4173" spans="2:17">
      <c r="B4173" s="17"/>
      <c r="C4173" s="16" t="str">
        <f>IFERROR(VLOOKUP(DATA!#REF!,DATA!#REF!,1,FALSE),"")</f>
        <v/>
      </c>
      <c r="D4173" s="16" t="str">
        <f>IFERROR(VLOOKUP(C4173,DATA!#REF!,2,FALSE),"")</f>
        <v/>
      </c>
      <c r="I4173" s="17"/>
      <c r="J4173" s="17"/>
      <c r="P4173" s="17"/>
      <c r="Q4173" s="17"/>
    </row>
    <row r="4174" spans="2:17">
      <c r="B4174" s="17"/>
      <c r="C4174" s="16" t="str">
        <f>IFERROR(VLOOKUP(DATA!#REF!,DATA!#REF!,1,FALSE),"")</f>
        <v/>
      </c>
      <c r="D4174" s="16" t="str">
        <f>IFERROR(VLOOKUP(C4174,DATA!#REF!,2,FALSE),"")</f>
        <v/>
      </c>
      <c r="I4174" s="17"/>
      <c r="J4174" s="17"/>
      <c r="P4174" s="17"/>
      <c r="Q4174" s="17"/>
    </row>
    <row r="4175" spans="2:17">
      <c r="B4175" s="17"/>
      <c r="C4175" s="16" t="str">
        <f>IFERROR(VLOOKUP(DATA!#REF!,DATA!#REF!,1,FALSE),"")</f>
        <v/>
      </c>
      <c r="D4175" s="16" t="str">
        <f>IFERROR(VLOOKUP(C4175,DATA!#REF!,2,FALSE),"")</f>
        <v/>
      </c>
      <c r="I4175" s="17"/>
      <c r="J4175" s="17"/>
      <c r="P4175" s="17"/>
      <c r="Q4175" s="17"/>
    </row>
    <row r="4176" spans="2:17">
      <c r="B4176" s="17"/>
      <c r="C4176" s="16" t="str">
        <f>IFERROR(VLOOKUP(DATA!#REF!,DATA!#REF!,1,FALSE),"")</f>
        <v/>
      </c>
      <c r="D4176" s="16" t="str">
        <f>IFERROR(VLOOKUP(C4176,DATA!#REF!,2,FALSE),"")</f>
        <v/>
      </c>
      <c r="I4176" s="17"/>
      <c r="J4176" s="17"/>
      <c r="P4176" s="17"/>
      <c r="Q4176" s="17"/>
    </row>
    <row r="4177" spans="2:17">
      <c r="B4177" s="17"/>
      <c r="C4177" s="16" t="str">
        <f>IFERROR(VLOOKUP(DATA!#REF!,DATA!#REF!,1,FALSE),"")</f>
        <v/>
      </c>
      <c r="D4177" s="16" t="str">
        <f>IFERROR(VLOOKUP(C4177,DATA!#REF!,2,FALSE),"")</f>
        <v/>
      </c>
      <c r="I4177" s="17"/>
      <c r="J4177" s="17"/>
      <c r="P4177" s="17"/>
      <c r="Q4177" s="17"/>
    </row>
    <row r="4178" spans="2:17">
      <c r="B4178" s="17"/>
      <c r="C4178" s="16" t="str">
        <f>IFERROR(VLOOKUP(DATA!#REF!,DATA!#REF!,1,FALSE),"")</f>
        <v/>
      </c>
      <c r="D4178" s="16" t="str">
        <f>IFERROR(VLOOKUP(C4178,DATA!#REF!,2,FALSE),"")</f>
        <v/>
      </c>
      <c r="I4178" s="17"/>
      <c r="J4178" s="17"/>
      <c r="P4178" s="17"/>
      <c r="Q4178" s="17"/>
    </row>
    <row r="4179" spans="2:17">
      <c r="B4179" s="17"/>
      <c r="C4179" s="16" t="str">
        <f>IFERROR(VLOOKUP(DATA!#REF!,DATA!#REF!,1,FALSE),"")</f>
        <v/>
      </c>
      <c r="D4179" s="16" t="str">
        <f>IFERROR(VLOOKUP(C4179,DATA!#REF!,2,FALSE),"")</f>
        <v/>
      </c>
      <c r="I4179" s="17"/>
      <c r="J4179" s="17"/>
      <c r="P4179" s="17"/>
      <c r="Q4179" s="17"/>
    </row>
    <row r="4180" spans="2:17">
      <c r="B4180" s="17"/>
      <c r="C4180" s="16" t="str">
        <f>IFERROR(VLOOKUP(DATA!#REF!,DATA!#REF!,1,FALSE),"")</f>
        <v/>
      </c>
      <c r="D4180" s="16" t="str">
        <f>IFERROR(VLOOKUP(C4180,DATA!#REF!,2,FALSE),"")</f>
        <v/>
      </c>
      <c r="I4180" s="17"/>
      <c r="J4180" s="17"/>
      <c r="P4180" s="17"/>
      <c r="Q4180" s="17"/>
    </row>
    <row r="4181" spans="2:17">
      <c r="B4181" s="17"/>
      <c r="C4181" s="16" t="str">
        <f>IFERROR(VLOOKUP(DATA!#REF!,DATA!#REF!,1,FALSE),"")</f>
        <v/>
      </c>
      <c r="D4181" s="16" t="str">
        <f>IFERROR(VLOOKUP(C4181,DATA!#REF!,2,FALSE),"")</f>
        <v/>
      </c>
      <c r="I4181" s="17"/>
      <c r="J4181" s="17"/>
      <c r="P4181" s="17"/>
      <c r="Q4181" s="17"/>
    </row>
    <row r="4182" spans="2:17">
      <c r="B4182" s="17"/>
      <c r="C4182" s="16" t="str">
        <f>IFERROR(VLOOKUP(DATA!#REF!,DATA!#REF!,1,FALSE),"")</f>
        <v/>
      </c>
      <c r="D4182" s="16" t="str">
        <f>IFERROR(VLOOKUP(C4182,DATA!#REF!,2,FALSE),"")</f>
        <v/>
      </c>
      <c r="I4182" s="17"/>
      <c r="J4182" s="17"/>
      <c r="P4182" s="17"/>
      <c r="Q4182" s="17"/>
    </row>
    <row r="4183" spans="2:17">
      <c r="B4183" s="17"/>
      <c r="C4183" s="16" t="str">
        <f>IFERROR(VLOOKUP(DATA!#REF!,DATA!#REF!,1,FALSE),"")</f>
        <v/>
      </c>
      <c r="D4183" s="16" t="str">
        <f>IFERROR(VLOOKUP(C4183,DATA!#REF!,2,FALSE),"")</f>
        <v/>
      </c>
      <c r="I4183" s="17"/>
      <c r="J4183" s="17"/>
      <c r="P4183" s="17"/>
      <c r="Q4183" s="17"/>
    </row>
    <row r="4184" spans="2:17">
      <c r="B4184" s="17"/>
      <c r="C4184" s="16" t="str">
        <f>IFERROR(VLOOKUP(DATA!#REF!,DATA!#REF!,1,FALSE),"")</f>
        <v/>
      </c>
      <c r="D4184" s="16" t="str">
        <f>IFERROR(VLOOKUP(C4184,DATA!#REF!,2,FALSE),"")</f>
        <v/>
      </c>
      <c r="I4184" s="17"/>
      <c r="J4184" s="17"/>
      <c r="P4184" s="17"/>
      <c r="Q4184" s="17"/>
    </row>
    <row r="4185" spans="2:17">
      <c r="B4185" s="17"/>
      <c r="C4185" s="16" t="str">
        <f>IFERROR(VLOOKUP(DATA!#REF!,DATA!#REF!,1,FALSE),"")</f>
        <v/>
      </c>
      <c r="D4185" s="16" t="str">
        <f>IFERROR(VLOOKUP(C4185,DATA!#REF!,2,FALSE),"")</f>
        <v/>
      </c>
      <c r="I4185" s="17"/>
      <c r="J4185" s="17"/>
      <c r="P4185" s="17"/>
      <c r="Q4185" s="17"/>
    </row>
    <row r="4186" spans="2:17">
      <c r="B4186" s="17"/>
      <c r="C4186" s="16" t="str">
        <f>IFERROR(VLOOKUP(DATA!#REF!,DATA!#REF!,1,FALSE),"")</f>
        <v/>
      </c>
      <c r="D4186" s="16" t="str">
        <f>IFERROR(VLOOKUP(C4186,DATA!#REF!,2,FALSE),"")</f>
        <v/>
      </c>
      <c r="I4186" s="17"/>
      <c r="J4186" s="17"/>
      <c r="P4186" s="17"/>
      <c r="Q4186" s="17"/>
    </row>
    <row r="4187" spans="2:17">
      <c r="B4187" s="17"/>
      <c r="C4187" s="16" t="str">
        <f>IFERROR(VLOOKUP(DATA!#REF!,DATA!#REF!,1,FALSE),"")</f>
        <v/>
      </c>
      <c r="D4187" s="16" t="str">
        <f>IFERROR(VLOOKUP(C4187,DATA!#REF!,2,FALSE),"")</f>
        <v/>
      </c>
      <c r="I4187" s="17"/>
      <c r="J4187" s="17"/>
      <c r="P4187" s="17"/>
      <c r="Q4187" s="17"/>
    </row>
    <row r="4188" spans="2:17">
      <c r="B4188" s="17"/>
      <c r="C4188" s="16" t="str">
        <f>IFERROR(VLOOKUP(DATA!#REF!,DATA!#REF!,1,FALSE),"")</f>
        <v/>
      </c>
      <c r="D4188" s="16" t="str">
        <f>IFERROR(VLOOKUP(C4188,DATA!#REF!,2,FALSE),"")</f>
        <v/>
      </c>
      <c r="I4188" s="17"/>
      <c r="J4188" s="17"/>
      <c r="P4188" s="17"/>
      <c r="Q4188" s="17"/>
    </row>
    <row r="4189" spans="2:17">
      <c r="B4189" s="17"/>
      <c r="C4189" s="16" t="str">
        <f>IFERROR(VLOOKUP(DATA!#REF!,DATA!#REF!,1,FALSE),"")</f>
        <v/>
      </c>
      <c r="D4189" s="16" t="str">
        <f>IFERROR(VLOOKUP(C4189,DATA!#REF!,2,FALSE),"")</f>
        <v/>
      </c>
      <c r="I4189" s="17"/>
      <c r="J4189" s="17"/>
      <c r="P4189" s="17"/>
      <c r="Q4189" s="17"/>
    </row>
    <row r="4190" spans="2:17">
      <c r="B4190" s="17"/>
      <c r="C4190" s="16" t="str">
        <f>IFERROR(VLOOKUP(DATA!#REF!,DATA!#REF!,1,FALSE),"")</f>
        <v/>
      </c>
      <c r="D4190" s="16" t="str">
        <f>IFERROR(VLOOKUP(C4190,DATA!#REF!,2,FALSE),"")</f>
        <v/>
      </c>
      <c r="I4190" s="17"/>
      <c r="J4190" s="17"/>
      <c r="P4190" s="17"/>
      <c r="Q4190" s="17"/>
    </row>
    <row r="4191" spans="2:17">
      <c r="B4191" s="17"/>
      <c r="C4191" s="16" t="str">
        <f>IFERROR(VLOOKUP(DATA!#REF!,DATA!#REF!,1,FALSE),"")</f>
        <v/>
      </c>
      <c r="D4191" s="16" t="str">
        <f>IFERROR(VLOOKUP(C4191,DATA!#REF!,2,FALSE),"")</f>
        <v/>
      </c>
      <c r="I4191" s="17"/>
      <c r="J4191" s="17"/>
      <c r="P4191" s="17"/>
      <c r="Q4191" s="17"/>
    </row>
    <row r="4192" spans="2:17">
      <c r="B4192" s="17"/>
      <c r="C4192" s="16" t="str">
        <f>IFERROR(VLOOKUP(DATA!#REF!,DATA!#REF!,1,FALSE),"")</f>
        <v/>
      </c>
      <c r="D4192" s="16" t="str">
        <f>IFERROR(VLOOKUP(C4192,DATA!#REF!,2,FALSE),"")</f>
        <v/>
      </c>
      <c r="I4192" s="17"/>
      <c r="J4192" s="17"/>
      <c r="P4192" s="17"/>
      <c r="Q4192" s="17"/>
    </row>
    <row r="4193" spans="2:17">
      <c r="B4193" s="17"/>
      <c r="C4193" s="16" t="str">
        <f>IFERROR(VLOOKUP(DATA!#REF!,DATA!#REF!,1,FALSE),"")</f>
        <v/>
      </c>
      <c r="D4193" s="16" t="str">
        <f>IFERROR(VLOOKUP(C4193,DATA!#REF!,2,FALSE),"")</f>
        <v/>
      </c>
      <c r="I4193" s="17"/>
      <c r="J4193" s="17"/>
      <c r="P4193" s="17"/>
      <c r="Q4193" s="17"/>
    </row>
    <row r="4194" spans="2:17">
      <c r="B4194" s="17"/>
      <c r="C4194" s="16" t="str">
        <f>IFERROR(VLOOKUP(DATA!#REF!,DATA!#REF!,1,FALSE),"")</f>
        <v/>
      </c>
      <c r="D4194" s="16" t="str">
        <f>IFERROR(VLOOKUP(C4194,DATA!#REF!,2,FALSE),"")</f>
        <v/>
      </c>
      <c r="I4194" s="17"/>
      <c r="J4194" s="17"/>
      <c r="P4194" s="17"/>
      <c r="Q4194" s="17"/>
    </row>
    <row r="4195" spans="2:17">
      <c r="B4195" s="17"/>
      <c r="C4195" s="16" t="str">
        <f>IFERROR(VLOOKUP(DATA!#REF!,DATA!#REF!,1,FALSE),"")</f>
        <v/>
      </c>
      <c r="D4195" s="16" t="str">
        <f>IFERROR(VLOOKUP(C4195,DATA!#REF!,2,FALSE),"")</f>
        <v/>
      </c>
      <c r="I4195" s="17"/>
      <c r="J4195" s="17"/>
      <c r="P4195" s="17"/>
      <c r="Q4195" s="17"/>
    </row>
    <row r="4196" spans="2:17">
      <c r="B4196" s="17"/>
      <c r="C4196" s="16" t="str">
        <f>IFERROR(VLOOKUP(DATA!#REF!,DATA!#REF!,1,FALSE),"")</f>
        <v/>
      </c>
      <c r="D4196" s="16" t="str">
        <f>IFERROR(VLOOKUP(C4196,DATA!#REF!,2,FALSE),"")</f>
        <v/>
      </c>
      <c r="I4196" s="17"/>
      <c r="J4196" s="17"/>
      <c r="P4196" s="17"/>
      <c r="Q4196" s="17"/>
    </row>
    <row r="4197" spans="2:17">
      <c r="B4197" s="17"/>
      <c r="C4197" s="16" t="str">
        <f>IFERROR(VLOOKUP(DATA!#REF!,DATA!#REF!,1,FALSE),"")</f>
        <v/>
      </c>
      <c r="D4197" s="16" t="str">
        <f>IFERROR(VLOOKUP(C4197,DATA!#REF!,2,FALSE),"")</f>
        <v/>
      </c>
      <c r="I4197" s="17"/>
      <c r="J4197" s="17"/>
      <c r="P4197" s="17"/>
      <c r="Q4197" s="17"/>
    </row>
    <row r="4198" spans="2:17">
      <c r="B4198" s="17"/>
      <c r="C4198" s="16" t="str">
        <f>IFERROR(VLOOKUP(DATA!#REF!,DATA!#REF!,1,FALSE),"")</f>
        <v/>
      </c>
      <c r="D4198" s="16" t="str">
        <f>IFERROR(VLOOKUP(C4198,DATA!#REF!,2,FALSE),"")</f>
        <v/>
      </c>
      <c r="I4198" s="17"/>
      <c r="J4198" s="17"/>
      <c r="P4198" s="17"/>
      <c r="Q4198" s="17"/>
    </row>
    <row r="4199" spans="2:17">
      <c r="B4199" s="17"/>
      <c r="C4199" s="16" t="str">
        <f>IFERROR(VLOOKUP(DATA!#REF!,DATA!#REF!,1,FALSE),"")</f>
        <v/>
      </c>
      <c r="D4199" s="16" t="str">
        <f>IFERROR(VLOOKUP(C4199,DATA!#REF!,2,FALSE),"")</f>
        <v/>
      </c>
      <c r="I4199" s="17"/>
      <c r="J4199" s="17"/>
      <c r="P4199" s="17"/>
      <c r="Q4199" s="17"/>
    </row>
    <row r="4200" spans="2:17">
      <c r="B4200" s="17"/>
      <c r="C4200" s="16" t="str">
        <f>IFERROR(VLOOKUP(DATA!#REF!,DATA!#REF!,1,FALSE),"")</f>
        <v/>
      </c>
      <c r="D4200" s="16" t="str">
        <f>IFERROR(VLOOKUP(C4200,DATA!#REF!,2,FALSE),"")</f>
        <v/>
      </c>
      <c r="I4200" s="17"/>
      <c r="J4200" s="17"/>
      <c r="P4200" s="17"/>
      <c r="Q4200" s="17"/>
    </row>
    <row r="4201" spans="2:17">
      <c r="B4201" s="17"/>
      <c r="C4201" s="16" t="str">
        <f>IFERROR(VLOOKUP(DATA!#REF!,DATA!#REF!,1,FALSE),"")</f>
        <v/>
      </c>
      <c r="D4201" s="16" t="str">
        <f>IFERROR(VLOOKUP(C4201,DATA!#REF!,2,FALSE),"")</f>
        <v/>
      </c>
      <c r="I4201" s="17"/>
      <c r="J4201" s="17"/>
      <c r="P4201" s="17"/>
      <c r="Q4201" s="17"/>
    </row>
    <row r="4202" spans="2:17">
      <c r="B4202" s="17"/>
      <c r="C4202" s="16" t="str">
        <f>IFERROR(VLOOKUP(DATA!#REF!,DATA!#REF!,1,FALSE),"")</f>
        <v/>
      </c>
      <c r="D4202" s="16" t="str">
        <f>IFERROR(VLOOKUP(C4202,DATA!#REF!,2,FALSE),"")</f>
        <v/>
      </c>
      <c r="I4202" s="17"/>
      <c r="J4202" s="17"/>
      <c r="P4202" s="17"/>
      <c r="Q4202" s="17"/>
    </row>
    <row r="4203" spans="2:17">
      <c r="B4203" s="17"/>
      <c r="C4203" s="16" t="str">
        <f>IFERROR(VLOOKUP(DATA!#REF!,DATA!#REF!,1,FALSE),"")</f>
        <v/>
      </c>
      <c r="D4203" s="16" t="str">
        <f>IFERROR(VLOOKUP(C4203,DATA!#REF!,2,FALSE),"")</f>
        <v/>
      </c>
      <c r="I4203" s="17"/>
      <c r="J4203" s="17"/>
      <c r="P4203" s="17"/>
      <c r="Q4203" s="17"/>
    </row>
    <row r="4204" spans="2:17">
      <c r="B4204" s="17"/>
      <c r="C4204" s="16" t="str">
        <f>IFERROR(VLOOKUP(DATA!#REF!,DATA!#REF!,1,FALSE),"")</f>
        <v/>
      </c>
      <c r="D4204" s="16" t="str">
        <f>IFERROR(VLOOKUP(C4204,DATA!#REF!,2,FALSE),"")</f>
        <v/>
      </c>
      <c r="I4204" s="17"/>
      <c r="J4204" s="17"/>
      <c r="P4204" s="17"/>
      <c r="Q4204" s="17"/>
    </row>
    <row r="4205" spans="2:17">
      <c r="B4205" s="17"/>
      <c r="C4205" s="16" t="str">
        <f>IFERROR(VLOOKUP(DATA!#REF!,DATA!#REF!,1,FALSE),"")</f>
        <v/>
      </c>
      <c r="D4205" s="16" t="str">
        <f>IFERROR(VLOOKUP(C4205,DATA!#REF!,2,FALSE),"")</f>
        <v/>
      </c>
      <c r="I4205" s="17"/>
      <c r="J4205" s="17"/>
      <c r="P4205" s="17"/>
      <c r="Q4205" s="17"/>
    </row>
    <row r="4206" spans="2:17">
      <c r="B4206" s="17"/>
      <c r="C4206" s="16" t="str">
        <f>IFERROR(VLOOKUP(DATA!#REF!,DATA!#REF!,1,FALSE),"")</f>
        <v/>
      </c>
      <c r="D4206" s="16" t="str">
        <f>IFERROR(VLOOKUP(C4206,DATA!#REF!,2,FALSE),"")</f>
        <v/>
      </c>
      <c r="I4206" s="17"/>
      <c r="J4206" s="17"/>
      <c r="P4206" s="17"/>
      <c r="Q4206" s="17"/>
    </row>
    <row r="4207" spans="2:17">
      <c r="B4207" s="17"/>
      <c r="C4207" s="16" t="str">
        <f>IFERROR(VLOOKUP(DATA!#REF!,DATA!#REF!,1,FALSE),"")</f>
        <v/>
      </c>
      <c r="D4207" s="16" t="str">
        <f>IFERROR(VLOOKUP(C4207,DATA!#REF!,2,FALSE),"")</f>
        <v/>
      </c>
      <c r="I4207" s="17"/>
      <c r="J4207" s="17"/>
      <c r="P4207" s="17"/>
      <c r="Q4207" s="17"/>
    </row>
    <row r="4208" spans="2:17">
      <c r="B4208" s="17"/>
      <c r="C4208" s="16" t="str">
        <f>IFERROR(VLOOKUP(DATA!#REF!,DATA!#REF!,1,FALSE),"")</f>
        <v/>
      </c>
      <c r="D4208" s="16" t="str">
        <f>IFERROR(VLOOKUP(C4208,DATA!#REF!,2,FALSE),"")</f>
        <v/>
      </c>
      <c r="I4208" s="17"/>
      <c r="J4208" s="17"/>
      <c r="P4208" s="17"/>
      <c r="Q4208" s="17"/>
    </row>
    <row r="4209" spans="2:17">
      <c r="B4209" s="17"/>
      <c r="C4209" s="16" t="str">
        <f>IFERROR(VLOOKUP(DATA!#REF!,DATA!#REF!,1,FALSE),"")</f>
        <v/>
      </c>
      <c r="D4209" s="16" t="str">
        <f>IFERROR(VLOOKUP(C4209,DATA!#REF!,2,FALSE),"")</f>
        <v/>
      </c>
      <c r="I4209" s="17"/>
      <c r="J4209" s="17"/>
      <c r="P4209" s="17"/>
      <c r="Q4209" s="17"/>
    </row>
    <row r="4210" spans="2:17">
      <c r="B4210" s="17"/>
      <c r="C4210" s="16" t="str">
        <f>IFERROR(VLOOKUP(DATA!#REF!,DATA!#REF!,1,FALSE),"")</f>
        <v/>
      </c>
      <c r="D4210" s="16" t="str">
        <f>IFERROR(VLOOKUP(C4210,DATA!#REF!,2,FALSE),"")</f>
        <v/>
      </c>
      <c r="I4210" s="17"/>
      <c r="J4210" s="17"/>
      <c r="P4210" s="17"/>
      <c r="Q4210" s="17"/>
    </row>
    <row r="4211" spans="2:17">
      <c r="B4211" s="17"/>
      <c r="C4211" s="16" t="str">
        <f>IFERROR(VLOOKUP(DATA!#REF!,DATA!#REF!,1,FALSE),"")</f>
        <v/>
      </c>
      <c r="D4211" s="16" t="str">
        <f>IFERROR(VLOOKUP(C4211,DATA!#REF!,2,FALSE),"")</f>
        <v/>
      </c>
      <c r="I4211" s="17"/>
      <c r="J4211" s="17"/>
      <c r="P4211" s="17"/>
      <c r="Q4211" s="17"/>
    </row>
    <row r="4212" spans="2:17">
      <c r="B4212" s="17"/>
      <c r="C4212" s="16" t="str">
        <f>IFERROR(VLOOKUP(DATA!#REF!,DATA!#REF!,1,FALSE),"")</f>
        <v/>
      </c>
      <c r="D4212" s="16" t="str">
        <f>IFERROR(VLOOKUP(C4212,DATA!#REF!,2,FALSE),"")</f>
        <v/>
      </c>
      <c r="I4212" s="17"/>
      <c r="J4212" s="17"/>
      <c r="P4212" s="17"/>
      <c r="Q4212" s="17"/>
    </row>
    <row r="4213" spans="2:17">
      <c r="B4213" s="17"/>
      <c r="C4213" s="16" t="str">
        <f>IFERROR(VLOOKUP(DATA!#REF!,DATA!#REF!,1,FALSE),"")</f>
        <v/>
      </c>
      <c r="D4213" s="16" t="str">
        <f>IFERROR(VLOOKUP(C4213,DATA!#REF!,2,FALSE),"")</f>
        <v/>
      </c>
      <c r="I4213" s="17"/>
      <c r="J4213" s="17"/>
      <c r="P4213" s="17"/>
      <c r="Q4213" s="17"/>
    </row>
    <row r="4214" spans="2:17">
      <c r="B4214" s="17"/>
      <c r="C4214" s="16" t="str">
        <f>IFERROR(VLOOKUP(DATA!#REF!,DATA!#REF!,1,FALSE),"")</f>
        <v/>
      </c>
      <c r="D4214" s="16" t="str">
        <f>IFERROR(VLOOKUP(C4214,DATA!#REF!,2,FALSE),"")</f>
        <v/>
      </c>
      <c r="I4214" s="17"/>
      <c r="J4214" s="17"/>
      <c r="P4214" s="17"/>
      <c r="Q4214" s="17"/>
    </row>
    <row r="4215" spans="2:17">
      <c r="B4215" s="17"/>
      <c r="C4215" s="16" t="str">
        <f>IFERROR(VLOOKUP(DATA!#REF!,DATA!#REF!,1,FALSE),"")</f>
        <v/>
      </c>
      <c r="D4215" s="16" t="str">
        <f>IFERROR(VLOOKUP(C4215,DATA!#REF!,2,FALSE),"")</f>
        <v/>
      </c>
      <c r="I4215" s="17"/>
      <c r="J4215" s="17"/>
      <c r="P4215" s="17"/>
      <c r="Q4215" s="17"/>
    </row>
    <row r="4216" spans="2:17">
      <c r="B4216" s="17"/>
      <c r="C4216" s="16" t="str">
        <f>IFERROR(VLOOKUP(DATA!#REF!,DATA!#REF!,1,FALSE),"")</f>
        <v/>
      </c>
      <c r="D4216" s="16" t="str">
        <f>IFERROR(VLOOKUP(C4216,DATA!#REF!,2,FALSE),"")</f>
        <v/>
      </c>
      <c r="I4216" s="17"/>
      <c r="J4216" s="17"/>
      <c r="P4216" s="17"/>
      <c r="Q4216" s="17"/>
    </row>
    <row r="4217" spans="2:17">
      <c r="B4217" s="17"/>
      <c r="C4217" s="16" t="str">
        <f>IFERROR(VLOOKUP(DATA!#REF!,DATA!#REF!,1,FALSE),"")</f>
        <v/>
      </c>
      <c r="D4217" s="16" t="str">
        <f>IFERROR(VLOOKUP(C4217,DATA!#REF!,2,FALSE),"")</f>
        <v/>
      </c>
      <c r="I4217" s="17"/>
      <c r="J4217" s="17"/>
      <c r="P4217" s="17"/>
      <c r="Q4217" s="17"/>
    </row>
    <row r="4218" spans="2:17">
      <c r="B4218" s="17"/>
      <c r="C4218" s="16" t="str">
        <f>IFERROR(VLOOKUP(DATA!#REF!,DATA!#REF!,1,FALSE),"")</f>
        <v/>
      </c>
      <c r="D4218" s="16" t="str">
        <f>IFERROR(VLOOKUP(C4218,DATA!#REF!,2,FALSE),"")</f>
        <v/>
      </c>
      <c r="I4218" s="17"/>
      <c r="J4218" s="17"/>
      <c r="P4218" s="17"/>
      <c r="Q4218" s="17"/>
    </row>
    <row r="4219" spans="2:17">
      <c r="B4219" s="17"/>
      <c r="C4219" s="16" t="str">
        <f>IFERROR(VLOOKUP(DATA!#REF!,DATA!#REF!,1,FALSE),"")</f>
        <v/>
      </c>
      <c r="D4219" s="16" t="str">
        <f>IFERROR(VLOOKUP(C4219,DATA!#REF!,2,FALSE),"")</f>
        <v/>
      </c>
      <c r="I4219" s="17"/>
      <c r="J4219" s="17"/>
      <c r="P4219" s="17"/>
      <c r="Q4219" s="17"/>
    </row>
    <row r="4220" spans="2:17">
      <c r="B4220" s="17"/>
      <c r="C4220" s="16" t="str">
        <f>IFERROR(VLOOKUP(DATA!#REF!,DATA!#REF!,1,FALSE),"")</f>
        <v/>
      </c>
      <c r="D4220" s="16" t="str">
        <f>IFERROR(VLOOKUP(C4220,DATA!#REF!,2,FALSE),"")</f>
        <v/>
      </c>
      <c r="I4220" s="17"/>
      <c r="J4220" s="17"/>
      <c r="P4220" s="17"/>
      <c r="Q4220" s="17"/>
    </row>
    <row r="4221" spans="2:17">
      <c r="B4221" s="17"/>
      <c r="C4221" s="16" t="str">
        <f>IFERROR(VLOOKUP(DATA!#REF!,DATA!#REF!,1,FALSE),"")</f>
        <v/>
      </c>
      <c r="D4221" s="16" t="str">
        <f>IFERROR(VLOOKUP(C4221,DATA!#REF!,2,FALSE),"")</f>
        <v/>
      </c>
      <c r="I4221" s="17"/>
      <c r="J4221" s="17"/>
      <c r="P4221" s="17"/>
      <c r="Q4221" s="17"/>
    </row>
    <row r="4222" spans="2:17">
      <c r="B4222" s="17"/>
      <c r="C4222" s="16" t="str">
        <f>IFERROR(VLOOKUP(DATA!#REF!,DATA!#REF!,1,FALSE),"")</f>
        <v/>
      </c>
      <c r="D4222" s="16" t="str">
        <f>IFERROR(VLOOKUP(C4222,DATA!#REF!,2,FALSE),"")</f>
        <v/>
      </c>
      <c r="I4222" s="17"/>
      <c r="J4222" s="17"/>
      <c r="P4222" s="17"/>
      <c r="Q4222" s="17"/>
    </row>
    <row r="4223" spans="2:17">
      <c r="B4223" s="17"/>
      <c r="C4223" s="16" t="str">
        <f>IFERROR(VLOOKUP(DATA!#REF!,DATA!#REF!,1,FALSE),"")</f>
        <v/>
      </c>
      <c r="D4223" s="16" t="str">
        <f>IFERROR(VLOOKUP(C4223,DATA!#REF!,2,FALSE),"")</f>
        <v/>
      </c>
      <c r="I4223" s="17"/>
      <c r="J4223" s="17"/>
      <c r="P4223" s="17"/>
      <c r="Q4223" s="17"/>
    </row>
    <row r="4224" spans="2:17">
      <c r="B4224" s="17"/>
      <c r="C4224" s="16" t="str">
        <f>IFERROR(VLOOKUP(DATA!#REF!,DATA!#REF!,1,FALSE),"")</f>
        <v/>
      </c>
      <c r="D4224" s="16" t="str">
        <f>IFERROR(VLOOKUP(C4224,DATA!#REF!,2,FALSE),"")</f>
        <v/>
      </c>
      <c r="I4224" s="17"/>
      <c r="J4224" s="17"/>
      <c r="P4224" s="17"/>
      <c r="Q4224" s="17"/>
    </row>
    <row r="4225" spans="2:17">
      <c r="B4225" s="17"/>
      <c r="C4225" s="16" t="str">
        <f>IFERROR(VLOOKUP(DATA!#REF!,DATA!#REF!,1,FALSE),"")</f>
        <v/>
      </c>
      <c r="D4225" s="16" t="str">
        <f>IFERROR(VLOOKUP(C4225,DATA!#REF!,2,FALSE),"")</f>
        <v/>
      </c>
      <c r="I4225" s="17"/>
      <c r="J4225" s="17"/>
      <c r="P4225" s="17"/>
      <c r="Q4225" s="17"/>
    </row>
    <row r="4226" spans="2:17">
      <c r="B4226" s="17"/>
      <c r="C4226" s="16" t="str">
        <f>IFERROR(VLOOKUP(DATA!#REF!,DATA!#REF!,1,FALSE),"")</f>
        <v/>
      </c>
      <c r="D4226" s="16" t="str">
        <f>IFERROR(VLOOKUP(C4226,DATA!#REF!,2,FALSE),"")</f>
        <v/>
      </c>
      <c r="I4226" s="17"/>
      <c r="J4226" s="17"/>
      <c r="P4226" s="17"/>
      <c r="Q4226" s="17"/>
    </row>
    <row r="4227" spans="2:17">
      <c r="B4227" s="17"/>
      <c r="C4227" s="16" t="str">
        <f>IFERROR(VLOOKUP(DATA!#REF!,DATA!#REF!,1,FALSE),"")</f>
        <v/>
      </c>
      <c r="D4227" s="16" t="str">
        <f>IFERROR(VLOOKUP(C4227,DATA!#REF!,2,FALSE),"")</f>
        <v/>
      </c>
      <c r="I4227" s="17"/>
      <c r="J4227" s="17"/>
      <c r="P4227" s="17"/>
      <c r="Q4227" s="17"/>
    </row>
    <row r="4228" spans="2:17">
      <c r="B4228" s="17"/>
      <c r="C4228" s="16" t="str">
        <f>IFERROR(VLOOKUP(DATA!#REF!,DATA!#REF!,1,FALSE),"")</f>
        <v/>
      </c>
      <c r="D4228" s="16" t="str">
        <f>IFERROR(VLOOKUP(C4228,DATA!#REF!,2,FALSE),"")</f>
        <v/>
      </c>
      <c r="I4228" s="17"/>
      <c r="J4228" s="17"/>
      <c r="P4228" s="17"/>
      <c r="Q4228" s="17"/>
    </row>
    <row r="4229" spans="2:17">
      <c r="B4229" s="17"/>
      <c r="C4229" s="16" t="str">
        <f>IFERROR(VLOOKUP(DATA!#REF!,DATA!#REF!,1,FALSE),"")</f>
        <v/>
      </c>
      <c r="D4229" s="16" t="str">
        <f>IFERROR(VLOOKUP(C4229,DATA!#REF!,2,FALSE),"")</f>
        <v/>
      </c>
      <c r="I4229" s="17"/>
      <c r="J4229" s="17"/>
      <c r="P4229" s="17"/>
      <c r="Q4229" s="17"/>
    </row>
    <row r="4230" spans="2:17">
      <c r="B4230" s="17"/>
      <c r="C4230" s="16" t="str">
        <f>IFERROR(VLOOKUP(DATA!#REF!,DATA!#REF!,1,FALSE),"")</f>
        <v/>
      </c>
      <c r="D4230" s="16" t="str">
        <f>IFERROR(VLOOKUP(C4230,DATA!#REF!,2,FALSE),"")</f>
        <v/>
      </c>
      <c r="I4230" s="17"/>
      <c r="J4230" s="17"/>
      <c r="P4230" s="17"/>
      <c r="Q4230" s="17"/>
    </row>
    <row r="4231" spans="2:17">
      <c r="B4231" s="17"/>
      <c r="C4231" s="16" t="str">
        <f>IFERROR(VLOOKUP(DATA!#REF!,DATA!#REF!,1,FALSE),"")</f>
        <v/>
      </c>
      <c r="D4231" s="16" t="str">
        <f>IFERROR(VLOOKUP(C4231,DATA!#REF!,2,FALSE),"")</f>
        <v/>
      </c>
      <c r="I4231" s="17"/>
      <c r="J4231" s="17"/>
      <c r="P4231" s="17"/>
      <c r="Q4231" s="17"/>
    </row>
    <row r="4232" spans="2:17">
      <c r="B4232" s="17"/>
      <c r="C4232" s="16" t="str">
        <f>IFERROR(VLOOKUP(DATA!#REF!,DATA!#REF!,1,FALSE),"")</f>
        <v/>
      </c>
      <c r="D4232" s="16" t="str">
        <f>IFERROR(VLOOKUP(C4232,DATA!#REF!,2,FALSE),"")</f>
        <v/>
      </c>
      <c r="I4232" s="17"/>
      <c r="J4232" s="17"/>
      <c r="P4232" s="17"/>
      <c r="Q4232" s="17"/>
    </row>
    <row r="4233" spans="2:17">
      <c r="B4233" s="17"/>
      <c r="C4233" s="16" t="str">
        <f>IFERROR(VLOOKUP(DATA!#REF!,DATA!#REF!,1,FALSE),"")</f>
        <v/>
      </c>
      <c r="D4233" s="16" t="str">
        <f>IFERROR(VLOOKUP(C4233,DATA!#REF!,2,FALSE),"")</f>
        <v/>
      </c>
      <c r="I4233" s="17"/>
      <c r="J4233" s="17"/>
      <c r="P4233" s="17"/>
      <c r="Q4233" s="17"/>
    </row>
    <row r="4234" spans="2:17">
      <c r="B4234" s="17"/>
      <c r="C4234" s="16" t="str">
        <f>IFERROR(VLOOKUP(DATA!#REF!,DATA!#REF!,1,FALSE),"")</f>
        <v/>
      </c>
      <c r="D4234" s="16" t="str">
        <f>IFERROR(VLOOKUP(C4234,DATA!#REF!,2,FALSE),"")</f>
        <v/>
      </c>
      <c r="I4234" s="17"/>
      <c r="J4234" s="17"/>
      <c r="P4234" s="17"/>
      <c r="Q4234" s="17"/>
    </row>
    <row r="4235" spans="2:17">
      <c r="B4235" s="17"/>
      <c r="C4235" s="16" t="str">
        <f>IFERROR(VLOOKUP(DATA!#REF!,DATA!#REF!,1,FALSE),"")</f>
        <v/>
      </c>
      <c r="D4235" s="16" t="str">
        <f>IFERROR(VLOOKUP(C4235,DATA!#REF!,2,FALSE),"")</f>
        <v/>
      </c>
      <c r="I4235" s="17"/>
      <c r="J4235" s="17"/>
      <c r="P4235" s="17"/>
      <c r="Q4235" s="17"/>
    </row>
    <row r="4236" spans="2:17">
      <c r="B4236" s="17"/>
      <c r="C4236" s="16" t="str">
        <f>IFERROR(VLOOKUP(DATA!#REF!,DATA!#REF!,1,FALSE),"")</f>
        <v/>
      </c>
      <c r="D4236" s="16" t="str">
        <f>IFERROR(VLOOKUP(C4236,DATA!#REF!,2,FALSE),"")</f>
        <v/>
      </c>
      <c r="I4236" s="17"/>
      <c r="J4236" s="17"/>
      <c r="P4236" s="17"/>
      <c r="Q4236" s="17"/>
    </row>
    <row r="4237" spans="2:17">
      <c r="B4237" s="17"/>
      <c r="C4237" s="16" t="str">
        <f>IFERROR(VLOOKUP(DATA!#REF!,DATA!#REF!,1,FALSE),"")</f>
        <v/>
      </c>
      <c r="D4237" s="16" t="str">
        <f>IFERROR(VLOOKUP(C4237,DATA!#REF!,2,FALSE),"")</f>
        <v/>
      </c>
      <c r="I4237" s="17"/>
      <c r="J4237" s="17"/>
      <c r="P4237" s="17"/>
      <c r="Q4237" s="17"/>
    </row>
    <row r="4238" spans="2:17">
      <c r="B4238" s="17"/>
      <c r="C4238" s="16" t="str">
        <f>IFERROR(VLOOKUP(DATA!#REF!,DATA!#REF!,1,FALSE),"")</f>
        <v/>
      </c>
      <c r="D4238" s="16" t="str">
        <f>IFERROR(VLOOKUP(C4238,DATA!#REF!,2,FALSE),"")</f>
        <v/>
      </c>
      <c r="I4238" s="17"/>
      <c r="J4238" s="17"/>
      <c r="P4238" s="17"/>
      <c r="Q4238" s="17"/>
    </row>
    <row r="4239" spans="2:17">
      <c r="B4239" s="17"/>
      <c r="C4239" s="16" t="str">
        <f>IFERROR(VLOOKUP(DATA!#REF!,DATA!#REF!,1,FALSE),"")</f>
        <v/>
      </c>
      <c r="D4239" s="16" t="str">
        <f>IFERROR(VLOOKUP(C4239,DATA!#REF!,2,FALSE),"")</f>
        <v/>
      </c>
      <c r="I4239" s="17"/>
      <c r="J4239" s="17"/>
      <c r="P4239" s="17"/>
      <c r="Q4239" s="17"/>
    </row>
    <row r="4240" spans="2:17">
      <c r="B4240" s="17"/>
      <c r="C4240" s="16" t="str">
        <f>IFERROR(VLOOKUP(DATA!#REF!,DATA!#REF!,1,FALSE),"")</f>
        <v/>
      </c>
      <c r="D4240" s="16" t="str">
        <f>IFERROR(VLOOKUP(C4240,DATA!#REF!,2,FALSE),"")</f>
        <v/>
      </c>
      <c r="I4240" s="17"/>
      <c r="J4240" s="17"/>
      <c r="P4240" s="17"/>
      <c r="Q4240" s="17"/>
    </row>
    <row r="4241" spans="2:17">
      <c r="B4241" s="17"/>
      <c r="C4241" s="16" t="str">
        <f>IFERROR(VLOOKUP(DATA!#REF!,DATA!#REF!,1,FALSE),"")</f>
        <v/>
      </c>
      <c r="D4241" s="16" t="str">
        <f>IFERROR(VLOOKUP(C4241,DATA!#REF!,2,FALSE),"")</f>
        <v/>
      </c>
      <c r="I4241" s="17"/>
      <c r="J4241" s="17"/>
      <c r="P4241" s="17"/>
      <c r="Q4241" s="17"/>
    </row>
    <row r="4242" spans="2:17">
      <c r="B4242" s="17"/>
      <c r="C4242" s="16" t="str">
        <f>IFERROR(VLOOKUP(DATA!#REF!,DATA!#REF!,1,FALSE),"")</f>
        <v/>
      </c>
      <c r="D4242" s="16" t="str">
        <f>IFERROR(VLOOKUP(C4242,DATA!#REF!,2,FALSE),"")</f>
        <v/>
      </c>
      <c r="I4242" s="17"/>
      <c r="J4242" s="17"/>
      <c r="P4242" s="17"/>
      <c r="Q4242" s="17"/>
    </row>
    <row r="4243" spans="2:17">
      <c r="B4243" s="17"/>
      <c r="C4243" s="16" t="str">
        <f>IFERROR(VLOOKUP(DATA!#REF!,DATA!#REF!,1,FALSE),"")</f>
        <v/>
      </c>
      <c r="D4243" s="16" t="str">
        <f>IFERROR(VLOOKUP(C4243,DATA!#REF!,2,FALSE),"")</f>
        <v/>
      </c>
      <c r="I4243" s="17"/>
      <c r="J4243" s="17"/>
      <c r="P4243" s="17"/>
      <c r="Q4243" s="17"/>
    </row>
    <row r="4244" spans="2:17">
      <c r="B4244" s="17"/>
      <c r="C4244" s="16" t="str">
        <f>IFERROR(VLOOKUP(DATA!#REF!,DATA!#REF!,1,FALSE),"")</f>
        <v/>
      </c>
      <c r="D4244" s="16" t="str">
        <f>IFERROR(VLOOKUP(C4244,DATA!#REF!,2,FALSE),"")</f>
        <v/>
      </c>
      <c r="I4244" s="17"/>
      <c r="J4244" s="17"/>
      <c r="P4244" s="17"/>
      <c r="Q4244" s="17"/>
    </row>
    <row r="4245" spans="2:17">
      <c r="B4245" s="17"/>
      <c r="C4245" s="16" t="str">
        <f>IFERROR(VLOOKUP(DATA!#REF!,DATA!#REF!,1,FALSE),"")</f>
        <v/>
      </c>
      <c r="D4245" s="16" t="str">
        <f>IFERROR(VLOOKUP(C4245,DATA!#REF!,2,FALSE),"")</f>
        <v/>
      </c>
      <c r="I4245" s="17"/>
      <c r="J4245" s="17"/>
      <c r="P4245" s="17"/>
      <c r="Q4245" s="17"/>
    </row>
    <row r="4246" spans="2:17">
      <c r="B4246" s="17"/>
      <c r="C4246" s="16" t="str">
        <f>IFERROR(VLOOKUP(DATA!#REF!,DATA!#REF!,1,FALSE),"")</f>
        <v/>
      </c>
      <c r="D4246" s="16" t="str">
        <f>IFERROR(VLOOKUP(C4246,DATA!#REF!,2,FALSE),"")</f>
        <v/>
      </c>
      <c r="I4246" s="17"/>
      <c r="J4246" s="17"/>
      <c r="P4246" s="17"/>
      <c r="Q4246" s="17"/>
    </row>
    <row r="4247" spans="2:17">
      <c r="B4247" s="17"/>
      <c r="C4247" s="16" t="str">
        <f>IFERROR(VLOOKUP(DATA!#REF!,DATA!#REF!,1,FALSE),"")</f>
        <v/>
      </c>
      <c r="D4247" s="16" t="str">
        <f>IFERROR(VLOOKUP(C4247,DATA!#REF!,2,FALSE),"")</f>
        <v/>
      </c>
      <c r="I4247" s="17"/>
      <c r="J4247" s="17"/>
      <c r="P4247" s="17"/>
      <c r="Q4247" s="17"/>
    </row>
    <row r="4248" spans="2:17">
      <c r="B4248" s="17"/>
      <c r="C4248" s="16" t="str">
        <f>IFERROR(VLOOKUP(DATA!#REF!,DATA!#REF!,1,FALSE),"")</f>
        <v/>
      </c>
      <c r="D4248" s="16" t="str">
        <f>IFERROR(VLOOKUP(C4248,DATA!#REF!,2,FALSE),"")</f>
        <v/>
      </c>
      <c r="I4248" s="17"/>
      <c r="J4248" s="17"/>
      <c r="P4248" s="17"/>
      <c r="Q4248" s="17"/>
    </row>
    <row r="4249" spans="2:17">
      <c r="B4249" s="17"/>
      <c r="C4249" s="16" t="str">
        <f>IFERROR(VLOOKUP(DATA!#REF!,DATA!#REF!,1,FALSE),"")</f>
        <v/>
      </c>
      <c r="D4249" s="16" t="str">
        <f>IFERROR(VLOOKUP(C4249,DATA!#REF!,2,FALSE),"")</f>
        <v/>
      </c>
      <c r="I4249" s="17"/>
      <c r="J4249" s="17"/>
      <c r="P4249" s="17"/>
      <c r="Q4249" s="17"/>
    </row>
    <row r="4250" spans="2:17">
      <c r="B4250" s="17"/>
      <c r="C4250" s="16" t="str">
        <f>IFERROR(VLOOKUP(DATA!#REF!,DATA!#REF!,1,FALSE),"")</f>
        <v/>
      </c>
      <c r="D4250" s="16" t="str">
        <f>IFERROR(VLOOKUP(C4250,DATA!#REF!,2,FALSE),"")</f>
        <v/>
      </c>
      <c r="I4250" s="17"/>
      <c r="J4250" s="17"/>
      <c r="P4250" s="17"/>
      <c r="Q4250" s="17"/>
    </row>
    <row r="4251" spans="2:17">
      <c r="B4251" s="17"/>
      <c r="C4251" s="16" t="str">
        <f>IFERROR(VLOOKUP(DATA!#REF!,DATA!#REF!,1,FALSE),"")</f>
        <v/>
      </c>
      <c r="D4251" s="16" t="str">
        <f>IFERROR(VLOOKUP(C4251,DATA!#REF!,2,FALSE),"")</f>
        <v/>
      </c>
      <c r="I4251" s="17"/>
      <c r="J4251" s="17"/>
      <c r="P4251" s="17"/>
      <c r="Q4251" s="17"/>
    </row>
    <row r="4252" spans="2:17">
      <c r="B4252" s="17"/>
      <c r="C4252" s="16" t="str">
        <f>IFERROR(VLOOKUP(DATA!#REF!,DATA!#REF!,1,FALSE),"")</f>
        <v/>
      </c>
      <c r="D4252" s="16" t="str">
        <f>IFERROR(VLOOKUP(C4252,DATA!#REF!,2,FALSE),"")</f>
        <v/>
      </c>
      <c r="I4252" s="17"/>
      <c r="J4252" s="17"/>
      <c r="P4252" s="17"/>
      <c r="Q4252" s="17"/>
    </row>
    <row r="4253" spans="2:17">
      <c r="B4253" s="17"/>
      <c r="C4253" s="16" t="str">
        <f>IFERROR(VLOOKUP(DATA!#REF!,DATA!#REF!,1,FALSE),"")</f>
        <v/>
      </c>
      <c r="D4253" s="16" t="str">
        <f>IFERROR(VLOOKUP(C4253,DATA!#REF!,2,FALSE),"")</f>
        <v/>
      </c>
      <c r="I4253" s="17"/>
      <c r="J4253" s="17"/>
      <c r="P4253" s="17"/>
      <c r="Q4253" s="17"/>
    </row>
    <row r="4254" spans="2:17">
      <c r="B4254" s="17"/>
      <c r="C4254" s="16" t="str">
        <f>IFERROR(VLOOKUP(DATA!#REF!,DATA!#REF!,1,FALSE),"")</f>
        <v/>
      </c>
      <c r="D4254" s="16" t="str">
        <f>IFERROR(VLOOKUP(C4254,DATA!#REF!,2,FALSE),"")</f>
        <v/>
      </c>
      <c r="I4254" s="17"/>
      <c r="J4254" s="17"/>
      <c r="P4254" s="17"/>
      <c r="Q4254" s="17"/>
    </row>
    <row r="4255" spans="2:17">
      <c r="B4255" s="17"/>
      <c r="C4255" s="16" t="str">
        <f>IFERROR(VLOOKUP(DATA!#REF!,DATA!#REF!,1,FALSE),"")</f>
        <v/>
      </c>
      <c r="D4255" s="16" t="str">
        <f>IFERROR(VLOOKUP(C4255,DATA!#REF!,2,FALSE),"")</f>
        <v/>
      </c>
      <c r="I4255" s="17"/>
      <c r="J4255" s="17"/>
      <c r="P4255" s="17"/>
      <c r="Q4255" s="17"/>
    </row>
    <row r="4256" spans="2:17">
      <c r="B4256" s="17"/>
      <c r="C4256" s="16" t="str">
        <f>IFERROR(VLOOKUP(DATA!#REF!,DATA!#REF!,1,FALSE),"")</f>
        <v/>
      </c>
      <c r="D4256" s="16" t="str">
        <f>IFERROR(VLOOKUP(C4256,DATA!#REF!,2,FALSE),"")</f>
        <v/>
      </c>
      <c r="I4256" s="17"/>
      <c r="J4256" s="17"/>
      <c r="P4256" s="17"/>
      <c r="Q4256" s="17"/>
    </row>
    <row r="4257" spans="2:17">
      <c r="B4257" s="17"/>
      <c r="C4257" s="16" t="str">
        <f>IFERROR(VLOOKUP(DATA!#REF!,DATA!#REF!,1,FALSE),"")</f>
        <v/>
      </c>
      <c r="D4257" s="16" t="str">
        <f>IFERROR(VLOOKUP(C4257,DATA!#REF!,2,FALSE),"")</f>
        <v/>
      </c>
      <c r="I4257" s="17"/>
      <c r="J4257" s="17"/>
      <c r="P4257" s="17"/>
      <c r="Q4257" s="17"/>
    </row>
    <row r="4258" spans="2:17">
      <c r="B4258" s="17"/>
      <c r="C4258" s="16" t="str">
        <f>IFERROR(VLOOKUP(DATA!#REF!,DATA!#REF!,1,FALSE),"")</f>
        <v/>
      </c>
      <c r="D4258" s="16" t="str">
        <f>IFERROR(VLOOKUP(C4258,DATA!#REF!,2,FALSE),"")</f>
        <v/>
      </c>
      <c r="I4258" s="17"/>
      <c r="J4258" s="17"/>
      <c r="P4258" s="17"/>
      <c r="Q4258" s="17"/>
    </row>
    <row r="4259" spans="2:17">
      <c r="B4259" s="17"/>
      <c r="C4259" s="16" t="str">
        <f>IFERROR(VLOOKUP(DATA!#REF!,DATA!#REF!,1,FALSE),"")</f>
        <v/>
      </c>
      <c r="D4259" s="16" t="str">
        <f>IFERROR(VLOOKUP(C4259,DATA!#REF!,2,FALSE),"")</f>
        <v/>
      </c>
      <c r="I4259" s="17"/>
      <c r="J4259" s="17"/>
      <c r="P4259" s="17"/>
      <c r="Q4259" s="17"/>
    </row>
    <row r="4260" spans="2:17">
      <c r="B4260" s="17"/>
      <c r="C4260" s="16" t="str">
        <f>IFERROR(VLOOKUP(DATA!#REF!,DATA!#REF!,1,FALSE),"")</f>
        <v/>
      </c>
      <c r="D4260" s="16" t="str">
        <f>IFERROR(VLOOKUP(C4260,DATA!#REF!,2,FALSE),"")</f>
        <v/>
      </c>
      <c r="I4260" s="17"/>
      <c r="J4260" s="17"/>
      <c r="P4260" s="17"/>
      <c r="Q4260" s="17"/>
    </row>
    <row r="4261" spans="2:17">
      <c r="B4261" s="17"/>
      <c r="C4261" s="16" t="str">
        <f>IFERROR(VLOOKUP(DATA!#REF!,DATA!#REF!,1,FALSE),"")</f>
        <v/>
      </c>
      <c r="D4261" s="16" t="str">
        <f>IFERROR(VLOOKUP(C4261,DATA!#REF!,2,FALSE),"")</f>
        <v/>
      </c>
      <c r="I4261" s="17"/>
      <c r="J4261" s="17"/>
      <c r="P4261" s="17"/>
      <c r="Q4261" s="17"/>
    </row>
    <row r="4262" spans="2:17">
      <c r="B4262" s="17"/>
      <c r="C4262" s="16" t="str">
        <f>IFERROR(VLOOKUP(DATA!#REF!,DATA!#REF!,1,FALSE),"")</f>
        <v/>
      </c>
      <c r="D4262" s="16" t="str">
        <f>IFERROR(VLOOKUP(C4262,DATA!#REF!,2,FALSE),"")</f>
        <v/>
      </c>
      <c r="I4262" s="17"/>
      <c r="J4262" s="17"/>
      <c r="P4262" s="17"/>
      <c r="Q4262" s="17"/>
    </row>
    <row r="4263" spans="2:17">
      <c r="B4263" s="17"/>
      <c r="C4263" s="16" t="str">
        <f>IFERROR(VLOOKUP(DATA!#REF!,DATA!#REF!,1,FALSE),"")</f>
        <v/>
      </c>
      <c r="D4263" s="16" t="str">
        <f>IFERROR(VLOOKUP(C4263,DATA!#REF!,2,FALSE),"")</f>
        <v/>
      </c>
      <c r="I4263" s="17"/>
      <c r="J4263" s="17"/>
      <c r="P4263" s="17"/>
      <c r="Q4263" s="17"/>
    </row>
    <row r="4264" spans="2:17">
      <c r="B4264" s="17"/>
      <c r="C4264" s="16" t="str">
        <f>IFERROR(VLOOKUP(DATA!#REF!,DATA!#REF!,1,FALSE),"")</f>
        <v/>
      </c>
      <c r="D4264" s="16" t="str">
        <f>IFERROR(VLOOKUP(C4264,DATA!#REF!,2,FALSE),"")</f>
        <v/>
      </c>
      <c r="I4264" s="17"/>
      <c r="J4264" s="17"/>
      <c r="P4264" s="17"/>
      <c r="Q4264" s="17"/>
    </row>
    <row r="4265" spans="2:17">
      <c r="B4265" s="17"/>
      <c r="C4265" s="16" t="str">
        <f>IFERROR(VLOOKUP(DATA!#REF!,DATA!#REF!,1,FALSE),"")</f>
        <v/>
      </c>
      <c r="D4265" s="16" t="str">
        <f>IFERROR(VLOOKUP(C4265,DATA!#REF!,2,FALSE),"")</f>
        <v/>
      </c>
      <c r="I4265" s="17"/>
      <c r="J4265" s="17"/>
      <c r="P4265" s="17"/>
      <c r="Q4265" s="17"/>
    </row>
    <row r="4266" spans="2:17">
      <c r="B4266" s="17"/>
      <c r="C4266" s="16" t="str">
        <f>IFERROR(VLOOKUP(DATA!#REF!,DATA!#REF!,1,FALSE),"")</f>
        <v/>
      </c>
      <c r="D4266" s="16" t="str">
        <f>IFERROR(VLOOKUP(C4266,DATA!#REF!,2,FALSE),"")</f>
        <v/>
      </c>
      <c r="I4266" s="17"/>
      <c r="J4266" s="17"/>
      <c r="P4266" s="17"/>
      <c r="Q4266" s="17"/>
    </row>
    <row r="4267" spans="2:17">
      <c r="B4267" s="17"/>
      <c r="C4267" s="16" t="str">
        <f>IFERROR(VLOOKUP(DATA!#REF!,DATA!#REF!,1,FALSE),"")</f>
        <v/>
      </c>
      <c r="D4267" s="16" t="str">
        <f>IFERROR(VLOOKUP(C4267,DATA!#REF!,2,FALSE),"")</f>
        <v/>
      </c>
      <c r="I4267" s="17"/>
      <c r="J4267" s="17"/>
      <c r="P4267" s="17"/>
      <c r="Q4267" s="17"/>
    </row>
    <row r="4268" spans="2:17">
      <c r="B4268" s="17"/>
      <c r="C4268" s="16" t="str">
        <f>IFERROR(VLOOKUP(DATA!#REF!,DATA!#REF!,1,FALSE),"")</f>
        <v/>
      </c>
      <c r="D4268" s="16" t="str">
        <f>IFERROR(VLOOKUP(C4268,DATA!#REF!,2,FALSE),"")</f>
        <v/>
      </c>
      <c r="I4268" s="17"/>
      <c r="J4268" s="17"/>
      <c r="P4268" s="17"/>
      <c r="Q4268" s="17"/>
    </row>
    <row r="4269" spans="2:17">
      <c r="B4269" s="17"/>
      <c r="C4269" s="16" t="str">
        <f>IFERROR(VLOOKUP(DATA!#REF!,DATA!#REF!,1,FALSE),"")</f>
        <v/>
      </c>
      <c r="D4269" s="16" t="str">
        <f>IFERROR(VLOOKUP(C4269,DATA!#REF!,2,FALSE),"")</f>
        <v/>
      </c>
      <c r="I4269" s="17"/>
      <c r="J4269" s="17"/>
      <c r="P4269" s="17"/>
      <c r="Q4269" s="17"/>
    </row>
    <row r="4270" spans="2:17">
      <c r="B4270" s="17"/>
      <c r="C4270" s="16" t="str">
        <f>IFERROR(VLOOKUP(DATA!#REF!,DATA!#REF!,1,FALSE),"")</f>
        <v/>
      </c>
      <c r="D4270" s="16" t="str">
        <f>IFERROR(VLOOKUP(C4270,DATA!#REF!,2,FALSE),"")</f>
        <v/>
      </c>
      <c r="I4270" s="17"/>
      <c r="J4270" s="17"/>
      <c r="P4270" s="17"/>
      <c r="Q4270" s="17"/>
    </row>
    <row r="4271" spans="2:17">
      <c r="B4271" s="17"/>
      <c r="C4271" s="16" t="str">
        <f>IFERROR(VLOOKUP(DATA!#REF!,DATA!#REF!,1,FALSE),"")</f>
        <v/>
      </c>
      <c r="D4271" s="16" t="str">
        <f>IFERROR(VLOOKUP(C4271,DATA!#REF!,2,FALSE),"")</f>
        <v/>
      </c>
      <c r="I4271" s="17"/>
      <c r="J4271" s="17"/>
      <c r="P4271" s="17"/>
      <c r="Q4271" s="17"/>
    </row>
    <row r="4272" spans="2:17">
      <c r="B4272" s="17"/>
      <c r="C4272" s="16" t="str">
        <f>IFERROR(VLOOKUP(DATA!#REF!,DATA!#REF!,1,FALSE),"")</f>
        <v/>
      </c>
      <c r="D4272" s="16" t="str">
        <f>IFERROR(VLOOKUP(C4272,DATA!#REF!,2,FALSE),"")</f>
        <v/>
      </c>
      <c r="I4272" s="17"/>
      <c r="J4272" s="17"/>
      <c r="P4272" s="17"/>
      <c r="Q4272" s="17"/>
    </row>
    <row r="4273" spans="2:17">
      <c r="B4273" s="17"/>
      <c r="C4273" s="16" t="str">
        <f>IFERROR(VLOOKUP(DATA!#REF!,DATA!#REF!,1,FALSE),"")</f>
        <v/>
      </c>
      <c r="D4273" s="16" t="str">
        <f>IFERROR(VLOOKUP(C4273,DATA!#REF!,2,FALSE),"")</f>
        <v/>
      </c>
      <c r="I4273" s="17"/>
      <c r="J4273" s="17"/>
      <c r="P4273" s="17"/>
      <c r="Q4273" s="17"/>
    </row>
    <row r="4274" spans="2:17">
      <c r="B4274" s="17"/>
      <c r="C4274" s="16" t="str">
        <f>IFERROR(VLOOKUP(DATA!#REF!,DATA!#REF!,1,FALSE),"")</f>
        <v/>
      </c>
      <c r="D4274" s="16" t="str">
        <f>IFERROR(VLOOKUP(C4274,DATA!#REF!,2,FALSE),"")</f>
        <v/>
      </c>
      <c r="I4274" s="17"/>
      <c r="J4274" s="17"/>
      <c r="P4274" s="17"/>
      <c r="Q4274" s="17"/>
    </row>
    <row r="4275" spans="2:17">
      <c r="B4275" s="17"/>
      <c r="C4275" s="16" t="str">
        <f>IFERROR(VLOOKUP(DATA!#REF!,DATA!#REF!,1,FALSE),"")</f>
        <v/>
      </c>
      <c r="D4275" s="16" t="str">
        <f>IFERROR(VLOOKUP(C4275,DATA!#REF!,2,FALSE),"")</f>
        <v/>
      </c>
      <c r="I4275" s="17"/>
      <c r="J4275" s="17"/>
      <c r="P4275" s="17"/>
      <c r="Q4275" s="17"/>
    </row>
    <row r="4276" spans="2:17">
      <c r="B4276" s="17"/>
      <c r="C4276" s="16" t="str">
        <f>IFERROR(VLOOKUP(DATA!#REF!,DATA!#REF!,1,FALSE),"")</f>
        <v/>
      </c>
      <c r="D4276" s="16" t="str">
        <f>IFERROR(VLOOKUP(C4276,DATA!#REF!,2,FALSE),"")</f>
        <v/>
      </c>
      <c r="I4276" s="17"/>
      <c r="J4276" s="17"/>
      <c r="P4276" s="17"/>
      <c r="Q4276" s="17"/>
    </row>
    <row r="4277" spans="2:17">
      <c r="B4277" s="17"/>
      <c r="C4277" s="16" t="str">
        <f>IFERROR(VLOOKUP(DATA!#REF!,DATA!#REF!,1,FALSE),"")</f>
        <v/>
      </c>
      <c r="D4277" s="16" t="str">
        <f>IFERROR(VLOOKUP(C4277,DATA!#REF!,2,FALSE),"")</f>
        <v/>
      </c>
      <c r="I4277" s="17"/>
      <c r="J4277" s="17"/>
      <c r="P4277" s="17"/>
      <c r="Q4277" s="17"/>
    </row>
    <row r="4278" spans="2:17">
      <c r="B4278" s="17"/>
      <c r="C4278" s="16" t="str">
        <f>IFERROR(VLOOKUP(DATA!#REF!,DATA!#REF!,1,FALSE),"")</f>
        <v/>
      </c>
      <c r="D4278" s="16" t="str">
        <f>IFERROR(VLOOKUP(C4278,DATA!#REF!,2,FALSE),"")</f>
        <v/>
      </c>
      <c r="I4278" s="17"/>
      <c r="J4278" s="17"/>
      <c r="P4278" s="17"/>
      <c r="Q4278" s="17"/>
    </row>
    <row r="4279" spans="2:17">
      <c r="B4279" s="17"/>
      <c r="C4279" s="16" t="str">
        <f>IFERROR(VLOOKUP(DATA!#REF!,DATA!#REF!,1,FALSE),"")</f>
        <v/>
      </c>
      <c r="D4279" s="16" t="str">
        <f>IFERROR(VLOOKUP(C4279,DATA!#REF!,2,FALSE),"")</f>
        <v/>
      </c>
      <c r="I4279" s="17"/>
      <c r="J4279" s="17"/>
      <c r="P4279" s="17"/>
      <c r="Q4279" s="17"/>
    </row>
    <row r="4280" spans="2:17">
      <c r="B4280" s="17"/>
      <c r="C4280" s="16" t="str">
        <f>IFERROR(VLOOKUP(DATA!#REF!,DATA!#REF!,1,FALSE),"")</f>
        <v/>
      </c>
      <c r="D4280" s="16" t="str">
        <f>IFERROR(VLOOKUP(C4280,DATA!#REF!,2,FALSE),"")</f>
        <v/>
      </c>
      <c r="I4280" s="17"/>
      <c r="J4280" s="17"/>
      <c r="P4280" s="17"/>
      <c r="Q4280" s="17"/>
    </row>
    <row r="4281" spans="2:17">
      <c r="B4281" s="17"/>
      <c r="C4281" s="16" t="str">
        <f>IFERROR(VLOOKUP(DATA!#REF!,DATA!#REF!,1,FALSE),"")</f>
        <v/>
      </c>
      <c r="D4281" s="16" t="str">
        <f>IFERROR(VLOOKUP(C4281,DATA!#REF!,2,FALSE),"")</f>
        <v/>
      </c>
      <c r="I4281" s="17"/>
      <c r="J4281" s="17"/>
      <c r="P4281" s="17"/>
      <c r="Q4281" s="17"/>
    </row>
    <row r="4282" spans="2:17">
      <c r="B4282" s="17"/>
      <c r="C4282" s="16" t="str">
        <f>IFERROR(VLOOKUP(DATA!#REF!,DATA!#REF!,1,FALSE),"")</f>
        <v/>
      </c>
      <c r="D4282" s="16" t="str">
        <f>IFERROR(VLOOKUP(C4282,DATA!#REF!,2,FALSE),"")</f>
        <v/>
      </c>
      <c r="I4282" s="17"/>
      <c r="J4282" s="17"/>
      <c r="P4282" s="17"/>
      <c r="Q4282" s="17"/>
    </row>
    <row r="4283" spans="2:17">
      <c r="B4283" s="17"/>
      <c r="C4283" s="16" t="str">
        <f>IFERROR(VLOOKUP(DATA!#REF!,DATA!#REF!,1,FALSE),"")</f>
        <v/>
      </c>
      <c r="D4283" s="16" t="str">
        <f>IFERROR(VLOOKUP(C4283,DATA!#REF!,2,FALSE),"")</f>
        <v/>
      </c>
      <c r="I4283" s="17"/>
      <c r="J4283" s="17"/>
      <c r="P4283" s="17"/>
      <c r="Q4283" s="17"/>
    </row>
    <row r="4284" spans="2:17">
      <c r="B4284" s="17"/>
      <c r="C4284" s="16" t="str">
        <f>IFERROR(VLOOKUP(DATA!#REF!,DATA!#REF!,1,FALSE),"")</f>
        <v/>
      </c>
      <c r="D4284" s="16" t="str">
        <f>IFERROR(VLOOKUP(C4284,DATA!#REF!,2,FALSE),"")</f>
        <v/>
      </c>
      <c r="I4284" s="17"/>
      <c r="J4284" s="17"/>
      <c r="P4284" s="17"/>
      <c r="Q4284" s="17"/>
    </row>
    <row r="4285" spans="2:17">
      <c r="B4285" s="17"/>
      <c r="C4285" s="16" t="str">
        <f>IFERROR(VLOOKUP(DATA!#REF!,DATA!#REF!,1,FALSE),"")</f>
        <v/>
      </c>
      <c r="D4285" s="16" t="str">
        <f>IFERROR(VLOOKUP(C4285,DATA!#REF!,2,FALSE),"")</f>
        <v/>
      </c>
      <c r="I4285" s="17"/>
      <c r="J4285" s="17"/>
      <c r="P4285" s="17"/>
      <c r="Q4285" s="17"/>
    </row>
    <row r="4286" spans="2:17">
      <c r="B4286" s="17"/>
      <c r="C4286" s="16" t="str">
        <f>IFERROR(VLOOKUP(DATA!#REF!,DATA!#REF!,1,FALSE),"")</f>
        <v/>
      </c>
      <c r="D4286" s="16" t="str">
        <f>IFERROR(VLOOKUP(C4286,DATA!#REF!,2,FALSE),"")</f>
        <v/>
      </c>
      <c r="I4286" s="17"/>
      <c r="J4286" s="17"/>
      <c r="P4286" s="17"/>
      <c r="Q4286" s="17"/>
    </row>
    <row r="4287" spans="2:17">
      <c r="B4287" s="17"/>
      <c r="C4287" s="16" t="str">
        <f>IFERROR(VLOOKUP(DATA!#REF!,DATA!#REF!,1,FALSE),"")</f>
        <v/>
      </c>
      <c r="D4287" s="16" t="str">
        <f>IFERROR(VLOOKUP(C4287,DATA!#REF!,2,FALSE),"")</f>
        <v/>
      </c>
      <c r="I4287" s="17"/>
      <c r="J4287" s="17"/>
      <c r="P4287" s="17"/>
      <c r="Q4287" s="17"/>
    </row>
    <row r="4288" spans="2:17">
      <c r="B4288" s="17"/>
      <c r="C4288" s="16" t="str">
        <f>IFERROR(VLOOKUP(DATA!#REF!,DATA!#REF!,1,FALSE),"")</f>
        <v/>
      </c>
      <c r="D4288" s="16" t="str">
        <f>IFERROR(VLOOKUP(C4288,DATA!#REF!,2,FALSE),"")</f>
        <v/>
      </c>
      <c r="I4288" s="17"/>
      <c r="J4288" s="17"/>
      <c r="P4288" s="17"/>
      <c r="Q4288" s="17"/>
    </row>
    <row r="4289" spans="2:17">
      <c r="B4289" s="17"/>
      <c r="C4289" s="16" t="str">
        <f>IFERROR(VLOOKUP(DATA!#REF!,DATA!#REF!,1,FALSE),"")</f>
        <v/>
      </c>
      <c r="D4289" s="16" t="str">
        <f>IFERROR(VLOOKUP(C4289,DATA!#REF!,2,FALSE),"")</f>
        <v/>
      </c>
      <c r="I4289" s="17"/>
      <c r="J4289" s="17"/>
      <c r="P4289" s="17"/>
      <c r="Q4289" s="17"/>
    </row>
    <row r="4290" spans="2:17">
      <c r="B4290" s="17"/>
      <c r="C4290" s="16" t="str">
        <f>IFERROR(VLOOKUP(DATA!#REF!,DATA!#REF!,1,FALSE),"")</f>
        <v/>
      </c>
      <c r="D4290" s="16" t="str">
        <f>IFERROR(VLOOKUP(C4290,DATA!#REF!,2,FALSE),"")</f>
        <v/>
      </c>
      <c r="I4290" s="17"/>
      <c r="J4290" s="17"/>
      <c r="P4290" s="17"/>
      <c r="Q4290" s="17"/>
    </row>
    <row r="4291" spans="2:17">
      <c r="B4291" s="17"/>
      <c r="C4291" s="16" t="str">
        <f>IFERROR(VLOOKUP(DATA!#REF!,DATA!#REF!,1,FALSE),"")</f>
        <v/>
      </c>
      <c r="D4291" s="16" t="str">
        <f>IFERROR(VLOOKUP(C4291,DATA!#REF!,2,FALSE),"")</f>
        <v/>
      </c>
      <c r="I4291" s="17"/>
      <c r="J4291" s="17"/>
      <c r="P4291" s="17"/>
      <c r="Q4291" s="17"/>
    </row>
    <row r="4292" spans="2:17">
      <c r="B4292" s="17"/>
      <c r="C4292" s="16" t="str">
        <f>IFERROR(VLOOKUP(DATA!#REF!,DATA!#REF!,1,FALSE),"")</f>
        <v/>
      </c>
      <c r="D4292" s="16" t="str">
        <f>IFERROR(VLOOKUP(C4292,DATA!#REF!,2,FALSE),"")</f>
        <v/>
      </c>
      <c r="I4292" s="17"/>
      <c r="J4292" s="17"/>
      <c r="P4292" s="17"/>
      <c r="Q4292" s="17"/>
    </row>
    <row r="4293" spans="2:17">
      <c r="B4293" s="17"/>
      <c r="C4293" s="16" t="str">
        <f>IFERROR(VLOOKUP(DATA!#REF!,DATA!#REF!,1,FALSE),"")</f>
        <v/>
      </c>
      <c r="D4293" s="16" t="str">
        <f>IFERROR(VLOOKUP(C4293,DATA!#REF!,2,FALSE),"")</f>
        <v/>
      </c>
      <c r="I4293" s="17"/>
      <c r="J4293" s="17"/>
      <c r="P4293" s="17"/>
      <c r="Q4293" s="17"/>
    </row>
    <row r="4294" spans="2:17">
      <c r="B4294" s="17"/>
      <c r="C4294" s="16" t="str">
        <f>IFERROR(VLOOKUP(DATA!#REF!,DATA!#REF!,1,FALSE),"")</f>
        <v/>
      </c>
      <c r="D4294" s="16" t="str">
        <f>IFERROR(VLOOKUP(C4294,DATA!#REF!,2,FALSE),"")</f>
        <v/>
      </c>
      <c r="I4294" s="17"/>
      <c r="J4294" s="17"/>
      <c r="P4294" s="17"/>
      <c r="Q4294" s="17"/>
    </row>
    <row r="4295" spans="2:17">
      <c r="B4295" s="17"/>
      <c r="C4295" s="16" t="str">
        <f>IFERROR(VLOOKUP(DATA!#REF!,DATA!#REF!,1,FALSE),"")</f>
        <v/>
      </c>
      <c r="D4295" s="16" t="str">
        <f>IFERROR(VLOOKUP(C4295,DATA!#REF!,2,FALSE),"")</f>
        <v/>
      </c>
      <c r="I4295" s="17"/>
      <c r="J4295" s="17"/>
      <c r="P4295" s="17"/>
      <c r="Q4295" s="17"/>
    </row>
    <row r="4296" spans="2:17">
      <c r="B4296" s="17"/>
      <c r="C4296" s="16" t="str">
        <f>IFERROR(VLOOKUP(DATA!#REF!,DATA!#REF!,1,FALSE),"")</f>
        <v/>
      </c>
      <c r="D4296" s="16" t="str">
        <f>IFERROR(VLOOKUP(C4296,DATA!#REF!,2,FALSE),"")</f>
        <v/>
      </c>
      <c r="I4296" s="17"/>
      <c r="J4296" s="17"/>
      <c r="P4296" s="17"/>
      <c r="Q4296" s="17"/>
    </row>
    <row r="4297" spans="2:17">
      <c r="B4297" s="17"/>
      <c r="C4297" s="16" t="str">
        <f>IFERROR(VLOOKUP(DATA!#REF!,DATA!#REF!,1,FALSE),"")</f>
        <v/>
      </c>
      <c r="D4297" s="16" t="str">
        <f>IFERROR(VLOOKUP(C4297,DATA!#REF!,2,FALSE),"")</f>
        <v/>
      </c>
      <c r="I4297" s="17"/>
      <c r="J4297" s="17"/>
      <c r="P4297" s="17"/>
      <c r="Q4297" s="17"/>
    </row>
    <row r="4298" spans="2:17">
      <c r="B4298" s="17"/>
      <c r="C4298" s="16" t="str">
        <f>IFERROR(VLOOKUP(DATA!#REF!,DATA!#REF!,1,FALSE),"")</f>
        <v/>
      </c>
      <c r="D4298" s="16" t="str">
        <f>IFERROR(VLOOKUP(C4298,DATA!#REF!,2,FALSE),"")</f>
        <v/>
      </c>
      <c r="I4298" s="17"/>
      <c r="J4298" s="17"/>
      <c r="P4298" s="17"/>
      <c r="Q4298" s="17"/>
    </row>
    <row r="4299" spans="2:17">
      <c r="B4299" s="17"/>
      <c r="C4299" s="16" t="str">
        <f>IFERROR(VLOOKUP(DATA!#REF!,DATA!#REF!,1,FALSE),"")</f>
        <v/>
      </c>
      <c r="D4299" s="16" t="str">
        <f>IFERROR(VLOOKUP(C4299,DATA!#REF!,2,FALSE),"")</f>
        <v/>
      </c>
      <c r="I4299" s="17"/>
      <c r="J4299" s="17"/>
      <c r="P4299" s="17"/>
      <c r="Q4299" s="17"/>
    </row>
    <row r="4300" spans="2:17">
      <c r="B4300" s="17"/>
      <c r="C4300" s="16" t="str">
        <f>IFERROR(VLOOKUP(DATA!#REF!,DATA!#REF!,1,FALSE),"")</f>
        <v/>
      </c>
      <c r="D4300" s="16" t="str">
        <f>IFERROR(VLOOKUP(C4300,DATA!#REF!,2,FALSE),"")</f>
        <v/>
      </c>
      <c r="I4300" s="17"/>
      <c r="J4300" s="17"/>
      <c r="P4300" s="17"/>
      <c r="Q4300" s="17"/>
    </row>
    <row r="4301" spans="2:17">
      <c r="B4301" s="17"/>
      <c r="C4301" s="16" t="str">
        <f>IFERROR(VLOOKUP(DATA!#REF!,DATA!#REF!,1,FALSE),"")</f>
        <v/>
      </c>
      <c r="D4301" s="16" t="str">
        <f>IFERROR(VLOOKUP(C4301,DATA!#REF!,2,FALSE),"")</f>
        <v/>
      </c>
      <c r="I4301" s="17"/>
      <c r="J4301" s="17"/>
      <c r="P4301" s="17"/>
      <c r="Q4301" s="17"/>
    </row>
    <row r="4302" spans="2:17">
      <c r="B4302" s="17"/>
      <c r="C4302" s="16" t="str">
        <f>IFERROR(VLOOKUP(DATA!#REF!,DATA!#REF!,1,FALSE),"")</f>
        <v/>
      </c>
      <c r="D4302" s="16" t="str">
        <f>IFERROR(VLOOKUP(C4302,DATA!#REF!,2,FALSE),"")</f>
        <v/>
      </c>
      <c r="I4302" s="17"/>
      <c r="J4302" s="17"/>
      <c r="P4302" s="17"/>
      <c r="Q4302" s="17"/>
    </row>
    <row r="4303" spans="2:17">
      <c r="B4303" s="17"/>
      <c r="C4303" s="16" t="str">
        <f>IFERROR(VLOOKUP(DATA!#REF!,DATA!#REF!,1,FALSE),"")</f>
        <v/>
      </c>
      <c r="D4303" s="16" t="str">
        <f>IFERROR(VLOOKUP(C4303,DATA!#REF!,2,FALSE),"")</f>
        <v/>
      </c>
      <c r="I4303" s="17"/>
      <c r="J4303" s="17"/>
      <c r="P4303" s="17"/>
      <c r="Q4303" s="17"/>
    </row>
    <row r="4304" spans="2:17">
      <c r="B4304" s="17"/>
      <c r="C4304" s="16" t="str">
        <f>IFERROR(VLOOKUP(DATA!#REF!,DATA!#REF!,1,FALSE),"")</f>
        <v/>
      </c>
      <c r="D4304" s="16" t="str">
        <f>IFERROR(VLOOKUP(C4304,DATA!#REF!,2,FALSE),"")</f>
        <v/>
      </c>
      <c r="I4304" s="17"/>
      <c r="J4304" s="17"/>
      <c r="P4304" s="17"/>
      <c r="Q4304" s="17"/>
    </row>
    <row r="4305" spans="2:17">
      <c r="B4305" s="17"/>
      <c r="C4305" s="16" t="str">
        <f>IFERROR(VLOOKUP(DATA!#REF!,DATA!#REF!,1,FALSE),"")</f>
        <v/>
      </c>
      <c r="D4305" s="16" t="str">
        <f>IFERROR(VLOOKUP(C4305,DATA!#REF!,2,FALSE),"")</f>
        <v/>
      </c>
      <c r="I4305" s="17"/>
      <c r="J4305" s="17"/>
      <c r="P4305" s="17"/>
      <c r="Q4305" s="17"/>
    </row>
    <row r="4306" spans="2:17">
      <c r="B4306" s="17"/>
      <c r="C4306" s="16" t="str">
        <f>IFERROR(VLOOKUP(DATA!#REF!,DATA!#REF!,1,FALSE),"")</f>
        <v/>
      </c>
      <c r="D4306" s="16" t="str">
        <f>IFERROR(VLOOKUP(C4306,DATA!#REF!,2,FALSE),"")</f>
        <v/>
      </c>
      <c r="I4306" s="17"/>
      <c r="J4306" s="17"/>
      <c r="P4306" s="17"/>
      <c r="Q4306" s="17"/>
    </row>
    <row r="4307" spans="2:17">
      <c r="B4307" s="17"/>
      <c r="C4307" s="16" t="str">
        <f>IFERROR(VLOOKUP(DATA!#REF!,DATA!#REF!,1,FALSE),"")</f>
        <v/>
      </c>
      <c r="D4307" s="16" t="str">
        <f>IFERROR(VLOOKUP(C4307,DATA!#REF!,2,FALSE),"")</f>
        <v/>
      </c>
      <c r="I4307" s="17"/>
      <c r="J4307" s="17"/>
      <c r="P4307" s="17"/>
      <c r="Q4307" s="17"/>
    </row>
    <row r="4308" spans="2:17">
      <c r="B4308" s="17"/>
      <c r="C4308" s="16" t="str">
        <f>IFERROR(VLOOKUP(DATA!#REF!,DATA!#REF!,1,FALSE),"")</f>
        <v/>
      </c>
      <c r="D4308" s="16" t="str">
        <f>IFERROR(VLOOKUP(C4308,DATA!#REF!,2,FALSE),"")</f>
        <v/>
      </c>
      <c r="I4308" s="17"/>
      <c r="J4308" s="17"/>
      <c r="P4308" s="17"/>
      <c r="Q4308" s="17"/>
    </row>
    <row r="4309" spans="2:17">
      <c r="B4309" s="17"/>
      <c r="C4309" s="16" t="str">
        <f>IFERROR(VLOOKUP(DATA!#REF!,DATA!#REF!,1,FALSE),"")</f>
        <v/>
      </c>
      <c r="D4309" s="16" t="str">
        <f>IFERROR(VLOOKUP(C4309,DATA!#REF!,2,FALSE),"")</f>
        <v/>
      </c>
      <c r="I4309" s="17"/>
      <c r="J4309" s="17"/>
      <c r="P4309" s="17"/>
      <c r="Q4309" s="17"/>
    </row>
    <row r="4310" spans="2:17">
      <c r="B4310" s="17"/>
      <c r="C4310" s="16" t="str">
        <f>IFERROR(VLOOKUP(DATA!#REF!,DATA!#REF!,1,FALSE),"")</f>
        <v/>
      </c>
      <c r="D4310" s="16" t="str">
        <f>IFERROR(VLOOKUP(C4310,DATA!#REF!,2,FALSE),"")</f>
        <v/>
      </c>
      <c r="I4310" s="17"/>
      <c r="J4310" s="17"/>
      <c r="P4310" s="17"/>
      <c r="Q4310" s="17"/>
    </row>
    <row r="4311" spans="2:17">
      <c r="B4311" s="17"/>
      <c r="C4311" s="16" t="str">
        <f>IFERROR(VLOOKUP(DATA!#REF!,DATA!#REF!,1,FALSE),"")</f>
        <v/>
      </c>
      <c r="D4311" s="16" t="str">
        <f>IFERROR(VLOOKUP(C4311,DATA!#REF!,2,FALSE),"")</f>
        <v/>
      </c>
      <c r="I4311" s="17"/>
      <c r="J4311" s="17"/>
      <c r="P4311" s="17"/>
      <c r="Q4311" s="17"/>
    </row>
    <row r="4312" spans="2:17">
      <c r="B4312" s="17"/>
      <c r="C4312" s="16" t="str">
        <f>IFERROR(VLOOKUP(DATA!#REF!,DATA!#REF!,1,FALSE),"")</f>
        <v/>
      </c>
      <c r="D4312" s="16" t="str">
        <f>IFERROR(VLOOKUP(C4312,DATA!#REF!,2,FALSE),"")</f>
        <v/>
      </c>
      <c r="I4312" s="17"/>
      <c r="J4312" s="17"/>
      <c r="P4312" s="17"/>
      <c r="Q4312" s="17"/>
    </row>
    <row r="4313" spans="2:17">
      <c r="B4313" s="17"/>
      <c r="C4313" s="16" t="str">
        <f>IFERROR(VLOOKUP(DATA!#REF!,DATA!#REF!,1,FALSE),"")</f>
        <v/>
      </c>
      <c r="D4313" s="16" t="str">
        <f>IFERROR(VLOOKUP(C4313,DATA!#REF!,2,FALSE),"")</f>
        <v/>
      </c>
      <c r="I4313" s="17"/>
      <c r="J4313" s="17"/>
      <c r="P4313" s="17"/>
      <c r="Q4313" s="17"/>
    </row>
    <row r="4314" spans="2:17">
      <c r="B4314" s="17"/>
      <c r="C4314" s="16" t="str">
        <f>IFERROR(VLOOKUP(DATA!#REF!,DATA!#REF!,1,FALSE),"")</f>
        <v/>
      </c>
      <c r="D4314" s="16" t="str">
        <f>IFERROR(VLOOKUP(C4314,DATA!#REF!,2,FALSE),"")</f>
        <v/>
      </c>
      <c r="I4314" s="17"/>
      <c r="J4314" s="17"/>
      <c r="P4314" s="17"/>
      <c r="Q4314" s="17"/>
    </row>
    <row r="4315" spans="2:17">
      <c r="B4315" s="17"/>
      <c r="C4315" s="16" t="str">
        <f>IFERROR(VLOOKUP(DATA!#REF!,DATA!#REF!,1,FALSE),"")</f>
        <v/>
      </c>
      <c r="D4315" s="16" t="str">
        <f>IFERROR(VLOOKUP(C4315,DATA!#REF!,2,FALSE),"")</f>
        <v/>
      </c>
      <c r="I4315" s="17"/>
      <c r="J4315" s="17"/>
      <c r="P4315" s="17"/>
      <c r="Q4315" s="17"/>
    </row>
    <row r="4316" spans="2:17">
      <c r="B4316" s="17"/>
      <c r="C4316" s="16" t="str">
        <f>IFERROR(VLOOKUP(DATA!#REF!,DATA!#REF!,1,FALSE),"")</f>
        <v/>
      </c>
      <c r="D4316" s="16" t="str">
        <f>IFERROR(VLOOKUP(C4316,DATA!#REF!,2,FALSE),"")</f>
        <v/>
      </c>
      <c r="I4316" s="17"/>
      <c r="J4316" s="17"/>
      <c r="P4316" s="17"/>
      <c r="Q4316" s="17"/>
    </row>
    <row r="4317" spans="2:17">
      <c r="B4317" s="17"/>
      <c r="C4317" s="16" t="str">
        <f>IFERROR(VLOOKUP(DATA!#REF!,DATA!#REF!,1,FALSE),"")</f>
        <v/>
      </c>
      <c r="D4317" s="16" t="str">
        <f>IFERROR(VLOOKUP(C4317,DATA!#REF!,2,FALSE),"")</f>
        <v/>
      </c>
      <c r="I4317" s="17"/>
      <c r="J4317" s="17"/>
      <c r="P4317" s="17"/>
      <c r="Q4317" s="17"/>
    </row>
    <row r="4318" spans="2:17">
      <c r="B4318" s="17"/>
      <c r="C4318" s="16" t="str">
        <f>IFERROR(VLOOKUP(DATA!#REF!,DATA!#REF!,1,FALSE),"")</f>
        <v/>
      </c>
      <c r="D4318" s="16" t="str">
        <f>IFERROR(VLOOKUP(C4318,DATA!#REF!,2,FALSE),"")</f>
        <v/>
      </c>
      <c r="I4318" s="17"/>
      <c r="J4318" s="17"/>
      <c r="P4318" s="17"/>
      <c r="Q4318" s="17"/>
    </row>
    <row r="4319" spans="2:17">
      <c r="B4319" s="17"/>
      <c r="C4319" s="16" t="str">
        <f>IFERROR(VLOOKUP(DATA!#REF!,DATA!#REF!,1,FALSE),"")</f>
        <v/>
      </c>
      <c r="D4319" s="16" t="str">
        <f>IFERROR(VLOOKUP(C4319,DATA!#REF!,2,FALSE),"")</f>
        <v/>
      </c>
      <c r="I4319" s="17"/>
      <c r="J4319" s="17"/>
      <c r="P4319" s="17"/>
      <c r="Q4319" s="17"/>
    </row>
    <row r="4320" spans="2:17">
      <c r="B4320" s="17"/>
      <c r="C4320" s="16" t="str">
        <f>IFERROR(VLOOKUP(DATA!#REF!,DATA!#REF!,1,FALSE),"")</f>
        <v/>
      </c>
      <c r="D4320" s="16" t="str">
        <f>IFERROR(VLOOKUP(C4320,DATA!#REF!,2,FALSE),"")</f>
        <v/>
      </c>
      <c r="I4320" s="17"/>
      <c r="J4320" s="17"/>
      <c r="P4320" s="17"/>
      <c r="Q4320" s="17"/>
    </row>
    <row r="4321" spans="2:17">
      <c r="B4321" s="17"/>
      <c r="C4321" s="16" t="str">
        <f>IFERROR(VLOOKUP(DATA!#REF!,DATA!#REF!,1,FALSE),"")</f>
        <v/>
      </c>
      <c r="D4321" s="16" t="str">
        <f>IFERROR(VLOOKUP(C4321,DATA!#REF!,2,FALSE),"")</f>
        <v/>
      </c>
      <c r="I4321" s="17"/>
      <c r="J4321" s="17"/>
      <c r="P4321" s="17"/>
      <c r="Q4321" s="17"/>
    </row>
    <row r="4322" spans="2:17">
      <c r="B4322" s="17"/>
      <c r="C4322" s="16" t="str">
        <f>IFERROR(VLOOKUP(DATA!#REF!,DATA!#REF!,1,FALSE),"")</f>
        <v/>
      </c>
      <c r="D4322" s="16" t="str">
        <f>IFERROR(VLOOKUP(C4322,DATA!#REF!,2,FALSE),"")</f>
        <v/>
      </c>
      <c r="I4322" s="17"/>
      <c r="J4322" s="17"/>
      <c r="P4322" s="17"/>
      <c r="Q4322" s="17"/>
    </row>
    <row r="4323" spans="2:17">
      <c r="B4323" s="17"/>
      <c r="C4323" s="16" t="str">
        <f>IFERROR(VLOOKUP(DATA!#REF!,DATA!#REF!,1,FALSE),"")</f>
        <v/>
      </c>
      <c r="D4323" s="16" t="str">
        <f>IFERROR(VLOOKUP(C4323,DATA!#REF!,2,FALSE),"")</f>
        <v/>
      </c>
      <c r="I4323" s="17"/>
      <c r="J4323" s="17"/>
      <c r="P4323" s="17"/>
      <c r="Q4323" s="17"/>
    </row>
    <row r="4324" spans="2:17">
      <c r="B4324" s="17"/>
      <c r="C4324" s="16" t="str">
        <f>IFERROR(VLOOKUP(DATA!#REF!,DATA!#REF!,1,FALSE),"")</f>
        <v/>
      </c>
      <c r="D4324" s="16" t="str">
        <f>IFERROR(VLOOKUP(C4324,DATA!#REF!,2,FALSE),"")</f>
        <v/>
      </c>
      <c r="I4324" s="17"/>
      <c r="J4324" s="17"/>
      <c r="P4324" s="17"/>
      <c r="Q4324" s="17"/>
    </row>
    <row r="4325" spans="2:17">
      <c r="B4325" s="17"/>
      <c r="C4325" s="16" t="str">
        <f>IFERROR(VLOOKUP(DATA!#REF!,DATA!#REF!,1,FALSE),"")</f>
        <v/>
      </c>
      <c r="D4325" s="16" t="str">
        <f>IFERROR(VLOOKUP(C4325,DATA!#REF!,2,FALSE),"")</f>
        <v/>
      </c>
      <c r="I4325" s="17"/>
      <c r="J4325" s="17"/>
      <c r="P4325" s="17"/>
      <c r="Q4325" s="17"/>
    </row>
    <row r="4326" spans="2:17">
      <c r="B4326" s="17"/>
      <c r="C4326" s="16" t="str">
        <f>IFERROR(VLOOKUP(DATA!#REF!,DATA!#REF!,1,FALSE),"")</f>
        <v/>
      </c>
      <c r="D4326" s="16" t="str">
        <f>IFERROR(VLOOKUP(C4326,DATA!#REF!,2,FALSE),"")</f>
        <v/>
      </c>
      <c r="I4326" s="17"/>
      <c r="J4326" s="17"/>
      <c r="P4326" s="17"/>
      <c r="Q4326" s="17"/>
    </row>
    <row r="4327" spans="2:17">
      <c r="B4327" s="17"/>
      <c r="C4327" s="16" t="str">
        <f>IFERROR(VLOOKUP(DATA!#REF!,DATA!#REF!,1,FALSE),"")</f>
        <v/>
      </c>
      <c r="D4327" s="16" t="str">
        <f>IFERROR(VLOOKUP(C4327,DATA!#REF!,2,FALSE),"")</f>
        <v/>
      </c>
      <c r="I4327" s="17"/>
      <c r="J4327" s="17"/>
      <c r="P4327" s="17"/>
      <c r="Q4327" s="17"/>
    </row>
    <row r="4328" spans="2:17">
      <c r="B4328" s="17"/>
      <c r="C4328" s="16" t="str">
        <f>IFERROR(VLOOKUP(DATA!#REF!,DATA!#REF!,1,FALSE),"")</f>
        <v/>
      </c>
      <c r="D4328" s="16" t="str">
        <f>IFERROR(VLOOKUP(C4328,DATA!#REF!,2,FALSE),"")</f>
        <v/>
      </c>
      <c r="I4328" s="17"/>
      <c r="J4328" s="17"/>
      <c r="P4328" s="17"/>
      <c r="Q4328" s="17"/>
    </row>
    <row r="4329" spans="2:17">
      <c r="B4329" s="17"/>
      <c r="C4329" s="16" t="str">
        <f>IFERROR(VLOOKUP(DATA!#REF!,DATA!#REF!,1,FALSE),"")</f>
        <v/>
      </c>
      <c r="D4329" s="16" t="str">
        <f>IFERROR(VLOOKUP(C4329,DATA!#REF!,2,FALSE),"")</f>
        <v/>
      </c>
      <c r="I4329" s="17"/>
      <c r="J4329" s="17"/>
      <c r="P4329" s="17"/>
      <c r="Q4329" s="17"/>
    </row>
    <row r="4330" spans="2:17">
      <c r="B4330" s="17"/>
      <c r="C4330" s="16" t="str">
        <f>IFERROR(VLOOKUP(DATA!#REF!,DATA!#REF!,1,FALSE),"")</f>
        <v/>
      </c>
      <c r="D4330" s="16" t="str">
        <f>IFERROR(VLOOKUP(C4330,DATA!#REF!,2,FALSE),"")</f>
        <v/>
      </c>
      <c r="I4330" s="17"/>
      <c r="J4330" s="17"/>
      <c r="P4330" s="17"/>
      <c r="Q4330" s="17"/>
    </row>
    <row r="4331" spans="2:17">
      <c r="B4331" s="17"/>
      <c r="C4331" s="16" t="str">
        <f>IFERROR(VLOOKUP(DATA!#REF!,DATA!#REF!,1,FALSE),"")</f>
        <v/>
      </c>
      <c r="D4331" s="16" t="str">
        <f>IFERROR(VLOOKUP(C4331,DATA!#REF!,2,FALSE),"")</f>
        <v/>
      </c>
      <c r="I4331" s="17"/>
      <c r="J4331" s="17"/>
      <c r="P4331" s="17"/>
      <c r="Q4331" s="17"/>
    </row>
    <row r="4332" spans="2:17">
      <c r="B4332" s="17"/>
      <c r="C4332" s="16" t="str">
        <f>IFERROR(VLOOKUP(DATA!#REF!,DATA!#REF!,1,FALSE),"")</f>
        <v/>
      </c>
      <c r="D4332" s="16" t="str">
        <f>IFERROR(VLOOKUP(C4332,DATA!#REF!,2,FALSE),"")</f>
        <v/>
      </c>
      <c r="I4332" s="17"/>
      <c r="J4332" s="17"/>
      <c r="P4332" s="17"/>
      <c r="Q4332" s="17"/>
    </row>
    <row r="4333" spans="2:17">
      <c r="B4333" s="17"/>
      <c r="C4333" s="16" t="str">
        <f>IFERROR(VLOOKUP(DATA!#REF!,DATA!#REF!,1,FALSE),"")</f>
        <v/>
      </c>
      <c r="D4333" s="16" t="str">
        <f>IFERROR(VLOOKUP(C4333,DATA!#REF!,2,FALSE),"")</f>
        <v/>
      </c>
      <c r="I4333" s="17"/>
      <c r="J4333" s="17"/>
      <c r="P4333" s="17"/>
      <c r="Q4333" s="17"/>
    </row>
    <row r="4334" spans="2:17">
      <c r="B4334" s="17"/>
      <c r="C4334" s="16" t="str">
        <f>IFERROR(VLOOKUP(DATA!#REF!,DATA!#REF!,1,FALSE),"")</f>
        <v/>
      </c>
      <c r="D4334" s="16" t="str">
        <f>IFERROR(VLOOKUP(C4334,DATA!#REF!,2,FALSE),"")</f>
        <v/>
      </c>
      <c r="I4334" s="17"/>
      <c r="J4334" s="17"/>
      <c r="P4334" s="17"/>
      <c r="Q4334" s="17"/>
    </row>
    <row r="4335" spans="2:17">
      <c r="B4335" s="17"/>
      <c r="C4335" s="16" t="str">
        <f>IFERROR(VLOOKUP(DATA!#REF!,DATA!#REF!,1,FALSE),"")</f>
        <v/>
      </c>
      <c r="D4335" s="16" t="str">
        <f>IFERROR(VLOOKUP(C4335,DATA!#REF!,2,FALSE),"")</f>
        <v/>
      </c>
      <c r="I4335" s="17"/>
      <c r="J4335" s="17"/>
      <c r="P4335" s="17"/>
      <c r="Q4335" s="17"/>
    </row>
    <row r="4336" spans="2:17">
      <c r="B4336" s="17"/>
      <c r="C4336" s="16" t="str">
        <f>IFERROR(VLOOKUP(DATA!#REF!,DATA!#REF!,1,FALSE),"")</f>
        <v/>
      </c>
      <c r="D4336" s="16" t="str">
        <f>IFERROR(VLOOKUP(C4336,DATA!#REF!,2,FALSE),"")</f>
        <v/>
      </c>
      <c r="I4336" s="17"/>
      <c r="J4336" s="17"/>
      <c r="P4336" s="17"/>
      <c r="Q4336" s="17"/>
    </row>
    <row r="4337" spans="2:17">
      <c r="B4337" s="17"/>
      <c r="C4337" s="16" t="str">
        <f>IFERROR(VLOOKUP(DATA!#REF!,DATA!#REF!,1,FALSE),"")</f>
        <v/>
      </c>
      <c r="D4337" s="16" t="str">
        <f>IFERROR(VLOOKUP(C4337,DATA!#REF!,2,FALSE),"")</f>
        <v/>
      </c>
      <c r="I4337" s="17"/>
      <c r="J4337" s="17"/>
      <c r="P4337" s="17"/>
      <c r="Q4337" s="17"/>
    </row>
    <row r="4338" spans="2:17">
      <c r="B4338" s="17"/>
      <c r="C4338" s="16" t="str">
        <f>IFERROR(VLOOKUP(DATA!#REF!,DATA!#REF!,1,FALSE),"")</f>
        <v/>
      </c>
      <c r="D4338" s="16" t="str">
        <f>IFERROR(VLOOKUP(C4338,DATA!#REF!,2,FALSE),"")</f>
        <v/>
      </c>
      <c r="I4338" s="17"/>
      <c r="J4338" s="17"/>
      <c r="P4338" s="17"/>
      <c r="Q4338" s="17"/>
    </row>
    <row r="4339" spans="2:17">
      <c r="B4339" s="17"/>
      <c r="C4339" s="16" t="str">
        <f>IFERROR(VLOOKUP(DATA!#REF!,DATA!#REF!,1,FALSE),"")</f>
        <v/>
      </c>
      <c r="D4339" s="16" t="str">
        <f>IFERROR(VLOOKUP(C4339,DATA!#REF!,2,FALSE),"")</f>
        <v/>
      </c>
      <c r="I4339" s="17"/>
      <c r="J4339" s="17"/>
      <c r="P4339" s="17"/>
      <c r="Q4339" s="17"/>
    </row>
    <row r="4340" spans="2:17">
      <c r="B4340" s="17"/>
      <c r="C4340" s="16" t="str">
        <f>IFERROR(VLOOKUP(DATA!#REF!,DATA!#REF!,1,FALSE),"")</f>
        <v/>
      </c>
      <c r="D4340" s="16" t="str">
        <f>IFERROR(VLOOKUP(C4340,DATA!#REF!,2,FALSE),"")</f>
        <v/>
      </c>
      <c r="I4340" s="17"/>
      <c r="J4340" s="17"/>
      <c r="P4340" s="17"/>
      <c r="Q4340" s="17"/>
    </row>
    <row r="4341" spans="2:17">
      <c r="B4341" s="17"/>
      <c r="C4341" s="16" t="str">
        <f>IFERROR(VLOOKUP(DATA!#REF!,DATA!#REF!,1,FALSE),"")</f>
        <v/>
      </c>
      <c r="D4341" s="16" t="str">
        <f>IFERROR(VLOOKUP(C4341,DATA!#REF!,2,FALSE),"")</f>
        <v/>
      </c>
      <c r="I4341" s="17"/>
      <c r="J4341" s="17"/>
      <c r="P4341" s="17"/>
      <c r="Q4341" s="17"/>
    </row>
    <row r="4342" spans="2:17">
      <c r="B4342" s="17"/>
      <c r="C4342" s="16" t="str">
        <f>IFERROR(VLOOKUP(DATA!#REF!,DATA!#REF!,1,FALSE),"")</f>
        <v/>
      </c>
      <c r="D4342" s="16" t="str">
        <f>IFERROR(VLOOKUP(C4342,DATA!#REF!,2,FALSE),"")</f>
        <v/>
      </c>
      <c r="I4342" s="17"/>
      <c r="J4342" s="17"/>
      <c r="P4342" s="17"/>
      <c r="Q4342" s="17"/>
    </row>
    <row r="4343" spans="2:17">
      <c r="B4343" s="17"/>
      <c r="C4343" s="16" t="str">
        <f>IFERROR(VLOOKUP(DATA!#REF!,DATA!#REF!,1,FALSE),"")</f>
        <v/>
      </c>
      <c r="D4343" s="16" t="str">
        <f>IFERROR(VLOOKUP(C4343,DATA!#REF!,2,FALSE),"")</f>
        <v/>
      </c>
      <c r="I4343" s="17"/>
      <c r="J4343" s="17"/>
      <c r="P4343" s="17"/>
      <c r="Q4343" s="17"/>
    </row>
    <row r="4344" spans="2:17">
      <c r="B4344" s="17"/>
      <c r="C4344" s="16" t="str">
        <f>IFERROR(VLOOKUP(DATA!#REF!,DATA!#REF!,1,FALSE),"")</f>
        <v/>
      </c>
      <c r="D4344" s="16" t="str">
        <f>IFERROR(VLOOKUP(C4344,DATA!#REF!,2,FALSE),"")</f>
        <v/>
      </c>
      <c r="I4344" s="17"/>
      <c r="J4344" s="17"/>
      <c r="P4344" s="17"/>
      <c r="Q4344" s="17"/>
    </row>
    <row r="4345" spans="2:17">
      <c r="B4345" s="17"/>
      <c r="C4345" s="16" t="str">
        <f>IFERROR(VLOOKUP(DATA!#REF!,DATA!#REF!,1,FALSE),"")</f>
        <v/>
      </c>
      <c r="D4345" s="16" t="str">
        <f>IFERROR(VLOOKUP(C4345,DATA!#REF!,2,FALSE),"")</f>
        <v/>
      </c>
      <c r="I4345" s="17"/>
      <c r="J4345" s="17"/>
      <c r="P4345" s="17"/>
      <c r="Q4345" s="17"/>
    </row>
    <row r="4346" spans="2:17">
      <c r="B4346" s="17"/>
      <c r="C4346" s="16" t="str">
        <f>IFERROR(VLOOKUP(DATA!#REF!,DATA!#REF!,1,FALSE),"")</f>
        <v/>
      </c>
      <c r="D4346" s="16" t="str">
        <f>IFERROR(VLOOKUP(C4346,DATA!#REF!,2,FALSE),"")</f>
        <v/>
      </c>
      <c r="I4346" s="17"/>
      <c r="J4346" s="17"/>
      <c r="P4346" s="17"/>
      <c r="Q4346" s="17"/>
    </row>
    <row r="4347" spans="2:17">
      <c r="B4347" s="17"/>
      <c r="C4347" s="16" t="str">
        <f>IFERROR(VLOOKUP(DATA!#REF!,DATA!#REF!,1,FALSE),"")</f>
        <v/>
      </c>
      <c r="D4347" s="16" t="str">
        <f>IFERROR(VLOOKUP(C4347,DATA!#REF!,2,FALSE),"")</f>
        <v/>
      </c>
      <c r="I4347" s="17"/>
      <c r="J4347" s="17"/>
      <c r="P4347" s="17"/>
      <c r="Q4347" s="17"/>
    </row>
    <row r="4348" spans="2:17">
      <c r="B4348" s="17"/>
      <c r="C4348" s="16" t="str">
        <f>IFERROR(VLOOKUP(DATA!#REF!,DATA!#REF!,1,FALSE),"")</f>
        <v/>
      </c>
      <c r="D4348" s="16" t="str">
        <f>IFERROR(VLOOKUP(C4348,DATA!#REF!,2,FALSE),"")</f>
        <v/>
      </c>
      <c r="I4348" s="17"/>
      <c r="J4348" s="17"/>
      <c r="P4348" s="17"/>
      <c r="Q4348" s="17"/>
    </row>
    <row r="4349" spans="2:17">
      <c r="B4349" s="17"/>
      <c r="C4349" s="16" t="str">
        <f>IFERROR(VLOOKUP(DATA!#REF!,DATA!#REF!,1,FALSE),"")</f>
        <v/>
      </c>
      <c r="D4349" s="16" t="str">
        <f>IFERROR(VLOOKUP(C4349,DATA!#REF!,2,FALSE),"")</f>
        <v/>
      </c>
      <c r="I4349" s="17"/>
      <c r="J4349" s="17"/>
      <c r="P4349" s="17"/>
      <c r="Q4349" s="17"/>
    </row>
    <row r="4350" spans="2:17">
      <c r="B4350" s="17"/>
      <c r="C4350" s="16" t="str">
        <f>IFERROR(VLOOKUP(DATA!#REF!,DATA!#REF!,1,FALSE),"")</f>
        <v/>
      </c>
      <c r="D4350" s="16" t="str">
        <f>IFERROR(VLOOKUP(C4350,DATA!#REF!,2,FALSE),"")</f>
        <v/>
      </c>
      <c r="I4350" s="17"/>
      <c r="J4350" s="17"/>
      <c r="P4350" s="17"/>
      <c r="Q4350" s="17"/>
    </row>
    <row r="4351" spans="2:17">
      <c r="B4351" s="17"/>
      <c r="C4351" s="16" t="str">
        <f>IFERROR(VLOOKUP(DATA!#REF!,DATA!#REF!,1,FALSE),"")</f>
        <v/>
      </c>
      <c r="D4351" s="16" t="str">
        <f>IFERROR(VLOOKUP(C4351,DATA!#REF!,2,FALSE),"")</f>
        <v/>
      </c>
      <c r="I4351" s="17"/>
      <c r="J4351" s="17"/>
      <c r="P4351" s="17"/>
      <c r="Q4351" s="17"/>
    </row>
    <row r="4352" spans="2:17">
      <c r="B4352" s="17"/>
      <c r="C4352" s="16" t="str">
        <f>IFERROR(VLOOKUP(DATA!#REF!,DATA!#REF!,1,FALSE),"")</f>
        <v/>
      </c>
      <c r="D4352" s="16" t="str">
        <f>IFERROR(VLOOKUP(C4352,DATA!#REF!,2,FALSE),"")</f>
        <v/>
      </c>
      <c r="I4352" s="17"/>
      <c r="J4352" s="17"/>
      <c r="P4352" s="17"/>
      <c r="Q4352" s="17"/>
    </row>
    <row r="4353" spans="2:17">
      <c r="B4353" s="17"/>
      <c r="C4353" s="16" t="str">
        <f>IFERROR(VLOOKUP(DATA!#REF!,DATA!#REF!,1,FALSE),"")</f>
        <v/>
      </c>
      <c r="D4353" s="16" t="str">
        <f>IFERROR(VLOOKUP(C4353,DATA!#REF!,2,FALSE),"")</f>
        <v/>
      </c>
      <c r="I4353" s="17"/>
      <c r="J4353" s="17"/>
      <c r="P4353" s="17"/>
      <c r="Q4353" s="17"/>
    </row>
    <row r="4354" spans="2:17">
      <c r="B4354" s="17"/>
      <c r="C4354" s="16" t="str">
        <f>IFERROR(VLOOKUP(DATA!#REF!,DATA!#REF!,1,FALSE),"")</f>
        <v/>
      </c>
      <c r="D4354" s="16" t="str">
        <f>IFERROR(VLOOKUP(C4354,DATA!#REF!,2,FALSE),"")</f>
        <v/>
      </c>
      <c r="I4354" s="17"/>
      <c r="J4354" s="17"/>
      <c r="P4354" s="17"/>
      <c r="Q4354" s="17"/>
    </row>
    <row r="4355" spans="2:17">
      <c r="B4355" s="17"/>
      <c r="C4355" s="16" t="str">
        <f>IFERROR(VLOOKUP(DATA!#REF!,DATA!#REF!,1,FALSE),"")</f>
        <v/>
      </c>
      <c r="D4355" s="16" t="str">
        <f>IFERROR(VLOOKUP(C4355,DATA!#REF!,2,FALSE),"")</f>
        <v/>
      </c>
      <c r="I4355" s="17"/>
      <c r="J4355" s="17"/>
      <c r="P4355" s="17"/>
      <c r="Q4355" s="17"/>
    </row>
    <row r="4356" spans="2:17">
      <c r="B4356" s="17"/>
      <c r="C4356" s="16" t="str">
        <f>IFERROR(VLOOKUP(DATA!#REF!,DATA!#REF!,1,FALSE),"")</f>
        <v/>
      </c>
      <c r="D4356" s="16" t="str">
        <f>IFERROR(VLOOKUP(C4356,DATA!#REF!,2,FALSE),"")</f>
        <v/>
      </c>
      <c r="I4356" s="17"/>
      <c r="J4356" s="17"/>
      <c r="P4356" s="17"/>
      <c r="Q4356" s="17"/>
    </row>
    <row r="4357" spans="2:17">
      <c r="B4357" s="17"/>
      <c r="C4357" s="16" t="str">
        <f>IFERROR(VLOOKUP(DATA!#REF!,DATA!#REF!,1,FALSE),"")</f>
        <v/>
      </c>
      <c r="D4357" s="16" t="str">
        <f>IFERROR(VLOOKUP(C4357,DATA!#REF!,2,FALSE),"")</f>
        <v/>
      </c>
      <c r="I4357" s="17"/>
      <c r="J4357" s="17"/>
      <c r="P4357" s="17"/>
      <c r="Q4357" s="17"/>
    </row>
    <row r="4358" spans="2:17">
      <c r="B4358" s="17"/>
      <c r="C4358" s="16" t="str">
        <f>IFERROR(VLOOKUP(DATA!#REF!,DATA!#REF!,1,FALSE),"")</f>
        <v/>
      </c>
      <c r="D4358" s="16" t="str">
        <f>IFERROR(VLOOKUP(C4358,DATA!#REF!,2,FALSE),"")</f>
        <v/>
      </c>
      <c r="I4358" s="17"/>
      <c r="J4358" s="17"/>
      <c r="P4358" s="17"/>
      <c r="Q4358" s="17"/>
    </row>
    <row r="4359" spans="2:17">
      <c r="B4359" s="17"/>
      <c r="C4359" s="16" t="str">
        <f>IFERROR(VLOOKUP(DATA!#REF!,DATA!#REF!,1,FALSE),"")</f>
        <v/>
      </c>
      <c r="D4359" s="16" t="str">
        <f>IFERROR(VLOOKUP(C4359,DATA!#REF!,2,FALSE),"")</f>
        <v/>
      </c>
      <c r="I4359" s="17"/>
      <c r="J4359" s="17"/>
      <c r="P4359" s="17"/>
      <c r="Q4359" s="17"/>
    </row>
    <row r="4360" spans="2:17">
      <c r="B4360" s="17"/>
      <c r="C4360" s="16" t="str">
        <f>IFERROR(VLOOKUP(DATA!#REF!,DATA!#REF!,1,FALSE),"")</f>
        <v/>
      </c>
      <c r="D4360" s="16" t="str">
        <f>IFERROR(VLOOKUP(C4360,DATA!#REF!,2,FALSE),"")</f>
        <v/>
      </c>
      <c r="I4360" s="17"/>
      <c r="J4360" s="17"/>
      <c r="P4360" s="17"/>
      <c r="Q4360" s="17"/>
    </row>
    <row r="4361" spans="2:17">
      <c r="B4361" s="17"/>
      <c r="C4361" s="16" t="str">
        <f>IFERROR(VLOOKUP(DATA!#REF!,DATA!#REF!,1,FALSE),"")</f>
        <v/>
      </c>
      <c r="D4361" s="16" t="str">
        <f>IFERROR(VLOOKUP(C4361,DATA!#REF!,2,FALSE),"")</f>
        <v/>
      </c>
      <c r="I4361" s="17"/>
      <c r="J4361" s="17"/>
      <c r="P4361" s="17"/>
      <c r="Q4361" s="17"/>
    </row>
    <row r="4362" spans="2:17">
      <c r="B4362" s="17"/>
      <c r="C4362" s="16" t="str">
        <f>IFERROR(VLOOKUP(DATA!#REF!,DATA!#REF!,1,FALSE),"")</f>
        <v/>
      </c>
      <c r="D4362" s="16" t="str">
        <f>IFERROR(VLOOKUP(C4362,DATA!#REF!,2,FALSE),"")</f>
        <v/>
      </c>
      <c r="I4362" s="17"/>
      <c r="J4362" s="17"/>
      <c r="P4362" s="17"/>
      <c r="Q4362" s="17"/>
    </row>
    <row r="4363" spans="2:17">
      <c r="B4363" s="17"/>
      <c r="C4363" s="16" t="str">
        <f>IFERROR(VLOOKUP(DATA!#REF!,DATA!#REF!,1,FALSE),"")</f>
        <v/>
      </c>
      <c r="D4363" s="16" t="str">
        <f>IFERROR(VLOOKUP(C4363,DATA!#REF!,2,FALSE),"")</f>
        <v/>
      </c>
      <c r="I4363" s="17"/>
      <c r="J4363" s="17"/>
      <c r="P4363" s="17"/>
      <c r="Q4363" s="17"/>
    </row>
    <row r="4364" spans="2:17">
      <c r="B4364" s="17"/>
      <c r="C4364" s="16" t="str">
        <f>IFERROR(VLOOKUP(DATA!#REF!,DATA!#REF!,1,FALSE),"")</f>
        <v/>
      </c>
      <c r="D4364" s="16" t="str">
        <f>IFERROR(VLOOKUP(C4364,DATA!#REF!,2,FALSE),"")</f>
        <v/>
      </c>
      <c r="I4364" s="17"/>
      <c r="J4364" s="17"/>
      <c r="P4364" s="17"/>
      <c r="Q4364" s="17"/>
    </row>
    <row r="4365" spans="2:17">
      <c r="B4365" s="17"/>
      <c r="C4365" s="16" t="str">
        <f>IFERROR(VLOOKUP(DATA!#REF!,DATA!#REF!,1,FALSE),"")</f>
        <v/>
      </c>
      <c r="D4365" s="16" t="str">
        <f>IFERROR(VLOOKUP(C4365,DATA!#REF!,2,FALSE),"")</f>
        <v/>
      </c>
      <c r="I4365" s="17"/>
      <c r="J4365" s="17"/>
      <c r="P4365" s="17"/>
      <c r="Q4365" s="17"/>
    </row>
    <row r="4366" spans="2:17">
      <c r="B4366" s="17"/>
      <c r="C4366" s="16" t="str">
        <f>IFERROR(VLOOKUP(DATA!#REF!,DATA!#REF!,1,FALSE),"")</f>
        <v/>
      </c>
      <c r="D4366" s="16" t="str">
        <f>IFERROR(VLOOKUP(C4366,DATA!#REF!,2,FALSE),"")</f>
        <v/>
      </c>
      <c r="I4366" s="17"/>
      <c r="J4366" s="17"/>
      <c r="P4366" s="17"/>
      <c r="Q4366" s="17"/>
    </row>
    <row r="4367" spans="2:17">
      <c r="B4367" s="17"/>
      <c r="C4367" s="16" t="str">
        <f>IFERROR(VLOOKUP(DATA!#REF!,DATA!#REF!,1,FALSE),"")</f>
        <v/>
      </c>
      <c r="D4367" s="16" t="str">
        <f>IFERROR(VLOOKUP(C4367,DATA!#REF!,2,FALSE),"")</f>
        <v/>
      </c>
      <c r="I4367" s="17"/>
      <c r="J4367" s="17"/>
      <c r="P4367" s="17"/>
      <c r="Q4367" s="17"/>
    </row>
    <row r="4368" spans="2:17">
      <c r="B4368" s="17"/>
      <c r="C4368" s="16" t="str">
        <f>IFERROR(VLOOKUP(DATA!#REF!,DATA!#REF!,1,FALSE),"")</f>
        <v/>
      </c>
      <c r="D4368" s="16" t="str">
        <f>IFERROR(VLOOKUP(C4368,DATA!#REF!,2,FALSE),"")</f>
        <v/>
      </c>
      <c r="I4368" s="17"/>
      <c r="J4368" s="17"/>
      <c r="P4368" s="17"/>
      <c r="Q4368" s="17"/>
    </row>
    <row r="4369" spans="2:17">
      <c r="B4369" s="17"/>
      <c r="C4369" s="16" t="str">
        <f>IFERROR(VLOOKUP(DATA!#REF!,DATA!#REF!,1,FALSE),"")</f>
        <v/>
      </c>
      <c r="D4369" s="16" t="str">
        <f>IFERROR(VLOOKUP(C4369,DATA!#REF!,2,FALSE),"")</f>
        <v/>
      </c>
      <c r="I4369" s="17"/>
      <c r="J4369" s="17"/>
      <c r="P4369" s="17"/>
      <c r="Q4369" s="17"/>
    </row>
    <row r="4370" spans="2:17">
      <c r="B4370" s="17"/>
      <c r="C4370" s="16" t="str">
        <f>IFERROR(VLOOKUP(DATA!#REF!,DATA!#REF!,1,FALSE),"")</f>
        <v/>
      </c>
      <c r="D4370" s="16" t="str">
        <f>IFERROR(VLOOKUP(C4370,DATA!#REF!,2,FALSE),"")</f>
        <v/>
      </c>
      <c r="I4370" s="17"/>
      <c r="J4370" s="17"/>
      <c r="P4370" s="17"/>
      <c r="Q4370" s="17"/>
    </row>
    <row r="4371" spans="2:17">
      <c r="B4371" s="17"/>
      <c r="C4371" s="16" t="str">
        <f>IFERROR(VLOOKUP(DATA!#REF!,DATA!#REF!,1,FALSE),"")</f>
        <v/>
      </c>
      <c r="D4371" s="16" t="str">
        <f>IFERROR(VLOOKUP(C4371,DATA!#REF!,2,FALSE),"")</f>
        <v/>
      </c>
      <c r="I4371" s="17"/>
      <c r="J4371" s="17"/>
      <c r="P4371" s="17"/>
      <c r="Q4371" s="17"/>
    </row>
    <row r="4372" spans="2:17">
      <c r="B4372" s="17"/>
      <c r="C4372" s="16" t="str">
        <f>IFERROR(VLOOKUP(DATA!#REF!,DATA!#REF!,1,FALSE),"")</f>
        <v/>
      </c>
      <c r="D4372" s="16" t="str">
        <f>IFERROR(VLOOKUP(C4372,DATA!#REF!,2,FALSE),"")</f>
        <v/>
      </c>
      <c r="I4372" s="17"/>
      <c r="J4372" s="17"/>
      <c r="P4372" s="17"/>
      <c r="Q4372" s="17"/>
    </row>
    <row r="4373" spans="2:17">
      <c r="B4373" s="17"/>
      <c r="C4373" s="16" t="str">
        <f>IFERROR(VLOOKUP(DATA!#REF!,DATA!#REF!,1,FALSE),"")</f>
        <v/>
      </c>
      <c r="D4373" s="16" t="str">
        <f>IFERROR(VLOOKUP(C4373,DATA!#REF!,2,FALSE),"")</f>
        <v/>
      </c>
      <c r="I4373" s="17"/>
      <c r="J4373" s="17"/>
      <c r="P4373" s="17"/>
      <c r="Q4373" s="17"/>
    </row>
    <row r="4374" spans="2:17">
      <c r="B4374" s="17"/>
      <c r="C4374" s="16" t="str">
        <f>IFERROR(VLOOKUP(DATA!#REF!,DATA!#REF!,1,FALSE),"")</f>
        <v/>
      </c>
      <c r="D4374" s="16" t="str">
        <f>IFERROR(VLOOKUP(C4374,DATA!#REF!,2,FALSE),"")</f>
        <v/>
      </c>
      <c r="I4374" s="17"/>
      <c r="J4374" s="17"/>
      <c r="P4374" s="17"/>
      <c r="Q4374" s="17"/>
    </row>
    <row r="4375" spans="2:17">
      <c r="B4375" s="17"/>
      <c r="C4375" s="16" t="str">
        <f>IFERROR(VLOOKUP(DATA!#REF!,DATA!#REF!,1,FALSE),"")</f>
        <v/>
      </c>
      <c r="D4375" s="16" t="str">
        <f>IFERROR(VLOOKUP(C4375,DATA!#REF!,2,FALSE),"")</f>
        <v/>
      </c>
      <c r="I4375" s="17"/>
      <c r="J4375" s="17"/>
      <c r="P4375" s="17"/>
      <c r="Q4375" s="17"/>
    </row>
    <row r="4376" spans="2:17">
      <c r="B4376" s="17"/>
      <c r="C4376" s="16" t="str">
        <f>IFERROR(VLOOKUP(DATA!#REF!,DATA!#REF!,1,FALSE),"")</f>
        <v/>
      </c>
      <c r="D4376" s="16" t="str">
        <f>IFERROR(VLOOKUP(C4376,DATA!#REF!,2,FALSE),"")</f>
        <v/>
      </c>
      <c r="I4376" s="17"/>
      <c r="J4376" s="17"/>
      <c r="P4376" s="17"/>
      <c r="Q4376" s="17"/>
    </row>
    <row r="4377" spans="2:17">
      <c r="B4377" s="17"/>
      <c r="C4377" s="16" t="str">
        <f>IFERROR(VLOOKUP(DATA!#REF!,DATA!#REF!,1,FALSE),"")</f>
        <v/>
      </c>
      <c r="D4377" s="16" t="str">
        <f>IFERROR(VLOOKUP(C4377,DATA!#REF!,2,FALSE),"")</f>
        <v/>
      </c>
      <c r="I4377" s="17"/>
      <c r="J4377" s="17"/>
      <c r="P4377" s="17"/>
      <c r="Q4377" s="17"/>
    </row>
    <row r="4378" spans="2:17">
      <c r="B4378" s="17"/>
      <c r="C4378" s="16" t="str">
        <f>IFERROR(VLOOKUP(DATA!#REF!,DATA!#REF!,1,FALSE),"")</f>
        <v/>
      </c>
      <c r="D4378" s="16" t="str">
        <f>IFERROR(VLOOKUP(C4378,DATA!#REF!,2,FALSE),"")</f>
        <v/>
      </c>
      <c r="I4378" s="17"/>
      <c r="J4378" s="17"/>
      <c r="P4378" s="17"/>
      <c r="Q4378" s="17"/>
    </row>
    <row r="4379" spans="2:17">
      <c r="B4379" s="17"/>
      <c r="C4379" s="16" t="str">
        <f>IFERROR(VLOOKUP(DATA!#REF!,DATA!#REF!,1,FALSE),"")</f>
        <v/>
      </c>
      <c r="D4379" s="16" t="str">
        <f>IFERROR(VLOOKUP(C4379,DATA!#REF!,2,FALSE),"")</f>
        <v/>
      </c>
      <c r="I4379" s="17"/>
      <c r="J4379" s="17"/>
      <c r="P4379" s="17"/>
      <c r="Q4379" s="17"/>
    </row>
    <row r="4380" spans="2:17">
      <c r="B4380" s="17"/>
      <c r="C4380" s="16" t="str">
        <f>IFERROR(VLOOKUP(DATA!#REF!,DATA!#REF!,1,FALSE),"")</f>
        <v/>
      </c>
      <c r="D4380" s="16" t="str">
        <f>IFERROR(VLOOKUP(C4380,DATA!#REF!,2,FALSE),"")</f>
        <v/>
      </c>
      <c r="I4380" s="17"/>
      <c r="J4380" s="17"/>
      <c r="P4380" s="17"/>
      <c r="Q4380" s="17"/>
    </row>
    <row r="4381" spans="2:17">
      <c r="B4381" s="17"/>
      <c r="C4381" s="16" t="str">
        <f>IFERROR(VLOOKUP(DATA!#REF!,DATA!#REF!,1,FALSE),"")</f>
        <v/>
      </c>
      <c r="D4381" s="16" t="str">
        <f>IFERROR(VLOOKUP(C4381,DATA!#REF!,2,FALSE),"")</f>
        <v/>
      </c>
      <c r="I4381" s="17"/>
      <c r="J4381" s="17"/>
      <c r="P4381" s="17"/>
      <c r="Q4381" s="17"/>
    </row>
    <row r="4382" spans="2:17">
      <c r="B4382" s="17"/>
      <c r="C4382" s="16" t="str">
        <f>IFERROR(VLOOKUP(DATA!#REF!,DATA!#REF!,1,FALSE),"")</f>
        <v/>
      </c>
      <c r="D4382" s="16" t="str">
        <f>IFERROR(VLOOKUP(C4382,DATA!#REF!,2,FALSE),"")</f>
        <v/>
      </c>
      <c r="I4382" s="17"/>
      <c r="J4382" s="17"/>
      <c r="P4382" s="17"/>
      <c r="Q4382" s="17"/>
    </row>
    <row r="4383" spans="2:17">
      <c r="B4383" s="17"/>
      <c r="C4383" s="16" t="str">
        <f>IFERROR(VLOOKUP(DATA!#REF!,DATA!#REF!,1,FALSE),"")</f>
        <v/>
      </c>
      <c r="D4383" s="16" t="str">
        <f>IFERROR(VLOOKUP(C4383,DATA!#REF!,2,FALSE),"")</f>
        <v/>
      </c>
      <c r="I4383" s="17"/>
      <c r="J4383" s="17"/>
      <c r="P4383" s="17"/>
      <c r="Q4383" s="17"/>
    </row>
    <row r="4384" spans="2:17">
      <c r="B4384" s="17"/>
      <c r="C4384" s="16" t="str">
        <f>IFERROR(VLOOKUP(DATA!#REF!,DATA!#REF!,1,FALSE),"")</f>
        <v/>
      </c>
      <c r="D4384" s="16" t="str">
        <f>IFERROR(VLOOKUP(C4384,DATA!#REF!,2,FALSE),"")</f>
        <v/>
      </c>
      <c r="I4384" s="17"/>
      <c r="J4384" s="17"/>
      <c r="P4384" s="17"/>
      <c r="Q4384" s="17"/>
    </row>
    <row r="4385" spans="2:17">
      <c r="B4385" s="17"/>
      <c r="C4385" s="16" t="str">
        <f>IFERROR(VLOOKUP(DATA!#REF!,DATA!#REF!,1,FALSE),"")</f>
        <v/>
      </c>
      <c r="D4385" s="16" t="str">
        <f>IFERROR(VLOOKUP(C4385,DATA!#REF!,2,FALSE),"")</f>
        <v/>
      </c>
      <c r="I4385" s="17"/>
      <c r="J4385" s="17"/>
      <c r="P4385" s="17"/>
      <c r="Q4385" s="17"/>
    </row>
    <row r="4386" spans="2:17">
      <c r="B4386" s="17"/>
      <c r="C4386" s="16" t="str">
        <f>IFERROR(VLOOKUP(DATA!#REF!,DATA!#REF!,1,FALSE),"")</f>
        <v/>
      </c>
      <c r="D4386" s="16" t="str">
        <f>IFERROR(VLOOKUP(C4386,DATA!#REF!,2,FALSE),"")</f>
        <v/>
      </c>
      <c r="I4386" s="17"/>
      <c r="J4386" s="17"/>
      <c r="P4386" s="17"/>
      <c r="Q4386" s="17"/>
    </row>
    <row r="4387" spans="2:17">
      <c r="B4387" s="17"/>
      <c r="C4387" s="16" t="str">
        <f>IFERROR(VLOOKUP(DATA!#REF!,DATA!#REF!,1,FALSE),"")</f>
        <v/>
      </c>
      <c r="D4387" s="16" t="str">
        <f>IFERROR(VLOOKUP(C4387,DATA!#REF!,2,FALSE),"")</f>
        <v/>
      </c>
      <c r="I4387" s="17"/>
      <c r="J4387" s="17"/>
      <c r="P4387" s="17"/>
      <c r="Q4387" s="17"/>
    </row>
    <row r="4388" spans="2:17">
      <c r="B4388" s="17"/>
      <c r="C4388" s="16" t="str">
        <f>IFERROR(VLOOKUP(DATA!#REF!,DATA!#REF!,1,FALSE),"")</f>
        <v/>
      </c>
      <c r="D4388" s="16" t="str">
        <f>IFERROR(VLOOKUP(C4388,DATA!#REF!,2,FALSE),"")</f>
        <v/>
      </c>
      <c r="I4388" s="17"/>
      <c r="J4388" s="17"/>
      <c r="P4388" s="17"/>
      <c r="Q4388" s="17"/>
    </row>
    <row r="4389" spans="2:17">
      <c r="B4389" s="17"/>
      <c r="C4389" s="16" t="str">
        <f>IFERROR(VLOOKUP(DATA!#REF!,DATA!#REF!,1,FALSE),"")</f>
        <v/>
      </c>
      <c r="D4389" s="16" t="str">
        <f>IFERROR(VLOOKUP(C4389,DATA!#REF!,2,FALSE),"")</f>
        <v/>
      </c>
      <c r="I4389" s="17"/>
      <c r="J4389" s="17"/>
      <c r="P4389" s="17"/>
      <c r="Q4389" s="17"/>
    </row>
    <row r="4390" spans="2:17">
      <c r="B4390" s="17"/>
      <c r="C4390" s="16" t="str">
        <f>IFERROR(VLOOKUP(DATA!#REF!,DATA!#REF!,1,FALSE),"")</f>
        <v/>
      </c>
      <c r="D4390" s="16" t="str">
        <f>IFERROR(VLOOKUP(C4390,DATA!#REF!,2,FALSE),"")</f>
        <v/>
      </c>
      <c r="I4390" s="17"/>
      <c r="J4390" s="17"/>
      <c r="P4390" s="17"/>
      <c r="Q4390" s="17"/>
    </row>
    <row r="4391" spans="2:17">
      <c r="B4391" s="17"/>
      <c r="C4391" s="16" t="str">
        <f>IFERROR(VLOOKUP(DATA!#REF!,DATA!#REF!,1,FALSE),"")</f>
        <v/>
      </c>
      <c r="D4391" s="16" t="str">
        <f>IFERROR(VLOOKUP(C4391,DATA!#REF!,2,FALSE),"")</f>
        <v/>
      </c>
      <c r="I4391" s="17"/>
      <c r="J4391" s="17"/>
      <c r="P4391" s="17"/>
      <c r="Q4391" s="17"/>
    </row>
    <row r="4392" spans="2:17">
      <c r="B4392" s="17"/>
      <c r="C4392" s="16" t="str">
        <f>IFERROR(VLOOKUP(DATA!#REF!,DATA!#REF!,1,FALSE),"")</f>
        <v/>
      </c>
      <c r="D4392" s="16" t="str">
        <f>IFERROR(VLOOKUP(C4392,DATA!#REF!,2,FALSE),"")</f>
        <v/>
      </c>
      <c r="I4392" s="17"/>
      <c r="J4392" s="17"/>
      <c r="P4392" s="17"/>
      <c r="Q4392" s="17"/>
    </row>
    <row r="4393" spans="2:17">
      <c r="B4393" s="17"/>
      <c r="C4393" s="16" t="str">
        <f>IFERROR(VLOOKUP(DATA!#REF!,DATA!#REF!,1,FALSE),"")</f>
        <v/>
      </c>
      <c r="D4393" s="16" t="str">
        <f>IFERROR(VLOOKUP(C4393,DATA!#REF!,2,FALSE),"")</f>
        <v/>
      </c>
      <c r="I4393" s="17"/>
      <c r="J4393" s="17"/>
      <c r="P4393" s="17"/>
      <c r="Q4393" s="17"/>
    </row>
    <row r="4394" spans="2:17">
      <c r="B4394" s="17"/>
      <c r="C4394" s="16" t="str">
        <f>IFERROR(VLOOKUP(DATA!#REF!,DATA!#REF!,1,FALSE),"")</f>
        <v/>
      </c>
      <c r="D4394" s="16" t="str">
        <f>IFERROR(VLOOKUP(C4394,DATA!#REF!,2,FALSE),"")</f>
        <v/>
      </c>
      <c r="I4394" s="17"/>
      <c r="J4394" s="17"/>
      <c r="P4394" s="17"/>
      <c r="Q4394" s="17"/>
    </row>
    <row r="4395" spans="2:17">
      <c r="B4395" s="17"/>
      <c r="C4395" s="16" t="str">
        <f>IFERROR(VLOOKUP(DATA!#REF!,DATA!#REF!,1,FALSE),"")</f>
        <v/>
      </c>
      <c r="D4395" s="16" t="str">
        <f>IFERROR(VLOOKUP(C4395,DATA!#REF!,2,FALSE),"")</f>
        <v/>
      </c>
      <c r="I4395" s="17"/>
      <c r="J4395" s="17"/>
      <c r="P4395" s="17"/>
      <c r="Q4395" s="17"/>
    </row>
    <row r="4396" spans="2:17">
      <c r="B4396" s="17"/>
      <c r="C4396" s="16" t="str">
        <f>IFERROR(VLOOKUP(DATA!#REF!,DATA!#REF!,1,FALSE),"")</f>
        <v/>
      </c>
      <c r="D4396" s="16" t="str">
        <f>IFERROR(VLOOKUP(C4396,DATA!#REF!,2,FALSE),"")</f>
        <v/>
      </c>
      <c r="I4396" s="17"/>
      <c r="J4396" s="17"/>
      <c r="P4396" s="17"/>
      <c r="Q4396" s="17"/>
    </row>
    <row r="4397" spans="2:17">
      <c r="B4397" s="17"/>
      <c r="C4397" s="16" t="str">
        <f>IFERROR(VLOOKUP(DATA!#REF!,DATA!#REF!,1,FALSE),"")</f>
        <v/>
      </c>
      <c r="D4397" s="16" t="str">
        <f>IFERROR(VLOOKUP(C4397,DATA!#REF!,2,FALSE),"")</f>
        <v/>
      </c>
      <c r="I4397" s="17"/>
      <c r="J4397" s="17"/>
      <c r="P4397" s="17"/>
      <c r="Q4397" s="17"/>
    </row>
    <row r="4398" spans="2:17">
      <c r="B4398" s="17"/>
      <c r="C4398" s="16" t="str">
        <f>IFERROR(VLOOKUP(DATA!#REF!,DATA!#REF!,1,FALSE),"")</f>
        <v/>
      </c>
      <c r="D4398" s="16" t="str">
        <f>IFERROR(VLOOKUP(C4398,DATA!#REF!,2,FALSE),"")</f>
        <v/>
      </c>
      <c r="I4398" s="17"/>
      <c r="J4398" s="17"/>
      <c r="P4398" s="17"/>
      <c r="Q4398" s="17"/>
    </row>
    <row r="4399" spans="2:17">
      <c r="B4399" s="17"/>
      <c r="C4399" s="16" t="str">
        <f>IFERROR(VLOOKUP(DATA!#REF!,DATA!#REF!,1,FALSE),"")</f>
        <v/>
      </c>
      <c r="D4399" s="16" t="str">
        <f>IFERROR(VLOOKUP(C4399,DATA!#REF!,2,FALSE),"")</f>
        <v/>
      </c>
      <c r="I4399" s="17"/>
      <c r="J4399" s="17"/>
      <c r="P4399" s="17"/>
      <c r="Q4399" s="17"/>
    </row>
    <row r="4400" spans="2:17">
      <c r="B4400" s="17"/>
      <c r="C4400" s="16" t="str">
        <f>IFERROR(VLOOKUP(DATA!#REF!,DATA!#REF!,1,FALSE),"")</f>
        <v/>
      </c>
      <c r="D4400" s="16" t="str">
        <f>IFERROR(VLOOKUP(C4400,DATA!#REF!,2,FALSE),"")</f>
        <v/>
      </c>
      <c r="I4400" s="17"/>
      <c r="J4400" s="17"/>
      <c r="P4400" s="17"/>
      <c r="Q4400" s="17"/>
    </row>
    <row r="4401" spans="2:17">
      <c r="B4401" s="17"/>
      <c r="C4401" s="16" t="str">
        <f>IFERROR(VLOOKUP(DATA!#REF!,DATA!#REF!,1,FALSE),"")</f>
        <v/>
      </c>
      <c r="D4401" s="16" t="str">
        <f>IFERROR(VLOOKUP(C4401,DATA!#REF!,2,FALSE),"")</f>
        <v/>
      </c>
      <c r="I4401" s="17"/>
      <c r="J4401" s="17"/>
      <c r="P4401" s="17"/>
      <c r="Q4401" s="17"/>
    </row>
    <row r="4402" spans="2:17">
      <c r="B4402" s="17"/>
      <c r="C4402" s="16" t="str">
        <f>IFERROR(VLOOKUP(DATA!#REF!,DATA!#REF!,1,FALSE),"")</f>
        <v/>
      </c>
      <c r="D4402" s="16" t="str">
        <f>IFERROR(VLOOKUP(C4402,DATA!#REF!,2,FALSE),"")</f>
        <v/>
      </c>
      <c r="I4402" s="17"/>
      <c r="J4402" s="17"/>
      <c r="P4402" s="17"/>
      <c r="Q4402" s="17"/>
    </row>
    <row r="4403" spans="2:17">
      <c r="B4403" s="17"/>
      <c r="C4403" s="16" t="str">
        <f>IFERROR(VLOOKUP(DATA!#REF!,DATA!#REF!,1,FALSE),"")</f>
        <v/>
      </c>
      <c r="D4403" s="16" t="str">
        <f>IFERROR(VLOOKUP(C4403,DATA!#REF!,2,FALSE),"")</f>
        <v/>
      </c>
      <c r="I4403" s="17"/>
      <c r="J4403" s="17"/>
      <c r="P4403" s="17"/>
      <c r="Q4403" s="17"/>
    </row>
    <row r="4404" spans="2:17">
      <c r="B4404" s="17"/>
      <c r="C4404" s="16" t="str">
        <f>IFERROR(VLOOKUP(DATA!#REF!,DATA!#REF!,1,FALSE),"")</f>
        <v/>
      </c>
      <c r="D4404" s="16" t="str">
        <f>IFERROR(VLOOKUP(C4404,DATA!#REF!,2,FALSE),"")</f>
        <v/>
      </c>
      <c r="I4404" s="17"/>
      <c r="J4404" s="17"/>
      <c r="P4404" s="17"/>
      <c r="Q4404" s="17"/>
    </row>
    <row r="4405" spans="2:17">
      <c r="B4405" s="17"/>
      <c r="C4405" s="16" t="str">
        <f>IFERROR(VLOOKUP(DATA!#REF!,DATA!#REF!,1,FALSE),"")</f>
        <v/>
      </c>
      <c r="D4405" s="16" t="str">
        <f>IFERROR(VLOOKUP(C4405,DATA!#REF!,2,FALSE),"")</f>
        <v/>
      </c>
      <c r="I4405" s="17"/>
      <c r="J4405" s="17"/>
      <c r="P4405" s="17"/>
      <c r="Q4405" s="17"/>
    </row>
    <row r="4406" spans="2:17">
      <c r="B4406" s="17"/>
      <c r="C4406" s="16" t="str">
        <f>IFERROR(VLOOKUP(DATA!#REF!,DATA!#REF!,1,FALSE),"")</f>
        <v/>
      </c>
      <c r="D4406" s="16" t="str">
        <f>IFERROR(VLOOKUP(C4406,DATA!#REF!,2,FALSE),"")</f>
        <v/>
      </c>
      <c r="I4406" s="17"/>
      <c r="J4406" s="17"/>
      <c r="P4406" s="17"/>
      <c r="Q4406" s="17"/>
    </row>
    <row r="4407" spans="2:17">
      <c r="B4407" s="17"/>
      <c r="C4407" s="16" t="str">
        <f>IFERROR(VLOOKUP(DATA!#REF!,DATA!#REF!,1,FALSE),"")</f>
        <v/>
      </c>
      <c r="D4407" s="16" t="str">
        <f>IFERROR(VLOOKUP(C4407,DATA!#REF!,2,FALSE),"")</f>
        <v/>
      </c>
      <c r="I4407" s="17"/>
      <c r="J4407" s="17"/>
      <c r="P4407" s="17"/>
      <c r="Q4407" s="17"/>
    </row>
    <row r="4408" spans="2:17">
      <c r="B4408" s="17"/>
      <c r="C4408" s="16" t="str">
        <f>IFERROR(VLOOKUP(DATA!#REF!,DATA!#REF!,1,FALSE),"")</f>
        <v/>
      </c>
      <c r="D4408" s="16" t="str">
        <f>IFERROR(VLOOKUP(C4408,DATA!#REF!,2,FALSE),"")</f>
        <v/>
      </c>
      <c r="I4408" s="17"/>
      <c r="J4408" s="17"/>
      <c r="P4408" s="17"/>
      <c r="Q4408" s="17"/>
    </row>
    <row r="4409" spans="2:17">
      <c r="B4409" s="17"/>
      <c r="C4409" s="16" t="str">
        <f>IFERROR(VLOOKUP(DATA!#REF!,DATA!#REF!,1,FALSE),"")</f>
        <v/>
      </c>
      <c r="D4409" s="16" t="str">
        <f>IFERROR(VLOOKUP(C4409,DATA!#REF!,2,FALSE),"")</f>
        <v/>
      </c>
      <c r="I4409" s="17"/>
      <c r="J4409" s="17"/>
      <c r="P4409" s="17"/>
      <c r="Q4409" s="17"/>
    </row>
    <row r="4410" spans="2:17">
      <c r="B4410" s="17"/>
      <c r="C4410" s="16" t="str">
        <f>IFERROR(VLOOKUP(DATA!#REF!,DATA!#REF!,1,FALSE),"")</f>
        <v/>
      </c>
      <c r="D4410" s="16" t="str">
        <f>IFERROR(VLOOKUP(C4410,DATA!#REF!,2,FALSE),"")</f>
        <v/>
      </c>
      <c r="I4410" s="17"/>
      <c r="J4410" s="17"/>
      <c r="P4410" s="17"/>
      <c r="Q4410" s="17"/>
    </row>
    <row r="4411" spans="2:17">
      <c r="B4411" s="17"/>
      <c r="C4411" s="16" t="str">
        <f>IFERROR(VLOOKUP(DATA!#REF!,DATA!#REF!,1,FALSE),"")</f>
        <v/>
      </c>
      <c r="D4411" s="16" t="str">
        <f>IFERROR(VLOOKUP(C4411,DATA!#REF!,2,FALSE),"")</f>
        <v/>
      </c>
      <c r="I4411" s="17"/>
      <c r="J4411" s="17"/>
      <c r="P4411" s="17"/>
      <c r="Q4411" s="17"/>
    </row>
    <row r="4412" spans="2:17">
      <c r="B4412" s="17"/>
      <c r="C4412" s="16" t="str">
        <f>IFERROR(VLOOKUP(DATA!#REF!,DATA!#REF!,1,FALSE),"")</f>
        <v/>
      </c>
      <c r="D4412" s="16" t="str">
        <f>IFERROR(VLOOKUP(C4412,DATA!#REF!,2,FALSE),"")</f>
        <v/>
      </c>
      <c r="I4412" s="17"/>
      <c r="J4412" s="17"/>
      <c r="P4412" s="17"/>
      <c r="Q4412" s="17"/>
    </row>
    <row r="4413" spans="2:17">
      <c r="B4413" s="17"/>
      <c r="C4413" s="16" t="str">
        <f>IFERROR(VLOOKUP(DATA!#REF!,DATA!#REF!,1,FALSE),"")</f>
        <v/>
      </c>
      <c r="D4413" s="16" t="str">
        <f>IFERROR(VLOOKUP(C4413,DATA!#REF!,2,FALSE),"")</f>
        <v/>
      </c>
      <c r="I4413" s="17"/>
      <c r="J4413" s="17"/>
      <c r="P4413" s="17"/>
      <c r="Q4413" s="17"/>
    </row>
    <row r="4414" spans="2:17">
      <c r="B4414" s="17"/>
      <c r="C4414" s="16" t="str">
        <f>IFERROR(VLOOKUP(DATA!#REF!,DATA!#REF!,1,FALSE),"")</f>
        <v/>
      </c>
      <c r="D4414" s="16" t="str">
        <f>IFERROR(VLOOKUP(C4414,DATA!#REF!,2,FALSE),"")</f>
        <v/>
      </c>
      <c r="I4414" s="17"/>
      <c r="J4414" s="17"/>
      <c r="P4414" s="17"/>
      <c r="Q4414" s="17"/>
    </row>
    <row r="4415" spans="2:17">
      <c r="B4415" s="17"/>
      <c r="C4415" s="16" t="str">
        <f>IFERROR(VLOOKUP(DATA!#REF!,DATA!#REF!,1,FALSE),"")</f>
        <v/>
      </c>
      <c r="D4415" s="16" t="str">
        <f>IFERROR(VLOOKUP(C4415,DATA!#REF!,2,FALSE),"")</f>
        <v/>
      </c>
      <c r="I4415" s="17"/>
      <c r="J4415" s="17"/>
      <c r="P4415" s="17"/>
      <c r="Q4415" s="17"/>
    </row>
    <row r="4416" spans="2:17">
      <c r="B4416" s="17"/>
      <c r="C4416" s="16" t="str">
        <f>IFERROR(VLOOKUP(DATA!#REF!,DATA!#REF!,1,FALSE),"")</f>
        <v/>
      </c>
      <c r="D4416" s="16" t="str">
        <f>IFERROR(VLOOKUP(C4416,DATA!#REF!,2,FALSE),"")</f>
        <v/>
      </c>
      <c r="I4416" s="17"/>
      <c r="J4416" s="17"/>
      <c r="P4416" s="17"/>
      <c r="Q4416" s="17"/>
    </row>
    <row r="4417" spans="2:17">
      <c r="B4417" s="17"/>
      <c r="C4417" s="16" t="str">
        <f>IFERROR(VLOOKUP(DATA!#REF!,DATA!#REF!,1,FALSE),"")</f>
        <v/>
      </c>
      <c r="D4417" s="16" t="str">
        <f>IFERROR(VLOOKUP(C4417,DATA!#REF!,2,FALSE),"")</f>
        <v/>
      </c>
      <c r="I4417" s="17"/>
      <c r="J4417" s="17"/>
      <c r="P4417" s="17"/>
      <c r="Q4417" s="17"/>
    </row>
    <row r="4418" spans="2:17">
      <c r="B4418" s="17"/>
      <c r="C4418" s="16" t="str">
        <f>IFERROR(VLOOKUP(DATA!#REF!,DATA!#REF!,1,FALSE),"")</f>
        <v/>
      </c>
      <c r="D4418" s="16" t="str">
        <f>IFERROR(VLOOKUP(C4418,DATA!#REF!,2,FALSE),"")</f>
        <v/>
      </c>
      <c r="I4418" s="17"/>
      <c r="J4418" s="17"/>
      <c r="P4418" s="17"/>
      <c r="Q4418" s="17"/>
    </row>
    <row r="4419" spans="2:17">
      <c r="B4419" s="17"/>
      <c r="C4419" s="16" t="str">
        <f>IFERROR(VLOOKUP(DATA!#REF!,DATA!#REF!,1,FALSE),"")</f>
        <v/>
      </c>
      <c r="D4419" s="16" t="str">
        <f>IFERROR(VLOOKUP(C4419,DATA!#REF!,2,FALSE),"")</f>
        <v/>
      </c>
      <c r="I4419" s="17"/>
      <c r="J4419" s="17"/>
      <c r="P4419" s="17"/>
      <c r="Q4419" s="17"/>
    </row>
    <row r="4420" spans="2:17">
      <c r="B4420" s="17"/>
      <c r="C4420" s="16" t="str">
        <f>IFERROR(VLOOKUP(DATA!#REF!,DATA!#REF!,1,FALSE),"")</f>
        <v/>
      </c>
      <c r="D4420" s="16" t="str">
        <f>IFERROR(VLOOKUP(C4420,DATA!#REF!,2,FALSE),"")</f>
        <v/>
      </c>
      <c r="I4420" s="17"/>
      <c r="J4420" s="17"/>
      <c r="P4420" s="17"/>
      <c r="Q4420" s="17"/>
    </row>
    <row r="4421" spans="2:17">
      <c r="B4421" s="17"/>
      <c r="C4421" s="16" t="str">
        <f>IFERROR(VLOOKUP(DATA!#REF!,DATA!#REF!,1,FALSE),"")</f>
        <v/>
      </c>
      <c r="D4421" s="16" t="str">
        <f>IFERROR(VLOOKUP(C4421,DATA!#REF!,2,FALSE),"")</f>
        <v/>
      </c>
      <c r="I4421" s="17"/>
      <c r="J4421" s="17"/>
      <c r="P4421" s="17"/>
      <c r="Q4421" s="17"/>
    </row>
    <row r="4422" spans="2:17">
      <c r="B4422" s="17"/>
      <c r="C4422" s="16" t="str">
        <f>IFERROR(VLOOKUP(DATA!#REF!,DATA!#REF!,1,FALSE),"")</f>
        <v/>
      </c>
      <c r="D4422" s="16" t="str">
        <f>IFERROR(VLOOKUP(C4422,DATA!#REF!,2,FALSE),"")</f>
        <v/>
      </c>
      <c r="I4422" s="17"/>
      <c r="J4422" s="17"/>
      <c r="P4422" s="17"/>
      <c r="Q4422" s="17"/>
    </row>
    <row r="4423" spans="2:17">
      <c r="B4423" s="17"/>
      <c r="C4423" s="16" t="str">
        <f>IFERROR(VLOOKUP(DATA!#REF!,DATA!#REF!,1,FALSE),"")</f>
        <v/>
      </c>
      <c r="D4423" s="16" t="str">
        <f>IFERROR(VLOOKUP(C4423,DATA!#REF!,2,FALSE),"")</f>
        <v/>
      </c>
      <c r="I4423" s="17"/>
      <c r="J4423" s="17"/>
      <c r="P4423" s="17"/>
      <c r="Q4423" s="17"/>
    </row>
    <row r="4424" spans="2:17">
      <c r="B4424" s="17"/>
      <c r="C4424" s="16" t="str">
        <f>IFERROR(VLOOKUP(DATA!#REF!,DATA!#REF!,1,FALSE),"")</f>
        <v/>
      </c>
      <c r="D4424" s="16" t="str">
        <f>IFERROR(VLOOKUP(C4424,DATA!#REF!,2,FALSE),"")</f>
        <v/>
      </c>
      <c r="I4424" s="17"/>
      <c r="J4424" s="17"/>
      <c r="P4424" s="17"/>
      <c r="Q4424" s="17"/>
    </row>
    <row r="4425" spans="2:17">
      <c r="B4425" s="17"/>
      <c r="C4425" s="16" t="str">
        <f>IFERROR(VLOOKUP(DATA!#REF!,DATA!#REF!,1,FALSE),"")</f>
        <v/>
      </c>
      <c r="D4425" s="16" t="str">
        <f>IFERROR(VLOOKUP(C4425,DATA!#REF!,2,FALSE),"")</f>
        <v/>
      </c>
      <c r="I4425" s="17"/>
      <c r="J4425" s="17"/>
      <c r="P4425" s="17"/>
      <c r="Q4425" s="17"/>
    </row>
    <row r="4426" spans="2:17">
      <c r="B4426" s="17"/>
      <c r="C4426" s="16" t="str">
        <f>IFERROR(VLOOKUP(DATA!#REF!,DATA!#REF!,1,FALSE),"")</f>
        <v/>
      </c>
      <c r="D4426" s="16" t="str">
        <f>IFERROR(VLOOKUP(C4426,DATA!#REF!,2,FALSE),"")</f>
        <v/>
      </c>
      <c r="I4426" s="17"/>
      <c r="J4426" s="17"/>
      <c r="P4426" s="17"/>
      <c r="Q4426" s="17"/>
    </row>
    <row r="4427" spans="2:17">
      <c r="B4427" s="17"/>
      <c r="C4427" s="16" t="str">
        <f>IFERROR(VLOOKUP(DATA!#REF!,DATA!#REF!,1,FALSE),"")</f>
        <v/>
      </c>
      <c r="D4427" s="16" t="str">
        <f>IFERROR(VLOOKUP(C4427,DATA!#REF!,2,FALSE),"")</f>
        <v/>
      </c>
      <c r="I4427" s="17"/>
      <c r="J4427" s="17"/>
      <c r="P4427" s="17"/>
      <c r="Q4427" s="17"/>
    </row>
    <row r="4428" spans="2:17">
      <c r="B4428" s="17"/>
      <c r="C4428" s="16" t="str">
        <f>IFERROR(VLOOKUP(DATA!#REF!,DATA!#REF!,1,FALSE),"")</f>
        <v/>
      </c>
      <c r="D4428" s="16" t="str">
        <f>IFERROR(VLOOKUP(C4428,DATA!#REF!,2,FALSE),"")</f>
        <v/>
      </c>
      <c r="I4428" s="17"/>
      <c r="J4428" s="17"/>
      <c r="P4428" s="17"/>
      <c r="Q4428" s="17"/>
    </row>
    <row r="4429" spans="2:17">
      <c r="B4429" s="17"/>
      <c r="C4429" s="16" t="str">
        <f>IFERROR(VLOOKUP(DATA!#REF!,DATA!#REF!,1,FALSE),"")</f>
        <v/>
      </c>
      <c r="D4429" s="16" t="str">
        <f>IFERROR(VLOOKUP(C4429,DATA!#REF!,2,FALSE),"")</f>
        <v/>
      </c>
      <c r="I4429" s="17"/>
      <c r="J4429" s="17"/>
      <c r="P4429" s="17"/>
      <c r="Q4429" s="17"/>
    </row>
    <row r="4430" spans="2:17">
      <c r="B4430" s="17"/>
      <c r="C4430" s="16" t="str">
        <f>IFERROR(VLOOKUP(DATA!#REF!,DATA!#REF!,1,FALSE),"")</f>
        <v/>
      </c>
      <c r="D4430" s="16" t="str">
        <f>IFERROR(VLOOKUP(C4430,DATA!#REF!,2,FALSE),"")</f>
        <v/>
      </c>
      <c r="I4430" s="17"/>
      <c r="J4430" s="17"/>
      <c r="P4430" s="17"/>
      <c r="Q4430" s="17"/>
    </row>
    <row r="4431" spans="2:17">
      <c r="B4431" s="17"/>
      <c r="C4431" s="16" t="str">
        <f>IFERROR(VLOOKUP(DATA!#REF!,DATA!#REF!,1,FALSE),"")</f>
        <v/>
      </c>
      <c r="D4431" s="16" t="str">
        <f>IFERROR(VLOOKUP(C4431,DATA!#REF!,2,FALSE),"")</f>
        <v/>
      </c>
      <c r="I4431" s="17"/>
      <c r="J4431" s="17"/>
      <c r="P4431" s="17"/>
      <c r="Q4431" s="17"/>
    </row>
    <row r="4432" spans="2:17">
      <c r="B4432" s="17"/>
      <c r="C4432" s="16" t="str">
        <f>IFERROR(VLOOKUP(DATA!#REF!,DATA!#REF!,1,FALSE),"")</f>
        <v/>
      </c>
      <c r="D4432" s="16" t="str">
        <f>IFERROR(VLOOKUP(C4432,DATA!#REF!,2,FALSE),"")</f>
        <v/>
      </c>
      <c r="I4432" s="17"/>
      <c r="J4432" s="17"/>
      <c r="P4432" s="17"/>
      <c r="Q4432" s="17"/>
    </row>
    <row r="4433" spans="2:17">
      <c r="B4433" s="17"/>
      <c r="C4433" s="16" t="str">
        <f>IFERROR(VLOOKUP(DATA!#REF!,DATA!#REF!,1,FALSE),"")</f>
        <v/>
      </c>
      <c r="D4433" s="16" t="str">
        <f>IFERROR(VLOOKUP(C4433,DATA!#REF!,2,FALSE),"")</f>
        <v/>
      </c>
      <c r="I4433" s="17"/>
      <c r="J4433" s="17"/>
      <c r="P4433" s="17"/>
      <c r="Q4433" s="17"/>
    </row>
    <row r="4434" spans="2:17">
      <c r="B4434" s="17"/>
      <c r="C4434" s="16" t="str">
        <f>IFERROR(VLOOKUP(DATA!#REF!,DATA!#REF!,1,FALSE),"")</f>
        <v/>
      </c>
      <c r="D4434" s="16" t="str">
        <f>IFERROR(VLOOKUP(C4434,DATA!#REF!,2,FALSE),"")</f>
        <v/>
      </c>
      <c r="I4434" s="17"/>
      <c r="J4434" s="17"/>
      <c r="P4434" s="17"/>
      <c r="Q4434" s="17"/>
    </row>
    <row r="4435" spans="2:17">
      <c r="B4435" s="17"/>
      <c r="C4435" s="16" t="str">
        <f>IFERROR(VLOOKUP(DATA!#REF!,DATA!#REF!,1,FALSE),"")</f>
        <v/>
      </c>
      <c r="D4435" s="16" t="str">
        <f>IFERROR(VLOOKUP(C4435,DATA!#REF!,2,FALSE),"")</f>
        <v/>
      </c>
      <c r="I4435" s="17"/>
      <c r="J4435" s="17"/>
      <c r="P4435" s="17"/>
      <c r="Q4435" s="17"/>
    </row>
    <row r="4436" spans="2:17">
      <c r="B4436" s="17"/>
      <c r="C4436" s="16" t="str">
        <f>IFERROR(VLOOKUP(DATA!#REF!,DATA!#REF!,1,FALSE),"")</f>
        <v/>
      </c>
      <c r="D4436" s="16" t="str">
        <f>IFERROR(VLOOKUP(C4436,DATA!#REF!,2,FALSE),"")</f>
        <v/>
      </c>
      <c r="I4436" s="17"/>
      <c r="J4436" s="17"/>
      <c r="P4436" s="17"/>
      <c r="Q4436" s="17"/>
    </row>
    <row r="4437" spans="2:17">
      <c r="B4437" s="17"/>
      <c r="C4437" s="16" t="str">
        <f>IFERROR(VLOOKUP(DATA!#REF!,DATA!#REF!,1,FALSE),"")</f>
        <v/>
      </c>
      <c r="D4437" s="16" t="str">
        <f>IFERROR(VLOOKUP(C4437,DATA!#REF!,2,FALSE),"")</f>
        <v/>
      </c>
      <c r="I4437" s="17"/>
      <c r="J4437" s="17"/>
      <c r="P4437" s="17"/>
      <c r="Q4437" s="17"/>
    </row>
    <row r="4438" spans="2:17">
      <c r="B4438" s="17"/>
      <c r="C4438" s="16" t="str">
        <f>IFERROR(VLOOKUP(DATA!#REF!,DATA!#REF!,1,FALSE),"")</f>
        <v/>
      </c>
      <c r="D4438" s="16" t="str">
        <f>IFERROR(VLOOKUP(C4438,DATA!#REF!,2,FALSE),"")</f>
        <v/>
      </c>
      <c r="I4438" s="17"/>
      <c r="J4438" s="17"/>
      <c r="P4438" s="17"/>
      <c r="Q4438" s="17"/>
    </row>
    <row r="4439" spans="2:17">
      <c r="B4439" s="17"/>
      <c r="C4439" s="16" t="str">
        <f>IFERROR(VLOOKUP(DATA!#REF!,DATA!#REF!,1,FALSE),"")</f>
        <v/>
      </c>
      <c r="D4439" s="16" t="str">
        <f>IFERROR(VLOOKUP(C4439,DATA!#REF!,2,FALSE),"")</f>
        <v/>
      </c>
      <c r="I4439" s="17"/>
      <c r="J4439" s="17"/>
      <c r="P4439" s="17"/>
      <c r="Q4439" s="17"/>
    </row>
    <row r="4440" spans="2:17">
      <c r="B4440" s="17"/>
      <c r="C4440" s="16" t="str">
        <f>IFERROR(VLOOKUP(DATA!#REF!,DATA!#REF!,1,FALSE),"")</f>
        <v/>
      </c>
      <c r="D4440" s="16" t="str">
        <f>IFERROR(VLOOKUP(C4440,DATA!#REF!,2,FALSE),"")</f>
        <v/>
      </c>
      <c r="I4440" s="17"/>
      <c r="J4440" s="17"/>
      <c r="P4440" s="17"/>
      <c r="Q4440" s="17"/>
    </row>
    <row r="4441" spans="2:17">
      <c r="B4441" s="17"/>
      <c r="C4441" s="16" t="str">
        <f>IFERROR(VLOOKUP(DATA!#REF!,DATA!#REF!,1,FALSE),"")</f>
        <v/>
      </c>
      <c r="D4441" s="16" t="str">
        <f>IFERROR(VLOOKUP(C4441,DATA!#REF!,2,FALSE),"")</f>
        <v/>
      </c>
      <c r="I4441" s="17"/>
      <c r="J4441" s="17"/>
      <c r="P4441" s="17"/>
      <c r="Q4441" s="17"/>
    </row>
    <row r="4442" spans="2:17">
      <c r="B4442" s="17"/>
      <c r="C4442" s="16" t="str">
        <f>IFERROR(VLOOKUP(DATA!#REF!,DATA!#REF!,1,FALSE),"")</f>
        <v/>
      </c>
      <c r="D4442" s="16" t="str">
        <f>IFERROR(VLOOKUP(C4442,DATA!#REF!,2,FALSE),"")</f>
        <v/>
      </c>
      <c r="I4442" s="17"/>
      <c r="J4442" s="17"/>
      <c r="P4442" s="17"/>
      <c r="Q4442" s="17"/>
    </row>
    <row r="4443" spans="2:17">
      <c r="B4443" s="17"/>
      <c r="C4443" s="16" t="str">
        <f>IFERROR(VLOOKUP(DATA!#REF!,DATA!#REF!,1,FALSE),"")</f>
        <v/>
      </c>
      <c r="D4443" s="16" t="str">
        <f>IFERROR(VLOOKUP(C4443,DATA!#REF!,2,FALSE),"")</f>
        <v/>
      </c>
      <c r="I4443" s="17"/>
      <c r="J4443" s="17"/>
      <c r="P4443" s="17"/>
      <c r="Q4443" s="17"/>
    </row>
    <row r="4444" spans="2:17">
      <c r="B4444" s="17"/>
      <c r="C4444" s="16" t="str">
        <f>IFERROR(VLOOKUP(DATA!#REF!,DATA!#REF!,1,FALSE),"")</f>
        <v/>
      </c>
      <c r="D4444" s="16" t="str">
        <f>IFERROR(VLOOKUP(C4444,DATA!#REF!,2,FALSE),"")</f>
        <v/>
      </c>
      <c r="I4444" s="17"/>
      <c r="J4444" s="17"/>
      <c r="P4444" s="17"/>
      <c r="Q4444" s="17"/>
    </row>
    <row r="4445" spans="2:17">
      <c r="B4445" s="17"/>
      <c r="C4445" s="16" t="str">
        <f>IFERROR(VLOOKUP(DATA!#REF!,DATA!#REF!,1,FALSE),"")</f>
        <v/>
      </c>
      <c r="D4445" s="16" t="str">
        <f>IFERROR(VLOOKUP(C4445,DATA!#REF!,2,FALSE),"")</f>
        <v/>
      </c>
      <c r="I4445" s="17"/>
      <c r="J4445" s="17"/>
      <c r="P4445" s="17"/>
      <c r="Q4445" s="17"/>
    </row>
    <row r="4446" spans="2:17">
      <c r="B4446" s="17"/>
      <c r="C4446" s="16" t="str">
        <f>IFERROR(VLOOKUP(DATA!#REF!,DATA!#REF!,1,FALSE),"")</f>
        <v/>
      </c>
      <c r="D4446" s="16" t="str">
        <f>IFERROR(VLOOKUP(C4446,DATA!#REF!,2,FALSE),"")</f>
        <v/>
      </c>
      <c r="I4446" s="17"/>
      <c r="J4446" s="17"/>
      <c r="P4446" s="17"/>
      <c r="Q4446" s="17"/>
    </row>
    <row r="4447" spans="2:17">
      <c r="B4447" s="17"/>
      <c r="C4447" s="16" t="str">
        <f>IFERROR(VLOOKUP(DATA!#REF!,DATA!#REF!,1,FALSE),"")</f>
        <v/>
      </c>
      <c r="D4447" s="16" t="str">
        <f>IFERROR(VLOOKUP(C4447,DATA!#REF!,2,FALSE),"")</f>
        <v/>
      </c>
      <c r="I4447" s="17"/>
      <c r="J4447" s="17"/>
      <c r="P4447" s="17"/>
      <c r="Q4447" s="17"/>
    </row>
    <row r="4448" spans="2:17">
      <c r="B4448" s="17"/>
      <c r="C4448" s="16" t="str">
        <f>IFERROR(VLOOKUP(DATA!#REF!,DATA!#REF!,1,FALSE),"")</f>
        <v/>
      </c>
      <c r="D4448" s="16" t="str">
        <f>IFERROR(VLOOKUP(C4448,DATA!#REF!,2,FALSE),"")</f>
        <v/>
      </c>
      <c r="I4448" s="17"/>
      <c r="J4448" s="17"/>
      <c r="P4448" s="17"/>
      <c r="Q4448" s="17"/>
    </row>
    <row r="4449" spans="2:17">
      <c r="B4449" s="17"/>
      <c r="C4449" s="16" t="str">
        <f>IFERROR(VLOOKUP(DATA!#REF!,DATA!#REF!,1,FALSE),"")</f>
        <v/>
      </c>
      <c r="D4449" s="16" t="str">
        <f>IFERROR(VLOOKUP(C4449,DATA!#REF!,2,FALSE),"")</f>
        <v/>
      </c>
      <c r="I4449" s="17"/>
      <c r="J4449" s="17"/>
      <c r="P4449" s="17"/>
      <c r="Q4449" s="17"/>
    </row>
    <row r="4450" spans="2:17">
      <c r="B4450" s="17"/>
      <c r="C4450" s="16" t="str">
        <f>IFERROR(VLOOKUP(DATA!#REF!,DATA!#REF!,1,FALSE),"")</f>
        <v/>
      </c>
      <c r="D4450" s="16" t="str">
        <f>IFERROR(VLOOKUP(C4450,DATA!#REF!,2,FALSE),"")</f>
        <v/>
      </c>
      <c r="I4450" s="17"/>
      <c r="J4450" s="17"/>
      <c r="P4450" s="17"/>
      <c r="Q4450" s="17"/>
    </row>
    <row r="4451" spans="2:17">
      <c r="B4451" s="17"/>
      <c r="C4451" s="16" t="str">
        <f>IFERROR(VLOOKUP(DATA!#REF!,DATA!#REF!,1,FALSE),"")</f>
        <v/>
      </c>
      <c r="D4451" s="16" t="str">
        <f>IFERROR(VLOOKUP(C4451,DATA!#REF!,2,FALSE),"")</f>
        <v/>
      </c>
      <c r="I4451" s="17"/>
      <c r="J4451" s="17"/>
      <c r="P4451" s="17"/>
      <c r="Q4451" s="17"/>
    </row>
    <row r="4452" spans="2:17">
      <c r="B4452" s="17"/>
      <c r="C4452" s="16" t="str">
        <f>IFERROR(VLOOKUP(DATA!#REF!,DATA!#REF!,1,FALSE),"")</f>
        <v/>
      </c>
      <c r="D4452" s="16" t="str">
        <f>IFERROR(VLOOKUP(C4452,DATA!#REF!,2,FALSE),"")</f>
        <v/>
      </c>
      <c r="I4452" s="17"/>
      <c r="J4452" s="17"/>
      <c r="P4452" s="17"/>
      <c r="Q4452" s="17"/>
    </row>
    <row r="4453" spans="2:17">
      <c r="B4453" s="17"/>
      <c r="C4453" s="16" t="str">
        <f>IFERROR(VLOOKUP(DATA!#REF!,DATA!#REF!,1,FALSE),"")</f>
        <v/>
      </c>
      <c r="D4453" s="16" t="str">
        <f>IFERROR(VLOOKUP(C4453,DATA!#REF!,2,FALSE),"")</f>
        <v/>
      </c>
      <c r="I4453" s="17"/>
      <c r="J4453" s="17"/>
      <c r="P4453" s="17"/>
      <c r="Q4453" s="17"/>
    </row>
    <row r="4454" spans="2:17">
      <c r="B4454" s="17"/>
      <c r="C4454" s="16" t="str">
        <f>IFERROR(VLOOKUP(DATA!#REF!,DATA!#REF!,1,FALSE),"")</f>
        <v/>
      </c>
      <c r="D4454" s="16" t="str">
        <f>IFERROR(VLOOKUP(C4454,DATA!#REF!,2,FALSE),"")</f>
        <v/>
      </c>
      <c r="I4454" s="17"/>
      <c r="J4454" s="17"/>
      <c r="P4454" s="17"/>
      <c r="Q4454" s="17"/>
    </row>
    <row r="4455" spans="2:17">
      <c r="B4455" s="17"/>
      <c r="C4455" s="16" t="str">
        <f>IFERROR(VLOOKUP(DATA!#REF!,DATA!#REF!,1,FALSE),"")</f>
        <v/>
      </c>
      <c r="D4455" s="16" t="str">
        <f>IFERROR(VLOOKUP(C4455,DATA!#REF!,2,FALSE),"")</f>
        <v/>
      </c>
      <c r="I4455" s="17"/>
      <c r="J4455" s="17"/>
      <c r="P4455" s="17"/>
      <c r="Q4455" s="17"/>
    </row>
    <row r="4456" spans="2:17">
      <c r="B4456" s="17"/>
      <c r="C4456" s="16" t="str">
        <f>IFERROR(VLOOKUP(DATA!#REF!,DATA!#REF!,1,FALSE),"")</f>
        <v/>
      </c>
      <c r="D4456" s="16" t="str">
        <f>IFERROR(VLOOKUP(C4456,DATA!#REF!,2,FALSE),"")</f>
        <v/>
      </c>
      <c r="I4456" s="17"/>
      <c r="J4456" s="17"/>
      <c r="P4456" s="17"/>
      <c r="Q4456" s="17"/>
    </row>
    <row r="4457" spans="2:17">
      <c r="B4457" s="17"/>
      <c r="C4457" s="16" t="str">
        <f>IFERROR(VLOOKUP(DATA!#REF!,DATA!#REF!,1,FALSE),"")</f>
        <v/>
      </c>
      <c r="D4457" s="16" t="str">
        <f>IFERROR(VLOOKUP(C4457,DATA!#REF!,2,FALSE),"")</f>
        <v/>
      </c>
      <c r="I4457" s="17"/>
      <c r="J4457" s="17"/>
      <c r="P4457" s="17"/>
      <c r="Q4457" s="17"/>
    </row>
    <row r="4458" spans="2:17">
      <c r="B4458" s="17"/>
      <c r="C4458" s="16" t="str">
        <f>IFERROR(VLOOKUP(DATA!#REF!,DATA!#REF!,1,FALSE),"")</f>
        <v/>
      </c>
      <c r="D4458" s="16" t="str">
        <f>IFERROR(VLOOKUP(C4458,DATA!#REF!,2,FALSE),"")</f>
        <v/>
      </c>
      <c r="I4458" s="17"/>
      <c r="J4458" s="17"/>
      <c r="P4458" s="17"/>
      <c r="Q4458" s="17"/>
    </row>
    <row r="4459" spans="2:17">
      <c r="B4459" s="17"/>
      <c r="C4459" s="16" t="str">
        <f>IFERROR(VLOOKUP(DATA!#REF!,DATA!#REF!,1,FALSE),"")</f>
        <v/>
      </c>
      <c r="D4459" s="16" t="str">
        <f>IFERROR(VLOOKUP(C4459,DATA!#REF!,2,FALSE),"")</f>
        <v/>
      </c>
      <c r="I4459" s="17"/>
      <c r="J4459" s="17"/>
      <c r="P4459" s="17"/>
      <c r="Q4459" s="17"/>
    </row>
    <row r="4460" spans="2:17">
      <c r="B4460" s="17"/>
      <c r="C4460" s="16" t="str">
        <f>IFERROR(VLOOKUP(DATA!#REF!,DATA!#REF!,1,FALSE),"")</f>
        <v/>
      </c>
      <c r="D4460" s="16" t="str">
        <f>IFERROR(VLOOKUP(C4460,DATA!#REF!,2,FALSE),"")</f>
        <v/>
      </c>
      <c r="I4460" s="17"/>
      <c r="J4460" s="17"/>
      <c r="P4460" s="17"/>
      <c r="Q4460" s="17"/>
    </row>
    <row r="4461" spans="2:17">
      <c r="B4461" s="17"/>
      <c r="C4461" s="16" t="str">
        <f>IFERROR(VLOOKUP(DATA!#REF!,DATA!#REF!,1,FALSE),"")</f>
        <v/>
      </c>
      <c r="D4461" s="16" t="str">
        <f>IFERROR(VLOOKUP(C4461,DATA!#REF!,2,FALSE),"")</f>
        <v/>
      </c>
      <c r="I4461" s="17"/>
      <c r="J4461" s="17"/>
      <c r="P4461" s="17"/>
      <c r="Q4461" s="17"/>
    </row>
    <row r="4462" spans="2:17">
      <c r="B4462" s="17"/>
      <c r="C4462" s="16" t="str">
        <f>IFERROR(VLOOKUP(DATA!#REF!,DATA!#REF!,1,FALSE),"")</f>
        <v/>
      </c>
      <c r="D4462" s="16" t="str">
        <f>IFERROR(VLOOKUP(C4462,DATA!#REF!,2,FALSE),"")</f>
        <v/>
      </c>
      <c r="I4462" s="17"/>
      <c r="J4462" s="17"/>
      <c r="P4462" s="17"/>
      <c r="Q4462" s="17"/>
    </row>
    <row r="4463" spans="2:17">
      <c r="B4463" s="17"/>
      <c r="C4463" s="16" t="str">
        <f>IFERROR(VLOOKUP(DATA!#REF!,DATA!#REF!,1,FALSE),"")</f>
        <v/>
      </c>
      <c r="D4463" s="16" t="str">
        <f>IFERROR(VLOOKUP(C4463,DATA!#REF!,2,FALSE),"")</f>
        <v/>
      </c>
      <c r="I4463" s="17"/>
      <c r="J4463" s="17"/>
      <c r="P4463" s="17"/>
      <c r="Q4463" s="17"/>
    </row>
    <row r="4464" spans="2:17">
      <c r="B4464" s="17"/>
      <c r="C4464" s="16" t="str">
        <f>IFERROR(VLOOKUP(DATA!#REF!,DATA!#REF!,1,FALSE),"")</f>
        <v/>
      </c>
      <c r="D4464" s="16" t="str">
        <f>IFERROR(VLOOKUP(C4464,DATA!#REF!,2,FALSE),"")</f>
        <v/>
      </c>
      <c r="I4464" s="17"/>
      <c r="J4464" s="17"/>
      <c r="P4464" s="17"/>
      <c r="Q4464" s="17"/>
    </row>
    <row r="4465" spans="2:17">
      <c r="B4465" s="17"/>
      <c r="C4465" s="16" t="str">
        <f>IFERROR(VLOOKUP(DATA!#REF!,DATA!#REF!,1,FALSE),"")</f>
        <v/>
      </c>
      <c r="D4465" s="16" t="str">
        <f>IFERROR(VLOOKUP(C4465,DATA!#REF!,2,FALSE),"")</f>
        <v/>
      </c>
      <c r="I4465" s="17"/>
      <c r="J4465" s="17"/>
      <c r="P4465" s="17"/>
      <c r="Q4465" s="17"/>
    </row>
    <row r="4466" spans="2:17">
      <c r="B4466" s="17"/>
      <c r="C4466" s="16" t="str">
        <f>IFERROR(VLOOKUP(DATA!#REF!,DATA!#REF!,1,FALSE),"")</f>
        <v/>
      </c>
      <c r="D4466" s="16" t="str">
        <f>IFERROR(VLOOKUP(C4466,DATA!#REF!,2,FALSE),"")</f>
        <v/>
      </c>
      <c r="I4466" s="17"/>
      <c r="J4466" s="17"/>
      <c r="P4466" s="17"/>
      <c r="Q4466" s="17"/>
    </row>
    <row r="4467" spans="2:17">
      <c r="B4467" s="17"/>
      <c r="C4467" s="16" t="str">
        <f>IFERROR(VLOOKUP(DATA!#REF!,DATA!#REF!,1,FALSE),"")</f>
        <v/>
      </c>
      <c r="D4467" s="16" t="str">
        <f>IFERROR(VLOOKUP(C4467,DATA!#REF!,2,FALSE),"")</f>
        <v/>
      </c>
      <c r="I4467" s="17"/>
      <c r="J4467" s="17"/>
      <c r="P4467" s="17"/>
      <c r="Q4467" s="17"/>
    </row>
    <row r="4468" spans="2:17">
      <c r="B4468" s="17"/>
      <c r="C4468" s="16" t="str">
        <f>IFERROR(VLOOKUP(DATA!#REF!,DATA!#REF!,1,FALSE),"")</f>
        <v/>
      </c>
      <c r="D4468" s="16" t="str">
        <f>IFERROR(VLOOKUP(C4468,DATA!#REF!,2,FALSE),"")</f>
        <v/>
      </c>
      <c r="I4468" s="17"/>
      <c r="J4468" s="17"/>
      <c r="P4468" s="17"/>
      <c r="Q4468" s="17"/>
    </row>
    <row r="4469" spans="2:17">
      <c r="B4469" s="17"/>
      <c r="C4469" s="16" t="str">
        <f>IFERROR(VLOOKUP(DATA!#REF!,DATA!#REF!,1,FALSE),"")</f>
        <v/>
      </c>
      <c r="D4469" s="16" t="str">
        <f>IFERROR(VLOOKUP(C4469,DATA!#REF!,2,FALSE),"")</f>
        <v/>
      </c>
      <c r="I4469" s="17"/>
      <c r="J4469" s="17"/>
      <c r="P4469" s="17"/>
      <c r="Q4469" s="17"/>
    </row>
    <row r="4470" spans="2:17">
      <c r="B4470" s="17"/>
      <c r="C4470" s="16" t="str">
        <f>IFERROR(VLOOKUP(DATA!#REF!,DATA!#REF!,1,FALSE),"")</f>
        <v/>
      </c>
      <c r="D4470" s="16" t="str">
        <f>IFERROR(VLOOKUP(C4470,DATA!#REF!,2,FALSE),"")</f>
        <v/>
      </c>
      <c r="I4470" s="17"/>
      <c r="J4470" s="17"/>
      <c r="P4470" s="17"/>
      <c r="Q4470" s="17"/>
    </row>
    <row r="4471" spans="2:17">
      <c r="B4471" s="17"/>
      <c r="C4471" s="16" t="str">
        <f>IFERROR(VLOOKUP(DATA!#REF!,DATA!#REF!,1,FALSE),"")</f>
        <v/>
      </c>
      <c r="D4471" s="16" t="str">
        <f>IFERROR(VLOOKUP(C4471,DATA!#REF!,2,FALSE),"")</f>
        <v/>
      </c>
      <c r="I4471" s="17"/>
      <c r="J4471" s="17"/>
      <c r="P4471" s="17"/>
      <c r="Q4471" s="17"/>
    </row>
    <row r="4472" spans="2:17">
      <c r="B4472" s="17"/>
      <c r="C4472" s="16" t="str">
        <f>IFERROR(VLOOKUP(DATA!#REF!,DATA!#REF!,1,FALSE),"")</f>
        <v/>
      </c>
      <c r="D4472" s="16" t="str">
        <f>IFERROR(VLOOKUP(C4472,DATA!#REF!,2,FALSE),"")</f>
        <v/>
      </c>
      <c r="I4472" s="17"/>
      <c r="J4472" s="17"/>
      <c r="P4472" s="17"/>
      <c r="Q4472" s="17"/>
    </row>
    <row r="4473" spans="2:17">
      <c r="B4473" s="17"/>
      <c r="C4473" s="16" t="str">
        <f>IFERROR(VLOOKUP(DATA!#REF!,DATA!#REF!,1,FALSE),"")</f>
        <v/>
      </c>
      <c r="D4473" s="16" t="str">
        <f>IFERROR(VLOOKUP(C4473,DATA!#REF!,2,FALSE),"")</f>
        <v/>
      </c>
      <c r="I4473" s="17"/>
      <c r="J4473" s="17"/>
      <c r="P4473" s="17"/>
      <c r="Q4473" s="17"/>
    </row>
    <row r="4474" spans="2:17">
      <c r="B4474" s="17"/>
      <c r="C4474" s="16" t="str">
        <f>IFERROR(VLOOKUP(DATA!#REF!,DATA!#REF!,1,FALSE),"")</f>
        <v/>
      </c>
      <c r="D4474" s="16" t="str">
        <f>IFERROR(VLOOKUP(C4474,DATA!#REF!,2,FALSE),"")</f>
        <v/>
      </c>
      <c r="I4474" s="17"/>
      <c r="J4474" s="17"/>
      <c r="P4474" s="17"/>
      <c r="Q4474" s="17"/>
    </row>
    <row r="4475" spans="2:17">
      <c r="B4475" s="17"/>
      <c r="C4475" s="16" t="str">
        <f>IFERROR(VLOOKUP(DATA!#REF!,DATA!#REF!,1,FALSE),"")</f>
        <v/>
      </c>
      <c r="D4475" s="16" t="str">
        <f>IFERROR(VLOOKUP(C4475,DATA!#REF!,2,FALSE),"")</f>
        <v/>
      </c>
      <c r="I4475" s="17"/>
      <c r="J4475" s="17"/>
      <c r="P4475" s="17"/>
      <c r="Q4475" s="17"/>
    </row>
    <row r="4476" spans="2:17">
      <c r="B4476" s="17"/>
      <c r="C4476" s="16" t="str">
        <f>IFERROR(VLOOKUP(DATA!#REF!,DATA!#REF!,1,FALSE),"")</f>
        <v/>
      </c>
      <c r="D4476" s="16" t="str">
        <f>IFERROR(VLOOKUP(C4476,DATA!#REF!,2,FALSE),"")</f>
        <v/>
      </c>
      <c r="I4476" s="17"/>
      <c r="J4476" s="17"/>
      <c r="P4476" s="17"/>
      <c r="Q4476" s="17"/>
    </row>
    <row r="4477" spans="2:17">
      <c r="B4477" s="17"/>
      <c r="C4477" s="16" t="str">
        <f>IFERROR(VLOOKUP(DATA!#REF!,DATA!#REF!,1,FALSE),"")</f>
        <v/>
      </c>
      <c r="D4477" s="16" t="str">
        <f>IFERROR(VLOOKUP(C4477,DATA!#REF!,2,FALSE),"")</f>
        <v/>
      </c>
      <c r="I4477" s="17"/>
      <c r="J4477" s="17"/>
      <c r="P4477" s="17"/>
      <c r="Q4477" s="17"/>
    </row>
    <row r="4478" spans="2:17">
      <c r="B4478" s="17"/>
      <c r="C4478" s="16" t="str">
        <f>IFERROR(VLOOKUP(DATA!#REF!,DATA!#REF!,1,FALSE),"")</f>
        <v/>
      </c>
      <c r="D4478" s="16" t="str">
        <f>IFERROR(VLOOKUP(C4478,DATA!#REF!,2,FALSE),"")</f>
        <v/>
      </c>
      <c r="I4478" s="17"/>
      <c r="J4478" s="17"/>
      <c r="P4478" s="17"/>
      <c r="Q4478" s="17"/>
    </row>
    <row r="4479" spans="2:17">
      <c r="B4479" s="17"/>
      <c r="C4479" s="16" t="str">
        <f>IFERROR(VLOOKUP(DATA!#REF!,DATA!#REF!,1,FALSE),"")</f>
        <v/>
      </c>
      <c r="D4479" s="16" t="str">
        <f>IFERROR(VLOOKUP(C4479,DATA!#REF!,2,FALSE),"")</f>
        <v/>
      </c>
      <c r="I4479" s="17"/>
      <c r="J4479" s="17"/>
      <c r="P4479" s="17"/>
      <c r="Q4479" s="17"/>
    </row>
    <row r="4480" spans="2:17">
      <c r="B4480" s="17"/>
      <c r="C4480" s="16" t="str">
        <f>IFERROR(VLOOKUP(DATA!#REF!,DATA!#REF!,1,FALSE),"")</f>
        <v/>
      </c>
      <c r="D4480" s="16" t="str">
        <f>IFERROR(VLOOKUP(C4480,DATA!#REF!,2,FALSE),"")</f>
        <v/>
      </c>
      <c r="I4480" s="17"/>
      <c r="J4480" s="17"/>
      <c r="P4480" s="17"/>
      <c r="Q4480" s="17"/>
    </row>
    <row r="4481" spans="2:17">
      <c r="B4481" s="17"/>
      <c r="C4481" s="16" t="str">
        <f>IFERROR(VLOOKUP(DATA!#REF!,DATA!#REF!,1,FALSE),"")</f>
        <v/>
      </c>
      <c r="D4481" s="16" t="str">
        <f>IFERROR(VLOOKUP(C4481,DATA!#REF!,2,FALSE),"")</f>
        <v/>
      </c>
      <c r="I4481" s="17"/>
      <c r="J4481" s="17"/>
      <c r="P4481" s="17"/>
      <c r="Q4481" s="17"/>
    </row>
    <row r="4482" spans="2:17">
      <c r="B4482" s="17"/>
      <c r="C4482" s="16" t="str">
        <f>IFERROR(VLOOKUP(DATA!#REF!,DATA!#REF!,1,FALSE),"")</f>
        <v/>
      </c>
      <c r="D4482" s="16" t="str">
        <f>IFERROR(VLOOKUP(C4482,DATA!#REF!,2,FALSE),"")</f>
        <v/>
      </c>
      <c r="I4482" s="17"/>
      <c r="J4482" s="17"/>
      <c r="P4482" s="17"/>
      <c r="Q4482" s="17"/>
    </row>
    <row r="4483" spans="2:17">
      <c r="B4483" s="17"/>
      <c r="C4483" s="16" t="str">
        <f>IFERROR(VLOOKUP(DATA!#REF!,DATA!#REF!,1,FALSE),"")</f>
        <v/>
      </c>
      <c r="D4483" s="16" t="str">
        <f>IFERROR(VLOOKUP(C4483,DATA!#REF!,2,FALSE),"")</f>
        <v/>
      </c>
      <c r="I4483" s="17"/>
      <c r="J4483" s="17"/>
      <c r="P4483" s="17"/>
      <c r="Q4483" s="17"/>
    </row>
    <row r="4484" spans="2:17">
      <c r="B4484" s="17"/>
      <c r="C4484" s="16" t="str">
        <f>IFERROR(VLOOKUP(DATA!#REF!,DATA!#REF!,1,FALSE),"")</f>
        <v/>
      </c>
      <c r="D4484" s="16" t="str">
        <f>IFERROR(VLOOKUP(C4484,DATA!#REF!,2,FALSE),"")</f>
        <v/>
      </c>
      <c r="I4484" s="17"/>
      <c r="J4484" s="17"/>
      <c r="P4484" s="17"/>
      <c r="Q4484" s="17"/>
    </row>
    <row r="4485" spans="2:17">
      <c r="B4485" s="17"/>
      <c r="C4485" s="16" t="str">
        <f>IFERROR(VLOOKUP(DATA!#REF!,DATA!#REF!,1,FALSE),"")</f>
        <v/>
      </c>
      <c r="D4485" s="16" t="str">
        <f>IFERROR(VLOOKUP(C4485,DATA!#REF!,2,FALSE),"")</f>
        <v/>
      </c>
      <c r="I4485" s="17"/>
      <c r="J4485" s="17"/>
      <c r="P4485" s="17"/>
      <c r="Q4485" s="17"/>
    </row>
    <row r="4486" spans="2:17">
      <c r="B4486" s="17"/>
      <c r="C4486" s="16" t="str">
        <f>IFERROR(VLOOKUP(DATA!#REF!,DATA!#REF!,1,FALSE),"")</f>
        <v/>
      </c>
      <c r="D4486" s="16" t="str">
        <f>IFERROR(VLOOKUP(C4486,DATA!#REF!,2,FALSE),"")</f>
        <v/>
      </c>
      <c r="I4486" s="17"/>
      <c r="J4486" s="17"/>
      <c r="P4486" s="17"/>
      <c r="Q4486" s="17"/>
    </row>
    <row r="4487" spans="2:17">
      <c r="B4487" s="17"/>
      <c r="C4487" s="16" t="str">
        <f>IFERROR(VLOOKUP(DATA!#REF!,DATA!#REF!,1,FALSE),"")</f>
        <v/>
      </c>
      <c r="D4487" s="16" t="str">
        <f>IFERROR(VLOOKUP(C4487,DATA!#REF!,2,FALSE),"")</f>
        <v/>
      </c>
      <c r="I4487" s="17"/>
      <c r="J4487" s="17"/>
      <c r="P4487" s="17"/>
      <c r="Q4487" s="17"/>
    </row>
    <row r="4488" spans="2:17">
      <c r="B4488" s="17"/>
      <c r="C4488" s="16" t="str">
        <f>IFERROR(VLOOKUP(DATA!#REF!,DATA!#REF!,1,FALSE),"")</f>
        <v/>
      </c>
      <c r="D4488" s="16" t="str">
        <f>IFERROR(VLOOKUP(C4488,DATA!#REF!,2,FALSE),"")</f>
        <v/>
      </c>
      <c r="I4488" s="17"/>
      <c r="J4488" s="17"/>
      <c r="P4488" s="17"/>
      <c r="Q4488" s="17"/>
    </row>
    <row r="4489" spans="2:17">
      <c r="B4489" s="17"/>
      <c r="C4489" s="16" t="str">
        <f>IFERROR(VLOOKUP(DATA!#REF!,DATA!#REF!,1,FALSE),"")</f>
        <v/>
      </c>
      <c r="D4489" s="16" t="str">
        <f>IFERROR(VLOOKUP(C4489,DATA!#REF!,2,FALSE),"")</f>
        <v/>
      </c>
      <c r="I4489" s="17"/>
      <c r="J4489" s="17"/>
      <c r="P4489" s="17"/>
      <c r="Q4489" s="17"/>
    </row>
    <row r="4490" spans="2:17">
      <c r="B4490" s="17"/>
      <c r="C4490" s="16" t="str">
        <f>IFERROR(VLOOKUP(DATA!#REF!,DATA!#REF!,1,FALSE),"")</f>
        <v/>
      </c>
      <c r="D4490" s="16" t="str">
        <f>IFERROR(VLOOKUP(C4490,DATA!#REF!,2,FALSE),"")</f>
        <v/>
      </c>
      <c r="I4490" s="17"/>
      <c r="J4490" s="17"/>
      <c r="P4490" s="17"/>
      <c r="Q4490" s="17"/>
    </row>
    <row r="4491" spans="2:17">
      <c r="B4491" s="17"/>
      <c r="C4491" s="16" t="str">
        <f>IFERROR(VLOOKUP(DATA!#REF!,DATA!#REF!,1,FALSE),"")</f>
        <v/>
      </c>
      <c r="D4491" s="16" t="str">
        <f>IFERROR(VLOOKUP(C4491,DATA!#REF!,2,FALSE),"")</f>
        <v/>
      </c>
      <c r="I4491" s="17"/>
      <c r="J4491" s="17"/>
      <c r="P4491" s="17"/>
      <c r="Q4491" s="17"/>
    </row>
    <row r="4492" spans="2:17">
      <c r="B4492" s="17"/>
      <c r="C4492" s="16" t="str">
        <f>IFERROR(VLOOKUP(DATA!#REF!,DATA!#REF!,1,FALSE),"")</f>
        <v/>
      </c>
      <c r="D4492" s="16" t="str">
        <f>IFERROR(VLOOKUP(C4492,DATA!#REF!,2,FALSE),"")</f>
        <v/>
      </c>
      <c r="I4492" s="17"/>
      <c r="J4492" s="17"/>
      <c r="P4492" s="17"/>
      <c r="Q4492" s="17"/>
    </row>
    <row r="4493" spans="2:17">
      <c r="B4493" s="17"/>
      <c r="C4493" s="16" t="str">
        <f>IFERROR(VLOOKUP(DATA!#REF!,DATA!#REF!,1,FALSE),"")</f>
        <v/>
      </c>
      <c r="D4493" s="16" t="str">
        <f>IFERROR(VLOOKUP(C4493,DATA!#REF!,2,FALSE),"")</f>
        <v/>
      </c>
      <c r="I4493" s="17"/>
      <c r="J4493" s="17"/>
      <c r="P4493" s="17"/>
      <c r="Q4493" s="17"/>
    </row>
    <row r="4494" spans="2:17">
      <c r="B4494" s="17"/>
      <c r="C4494" s="16" t="str">
        <f>IFERROR(VLOOKUP(DATA!#REF!,DATA!#REF!,1,FALSE),"")</f>
        <v/>
      </c>
      <c r="D4494" s="16" t="str">
        <f>IFERROR(VLOOKUP(C4494,DATA!#REF!,2,FALSE),"")</f>
        <v/>
      </c>
      <c r="I4494" s="17"/>
      <c r="J4494" s="17"/>
      <c r="P4494" s="17"/>
      <c r="Q4494" s="17"/>
    </row>
    <row r="4495" spans="2:17">
      <c r="B4495" s="17"/>
      <c r="C4495" s="16" t="str">
        <f>IFERROR(VLOOKUP(DATA!#REF!,DATA!#REF!,1,FALSE),"")</f>
        <v/>
      </c>
      <c r="D4495" s="16" t="str">
        <f>IFERROR(VLOOKUP(C4495,DATA!#REF!,2,FALSE),"")</f>
        <v/>
      </c>
      <c r="I4495" s="17"/>
      <c r="J4495" s="17"/>
      <c r="P4495" s="17"/>
      <c r="Q4495" s="17"/>
    </row>
    <row r="4496" spans="2:17">
      <c r="B4496" s="17"/>
      <c r="C4496" s="16" t="str">
        <f>IFERROR(VLOOKUP(DATA!#REF!,DATA!#REF!,1,FALSE),"")</f>
        <v/>
      </c>
      <c r="D4496" s="16" t="str">
        <f>IFERROR(VLOOKUP(C4496,DATA!#REF!,2,FALSE),"")</f>
        <v/>
      </c>
      <c r="I4496" s="17"/>
      <c r="J4496" s="17"/>
      <c r="P4496" s="17"/>
      <c r="Q4496" s="17"/>
    </row>
    <row r="4497" spans="2:17">
      <c r="B4497" s="17"/>
      <c r="C4497" s="16" t="str">
        <f>IFERROR(VLOOKUP(DATA!#REF!,DATA!#REF!,1,FALSE),"")</f>
        <v/>
      </c>
      <c r="D4497" s="16" t="str">
        <f>IFERROR(VLOOKUP(C4497,DATA!#REF!,2,FALSE),"")</f>
        <v/>
      </c>
      <c r="I4497" s="17"/>
      <c r="J4497" s="17"/>
      <c r="P4497" s="17"/>
      <c r="Q4497" s="17"/>
    </row>
    <row r="4498" spans="2:17">
      <c r="B4498" s="17"/>
      <c r="C4498" s="16" t="str">
        <f>IFERROR(VLOOKUP(DATA!#REF!,DATA!#REF!,1,FALSE),"")</f>
        <v/>
      </c>
      <c r="D4498" s="16" t="str">
        <f>IFERROR(VLOOKUP(C4498,DATA!#REF!,2,FALSE),"")</f>
        <v/>
      </c>
      <c r="I4498" s="17"/>
      <c r="J4498" s="17"/>
      <c r="P4498" s="17"/>
      <c r="Q4498" s="17"/>
    </row>
    <row r="4499" spans="2:17">
      <c r="B4499" s="17"/>
      <c r="C4499" s="16" t="str">
        <f>IFERROR(VLOOKUP(DATA!#REF!,DATA!#REF!,1,FALSE),"")</f>
        <v/>
      </c>
      <c r="D4499" s="16" t="str">
        <f>IFERROR(VLOOKUP(C4499,DATA!#REF!,2,FALSE),"")</f>
        <v/>
      </c>
      <c r="I4499" s="17"/>
      <c r="J4499" s="17"/>
      <c r="P4499" s="17"/>
      <c r="Q4499" s="17"/>
    </row>
    <row r="4500" spans="2:17">
      <c r="B4500" s="17"/>
      <c r="C4500" s="16" t="str">
        <f>IFERROR(VLOOKUP(DATA!#REF!,DATA!#REF!,1,FALSE),"")</f>
        <v/>
      </c>
      <c r="D4500" s="16" t="str">
        <f>IFERROR(VLOOKUP(C4500,DATA!#REF!,2,FALSE),"")</f>
        <v/>
      </c>
      <c r="I4500" s="17"/>
      <c r="J4500" s="17"/>
      <c r="P4500" s="17"/>
      <c r="Q4500" s="17"/>
    </row>
    <row r="4501" spans="2:17">
      <c r="B4501" s="17"/>
      <c r="C4501" s="16" t="str">
        <f>IFERROR(VLOOKUP(DATA!#REF!,DATA!#REF!,1,FALSE),"")</f>
        <v/>
      </c>
      <c r="D4501" s="16" t="str">
        <f>IFERROR(VLOOKUP(C4501,DATA!#REF!,2,FALSE),"")</f>
        <v/>
      </c>
      <c r="I4501" s="17"/>
      <c r="J4501" s="17"/>
      <c r="P4501" s="17"/>
      <c r="Q4501" s="17"/>
    </row>
    <row r="4502" spans="2:17">
      <c r="B4502" s="17"/>
      <c r="C4502" s="16" t="str">
        <f>IFERROR(VLOOKUP(DATA!#REF!,DATA!#REF!,1,FALSE),"")</f>
        <v/>
      </c>
      <c r="D4502" s="16" t="str">
        <f>IFERROR(VLOOKUP(C4502,DATA!#REF!,2,FALSE),"")</f>
        <v/>
      </c>
      <c r="I4502" s="17"/>
      <c r="J4502" s="17"/>
      <c r="P4502" s="17"/>
      <c r="Q4502" s="17"/>
    </row>
    <row r="4503" spans="2:17">
      <c r="B4503" s="17"/>
      <c r="C4503" s="16" t="str">
        <f>IFERROR(VLOOKUP(DATA!#REF!,DATA!#REF!,1,FALSE),"")</f>
        <v/>
      </c>
      <c r="D4503" s="16" t="str">
        <f>IFERROR(VLOOKUP(C4503,DATA!#REF!,2,FALSE),"")</f>
        <v/>
      </c>
      <c r="I4503" s="17"/>
      <c r="J4503" s="17"/>
      <c r="P4503" s="17"/>
      <c r="Q4503" s="17"/>
    </row>
    <row r="4504" spans="2:17">
      <c r="B4504" s="17"/>
      <c r="C4504" s="16" t="str">
        <f>IFERROR(VLOOKUP(DATA!#REF!,DATA!#REF!,1,FALSE),"")</f>
        <v/>
      </c>
      <c r="D4504" s="16" t="str">
        <f>IFERROR(VLOOKUP(C4504,DATA!#REF!,2,FALSE),"")</f>
        <v/>
      </c>
      <c r="I4504" s="17"/>
      <c r="J4504" s="17"/>
      <c r="P4504" s="17"/>
      <c r="Q4504" s="17"/>
    </row>
    <row r="4505" spans="2:17">
      <c r="B4505" s="17"/>
      <c r="C4505" s="16" t="str">
        <f>IFERROR(VLOOKUP(DATA!#REF!,DATA!#REF!,1,FALSE),"")</f>
        <v/>
      </c>
      <c r="D4505" s="16" t="str">
        <f>IFERROR(VLOOKUP(C4505,DATA!#REF!,2,FALSE),"")</f>
        <v/>
      </c>
      <c r="I4505" s="17"/>
      <c r="J4505" s="17"/>
      <c r="P4505" s="17"/>
      <c r="Q4505" s="17"/>
    </row>
    <row r="4506" spans="2:17">
      <c r="B4506" s="17"/>
      <c r="C4506" s="16" t="str">
        <f>IFERROR(VLOOKUP(DATA!#REF!,DATA!#REF!,1,FALSE),"")</f>
        <v/>
      </c>
      <c r="D4506" s="16" t="str">
        <f>IFERROR(VLOOKUP(C4506,DATA!#REF!,2,FALSE),"")</f>
        <v/>
      </c>
      <c r="I4506" s="17"/>
      <c r="J4506" s="17"/>
      <c r="P4506" s="17"/>
      <c r="Q4506" s="17"/>
    </row>
    <row r="4507" spans="2:17">
      <c r="B4507" s="17"/>
      <c r="C4507" s="16" t="str">
        <f>IFERROR(VLOOKUP(DATA!#REF!,DATA!#REF!,1,FALSE),"")</f>
        <v/>
      </c>
      <c r="D4507" s="16" t="str">
        <f>IFERROR(VLOOKUP(C4507,DATA!#REF!,2,FALSE),"")</f>
        <v/>
      </c>
      <c r="I4507" s="17"/>
      <c r="J4507" s="17"/>
      <c r="P4507" s="17"/>
      <c r="Q4507" s="17"/>
    </row>
    <row r="4508" spans="2:17">
      <c r="B4508" s="17"/>
      <c r="C4508" s="16" t="str">
        <f>IFERROR(VLOOKUP(DATA!#REF!,DATA!#REF!,1,FALSE),"")</f>
        <v/>
      </c>
      <c r="D4508" s="16" t="str">
        <f>IFERROR(VLOOKUP(C4508,DATA!#REF!,2,FALSE),"")</f>
        <v/>
      </c>
      <c r="I4508" s="17"/>
      <c r="J4508" s="17"/>
      <c r="P4508" s="17"/>
      <c r="Q4508" s="17"/>
    </row>
    <row r="4509" spans="2:17">
      <c r="B4509" s="17"/>
      <c r="C4509" s="16" t="str">
        <f>IFERROR(VLOOKUP(DATA!#REF!,DATA!#REF!,1,FALSE),"")</f>
        <v/>
      </c>
      <c r="D4509" s="16" t="str">
        <f>IFERROR(VLOOKUP(C4509,DATA!#REF!,2,FALSE),"")</f>
        <v/>
      </c>
      <c r="I4509" s="17"/>
      <c r="J4509" s="17"/>
      <c r="P4509" s="17"/>
      <c r="Q4509" s="17"/>
    </row>
    <row r="4510" spans="2:17">
      <c r="B4510" s="17"/>
      <c r="C4510" s="16" t="str">
        <f>IFERROR(VLOOKUP(DATA!#REF!,DATA!#REF!,1,FALSE),"")</f>
        <v/>
      </c>
      <c r="D4510" s="16" t="str">
        <f>IFERROR(VLOOKUP(C4510,DATA!#REF!,2,FALSE),"")</f>
        <v/>
      </c>
      <c r="I4510" s="17"/>
      <c r="J4510" s="17"/>
      <c r="P4510" s="17"/>
      <c r="Q4510" s="17"/>
    </row>
    <row r="4511" spans="2:17">
      <c r="B4511" s="17"/>
      <c r="C4511" s="16" t="str">
        <f>IFERROR(VLOOKUP(DATA!#REF!,DATA!#REF!,1,FALSE),"")</f>
        <v/>
      </c>
      <c r="D4511" s="16" t="str">
        <f>IFERROR(VLOOKUP(C4511,DATA!#REF!,2,FALSE),"")</f>
        <v/>
      </c>
      <c r="I4511" s="17"/>
      <c r="J4511" s="17"/>
      <c r="P4511" s="17"/>
      <c r="Q4511" s="17"/>
    </row>
    <row r="4512" spans="2:17">
      <c r="B4512" s="17"/>
      <c r="C4512" s="16" t="str">
        <f>IFERROR(VLOOKUP(DATA!#REF!,DATA!#REF!,1,FALSE),"")</f>
        <v/>
      </c>
      <c r="D4512" s="16" t="str">
        <f>IFERROR(VLOOKUP(C4512,DATA!#REF!,2,FALSE),"")</f>
        <v/>
      </c>
      <c r="I4512" s="17"/>
      <c r="J4512" s="17"/>
      <c r="P4512" s="17"/>
      <c r="Q4512" s="17"/>
    </row>
    <row r="4513" spans="2:17">
      <c r="B4513" s="17"/>
      <c r="C4513" s="16" t="str">
        <f>IFERROR(VLOOKUP(DATA!#REF!,DATA!#REF!,1,FALSE),"")</f>
        <v/>
      </c>
      <c r="D4513" s="16" t="str">
        <f>IFERROR(VLOOKUP(C4513,DATA!#REF!,2,FALSE),"")</f>
        <v/>
      </c>
      <c r="I4513" s="17"/>
      <c r="J4513" s="17"/>
      <c r="P4513" s="17"/>
      <c r="Q4513" s="17"/>
    </row>
    <row r="4514" spans="2:17">
      <c r="B4514" s="17"/>
      <c r="C4514" s="16" t="str">
        <f>IFERROR(VLOOKUP(DATA!#REF!,DATA!#REF!,1,FALSE),"")</f>
        <v/>
      </c>
      <c r="D4514" s="16" t="str">
        <f>IFERROR(VLOOKUP(C4514,DATA!#REF!,2,FALSE),"")</f>
        <v/>
      </c>
      <c r="I4514" s="17"/>
      <c r="J4514" s="17"/>
      <c r="P4514" s="17"/>
      <c r="Q4514" s="17"/>
    </row>
    <row r="4515" spans="2:17">
      <c r="B4515" s="17"/>
      <c r="C4515" s="16" t="str">
        <f>IFERROR(VLOOKUP(DATA!#REF!,DATA!#REF!,1,FALSE),"")</f>
        <v/>
      </c>
      <c r="D4515" s="16" t="str">
        <f>IFERROR(VLOOKUP(C4515,DATA!#REF!,2,FALSE),"")</f>
        <v/>
      </c>
      <c r="I4515" s="17"/>
      <c r="J4515" s="17"/>
      <c r="P4515" s="17"/>
      <c r="Q4515" s="17"/>
    </row>
    <row r="4516" spans="2:17">
      <c r="B4516" s="17"/>
      <c r="C4516" s="16" t="str">
        <f>IFERROR(VLOOKUP(DATA!#REF!,DATA!#REF!,1,FALSE),"")</f>
        <v/>
      </c>
      <c r="D4516" s="16" t="str">
        <f>IFERROR(VLOOKUP(C4516,DATA!#REF!,2,FALSE),"")</f>
        <v/>
      </c>
      <c r="I4516" s="17"/>
      <c r="J4516" s="17"/>
      <c r="P4516" s="17"/>
      <c r="Q4516" s="17"/>
    </row>
    <row r="4517" spans="2:17">
      <c r="B4517" s="17"/>
      <c r="C4517" s="16" t="str">
        <f>IFERROR(VLOOKUP(DATA!#REF!,DATA!#REF!,1,FALSE),"")</f>
        <v/>
      </c>
      <c r="D4517" s="16" t="str">
        <f>IFERROR(VLOOKUP(C4517,DATA!#REF!,2,FALSE),"")</f>
        <v/>
      </c>
      <c r="I4517" s="17"/>
      <c r="J4517" s="17"/>
      <c r="P4517" s="17"/>
      <c r="Q4517" s="17"/>
    </row>
    <row r="4518" spans="2:17">
      <c r="B4518" s="17"/>
      <c r="C4518" s="16" t="str">
        <f>IFERROR(VLOOKUP(DATA!#REF!,DATA!#REF!,1,FALSE),"")</f>
        <v/>
      </c>
      <c r="D4518" s="16" t="str">
        <f>IFERROR(VLOOKUP(C4518,DATA!#REF!,2,FALSE),"")</f>
        <v/>
      </c>
      <c r="I4518" s="17"/>
      <c r="J4518" s="17"/>
      <c r="P4518" s="17"/>
      <c r="Q4518" s="17"/>
    </row>
    <row r="4519" spans="2:17">
      <c r="B4519" s="17"/>
      <c r="C4519" s="16" t="str">
        <f>IFERROR(VLOOKUP(DATA!#REF!,DATA!#REF!,1,FALSE),"")</f>
        <v/>
      </c>
      <c r="D4519" s="16" t="str">
        <f>IFERROR(VLOOKUP(C4519,DATA!#REF!,2,FALSE),"")</f>
        <v/>
      </c>
      <c r="I4519" s="17"/>
      <c r="J4519" s="17"/>
      <c r="P4519" s="17"/>
      <c r="Q4519" s="17"/>
    </row>
    <row r="4520" spans="2:17">
      <c r="B4520" s="17"/>
      <c r="C4520" s="16" t="str">
        <f>IFERROR(VLOOKUP(DATA!#REF!,DATA!#REF!,1,FALSE),"")</f>
        <v/>
      </c>
      <c r="D4520" s="16" t="str">
        <f>IFERROR(VLOOKUP(C4520,DATA!#REF!,2,FALSE),"")</f>
        <v/>
      </c>
      <c r="I4520" s="17"/>
      <c r="J4520" s="17"/>
      <c r="P4520" s="17"/>
      <c r="Q4520" s="17"/>
    </row>
    <row r="4521" spans="2:17">
      <c r="B4521" s="17"/>
      <c r="C4521" s="16" t="str">
        <f>IFERROR(VLOOKUP(DATA!#REF!,DATA!#REF!,1,FALSE),"")</f>
        <v/>
      </c>
      <c r="D4521" s="16" t="str">
        <f>IFERROR(VLOOKUP(C4521,DATA!#REF!,2,FALSE),"")</f>
        <v/>
      </c>
      <c r="I4521" s="17"/>
      <c r="J4521" s="17"/>
      <c r="P4521" s="17"/>
      <c r="Q4521" s="17"/>
    </row>
    <row r="4522" spans="2:17">
      <c r="B4522" s="17"/>
      <c r="C4522" s="16" t="str">
        <f>IFERROR(VLOOKUP(DATA!#REF!,DATA!#REF!,1,FALSE),"")</f>
        <v/>
      </c>
      <c r="D4522" s="16" t="str">
        <f>IFERROR(VLOOKUP(C4522,DATA!#REF!,2,FALSE),"")</f>
        <v/>
      </c>
      <c r="I4522" s="17"/>
      <c r="J4522" s="17"/>
      <c r="P4522" s="17"/>
      <c r="Q4522" s="17"/>
    </row>
    <row r="4523" spans="2:17">
      <c r="B4523" s="17"/>
      <c r="C4523" s="16" t="str">
        <f>IFERROR(VLOOKUP(DATA!#REF!,DATA!#REF!,1,FALSE),"")</f>
        <v/>
      </c>
      <c r="D4523" s="16" t="str">
        <f>IFERROR(VLOOKUP(C4523,DATA!#REF!,2,FALSE),"")</f>
        <v/>
      </c>
      <c r="I4523" s="17"/>
      <c r="J4523" s="17"/>
      <c r="P4523" s="17"/>
      <c r="Q4523" s="17"/>
    </row>
    <row r="4524" spans="2:17">
      <c r="B4524" s="17"/>
      <c r="C4524" s="16" t="str">
        <f>IFERROR(VLOOKUP(DATA!#REF!,DATA!#REF!,1,FALSE),"")</f>
        <v/>
      </c>
      <c r="D4524" s="16" t="str">
        <f>IFERROR(VLOOKUP(C4524,DATA!#REF!,2,FALSE),"")</f>
        <v/>
      </c>
      <c r="I4524" s="17"/>
      <c r="J4524" s="17"/>
      <c r="P4524" s="17"/>
      <c r="Q4524" s="17"/>
    </row>
    <row r="4525" spans="2:17">
      <c r="B4525" s="17"/>
      <c r="C4525" s="16" t="str">
        <f>IFERROR(VLOOKUP(DATA!#REF!,DATA!#REF!,1,FALSE),"")</f>
        <v/>
      </c>
      <c r="D4525" s="16" t="str">
        <f>IFERROR(VLOOKUP(C4525,DATA!#REF!,2,FALSE),"")</f>
        <v/>
      </c>
      <c r="I4525" s="17"/>
      <c r="J4525" s="17"/>
      <c r="P4525" s="17"/>
      <c r="Q4525" s="17"/>
    </row>
    <row r="4526" spans="2:17">
      <c r="B4526" s="17"/>
      <c r="C4526" s="16" t="str">
        <f>IFERROR(VLOOKUP(DATA!#REF!,DATA!#REF!,1,FALSE),"")</f>
        <v/>
      </c>
      <c r="D4526" s="16" t="str">
        <f>IFERROR(VLOOKUP(C4526,DATA!#REF!,2,FALSE),"")</f>
        <v/>
      </c>
      <c r="I4526" s="17"/>
      <c r="J4526" s="17"/>
      <c r="P4526" s="17"/>
      <c r="Q4526" s="17"/>
    </row>
    <row r="4527" spans="2:17">
      <c r="B4527" s="17"/>
      <c r="C4527" s="16" t="str">
        <f>IFERROR(VLOOKUP(DATA!#REF!,DATA!#REF!,1,FALSE),"")</f>
        <v/>
      </c>
      <c r="D4527" s="16" t="str">
        <f>IFERROR(VLOOKUP(C4527,DATA!#REF!,2,FALSE),"")</f>
        <v/>
      </c>
      <c r="I4527" s="17"/>
      <c r="J4527" s="17"/>
      <c r="P4527" s="17"/>
      <c r="Q4527" s="17"/>
    </row>
    <row r="4528" spans="2:17">
      <c r="B4528" s="17"/>
      <c r="C4528" s="16" t="str">
        <f>IFERROR(VLOOKUP(DATA!#REF!,DATA!#REF!,1,FALSE),"")</f>
        <v/>
      </c>
      <c r="D4528" s="16" t="str">
        <f>IFERROR(VLOOKUP(C4528,DATA!#REF!,2,FALSE),"")</f>
        <v/>
      </c>
      <c r="I4528" s="17"/>
      <c r="J4528" s="17"/>
      <c r="P4528" s="17"/>
      <c r="Q4528" s="17"/>
    </row>
    <row r="4529" spans="2:17">
      <c r="B4529" s="17"/>
      <c r="C4529" s="16" t="str">
        <f>IFERROR(VLOOKUP(DATA!#REF!,DATA!#REF!,1,FALSE),"")</f>
        <v/>
      </c>
      <c r="D4529" s="16" t="str">
        <f>IFERROR(VLOOKUP(C4529,DATA!#REF!,2,FALSE),"")</f>
        <v/>
      </c>
      <c r="I4529" s="17"/>
      <c r="J4529" s="17"/>
      <c r="P4529" s="17"/>
      <c r="Q4529" s="17"/>
    </row>
    <row r="4530" spans="2:17">
      <c r="B4530" s="17"/>
      <c r="C4530" s="16" t="str">
        <f>IFERROR(VLOOKUP(DATA!#REF!,DATA!#REF!,1,FALSE),"")</f>
        <v/>
      </c>
      <c r="D4530" s="16" t="str">
        <f>IFERROR(VLOOKUP(C4530,DATA!#REF!,2,FALSE),"")</f>
        <v/>
      </c>
      <c r="I4530" s="17"/>
      <c r="J4530" s="17"/>
      <c r="P4530" s="17"/>
      <c r="Q4530" s="17"/>
    </row>
    <row r="4531" spans="2:17">
      <c r="B4531" s="17"/>
      <c r="C4531" s="16" t="str">
        <f>IFERROR(VLOOKUP(DATA!#REF!,DATA!#REF!,1,FALSE),"")</f>
        <v/>
      </c>
      <c r="D4531" s="16" t="str">
        <f>IFERROR(VLOOKUP(C4531,DATA!#REF!,2,FALSE),"")</f>
        <v/>
      </c>
      <c r="I4531" s="17"/>
      <c r="J4531" s="17"/>
      <c r="P4531" s="17"/>
      <c r="Q4531" s="17"/>
    </row>
    <row r="4532" spans="2:17">
      <c r="B4532" s="17"/>
      <c r="C4532" s="16" t="str">
        <f>IFERROR(VLOOKUP(DATA!#REF!,DATA!#REF!,1,FALSE),"")</f>
        <v/>
      </c>
      <c r="D4532" s="16" t="str">
        <f>IFERROR(VLOOKUP(C4532,DATA!#REF!,2,FALSE),"")</f>
        <v/>
      </c>
      <c r="I4532" s="17"/>
      <c r="J4532" s="17"/>
      <c r="P4532" s="17"/>
      <c r="Q4532" s="17"/>
    </row>
    <row r="4533" spans="2:17">
      <c r="B4533" s="17"/>
      <c r="C4533" s="16" t="str">
        <f>IFERROR(VLOOKUP(DATA!#REF!,DATA!#REF!,1,FALSE),"")</f>
        <v/>
      </c>
      <c r="D4533" s="16" t="str">
        <f>IFERROR(VLOOKUP(C4533,DATA!#REF!,2,FALSE),"")</f>
        <v/>
      </c>
      <c r="I4533" s="17"/>
      <c r="J4533" s="17"/>
      <c r="P4533" s="17"/>
      <c r="Q4533" s="17"/>
    </row>
    <row r="4534" spans="2:17">
      <c r="B4534" s="17"/>
      <c r="C4534" s="16" t="str">
        <f>IFERROR(VLOOKUP(DATA!#REF!,DATA!#REF!,1,FALSE),"")</f>
        <v/>
      </c>
      <c r="D4534" s="16" t="str">
        <f>IFERROR(VLOOKUP(C4534,DATA!#REF!,2,FALSE),"")</f>
        <v/>
      </c>
      <c r="I4534" s="17"/>
      <c r="J4534" s="17"/>
      <c r="P4534" s="17"/>
      <c r="Q4534" s="17"/>
    </row>
    <row r="4535" spans="2:17">
      <c r="B4535" s="17"/>
      <c r="C4535" s="16" t="str">
        <f>IFERROR(VLOOKUP(DATA!#REF!,DATA!#REF!,1,FALSE),"")</f>
        <v/>
      </c>
      <c r="D4535" s="16" t="str">
        <f>IFERROR(VLOOKUP(C4535,DATA!#REF!,2,FALSE),"")</f>
        <v/>
      </c>
      <c r="I4535" s="17"/>
      <c r="J4535" s="17"/>
      <c r="P4535" s="17"/>
      <c r="Q4535" s="17"/>
    </row>
    <row r="4536" spans="2:17">
      <c r="B4536" s="17"/>
      <c r="C4536" s="16" t="str">
        <f>IFERROR(VLOOKUP(DATA!#REF!,DATA!#REF!,1,FALSE),"")</f>
        <v/>
      </c>
      <c r="D4536" s="16" t="str">
        <f>IFERROR(VLOOKUP(C4536,DATA!#REF!,2,FALSE),"")</f>
        <v/>
      </c>
      <c r="I4536" s="17"/>
      <c r="J4536" s="17"/>
      <c r="P4536" s="17"/>
      <c r="Q4536" s="17"/>
    </row>
    <row r="4537" spans="2:17">
      <c r="B4537" s="17"/>
      <c r="C4537" s="16" t="str">
        <f>IFERROR(VLOOKUP(DATA!#REF!,DATA!#REF!,1,FALSE),"")</f>
        <v/>
      </c>
      <c r="D4537" s="16" t="str">
        <f>IFERROR(VLOOKUP(C4537,DATA!#REF!,2,FALSE),"")</f>
        <v/>
      </c>
      <c r="I4537" s="17"/>
      <c r="J4537" s="17"/>
      <c r="P4537" s="17"/>
      <c r="Q4537" s="17"/>
    </row>
    <row r="4538" spans="2:17">
      <c r="B4538" s="17"/>
      <c r="C4538" s="16" t="str">
        <f>IFERROR(VLOOKUP(DATA!#REF!,DATA!#REF!,1,FALSE),"")</f>
        <v/>
      </c>
      <c r="D4538" s="16" t="str">
        <f>IFERROR(VLOOKUP(C4538,DATA!#REF!,2,FALSE),"")</f>
        <v/>
      </c>
      <c r="I4538" s="17"/>
      <c r="J4538" s="17"/>
      <c r="P4538" s="17"/>
      <c r="Q4538" s="17"/>
    </row>
    <row r="4539" spans="2:17">
      <c r="B4539" s="17"/>
      <c r="C4539" s="16" t="str">
        <f>IFERROR(VLOOKUP(DATA!#REF!,DATA!#REF!,1,FALSE),"")</f>
        <v/>
      </c>
      <c r="D4539" s="16" t="str">
        <f>IFERROR(VLOOKUP(C4539,DATA!#REF!,2,FALSE),"")</f>
        <v/>
      </c>
      <c r="I4539" s="17"/>
      <c r="J4539" s="17"/>
      <c r="P4539" s="17"/>
      <c r="Q4539" s="17"/>
    </row>
    <row r="4540" spans="2:17">
      <c r="B4540" s="17"/>
      <c r="C4540" s="16" t="str">
        <f>IFERROR(VLOOKUP(DATA!#REF!,DATA!#REF!,1,FALSE),"")</f>
        <v/>
      </c>
      <c r="D4540" s="16" t="str">
        <f>IFERROR(VLOOKUP(C4540,DATA!#REF!,2,FALSE),"")</f>
        <v/>
      </c>
      <c r="I4540" s="17"/>
      <c r="J4540" s="17"/>
      <c r="P4540" s="17"/>
      <c r="Q4540" s="17"/>
    </row>
    <row r="4541" spans="2:17">
      <c r="B4541" s="17"/>
      <c r="C4541" s="16" t="str">
        <f>IFERROR(VLOOKUP(DATA!#REF!,DATA!#REF!,1,FALSE),"")</f>
        <v/>
      </c>
      <c r="D4541" s="16" t="str">
        <f>IFERROR(VLOOKUP(C4541,DATA!#REF!,2,FALSE),"")</f>
        <v/>
      </c>
      <c r="I4541" s="17"/>
      <c r="J4541" s="17"/>
      <c r="P4541" s="17"/>
      <c r="Q4541" s="17"/>
    </row>
    <row r="4542" spans="2:17">
      <c r="B4542" s="17"/>
      <c r="C4542" s="16" t="str">
        <f>IFERROR(VLOOKUP(DATA!#REF!,DATA!#REF!,1,FALSE),"")</f>
        <v/>
      </c>
      <c r="D4542" s="16" t="str">
        <f>IFERROR(VLOOKUP(C4542,DATA!#REF!,2,FALSE),"")</f>
        <v/>
      </c>
      <c r="I4542" s="17"/>
      <c r="J4542" s="17"/>
      <c r="P4542" s="17"/>
      <c r="Q4542" s="17"/>
    </row>
    <row r="4543" spans="2:17">
      <c r="B4543" s="17"/>
      <c r="C4543" s="16" t="str">
        <f>IFERROR(VLOOKUP(DATA!#REF!,DATA!#REF!,1,FALSE),"")</f>
        <v/>
      </c>
      <c r="D4543" s="16" t="str">
        <f>IFERROR(VLOOKUP(C4543,DATA!#REF!,2,FALSE),"")</f>
        <v/>
      </c>
      <c r="I4543" s="17"/>
      <c r="J4543" s="17"/>
      <c r="P4543" s="17"/>
      <c r="Q4543" s="17"/>
    </row>
    <row r="4544" spans="2:17">
      <c r="B4544" s="17"/>
      <c r="C4544" s="16" t="str">
        <f>IFERROR(VLOOKUP(DATA!#REF!,DATA!#REF!,1,FALSE),"")</f>
        <v/>
      </c>
      <c r="D4544" s="16" t="str">
        <f>IFERROR(VLOOKUP(C4544,DATA!#REF!,2,FALSE),"")</f>
        <v/>
      </c>
      <c r="I4544" s="17"/>
      <c r="J4544" s="17"/>
      <c r="P4544" s="17"/>
      <c r="Q4544" s="17"/>
    </row>
    <row r="4545" spans="2:17">
      <c r="B4545" s="17"/>
      <c r="C4545" s="16" t="str">
        <f>IFERROR(VLOOKUP(DATA!#REF!,DATA!#REF!,1,FALSE),"")</f>
        <v/>
      </c>
      <c r="D4545" s="16" t="str">
        <f>IFERROR(VLOOKUP(C4545,DATA!#REF!,2,FALSE),"")</f>
        <v/>
      </c>
      <c r="I4545" s="17"/>
      <c r="J4545" s="17"/>
      <c r="P4545" s="17"/>
      <c r="Q4545" s="17"/>
    </row>
    <row r="4546" spans="2:17">
      <c r="B4546" s="17"/>
      <c r="C4546" s="16" t="str">
        <f>IFERROR(VLOOKUP(DATA!#REF!,DATA!#REF!,1,FALSE),"")</f>
        <v/>
      </c>
      <c r="D4546" s="16" t="str">
        <f>IFERROR(VLOOKUP(C4546,DATA!#REF!,2,FALSE),"")</f>
        <v/>
      </c>
      <c r="I4546" s="17"/>
      <c r="J4546" s="17"/>
      <c r="P4546" s="17"/>
      <c r="Q4546" s="17"/>
    </row>
    <row r="4547" spans="2:17">
      <c r="B4547" s="17"/>
      <c r="C4547" s="16" t="str">
        <f>IFERROR(VLOOKUP(DATA!#REF!,DATA!#REF!,1,FALSE),"")</f>
        <v/>
      </c>
      <c r="D4547" s="16" t="str">
        <f>IFERROR(VLOOKUP(C4547,DATA!#REF!,2,FALSE),"")</f>
        <v/>
      </c>
      <c r="I4547" s="17"/>
      <c r="J4547" s="17"/>
      <c r="P4547" s="17"/>
      <c r="Q4547" s="17"/>
    </row>
    <row r="4548" spans="2:17">
      <c r="B4548" s="17"/>
      <c r="C4548" s="16" t="str">
        <f>IFERROR(VLOOKUP(DATA!#REF!,DATA!#REF!,1,FALSE),"")</f>
        <v/>
      </c>
      <c r="D4548" s="16" t="str">
        <f>IFERROR(VLOOKUP(C4548,DATA!#REF!,2,FALSE),"")</f>
        <v/>
      </c>
      <c r="I4548" s="17"/>
      <c r="J4548" s="17"/>
      <c r="P4548" s="17"/>
      <c r="Q4548" s="17"/>
    </row>
    <row r="4549" spans="2:17">
      <c r="B4549" s="17"/>
      <c r="C4549" s="16" t="str">
        <f>IFERROR(VLOOKUP(DATA!#REF!,DATA!#REF!,1,FALSE),"")</f>
        <v/>
      </c>
      <c r="D4549" s="16" t="str">
        <f>IFERROR(VLOOKUP(C4549,DATA!#REF!,2,FALSE),"")</f>
        <v/>
      </c>
      <c r="I4549" s="17"/>
      <c r="J4549" s="17"/>
      <c r="P4549" s="17"/>
      <c r="Q4549" s="17"/>
    </row>
    <row r="4550" spans="2:17">
      <c r="B4550" s="17"/>
      <c r="C4550" s="16" t="str">
        <f>IFERROR(VLOOKUP(DATA!#REF!,DATA!#REF!,1,FALSE),"")</f>
        <v/>
      </c>
      <c r="D4550" s="16" t="str">
        <f>IFERROR(VLOOKUP(C4550,DATA!#REF!,2,FALSE),"")</f>
        <v/>
      </c>
      <c r="I4550" s="17"/>
      <c r="J4550" s="17"/>
      <c r="P4550" s="17"/>
      <c r="Q4550" s="17"/>
    </row>
    <row r="4551" spans="2:17">
      <c r="B4551" s="17"/>
      <c r="C4551" s="16" t="str">
        <f>IFERROR(VLOOKUP(DATA!#REF!,DATA!#REF!,1,FALSE),"")</f>
        <v/>
      </c>
      <c r="D4551" s="16" t="str">
        <f>IFERROR(VLOOKUP(C4551,DATA!#REF!,2,FALSE),"")</f>
        <v/>
      </c>
      <c r="I4551" s="17"/>
      <c r="J4551" s="17"/>
      <c r="P4551" s="17"/>
      <c r="Q4551" s="17"/>
    </row>
    <row r="4552" spans="2:17">
      <c r="B4552" s="17"/>
      <c r="C4552" s="16" t="str">
        <f>IFERROR(VLOOKUP(DATA!#REF!,DATA!#REF!,1,FALSE),"")</f>
        <v/>
      </c>
      <c r="D4552" s="16" t="str">
        <f>IFERROR(VLOOKUP(C4552,DATA!#REF!,2,FALSE),"")</f>
        <v/>
      </c>
      <c r="I4552" s="17"/>
      <c r="J4552" s="17"/>
      <c r="P4552" s="17"/>
      <c r="Q4552" s="17"/>
    </row>
    <row r="4553" spans="2:17">
      <c r="B4553" s="17"/>
      <c r="C4553" s="16" t="str">
        <f>IFERROR(VLOOKUP(DATA!#REF!,DATA!#REF!,1,FALSE),"")</f>
        <v/>
      </c>
      <c r="D4553" s="16" t="str">
        <f>IFERROR(VLOOKUP(C4553,DATA!#REF!,2,FALSE),"")</f>
        <v/>
      </c>
      <c r="I4553" s="17"/>
      <c r="J4553" s="17"/>
      <c r="P4553" s="17"/>
      <c r="Q4553" s="17"/>
    </row>
    <row r="4554" spans="2:17">
      <c r="B4554" s="17"/>
      <c r="C4554" s="16" t="str">
        <f>IFERROR(VLOOKUP(DATA!#REF!,DATA!#REF!,1,FALSE),"")</f>
        <v/>
      </c>
      <c r="D4554" s="16" t="str">
        <f>IFERROR(VLOOKUP(C4554,DATA!#REF!,2,FALSE),"")</f>
        <v/>
      </c>
      <c r="I4554" s="17"/>
      <c r="J4554" s="17"/>
      <c r="P4554" s="17"/>
      <c r="Q4554" s="17"/>
    </row>
    <row r="4555" spans="2:17">
      <c r="B4555" s="17"/>
      <c r="C4555" s="16" t="str">
        <f>IFERROR(VLOOKUP(DATA!#REF!,DATA!#REF!,1,FALSE),"")</f>
        <v/>
      </c>
      <c r="D4555" s="16" t="str">
        <f>IFERROR(VLOOKUP(C4555,DATA!#REF!,2,FALSE),"")</f>
        <v/>
      </c>
      <c r="I4555" s="17"/>
      <c r="J4555" s="17"/>
      <c r="P4555" s="17"/>
      <c r="Q4555" s="17"/>
    </row>
    <row r="4556" spans="2:17">
      <c r="B4556" s="17"/>
      <c r="C4556" s="16" t="str">
        <f>IFERROR(VLOOKUP(DATA!#REF!,DATA!#REF!,1,FALSE),"")</f>
        <v/>
      </c>
      <c r="D4556" s="16" t="str">
        <f>IFERROR(VLOOKUP(C4556,DATA!#REF!,2,FALSE),"")</f>
        <v/>
      </c>
      <c r="I4556" s="17"/>
      <c r="J4556" s="17"/>
      <c r="P4556" s="17"/>
      <c r="Q4556" s="17"/>
    </row>
    <row r="4557" spans="2:17">
      <c r="B4557" s="17"/>
      <c r="C4557" s="16" t="str">
        <f>IFERROR(VLOOKUP(DATA!#REF!,DATA!#REF!,1,FALSE),"")</f>
        <v/>
      </c>
      <c r="D4557" s="16" t="str">
        <f>IFERROR(VLOOKUP(C4557,DATA!#REF!,2,FALSE),"")</f>
        <v/>
      </c>
      <c r="I4557" s="17"/>
      <c r="J4557" s="17"/>
      <c r="P4557" s="17"/>
      <c r="Q4557" s="17"/>
    </row>
    <row r="4558" spans="2:17">
      <c r="B4558" s="17"/>
      <c r="C4558" s="16" t="str">
        <f>IFERROR(VLOOKUP(DATA!#REF!,DATA!#REF!,1,FALSE),"")</f>
        <v/>
      </c>
      <c r="D4558" s="16" t="str">
        <f>IFERROR(VLOOKUP(C4558,DATA!#REF!,2,FALSE),"")</f>
        <v/>
      </c>
      <c r="I4558" s="17"/>
      <c r="J4558" s="17"/>
      <c r="P4558" s="17"/>
      <c r="Q4558" s="17"/>
    </row>
    <row r="4559" spans="2:17">
      <c r="B4559" s="17"/>
      <c r="C4559" s="16" t="str">
        <f>IFERROR(VLOOKUP(DATA!#REF!,DATA!#REF!,1,FALSE),"")</f>
        <v/>
      </c>
      <c r="D4559" s="16" t="str">
        <f>IFERROR(VLOOKUP(C4559,DATA!#REF!,2,FALSE),"")</f>
        <v/>
      </c>
      <c r="I4559" s="17"/>
      <c r="J4559" s="17"/>
      <c r="P4559" s="17"/>
      <c r="Q4559" s="17"/>
    </row>
    <row r="4560" spans="2:17">
      <c r="B4560" s="17"/>
      <c r="C4560" s="16" t="str">
        <f>IFERROR(VLOOKUP(DATA!#REF!,DATA!#REF!,1,FALSE),"")</f>
        <v/>
      </c>
      <c r="D4560" s="16" t="str">
        <f>IFERROR(VLOOKUP(C4560,DATA!#REF!,2,FALSE),"")</f>
        <v/>
      </c>
      <c r="I4560" s="17"/>
      <c r="J4560" s="17"/>
      <c r="P4560" s="17"/>
      <c r="Q4560" s="17"/>
    </row>
    <row r="4561" spans="2:17">
      <c r="B4561" s="17"/>
      <c r="C4561" s="16" t="str">
        <f>IFERROR(VLOOKUP(DATA!#REF!,DATA!#REF!,1,FALSE),"")</f>
        <v/>
      </c>
      <c r="D4561" s="16" t="str">
        <f>IFERROR(VLOOKUP(C4561,DATA!#REF!,2,FALSE),"")</f>
        <v/>
      </c>
      <c r="I4561" s="17"/>
      <c r="J4561" s="17"/>
      <c r="P4561" s="17"/>
      <c r="Q4561" s="17"/>
    </row>
    <row r="4562" spans="2:17">
      <c r="B4562" s="17"/>
      <c r="C4562" s="16" t="str">
        <f>IFERROR(VLOOKUP(DATA!#REF!,DATA!#REF!,1,FALSE),"")</f>
        <v/>
      </c>
      <c r="D4562" s="16" t="str">
        <f>IFERROR(VLOOKUP(C4562,DATA!#REF!,2,FALSE),"")</f>
        <v/>
      </c>
      <c r="I4562" s="17"/>
      <c r="J4562" s="17"/>
      <c r="P4562" s="17"/>
      <c r="Q4562" s="17"/>
    </row>
    <row r="4563" spans="2:17">
      <c r="B4563" s="17"/>
      <c r="C4563" s="16" t="str">
        <f>IFERROR(VLOOKUP(DATA!#REF!,DATA!#REF!,1,FALSE),"")</f>
        <v/>
      </c>
      <c r="D4563" s="16" t="str">
        <f>IFERROR(VLOOKUP(C4563,DATA!#REF!,2,FALSE),"")</f>
        <v/>
      </c>
      <c r="I4563" s="17"/>
      <c r="J4563" s="17"/>
      <c r="P4563" s="17"/>
      <c r="Q4563" s="17"/>
    </row>
    <row r="4564" spans="2:17">
      <c r="B4564" s="17"/>
      <c r="C4564" s="16" t="str">
        <f>IFERROR(VLOOKUP(DATA!#REF!,DATA!#REF!,1,FALSE),"")</f>
        <v/>
      </c>
      <c r="D4564" s="16" t="str">
        <f>IFERROR(VLOOKUP(C4564,DATA!#REF!,2,FALSE),"")</f>
        <v/>
      </c>
      <c r="I4564" s="17"/>
      <c r="J4564" s="17"/>
      <c r="P4564" s="17"/>
      <c r="Q4564" s="17"/>
    </row>
    <row r="4565" spans="2:17">
      <c r="B4565" s="17"/>
      <c r="C4565" s="16" t="str">
        <f>IFERROR(VLOOKUP(DATA!#REF!,DATA!#REF!,1,FALSE),"")</f>
        <v/>
      </c>
      <c r="D4565" s="16" t="str">
        <f>IFERROR(VLOOKUP(C4565,DATA!#REF!,2,FALSE),"")</f>
        <v/>
      </c>
      <c r="I4565" s="17"/>
      <c r="J4565" s="17"/>
      <c r="P4565" s="17"/>
      <c r="Q4565" s="17"/>
    </row>
    <row r="4566" spans="2:17">
      <c r="B4566" s="17"/>
      <c r="C4566" s="16" t="str">
        <f>IFERROR(VLOOKUP(DATA!#REF!,DATA!#REF!,1,FALSE),"")</f>
        <v/>
      </c>
      <c r="D4566" s="16" t="str">
        <f>IFERROR(VLOOKUP(C4566,DATA!#REF!,2,FALSE),"")</f>
        <v/>
      </c>
      <c r="I4566" s="17"/>
      <c r="J4566" s="17"/>
      <c r="P4566" s="17"/>
      <c r="Q4566" s="17"/>
    </row>
    <row r="4567" spans="2:17">
      <c r="B4567" s="17"/>
      <c r="C4567" s="16" t="str">
        <f>IFERROR(VLOOKUP(DATA!#REF!,DATA!#REF!,1,FALSE),"")</f>
        <v/>
      </c>
      <c r="D4567" s="16" t="str">
        <f>IFERROR(VLOOKUP(C4567,DATA!#REF!,2,FALSE),"")</f>
        <v/>
      </c>
      <c r="I4567" s="17"/>
      <c r="J4567" s="17"/>
      <c r="P4567" s="17"/>
      <c r="Q4567" s="17"/>
    </row>
    <row r="4568" spans="2:17">
      <c r="B4568" s="17"/>
      <c r="C4568" s="16" t="str">
        <f>IFERROR(VLOOKUP(DATA!#REF!,DATA!#REF!,1,FALSE),"")</f>
        <v/>
      </c>
      <c r="D4568" s="16" t="str">
        <f>IFERROR(VLOOKUP(C4568,DATA!#REF!,2,FALSE),"")</f>
        <v/>
      </c>
      <c r="I4568" s="17"/>
      <c r="J4568" s="17"/>
      <c r="P4568" s="17"/>
      <c r="Q4568" s="17"/>
    </row>
    <row r="4569" spans="2:17">
      <c r="B4569" s="17"/>
      <c r="C4569" s="16" t="str">
        <f>IFERROR(VLOOKUP(DATA!#REF!,DATA!#REF!,1,FALSE),"")</f>
        <v/>
      </c>
      <c r="D4569" s="16" t="str">
        <f>IFERROR(VLOOKUP(C4569,DATA!#REF!,2,FALSE),"")</f>
        <v/>
      </c>
      <c r="I4569" s="17"/>
      <c r="J4569" s="17"/>
      <c r="P4569" s="17"/>
      <c r="Q4569" s="17"/>
    </row>
    <row r="4570" spans="2:17">
      <c r="B4570" s="17"/>
      <c r="C4570" s="16" t="str">
        <f>IFERROR(VLOOKUP(DATA!#REF!,DATA!#REF!,1,FALSE),"")</f>
        <v/>
      </c>
      <c r="D4570" s="16" t="str">
        <f>IFERROR(VLOOKUP(C4570,DATA!#REF!,2,FALSE),"")</f>
        <v/>
      </c>
      <c r="I4570" s="17"/>
      <c r="J4570" s="17"/>
      <c r="P4570" s="17"/>
      <c r="Q4570" s="17"/>
    </row>
    <row r="4571" spans="2:17">
      <c r="B4571" s="17"/>
      <c r="C4571" s="16" t="str">
        <f>IFERROR(VLOOKUP(DATA!#REF!,DATA!#REF!,1,FALSE),"")</f>
        <v/>
      </c>
      <c r="D4571" s="16" t="str">
        <f>IFERROR(VLOOKUP(C4571,DATA!#REF!,2,FALSE),"")</f>
        <v/>
      </c>
      <c r="I4571" s="17"/>
      <c r="J4571" s="17"/>
      <c r="P4571" s="17"/>
      <c r="Q4571" s="17"/>
    </row>
    <row r="4572" spans="2:17">
      <c r="B4572" s="17"/>
      <c r="C4572" s="16" t="str">
        <f>IFERROR(VLOOKUP(DATA!#REF!,DATA!#REF!,1,FALSE),"")</f>
        <v/>
      </c>
      <c r="D4572" s="16" t="str">
        <f>IFERROR(VLOOKUP(C4572,DATA!#REF!,2,FALSE),"")</f>
        <v/>
      </c>
      <c r="I4572" s="17"/>
      <c r="J4572" s="17"/>
      <c r="P4572" s="17"/>
      <c r="Q4572" s="17"/>
    </row>
    <row r="4573" spans="2:17">
      <c r="B4573" s="17"/>
      <c r="C4573" s="16" t="str">
        <f>IFERROR(VLOOKUP(DATA!#REF!,DATA!#REF!,1,FALSE),"")</f>
        <v/>
      </c>
      <c r="D4573" s="16" t="str">
        <f>IFERROR(VLOOKUP(C4573,DATA!#REF!,2,FALSE),"")</f>
        <v/>
      </c>
      <c r="I4573" s="17"/>
      <c r="J4573" s="17"/>
      <c r="P4573" s="17"/>
      <c r="Q4573" s="17"/>
    </row>
    <row r="4574" spans="2:17">
      <c r="B4574" s="17"/>
      <c r="C4574" s="16" t="str">
        <f>IFERROR(VLOOKUP(DATA!#REF!,DATA!#REF!,1,FALSE),"")</f>
        <v/>
      </c>
      <c r="D4574" s="16" t="str">
        <f>IFERROR(VLOOKUP(C4574,DATA!#REF!,2,FALSE),"")</f>
        <v/>
      </c>
      <c r="I4574" s="17"/>
      <c r="J4574" s="17"/>
      <c r="P4574" s="17"/>
      <c r="Q4574" s="17"/>
    </row>
    <row r="4575" spans="2:17">
      <c r="B4575" s="17"/>
      <c r="C4575" s="16" t="str">
        <f>IFERROR(VLOOKUP(DATA!#REF!,DATA!#REF!,1,FALSE),"")</f>
        <v/>
      </c>
      <c r="D4575" s="16" t="str">
        <f>IFERROR(VLOOKUP(C4575,DATA!#REF!,2,FALSE),"")</f>
        <v/>
      </c>
      <c r="I4575" s="17"/>
      <c r="J4575" s="17"/>
      <c r="P4575" s="17"/>
      <c r="Q4575" s="17"/>
    </row>
    <row r="4576" spans="2:17">
      <c r="B4576" s="17"/>
      <c r="C4576" s="16" t="str">
        <f>IFERROR(VLOOKUP(DATA!#REF!,DATA!#REF!,1,FALSE),"")</f>
        <v/>
      </c>
      <c r="D4576" s="16" t="str">
        <f>IFERROR(VLOOKUP(C4576,DATA!#REF!,2,FALSE),"")</f>
        <v/>
      </c>
      <c r="I4576" s="17"/>
      <c r="J4576" s="17"/>
      <c r="P4576" s="17"/>
      <c r="Q4576" s="17"/>
    </row>
    <row r="4577" spans="2:17">
      <c r="B4577" s="17"/>
      <c r="C4577" s="16" t="str">
        <f>IFERROR(VLOOKUP(DATA!#REF!,DATA!#REF!,1,FALSE),"")</f>
        <v/>
      </c>
      <c r="D4577" s="16" t="str">
        <f>IFERROR(VLOOKUP(C4577,DATA!#REF!,2,FALSE),"")</f>
        <v/>
      </c>
      <c r="I4577" s="17"/>
      <c r="J4577" s="17"/>
      <c r="P4577" s="17"/>
      <c r="Q4577" s="17"/>
    </row>
    <row r="4578" spans="2:17">
      <c r="B4578" s="17"/>
      <c r="C4578" s="16" t="str">
        <f>IFERROR(VLOOKUP(DATA!#REF!,DATA!#REF!,1,FALSE),"")</f>
        <v/>
      </c>
      <c r="D4578" s="16" t="str">
        <f>IFERROR(VLOOKUP(C4578,DATA!#REF!,2,FALSE),"")</f>
        <v/>
      </c>
      <c r="I4578" s="17"/>
      <c r="J4578" s="17"/>
      <c r="P4578" s="17"/>
      <c r="Q4578" s="17"/>
    </row>
    <row r="4579" spans="2:17">
      <c r="B4579" s="17"/>
      <c r="C4579" s="16" t="str">
        <f>IFERROR(VLOOKUP(DATA!#REF!,DATA!#REF!,1,FALSE),"")</f>
        <v/>
      </c>
      <c r="D4579" s="16" t="str">
        <f>IFERROR(VLOOKUP(C4579,DATA!#REF!,2,FALSE),"")</f>
        <v/>
      </c>
      <c r="I4579" s="17"/>
      <c r="J4579" s="17"/>
      <c r="P4579" s="17"/>
      <c r="Q4579" s="17"/>
    </row>
    <row r="4580" spans="2:17">
      <c r="B4580" s="17"/>
      <c r="C4580" s="16" t="str">
        <f>IFERROR(VLOOKUP(DATA!#REF!,DATA!#REF!,1,FALSE),"")</f>
        <v/>
      </c>
      <c r="D4580" s="16" t="str">
        <f>IFERROR(VLOOKUP(C4580,DATA!#REF!,2,FALSE),"")</f>
        <v/>
      </c>
      <c r="I4580" s="17"/>
      <c r="J4580" s="17"/>
      <c r="P4580" s="17"/>
      <c r="Q4580" s="17"/>
    </row>
    <row r="4581" spans="2:17">
      <c r="B4581" s="17"/>
      <c r="C4581" s="16" t="str">
        <f>IFERROR(VLOOKUP(DATA!#REF!,DATA!#REF!,1,FALSE),"")</f>
        <v/>
      </c>
      <c r="D4581" s="16" t="str">
        <f>IFERROR(VLOOKUP(C4581,DATA!#REF!,2,FALSE),"")</f>
        <v/>
      </c>
      <c r="I4581" s="17"/>
      <c r="J4581" s="17"/>
      <c r="P4581" s="17"/>
      <c r="Q4581" s="17"/>
    </row>
    <row r="4582" spans="2:17">
      <c r="B4582" s="17"/>
      <c r="C4582" s="16" t="str">
        <f>IFERROR(VLOOKUP(DATA!#REF!,DATA!#REF!,1,FALSE),"")</f>
        <v/>
      </c>
      <c r="D4582" s="16" t="str">
        <f>IFERROR(VLOOKUP(C4582,DATA!#REF!,2,FALSE),"")</f>
        <v/>
      </c>
      <c r="I4582" s="17"/>
      <c r="J4582" s="17"/>
      <c r="P4582" s="17"/>
      <c r="Q4582" s="17"/>
    </row>
    <row r="4583" spans="2:17">
      <c r="B4583" s="17"/>
      <c r="C4583" s="16" t="str">
        <f>IFERROR(VLOOKUP(DATA!#REF!,DATA!#REF!,1,FALSE),"")</f>
        <v/>
      </c>
      <c r="D4583" s="16" t="str">
        <f>IFERROR(VLOOKUP(C4583,DATA!#REF!,2,FALSE),"")</f>
        <v/>
      </c>
      <c r="I4583" s="17"/>
      <c r="J4583" s="17"/>
      <c r="P4583" s="17"/>
      <c r="Q4583" s="17"/>
    </row>
    <row r="4584" spans="2:17">
      <c r="B4584" s="17"/>
      <c r="C4584" s="16" t="str">
        <f>IFERROR(VLOOKUP(DATA!#REF!,DATA!#REF!,1,FALSE),"")</f>
        <v/>
      </c>
      <c r="D4584" s="16" t="str">
        <f>IFERROR(VLOOKUP(C4584,DATA!#REF!,2,FALSE),"")</f>
        <v/>
      </c>
      <c r="I4584" s="17"/>
      <c r="J4584" s="17"/>
      <c r="P4584" s="17"/>
      <c r="Q4584" s="17"/>
    </row>
    <row r="4585" spans="2:17">
      <c r="B4585" s="17"/>
      <c r="C4585" s="16" t="str">
        <f>IFERROR(VLOOKUP(DATA!#REF!,DATA!#REF!,1,FALSE),"")</f>
        <v/>
      </c>
      <c r="D4585" s="16" t="str">
        <f>IFERROR(VLOOKUP(C4585,DATA!#REF!,2,FALSE),"")</f>
        <v/>
      </c>
      <c r="I4585" s="17"/>
      <c r="J4585" s="17"/>
      <c r="P4585" s="17"/>
      <c r="Q4585" s="17"/>
    </row>
    <row r="4586" spans="2:17">
      <c r="B4586" s="17"/>
      <c r="C4586" s="16" t="str">
        <f>IFERROR(VLOOKUP(DATA!#REF!,DATA!#REF!,1,FALSE),"")</f>
        <v/>
      </c>
      <c r="D4586" s="16" t="str">
        <f>IFERROR(VLOOKUP(C4586,DATA!#REF!,2,FALSE),"")</f>
        <v/>
      </c>
      <c r="I4586" s="17"/>
      <c r="J4586" s="17"/>
      <c r="P4586" s="17"/>
      <c r="Q4586" s="17"/>
    </row>
    <row r="4587" spans="2:17">
      <c r="B4587" s="17"/>
      <c r="C4587" s="16" t="str">
        <f>IFERROR(VLOOKUP(DATA!#REF!,DATA!#REF!,1,FALSE),"")</f>
        <v/>
      </c>
      <c r="D4587" s="16" t="str">
        <f>IFERROR(VLOOKUP(C4587,DATA!#REF!,2,FALSE),"")</f>
        <v/>
      </c>
      <c r="I4587" s="17"/>
      <c r="J4587" s="17"/>
      <c r="P4587" s="17"/>
      <c r="Q4587" s="17"/>
    </row>
    <row r="4588" spans="2:17">
      <c r="B4588" s="17"/>
      <c r="C4588" s="16" t="str">
        <f>IFERROR(VLOOKUP(DATA!#REF!,DATA!#REF!,1,FALSE),"")</f>
        <v/>
      </c>
      <c r="D4588" s="16" t="str">
        <f>IFERROR(VLOOKUP(C4588,DATA!#REF!,2,FALSE),"")</f>
        <v/>
      </c>
      <c r="I4588" s="17"/>
      <c r="J4588" s="17"/>
      <c r="P4588" s="17"/>
      <c r="Q4588" s="17"/>
    </row>
    <row r="4589" spans="2:17">
      <c r="B4589" s="17"/>
      <c r="C4589" s="16" t="str">
        <f>IFERROR(VLOOKUP(DATA!#REF!,DATA!#REF!,1,FALSE),"")</f>
        <v/>
      </c>
      <c r="D4589" s="16" t="str">
        <f>IFERROR(VLOOKUP(C4589,DATA!#REF!,2,FALSE),"")</f>
        <v/>
      </c>
      <c r="I4589" s="17"/>
      <c r="J4589" s="17"/>
      <c r="P4589" s="17"/>
      <c r="Q4589" s="17"/>
    </row>
    <row r="4590" spans="2:17">
      <c r="B4590" s="17"/>
      <c r="C4590" s="16" t="str">
        <f>IFERROR(VLOOKUP(DATA!#REF!,DATA!#REF!,1,FALSE),"")</f>
        <v/>
      </c>
      <c r="D4590" s="16" t="str">
        <f>IFERROR(VLOOKUP(C4590,DATA!#REF!,2,FALSE),"")</f>
        <v/>
      </c>
      <c r="I4590" s="17"/>
      <c r="J4590" s="17"/>
      <c r="P4590" s="17"/>
      <c r="Q4590" s="17"/>
    </row>
    <row r="4591" spans="2:17">
      <c r="B4591" s="17"/>
      <c r="C4591" s="16" t="str">
        <f>IFERROR(VLOOKUP(DATA!#REF!,DATA!#REF!,1,FALSE),"")</f>
        <v/>
      </c>
      <c r="D4591" s="16" t="str">
        <f>IFERROR(VLOOKUP(C4591,DATA!#REF!,2,FALSE),"")</f>
        <v/>
      </c>
      <c r="I4591" s="17"/>
      <c r="J4591" s="17"/>
      <c r="P4591" s="17"/>
      <c r="Q4591" s="17"/>
    </row>
    <row r="4592" spans="2:17">
      <c r="B4592" s="17"/>
      <c r="C4592" s="16" t="str">
        <f>IFERROR(VLOOKUP(DATA!#REF!,DATA!#REF!,1,FALSE),"")</f>
        <v/>
      </c>
      <c r="D4592" s="16" t="str">
        <f>IFERROR(VLOOKUP(C4592,DATA!#REF!,2,FALSE),"")</f>
        <v/>
      </c>
      <c r="I4592" s="17"/>
      <c r="J4592" s="17"/>
      <c r="P4592" s="17"/>
      <c r="Q4592" s="17"/>
    </row>
    <row r="4593" spans="2:17">
      <c r="B4593" s="17"/>
      <c r="C4593" s="16" t="str">
        <f>IFERROR(VLOOKUP(DATA!#REF!,DATA!#REF!,1,FALSE),"")</f>
        <v/>
      </c>
      <c r="D4593" s="16" t="str">
        <f>IFERROR(VLOOKUP(C4593,DATA!#REF!,2,FALSE),"")</f>
        <v/>
      </c>
      <c r="I4593" s="17"/>
      <c r="J4593" s="17"/>
      <c r="P4593" s="17"/>
      <c r="Q4593" s="17"/>
    </row>
    <row r="4594" spans="2:17">
      <c r="B4594" s="17"/>
      <c r="C4594" s="16" t="str">
        <f>IFERROR(VLOOKUP(DATA!#REF!,DATA!#REF!,1,FALSE),"")</f>
        <v/>
      </c>
      <c r="D4594" s="16" t="str">
        <f>IFERROR(VLOOKUP(C4594,DATA!#REF!,2,FALSE),"")</f>
        <v/>
      </c>
      <c r="I4594" s="17"/>
      <c r="J4594" s="17"/>
      <c r="P4594" s="17"/>
      <c r="Q4594" s="17"/>
    </row>
    <row r="4595" spans="2:17">
      <c r="B4595" s="17"/>
      <c r="C4595" s="16" t="str">
        <f>IFERROR(VLOOKUP(DATA!#REF!,DATA!#REF!,1,FALSE),"")</f>
        <v/>
      </c>
      <c r="D4595" s="16" t="str">
        <f>IFERROR(VLOOKUP(C4595,DATA!#REF!,2,FALSE),"")</f>
        <v/>
      </c>
      <c r="I4595" s="17"/>
      <c r="J4595" s="17"/>
      <c r="P4595" s="17"/>
      <c r="Q4595" s="17"/>
    </row>
    <row r="4596" spans="2:17">
      <c r="B4596" s="17"/>
      <c r="C4596" s="16" t="str">
        <f>IFERROR(VLOOKUP(DATA!#REF!,DATA!#REF!,1,FALSE),"")</f>
        <v/>
      </c>
      <c r="D4596" s="16" t="str">
        <f>IFERROR(VLOOKUP(C4596,DATA!#REF!,2,FALSE),"")</f>
        <v/>
      </c>
      <c r="I4596" s="17"/>
      <c r="J4596" s="17"/>
      <c r="P4596" s="17"/>
      <c r="Q4596" s="17"/>
    </row>
    <row r="4597" spans="2:17">
      <c r="B4597" s="17"/>
      <c r="C4597" s="16" t="str">
        <f>IFERROR(VLOOKUP(DATA!#REF!,DATA!#REF!,1,FALSE),"")</f>
        <v/>
      </c>
      <c r="D4597" s="16" t="str">
        <f>IFERROR(VLOOKUP(C4597,DATA!#REF!,2,FALSE),"")</f>
        <v/>
      </c>
      <c r="I4597" s="17"/>
      <c r="J4597" s="17"/>
      <c r="P4597" s="17"/>
      <c r="Q4597" s="17"/>
    </row>
    <row r="4598" spans="2:17">
      <c r="B4598" s="17"/>
      <c r="C4598" s="16" t="str">
        <f>IFERROR(VLOOKUP(DATA!#REF!,DATA!#REF!,1,FALSE),"")</f>
        <v/>
      </c>
      <c r="D4598" s="16" t="str">
        <f>IFERROR(VLOOKUP(C4598,DATA!#REF!,2,FALSE),"")</f>
        <v/>
      </c>
      <c r="I4598" s="17"/>
      <c r="J4598" s="17"/>
      <c r="P4598" s="17"/>
      <c r="Q4598" s="17"/>
    </row>
    <row r="4599" spans="2:17">
      <c r="B4599" s="17"/>
      <c r="C4599" s="16" t="str">
        <f>IFERROR(VLOOKUP(DATA!#REF!,DATA!#REF!,1,FALSE),"")</f>
        <v/>
      </c>
      <c r="D4599" s="16" t="str">
        <f>IFERROR(VLOOKUP(C4599,DATA!#REF!,2,FALSE),"")</f>
        <v/>
      </c>
      <c r="I4599" s="17"/>
      <c r="J4599" s="17"/>
      <c r="P4599" s="17"/>
      <c r="Q4599" s="17"/>
    </row>
    <row r="4600" spans="2:17">
      <c r="B4600" s="17"/>
      <c r="C4600" s="16" t="str">
        <f>IFERROR(VLOOKUP(DATA!#REF!,DATA!#REF!,1,FALSE),"")</f>
        <v/>
      </c>
      <c r="D4600" s="16" t="str">
        <f>IFERROR(VLOOKUP(C4600,DATA!#REF!,2,FALSE),"")</f>
        <v/>
      </c>
      <c r="I4600" s="17"/>
      <c r="J4600" s="17"/>
      <c r="P4600" s="17"/>
      <c r="Q4600" s="17"/>
    </row>
    <row r="4601" spans="2:17">
      <c r="B4601" s="17"/>
      <c r="C4601" s="16" t="str">
        <f>IFERROR(VLOOKUP(DATA!#REF!,DATA!#REF!,1,FALSE),"")</f>
        <v/>
      </c>
      <c r="D4601" s="16" t="str">
        <f>IFERROR(VLOOKUP(C4601,DATA!#REF!,2,FALSE),"")</f>
        <v/>
      </c>
      <c r="I4601" s="17"/>
      <c r="J4601" s="17"/>
      <c r="P4601" s="17"/>
      <c r="Q4601" s="17"/>
    </row>
    <row r="4602" spans="2:17">
      <c r="B4602" s="17"/>
      <c r="C4602" s="16" t="str">
        <f>IFERROR(VLOOKUP(DATA!#REF!,DATA!#REF!,1,FALSE),"")</f>
        <v/>
      </c>
      <c r="D4602" s="16" t="str">
        <f>IFERROR(VLOOKUP(C4602,DATA!#REF!,2,FALSE),"")</f>
        <v/>
      </c>
      <c r="I4602" s="17"/>
      <c r="J4602" s="17"/>
      <c r="P4602" s="17"/>
      <c r="Q4602" s="17"/>
    </row>
    <row r="4603" spans="2:17">
      <c r="B4603" s="17"/>
      <c r="C4603" s="16" t="str">
        <f>IFERROR(VLOOKUP(DATA!#REF!,DATA!#REF!,1,FALSE),"")</f>
        <v/>
      </c>
      <c r="D4603" s="16" t="str">
        <f>IFERROR(VLOOKUP(C4603,DATA!#REF!,2,FALSE),"")</f>
        <v/>
      </c>
      <c r="I4603" s="17"/>
      <c r="J4603" s="17"/>
      <c r="P4603" s="17"/>
      <c r="Q4603" s="17"/>
    </row>
    <row r="4604" spans="2:17">
      <c r="B4604" s="17"/>
      <c r="C4604" s="16" t="str">
        <f>IFERROR(VLOOKUP(DATA!#REF!,DATA!#REF!,1,FALSE),"")</f>
        <v/>
      </c>
      <c r="D4604" s="16" t="str">
        <f>IFERROR(VLOOKUP(C4604,DATA!#REF!,2,FALSE),"")</f>
        <v/>
      </c>
      <c r="I4604" s="17"/>
      <c r="J4604" s="17"/>
      <c r="P4604" s="17"/>
      <c r="Q4604" s="17"/>
    </row>
    <row r="4605" spans="2:17">
      <c r="B4605" s="17"/>
      <c r="C4605" s="16" t="str">
        <f>IFERROR(VLOOKUP(DATA!#REF!,DATA!#REF!,1,FALSE),"")</f>
        <v/>
      </c>
      <c r="D4605" s="16" t="str">
        <f>IFERROR(VLOOKUP(C4605,DATA!#REF!,2,FALSE),"")</f>
        <v/>
      </c>
      <c r="I4605" s="17"/>
      <c r="J4605" s="17"/>
      <c r="P4605" s="17"/>
      <c r="Q4605" s="17"/>
    </row>
    <row r="4606" spans="2:17">
      <c r="B4606" s="17"/>
      <c r="C4606" s="16" t="str">
        <f>IFERROR(VLOOKUP(DATA!#REF!,DATA!#REF!,1,FALSE),"")</f>
        <v/>
      </c>
      <c r="D4606" s="16" t="str">
        <f>IFERROR(VLOOKUP(C4606,DATA!#REF!,2,FALSE),"")</f>
        <v/>
      </c>
      <c r="I4606" s="17"/>
      <c r="J4606" s="17"/>
      <c r="P4606" s="17"/>
      <c r="Q4606" s="17"/>
    </row>
    <row r="4607" spans="2:17">
      <c r="B4607" s="17"/>
      <c r="C4607" s="16" t="str">
        <f>IFERROR(VLOOKUP(DATA!#REF!,DATA!#REF!,1,FALSE),"")</f>
        <v/>
      </c>
      <c r="D4607" s="16" t="str">
        <f>IFERROR(VLOOKUP(C4607,DATA!#REF!,2,FALSE),"")</f>
        <v/>
      </c>
      <c r="I4607" s="17"/>
      <c r="J4607" s="17"/>
      <c r="P4607" s="17"/>
      <c r="Q4607" s="17"/>
    </row>
    <row r="4608" spans="2:17">
      <c r="B4608" s="17"/>
      <c r="C4608" s="16" t="str">
        <f>IFERROR(VLOOKUP(DATA!#REF!,DATA!#REF!,1,FALSE),"")</f>
        <v/>
      </c>
      <c r="D4608" s="16" t="str">
        <f>IFERROR(VLOOKUP(C4608,DATA!#REF!,2,FALSE),"")</f>
        <v/>
      </c>
      <c r="I4608" s="17"/>
      <c r="J4608" s="17"/>
      <c r="P4608" s="17"/>
      <c r="Q4608" s="17"/>
    </row>
    <row r="4609" spans="2:17">
      <c r="B4609" s="17"/>
      <c r="C4609" s="16" t="str">
        <f>IFERROR(VLOOKUP(DATA!#REF!,DATA!#REF!,1,FALSE),"")</f>
        <v/>
      </c>
      <c r="D4609" s="16" t="str">
        <f>IFERROR(VLOOKUP(C4609,DATA!#REF!,2,FALSE),"")</f>
        <v/>
      </c>
      <c r="I4609" s="17"/>
      <c r="J4609" s="17"/>
      <c r="P4609" s="17"/>
      <c r="Q4609" s="17"/>
    </row>
    <row r="4610" spans="2:17">
      <c r="B4610" s="17"/>
      <c r="C4610" s="16" t="str">
        <f>IFERROR(VLOOKUP(DATA!#REF!,DATA!#REF!,1,FALSE),"")</f>
        <v/>
      </c>
      <c r="D4610" s="16" t="str">
        <f>IFERROR(VLOOKUP(C4610,DATA!#REF!,2,FALSE),"")</f>
        <v/>
      </c>
      <c r="I4610" s="17"/>
      <c r="J4610" s="17"/>
      <c r="P4610" s="17"/>
      <c r="Q4610" s="17"/>
    </row>
    <row r="4611" spans="2:17">
      <c r="B4611" s="17"/>
      <c r="C4611" s="16" t="str">
        <f>IFERROR(VLOOKUP(DATA!#REF!,DATA!#REF!,1,FALSE),"")</f>
        <v/>
      </c>
      <c r="D4611" s="16" t="str">
        <f>IFERROR(VLOOKUP(C4611,DATA!#REF!,2,FALSE),"")</f>
        <v/>
      </c>
      <c r="I4611" s="17"/>
      <c r="J4611" s="17"/>
      <c r="P4611" s="17"/>
      <c r="Q4611" s="17"/>
    </row>
    <row r="4612" spans="2:17">
      <c r="B4612" s="17"/>
      <c r="C4612" s="16" t="str">
        <f>IFERROR(VLOOKUP(DATA!#REF!,DATA!#REF!,1,FALSE),"")</f>
        <v/>
      </c>
      <c r="D4612" s="16" t="str">
        <f>IFERROR(VLOOKUP(C4612,DATA!#REF!,2,FALSE),"")</f>
        <v/>
      </c>
      <c r="I4612" s="17"/>
      <c r="J4612" s="17"/>
      <c r="P4612" s="17"/>
      <c r="Q4612" s="17"/>
    </row>
    <row r="4613" spans="2:17">
      <c r="B4613" s="17"/>
      <c r="C4613" s="16" t="str">
        <f>IFERROR(VLOOKUP(DATA!#REF!,DATA!#REF!,1,FALSE),"")</f>
        <v/>
      </c>
      <c r="D4613" s="16" t="str">
        <f>IFERROR(VLOOKUP(C4613,DATA!#REF!,2,FALSE),"")</f>
        <v/>
      </c>
      <c r="I4613" s="17"/>
      <c r="J4613" s="17"/>
      <c r="P4613" s="17"/>
      <c r="Q4613" s="17"/>
    </row>
    <row r="4614" spans="2:17">
      <c r="B4614" s="17"/>
      <c r="C4614" s="16" t="str">
        <f>IFERROR(VLOOKUP(DATA!#REF!,DATA!#REF!,1,FALSE),"")</f>
        <v/>
      </c>
      <c r="D4614" s="16" t="str">
        <f>IFERROR(VLOOKUP(C4614,DATA!#REF!,2,FALSE),"")</f>
        <v/>
      </c>
      <c r="I4614" s="17"/>
      <c r="J4614" s="17"/>
      <c r="P4614" s="17"/>
      <c r="Q4614" s="17"/>
    </row>
    <row r="4615" spans="2:17">
      <c r="B4615" s="17"/>
      <c r="C4615" s="16" t="str">
        <f>IFERROR(VLOOKUP(DATA!#REF!,DATA!#REF!,1,FALSE),"")</f>
        <v/>
      </c>
      <c r="D4615" s="16" t="str">
        <f>IFERROR(VLOOKUP(C4615,DATA!#REF!,2,FALSE),"")</f>
        <v/>
      </c>
      <c r="I4615" s="17"/>
      <c r="J4615" s="17"/>
      <c r="P4615" s="17"/>
      <c r="Q4615" s="17"/>
    </row>
    <row r="4616" spans="2:17">
      <c r="B4616" s="17"/>
      <c r="C4616" s="16" t="str">
        <f>IFERROR(VLOOKUP(DATA!#REF!,DATA!#REF!,1,FALSE),"")</f>
        <v/>
      </c>
      <c r="D4616" s="16" t="str">
        <f>IFERROR(VLOOKUP(C4616,DATA!#REF!,2,FALSE),"")</f>
        <v/>
      </c>
      <c r="I4616" s="17"/>
      <c r="J4616" s="17"/>
      <c r="P4616" s="17"/>
      <c r="Q4616" s="17"/>
    </row>
    <row r="4617" spans="2:17">
      <c r="B4617" s="17"/>
      <c r="C4617" s="16" t="str">
        <f>IFERROR(VLOOKUP(DATA!#REF!,DATA!#REF!,1,FALSE),"")</f>
        <v/>
      </c>
      <c r="D4617" s="16" t="str">
        <f>IFERROR(VLOOKUP(C4617,DATA!#REF!,2,FALSE),"")</f>
        <v/>
      </c>
      <c r="I4617" s="17"/>
      <c r="J4617" s="17"/>
      <c r="P4617" s="17"/>
      <c r="Q4617" s="17"/>
    </row>
    <row r="4618" spans="2:17">
      <c r="B4618" s="17"/>
      <c r="C4618" s="16" t="str">
        <f>IFERROR(VLOOKUP(DATA!#REF!,DATA!#REF!,1,FALSE),"")</f>
        <v/>
      </c>
      <c r="D4618" s="16" t="str">
        <f>IFERROR(VLOOKUP(C4618,DATA!#REF!,2,FALSE),"")</f>
        <v/>
      </c>
      <c r="I4618" s="17"/>
      <c r="J4618" s="17"/>
      <c r="P4618" s="17"/>
      <c r="Q4618" s="17"/>
    </row>
    <row r="4619" spans="2:17">
      <c r="B4619" s="17"/>
      <c r="C4619" s="16" t="str">
        <f>IFERROR(VLOOKUP(DATA!#REF!,DATA!#REF!,1,FALSE),"")</f>
        <v/>
      </c>
      <c r="D4619" s="16" t="str">
        <f>IFERROR(VLOOKUP(C4619,DATA!#REF!,2,FALSE),"")</f>
        <v/>
      </c>
      <c r="I4619" s="17"/>
      <c r="J4619" s="17"/>
      <c r="P4619" s="17"/>
      <c r="Q4619" s="17"/>
    </row>
    <row r="4620" spans="2:17">
      <c r="B4620" s="17"/>
      <c r="C4620" s="16" t="str">
        <f>IFERROR(VLOOKUP(DATA!#REF!,DATA!#REF!,1,FALSE),"")</f>
        <v/>
      </c>
      <c r="D4620" s="16" t="str">
        <f>IFERROR(VLOOKUP(C4620,DATA!#REF!,2,FALSE),"")</f>
        <v/>
      </c>
      <c r="I4620" s="17"/>
      <c r="J4620" s="17"/>
      <c r="P4620" s="17"/>
      <c r="Q4620" s="17"/>
    </row>
    <row r="4621" spans="2:17">
      <c r="B4621" s="17"/>
      <c r="C4621" s="16" t="str">
        <f>IFERROR(VLOOKUP(DATA!#REF!,DATA!#REF!,1,FALSE),"")</f>
        <v/>
      </c>
      <c r="D4621" s="16" t="str">
        <f>IFERROR(VLOOKUP(C4621,DATA!#REF!,2,FALSE),"")</f>
        <v/>
      </c>
      <c r="I4621" s="17"/>
      <c r="J4621" s="17"/>
      <c r="P4621" s="17"/>
      <c r="Q4621" s="17"/>
    </row>
    <row r="4622" spans="2:17">
      <c r="B4622" s="17"/>
      <c r="C4622" s="16" t="str">
        <f>IFERROR(VLOOKUP(DATA!#REF!,DATA!#REF!,1,FALSE),"")</f>
        <v/>
      </c>
      <c r="D4622" s="16" t="str">
        <f>IFERROR(VLOOKUP(C4622,DATA!#REF!,2,FALSE),"")</f>
        <v/>
      </c>
      <c r="I4622" s="17"/>
      <c r="J4622" s="17"/>
      <c r="P4622" s="17"/>
      <c r="Q4622" s="17"/>
    </row>
    <row r="4623" spans="2:17">
      <c r="B4623" s="17"/>
      <c r="C4623" s="16" t="str">
        <f>IFERROR(VLOOKUP(DATA!#REF!,DATA!#REF!,1,FALSE),"")</f>
        <v/>
      </c>
      <c r="D4623" s="16" t="str">
        <f>IFERROR(VLOOKUP(C4623,DATA!#REF!,2,FALSE),"")</f>
        <v/>
      </c>
      <c r="I4623" s="17"/>
      <c r="J4623" s="17"/>
      <c r="P4623" s="17"/>
      <c r="Q4623" s="17"/>
    </row>
    <row r="4624" spans="2:17">
      <c r="B4624" s="17"/>
      <c r="C4624" s="16" t="str">
        <f>IFERROR(VLOOKUP(DATA!#REF!,DATA!#REF!,1,FALSE),"")</f>
        <v/>
      </c>
      <c r="D4624" s="16" t="str">
        <f>IFERROR(VLOOKUP(C4624,DATA!#REF!,2,FALSE),"")</f>
        <v/>
      </c>
      <c r="I4624" s="17"/>
      <c r="J4624" s="17"/>
      <c r="P4624" s="17"/>
      <c r="Q4624" s="17"/>
    </row>
    <row r="4625" spans="2:17">
      <c r="B4625" s="17"/>
      <c r="C4625" s="16" t="str">
        <f>IFERROR(VLOOKUP(DATA!#REF!,DATA!#REF!,1,FALSE),"")</f>
        <v/>
      </c>
      <c r="D4625" s="16" t="str">
        <f>IFERROR(VLOOKUP(C4625,DATA!#REF!,2,FALSE),"")</f>
        <v/>
      </c>
      <c r="I4625" s="17"/>
      <c r="J4625" s="17"/>
      <c r="P4625" s="17"/>
      <c r="Q4625" s="17"/>
    </row>
    <row r="4626" spans="2:17">
      <c r="B4626" s="17"/>
      <c r="C4626" s="16" t="str">
        <f>IFERROR(VLOOKUP(DATA!#REF!,DATA!#REF!,1,FALSE),"")</f>
        <v/>
      </c>
      <c r="D4626" s="16" t="str">
        <f>IFERROR(VLOOKUP(C4626,DATA!#REF!,2,FALSE),"")</f>
        <v/>
      </c>
      <c r="I4626" s="17"/>
      <c r="J4626" s="17"/>
      <c r="P4626" s="17"/>
      <c r="Q4626" s="17"/>
    </row>
    <row r="4627" spans="2:17">
      <c r="B4627" s="17"/>
      <c r="C4627" s="16" t="str">
        <f>IFERROR(VLOOKUP(DATA!#REF!,DATA!#REF!,1,FALSE),"")</f>
        <v/>
      </c>
      <c r="D4627" s="16" t="str">
        <f>IFERROR(VLOOKUP(C4627,DATA!#REF!,2,FALSE),"")</f>
        <v/>
      </c>
      <c r="I4627" s="17"/>
      <c r="J4627" s="17"/>
      <c r="P4627" s="17"/>
      <c r="Q4627" s="17"/>
    </row>
    <row r="4628" spans="2:17">
      <c r="B4628" s="17"/>
      <c r="C4628" s="16" t="str">
        <f>IFERROR(VLOOKUP(DATA!#REF!,DATA!#REF!,1,FALSE),"")</f>
        <v/>
      </c>
      <c r="D4628" s="16" t="str">
        <f>IFERROR(VLOOKUP(C4628,DATA!#REF!,2,FALSE),"")</f>
        <v/>
      </c>
      <c r="I4628" s="17"/>
      <c r="J4628" s="17"/>
      <c r="P4628" s="17"/>
      <c r="Q4628" s="17"/>
    </row>
    <row r="4629" spans="2:17">
      <c r="B4629" s="17"/>
      <c r="C4629" s="16" t="str">
        <f>IFERROR(VLOOKUP(DATA!#REF!,DATA!#REF!,1,FALSE),"")</f>
        <v/>
      </c>
      <c r="D4629" s="16" t="str">
        <f>IFERROR(VLOOKUP(C4629,DATA!#REF!,2,FALSE),"")</f>
        <v/>
      </c>
      <c r="I4629" s="17"/>
      <c r="J4629" s="17"/>
      <c r="P4629" s="17"/>
      <c r="Q4629" s="17"/>
    </row>
    <row r="4630" spans="2:17">
      <c r="B4630" s="17"/>
      <c r="C4630" s="16" t="str">
        <f>IFERROR(VLOOKUP(DATA!#REF!,DATA!#REF!,1,FALSE),"")</f>
        <v/>
      </c>
      <c r="D4630" s="16" t="str">
        <f>IFERROR(VLOOKUP(C4630,DATA!#REF!,2,FALSE),"")</f>
        <v/>
      </c>
      <c r="I4630" s="17"/>
      <c r="J4630" s="17"/>
      <c r="P4630" s="17"/>
      <c r="Q4630" s="17"/>
    </row>
    <row r="4631" spans="2:17">
      <c r="B4631" s="17"/>
      <c r="C4631" s="16" t="str">
        <f>IFERROR(VLOOKUP(DATA!#REF!,DATA!#REF!,1,FALSE),"")</f>
        <v/>
      </c>
      <c r="D4631" s="16" t="str">
        <f>IFERROR(VLOOKUP(C4631,DATA!#REF!,2,FALSE),"")</f>
        <v/>
      </c>
      <c r="I4631" s="17"/>
      <c r="J4631" s="17"/>
      <c r="P4631" s="17"/>
      <c r="Q4631" s="17"/>
    </row>
    <row r="4632" spans="2:17">
      <c r="B4632" s="17"/>
      <c r="C4632" s="16" t="str">
        <f>IFERROR(VLOOKUP(DATA!#REF!,DATA!#REF!,1,FALSE),"")</f>
        <v/>
      </c>
      <c r="D4632" s="16" t="str">
        <f>IFERROR(VLOOKUP(C4632,DATA!#REF!,2,FALSE),"")</f>
        <v/>
      </c>
      <c r="I4632" s="17"/>
      <c r="J4632" s="17"/>
      <c r="P4632" s="17"/>
      <c r="Q4632" s="17"/>
    </row>
    <row r="4633" spans="2:17">
      <c r="B4633" s="17"/>
      <c r="C4633" s="16" t="str">
        <f>IFERROR(VLOOKUP(DATA!#REF!,DATA!#REF!,1,FALSE),"")</f>
        <v/>
      </c>
      <c r="D4633" s="16" t="str">
        <f>IFERROR(VLOOKUP(C4633,DATA!#REF!,2,FALSE),"")</f>
        <v/>
      </c>
      <c r="I4633" s="17"/>
      <c r="J4633" s="17"/>
      <c r="P4633" s="17"/>
      <c r="Q4633" s="17"/>
    </row>
    <row r="4634" spans="2:17">
      <c r="B4634" s="17"/>
      <c r="C4634" s="16" t="str">
        <f>IFERROR(VLOOKUP(DATA!#REF!,DATA!#REF!,1,FALSE),"")</f>
        <v/>
      </c>
      <c r="D4634" s="16" t="str">
        <f>IFERROR(VLOOKUP(C4634,DATA!#REF!,2,FALSE),"")</f>
        <v/>
      </c>
      <c r="I4634" s="17"/>
      <c r="J4634" s="17"/>
      <c r="P4634" s="17"/>
      <c r="Q4634" s="17"/>
    </row>
    <row r="4635" spans="2:17">
      <c r="B4635" s="17"/>
      <c r="C4635" s="16" t="str">
        <f>IFERROR(VLOOKUP(DATA!#REF!,DATA!#REF!,1,FALSE),"")</f>
        <v/>
      </c>
      <c r="D4635" s="16" t="str">
        <f>IFERROR(VLOOKUP(C4635,DATA!#REF!,2,FALSE),"")</f>
        <v/>
      </c>
      <c r="I4635" s="17"/>
      <c r="J4635" s="17"/>
      <c r="P4635" s="17"/>
      <c r="Q4635" s="17"/>
    </row>
    <row r="4636" spans="2:17">
      <c r="B4636" s="17"/>
      <c r="C4636" s="16" t="str">
        <f>IFERROR(VLOOKUP(DATA!#REF!,DATA!#REF!,1,FALSE),"")</f>
        <v/>
      </c>
      <c r="D4636" s="16" t="str">
        <f>IFERROR(VLOOKUP(C4636,DATA!#REF!,2,FALSE),"")</f>
        <v/>
      </c>
      <c r="I4636" s="17"/>
      <c r="J4636" s="17"/>
      <c r="P4636" s="17"/>
      <c r="Q4636" s="17"/>
    </row>
    <row r="4637" spans="2:17">
      <c r="B4637" s="17"/>
      <c r="C4637" s="16" t="str">
        <f>IFERROR(VLOOKUP(DATA!#REF!,DATA!#REF!,1,FALSE),"")</f>
        <v/>
      </c>
      <c r="D4637" s="16" t="str">
        <f>IFERROR(VLOOKUP(C4637,DATA!#REF!,2,FALSE),"")</f>
        <v/>
      </c>
      <c r="I4637" s="17"/>
      <c r="J4637" s="17"/>
      <c r="P4637" s="17"/>
      <c r="Q4637" s="17"/>
    </row>
    <row r="4638" spans="2:17">
      <c r="B4638" s="17"/>
      <c r="C4638" s="16" t="str">
        <f>IFERROR(VLOOKUP(DATA!#REF!,DATA!#REF!,1,FALSE),"")</f>
        <v/>
      </c>
      <c r="D4638" s="16" t="str">
        <f>IFERROR(VLOOKUP(C4638,DATA!#REF!,2,FALSE),"")</f>
        <v/>
      </c>
      <c r="I4638" s="17"/>
      <c r="J4638" s="17"/>
      <c r="P4638" s="17"/>
      <c r="Q4638" s="17"/>
    </row>
    <row r="4639" spans="2:17">
      <c r="B4639" s="17"/>
      <c r="C4639" s="16" t="str">
        <f>IFERROR(VLOOKUP(DATA!#REF!,DATA!#REF!,1,FALSE),"")</f>
        <v/>
      </c>
      <c r="D4639" s="16" t="str">
        <f>IFERROR(VLOOKUP(C4639,DATA!#REF!,2,FALSE),"")</f>
        <v/>
      </c>
      <c r="I4639" s="17"/>
      <c r="J4639" s="17"/>
      <c r="P4639" s="17"/>
      <c r="Q4639" s="17"/>
    </row>
    <row r="4640" spans="2:17">
      <c r="B4640" s="17"/>
      <c r="C4640" s="16" t="str">
        <f>IFERROR(VLOOKUP(DATA!#REF!,DATA!#REF!,1,FALSE),"")</f>
        <v/>
      </c>
      <c r="D4640" s="16" t="str">
        <f>IFERROR(VLOOKUP(C4640,DATA!#REF!,2,FALSE),"")</f>
        <v/>
      </c>
      <c r="I4640" s="17"/>
      <c r="J4640" s="17"/>
      <c r="P4640" s="17"/>
      <c r="Q4640" s="17"/>
    </row>
    <row r="4641" spans="2:17">
      <c r="B4641" s="17"/>
      <c r="C4641" s="16" t="str">
        <f>IFERROR(VLOOKUP(DATA!#REF!,DATA!#REF!,1,FALSE),"")</f>
        <v/>
      </c>
      <c r="D4641" s="16" t="str">
        <f>IFERROR(VLOOKUP(C4641,DATA!#REF!,2,FALSE),"")</f>
        <v/>
      </c>
      <c r="I4641" s="17"/>
      <c r="J4641" s="17"/>
      <c r="P4641" s="17"/>
      <c r="Q4641" s="17"/>
    </row>
    <row r="4642" spans="2:17">
      <c r="B4642" s="17"/>
      <c r="C4642" s="16" t="str">
        <f>IFERROR(VLOOKUP(DATA!#REF!,DATA!#REF!,1,FALSE),"")</f>
        <v/>
      </c>
      <c r="D4642" s="16" t="str">
        <f>IFERROR(VLOOKUP(C4642,DATA!#REF!,2,FALSE),"")</f>
        <v/>
      </c>
      <c r="I4642" s="17"/>
      <c r="J4642" s="17"/>
      <c r="P4642" s="17"/>
      <c r="Q4642" s="17"/>
    </row>
    <row r="4643" spans="2:17">
      <c r="B4643" s="17"/>
      <c r="C4643" s="16" t="str">
        <f>IFERROR(VLOOKUP(DATA!#REF!,DATA!#REF!,1,FALSE),"")</f>
        <v/>
      </c>
      <c r="D4643" s="16" t="str">
        <f>IFERROR(VLOOKUP(C4643,DATA!#REF!,2,FALSE),"")</f>
        <v/>
      </c>
      <c r="I4643" s="17"/>
      <c r="J4643" s="17"/>
      <c r="P4643" s="17"/>
      <c r="Q4643" s="17"/>
    </row>
    <row r="4644" spans="2:17">
      <c r="B4644" s="17"/>
      <c r="C4644" s="16" t="str">
        <f>IFERROR(VLOOKUP(DATA!#REF!,DATA!#REF!,1,FALSE),"")</f>
        <v/>
      </c>
      <c r="D4644" s="16" t="str">
        <f>IFERROR(VLOOKUP(C4644,DATA!#REF!,2,FALSE),"")</f>
        <v/>
      </c>
      <c r="I4644" s="17"/>
      <c r="J4644" s="17"/>
      <c r="P4644" s="17"/>
      <c r="Q4644" s="17"/>
    </row>
    <row r="4645" spans="2:17">
      <c r="B4645" s="17"/>
      <c r="C4645" s="16" t="str">
        <f>IFERROR(VLOOKUP(DATA!#REF!,DATA!#REF!,1,FALSE),"")</f>
        <v/>
      </c>
      <c r="D4645" s="16" t="str">
        <f>IFERROR(VLOOKUP(C4645,DATA!#REF!,2,FALSE),"")</f>
        <v/>
      </c>
      <c r="I4645" s="17"/>
      <c r="J4645" s="17"/>
      <c r="P4645" s="17"/>
      <c r="Q4645" s="17"/>
    </row>
    <row r="4646" spans="2:17">
      <c r="B4646" s="17"/>
      <c r="C4646" s="16" t="str">
        <f>IFERROR(VLOOKUP(DATA!#REF!,DATA!#REF!,1,FALSE),"")</f>
        <v/>
      </c>
      <c r="D4646" s="16" t="str">
        <f>IFERROR(VLOOKUP(C4646,DATA!#REF!,2,FALSE),"")</f>
        <v/>
      </c>
      <c r="I4646" s="17"/>
      <c r="J4646" s="17"/>
      <c r="P4646" s="17"/>
      <c r="Q4646" s="17"/>
    </row>
    <row r="4647" spans="2:17">
      <c r="B4647" s="17"/>
      <c r="C4647" s="16" t="str">
        <f>IFERROR(VLOOKUP(DATA!#REF!,DATA!#REF!,1,FALSE),"")</f>
        <v/>
      </c>
      <c r="D4647" s="16" t="str">
        <f>IFERROR(VLOOKUP(C4647,DATA!#REF!,2,FALSE),"")</f>
        <v/>
      </c>
      <c r="I4647" s="17"/>
      <c r="J4647" s="17"/>
      <c r="P4647" s="17"/>
      <c r="Q4647" s="17"/>
    </row>
    <row r="4648" spans="2:17">
      <c r="B4648" s="17"/>
      <c r="C4648" s="16" t="str">
        <f>IFERROR(VLOOKUP(DATA!#REF!,DATA!#REF!,1,FALSE),"")</f>
        <v/>
      </c>
      <c r="D4648" s="16" t="str">
        <f>IFERROR(VLOOKUP(C4648,DATA!#REF!,2,FALSE),"")</f>
        <v/>
      </c>
      <c r="I4648" s="17"/>
      <c r="J4648" s="17"/>
      <c r="P4648" s="17"/>
      <c r="Q4648" s="17"/>
    </row>
    <row r="4649" spans="2:17">
      <c r="B4649" s="17"/>
      <c r="C4649" s="16" t="str">
        <f>IFERROR(VLOOKUP(DATA!#REF!,DATA!#REF!,1,FALSE),"")</f>
        <v/>
      </c>
      <c r="D4649" s="16" t="str">
        <f>IFERROR(VLOOKUP(C4649,DATA!#REF!,2,FALSE),"")</f>
        <v/>
      </c>
      <c r="I4649" s="17"/>
      <c r="J4649" s="17"/>
      <c r="P4649" s="17"/>
      <c r="Q4649" s="17"/>
    </row>
    <row r="4650" spans="2:17">
      <c r="B4650" s="17"/>
      <c r="C4650" s="16" t="str">
        <f>IFERROR(VLOOKUP(DATA!#REF!,DATA!#REF!,1,FALSE),"")</f>
        <v/>
      </c>
      <c r="D4650" s="16" t="str">
        <f>IFERROR(VLOOKUP(C4650,DATA!#REF!,2,FALSE),"")</f>
        <v/>
      </c>
      <c r="I4650" s="17"/>
      <c r="J4650" s="17"/>
      <c r="P4650" s="17"/>
      <c r="Q4650" s="17"/>
    </row>
    <row r="4651" spans="2:17">
      <c r="B4651" s="17"/>
      <c r="C4651" s="16" t="str">
        <f>IFERROR(VLOOKUP(DATA!#REF!,DATA!#REF!,1,FALSE),"")</f>
        <v/>
      </c>
      <c r="D4651" s="16" t="str">
        <f>IFERROR(VLOOKUP(C4651,DATA!#REF!,2,FALSE),"")</f>
        <v/>
      </c>
      <c r="I4651" s="17"/>
      <c r="J4651" s="17"/>
      <c r="P4651" s="17"/>
      <c r="Q4651" s="17"/>
    </row>
    <row r="4652" spans="2:17">
      <c r="B4652" s="17"/>
      <c r="C4652" s="16" t="str">
        <f>IFERROR(VLOOKUP(DATA!#REF!,DATA!#REF!,1,FALSE),"")</f>
        <v/>
      </c>
      <c r="D4652" s="16" t="str">
        <f>IFERROR(VLOOKUP(C4652,DATA!#REF!,2,FALSE),"")</f>
        <v/>
      </c>
      <c r="I4652" s="17"/>
      <c r="J4652" s="17"/>
      <c r="P4652" s="17"/>
      <c r="Q4652" s="17"/>
    </row>
    <row r="4653" spans="2:17">
      <c r="B4653" s="17"/>
      <c r="C4653" s="16" t="str">
        <f>IFERROR(VLOOKUP(DATA!#REF!,DATA!#REF!,1,FALSE),"")</f>
        <v/>
      </c>
      <c r="D4653" s="16" t="str">
        <f>IFERROR(VLOOKUP(C4653,DATA!#REF!,2,FALSE),"")</f>
        <v/>
      </c>
      <c r="I4653" s="17"/>
      <c r="J4653" s="17"/>
      <c r="P4653" s="17"/>
      <c r="Q4653" s="17"/>
    </row>
    <row r="4654" spans="2:17">
      <c r="B4654" s="17"/>
      <c r="C4654" s="16" t="str">
        <f>IFERROR(VLOOKUP(DATA!#REF!,DATA!#REF!,1,FALSE),"")</f>
        <v/>
      </c>
      <c r="D4654" s="16" t="str">
        <f>IFERROR(VLOOKUP(C4654,DATA!#REF!,2,FALSE),"")</f>
        <v/>
      </c>
      <c r="I4654" s="17"/>
      <c r="J4654" s="17"/>
      <c r="P4654" s="17"/>
      <c r="Q4654" s="17"/>
    </row>
    <row r="4655" spans="2:17">
      <c r="B4655" s="17"/>
      <c r="C4655" s="16" t="str">
        <f>IFERROR(VLOOKUP(DATA!#REF!,DATA!#REF!,1,FALSE),"")</f>
        <v/>
      </c>
      <c r="D4655" s="16" t="str">
        <f>IFERROR(VLOOKUP(C4655,DATA!#REF!,2,FALSE),"")</f>
        <v/>
      </c>
      <c r="I4655" s="17"/>
      <c r="J4655" s="17"/>
      <c r="P4655" s="17"/>
      <c r="Q4655" s="17"/>
    </row>
    <row r="4656" spans="2:17">
      <c r="B4656" s="17"/>
      <c r="C4656" s="16" t="str">
        <f>IFERROR(VLOOKUP(DATA!#REF!,DATA!#REF!,1,FALSE),"")</f>
        <v/>
      </c>
      <c r="D4656" s="16" t="str">
        <f>IFERROR(VLOOKUP(C4656,DATA!#REF!,2,FALSE),"")</f>
        <v/>
      </c>
      <c r="I4656" s="17"/>
      <c r="J4656" s="17"/>
      <c r="P4656" s="17"/>
      <c r="Q4656" s="17"/>
    </row>
    <row r="4657" spans="2:17">
      <c r="B4657" s="17"/>
      <c r="C4657" s="16" t="str">
        <f>IFERROR(VLOOKUP(DATA!#REF!,DATA!#REF!,1,FALSE),"")</f>
        <v/>
      </c>
      <c r="D4657" s="16" t="str">
        <f>IFERROR(VLOOKUP(C4657,DATA!#REF!,2,FALSE),"")</f>
        <v/>
      </c>
      <c r="I4657" s="17"/>
      <c r="J4657" s="17"/>
      <c r="P4657" s="17"/>
      <c r="Q4657" s="17"/>
    </row>
    <row r="4658" spans="2:17">
      <c r="B4658" s="17"/>
      <c r="C4658" s="16" t="str">
        <f>IFERROR(VLOOKUP(DATA!#REF!,DATA!#REF!,1,FALSE),"")</f>
        <v/>
      </c>
      <c r="D4658" s="16" t="str">
        <f>IFERROR(VLOOKUP(C4658,DATA!#REF!,2,FALSE),"")</f>
        <v/>
      </c>
      <c r="I4658" s="17"/>
      <c r="J4658" s="17"/>
      <c r="P4658" s="17"/>
      <c r="Q4658" s="17"/>
    </row>
    <row r="4659" spans="2:17">
      <c r="B4659" s="17"/>
      <c r="C4659" s="16" t="str">
        <f>IFERROR(VLOOKUP(DATA!#REF!,DATA!#REF!,1,FALSE),"")</f>
        <v/>
      </c>
      <c r="D4659" s="16" t="str">
        <f>IFERROR(VLOOKUP(C4659,DATA!#REF!,2,FALSE),"")</f>
        <v/>
      </c>
      <c r="I4659" s="17"/>
      <c r="J4659" s="17"/>
      <c r="P4659" s="17"/>
      <c r="Q4659" s="17"/>
    </row>
    <row r="4660" spans="2:17">
      <c r="B4660" s="17"/>
      <c r="C4660" s="16" t="str">
        <f>IFERROR(VLOOKUP(DATA!#REF!,DATA!#REF!,1,FALSE),"")</f>
        <v/>
      </c>
      <c r="D4660" s="16" t="str">
        <f>IFERROR(VLOOKUP(C4660,DATA!#REF!,2,FALSE),"")</f>
        <v/>
      </c>
      <c r="I4660" s="17"/>
      <c r="J4660" s="17"/>
      <c r="P4660" s="17"/>
      <c r="Q4660" s="17"/>
    </row>
    <row r="4661" spans="2:17">
      <c r="B4661" s="17"/>
      <c r="C4661" s="16" t="str">
        <f>IFERROR(VLOOKUP(DATA!#REF!,DATA!#REF!,1,FALSE),"")</f>
        <v/>
      </c>
      <c r="D4661" s="16" t="str">
        <f>IFERROR(VLOOKUP(C4661,DATA!#REF!,2,FALSE),"")</f>
        <v/>
      </c>
      <c r="I4661" s="17"/>
      <c r="J4661" s="17"/>
      <c r="P4661" s="17"/>
      <c r="Q4661" s="17"/>
    </row>
    <row r="4662" spans="2:17">
      <c r="B4662" s="17"/>
      <c r="C4662" s="16" t="str">
        <f>IFERROR(VLOOKUP(DATA!#REF!,DATA!#REF!,1,FALSE),"")</f>
        <v/>
      </c>
      <c r="D4662" s="16" t="str">
        <f>IFERROR(VLOOKUP(C4662,DATA!#REF!,2,FALSE),"")</f>
        <v/>
      </c>
      <c r="I4662" s="17"/>
      <c r="J4662" s="17"/>
      <c r="P4662" s="17"/>
      <c r="Q4662" s="17"/>
    </row>
    <row r="4663" spans="2:17">
      <c r="B4663" s="17"/>
      <c r="C4663" s="16" t="str">
        <f>IFERROR(VLOOKUP(DATA!#REF!,DATA!#REF!,1,FALSE),"")</f>
        <v/>
      </c>
      <c r="D4663" s="16" t="str">
        <f>IFERROR(VLOOKUP(C4663,DATA!#REF!,2,FALSE),"")</f>
        <v/>
      </c>
      <c r="I4663" s="17"/>
      <c r="J4663" s="17"/>
      <c r="P4663" s="17"/>
      <c r="Q4663" s="17"/>
    </row>
    <row r="4664" spans="2:17">
      <c r="B4664" s="17"/>
      <c r="C4664" s="16" t="str">
        <f>IFERROR(VLOOKUP(DATA!#REF!,DATA!#REF!,1,FALSE),"")</f>
        <v/>
      </c>
      <c r="D4664" s="16" t="str">
        <f>IFERROR(VLOOKUP(C4664,DATA!#REF!,2,FALSE),"")</f>
        <v/>
      </c>
      <c r="I4664" s="17"/>
      <c r="J4664" s="17"/>
      <c r="P4664" s="17"/>
      <c r="Q4664" s="17"/>
    </row>
    <row r="4665" spans="2:17">
      <c r="B4665" s="17"/>
      <c r="C4665" s="16" t="str">
        <f>IFERROR(VLOOKUP(DATA!#REF!,DATA!#REF!,1,FALSE),"")</f>
        <v/>
      </c>
      <c r="D4665" s="16" t="str">
        <f>IFERROR(VLOOKUP(C4665,DATA!#REF!,2,FALSE),"")</f>
        <v/>
      </c>
      <c r="I4665" s="17"/>
      <c r="J4665" s="17"/>
      <c r="P4665" s="17"/>
      <c r="Q4665" s="17"/>
    </row>
    <row r="4666" spans="2:17">
      <c r="B4666" s="17"/>
      <c r="C4666" s="16" t="str">
        <f>IFERROR(VLOOKUP(DATA!#REF!,DATA!#REF!,1,FALSE),"")</f>
        <v/>
      </c>
      <c r="D4666" s="16" t="str">
        <f>IFERROR(VLOOKUP(C4666,DATA!#REF!,2,FALSE),"")</f>
        <v/>
      </c>
      <c r="I4666" s="17"/>
      <c r="J4666" s="17"/>
      <c r="P4666" s="17"/>
      <c r="Q4666" s="17"/>
    </row>
    <row r="4667" spans="2:17">
      <c r="B4667" s="17"/>
      <c r="C4667" s="16" t="str">
        <f>IFERROR(VLOOKUP(DATA!#REF!,DATA!#REF!,1,FALSE),"")</f>
        <v/>
      </c>
      <c r="D4667" s="16" t="str">
        <f>IFERROR(VLOOKUP(C4667,DATA!#REF!,2,FALSE),"")</f>
        <v/>
      </c>
      <c r="I4667" s="17"/>
      <c r="J4667" s="17"/>
      <c r="P4667" s="17"/>
      <c r="Q4667" s="17"/>
    </row>
    <row r="4668" spans="2:17">
      <c r="B4668" s="17"/>
      <c r="C4668" s="16" t="str">
        <f>IFERROR(VLOOKUP(DATA!#REF!,DATA!#REF!,1,FALSE),"")</f>
        <v/>
      </c>
      <c r="D4668" s="16" t="str">
        <f>IFERROR(VLOOKUP(C4668,DATA!#REF!,2,FALSE),"")</f>
        <v/>
      </c>
      <c r="I4668" s="17"/>
      <c r="J4668" s="17"/>
      <c r="P4668" s="17"/>
      <c r="Q4668" s="17"/>
    </row>
    <row r="4669" spans="2:17">
      <c r="B4669" s="17"/>
      <c r="C4669" s="16" t="str">
        <f>IFERROR(VLOOKUP(DATA!#REF!,DATA!#REF!,1,FALSE),"")</f>
        <v/>
      </c>
      <c r="D4669" s="16" t="str">
        <f>IFERROR(VLOOKUP(C4669,DATA!#REF!,2,FALSE),"")</f>
        <v/>
      </c>
      <c r="I4669" s="17"/>
      <c r="J4669" s="17"/>
      <c r="P4669" s="17"/>
      <c r="Q4669" s="17"/>
    </row>
    <row r="4670" spans="2:17">
      <c r="B4670" s="17"/>
      <c r="C4670" s="16" t="str">
        <f>IFERROR(VLOOKUP(DATA!#REF!,DATA!#REF!,1,FALSE),"")</f>
        <v/>
      </c>
      <c r="D4670" s="16" t="str">
        <f>IFERROR(VLOOKUP(C4670,DATA!#REF!,2,FALSE),"")</f>
        <v/>
      </c>
      <c r="I4670" s="17"/>
      <c r="J4670" s="17"/>
      <c r="P4670" s="17"/>
      <c r="Q4670" s="17"/>
    </row>
    <row r="4671" spans="2:17">
      <c r="B4671" s="17"/>
      <c r="C4671" s="16" t="str">
        <f>IFERROR(VLOOKUP(DATA!#REF!,DATA!#REF!,1,FALSE),"")</f>
        <v/>
      </c>
      <c r="D4671" s="16" t="str">
        <f>IFERROR(VLOOKUP(C4671,DATA!#REF!,2,FALSE),"")</f>
        <v/>
      </c>
      <c r="I4671" s="17"/>
      <c r="J4671" s="17"/>
      <c r="P4671" s="17"/>
      <c r="Q4671" s="17"/>
    </row>
    <row r="4672" spans="2:17">
      <c r="B4672" s="17"/>
      <c r="C4672" s="16" t="str">
        <f>IFERROR(VLOOKUP(DATA!#REF!,DATA!#REF!,1,FALSE),"")</f>
        <v/>
      </c>
      <c r="D4672" s="16" t="str">
        <f>IFERROR(VLOOKUP(C4672,DATA!#REF!,2,FALSE),"")</f>
        <v/>
      </c>
      <c r="I4672" s="17"/>
      <c r="J4672" s="17"/>
      <c r="P4672" s="17"/>
      <c r="Q4672" s="17"/>
    </row>
    <row r="4673" spans="2:17">
      <c r="B4673" s="17"/>
      <c r="C4673" s="16" t="str">
        <f>IFERROR(VLOOKUP(DATA!#REF!,DATA!#REF!,1,FALSE),"")</f>
        <v/>
      </c>
      <c r="D4673" s="16" t="str">
        <f>IFERROR(VLOOKUP(C4673,DATA!#REF!,2,FALSE),"")</f>
        <v/>
      </c>
      <c r="I4673" s="17"/>
      <c r="J4673" s="17"/>
      <c r="P4673" s="17"/>
      <c r="Q4673" s="17"/>
    </row>
    <row r="4674" spans="2:17">
      <c r="B4674" s="17"/>
      <c r="C4674" s="16" t="str">
        <f>IFERROR(VLOOKUP(DATA!#REF!,DATA!#REF!,1,FALSE),"")</f>
        <v/>
      </c>
      <c r="D4674" s="16" t="str">
        <f>IFERROR(VLOOKUP(C4674,DATA!#REF!,2,FALSE),"")</f>
        <v/>
      </c>
      <c r="I4674" s="17"/>
      <c r="J4674" s="17"/>
      <c r="P4674" s="17"/>
      <c r="Q4674" s="17"/>
    </row>
    <row r="4675" spans="2:17">
      <c r="B4675" s="17"/>
      <c r="C4675" s="16" t="str">
        <f>IFERROR(VLOOKUP(DATA!#REF!,DATA!#REF!,1,FALSE),"")</f>
        <v/>
      </c>
      <c r="D4675" s="16" t="str">
        <f>IFERROR(VLOOKUP(C4675,DATA!#REF!,2,FALSE),"")</f>
        <v/>
      </c>
      <c r="I4675" s="17"/>
      <c r="J4675" s="17"/>
      <c r="P4675" s="17"/>
      <c r="Q4675" s="17"/>
    </row>
    <row r="4676" spans="2:17">
      <c r="B4676" s="17"/>
      <c r="C4676" s="16" t="str">
        <f>IFERROR(VLOOKUP(DATA!#REF!,DATA!#REF!,1,FALSE),"")</f>
        <v/>
      </c>
      <c r="D4676" s="16" t="str">
        <f>IFERROR(VLOOKUP(C4676,DATA!#REF!,2,FALSE),"")</f>
        <v/>
      </c>
      <c r="I4676" s="17"/>
      <c r="J4676" s="17"/>
      <c r="P4676" s="17"/>
      <c r="Q4676" s="17"/>
    </row>
    <row r="4677" spans="2:17">
      <c r="B4677" s="17"/>
      <c r="C4677" s="16" t="str">
        <f>IFERROR(VLOOKUP(DATA!#REF!,DATA!#REF!,1,FALSE),"")</f>
        <v/>
      </c>
      <c r="D4677" s="16" t="str">
        <f>IFERROR(VLOOKUP(C4677,DATA!#REF!,2,FALSE),"")</f>
        <v/>
      </c>
      <c r="I4677" s="17"/>
      <c r="J4677" s="17"/>
      <c r="P4677" s="17"/>
      <c r="Q4677" s="17"/>
    </row>
    <row r="4678" spans="2:17">
      <c r="B4678" s="17"/>
      <c r="C4678" s="16" t="str">
        <f>IFERROR(VLOOKUP(DATA!#REF!,DATA!#REF!,1,FALSE),"")</f>
        <v/>
      </c>
      <c r="D4678" s="16" t="str">
        <f>IFERROR(VLOOKUP(C4678,DATA!#REF!,2,FALSE),"")</f>
        <v/>
      </c>
      <c r="I4678" s="17"/>
      <c r="J4678" s="17"/>
      <c r="P4678" s="17"/>
      <c r="Q4678" s="17"/>
    </row>
    <row r="4679" spans="2:17">
      <c r="B4679" s="17"/>
      <c r="C4679" s="16" t="str">
        <f>IFERROR(VLOOKUP(DATA!#REF!,DATA!#REF!,1,FALSE),"")</f>
        <v/>
      </c>
      <c r="D4679" s="16" t="str">
        <f>IFERROR(VLOOKUP(C4679,DATA!#REF!,2,FALSE),"")</f>
        <v/>
      </c>
      <c r="I4679" s="17"/>
      <c r="J4679" s="17"/>
      <c r="P4679" s="17"/>
      <c r="Q4679" s="17"/>
    </row>
    <row r="4680" spans="2:17">
      <c r="B4680" s="17"/>
      <c r="C4680" s="16" t="str">
        <f>IFERROR(VLOOKUP(DATA!#REF!,DATA!#REF!,1,FALSE),"")</f>
        <v/>
      </c>
      <c r="D4680" s="16" t="str">
        <f>IFERROR(VLOOKUP(C4680,DATA!#REF!,2,FALSE),"")</f>
        <v/>
      </c>
      <c r="I4680" s="17"/>
      <c r="J4680" s="17"/>
      <c r="P4680" s="17"/>
      <c r="Q4680" s="17"/>
    </row>
    <row r="4681" spans="2:17">
      <c r="B4681" s="17"/>
      <c r="C4681" s="16" t="str">
        <f>IFERROR(VLOOKUP(DATA!#REF!,DATA!#REF!,1,FALSE),"")</f>
        <v/>
      </c>
      <c r="D4681" s="16" t="str">
        <f>IFERROR(VLOOKUP(C4681,DATA!#REF!,2,FALSE),"")</f>
        <v/>
      </c>
      <c r="I4681" s="17"/>
      <c r="J4681" s="17"/>
      <c r="P4681" s="17"/>
      <c r="Q4681" s="17"/>
    </row>
    <row r="4682" spans="2:17">
      <c r="B4682" s="17"/>
      <c r="C4682" s="16" t="str">
        <f>IFERROR(VLOOKUP(DATA!#REF!,DATA!#REF!,1,FALSE),"")</f>
        <v/>
      </c>
      <c r="D4682" s="16" t="str">
        <f>IFERROR(VLOOKUP(C4682,DATA!#REF!,2,FALSE),"")</f>
        <v/>
      </c>
      <c r="I4682" s="17"/>
      <c r="J4682" s="17"/>
      <c r="P4682" s="17"/>
      <c r="Q4682" s="17"/>
    </row>
    <row r="4683" spans="2:17">
      <c r="B4683" s="17"/>
      <c r="C4683" s="16" t="str">
        <f>IFERROR(VLOOKUP(DATA!#REF!,DATA!#REF!,1,FALSE),"")</f>
        <v/>
      </c>
      <c r="D4683" s="16" t="str">
        <f>IFERROR(VLOOKUP(C4683,DATA!#REF!,2,FALSE),"")</f>
        <v/>
      </c>
      <c r="I4683" s="17"/>
      <c r="J4683" s="17"/>
      <c r="P4683" s="17"/>
      <c r="Q4683" s="17"/>
    </row>
    <row r="4684" spans="2:17">
      <c r="B4684" s="17"/>
      <c r="C4684" s="16" t="str">
        <f>IFERROR(VLOOKUP(DATA!#REF!,DATA!#REF!,1,FALSE),"")</f>
        <v/>
      </c>
      <c r="D4684" s="16" t="str">
        <f>IFERROR(VLOOKUP(C4684,DATA!#REF!,2,FALSE),"")</f>
        <v/>
      </c>
      <c r="I4684" s="17"/>
      <c r="J4684" s="17"/>
      <c r="P4684" s="17"/>
      <c r="Q4684" s="17"/>
    </row>
    <row r="4685" spans="2:17">
      <c r="B4685" s="17"/>
      <c r="C4685" s="16" t="str">
        <f>IFERROR(VLOOKUP(DATA!#REF!,DATA!#REF!,1,FALSE),"")</f>
        <v/>
      </c>
      <c r="D4685" s="16" t="str">
        <f>IFERROR(VLOOKUP(C4685,DATA!#REF!,2,FALSE),"")</f>
        <v/>
      </c>
      <c r="I4685" s="17"/>
      <c r="J4685" s="17"/>
      <c r="P4685" s="17"/>
      <c r="Q4685" s="17"/>
    </row>
    <row r="4686" spans="2:17">
      <c r="B4686" s="17"/>
      <c r="C4686" s="16" t="str">
        <f>IFERROR(VLOOKUP(DATA!#REF!,DATA!#REF!,1,FALSE),"")</f>
        <v/>
      </c>
      <c r="D4686" s="16" t="str">
        <f>IFERROR(VLOOKUP(C4686,DATA!#REF!,2,FALSE),"")</f>
        <v/>
      </c>
      <c r="I4686" s="17"/>
      <c r="J4686" s="17"/>
      <c r="P4686" s="17"/>
      <c r="Q4686" s="17"/>
    </row>
    <row r="4687" spans="2:17">
      <c r="B4687" s="17"/>
      <c r="C4687" s="16" t="str">
        <f>IFERROR(VLOOKUP(DATA!#REF!,DATA!#REF!,1,FALSE),"")</f>
        <v/>
      </c>
      <c r="D4687" s="16" t="str">
        <f>IFERROR(VLOOKUP(C4687,DATA!#REF!,2,FALSE),"")</f>
        <v/>
      </c>
      <c r="I4687" s="17"/>
      <c r="J4687" s="17"/>
      <c r="P4687" s="17"/>
      <c r="Q4687" s="17"/>
    </row>
    <row r="4688" spans="2:17">
      <c r="B4688" s="17"/>
      <c r="C4688" s="16" t="str">
        <f>IFERROR(VLOOKUP(DATA!#REF!,DATA!#REF!,1,FALSE),"")</f>
        <v/>
      </c>
      <c r="D4688" s="16" t="str">
        <f>IFERROR(VLOOKUP(C4688,DATA!#REF!,2,FALSE),"")</f>
        <v/>
      </c>
      <c r="I4688" s="17"/>
      <c r="J4688" s="17"/>
      <c r="P4688" s="17"/>
      <c r="Q4688" s="17"/>
    </row>
    <row r="4689" spans="2:17">
      <c r="B4689" s="17"/>
      <c r="C4689" s="16" t="str">
        <f>IFERROR(VLOOKUP(DATA!#REF!,DATA!#REF!,1,FALSE),"")</f>
        <v/>
      </c>
      <c r="D4689" s="16" t="str">
        <f>IFERROR(VLOOKUP(C4689,DATA!#REF!,2,FALSE),"")</f>
        <v/>
      </c>
      <c r="I4689" s="17"/>
      <c r="J4689" s="17"/>
      <c r="P4689" s="17"/>
      <c r="Q4689" s="17"/>
    </row>
    <row r="4690" spans="2:17">
      <c r="B4690" s="17"/>
      <c r="C4690" s="16" t="str">
        <f>IFERROR(VLOOKUP(DATA!#REF!,DATA!#REF!,1,FALSE),"")</f>
        <v/>
      </c>
      <c r="D4690" s="16" t="str">
        <f>IFERROR(VLOOKUP(C4690,DATA!#REF!,2,FALSE),"")</f>
        <v/>
      </c>
      <c r="I4690" s="17"/>
      <c r="J4690" s="17"/>
      <c r="P4690" s="17"/>
      <c r="Q4690" s="17"/>
    </row>
    <row r="4691" spans="2:17">
      <c r="B4691" s="17"/>
      <c r="C4691" s="16" t="str">
        <f>IFERROR(VLOOKUP(DATA!#REF!,DATA!#REF!,1,FALSE),"")</f>
        <v/>
      </c>
      <c r="D4691" s="16" t="str">
        <f>IFERROR(VLOOKUP(C4691,DATA!#REF!,2,FALSE),"")</f>
        <v/>
      </c>
      <c r="I4691" s="17"/>
      <c r="J4691" s="17"/>
      <c r="P4691" s="17"/>
      <c r="Q4691" s="17"/>
    </row>
    <row r="4692" spans="2:17">
      <c r="B4692" s="17"/>
      <c r="C4692" s="16" t="str">
        <f>IFERROR(VLOOKUP(DATA!#REF!,DATA!#REF!,1,FALSE),"")</f>
        <v/>
      </c>
      <c r="D4692" s="16" t="str">
        <f>IFERROR(VLOOKUP(C4692,DATA!#REF!,2,FALSE),"")</f>
        <v/>
      </c>
      <c r="I4692" s="17"/>
      <c r="J4692" s="17"/>
      <c r="P4692" s="17"/>
      <c r="Q4692" s="17"/>
    </row>
    <row r="4693" spans="2:17">
      <c r="B4693" s="17"/>
      <c r="C4693" s="16" t="str">
        <f>IFERROR(VLOOKUP(DATA!#REF!,DATA!#REF!,1,FALSE),"")</f>
        <v/>
      </c>
      <c r="D4693" s="16" t="str">
        <f>IFERROR(VLOOKUP(C4693,DATA!#REF!,2,FALSE),"")</f>
        <v/>
      </c>
      <c r="I4693" s="17"/>
      <c r="J4693" s="17"/>
      <c r="P4693" s="17"/>
      <c r="Q4693" s="17"/>
    </row>
    <row r="4694" spans="2:17">
      <c r="B4694" s="17"/>
      <c r="C4694" s="16" t="str">
        <f>IFERROR(VLOOKUP(DATA!#REF!,DATA!#REF!,1,FALSE),"")</f>
        <v/>
      </c>
      <c r="D4694" s="16" t="str">
        <f>IFERROR(VLOOKUP(C4694,DATA!#REF!,2,FALSE),"")</f>
        <v/>
      </c>
      <c r="I4694" s="17"/>
      <c r="J4694" s="17"/>
      <c r="P4694" s="17"/>
      <c r="Q4694" s="17"/>
    </row>
    <row r="4695" spans="2:17">
      <c r="B4695" s="17"/>
      <c r="C4695" s="16" t="str">
        <f>IFERROR(VLOOKUP(DATA!#REF!,DATA!#REF!,1,FALSE),"")</f>
        <v/>
      </c>
      <c r="D4695" s="16" t="str">
        <f>IFERROR(VLOOKUP(C4695,DATA!#REF!,2,FALSE),"")</f>
        <v/>
      </c>
      <c r="I4695" s="17"/>
      <c r="J4695" s="17"/>
      <c r="P4695" s="17"/>
      <c r="Q4695" s="17"/>
    </row>
    <row r="4696" spans="2:17">
      <c r="B4696" s="17"/>
      <c r="C4696" s="16" t="str">
        <f>IFERROR(VLOOKUP(DATA!#REF!,DATA!#REF!,1,FALSE),"")</f>
        <v/>
      </c>
      <c r="D4696" s="16" t="str">
        <f>IFERROR(VLOOKUP(C4696,DATA!#REF!,2,FALSE),"")</f>
        <v/>
      </c>
      <c r="I4696" s="17"/>
      <c r="J4696" s="17"/>
      <c r="P4696" s="17"/>
      <c r="Q4696" s="17"/>
    </row>
    <row r="4697" spans="2:17">
      <c r="B4697" s="17"/>
      <c r="C4697" s="16" t="str">
        <f>IFERROR(VLOOKUP(DATA!#REF!,DATA!#REF!,1,FALSE),"")</f>
        <v/>
      </c>
      <c r="D4697" s="16" t="str">
        <f>IFERROR(VLOOKUP(C4697,DATA!#REF!,2,FALSE),"")</f>
        <v/>
      </c>
      <c r="I4697" s="17"/>
      <c r="J4697" s="17"/>
      <c r="P4697" s="17"/>
      <c r="Q4697" s="17"/>
    </row>
    <row r="4698" spans="2:17">
      <c r="B4698" s="17"/>
      <c r="C4698" s="16" t="str">
        <f>IFERROR(VLOOKUP(DATA!#REF!,DATA!#REF!,1,FALSE),"")</f>
        <v/>
      </c>
      <c r="D4698" s="16" t="str">
        <f>IFERROR(VLOOKUP(C4698,DATA!#REF!,2,FALSE),"")</f>
        <v/>
      </c>
      <c r="I4698" s="17"/>
      <c r="J4698" s="17"/>
      <c r="P4698" s="17"/>
      <c r="Q4698" s="17"/>
    </row>
    <row r="4699" spans="2:17">
      <c r="B4699" s="17"/>
      <c r="C4699" s="16" t="str">
        <f>IFERROR(VLOOKUP(DATA!#REF!,DATA!#REF!,1,FALSE),"")</f>
        <v/>
      </c>
      <c r="D4699" s="16" t="str">
        <f>IFERROR(VLOOKUP(C4699,DATA!#REF!,2,FALSE),"")</f>
        <v/>
      </c>
      <c r="I4699" s="17"/>
      <c r="J4699" s="17"/>
      <c r="P4699" s="17"/>
      <c r="Q4699" s="17"/>
    </row>
    <row r="4700" spans="2:17">
      <c r="B4700" s="17"/>
      <c r="C4700" s="16" t="str">
        <f>IFERROR(VLOOKUP(DATA!#REF!,DATA!#REF!,1,FALSE),"")</f>
        <v/>
      </c>
      <c r="D4700" s="16" t="str">
        <f>IFERROR(VLOOKUP(C4700,DATA!#REF!,2,FALSE),"")</f>
        <v/>
      </c>
      <c r="I4700" s="17"/>
      <c r="J4700" s="17"/>
      <c r="P4700" s="17"/>
      <c r="Q4700" s="17"/>
    </row>
    <row r="4701" spans="2:17">
      <c r="B4701" s="17"/>
      <c r="C4701" s="16" t="str">
        <f>IFERROR(VLOOKUP(DATA!#REF!,DATA!#REF!,1,FALSE),"")</f>
        <v/>
      </c>
      <c r="D4701" s="16" t="str">
        <f>IFERROR(VLOOKUP(C4701,DATA!#REF!,2,FALSE),"")</f>
        <v/>
      </c>
      <c r="I4701" s="17"/>
      <c r="J4701" s="17"/>
      <c r="P4701" s="17"/>
      <c r="Q4701" s="17"/>
    </row>
    <row r="4702" spans="2:17">
      <c r="B4702" s="17"/>
      <c r="C4702" s="16" t="str">
        <f>IFERROR(VLOOKUP(DATA!#REF!,DATA!#REF!,1,FALSE),"")</f>
        <v/>
      </c>
      <c r="D4702" s="16" t="str">
        <f>IFERROR(VLOOKUP(C4702,DATA!#REF!,2,FALSE),"")</f>
        <v/>
      </c>
      <c r="I4702" s="17"/>
      <c r="J4702" s="17"/>
      <c r="P4702" s="17"/>
      <c r="Q4702" s="17"/>
    </row>
    <row r="4703" spans="2:17">
      <c r="B4703" s="17"/>
      <c r="C4703" s="16" t="str">
        <f>IFERROR(VLOOKUP(DATA!#REF!,DATA!#REF!,1,FALSE),"")</f>
        <v/>
      </c>
      <c r="D4703" s="16" t="str">
        <f>IFERROR(VLOOKUP(C4703,DATA!#REF!,2,FALSE),"")</f>
        <v/>
      </c>
      <c r="I4703" s="17"/>
      <c r="J4703" s="17"/>
      <c r="P4703" s="17"/>
      <c r="Q4703" s="17"/>
    </row>
    <row r="4704" spans="2:17">
      <c r="B4704" s="17"/>
      <c r="C4704" s="16" t="str">
        <f>IFERROR(VLOOKUP(DATA!#REF!,DATA!#REF!,1,FALSE),"")</f>
        <v/>
      </c>
      <c r="D4704" s="16" t="str">
        <f>IFERROR(VLOOKUP(C4704,DATA!#REF!,2,FALSE),"")</f>
        <v/>
      </c>
      <c r="I4704" s="17"/>
      <c r="J4704" s="17"/>
      <c r="P4704" s="17"/>
      <c r="Q4704" s="17"/>
    </row>
    <row r="4705" spans="2:17">
      <c r="B4705" s="17"/>
      <c r="C4705" s="16" t="str">
        <f>IFERROR(VLOOKUP(DATA!#REF!,DATA!#REF!,1,FALSE),"")</f>
        <v/>
      </c>
      <c r="D4705" s="16" t="str">
        <f>IFERROR(VLOOKUP(C4705,DATA!#REF!,2,FALSE),"")</f>
        <v/>
      </c>
      <c r="I4705" s="17"/>
      <c r="J4705" s="17"/>
      <c r="P4705" s="17"/>
      <c r="Q4705" s="17"/>
    </row>
    <row r="4706" spans="2:17">
      <c r="B4706" s="17"/>
      <c r="C4706" s="16" t="str">
        <f>IFERROR(VLOOKUP(DATA!#REF!,DATA!#REF!,1,FALSE),"")</f>
        <v/>
      </c>
      <c r="D4706" s="16" t="str">
        <f>IFERROR(VLOOKUP(C4706,DATA!#REF!,2,FALSE),"")</f>
        <v/>
      </c>
      <c r="I4706" s="17"/>
      <c r="J4706" s="17"/>
      <c r="P4706" s="17"/>
      <c r="Q4706" s="17"/>
    </row>
    <row r="4707" spans="2:17">
      <c r="B4707" s="17"/>
      <c r="C4707" s="16" t="str">
        <f>IFERROR(VLOOKUP(DATA!#REF!,DATA!#REF!,1,FALSE),"")</f>
        <v/>
      </c>
      <c r="D4707" s="16" t="str">
        <f>IFERROR(VLOOKUP(C4707,DATA!#REF!,2,FALSE),"")</f>
        <v/>
      </c>
      <c r="I4707" s="17"/>
      <c r="J4707" s="17"/>
      <c r="P4707" s="17"/>
      <c r="Q4707" s="17"/>
    </row>
    <row r="4708" spans="2:17">
      <c r="B4708" s="17"/>
      <c r="C4708" s="16" t="str">
        <f>IFERROR(VLOOKUP(DATA!#REF!,DATA!#REF!,1,FALSE),"")</f>
        <v/>
      </c>
      <c r="D4708" s="16" t="str">
        <f>IFERROR(VLOOKUP(C4708,DATA!#REF!,2,FALSE),"")</f>
        <v/>
      </c>
      <c r="I4708" s="17"/>
      <c r="J4708" s="17"/>
      <c r="P4708" s="17"/>
      <c r="Q4708" s="17"/>
    </row>
    <row r="4709" spans="2:17">
      <c r="B4709" s="17"/>
      <c r="C4709" s="16" t="str">
        <f>IFERROR(VLOOKUP(DATA!#REF!,DATA!#REF!,1,FALSE),"")</f>
        <v/>
      </c>
      <c r="D4709" s="16" t="str">
        <f>IFERROR(VLOOKUP(C4709,DATA!#REF!,2,FALSE),"")</f>
        <v/>
      </c>
      <c r="I4709" s="17"/>
      <c r="J4709" s="17"/>
      <c r="P4709" s="17"/>
      <c r="Q4709" s="17"/>
    </row>
    <row r="4710" spans="2:17">
      <c r="B4710" s="17"/>
      <c r="C4710" s="16" t="str">
        <f>IFERROR(VLOOKUP(DATA!#REF!,DATA!#REF!,1,FALSE),"")</f>
        <v/>
      </c>
      <c r="D4710" s="16" t="str">
        <f>IFERROR(VLOOKUP(C4710,DATA!#REF!,2,FALSE),"")</f>
        <v/>
      </c>
      <c r="I4710" s="17"/>
      <c r="J4710" s="17"/>
      <c r="P4710" s="17"/>
      <c r="Q4710" s="17"/>
    </row>
    <row r="4711" spans="2:17">
      <c r="B4711" s="17"/>
      <c r="C4711" s="16" t="str">
        <f>IFERROR(VLOOKUP(DATA!#REF!,DATA!#REF!,1,FALSE),"")</f>
        <v/>
      </c>
      <c r="D4711" s="16" t="str">
        <f>IFERROR(VLOOKUP(C4711,DATA!#REF!,2,FALSE),"")</f>
        <v/>
      </c>
      <c r="I4711" s="17"/>
      <c r="J4711" s="17"/>
      <c r="P4711" s="17"/>
      <c r="Q4711" s="17"/>
    </row>
    <row r="4712" spans="2:17">
      <c r="B4712" s="17"/>
      <c r="C4712" s="16" t="str">
        <f>IFERROR(VLOOKUP(DATA!#REF!,DATA!#REF!,1,FALSE),"")</f>
        <v/>
      </c>
      <c r="D4712" s="16" t="str">
        <f>IFERROR(VLOOKUP(C4712,DATA!#REF!,2,FALSE),"")</f>
        <v/>
      </c>
      <c r="I4712" s="17"/>
      <c r="J4712" s="17"/>
      <c r="P4712" s="17"/>
      <c r="Q4712" s="17"/>
    </row>
    <row r="4713" spans="2:17">
      <c r="B4713" s="17"/>
      <c r="C4713" s="16" t="str">
        <f>IFERROR(VLOOKUP(DATA!#REF!,DATA!#REF!,1,FALSE),"")</f>
        <v/>
      </c>
      <c r="D4713" s="16" t="str">
        <f>IFERROR(VLOOKUP(C4713,DATA!#REF!,2,FALSE),"")</f>
        <v/>
      </c>
      <c r="I4713" s="17"/>
      <c r="J4713" s="17"/>
      <c r="P4713" s="17"/>
      <c r="Q4713" s="17"/>
    </row>
    <row r="4714" spans="2:17">
      <c r="B4714" s="17"/>
      <c r="C4714" s="16" t="str">
        <f>IFERROR(VLOOKUP(DATA!#REF!,DATA!#REF!,1,FALSE),"")</f>
        <v/>
      </c>
      <c r="D4714" s="16" t="str">
        <f>IFERROR(VLOOKUP(C4714,DATA!#REF!,2,FALSE),"")</f>
        <v/>
      </c>
      <c r="I4714" s="17"/>
      <c r="J4714" s="17"/>
      <c r="P4714" s="17"/>
      <c r="Q4714" s="17"/>
    </row>
    <row r="4715" spans="2:17">
      <c r="B4715" s="17"/>
      <c r="C4715" s="16" t="str">
        <f>IFERROR(VLOOKUP(DATA!#REF!,DATA!#REF!,1,FALSE),"")</f>
        <v/>
      </c>
      <c r="D4715" s="16" t="str">
        <f>IFERROR(VLOOKUP(C4715,DATA!#REF!,2,FALSE),"")</f>
        <v/>
      </c>
      <c r="I4715" s="17"/>
      <c r="J4715" s="17"/>
      <c r="P4715" s="17"/>
      <c r="Q4715" s="17"/>
    </row>
    <row r="4716" spans="2:17">
      <c r="B4716" s="17"/>
      <c r="C4716" s="16" t="str">
        <f>IFERROR(VLOOKUP(DATA!#REF!,DATA!#REF!,1,FALSE),"")</f>
        <v/>
      </c>
      <c r="D4716" s="16" t="str">
        <f>IFERROR(VLOOKUP(C4716,DATA!#REF!,2,FALSE),"")</f>
        <v/>
      </c>
      <c r="I4716" s="17"/>
      <c r="J4716" s="17"/>
      <c r="P4716" s="17"/>
      <c r="Q4716" s="17"/>
    </row>
    <row r="4717" spans="2:17">
      <c r="B4717" s="17"/>
      <c r="C4717" s="16" t="str">
        <f>IFERROR(VLOOKUP(DATA!#REF!,DATA!#REF!,1,FALSE),"")</f>
        <v/>
      </c>
      <c r="D4717" s="16" t="str">
        <f>IFERROR(VLOOKUP(C4717,DATA!#REF!,2,FALSE),"")</f>
        <v/>
      </c>
      <c r="I4717" s="17"/>
      <c r="J4717" s="17"/>
      <c r="P4717" s="17"/>
      <c r="Q4717" s="17"/>
    </row>
    <row r="4718" spans="2:17">
      <c r="B4718" s="17"/>
      <c r="C4718" s="16" t="str">
        <f>IFERROR(VLOOKUP(DATA!#REF!,DATA!#REF!,1,FALSE),"")</f>
        <v/>
      </c>
      <c r="D4718" s="16" t="str">
        <f>IFERROR(VLOOKUP(C4718,DATA!#REF!,2,FALSE),"")</f>
        <v/>
      </c>
      <c r="I4718" s="17"/>
      <c r="J4718" s="17"/>
      <c r="P4718" s="17"/>
      <c r="Q4718" s="17"/>
    </row>
    <row r="4719" spans="2:17">
      <c r="B4719" s="17"/>
      <c r="C4719" s="16" t="str">
        <f>IFERROR(VLOOKUP(DATA!#REF!,DATA!#REF!,1,FALSE),"")</f>
        <v/>
      </c>
      <c r="D4719" s="16" t="str">
        <f>IFERROR(VLOOKUP(C4719,DATA!#REF!,2,FALSE),"")</f>
        <v/>
      </c>
      <c r="I4719" s="17"/>
      <c r="J4719" s="17"/>
      <c r="P4719" s="17"/>
      <c r="Q4719" s="17"/>
    </row>
    <row r="4720" spans="2:17">
      <c r="B4720" s="17"/>
      <c r="C4720" s="16" t="str">
        <f>IFERROR(VLOOKUP(DATA!#REF!,DATA!#REF!,1,FALSE),"")</f>
        <v/>
      </c>
      <c r="D4720" s="16" t="str">
        <f>IFERROR(VLOOKUP(C4720,DATA!#REF!,2,FALSE),"")</f>
        <v/>
      </c>
      <c r="I4720" s="17"/>
      <c r="J4720" s="17"/>
      <c r="P4720" s="17"/>
      <c r="Q4720" s="17"/>
    </row>
    <row r="4721" spans="2:17">
      <c r="B4721" s="17"/>
      <c r="C4721" s="16" t="str">
        <f>IFERROR(VLOOKUP(DATA!#REF!,DATA!#REF!,1,FALSE),"")</f>
        <v/>
      </c>
      <c r="D4721" s="16" t="str">
        <f>IFERROR(VLOOKUP(C4721,DATA!#REF!,2,FALSE),"")</f>
        <v/>
      </c>
      <c r="I4721" s="17"/>
      <c r="J4721" s="17"/>
      <c r="P4721" s="17"/>
      <c r="Q4721" s="17"/>
    </row>
    <row r="4722" spans="2:17">
      <c r="B4722" s="17"/>
      <c r="C4722" s="16" t="str">
        <f>IFERROR(VLOOKUP(DATA!#REF!,DATA!#REF!,1,FALSE),"")</f>
        <v/>
      </c>
      <c r="D4722" s="16" t="str">
        <f>IFERROR(VLOOKUP(C4722,DATA!#REF!,2,FALSE),"")</f>
        <v/>
      </c>
      <c r="I4722" s="17"/>
      <c r="J4722" s="17"/>
      <c r="P4722" s="17"/>
      <c r="Q4722" s="17"/>
    </row>
    <row r="4723" spans="2:17">
      <c r="B4723" s="17"/>
      <c r="C4723" s="16" t="str">
        <f>IFERROR(VLOOKUP(DATA!#REF!,DATA!#REF!,1,FALSE),"")</f>
        <v/>
      </c>
      <c r="D4723" s="16" t="str">
        <f>IFERROR(VLOOKUP(C4723,DATA!#REF!,2,FALSE),"")</f>
        <v/>
      </c>
      <c r="I4723" s="17"/>
      <c r="J4723" s="17"/>
      <c r="P4723" s="17"/>
      <c r="Q4723" s="17"/>
    </row>
    <row r="4724" spans="2:17">
      <c r="B4724" s="17"/>
      <c r="C4724" s="16" t="str">
        <f>IFERROR(VLOOKUP(DATA!#REF!,DATA!#REF!,1,FALSE),"")</f>
        <v/>
      </c>
      <c r="D4724" s="16" t="str">
        <f>IFERROR(VLOOKUP(C4724,DATA!#REF!,2,FALSE),"")</f>
        <v/>
      </c>
      <c r="I4724" s="17"/>
      <c r="J4724" s="17"/>
      <c r="P4724" s="17"/>
      <c r="Q4724" s="17"/>
    </row>
    <row r="4725" spans="2:17">
      <c r="B4725" s="17"/>
      <c r="C4725" s="16" t="str">
        <f>IFERROR(VLOOKUP(DATA!#REF!,DATA!#REF!,1,FALSE),"")</f>
        <v/>
      </c>
      <c r="D4725" s="16" t="str">
        <f>IFERROR(VLOOKUP(C4725,DATA!#REF!,2,FALSE),"")</f>
        <v/>
      </c>
      <c r="I4725" s="17"/>
      <c r="J4725" s="17"/>
      <c r="P4725" s="17"/>
      <c r="Q4725" s="17"/>
    </row>
    <row r="4726" spans="2:17">
      <c r="B4726" s="17"/>
      <c r="C4726" s="16" t="str">
        <f>IFERROR(VLOOKUP(DATA!#REF!,DATA!#REF!,1,FALSE),"")</f>
        <v/>
      </c>
      <c r="D4726" s="16" t="str">
        <f>IFERROR(VLOOKUP(C4726,DATA!#REF!,2,FALSE),"")</f>
        <v/>
      </c>
      <c r="I4726" s="17"/>
      <c r="J4726" s="17"/>
      <c r="P4726" s="17"/>
      <c r="Q4726" s="17"/>
    </row>
    <row r="4727" spans="2:17">
      <c r="B4727" s="17"/>
      <c r="C4727" s="16" t="str">
        <f>IFERROR(VLOOKUP(DATA!#REF!,DATA!#REF!,1,FALSE),"")</f>
        <v/>
      </c>
      <c r="D4727" s="16" t="str">
        <f>IFERROR(VLOOKUP(C4727,DATA!#REF!,2,FALSE),"")</f>
        <v/>
      </c>
      <c r="I4727" s="17"/>
      <c r="J4727" s="17"/>
      <c r="P4727" s="17"/>
      <c r="Q4727" s="17"/>
    </row>
    <row r="4728" spans="2:17">
      <c r="B4728" s="17"/>
      <c r="C4728" s="16" t="str">
        <f>IFERROR(VLOOKUP(DATA!#REF!,DATA!#REF!,1,FALSE),"")</f>
        <v/>
      </c>
      <c r="D4728" s="16" t="str">
        <f>IFERROR(VLOOKUP(C4728,DATA!#REF!,2,FALSE),"")</f>
        <v/>
      </c>
      <c r="I4728" s="17"/>
      <c r="J4728" s="17"/>
      <c r="P4728" s="17"/>
      <c r="Q4728" s="17"/>
    </row>
    <row r="4729" spans="2:17">
      <c r="B4729" s="17"/>
      <c r="C4729" s="16" t="str">
        <f>IFERROR(VLOOKUP(DATA!#REF!,DATA!#REF!,1,FALSE),"")</f>
        <v/>
      </c>
      <c r="D4729" s="16" t="str">
        <f>IFERROR(VLOOKUP(C4729,DATA!#REF!,2,FALSE),"")</f>
        <v/>
      </c>
      <c r="I4729" s="17"/>
      <c r="J4729" s="17"/>
      <c r="P4729" s="17"/>
      <c r="Q4729" s="17"/>
    </row>
    <row r="4730" spans="2:17">
      <c r="B4730" s="17"/>
      <c r="C4730" s="16" t="str">
        <f>IFERROR(VLOOKUP(DATA!#REF!,DATA!#REF!,1,FALSE),"")</f>
        <v/>
      </c>
      <c r="D4730" s="16" t="str">
        <f>IFERROR(VLOOKUP(C4730,DATA!#REF!,2,FALSE),"")</f>
        <v/>
      </c>
      <c r="I4730" s="17"/>
      <c r="J4730" s="17"/>
      <c r="P4730" s="17"/>
      <c r="Q4730" s="17"/>
    </row>
    <row r="4731" spans="2:17">
      <c r="B4731" s="17"/>
      <c r="C4731" s="16" t="str">
        <f>IFERROR(VLOOKUP(DATA!#REF!,DATA!#REF!,1,FALSE),"")</f>
        <v/>
      </c>
      <c r="D4731" s="16" t="str">
        <f>IFERROR(VLOOKUP(C4731,DATA!#REF!,2,FALSE),"")</f>
        <v/>
      </c>
      <c r="I4731" s="17"/>
      <c r="J4731" s="17"/>
      <c r="P4731" s="17"/>
      <c r="Q4731" s="17"/>
    </row>
    <row r="4732" spans="2:17">
      <c r="B4732" s="17"/>
      <c r="C4732" s="16" t="str">
        <f>IFERROR(VLOOKUP(DATA!#REF!,DATA!#REF!,1,FALSE),"")</f>
        <v/>
      </c>
      <c r="D4732" s="16" t="str">
        <f>IFERROR(VLOOKUP(C4732,DATA!#REF!,2,FALSE),"")</f>
        <v/>
      </c>
      <c r="I4732" s="17"/>
      <c r="J4732" s="17"/>
      <c r="P4732" s="17"/>
      <c r="Q4732" s="17"/>
    </row>
    <row r="4733" spans="2:17">
      <c r="B4733" s="17"/>
      <c r="C4733" s="16" t="str">
        <f>IFERROR(VLOOKUP(DATA!#REF!,DATA!#REF!,1,FALSE),"")</f>
        <v/>
      </c>
      <c r="D4733" s="16" t="str">
        <f>IFERROR(VLOOKUP(C4733,DATA!#REF!,2,FALSE),"")</f>
        <v/>
      </c>
      <c r="I4733" s="17"/>
      <c r="J4733" s="17"/>
      <c r="P4733" s="17"/>
      <c r="Q4733" s="17"/>
    </row>
    <row r="4734" spans="2:17">
      <c r="B4734" s="17"/>
      <c r="C4734" s="16" t="str">
        <f>IFERROR(VLOOKUP(DATA!#REF!,DATA!#REF!,1,FALSE),"")</f>
        <v/>
      </c>
      <c r="D4734" s="16" t="str">
        <f>IFERROR(VLOOKUP(C4734,DATA!#REF!,2,FALSE),"")</f>
        <v/>
      </c>
      <c r="I4734" s="17"/>
      <c r="J4734" s="17"/>
      <c r="P4734" s="17"/>
      <c r="Q4734" s="17"/>
    </row>
    <row r="4735" spans="2:17">
      <c r="B4735" s="17"/>
      <c r="C4735" s="16" t="str">
        <f>IFERROR(VLOOKUP(DATA!#REF!,DATA!#REF!,1,FALSE),"")</f>
        <v/>
      </c>
      <c r="D4735" s="16" t="str">
        <f>IFERROR(VLOOKUP(C4735,DATA!#REF!,2,FALSE),"")</f>
        <v/>
      </c>
      <c r="I4735" s="17"/>
      <c r="J4735" s="17"/>
      <c r="P4735" s="17"/>
      <c r="Q4735" s="17"/>
    </row>
    <row r="4736" spans="2:17">
      <c r="B4736" s="17"/>
      <c r="C4736" s="16" t="str">
        <f>IFERROR(VLOOKUP(DATA!#REF!,DATA!#REF!,1,FALSE),"")</f>
        <v/>
      </c>
      <c r="D4736" s="16" t="str">
        <f>IFERROR(VLOOKUP(C4736,DATA!#REF!,2,FALSE),"")</f>
        <v/>
      </c>
      <c r="I4736" s="17"/>
      <c r="J4736" s="17"/>
      <c r="P4736" s="17"/>
      <c r="Q4736" s="17"/>
    </row>
    <row r="4737" spans="2:17">
      <c r="B4737" s="17"/>
      <c r="C4737" s="16" t="str">
        <f>IFERROR(VLOOKUP(DATA!#REF!,DATA!#REF!,1,FALSE),"")</f>
        <v/>
      </c>
      <c r="D4737" s="16" t="str">
        <f>IFERROR(VLOOKUP(C4737,DATA!#REF!,2,FALSE),"")</f>
        <v/>
      </c>
      <c r="I4737" s="17"/>
      <c r="J4737" s="17"/>
      <c r="P4737" s="17"/>
      <c r="Q4737" s="17"/>
    </row>
    <row r="4738" spans="2:17">
      <c r="B4738" s="17"/>
      <c r="C4738" s="16" t="str">
        <f>IFERROR(VLOOKUP(DATA!#REF!,DATA!#REF!,1,FALSE),"")</f>
        <v/>
      </c>
      <c r="D4738" s="16" t="str">
        <f>IFERROR(VLOOKUP(C4738,DATA!#REF!,2,FALSE),"")</f>
        <v/>
      </c>
      <c r="I4738" s="17"/>
      <c r="J4738" s="17"/>
      <c r="P4738" s="17"/>
      <c r="Q4738" s="17"/>
    </row>
    <row r="4739" spans="2:17">
      <c r="B4739" s="17"/>
      <c r="C4739" s="16" t="str">
        <f>IFERROR(VLOOKUP(DATA!#REF!,DATA!#REF!,1,FALSE),"")</f>
        <v/>
      </c>
      <c r="D4739" s="16" t="str">
        <f>IFERROR(VLOOKUP(C4739,DATA!#REF!,2,FALSE),"")</f>
        <v/>
      </c>
      <c r="I4739" s="17"/>
      <c r="J4739" s="17"/>
      <c r="P4739" s="17"/>
      <c r="Q4739" s="17"/>
    </row>
    <row r="4740" spans="2:17">
      <c r="B4740" s="17"/>
      <c r="C4740" s="16" t="str">
        <f>IFERROR(VLOOKUP(DATA!#REF!,DATA!#REF!,1,FALSE),"")</f>
        <v/>
      </c>
      <c r="D4740" s="16" t="str">
        <f>IFERROR(VLOOKUP(C4740,DATA!#REF!,2,FALSE),"")</f>
        <v/>
      </c>
      <c r="I4740" s="17"/>
      <c r="J4740" s="17"/>
      <c r="P4740" s="17"/>
      <c r="Q4740" s="17"/>
    </row>
    <row r="4741" spans="2:17">
      <c r="B4741" s="17"/>
      <c r="C4741" s="16" t="str">
        <f>IFERROR(VLOOKUP(DATA!#REF!,DATA!#REF!,1,FALSE),"")</f>
        <v/>
      </c>
      <c r="D4741" s="16" t="str">
        <f>IFERROR(VLOOKUP(C4741,DATA!#REF!,2,FALSE),"")</f>
        <v/>
      </c>
      <c r="I4741" s="17"/>
      <c r="J4741" s="17"/>
      <c r="P4741" s="17"/>
      <c r="Q4741" s="17"/>
    </row>
    <row r="4742" spans="2:17">
      <c r="B4742" s="17"/>
      <c r="C4742" s="16" t="str">
        <f>IFERROR(VLOOKUP(DATA!#REF!,DATA!#REF!,1,FALSE),"")</f>
        <v/>
      </c>
      <c r="D4742" s="16" t="str">
        <f>IFERROR(VLOOKUP(C4742,DATA!#REF!,2,FALSE),"")</f>
        <v/>
      </c>
      <c r="I4742" s="17"/>
      <c r="J4742" s="17"/>
      <c r="P4742" s="17"/>
      <c r="Q4742" s="17"/>
    </row>
    <row r="4743" spans="2:17">
      <c r="B4743" s="17"/>
      <c r="C4743" s="16" t="str">
        <f>IFERROR(VLOOKUP(DATA!#REF!,DATA!#REF!,1,FALSE),"")</f>
        <v/>
      </c>
      <c r="D4743" s="16" t="str">
        <f>IFERROR(VLOOKUP(C4743,DATA!#REF!,2,FALSE),"")</f>
        <v/>
      </c>
      <c r="I4743" s="17"/>
      <c r="J4743" s="17"/>
      <c r="P4743" s="17"/>
      <c r="Q4743" s="17"/>
    </row>
    <row r="4744" spans="2:17">
      <c r="B4744" s="17"/>
      <c r="C4744" s="16" t="str">
        <f>IFERROR(VLOOKUP(DATA!#REF!,DATA!#REF!,1,FALSE),"")</f>
        <v/>
      </c>
      <c r="D4744" s="16" t="str">
        <f>IFERROR(VLOOKUP(C4744,DATA!#REF!,2,FALSE),"")</f>
        <v/>
      </c>
      <c r="I4744" s="17"/>
      <c r="J4744" s="17"/>
      <c r="P4744" s="17"/>
      <c r="Q4744" s="17"/>
    </row>
    <row r="4745" spans="2:17">
      <c r="B4745" s="17"/>
      <c r="C4745" s="16" t="str">
        <f>IFERROR(VLOOKUP(DATA!#REF!,DATA!#REF!,1,FALSE),"")</f>
        <v/>
      </c>
      <c r="D4745" s="16" t="str">
        <f>IFERROR(VLOOKUP(C4745,DATA!#REF!,2,FALSE),"")</f>
        <v/>
      </c>
      <c r="I4745" s="17"/>
      <c r="J4745" s="17"/>
      <c r="P4745" s="17"/>
      <c r="Q4745" s="17"/>
    </row>
    <row r="4746" spans="2:17">
      <c r="B4746" s="17"/>
      <c r="C4746" s="16" t="str">
        <f>IFERROR(VLOOKUP(DATA!#REF!,DATA!#REF!,1,FALSE),"")</f>
        <v/>
      </c>
      <c r="D4746" s="16" t="str">
        <f>IFERROR(VLOOKUP(C4746,DATA!#REF!,2,FALSE),"")</f>
        <v/>
      </c>
      <c r="I4746" s="17"/>
      <c r="J4746" s="17"/>
      <c r="P4746" s="17"/>
      <c r="Q4746" s="17"/>
    </row>
    <row r="4747" spans="2:17">
      <c r="B4747" s="17"/>
      <c r="C4747" s="16" t="str">
        <f>IFERROR(VLOOKUP(DATA!#REF!,DATA!#REF!,1,FALSE),"")</f>
        <v/>
      </c>
      <c r="D4747" s="16" t="str">
        <f>IFERROR(VLOOKUP(C4747,DATA!#REF!,2,FALSE),"")</f>
        <v/>
      </c>
      <c r="I4747" s="17"/>
      <c r="J4747" s="17"/>
      <c r="P4747" s="17"/>
      <c r="Q4747" s="17"/>
    </row>
    <row r="4748" spans="2:17">
      <c r="B4748" s="17"/>
      <c r="C4748" s="16" t="str">
        <f>IFERROR(VLOOKUP(DATA!#REF!,DATA!#REF!,1,FALSE),"")</f>
        <v/>
      </c>
      <c r="D4748" s="16" t="str">
        <f>IFERROR(VLOOKUP(C4748,DATA!#REF!,2,FALSE),"")</f>
        <v/>
      </c>
      <c r="I4748" s="17"/>
      <c r="J4748" s="17"/>
      <c r="P4748" s="17"/>
      <c r="Q4748" s="17"/>
    </row>
    <row r="4749" spans="2:17">
      <c r="B4749" s="17"/>
      <c r="C4749" s="16" t="str">
        <f>IFERROR(VLOOKUP(DATA!#REF!,DATA!#REF!,1,FALSE),"")</f>
        <v/>
      </c>
      <c r="D4749" s="16" t="str">
        <f>IFERROR(VLOOKUP(C4749,DATA!#REF!,2,FALSE),"")</f>
        <v/>
      </c>
      <c r="I4749" s="17"/>
      <c r="J4749" s="17"/>
      <c r="P4749" s="17"/>
      <c r="Q4749" s="17"/>
    </row>
    <row r="4750" spans="2:17">
      <c r="B4750" s="17"/>
      <c r="C4750" s="16" t="str">
        <f>IFERROR(VLOOKUP(DATA!#REF!,DATA!#REF!,1,FALSE),"")</f>
        <v/>
      </c>
      <c r="D4750" s="16" t="str">
        <f>IFERROR(VLOOKUP(C4750,DATA!#REF!,2,FALSE),"")</f>
        <v/>
      </c>
      <c r="I4750" s="17"/>
      <c r="J4750" s="17"/>
      <c r="P4750" s="17"/>
      <c r="Q4750" s="17"/>
    </row>
    <row r="4751" spans="2:17">
      <c r="B4751" s="17"/>
      <c r="C4751" s="16" t="str">
        <f>IFERROR(VLOOKUP(DATA!#REF!,DATA!#REF!,1,FALSE),"")</f>
        <v/>
      </c>
      <c r="D4751" s="16" t="str">
        <f>IFERROR(VLOOKUP(C4751,DATA!#REF!,2,FALSE),"")</f>
        <v/>
      </c>
      <c r="I4751" s="17"/>
      <c r="J4751" s="17"/>
      <c r="P4751" s="17"/>
      <c r="Q4751" s="17"/>
    </row>
    <row r="4752" spans="2:17">
      <c r="B4752" s="17"/>
      <c r="C4752" s="16" t="str">
        <f>IFERROR(VLOOKUP(DATA!#REF!,DATA!#REF!,1,FALSE),"")</f>
        <v/>
      </c>
      <c r="D4752" s="16" t="str">
        <f>IFERROR(VLOOKUP(C4752,DATA!#REF!,2,FALSE),"")</f>
        <v/>
      </c>
      <c r="I4752" s="17"/>
      <c r="J4752" s="17"/>
      <c r="P4752" s="17"/>
      <c r="Q4752" s="17"/>
    </row>
    <row r="4753" spans="2:17">
      <c r="B4753" s="17"/>
      <c r="C4753" s="16" t="str">
        <f>IFERROR(VLOOKUP(DATA!#REF!,DATA!#REF!,1,FALSE),"")</f>
        <v/>
      </c>
      <c r="D4753" s="16" t="str">
        <f>IFERROR(VLOOKUP(C4753,DATA!#REF!,2,FALSE),"")</f>
        <v/>
      </c>
      <c r="I4753" s="17"/>
      <c r="J4753" s="17"/>
      <c r="P4753" s="17"/>
      <c r="Q4753" s="17"/>
    </row>
    <row r="4754" spans="2:17">
      <c r="B4754" s="17"/>
      <c r="C4754" s="16" t="str">
        <f>IFERROR(VLOOKUP(DATA!#REF!,DATA!#REF!,1,FALSE),"")</f>
        <v/>
      </c>
      <c r="D4754" s="16" t="str">
        <f>IFERROR(VLOOKUP(C4754,DATA!#REF!,2,FALSE),"")</f>
        <v/>
      </c>
      <c r="I4754" s="17"/>
      <c r="J4754" s="17"/>
      <c r="P4754" s="17"/>
      <c r="Q4754" s="17"/>
    </row>
    <row r="4755" spans="2:17">
      <c r="B4755" s="17"/>
      <c r="C4755" s="16" t="str">
        <f>IFERROR(VLOOKUP(DATA!#REF!,DATA!#REF!,1,FALSE),"")</f>
        <v/>
      </c>
      <c r="D4755" s="16" t="str">
        <f>IFERROR(VLOOKUP(C4755,DATA!#REF!,2,FALSE),"")</f>
        <v/>
      </c>
      <c r="I4755" s="17"/>
      <c r="J4755" s="17"/>
      <c r="P4755" s="17"/>
      <c r="Q4755" s="17"/>
    </row>
    <row r="4756" spans="2:17">
      <c r="B4756" s="17"/>
      <c r="C4756" s="16" t="str">
        <f>IFERROR(VLOOKUP(DATA!#REF!,DATA!#REF!,1,FALSE),"")</f>
        <v/>
      </c>
      <c r="D4756" s="16" t="str">
        <f>IFERROR(VLOOKUP(C4756,DATA!#REF!,2,FALSE),"")</f>
        <v/>
      </c>
      <c r="I4756" s="17"/>
      <c r="J4756" s="17"/>
      <c r="P4756" s="17"/>
      <c r="Q4756" s="17"/>
    </row>
    <row r="4757" spans="2:17">
      <c r="B4757" s="17"/>
      <c r="C4757" s="16" t="str">
        <f>IFERROR(VLOOKUP(DATA!#REF!,DATA!#REF!,1,FALSE),"")</f>
        <v/>
      </c>
      <c r="D4757" s="16" t="str">
        <f>IFERROR(VLOOKUP(C4757,DATA!#REF!,2,FALSE),"")</f>
        <v/>
      </c>
      <c r="I4757" s="17"/>
      <c r="J4757" s="17"/>
      <c r="P4757" s="17"/>
      <c r="Q4757" s="17"/>
    </row>
    <row r="4758" spans="2:17">
      <c r="B4758" s="17"/>
      <c r="C4758" s="16" t="str">
        <f>IFERROR(VLOOKUP(DATA!#REF!,DATA!#REF!,1,FALSE),"")</f>
        <v/>
      </c>
      <c r="D4758" s="16" t="str">
        <f>IFERROR(VLOOKUP(C4758,DATA!#REF!,2,FALSE),"")</f>
        <v/>
      </c>
      <c r="I4758" s="17"/>
      <c r="J4758" s="17"/>
      <c r="P4758" s="17"/>
      <c r="Q4758" s="17"/>
    </row>
    <row r="4759" spans="2:17">
      <c r="B4759" s="17"/>
      <c r="C4759" s="16" t="str">
        <f>IFERROR(VLOOKUP(DATA!#REF!,DATA!#REF!,1,FALSE),"")</f>
        <v/>
      </c>
      <c r="D4759" s="16" t="str">
        <f>IFERROR(VLOOKUP(C4759,DATA!#REF!,2,FALSE),"")</f>
        <v/>
      </c>
      <c r="I4759" s="17"/>
      <c r="J4759" s="17"/>
      <c r="P4759" s="17"/>
      <c r="Q4759" s="17"/>
    </row>
    <row r="4760" spans="2:17">
      <c r="B4760" s="17"/>
      <c r="C4760" s="16" t="str">
        <f>IFERROR(VLOOKUP(DATA!#REF!,DATA!#REF!,1,FALSE),"")</f>
        <v/>
      </c>
      <c r="D4760" s="16" t="str">
        <f>IFERROR(VLOOKUP(C4760,DATA!#REF!,2,FALSE),"")</f>
        <v/>
      </c>
      <c r="I4760" s="17"/>
      <c r="J4760" s="17"/>
      <c r="P4760" s="17"/>
      <c r="Q4760" s="17"/>
    </row>
    <row r="4761" spans="2:17">
      <c r="B4761" s="17"/>
      <c r="C4761" s="16" t="str">
        <f>IFERROR(VLOOKUP(DATA!#REF!,DATA!#REF!,1,FALSE),"")</f>
        <v/>
      </c>
      <c r="D4761" s="16" t="str">
        <f>IFERROR(VLOOKUP(C4761,DATA!#REF!,2,FALSE),"")</f>
        <v/>
      </c>
      <c r="I4761" s="17"/>
      <c r="J4761" s="17"/>
      <c r="P4761" s="17"/>
      <c r="Q4761" s="17"/>
    </row>
    <row r="4762" spans="2:17">
      <c r="B4762" s="17"/>
      <c r="C4762" s="16" t="str">
        <f>IFERROR(VLOOKUP(DATA!#REF!,DATA!#REF!,1,FALSE),"")</f>
        <v/>
      </c>
      <c r="D4762" s="16" t="str">
        <f>IFERROR(VLOOKUP(C4762,DATA!#REF!,2,FALSE),"")</f>
        <v/>
      </c>
      <c r="I4762" s="17"/>
      <c r="J4762" s="17"/>
      <c r="P4762" s="17"/>
      <c r="Q4762" s="17"/>
    </row>
    <row r="4763" spans="2:17">
      <c r="B4763" s="17"/>
      <c r="C4763" s="16" t="str">
        <f>IFERROR(VLOOKUP(DATA!#REF!,DATA!#REF!,1,FALSE),"")</f>
        <v/>
      </c>
      <c r="D4763" s="16" t="str">
        <f>IFERROR(VLOOKUP(C4763,DATA!#REF!,2,FALSE),"")</f>
        <v/>
      </c>
      <c r="I4763" s="17"/>
      <c r="J4763" s="17"/>
      <c r="P4763" s="17"/>
      <c r="Q4763" s="17"/>
    </row>
    <row r="4764" spans="2:17">
      <c r="B4764" s="17"/>
      <c r="C4764" s="16" t="str">
        <f>IFERROR(VLOOKUP(DATA!#REF!,DATA!#REF!,1,FALSE),"")</f>
        <v/>
      </c>
      <c r="D4764" s="16" t="str">
        <f>IFERROR(VLOOKUP(C4764,DATA!#REF!,2,FALSE),"")</f>
        <v/>
      </c>
      <c r="I4764" s="17"/>
      <c r="J4764" s="17"/>
      <c r="P4764" s="17"/>
      <c r="Q4764" s="17"/>
    </row>
    <row r="4765" spans="2:17">
      <c r="B4765" s="17"/>
      <c r="C4765" s="16" t="str">
        <f>IFERROR(VLOOKUP(DATA!#REF!,DATA!#REF!,1,FALSE),"")</f>
        <v/>
      </c>
      <c r="D4765" s="16" t="str">
        <f>IFERROR(VLOOKUP(C4765,DATA!#REF!,2,FALSE),"")</f>
        <v/>
      </c>
      <c r="I4765" s="17"/>
      <c r="J4765" s="17"/>
      <c r="P4765" s="17"/>
      <c r="Q4765" s="17"/>
    </row>
    <row r="4766" spans="2:17">
      <c r="B4766" s="17"/>
      <c r="C4766" s="16" t="str">
        <f>IFERROR(VLOOKUP(DATA!#REF!,DATA!#REF!,1,FALSE),"")</f>
        <v/>
      </c>
      <c r="D4766" s="16" t="str">
        <f>IFERROR(VLOOKUP(C4766,DATA!#REF!,2,FALSE),"")</f>
        <v/>
      </c>
      <c r="I4766" s="17"/>
      <c r="J4766" s="17"/>
      <c r="P4766" s="17"/>
      <c r="Q4766" s="17"/>
    </row>
    <row r="4767" spans="2:17">
      <c r="B4767" s="17"/>
      <c r="C4767" s="16" t="str">
        <f>IFERROR(VLOOKUP(DATA!#REF!,DATA!#REF!,1,FALSE),"")</f>
        <v/>
      </c>
      <c r="D4767" s="16" t="str">
        <f>IFERROR(VLOOKUP(C4767,DATA!#REF!,2,FALSE),"")</f>
        <v/>
      </c>
      <c r="I4767" s="17"/>
      <c r="J4767" s="17"/>
      <c r="P4767" s="17"/>
      <c r="Q4767" s="17"/>
    </row>
    <row r="4768" spans="2:17">
      <c r="B4768" s="17"/>
      <c r="C4768" s="16" t="str">
        <f>IFERROR(VLOOKUP(DATA!#REF!,DATA!#REF!,1,FALSE),"")</f>
        <v/>
      </c>
      <c r="D4768" s="16" t="str">
        <f>IFERROR(VLOOKUP(C4768,DATA!#REF!,2,FALSE),"")</f>
        <v/>
      </c>
      <c r="I4768" s="17"/>
      <c r="J4768" s="17"/>
      <c r="P4768" s="17"/>
      <c r="Q4768" s="17"/>
    </row>
    <row r="4769" spans="2:17">
      <c r="B4769" s="17"/>
      <c r="C4769" s="16" t="str">
        <f>IFERROR(VLOOKUP(DATA!#REF!,DATA!#REF!,1,FALSE),"")</f>
        <v/>
      </c>
      <c r="D4769" s="16" t="str">
        <f>IFERROR(VLOOKUP(C4769,DATA!#REF!,2,FALSE),"")</f>
        <v/>
      </c>
      <c r="I4769" s="17"/>
      <c r="J4769" s="17"/>
      <c r="P4769" s="17"/>
      <c r="Q4769" s="17"/>
    </row>
    <row r="4770" spans="2:17">
      <c r="B4770" s="17"/>
      <c r="C4770" s="16" t="str">
        <f>IFERROR(VLOOKUP(DATA!#REF!,DATA!#REF!,1,FALSE),"")</f>
        <v/>
      </c>
      <c r="D4770" s="16" t="str">
        <f>IFERROR(VLOOKUP(C4770,DATA!#REF!,2,FALSE),"")</f>
        <v/>
      </c>
      <c r="I4770" s="17"/>
      <c r="J4770" s="17"/>
      <c r="P4770" s="17"/>
      <c r="Q4770" s="17"/>
    </row>
    <row r="4771" spans="2:17">
      <c r="B4771" s="17"/>
      <c r="C4771" s="16" t="str">
        <f>IFERROR(VLOOKUP(DATA!#REF!,DATA!#REF!,1,FALSE),"")</f>
        <v/>
      </c>
      <c r="D4771" s="16" t="str">
        <f>IFERROR(VLOOKUP(C4771,DATA!#REF!,2,FALSE),"")</f>
        <v/>
      </c>
      <c r="I4771" s="17"/>
      <c r="J4771" s="17"/>
      <c r="P4771" s="17"/>
      <c r="Q4771" s="17"/>
    </row>
    <row r="4772" spans="2:17">
      <c r="B4772" s="17"/>
      <c r="C4772" s="16" t="str">
        <f>IFERROR(VLOOKUP(DATA!#REF!,DATA!#REF!,1,FALSE),"")</f>
        <v/>
      </c>
      <c r="D4772" s="16" t="str">
        <f>IFERROR(VLOOKUP(C4772,DATA!#REF!,2,FALSE),"")</f>
        <v/>
      </c>
      <c r="I4772" s="17"/>
      <c r="J4772" s="17"/>
      <c r="P4772" s="17"/>
      <c r="Q4772" s="17"/>
    </row>
    <row r="4773" spans="2:17">
      <c r="B4773" s="17"/>
      <c r="C4773" s="16" t="str">
        <f>IFERROR(VLOOKUP(DATA!#REF!,DATA!#REF!,1,FALSE),"")</f>
        <v/>
      </c>
      <c r="D4773" s="16" t="str">
        <f>IFERROR(VLOOKUP(C4773,DATA!#REF!,2,FALSE),"")</f>
        <v/>
      </c>
      <c r="I4773" s="17"/>
      <c r="J4773" s="17"/>
      <c r="P4773" s="17"/>
      <c r="Q4773" s="17"/>
    </row>
    <row r="4774" spans="2:17">
      <c r="B4774" s="17"/>
      <c r="C4774" s="16" t="str">
        <f>IFERROR(VLOOKUP(DATA!#REF!,DATA!#REF!,1,FALSE),"")</f>
        <v/>
      </c>
      <c r="D4774" s="16" t="str">
        <f>IFERROR(VLOOKUP(C4774,DATA!#REF!,2,FALSE),"")</f>
        <v/>
      </c>
      <c r="I4774" s="17"/>
      <c r="J4774" s="17"/>
      <c r="P4774" s="17"/>
      <c r="Q4774" s="17"/>
    </row>
    <row r="4775" spans="2:17">
      <c r="B4775" s="17"/>
      <c r="C4775" s="16" t="str">
        <f>IFERROR(VLOOKUP(DATA!#REF!,DATA!#REF!,1,FALSE),"")</f>
        <v/>
      </c>
      <c r="D4775" s="16" t="str">
        <f>IFERROR(VLOOKUP(C4775,DATA!#REF!,2,FALSE),"")</f>
        <v/>
      </c>
      <c r="I4775" s="17"/>
      <c r="J4775" s="17"/>
      <c r="P4775" s="17"/>
      <c r="Q4775" s="17"/>
    </row>
    <row r="4776" spans="2:17">
      <c r="B4776" s="17"/>
      <c r="C4776" s="16" t="str">
        <f>IFERROR(VLOOKUP(DATA!#REF!,DATA!#REF!,1,FALSE),"")</f>
        <v/>
      </c>
      <c r="D4776" s="16" t="str">
        <f>IFERROR(VLOOKUP(C4776,DATA!#REF!,2,FALSE),"")</f>
        <v/>
      </c>
      <c r="I4776" s="17"/>
      <c r="J4776" s="17"/>
      <c r="P4776" s="17"/>
      <c r="Q4776" s="17"/>
    </row>
    <row r="4777" spans="2:17">
      <c r="B4777" s="17"/>
      <c r="C4777" s="16" t="str">
        <f>IFERROR(VLOOKUP(DATA!#REF!,DATA!#REF!,1,FALSE),"")</f>
        <v/>
      </c>
      <c r="D4777" s="16" t="str">
        <f>IFERROR(VLOOKUP(C4777,DATA!#REF!,2,FALSE),"")</f>
        <v/>
      </c>
      <c r="I4777" s="17"/>
      <c r="J4777" s="17"/>
      <c r="P4777" s="17"/>
      <c r="Q4777" s="17"/>
    </row>
    <row r="4778" spans="2:17">
      <c r="B4778" s="17"/>
      <c r="C4778" s="16" t="str">
        <f>IFERROR(VLOOKUP(DATA!#REF!,DATA!#REF!,1,FALSE),"")</f>
        <v/>
      </c>
      <c r="D4778" s="16" t="str">
        <f>IFERROR(VLOOKUP(C4778,DATA!#REF!,2,FALSE),"")</f>
        <v/>
      </c>
      <c r="I4778" s="17"/>
      <c r="J4778" s="17"/>
      <c r="P4778" s="17"/>
      <c r="Q4778" s="17"/>
    </row>
    <row r="4779" spans="2:17">
      <c r="B4779" s="17"/>
      <c r="C4779" s="16" t="str">
        <f>IFERROR(VLOOKUP(DATA!#REF!,DATA!#REF!,1,FALSE),"")</f>
        <v/>
      </c>
      <c r="D4779" s="16" t="str">
        <f>IFERROR(VLOOKUP(C4779,DATA!#REF!,2,FALSE),"")</f>
        <v/>
      </c>
      <c r="I4779" s="17"/>
      <c r="J4779" s="17"/>
      <c r="P4779" s="17"/>
      <c r="Q4779" s="17"/>
    </row>
    <row r="4780" spans="2:17">
      <c r="B4780" s="17"/>
      <c r="C4780" s="16" t="str">
        <f>IFERROR(VLOOKUP(DATA!#REF!,DATA!#REF!,1,FALSE),"")</f>
        <v/>
      </c>
      <c r="D4780" s="16" t="str">
        <f>IFERROR(VLOOKUP(C4780,DATA!#REF!,2,FALSE),"")</f>
        <v/>
      </c>
      <c r="I4780" s="17"/>
      <c r="J4780" s="17"/>
      <c r="P4780" s="17"/>
      <c r="Q4780" s="17"/>
    </row>
    <row r="4781" spans="2:17">
      <c r="B4781" s="17"/>
      <c r="C4781" s="16" t="str">
        <f>IFERROR(VLOOKUP(DATA!#REF!,DATA!#REF!,1,FALSE),"")</f>
        <v/>
      </c>
      <c r="D4781" s="16" t="str">
        <f>IFERROR(VLOOKUP(C4781,DATA!#REF!,2,FALSE),"")</f>
        <v/>
      </c>
      <c r="I4781" s="17"/>
      <c r="J4781" s="17"/>
      <c r="P4781" s="17"/>
      <c r="Q4781" s="17"/>
    </row>
    <row r="4782" spans="2:17">
      <c r="B4782" s="17"/>
      <c r="C4782" s="16" t="str">
        <f>IFERROR(VLOOKUP(DATA!#REF!,DATA!#REF!,1,FALSE),"")</f>
        <v/>
      </c>
      <c r="D4782" s="16" t="str">
        <f>IFERROR(VLOOKUP(C4782,DATA!#REF!,2,FALSE),"")</f>
        <v/>
      </c>
      <c r="I4782" s="17"/>
      <c r="J4782" s="17"/>
      <c r="P4782" s="17"/>
      <c r="Q4782" s="17"/>
    </row>
    <row r="4783" spans="2:17">
      <c r="B4783" s="17"/>
      <c r="C4783" s="16" t="str">
        <f>IFERROR(VLOOKUP(DATA!#REF!,DATA!#REF!,1,FALSE),"")</f>
        <v/>
      </c>
      <c r="D4783" s="16" t="str">
        <f>IFERROR(VLOOKUP(C4783,DATA!#REF!,2,FALSE),"")</f>
        <v/>
      </c>
      <c r="I4783" s="17"/>
      <c r="J4783" s="17"/>
      <c r="P4783" s="17"/>
      <c r="Q4783" s="17"/>
    </row>
    <row r="4784" spans="2:17">
      <c r="B4784" s="17"/>
      <c r="C4784" s="16" t="str">
        <f>IFERROR(VLOOKUP(DATA!#REF!,DATA!#REF!,1,FALSE),"")</f>
        <v/>
      </c>
      <c r="D4784" s="16" t="str">
        <f>IFERROR(VLOOKUP(C4784,DATA!#REF!,2,FALSE),"")</f>
        <v/>
      </c>
      <c r="I4784" s="17"/>
      <c r="J4784" s="17"/>
      <c r="P4784" s="17"/>
      <c r="Q4784" s="17"/>
    </row>
    <row r="4785" spans="2:17">
      <c r="B4785" s="17"/>
      <c r="C4785" s="16" t="str">
        <f>IFERROR(VLOOKUP(DATA!#REF!,DATA!#REF!,1,FALSE),"")</f>
        <v/>
      </c>
      <c r="D4785" s="16" t="str">
        <f>IFERROR(VLOOKUP(C4785,DATA!#REF!,2,FALSE),"")</f>
        <v/>
      </c>
      <c r="I4785" s="17"/>
      <c r="J4785" s="17"/>
      <c r="P4785" s="17"/>
      <c r="Q4785" s="17"/>
    </row>
    <row r="4786" spans="2:17">
      <c r="B4786" s="17"/>
      <c r="C4786" s="16" t="str">
        <f>IFERROR(VLOOKUP(DATA!#REF!,DATA!#REF!,1,FALSE),"")</f>
        <v/>
      </c>
      <c r="D4786" s="16" t="str">
        <f>IFERROR(VLOOKUP(C4786,DATA!#REF!,2,FALSE),"")</f>
        <v/>
      </c>
      <c r="I4786" s="17"/>
      <c r="J4786" s="17"/>
      <c r="P4786" s="17"/>
      <c r="Q4786" s="17"/>
    </row>
    <row r="4787" spans="2:17">
      <c r="B4787" s="17"/>
      <c r="C4787" s="16" t="str">
        <f>IFERROR(VLOOKUP(DATA!#REF!,DATA!#REF!,1,FALSE),"")</f>
        <v/>
      </c>
      <c r="D4787" s="16" t="str">
        <f>IFERROR(VLOOKUP(C4787,DATA!#REF!,2,FALSE),"")</f>
        <v/>
      </c>
      <c r="I4787" s="17"/>
      <c r="J4787" s="17"/>
      <c r="P4787" s="17"/>
      <c r="Q4787" s="17"/>
    </row>
    <row r="4788" spans="2:17">
      <c r="B4788" s="17"/>
      <c r="C4788" s="16" t="str">
        <f>IFERROR(VLOOKUP(DATA!#REF!,DATA!#REF!,1,FALSE),"")</f>
        <v/>
      </c>
      <c r="D4788" s="16" t="str">
        <f>IFERROR(VLOOKUP(C4788,DATA!#REF!,2,FALSE),"")</f>
        <v/>
      </c>
      <c r="I4788" s="17"/>
      <c r="J4788" s="17"/>
      <c r="P4788" s="17"/>
      <c r="Q4788" s="17"/>
    </row>
    <row r="4789" spans="2:17">
      <c r="B4789" s="17"/>
      <c r="C4789" s="16" t="str">
        <f>IFERROR(VLOOKUP(DATA!#REF!,DATA!#REF!,1,FALSE),"")</f>
        <v/>
      </c>
      <c r="D4789" s="16" t="str">
        <f>IFERROR(VLOOKUP(C4789,DATA!#REF!,2,FALSE),"")</f>
        <v/>
      </c>
      <c r="I4789" s="17"/>
      <c r="J4789" s="17"/>
      <c r="P4789" s="17"/>
      <c r="Q4789" s="17"/>
    </row>
    <row r="4790" spans="2:17">
      <c r="B4790" s="17"/>
      <c r="C4790" s="16" t="str">
        <f>IFERROR(VLOOKUP(DATA!#REF!,DATA!#REF!,1,FALSE),"")</f>
        <v/>
      </c>
      <c r="D4790" s="16" t="str">
        <f>IFERROR(VLOOKUP(C4790,DATA!#REF!,2,FALSE),"")</f>
        <v/>
      </c>
      <c r="I4790" s="17"/>
      <c r="J4790" s="17"/>
      <c r="P4790" s="17"/>
      <c r="Q4790" s="17"/>
    </row>
    <row r="4791" spans="2:17">
      <c r="B4791" s="17"/>
      <c r="C4791" s="16" t="str">
        <f>IFERROR(VLOOKUP(DATA!#REF!,DATA!#REF!,1,FALSE),"")</f>
        <v/>
      </c>
      <c r="D4791" s="16" t="str">
        <f>IFERROR(VLOOKUP(C4791,DATA!#REF!,2,FALSE),"")</f>
        <v/>
      </c>
      <c r="I4791" s="17"/>
      <c r="J4791" s="17"/>
      <c r="P4791" s="17"/>
      <c r="Q4791" s="17"/>
    </row>
    <row r="4792" spans="2:17">
      <c r="B4792" s="17"/>
      <c r="C4792" s="16" t="str">
        <f>IFERROR(VLOOKUP(DATA!#REF!,DATA!#REF!,1,FALSE),"")</f>
        <v/>
      </c>
      <c r="D4792" s="16" t="str">
        <f>IFERROR(VLOOKUP(C4792,DATA!#REF!,2,FALSE),"")</f>
        <v/>
      </c>
      <c r="I4792" s="17"/>
      <c r="J4792" s="17"/>
      <c r="P4792" s="17"/>
      <c r="Q4792" s="17"/>
    </row>
    <row r="4793" spans="2:17">
      <c r="B4793" s="17"/>
      <c r="C4793" s="16" t="str">
        <f>IFERROR(VLOOKUP(DATA!#REF!,DATA!#REF!,1,FALSE),"")</f>
        <v/>
      </c>
      <c r="D4793" s="16" t="str">
        <f>IFERROR(VLOOKUP(C4793,DATA!#REF!,2,FALSE),"")</f>
        <v/>
      </c>
      <c r="I4793" s="17"/>
      <c r="J4793" s="17"/>
      <c r="P4793" s="17"/>
      <c r="Q4793" s="17"/>
    </row>
    <row r="4794" spans="2:17">
      <c r="B4794" s="17"/>
      <c r="C4794" s="16" t="str">
        <f>IFERROR(VLOOKUP(DATA!#REF!,DATA!#REF!,1,FALSE),"")</f>
        <v/>
      </c>
      <c r="D4794" s="16" t="str">
        <f>IFERROR(VLOOKUP(C4794,DATA!#REF!,2,FALSE),"")</f>
        <v/>
      </c>
      <c r="I4794" s="17"/>
      <c r="J4794" s="17"/>
      <c r="P4794" s="17"/>
      <c r="Q4794" s="17"/>
    </row>
    <row r="4795" spans="2:17">
      <c r="B4795" s="17"/>
      <c r="C4795" s="16" t="str">
        <f>IFERROR(VLOOKUP(DATA!#REF!,DATA!#REF!,1,FALSE),"")</f>
        <v/>
      </c>
      <c r="D4795" s="16" t="str">
        <f>IFERROR(VLOOKUP(C4795,DATA!#REF!,2,FALSE),"")</f>
        <v/>
      </c>
      <c r="I4795" s="17"/>
      <c r="J4795" s="17"/>
      <c r="P4795" s="17"/>
      <c r="Q4795" s="17"/>
    </row>
    <row r="4796" spans="2:17">
      <c r="B4796" s="17"/>
      <c r="C4796" s="16" t="str">
        <f>IFERROR(VLOOKUP(DATA!#REF!,DATA!#REF!,1,FALSE),"")</f>
        <v/>
      </c>
      <c r="D4796" s="16" t="str">
        <f>IFERROR(VLOOKUP(C4796,DATA!#REF!,2,FALSE),"")</f>
        <v/>
      </c>
      <c r="I4796" s="17"/>
      <c r="J4796" s="17"/>
      <c r="P4796" s="17"/>
      <c r="Q4796" s="17"/>
    </row>
    <row r="4797" spans="2:17">
      <c r="B4797" s="17"/>
      <c r="C4797" s="16" t="str">
        <f>IFERROR(VLOOKUP(DATA!#REF!,DATA!#REF!,1,FALSE),"")</f>
        <v/>
      </c>
      <c r="D4797" s="16" t="str">
        <f>IFERROR(VLOOKUP(C4797,DATA!#REF!,2,FALSE),"")</f>
        <v/>
      </c>
      <c r="I4797" s="17"/>
      <c r="J4797" s="17"/>
      <c r="P4797" s="17"/>
      <c r="Q4797" s="17"/>
    </row>
    <row r="4798" spans="2:17">
      <c r="B4798" s="17"/>
      <c r="C4798" s="16" t="str">
        <f>IFERROR(VLOOKUP(DATA!#REF!,DATA!#REF!,1,FALSE),"")</f>
        <v/>
      </c>
      <c r="D4798" s="16" t="str">
        <f>IFERROR(VLOOKUP(C4798,DATA!#REF!,2,FALSE),"")</f>
        <v/>
      </c>
      <c r="I4798" s="17"/>
      <c r="J4798" s="17"/>
      <c r="P4798" s="17"/>
      <c r="Q4798" s="17"/>
    </row>
    <row r="4799" spans="2:17">
      <c r="B4799" s="17"/>
      <c r="C4799" s="16" t="str">
        <f>IFERROR(VLOOKUP(DATA!#REF!,DATA!#REF!,1,FALSE),"")</f>
        <v/>
      </c>
      <c r="D4799" s="16" t="str">
        <f>IFERROR(VLOOKUP(C4799,DATA!#REF!,2,FALSE),"")</f>
        <v/>
      </c>
      <c r="I4799" s="17"/>
      <c r="J4799" s="17"/>
      <c r="P4799" s="17"/>
      <c r="Q4799" s="17"/>
    </row>
    <row r="4800" spans="2:17">
      <c r="B4800" s="17"/>
      <c r="C4800" s="16" t="str">
        <f>IFERROR(VLOOKUP(DATA!#REF!,DATA!#REF!,1,FALSE),"")</f>
        <v/>
      </c>
      <c r="D4800" s="16" t="str">
        <f>IFERROR(VLOOKUP(C4800,DATA!#REF!,2,FALSE),"")</f>
        <v/>
      </c>
      <c r="I4800" s="17"/>
      <c r="J4800" s="17"/>
      <c r="P4800" s="17"/>
      <c r="Q4800" s="17"/>
    </row>
    <row r="4801" spans="2:17">
      <c r="B4801" s="17"/>
      <c r="C4801" s="16" t="str">
        <f>IFERROR(VLOOKUP(DATA!#REF!,DATA!#REF!,1,FALSE),"")</f>
        <v/>
      </c>
      <c r="D4801" s="16" t="str">
        <f>IFERROR(VLOOKUP(C4801,DATA!#REF!,2,FALSE),"")</f>
        <v/>
      </c>
      <c r="I4801" s="17"/>
      <c r="J4801" s="17"/>
      <c r="P4801" s="17"/>
      <c r="Q4801" s="17"/>
    </row>
    <row r="4802" spans="2:17">
      <c r="B4802" s="17"/>
      <c r="C4802" s="16" t="str">
        <f>IFERROR(VLOOKUP(DATA!#REF!,DATA!#REF!,1,FALSE),"")</f>
        <v/>
      </c>
      <c r="D4802" s="16" t="str">
        <f>IFERROR(VLOOKUP(C4802,DATA!#REF!,2,FALSE),"")</f>
        <v/>
      </c>
      <c r="I4802" s="17"/>
      <c r="J4802" s="17"/>
      <c r="P4802" s="17"/>
      <c r="Q4802" s="17"/>
    </row>
    <row r="4803" spans="2:17">
      <c r="B4803" s="17"/>
      <c r="C4803" s="16" t="str">
        <f>IFERROR(VLOOKUP(DATA!#REF!,DATA!#REF!,1,FALSE),"")</f>
        <v/>
      </c>
      <c r="D4803" s="16" t="str">
        <f>IFERROR(VLOOKUP(C4803,DATA!#REF!,2,FALSE),"")</f>
        <v/>
      </c>
      <c r="I4803" s="17"/>
      <c r="J4803" s="17"/>
      <c r="P4803" s="17"/>
      <c r="Q4803" s="17"/>
    </row>
    <row r="4804" spans="2:17">
      <c r="B4804" s="17"/>
      <c r="C4804" s="16" t="str">
        <f>IFERROR(VLOOKUP(DATA!#REF!,DATA!#REF!,1,FALSE),"")</f>
        <v/>
      </c>
      <c r="D4804" s="16" t="str">
        <f>IFERROR(VLOOKUP(C4804,DATA!#REF!,2,FALSE),"")</f>
        <v/>
      </c>
      <c r="I4804" s="17"/>
      <c r="J4804" s="17"/>
      <c r="P4804" s="17"/>
      <c r="Q4804" s="17"/>
    </row>
    <row r="4805" spans="2:17">
      <c r="B4805" s="17"/>
      <c r="C4805" s="16" t="str">
        <f>IFERROR(VLOOKUP(DATA!#REF!,DATA!#REF!,1,FALSE),"")</f>
        <v/>
      </c>
      <c r="D4805" s="16" t="str">
        <f>IFERROR(VLOOKUP(C4805,DATA!#REF!,2,FALSE),"")</f>
        <v/>
      </c>
      <c r="I4805" s="17"/>
      <c r="J4805" s="17"/>
      <c r="P4805" s="17"/>
      <c r="Q4805" s="17"/>
    </row>
    <row r="4806" spans="2:17">
      <c r="B4806" s="17"/>
      <c r="C4806" s="16" t="str">
        <f>IFERROR(VLOOKUP(DATA!#REF!,DATA!#REF!,1,FALSE),"")</f>
        <v/>
      </c>
      <c r="D4806" s="16" t="str">
        <f>IFERROR(VLOOKUP(C4806,DATA!#REF!,2,FALSE),"")</f>
        <v/>
      </c>
      <c r="I4806" s="17"/>
      <c r="J4806" s="17"/>
      <c r="P4806" s="17"/>
      <c r="Q4806" s="17"/>
    </row>
    <row r="4807" spans="2:17">
      <c r="B4807" s="17"/>
      <c r="C4807" s="16" t="str">
        <f>IFERROR(VLOOKUP(DATA!#REF!,DATA!#REF!,1,FALSE),"")</f>
        <v/>
      </c>
      <c r="D4807" s="16" t="str">
        <f>IFERROR(VLOOKUP(C4807,DATA!#REF!,2,FALSE),"")</f>
        <v/>
      </c>
      <c r="I4807" s="17"/>
      <c r="J4807" s="17"/>
      <c r="P4807" s="17"/>
      <c r="Q4807" s="17"/>
    </row>
    <row r="4808" spans="2:17">
      <c r="B4808" s="17"/>
      <c r="C4808" s="16" t="str">
        <f>IFERROR(VLOOKUP(DATA!#REF!,DATA!#REF!,1,FALSE),"")</f>
        <v/>
      </c>
      <c r="D4808" s="16" t="str">
        <f>IFERROR(VLOOKUP(C4808,DATA!#REF!,2,FALSE),"")</f>
        <v/>
      </c>
      <c r="I4808" s="17"/>
      <c r="J4808" s="17"/>
      <c r="P4808" s="17"/>
      <c r="Q4808" s="17"/>
    </row>
    <row r="4809" spans="2:17">
      <c r="B4809" s="17"/>
      <c r="C4809" s="16" t="str">
        <f>IFERROR(VLOOKUP(DATA!#REF!,DATA!#REF!,1,FALSE),"")</f>
        <v/>
      </c>
      <c r="D4809" s="16" t="str">
        <f>IFERROR(VLOOKUP(C4809,DATA!#REF!,2,FALSE),"")</f>
        <v/>
      </c>
      <c r="I4809" s="17"/>
      <c r="J4809" s="17"/>
      <c r="P4809" s="17"/>
      <c r="Q4809" s="17"/>
    </row>
    <row r="4810" spans="2:17">
      <c r="B4810" s="17"/>
      <c r="C4810" s="16" t="str">
        <f>IFERROR(VLOOKUP(DATA!#REF!,DATA!#REF!,1,FALSE),"")</f>
        <v/>
      </c>
      <c r="D4810" s="16" t="str">
        <f>IFERROR(VLOOKUP(C4810,DATA!#REF!,2,FALSE),"")</f>
        <v/>
      </c>
      <c r="I4810" s="17"/>
      <c r="J4810" s="17"/>
      <c r="P4810" s="17"/>
      <c r="Q4810" s="17"/>
    </row>
    <row r="4811" spans="2:17">
      <c r="B4811" s="17"/>
      <c r="C4811" s="16" t="str">
        <f>IFERROR(VLOOKUP(DATA!#REF!,DATA!#REF!,1,FALSE),"")</f>
        <v/>
      </c>
      <c r="D4811" s="16" t="str">
        <f>IFERROR(VLOOKUP(C4811,DATA!#REF!,2,FALSE),"")</f>
        <v/>
      </c>
      <c r="I4811" s="17"/>
      <c r="J4811" s="17"/>
      <c r="P4811" s="17"/>
      <c r="Q4811" s="17"/>
    </row>
    <row r="4812" spans="2:17">
      <c r="B4812" s="17"/>
      <c r="C4812" s="16" t="str">
        <f>IFERROR(VLOOKUP(DATA!#REF!,DATA!#REF!,1,FALSE),"")</f>
        <v/>
      </c>
      <c r="D4812" s="16" t="str">
        <f>IFERROR(VLOOKUP(C4812,DATA!#REF!,2,FALSE),"")</f>
        <v/>
      </c>
      <c r="I4812" s="17"/>
      <c r="J4812" s="17"/>
      <c r="P4812" s="17"/>
      <c r="Q4812" s="17"/>
    </row>
    <row r="4813" spans="2:17">
      <c r="B4813" s="17"/>
      <c r="C4813" s="16" t="str">
        <f>IFERROR(VLOOKUP(DATA!#REF!,DATA!#REF!,1,FALSE),"")</f>
        <v/>
      </c>
      <c r="D4813" s="16" t="str">
        <f>IFERROR(VLOOKUP(C4813,DATA!#REF!,2,FALSE),"")</f>
        <v/>
      </c>
      <c r="I4813" s="17"/>
      <c r="J4813" s="17"/>
      <c r="P4813" s="17"/>
      <c r="Q4813" s="17"/>
    </row>
    <row r="4814" spans="2:17">
      <c r="B4814" s="17"/>
      <c r="C4814" s="16" t="str">
        <f>IFERROR(VLOOKUP(DATA!#REF!,DATA!#REF!,1,FALSE),"")</f>
        <v/>
      </c>
      <c r="D4814" s="16" t="str">
        <f>IFERROR(VLOOKUP(C4814,DATA!#REF!,2,FALSE),"")</f>
        <v/>
      </c>
      <c r="I4814" s="17"/>
      <c r="J4814" s="17"/>
      <c r="P4814" s="17"/>
      <c r="Q4814" s="17"/>
    </row>
    <row r="4815" spans="2:17">
      <c r="B4815" s="17"/>
      <c r="C4815" s="16" t="str">
        <f>IFERROR(VLOOKUP(DATA!#REF!,DATA!#REF!,1,FALSE),"")</f>
        <v/>
      </c>
      <c r="D4815" s="16" t="str">
        <f>IFERROR(VLOOKUP(C4815,DATA!#REF!,2,FALSE),"")</f>
        <v/>
      </c>
      <c r="I4815" s="17"/>
      <c r="J4815" s="17"/>
      <c r="P4815" s="17"/>
      <c r="Q4815" s="17"/>
    </row>
    <row r="4816" spans="2:17">
      <c r="B4816" s="17"/>
      <c r="C4816" s="16" t="str">
        <f>IFERROR(VLOOKUP(DATA!#REF!,DATA!#REF!,1,FALSE),"")</f>
        <v/>
      </c>
      <c r="D4816" s="16" t="str">
        <f>IFERROR(VLOOKUP(C4816,DATA!#REF!,2,FALSE),"")</f>
        <v/>
      </c>
      <c r="I4816" s="17"/>
      <c r="J4816" s="17"/>
      <c r="P4816" s="17"/>
      <c r="Q4816" s="17"/>
    </row>
    <row r="4817" spans="2:17">
      <c r="B4817" s="17"/>
      <c r="C4817" s="16" t="str">
        <f>IFERROR(VLOOKUP(DATA!#REF!,DATA!#REF!,1,FALSE),"")</f>
        <v/>
      </c>
      <c r="D4817" s="16" t="str">
        <f>IFERROR(VLOOKUP(C4817,DATA!#REF!,2,FALSE),"")</f>
        <v/>
      </c>
      <c r="I4817" s="17"/>
      <c r="J4817" s="17"/>
      <c r="P4817" s="17"/>
      <c r="Q4817" s="17"/>
    </row>
    <row r="4818" spans="2:17">
      <c r="B4818" s="17"/>
      <c r="C4818" s="16" t="str">
        <f>IFERROR(VLOOKUP(DATA!#REF!,DATA!#REF!,1,FALSE),"")</f>
        <v/>
      </c>
      <c r="D4818" s="16" t="str">
        <f>IFERROR(VLOOKUP(C4818,DATA!#REF!,2,FALSE),"")</f>
        <v/>
      </c>
      <c r="I4818" s="17"/>
      <c r="J4818" s="17"/>
      <c r="P4818" s="17"/>
      <c r="Q4818" s="17"/>
    </row>
    <row r="4819" spans="2:17">
      <c r="B4819" s="17"/>
      <c r="C4819" s="16" t="str">
        <f>IFERROR(VLOOKUP(DATA!#REF!,DATA!#REF!,1,FALSE),"")</f>
        <v/>
      </c>
      <c r="D4819" s="16" t="str">
        <f>IFERROR(VLOOKUP(C4819,DATA!#REF!,2,FALSE),"")</f>
        <v/>
      </c>
      <c r="I4819" s="17"/>
      <c r="J4819" s="17"/>
      <c r="P4819" s="17"/>
      <c r="Q4819" s="17"/>
    </row>
    <row r="4820" spans="2:17">
      <c r="B4820" s="17"/>
      <c r="C4820" s="16" t="str">
        <f>IFERROR(VLOOKUP(DATA!#REF!,DATA!#REF!,1,FALSE),"")</f>
        <v/>
      </c>
      <c r="D4820" s="16" t="str">
        <f>IFERROR(VLOOKUP(C4820,DATA!#REF!,2,FALSE),"")</f>
        <v/>
      </c>
      <c r="I4820" s="17"/>
      <c r="J4820" s="17"/>
      <c r="P4820" s="17"/>
      <c r="Q4820" s="17"/>
    </row>
    <row r="4821" spans="2:17">
      <c r="B4821" s="17"/>
      <c r="C4821" s="16" t="str">
        <f>IFERROR(VLOOKUP(DATA!#REF!,DATA!#REF!,1,FALSE),"")</f>
        <v/>
      </c>
      <c r="D4821" s="16" t="str">
        <f>IFERROR(VLOOKUP(C4821,DATA!#REF!,2,FALSE),"")</f>
        <v/>
      </c>
      <c r="I4821" s="17"/>
      <c r="J4821" s="17"/>
      <c r="P4821" s="17"/>
      <c r="Q4821" s="17"/>
    </row>
    <row r="4822" spans="2:17">
      <c r="B4822" s="17"/>
      <c r="C4822" s="16" t="str">
        <f>IFERROR(VLOOKUP(DATA!#REF!,DATA!#REF!,1,FALSE),"")</f>
        <v/>
      </c>
      <c r="D4822" s="16" t="str">
        <f>IFERROR(VLOOKUP(C4822,DATA!#REF!,2,FALSE),"")</f>
        <v/>
      </c>
      <c r="I4822" s="17"/>
      <c r="J4822" s="17"/>
      <c r="P4822" s="17"/>
      <c r="Q4822" s="17"/>
    </row>
    <row r="4823" spans="2:17">
      <c r="B4823" s="17"/>
      <c r="C4823" s="16" t="str">
        <f>IFERROR(VLOOKUP(DATA!#REF!,DATA!#REF!,1,FALSE),"")</f>
        <v/>
      </c>
      <c r="D4823" s="16" t="str">
        <f>IFERROR(VLOOKUP(C4823,DATA!#REF!,2,FALSE),"")</f>
        <v/>
      </c>
      <c r="I4823" s="17"/>
      <c r="J4823" s="17"/>
      <c r="P4823" s="17"/>
      <c r="Q4823" s="17"/>
    </row>
    <row r="4824" spans="2:17">
      <c r="B4824" s="17"/>
      <c r="C4824" s="16" t="str">
        <f>IFERROR(VLOOKUP(DATA!#REF!,DATA!#REF!,1,FALSE),"")</f>
        <v/>
      </c>
      <c r="D4824" s="16" t="str">
        <f>IFERROR(VLOOKUP(C4824,DATA!#REF!,2,FALSE),"")</f>
        <v/>
      </c>
      <c r="I4824" s="17"/>
      <c r="J4824" s="17"/>
      <c r="P4824" s="17"/>
      <c r="Q4824" s="17"/>
    </row>
    <row r="4825" spans="2:17">
      <c r="B4825" s="17"/>
      <c r="C4825" s="16" t="str">
        <f>IFERROR(VLOOKUP(DATA!#REF!,DATA!#REF!,1,FALSE),"")</f>
        <v/>
      </c>
      <c r="D4825" s="16" t="str">
        <f>IFERROR(VLOOKUP(C4825,DATA!#REF!,2,FALSE),"")</f>
        <v/>
      </c>
      <c r="I4825" s="17"/>
      <c r="J4825" s="17"/>
      <c r="P4825" s="17"/>
      <c r="Q4825" s="17"/>
    </row>
    <row r="4826" spans="2:17">
      <c r="B4826" s="17"/>
      <c r="C4826" s="16" t="str">
        <f>IFERROR(VLOOKUP(DATA!#REF!,DATA!#REF!,1,FALSE),"")</f>
        <v/>
      </c>
      <c r="D4826" s="16" t="str">
        <f>IFERROR(VLOOKUP(C4826,DATA!#REF!,2,FALSE),"")</f>
        <v/>
      </c>
      <c r="I4826" s="17"/>
      <c r="J4826" s="17"/>
      <c r="P4826" s="17"/>
      <c r="Q4826" s="17"/>
    </row>
    <row r="4827" spans="2:17">
      <c r="B4827" s="17"/>
      <c r="C4827" s="16" t="str">
        <f>IFERROR(VLOOKUP(DATA!#REF!,DATA!#REF!,1,FALSE),"")</f>
        <v/>
      </c>
      <c r="D4827" s="16" t="str">
        <f>IFERROR(VLOOKUP(C4827,DATA!#REF!,2,FALSE),"")</f>
        <v/>
      </c>
      <c r="I4827" s="17"/>
      <c r="J4827" s="17"/>
      <c r="P4827" s="17"/>
      <c r="Q4827" s="17"/>
    </row>
    <row r="4828" spans="2:17">
      <c r="B4828" s="17"/>
      <c r="C4828" s="16" t="str">
        <f>IFERROR(VLOOKUP(DATA!#REF!,DATA!#REF!,1,FALSE),"")</f>
        <v/>
      </c>
      <c r="D4828" s="16" t="str">
        <f>IFERROR(VLOOKUP(C4828,DATA!#REF!,2,FALSE),"")</f>
        <v/>
      </c>
      <c r="I4828" s="17"/>
      <c r="J4828" s="17"/>
      <c r="P4828" s="17"/>
      <c r="Q4828" s="17"/>
    </row>
    <row r="4829" spans="2:17">
      <c r="B4829" s="17"/>
      <c r="C4829" s="16" t="str">
        <f>IFERROR(VLOOKUP(DATA!#REF!,DATA!#REF!,1,FALSE),"")</f>
        <v/>
      </c>
      <c r="D4829" s="16" t="str">
        <f>IFERROR(VLOOKUP(C4829,DATA!#REF!,2,FALSE),"")</f>
        <v/>
      </c>
      <c r="I4829" s="17"/>
      <c r="J4829" s="17"/>
      <c r="P4829" s="17"/>
      <c r="Q4829" s="17"/>
    </row>
    <row r="4830" spans="2:17">
      <c r="B4830" s="17"/>
      <c r="C4830" s="16" t="str">
        <f>IFERROR(VLOOKUP(DATA!#REF!,DATA!#REF!,1,FALSE),"")</f>
        <v/>
      </c>
      <c r="D4830" s="16" t="str">
        <f>IFERROR(VLOOKUP(C4830,DATA!#REF!,2,FALSE),"")</f>
        <v/>
      </c>
      <c r="I4830" s="17"/>
      <c r="J4830" s="17"/>
      <c r="P4830" s="17"/>
      <c r="Q4830" s="17"/>
    </row>
    <row r="4831" spans="2:17">
      <c r="B4831" s="17"/>
      <c r="C4831" s="16" t="str">
        <f>IFERROR(VLOOKUP(DATA!#REF!,DATA!#REF!,1,FALSE),"")</f>
        <v/>
      </c>
      <c r="D4831" s="16" t="str">
        <f>IFERROR(VLOOKUP(C4831,DATA!#REF!,2,FALSE),"")</f>
        <v/>
      </c>
      <c r="I4831" s="17"/>
      <c r="J4831" s="17"/>
      <c r="P4831" s="17"/>
      <c r="Q4831" s="17"/>
    </row>
    <row r="4832" spans="2:17">
      <c r="B4832" s="17"/>
      <c r="C4832" s="16" t="str">
        <f>IFERROR(VLOOKUP(DATA!#REF!,DATA!#REF!,1,FALSE),"")</f>
        <v/>
      </c>
      <c r="D4832" s="16" t="str">
        <f>IFERROR(VLOOKUP(C4832,DATA!#REF!,2,FALSE),"")</f>
        <v/>
      </c>
      <c r="I4832" s="17"/>
      <c r="J4832" s="17"/>
      <c r="P4832" s="17"/>
      <c r="Q4832" s="17"/>
    </row>
    <row r="4833" spans="2:17">
      <c r="B4833" s="17"/>
      <c r="C4833" s="16" t="str">
        <f>IFERROR(VLOOKUP(DATA!#REF!,DATA!#REF!,1,FALSE),"")</f>
        <v/>
      </c>
      <c r="D4833" s="16" t="str">
        <f>IFERROR(VLOOKUP(C4833,DATA!#REF!,2,FALSE),"")</f>
        <v/>
      </c>
      <c r="I4833" s="17"/>
      <c r="J4833" s="17"/>
      <c r="P4833" s="17"/>
      <c r="Q4833" s="17"/>
    </row>
    <row r="4834" spans="2:17">
      <c r="B4834" s="17"/>
      <c r="C4834" s="16" t="str">
        <f>IFERROR(VLOOKUP(DATA!#REF!,DATA!#REF!,1,FALSE),"")</f>
        <v/>
      </c>
      <c r="D4834" s="16" t="str">
        <f>IFERROR(VLOOKUP(C4834,DATA!#REF!,2,FALSE),"")</f>
        <v/>
      </c>
      <c r="I4834" s="17"/>
      <c r="J4834" s="17"/>
      <c r="P4834" s="17"/>
      <c r="Q4834" s="17"/>
    </row>
    <row r="4835" spans="2:17">
      <c r="B4835" s="17"/>
      <c r="C4835" s="16" t="str">
        <f>IFERROR(VLOOKUP(DATA!#REF!,DATA!#REF!,1,FALSE),"")</f>
        <v/>
      </c>
      <c r="D4835" s="16" t="str">
        <f>IFERROR(VLOOKUP(C4835,DATA!#REF!,2,FALSE),"")</f>
        <v/>
      </c>
      <c r="I4835" s="17"/>
      <c r="J4835" s="17"/>
      <c r="P4835" s="17"/>
      <c r="Q4835" s="17"/>
    </row>
    <row r="4836" spans="2:17">
      <c r="B4836" s="17"/>
      <c r="C4836" s="16" t="str">
        <f>IFERROR(VLOOKUP(DATA!#REF!,DATA!#REF!,1,FALSE),"")</f>
        <v/>
      </c>
      <c r="D4836" s="16" t="str">
        <f>IFERROR(VLOOKUP(C4836,DATA!#REF!,2,FALSE),"")</f>
        <v/>
      </c>
      <c r="I4836" s="17"/>
      <c r="J4836" s="17"/>
      <c r="P4836" s="17"/>
      <c r="Q4836" s="17"/>
    </row>
    <row r="4837" spans="2:17">
      <c r="B4837" s="17"/>
      <c r="C4837" s="16" t="str">
        <f>IFERROR(VLOOKUP(DATA!#REF!,DATA!#REF!,1,FALSE),"")</f>
        <v/>
      </c>
      <c r="D4837" s="16" t="str">
        <f>IFERROR(VLOOKUP(C4837,DATA!#REF!,2,FALSE),"")</f>
        <v/>
      </c>
      <c r="I4837" s="17"/>
      <c r="J4837" s="17"/>
      <c r="P4837" s="17"/>
      <c r="Q4837" s="17"/>
    </row>
    <row r="4838" spans="2:17">
      <c r="B4838" s="17"/>
      <c r="C4838" s="16" t="str">
        <f>IFERROR(VLOOKUP(DATA!#REF!,DATA!#REF!,1,FALSE),"")</f>
        <v/>
      </c>
      <c r="D4838" s="16" t="str">
        <f>IFERROR(VLOOKUP(C4838,DATA!#REF!,2,FALSE),"")</f>
        <v/>
      </c>
      <c r="I4838" s="17"/>
      <c r="J4838" s="17"/>
      <c r="P4838" s="17"/>
      <c r="Q4838" s="17"/>
    </row>
    <row r="4839" spans="2:17">
      <c r="B4839" s="17"/>
      <c r="C4839" s="16" t="str">
        <f>IFERROR(VLOOKUP(DATA!#REF!,DATA!#REF!,1,FALSE),"")</f>
        <v/>
      </c>
      <c r="D4839" s="16" t="str">
        <f>IFERROR(VLOOKUP(C4839,DATA!#REF!,2,FALSE),"")</f>
        <v/>
      </c>
      <c r="I4839" s="17"/>
      <c r="J4839" s="17"/>
      <c r="P4839" s="17"/>
      <c r="Q4839" s="17"/>
    </row>
    <row r="4840" spans="2:17">
      <c r="B4840" s="17"/>
      <c r="C4840" s="16" t="str">
        <f>IFERROR(VLOOKUP(DATA!#REF!,DATA!#REF!,1,FALSE),"")</f>
        <v/>
      </c>
      <c r="D4840" s="16" t="str">
        <f>IFERROR(VLOOKUP(C4840,DATA!#REF!,2,FALSE),"")</f>
        <v/>
      </c>
      <c r="I4840" s="17"/>
      <c r="J4840" s="17"/>
      <c r="P4840" s="17"/>
      <c r="Q4840" s="17"/>
    </row>
    <row r="4841" spans="2:17">
      <c r="B4841" s="17"/>
      <c r="C4841" s="16" t="str">
        <f>IFERROR(VLOOKUP(DATA!#REF!,DATA!#REF!,1,FALSE),"")</f>
        <v/>
      </c>
      <c r="D4841" s="16" t="str">
        <f>IFERROR(VLOOKUP(C4841,DATA!#REF!,2,FALSE),"")</f>
        <v/>
      </c>
      <c r="I4841" s="17"/>
      <c r="J4841" s="17"/>
      <c r="P4841" s="17"/>
      <c r="Q4841" s="17"/>
    </row>
    <row r="4842" spans="2:17">
      <c r="B4842" s="17"/>
      <c r="C4842" s="16" t="str">
        <f>IFERROR(VLOOKUP(DATA!#REF!,DATA!#REF!,1,FALSE),"")</f>
        <v/>
      </c>
      <c r="D4842" s="16" t="str">
        <f>IFERROR(VLOOKUP(C4842,DATA!#REF!,2,FALSE),"")</f>
        <v/>
      </c>
      <c r="I4842" s="17"/>
      <c r="J4842" s="17"/>
      <c r="P4842" s="17"/>
      <c r="Q4842" s="17"/>
    </row>
    <row r="4843" spans="2:17">
      <c r="B4843" s="17"/>
      <c r="C4843" s="16" t="str">
        <f>IFERROR(VLOOKUP(DATA!#REF!,DATA!#REF!,1,FALSE),"")</f>
        <v/>
      </c>
      <c r="D4843" s="16" t="str">
        <f>IFERROR(VLOOKUP(C4843,DATA!#REF!,2,FALSE),"")</f>
        <v/>
      </c>
      <c r="I4843" s="17"/>
      <c r="J4843" s="17"/>
      <c r="P4843" s="17"/>
      <c r="Q4843" s="17"/>
    </row>
    <row r="4844" spans="2:17">
      <c r="B4844" s="17"/>
      <c r="C4844" s="16" t="str">
        <f>IFERROR(VLOOKUP(DATA!#REF!,DATA!#REF!,1,FALSE),"")</f>
        <v/>
      </c>
      <c r="D4844" s="16" t="str">
        <f>IFERROR(VLOOKUP(C4844,DATA!#REF!,2,FALSE),"")</f>
        <v/>
      </c>
      <c r="I4844" s="17"/>
      <c r="J4844" s="17"/>
      <c r="P4844" s="17"/>
      <c r="Q4844" s="17"/>
    </row>
    <row r="4845" spans="2:17">
      <c r="B4845" s="17"/>
      <c r="C4845" s="16" t="str">
        <f>IFERROR(VLOOKUP(DATA!#REF!,DATA!#REF!,1,FALSE),"")</f>
        <v/>
      </c>
      <c r="D4845" s="16" t="str">
        <f>IFERROR(VLOOKUP(C4845,DATA!#REF!,2,FALSE),"")</f>
        <v/>
      </c>
      <c r="I4845" s="17"/>
      <c r="J4845" s="17"/>
      <c r="P4845" s="17"/>
      <c r="Q4845" s="17"/>
    </row>
    <row r="4846" spans="2:17">
      <c r="B4846" s="17"/>
      <c r="C4846" s="16" t="str">
        <f>IFERROR(VLOOKUP(DATA!#REF!,DATA!#REF!,1,FALSE),"")</f>
        <v/>
      </c>
      <c r="D4846" s="16" t="str">
        <f>IFERROR(VLOOKUP(C4846,DATA!#REF!,2,FALSE),"")</f>
        <v/>
      </c>
      <c r="I4846" s="17"/>
      <c r="J4846" s="17"/>
      <c r="P4846" s="17"/>
      <c r="Q4846" s="17"/>
    </row>
    <row r="4847" spans="2:17">
      <c r="B4847" s="17"/>
      <c r="C4847" s="16" t="str">
        <f>IFERROR(VLOOKUP(DATA!#REF!,DATA!#REF!,1,FALSE),"")</f>
        <v/>
      </c>
      <c r="D4847" s="16" t="str">
        <f>IFERROR(VLOOKUP(C4847,DATA!#REF!,2,FALSE),"")</f>
        <v/>
      </c>
      <c r="I4847" s="17"/>
      <c r="J4847" s="17"/>
      <c r="P4847" s="17"/>
      <c r="Q4847" s="17"/>
    </row>
    <row r="4848" spans="2:17">
      <c r="B4848" s="17"/>
      <c r="C4848" s="16" t="str">
        <f>IFERROR(VLOOKUP(DATA!#REF!,DATA!#REF!,1,FALSE),"")</f>
        <v/>
      </c>
      <c r="D4848" s="16" t="str">
        <f>IFERROR(VLOOKUP(C4848,DATA!#REF!,2,FALSE),"")</f>
        <v/>
      </c>
      <c r="I4848" s="17"/>
      <c r="J4848" s="17"/>
      <c r="P4848" s="17"/>
      <c r="Q4848" s="17"/>
    </row>
    <row r="4849" spans="2:17">
      <c r="B4849" s="17"/>
      <c r="C4849" s="16" t="str">
        <f>IFERROR(VLOOKUP(DATA!#REF!,DATA!#REF!,1,FALSE),"")</f>
        <v/>
      </c>
      <c r="D4849" s="16" t="str">
        <f>IFERROR(VLOOKUP(C4849,DATA!#REF!,2,FALSE),"")</f>
        <v/>
      </c>
      <c r="I4849" s="17"/>
      <c r="J4849" s="17"/>
      <c r="P4849" s="17"/>
      <c r="Q4849" s="17"/>
    </row>
    <row r="4850" spans="2:17">
      <c r="B4850" s="17"/>
      <c r="C4850" s="16" t="str">
        <f>IFERROR(VLOOKUP(DATA!#REF!,DATA!#REF!,1,FALSE),"")</f>
        <v/>
      </c>
      <c r="D4850" s="16" t="str">
        <f>IFERROR(VLOOKUP(C4850,DATA!#REF!,2,FALSE),"")</f>
        <v/>
      </c>
      <c r="I4850" s="17"/>
      <c r="J4850" s="17"/>
      <c r="P4850" s="17"/>
      <c r="Q4850" s="17"/>
    </row>
    <row r="4851" spans="2:17">
      <c r="B4851" s="17"/>
      <c r="C4851" s="16" t="str">
        <f>IFERROR(VLOOKUP(DATA!#REF!,DATA!#REF!,1,FALSE),"")</f>
        <v/>
      </c>
      <c r="D4851" s="16" t="str">
        <f>IFERROR(VLOOKUP(C4851,DATA!#REF!,2,FALSE),"")</f>
        <v/>
      </c>
      <c r="I4851" s="17"/>
      <c r="J4851" s="17"/>
      <c r="P4851" s="17"/>
      <c r="Q4851" s="17"/>
    </row>
    <row r="4852" spans="2:17">
      <c r="B4852" s="17"/>
      <c r="C4852" s="16" t="str">
        <f>IFERROR(VLOOKUP(DATA!#REF!,DATA!#REF!,1,FALSE),"")</f>
        <v/>
      </c>
      <c r="D4852" s="16" t="str">
        <f>IFERROR(VLOOKUP(C4852,DATA!#REF!,2,FALSE),"")</f>
        <v/>
      </c>
      <c r="I4852" s="17"/>
      <c r="J4852" s="17"/>
      <c r="P4852" s="17"/>
      <c r="Q4852" s="17"/>
    </row>
    <row r="4853" spans="2:17">
      <c r="B4853" s="17"/>
      <c r="C4853" s="16" t="str">
        <f>IFERROR(VLOOKUP(DATA!#REF!,DATA!#REF!,1,FALSE),"")</f>
        <v/>
      </c>
      <c r="D4853" s="16" t="str">
        <f>IFERROR(VLOOKUP(C4853,DATA!#REF!,2,FALSE),"")</f>
        <v/>
      </c>
      <c r="I4853" s="17"/>
      <c r="J4853" s="17"/>
      <c r="P4853" s="17"/>
      <c r="Q4853" s="17"/>
    </row>
    <row r="4854" spans="2:17">
      <c r="B4854" s="17"/>
      <c r="C4854" s="16" t="str">
        <f>IFERROR(VLOOKUP(DATA!#REF!,DATA!#REF!,1,FALSE),"")</f>
        <v/>
      </c>
      <c r="D4854" s="16" t="str">
        <f>IFERROR(VLOOKUP(C4854,DATA!#REF!,2,FALSE),"")</f>
        <v/>
      </c>
      <c r="I4854" s="17"/>
      <c r="J4854" s="17"/>
      <c r="P4854" s="17"/>
      <c r="Q4854" s="17"/>
    </row>
    <row r="4855" spans="2:17">
      <c r="B4855" s="17"/>
      <c r="C4855" s="16" t="str">
        <f>IFERROR(VLOOKUP(DATA!#REF!,DATA!#REF!,1,FALSE),"")</f>
        <v/>
      </c>
      <c r="D4855" s="16" t="str">
        <f>IFERROR(VLOOKUP(C4855,DATA!#REF!,2,FALSE),"")</f>
        <v/>
      </c>
      <c r="I4855" s="17"/>
      <c r="J4855" s="17"/>
      <c r="P4855" s="17"/>
      <c r="Q4855" s="17"/>
    </row>
    <row r="4856" spans="2:17">
      <c r="B4856" s="17"/>
      <c r="C4856" s="16" t="str">
        <f>IFERROR(VLOOKUP(DATA!#REF!,DATA!#REF!,1,FALSE),"")</f>
        <v/>
      </c>
      <c r="D4856" s="16" t="str">
        <f>IFERROR(VLOOKUP(C4856,DATA!#REF!,2,FALSE),"")</f>
        <v/>
      </c>
      <c r="I4856" s="17"/>
      <c r="J4856" s="17"/>
      <c r="P4856" s="17"/>
      <c r="Q4856" s="17"/>
    </row>
    <row r="4857" spans="2:17">
      <c r="B4857" s="17"/>
      <c r="C4857" s="16" t="str">
        <f>IFERROR(VLOOKUP(DATA!#REF!,DATA!#REF!,1,FALSE),"")</f>
        <v/>
      </c>
      <c r="D4857" s="16" t="str">
        <f>IFERROR(VLOOKUP(C4857,DATA!#REF!,2,FALSE),"")</f>
        <v/>
      </c>
      <c r="I4857" s="17"/>
      <c r="J4857" s="17"/>
      <c r="P4857" s="17"/>
      <c r="Q4857" s="17"/>
    </row>
    <row r="4858" spans="2:17">
      <c r="B4858" s="17"/>
      <c r="C4858" s="16" t="str">
        <f>IFERROR(VLOOKUP(DATA!#REF!,DATA!#REF!,1,FALSE),"")</f>
        <v/>
      </c>
      <c r="D4858" s="16" t="str">
        <f>IFERROR(VLOOKUP(C4858,DATA!#REF!,2,FALSE),"")</f>
        <v/>
      </c>
      <c r="I4858" s="17"/>
      <c r="J4858" s="17"/>
      <c r="P4858" s="17"/>
      <c r="Q4858" s="17"/>
    </row>
    <row r="4859" spans="2:17">
      <c r="B4859" s="17"/>
      <c r="C4859" s="16" t="str">
        <f>IFERROR(VLOOKUP(DATA!#REF!,DATA!#REF!,1,FALSE),"")</f>
        <v/>
      </c>
      <c r="D4859" s="16" t="str">
        <f>IFERROR(VLOOKUP(C4859,DATA!#REF!,2,FALSE),"")</f>
        <v/>
      </c>
      <c r="I4859" s="17"/>
      <c r="J4859" s="17"/>
      <c r="P4859" s="17"/>
      <c r="Q4859" s="17"/>
    </row>
    <row r="4860" spans="2:17">
      <c r="B4860" s="17"/>
      <c r="C4860" s="16" t="str">
        <f>IFERROR(VLOOKUP(DATA!#REF!,DATA!#REF!,1,FALSE),"")</f>
        <v/>
      </c>
      <c r="D4860" s="16" t="str">
        <f>IFERROR(VLOOKUP(C4860,DATA!#REF!,2,FALSE),"")</f>
        <v/>
      </c>
      <c r="I4860" s="17"/>
      <c r="J4860" s="17"/>
      <c r="P4860" s="17"/>
      <c r="Q4860" s="17"/>
    </row>
    <row r="4861" spans="2:17">
      <c r="B4861" s="17"/>
      <c r="C4861" s="16" t="str">
        <f>IFERROR(VLOOKUP(DATA!#REF!,DATA!#REF!,1,FALSE),"")</f>
        <v/>
      </c>
      <c r="D4861" s="16" t="str">
        <f>IFERROR(VLOOKUP(C4861,DATA!#REF!,2,FALSE),"")</f>
        <v/>
      </c>
      <c r="I4861" s="17"/>
      <c r="J4861" s="17"/>
      <c r="P4861" s="17"/>
      <c r="Q4861" s="17"/>
    </row>
    <row r="4862" spans="2:17">
      <c r="B4862" s="17"/>
      <c r="C4862" s="16" t="str">
        <f>IFERROR(VLOOKUP(DATA!#REF!,DATA!#REF!,1,FALSE),"")</f>
        <v/>
      </c>
      <c r="D4862" s="16" t="str">
        <f>IFERROR(VLOOKUP(C4862,DATA!#REF!,2,FALSE),"")</f>
        <v/>
      </c>
      <c r="I4862" s="17"/>
      <c r="J4862" s="17"/>
      <c r="P4862" s="17"/>
      <c r="Q4862" s="17"/>
    </row>
    <row r="4863" spans="2:17">
      <c r="B4863" s="17"/>
      <c r="C4863" s="16" t="str">
        <f>IFERROR(VLOOKUP(DATA!#REF!,DATA!#REF!,1,FALSE),"")</f>
        <v/>
      </c>
      <c r="D4863" s="16" t="str">
        <f>IFERROR(VLOOKUP(C4863,DATA!#REF!,2,FALSE),"")</f>
        <v/>
      </c>
      <c r="I4863" s="17"/>
      <c r="J4863" s="17"/>
      <c r="P4863" s="17"/>
      <c r="Q4863" s="17"/>
    </row>
    <row r="4864" spans="2:17">
      <c r="B4864" s="17"/>
      <c r="C4864" s="16" t="str">
        <f>IFERROR(VLOOKUP(DATA!#REF!,DATA!#REF!,1,FALSE),"")</f>
        <v/>
      </c>
      <c r="D4864" s="16" t="str">
        <f>IFERROR(VLOOKUP(C4864,DATA!#REF!,2,FALSE),"")</f>
        <v/>
      </c>
      <c r="I4864" s="17"/>
      <c r="J4864" s="17"/>
      <c r="P4864" s="17"/>
      <c r="Q4864" s="17"/>
    </row>
    <row r="4865" spans="2:17">
      <c r="B4865" s="17"/>
      <c r="C4865" s="16" t="str">
        <f>IFERROR(VLOOKUP(DATA!#REF!,DATA!#REF!,1,FALSE),"")</f>
        <v/>
      </c>
      <c r="D4865" s="16" t="str">
        <f>IFERROR(VLOOKUP(C4865,DATA!#REF!,2,FALSE),"")</f>
        <v/>
      </c>
      <c r="I4865" s="17"/>
      <c r="J4865" s="17"/>
      <c r="P4865" s="17"/>
      <c r="Q4865" s="17"/>
    </row>
    <row r="4866" spans="2:17">
      <c r="B4866" s="17"/>
      <c r="C4866" s="16" t="str">
        <f>IFERROR(VLOOKUP(DATA!#REF!,DATA!#REF!,1,FALSE),"")</f>
        <v/>
      </c>
      <c r="D4866" s="16" t="str">
        <f>IFERROR(VLOOKUP(C4866,DATA!#REF!,2,FALSE),"")</f>
        <v/>
      </c>
      <c r="I4866" s="17"/>
      <c r="J4866" s="17"/>
      <c r="P4866" s="17"/>
      <c r="Q4866" s="17"/>
    </row>
    <row r="4867" spans="2:17">
      <c r="B4867" s="17"/>
      <c r="C4867" s="16" t="str">
        <f>IFERROR(VLOOKUP(DATA!#REF!,DATA!#REF!,1,FALSE),"")</f>
        <v/>
      </c>
      <c r="D4867" s="16" t="str">
        <f>IFERROR(VLOOKUP(C4867,DATA!#REF!,2,FALSE),"")</f>
        <v/>
      </c>
      <c r="I4867" s="17"/>
      <c r="J4867" s="17"/>
      <c r="P4867" s="17"/>
      <c r="Q4867" s="17"/>
    </row>
    <row r="4868" spans="2:17">
      <c r="B4868" s="17"/>
      <c r="C4868" s="16" t="str">
        <f>IFERROR(VLOOKUP(DATA!#REF!,DATA!#REF!,1,FALSE),"")</f>
        <v/>
      </c>
      <c r="D4868" s="16" t="str">
        <f>IFERROR(VLOOKUP(C4868,DATA!#REF!,2,FALSE),"")</f>
        <v/>
      </c>
      <c r="I4868" s="17"/>
      <c r="J4868" s="17"/>
      <c r="P4868" s="17"/>
      <c r="Q4868" s="17"/>
    </row>
    <row r="4869" spans="2:17">
      <c r="B4869" s="17"/>
      <c r="C4869" s="16" t="str">
        <f>IFERROR(VLOOKUP(DATA!#REF!,DATA!#REF!,1,FALSE),"")</f>
        <v/>
      </c>
      <c r="D4869" s="16" t="str">
        <f>IFERROR(VLOOKUP(C4869,DATA!#REF!,2,FALSE),"")</f>
        <v/>
      </c>
      <c r="I4869" s="17"/>
      <c r="J4869" s="17"/>
      <c r="P4869" s="17"/>
      <c r="Q4869" s="17"/>
    </row>
    <row r="4870" spans="2:17">
      <c r="B4870" s="17"/>
      <c r="C4870" s="16" t="str">
        <f>IFERROR(VLOOKUP(DATA!#REF!,DATA!#REF!,1,FALSE),"")</f>
        <v/>
      </c>
      <c r="D4870" s="16" t="str">
        <f>IFERROR(VLOOKUP(C4870,DATA!#REF!,2,FALSE),"")</f>
        <v/>
      </c>
      <c r="I4870" s="17"/>
      <c r="J4870" s="17"/>
      <c r="P4870" s="17"/>
      <c r="Q4870" s="17"/>
    </row>
    <row r="4871" spans="2:17">
      <c r="B4871" s="17"/>
      <c r="C4871" s="16" t="str">
        <f>IFERROR(VLOOKUP(DATA!#REF!,DATA!#REF!,1,FALSE),"")</f>
        <v/>
      </c>
      <c r="D4871" s="16" t="str">
        <f>IFERROR(VLOOKUP(C4871,DATA!#REF!,2,FALSE),"")</f>
        <v/>
      </c>
      <c r="I4871" s="17"/>
      <c r="J4871" s="17"/>
      <c r="P4871" s="17"/>
      <c r="Q4871" s="17"/>
    </row>
    <row r="4872" spans="2:17">
      <c r="B4872" s="17"/>
      <c r="C4872" s="16" t="str">
        <f>IFERROR(VLOOKUP(DATA!#REF!,DATA!#REF!,1,FALSE),"")</f>
        <v/>
      </c>
      <c r="D4872" s="16" t="str">
        <f>IFERROR(VLOOKUP(C4872,DATA!#REF!,2,FALSE),"")</f>
        <v/>
      </c>
      <c r="I4872" s="17"/>
      <c r="J4872" s="17"/>
      <c r="P4872" s="17"/>
      <c r="Q4872" s="17"/>
    </row>
    <row r="4873" spans="2:17">
      <c r="B4873" s="17"/>
      <c r="C4873" s="16" t="str">
        <f>IFERROR(VLOOKUP(DATA!#REF!,DATA!#REF!,1,FALSE),"")</f>
        <v/>
      </c>
      <c r="D4873" s="16" t="str">
        <f>IFERROR(VLOOKUP(C4873,DATA!#REF!,2,FALSE),"")</f>
        <v/>
      </c>
      <c r="I4873" s="17"/>
      <c r="J4873" s="17"/>
      <c r="P4873" s="17"/>
      <c r="Q4873" s="17"/>
    </row>
    <row r="4874" spans="2:17">
      <c r="B4874" s="17"/>
      <c r="C4874" s="16" t="str">
        <f>IFERROR(VLOOKUP(DATA!#REF!,DATA!#REF!,1,FALSE),"")</f>
        <v/>
      </c>
      <c r="D4874" s="16" t="str">
        <f>IFERROR(VLOOKUP(C4874,DATA!#REF!,2,FALSE),"")</f>
        <v/>
      </c>
      <c r="I4874" s="17"/>
      <c r="J4874" s="17"/>
      <c r="P4874" s="17"/>
      <c r="Q4874" s="17"/>
    </row>
    <row r="4875" spans="2:17">
      <c r="B4875" s="17"/>
      <c r="C4875" s="16" t="str">
        <f>IFERROR(VLOOKUP(DATA!#REF!,DATA!#REF!,1,FALSE),"")</f>
        <v/>
      </c>
      <c r="D4875" s="16" t="str">
        <f>IFERROR(VLOOKUP(C4875,DATA!#REF!,2,FALSE),"")</f>
        <v/>
      </c>
      <c r="I4875" s="17"/>
      <c r="J4875" s="17"/>
      <c r="P4875" s="17"/>
      <c r="Q4875" s="17"/>
    </row>
    <row r="4876" spans="2:17">
      <c r="B4876" s="17"/>
      <c r="C4876" s="16" t="str">
        <f>IFERROR(VLOOKUP(DATA!#REF!,DATA!#REF!,1,FALSE),"")</f>
        <v/>
      </c>
      <c r="D4876" s="16" t="str">
        <f>IFERROR(VLOOKUP(C4876,DATA!#REF!,2,FALSE),"")</f>
        <v/>
      </c>
      <c r="I4876" s="17"/>
      <c r="J4876" s="17"/>
      <c r="P4876" s="17"/>
      <c r="Q4876" s="17"/>
    </row>
    <row r="4877" spans="2:17">
      <c r="B4877" s="17"/>
      <c r="C4877" s="16" t="str">
        <f>IFERROR(VLOOKUP(DATA!#REF!,DATA!#REF!,1,FALSE),"")</f>
        <v/>
      </c>
      <c r="D4877" s="16" t="str">
        <f>IFERROR(VLOOKUP(C4877,DATA!#REF!,2,FALSE),"")</f>
        <v/>
      </c>
      <c r="I4877" s="17"/>
      <c r="J4877" s="17"/>
      <c r="P4877" s="17"/>
      <c r="Q4877" s="17"/>
    </row>
    <row r="4878" spans="2:17">
      <c r="B4878" s="17"/>
      <c r="C4878" s="16" t="str">
        <f>IFERROR(VLOOKUP(DATA!#REF!,DATA!#REF!,1,FALSE),"")</f>
        <v/>
      </c>
      <c r="D4878" s="16" t="str">
        <f>IFERROR(VLOOKUP(C4878,DATA!#REF!,2,FALSE),"")</f>
        <v/>
      </c>
      <c r="I4878" s="17"/>
      <c r="J4878" s="17"/>
      <c r="P4878" s="17"/>
      <c r="Q4878" s="17"/>
    </row>
    <row r="4879" spans="2:17">
      <c r="B4879" s="17"/>
      <c r="C4879" s="16" t="str">
        <f>IFERROR(VLOOKUP(DATA!#REF!,DATA!#REF!,1,FALSE),"")</f>
        <v/>
      </c>
      <c r="D4879" s="16" t="str">
        <f>IFERROR(VLOOKUP(C4879,DATA!#REF!,2,FALSE),"")</f>
        <v/>
      </c>
      <c r="I4879" s="17"/>
      <c r="J4879" s="17"/>
      <c r="P4879" s="17"/>
      <c r="Q4879" s="17"/>
    </row>
    <row r="4880" spans="2:17">
      <c r="B4880" s="17"/>
      <c r="C4880" s="16" t="str">
        <f>IFERROR(VLOOKUP(DATA!#REF!,DATA!#REF!,1,FALSE),"")</f>
        <v/>
      </c>
      <c r="D4880" s="16" t="str">
        <f>IFERROR(VLOOKUP(C4880,DATA!#REF!,2,FALSE),"")</f>
        <v/>
      </c>
      <c r="I4880" s="17"/>
      <c r="J4880" s="17"/>
      <c r="P4880" s="17"/>
      <c r="Q4880" s="17"/>
    </row>
    <row r="4881" spans="2:17">
      <c r="B4881" s="17"/>
      <c r="C4881" s="16" t="str">
        <f>IFERROR(VLOOKUP(DATA!#REF!,DATA!#REF!,1,FALSE),"")</f>
        <v/>
      </c>
      <c r="D4881" s="16" t="str">
        <f>IFERROR(VLOOKUP(C4881,DATA!#REF!,2,FALSE),"")</f>
        <v/>
      </c>
      <c r="I4881" s="17"/>
      <c r="J4881" s="17"/>
      <c r="P4881" s="17"/>
      <c r="Q4881" s="17"/>
    </row>
    <row r="4882" spans="2:17">
      <c r="B4882" s="17"/>
      <c r="C4882" s="16" t="str">
        <f>IFERROR(VLOOKUP(DATA!#REF!,DATA!#REF!,1,FALSE),"")</f>
        <v/>
      </c>
      <c r="D4882" s="16" t="str">
        <f>IFERROR(VLOOKUP(C4882,DATA!#REF!,2,FALSE),"")</f>
        <v/>
      </c>
      <c r="I4882" s="17"/>
      <c r="J4882" s="17"/>
      <c r="P4882" s="17"/>
      <c r="Q4882" s="17"/>
    </row>
    <row r="4883" spans="2:17">
      <c r="B4883" s="17"/>
      <c r="C4883" s="16" t="str">
        <f>IFERROR(VLOOKUP(DATA!#REF!,DATA!#REF!,1,FALSE),"")</f>
        <v/>
      </c>
      <c r="D4883" s="16" t="str">
        <f>IFERROR(VLOOKUP(C4883,DATA!#REF!,2,FALSE),"")</f>
        <v/>
      </c>
      <c r="I4883" s="17"/>
      <c r="J4883" s="17"/>
      <c r="P4883" s="17"/>
      <c r="Q4883" s="17"/>
    </row>
    <row r="4884" spans="2:17">
      <c r="B4884" s="17"/>
      <c r="C4884" s="16" t="str">
        <f>IFERROR(VLOOKUP(DATA!#REF!,DATA!#REF!,1,FALSE),"")</f>
        <v/>
      </c>
      <c r="D4884" s="16" t="str">
        <f>IFERROR(VLOOKUP(C4884,DATA!#REF!,2,FALSE),"")</f>
        <v/>
      </c>
      <c r="I4884" s="17"/>
      <c r="J4884" s="17"/>
      <c r="P4884" s="17"/>
      <c r="Q4884" s="17"/>
    </row>
    <row r="4885" spans="2:17">
      <c r="B4885" s="17"/>
      <c r="C4885" s="16" t="str">
        <f>IFERROR(VLOOKUP(DATA!#REF!,DATA!#REF!,1,FALSE),"")</f>
        <v/>
      </c>
      <c r="D4885" s="16" t="str">
        <f>IFERROR(VLOOKUP(C4885,DATA!#REF!,2,FALSE),"")</f>
        <v/>
      </c>
      <c r="I4885" s="17"/>
      <c r="J4885" s="17"/>
      <c r="P4885" s="17"/>
      <c r="Q4885" s="17"/>
    </row>
    <row r="4886" spans="2:17">
      <c r="B4886" s="17"/>
      <c r="C4886" s="16" t="str">
        <f>IFERROR(VLOOKUP(DATA!#REF!,DATA!#REF!,1,FALSE),"")</f>
        <v/>
      </c>
      <c r="D4886" s="16" t="str">
        <f>IFERROR(VLOOKUP(C4886,DATA!#REF!,2,FALSE),"")</f>
        <v/>
      </c>
      <c r="I4886" s="17"/>
      <c r="J4886" s="17"/>
      <c r="P4886" s="17"/>
      <c r="Q4886" s="17"/>
    </row>
    <row r="4887" spans="2:17">
      <c r="B4887" s="17"/>
      <c r="C4887" s="16" t="str">
        <f>IFERROR(VLOOKUP(DATA!#REF!,DATA!#REF!,1,FALSE),"")</f>
        <v/>
      </c>
      <c r="D4887" s="16" t="str">
        <f>IFERROR(VLOOKUP(C4887,DATA!#REF!,2,FALSE),"")</f>
        <v/>
      </c>
      <c r="I4887" s="17"/>
      <c r="J4887" s="17"/>
      <c r="P4887" s="17"/>
      <c r="Q4887" s="17"/>
    </row>
    <row r="4888" spans="2:17">
      <c r="B4888" s="17"/>
      <c r="C4888" s="16" t="str">
        <f>IFERROR(VLOOKUP(DATA!#REF!,DATA!#REF!,1,FALSE),"")</f>
        <v/>
      </c>
      <c r="D4888" s="16" t="str">
        <f>IFERROR(VLOOKUP(C4888,DATA!#REF!,2,FALSE),"")</f>
        <v/>
      </c>
      <c r="I4888" s="17"/>
      <c r="J4888" s="17"/>
      <c r="P4888" s="17"/>
      <c r="Q4888" s="17"/>
    </row>
    <row r="4889" spans="2:17">
      <c r="B4889" s="17"/>
      <c r="C4889" s="16" t="str">
        <f>IFERROR(VLOOKUP(DATA!#REF!,DATA!#REF!,1,FALSE),"")</f>
        <v/>
      </c>
      <c r="D4889" s="16" t="str">
        <f>IFERROR(VLOOKUP(C4889,DATA!#REF!,2,FALSE),"")</f>
        <v/>
      </c>
      <c r="I4889" s="17"/>
      <c r="J4889" s="17"/>
      <c r="P4889" s="17"/>
      <c r="Q4889" s="17"/>
    </row>
    <row r="4890" spans="2:17">
      <c r="B4890" s="17"/>
      <c r="C4890" s="16" t="str">
        <f>IFERROR(VLOOKUP(DATA!#REF!,DATA!#REF!,1,FALSE),"")</f>
        <v/>
      </c>
      <c r="D4890" s="16" t="str">
        <f>IFERROR(VLOOKUP(C4890,DATA!#REF!,2,FALSE),"")</f>
        <v/>
      </c>
      <c r="I4890" s="17"/>
      <c r="J4890" s="17"/>
      <c r="P4890" s="17"/>
      <c r="Q4890" s="17"/>
    </row>
    <row r="4891" spans="2:17">
      <c r="B4891" s="17"/>
      <c r="C4891" s="16" t="str">
        <f>IFERROR(VLOOKUP(DATA!#REF!,DATA!#REF!,1,FALSE),"")</f>
        <v/>
      </c>
      <c r="D4891" s="16" t="str">
        <f>IFERROR(VLOOKUP(C4891,DATA!#REF!,2,FALSE),"")</f>
        <v/>
      </c>
      <c r="I4891" s="17"/>
      <c r="J4891" s="17"/>
      <c r="P4891" s="17"/>
      <c r="Q4891" s="17"/>
    </row>
    <row r="4892" spans="2:17">
      <c r="B4892" s="17"/>
      <c r="C4892" s="16" t="str">
        <f>IFERROR(VLOOKUP(DATA!#REF!,DATA!#REF!,1,FALSE),"")</f>
        <v/>
      </c>
      <c r="D4892" s="16" t="str">
        <f>IFERROR(VLOOKUP(C4892,DATA!#REF!,2,FALSE),"")</f>
        <v/>
      </c>
      <c r="I4892" s="17"/>
      <c r="J4892" s="17"/>
      <c r="P4892" s="17"/>
      <c r="Q4892" s="17"/>
    </row>
    <row r="4893" spans="2:17">
      <c r="B4893" s="17"/>
      <c r="C4893" s="16" t="str">
        <f>IFERROR(VLOOKUP(DATA!#REF!,DATA!#REF!,1,FALSE),"")</f>
        <v/>
      </c>
      <c r="D4893" s="16" t="str">
        <f>IFERROR(VLOOKUP(C4893,DATA!#REF!,2,FALSE),"")</f>
        <v/>
      </c>
      <c r="I4893" s="17"/>
      <c r="J4893" s="17"/>
      <c r="P4893" s="17"/>
      <c r="Q4893" s="17"/>
    </row>
    <row r="4894" spans="2:17">
      <c r="B4894" s="17"/>
      <c r="C4894" s="16" t="str">
        <f>IFERROR(VLOOKUP(DATA!#REF!,DATA!#REF!,1,FALSE),"")</f>
        <v/>
      </c>
      <c r="D4894" s="16" t="str">
        <f>IFERROR(VLOOKUP(C4894,DATA!#REF!,2,FALSE),"")</f>
        <v/>
      </c>
      <c r="I4894" s="17"/>
      <c r="J4894" s="17"/>
      <c r="P4894" s="17"/>
      <c r="Q4894" s="17"/>
    </row>
    <row r="4895" spans="2:17">
      <c r="B4895" s="17"/>
      <c r="C4895" s="16" t="str">
        <f>IFERROR(VLOOKUP(DATA!#REF!,DATA!#REF!,1,FALSE),"")</f>
        <v/>
      </c>
      <c r="D4895" s="16" t="str">
        <f>IFERROR(VLOOKUP(C4895,DATA!#REF!,2,FALSE),"")</f>
        <v/>
      </c>
      <c r="I4895" s="17"/>
      <c r="J4895" s="17"/>
      <c r="P4895" s="17"/>
      <c r="Q4895" s="17"/>
    </row>
    <row r="4896" spans="2:17">
      <c r="B4896" s="17"/>
      <c r="C4896" s="16" t="str">
        <f>IFERROR(VLOOKUP(DATA!#REF!,DATA!#REF!,1,FALSE),"")</f>
        <v/>
      </c>
      <c r="D4896" s="16" t="str">
        <f>IFERROR(VLOOKUP(C4896,DATA!#REF!,2,FALSE),"")</f>
        <v/>
      </c>
      <c r="I4896" s="17"/>
      <c r="J4896" s="17"/>
      <c r="P4896" s="17"/>
      <c r="Q4896" s="17"/>
    </row>
    <row r="4897" spans="2:17">
      <c r="B4897" s="17"/>
      <c r="C4897" s="16" t="str">
        <f>IFERROR(VLOOKUP(DATA!#REF!,DATA!#REF!,1,FALSE),"")</f>
        <v/>
      </c>
      <c r="D4897" s="16" t="str">
        <f>IFERROR(VLOOKUP(C4897,DATA!#REF!,2,FALSE),"")</f>
        <v/>
      </c>
      <c r="I4897" s="17"/>
      <c r="J4897" s="17"/>
      <c r="P4897" s="17"/>
      <c r="Q4897" s="17"/>
    </row>
    <row r="4898" spans="2:17">
      <c r="B4898" s="17"/>
      <c r="C4898" s="16" t="str">
        <f>IFERROR(VLOOKUP(DATA!#REF!,DATA!#REF!,1,FALSE),"")</f>
        <v/>
      </c>
      <c r="D4898" s="16" t="str">
        <f>IFERROR(VLOOKUP(C4898,DATA!#REF!,2,FALSE),"")</f>
        <v/>
      </c>
      <c r="I4898" s="17"/>
      <c r="J4898" s="17"/>
      <c r="P4898" s="17"/>
      <c r="Q4898" s="17"/>
    </row>
    <row r="4899" spans="2:17">
      <c r="B4899" s="17"/>
      <c r="C4899" s="16" t="str">
        <f>IFERROR(VLOOKUP(DATA!#REF!,DATA!#REF!,1,FALSE),"")</f>
        <v/>
      </c>
      <c r="D4899" s="16" t="str">
        <f>IFERROR(VLOOKUP(C4899,DATA!#REF!,2,FALSE),"")</f>
        <v/>
      </c>
      <c r="I4899" s="17"/>
      <c r="J4899" s="17"/>
      <c r="P4899" s="17"/>
      <c r="Q4899" s="17"/>
    </row>
    <row r="4900" spans="2:17">
      <c r="B4900" s="17"/>
      <c r="C4900" s="16" t="str">
        <f>IFERROR(VLOOKUP(DATA!#REF!,DATA!#REF!,1,FALSE),"")</f>
        <v/>
      </c>
      <c r="D4900" s="16" t="str">
        <f>IFERROR(VLOOKUP(C4900,DATA!#REF!,2,FALSE),"")</f>
        <v/>
      </c>
      <c r="I4900" s="17"/>
      <c r="J4900" s="17"/>
      <c r="P4900" s="17"/>
      <c r="Q4900" s="17"/>
    </row>
    <row r="4901" spans="2:17">
      <c r="B4901" s="17"/>
      <c r="C4901" s="16" t="str">
        <f>IFERROR(VLOOKUP(DATA!#REF!,DATA!#REF!,1,FALSE),"")</f>
        <v/>
      </c>
      <c r="D4901" s="16" t="str">
        <f>IFERROR(VLOOKUP(C4901,DATA!#REF!,2,FALSE),"")</f>
        <v/>
      </c>
      <c r="I4901" s="17"/>
      <c r="J4901" s="17"/>
      <c r="P4901" s="17"/>
      <c r="Q4901" s="17"/>
    </row>
    <row r="4902" spans="2:17">
      <c r="B4902" s="17"/>
      <c r="C4902" s="16" t="str">
        <f>IFERROR(VLOOKUP(DATA!#REF!,DATA!#REF!,1,FALSE),"")</f>
        <v/>
      </c>
      <c r="D4902" s="16" t="str">
        <f>IFERROR(VLOOKUP(C4902,DATA!#REF!,2,FALSE),"")</f>
        <v/>
      </c>
      <c r="I4902" s="17"/>
      <c r="J4902" s="17"/>
      <c r="P4902" s="17"/>
      <c r="Q4902" s="17"/>
    </row>
    <row r="4903" spans="2:17">
      <c r="B4903" s="17"/>
      <c r="C4903" s="16" t="str">
        <f>IFERROR(VLOOKUP(DATA!#REF!,DATA!#REF!,1,FALSE),"")</f>
        <v/>
      </c>
      <c r="D4903" s="16" t="str">
        <f>IFERROR(VLOOKUP(C4903,DATA!#REF!,2,FALSE),"")</f>
        <v/>
      </c>
      <c r="I4903" s="17"/>
      <c r="J4903" s="17"/>
      <c r="P4903" s="17"/>
      <c r="Q4903" s="17"/>
    </row>
    <row r="4904" spans="2:17">
      <c r="B4904" s="17"/>
      <c r="C4904" s="16" t="str">
        <f>IFERROR(VLOOKUP(DATA!#REF!,DATA!#REF!,1,FALSE),"")</f>
        <v/>
      </c>
      <c r="D4904" s="16" t="str">
        <f>IFERROR(VLOOKUP(C4904,DATA!#REF!,2,FALSE),"")</f>
        <v/>
      </c>
      <c r="I4904" s="17"/>
      <c r="J4904" s="17"/>
      <c r="P4904" s="17"/>
      <c r="Q4904" s="17"/>
    </row>
    <row r="4905" spans="2:17">
      <c r="B4905" s="17"/>
      <c r="C4905" s="16" t="str">
        <f>IFERROR(VLOOKUP(DATA!#REF!,DATA!#REF!,1,FALSE),"")</f>
        <v/>
      </c>
      <c r="D4905" s="16" t="str">
        <f>IFERROR(VLOOKUP(C4905,DATA!#REF!,2,FALSE),"")</f>
        <v/>
      </c>
      <c r="I4905" s="17"/>
      <c r="J4905" s="17"/>
      <c r="P4905" s="17"/>
      <c r="Q4905" s="17"/>
    </row>
    <row r="4906" spans="2:17">
      <c r="B4906" s="17"/>
      <c r="C4906" s="16" t="str">
        <f>IFERROR(VLOOKUP(DATA!#REF!,DATA!#REF!,1,FALSE),"")</f>
        <v/>
      </c>
      <c r="D4906" s="16" t="str">
        <f>IFERROR(VLOOKUP(C4906,DATA!#REF!,2,FALSE),"")</f>
        <v/>
      </c>
      <c r="I4906" s="17"/>
      <c r="J4906" s="17"/>
      <c r="P4906" s="17"/>
      <c r="Q4906" s="17"/>
    </row>
    <row r="4907" spans="2:17">
      <c r="B4907" s="17"/>
      <c r="C4907" s="16" t="str">
        <f>IFERROR(VLOOKUP(DATA!#REF!,DATA!#REF!,1,FALSE),"")</f>
        <v/>
      </c>
      <c r="D4907" s="16" t="str">
        <f>IFERROR(VLOOKUP(C4907,DATA!#REF!,2,FALSE),"")</f>
        <v/>
      </c>
      <c r="I4907" s="17"/>
      <c r="J4907" s="17"/>
      <c r="P4907" s="17"/>
      <c r="Q4907" s="17"/>
    </row>
    <row r="4908" spans="2:17">
      <c r="B4908" s="17"/>
      <c r="C4908" s="16" t="str">
        <f>IFERROR(VLOOKUP(DATA!#REF!,DATA!#REF!,1,FALSE),"")</f>
        <v/>
      </c>
      <c r="D4908" s="16" t="str">
        <f>IFERROR(VLOOKUP(C4908,DATA!#REF!,2,FALSE),"")</f>
        <v/>
      </c>
      <c r="I4908" s="17"/>
      <c r="J4908" s="17"/>
      <c r="P4908" s="17"/>
      <c r="Q4908" s="17"/>
    </row>
    <row r="4909" spans="2:17">
      <c r="B4909" s="17"/>
      <c r="C4909" s="16" t="str">
        <f>IFERROR(VLOOKUP(DATA!#REF!,DATA!#REF!,1,FALSE),"")</f>
        <v/>
      </c>
      <c r="D4909" s="16" t="str">
        <f>IFERROR(VLOOKUP(C4909,DATA!#REF!,2,FALSE),"")</f>
        <v/>
      </c>
      <c r="I4909" s="17"/>
      <c r="J4909" s="17"/>
      <c r="P4909" s="17"/>
      <c r="Q4909" s="17"/>
    </row>
    <row r="4910" spans="2:17">
      <c r="B4910" s="17"/>
      <c r="C4910" s="16" t="str">
        <f>IFERROR(VLOOKUP(DATA!#REF!,DATA!#REF!,1,FALSE),"")</f>
        <v/>
      </c>
      <c r="D4910" s="16" t="str">
        <f>IFERROR(VLOOKUP(C4910,DATA!#REF!,2,FALSE),"")</f>
        <v/>
      </c>
      <c r="I4910" s="17"/>
      <c r="J4910" s="17"/>
      <c r="P4910" s="17"/>
      <c r="Q4910" s="17"/>
    </row>
    <row r="4911" spans="2:17">
      <c r="B4911" s="17"/>
      <c r="C4911" s="16" t="str">
        <f>IFERROR(VLOOKUP(DATA!#REF!,DATA!#REF!,1,FALSE),"")</f>
        <v/>
      </c>
      <c r="D4911" s="16" t="str">
        <f>IFERROR(VLOOKUP(C4911,DATA!#REF!,2,FALSE),"")</f>
        <v/>
      </c>
      <c r="I4911" s="17"/>
      <c r="J4911" s="17"/>
      <c r="P4911" s="17"/>
      <c r="Q4911" s="17"/>
    </row>
    <row r="4912" spans="2:17">
      <c r="B4912" s="17"/>
      <c r="C4912" s="16" t="str">
        <f>IFERROR(VLOOKUP(DATA!#REF!,DATA!#REF!,1,FALSE),"")</f>
        <v/>
      </c>
      <c r="D4912" s="16" t="str">
        <f>IFERROR(VLOOKUP(C4912,DATA!#REF!,2,FALSE),"")</f>
        <v/>
      </c>
      <c r="I4912" s="17"/>
      <c r="J4912" s="17"/>
      <c r="P4912" s="17"/>
      <c r="Q4912" s="17"/>
    </row>
    <row r="4913" spans="2:17">
      <c r="B4913" s="17"/>
      <c r="C4913" s="16" t="str">
        <f>IFERROR(VLOOKUP(DATA!#REF!,DATA!#REF!,1,FALSE),"")</f>
        <v/>
      </c>
      <c r="D4913" s="16" t="str">
        <f>IFERROR(VLOOKUP(C4913,DATA!#REF!,2,FALSE),"")</f>
        <v/>
      </c>
      <c r="I4913" s="17"/>
      <c r="J4913" s="17"/>
      <c r="P4913" s="17"/>
      <c r="Q4913" s="17"/>
    </row>
    <row r="4914" spans="2:17">
      <c r="B4914" s="17"/>
      <c r="C4914" s="16" t="str">
        <f>IFERROR(VLOOKUP(DATA!#REF!,DATA!#REF!,1,FALSE),"")</f>
        <v/>
      </c>
      <c r="D4914" s="16" t="str">
        <f>IFERROR(VLOOKUP(C4914,DATA!#REF!,2,FALSE),"")</f>
        <v/>
      </c>
      <c r="I4914" s="17"/>
      <c r="J4914" s="17"/>
      <c r="P4914" s="17"/>
      <c r="Q4914" s="17"/>
    </row>
    <row r="4915" spans="2:17">
      <c r="B4915" s="17"/>
      <c r="C4915" s="16" t="str">
        <f>IFERROR(VLOOKUP(DATA!#REF!,DATA!#REF!,1,FALSE),"")</f>
        <v/>
      </c>
      <c r="D4915" s="16" t="str">
        <f>IFERROR(VLOOKUP(C4915,DATA!#REF!,2,FALSE),"")</f>
        <v/>
      </c>
      <c r="I4915" s="17"/>
      <c r="J4915" s="17"/>
      <c r="P4915" s="17"/>
      <c r="Q4915" s="17"/>
    </row>
    <row r="4916" spans="2:17">
      <c r="B4916" s="17"/>
      <c r="C4916" s="16" t="str">
        <f>IFERROR(VLOOKUP(DATA!#REF!,DATA!#REF!,1,FALSE),"")</f>
        <v/>
      </c>
      <c r="D4916" s="16" t="str">
        <f>IFERROR(VLOOKUP(C4916,DATA!#REF!,2,FALSE),"")</f>
        <v/>
      </c>
      <c r="I4916" s="17"/>
      <c r="J4916" s="17"/>
      <c r="P4916" s="17"/>
      <c r="Q4916" s="17"/>
    </row>
    <row r="4917" spans="2:17">
      <c r="B4917" s="17"/>
      <c r="C4917" s="16" t="str">
        <f>IFERROR(VLOOKUP(DATA!#REF!,DATA!#REF!,1,FALSE),"")</f>
        <v/>
      </c>
      <c r="D4917" s="16" t="str">
        <f>IFERROR(VLOOKUP(C4917,DATA!#REF!,2,FALSE),"")</f>
        <v/>
      </c>
      <c r="I4917" s="17"/>
      <c r="J4917" s="17"/>
      <c r="P4917" s="17"/>
      <c r="Q4917" s="17"/>
    </row>
    <row r="4918" spans="2:17">
      <c r="B4918" s="17"/>
      <c r="C4918" s="16" t="str">
        <f>IFERROR(VLOOKUP(DATA!#REF!,DATA!#REF!,1,FALSE),"")</f>
        <v/>
      </c>
      <c r="D4918" s="16" t="str">
        <f>IFERROR(VLOOKUP(C4918,DATA!#REF!,2,FALSE),"")</f>
        <v/>
      </c>
      <c r="I4918" s="17"/>
      <c r="J4918" s="17"/>
      <c r="P4918" s="17"/>
      <c r="Q4918" s="17"/>
    </row>
    <row r="4919" spans="2:17">
      <c r="B4919" s="17"/>
      <c r="C4919" s="16" t="str">
        <f>IFERROR(VLOOKUP(DATA!#REF!,DATA!#REF!,1,FALSE),"")</f>
        <v/>
      </c>
      <c r="D4919" s="16" t="str">
        <f>IFERROR(VLOOKUP(C4919,DATA!#REF!,2,FALSE),"")</f>
        <v/>
      </c>
      <c r="I4919" s="17"/>
      <c r="J4919" s="17"/>
      <c r="P4919" s="17"/>
      <c r="Q4919" s="17"/>
    </row>
    <row r="4920" spans="2:17">
      <c r="B4920" s="17"/>
      <c r="C4920" s="16" t="str">
        <f>IFERROR(VLOOKUP(DATA!#REF!,DATA!#REF!,1,FALSE),"")</f>
        <v/>
      </c>
      <c r="D4920" s="16" t="str">
        <f>IFERROR(VLOOKUP(C4920,DATA!#REF!,2,FALSE),"")</f>
        <v/>
      </c>
      <c r="I4920" s="17"/>
      <c r="J4920" s="17"/>
      <c r="P4920" s="17"/>
      <c r="Q4920" s="17"/>
    </row>
    <row r="4921" spans="2:17">
      <c r="B4921" s="17"/>
      <c r="C4921" s="16" t="str">
        <f>IFERROR(VLOOKUP(DATA!#REF!,DATA!#REF!,1,FALSE),"")</f>
        <v/>
      </c>
      <c r="D4921" s="16" t="str">
        <f>IFERROR(VLOOKUP(C4921,DATA!#REF!,2,FALSE),"")</f>
        <v/>
      </c>
      <c r="I4921" s="17"/>
      <c r="J4921" s="17"/>
      <c r="P4921" s="17"/>
      <c r="Q4921" s="17"/>
    </row>
    <row r="4922" spans="2:17">
      <c r="B4922" s="17"/>
      <c r="C4922" s="16" t="str">
        <f>IFERROR(VLOOKUP(DATA!#REF!,DATA!#REF!,1,FALSE),"")</f>
        <v/>
      </c>
      <c r="D4922" s="16" t="str">
        <f>IFERROR(VLOOKUP(C4922,DATA!#REF!,2,FALSE),"")</f>
        <v/>
      </c>
      <c r="I4922" s="17"/>
      <c r="J4922" s="17"/>
      <c r="P4922" s="17"/>
      <c r="Q4922" s="17"/>
    </row>
    <row r="4923" spans="2:17">
      <c r="B4923" s="17"/>
      <c r="C4923" s="16" t="str">
        <f>IFERROR(VLOOKUP(DATA!#REF!,DATA!#REF!,1,FALSE),"")</f>
        <v/>
      </c>
      <c r="D4923" s="16" t="str">
        <f>IFERROR(VLOOKUP(C4923,DATA!#REF!,2,FALSE),"")</f>
        <v/>
      </c>
      <c r="I4923" s="17"/>
      <c r="J4923" s="17"/>
      <c r="P4923" s="17"/>
      <c r="Q4923" s="17"/>
    </row>
    <row r="4924" spans="2:17">
      <c r="B4924" s="17"/>
      <c r="C4924" s="16" t="str">
        <f>IFERROR(VLOOKUP(DATA!#REF!,DATA!#REF!,1,FALSE),"")</f>
        <v/>
      </c>
      <c r="D4924" s="16" t="str">
        <f>IFERROR(VLOOKUP(C4924,DATA!#REF!,2,FALSE),"")</f>
        <v/>
      </c>
      <c r="I4924" s="17"/>
      <c r="J4924" s="17"/>
      <c r="P4924" s="17"/>
      <c r="Q4924" s="17"/>
    </row>
    <row r="4925" spans="2:17">
      <c r="B4925" s="17"/>
      <c r="C4925" s="16" t="str">
        <f>IFERROR(VLOOKUP(DATA!#REF!,DATA!#REF!,1,FALSE),"")</f>
        <v/>
      </c>
      <c r="D4925" s="16" t="str">
        <f>IFERROR(VLOOKUP(C4925,DATA!#REF!,2,FALSE),"")</f>
        <v/>
      </c>
      <c r="I4925" s="17"/>
      <c r="J4925" s="17"/>
      <c r="P4925" s="17"/>
      <c r="Q4925" s="17"/>
    </row>
    <row r="4926" spans="2:17">
      <c r="B4926" s="17"/>
      <c r="C4926" s="16" t="str">
        <f>IFERROR(VLOOKUP(DATA!#REF!,DATA!#REF!,1,FALSE),"")</f>
        <v/>
      </c>
      <c r="D4926" s="16" t="str">
        <f>IFERROR(VLOOKUP(C4926,DATA!#REF!,2,FALSE),"")</f>
        <v/>
      </c>
      <c r="I4926" s="17"/>
      <c r="J4926" s="17"/>
      <c r="P4926" s="17"/>
      <c r="Q4926" s="17"/>
    </row>
    <row r="4927" spans="2:17">
      <c r="B4927" s="17"/>
      <c r="C4927" s="16" t="str">
        <f>IFERROR(VLOOKUP(DATA!#REF!,DATA!#REF!,1,FALSE),"")</f>
        <v/>
      </c>
      <c r="D4927" s="16" t="str">
        <f>IFERROR(VLOOKUP(C4927,DATA!#REF!,2,FALSE),"")</f>
        <v/>
      </c>
      <c r="I4927" s="17"/>
      <c r="J4927" s="17"/>
      <c r="P4927" s="17"/>
      <c r="Q4927" s="17"/>
    </row>
    <row r="4928" spans="2:17">
      <c r="B4928" s="17"/>
      <c r="C4928" s="16" t="str">
        <f>IFERROR(VLOOKUP(DATA!#REF!,DATA!#REF!,1,FALSE),"")</f>
        <v/>
      </c>
      <c r="D4928" s="16" t="str">
        <f>IFERROR(VLOOKUP(C4928,DATA!#REF!,2,FALSE),"")</f>
        <v/>
      </c>
      <c r="I4928" s="17"/>
      <c r="J4928" s="17"/>
      <c r="P4928" s="17"/>
      <c r="Q4928" s="17"/>
    </row>
    <row r="4929" spans="2:17">
      <c r="B4929" s="17"/>
      <c r="C4929" s="16" t="str">
        <f>IFERROR(VLOOKUP(DATA!#REF!,DATA!#REF!,1,FALSE),"")</f>
        <v/>
      </c>
      <c r="D4929" s="16" t="str">
        <f>IFERROR(VLOOKUP(C4929,DATA!#REF!,2,FALSE),"")</f>
        <v/>
      </c>
      <c r="I4929" s="17"/>
      <c r="J4929" s="17"/>
      <c r="P4929" s="17"/>
      <c r="Q4929" s="17"/>
    </row>
    <row r="4930" spans="2:17">
      <c r="B4930" s="17"/>
      <c r="C4930" s="16" t="str">
        <f>IFERROR(VLOOKUP(DATA!#REF!,DATA!#REF!,1,FALSE),"")</f>
        <v/>
      </c>
      <c r="D4930" s="16" t="str">
        <f>IFERROR(VLOOKUP(C4930,DATA!#REF!,2,FALSE),"")</f>
        <v/>
      </c>
      <c r="I4930" s="17"/>
      <c r="J4930" s="17"/>
      <c r="P4930" s="17"/>
      <c r="Q4930" s="17"/>
    </row>
    <row r="4931" spans="2:17">
      <c r="B4931" s="17"/>
      <c r="C4931" s="16" t="str">
        <f>IFERROR(VLOOKUP(DATA!#REF!,DATA!#REF!,1,FALSE),"")</f>
        <v/>
      </c>
      <c r="D4931" s="16" t="str">
        <f>IFERROR(VLOOKUP(C4931,DATA!#REF!,2,FALSE),"")</f>
        <v/>
      </c>
      <c r="I4931" s="17"/>
      <c r="J4931" s="17"/>
      <c r="P4931" s="17"/>
      <c r="Q4931" s="17"/>
    </row>
    <row r="4932" spans="2:17">
      <c r="B4932" s="17"/>
      <c r="C4932" s="16" t="str">
        <f>IFERROR(VLOOKUP(DATA!#REF!,DATA!#REF!,1,FALSE),"")</f>
        <v/>
      </c>
      <c r="D4932" s="16" t="str">
        <f>IFERROR(VLOOKUP(C4932,DATA!#REF!,2,FALSE),"")</f>
        <v/>
      </c>
      <c r="I4932" s="17"/>
      <c r="J4932" s="17"/>
      <c r="P4932" s="17"/>
      <c r="Q4932" s="17"/>
    </row>
    <row r="4933" spans="2:17">
      <c r="B4933" s="17"/>
      <c r="C4933" s="16" t="str">
        <f>IFERROR(VLOOKUP(DATA!#REF!,DATA!#REF!,1,FALSE),"")</f>
        <v/>
      </c>
      <c r="D4933" s="16" t="str">
        <f>IFERROR(VLOOKUP(C4933,DATA!#REF!,2,FALSE),"")</f>
        <v/>
      </c>
      <c r="I4933" s="17"/>
      <c r="J4933" s="17"/>
      <c r="P4933" s="17"/>
      <c r="Q4933" s="17"/>
    </row>
    <row r="4934" spans="2:17">
      <c r="B4934" s="17"/>
      <c r="C4934" s="16" t="str">
        <f>IFERROR(VLOOKUP(DATA!#REF!,DATA!#REF!,1,FALSE),"")</f>
        <v/>
      </c>
      <c r="D4934" s="16" t="str">
        <f>IFERROR(VLOOKUP(C4934,DATA!#REF!,2,FALSE),"")</f>
        <v/>
      </c>
      <c r="I4934" s="17"/>
      <c r="J4934" s="17"/>
      <c r="P4934" s="17"/>
      <c r="Q4934" s="17"/>
    </row>
    <row r="4935" spans="2:17">
      <c r="B4935" s="17"/>
      <c r="C4935" s="16" t="str">
        <f>IFERROR(VLOOKUP(DATA!#REF!,DATA!#REF!,1,FALSE),"")</f>
        <v/>
      </c>
      <c r="D4935" s="16" t="str">
        <f>IFERROR(VLOOKUP(C4935,DATA!#REF!,2,FALSE),"")</f>
        <v/>
      </c>
      <c r="I4935" s="17"/>
      <c r="J4935" s="17"/>
      <c r="P4935" s="17"/>
      <c r="Q4935" s="17"/>
    </row>
    <row r="4936" spans="2:17">
      <c r="B4936" s="17"/>
      <c r="C4936" s="16" t="str">
        <f>IFERROR(VLOOKUP(DATA!#REF!,DATA!#REF!,1,FALSE),"")</f>
        <v/>
      </c>
      <c r="D4936" s="16" t="str">
        <f>IFERROR(VLOOKUP(C4936,DATA!#REF!,2,FALSE),"")</f>
        <v/>
      </c>
      <c r="I4936" s="17"/>
      <c r="J4936" s="17"/>
      <c r="P4936" s="17"/>
      <c r="Q4936" s="17"/>
    </row>
    <row r="4937" spans="2:17">
      <c r="B4937" s="17"/>
      <c r="C4937" s="16" t="str">
        <f>IFERROR(VLOOKUP(DATA!#REF!,DATA!#REF!,1,FALSE),"")</f>
        <v/>
      </c>
      <c r="D4937" s="16" t="str">
        <f>IFERROR(VLOOKUP(C4937,DATA!#REF!,2,FALSE),"")</f>
        <v/>
      </c>
      <c r="I4937" s="17"/>
      <c r="J4937" s="17"/>
      <c r="P4937" s="17"/>
      <c r="Q4937" s="17"/>
    </row>
    <row r="4938" spans="2:17">
      <c r="B4938" s="17"/>
      <c r="C4938" s="16" t="str">
        <f>IFERROR(VLOOKUP(DATA!#REF!,DATA!#REF!,1,FALSE),"")</f>
        <v/>
      </c>
      <c r="D4938" s="16" t="str">
        <f>IFERROR(VLOOKUP(C4938,DATA!#REF!,2,FALSE),"")</f>
        <v/>
      </c>
      <c r="I4938" s="17"/>
      <c r="J4938" s="17"/>
      <c r="P4938" s="17"/>
      <c r="Q4938" s="17"/>
    </row>
    <row r="4939" spans="2:17">
      <c r="B4939" s="17"/>
      <c r="C4939" s="16" t="str">
        <f>IFERROR(VLOOKUP(DATA!#REF!,DATA!#REF!,1,FALSE),"")</f>
        <v/>
      </c>
      <c r="D4939" s="16" t="str">
        <f>IFERROR(VLOOKUP(C4939,DATA!#REF!,2,FALSE),"")</f>
        <v/>
      </c>
      <c r="I4939" s="17"/>
      <c r="J4939" s="17"/>
      <c r="P4939" s="17"/>
      <c r="Q4939" s="17"/>
    </row>
    <row r="4940" spans="2:17">
      <c r="B4940" s="17"/>
      <c r="C4940" s="16" t="str">
        <f>IFERROR(VLOOKUP(DATA!#REF!,DATA!#REF!,1,FALSE),"")</f>
        <v/>
      </c>
      <c r="D4940" s="16" t="str">
        <f>IFERROR(VLOOKUP(C4940,DATA!#REF!,2,FALSE),"")</f>
        <v/>
      </c>
      <c r="I4940" s="17"/>
      <c r="J4940" s="17"/>
      <c r="P4940" s="17"/>
      <c r="Q4940" s="17"/>
    </row>
    <row r="4941" spans="2:17">
      <c r="B4941" s="17"/>
      <c r="C4941" s="16" t="str">
        <f>IFERROR(VLOOKUP(DATA!#REF!,DATA!#REF!,1,FALSE),"")</f>
        <v/>
      </c>
      <c r="D4941" s="16" t="str">
        <f>IFERROR(VLOOKUP(C4941,DATA!#REF!,2,FALSE),"")</f>
        <v/>
      </c>
      <c r="I4941" s="17"/>
      <c r="J4941" s="17"/>
      <c r="P4941" s="17"/>
      <c r="Q4941" s="17"/>
    </row>
    <row r="4942" spans="2:17">
      <c r="B4942" s="17"/>
      <c r="C4942" s="16" t="str">
        <f>IFERROR(VLOOKUP(DATA!#REF!,DATA!#REF!,1,FALSE),"")</f>
        <v/>
      </c>
      <c r="D4942" s="16" t="str">
        <f>IFERROR(VLOOKUP(C4942,DATA!#REF!,2,FALSE),"")</f>
        <v/>
      </c>
      <c r="I4942" s="17"/>
      <c r="J4942" s="17"/>
      <c r="P4942" s="17"/>
      <c r="Q4942" s="17"/>
    </row>
    <row r="4943" spans="2:17">
      <c r="B4943" s="17"/>
      <c r="C4943" s="16" t="str">
        <f>IFERROR(VLOOKUP(DATA!#REF!,DATA!#REF!,1,FALSE),"")</f>
        <v/>
      </c>
      <c r="D4943" s="16" t="str">
        <f>IFERROR(VLOOKUP(C4943,DATA!#REF!,2,FALSE),"")</f>
        <v/>
      </c>
      <c r="I4943" s="17"/>
      <c r="J4943" s="17"/>
      <c r="P4943" s="17"/>
      <c r="Q4943" s="17"/>
    </row>
    <row r="4944" spans="2:17">
      <c r="B4944" s="17"/>
      <c r="C4944" s="16" t="str">
        <f>IFERROR(VLOOKUP(DATA!#REF!,DATA!#REF!,1,FALSE),"")</f>
        <v/>
      </c>
      <c r="D4944" s="16" t="str">
        <f>IFERROR(VLOOKUP(C4944,DATA!#REF!,2,FALSE),"")</f>
        <v/>
      </c>
      <c r="I4944" s="17"/>
      <c r="J4944" s="17"/>
      <c r="P4944" s="17"/>
      <c r="Q4944" s="17"/>
    </row>
    <row r="4945" spans="2:17">
      <c r="B4945" s="17"/>
      <c r="C4945" s="16" t="str">
        <f>IFERROR(VLOOKUP(DATA!#REF!,DATA!#REF!,1,FALSE),"")</f>
        <v/>
      </c>
      <c r="D4945" s="16" t="str">
        <f>IFERROR(VLOOKUP(C4945,DATA!#REF!,2,FALSE),"")</f>
        <v/>
      </c>
      <c r="I4945" s="17"/>
      <c r="J4945" s="17"/>
      <c r="P4945" s="17"/>
      <c r="Q4945" s="17"/>
    </row>
    <row r="4946" spans="2:17">
      <c r="B4946" s="17"/>
      <c r="C4946" s="16" t="str">
        <f>IFERROR(VLOOKUP(DATA!#REF!,DATA!#REF!,1,FALSE),"")</f>
        <v/>
      </c>
      <c r="D4946" s="16" t="str">
        <f>IFERROR(VLOOKUP(C4946,DATA!#REF!,2,FALSE),"")</f>
        <v/>
      </c>
      <c r="I4946" s="17"/>
      <c r="J4946" s="17"/>
      <c r="P4946" s="17"/>
      <c r="Q4946" s="17"/>
    </row>
    <row r="4947" spans="2:17">
      <c r="B4947" s="17"/>
      <c r="C4947" s="16" t="str">
        <f>IFERROR(VLOOKUP(DATA!#REF!,DATA!#REF!,1,FALSE),"")</f>
        <v/>
      </c>
      <c r="D4947" s="16" t="str">
        <f>IFERROR(VLOOKUP(C4947,DATA!#REF!,2,FALSE),"")</f>
        <v/>
      </c>
      <c r="I4947" s="17"/>
      <c r="J4947" s="17"/>
      <c r="P4947" s="17"/>
      <c r="Q4947" s="17"/>
    </row>
    <row r="4948" spans="2:17">
      <c r="B4948" s="17"/>
      <c r="C4948" s="16" t="str">
        <f>IFERROR(VLOOKUP(DATA!#REF!,DATA!#REF!,1,FALSE),"")</f>
        <v/>
      </c>
      <c r="D4948" s="16" t="str">
        <f>IFERROR(VLOOKUP(C4948,DATA!#REF!,2,FALSE),"")</f>
        <v/>
      </c>
      <c r="I4948" s="17"/>
      <c r="J4948" s="17"/>
      <c r="P4948" s="17"/>
      <c r="Q4948" s="17"/>
    </row>
    <row r="4949" spans="2:17">
      <c r="B4949" s="17"/>
      <c r="C4949" s="16" t="str">
        <f>IFERROR(VLOOKUP(DATA!#REF!,DATA!#REF!,1,FALSE),"")</f>
        <v/>
      </c>
      <c r="D4949" s="16" t="str">
        <f>IFERROR(VLOOKUP(C4949,DATA!#REF!,2,FALSE),"")</f>
        <v/>
      </c>
      <c r="I4949" s="17"/>
      <c r="J4949" s="17"/>
      <c r="P4949" s="17"/>
      <c r="Q4949" s="17"/>
    </row>
    <row r="4950" spans="2:17">
      <c r="B4950" s="17"/>
      <c r="C4950" s="16" t="str">
        <f>IFERROR(VLOOKUP(DATA!#REF!,DATA!#REF!,1,FALSE),"")</f>
        <v/>
      </c>
      <c r="D4950" s="16" t="str">
        <f>IFERROR(VLOOKUP(C4950,DATA!#REF!,2,FALSE),"")</f>
        <v/>
      </c>
      <c r="I4950" s="17"/>
      <c r="J4950" s="17"/>
      <c r="P4950" s="17"/>
      <c r="Q4950" s="17"/>
    </row>
    <row r="4951" spans="2:17">
      <c r="B4951" s="17"/>
      <c r="C4951" s="16" t="str">
        <f>IFERROR(VLOOKUP(DATA!#REF!,DATA!#REF!,1,FALSE),"")</f>
        <v/>
      </c>
      <c r="D4951" s="16" t="str">
        <f>IFERROR(VLOOKUP(C4951,DATA!#REF!,2,FALSE),"")</f>
        <v/>
      </c>
      <c r="I4951" s="17"/>
      <c r="J4951" s="17"/>
      <c r="P4951" s="17"/>
      <c r="Q4951" s="17"/>
    </row>
    <row r="4952" spans="2:17">
      <c r="B4952" s="17"/>
      <c r="C4952" s="16" t="str">
        <f>IFERROR(VLOOKUP(DATA!#REF!,DATA!#REF!,1,FALSE),"")</f>
        <v/>
      </c>
      <c r="D4952" s="16" t="str">
        <f>IFERROR(VLOOKUP(C4952,DATA!#REF!,2,FALSE),"")</f>
        <v/>
      </c>
      <c r="I4952" s="17"/>
      <c r="J4952" s="17"/>
      <c r="P4952" s="17"/>
      <c r="Q4952" s="17"/>
    </row>
    <row r="4953" spans="2:17">
      <c r="B4953" s="17"/>
      <c r="C4953" s="16" t="str">
        <f>IFERROR(VLOOKUP(DATA!#REF!,DATA!#REF!,1,FALSE),"")</f>
        <v/>
      </c>
      <c r="D4953" s="16" t="str">
        <f>IFERROR(VLOOKUP(C4953,DATA!#REF!,2,FALSE),"")</f>
        <v/>
      </c>
      <c r="I4953" s="17"/>
      <c r="J4953" s="17"/>
      <c r="P4953" s="17"/>
      <c r="Q4953" s="17"/>
    </row>
    <row r="4954" spans="2:17">
      <c r="B4954" s="17"/>
      <c r="C4954" s="16" t="str">
        <f>IFERROR(VLOOKUP(DATA!#REF!,DATA!#REF!,1,FALSE),"")</f>
        <v/>
      </c>
      <c r="D4954" s="16" t="str">
        <f>IFERROR(VLOOKUP(C4954,DATA!#REF!,2,FALSE),"")</f>
        <v/>
      </c>
      <c r="I4954" s="17"/>
      <c r="J4954" s="17"/>
      <c r="P4954" s="17"/>
      <c r="Q4954" s="17"/>
    </row>
    <row r="4955" spans="2:17">
      <c r="B4955" s="17"/>
      <c r="C4955" s="16" t="str">
        <f>IFERROR(VLOOKUP(DATA!#REF!,DATA!#REF!,1,FALSE),"")</f>
        <v/>
      </c>
      <c r="D4955" s="16" t="str">
        <f>IFERROR(VLOOKUP(C4955,DATA!#REF!,2,FALSE),"")</f>
        <v/>
      </c>
      <c r="I4955" s="17"/>
      <c r="J4955" s="17"/>
      <c r="P4955" s="17"/>
      <c r="Q4955" s="17"/>
    </row>
    <row r="4956" spans="2:17">
      <c r="B4956" s="17"/>
      <c r="C4956" s="16" t="str">
        <f>IFERROR(VLOOKUP(DATA!#REF!,DATA!#REF!,1,FALSE),"")</f>
        <v/>
      </c>
      <c r="D4956" s="16" t="str">
        <f>IFERROR(VLOOKUP(C4956,DATA!#REF!,2,FALSE),"")</f>
        <v/>
      </c>
      <c r="I4956" s="17"/>
      <c r="J4956" s="17"/>
      <c r="P4956" s="17"/>
      <c r="Q4956" s="17"/>
    </row>
    <row r="4957" spans="2:17">
      <c r="B4957" s="17"/>
      <c r="C4957" s="16" t="str">
        <f>IFERROR(VLOOKUP(DATA!#REF!,DATA!#REF!,1,FALSE),"")</f>
        <v/>
      </c>
      <c r="D4957" s="16" t="str">
        <f>IFERROR(VLOOKUP(C4957,DATA!#REF!,2,FALSE),"")</f>
        <v/>
      </c>
      <c r="I4957" s="17"/>
      <c r="J4957" s="17"/>
      <c r="P4957" s="17"/>
      <c r="Q4957" s="17"/>
    </row>
    <row r="4958" spans="2:17">
      <c r="B4958" s="17"/>
      <c r="C4958" s="16" t="str">
        <f>IFERROR(VLOOKUP(DATA!#REF!,DATA!#REF!,1,FALSE),"")</f>
        <v/>
      </c>
      <c r="D4958" s="16" t="str">
        <f>IFERROR(VLOOKUP(C4958,DATA!#REF!,2,FALSE),"")</f>
        <v/>
      </c>
      <c r="I4958" s="17"/>
      <c r="J4958" s="17"/>
      <c r="P4958" s="17"/>
      <c r="Q4958" s="17"/>
    </row>
    <row r="4959" spans="2:17">
      <c r="B4959" s="17"/>
      <c r="C4959" s="16" t="str">
        <f>IFERROR(VLOOKUP(DATA!#REF!,DATA!#REF!,1,FALSE),"")</f>
        <v/>
      </c>
      <c r="D4959" s="16" t="str">
        <f>IFERROR(VLOOKUP(C4959,DATA!#REF!,2,FALSE),"")</f>
        <v/>
      </c>
      <c r="I4959" s="17"/>
      <c r="J4959" s="17"/>
      <c r="P4959" s="17"/>
      <c r="Q4959" s="17"/>
    </row>
    <row r="4960" spans="2:17">
      <c r="B4960" s="17"/>
      <c r="C4960" s="16" t="str">
        <f>IFERROR(VLOOKUP(DATA!#REF!,DATA!#REF!,1,FALSE),"")</f>
        <v/>
      </c>
      <c r="D4960" s="16" t="str">
        <f>IFERROR(VLOOKUP(C4960,DATA!#REF!,2,FALSE),"")</f>
        <v/>
      </c>
      <c r="I4960" s="17"/>
      <c r="J4960" s="17"/>
      <c r="P4960" s="17"/>
      <c r="Q4960" s="17"/>
    </row>
    <row r="4961" spans="2:17">
      <c r="B4961" s="17"/>
      <c r="C4961" s="16" t="str">
        <f>IFERROR(VLOOKUP(DATA!#REF!,DATA!#REF!,1,FALSE),"")</f>
        <v/>
      </c>
      <c r="D4961" s="16" t="str">
        <f>IFERROR(VLOOKUP(C4961,DATA!#REF!,2,FALSE),"")</f>
        <v/>
      </c>
      <c r="I4961" s="17"/>
      <c r="J4961" s="17"/>
      <c r="P4961" s="17"/>
      <c r="Q4961" s="17"/>
    </row>
    <row r="4962" spans="2:17">
      <c r="B4962" s="17"/>
      <c r="C4962" s="16" t="str">
        <f>IFERROR(VLOOKUP(DATA!#REF!,DATA!#REF!,1,FALSE),"")</f>
        <v/>
      </c>
      <c r="D4962" s="16" t="str">
        <f>IFERROR(VLOOKUP(C4962,DATA!#REF!,2,FALSE),"")</f>
        <v/>
      </c>
      <c r="I4962" s="17"/>
      <c r="J4962" s="17"/>
      <c r="P4962" s="17"/>
      <c r="Q4962" s="17"/>
    </row>
    <row r="4963" spans="2:17">
      <c r="B4963" s="17"/>
      <c r="C4963" s="16" t="str">
        <f>IFERROR(VLOOKUP(DATA!#REF!,DATA!#REF!,1,FALSE),"")</f>
        <v/>
      </c>
      <c r="D4963" s="16" t="str">
        <f>IFERROR(VLOOKUP(C4963,DATA!#REF!,2,FALSE),"")</f>
        <v/>
      </c>
      <c r="I4963" s="17"/>
      <c r="J4963" s="17"/>
      <c r="P4963" s="17"/>
      <c r="Q4963" s="17"/>
    </row>
    <row r="4964" spans="2:17">
      <c r="B4964" s="17"/>
      <c r="C4964" s="16" t="str">
        <f>IFERROR(VLOOKUP(DATA!#REF!,DATA!#REF!,1,FALSE),"")</f>
        <v/>
      </c>
      <c r="D4964" s="16" t="str">
        <f>IFERROR(VLOOKUP(C4964,DATA!#REF!,2,FALSE),"")</f>
        <v/>
      </c>
      <c r="I4964" s="17"/>
      <c r="J4964" s="17"/>
      <c r="P4964" s="17"/>
      <c r="Q4964" s="17"/>
    </row>
    <row r="4965" spans="2:17">
      <c r="B4965" s="17"/>
      <c r="C4965" s="16" t="str">
        <f>IFERROR(VLOOKUP(DATA!#REF!,DATA!#REF!,1,FALSE),"")</f>
        <v/>
      </c>
      <c r="D4965" s="16" t="str">
        <f>IFERROR(VLOOKUP(C4965,DATA!#REF!,2,FALSE),"")</f>
        <v/>
      </c>
      <c r="I4965" s="17"/>
      <c r="J4965" s="17"/>
      <c r="P4965" s="17"/>
      <c r="Q4965" s="17"/>
    </row>
    <row r="4966" spans="2:17">
      <c r="B4966" s="17"/>
      <c r="C4966" s="16" t="str">
        <f>IFERROR(VLOOKUP(DATA!#REF!,DATA!#REF!,1,FALSE),"")</f>
        <v/>
      </c>
      <c r="D4966" s="16" t="str">
        <f>IFERROR(VLOOKUP(C4966,DATA!#REF!,2,FALSE),"")</f>
        <v/>
      </c>
      <c r="I4966" s="17"/>
      <c r="J4966" s="17"/>
      <c r="P4966" s="17"/>
      <c r="Q4966" s="17"/>
    </row>
    <row r="4967" spans="2:17">
      <c r="B4967" s="17"/>
      <c r="C4967" s="16" t="str">
        <f>IFERROR(VLOOKUP(DATA!#REF!,DATA!#REF!,1,FALSE),"")</f>
        <v/>
      </c>
      <c r="D4967" s="16" t="str">
        <f>IFERROR(VLOOKUP(C4967,DATA!#REF!,2,FALSE),"")</f>
        <v/>
      </c>
      <c r="I4967" s="17"/>
      <c r="J4967" s="17"/>
      <c r="P4967" s="17"/>
      <c r="Q4967" s="17"/>
    </row>
    <row r="4968" spans="2:17">
      <c r="B4968" s="17"/>
      <c r="C4968" s="16" t="str">
        <f>IFERROR(VLOOKUP(DATA!#REF!,DATA!#REF!,1,FALSE),"")</f>
        <v/>
      </c>
      <c r="D4968" s="16" t="str">
        <f>IFERROR(VLOOKUP(C4968,DATA!#REF!,2,FALSE),"")</f>
        <v/>
      </c>
      <c r="I4968" s="17"/>
      <c r="J4968" s="17"/>
      <c r="P4968" s="17"/>
      <c r="Q4968" s="17"/>
    </row>
    <row r="4969" spans="2:17">
      <c r="B4969" s="17"/>
      <c r="C4969" s="16" t="str">
        <f>IFERROR(VLOOKUP(DATA!#REF!,DATA!#REF!,1,FALSE),"")</f>
        <v/>
      </c>
      <c r="D4969" s="16" t="str">
        <f>IFERROR(VLOOKUP(C4969,DATA!#REF!,2,FALSE),"")</f>
        <v/>
      </c>
      <c r="I4969" s="17"/>
      <c r="J4969" s="17"/>
      <c r="P4969" s="17"/>
      <c r="Q4969" s="17"/>
    </row>
    <row r="4970" spans="2:17">
      <c r="B4970" s="17"/>
      <c r="C4970" s="16" t="str">
        <f>IFERROR(VLOOKUP(DATA!#REF!,DATA!#REF!,1,FALSE),"")</f>
        <v/>
      </c>
      <c r="D4970" s="16" t="str">
        <f>IFERROR(VLOOKUP(C4970,DATA!#REF!,2,FALSE),"")</f>
        <v/>
      </c>
      <c r="I4970" s="17"/>
      <c r="J4970" s="17"/>
      <c r="P4970" s="17"/>
      <c r="Q4970" s="17"/>
    </row>
    <row r="4971" spans="2:17">
      <c r="B4971" s="17"/>
      <c r="C4971" s="16" t="str">
        <f>IFERROR(VLOOKUP(DATA!#REF!,DATA!#REF!,1,FALSE),"")</f>
        <v/>
      </c>
      <c r="D4971" s="16" t="str">
        <f>IFERROR(VLOOKUP(C4971,DATA!#REF!,2,FALSE),"")</f>
        <v/>
      </c>
      <c r="I4971" s="17"/>
      <c r="J4971" s="17"/>
      <c r="P4971" s="17"/>
      <c r="Q4971" s="17"/>
    </row>
    <row r="4972" spans="2:17">
      <c r="B4972" s="17"/>
      <c r="C4972" s="16" t="str">
        <f>IFERROR(VLOOKUP(DATA!#REF!,DATA!#REF!,1,FALSE),"")</f>
        <v/>
      </c>
      <c r="D4972" s="16" t="str">
        <f>IFERROR(VLOOKUP(C4972,DATA!#REF!,2,FALSE),"")</f>
        <v/>
      </c>
      <c r="I4972" s="17"/>
      <c r="J4972" s="17"/>
      <c r="P4972" s="17"/>
      <c r="Q4972" s="17"/>
    </row>
    <row r="4973" spans="2:17">
      <c r="B4973" s="17"/>
      <c r="C4973" s="16" t="str">
        <f>IFERROR(VLOOKUP(DATA!#REF!,DATA!#REF!,1,FALSE),"")</f>
        <v/>
      </c>
      <c r="D4973" s="16" t="str">
        <f>IFERROR(VLOOKUP(C4973,DATA!#REF!,2,FALSE),"")</f>
        <v/>
      </c>
      <c r="I4973" s="17"/>
      <c r="J4973" s="17"/>
      <c r="P4973" s="17"/>
      <c r="Q4973" s="17"/>
    </row>
    <row r="4974" spans="2:17">
      <c r="B4974" s="17"/>
      <c r="C4974" s="16" t="str">
        <f>IFERROR(VLOOKUP(DATA!#REF!,DATA!#REF!,1,FALSE),"")</f>
        <v/>
      </c>
      <c r="D4974" s="16" t="str">
        <f>IFERROR(VLOOKUP(C4974,DATA!#REF!,2,FALSE),"")</f>
        <v/>
      </c>
      <c r="I4974" s="17"/>
      <c r="J4974" s="17"/>
      <c r="P4974" s="17"/>
      <c r="Q4974" s="17"/>
    </row>
    <row r="4975" spans="2:17">
      <c r="B4975" s="17"/>
      <c r="C4975" s="16" t="str">
        <f>IFERROR(VLOOKUP(DATA!#REF!,DATA!#REF!,1,FALSE),"")</f>
        <v/>
      </c>
      <c r="D4975" s="16" t="str">
        <f>IFERROR(VLOOKUP(C4975,DATA!#REF!,2,FALSE),"")</f>
        <v/>
      </c>
      <c r="I4975" s="17"/>
      <c r="J4975" s="17"/>
      <c r="P4975" s="17"/>
      <c r="Q4975" s="17"/>
    </row>
    <row r="4976" spans="2:17">
      <c r="B4976" s="17"/>
      <c r="C4976" s="16" t="str">
        <f>IFERROR(VLOOKUP(DATA!#REF!,DATA!#REF!,1,FALSE),"")</f>
        <v/>
      </c>
      <c r="D4976" s="16" t="str">
        <f>IFERROR(VLOOKUP(C4976,DATA!#REF!,2,FALSE),"")</f>
        <v/>
      </c>
      <c r="I4976" s="17"/>
      <c r="J4976" s="17"/>
      <c r="P4976" s="17"/>
      <c r="Q4976" s="17"/>
    </row>
    <row r="4977" spans="2:17">
      <c r="B4977" s="17"/>
      <c r="C4977" s="16" t="str">
        <f>IFERROR(VLOOKUP(DATA!#REF!,DATA!#REF!,1,FALSE),"")</f>
        <v/>
      </c>
      <c r="D4977" s="16" t="str">
        <f>IFERROR(VLOOKUP(C4977,DATA!#REF!,2,FALSE),"")</f>
        <v/>
      </c>
      <c r="I4977" s="17"/>
      <c r="J4977" s="17"/>
      <c r="P4977" s="17"/>
      <c r="Q4977" s="17"/>
    </row>
    <row r="4978" spans="2:17">
      <c r="B4978" s="17"/>
      <c r="C4978" s="16" t="str">
        <f>IFERROR(VLOOKUP(DATA!#REF!,DATA!#REF!,1,FALSE),"")</f>
        <v/>
      </c>
      <c r="D4978" s="16" t="str">
        <f>IFERROR(VLOOKUP(C4978,DATA!#REF!,2,FALSE),"")</f>
        <v/>
      </c>
      <c r="I4978" s="17"/>
      <c r="J4978" s="17"/>
      <c r="P4978" s="17"/>
      <c r="Q4978" s="17"/>
    </row>
    <row r="4979" spans="2:17">
      <c r="B4979" s="17"/>
      <c r="C4979" s="16" t="str">
        <f>IFERROR(VLOOKUP(DATA!#REF!,DATA!#REF!,1,FALSE),"")</f>
        <v/>
      </c>
      <c r="D4979" s="16" t="str">
        <f>IFERROR(VLOOKUP(C4979,DATA!#REF!,2,FALSE),"")</f>
        <v/>
      </c>
      <c r="I4979" s="17"/>
      <c r="J4979" s="17"/>
      <c r="P4979" s="17"/>
      <c r="Q4979" s="17"/>
    </row>
    <row r="4980" spans="2:17">
      <c r="B4980" s="17"/>
      <c r="C4980" s="16" t="str">
        <f>IFERROR(VLOOKUP(DATA!#REF!,DATA!#REF!,1,FALSE),"")</f>
        <v/>
      </c>
      <c r="D4980" s="16" t="str">
        <f>IFERROR(VLOOKUP(C4980,DATA!#REF!,2,FALSE),"")</f>
        <v/>
      </c>
      <c r="I4980" s="17"/>
      <c r="J4980" s="17"/>
      <c r="P4980" s="17"/>
      <c r="Q4980" s="17"/>
    </row>
    <row r="4981" spans="2:17">
      <c r="B4981" s="17"/>
      <c r="C4981" s="16" t="str">
        <f>IFERROR(VLOOKUP(DATA!#REF!,DATA!#REF!,1,FALSE),"")</f>
        <v/>
      </c>
      <c r="D4981" s="16" t="str">
        <f>IFERROR(VLOOKUP(C4981,DATA!#REF!,2,FALSE),"")</f>
        <v/>
      </c>
      <c r="I4981" s="17"/>
      <c r="J4981" s="17"/>
      <c r="P4981" s="17"/>
      <c r="Q4981" s="17"/>
    </row>
    <row r="4982" spans="2:17">
      <c r="B4982" s="17"/>
      <c r="C4982" s="16" t="str">
        <f>IFERROR(VLOOKUP(DATA!#REF!,DATA!#REF!,1,FALSE),"")</f>
        <v/>
      </c>
      <c r="D4982" s="16" t="str">
        <f>IFERROR(VLOOKUP(C4982,DATA!#REF!,2,FALSE),"")</f>
        <v/>
      </c>
      <c r="I4982" s="17"/>
      <c r="J4982" s="17"/>
      <c r="P4982" s="17"/>
      <c r="Q4982" s="17"/>
    </row>
    <row r="4983" spans="2:17">
      <c r="B4983" s="17"/>
      <c r="C4983" s="16" t="str">
        <f>IFERROR(VLOOKUP(DATA!#REF!,DATA!#REF!,1,FALSE),"")</f>
        <v/>
      </c>
      <c r="D4983" s="16" t="str">
        <f>IFERROR(VLOOKUP(C4983,DATA!#REF!,2,FALSE),"")</f>
        <v/>
      </c>
      <c r="I4983" s="17"/>
      <c r="J4983" s="17"/>
      <c r="P4983" s="17"/>
      <c r="Q4983" s="17"/>
    </row>
    <row r="4984" spans="2:17">
      <c r="B4984" s="17"/>
      <c r="C4984" s="16" t="str">
        <f>IFERROR(VLOOKUP(DATA!#REF!,DATA!#REF!,1,FALSE),"")</f>
        <v/>
      </c>
      <c r="D4984" s="16" t="str">
        <f>IFERROR(VLOOKUP(C4984,DATA!#REF!,2,FALSE),"")</f>
        <v/>
      </c>
      <c r="I4984" s="17"/>
      <c r="J4984" s="17"/>
      <c r="P4984" s="17"/>
      <c r="Q4984" s="17"/>
    </row>
    <row r="4985" spans="2:17">
      <c r="B4985" s="17"/>
      <c r="C4985" s="16" t="str">
        <f>IFERROR(VLOOKUP(DATA!#REF!,DATA!#REF!,1,FALSE),"")</f>
        <v/>
      </c>
      <c r="D4985" s="16" t="str">
        <f>IFERROR(VLOOKUP(C4985,DATA!#REF!,2,FALSE),"")</f>
        <v/>
      </c>
      <c r="I4985" s="17"/>
      <c r="J4985" s="17"/>
      <c r="P4985" s="17"/>
      <c r="Q4985" s="17"/>
    </row>
    <row r="4986" spans="2:17">
      <c r="B4986" s="17"/>
      <c r="C4986" s="16" t="str">
        <f>IFERROR(VLOOKUP(DATA!#REF!,DATA!#REF!,1,FALSE),"")</f>
        <v/>
      </c>
      <c r="D4986" s="16" t="str">
        <f>IFERROR(VLOOKUP(C4986,DATA!#REF!,2,FALSE),"")</f>
        <v/>
      </c>
      <c r="I4986" s="17"/>
      <c r="J4986" s="17"/>
      <c r="P4986" s="17"/>
      <c r="Q4986" s="17"/>
    </row>
    <row r="4987" spans="2:17">
      <c r="B4987" s="17"/>
      <c r="C4987" s="16" t="str">
        <f>IFERROR(VLOOKUP(DATA!#REF!,DATA!#REF!,1,FALSE),"")</f>
        <v/>
      </c>
      <c r="D4987" s="16" t="str">
        <f>IFERROR(VLOOKUP(C4987,DATA!#REF!,2,FALSE),"")</f>
        <v/>
      </c>
      <c r="I4987" s="17"/>
      <c r="J4987" s="17"/>
      <c r="P4987" s="17"/>
      <c r="Q4987" s="17"/>
    </row>
    <row r="4988" spans="2:17">
      <c r="B4988" s="17"/>
      <c r="C4988" s="16" t="str">
        <f>IFERROR(VLOOKUP(DATA!#REF!,DATA!#REF!,1,FALSE),"")</f>
        <v/>
      </c>
      <c r="D4988" s="16" t="str">
        <f>IFERROR(VLOOKUP(C4988,DATA!#REF!,2,FALSE),"")</f>
        <v/>
      </c>
      <c r="I4988" s="17"/>
      <c r="J4988" s="17"/>
      <c r="P4988" s="17"/>
      <c r="Q4988" s="17"/>
    </row>
    <row r="4989" spans="2:17">
      <c r="B4989" s="17"/>
      <c r="C4989" s="16" t="str">
        <f>IFERROR(VLOOKUP(DATA!#REF!,DATA!#REF!,1,FALSE),"")</f>
        <v/>
      </c>
      <c r="D4989" s="16" t="str">
        <f>IFERROR(VLOOKUP(C4989,DATA!#REF!,2,FALSE),"")</f>
        <v/>
      </c>
      <c r="I4989" s="17"/>
      <c r="J4989" s="17"/>
      <c r="P4989" s="17"/>
      <c r="Q4989" s="17"/>
    </row>
    <row r="4990" spans="2:17">
      <c r="B4990" s="17"/>
      <c r="C4990" s="16" t="str">
        <f>IFERROR(VLOOKUP(DATA!#REF!,DATA!#REF!,1,FALSE),"")</f>
        <v/>
      </c>
      <c r="D4990" s="16" t="str">
        <f>IFERROR(VLOOKUP(C4990,DATA!#REF!,2,FALSE),"")</f>
        <v/>
      </c>
      <c r="I4990" s="17"/>
      <c r="J4990" s="17"/>
      <c r="P4990" s="17"/>
      <c r="Q4990" s="17"/>
    </row>
    <row r="4991" spans="2:17">
      <c r="B4991" s="17"/>
      <c r="C4991" s="16" t="str">
        <f>IFERROR(VLOOKUP(DATA!#REF!,DATA!#REF!,1,FALSE),"")</f>
        <v/>
      </c>
      <c r="D4991" s="16" t="str">
        <f>IFERROR(VLOOKUP(C4991,DATA!#REF!,2,FALSE),"")</f>
        <v/>
      </c>
      <c r="I4991" s="17"/>
      <c r="J4991" s="17"/>
      <c r="P4991" s="17"/>
      <c r="Q4991" s="17"/>
    </row>
    <row r="4992" spans="2:17">
      <c r="B4992" s="17"/>
      <c r="C4992" s="16" t="str">
        <f>IFERROR(VLOOKUP(DATA!#REF!,DATA!#REF!,1,FALSE),"")</f>
        <v/>
      </c>
      <c r="D4992" s="16" t="str">
        <f>IFERROR(VLOOKUP(C4992,DATA!#REF!,2,FALSE),"")</f>
        <v/>
      </c>
      <c r="I4992" s="17"/>
      <c r="J4992" s="17"/>
      <c r="P4992" s="17"/>
      <c r="Q4992" s="17"/>
    </row>
    <row r="4993" spans="2:17">
      <c r="B4993" s="17"/>
      <c r="C4993" s="16" t="str">
        <f>IFERROR(VLOOKUP(DATA!#REF!,DATA!#REF!,1,FALSE),"")</f>
        <v/>
      </c>
      <c r="D4993" s="16" t="str">
        <f>IFERROR(VLOOKUP(C4993,DATA!#REF!,2,FALSE),"")</f>
        <v/>
      </c>
      <c r="I4993" s="17"/>
      <c r="J4993" s="17"/>
      <c r="P4993" s="17"/>
      <c r="Q4993" s="17"/>
    </row>
    <row r="4994" spans="2:17">
      <c r="B4994" s="17"/>
      <c r="C4994" s="16" t="str">
        <f>IFERROR(VLOOKUP(DATA!#REF!,DATA!#REF!,1,FALSE),"")</f>
        <v/>
      </c>
      <c r="D4994" s="16" t="str">
        <f>IFERROR(VLOOKUP(C4994,DATA!#REF!,2,FALSE),"")</f>
        <v/>
      </c>
      <c r="I4994" s="17"/>
      <c r="J4994" s="17"/>
      <c r="P4994" s="17"/>
      <c r="Q4994" s="17"/>
    </row>
    <row r="4995" spans="2:17">
      <c r="B4995" s="17"/>
      <c r="C4995" s="16" t="str">
        <f>IFERROR(VLOOKUP(DATA!#REF!,DATA!#REF!,1,FALSE),"")</f>
        <v/>
      </c>
      <c r="D4995" s="16" t="str">
        <f>IFERROR(VLOOKUP(C4995,DATA!#REF!,2,FALSE),"")</f>
        <v/>
      </c>
      <c r="I4995" s="17"/>
      <c r="J4995" s="17"/>
      <c r="P4995" s="17"/>
      <c r="Q4995" s="17"/>
    </row>
    <row r="4996" spans="2:17">
      <c r="B4996" s="17"/>
      <c r="C4996" s="16" t="str">
        <f>IFERROR(VLOOKUP(DATA!#REF!,DATA!#REF!,1,FALSE),"")</f>
        <v/>
      </c>
      <c r="D4996" s="16" t="str">
        <f>IFERROR(VLOOKUP(C4996,DATA!#REF!,2,FALSE),"")</f>
        <v/>
      </c>
      <c r="I4996" s="17"/>
      <c r="J4996" s="17"/>
      <c r="P4996" s="17"/>
      <c r="Q4996" s="17"/>
    </row>
    <row r="4997" spans="2:17">
      <c r="B4997" s="17"/>
      <c r="C4997" s="16" t="str">
        <f>IFERROR(VLOOKUP(DATA!#REF!,DATA!#REF!,1,FALSE),"")</f>
        <v/>
      </c>
      <c r="D4997" s="16" t="str">
        <f>IFERROR(VLOOKUP(C4997,DATA!#REF!,2,FALSE),"")</f>
        <v/>
      </c>
      <c r="I4997" s="17"/>
      <c r="J4997" s="17"/>
      <c r="P4997" s="17"/>
      <c r="Q4997" s="17"/>
    </row>
    <row r="4998" spans="2:17">
      <c r="B4998" s="17"/>
      <c r="C4998" s="16" t="str">
        <f>IFERROR(VLOOKUP(DATA!#REF!,DATA!#REF!,1,FALSE),"")</f>
        <v/>
      </c>
      <c r="D4998" s="16" t="str">
        <f>IFERROR(VLOOKUP(C4998,DATA!#REF!,2,FALSE),"")</f>
        <v/>
      </c>
      <c r="I4998" s="17"/>
      <c r="J4998" s="17"/>
      <c r="P4998" s="17"/>
      <c r="Q4998" s="17"/>
    </row>
    <row r="4999" spans="2:17">
      <c r="B4999" s="17"/>
      <c r="C4999" s="16" t="str">
        <f>IFERROR(VLOOKUP(DATA!#REF!,DATA!#REF!,1,FALSE),"")</f>
        <v/>
      </c>
      <c r="D4999" s="16" t="str">
        <f>IFERROR(VLOOKUP(C4999,DATA!#REF!,2,FALSE),"")</f>
        <v/>
      </c>
      <c r="I4999" s="17"/>
      <c r="J4999" s="17"/>
      <c r="P4999" s="17"/>
      <c r="Q4999" s="17"/>
    </row>
    <row r="5000" spans="2:17">
      <c r="B5000" s="17"/>
      <c r="C5000" s="16" t="str">
        <f>IFERROR(VLOOKUP(DATA!#REF!,DATA!#REF!,1,FALSE),"")</f>
        <v/>
      </c>
      <c r="D5000" s="16" t="str">
        <f>IFERROR(VLOOKUP(C5000,DATA!#REF!,2,FALSE),"")</f>
        <v/>
      </c>
      <c r="I5000" s="17"/>
      <c r="J5000" s="17"/>
      <c r="P5000" s="17"/>
      <c r="Q5000" s="17"/>
    </row>
    <row r="5001" spans="2:17">
      <c r="B5001" s="17"/>
      <c r="C5001" s="16" t="str">
        <f>IFERROR(VLOOKUP(DATA!#REF!,DATA!#REF!,1,FALSE),"")</f>
        <v/>
      </c>
      <c r="D5001" s="16" t="str">
        <f>IFERROR(VLOOKUP(C5001,DATA!#REF!,2,FALSE),"")</f>
        <v/>
      </c>
      <c r="I5001" s="17"/>
      <c r="J5001" s="17"/>
      <c r="P5001" s="17"/>
      <c r="Q5001" s="17"/>
    </row>
    <row r="5002" spans="2:17">
      <c r="B5002" s="17"/>
      <c r="C5002" s="16" t="str">
        <f>IFERROR(VLOOKUP(DATA!#REF!,DATA!#REF!,1,FALSE),"")</f>
        <v/>
      </c>
      <c r="D5002" s="16" t="str">
        <f>IFERROR(VLOOKUP(C5002,DATA!#REF!,2,FALSE),"")</f>
        <v/>
      </c>
      <c r="I5002" s="17"/>
      <c r="J5002" s="17"/>
      <c r="P5002" s="17"/>
      <c r="Q5002" s="17"/>
    </row>
    <row r="5003" spans="2:17">
      <c r="B5003" s="17"/>
      <c r="C5003" s="16" t="str">
        <f>IFERROR(VLOOKUP(DATA!#REF!,DATA!#REF!,1,FALSE),"")</f>
        <v/>
      </c>
      <c r="D5003" s="16" t="str">
        <f>IFERROR(VLOOKUP(C5003,DATA!#REF!,2,FALSE),"")</f>
        <v/>
      </c>
      <c r="I5003" s="17"/>
      <c r="J5003" s="17"/>
      <c r="P5003" s="17"/>
      <c r="Q5003" s="17"/>
    </row>
    <row r="5004" spans="2:17">
      <c r="B5004" s="17"/>
      <c r="C5004" s="16" t="str">
        <f>IFERROR(VLOOKUP(DATA!#REF!,DATA!#REF!,1,FALSE),"")</f>
        <v/>
      </c>
      <c r="D5004" s="16" t="str">
        <f>IFERROR(VLOOKUP(C5004,DATA!#REF!,2,FALSE),"")</f>
        <v/>
      </c>
      <c r="I5004" s="17"/>
      <c r="J5004" s="17"/>
      <c r="P5004" s="17"/>
      <c r="Q5004" s="17"/>
    </row>
    <row r="5005" spans="2:17">
      <c r="B5005" s="17"/>
      <c r="C5005" s="16" t="str">
        <f>IFERROR(VLOOKUP(DATA!#REF!,DATA!#REF!,1,FALSE),"")</f>
        <v/>
      </c>
      <c r="D5005" s="16" t="str">
        <f>IFERROR(VLOOKUP(C5005,DATA!#REF!,2,FALSE),"")</f>
        <v/>
      </c>
      <c r="I5005" s="17"/>
      <c r="J5005" s="17"/>
      <c r="P5005" s="17"/>
      <c r="Q5005" s="17"/>
    </row>
    <row r="5006" spans="2:17">
      <c r="B5006" s="17"/>
      <c r="C5006" s="16" t="str">
        <f>IFERROR(VLOOKUP(DATA!#REF!,DATA!#REF!,1,FALSE),"")</f>
        <v/>
      </c>
      <c r="D5006" s="16" t="str">
        <f>IFERROR(VLOOKUP(C5006,DATA!#REF!,2,FALSE),"")</f>
        <v/>
      </c>
      <c r="I5006" s="17"/>
      <c r="J5006" s="17"/>
      <c r="P5006" s="17"/>
      <c r="Q5006" s="17"/>
    </row>
    <row r="5007" spans="2:17">
      <c r="B5007" s="17"/>
      <c r="C5007" s="16" t="str">
        <f>IFERROR(VLOOKUP(DATA!#REF!,DATA!#REF!,1,FALSE),"")</f>
        <v/>
      </c>
      <c r="D5007" s="16" t="str">
        <f>IFERROR(VLOOKUP(C5007,DATA!#REF!,2,FALSE),"")</f>
        <v/>
      </c>
      <c r="I5007" s="17"/>
      <c r="J5007" s="17"/>
      <c r="P5007" s="17"/>
      <c r="Q5007" s="17"/>
    </row>
    <row r="5008" spans="2:17">
      <c r="B5008" s="17"/>
      <c r="C5008" s="16" t="str">
        <f>IFERROR(VLOOKUP(DATA!#REF!,DATA!#REF!,1,FALSE),"")</f>
        <v/>
      </c>
      <c r="D5008" s="16" t="str">
        <f>IFERROR(VLOOKUP(C5008,DATA!#REF!,2,FALSE),"")</f>
        <v/>
      </c>
      <c r="I5008" s="17"/>
      <c r="J5008" s="17"/>
      <c r="P5008" s="17"/>
      <c r="Q5008" s="17"/>
    </row>
    <row r="5009" spans="2:17">
      <c r="B5009" s="17"/>
      <c r="C5009" s="16" t="str">
        <f>IFERROR(VLOOKUP(DATA!#REF!,DATA!#REF!,1,FALSE),"")</f>
        <v/>
      </c>
      <c r="D5009" s="16" t="str">
        <f>IFERROR(VLOOKUP(C5009,DATA!#REF!,2,FALSE),"")</f>
        <v/>
      </c>
      <c r="I5009" s="17"/>
      <c r="J5009" s="17"/>
      <c r="P5009" s="17"/>
      <c r="Q5009" s="17"/>
    </row>
    <row r="5010" spans="2:17">
      <c r="B5010" s="17"/>
      <c r="C5010" s="16" t="str">
        <f>IFERROR(VLOOKUP(DATA!#REF!,DATA!#REF!,1,FALSE),"")</f>
        <v/>
      </c>
      <c r="D5010" s="16" t="str">
        <f>IFERROR(VLOOKUP(C5010,DATA!#REF!,2,FALSE),"")</f>
        <v/>
      </c>
      <c r="I5010" s="17"/>
      <c r="J5010" s="17"/>
      <c r="P5010" s="17"/>
      <c r="Q5010" s="17"/>
    </row>
    <row r="5011" spans="2:17">
      <c r="B5011" s="17"/>
      <c r="C5011" s="16" t="str">
        <f>IFERROR(VLOOKUP(DATA!#REF!,DATA!#REF!,1,FALSE),"")</f>
        <v/>
      </c>
      <c r="D5011" s="16" t="str">
        <f>IFERROR(VLOOKUP(C5011,DATA!#REF!,2,FALSE),"")</f>
        <v/>
      </c>
      <c r="I5011" s="17"/>
      <c r="J5011" s="17"/>
      <c r="P5011" s="17"/>
      <c r="Q5011" s="17"/>
    </row>
    <row r="5012" spans="2:17">
      <c r="B5012" s="17"/>
      <c r="C5012" s="16" t="str">
        <f>IFERROR(VLOOKUP(DATA!#REF!,DATA!#REF!,1,FALSE),"")</f>
        <v/>
      </c>
      <c r="D5012" s="16" t="str">
        <f>IFERROR(VLOOKUP(C5012,DATA!#REF!,2,FALSE),"")</f>
        <v/>
      </c>
      <c r="I5012" s="17"/>
      <c r="J5012" s="17"/>
      <c r="P5012" s="17"/>
      <c r="Q5012" s="17"/>
    </row>
    <row r="5013" spans="2:17">
      <c r="B5013" s="17"/>
      <c r="C5013" s="16" t="str">
        <f>IFERROR(VLOOKUP(DATA!#REF!,DATA!#REF!,1,FALSE),"")</f>
        <v/>
      </c>
      <c r="D5013" s="16" t="str">
        <f>IFERROR(VLOOKUP(C5013,DATA!#REF!,2,FALSE),"")</f>
        <v/>
      </c>
      <c r="I5013" s="17"/>
      <c r="J5013" s="17"/>
      <c r="P5013" s="17"/>
      <c r="Q5013" s="17"/>
    </row>
    <row r="5014" spans="2:17">
      <c r="B5014" s="17"/>
      <c r="C5014" s="16" t="str">
        <f>IFERROR(VLOOKUP(DATA!#REF!,DATA!#REF!,1,FALSE),"")</f>
        <v/>
      </c>
      <c r="D5014" s="16" t="str">
        <f>IFERROR(VLOOKUP(C5014,DATA!#REF!,2,FALSE),"")</f>
        <v/>
      </c>
      <c r="I5014" s="17"/>
      <c r="J5014" s="17"/>
      <c r="P5014" s="17"/>
      <c r="Q5014" s="17"/>
    </row>
    <row r="5015" spans="2:17">
      <c r="B5015" s="17"/>
      <c r="C5015" s="16" t="str">
        <f>IFERROR(VLOOKUP(DATA!#REF!,DATA!#REF!,1,FALSE),"")</f>
        <v/>
      </c>
      <c r="D5015" s="16" t="str">
        <f>IFERROR(VLOOKUP(C5015,DATA!#REF!,2,FALSE),"")</f>
        <v/>
      </c>
      <c r="I5015" s="17"/>
      <c r="J5015" s="17"/>
      <c r="P5015" s="17"/>
      <c r="Q5015" s="17"/>
    </row>
    <row r="5016" spans="2:17">
      <c r="B5016" s="17"/>
      <c r="C5016" s="16" t="str">
        <f>IFERROR(VLOOKUP(DATA!#REF!,DATA!#REF!,1,FALSE),"")</f>
        <v/>
      </c>
      <c r="D5016" s="16" t="str">
        <f>IFERROR(VLOOKUP(C5016,DATA!#REF!,2,FALSE),"")</f>
        <v/>
      </c>
      <c r="I5016" s="17"/>
      <c r="J5016" s="17"/>
      <c r="P5016" s="17"/>
      <c r="Q5016" s="17"/>
    </row>
    <row r="5017" spans="2:17">
      <c r="B5017" s="17"/>
      <c r="C5017" s="16" t="str">
        <f>IFERROR(VLOOKUP(DATA!#REF!,DATA!#REF!,1,FALSE),"")</f>
        <v/>
      </c>
      <c r="D5017" s="16" t="str">
        <f>IFERROR(VLOOKUP(C5017,DATA!#REF!,2,FALSE),"")</f>
        <v/>
      </c>
      <c r="I5017" s="17"/>
      <c r="J5017" s="17"/>
      <c r="P5017" s="17"/>
      <c r="Q5017" s="17"/>
    </row>
    <row r="5018" spans="2:17">
      <c r="B5018" s="17"/>
      <c r="C5018" s="16" t="str">
        <f>IFERROR(VLOOKUP(DATA!#REF!,DATA!#REF!,1,FALSE),"")</f>
        <v/>
      </c>
      <c r="D5018" s="16" t="str">
        <f>IFERROR(VLOOKUP(C5018,DATA!#REF!,2,FALSE),"")</f>
        <v/>
      </c>
      <c r="I5018" s="17"/>
      <c r="J5018" s="17"/>
      <c r="P5018" s="17"/>
      <c r="Q5018" s="17"/>
    </row>
    <row r="5019" spans="2:17">
      <c r="B5019" s="17"/>
      <c r="C5019" s="16" t="str">
        <f>IFERROR(VLOOKUP(DATA!#REF!,DATA!#REF!,1,FALSE),"")</f>
        <v/>
      </c>
      <c r="D5019" s="16" t="str">
        <f>IFERROR(VLOOKUP(C5019,DATA!#REF!,2,FALSE),"")</f>
        <v/>
      </c>
      <c r="I5019" s="17"/>
      <c r="J5019" s="17"/>
      <c r="P5019" s="17"/>
      <c r="Q5019" s="17"/>
    </row>
    <row r="5020" spans="2:17">
      <c r="B5020" s="17"/>
      <c r="C5020" s="16" t="str">
        <f>IFERROR(VLOOKUP(DATA!#REF!,DATA!#REF!,1,FALSE),"")</f>
        <v/>
      </c>
      <c r="D5020" s="16" t="str">
        <f>IFERROR(VLOOKUP(C5020,DATA!#REF!,2,FALSE),"")</f>
        <v/>
      </c>
      <c r="I5020" s="17"/>
      <c r="J5020" s="17"/>
      <c r="P5020" s="17"/>
      <c r="Q5020" s="17"/>
    </row>
    <row r="5021" spans="2:17">
      <c r="B5021" s="17"/>
      <c r="C5021" s="16" t="str">
        <f>IFERROR(VLOOKUP(DATA!#REF!,DATA!#REF!,1,FALSE),"")</f>
        <v/>
      </c>
      <c r="D5021" s="16" t="str">
        <f>IFERROR(VLOOKUP(C5021,DATA!#REF!,2,FALSE),"")</f>
        <v/>
      </c>
      <c r="I5021" s="17"/>
      <c r="J5021" s="17"/>
      <c r="P5021" s="17"/>
      <c r="Q5021" s="17"/>
    </row>
    <row r="5022" spans="2:17">
      <c r="B5022" s="17"/>
      <c r="C5022" s="16" t="str">
        <f>IFERROR(VLOOKUP(DATA!#REF!,DATA!#REF!,1,FALSE),"")</f>
        <v/>
      </c>
      <c r="D5022" s="16" t="str">
        <f>IFERROR(VLOOKUP(C5022,DATA!#REF!,2,FALSE),"")</f>
        <v/>
      </c>
      <c r="I5022" s="17"/>
      <c r="J5022" s="17"/>
      <c r="P5022" s="17"/>
      <c r="Q5022" s="17"/>
    </row>
    <row r="5023" spans="2:17">
      <c r="B5023" s="17"/>
      <c r="C5023" s="16" t="str">
        <f>IFERROR(VLOOKUP(DATA!#REF!,DATA!#REF!,1,FALSE),"")</f>
        <v/>
      </c>
      <c r="D5023" s="16" t="str">
        <f>IFERROR(VLOOKUP(C5023,DATA!#REF!,2,FALSE),"")</f>
        <v/>
      </c>
      <c r="I5023" s="17"/>
      <c r="J5023" s="17"/>
      <c r="P5023" s="17"/>
      <c r="Q5023" s="17"/>
    </row>
    <row r="5024" spans="2:17">
      <c r="B5024" s="17"/>
      <c r="C5024" s="16" t="str">
        <f>IFERROR(VLOOKUP(DATA!#REF!,DATA!#REF!,1,FALSE),"")</f>
        <v/>
      </c>
      <c r="D5024" s="16" t="str">
        <f>IFERROR(VLOOKUP(C5024,DATA!#REF!,2,FALSE),"")</f>
        <v/>
      </c>
      <c r="I5024" s="17"/>
      <c r="J5024" s="17"/>
      <c r="P5024" s="17"/>
      <c r="Q5024" s="17"/>
    </row>
    <row r="5025" spans="2:17">
      <c r="B5025" s="17"/>
      <c r="C5025" s="16" t="str">
        <f>IFERROR(VLOOKUP(DATA!#REF!,DATA!#REF!,1,FALSE),"")</f>
        <v/>
      </c>
      <c r="D5025" s="16" t="str">
        <f>IFERROR(VLOOKUP(C5025,DATA!#REF!,2,FALSE),"")</f>
        <v/>
      </c>
      <c r="I5025" s="17"/>
      <c r="J5025" s="17"/>
      <c r="P5025" s="17"/>
      <c r="Q5025" s="17"/>
    </row>
    <row r="5026" spans="2:17">
      <c r="B5026" s="17"/>
      <c r="C5026" s="16" t="str">
        <f>IFERROR(VLOOKUP(DATA!#REF!,DATA!#REF!,1,FALSE),"")</f>
        <v/>
      </c>
      <c r="D5026" s="16" t="str">
        <f>IFERROR(VLOOKUP(C5026,DATA!#REF!,2,FALSE),"")</f>
        <v/>
      </c>
      <c r="I5026" s="17"/>
      <c r="J5026" s="17"/>
      <c r="P5026" s="17"/>
      <c r="Q5026" s="17"/>
    </row>
    <row r="5027" spans="2:17">
      <c r="B5027" s="17"/>
      <c r="C5027" s="16" t="str">
        <f>IFERROR(VLOOKUP(DATA!#REF!,DATA!#REF!,1,FALSE),"")</f>
        <v/>
      </c>
      <c r="D5027" s="16" t="str">
        <f>IFERROR(VLOOKUP(C5027,DATA!#REF!,2,FALSE),"")</f>
        <v/>
      </c>
      <c r="I5027" s="17"/>
      <c r="J5027" s="17"/>
      <c r="P5027" s="17"/>
      <c r="Q5027" s="17"/>
    </row>
    <row r="5028" spans="2:17">
      <c r="B5028" s="17"/>
      <c r="C5028" s="16" t="str">
        <f>IFERROR(VLOOKUP(DATA!#REF!,DATA!#REF!,1,FALSE),"")</f>
        <v/>
      </c>
      <c r="D5028" s="16" t="str">
        <f>IFERROR(VLOOKUP(C5028,DATA!#REF!,2,FALSE),"")</f>
        <v/>
      </c>
      <c r="I5028" s="17"/>
      <c r="J5028" s="17"/>
      <c r="P5028" s="17"/>
      <c r="Q5028" s="17"/>
    </row>
    <row r="5029" spans="2:17">
      <c r="B5029" s="17"/>
      <c r="C5029" s="16" t="str">
        <f>IFERROR(VLOOKUP(DATA!#REF!,DATA!#REF!,1,FALSE),"")</f>
        <v/>
      </c>
      <c r="D5029" s="16" t="str">
        <f>IFERROR(VLOOKUP(C5029,DATA!#REF!,2,FALSE),"")</f>
        <v/>
      </c>
      <c r="I5029" s="17"/>
      <c r="J5029" s="17"/>
      <c r="P5029" s="17"/>
      <c r="Q5029" s="17"/>
    </row>
    <row r="5030" spans="2:17">
      <c r="B5030" s="17"/>
      <c r="C5030" s="16" t="str">
        <f>IFERROR(VLOOKUP(DATA!#REF!,DATA!#REF!,1,FALSE),"")</f>
        <v/>
      </c>
      <c r="D5030" s="16" t="str">
        <f>IFERROR(VLOOKUP(C5030,DATA!#REF!,2,FALSE),"")</f>
        <v/>
      </c>
      <c r="I5030" s="17"/>
      <c r="J5030" s="17"/>
      <c r="P5030" s="17"/>
      <c r="Q5030" s="17"/>
    </row>
    <row r="5031" spans="2:17">
      <c r="B5031" s="17"/>
      <c r="C5031" s="16" t="str">
        <f>IFERROR(VLOOKUP(DATA!#REF!,DATA!#REF!,1,FALSE),"")</f>
        <v/>
      </c>
      <c r="D5031" s="16" t="str">
        <f>IFERROR(VLOOKUP(C5031,DATA!#REF!,2,FALSE),"")</f>
        <v/>
      </c>
      <c r="I5031" s="17"/>
      <c r="J5031" s="17"/>
      <c r="P5031" s="17"/>
      <c r="Q5031" s="17"/>
    </row>
    <row r="5032" spans="2:17">
      <c r="B5032" s="17"/>
      <c r="C5032" s="16" t="str">
        <f>IFERROR(VLOOKUP(DATA!#REF!,DATA!#REF!,1,FALSE),"")</f>
        <v/>
      </c>
      <c r="D5032" s="16" t="str">
        <f>IFERROR(VLOOKUP(C5032,DATA!#REF!,2,FALSE),"")</f>
        <v/>
      </c>
      <c r="I5032" s="17"/>
      <c r="J5032" s="17"/>
      <c r="P5032" s="17"/>
      <c r="Q5032" s="17"/>
    </row>
    <row r="5033" spans="2:17">
      <c r="B5033" s="17"/>
      <c r="C5033" s="16" t="str">
        <f>IFERROR(VLOOKUP(DATA!#REF!,DATA!#REF!,1,FALSE),"")</f>
        <v/>
      </c>
      <c r="D5033" s="16" t="str">
        <f>IFERROR(VLOOKUP(C5033,DATA!#REF!,2,FALSE),"")</f>
        <v/>
      </c>
      <c r="I5033" s="17"/>
      <c r="J5033" s="17"/>
      <c r="P5033" s="17"/>
      <c r="Q5033" s="17"/>
    </row>
    <row r="5034" spans="2:17">
      <c r="B5034" s="17"/>
      <c r="C5034" s="16" t="str">
        <f>IFERROR(VLOOKUP(DATA!#REF!,DATA!#REF!,1,FALSE),"")</f>
        <v/>
      </c>
      <c r="D5034" s="16" t="str">
        <f>IFERROR(VLOOKUP(C5034,DATA!#REF!,2,FALSE),"")</f>
        <v/>
      </c>
      <c r="I5034" s="17"/>
      <c r="J5034" s="17"/>
      <c r="P5034" s="17"/>
      <c r="Q5034" s="17"/>
    </row>
    <row r="5035" spans="2:17">
      <c r="B5035" s="17"/>
      <c r="C5035" s="16" t="str">
        <f>IFERROR(VLOOKUP(DATA!#REF!,DATA!#REF!,1,FALSE),"")</f>
        <v/>
      </c>
      <c r="D5035" s="16" t="str">
        <f>IFERROR(VLOOKUP(C5035,DATA!#REF!,2,FALSE),"")</f>
        <v/>
      </c>
      <c r="I5035" s="17"/>
      <c r="J5035" s="17"/>
      <c r="P5035" s="17"/>
      <c r="Q5035" s="17"/>
    </row>
    <row r="5036" spans="2:17">
      <c r="B5036" s="17"/>
      <c r="C5036" s="16" t="str">
        <f>IFERROR(VLOOKUP(DATA!#REF!,DATA!#REF!,1,FALSE),"")</f>
        <v/>
      </c>
      <c r="D5036" s="16" t="str">
        <f>IFERROR(VLOOKUP(C5036,DATA!#REF!,2,FALSE),"")</f>
        <v/>
      </c>
      <c r="I5036" s="17"/>
      <c r="J5036" s="17"/>
      <c r="P5036" s="17"/>
      <c r="Q5036" s="17"/>
    </row>
    <row r="5037" spans="2:17">
      <c r="B5037" s="17"/>
      <c r="C5037" s="16" t="str">
        <f>IFERROR(VLOOKUP(DATA!#REF!,DATA!#REF!,1,FALSE),"")</f>
        <v/>
      </c>
      <c r="D5037" s="16" t="str">
        <f>IFERROR(VLOOKUP(C5037,DATA!#REF!,2,FALSE),"")</f>
        <v/>
      </c>
      <c r="I5037" s="17"/>
      <c r="J5037" s="17"/>
      <c r="P5037" s="17"/>
      <c r="Q5037" s="17"/>
    </row>
    <row r="5038" spans="2:17">
      <c r="B5038" s="17"/>
      <c r="C5038" s="16" t="str">
        <f>IFERROR(VLOOKUP(DATA!#REF!,DATA!#REF!,1,FALSE),"")</f>
        <v/>
      </c>
      <c r="D5038" s="16" t="str">
        <f>IFERROR(VLOOKUP(C5038,DATA!#REF!,2,FALSE),"")</f>
        <v/>
      </c>
      <c r="I5038" s="17"/>
      <c r="J5038" s="17"/>
      <c r="P5038" s="17"/>
      <c r="Q5038" s="17"/>
    </row>
    <row r="5039" spans="2:17">
      <c r="B5039" s="17"/>
      <c r="C5039" s="16" t="str">
        <f>IFERROR(VLOOKUP(DATA!#REF!,DATA!#REF!,1,FALSE),"")</f>
        <v/>
      </c>
      <c r="D5039" s="16" t="str">
        <f>IFERROR(VLOOKUP(C5039,DATA!#REF!,2,FALSE),"")</f>
        <v/>
      </c>
      <c r="I5039" s="17"/>
      <c r="J5039" s="17"/>
      <c r="P5039" s="17"/>
      <c r="Q5039" s="17"/>
    </row>
    <row r="5040" spans="2:17">
      <c r="B5040" s="17"/>
      <c r="C5040" s="16" t="str">
        <f>IFERROR(VLOOKUP(DATA!#REF!,DATA!#REF!,1,FALSE),"")</f>
        <v/>
      </c>
      <c r="D5040" s="16" t="str">
        <f>IFERROR(VLOOKUP(C5040,DATA!#REF!,2,FALSE),"")</f>
        <v/>
      </c>
      <c r="I5040" s="17"/>
      <c r="J5040" s="17"/>
      <c r="P5040" s="17"/>
      <c r="Q5040" s="17"/>
    </row>
    <row r="5041" spans="2:17">
      <c r="B5041" s="17"/>
      <c r="C5041" s="16" t="str">
        <f>IFERROR(VLOOKUP(DATA!#REF!,DATA!#REF!,1,FALSE),"")</f>
        <v/>
      </c>
      <c r="D5041" s="16" t="str">
        <f>IFERROR(VLOOKUP(C5041,DATA!#REF!,2,FALSE),"")</f>
        <v/>
      </c>
      <c r="I5041" s="17"/>
      <c r="J5041" s="17"/>
      <c r="P5041" s="17"/>
      <c r="Q5041" s="17"/>
    </row>
    <row r="5042" spans="2:17">
      <c r="B5042" s="17"/>
      <c r="C5042" s="16" t="str">
        <f>IFERROR(VLOOKUP(DATA!#REF!,DATA!#REF!,1,FALSE),"")</f>
        <v/>
      </c>
      <c r="D5042" s="16" t="str">
        <f>IFERROR(VLOOKUP(C5042,DATA!#REF!,2,FALSE),"")</f>
        <v/>
      </c>
      <c r="I5042" s="17"/>
      <c r="J5042" s="17"/>
      <c r="P5042" s="17"/>
      <c r="Q5042" s="17"/>
    </row>
    <row r="5043" spans="2:17">
      <c r="B5043" s="17"/>
      <c r="C5043" s="16" t="str">
        <f>IFERROR(VLOOKUP(DATA!#REF!,DATA!#REF!,1,FALSE),"")</f>
        <v/>
      </c>
      <c r="D5043" s="16" t="str">
        <f>IFERROR(VLOOKUP(C5043,DATA!#REF!,2,FALSE),"")</f>
        <v/>
      </c>
      <c r="I5043" s="17"/>
      <c r="J5043" s="17"/>
      <c r="P5043" s="17"/>
      <c r="Q5043" s="17"/>
    </row>
    <row r="5044" spans="2:17">
      <c r="B5044" s="17"/>
      <c r="C5044" s="16" t="str">
        <f>IFERROR(VLOOKUP(DATA!#REF!,DATA!#REF!,1,FALSE),"")</f>
        <v/>
      </c>
      <c r="D5044" s="16" t="str">
        <f>IFERROR(VLOOKUP(C5044,DATA!#REF!,2,FALSE),"")</f>
        <v/>
      </c>
      <c r="I5044" s="17"/>
      <c r="J5044" s="17"/>
      <c r="P5044" s="17"/>
      <c r="Q5044" s="17"/>
    </row>
    <row r="5045" spans="2:17">
      <c r="B5045" s="17"/>
      <c r="C5045" s="16" t="str">
        <f>IFERROR(VLOOKUP(DATA!#REF!,DATA!#REF!,1,FALSE),"")</f>
        <v/>
      </c>
      <c r="D5045" s="16" t="str">
        <f>IFERROR(VLOOKUP(C5045,DATA!#REF!,2,FALSE),"")</f>
        <v/>
      </c>
      <c r="I5045" s="17"/>
      <c r="J5045" s="17"/>
      <c r="P5045" s="17"/>
      <c r="Q5045" s="17"/>
    </row>
    <row r="5046" spans="2:17">
      <c r="B5046" s="17"/>
      <c r="C5046" s="16" t="str">
        <f>IFERROR(VLOOKUP(DATA!#REF!,DATA!#REF!,1,FALSE),"")</f>
        <v/>
      </c>
      <c r="D5046" s="16" t="str">
        <f>IFERROR(VLOOKUP(C5046,DATA!#REF!,2,FALSE),"")</f>
        <v/>
      </c>
      <c r="I5046" s="17"/>
      <c r="J5046" s="17"/>
      <c r="P5046" s="17"/>
      <c r="Q5046" s="17"/>
    </row>
    <row r="5047" spans="2:17">
      <c r="B5047" s="17"/>
      <c r="C5047" s="16" t="str">
        <f>IFERROR(VLOOKUP(DATA!#REF!,DATA!#REF!,1,FALSE),"")</f>
        <v/>
      </c>
      <c r="D5047" s="16" t="str">
        <f>IFERROR(VLOOKUP(C5047,DATA!#REF!,2,FALSE),"")</f>
        <v/>
      </c>
      <c r="I5047" s="17"/>
      <c r="J5047" s="17"/>
      <c r="P5047" s="17"/>
      <c r="Q5047" s="17"/>
    </row>
    <row r="5048" spans="2:17">
      <c r="B5048" s="17"/>
      <c r="C5048" s="16" t="str">
        <f>IFERROR(VLOOKUP(DATA!#REF!,DATA!#REF!,1,FALSE),"")</f>
        <v/>
      </c>
      <c r="D5048" s="16" t="str">
        <f>IFERROR(VLOOKUP(C5048,DATA!#REF!,2,FALSE),"")</f>
        <v/>
      </c>
      <c r="I5048" s="17"/>
      <c r="J5048" s="17"/>
      <c r="P5048" s="17"/>
      <c r="Q5048" s="17"/>
    </row>
    <row r="5049" spans="2:17">
      <c r="B5049" s="17"/>
      <c r="C5049" s="16" t="str">
        <f>IFERROR(VLOOKUP(DATA!#REF!,DATA!#REF!,1,FALSE),"")</f>
        <v/>
      </c>
      <c r="D5049" s="16" t="str">
        <f>IFERROR(VLOOKUP(C5049,DATA!#REF!,2,FALSE),"")</f>
        <v/>
      </c>
      <c r="I5049" s="17"/>
      <c r="J5049" s="17"/>
      <c r="P5049" s="17"/>
      <c r="Q5049" s="17"/>
    </row>
    <row r="5050" spans="2:17">
      <c r="B5050" s="17"/>
      <c r="C5050" s="16" t="str">
        <f>IFERROR(VLOOKUP(DATA!#REF!,DATA!#REF!,1,FALSE),"")</f>
        <v/>
      </c>
      <c r="D5050" s="16" t="str">
        <f>IFERROR(VLOOKUP(C5050,DATA!#REF!,2,FALSE),"")</f>
        <v/>
      </c>
      <c r="I5050" s="17"/>
      <c r="J5050" s="17"/>
      <c r="P5050" s="17"/>
      <c r="Q5050" s="17"/>
    </row>
    <row r="5051" spans="2:17">
      <c r="B5051" s="17"/>
      <c r="C5051" s="16" t="str">
        <f>IFERROR(VLOOKUP(DATA!#REF!,DATA!#REF!,1,FALSE),"")</f>
        <v/>
      </c>
      <c r="D5051" s="16" t="str">
        <f>IFERROR(VLOOKUP(C5051,DATA!#REF!,2,FALSE),"")</f>
        <v/>
      </c>
      <c r="I5051" s="17"/>
      <c r="J5051" s="17"/>
      <c r="P5051" s="17"/>
      <c r="Q5051" s="17"/>
    </row>
    <row r="5052" spans="2:17">
      <c r="B5052" s="17"/>
      <c r="C5052" s="16" t="str">
        <f>IFERROR(VLOOKUP(DATA!#REF!,DATA!#REF!,1,FALSE),"")</f>
        <v/>
      </c>
      <c r="D5052" s="16" t="str">
        <f>IFERROR(VLOOKUP(C5052,DATA!#REF!,2,FALSE),"")</f>
        <v/>
      </c>
      <c r="I5052" s="17"/>
      <c r="J5052" s="17"/>
      <c r="P5052" s="17"/>
      <c r="Q5052" s="17"/>
    </row>
    <row r="5053" spans="2:17">
      <c r="B5053" s="17"/>
      <c r="C5053" s="16" t="str">
        <f>IFERROR(VLOOKUP(DATA!#REF!,DATA!#REF!,1,FALSE),"")</f>
        <v/>
      </c>
      <c r="D5053" s="16" t="str">
        <f>IFERROR(VLOOKUP(C5053,DATA!#REF!,2,FALSE),"")</f>
        <v/>
      </c>
      <c r="I5053" s="17"/>
      <c r="J5053" s="17"/>
      <c r="P5053" s="17"/>
      <c r="Q5053" s="17"/>
    </row>
    <row r="5054" spans="2:17">
      <c r="B5054" s="17"/>
      <c r="C5054" s="16" t="str">
        <f>IFERROR(VLOOKUP(DATA!#REF!,DATA!#REF!,1,FALSE),"")</f>
        <v/>
      </c>
      <c r="D5054" s="16" t="str">
        <f>IFERROR(VLOOKUP(C5054,DATA!#REF!,2,FALSE),"")</f>
        <v/>
      </c>
      <c r="I5054" s="17"/>
      <c r="J5054" s="17"/>
      <c r="P5054" s="17"/>
      <c r="Q5054" s="17"/>
    </row>
    <row r="5055" spans="2:17">
      <c r="B5055" s="17"/>
      <c r="C5055" s="16" t="str">
        <f>IFERROR(VLOOKUP(DATA!#REF!,DATA!#REF!,1,FALSE),"")</f>
        <v/>
      </c>
      <c r="D5055" s="16" t="str">
        <f>IFERROR(VLOOKUP(C5055,DATA!#REF!,2,FALSE),"")</f>
        <v/>
      </c>
      <c r="I5055" s="17"/>
      <c r="J5055" s="17"/>
      <c r="P5055" s="17"/>
      <c r="Q5055" s="17"/>
    </row>
    <row r="5056" spans="2:17">
      <c r="B5056" s="17"/>
      <c r="C5056" s="16" t="str">
        <f>IFERROR(VLOOKUP(DATA!#REF!,DATA!#REF!,1,FALSE),"")</f>
        <v/>
      </c>
      <c r="D5056" s="16" t="str">
        <f>IFERROR(VLOOKUP(C5056,DATA!#REF!,2,FALSE),"")</f>
        <v/>
      </c>
      <c r="I5056" s="17"/>
      <c r="J5056" s="17"/>
      <c r="P5056" s="17"/>
      <c r="Q5056" s="17"/>
    </row>
    <row r="5057" spans="2:17">
      <c r="B5057" s="17"/>
      <c r="C5057" s="16" t="str">
        <f>IFERROR(VLOOKUP(DATA!#REF!,DATA!#REF!,1,FALSE),"")</f>
        <v/>
      </c>
      <c r="D5057" s="16" t="str">
        <f>IFERROR(VLOOKUP(C5057,DATA!#REF!,2,FALSE),"")</f>
        <v/>
      </c>
      <c r="I5057" s="17"/>
      <c r="J5057" s="17"/>
      <c r="P5057" s="17"/>
      <c r="Q5057" s="17"/>
    </row>
    <row r="5058" spans="2:17">
      <c r="B5058" s="17"/>
      <c r="C5058" s="16" t="str">
        <f>IFERROR(VLOOKUP(DATA!#REF!,DATA!#REF!,1,FALSE),"")</f>
        <v/>
      </c>
      <c r="D5058" s="16" t="str">
        <f>IFERROR(VLOOKUP(C5058,DATA!#REF!,2,FALSE),"")</f>
        <v/>
      </c>
      <c r="I5058" s="17"/>
      <c r="J5058" s="17"/>
      <c r="P5058" s="17"/>
      <c r="Q5058" s="17"/>
    </row>
    <row r="5059" spans="2:17">
      <c r="B5059" s="17"/>
      <c r="C5059" s="16" t="str">
        <f>IFERROR(VLOOKUP(DATA!#REF!,DATA!#REF!,1,FALSE),"")</f>
        <v/>
      </c>
      <c r="D5059" s="16" t="str">
        <f>IFERROR(VLOOKUP(C5059,DATA!#REF!,2,FALSE),"")</f>
        <v/>
      </c>
      <c r="I5059" s="17"/>
      <c r="J5059" s="17"/>
      <c r="P5059" s="17"/>
      <c r="Q5059" s="17"/>
    </row>
    <row r="5060" spans="2:17">
      <c r="B5060" s="17"/>
      <c r="C5060" s="16" t="str">
        <f>IFERROR(VLOOKUP(DATA!#REF!,DATA!#REF!,1,FALSE),"")</f>
        <v/>
      </c>
      <c r="D5060" s="16" t="str">
        <f>IFERROR(VLOOKUP(C5060,DATA!#REF!,2,FALSE),"")</f>
        <v/>
      </c>
      <c r="I5060" s="17"/>
      <c r="J5060" s="17"/>
      <c r="P5060" s="17"/>
      <c r="Q5060" s="17"/>
    </row>
    <row r="5061" spans="2:17">
      <c r="B5061" s="17"/>
      <c r="C5061" s="16" t="str">
        <f>IFERROR(VLOOKUP(DATA!#REF!,DATA!#REF!,1,FALSE),"")</f>
        <v/>
      </c>
      <c r="D5061" s="16" t="str">
        <f>IFERROR(VLOOKUP(C5061,DATA!#REF!,2,FALSE),"")</f>
        <v/>
      </c>
      <c r="I5061" s="17"/>
      <c r="J5061" s="17"/>
      <c r="P5061" s="17"/>
      <c r="Q5061" s="17"/>
    </row>
    <row r="5062" spans="2:17">
      <c r="B5062" s="17"/>
      <c r="C5062" s="16" t="str">
        <f>IFERROR(VLOOKUP(DATA!#REF!,DATA!#REF!,1,FALSE),"")</f>
        <v/>
      </c>
      <c r="D5062" s="16" t="str">
        <f>IFERROR(VLOOKUP(C5062,DATA!#REF!,2,FALSE),"")</f>
        <v/>
      </c>
      <c r="I5062" s="17"/>
      <c r="J5062" s="17"/>
      <c r="P5062" s="17"/>
      <c r="Q5062" s="17"/>
    </row>
    <row r="5063" spans="2:17">
      <c r="B5063" s="17"/>
      <c r="C5063" s="16" t="str">
        <f>IFERROR(VLOOKUP(DATA!#REF!,DATA!#REF!,1,FALSE),"")</f>
        <v/>
      </c>
      <c r="D5063" s="16" t="str">
        <f>IFERROR(VLOOKUP(C5063,DATA!#REF!,2,FALSE),"")</f>
        <v/>
      </c>
      <c r="I5063" s="17"/>
      <c r="J5063" s="17"/>
      <c r="P5063" s="17"/>
      <c r="Q5063" s="17"/>
    </row>
    <row r="5064" spans="2:17">
      <c r="B5064" s="17"/>
      <c r="C5064" s="16" t="str">
        <f>IFERROR(VLOOKUP(DATA!#REF!,DATA!#REF!,1,FALSE),"")</f>
        <v/>
      </c>
      <c r="D5064" s="16" t="str">
        <f>IFERROR(VLOOKUP(C5064,DATA!#REF!,2,FALSE),"")</f>
        <v/>
      </c>
      <c r="I5064" s="17"/>
      <c r="J5064" s="17"/>
      <c r="P5064" s="17"/>
      <c r="Q5064" s="17"/>
    </row>
    <row r="5065" spans="2:17">
      <c r="B5065" s="17"/>
      <c r="C5065" s="16" t="str">
        <f>IFERROR(VLOOKUP(DATA!#REF!,DATA!#REF!,1,FALSE),"")</f>
        <v/>
      </c>
      <c r="D5065" s="16" t="str">
        <f>IFERROR(VLOOKUP(C5065,DATA!#REF!,2,FALSE),"")</f>
        <v/>
      </c>
      <c r="I5065" s="17"/>
      <c r="J5065" s="17"/>
      <c r="P5065" s="17"/>
      <c r="Q5065" s="17"/>
    </row>
    <row r="5066" spans="2:17">
      <c r="B5066" s="17"/>
      <c r="C5066" s="16" t="str">
        <f>IFERROR(VLOOKUP(DATA!#REF!,DATA!#REF!,1,FALSE),"")</f>
        <v/>
      </c>
      <c r="D5066" s="16" t="str">
        <f>IFERROR(VLOOKUP(C5066,DATA!#REF!,2,FALSE),"")</f>
        <v/>
      </c>
      <c r="I5066" s="17"/>
      <c r="J5066" s="17"/>
      <c r="P5066" s="17"/>
      <c r="Q5066" s="17"/>
    </row>
    <row r="5067" spans="2:17">
      <c r="B5067" s="17"/>
      <c r="C5067" s="16" t="str">
        <f>IFERROR(VLOOKUP(DATA!#REF!,DATA!#REF!,1,FALSE),"")</f>
        <v/>
      </c>
      <c r="D5067" s="16" t="str">
        <f>IFERROR(VLOOKUP(C5067,DATA!#REF!,2,FALSE),"")</f>
        <v/>
      </c>
      <c r="I5067" s="17"/>
      <c r="J5067" s="17"/>
      <c r="P5067" s="17"/>
      <c r="Q5067" s="17"/>
    </row>
    <row r="5068" spans="2:17">
      <c r="B5068" s="17"/>
      <c r="C5068" s="16" t="str">
        <f>IFERROR(VLOOKUP(DATA!#REF!,DATA!#REF!,1,FALSE),"")</f>
        <v/>
      </c>
      <c r="D5068" s="16" t="str">
        <f>IFERROR(VLOOKUP(C5068,DATA!#REF!,2,FALSE),"")</f>
        <v/>
      </c>
      <c r="I5068" s="17"/>
      <c r="J5068" s="17"/>
      <c r="P5068" s="17"/>
      <c r="Q5068" s="17"/>
    </row>
    <row r="5069" spans="2:17">
      <c r="B5069" s="17"/>
      <c r="C5069" s="16" t="str">
        <f>IFERROR(VLOOKUP(DATA!#REF!,DATA!#REF!,1,FALSE),"")</f>
        <v/>
      </c>
      <c r="D5069" s="16" t="str">
        <f>IFERROR(VLOOKUP(C5069,DATA!#REF!,2,FALSE),"")</f>
        <v/>
      </c>
      <c r="I5069" s="17"/>
      <c r="J5069" s="17"/>
      <c r="P5069" s="17"/>
      <c r="Q5069" s="17"/>
    </row>
    <row r="5070" spans="2:17">
      <c r="B5070" s="17"/>
      <c r="C5070" s="16" t="str">
        <f>IFERROR(VLOOKUP(DATA!#REF!,DATA!#REF!,1,FALSE),"")</f>
        <v/>
      </c>
      <c r="D5070" s="16" t="str">
        <f>IFERROR(VLOOKUP(C5070,DATA!#REF!,2,FALSE),"")</f>
        <v/>
      </c>
      <c r="I5070" s="17"/>
      <c r="J5070" s="17"/>
      <c r="P5070" s="17"/>
      <c r="Q5070" s="17"/>
    </row>
    <row r="5071" spans="2:17">
      <c r="B5071" s="17"/>
      <c r="C5071" s="16" t="str">
        <f>IFERROR(VLOOKUP(DATA!#REF!,DATA!#REF!,1,FALSE),"")</f>
        <v/>
      </c>
      <c r="D5071" s="16" t="str">
        <f>IFERROR(VLOOKUP(C5071,DATA!#REF!,2,FALSE),"")</f>
        <v/>
      </c>
      <c r="I5071" s="17"/>
      <c r="J5071" s="17"/>
      <c r="P5071" s="17"/>
      <c r="Q5071" s="17"/>
    </row>
    <row r="5072" spans="2:17">
      <c r="B5072" s="17"/>
      <c r="C5072" s="16" t="str">
        <f>IFERROR(VLOOKUP(DATA!#REF!,DATA!#REF!,1,FALSE),"")</f>
        <v/>
      </c>
      <c r="D5072" s="16" t="str">
        <f>IFERROR(VLOOKUP(C5072,DATA!#REF!,2,FALSE),"")</f>
        <v/>
      </c>
      <c r="I5072" s="17"/>
      <c r="J5072" s="17"/>
      <c r="P5072" s="17"/>
      <c r="Q5072" s="17"/>
    </row>
    <row r="5073" spans="2:17">
      <c r="B5073" s="17"/>
      <c r="C5073" s="16" t="str">
        <f>IFERROR(VLOOKUP(DATA!#REF!,DATA!#REF!,1,FALSE),"")</f>
        <v/>
      </c>
      <c r="D5073" s="16" t="str">
        <f>IFERROR(VLOOKUP(C5073,DATA!#REF!,2,FALSE),"")</f>
        <v/>
      </c>
      <c r="I5073" s="17"/>
      <c r="J5073" s="17"/>
      <c r="P5073" s="17"/>
      <c r="Q5073" s="17"/>
    </row>
    <row r="5074" spans="2:17">
      <c r="B5074" s="17"/>
      <c r="C5074" s="16" t="str">
        <f>IFERROR(VLOOKUP(DATA!#REF!,DATA!#REF!,1,FALSE),"")</f>
        <v/>
      </c>
      <c r="D5074" s="16" t="str">
        <f>IFERROR(VLOOKUP(C5074,DATA!#REF!,2,FALSE),"")</f>
        <v/>
      </c>
      <c r="I5074" s="17"/>
      <c r="J5074" s="17"/>
      <c r="P5074" s="17"/>
      <c r="Q5074" s="17"/>
    </row>
    <row r="5075" spans="2:17">
      <c r="B5075" s="17"/>
      <c r="C5075" s="16" t="str">
        <f>IFERROR(VLOOKUP(DATA!#REF!,DATA!#REF!,1,FALSE),"")</f>
        <v/>
      </c>
      <c r="D5075" s="16" t="str">
        <f>IFERROR(VLOOKUP(C5075,DATA!#REF!,2,FALSE),"")</f>
        <v/>
      </c>
      <c r="I5075" s="17"/>
      <c r="J5075" s="17"/>
      <c r="P5075" s="17"/>
      <c r="Q5075" s="17"/>
    </row>
    <row r="5076" spans="2:17">
      <c r="B5076" s="17"/>
      <c r="C5076" s="16" t="str">
        <f>IFERROR(VLOOKUP(DATA!#REF!,DATA!#REF!,1,FALSE),"")</f>
        <v/>
      </c>
      <c r="D5076" s="16" t="str">
        <f>IFERROR(VLOOKUP(C5076,DATA!#REF!,2,FALSE),"")</f>
        <v/>
      </c>
      <c r="I5076" s="17"/>
      <c r="J5076" s="17"/>
      <c r="P5076" s="17"/>
      <c r="Q5076" s="17"/>
    </row>
    <row r="5077" spans="2:17">
      <c r="B5077" s="17"/>
      <c r="C5077" s="16" t="str">
        <f>IFERROR(VLOOKUP(DATA!#REF!,DATA!#REF!,1,FALSE),"")</f>
        <v/>
      </c>
      <c r="D5077" s="16" t="str">
        <f>IFERROR(VLOOKUP(C5077,DATA!#REF!,2,FALSE),"")</f>
        <v/>
      </c>
      <c r="I5077" s="17"/>
      <c r="J5077" s="17"/>
      <c r="P5077" s="17"/>
      <c r="Q5077" s="17"/>
    </row>
    <row r="5078" spans="2:17">
      <c r="B5078" s="17"/>
      <c r="C5078" s="16" t="str">
        <f>IFERROR(VLOOKUP(DATA!#REF!,DATA!#REF!,1,FALSE),"")</f>
        <v/>
      </c>
      <c r="D5078" s="16" t="str">
        <f>IFERROR(VLOOKUP(C5078,DATA!#REF!,2,FALSE),"")</f>
        <v/>
      </c>
      <c r="I5078" s="17"/>
      <c r="J5078" s="17"/>
      <c r="P5078" s="17"/>
      <c r="Q5078" s="17"/>
    </row>
    <row r="5079" spans="2:17">
      <c r="B5079" s="17"/>
      <c r="C5079" s="16" t="str">
        <f>IFERROR(VLOOKUP(DATA!#REF!,DATA!#REF!,1,FALSE),"")</f>
        <v/>
      </c>
      <c r="D5079" s="16" t="str">
        <f>IFERROR(VLOOKUP(C5079,DATA!#REF!,2,FALSE),"")</f>
        <v/>
      </c>
      <c r="I5079" s="17"/>
      <c r="J5079" s="17"/>
      <c r="P5079" s="17"/>
      <c r="Q5079" s="17"/>
    </row>
    <row r="5080" spans="2:17">
      <c r="B5080" s="17"/>
      <c r="C5080" s="16" t="str">
        <f>IFERROR(VLOOKUP(DATA!#REF!,DATA!#REF!,1,FALSE),"")</f>
        <v/>
      </c>
      <c r="D5080" s="16" t="str">
        <f>IFERROR(VLOOKUP(C5080,DATA!#REF!,2,FALSE),"")</f>
        <v/>
      </c>
      <c r="I5080" s="17"/>
      <c r="J5080" s="17"/>
      <c r="P5080" s="17"/>
      <c r="Q5080" s="17"/>
    </row>
    <row r="5081" spans="2:17">
      <c r="B5081" s="17"/>
      <c r="C5081" s="16" t="str">
        <f>IFERROR(VLOOKUP(DATA!#REF!,DATA!#REF!,1,FALSE),"")</f>
        <v/>
      </c>
      <c r="D5081" s="16" t="str">
        <f>IFERROR(VLOOKUP(C5081,DATA!#REF!,2,FALSE),"")</f>
        <v/>
      </c>
      <c r="I5081" s="17"/>
      <c r="J5081" s="17"/>
      <c r="P5081" s="17"/>
      <c r="Q5081" s="17"/>
    </row>
    <row r="5082" spans="2:17">
      <c r="B5082" s="17"/>
      <c r="C5082" s="16" t="str">
        <f>IFERROR(VLOOKUP(DATA!#REF!,DATA!#REF!,1,FALSE),"")</f>
        <v/>
      </c>
      <c r="D5082" s="16" t="str">
        <f>IFERROR(VLOOKUP(C5082,DATA!#REF!,2,FALSE),"")</f>
        <v/>
      </c>
      <c r="I5082" s="17"/>
      <c r="J5082" s="17"/>
      <c r="P5082" s="17"/>
      <c r="Q5082" s="17"/>
    </row>
    <row r="5083" spans="2:17">
      <c r="B5083" s="17"/>
      <c r="C5083" s="16" t="str">
        <f>IFERROR(VLOOKUP(DATA!#REF!,DATA!#REF!,1,FALSE),"")</f>
        <v/>
      </c>
      <c r="D5083" s="16" t="str">
        <f>IFERROR(VLOOKUP(C5083,DATA!#REF!,2,FALSE),"")</f>
        <v/>
      </c>
      <c r="I5083" s="17"/>
      <c r="J5083" s="17"/>
      <c r="P5083" s="17"/>
      <c r="Q5083" s="17"/>
    </row>
    <row r="5084" spans="2:17">
      <c r="B5084" s="17"/>
      <c r="C5084" s="16" t="str">
        <f>IFERROR(VLOOKUP(DATA!#REF!,DATA!#REF!,1,FALSE),"")</f>
        <v/>
      </c>
      <c r="D5084" s="16" t="str">
        <f>IFERROR(VLOOKUP(C5084,DATA!#REF!,2,FALSE),"")</f>
        <v/>
      </c>
      <c r="I5084" s="17"/>
      <c r="J5084" s="17"/>
      <c r="P5084" s="17"/>
      <c r="Q5084" s="17"/>
    </row>
    <row r="5085" spans="2:17">
      <c r="B5085" s="17"/>
      <c r="C5085" s="16" t="str">
        <f>IFERROR(VLOOKUP(DATA!#REF!,DATA!#REF!,1,FALSE),"")</f>
        <v/>
      </c>
      <c r="D5085" s="16" t="str">
        <f>IFERROR(VLOOKUP(C5085,DATA!#REF!,2,FALSE),"")</f>
        <v/>
      </c>
      <c r="I5085" s="17"/>
      <c r="J5085" s="17"/>
      <c r="P5085" s="17"/>
      <c r="Q5085" s="17"/>
    </row>
    <row r="5086" spans="2:17">
      <c r="B5086" s="17"/>
      <c r="C5086" s="16" t="str">
        <f>IFERROR(VLOOKUP(DATA!#REF!,DATA!#REF!,1,FALSE),"")</f>
        <v/>
      </c>
      <c r="D5086" s="16" t="str">
        <f>IFERROR(VLOOKUP(C5086,DATA!#REF!,2,FALSE),"")</f>
        <v/>
      </c>
      <c r="I5086" s="17"/>
      <c r="J5086" s="17"/>
      <c r="P5086" s="17"/>
      <c r="Q5086" s="17"/>
    </row>
    <row r="5087" spans="2:17">
      <c r="B5087" s="17"/>
      <c r="C5087" s="16" t="str">
        <f>IFERROR(VLOOKUP(DATA!#REF!,DATA!#REF!,1,FALSE),"")</f>
        <v/>
      </c>
      <c r="D5087" s="16" t="str">
        <f>IFERROR(VLOOKUP(C5087,DATA!#REF!,2,FALSE),"")</f>
        <v/>
      </c>
      <c r="I5087" s="17"/>
      <c r="J5087" s="17"/>
      <c r="P5087" s="17"/>
      <c r="Q5087" s="17"/>
    </row>
    <row r="5088" spans="2:17">
      <c r="B5088" s="17"/>
      <c r="C5088" s="16" t="str">
        <f>IFERROR(VLOOKUP(DATA!#REF!,DATA!#REF!,1,FALSE),"")</f>
        <v/>
      </c>
      <c r="D5088" s="16" t="str">
        <f>IFERROR(VLOOKUP(C5088,DATA!#REF!,2,FALSE),"")</f>
        <v/>
      </c>
      <c r="I5088" s="17"/>
      <c r="J5088" s="17"/>
      <c r="P5088" s="17"/>
      <c r="Q5088" s="17"/>
    </row>
    <row r="5089" spans="2:17">
      <c r="B5089" s="17"/>
      <c r="C5089" s="16" t="str">
        <f>IFERROR(VLOOKUP(DATA!#REF!,DATA!#REF!,1,FALSE),"")</f>
        <v/>
      </c>
      <c r="D5089" s="16" t="str">
        <f>IFERROR(VLOOKUP(C5089,DATA!#REF!,2,FALSE),"")</f>
        <v/>
      </c>
      <c r="I5089" s="17"/>
      <c r="J5089" s="17"/>
      <c r="P5089" s="17"/>
      <c r="Q5089" s="17"/>
    </row>
    <row r="5090" spans="2:17">
      <c r="B5090" s="17"/>
      <c r="C5090" s="16" t="str">
        <f>IFERROR(VLOOKUP(DATA!#REF!,DATA!#REF!,1,FALSE),"")</f>
        <v/>
      </c>
      <c r="D5090" s="16" t="str">
        <f>IFERROR(VLOOKUP(C5090,DATA!#REF!,2,FALSE),"")</f>
        <v/>
      </c>
      <c r="I5090" s="17"/>
      <c r="J5090" s="17"/>
      <c r="P5090" s="17"/>
      <c r="Q5090" s="17"/>
    </row>
    <row r="5091" spans="2:17">
      <c r="B5091" s="17"/>
      <c r="C5091" s="16" t="str">
        <f>IFERROR(VLOOKUP(DATA!#REF!,DATA!#REF!,1,FALSE),"")</f>
        <v/>
      </c>
      <c r="D5091" s="16" t="str">
        <f>IFERROR(VLOOKUP(C5091,DATA!#REF!,2,FALSE),"")</f>
        <v/>
      </c>
      <c r="I5091" s="17"/>
      <c r="J5091" s="17"/>
      <c r="P5091" s="17"/>
      <c r="Q5091" s="17"/>
    </row>
    <row r="5092" spans="2:17">
      <c r="B5092" s="17"/>
      <c r="C5092" s="16" t="str">
        <f>IFERROR(VLOOKUP(DATA!#REF!,DATA!#REF!,1,FALSE),"")</f>
        <v/>
      </c>
      <c r="D5092" s="16" t="str">
        <f>IFERROR(VLOOKUP(C5092,DATA!#REF!,2,FALSE),"")</f>
        <v/>
      </c>
      <c r="I5092" s="17"/>
      <c r="J5092" s="17"/>
      <c r="P5092" s="17"/>
      <c r="Q5092" s="17"/>
    </row>
    <row r="5093" spans="2:17">
      <c r="B5093" s="17"/>
      <c r="C5093" s="16" t="str">
        <f>IFERROR(VLOOKUP(DATA!#REF!,DATA!#REF!,1,FALSE),"")</f>
        <v/>
      </c>
      <c r="D5093" s="16" t="str">
        <f>IFERROR(VLOOKUP(C5093,DATA!#REF!,2,FALSE),"")</f>
        <v/>
      </c>
      <c r="I5093" s="17"/>
      <c r="J5093" s="17"/>
      <c r="P5093" s="17"/>
      <c r="Q5093" s="17"/>
    </row>
    <row r="5094" spans="2:17">
      <c r="B5094" s="17"/>
      <c r="C5094" s="16" t="str">
        <f>IFERROR(VLOOKUP(DATA!#REF!,DATA!#REF!,1,FALSE),"")</f>
        <v/>
      </c>
      <c r="D5094" s="16" t="str">
        <f>IFERROR(VLOOKUP(C5094,DATA!#REF!,2,FALSE),"")</f>
        <v/>
      </c>
      <c r="I5094" s="17"/>
      <c r="J5094" s="17"/>
      <c r="P5094" s="17"/>
      <c r="Q5094" s="17"/>
    </row>
    <row r="5095" spans="2:17">
      <c r="B5095" s="17"/>
      <c r="C5095" s="16" t="str">
        <f>IFERROR(VLOOKUP(DATA!#REF!,DATA!#REF!,1,FALSE),"")</f>
        <v/>
      </c>
      <c r="D5095" s="16" t="str">
        <f>IFERROR(VLOOKUP(C5095,DATA!#REF!,2,FALSE),"")</f>
        <v/>
      </c>
      <c r="I5095" s="17"/>
      <c r="J5095" s="17"/>
      <c r="P5095" s="17"/>
      <c r="Q5095" s="17"/>
    </row>
    <row r="5096" spans="2:17">
      <c r="B5096" s="17"/>
      <c r="C5096" s="16" t="str">
        <f>IFERROR(VLOOKUP(DATA!#REF!,DATA!#REF!,1,FALSE),"")</f>
        <v/>
      </c>
      <c r="D5096" s="16" t="str">
        <f>IFERROR(VLOOKUP(C5096,DATA!#REF!,2,FALSE),"")</f>
        <v/>
      </c>
      <c r="I5096" s="17"/>
      <c r="J5096" s="17"/>
      <c r="P5096" s="17"/>
      <c r="Q5096" s="17"/>
    </row>
    <row r="5097" spans="2:17">
      <c r="B5097" s="17"/>
      <c r="C5097" s="16" t="str">
        <f>IFERROR(VLOOKUP(DATA!#REF!,DATA!#REF!,1,FALSE),"")</f>
        <v/>
      </c>
      <c r="D5097" s="16" t="str">
        <f>IFERROR(VLOOKUP(C5097,DATA!#REF!,2,FALSE),"")</f>
        <v/>
      </c>
      <c r="I5097" s="17"/>
      <c r="J5097" s="17"/>
      <c r="P5097" s="17"/>
      <c r="Q5097" s="17"/>
    </row>
    <row r="5098" spans="2:17">
      <c r="B5098" s="17"/>
      <c r="C5098" s="16" t="str">
        <f>IFERROR(VLOOKUP(DATA!#REF!,DATA!#REF!,1,FALSE),"")</f>
        <v/>
      </c>
      <c r="D5098" s="16" t="str">
        <f>IFERROR(VLOOKUP(C5098,DATA!#REF!,2,FALSE),"")</f>
        <v/>
      </c>
      <c r="I5098" s="17"/>
      <c r="J5098" s="17"/>
      <c r="P5098" s="17"/>
      <c r="Q5098" s="17"/>
    </row>
    <row r="5099" spans="2:17">
      <c r="B5099" s="17"/>
      <c r="C5099" s="16" t="str">
        <f>IFERROR(VLOOKUP(DATA!#REF!,DATA!#REF!,1,FALSE),"")</f>
        <v/>
      </c>
      <c r="D5099" s="16" t="str">
        <f>IFERROR(VLOOKUP(C5099,DATA!#REF!,2,FALSE),"")</f>
        <v/>
      </c>
      <c r="I5099" s="17"/>
      <c r="J5099" s="17"/>
      <c r="P5099" s="17"/>
      <c r="Q5099" s="17"/>
    </row>
    <row r="5100" spans="2:17">
      <c r="B5100" s="17"/>
      <c r="C5100" s="16" t="str">
        <f>IFERROR(VLOOKUP(DATA!#REF!,DATA!#REF!,1,FALSE),"")</f>
        <v/>
      </c>
      <c r="D5100" s="16" t="str">
        <f>IFERROR(VLOOKUP(C5100,DATA!#REF!,2,FALSE),"")</f>
        <v/>
      </c>
      <c r="I5100" s="17"/>
      <c r="J5100" s="17"/>
      <c r="P5100" s="17"/>
      <c r="Q5100" s="17"/>
    </row>
    <row r="5101" spans="2:17">
      <c r="B5101" s="17"/>
      <c r="C5101" s="16" t="str">
        <f>IFERROR(VLOOKUP(DATA!#REF!,DATA!#REF!,1,FALSE),"")</f>
        <v/>
      </c>
      <c r="D5101" s="16" t="str">
        <f>IFERROR(VLOOKUP(C5101,DATA!#REF!,2,FALSE),"")</f>
        <v/>
      </c>
      <c r="I5101" s="17"/>
      <c r="J5101" s="17"/>
      <c r="P5101" s="17"/>
      <c r="Q5101" s="17"/>
    </row>
    <row r="5102" spans="2:17">
      <c r="B5102" s="17"/>
      <c r="C5102" s="16" t="str">
        <f>IFERROR(VLOOKUP(DATA!#REF!,DATA!#REF!,1,FALSE),"")</f>
        <v/>
      </c>
      <c r="D5102" s="16" t="str">
        <f>IFERROR(VLOOKUP(C5102,DATA!#REF!,2,FALSE),"")</f>
        <v/>
      </c>
      <c r="I5102" s="17"/>
      <c r="J5102" s="17"/>
      <c r="P5102" s="17"/>
      <c r="Q5102" s="17"/>
    </row>
    <row r="5103" spans="2:17">
      <c r="B5103" s="17"/>
      <c r="C5103" s="16" t="str">
        <f>IFERROR(VLOOKUP(DATA!#REF!,DATA!#REF!,1,FALSE),"")</f>
        <v/>
      </c>
      <c r="D5103" s="16" t="str">
        <f>IFERROR(VLOOKUP(C5103,DATA!#REF!,2,FALSE),"")</f>
        <v/>
      </c>
      <c r="I5103" s="17"/>
      <c r="J5103" s="17"/>
      <c r="P5103" s="17"/>
      <c r="Q5103" s="17"/>
    </row>
    <row r="5104" spans="2:17">
      <c r="B5104" s="17"/>
      <c r="C5104" s="16" t="str">
        <f>IFERROR(VLOOKUP(DATA!#REF!,DATA!#REF!,1,FALSE),"")</f>
        <v/>
      </c>
      <c r="D5104" s="16" t="str">
        <f>IFERROR(VLOOKUP(C5104,DATA!#REF!,2,FALSE),"")</f>
        <v/>
      </c>
      <c r="I5104" s="17"/>
      <c r="J5104" s="17"/>
      <c r="P5104" s="17"/>
      <c r="Q5104" s="17"/>
    </row>
    <row r="5105" spans="2:17">
      <c r="B5105" s="17"/>
      <c r="C5105" s="16" t="str">
        <f>IFERROR(VLOOKUP(DATA!#REF!,DATA!#REF!,1,FALSE),"")</f>
        <v/>
      </c>
      <c r="D5105" s="16" t="str">
        <f>IFERROR(VLOOKUP(C5105,DATA!#REF!,2,FALSE),"")</f>
        <v/>
      </c>
      <c r="I5105" s="17"/>
      <c r="J5105" s="17"/>
      <c r="P5105" s="17"/>
      <c r="Q5105" s="17"/>
    </row>
    <row r="5106" spans="2:17">
      <c r="B5106" s="17"/>
      <c r="C5106" s="16" t="str">
        <f>IFERROR(VLOOKUP(DATA!#REF!,DATA!#REF!,1,FALSE),"")</f>
        <v/>
      </c>
      <c r="D5106" s="16" t="str">
        <f>IFERROR(VLOOKUP(C5106,DATA!#REF!,2,FALSE),"")</f>
        <v/>
      </c>
      <c r="I5106" s="17"/>
      <c r="J5106" s="17"/>
      <c r="P5106" s="17"/>
      <c r="Q5106" s="17"/>
    </row>
    <row r="5107" spans="2:17">
      <c r="B5107" s="17"/>
      <c r="C5107" s="16" t="str">
        <f>IFERROR(VLOOKUP(DATA!#REF!,DATA!#REF!,1,FALSE),"")</f>
        <v/>
      </c>
      <c r="D5107" s="16" t="str">
        <f>IFERROR(VLOOKUP(C5107,DATA!#REF!,2,FALSE),"")</f>
        <v/>
      </c>
      <c r="I5107" s="17"/>
      <c r="J5107" s="17"/>
      <c r="P5107" s="17"/>
      <c r="Q5107" s="17"/>
    </row>
    <row r="5108" spans="2:17">
      <c r="B5108" s="17"/>
      <c r="C5108" s="16" t="str">
        <f>IFERROR(VLOOKUP(DATA!#REF!,DATA!#REF!,1,FALSE),"")</f>
        <v/>
      </c>
      <c r="D5108" s="16" t="str">
        <f>IFERROR(VLOOKUP(C5108,DATA!#REF!,2,FALSE),"")</f>
        <v/>
      </c>
      <c r="I5108" s="17"/>
      <c r="J5108" s="17"/>
      <c r="P5108" s="17"/>
      <c r="Q5108" s="17"/>
    </row>
    <row r="5109" spans="2:17">
      <c r="B5109" s="17"/>
      <c r="C5109" s="16" t="str">
        <f>IFERROR(VLOOKUP(DATA!#REF!,DATA!#REF!,1,FALSE),"")</f>
        <v/>
      </c>
      <c r="D5109" s="16" t="str">
        <f>IFERROR(VLOOKUP(C5109,DATA!#REF!,2,FALSE),"")</f>
        <v/>
      </c>
      <c r="I5109" s="17"/>
      <c r="J5109" s="17"/>
      <c r="P5109" s="17"/>
      <c r="Q5109" s="17"/>
    </row>
    <row r="5110" spans="2:17">
      <c r="B5110" s="17"/>
      <c r="C5110" s="16" t="str">
        <f>IFERROR(VLOOKUP(DATA!#REF!,DATA!#REF!,1,FALSE),"")</f>
        <v/>
      </c>
      <c r="D5110" s="16" t="str">
        <f>IFERROR(VLOOKUP(C5110,DATA!#REF!,2,FALSE),"")</f>
        <v/>
      </c>
      <c r="I5110" s="17"/>
      <c r="J5110" s="17"/>
      <c r="P5110" s="17"/>
      <c r="Q5110" s="17"/>
    </row>
    <row r="5111" spans="2:17">
      <c r="B5111" s="17"/>
      <c r="C5111" s="16" t="str">
        <f>IFERROR(VLOOKUP(DATA!#REF!,DATA!#REF!,1,FALSE),"")</f>
        <v/>
      </c>
      <c r="D5111" s="16" t="str">
        <f>IFERROR(VLOOKUP(C5111,DATA!#REF!,2,FALSE),"")</f>
        <v/>
      </c>
      <c r="I5111" s="17"/>
      <c r="J5111" s="17"/>
      <c r="P5111" s="17"/>
      <c r="Q5111" s="17"/>
    </row>
    <row r="5112" spans="2:17">
      <c r="B5112" s="17"/>
      <c r="C5112" s="16" t="str">
        <f>IFERROR(VLOOKUP(DATA!#REF!,DATA!#REF!,1,FALSE),"")</f>
        <v/>
      </c>
      <c r="D5112" s="16" t="str">
        <f>IFERROR(VLOOKUP(C5112,DATA!#REF!,2,FALSE),"")</f>
        <v/>
      </c>
      <c r="I5112" s="17"/>
      <c r="J5112" s="17"/>
      <c r="P5112" s="17"/>
      <c r="Q5112" s="17"/>
    </row>
    <row r="5113" spans="2:17">
      <c r="B5113" s="17"/>
      <c r="C5113" s="16" t="str">
        <f>IFERROR(VLOOKUP(DATA!#REF!,DATA!#REF!,1,FALSE),"")</f>
        <v/>
      </c>
      <c r="D5113" s="16" t="str">
        <f>IFERROR(VLOOKUP(C5113,DATA!#REF!,2,FALSE),"")</f>
        <v/>
      </c>
      <c r="I5113" s="17"/>
      <c r="J5113" s="17"/>
      <c r="P5113" s="17"/>
      <c r="Q5113" s="17"/>
    </row>
    <row r="5114" spans="2:17">
      <c r="B5114" s="17"/>
      <c r="C5114" s="16" t="str">
        <f>IFERROR(VLOOKUP(DATA!#REF!,DATA!#REF!,1,FALSE),"")</f>
        <v/>
      </c>
      <c r="D5114" s="16" t="str">
        <f>IFERROR(VLOOKUP(C5114,DATA!#REF!,2,FALSE),"")</f>
        <v/>
      </c>
      <c r="I5114" s="17"/>
      <c r="J5114" s="17"/>
      <c r="P5114" s="17"/>
      <c r="Q5114" s="17"/>
    </row>
    <row r="5115" spans="2:17">
      <c r="B5115" s="17"/>
      <c r="C5115" s="16" t="str">
        <f>IFERROR(VLOOKUP(DATA!#REF!,DATA!#REF!,1,FALSE),"")</f>
        <v/>
      </c>
      <c r="D5115" s="16" t="str">
        <f>IFERROR(VLOOKUP(C5115,DATA!#REF!,2,FALSE),"")</f>
        <v/>
      </c>
      <c r="I5115" s="17"/>
      <c r="J5115" s="17"/>
      <c r="P5115" s="17"/>
      <c r="Q5115" s="17"/>
    </row>
    <row r="5116" spans="2:17">
      <c r="B5116" s="17"/>
      <c r="C5116" s="16" t="str">
        <f>IFERROR(VLOOKUP(DATA!#REF!,DATA!#REF!,1,FALSE),"")</f>
        <v/>
      </c>
      <c r="D5116" s="16" t="str">
        <f>IFERROR(VLOOKUP(C5116,DATA!#REF!,2,FALSE),"")</f>
        <v/>
      </c>
      <c r="I5116" s="17"/>
      <c r="J5116" s="17"/>
      <c r="P5116" s="17"/>
      <c r="Q5116" s="17"/>
    </row>
    <row r="5117" spans="2:17">
      <c r="B5117" s="17"/>
      <c r="C5117" s="16" t="str">
        <f>IFERROR(VLOOKUP(DATA!#REF!,DATA!#REF!,1,FALSE),"")</f>
        <v/>
      </c>
      <c r="D5117" s="16" t="str">
        <f>IFERROR(VLOOKUP(C5117,DATA!#REF!,2,FALSE),"")</f>
        <v/>
      </c>
      <c r="I5117" s="17"/>
      <c r="J5117" s="17"/>
      <c r="P5117" s="17"/>
      <c r="Q5117" s="17"/>
    </row>
    <row r="5118" spans="2:17">
      <c r="B5118" s="17"/>
      <c r="C5118" s="16" t="str">
        <f>IFERROR(VLOOKUP(DATA!#REF!,DATA!#REF!,1,FALSE),"")</f>
        <v/>
      </c>
      <c r="D5118" s="16" t="str">
        <f>IFERROR(VLOOKUP(C5118,DATA!#REF!,2,FALSE),"")</f>
        <v/>
      </c>
      <c r="I5118" s="17"/>
      <c r="J5118" s="17"/>
      <c r="P5118" s="17"/>
      <c r="Q5118" s="17"/>
    </row>
    <row r="5119" spans="2:17">
      <c r="B5119" s="17"/>
      <c r="C5119" s="16" t="str">
        <f>IFERROR(VLOOKUP(DATA!#REF!,DATA!#REF!,1,FALSE),"")</f>
        <v/>
      </c>
      <c r="D5119" s="16" t="str">
        <f>IFERROR(VLOOKUP(C5119,DATA!#REF!,2,FALSE),"")</f>
        <v/>
      </c>
      <c r="I5119" s="17"/>
      <c r="J5119" s="17"/>
      <c r="P5119" s="17"/>
      <c r="Q5119" s="17"/>
    </row>
    <row r="5120" spans="2:17">
      <c r="B5120" s="17"/>
      <c r="C5120" s="16" t="str">
        <f>IFERROR(VLOOKUP(DATA!#REF!,DATA!#REF!,1,FALSE),"")</f>
        <v/>
      </c>
      <c r="D5120" s="16" t="str">
        <f>IFERROR(VLOOKUP(C5120,DATA!#REF!,2,FALSE),"")</f>
        <v/>
      </c>
      <c r="I5120" s="17"/>
      <c r="J5120" s="17"/>
      <c r="P5120" s="17"/>
      <c r="Q5120" s="17"/>
    </row>
    <row r="5121" spans="2:17">
      <c r="B5121" s="17"/>
      <c r="C5121" s="16" t="str">
        <f>IFERROR(VLOOKUP(DATA!#REF!,DATA!#REF!,1,FALSE),"")</f>
        <v/>
      </c>
      <c r="D5121" s="16" t="str">
        <f>IFERROR(VLOOKUP(C5121,DATA!#REF!,2,FALSE),"")</f>
        <v/>
      </c>
      <c r="I5121" s="17"/>
      <c r="J5121" s="17"/>
      <c r="P5121" s="17"/>
      <c r="Q5121" s="17"/>
    </row>
    <row r="5122" spans="2:17">
      <c r="B5122" s="17"/>
      <c r="C5122" s="16" t="str">
        <f>IFERROR(VLOOKUP(DATA!#REF!,DATA!#REF!,1,FALSE),"")</f>
        <v/>
      </c>
      <c r="D5122" s="16" t="str">
        <f>IFERROR(VLOOKUP(C5122,DATA!#REF!,2,FALSE),"")</f>
        <v/>
      </c>
      <c r="I5122" s="17"/>
      <c r="J5122" s="17"/>
      <c r="P5122" s="17"/>
      <c r="Q5122" s="17"/>
    </row>
    <row r="5123" spans="2:17">
      <c r="B5123" s="17"/>
      <c r="C5123" s="16" t="str">
        <f>IFERROR(VLOOKUP(DATA!#REF!,DATA!#REF!,1,FALSE),"")</f>
        <v/>
      </c>
      <c r="D5123" s="16" t="str">
        <f>IFERROR(VLOOKUP(C5123,DATA!#REF!,2,FALSE),"")</f>
        <v/>
      </c>
      <c r="I5123" s="17"/>
      <c r="J5123" s="17"/>
      <c r="P5123" s="17"/>
      <c r="Q5123" s="17"/>
    </row>
    <row r="5124" spans="2:17">
      <c r="B5124" s="17"/>
      <c r="C5124" s="16" t="str">
        <f>IFERROR(VLOOKUP(DATA!#REF!,DATA!#REF!,1,FALSE),"")</f>
        <v/>
      </c>
      <c r="D5124" s="16" t="str">
        <f>IFERROR(VLOOKUP(C5124,DATA!#REF!,2,FALSE),"")</f>
        <v/>
      </c>
      <c r="I5124" s="17"/>
      <c r="J5124" s="17"/>
      <c r="P5124" s="17"/>
      <c r="Q5124" s="17"/>
    </row>
    <row r="5125" spans="2:17">
      <c r="B5125" s="17"/>
      <c r="C5125" s="16" t="str">
        <f>IFERROR(VLOOKUP(DATA!#REF!,DATA!#REF!,1,FALSE),"")</f>
        <v/>
      </c>
      <c r="D5125" s="16" t="str">
        <f>IFERROR(VLOOKUP(C5125,DATA!#REF!,2,FALSE),"")</f>
        <v/>
      </c>
      <c r="I5125" s="17"/>
      <c r="J5125" s="17"/>
      <c r="P5125" s="17"/>
      <c r="Q5125" s="17"/>
    </row>
    <row r="5126" spans="2:17">
      <c r="B5126" s="17"/>
      <c r="C5126" s="16" t="str">
        <f>IFERROR(VLOOKUP(DATA!#REF!,DATA!#REF!,1,FALSE),"")</f>
        <v/>
      </c>
      <c r="D5126" s="16" t="str">
        <f>IFERROR(VLOOKUP(C5126,DATA!#REF!,2,FALSE),"")</f>
        <v/>
      </c>
      <c r="I5126" s="17"/>
      <c r="J5126" s="17"/>
      <c r="P5126" s="17"/>
      <c r="Q5126" s="17"/>
    </row>
    <row r="5127" spans="2:17">
      <c r="B5127" s="17"/>
      <c r="C5127" s="16" t="str">
        <f>IFERROR(VLOOKUP(DATA!#REF!,DATA!#REF!,1,FALSE),"")</f>
        <v/>
      </c>
      <c r="D5127" s="16" t="str">
        <f>IFERROR(VLOOKUP(C5127,DATA!#REF!,2,FALSE),"")</f>
        <v/>
      </c>
      <c r="I5127" s="17"/>
      <c r="J5127" s="17"/>
      <c r="P5127" s="17"/>
      <c r="Q5127" s="17"/>
    </row>
    <row r="5128" spans="2:17">
      <c r="B5128" s="17"/>
      <c r="C5128" s="16" t="str">
        <f>IFERROR(VLOOKUP(DATA!#REF!,DATA!#REF!,1,FALSE),"")</f>
        <v/>
      </c>
      <c r="D5128" s="16" t="str">
        <f>IFERROR(VLOOKUP(C5128,DATA!#REF!,2,FALSE),"")</f>
        <v/>
      </c>
      <c r="I5128" s="17"/>
      <c r="J5128" s="17"/>
      <c r="P5128" s="17"/>
      <c r="Q5128" s="17"/>
    </row>
    <row r="5129" spans="2:17">
      <c r="B5129" s="17"/>
      <c r="C5129" s="16" t="str">
        <f>IFERROR(VLOOKUP(DATA!#REF!,DATA!#REF!,1,FALSE),"")</f>
        <v/>
      </c>
      <c r="D5129" s="16" t="str">
        <f>IFERROR(VLOOKUP(C5129,DATA!#REF!,2,FALSE),"")</f>
        <v/>
      </c>
      <c r="I5129" s="17"/>
      <c r="J5129" s="17"/>
      <c r="P5129" s="17"/>
      <c r="Q5129" s="17"/>
    </row>
    <row r="5130" spans="2:17">
      <c r="B5130" s="17"/>
      <c r="C5130" s="16" t="str">
        <f>IFERROR(VLOOKUP(DATA!#REF!,DATA!#REF!,1,FALSE),"")</f>
        <v/>
      </c>
      <c r="D5130" s="16" t="str">
        <f>IFERROR(VLOOKUP(C5130,DATA!#REF!,2,FALSE),"")</f>
        <v/>
      </c>
      <c r="I5130" s="17"/>
      <c r="J5130" s="17"/>
      <c r="P5130" s="17"/>
      <c r="Q5130" s="17"/>
    </row>
    <row r="5131" spans="2:17">
      <c r="B5131" s="17"/>
      <c r="C5131" s="16" t="str">
        <f>IFERROR(VLOOKUP(DATA!#REF!,DATA!#REF!,1,FALSE),"")</f>
        <v/>
      </c>
      <c r="D5131" s="16" t="str">
        <f>IFERROR(VLOOKUP(C5131,DATA!#REF!,2,FALSE),"")</f>
        <v/>
      </c>
      <c r="I5131" s="17"/>
      <c r="J5131" s="17"/>
      <c r="P5131" s="17"/>
      <c r="Q5131" s="17"/>
    </row>
    <row r="5132" spans="2:17">
      <c r="B5132" s="17"/>
      <c r="C5132" s="16" t="str">
        <f>IFERROR(VLOOKUP(DATA!#REF!,DATA!#REF!,1,FALSE),"")</f>
        <v/>
      </c>
      <c r="D5132" s="16" t="str">
        <f>IFERROR(VLOOKUP(C5132,DATA!#REF!,2,FALSE),"")</f>
        <v/>
      </c>
      <c r="I5132" s="17"/>
      <c r="J5132" s="17"/>
      <c r="P5132" s="17"/>
      <c r="Q5132" s="17"/>
    </row>
    <row r="5133" spans="2:17">
      <c r="B5133" s="17"/>
      <c r="C5133" s="16" t="str">
        <f>IFERROR(VLOOKUP(DATA!#REF!,DATA!#REF!,1,FALSE),"")</f>
        <v/>
      </c>
      <c r="D5133" s="16" t="str">
        <f>IFERROR(VLOOKUP(C5133,DATA!#REF!,2,FALSE),"")</f>
        <v/>
      </c>
      <c r="I5133" s="17"/>
      <c r="J5133" s="17"/>
      <c r="P5133" s="17"/>
      <c r="Q5133" s="17"/>
    </row>
    <row r="5134" spans="2:17">
      <c r="B5134" s="17"/>
      <c r="C5134" s="16" t="str">
        <f>IFERROR(VLOOKUP(DATA!#REF!,DATA!#REF!,1,FALSE),"")</f>
        <v/>
      </c>
      <c r="D5134" s="16" t="str">
        <f>IFERROR(VLOOKUP(C5134,DATA!#REF!,2,FALSE),"")</f>
        <v/>
      </c>
      <c r="I5134" s="17"/>
      <c r="J5134" s="17"/>
      <c r="P5134" s="17"/>
      <c r="Q5134" s="17"/>
    </row>
    <row r="5135" spans="2:17">
      <c r="B5135" s="17"/>
      <c r="C5135" s="16" t="str">
        <f>IFERROR(VLOOKUP(DATA!#REF!,DATA!#REF!,1,FALSE),"")</f>
        <v/>
      </c>
      <c r="D5135" s="16" t="str">
        <f>IFERROR(VLOOKUP(C5135,DATA!#REF!,2,FALSE),"")</f>
        <v/>
      </c>
      <c r="I5135" s="17"/>
      <c r="J5135" s="17"/>
      <c r="P5135" s="17"/>
      <c r="Q5135" s="17"/>
    </row>
    <row r="5136" spans="2:17">
      <c r="B5136" s="17"/>
      <c r="C5136" s="16" t="str">
        <f>IFERROR(VLOOKUP(DATA!#REF!,DATA!#REF!,1,FALSE),"")</f>
        <v/>
      </c>
      <c r="D5136" s="16" t="str">
        <f>IFERROR(VLOOKUP(C5136,DATA!#REF!,2,FALSE),"")</f>
        <v/>
      </c>
      <c r="I5136" s="17"/>
      <c r="J5136" s="17"/>
      <c r="P5136" s="17"/>
      <c r="Q5136" s="17"/>
    </row>
    <row r="5137" spans="2:17">
      <c r="B5137" s="17"/>
      <c r="C5137" s="16" t="str">
        <f>IFERROR(VLOOKUP(DATA!#REF!,DATA!#REF!,1,FALSE),"")</f>
        <v/>
      </c>
      <c r="D5137" s="16" t="str">
        <f>IFERROR(VLOOKUP(C5137,DATA!#REF!,2,FALSE),"")</f>
        <v/>
      </c>
      <c r="I5137" s="17"/>
      <c r="J5137" s="17"/>
      <c r="P5137" s="17"/>
      <c r="Q5137" s="17"/>
    </row>
    <row r="5138" spans="2:17">
      <c r="B5138" s="17"/>
      <c r="C5138" s="16" t="str">
        <f>IFERROR(VLOOKUP(DATA!#REF!,DATA!#REF!,1,FALSE),"")</f>
        <v/>
      </c>
      <c r="D5138" s="16" t="str">
        <f>IFERROR(VLOOKUP(C5138,DATA!#REF!,2,FALSE),"")</f>
        <v/>
      </c>
      <c r="I5138" s="17"/>
      <c r="J5138" s="17"/>
      <c r="P5138" s="17"/>
      <c r="Q5138" s="17"/>
    </row>
    <row r="5139" spans="2:17">
      <c r="B5139" s="17"/>
      <c r="C5139" s="16" t="str">
        <f>IFERROR(VLOOKUP(DATA!#REF!,DATA!#REF!,1,FALSE),"")</f>
        <v/>
      </c>
      <c r="D5139" s="16" t="str">
        <f>IFERROR(VLOOKUP(C5139,DATA!#REF!,2,FALSE),"")</f>
        <v/>
      </c>
      <c r="I5139" s="17"/>
      <c r="J5139" s="17"/>
      <c r="P5139" s="17"/>
      <c r="Q5139" s="17"/>
    </row>
    <row r="5140" spans="2:17">
      <c r="B5140" s="17"/>
      <c r="C5140" s="16" t="str">
        <f>IFERROR(VLOOKUP(DATA!#REF!,DATA!#REF!,1,FALSE),"")</f>
        <v/>
      </c>
      <c r="D5140" s="16" t="str">
        <f>IFERROR(VLOOKUP(C5140,DATA!#REF!,2,FALSE),"")</f>
        <v/>
      </c>
      <c r="I5140" s="17"/>
      <c r="J5140" s="17"/>
      <c r="P5140" s="17"/>
      <c r="Q5140" s="17"/>
    </row>
    <row r="5141" spans="2:17">
      <c r="B5141" s="17"/>
      <c r="C5141" s="16" t="str">
        <f>IFERROR(VLOOKUP(DATA!#REF!,DATA!#REF!,1,FALSE),"")</f>
        <v/>
      </c>
      <c r="D5141" s="16" t="str">
        <f>IFERROR(VLOOKUP(C5141,DATA!#REF!,2,FALSE),"")</f>
        <v/>
      </c>
      <c r="I5141" s="17"/>
      <c r="J5141" s="17"/>
      <c r="P5141" s="17"/>
      <c r="Q5141" s="17"/>
    </row>
    <row r="5142" spans="2:17">
      <c r="B5142" s="17"/>
      <c r="C5142" s="16" t="str">
        <f>IFERROR(VLOOKUP(DATA!#REF!,DATA!#REF!,1,FALSE),"")</f>
        <v/>
      </c>
      <c r="D5142" s="16" t="str">
        <f>IFERROR(VLOOKUP(C5142,DATA!#REF!,2,FALSE),"")</f>
        <v/>
      </c>
      <c r="I5142" s="17"/>
      <c r="J5142" s="17"/>
      <c r="P5142" s="17"/>
      <c r="Q5142" s="17"/>
    </row>
    <row r="5143" spans="2:17">
      <c r="B5143" s="17"/>
      <c r="C5143" s="16" t="str">
        <f>IFERROR(VLOOKUP(DATA!#REF!,DATA!#REF!,1,FALSE),"")</f>
        <v/>
      </c>
      <c r="D5143" s="16" t="str">
        <f>IFERROR(VLOOKUP(C5143,DATA!#REF!,2,FALSE),"")</f>
        <v/>
      </c>
      <c r="I5143" s="17"/>
      <c r="J5143" s="17"/>
      <c r="P5143" s="17"/>
      <c r="Q5143" s="17"/>
    </row>
    <row r="5144" spans="2:17">
      <c r="B5144" s="17"/>
      <c r="C5144" s="16" t="str">
        <f>IFERROR(VLOOKUP(DATA!#REF!,DATA!#REF!,1,FALSE),"")</f>
        <v/>
      </c>
      <c r="D5144" s="16" t="str">
        <f>IFERROR(VLOOKUP(C5144,DATA!#REF!,2,FALSE),"")</f>
        <v/>
      </c>
      <c r="I5144" s="17"/>
      <c r="J5144" s="17"/>
      <c r="P5144" s="17"/>
      <c r="Q5144" s="17"/>
    </row>
    <row r="5145" spans="2:17">
      <c r="B5145" s="17"/>
      <c r="C5145" s="16" t="str">
        <f>IFERROR(VLOOKUP(DATA!#REF!,DATA!#REF!,1,FALSE),"")</f>
        <v/>
      </c>
      <c r="D5145" s="16" t="str">
        <f>IFERROR(VLOOKUP(C5145,DATA!#REF!,2,FALSE),"")</f>
        <v/>
      </c>
      <c r="I5145" s="17"/>
      <c r="J5145" s="17"/>
      <c r="P5145" s="17"/>
      <c r="Q5145" s="17"/>
    </row>
    <row r="5146" spans="2:17">
      <c r="B5146" s="17"/>
      <c r="C5146" s="16" t="str">
        <f>IFERROR(VLOOKUP(DATA!#REF!,DATA!#REF!,1,FALSE),"")</f>
        <v/>
      </c>
      <c r="D5146" s="16" t="str">
        <f>IFERROR(VLOOKUP(C5146,DATA!#REF!,2,FALSE),"")</f>
        <v/>
      </c>
      <c r="I5146" s="17"/>
      <c r="J5146" s="17"/>
      <c r="P5146" s="17"/>
      <c r="Q5146" s="17"/>
    </row>
    <row r="5147" spans="2:17">
      <c r="B5147" s="17"/>
      <c r="C5147" s="16" t="str">
        <f>IFERROR(VLOOKUP(DATA!#REF!,DATA!#REF!,1,FALSE),"")</f>
        <v/>
      </c>
      <c r="D5147" s="16" t="str">
        <f>IFERROR(VLOOKUP(C5147,DATA!#REF!,2,FALSE),"")</f>
        <v/>
      </c>
      <c r="I5147" s="17"/>
      <c r="J5147" s="17"/>
      <c r="P5147" s="17"/>
      <c r="Q5147" s="17"/>
    </row>
    <row r="5148" spans="2:17">
      <c r="B5148" s="17"/>
      <c r="C5148" s="16" t="str">
        <f>IFERROR(VLOOKUP(DATA!#REF!,DATA!#REF!,1,FALSE),"")</f>
        <v/>
      </c>
      <c r="D5148" s="16" t="str">
        <f>IFERROR(VLOOKUP(C5148,DATA!#REF!,2,FALSE),"")</f>
        <v/>
      </c>
      <c r="I5148" s="17"/>
      <c r="J5148" s="17"/>
      <c r="P5148" s="17"/>
      <c r="Q5148" s="17"/>
    </row>
    <row r="5149" spans="2:17">
      <c r="B5149" s="17"/>
      <c r="C5149" s="16" t="str">
        <f>IFERROR(VLOOKUP(DATA!#REF!,DATA!#REF!,1,FALSE),"")</f>
        <v/>
      </c>
      <c r="D5149" s="16" t="str">
        <f>IFERROR(VLOOKUP(C5149,DATA!#REF!,2,FALSE),"")</f>
        <v/>
      </c>
      <c r="I5149" s="17"/>
      <c r="J5149" s="17"/>
      <c r="P5149" s="17"/>
      <c r="Q5149" s="17"/>
    </row>
    <row r="5150" spans="2:17">
      <c r="B5150" s="17"/>
      <c r="C5150" s="16" t="str">
        <f>IFERROR(VLOOKUP(DATA!#REF!,DATA!#REF!,1,FALSE),"")</f>
        <v/>
      </c>
      <c r="D5150" s="16" t="str">
        <f>IFERROR(VLOOKUP(C5150,DATA!#REF!,2,FALSE),"")</f>
        <v/>
      </c>
      <c r="I5150" s="17"/>
      <c r="J5150" s="17"/>
      <c r="P5150" s="17"/>
      <c r="Q5150" s="17"/>
    </row>
    <row r="5151" spans="2:17">
      <c r="B5151" s="17"/>
      <c r="C5151" s="16" t="str">
        <f>IFERROR(VLOOKUP(DATA!#REF!,DATA!#REF!,1,FALSE),"")</f>
        <v/>
      </c>
      <c r="D5151" s="16" t="str">
        <f>IFERROR(VLOOKUP(C5151,DATA!#REF!,2,FALSE),"")</f>
        <v/>
      </c>
      <c r="I5151" s="17"/>
      <c r="J5151" s="17"/>
      <c r="P5151" s="17"/>
      <c r="Q5151" s="17"/>
    </row>
    <row r="5152" spans="2:17">
      <c r="B5152" s="17"/>
      <c r="C5152" s="16" t="str">
        <f>IFERROR(VLOOKUP(DATA!#REF!,DATA!#REF!,1,FALSE),"")</f>
        <v/>
      </c>
      <c r="D5152" s="16" t="str">
        <f>IFERROR(VLOOKUP(C5152,DATA!#REF!,2,FALSE),"")</f>
        <v/>
      </c>
      <c r="I5152" s="17"/>
      <c r="J5152" s="17"/>
      <c r="P5152" s="17"/>
      <c r="Q5152" s="17"/>
    </row>
    <row r="5153" spans="2:17">
      <c r="B5153" s="17"/>
      <c r="C5153" s="16" t="str">
        <f>IFERROR(VLOOKUP(DATA!#REF!,DATA!#REF!,1,FALSE),"")</f>
        <v/>
      </c>
      <c r="D5153" s="16" t="str">
        <f>IFERROR(VLOOKUP(C5153,DATA!#REF!,2,FALSE),"")</f>
        <v/>
      </c>
      <c r="I5153" s="17"/>
      <c r="J5153" s="17"/>
      <c r="P5153" s="17"/>
      <c r="Q5153" s="17"/>
    </row>
    <row r="5154" spans="2:17">
      <c r="B5154" s="17"/>
      <c r="C5154" s="16" t="str">
        <f>IFERROR(VLOOKUP(DATA!#REF!,DATA!#REF!,1,FALSE),"")</f>
        <v/>
      </c>
      <c r="D5154" s="16" t="str">
        <f>IFERROR(VLOOKUP(C5154,DATA!#REF!,2,FALSE),"")</f>
        <v/>
      </c>
      <c r="I5154" s="17"/>
      <c r="J5154" s="17"/>
      <c r="P5154" s="17"/>
      <c r="Q5154" s="17"/>
    </row>
    <row r="5155" spans="2:17">
      <c r="B5155" s="17"/>
      <c r="C5155" s="16" t="str">
        <f>IFERROR(VLOOKUP(DATA!#REF!,DATA!#REF!,1,FALSE),"")</f>
        <v/>
      </c>
      <c r="D5155" s="16" t="str">
        <f>IFERROR(VLOOKUP(C5155,DATA!#REF!,2,FALSE),"")</f>
        <v/>
      </c>
      <c r="I5155" s="17"/>
      <c r="J5155" s="17"/>
      <c r="P5155" s="17"/>
      <c r="Q5155" s="17"/>
    </row>
    <row r="5156" spans="2:17">
      <c r="B5156" s="17"/>
      <c r="C5156" s="16" t="str">
        <f>IFERROR(VLOOKUP(DATA!#REF!,DATA!#REF!,1,FALSE),"")</f>
        <v/>
      </c>
      <c r="D5156" s="16" t="str">
        <f>IFERROR(VLOOKUP(C5156,DATA!#REF!,2,FALSE),"")</f>
        <v/>
      </c>
      <c r="I5156" s="17"/>
      <c r="J5156" s="17"/>
      <c r="P5156" s="17"/>
      <c r="Q5156" s="17"/>
    </row>
    <row r="5157" spans="2:17">
      <c r="B5157" s="17"/>
      <c r="C5157" s="16" t="str">
        <f>IFERROR(VLOOKUP(DATA!#REF!,DATA!#REF!,1,FALSE),"")</f>
        <v/>
      </c>
      <c r="D5157" s="16" t="str">
        <f>IFERROR(VLOOKUP(C5157,DATA!#REF!,2,FALSE),"")</f>
        <v/>
      </c>
      <c r="I5157" s="17"/>
      <c r="J5157" s="17"/>
      <c r="P5157" s="17"/>
      <c r="Q5157" s="17"/>
    </row>
    <row r="5158" spans="2:17">
      <c r="B5158" s="17"/>
      <c r="C5158" s="16" t="str">
        <f>IFERROR(VLOOKUP(DATA!#REF!,DATA!#REF!,1,FALSE),"")</f>
        <v/>
      </c>
      <c r="D5158" s="16" t="str">
        <f>IFERROR(VLOOKUP(C5158,DATA!#REF!,2,FALSE),"")</f>
        <v/>
      </c>
      <c r="I5158" s="17"/>
      <c r="J5158" s="17"/>
      <c r="P5158" s="17"/>
      <c r="Q5158" s="17"/>
    </row>
    <row r="5159" spans="2:17">
      <c r="B5159" s="17"/>
      <c r="C5159" s="16" t="str">
        <f>IFERROR(VLOOKUP(DATA!#REF!,DATA!#REF!,1,FALSE),"")</f>
        <v/>
      </c>
      <c r="D5159" s="16" t="str">
        <f>IFERROR(VLOOKUP(C5159,DATA!#REF!,2,FALSE),"")</f>
        <v/>
      </c>
      <c r="I5159" s="17"/>
      <c r="J5159" s="17"/>
      <c r="P5159" s="17"/>
      <c r="Q5159" s="17"/>
    </row>
    <row r="5160" spans="2:17">
      <c r="B5160" s="17"/>
      <c r="C5160" s="16" t="str">
        <f>IFERROR(VLOOKUP(DATA!#REF!,DATA!#REF!,1,FALSE),"")</f>
        <v/>
      </c>
      <c r="D5160" s="16" t="str">
        <f>IFERROR(VLOOKUP(C5160,DATA!#REF!,2,FALSE),"")</f>
        <v/>
      </c>
      <c r="I5160" s="17"/>
      <c r="J5160" s="17"/>
      <c r="P5160" s="17"/>
      <c r="Q5160" s="17"/>
    </row>
    <row r="5161" spans="2:17">
      <c r="B5161" s="17"/>
      <c r="C5161" s="16" t="str">
        <f>IFERROR(VLOOKUP(DATA!#REF!,DATA!#REF!,1,FALSE),"")</f>
        <v/>
      </c>
      <c r="D5161" s="16" t="str">
        <f>IFERROR(VLOOKUP(C5161,DATA!#REF!,2,FALSE),"")</f>
        <v/>
      </c>
      <c r="I5161" s="17"/>
      <c r="J5161" s="17"/>
      <c r="P5161" s="17"/>
      <c r="Q5161" s="17"/>
    </row>
    <row r="5162" spans="2:17">
      <c r="B5162" s="17"/>
      <c r="C5162" s="16" t="str">
        <f>IFERROR(VLOOKUP(DATA!#REF!,DATA!#REF!,1,FALSE),"")</f>
        <v/>
      </c>
      <c r="D5162" s="16" t="str">
        <f>IFERROR(VLOOKUP(C5162,DATA!#REF!,2,FALSE),"")</f>
        <v/>
      </c>
      <c r="I5162" s="17"/>
      <c r="J5162" s="17"/>
      <c r="P5162" s="17"/>
      <c r="Q5162" s="17"/>
    </row>
    <row r="5163" spans="2:17">
      <c r="B5163" s="17"/>
      <c r="C5163" s="16" t="str">
        <f>IFERROR(VLOOKUP(DATA!#REF!,DATA!#REF!,1,FALSE),"")</f>
        <v/>
      </c>
      <c r="D5163" s="16" t="str">
        <f>IFERROR(VLOOKUP(C5163,DATA!#REF!,2,FALSE),"")</f>
        <v/>
      </c>
      <c r="I5163" s="17"/>
      <c r="J5163" s="17"/>
      <c r="P5163" s="17"/>
      <c r="Q5163" s="17"/>
    </row>
    <row r="5164" spans="2:17">
      <c r="B5164" s="17"/>
      <c r="C5164" s="16" t="str">
        <f>IFERROR(VLOOKUP(DATA!#REF!,DATA!#REF!,1,FALSE),"")</f>
        <v/>
      </c>
      <c r="D5164" s="16" t="str">
        <f>IFERROR(VLOOKUP(C5164,DATA!#REF!,2,FALSE),"")</f>
        <v/>
      </c>
      <c r="I5164" s="17"/>
      <c r="J5164" s="17"/>
      <c r="P5164" s="17"/>
      <c r="Q5164" s="17"/>
    </row>
    <row r="5165" spans="2:17">
      <c r="B5165" s="17"/>
      <c r="C5165" s="16" t="str">
        <f>IFERROR(VLOOKUP(DATA!#REF!,DATA!#REF!,1,FALSE),"")</f>
        <v/>
      </c>
      <c r="D5165" s="16" t="str">
        <f>IFERROR(VLOOKUP(C5165,DATA!#REF!,2,FALSE),"")</f>
        <v/>
      </c>
      <c r="I5165" s="17"/>
      <c r="J5165" s="17"/>
      <c r="P5165" s="17"/>
      <c r="Q5165" s="17"/>
    </row>
    <row r="5166" spans="2:17">
      <c r="B5166" s="17"/>
      <c r="C5166" s="16" t="str">
        <f>IFERROR(VLOOKUP(DATA!#REF!,DATA!#REF!,1,FALSE),"")</f>
        <v/>
      </c>
      <c r="D5166" s="16" t="str">
        <f>IFERROR(VLOOKUP(C5166,DATA!#REF!,2,FALSE),"")</f>
        <v/>
      </c>
      <c r="I5166" s="17"/>
      <c r="J5166" s="17"/>
      <c r="P5166" s="17"/>
      <c r="Q5166" s="17"/>
    </row>
    <row r="5167" spans="2:17">
      <c r="B5167" s="17"/>
      <c r="C5167" s="16" t="str">
        <f>IFERROR(VLOOKUP(DATA!#REF!,DATA!#REF!,1,FALSE),"")</f>
        <v/>
      </c>
      <c r="D5167" s="16" t="str">
        <f>IFERROR(VLOOKUP(C5167,DATA!#REF!,2,FALSE),"")</f>
        <v/>
      </c>
      <c r="I5167" s="17"/>
      <c r="J5167" s="17"/>
      <c r="P5167" s="17"/>
      <c r="Q5167" s="17"/>
    </row>
    <row r="5168" spans="2:17">
      <c r="B5168" s="17"/>
      <c r="C5168" s="16" t="str">
        <f>IFERROR(VLOOKUP(DATA!#REF!,DATA!#REF!,1,FALSE),"")</f>
        <v/>
      </c>
      <c r="D5168" s="16" t="str">
        <f>IFERROR(VLOOKUP(C5168,DATA!#REF!,2,FALSE),"")</f>
        <v/>
      </c>
      <c r="I5168" s="17"/>
      <c r="J5168" s="17"/>
      <c r="P5168" s="17"/>
      <c r="Q5168" s="17"/>
    </row>
    <row r="5169" spans="2:17">
      <c r="B5169" s="17"/>
      <c r="C5169" s="16" t="str">
        <f>IFERROR(VLOOKUP(DATA!#REF!,DATA!#REF!,1,FALSE),"")</f>
        <v/>
      </c>
      <c r="D5169" s="16" t="str">
        <f>IFERROR(VLOOKUP(C5169,DATA!#REF!,2,FALSE),"")</f>
        <v/>
      </c>
      <c r="I5169" s="17"/>
      <c r="J5169" s="17"/>
      <c r="P5169" s="17"/>
      <c r="Q5169" s="17"/>
    </row>
    <row r="5170" spans="2:17">
      <c r="B5170" s="17"/>
      <c r="C5170" s="16" t="str">
        <f>IFERROR(VLOOKUP(DATA!#REF!,DATA!#REF!,1,FALSE),"")</f>
        <v/>
      </c>
      <c r="D5170" s="16" t="str">
        <f>IFERROR(VLOOKUP(C5170,DATA!#REF!,2,FALSE),"")</f>
        <v/>
      </c>
      <c r="I5170" s="17"/>
      <c r="J5170" s="17"/>
      <c r="P5170" s="17"/>
      <c r="Q5170" s="17"/>
    </row>
    <row r="5171" spans="2:17">
      <c r="B5171" s="17"/>
      <c r="C5171" s="16" t="str">
        <f>IFERROR(VLOOKUP(DATA!#REF!,DATA!#REF!,1,FALSE),"")</f>
        <v/>
      </c>
      <c r="D5171" s="16" t="str">
        <f>IFERROR(VLOOKUP(C5171,DATA!#REF!,2,FALSE),"")</f>
        <v/>
      </c>
      <c r="I5171" s="17"/>
      <c r="J5171" s="17"/>
      <c r="P5171" s="17"/>
      <c r="Q5171" s="17"/>
    </row>
    <row r="5172" spans="2:17">
      <c r="B5172" s="17"/>
      <c r="C5172" s="16" t="str">
        <f>IFERROR(VLOOKUP(DATA!#REF!,DATA!#REF!,1,FALSE),"")</f>
        <v/>
      </c>
      <c r="D5172" s="16" t="str">
        <f>IFERROR(VLOOKUP(C5172,DATA!#REF!,2,FALSE),"")</f>
        <v/>
      </c>
      <c r="I5172" s="17"/>
      <c r="J5172" s="17"/>
      <c r="P5172" s="17"/>
      <c r="Q5172" s="17"/>
    </row>
    <row r="5173" spans="2:17">
      <c r="B5173" s="17"/>
      <c r="C5173" s="16" t="str">
        <f>IFERROR(VLOOKUP(DATA!#REF!,DATA!#REF!,1,FALSE),"")</f>
        <v/>
      </c>
      <c r="D5173" s="16" t="str">
        <f>IFERROR(VLOOKUP(C5173,DATA!#REF!,2,FALSE),"")</f>
        <v/>
      </c>
      <c r="I5173" s="17"/>
      <c r="J5173" s="17"/>
      <c r="P5173" s="17"/>
      <c r="Q5173" s="17"/>
    </row>
    <row r="5174" spans="2:17">
      <c r="B5174" s="17"/>
      <c r="C5174" s="16" t="str">
        <f>IFERROR(VLOOKUP(DATA!#REF!,DATA!#REF!,1,FALSE),"")</f>
        <v/>
      </c>
      <c r="D5174" s="16" t="str">
        <f>IFERROR(VLOOKUP(C5174,DATA!#REF!,2,FALSE),"")</f>
        <v/>
      </c>
      <c r="I5174" s="17"/>
      <c r="J5174" s="17"/>
      <c r="P5174" s="17"/>
      <c r="Q5174" s="17"/>
    </row>
    <row r="5175" spans="2:17">
      <c r="B5175" s="17"/>
      <c r="C5175" s="16" t="str">
        <f>IFERROR(VLOOKUP(DATA!#REF!,DATA!#REF!,1,FALSE),"")</f>
        <v/>
      </c>
      <c r="D5175" s="16" t="str">
        <f>IFERROR(VLOOKUP(C5175,DATA!#REF!,2,FALSE),"")</f>
        <v/>
      </c>
      <c r="I5175" s="17"/>
      <c r="J5175" s="17"/>
      <c r="P5175" s="17"/>
      <c r="Q5175" s="17"/>
    </row>
    <row r="5176" spans="2:17">
      <c r="B5176" s="17"/>
      <c r="C5176" s="16" t="str">
        <f>IFERROR(VLOOKUP(DATA!#REF!,DATA!#REF!,1,FALSE),"")</f>
        <v/>
      </c>
      <c r="D5176" s="16" t="str">
        <f>IFERROR(VLOOKUP(C5176,DATA!#REF!,2,FALSE),"")</f>
        <v/>
      </c>
      <c r="I5176" s="17"/>
      <c r="J5176" s="17"/>
      <c r="P5176" s="17"/>
      <c r="Q5176" s="17"/>
    </row>
    <row r="5177" spans="2:17">
      <c r="B5177" s="17"/>
      <c r="C5177" s="16" t="str">
        <f>IFERROR(VLOOKUP(DATA!#REF!,DATA!#REF!,1,FALSE),"")</f>
        <v/>
      </c>
      <c r="D5177" s="16" t="str">
        <f>IFERROR(VLOOKUP(C5177,DATA!#REF!,2,FALSE),"")</f>
        <v/>
      </c>
      <c r="I5177" s="17"/>
      <c r="J5177" s="17"/>
      <c r="P5177" s="17"/>
      <c r="Q5177" s="17"/>
    </row>
    <row r="5178" spans="2:17">
      <c r="B5178" s="17"/>
      <c r="C5178" s="16" t="str">
        <f>IFERROR(VLOOKUP(DATA!#REF!,DATA!#REF!,1,FALSE),"")</f>
        <v/>
      </c>
      <c r="D5178" s="16" t="str">
        <f>IFERROR(VLOOKUP(C5178,DATA!#REF!,2,FALSE),"")</f>
        <v/>
      </c>
      <c r="I5178" s="17"/>
      <c r="J5178" s="17"/>
      <c r="P5178" s="17"/>
      <c r="Q5178" s="17"/>
    </row>
    <row r="5179" spans="2:17">
      <c r="B5179" s="17"/>
      <c r="C5179" s="16" t="str">
        <f>IFERROR(VLOOKUP(DATA!#REF!,DATA!#REF!,1,FALSE),"")</f>
        <v/>
      </c>
      <c r="D5179" s="16" t="str">
        <f>IFERROR(VLOOKUP(C5179,DATA!#REF!,2,FALSE),"")</f>
        <v/>
      </c>
      <c r="I5179" s="17"/>
      <c r="J5179" s="17"/>
      <c r="P5179" s="17"/>
      <c r="Q5179" s="17"/>
    </row>
    <row r="5180" spans="2:17">
      <c r="B5180" s="17"/>
      <c r="C5180" s="16" t="str">
        <f>IFERROR(VLOOKUP(DATA!#REF!,DATA!#REF!,1,FALSE),"")</f>
        <v/>
      </c>
      <c r="D5180" s="16" t="str">
        <f>IFERROR(VLOOKUP(C5180,DATA!#REF!,2,FALSE),"")</f>
        <v/>
      </c>
      <c r="I5180" s="17"/>
      <c r="J5180" s="17"/>
      <c r="P5180" s="17"/>
      <c r="Q5180" s="17"/>
    </row>
    <row r="5181" spans="2:17">
      <c r="B5181" s="17"/>
      <c r="C5181" s="16" t="str">
        <f>IFERROR(VLOOKUP(DATA!#REF!,DATA!#REF!,1,FALSE),"")</f>
        <v/>
      </c>
      <c r="D5181" s="16" t="str">
        <f>IFERROR(VLOOKUP(C5181,DATA!#REF!,2,FALSE),"")</f>
        <v/>
      </c>
      <c r="I5181" s="17"/>
      <c r="J5181" s="17"/>
      <c r="P5181" s="17"/>
      <c r="Q5181" s="17"/>
    </row>
    <row r="5182" spans="2:17">
      <c r="B5182" s="17"/>
      <c r="C5182" s="16" t="str">
        <f>IFERROR(VLOOKUP(DATA!#REF!,DATA!#REF!,1,FALSE),"")</f>
        <v/>
      </c>
      <c r="D5182" s="16" t="str">
        <f>IFERROR(VLOOKUP(C5182,DATA!#REF!,2,FALSE),"")</f>
        <v/>
      </c>
      <c r="I5182" s="17"/>
      <c r="J5182" s="17"/>
      <c r="P5182" s="17"/>
      <c r="Q5182" s="17"/>
    </row>
    <row r="5183" spans="2:17">
      <c r="B5183" s="17"/>
      <c r="C5183" s="16" t="str">
        <f>IFERROR(VLOOKUP(DATA!#REF!,DATA!#REF!,1,FALSE),"")</f>
        <v/>
      </c>
      <c r="D5183" s="16" t="str">
        <f>IFERROR(VLOOKUP(C5183,DATA!#REF!,2,FALSE),"")</f>
        <v/>
      </c>
      <c r="I5183" s="17"/>
      <c r="J5183" s="17"/>
      <c r="P5183" s="17"/>
      <c r="Q5183" s="17"/>
    </row>
    <row r="5184" spans="2:17">
      <c r="B5184" s="17"/>
      <c r="C5184" s="16" t="str">
        <f>IFERROR(VLOOKUP(DATA!#REF!,DATA!#REF!,1,FALSE),"")</f>
        <v/>
      </c>
      <c r="D5184" s="16" t="str">
        <f>IFERROR(VLOOKUP(C5184,DATA!#REF!,2,FALSE),"")</f>
        <v/>
      </c>
      <c r="I5184" s="17"/>
      <c r="J5184" s="17"/>
      <c r="P5184" s="17"/>
      <c r="Q5184" s="17"/>
    </row>
    <row r="5185" spans="2:17">
      <c r="B5185" s="17"/>
      <c r="C5185" s="16" t="str">
        <f>IFERROR(VLOOKUP(DATA!#REF!,DATA!#REF!,1,FALSE),"")</f>
        <v/>
      </c>
      <c r="D5185" s="16" t="str">
        <f>IFERROR(VLOOKUP(C5185,DATA!#REF!,2,FALSE),"")</f>
        <v/>
      </c>
      <c r="I5185" s="17"/>
      <c r="J5185" s="17"/>
      <c r="P5185" s="17"/>
      <c r="Q5185" s="17"/>
    </row>
    <row r="5186" spans="2:17">
      <c r="B5186" s="17"/>
      <c r="C5186" s="16" t="str">
        <f>IFERROR(VLOOKUP(DATA!#REF!,DATA!#REF!,1,FALSE),"")</f>
        <v/>
      </c>
      <c r="D5186" s="16" t="str">
        <f>IFERROR(VLOOKUP(C5186,DATA!#REF!,2,FALSE),"")</f>
        <v/>
      </c>
      <c r="I5186" s="17"/>
      <c r="J5186" s="17"/>
      <c r="P5186" s="17"/>
      <c r="Q5186" s="17"/>
    </row>
    <row r="5187" spans="2:17">
      <c r="B5187" s="17"/>
      <c r="C5187" s="16" t="str">
        <f>IFERROR(VLOOKUP(DATA!#REF!,DATA!#REF!,1,FALSE),"")</f>
        <v/>
      </c>
      <c r="D5187" s="16" t="str">
        <f>IFERROR(VLOOKUP(C5187,DATA!#REF!,2,FALSE),"")</f>
        <v/>
      </c>
      <c r="I5187" s="17"/>
      <c r="J5187" s="17"/>
      <c r="P5187" s="17"/>
      <c r="Q5187" s="17"/>
    </row>
    <row r="5188" spans="2:17">
      <c r="B5188" s="17"/>
      <c r="C5188" s="16" t="str">
        <f>IFERROR(VLOOKUP(DATA!#REF!,DATA!#REF!,1,FALSE),"")</f>
        <v/>
      </c>
      <c r="D5188" s="16" t="str">
        <f>IFERROR(VLOOKUP(C5188,DATA!#REF!,2,FALSE),"")</f>
        <v/>
      </c>
      <c r="I5188" s="17"/>
      <c r="J5188" s="17"/>
      <c r="P5188" s="17"/>
      <c r="Q5188" s="17"/>
    </row>
    <row r="5189" spans="2:17">
      <c r="B5189" s="17"/>
      <c r="C5189" s="16" t="str">
        <f>IFERROR(VLOOKUP(DATA!#REF!,DATA!#REF!,1,FALSE),"")</f>
        <v/>
      </c>
      <c r="D5189" s="16" t="str">
        <f>IFERROR(VLOOKUP(C5189,DATA!#REF!,2,FALSE),"")</f>
        <v/>
      </c>
      <c r="I5189" s="17"/>
      <c r="J5189" s="17"/>
      <c r="P5189" s="17"/>
      <c r="Q5189" s="17"/>
    </row>
    <row r="5190" spans="2:17">
      <c r="B5190" s="17"/>
      <c r="C5190" s="16" t="str">
        <f>IFERROR(VLOOKUP(DATA!#REF!,DATA!#REF!,1,FALSE),"")</f>
        <v/>
      </c>
      <c r="D5190" s="16" t="str">
        <f>IFERROR(VLOOKUP(C5190,DATA!#REF!,2,FALSE),"")</f>
        <v/>
      </c>
      <c r="I5190" s="17"/>
      <c r="J5190" s="17"/>
      <c r="P5190" s="17"/>
      <c r="Q5190" s="17"/>
    </row>
    <row r="5191" spans="2:17">
      <c r="B5191" s="17"/>
      <c r="C5191" s="16" t="str">
        <f>IFERROR(VLOOKUP(DATA!#REF!,DATA!#REF!,1,FALSE),"")</f>
        <v/>
      </c>
      <c r="D5191" s="16" t="str">
        <f>IFERROR(VLOOKUP(C5191,DATA!#REF!,2,FALSE),"")</f>
        <v/>
      </c>
      <c r="I5191" s="17"/>
      <c r="J5191" s="17"/>
      <c r="P5191" s="17"/>
      <c r="Q5191" s="17"/>
    </row>
    <row r="5192" spans="2:17">
      <c r="B5192" s="17"/>
      <c r="C5192" s="16" t="str">
        <f>IFERROR(VLOOKUP(DATA!#REF!,DATA!#REF!,1,FALSE),"")</f>
        <v/>
      </c>
      <c r="D5192" s="16" t="str">
        <f>IFERROR(VLOOKUP(C5192,DATA!#REF!,2,FALSE),"")</f>
        <v/>
      </c>
      <c r="I5192" s="17"/>
      <c r="J5192" s="17"/>
      <c r="P5192" s="17"/>
      <c r="Q5192" s="17"/>
    </row>
    <row r="5193" spans="2:17">
      <c r="B5193" s="17"/>
      <c r="C5193" s="16" t="str">
        <f>IFERROR(VLOOKUP(DATA!#REF!,DATA!#REF!,1,FALSE),"")</f>
        <v/>
      </c>
      <c r="D5193" s="16" t="str">
        <f>IFERROR(VLOOKUP(C5193,DATA!#REF!,2,FALSE),"")</f>
        <v/>
      </c>
      <c r="I5193" s="17"/>
      <c r="J5193" s="17"/>
      <c r="P5193" s="17"/>
      <c r="Q5193" s="17"/>
    </row>
    <row r="5194" spans="2:17">
      <c r="B5194" s="17"/>
      <c r="C5194" s="16" t="str">
        <f>IFERROR(VLOOKUP(DATA!#REF!,DATA!#REF!,1,FALSE),"")</f>
        <v/>
      </c>
      <c r="D5194" s="16" t="str">
        <f>IFERROR(VLOOKUP(C5194,DATA!#REF!,2,FALSE),"")</f>
        <v/>
      </c>
      <c r="I5194" s="17"/>
      <c r="J5194" s="17"/>
      <c r="P5194" s="17"/>
      <c r="Q5194" s="17"/>
    </row>
    <row r="5195" spans="2:17">
      <c r="B5195" s="17"/>
      <c r="C5195" s="16" t="str">
        <f>IFERROR(VLOOKUP(DATA!#REF!,DATA!#REF!,1,FALSE),"")</f>
        <v/>
      </c>
      <c r="D5195" s="16" t="str">
        <f>IFERROR(VLOOKUP(C5195,DATA!#REF!,2,FALSE),"")</f>
        <v/>
      </c>
      <c r="I5195" s="17"/>
      <c r="J5195" s="17"/>
      <c r="P5195" s="17"/>
      <c r="Q5195" s="17"/>
    </row>
    <row r="5196" spans="2:17">
      <c r="B5196" s="17"/>
      <c r="C5196" s="16" t="str">
        <f>IFERROR(VLOOKUP(DATA!#REF!,DATA!#REF!,1,FALSE),"")</f>
        <v/>
      </c>
      <c r="D5196" s="16" t="str">
        <f>IFERROR(VLOOKUP(C5196,DATA!#REF!,2,FALSE),"")</f>
        <v/>
      </c>
      <c r="I5196" s="17"/>
      <c r="J5196" s="17"/>
      <c r="P5196" s="17"/>
      <c r="Q5196" s="17"/>
    </row>
    <row r="5197" spans="2:17">
      <c r="B5197" s="17"/>
      <c r="C5197" s="16" t="str">
        <f>IFERROR(VLOOKUP(DATA!#REF!,DATA!#REF!,1,FALSE),"")</f>
        <v/>
      </c>
      <c r="D5197" s="16" t="str">
        <f>IFERROR(VLOOKUP(C5197,DATA!#REF!,2,FALSE),"")</f>
        <v/>
      </c>
      <c r="I5197" s="17"/>
      <c r="J5197" s="17"/>
      <c r="P5197" s="17"/>
      <c r="Q5197" s="17"/>
    </row>
    <row r="5198" spans="2:17">
      <c r="B5198" s="17"/>
      <c r="C5198" s="16" t="str">
        <f>IFERROR(VLOOKUP(DATA!#REF!,DATA!#REF!,1,FALSE),"")</f>
        <v/>
      </c>
      <c r="D5198" s="16" t="str">
        <f>IFERROR(VLOOKUP(C5198,DATA!#REF!,2,FALSE),"")</f>
        <v/>
      </c>
      <c r="I5198" s="17"/>
      <c r="J5198" s="17"/>
      <c r="P5198" s="17"/>
      <c r="Q5198" s="17"/>
    </row>
    <row r="5199" spans="2:17">
      <c r="B5199" s="17"/>
      <c r="C5199" s="16" t="str">
        <f>IFERROR(VLOOKUP(DATA!#REF!,DATA!#REF!,1,FALSE),"")</f>
        <v/>
      </c>
      <c r="D5199" s="16" t="str">
        <f>IFERROR(VLOOKUP(C5199,DATA!#REF!,2,FALSE),"")</f>
        <v/>
      </c>
      <c r="I5199" s="17"/>
      <c r="J5199" s="17"/>
      <c r="P5199" s="17"/>
      <c r="Q5199" s="17"/>
    </row>
    <row r="5200" spans="2:17">
      <c r="B5200" s="17"/>
      <c r="C5200" s="16" t="str">
        <f>IFERROR(VLOOKUP(DATA!#REF!,DATA!#REF!,1,FALSE),"")</f>
        <v/>
      </c>
      <c r="D5200" s="16" t="str">
        <f>IFERROR(VLOOKUP(C5200,DATA!#REF!,2,FALSE),"")</f>
        <v/>
      </c>
      <c r="I5200" s="17"/>
      <c r="J5200" s="17"/>
      <c r="P5200" s="17"/>
      <c r="Q5200" s="17"/>
    </row>
    <row r="5201" spans="2:17">
      <c r="B5201" s="17"/>
      <c r="C5201" s="16" t="str">
        <f>IFERROR(VLOOKUP(DATA!#REF!,DATA!#REF!,1,FALSE),"")</f>
        <v/>
      </c>
      <c r="D5201" s="16" t="str">
        <f>IFERROR(VLOOKUP(C5201,DATA!#REF!,2,FALSE),"")</f>
        <v/>
      </c>
      <c r="I5201" s="17"/>
      <c r="J5201" s="17"/>
      <c r="P5201" s="17"/>
      <c r="Q5201" s="17"/>
    </row>
    <row r="5202" spans="2:17">
      <c r="B5202" s="17"/>
      <c r="C5202" s="16" t="str">
        <f>IFERROR(VLOOKUP(DATA!#REF!,DATA!#REF!,1,FALSE),"")</f>
        <v/>
      </c>
      <c r="D5202" s="16" t="str">
        <f>IFERROR(VLOOKUP(C5202,DATA!#REF!,2,FALSE),"")</f>
        <v/>
      </c>
      <c r="I5202" s="17"/>
      <c r="J5202" s="17"/>
      <c r="P5202" s="17"/>
      <c r="Q5202" s="17"/>
    </row>
    <row r="5203" spans="2:17">
      <c r="B5203" s="17"/>
      <c r="C5203" s="16" t="str">
        <f>IFERROR(VLOOKUP(DATA!#REF!,DATA!#REF!,1,FALSE),"")</f>
        <v/>
      </c>
      <c r="D5203" s="16" t="str">
        <f>IFERROR(VLOOKUP(C5203,DATA!#REF!,2,FALSE),"")</f>
        <v/>
      </c>
      <c r="I5203" s="17"/>
      <c r="J5203" s="17"/>
      <c r="P5203" s="17"/>
      <c r="Q5203" s="17"/>
    </row>
    <row r="5204" spans="2:17">
      <c r="B5204" s="17"/>
      <c r="C5204" s="16" t="str">
        <f>IFERROR(VLOOKUP(DATA!#REF!,DATA!#REF!,1,FALSE),"")</f>
        <v/>
      </c>
      <c r="D5204" s="16" t="str">
        <f>IFERROR(VLOOKUP(C5204,DATA!#REF!,2,FALSE),"")</f>
        <v/>
      </c>
      <c r="I5204" s="17"/>
      <c r="J5204" s="17"/>
      <c r="P5204" s="17"/>
      <c r="Q5204" s="17"/>
    </row>
    <row r="5205" spans="2:17">
      <c r="B5205" s="17"/>
      <c r="C5205" s="16" t="str">
        <f>IFERROR(VLOOKUP(DATA!#REF!,DATA!#REF!,1,FALSE),"")</f>
        <v/>
      </c>
      <c r="D5205" s="16" t="str">
        <f>IFERROR(VLOOKUP(C5205,DATA!#REF!,2,FALSE),"")</f>
        <v/>
      </c>
      <c r="I5205" s="17"/>
      <c r="J5205" s="17"/>
      <c r="P5205" s="17"/>
      <c r="Q5205" s="17"/>
    </row>
    <row r="5206" spans="2:17">
      <c r="B5206" s="17"/>
      <c r="C5206" s="16" t="str">
        <f>IFERROR(VLOOKUP(DATA!#REF!,DATA!#REF!,1,FALSE),"")</f>
        <v/>
      </c>
      <c r="D5206" s="16" t="str">
        <f>IFERROR(VLOOKUP(C5206,DATA!#REF!,2,FALSE),"")</f>
        <v/>
      </c>
      <c r="I5206" s="17"/>
      <c r="J5206" s="17"/>
      <c r="P5206" s="17"/>
      <c r="Q5206" s="17"/>
    </row>
    <row r="5207" spans="2:17">
      <c r="B5207" s="17"/>
      <c r="C5207" s="16" t="str">
        <f>IFERROR(VLOOKUP(DATA!#REF!,DATA!#REF!,1,FALSE),"")</f>
        <v/>
      </c>
      <c r="D5207" s="16" t="str">
        <f>IFERROR(VLOOKUP(C5207,DATA!#REF!,2,FALSE),"")</f>
        <v/>
      </c>
      <c r="I5207" s="17"/>
      <c r="J5207" s="17"/>
      <c r="P5207" s="17"/>
      <c r="Q5207" s="17"/>
    </row>
    <row r="5208" spans="2:17">
      <c r="B5208" s="17"/>
      <c r="C5208" s="16" t="str">
        <f>IFERROR(VLOOKUP(DATA!#REF!,DATA!#REF!,1,FALSE),"")</f>
        <v/>
      </c>
      <c r="D5208" s="16" t="str">
        <f>IFERROR(VLOOKUP(C5208,DATA!#REF!,2,FALSE),"")</f>
        <v/>
      </c>
      <c r="I5208" s="17"/>
      <c r="J5208" s="17"/>
      <c r="P5208" s="17"/>
      <c r="Q5208" s="17"/>
    </row>
    <row r="5209" spans="2:17">
      <c r="B5209" s="17"/>
      <c r="C5209" s="16" t="str">
        <f>IFERROR(VLOOKUP(DATA!#REF!,DATA!#REF!,1,FALSE),"")</f>
        <v/>
      </c>
      <c r="D5209" s="16" t="str">
        <f>IFERROR(VLOOKUP(C5209,DATA!#REF!,2,FALSE),"")</f>
        <v/>
      </c>
      <c r="I5209" s="17"/>
      <c r="J5209" s="17"/>
      <c r="P5209" s="17"/>
      <c r="Q5209" s="17"/>
    </row>
    <row r="5210" spans="2:17">
      <c r="B5210" s="17"/>
      <c r="C5210" s="16" t="str">
        <f>IFERROR(VLOOKUP(DATA!#REF!,DATA!#REF!,1,FALSE),"")</f>
        <v/>
      </c>
      <c r="D5210" s="16" t="str">
        <f>IFERROR(VLOOKUP(C5210,DATA!#REF!,2,FALSE),"")</f>
        <v/>
      </c>
      <c r="I5210" s="17"/>
      <c r="J5210" s="17"/>
      <c r="P5210" s="17"/>
      <c r="Q5210" s="17"/>
    </row>
    <row r="5211" spans="2:17">
      <c r="B5211" s="17"/>
      <c r="C5211" s="16" t="str">
        <f>IFERROR(VLOOKUP(DATA!#REF!,DATA!#REF!,1,FALSE),"")</f>
        <v/>
      </c>
      <c r="D5211" s="16" t="str">
        <f>IFERROR(VLOOKUP(C5211,DATA!#REF!,2,FALSE),"")</f>
        <v/>
      </c>
      <c r="I5211" s="17"/>
      <c r="J5211" s="17"/>
      <c r="P5211" s="17"/>
      <c r="Q5211" s="17"/>
    </row>
    <row r="5212" spans="2:17">
      <c r="B5212" s="17"/>
      <c r="C5212" s="16" t="str">
        <f>IFERROR(VLOOKUP(DATA!#REF!,DATA!#REF!,1,FALSE),"")</f>
        <v/>
      </c>
      <c r="D5212" s="16" t="str">
        <f>IFERROR(VLOOKUP(C5212,DATA!#REF!,2,FALSE),"")</f>
        <v/>
      </c>
      <c r="I5212" s="17"/>
      <c r="J5212" s="17"/>
      <c r="P5212" s="17"/>
      <c r="Q5212" s="17"/>
    </row>
    <row r="5213" spans="2:17">
      <c r="B5213" s="17"/>
      <c r="C5213" s="16" t="str">
        <f>IFERROR(VLOOKUP(DATA!#REF!,DATA!#REF!,1,FALSE),"")</f>
        <v/>
      </c>
      <c r="D5213" s="16" t="str">
        <f>IFERROR(VLOOKUP(C5213,DATA!#REF!,2,FALSE),"")</f>
        <v/>
      </c>
      <c r="I5213" s="17"/>
      <c r="J5213" s="17"/>
      <c r="P5213" s="17"/>
      <c r="Q5213" s="17"/>
    </row>
    <row r="5214" spans="2:17">
      <c r="B5214" s="17"/>
      <c r="C5214" s="16" t="str">
        <f>IFERROR(VLOOKUP(DATA!#REF!,DATA!#REF!,1,FALSE),"")</f>
        <v/>
      </c>
      <c r="D5214" s="16" t="str">
        <f>IFERROR(VLOOKUP(C5214,DATA!#REF!,2,FALSE),"")</f>
        <v/>
      </c>
      <c r="I5214" s="17"/>
      <c r="J5214" s="17"/>
      <c r="P5214" s="17"/>
      <c r="Q5214" s="17"/>
    </row>
    <row r="5215" spans="2:17">
      <c r="B5215" s="17"/>
      <c r="C5215" s="16" t="str">
        <f>IFERROR(VLOOKUP(DATA!#REF!,DATA!#REF!,1,FALSE),"")</f>
        <v/>
      </c>
      <c r="D5215" s="16" t="str">
        <f>IFERROR(VLOOKUP(C5215,DATA!#REF!,2,FALSE),"")</f>
        <v/>
      </c>
      <c r="I5215" s="17"/>
      <c r="J5215" s="17"/>
      <c r="P5215" s="17"/>
      <c r="Q5215" s="17"/>
    </row>
    <row r="5216" spans="2:17">
      <c r="B5216" s="17"/>
      <c r="C5216" s="16" t="str">
        <f>IFERROR(VLOOKUP(DATA!#REF!,DATA!#REF!,1,FALSE),"")</f>
        <v/>
      </c>
      <c r="D5216" s="16" t="str">
        <f>IFERROR(VLOOKUP(C5216,DATA!#REF!,2,FALSE),"")</f>
        <v/>
      </c>
      <c r="I5216" s="17"/>
      <c r="J5216" s="17"/>
      <c r="P5216" s="17"/>
      <c r="Q5216" s="17"/>
    </row>
    <row r="5217" spans="2:17">
      <c r="B5217" s="17"/>
      <c r="C5217" s="16" t="str">
        <f>IFERROR(VLOOKUP(DATA!#REF!,DATA!#REF!,1,FALSE),"")</f>
        <v/>
      </c>
      <c r="D5217" s="16" t="str">
        <f>IFERROR(VLOOKUP(C5217,DATA!#REF!,2,FALSE),"")</f>
        <v/>
      </c>
      <c r="I5217" s="17"/>
      <c r="J5217" s="17"/>
      <c r="P5217" s="17"/>
      <c r="Q5217" s="17"/>
    </row>
    <row r="5218" spans="2:17">
      <c r="B5218" s="17"/>
      <c r="C5218" s="16" t="str">
        <f>IFERROR(VLOOKUP(DATA!#REF!,DATA!#REF!,1,FALSE),"")</f>
        <v/>
      </c>
      <c r="D5218" s="16" t="str">
        <f>IFERROR(VLOOKUP(C5218,DATA!#REF!,2,FALSE),"")</f>
        <v/>
      </c>
      <c r="I5218" s="17"/>
      <c r="J5218" s="17"/>
      <c r="P5218" s="17"/>
      <c r="Q5218" s="17"/>
    </row>
    <row r="5219" spans="2:17">
      <c r="B5219" s="17"/>
      <c r="C5219" s="16" t="str">
        <f>IFERROR(VLOOKUP(DATA!#REF!,DATA!#REF!,1,FALSE),"")</f>
        <v/>
      </c>
      <c r="D5219" s="16" t="str">
        <f>IFERROR(VLOOKUP(C5219,DATA!#REF!,2,FALSE),"")</f>
        <v/>
      </c>
      <c r="I5219" s="17"/>
      <c r="J5219" s="17"/>
      <c r="P5219" s="17"/>
      <c r="Q5219" s="17"/>
    </row>
    <row r="5220" spans="2:17">
      <c r="B5220" s="17"/>
      <c r="C5220" s="16" t="str">
        <f>IFERROR(VLOOKUP(DATA!#REF!,DATA!#REF!,1,FALSE),"")</f>
        <v/>
      </c>
      <c r="D5220" s="16" t="str">
        <f>IFERROR(VLOOKUP(C5220,DATA!#REF!,2,FALSE),"")</f>
        <v/>
      </c>
      <c r="I5220" s="17"/>
      <c r="J5220" s="17"/>
      <c r="P5220" s="17"/>
      <c r="Q5220" s="17"/>
    </row>
    <row r="5221" spans="2:17">
      <c r="B5221" s="17"/>
      <c r="C5221" s="16" t="str">
        <f>IFERROR(VLOOKUP(DATA!#REF!,DATA!#REF!,1,FALSE),"")</f>
        <v/>
      </c>
      <c r="D5221" s="16" t="str">
        <f>IFERROR(VLOOKUP(C5221,DATA!#REF!,2,FALSE),"")</f>
        <v/>
      </c>
      <c r="I5221" s="17"/>
      <c r="J5221" s="17"/>
      <c r="P5221" s="17"/>
      <c r="Q5221" s="17"/>
    </row>
    <row r="5222" spans="2:17">
      <c r="B5222" s="17"/>
      <c r="C5222" s="16" t="str">
        <f>IFERROR(VLOOKUP(DATA!#REF!,DATA!#REF!,1,FALSE),"")</f>
        <v/>
      </c>
      <c r="D5222" s="16" t="str">
        <f>IFERROR(VLOOKUP(C5222,DATA!#REF!,2,FALSE),"")</f>
        <v/>
      </c>
      <c r="I5222" s="17"/>
      <c r="J5222" s="17"/>
      <c r="P5222" s="17"/>
      <c r="Q5222" s="17"/>
    </row>
    <row r="5223" spans="2:17">
      <c r="B5223" s="17"/>
      <c r="C5223" s="16" t="str">
        <f>IFERROR(VLOOKUP(DATA!#REF!,DATA!#REF!,1,FALSE),"")</f>
        <v/>
      </c>
      <c r="D5223" s="16" t="str">
        <f>IFERROR(VLOOKUP(C5223,DATA!#REF!,2,FALSE),"")</f>
        <v/>
      </c>
      <c r="I5223" s="17"/>
      <c r="J5223" s="17"/>
      <c r="P5223" s="17"/>
      <c r="Q5223" s="17"/>
    </row>
    <row r="5224" spans="2:17">
      <c r="B5224" s="17"/>
      <c r="C5224" s="16" t="str">
        <f>IFERROR(VLOOKUP(DATA!#REF!,DATA!#REF!,1,FALSE),"")</f>
        <v/>
      </c>
      <c r="D5224" s="16" t="str">
        <f>IFERROR(VLOOKUP(C5224,DATA!#REF!,2,FALSE),"")</f>
        <v/>
      </c>
      <c r="I5224" s="17"/>
      <c r="J5224" s="17"/>
      <c r="P5224" s="17"/>
      <c r="Q5224" s="17"/>
    </row>
    <row r="5225" spans="2:17">
      <c r="B5225" s="17"/>
      <c r="C5225" s="16" t="str">
        <f>IFERROR(VLOOKUP(DATA!#REF!,DATA!#REF!,1,FALSE),"")</f>
        <v/>
      </c>
      <c r="D5225" s="16" t="str">
        <f>IFERROR(VLOOKUP(C5225,DATA!#REF!,2,FALSE),"")</f>
        <v/>
      </c>
      <c r="I5225" s="17"/>
      <c r="J5225" s="17"/>
      <c r="P5225" s="17"/>
      <c r="Q5225" s="17"/>
    </row>
    <row r="5226" spans="2:17">
      <c r="B5226" s="17"/>
      <c r="C5226" s="16" t="str">
        <f>IFERROR(VLOOKUP(DATA!#REF!,DATA!#REF!,1,FALSE),"")</f>
        <v/>
      </c>
      <c r="D5226" s="16" t="str">
        <f>IFERROR(VLOOKUP(C5226,DATA!#REF!,2,FALSE),"")</f>
        <v/>
      </c>
      <c r="I5226" s="17"/>
      <c r="J5226" s="17"/>
      <c r="P5226" s="17"/>
      <c r="Q5226" s="17"/>
    </row>
    <row r="5227" spans="2:17">
      <c r="B5227" s="17"/>
      <c r="C5227" s="16" t="str">
        <f>IFERROR(VLOOKUP(DATA!#REF!,DATA!#REF!,1,FALSE),"")</f>
        <v/>
      </c>
      <c r="D5227" s="16" t="str">
        <f>IFERROR(VLOOKUP(C5227,DATA!#REF!,2,FALSE),"")</f>
        <v/>
      </c>
      <c r="I5227" s="17"/>
      <c r="J5227" s="17"/>
      <c r="P5227" s="17"/>
      <c r="Q5227" s="17"/>
    </row>
    <row r="5228" spans="2:17">
      <c r="B5228" s="17"/>
      <c r="C5228" s="16" t="str">
        <f>IFERROR(VLOOKUP(DATA!#REF!,DATA!#REF!,1,FALSE),"")</f>
        <v/>
      </c>
      <c r="D5228" s="16" t="str">
        <f>IFERROR(VLOOKUP(C5228,DATA!#REF!,2,FALSE),"")</f>
        <v/>
      </c>
      <c r="I5228" s="17"/>
      <c r="J5228" s="17"/>
      <c r="P5228" s="17"/>
      <c r="Q5228" s="17"/>
    </row>
    <row r="5229" spans="2:17">
      <c r="B5229" s="17"/>
      <c r="C5229" s="16" t="str">
        <f>IFERROR(VLOOKUP(DATA!#REF!,DATA!#REF!,1,FALSE),"")</f>
        <v/>
      </c>
      <c r="D5229" s="16" t="str">
        <f>IFERROR(VLOOKUP(C5229,DATA!#REF!,2,FALSE),"")</f>
        <v/>
      </c>
      <c r="I5229" s="17"/>
      <c r="J5229" s="17"/>
      <c r="P5229" s="17"/>
      <c r="Q5229" s="17"/>
    </row>
    <row r="5230" spans="2:17">
      <c r="B5230" s="17"/>
      <c r="C5230" s="16" t="str">
        <f>IFERROR(VLOOKUP(DATA!#REF!,DATA!#REF!,1,FALSE),"")</f>
        <v/>
      </c>
      <c r="D5230" s="16" t="str">
        <f>IFERROR(VLOOKUP(C5230,DATA!#REF!,2,FALSE),"")</f>
        <v/>
      </c>
      <c r="I5230" s="17"/>
      <c r="J5230" s="17"/>
      <c r="P5230" s="17"/>
      <c r="Q5230" s="17"/>
    </row>
    <row r="5231" spans="2:17">
      <c r="B5231" s="17"/>
      <c r="C5231" s="16" t="str">
        <f>IFERROR(VLOOKUP(DATA!#REF!,DATA!#REF!,1,FALSE),"")</f>
        <v/>
      </c>
      <c r="D5231" s="16" t="str">
        <f>IFERROR(VLOOKUP(C5231,DATA!#REF!,2,FALSE),"")</f>
        <v/>
      </c>
      <c r="I5231" s="17"/>
      <c r="J5231" s="17"/>
      <c r="P5231" s="17"/>
      <c r="Q5231" s="17"/>
    </row>
    <row r="5232" spans="2:17">
      <c r="B5232" s="17"/>
      <c r="C5232" s="16" t="str">
        <f>IFERROR(VLOOKUP(DATA!#REF!,DATA!#REF!,1,FALSE),"")</f>
        <v/>
      </c>
      <c r="D5232" s="16" t="str">
        <f>IFERROR(VLOOKUP(C5232,DATA!#REF!,2,FALSE),"")</f>
        <v/>
      </c>
      <c r="I5232" s="17"/>
      <c r="J5232" s="17"/>
      <c r="P5232" s="17"/>
      <c r="Q5232" s="17"/>
    </row>
    <row r="5233" spans="2:17">
      <c r="B5233" s="17"/>
      <c r="C5233" s="16" t="str">
        <f>IFERROR(VLOOKUP(DATA!#REF!,DATA!#REF!,1,FALSE),"")</f>
        <v/>
      </c>
      <c r="D5233" s="16" t="str">
        <f>IFERROR(VLOOKUP(C5233,DATA!#REF!,2,FALSE),"")</f>
        <v/>
      </c>
      <c r="I5233" s="17"/>
      <c r="J5233" s="17"/>
      <c r="P5233" s="17"/>
      <c r="Q5233" s="17"/>
    </row>
    <row r="5234" spans="2:17">
      <c r="B5234" s="17"/>
      <c r="C5234" s="16" t="str">
        <f>IFERROR(VLOOKUP(DATA!#REF!,DATA!#REF!,1,FALSE),"")</f>
        <v/>
      </c>
      <c r="D5234" s="16" t="str">
        <f>IFERROR(VLOOKUP(C5234,DATA!#REF!,2,FALSE),"")</f>
        <v/>
      </c>
      <c r="I5234" s="17"/>
      <c r="J5234" s="17"/>
      <c r="P5234" s="17"/>
      <c r="Q5234" s="17"/>
    </row>
    <row r="5235" spans="2:17">
      <c r="B5235" s="17"/>
      <c r="C5235" s="16" t="str">
        <f>IFERROR(VLOOKUP(DATA!#REF!,DATA!#REF!,1,FALSE),"")</f>
        <v/>
      </c>
      <c r="D5235" s="16" t="str">
        <f>IFERROR(VLOOKUP(C5235,DATA!#REF!,2,FALSE),"")</f>
        <v/>
      </c>
      <c r="I5235" s="17"/>
      <c r="J5235" s="17"/>
      <c r="P5235" s="17"/>
      <c r="Q5235" s="17"/>
    </row>
    <row r="5236" spans="2:17">
      <c r="B5236" s="17"/>
      <c r="C5236" s="16" t="str">
        <f>IFERROR(VLOOKUP(DATA!#REF!,DATA!#REF!,1,FALSE),"")</f>
        <v/>
      </c>
      <c r="D5236" s="16" t="str">
        <f>IFERROR(VLOOKUP(C5236,DATA!#REF!,2,FALSE),"")</f>
        <v/>
      </c>
      <c r="I5236" s="17"/>
      <c r="J5236" s="17"/>
      <c r="P5236" s="17"/>
      <c r="Q5236" s="17"/>
    </row>
    <row r="5237" spans="2:17">
      <c r="B5237" s="17"/>
      <c r="C5237" s="16" t="str">
        <f>IFERROR(VLOOKUP(DATA!#REF!,DATA!#REF!,1,FALSE),"")</f>
        <v/>
      </c>
      <c r="D5237" s="16" t="str">
        <f>IFERROR(VLOOKUP(C5237,DATA!#REF!,2,FALSE),"")</f>
        <v/>
      </c>
      <c r="I5237" s="17"/>
      <c r="J5237" s="17"/>
      <c r="P5237" s="17"/>
      <c r="Q5237" s="17"/>
    </row>
    <row r="5238" spans="2:17">
      <c r="B5238" s="17"/>
      <c r="C5238" s="16" t="str">
        <f>IFERROR(VLOOKUP(DATA!#REF!,DATA!#REF!,1,FALSE),"")</f>
        <v/>
      </c>
      <c r="D5238" s="16" t="str">
        <f>IFERROR(VLOOKUP(C5238,DATA!#REF!,2,FALSE),"")</f>
        <v/>
      </c>
      <c r="I5238" s="17"/>
      <c r="J5238" s="17"/>
      <c r="P5238" s="17"/>
      <c r="Q5238" s="17"/>
    </row>
    <row r="5239" spans="2:17">
      <c r="B5239" s="17"/>
      <c r="C5239" s="16" t="str">
        <f>IFERROR(VLOOKUP(DATA!#REF!,DATA!#REF!,1,FALSE),"")</f>
        <v/>
      </c>
      <c r="D5239" s="16" t="str">
        <f>IFERROR(VLOOKUP(C5239,DATA!#REF!,2,FALSE),"")</f>
        <v/>
      </c>
      <c r="I5239" s="17"/>
      <c r="J5239" s="17"/>
      <c r="P5239" s="17"/>
      <c r="Q5239" s="17"/>
    </row>
    <row r="5240" spans="2:17">
      <c r="B5240" s="17"/>
      <c r="C5240" s="16" t="str">
        <f>IFERROR(VLOOKUP(DATA!#REF!,DATA!#REF!,1,FALSE),"")</f>
        <v/>
      </c>
      <c r="D5240" s="16" t="str">
        <f>IFERROR(VLOOKUP(C5240,DATA!#REF!,2,FALSE),"")</f>
        <v/>
      </c>
      <c r="I5240" s="17"/>
      <c r="J5240" s="17"/>
      <c r="P5240" s="17"/>
      <c r="Q5240" s="17"/>
    </row>
    <row r="5241" spans="2:17">
      <c r="B5241" s="17"/>
      <c r="C5241" s="16" t="str">
        <f>IFERROR(VLOOKUP(DATA!#REF!,DATA!#REF!,1,FALSE),"")</f>
        <v/>
      </c>
      <c r="D5241" s="16" t="str">
        <f>IFERROR(VLOOKUP(C5241,DATA!#REF!,2,FALSE),"")</f>
        <v/>
      </c>
      <c r="I5241" s="17"/>
      <c r="J5241" s="17"/>
      <c r="P5241" s="17"/>
      <c r="Q5241" s="17"/>
    </row>
    <row r="5242" spans="2:17">
      <c r="B5242" s="17"/>
      <c r="C5242" s="16" t="str">
        <f>IFERROR(VLOOKUP(DATA!#REF!,DATA!#REF!,1,FALSE),"")</f>
        <v/>
      </c>
      <c r="D5242" s="16" t="str">
        <f>IFERROR(VLOOKUP(C5242,DATA!#REF!,2,FALSE),"")</f>
        <v/>
      </c>
      <c r="I5242" s="17"/>
      <c r="J5242" s="17"/>
      <c r="P5242" s="17"/>
      <c r="Q5242" s="17"/>
    </row>
    <row r="5243" spans="2:17">
      <c r="B5243" s="17"/>
      <c r="C5243" s="16" t="str">
        <f>IFERROR(VLOOKUP(DATA!#REF!,DATA!#REF!,1,FALSE),"")</f>
        <v/>
      </c>
      <c r="D5243" s="16" t="str">
        <f>IFERROR(VLOOKUP(C5243,DATA!#REF!,2,FALSE),"")</f>
        <v/>
      </c>
      <c r="I5243" s="17"/>
      <c r="J5243" s="17"/>
      <c r="P5243" s="17"/>
      <c r="Q5243" s="17"/>
    </row>
    <row r="5244" spans="2:17">
      <c r="B5244" s="17"/>
      <c r="C5244" s="16" t="str">
        <f>IFERROR(VLOOKUP(DATA!#REF!,DATA!#REF!,1,FALSE),"")</f>
        <v/>
      </c>
      <c r="D5244" s="16" t="str">
        <f>IFERROR(VLOOKUP(C5244,DATA!#REF!,2,FALSE),"")</f>
        <v/>
      </c>
      <c r="I5244" s="17"/>
      <c r="J5244" s="17"/>
      <c r="P5244" s="17"/>
      <c r="Q5244" s="17"/>
    </row>
    <row r="5245" spans="2:17">
      <c r="B5245" s="17"/>
      <c r="C5245" s="16" t="str">
        <f>IFERROR(VLOOKUP(DATA!#REF!,DATA!#REF!,1,FALSE),"")</f>
        <v/>
      </c>
      <c r="D5245" s="16" t="str">
        <f>IFERROR(VLOOKUP(C5245,DATA!#REF!,2,FALSE),"")</f>
        <v/>
      </c>
      <c r="I5245" s="17"/>
      <c r="J5245" s="17"/>
      <c r="P5245" s="17"/>
      <c r="Q5245" s="17"/>
    </row>
    <row r="5246" spans="2:17">
      <c r="B5246" s="17"/>
      <c r="C5246" s="16" t="str">
        <f>IFERROR(VLOOKUP(DATA!#REF!,DATA!#REF!,1,FALSE),"")</f>
        <v/>
      </c>
      <c r="D5246" s="16" t="str">
        <f>IFERROR(VLOOKUP(C5246,DATA!#REF!,2,FALSE),"")</f>
        <v/>
      </c>
      <c r="I5246" s="17"/>
      <c r="J5246" s="17"/>
      <c r="P5246" s="17"/>
      <c r="Q5246" s="17"/>
    </row>
    <row r="5247" spans="2:17">
      <c r="B5247" s="17"/>
      <c r="C5247" s="16" t="str">
        <f>IFERROR(VLOOKUP(DATA!#REF!,DATA!#REF!,1,FALSE),"")</f>
        <v/>
      </c>
      <c r="D5247" s="16" t="str">
        <f>IFERROR(VLOOKUP(C5247,DATA!#REF!,2,FALSE),"")</f>
        <v/>
      </c>
      <c r="I5247" s="17"/>
      <c r="J5247" s="17"/>
      <c r="P5247" s="17"/>
      <c r="Q5247" s="17"/>
    </row>
    <row r="5248" spans="2:17">
      <c r="B5248" s="17"/>
      <c r="C5248" s="16" t="str">
        <f>IFERROR(VLOOKUP(DATA!#REF!,DATA!#REF!,1,FALSE),"")</f>
        <v/>
      </c>
      <c r="D5248" s="16" t="str">
        <f>IFERROR(VLOOKUP(C5248,DATA!#REF!,2,FALSE),"")</f>
        <v/>
      </c>
      <c r="I5248" s="17"/>
      <c r="J5248" s="17"/>
      <c r="P5248" s="17"/>
      <c r="Q5248" s="17"/>
    </row>
    <row r="5249" spans="2:17">
      <c r="B5249" s="17"/>
      <c r="C5249" s="16" t="str">
        <f>IFERROR(VLOOKUP(DATA!#REF!,DATA!#REF!,1,FALSE),"")</f>
        <v/>
      </c>
      <c r="D5249" s="16" t="str">
        <f>IFERROR(VLOOKUP(C5249,DATA!#REF!,2,FALSE),"")</f>
        <v/>
      </c>
      <c r="I5249" s="17"/>
      <c r="J5249" s="17"/>
      <c r="P5249" s="17"/>
      <c r="Q5249" s="17"/>
    </row>
    <row r="5250" spans="2:17">
      <c r="B5250" s="17"/>
      <c r="C5250" s="16" t="str">
        <f>IFERROR(VLOOKUP(DATA!#REF!,DATA!#REF!,1,FALSE),"")</f>
        <v/>
      </c>
      <c r="D5250" s="16" t="str">
        <f>IFERROR(VLOOKUP(C5250,DATA!#REF!,2,FALSE),"")</f>
        <v/>
      </c>
      <c r="I5250" s="17"/>
      <c r="J5250" s="17"/>
      <c r="P5250" s="17"/>
      <c r="Q5250" s="17"/>
    </row>
    <row r="5251" spans="2:17">
      <c r="B5251" s="17"/>
      <c r="C5251" s="16" t="str">
        <f>IFERROR(VLOOKUP(DATA!#REF!,DATA!#REF!,1,FALSE),"")</f>
        <v/>
      </c>
      <c r="D5251" s="16" t="str">
        <f>IFERROR(VLOOKUP(C5251,DATA!#REF!,2,FALSE),"")</f>
        <v/>
      </c>
      <c r="I5251" s="17"/>
      <c r="J5251" s="17"/>
      <c r="P5251" s="17"/>
      <c r="Q5251" s="17"/>
    </row>
    <row r="5252" spans="2:17">
      <c r="B5252" s="17"/>
      <c r="C5252" s="16" t="str">
        <f>IFERROR(VLOOKUP(DATA!#REF!,DATA!#REF!,1,FALSE),"")</f>
        <v/>
      </c>
      <c r="D5252" s="16" t="str">
        <f>IFERROR(VLOOKUP(C5252,DATA!#REF!,2,FALSE),"")</f>
        <v/>
      </c>
      <c r="I5252" s="17"/>
      <c r="J5252" s="17"/>
      <c r="P5252" s="17"/>
      <c r="Q5252" s="17"/>
    </row>
    <row r="5253" spans="2:17">
      <c r="B5253" s="17"/>
      <c r="C5253" s="16" t="str">
        <f>IFERROR(VLOOKUP(DATA!#REF!,DATA!#REF!,1,FALSE),"")</f>
        <v/>
      </c>
      <c r="D5253" s="16" t="str">
        <f>IFERROR(VLOOKUP(C5253,DATA!#REF!,2,FALSE),"")</f>
        <v/>
      </c>
      <c r="I5253" s="17"/>
      <c r="J5253" s="17"/>
      <c r="P5253" s="17"/>
      <c r="Q5253" s="17"/>
    </row>
    <row r="5254" spans="2:17">
      <c r="B5254" s="17"/>
      <c r="C5254" s="16" t="str">
        <f>IFERROR(VLOOKUP(DATA!#REF!,DATA!#REF!,1,FALSE),"")</f>
        <v/>
      </c>
      <c r="D5254" s="16" t="str">
        <f>IFERROR(VLOOKUP(C5254,DATA!#REF!,2,FALSE),"")</f>
        <v/>
      </c>
      <c r="I5254" s="17"/>
      <c r="J5254" s="17"/>
      <c r="P5254" s="17"/>
      <c r="Q5254" s="17"/>
    </row>
    <row r="5255" spans="2:17">
      <c r="B5255" s="17"/>
      <c r="C5255" s="16" t="str">
        <f>IFERROR(VLOOKUP(DATA!#REF!,DATA!#REF!,1,FALSE),"")</f>
        <v/>
      </c>
      <c r="D5255" s="16" t="str">
        <f>IFERROR(VLOOKUP(C5255,DATA!#REF!,2,FALSE),"")</f>
        <v/>
      </c>
      <c r="I5255" s="17"/>
      <c r="J5255" s="17"/>
      <c r="P5255" s="17"/>
      <c r="Q5255" s="17"/>
    </row>
    <row r="5256" spans="2:17">
      <c r="B5256" s="17"/>
      <c r="C5256" s="16" t="str">
        <f>IFERROR(VLOOKUP(DATA!#REF!,DATA!#REF!,1,FALSE),"")</f>
        <v/>
      </c>
      <c r="D5256" s="16" t="str">
        <f>IFERROR(VLOOKUP(C5256,DATA!#REF!,2,FALSE),"")</f>
        <v/>
      </c>
      <c r="I5256" s="17"/>
      <c r="J5256" s="17"/>
      <c r="P5256" s="17"/>
      <c r="Q5256" s="17"/>
    </row>
    <row r="5257" spans="2:17">
      <c r="B5257" s="17"/>
      <c r="C5257" s="16" t="str">
        <f>IFERROR(VLOOKUP(DATA!#REF!,DATA!#REF!,1,FALSE),"")</f>
        <v/>
      </c>
      <c r="D5257" s="16" t="str">
        <f>IFERROR(VLOOKUP(C5257,DATA!#REF!,2,FALSE),"")</f>
        <v/>
      </c>
      <c r="I5257" s="17"/>
      <c r="J5257" s="17"/>
      <c r="P5257" s="17"/>
      <c r="Q5257" s="17"/>
    </row>
    <row r="5258" spans="2:17">
      <c r="B5258" s="17"/>
      <c r="C5258" s="16" t="str">
        <f>IFERROR(VLOOKUP(DATA!#REF!,DATA!#REF!,1,FALSE),"")</f>
        <v/>
      </c>
      <c r="D5258" s="16" t="str">
        <f>IFERROR(VLOOKUP(C5258,DATA!#REF!,2,FALSE),"")</f>
        <v/>
      </c>
      <c r="I5258" s="17"/>
      <c r="J5258" s="17"/>
      <c r="P5258" s="17"/>
      <c r="Q5258" s="17"/>
    </row>
    <row r="5259" spans="2:17">
      <c r="B5259" s="17"/>
      <c r="C5259" s="16" t="str">
        <f>IFERROR(VLOOKUP(DATA!#REF!,DATA!#REF!,1,FALSE),"")</f>
        <v/>
      </c>
      <c r="D5259" s="16" t="str">
        <f>IFERROR(VLOOKUP(C5259,DATA!#REF!,2,FALSE),"")</f>
        <v/>
      </c>
      <c r="I5259" s="17"/>
      <c r="J5259" s="17"/>
      <c r="P5259" s="17"/>
      <c r="Q5259" s="17"/>
    </row>
    <row r="5260" spans="2:17">
      <c r="B5260" s="17"/>
      <c r="C5260" s="16" t="str">
        <f>IFERROR(VLOOKUP(DATA!#REF!,DATA!#REF!,1,FALSE),"")</f>
        <v/>
      </c>
      <c r="D5260" s="16" t="str">
        <f>IFERROR(VLOOKUP(C5260,DATA!#REF!,2,FALSE),"")</f>
        <v/>
      </c>
      <c r="I5260" s="17"/>
      <c r="J5260" s="17"/>
      <c r="P5260" s="17"/>
      <c r="Q5260" s="17"/>
    </row>
    <row r="5261" spans="2:17">
      <c r="B5261" s="17"/>
      <c r="C5261" s="16" t="str">
        <f>IFERROR(VLOOKUP(DATA!#REF!,DATA!#REF!,1,FALSE),"")</f>
        <v/>
      </c>
      <c r="D5261" s="16" t="str">
        <f>IFERROR(VLOOKUP(C5261,DATA!#REF!,2,FALSE),"")</f>
        <v/>
      </c>
      <c r="I5261" s="17"/>
      <c r="J5261" s="17"/>
      <c r="P5261" s="17"/>
      <c r="Q5261" s="17"/>
    </row>
    <row r="5262" spans="2:17">
      <c r="B5262" s="17"/>
      <c r="C5262" s="16" t="str">
        <f>IFERROR(VLOOKUP(DATA!#REF!,DATA!#REF!,1,FALSE),"")</f>
        <v/>
      </c>
      <c r="D5262" s="16" t="str">
        <f>IFERROR(VLOOKUP(C5262,DATA!#REF!,2,FALSE),"")</f>
        <v/>
      </c>
      <c r="I5262" s="17"/>
      <c r="J5262" s="17"/>
      <c r="P5262" s="17"/>
      <c r="Q5262" s="17"/>
    </row>
    <row r="5263" spans="2:17">
      <c r="B5263" s="17"/>
      <c r="C5263" s="16" t="str">
        <f>IFERROR(VLOOKUP(DATA!#REF!,DATA!#REF!,1,FALSE),"")</f>
        <v/>
      </c>
      <c r="D5263" s="16" t="str">
        <f>IFERROR(VLOOKUP(C5263,DATA!#REF!,2,FALSE),"")</f>
        <v/>
      </c>
      <c r="I5263" s="17"/>
      <c r="J5263" s="17"/>
      <c r="P5263" s="17"/>
      <c r="Q5263" s="17"/>
    </row>
    <row r="5264" spans="2:17">
      <c r="B5264" s="17"/>
      <c r="C5264" s="16" t="str">
        <f>IFERROR(VLOOKUP(DATA!#REF!,DATA!#REF!,1,FALSE),"")</f>
        <v/>
      </c>
      <c r="D5264" s="16" t="str">
        <f>IFERROR(VLOOKUP(C5264,DATA!#REF!,2,FALSE),"")</f>
        <v/>
      </c>
      <c r="I5264" s="17"/>
      <c r="J5264" s="17"/>
      <c r="P5264" s="17"/>
      <c r="Q5264" s="17"/>
    </row>
    <row r="5265" spans="2:17">
      <c r="B5265" s="17"/>
      <c r="C5265" s="16" t="str">
        <f>IFERROR(VLOOKUP(DATA!#REF!,DATA!#REF!,1,FALSE),"")</f>
        <v/>
      </c>
      <c r="D5265" s="16" t="str">
        <f>IFERROR(VLOOKUP(C5265,DATA!#REF!,2,FALSE),"")</f>
        <v/>
      </c>
      <c r="I5265" s="17"/>
      <c r="J5265" s="17"/>
      <c r="P5265" s="17"/>
      <c r="Q5265" s="17"/>
    </row>
    <row r="5266" spans="2:17">
      <c r="B5266" s="17"/>
      <c r="C5266" s="16" t="str">
        <f>IFERROR(VLOOKUP(DATA!#REF!,DATA!#REF!,1,FALSE),"")</f>
        <v/>
      </c>
      <c r="D5266" s="16" t="str">
        <f>IFERROR(VLOOKUP(C5266,DATA!#REF!,2,FALSE),"")</f>
        <v/>
      </c>
      <c r="I5266" s="17"/>
      <c r="J5266" s="17"/>
      <c r="P5266" s="17"/>
      <c r="Q5266" s="17"/>
    </row>
    <row r="5267" spans="2:17">
      <c r="B5267" s="17"/>
      <c r="C5267" s="16" t="str">
        <f>IFERROR(VLOOKUP(DATA!#REF!,DATA!#REF!,1,FALSE),"")</f>
        <v/>
      </c>
      <c r="D5267" s="16" t="str">
        <f>IFERROR(VLOOKUP(C5267,DATA!#REF!,2,FALSE),"")</f>
        <v/>
      </c>
      <c r="I5267" s="17"/>
      <c r="J5267" s="17"/>
      <c r="P5267" s="17"/>
      <c r="Q5267" s="17"/>
    </row>
    <row r="5268" spans="2:17">
      <c r="B5268" s="17"/>
      <c r="C5268" s="16" t="str">
        <f>IFERROR(VLOOKUP(DATA!#REF!,DATA!#REF!,1,FALSE),"")</f>
        <v/>
      </c>
      <c r="D5268" s="16" t="str">
        <f>IFERROR(VLOOKUP(C5268,DATA!#REF!,2,FALSE),"")</f>
        <v/>
      </c>
      <c r="I5268" s="17"/>
      <c r="J5268" s="17"/>
      <c r="P5268" s="17"/>
      <c r="Q5268" s="17"/>
    </row>
    <row r="5269" spans="2:17">
      <c r="B5269" s="17"/>
      <c r="C5269" s="16" t="str">
        <f>IFERROR(VLOOKUP(DATA!#REF!,DATA!#REF!,1,FALSE),"")</f>
        <v/>
      </c>
      <c r="D5269" s="16" t="str">
        <f>IFERROR(VLOOKUP(C5269,DATA!#REF!,2,FALSE),"")</f>
        <v/>
      </c>
      <c r="I5269" s="17"/>
      <c r="J5269" s="17"/>
      <c r="P5269" s="17"/>
      <c r="Q5269" s="17"/>
    </row>
    <row r="5270" spans="2:17">
      <c r="B5270" s="17"/>
      <c r="C5270" s="16" t="str">
        <f>IFERROR(VLOOKUP(DATA!#REF!,DATA!#REF!,1,FALSE),"")</f>
        <v/>
      </c>
      <c r="D5270" s="16" t="str">
        <f>IFERROR(VLOOKUP(C5270,DATA!#REF!,2,FALSE),"")</f>
        <v/>
      </c>
      <c r="I5270" s="17"/>
      <c r="J5270" s="17"/>
      <c r="P5270" s="17"/>
      <c r="Q5270" s="17"/>
    </row>
    <row r="5271" spans="2:17">
      <c r="B5271" s="17"/>
      <c r="C5271" s="16" t="str">
        <f>IFERROR(VLOOKUP(DATA!#REF!,DATA!#REF!,1,FALSE),"")</f>
        <v/>
      </c>
      <c r="D5271" s="16" t="str">
        <f>IFERROR(VLOOKUP(C5271,DATA!#REF!,2,FALSE),"")</f>
        <v/>
      </c>
      <c r="I5271" s="17"/>
      <c r="J5271" s="17"/>
      <c r="P5271" s="17"/>
      <c r="Q5271" s="17"/>
    </row>
    <row r="5272" spans="2:17">
      <c r="B5272" s="17"/>
      <c r="C5272" s="16" t="str">
        <f>IFERROR(VLOOKUP(DATA!#REF!,DATA!#REF!,1,FALSE),"")</f>
        <v/>
      </c>
      <c r="D5272" s="16" t="str">
        <f>IFERROR(VLOOKUP(C5272,DATA!#REF!,2,FALSE),"")</f>
        <v/>
      </c>
      <c r="I5272" s="17"/>
      <c r="J5272" s="17"/>
      <c r="P5272" s="17"/>
      <c r="Q5272" s="17"/>
    </row>
    <row r="5273" spans="2:17">
      <c r="B5273" s="17"/>
      <c r="C5273" s="16" t="str">
        <f>IFERROR(VLOOKUP(DATA!#REF!,DATA!#REF!,1,FALSE),"")</f>
        <v/>
      </c>
      <c r="D5273" s="16" t="str">
        <f>IFERROR(VLOOKUP(C5273,DATA!#REF!,2,FALSE),"")</f>
        <v/>
      </c>
      <c r="I5273" s="17"/>
      <c r="J5273" s="17"/>
      <c r="P5273" s="17"/>
      <c r="Q5273" s="17"/>
    </row>
    <row r="5274" spans="2:17">
      <c r="B5274" s="17"/>
      <c r="C5274" s="16" t="str">
        <f>IFERROR(VLOOKUP(DATA!#REF!,DATA!#REF!,1,FALSE),"")</f>
        <v/>
      </c>
      <c r="D5274" s="16" t="str">
        <f>IFERROR(VLOOKUP(C5274,DATA!#REF!,2,FALSE),"")</f>
        <v/>
      </c>
      <c r="I5274" s="17"/>
      <c r="J5274" s="17"/>
      <c r="P5274" s="17"/>
      <c r="Q5274" s="17"/>
    </row>
    <row r="5275" spans="2:17">
      <c r="B5275" s="17"/>
      <c r="C5275" s="16" t="str">
        <f>IFERROR(VLOOKUP(DATA!#REF!,DATA!#REF!,1,FALSE),"")</f>
        <v/>
      </c>
      <c r="D5275" s="16" t="str">
        <f>IFERROR(VLOOKUP(C5275,DATA!#REF!,2,FALSE),"")</f>
        <v/>
      </c>
      <c r="I5275" s="17"/>
      <c r="J5275" s="17"/>
      <c r="P5275" s="17"/>
      <c r="Q5275" s="17"/>
    </row>
    <row r="5276" spans="2:17">
      <c r="B5276" s="17"/>
      <c r="C5276" s="16" t="str">
        <f>IFERROR(VLOOKUP(DATA!#REF!,DATA!#REF!,1,FALSE),"")</f>
        <v/>
      </c>
      <c r="D5276" s="16" t="str">
        <f>IFERROR(VLOOKUP(C5276,DATA!#REF!,2,FALSE),"")</f>
        <v/>
      </c>
      <c r="I5276" s="17"/>
      <c r="J5276" s="17"/>
      <c r="P5276" s="17"/>
      <c r="Q5276" s="17"/>
    </row>
    <row r="5277" spans="2:17">
      <c r="B5277" s="17"/>
      <c r="C5277" s="16" t="str">
        <f>IFERROR(VLOOKUP(DATA!#REF!,DATA!#REF!,1,FALSE),"")</f>
        <v/>
      </c>
      <c r="D5277" s="16" t="str">
        <f>IFERROR(VLOOKUP(C5277,DATA!#REF!,2,FALSE),"")</f>
        <v/>
      </c>
      <c r="I5277" s="17"/>
      <c r="J5277" s="17"/>
      <c r="P5277" s="17"/>
      <c r="Q5277" s="17"/>
    </row>
    <row r="5278" spans="2:17">
      <c r="B5278" s="17"/>
      <c r="C5278" s="16" t="str">
        <f>IFERROR(VLOOKUP(DATA!#REF!,DATA!#REF!,1,FALSE),"")</f>
        <v/>
      </c>
      <c r="D5278" s="16" t="str">
        <f>IFERROR(VLOOKUP(C5278,DATA!#REF!,2,FALSE),"")</f>
        <v/>
      </c>
      <c r="I5278" s="17"/>
      <c r="J5278" s="17"/>
      <c r="P5278" s="17"/>
      <c r="Q5278" s="17"/>
    </row>
    <row r="5279" spans="2:17">
      <c r="B5279" s="17"/>
      <c r="C5279" s="16" t="str">
        <f>IFERROR(VLOOKUP(DATA!#REF!,DATA!#REF!,1,FALSE),"")</f>
        <v/>
      </c>
      <c r="D5279" s="16" t="str">
        <f>IFERROR(VLOOKUP(C5279,DATA!#REF!,2,FALSE),"")</f>
        <v/>
      </c>
      <c r="I5279" s="17"/>
      <c r="J5279" s="17"/>
      <c r="P5279" s="17"/>
      <c r="Q5279" s="17"/>
    </row>
    <row r="5280" spans="2:17">
      <c r="B5280" s="17"/>
      <c r="C5280" s="16" t="str">
        <f>IFERROR(VLOOKUP(DATA!#REF!,DATA!#REF!,1,FALSE),"")</f>
        <v/>
      </c>
      <c r="D5280" s="16" t="str">
        <f>IFERROR(VLOOKUP(C5280,DATA!#REF!,2,FALSE),"")</f>
        <v/>
      </c>
      <c r="I5280" s="17"/>
      <c r="J5280" s="17"/>
      <c r="P5280" s="17"/>
      <c r="Q5280" s="17"/>
    </row>
    <row r="5281" spans="2:17">
      <c r="B5281" s="17"/>
      <c r="C5281" s="16" t="str">
        <f>IFERROR(VLOOKUP(DATA!#REF!,DATA!#REF!,1,FALSE),"")</f>
        <v/>
      </c>
      <c r="D5281" s="16" t="str">
        <f>IFERROR(VLOOKUP(C5281,DATA!#REF!,2,FALSE),"")</f>
        <v/>
      </c>
      <c r="I5281" s="17"/>
      <c r="J5281" s="17"/>
      <c r="P5281" s="17"/>
      <c r="Q5281" s="17"/>
    </row>
    <row r="5282" spans="2:17">
      <c r="B5282" s="17"/>
      <c r="C5282" s="16" t="str">
        <f>IFERROR(VLOOKUP(DATA!#REF!,DATA!#REF!,1,FALSE),"")</f>
        <v/>
      </c>
      <c r="D5282" s="16" t="str">
        <f>IFERROR(VLOOKUP(C5282,DATA!#REF!,2,FALSE),"")</f>
        <v/>
      </c>
      <c r="I5282" s="17"/>
      <c r="J5282" s="17"/>
      <c r="P5282" s="17"/>
      <c r="Q5282" s="17"/>
    </row>
    <row r="5283" spans="2:17">
      <c r="B5283" s="17"/>
      <c r="C5283" s="16" t="str">
        <f>IFERROR(VLOOKUP(DATA!#REF!,DATA!#REF!,1,FALSE),"")</f>
        <v/>
      </c>
      <c r="D5283" s="16" t="str">
        <f>IFERROR(VLOOKUP(C5283,DATA!#REF!,2,FALSE),"")</f>
        <v/>
      </c>
      <c r="I5283" s="17"/>
      <c r="J5283" s="17"/>
      <c r="P5283" s="17"/>
      <c r="Q5283" s="17"/>
    </row>
    <row r="5284" spans="2:17">
      <c r="B5284" s="17"/>
      <c r="C5284" s="16" t="str">
        <f>IFERROR(VLOOKUP(DATA!#REF!,DATA!#REF!,1,FALSE),"")</f>
        <v/>
      </c>
      <c r="D5284" s="16" t="str">
        <f>IFERROR(VLOOKUP(C5284,DATA!#REF!,2,FALSE),"")</f>
        <v/>
      </c>
      <c r="I5284" s="17"/>
      <c r="J5284" s="17"/>
      <c r="P5284" s="17"/>
      <c r="Q5284" s="17"/>
    </row>
    <row r="5285" spans="2:17">
      <c r="B5285" s="17"/>
      <c r="C5285" s="16" t="str">
        <f>IFERROR(VLOOKUP(DATA!#REF!,DATA!#REF!,1,FALSE),"")</f>
        <v/>
      </c>
      <c r="D5285" s="16" t="str">
        <f>IFERROR(VLOOKUP(C5285,DATA!#REF!,2,FALSE),"")</f>
        <v/>
      </c>
      <c r="I5285" s="17"/>
      <c r="J5285" s="17"/>
      <c r="P5285" s="17"/>
      <c r="Q5285" s="17"/>
    </row>
    <row r="5286" spans="2:17">
      <c r="B5286" s="17"/>
      <c r="C5286" s="16" t="str">
        <f>IFERROR(VLOOKUP(DATA!#REF!,DATA!#REF!,1,FALSE),"")</f>
        <v/>
      </c>
      <c r="D5286" s="16" t="str">
        <f>IFERROR(VLOOKUP(C5286,DATA!#REF!,2,FALSE),"")</f>
        <v/>
      </c>
      <c r="I5286" s="17"/>
      <c r="J5286" s="17"/>
      <c r="P5286" s="17"/>
      <c r="Q5286" s="17"/>
    </row>
    <row r="5287" spans="2:17">
      <c r="B5287" s="17"/>
      <c r="C5287" s="16" t="str">
        <f>IFERROR(VLOOKUP(DATA!#REF!,DATA!#REF!,1,FALSE),"")</f>
        <v/>
      </c>
      <c r="D5287" s="16" t="str">
        <f>IFERROR(VLOOKUP(C5287,DATA!#REF!,2,FALSE),"")</f>
        <v/>
      </c>
      <c r="I5287" s="17"/>
      <c r="J5287" s="17"/>
      <c r="P5287" s="17"/>
      <c r="Q5287" s="17"/>
    </row>
    <row r="5288" spans="2:17">
      <c r="B5288" s="17"/>
      <c r="C5288" s="16" t="str">
        <f>IFERROR(VLOOKUP(DATA!#REF!,DATA!#REF!,1,FALSE),"")</f>
        <v/>
      </c>
      <c r="D5288" s="16" t="str">
        <f>IFERROR(VLOOKUP(C5288,DATA!#REF!,2,FALSE),"")</f>
        <v/>
      </c>
      <c r="I5288" s="17"/>
      <c r="J5288" s="17"/>
      <c r="P5288" s="17"/>
      <c r="Q5288" s="17"/>
    </row>
    <row r="5289" spans="2:17">
      <c r="B5289" s="17"/>
      <c r="C5289" s="16" t="str">
        <f>IFERROR(VLOOKUP(DATA!#REF!,DATA!#REF!,1,FALSE),"")</f>
        <v/>
      </c>
      <c r="D5289" s="16" t="str">
        <f>IFERROR(VLOOKUP(C5289,DATA!#REF!,2,FALSE),"")</f>
        <v/>
      </c>
      <c r="I5289" s="17"/>
      <c r="J5289" s="17"/>
      <c r="P5289" s="17"/>
      <c r="Q5289" s="17"/>
    </row>
    <row r="5290" spans="2:17">
      <c r="B5290" s="17"/>
      <c r="C5290" s="16" t="str">
        <f>IFERROR(VLOOKUP(DATA!#REF!,DATA!#REF!,1,FALSE),"")</f>
        <v/>
      </c>
      <c r="D5290" s="16" t="str">
        <f>IFERROR(VLOOKUP(C5290,DATA!#REF!,2,FALSE),"")</f>
        <v/>
      </c>
      <c r="I5290" s="17"/>
      <c r="J5290" s="17"/>
      <c r="P5290" s="17"/>
      <c r="Q5290" s="17"/>
    </row>
    <row r="5291" spans="2:17">
      <c r="B5291" s="17"/>
      <c r="C5291" s="16" t="str">
        <f>IFERROR(VLOOKUP(DATA!#REF!,DATA!#REF!,1,FALSE),"")</f>
        <v/>
      </c>
      <c r="D5291" s="16" t="str">
        <f>IFERROR(VLOOKUP(C5291,DATA!#REF!,2,FALSE),"")</f>
        <v/>
      </c>
      <c r="I5291" s="17"/>
      <c r="J5291" s="17"/>
      <c r="P5291" s="17"/>
      <c r="Q5291" s="17"/>
    </row>
    <row r="5292" spans="2:17">
      <c r="B5292" s="17"/>
      <c r="C5292" s="16" t="str">
        <f>IFERROR(VLOOKUP(DATA!#REF!,DATA!#REF!,1,FALSE),"")</f>
        <v/>
      </c>
      <c r="D5292" s="16" t="str">
        <f>IFERROR(VLOOKUP(C5292,DATA!#REF!,2,FALSE),"")</f>
        <v/>
      </c>
      <c r="I5292" s="17"/>
      <c r="J5292" s="17"/>
      <c r="P5292" s="17"/>
      <c r="Q5292" s="17"/>
    </row>
    <row r="5293" spans="2:17">
      <c r="B5293" s="17"/>
      <c r="C5293" s="16" t="str">
        <f>IFERROR(VLOOKUP(DATA!#REF!,DATA!#REF!,1,FALSE),"")</f>
        <v/>
      </c>
      <c r="D5293" s="16" t="str">
        <f>IFERROR(VLOOKUP(C5293,DATA!#REF!,2,FALSE),"")</f>
        <v/>
      </c>
      <c r="I5293" s="17"/>
      <c r="J5293" s="17"/>
      <c r="P5293" s="17"/>
      <c r="Q5293" s="17"/>
    </row>
    <row r="5294" spans="2:17">
      <c r="B5294" s="17"/>
      <c r="C5294" s="16" t="str">
        <f>IFERROR(VLOOKUP(DATA!#REF!,DATA!#REF!,1,FALSE),"")</f>
        <v/>
      </c>
      <c r="D5294" s="16" t="str">
        <f>IFERROR(VLOOKUP(C5294,DATA!#REF!,2,FALSE),"")</f>
        <v/>
      </c>
      <c r="I5294" s="17"/>
      <c r="J5294" s="17"/>
      <c r="P5294" s="17"/>
      <c r="Q5294" s="17"/>
    </row>
    <row r="5295" spans="2:17">
      <c r="B5295" s="17"/>
      <c r="C5295" s="16" t="str">
        <f>IFERROR(VLOOKUP(DATA!#REF!,DATA!#REF!,1,FALSE),"")</f>
        <v/>
      </c>
      <c r="D5295" s="16" t="str">
        <f>IFERROR(VLOOKUP(C5295,DATA!#REF!,2,FALSE),"")</f>
        <v/>
      </c>
      <c r="I5295" s="17"/>
      <c r="J5295" s="17"/>
      <c r="P5295" s="17"/>
      <c r="Q5295" s="17"/>
    </row>
    <row r="5296" spans="2:17">
      <c r="B5296" s="17"/>
      <c r="C5296" s="16" t="str">
        <f>IFERROR(VLOOKUP(DATA!#REF!,DATA!#REF!,1,FALSE),"")</f>
        <v/>
      </c>
      <c r="D5296" s="16" t="str">
        <f>IFERROR(VLOOKUP(C5296,DATA!#REF!,2,FALSE),"")</f>
        <v/>
      </c>
      <c r="I5296" s="17"/>
      <c r="J5296" s="17"/>
      <c r="P5296" s="17"/>
      <c r="Q5296" s="17"/>
    </row>
    <row r="5297" spans="2:17">
      <c r="B5297" s="17"/>
      <c r="C5297" s="16" t="str">
        <f>IFERROR(VLOOKUP(DATA!#REF!,DATA!#REF!,1,FALSE),"")</f>
        <v/>
      </c>
      <c r="D5297" s="16" t="str">
        <f>IFERROR(VLOOKUP(C5297,DATA!#REF!,2,FALSE),"")</f>
        <v/>
      </c>
      <c r="I5297" s="17"/>
      <c r="J5297" s="17"/>
      <c r="P5297" s="17"/>
      <c r="Q5297" s="17"/>
    </row>
    <row r="5298" spans="2:17">
      <c r="B5298" s="17"/>
      <c r="C5298" s="16" t="str">
        <f>IFERROR(VLOOKUP(DATA!#REF!,DATA!#REF!,1,FALSE),"")</f>
        <v/>
      </c>
      <c r="D5298" s="16" t="str">
        <f>IFERROR(VLOOKUP(C5298,DATA!#REF!,2,FALSE),"")</f>
        <v/>
      </c>
      <c r="I5298" s="17"/>
      <c r="J5298" s="17"/>
      <c r="P5298" s="17"/>
      <c r="Q5298" s="17"/>
    </row>
    <row r="5299" spans="2:17">
      <c r="B5299" s="17"/>
      <c r="C5299" s="16" t="str">
        <f>IFERROR(VLOOKUP(DATA!#REF!,DATA!#REF!,1,FALSE),"")</f>
        <v/>
      </c>
      <c r="D5299" s="16" t="str">
        <f>IFERROR(VLOOKUP(C5299,DATA!#REF!,2,FALSE),"")</f>
        <v/>
      </c>
      <c r="I5299" s="17"/>
      <c r="J5299" s="17"/>
      <c r="P5299" s="17"/>
      <c r="Q5299" s="17"/>
    </row>
    <row r="5300" spans="2:17">
      <c r="B5300" s="17"/>
      <c r="C5300" s="16" t="str">
        <f>IFERROR(VLOOKUP(DATA!#REF!,DATA!#REF!,1,FALSE),"")</f>
        <v/>
      </c>
      <c r="D5300" s="16" t="str">
        <f>IFERROR(VLOOKUP(C5300,DATA!#REF!,2,FALSE),"")</f>
        <v/>
      </c>
      <c r="I5300" s="17"/>
      <c r="J5300" s="17"/>
      <c r="P5300" s="17"/>
      <c r="Q5300" s="17"/>
    </row>
    <row r="5301" spans="2:17">
      <c r="B5301" s="17"/>
      <c r="C5301" s="16" t="str">
        <f>IFERROR(VLOOKUP(DATA!#REF!,DATA!#REF!,1,FALSE),"")</f>
        <v/>
      </c>
      <c r="D5301" s="16" t="str">
        <f>IFERROR(VLOOKUP(C5301,DATA!#REF!,2,FALSE),"")</f>
        <v/>
      </c>
      <c r="I5301" s="17"/>
      <c r="J5301" s="17"/>
      <c r="P5301" s="17"/>
      <c r="Q5301" s="17"/>
    </row>
    <row r="5302" spans="2:17">
      <c r="B5302" s="17"/>
      <c r="C5302" s="16" t="str">
        <f>IFERROR(VLOOKUP(DATA!#REF!,DATA!#REF!,1,FALSE),"")</f>
        <v/>
      </c>
      <c r="D5302" s="16" t="str">
        <f>IFERROR(VLOOKUP(C5302,DATA!#REF!,2,FALSE),"")</f>
        <v/>
      </c>
      <c r="I5302" s="17"/>
      <c r="J5302" s="17"/>
      <c r="P5302" s="17"/>
      <c r="Q5302" s="17"/>
    </row>
    <row r="5303" spans="2:17">
      <c r="B5303" s="17"/>
      <c r="C5303" s="16" t="str">
        <f>IFERROR(VLOOKUP(DATA!#REF!,DATA!#REF!,1,FALSE),"")</f>
        <v/>
      </c>
      <c r="D5303" s="16" t="str">
        <f>IFERROR(VLOOKUP(C5303,DATA!#REF!,2,FALSE),"")</f>
        <v/>
      </c>
      <c r="I5303" s="17"/>
      <c r="J5303" s="17"/>
      <c r="P5303" s="17"/>
      <c r="Q5303" s="17"/>
    </row>
    <row r="5304" spans="2:17">
      <c r="B5304" s="17"/>
      <c r="C5304" s="16" t="str">
        <f>IFERROR(VLOOKUP(DATA!#REF!,DATA!#REF!,1,FALSE),"")</f>
        <v/>
      </c>
      <c r="D5304" s="16" t="str">
        <f>IFERROR(VLOOKUP(C5304,DATA!#REF!,2,FALSE),"")</f>
        <v/>
      </c>
      <c r="I5304" s="17"/>
      <c r="J5304" s="17"/>
      <c r="P5304" s="17"/>
      <c r="Q5304" s="17"/>
    </row>
    <row r="5305" spans="2:17">
      <c r="B5305" s="17"/>
      <c r="C5305" s="16" t="str">
        <f>IFERROR(VLOOKUP(DATA!#REF!,DATA!#REF!,1,FALSE),"")</f>
        <v/>
      </c>
      <c r="D5305" s="16" t="str">
        <f>IFERROR(VLOOKUP(C5305,DATA!#REF!,2,FALSE),"")</f>
        <v/>
      </c>
      <c r="I5305" s="17"/>
      <c r="J5305" s="17"/>
      <c r="P5305" s="17"/>
      <c r="Q5305" s="17"/>
    </row>
    <row r="5306" spans="2:17">
      <c r="B5306" s="17"/>
      <c r="C5306" s="16" t="str">
        <f>IFERROR(VLOOKUP(DATA!#REF!,DATA!#REF!,1,FALSE),"")</f>
        <v/>
      </c>
      <c r="D5306" s="16" t="str">
        <f>IFERROR(VLOOKUP(C5306,DATA!#REF!,2,FALSE),"")</f>
        <v/>
      </c>
      <c r="I5306" s="17"/>
      <c r="J5306" s="17"/>
      <c r="P5306" s="17"/>
      <c r="Q5306" s="17"/>
    </row>
    <row r="5307" spans="2:17">
      <c r="B5307" s="17"/>
      <c r="C5307" s="16" t="str">
        <f>IFERROR(VLOOKUP(DATA!#REF!,DATA!#REF!,1,FALSE),"")</f>
        <v/>
      </c>
      <c r="D5307" s="16" t="str">
        <f>IFERROR(VLOOKUP(C5307,DATA!#REF!,2,FALSE),"")</f>
        <v/>
      </c>
      <c r="I5307" s="17"/>
      <c r="J5307" s="17"/>
      <c r="P5307" s="17"/>
      <c r="Q5307" s="17"/>
    </row>
    <row r="5308" spans="2:17">
      <c r="B5308" s="17"/>
      <c r="C5308" s="16" t="str">
        <f>IFERROR(VLOOKUP(DATA!#REF!,DATA!#REF!,1,FALSE),"")</f>
        <v/>
      </c>
      <c r="D5308" s="16" t="str">
        <f>IFERROR(VLOOKUP(C5308,DATA!#REF!,2,FALSE),"")</f>
        <v/>
      </c>
      <c r="I5308" s="17"/>
      <c r="J5308" s="17"/>
      <c r="P5308" s="17"/>
      <c r="Q5308" s="17"/>
    </row>
    <row r="5309" spans="2:17">
      <c r="B5309" s="17"/>
      <c r="C5309" s="16" t="str">
        <f>IFERROR(VLOOKUP(DATA!#REF!,DATA!#REF!,1,FALSE),"")</f>
        <v/>
      </c>
      <c r="D5309" s="16" t="str">
        <f>IFERROR(VLOOKUP(C5309,DATA!#REF!,2,FALSE),"")</f>
        <v/>
      </c>
      <c r="I5309" s="17"/>
      <c r="J5309" s="17"/>
      <c r="P5309" s="17"/>
      <c r="Q5309" s="17"/>
    </row>
    <row r="5310" spans="2:17">
      <c r="B5310" s="17"/>
      <c r="C5310" s="16" t="str">
        <f>IFERROR(VLOOKUP(DATA!#REF!,DATA!#REF!,1,FALSE),"")</f>
        <v/>
      </c>
      <c r="D5310" s="16" t="str">
        <f>IFERROR(VLOOKUP(C5310,DATA!#REF!,2,FALSE),"")</f>
        <v/>
      </c>
      <c r="I5310" s="17"/>
      <c r="J5310" s="17"/>
      <c r="P5310" s="17"/>
      <c r="Q5310" s="17"/>
    </row>
    <row r="5311" spans="2:17">
      <c r="B5311" s="17"/>
      <c r="C5311" s="16" t="str">
        <f>IFERROR(VLOOKUP(DATA!#REF!,DATA!#REF!,1,FALSE),"")</f>
        <v/>
      </c>
      <c r="D5311" s="16" t="str">
        <f>IFERROR(VLOOKUP(C5311,DATA!#REF!,2,FALSE),"")</f>
        <v/>
      </c>
      <c r="I5311" s="17"/>
      <c r="J5311" s="17"/>
      <c r="P5311" s="17"/>
      <c r="Q5311" s="17"/>
    </row>
    <row r="5312" spans="2:17">
      <c r="B5312" s="17"/>
      <c r="C5312" s="16" t="str">
        <f>IFERROR(VLOOKUP(DATA!#REF!,DATA!#REF!,1,FALSE),"")</f>
        <v/>
      </c>
      <c r="D5312" s="16" t="str">
        <f>IFERROR(VLOOKUP(C5312,DATA!#REF!,2,FALSE),"")</f>
        <v/>
      </c>
      <c r="I5312" s="17"/>
      <c r="J5312" s="17"/>
      <c r="P5312" s="17"/>
      <c r="Q5312" s="17"/>
    </row>
    <row r="5313" spans="2:17">
      <c r="B5313" s="17"/>
      <c r="C5313" s="16" t="str">
        <f>IFERROR(VLOOKUP(DATA!#REF!,DATA!#REF!,1,FALSE),"")</f>
        <v/>
      </c>
      <c r="D5313" s="16" t="str">
        <f>IFERROR(VLOOKUP(C5313,DATA!#REF!,2,FALSE),"")</f>
        <v/>
      </c>
      <c r="I5313" s="17"/>
      <c r="J5313" s="17"/>
      <c r="P5313" s="17"/>
      <c r="Q5313" s="17"/>
    </row>
    <row r="5314" spans="2:17">
      <c r="B5314" s="17"/>
      <c r="C5314" s="16" t="str">
        <f>IFERROR(VLOOKUP(DATA!#REF!,DATA!#REF!,1,FALSE),"")</f>
        <v/>
      </c>
      <c r="D5314" s="16" t="str">
        <f>IFERROR(VLOOKUP(C5314,DATA!#REF!,2,FALSE),"")</f>
        <v/>
      </c>
      <c r="I5314" s="17"/>
      <c r="J5314" s="17"/>
      <c r="P5314" s="17"/>
      <c r="Q5314" s="17"/>
    </row>
    <row r="5315" spans="2:17">
      <c r="B5315" s="17"/>
      <c r="C5315" s="16" t="str">
        <f>IFERROR(VLOOKUP(DATA!#REF!,DATA!#REF!,1,FALSE),"")</f>
        <v/>
      </c>
      <c r="D5315" s="16" t="str">
        <f>IFERROR(VLOOKUP(C5315,DATA!#REF!,2,FALSE),"")</f>
        <v/>
      </c>
      <c r="I5315" s="17"/>
      <c r="J5315" s="17"/>
      <c r="P5315" s="17"/>
      <c r="Q5315" s="17"/>
    </row>
    <row r="5316" spans="2:17">
      <c r="B5316" s="17"/>
      <c r="C5316" s="16" t="str">
        <f>IFERROR(VLOOKUP(DATA!#REF!,DATA!#REF!,1,FALSE),"")</f>
        <v/>
      </c>
      <c r="D5316" s="16" t="str">
        <f>IFERROR(VLOOKUP(C5316,DATA!#REF!,2,FALSE),"")</f>
        <v/>
      </c>
      <c r="I5316" s="17"/>
      <c r="J5316" s="17"/>
      <c r="P5316" s="17"/>
      <c r="Q5316" s="17"/>
    </row>
    <row r="5317" spans="2:17">
      <c r="B5317" s="17"/>
      <c r="C5317" s="16" t="str">
        <f>IFERROR(VLOOKUP(DATA!#REF!,DATA!#REF!,1,FALSE),"")</f>
        <v/>
      </c>
      <c r="D5317" s="16" t="str">
        <f>IFERROR(VLOOKUP(C5317,DATA!#REF!,2,FALSE),"")</f>
        <v/>
      </c>
      <c r="I5317" s="17"/>
      <c r="J5317" s="17"/>
      <c r="P5317" s="17"/>
      <c r="Q5317" s="17"/>
    </row>
    <row r="5318" spans="2:17">
      <c r="B5318" s="17"/>
      <c r="C5318" s="16" t="str">
        <f>IFERROR(VLOOKUP(DATA!#REF!,DATA!#REF!,1,FALSE),"")</f>
        <v/>
      </c>
      <c r="D5318" s="16" t="str">
        <f>IFERROR(VLOOKUP(C5318,DATA!#REF!,2,FALSE),"")</f>
        <v/>
      </c>
      <c r="I5318" s="17"/>
      <c r="J5318" s="17"/>
      <c r="P5318" s="17"/>
      <c r="Q5318" s="17"/>
    </row>
    <row r="5319" spans="2:17">
      <c r="B5319" s="17"/>
      <c r="C5319" s="16" t="str">
        <f>IFERROR(VLOOKUP(DATA!#REF!,DATA!#REF!,1,FALSE),"")</f>
        <v/>
      </c>
      <c r="D5319" s="16" t="str">
        <f>IFERROR(VLOOKUP(C5319,DATA!#REF!,2,FALSE),"")</f>
        <v/>
      </c>
      <c r="I5319" s="17"/>
      <c r="J5319" s="17"/>
      <c r="P5319" s="17"/>
      <c r="Q5319" s="17"/>
    </row>
    <row r="5320" spans="2:17">
      <c r="B5320" s="17"/>
      <c r="C5320" s="16" t="str">
        <f>IFERROR(VLOOKUP(DATA!#REF!,DATA!#REF!,1,FALSE),"")</f>
        <v/>
      </c>
      <c r="D5320" s="16" t="str">
        <f>IFERROR(VLOOKUP(C5320,DATA!#REF!,2,FALSE),"")</f>
        <v/>
      </c>
      <c r="I5320" s="17"/>
      <c r="J5320" s="17"/>
      <c r="P5320" s="17"/>
      <c r="Q5320" s="17"/>
    </row>
    <row r="5321" spans="2:17">
      <c r="B5321" s="17"/>
      <c r="C5321" s="16" t="str">
        <f>IFERROR(VLOOKUP(DATA!#REF!,DATA!#REF!,1,FALSE),"")</f>
        <v/>
      </c>
      <c r="D5321" s="16" t="str">
        <f>IFERROR(VLOOKUP(C5321,DATA!#REF!,2,FALSE),"")</f>
        <v/>
      </c>
      <c r="I5321" s="17"/>
      <c r="J5321" s="17"/>
      <c r="P5321" s="17"/>
      <c r="Q5321" s="17"/>
    </row>
    <row r="5322" spans="2:17">
      <c r="B5322" s="17"/>
      <c r="C5322" s="16" t="str">
        <f>IFERROR(VLOOKUP(DATA!#REF!,DATA!#REF!,1,FALSE),"")</f>
        <v/>
      </c>
      <c r="D5322" s="16" t="str">
        <f>IFERROR(VLOOKUP(C5322,DATA!#REF!,2,FALSE),"")</f>
        <v/>
      </c>
      <c r="I5322" s="17"/>
      <c r="J5322" s="17"/>
      <c r="P5322" s="17"/>
      <c r="Q5322" s="17"/>
    </row>
    <row r="5323" spans="2:17">
      <c r="B5323" s="17"/>
      <c r="C5323" s="16" t="str">
        <f>IFERROR(VLOOKUP(DATA!#REF!,DATA!#REF!,1,FALSE),"")</f>
        <v/>
      </c>
      <c r="D5323" s="16" t="str">
        <f>IFERROR(VLOOKUP(C5323,DATA!#REF!,2,FALSE),"")</f>
        <v/>
      </c>
      <c r="I5323" s="17"/>
      <c r="J5323" s="17"/>
      <c r="P5323" s="17"/>
      <c r="Q5323" s="17"/>
    </row>
    <row r="5324" spans="2:17">
      <c r="B5324" s="17"/>
      <c r="C5324" s="16" t="str">
        <f>IFERROR(VLOOKUP(DATA!#REF!,DATA!#REF!,1,FALSE),"")</f>
        <v/>
      </c>
      <c r="D5324" s="16" t="str">
        <f>IFERROR(VLOOKUP(C5324,DATA!#REF!,2,FALSE),"")</f>
        <v/>
      </c>
      <c r="I5324" s="17"/>
      <c r="J5324" s="17"/>
      <c r="P5324" s="17"/>
      <c r="Q5324" s="17"/>
    </row>
    <row r="5325" spans="2:17">
      <c r="B5325" s="17"/>
      <c r="C5325" s="16" t="str">
        <f>IFERROR(VLOOKUP(DATA!#REF!,DATA!#REF!,1,FALSE),"")</f>
        <v/>
      </c>
      <c r="D5325" s="16" t="str">
        <f>IFERROR(VLOOKUP(C5325,DATA!#REF!,2,FALSE),"")</f>
        <v/>
      </c>
      <c r="I5325" s="17"/>
      <c r="J5325" s="17"/>
      <c r="P5325" s="17"/>
      <c r="Q5325" s="17"/>
    </row>
    <row r="5326" spans="2:17">
      <c r="B5326" s="17"/>
      <c r="C5326" s="16" t="str">
        <f>IFERROR(VLOOKUP(DATA!#REF!,DATA!#REF!,1,FALSE),"")</f>
        <v/>
      </c>
      <c r="D5326" s="16" t="str">
        <f>IFERROR(VLOOKUP(C5326,DATA!#REF!,2,FALSE),"")</f>
        <v/>
      </c>
      <c r="I5326" s="17"/>
      <c r="J5326" s="17"/>
      <c r="P5326" s="17"/>
      <c r="Q5326" s="17"/>
    </row>
    <row r="5327" spans="2:17">
      <c r="B5327" s="17"/>
      <c r="C5327" s="16" t="str">
        <f>IFERROR(VLOOKUP(DATA!#REF!,DATA!#REF!,1,FALSE),"")</f>
        <v/>
      </c>
      <c r="D5327" s="16" t="str">
        <f>IFERROR(VLOOKUP(C5327,DATA!#REF!,2,FALSE),"")</f>
        <v/>
      </c>
      <c r="I5327" s="17"/>
      <c r="J5327" s="17"/>
      <c r="P5327" s="17"/>
      <c r="Q5327" s="17"/>
    </row>
    <row r="5328" spans="2:17">
      <c r="B5328" s="17"/>
      <c r="C5328" s="16" t="str">
        <f>IFERROR(VLOOKUP(DATA!#REF!,DATA!#REF!,1,FALSE),"")</f>
        <v/>
      </c>
      <c r="D5328" s="16" t="str">
        <f>IFERROR(VLOOKUP(C5328,DATA!#REF!,2,FALSE),"")</f>
        <v/>
      </c>
      <c r="I5328" s="17"/>
      <c r="J5328" s="17"/>
      <c r="P5328" s="17"/>
      <c r="Q5328" s="17"/>
    </row>
    <row r="5329" spans="2:17">
      <c r="B5329" s="17"/>
      <c r="C5329" s="16" t="str">
        <f>IFERROR(VLOOKUP(DATA!#REF!,DATA!#REF!,1,FALSE),"")</f>
        <v/>
      </c>
      <c r="D5329" s="16" t="str">
        <f>IFERROR(VLOOKUP(C5329,DATA!#REF!,2,FALSE),"")</f>
        <v/>
      </c>
      <c r="I5329" s="17"/>
      <c r="J5329" s="17"/>
      <c r="P5329" s="17"/>
      <c r="Q5329" s="17"/>
    </row>
    <row r="5330" spans="2:17">
      <c r="B5330" s="17"/>
      <c r="C5330" s="16" t="str">
        <f>IFERROR(VLOOKUP(DATA!#REF!,DATA!#REF!,1,FALSE),"")</f>
        <v/>
      </c>
      <c r="D5330" s="16" t="str">
        <f>IFERROR(VLOOKUP(C5330,DATA!#REF!,2,FALSE),"")</f>
        <v/>
      </c>
      <c r="I5330" s="17"/>
      <c r="J5330" s="17"/>
      <c r="P5330" s="17"/>
      <c r="Q5330" s="17"/>
    </row>
    <row r="5331" spans="2:17">
      <c r="B5331" s="17"/>
      <c r="C5331" s="16" t="str">
        <f>IFERROR(VLOOKUP(DATA!#REF!,DATA!#REF!,1,FALSE),"")</f>
        <v/>
      </c>
      <c r="D5331" s="16" t="str">
        <f>IFERROR(VLOOKUP(C5331,DATA!#REF!,2,FALSE),"")</f>
        <v/>
      </c>
      <c r="I5331" s="17"/>
      <c r="J5331" s="17"/>
      <c r="P5331" s="17"/>
      <c r="Q5331" s="17"/>
    </row>
    <row r="5332" spans="2:17">
      <c r="B5332" s="17"/>
      <c r="C5332" s="16" t="str">
        <f>IFERROR(VLOOKUP(DATA!#REF!,DATA!#REF!,1,FALSE),"")</f>
        <v/>
      </c>
      <c r="D5332" s="16" t="str">
        <f>IFERROR(VLOOKUP(C5332,DATA!#REF!,2,FALSE),"")</f>
        <v/>
      </c>
      <c r="I5332" s="17"/>
      <c r="J5332" s="17"/>
      <c r="P5332" s="17"/>
      <c r="Q5332" s="17"/>
    </row>
    <row r="5333" spans="2:17">
      <c r="B5333" s="17"/>
      <c r="C5333" s="16" t="str">
        <f>IFERROR(VLOOKUP(DATA!#REF!,DATA!#REF!,1,FALSE),"")</f>
        <v/>
      </c>
      <c r="D5333" s="16" t="str">
        <f>IFERROR(VLOOKUP(C5333,DATA!#REF!,2,FALSE),"")</f>
        <v/>
      </c>
      <c r="I5333" s="17"/>
      <c r="J5333" s="17"/>
      <c r="P5333" s="17"/>
      <c r="Q5333" s="17"/>
    </row>
    <row r="5334" spans="2:17">
      <c r="B5334" s="17"/>
      <c r="C5334" s="16" t="str">
        <f>IFERROR(VLOOKUP(DATA!#REF!,DATA!#REF!,1,FALSE),"")</f>
        <v/>
      </c>
      <c r="D5334" s="16" t="str">
        <f>IFERROR(VLOOKUP(C5334,DATA!#REF!,2,FALSE),"")</f>
        <v/>
      </c>
      <c r="I5334" s="17"/>
      <c r="J5334" s="17"/>
      <c r="P5334" s="17"/>
      <c r="Q5334" s="17"/>
    </row>
    <row r="5335" spans="2:17">
      <c r="B5335" s="17"/>
      <c r="C5335" s="16" t="str">
        <f>IFERROR(VLOOKUP(DATA!#REF!,DATA!#REF!,1,FALSE),"")</f>
        <v/>
      </c>
      <c r="D5335" s="16" t="str">
        <f>IFERROR(VLOOKUP(C5335,DATA!#REF!,2,FALSE),"")</f>
        <v/>
      </c>
      <c r="I5335" s="17"/>
      <c r="J5335" s="17"/>
      <c r="P5335" s="17"/>
      <c r="Q5335" s="17"/>
    </row>
    <row r="5336" spans="2:17">
      <c r="B5336" s="17"/>
      <c r="C5336" s="16" t="str">
        <f>IFERROR(VLOOKUP(DATA!#REF!,DATA!#REF!,1,FALSE),"")</f>
        <v/>
      </c>
      <c r="D5336" s="16" t="str">
        <f>IFERROR(VLOOKUP(C5336,DATA!#REF!,2,FALSE),"")</f>
        <v/>
      </c>
      <c r="I5336" s="17"/>
      <c r="J5336" s="17"/>
      <c r="P5336" s="17"/>
      <c r="Q5336" s="17"/>
    </row>
    <row r="5337" spans="2:17">
      <c r="B5337" s="17"/>
      <c r="C5337" s="16" t="str">
        <f>IFERROR(VLOOKUP(DATA!#REF!,DATA!#REF!,1,FALSE),"")</f>
        <v/>
      </c>
      <c r="D5337" s="16" t="str">
        <f>IFERROR(VLOOKUP(C5337,DATA!#REF!,2,FALSE),"")</f>
        <v/>
      </c>
      <c r="I5337" s="17"/>
      <c r="J5337" s="17"/>
      <c r="P5337" s="17"/>
      <c r="Q5337" s="17"/>
    </row>
    <row r="5338" spans="2:17">
      <c r="B5338" s="17"/>
      <c r="C5338" s="16" t="str">
        <f>IFERROR(VLOOKUP(DATA!#REF!,DATA!#REF!,1,FALSE),"")</f>
        <v/>
      </c>
      <c r="D5338" s="16" t="str">
        <f>IFERROR(VLOOKUP(C5338,DATA!#REF!,2,FALSE),"")</f>
        <v/>
      </c>
      <c r="I5338" s="17"/>
      <c r="J5338" s="17"/>
      <c r="P5338" s="17"/>
      <c r="Q5338" s="17"/>
    </row>
    <row r="5339" spans="2:17">
      <c r="B5339" s="17"/>
      <c r="C5339" s="16" t="str">
        <f>IFERROR(VLOOKUP(DATA!#REF!,DATA!#REF!,1,FALSE),"")</f>
        <v/>
      </c>
      <c r="D5339" s="16" t="str">
        <f>IFERROR(VLOOKUP(C5339,DATA!#REF!,2,FALSE),"")</f>
        <v/>
      </c>
      <c r="I5339" s="17"/>
      <c r="J5339" s="17"/>
      <c r="P5339" s="17"/>
      <c r="Q5339" s="17"/>
    </row>
    <row r="5340" spans="2:17">
      <c r="B5340" s="17"/>
      <c r="C5340" s="16" t="str">
        <f>IFERROR(VLOOKUP(DATA!#REF!,DATA!#REF!,1,FALSE),"")</f>
        <v/>
      </c>
      <c r="D5340" s="16" t="str">
        <f>IFERROR(VLOOKUP(C5340,DATA!#REF!,2,FALSE),"")</f>
        <v/>
      </c>
      <c r="I5340" s="17"/>
      <c r="J5340" s="17"/>
      <c r="P5340" s="17"/>
      <c r="Q5340" s="17"/>
    </row>
    <row r="5341" spans="2:17">
      <c r="B5341" s="17"/>
      <c r="C5341" s="16" t="str">
        <f>IFERROR(VLOOKUP(DATA!#REF!,DATA!#REF!,1,FALSE),"")</f>
        <v/>
      </c>
      <c r="D5341" s="16" t="str">
        <f>IFERROR(VLOOKUP(C5341,DATA!#REF!,2,FALSE),"")</f>
        <v/>
      </c>
      <c r="I5341" s="17"/>
      <c r="J5341" s="17"/>
      <c r="P5341" s="17"/>
      <c r="Q5341" s="17"/>
    </row>
    <row r="5342" spans="2:17">
      <c r="B5342" s="17"/>
      <c r="C5342" s="16" t="str">
        <f>IFERROR(VLOOKUP(DATA!#REF!,DATA!#REF!,1,FALSE),"")</f>
        <v/>
      </c>
      <c r="D5342" s="16" t="str">
        <f>IFERROR(VLOOKUP(C5342,DATA!#REF!,2,FALSE),"")</f>
        <v/>
      </c>
      <c r="I5342" s="17"/>
      <c r="J5342" s="17"/>
      <c r="P5342" s="17"/>
      <c r="Q5342" s="17"/>
    </row>
    <row r="5343" spans="2:17">
      <c r="B5343" s="17"/>
      <c r="C5343" s="16" t="str">
        <f>IFERROR(VLOOKUP(DATA!#REF!,DATA!#REF!,1,FALSE),"")</f>
        <v/>
      </c>
      <c r="D5343" s="16" t="str">
        <f>IFERROR(VLOOKUP(C5343,DATA!#REF!,2,FALSE),"")</f>
        <v/>
      </c>
      <c r="I5343" s="17"/>
      <c r="J5343" s="17"/>
      <c r="P5343" s="17"/>
      <c r="Q5343" s="17"/>
    </row>
    <row r="5344" spans="2:17">
      <c r="B5344" s="17"/>
      <c r="C5344" s="16" t="str">
        <f>IFERROR(VLOOKUP(DATA!#REF!,DATA!#REF!,1,FALSE),"")</f>
        <v/>
      </c>
      <c r="D5344" s="16" t="str">
        <f>IFERROR(VLOOKUP(C5344,DATA!#REF!,2,FALSE),"")</f>
        <v/>
      </c>
      <c r="I5344" s="17"/>
      <c r="J5344" s="17"/>
      <c r="P5344" s="17"/>
      <c r="Q5344" s="17"/>
    </row>
    <row r="5345" spans="2:17">
      <c r="B5345" s="17"/>
      <c r="C5345" s="16" t="str">
        <f>IFERROR(VLOOKUP(DATA!#REF!,DATA!#REF!,1,FALSE),"")</f>
        <v/>
      </c>
      <c r="D5345" s="16" t="str">
        <f>IFERROR(VLOOKUP(C5345,DATA!#REF!,2,FALSE),"")</f>
        <v/>
      </c>
      <c r="I5345" s="17"/>
      <c r="J5345" s="17"/>
      <c r="P5345" s="17"/>
      <c r="Q5345" s="17"/>
    </row>
    <row r="5346" spans="2:17">
      <c r="B5346" s="17"/>
      <c r="C5346" s="16" t="str">
        <f>IFERROR(VLOOKUP(DATA!#REF!,DATA!#REF!,1,FALSE),"")</f>
        <v/>
      </c>
      <c r="D5346" s="16" t="str">
        <f>IFERROR(VLOOKUP(C5346,DATA!#REF!,2,FALSE),"")</f>
        <v/>
      </c>
      <c r="I5346" s="17"/>
      <c r="J5346" s="17"/>
      <c r="P5346" s="17"/>
      <c r="Q5346" s="17"/>
    </row>
    <row r="5347" spans="2:17">
      <c r="B5347" s="17"/>
      <c r="C5347" s="16" t="str">
        <f>IFERROR(VLOOKUP(DATA!#REF!,DATA!#REF!,1,FALSE),"")</f>
        <v/>
      </c>
      <c r="D5347" s="16" t="str">
        <f>IFERROR(VLOOKUP(C5347,DATA!#REF!,2,FALSE),"")</f>
        <v/>
      </c>
      <c r="I5347" s="17"/>
      <c r="J5347" s="17"/>
      <c r="P5347" s="17"/>
      <c r="Q5347" s="17"/>
    </row>
    <row r="5348" spans="2:17">
      <c r="B5348" s="17"/>
      <c r="C5348" s="16" t="str">
        <f>IFERROR(VLOOKUP(DATA!#REF!,DATA!#REF!,1,FALSE),"")</f>
        <v/>
      </c>
      <c r="D5348" s="16" t="str">
        <f>IFERROR(VLOOKUP(C5348,DATA!#REF!,2,FALSE),"")</f>
        <v/>
      </c>
      <c r="I5348" s="17"/>
      <c r="J5348" s="17"/>
      <c r="P5348" s="17"/>
      <c r="Q5348" s="17"/>
    </row>
    <row r="5349" spans="2:17">
      <c r="B5349" s="17"/>
      <c r="C5349" s="16" t="str">
        <f>IFERROR(VLOOKUP(DATA!#REF!,DATA!#REF!,1,FALSE),"")</f>
        <v/>
      </c>
      <c r="D5349" s="16" t="str">
        <f>IFERROR(VLOOKUP(C5349,DATA!#REF!,2,FALSE),"")</f>
        <v/>
      </c>
      <c r="I5349" s="17"/>
      <c r="J5349" s="17"/>
      <c r="P5349" s="17"/>
      <c r="Q5349" s="17"/>
    </row>
    <row r="5350" spans="2:17">
      <c r="B5350" s="17"/>
      <c r="C5350" s="16" t="str">
        <f>IFERROR(VLOOKUP(DATA!#REF!,DATA!#REF!,1,FALSE),"")</f>
        <v/>
      </c>
      <c r="D5350" s="16" t="str">
        <f>IFERROR(VLOOKUP(C5350,DATA!#REF!,2,FALSE),"")</f>
        <v/>
      </c>
      <c r="I5350" s="17"/>
      <c r="J5350" s="17"/>
      <c r="P5350" s="17"/>
      <c r="Q5350" s="17"/>
    </row>
    <row r="5351" spans="2:17">
      <c r="B5351" s="17"/>
      <c r="C5351" s="16" t="str">
        <f>IFERROR(VLOOKUP(DATA!#REF!,DATA!#REF!,1,FALSE),"")</f>
        <v/>
      </c>
      <c r="D5351" s="16" t="str">
        <f>IFERROR(VLOOKUP(C5351,DATA!#REF!,2,FALSE),"")</f>
        <v/>
      </c>
      <c r="I5351" s="17"/>
      <c r="J5351" s="17"/>
      <c r="P5351" s="17"/>
      <c r="Q5351" s="17"/>
    </row>
    <row r="5352" spans="2:17">
      <c r="B5352" s="17"/>
      <c r="C5352" s="16" t="str">
        <f>IFERROR(VLOOKUP(DATA!#REF!,DATA!#REF!,1,FALSE),"")</f>
        <v/>
      </c>
      <c r="D5352" s="16" t="str">
        <f>IFERROR(VLOOKUP(C5352,DATA!#REF!,2,FALSE),"")</f>
        <v/>
      </c>
      <c r="I5352" s="17"/>
      <c r="J5352" s="17"/>
      <c r="P5352" s="17"/>
      <c r="Q5352" s="17"/>
    </row>
    <row r="5353" spans="2:17">
      <c r="B5353" s="17"/>
      <c r="C5353" s="16" t="str">
        <f>IFERROR(VLOOKUP(DATA!#REF!,DATA!#REF!,1,FALSE),"")</f>
        <v/>
      </c>
      <c r="D5353" s="16" t="str">
        <f>IFERROR(VLOOKUP(C5353,DATA!#REF!,2,FALSE),"")</f>
        <v/>
      </c>
      <c r="I5353" s="17"/>
      <c r="J5353" s="17"/>
      <c r="P5353" s="17"/>
      <c r="Q5353" s="17"/>
    </row>
    <row r="5354" spans="2:17">
      <c r="B5354" s="17"/>
      <c r="C5354" s="16" t="str">
        <f>IFERROR(VLOOKUP(DATA!#REF!,DATA!#REF!,1,FALSE),"")</f>
        <v/>
      </c>
      <c r="D5354" s="16" t="str">
        <f>IFERROR(VLOOKUP(C5354,DATA!#REF!,2,FALSE),"")</f>
        <v/>
      </c>
      <c r="I5354" s="17"/>
      <c r="J5354" s="17"/>
      <c r="P5354" s="17"/>
      <c r="Q5354" s="17"/>
    </row>
    <row r="5355" spans="2:17">
      <c r="B5355" s="17"/>
      <c r="C5355" s="16" t="str">
        <f>IFERROR(VLOOKUP(DATA!#REF!,DATA!#REF!,1,FALSE),"")</f>
        <v/>
      </c>
      <c r="D5355" s="16" t="str">
        <f>IFERROR(VLOOKUP(C5355,DATA!#REF!,2,FALSE),"")</f>
        <v/>
      </c>
      <c r="I5355" s="17"/>
      <c r="J5355" s="17"/>
      <c r="P5355" s="17"/>
      <c r="Q5355" s="17"/>
    </row>
    <row r="5356" spans="2:17">
      <c r="B5356" s="17"/>
      <c r="C5356" s="16" t="str">
        <f>IFERROR(VLOOKUP(DATA!#REF!,DATA!#REF!,1,FALSE),"")</f>
        <v/>
      </c>
      <c r="D5356" s="16" t="str">
        <f>IFERROR(VLOOKUP(C5356,DATA!#REF!,2,FALSE),"")</f>
        <v/>
      </c>
      <c r="I5356" s="17"/>
      <c r="J5356" s="17"/>
      <c r="P5356" s="17"/>
      <c r="Q5356" s="17"/>
    </row>
    <row r="5357" spans="2:17">
      <c r="B5357" s="17"/>
      <c r="C5357" s="16" t="str">
        <f>IFERROR(VLOOKUP(DATA!#REF!,DATA!#REF!,1,FALSE),"")</f>
        <v/>
      </c>
      <c r="D5357" s="16" t="str">
        <f>IFERROR(VLOOKUP(C5357,DATA!#REF!,2,FALSE),"")</f>
        <v/>
      </c>
      <c r="I5357" s="17"/>
      <c r="J5357" s="17"/>
      <c r="P5357" s="17"/>
      <c r="Q5357" s="17"/>
    </row>
    <row r="5358" spans="2:17">
      <c r="B5358" s="17"/>
      <c r="C5358" s="16" t="str">
        <f>IFERROR(VLOOKUP(DATA!#REF!,DATA!#REF!,1,FALSE),"")</f>
        <v/>
      </c>
      <c r="D5358" s="16" t="str">
        <f>IFERROR(VLOOKUP(C5358,DATA!#REF!,2,FALSE),"")</f>
        <v/>
      </c>
      <c r="I5358" s="17"/>
      <c r="J5358" s="17"/>
      <c r="P5358" s="17"/>
      <c r="Q5358" s="17"/>
    </row>
    <row r="5359" spans="2:17">
      <c r="B5359" s="17"/>
      <c r="C5359" s="16" t="str">
        <f>IFERROR(VLOOKUP(DATA!#REF!,DATA!#REF!,1,FALSE),"")</f>
        <v/>
      </c>
      <c r="D5359" s="16" t="str">
        <f>IFERROR(VLOOKUP(C5359,DATA!#REF!,2,FALSE),"")</f>
        <v/>
      </c>
      <c r="I5359" s="17"/>
      <c r="J5359" s="17"/>
      <c r="P5359" s="17"/>
      <c r="Q5359" s="17"/>
    </row>
    <row r="5360" spans="2:17">
      <c r="B5360" s="17"/>
      <c r="C5360" s="16" t="str">
        <f>IFERROR(VLOOKUP(DATA!#REF!,DATA!#REF!,1,FALSE),"")</f>
        <v/>
      </c>
      <c r="D5360" s="16" t="str">
        <f>IFERROR(VLOOKUP(C5360,DATA!#REF!,2,FALSE),"")</f>
        <v/>
      </c>
      <c r="I5360" s="17"/>
      <c r="J5360" s="17"/>
      <c r="P5360" s="17"/>
      <c r="Q5360" s="17"/>
    </row>
    <row r="5361" spans="2:17">
      <c r="B5361" s="17"/>
      <c r="C5361" s="16" t="str">
        <f>IFERROR(VLOOKUP(DATA!#REF!,DATA!#REF!,1,FALSE),"")</f>
        <v/>
      </c>
      <c r="D5361" s="16" t="str">
        <f>IFERROR(VLOOKUP(C5361,DATA!#REF!,2,FALSE),"")</f>
        <v/>
      </c>
      <c r="I5361" s="17"/>
      <c r="J5361" s="17"/>
      <c r="P5361" s="17"/>
      <c r="Q5361" s="17"/>
    </row>
    <row r="5362" spans="2:17">
      <c r="B5362" s="17"/>
      <c r="C5362" s="16" t="str">
        <f>IFERROR(VLOOKUP(DATA!#REF!,DATA!#REF!,1,FALSE),"")</f>
        <v/>
      </c>
      <c r="D5362" s="16" t="str">
        <f>IFERROR(VLOOKUP(C5362,DATA!#REF!,2,FALSE),"")</f>
        <v/>
      </c>
      <c r="I5362" s="17"/>
      <c r="J5362" s="17"/>
      <c r="P5362" s="17"/>
      <c r="Q5362" s="17"/>
    </row>
    <row r="5363" spans="2:17">
      <c r="B5363" s="17"/>
      <c r="C5363" s="16" t="str">
        <f>IFERROR(VLOOKUP(DATA!#REF!,DATA!#REF!,1,FALSE),"")</f>
        <v/>
      </c>
      <c r="D5363" s="16" t="str">
        <f>IFERROR(VLOOKUP(C5363,DATA!#REF!,2,FALSE),"")</f>
        <v/>
      </c>
      <c r="I5363" s="17"/>
      <c r="J5363" s="17"/>
      <c r="P5363" s="17"/>
      <c r="Q5363" s="17"/>
    </row>
    <row r="5364" spans="2:17">
      <c r="B5364" s="17"/>
      <c r="C5364" s="16" t="str">
        <f>IFERROR(VLOOKUP(DATA!#REF!,DATA!#REF!,1,FALSE),"")</f>
        <v/>
      </c>
      <c r="D5364" s="16" t="str">
        <f>IFERROR(VLOOKUP(C5364,DATA!#REF!,2,FALSE),"")</f>
        <v/>
      </c>
      <c r="I5364" s="17"/>
      <c r="J5364" s="17"/>
      <c r="P5364" s="17"/>
      <c r="Q5364" s="17"/>
    </row>
    <row r="5365" spans="2:17">
      <c r="B5365" s="17"/>
      <c r="C5365" s="16" t="str">
        <f>IFERROR(VLOOKUP(DATA!#REF!,DATA!#REF!,1,FALSE),"")</f>
        <v/>
      </c>
      <c r="D5365" s="16" t="str">
        <f>IFERROR(VLOOKUP(C5365,DATA!#REF!,2,FALSE),"")</f>
        <v/>
      </c>
      <c r="I5365" s="17"/>
      <c r="J5365" s="17"/>
      <c r="P5365" s="17"/>
      <c r="Q5365" s="17"/>
    </row>
    <row r="5366" spans="2:17">
      <c r="B5366" s="17"/>
      <c r="C5366" s="16" t="str">
        <f>IFERROR(VLOOKUP(DATA!#REF!,DATA!#REF!,1,FALSE),"")</f>
        <v/>
      </c>
      <c r="D5366" s="16" t="str">
        <f>IFERROR(VLOOKUP(C5366,DATA!#REF!,2,FALSE),"")</f>
        <v/>
      </c>
      <c r="I5366" s="17"/>
      <c r="J5366" s="17"/>
      <c r="P5366" s="17"/>
      <c r="Q5366" s="17"/>
    </row>
    <row r="5367" spans="2:17">
      <c r="B5367" s="17"/>
      <c r="C5367" s="16" t="str">
        <f>IFERROR(VLOOKUP(DATA!#REF!,DATA!#REF!,1,FALSE),"")</f>
        <v/>
      </c>
      <c r="D5367" s="16" t="str">
        <f>IFERROR(VLOOKUP(C5367,DATA!#REF!,2,FALSE),"")</f>
        <v/>
      </c>
      <c r="I5367" s="17"/>
      <c r="J5367" s="17"/>
      <c r="P5367" s="17"/>
      <c r="Q5367" s="17"/>
    </row>
    <row r="5368" spans="2:17">
      <c r="B5368" s="17"/>
      <c r="C5368" s="16" t="str">
        <f>IFERROR(VLOOKUP(DATA!#REF!,DATA!#REF!,1,FALSE),"")</f>
        <v/>
      </c>
      <c r="D5368" s="16" t="str">
        <f>IFERROR(VLOOKUP(C5368,DATA!#REF!,2,FALSE),"")</f>
        <v/>
      </c>
      <c r="I5368" s="17"/>
      <c r="J5368" s="17"/>
      <c r="P5368" s="17"/>
      <c r="Q5368" s="17"/>
    </row>
    <row r="5369" spans="2:17">
      <c r="B5369" s="17"/>
      <c r="C5369" s="16" t="str">
        <f>IFERROR(VLOOKUP(DATA!#REF!,DATA!#REF!,1,FALSE),"")</f>
        <v/>
      </c>
      <c r="D5369" s="16" t="str">
        <f>IFERROR(VLOOKUP(C5369,DATA!#REF!,2,FALSE),"")</f>
        <v/>
      </c>
      <c r="I5369" s="17"/>
      <c r="J5369" s="17"/>
      <c r="P5369" s="17"/>
      <c r="Q5369" s="17"/>
    </row>
    <row r="5370" spans="2:17">
      <c r="B5370" s="17"/>
      <c r="C5370" s="16" t="str">
        <f>IFERROR(VLOOKUP(DATA!#REF!,DATA!#REF!,1,FALSE),"")</f>
        <v/>
      </c>
      <c r="D5370" s="16" t="str">
        <f>IFERROR(VLOOKUP(C5370,DATA!#REF!,2,FALSE),"")</f>
        <v/>
      </c>
      <c r="I5370" s="17"/>
      <c r="J5370" s="17"/>
      <c r="P5370" s="17"/>
      <c r="Q5370" s="17"/>
    </row>
    <row r="5371" spans="2:17">
      <c r="B5371" s="17"/>
      <c r="C5371" s="16" t="str">
        <f>IFERROR(VLOOKUP(DATA!#REF!,DATA!#REF!,1,FALSE),"")</f>
        <v/>
      </c>
      <c r="D5371" s="16" t="str">
        <f>IFERROR(VLOOKUP(C5371,DATA!#REF!,2,FALSE),"")</f>
        <v/>
      </c>
      <c r="I5371" s="17"/>
      <c r="J5371" s="17"/>
      <c r="P5371" s="17"/>
      <c r="Q5371" s="17"/>
    </row>
    <row r="5372" spans="2:17">
      <c r="B5372" s="17"/>
      <c r="C5372" s="16" t="str">
        <f>IFERROR(VLOOKUP(DATA!#REF!,DATA!#REF!,1,FALSE),"")</f>
        <v/>
      </c>
      <c r="D5372" s="16" t="str">
        <f>IFERROR(VLOOKUP(C5372,DATA!#REF!,2,FALSE),"")</f>
        <v/>
      </c>
      <c r="I5372" s="17"/>
      <c r="J5372" s="17"/>
      <c r="P5372" s="17"/>
      <c r="Q5372" s="17"/>
    </row>
    <row r="5373" spans="2:17">
      <c r="B5373" s="17"/>
      <c r="C5373" s="16" t="str">
        <f>IFERROR(VLOOKUP(DATA!#REF!,DATA!#REF!,1,FALSE),"")</f>
        <v/>
      </c>
      <c r="D5373" s="16" t="str">
        <f>IFERROR(VLOOKUP(C5373,DATA!#REF!,2,FALSE),"")</f>
        <v/>
      </c>
      <c r="I5373" s="17"/>
      <c r="J5373" s="17"/>
      <c r="P5373" s="17"/>
      <c r="Q5373" s="17"/>
    </row>
    <row r="5374" spans="2:17">
      <c r="B5374" s="17"/>
      <c r="C5374" s="16" t="str">
        <f>IFERROR(VLOOKUP(DATA!#REF!,DATA!#REF!,1,FALSE),"")</f>
        <v/>
      </c>
      <c r="D5374" s="16" t="str">
        <f>IFERROR(VLOOKUP(C5374,DATA!#REF!,2,FALSE),"")</f>
        <v/>
      </c>
      <c r="I5374" s="17"/>
      <c r="J5374" s="17"/>
      <c r="P5374" s="17"/>
      <c r="Q5374" s="17"/>
    </row>
    <row r="5375" spans="2:17">
      <c r="B5375" s="17"/>
      <c r="C5375" s="16" t="str">
        <f>IFERROR(VLOOKUP(DATA!#REF!,DATA!#REF!,1,FALSE),"")</f>
        <v/>
      </c>
      <c r="D5375" s="16" t="str">
        <f>IFERROR(VLOOKUP(C5375,DATA!#REF!,2,FALSE),"")</f>
        <v/>
      </c>
      <c r="I5375" s="17"/>
      <c r="J5375" s="17"/>
      <c r="P5375" s="17"/>
      <c r="Q5375" s="17"/>
    </row>
    <row r="5376" spans="2:17">
      <c r="B5376" s="17"/>
      <c r="C5376" s="16" t="str">
        <f>IFERROR(VLOOKUP(DATA!#REF!,DATA!#REF!,1,FALSE),"")</f>
        <v/>
      </c>
      <c r="D5376" s="16" t="str">
        <f>IFERROR(VLOOKUP(C5376,DATA!#REF!,2,FALSE),"")</f>
        <v/>
      </c>
      <c r="I5376" s="17"/>
      <c r="J5376" s="17"/>
      <c r="P5376" s="17"/>
      <c r="Q5376" s="17"/>
    </row>
    <row r="5377" spans="2:17">
      <c r="B5377" s="17"/>
      <c r="C5377" s="16" t="str">
        <f>IFERROR(VLOOKUP(DATA!#REF!,DATA!#REF!,1,FALSE),"")</f>
        <v/>
      </c>
      <c r="D5377" s="16" t="str">
        <f>IFERROR(VLOOKUP(C5377,DATA!#REF!,2,FALSE),"")</f>
        <v/>
      </c>
      <c r="I5377" s="17"/>
      <c r="J5377" s="17"/>
      <c r="P5377" s="17"/>
      <c r="Q5377" s="17"/>
    </row>
    <row r="5378" spans="2:17">
      <c r="B5378" s="17"/>
      <c r="C5378" s="16" t="str">
        <f>IFERROR(VLOOKUP(DATA!#REF!,DATA!#REF!,1,FALSE),"")</f>
        <v/>
      </c>
      <c r="D5378" s="16" t="str">
        <f>IFERROR(VLOOKUP(C5378,DATA!#REF!,2,FALSE),"")</f>
        <v/>
      </c>
      <c r="I5378" s="17"/>
      <c r="J5378" s="17"/>
      <c r="P5378" s="17"/>
      <c r="Q5378" s="17"/>
    </row>
    <row r="5379" spans="2:17">
      <c r="B5379" s="17"/>
      <c r="C5379" s="16" t="str">
        <f>IFERROR(VLOOKUP(DATA!#REF!,DATA!#REF!,1,FALSE),"")</f>
        <v/>
      </c>
      <c r="D5379" s="16" t="str">
        <f>IFERROR(VLOOKUP(C5379,DATA!#REF!,2,FALSE),"")</f>
        <v/>
      </c>
      <c r="I5379" s="17"/>
      <c r="J5379" s="17"/>
      <c r="P5379" s="17"/>
      <c r="Q5379" s="17"/>
    </row>
    <row r="5380" spans="2:17">
      <c r="B5380" s="17"/>
      <c r="C5380" s="16" t="str">
        <f>IFERROR(VLOOKUP(DATA!#REF!,DATA!#REF!,1,FALSE),"")</f>
        <v/>
      </c>
      <c r="D5380" s="16" t="str">
        <f>IFERROR(VLOOKUP(C5380,DATA!#REF!,2,FALSE),"")</f>
        <v/>
      </c>
      <c r="I5380" s="17"/>
      <c r="J5380" s="17"/>
      <c r="P5380" s="17"/>
      <c r="Q5380" s="17"/>
    </row>
    <row r="5381" spans="2:17">
      <c r="B5381" s="17"/>
      <c r="C5381" s="16" t="str">
        <f>IFERROR(VLOOKUP(DATA!#REF!,DATA!#REF!,1,FALSE),"")</f>
        <v/>
      </c>
      <c r="D5381" s="16" t="str">
        <f>IFERROR(VLOOKUP(C5381,DATA!#REF!,2,FALSE),"")</f>
        <v/>
      </c>
      <c r="I5381" s="17"/>
      <c r="J5381" s="17"/>
      <c r="P5381" s="17"/>
      <c r="Q5381" s="17"/>
    </row>
    <row r="5382" spans="2:17">
      <c r="B5382" s="17"/>
      <c r="C5382" s="16" t="str">
        <f>IFERROR(VLOOKUP(DATA!#REF!,DATA!#REF!,1,FALSE),"")</f>
        <v/>
      </c>
      <c r="D5382" s="16" t="str">
        <f>IFERROR(VLOOKUP(C5382,DATA!#REF!,2,FALSE),"")</f>
        <v/>
      </c>
      <c r="I5382" s="17"/>
      <c r="J5382" s="17"/>
      <c r="P5382" s="17"/>
      <c r="Q5382" s="17"/>
    </row>
    <row r="5383" spans="2:17">
      <c r="B5383" s="17"/>
      <c r="C5383" s="16" t="str">
        <f>IFERROR(VLOOKUP(DATA!#REF!,DATA!#REF!,1,FALSE),"")</f>
        <v/>
      </c>
      <c r="D5383" s="16" t="str">
        <f>IFERROR(VLOOKUP(C5383,DATA!#REF!,2,FALSE),"")</f>
        <v/>
      </c>
      <c r="I5383" s="17"/>
      <c r="J5383" s="17"/>
      <c r="P5383" s="17"/>
      <c r="Q5383" s="17"/>
    </row>
    <row r="5384" spans="2:17">
      <c r="B5384" s="17"/>
      <c r="C5384" s="16" t="str">
        <f>IFERROR(VLOOKUP(DATA!#REF!,DATA!#REF!,1,FALSE),"")</f>
        <v/>
      </c>
      <c r="D5384" s="16" t="str">
        <f>IFERROR(VLOOKUP(C5384,DATA!#REF!,2,FALSE),"")</f>
        <v/>
      </c>
      <c r="I5384" s="17"/>
      <c r="J5384" s="17"/>
      <c r="P5384" s="17"/>
      <c r="Q5384" s="17"/>
    </row>
    <row r="5385" spans="2:17">
      <c r="B5385" s="17"/>
      <c r="C5385" s="16" t="str">
        <f>IFERROR(VLOOKUP(DATA!#REF!,DATA!#REF!,1,FALSE),"")</f>
        <v/>
      </c>
      <c r="D5385" s="16" t="str">
        <f>IFERROR(VLOOKUP(C5385,DATA!#REF!,2,FALSE),"")</f>
        <v/>
      </c>
      <c r="I5385" s="17"/>
      <c r="J5385" s="17"/>
      <c r="P5385" s="17"/>
      <c r="Q5385" s="17"/>
    </row>
    <row r="5386" spans="2:17">
      <c r="B5386" s="17"/>
      <c r="C5386" s="16" t="str">
        <f>IFERROR(VLOOKUP(DATA!#REF!,DATA!#REF!,1,FALSE),"")</f>
        <v/>
      </c>
      <c r="D5386" s="16" t="str">
        <f>IFERROR(VLOOKUP(C5386,DATA!#REF!,2,FALSE),"")</f>
        <v/>
      </c>
      <c r="I5386" s="17"/>
      <c r="J5386" s="17"/>
      <c r="P5386" s="17"/>
      <c r="Q5386" s="17"/>
    </row>
    <row r="5387" spans="2:17">
      <c r="B5387" s="17"/>
      <c r="C5387" s="16" t="str">
        <f>IFERROR(VLOOKUP(DATA!#REF!,DATA!#REF!,1,FALSE),"")</f>
        <v/>
      </c>
      <c r="D5387" s="16" t="str">
        <f>IFERROR(VLOOKUP(C5387,DATA!#REF!,2,FALSE),"")</f>
        <v/>
      </c>
      <c r="I5387" s="17"/>
      <c r="J5387" s="17"/>
      <c r="P5387" s="17"/>
      <c r="Q5387" s="17"/>
    </row>
    <row r="5388" spans="2:17">
      <c r="B5388" s="17"/>
      <c r="C5388" s="16" t="str">
        <f>IFERROR(VLOOKUP(DATA!#REF!,DATA!#REF!,1,FALSE),"")</f>
        <v/>
      </c>
      <c r="D5388" s="16" t="str">
        <f>IFERROR(VLOOKUP(C5388,DATA!#REF!,2,FALSE),"")</f>
        <v/>
      </c>
      <c r="I5388" s="17"/>
      <c r="J5388" s="17"/>
      <c r="P5388" s="17"/>
      <c r="Q5388" s="17"/>
    </row>
    <row r="5389" spans="2:17">
      <c r="B5389" s="17"/>
      <c r="C5389" s="16" t="str">
        <f>IFERROR(VLOOKUP(DATA!#REF!,DATA!#REF!,1,FALSE),"")</f>
        <v/>
      </c>
      <c r="D5389" s="16" t="str">
        <f>IFERROR(VLOOKUP(C5389,DATA!#REF!,2,FALSE),"")</f>
        <v/>
      </c>
      <c r="I5389" s="17"/>
      <c r="J5389" s="17"/>
      <c r="P5389" s="17"/>
      <c r="Q5389" s="17"/>
    </row>
    <row r="5390" spans="2:17">
      <c r="B5390" s="17"/>
      <c r="C5390" s="16" t="str">
        <f>IFERROR(VLOOKUP(DATA!#REF!,DATA!#REF!,1,FALSE),"")</f>
        <v/>
      </c>
      <c r="D5390" s="16" t="str">
        <f>IFERROR(VLOOKUP(C5390,DATA!#REF!,2,FALSE),"")</f>
        <v/>
      </c>
      <c r="I5390" s="17"/>
      <c r="J5390" s="17"/>
      <c r="P5390" s="17"/>
      <c r="Q5390" s="17"/>
    </row>
    <row r="5391" spans="2:17">
      <c r="B5391" s="17"/>
      <c r="C5391" s="16" t="str">
        <f>IFERROR(VLOOKUP(DATA!#REF!,DATA!#REF!,1,FALSE),"")</f>
        <v/>
      </c>
      <c r="D5391" s="16" t="str">
        <f>IFERROR(VLOOKUP(C5391,DATA!#REF!,2,FALSE),"")</f>
        <v/>
      </c>
      <c r="I5391" s="17"/>
      <c r="J5391" s="17"/>
      <c r="P5391" s="17"/>
      <c r="Q5391" s="17"/>
    </row>
    <row r="5392" spans="2:17">
      <c r="B5392" s="17"/>
      <c r="C5392" s="16" t="str">
        <f>IFERROR(VLOOKUP(DATA!#REF!,DATA!#REF!,1,FALSE),"")</f>
        <v/>
      </c>
      <c r="D5392" s="16" t="str">
        <f>IFERROR(VLOOKUP(C5392,DATA!#REF!,2,FALSE),"")</f>
        <v/>
      </c>
      <c r="I5392" s="17"/>
      <c r="J5392" s="17"/>
      <c r="P5392" s="17"/>
      <c r="Q5392" s="17"/>
    </row>
    <row r="5393" spans="2:17">
      <c r="B5393" s="17"/>
      <c r="C5393" s="16" t="str">
        <f>IFERROR(VLOOKUP(DATA!#REF!,DATA!#REF!,1,FALSE),"")</f>
        <v/>
      </c>
      <c r="D5393" s="16" t="str">
        <f>IFERROR(VLOOKUP(C5393,DATA!#REF!,2,FALSE),"")</f>
        <v/>
      </c>
      <c r="I5393" s="17"/>
      <c r="J5393" s="17"/>
      <c r="P5393" s="17"/>
      <c r="Q5393" s="17"/>
    </row>
    <row r="5394" spans="2:17">
      <c r="B5394" s="17"/>
      <c r="C5394" s="16" t="str">
        <f>IFERROR(VLOOKUP(DATA!#REF!,DATA!#REF!,1,FALSE),"")</f>
        <v/>
      </c>
      <c r="D5394" s="16" t="str">
        <f>IFERROR(VLOOKUP(C5394,DATA!#REF!,2,FALSE),"")</f>
        <v/>
      </c>
      <c r="I5394" s="17"/>
      <c r="J5394" s="17"/>
      <c r="P5394" s="17"/>
      <c r="Q5394" s="17"/>
    </row>
    <row r="5395" spans="2:17">
      <c r="B5395" s="17"/>
      <c r="C5395" s="16" t="str">
        <f>IFERROR(VLOOKUP(DATA!#REF!,DATA!#REF!,1,FALSE),"")</f>
        <v/>
      </c>
      <c r="D5395" s="16" t="str">
        <f>IFERROR(VLOOKUP(C5395,DATA!#REF!,2,FALSE),"")</f>
        <v/>
      </c>
      <c r="I5395" s="17"/>
      <c r="J5395" s="17"/>
      <c r="P5395" s="17"/>
      <c r="Q5395" s="17"/>
    </row>
    <row r="5396" spans="2:17">
      <c r="B5396" s="17"/>
      <c r="C5396" s="16" t="str">
        <f>IFERROR(VLOOKUP(DATA!#REF!,DATA!#REF!,1,FALSE),"")</f>
        <v/>
      </c>
      <c r="D5396" s="16" t="str">
        <f>IFERROR(VLOOKUP(C5396,DATA!#REF!,2,FALSE),"")</f>
        <v/>
      </c>
      <c r="I5396" s="17"/>
      <c r="J5396" s="17"/>
      <c r="P5396" s="17"/>
      <c r="Q5396" s="17"/>
    </row>
    <row r="5397" spans="2:17">
      <c r="B5397" s="17"/>
      <c r="C5397" s="16" t="str">
        <f>IFERROR(VLOOKUP(DATA!#REF!,DATA!#REF!,1,FALSE),"")</f>
        <v/>
      </c>
      <c r="D5397" s="16" t="str">
        <f>IFERROR(VLOOKUP(C5397,DATA!#REF!,2,FALSE),"")</f>
        <v/>
      </c>
      <c r="I5397" s="17"/>
      <c r="J5397" s="17"/>
      <c r="P5397" s="17"/>
      <c r="Q5397" s="17"/>
    </row>
    <row r="5398" spans="2:17">
      <c r="B5398" s="17"/>
      <c r="C5398" s="16" t="str">
        <f>IFERROR(VLOOKUP(DATA!#REF!,DATA!#REF!,1,FALSE),"")</f>
        <v/>
      </c>
      <c r="D5398" s="16" t="str">
        <f>IFERROR(VLOOKUP(C5398,DATA!#REF!,2,FALSE),"")</f>
        <v/>
      </c>
      <c r="I5398" s="17"/>
      <c r="J5398" s="17"/>
      <c r="P5398" s="17"/>
      <c r="Q5398" s="17"/>
    </row>
    <row r="5399" spans="2:17">
      <c r="B5399" s="17"/>
      <c r="C5399" s="16" t="str">
        <f>IFERROR(VLOOKUP(DATA!#REF!,DATA!#REF!,1,FALSE),"")</f>
        <v/>
      </c>
      <c r="D5399" s="16" t="str">
        <f>IFERROR(VLOOKUP(C5399,DATA!#REF!,2,FALSE),"")</f>
        <v/>
      </c>
      <c r="I5399" s="17"/>
      <c r="J5399" s="17"/>
      <c r="P5399" s="17"/>
      <c r="Q5399" s="17"/>
    </row>
    <row r="5400" spans="2:17">
      <c r="B5400" s="17"/>
      <c r="C5400" s="16" t="str">
        <f>IFERROR(VLOOKUP(DATA!#REF!,DATA!#REF!,1,FALSE),"")</f>
        <v/>
      </c>
      <c r="D5400" s="16" t="str">
        <f>IFERROR(VLOOKUP(C5400,DATA!#REF!,2,FALSE),"")</f>
        <v/>
      </c>
      <c r="I5400" s="17"/>
      <c r="J5400" s="17"/>
      <c r="P5400" s="17"/>
      <c r="Q5400" s="17"/>
    </row>
    <row r="5401" spans="2:17">
      <c r="B5401" s="17"/>
      <c r="C5401" s="16" t="str">
        <f>IFERROR(VLOOKUP(DATA!#REF!,DATA!#REF!,1,FALSE),"")</f>
        <v/>
      </c>
      <c r="D5401" s="16" t="str">
        <f>IFERROR(VLOOKUP(C5401,DATA!#REF!,2,FALSE),"")</f>
        <v/>
      </c>
      <c r="I5401" s="17"/>
      <c r="J5401" s="17"/>
      <c r="P5401" s="17"/>
      <c r="Q5401" s="17"/>
    </row>
    <row r="5402" spans="2:17">
      <c r="B5402" s="17"/>
      <c r="C5402" s="16" t="str">
        <f>IFERROR(VLOOKUP(DATA!#REF!,DATA!#REF!,1,FALSE),"")</f>
        <v/>
      </c>
      <c r="D5402" s="16" t="str">
        <f>IFERROR(VLOOKUP(C5402,DATA!#REF!,2,FALSE),"")</f>
        <v/>
      </c>
      <c r="I5402" s="17"/>
      <c r="J5402" s="17"/>
      <c r="P5402" s="17"/>
      <c r="Q5402" s="17"/>
    </row>
    <row r="5403" spans="2:17">
      <c r="B5403" s="17"/>
      <c r="C5403" s="16" t="str">
        <f>IFERROR(VLOOKUP(DATA!#REF!,DATA!#REF!,1,FALSE),"")</f>
        <v/>
      </c>
      <c r="D5403" s="16" t="str">
        <f>IFERROR(VLOOKUP(C5403,DATA!#REF!,2,FALSE),"")</f>
        <v/>
      </c>
      <c r="I5403" s="17"/>
      <c r="J5403" s="17"/>
      <c r="P5403" s="17"/>
      <c r="Q5403" s="17"/>
    </row>
    <row r="5404" spans="2:17">
      <c r="B5404" s="17"/>
      <c r="C5404" s="16" t="str">
        <f>IFERROR(VLOOKUP(DATA!#REF!,DATA!#REF!,1,FALSE),"")</f>
        <v/>
      </c>
      <c r="D5404" s="16" t="str">
        <f>IFERROR(VLOOKUP(C5404,DATA!#REF!,2,FALSE),"")</f>
        <v/>
      </c>
      <c r="I5404" s="17"/>
      <c r="J5404" s="17"/>
      <c r="P5404" s="17"/>
      <c r="Q5404" s="17"/>
    </row>
    <row r="5405" spans="2:17">
      <c r="B5405" s="17"/>
      <c r="C5405" s="16" t="str">
        <f>IFERROR(VLOOKUP(DATA!#REF!,DATA!#REF!,1,FALSE),"")</f>
        <v/>
      </c>
      <c r="D5405" s="16" t="str">
        <f>IFERROR(VLOOKUP(C5405,DATA!#REF!,2,FALSE),"")</f>
        <v/>
      </c>
      <c r="I5405" s="17"/>
      <c r="J5405" s="17"/>
      <c r="P5405" s="17"/>
      <c r="Q5405" s="17"/>
    </row>
    <row r="5406" spans="2:17">
      <c r="B5406" s="17"/>
      <c r="C5406" s="16" t="str">
        <f>IFERROR(VLOOKUP(DATA!#REF!,DATA!#REF!,1,FALSE),"")</f>
        <v/>
      </c>
      <c r="D5406" s="16" t="str">
        <f>IFERROR(VLOOKUP(C5406,DATA!#REF!,2,FALSE),"")</f>
        <v/>
      </c>
      <c r="I5406" s="17"/>
      <c r="J5406" s="17"/>
      <c r="P5406" s="17"/>
      <c r="Q5406" s="17"/>
    </row>
    <row r="5407" spans="2:17">
      <c r="B5407" s="17"/>
      <c r="C5407" s="16" t="str">
        <f>IFERROR(VLOOKUP(DATA!#REF!,DATA!#REF!,1,FALSE),"")</f>
        <v/>
      </c>
      <c r="D5407" s="16" t="str">
        <f>IFERROR(VLOOKUP(C5407,DATA!#REF!,2,FALSE),"")</f>
        <v/>
      </c>
      <c r="I5407" s="17"/>
      <c r="J5407" s="17"/>
      <c r="P5407" s="17"/>
      <c r="Q5407" s="17"/>
    </row>
    <row r="5408" spans="2:17">
      <c r="B5408" s="17"/>
      <c r="C5408" s="16" t="str">
        <f>IFERROR(VLOOKUP(DATA!#REF!,DATA!#REF!,1,FALSE),"")</f>
        <v/>
      </c>
      <c r="D5408" s="16" t="str">
        <f>IFERROR(VLOOKUP(C5408,DATA!#REF!,2,FALSE),"")</f>
        <v/>
      </c>
      <c r="I5408" s="17"/>
      <c r="J5408" s="17"/>
      <c r="P5408" s="17"/>
      <c r="Q5408" s="17"/>
    </row>
    <row r="5409" spans="2:17">
      <c r="B5409" s="17"/>
      <c r="C5409" s="16" t="str">
        <f>IFERROR(VLOOKUP(DATA!#REF!,DATA!#REF!,1,FALSE),"")</f>
        <v/>
      </c>
      <c r="D5409" s="16" t="str">
        <f>IFERROR(VLOOKUP(C5409,DATA!#REF!,2,FALSE),"")</f>
        <v/>
      </c>
      <c r="I5409" s="17"/>
      <c r="J5409" s="17"/>
      <c r="P5409" s="17"/>
      <c r="Q5409" s="17"/>
    </row>
    <row r="5410" spans="2:17">
      <c r="B5410" s="17"/>
      <c r="C5410" s="16" t="str">
        <f>IFERROR(VLOOKUP(DATA!#REF!,DATA!#REF!,1,FALSE),"")</f>
        <v/>
      </c>
      <c r="D5410" s="16" t="str">
        <f>IFERROR(VLOOKUP(C5410,DATA!#REF!,2,FALSE),"")</f>
        <v/>
      </c>
      <c r="I5410" s="17"/>
      <c r="J5410" s="17"/>
      <c r="P5410" s="17"/>
      <c r="Q5410" s="17"/>
    </row>
    <row r="5411" spans="2:17">
      <c r="B5411" s="17"/>
      <c r="C5411" s="16" t="str">
        <f>IFERROR(VLOOKUP(DATA!#REF!,DATA!#REF!,1,FALSE),"")</f>
        <v/>
      </c>
      <c r="D5411" s="16" t="str">
        <f>IFERROR(VLOOKUP(C5411,DATA!#REF!,2,FALSE),"")</f>
        <v/>
      </c>
      <c r="I5411" s="17"/>
      <c r="J5411" s="17"/>
      <c r="P5411" s="17"/>
      <c r="Q5411" s="17"/>
    </row>
    <row r="5412" spans="2:17">
      <c r="B5412" s="17"/>
      <c r="C5412" s="16" t="str">
        <f>IFERROR(VLOOKUP(DATA!#REF!,DATA!#REF!,1,FALSE),"")</f>
        <v/>
      </c>
      <c r="D5412" s="16" t="str">
        <f>IFERROR(VLOOKUP(C5412,DATA!#REF!,2,FALSE),"")</f>
        <v/>
      </c>
      <c r="I5412" s="17"/>
      <c r="J5412" s="17"/>
      <c r="P5412" s="17"/>
      <c r="Q5412" s="17"/>
    </row>
    <row r="5413" spans="2:17">
      <c r="B5413" s="17"/>
      <c r="C5413" s="16" t="str">
        <f>IFERROR(VLOOKUP(DATA!#REF!,DATA!#REF!,1,FALSE),"")</f>
        <v/>
      </c>
      <c r="D5413" s="16" t="str">
        <f>IFERROR(VLOOKUP(C5413,DATA!#REF!,2,FALSE),"")</f>
        <v/>
      </c>
      <c r="I5413" s="17"/>
      <c r="J5413" s="17"/>
      <c r="P5413" s="17"/>
      <c r="Q5413" s="17"/>
    </row>
    <row r="5414" spans="2:17">
      <c r="B5414" s="17"/>
      <c r="C5414" s="16" t="str">
        <f>IFERROR(VLOOKUP(DATA!#REF!,DATA!#REF!,1,FALSE),"")</f>
        <v/>
      </c>
      <c r="D5414" s="16" t="str">
        <f>IFERROR(VLOOKUP(C5414,DATA!#REF!,2,FALSE),"")</f>
        <v/>
      </c>
      <c r="I5414" s="17"/>
      <c r="J5414" s="17"/>
      <c r="P5414" s="17"/>
      <c r="Q5414" s="17"/>
    </row>
    <row r="5415" spans="2:17">
      <c r="B5415" s="17"/>
      <c r="C5415" s="16" t="str">
        <f>IFERROR(VLOOKUP(DATA!#REF!,DATA!#REF!,1,FALSE),"")</f>
        <v/>
      </c>
      <c r="D5415" s="16" t="str">
        <f>IFERROR(VLOOKUP(C5415,DATA!#REF!,2,FALSE),"")</f>
        <v/>
      </c>
      <c r="I5415" s="17"/>
      <c r="J5415" s="17"/>
      <c r="P5415" s="17"/>
      <c r="Q5415" s="17"/>
    </row>
    <row r="5416" spans="2:17">
      <c r="B5416" s="17"/>
      <c r="C5416" s="16" t="str">
        <f>IFERROR(VLOOKUP(DATA!#REF!,DATA!#REF!,1,FALSE),"")</f>
        <v/>
      </c>
      <c r="D5416" s="16" t="str">
        <f>IFERROR(VLOOKUP(C5416,DATA!#REF!,2,FALSE),"")</f>
        <v/>
      </c>
      <c r="I5416" s="17"/>
      <c r="J5416" s="17"/>
      <c r="P5416" s="17"/>
      <c r="Q5416" s="17"/>
    </row>
    <row r="5417" spans="2:17">
      <c r="B5417" s="17"/>
      <c r="C5417" s="16" t="str">
        <f>IFERROR(VLOOKUP(DATA!#REF!,DATA!#REF!,1,FALSE),"")</f>
        <v/>
      </c>
      <c r="D5417" s="16" t="str">
        <f>IFERROR(VLOOKUP(C5417,DATA!#REF!,2,FALSE),"")</f>
        <v/>
      </c>
      <c r="I5417" s="17"/>
      <c r="J5417" s="17"/>
      <c r="P5417" s="17"/>
      <c r="Q5417" s="17"/>
    </row>
    <row r="5418" spans="2:17">
      <c r="B5418" s="17"/>
      <c r="C5418" s="16" t="str">
        <f>IFERROR(VLOOKUP(DATA!#REF!,DATA!#REF!,1,FALSE),"")</f>
        <v/>
      </c>
      <c r="D5418" s="16" t="str">
        <f>IFERROR(VLOOKUP(C5418,DATA!#REF!,2,FALSE),"")</f>
        <v/>
      </c>
      <c r="I5418" s="17"/>
      <c r="J5418" s="17"/>
      <c r="P5418" s="17"/>
      <c r="Q5418" s="17"/>
    </row>
    <row r="5419" spans="2:17">
      <c r="B5419" s="17"/>
      <c r="C5419" s="16" t="str">
        <f>IFERROR(VLOOKUP(DATA!#REF!,DATA!#REF!,1,FALSE),"")</f>
        <v/>
      </c>
      <c r="D5419" s="16" t="str">
        <f>IFERROR(VLOOKUP(C5419,DATA!#REF!,2,FALSE),"")</f>
        <v/>
      </c>
      <c r="I5419" s="17"/>
      <c r="J5419" s="17"/>
      <c r="P5419" s="17"/>
      <c r="Q5419" s="17"/>
    </row>
    <row r="5420" spans="2:17">
      <c r="B5420" s="17"/>
      <c r="C5420" s="16" t="str">
        <f>IFERROR(VLOOKUP(DATA!#REF!,DATA!#REF!,1,FALSE),"")</f>
        <v/>
      </c>
      <c r="D5420" s="16" t="str">
        <f>IFERROR(VLOOKUP(C5420,DATA!#REF!,2,FALSE),"")</f>
        <v/>
      </c>
      <c r="I5420" s="17"/>
      <c r="J5420" s="17"/>
      <c r="P5420" s="17"/>
      <c r="Q5420" s="17"/>
    </row>
    <row r="5421" spans="2:17">
      <c r="B5421" s="17"/>
      <c r="C5421" s="16" t="str">
        <f>IFERROR(VLOOKUP(DATA!#REF!,DATA!#REF!,1,FALSE),"")</f>
        <v/>
      </c>
      <c r="D5421" s="16" t="str">
        <f>IFERROR(VLOOKUP(C5421,DATA!#REF!,2,FALSE),"")</f>
        <v/>
      </c>
      <c r="I5421" s="17"/>
      <c r="J5421" s="17"/>
      <c r="P5421" s="17"/>
      <c r="Q5421" s="17"/>
    </row>
    <row r="5422" spans="2:17">
      <c r="B5422" s="17"/>
      <c r="C5422" s="16" t="str">
        <f>IFERROR(VLOOKUP(DATA!#REF!,DATA!#REF!,1,FALSE),"")</f>
        <v/>
      </c>
      <c r="D5422" s="16" t="str">
        <f>IFERROR(VLOOKUP(C5422,DATA!#REF!,2,FALSE),"")</f>
        <v/>
      </c>
      <c r="I5422" s="17"/>
      <c r="J5422" s="17"/>
      <c r="P5422" s="17"/>
      <c r="Q5422" s="17"/>
    </row>
    <row r="5423" spans="2:17">
      <c r="B5423" s="17"/>
      <c r="C5423" s="16" t="str">
        <f>IFERROR(VLOOKUP(DATA!#REF!,DATA!#REF!,1,FALSE),"")</f>
        <v/>
      </c>
      <c r="D5423" s="16" t="str">
        <f>IFERROR(VLOOKUP(C5423,DATA!#REF!,2,FALSE),"")</f>
        <v/>
      </c>
      <c r="I5423" s="17"/>
      <c r="J5423" s="17"/>
      <c r="P5423" s="17"/>
      <c r="Q5423" s="17"/>
    </row>
    <row r="5424" spans="2:17">
      <c r="B5424" s="17"/>
      <c r="C5424" s="16" t="str">
        <f>IFERROR(VLOOKUP(DATA!#REF!,DATA!#REF!,1,FALSE),"")</f>
        <v/>
      </c>
      <c r="D5424" s="16" t="str">
        <f>IFERROR(VLOOKUP(C5424,DATA!#REF!,2,FALSE),"")</f>
        <v/>
      </c>
      <c r="I5424" s="17"/>
      <c r="J5424" s="17"/>
      <c r="P5424" s="17"/>
      <c r="Q5424" s="17"/>
    </row>
    <row r="5425" spans="2:17">
      <c r="B5425" s="17"/>
      <c r="C5425" s="16" t="str">
        <f>IFERROR(VLOOKUP(DATA!#REF!,DATA!#REF!,1,FALSE),"")</f>
        <v/>
      </c>
      <c r="D5425" s="16" t="str">
        <f>IFERROR(VLOOKUP(C5425,DATA!#REF!,2,FALSE),"")</f>
        <v/>
      </c>
      <c r="I5425" s="17"/>
      <c r="J5425" s="17"/>
      <c r="P5425" s="17"/>
      <c r="Q5425" s="17"/>
    </row>
    <row r="5426" spans="2:17">
      <c r="B5426" s="17"/>
      <c r="C5426" s="16" t="str">
        <f>IFERROR(VLOOKUP(DATA!#REF!,DATA!#REF!,1,FALSE),"")</f>
        <v/>
      </c>
      <c r="D5426" s="16" t="str">
        <f>IFERROR(VLOOKUP(C5426,DATA!#REF!,2,FALSE),"")</f>
        <v/>
      </c>
      <c r="I5426" s="17"/>
      <c r="J5426" s="17"/>
      <c r="P5426" s="17"/>
      <c r="Q5426" s="17"/>
    </row>
    <row r="5427" spans="2:17">
      <c r="B5427" s="17"/>
      <c r="C5427" s="16" t="str">
        <f>IFERROR(VLOOKUP(DATA!#REF!,DATA!#REF!,1,FALSE),"")</f>
        <v/>
      </c>
      <c r="D5427" s="16" t="str">
        <f>IFERROR(VLOOKUP(C5427,DATA!#REF!,2,FALSE),"")</f>
        <v/>
      </c>
      <c r="I5427" s="17"/>
      <c r="J5427" s="17"/>
      <c r="P5427" s="17"/>
      <c r="Q5427" s="17"/>
    </row>
    <row r="5428" spans="2:17">
      <c r="B5428" s="17"/>
      <c r="C5428" s="16" t="str">
        <f>IFERROR(VLOOKUP(DATA!#REF!,DATA!#REF!,1,FALSE),"")</f>
        <v/>
      </c>
      <c r="D5428" s="16" t="str">
        <f>IFERROR(VLOOKUP(C5428,DATA!#REF!,2,FALSE),"")</f>
        <v/>
      </c>
      <c r="I5428" s="17"/>
      <c r="J5428" s="17"/>
      <c r="P5428" s="17"/>
      <c r="Q5428" s="17"/>
    </row>
    <row r="5429" spans="2:17">
      <c r="B5429" s="17"/>
      <c r="C5429" s="16" t="str">
        <f>IFERROR(VLOOKUP(DATA!#REF!,DATA!#REF!,1,FALSE),"")</f>
        <v/>
      </c>
      <c r="D5429" s="16" t="str">
        <f>IFERROR(VLOOKUP(C5429,DATA!#REF!,2,FALSE),"")</f>
        <v/>
      </c>
      <c r="I5429" s="17"/>
      <c r="J5429" s="17"/>
      <c r="P5429" s="17"/>
      <c r="Q5429" s="17"/>
    </row>
    <row r="5430" spans="2:17">
      <c r="B5430" s="17"/>
      <c r="C5430" s="16" t="str">
        <f>IFERROR(VLOOKUP(DATA!#REF!,DATA!#REF!,1,FALSE),"")</f>
        <v/>
      </c>
      <c r="D5430" s="16" t="str">
        <f>IFERROR(VLOOKUP(C5430,DATA!#REF!,2,FALSE),"")</f>
        <v/>
      </c>
      <c r="I5430" s="17"/>
      <c r="J5430" s="17"/>
      <c r="P5430" s="17"/>
      <c r="Q5430" s="17"/>
    </row>
    <row r="5431" spans="2:17">
      <c r="B5431" s="17"/>
      <c r="C5431" s="16" t="str">
        <f>IFERROR(VLOOKUP(DATA!#REF!,DATA!#REF!,1,FALSE),"")</f>
        <v/>
      </c>
      <c r="D5431" s="16" t="str">
        <f>IFERROR(VLOOKUP(C5431,DATA!#REF!,2,FALSE),"")</f>
        <v/>
      </c>
      <c r="I5431" s="17"/>
      <c r="J5431" s="17"/>
      <c r="P5431" s="17"/>
      <c r="Q5431" s="17"/>
    </row>
    <row r="5432" spans="2:17">
      <c r="B5432" s="17"/>
      <c r="C5432" s="16" t="str">
        <f>IFERROR(VLOOKUP(DATA!#REF!,DATA!#REF!,1,FALSE),"")</f>
        <v/>
      </c>
      <c r="D5432" s="16" t="str">
        <f>IFERROR(VLOOKUP(C5432,DATA!#REF!,2,FALSE),"")</f>
        <v/>
      </c>
      <c r="I5432" s="17"/>
      <c r="J5432" s="17"/>
      <c r="P5432" s="17"/>
      <c r="Q5432" s="17"/>
    </row>
    <row r="5433" spans="2:17">
      <c r="B5433" s="17"/>
      <c r="C5433" s="16" t="str">
        <f>IFERROR(VLOOKUP(DATA!#REF!,DATA!#REF!,1,FALSE),"")</f>
        <v/>
      </c>
      <c r="D5433" s="16" t="str">
        <f>IFERROR(VLOOKUP(C5433,DATA!#REF!,2,FALSE),"")</f>
        <v/>
      </c>
      <c r="I5433" s="17"/>
      <c r="J5433" s="17"/>
      <c r="P5433" s="17"/>
      <c r="Q5433" s="17"/>
    </row>
    <row r="5434" spans="2:17">
      <c r="B5434" s="17"/>
      <c r="C5434" s="16" t="str">
        <f>IFERROR(VLOOKUP(DATA!#REF!,DATA!#REF!,1,FALSE),"")</f>
        <v/>
      </c>
      <c r="D5434" s="16" t="str">
        <f>IFERROR(VLOOKUP(C5434,DATA!#REF!,2,FALSE),"")</f>
        <v/>
      </c>
      <c r="I5434" s="17"/>
      <c r="J5434" s="17"/>
      <c r="P5434" s="17"/>
      <c r="Q5434" s="17"/>
    </row>
    <row r="5435" spans="2:17">
      <c r="B5435" s="17"/>
      <c r="C5435" s="16" t="str">
        <f>IFERROR(VLOOKUP(DATA!#REF!,DATA!#REF!,1,FALSE),"")</f>
        <v/>
      </c>
      <c r="D5435" s="16" t="str">
        <f>IFERROR(VLOOKUP(C5435,DATA!#REF!,2,FALSE),"")</f>
        <v/>
      </c>
      <c r="I5435" s="17"/>
      <c r="J5435" s="17"/>
      <c r="P5435" s="17"/>
      <c r="Q5435" s="17"/>
    </row>
    <row r="5436" spans="2:17">
      <c r="B5436" s="17"/>
      <c r="C5436" s="16" t="str">
        <f>IFERROR(VLOOKUP(DATA!#REF!,DATA!#REF!,1,FALSE),"")</f>
        <v/>
      </c>
      <c r="D5436" s="16" t="str">
        <f>IFERROR(VLOOKUP(C5436,DATA!#REF!,2,FALSE),"")</f>
        <v/>
      </c>
      <c r="I5436" s="17"/>
      <c r="J5436" s="17"/>
      <c r="P5436" s="17"/>
      <c r="Q5436" s="17"/>
    </row>
    <row r="5437" spans="2:17">
      <c r="B5437" s="17"/>
      <c r="C5437" s="16" t="str">
        <f>IFERROR(VLOOKUP(DATA!#REF!,DATA!#REF!,1,FALSE),"")</f>
        <v/>
      </c>
      <c r="D5437" s="16" t="str">
        <f>IFERROR(VLOOKUP(C5437,DATA!#REF!,2,FALSE),"")</f>
        <v/>
      </c>
      <c r="I5437" s="17"/>
      <c r="J5437" s="17"/>
      <c r="P5437" s="17"/>
      <c r="Q5437" s="17"/>
    </row>
    <row r="5438" spans="2:17">
      <c r="B5438" s="17"/>
      <c r="C5438" s="16" t="str">
        <f>IFERROR(VLOOKUP(DATA!#REF!,DATA!#REF!,1,FALSE),"")</f>
        <v/>
      </c>
      <c r="D5438" s="16" t="str">
        <f>IFERROR(VLOOKUP(C5438,DATA!#REF!,2,FALSE),"")</f>
        <v/>
      </c>
      <c r="I5438" s="17"/>
      <c r="J5438" s="17"/>
      <c r="P5438" s="17"/>
      <c r="Q5438" s="17"/>
    </row>
    <row r="5439" spans="2:17">
      <c r="B5439" s="17"/>
      <c r="C5439" s="16" t="str">
        <f>IFERROR(VLOOKUP(DATA!#REF!,DATA!#REF!,1,FALSE),"")</f>
        <v/>
      </c>
      <c r="D5439" s="16" t="str">
        <f>IFERROR(VLOOKUP(C5439,DATA!#REF!,2,FALSE),"")</f>
        <v/>
      </c>
      <c r="I5439" s="17"/>
      <c r="J5439" s="17"/>
      <c r="P5439" s="17"/>
      <c r="Q5439" s="17"/>
    </row>
    <row r="5440" spans="2:17">
      <c r="B5440" s="17"/>
      <c r="C5440" s="16" t="str">
        <f>IFERROR(VLOOKUP(DATA!#REF!,DATA!#REF!,1,FALSE),"")</f>
        <v/>
      </c>
      <c r="D5440" s="16" t="str">
        <f>IFERROR(VLOOKUP(C5440,DATA!#REF!,2,FALSE),"")</f>
        <v/>
      </c>
      <c r="I5440" s="17"/>
      <c r="J5440" s="17"/>
      <c r="P5440" s="17"/>
      <c r="Q5440" s="17"/>
    </row>
    <row r="5441" spans="2:17">
      <c r="B5441" s="17"/>
      <c r="C5441" s="16" t="str">
        <f>IFERROR(VLOOKUP(DATA!#REF!,DATA!#REF!,1,FALSE),"")</f>
        <v/>
      </c>
      <c r="D5441" s="16" t="str">
        <f>IFERROR(VLOOKUP(C5441,DATA!#REF!,2,FALSE),"")</f>
        <v/>
      </c>
      <c r="I5441" s="17"/>
      <c r="J5441" s="17"/>
      <c r="P5441" s="17"/>
      <c r="Q5441" s="17"/>
    </row>
    <row r="5442" spans="2:17">
      <c r="B5442" s="17"/>
      <c r="C5442" s="16" t="str">
        <f>IFERROR(VLOOKUP(DATA!#REF!,DATA!#REF!,1,FALSE),"")</f>
        <v/>
      </c>
      <c r="D5442" s="16" t="str">
        <f>IFERROR(VLOOKUP(C5442,DATA!#REF!,2,FALSE),"")</f>
        <v/>
      </c>
      <c r="I5442" s="17"/>
      <c r="J5442" s="17"/>
      <c r="P5442" s="17"/>
      <c r="Q5442" s="17"/>
    </row>
    <row r="5443" spans="2:17">
      <c r="B5443" s="17"/>
      <c r="C5443" s="16" t="str">
        <f>IFERROR(VLOOKUP(DATA!#REF!,DATA!#REF!,1,FALSE),"")</f>
        <v/>
      </c>
      <c r="D5443" s="16" t="str">
        <f>IFERROR(VLOOKUP(C5443,DATA!#REF!,2,FALSE),"")</f>
        <v/>
      </c>
      <c r="I5443" s="17"/>
      <c r="J5443" s="17"/>
      <c r="P5443" s="17"/>
      <c r="Q5443" s="17"/>
    </row>
    <row r="5444" spans="2:17">
      <c r="B5444" s="17"/>
      <c r="C5444" s="16" t="str">
        <f>IFERROR(VLOOKUP(DATA!#REF!,DATA!#REF!,1,FALSE),"")</f>
        <v/>
      </c>
      <c r="D5444" s="16" t="str">
        <f>IFERROR(VLOOKUP(C5444,DATA!#REF!,2,FALSE),"")</f>
        <v/>
      </c>
      <c r="I5444" s="17"/>
      <c r="J5444" s="17"/>
      <c r="P5444" s="17"/>
      <c r="Q5444" s="17"/>
    </row>
    <row r="5445" spans="2:17">
      <c r="B5445" s="17"/>
      <c r="C5445" s="16" t="str">
        <f>IFERROR(VLOOKUP(DATA!#REF!,DATA!#REF!,1,FALSE),"")</f>
        <v/>
      </c>
      <c r="D5445" s="16" t="str">
        <f>IFERROR(VLOOKUP(C5445,DATA!#REF!,2,FALSE),"")</f>
        <v/>
      </c>
      <c r="I5445" s="17"/>
      <c r="J5445" s="17"/>
      <c r="P5445" s="17"/>
      <c r="Q5445" s="17"/>
    </row>
    <row r="5446" spans="2:17">
      <c r="B5446" s="17"/>
      <c r="C5446" s="16" t="str">
        <f>IFERROR(VLOOKUP(DATA!#REF!,DATA!#REF!,1,FALSE),"")</f>
        <v/>
      </c>
      <c r="D5446" s="16" t="str">
        <f>IFERROR(VLOOKUP(C5446,DATA!#REF!,2,FALSE),"")</f>
        <v/>
      </c>
      <c r="I5446" s="17"/>
      <c r="J5446" s="17"/>
      <c r="P5446" s="17"/>
      <c r="Q5446" s="17"/>
    </row>
    <row r="5447" spans="2:17">
      <c r="B5447" s="17"/>
      <c r="C5447" s="16" t="str">
        <f>IFERROR(VLOOKUP(DATA!#REF!,DATA!#REF!,1,FALSE),"")</f>
        <v/>
      </c>
      <c r="D5447" s="16" t="str">
        <f>IFERROR(VLOOKUP(C5447,DATA!#REF!,2,FALSE),"")</f>
        <v/>
      </c>
      <c r="I5447" s="17"/>
      <c r="J5447" s="17"/>
      <c r="P5447" s="17"/>
      <c r="Q5447" s="17"/>
    </row>
    <row r="5448" spans="2:17">
      <c r="B5448" s="17"/>
      <c r="C5448" s="16" t="str">
        <f>IFERROR(VLOOKUP(DATA!#REF!,DATA!#REF!,1,FALSE),"")</f>
        <v/>
      </c>
      <c r="D5448" s="16" t="str">
        <f>IFERROR(VLOOKUP(C5448,DATA!#REF!,2,FALSE),"")</f>
        <v/>
      </c>
      <c r="I5448" s="17"/>
      <c r="J5448" s="17"/>
      <c r="P5448" s="17"/>
      <c r="Q5448" s="17"/>
    </row>
    <row r="5449" spans="2:17">
      <c r="B5449" s="17"/>
      <c r="C5449" s="16" t="str">
        <f>IFERROR(VLOOKUP(DATA!#REF!,DATA!#REF!,1,FALSE),"")</f>
        <v/>
      </c>
      <c r="D5449" s="16" t="str">
        <f>IFERROR(VLOOKUP(C5449,DATA!#REF!,2,FALSE),"")</f>
        <v/>
      </c>
      <c r="I5449" s="17"/>
      <c r="J5449" s="17"/>
      <c r="P5449" s="17"/>
      <c r="Q5449" s="17"/>
    </row>
    <row r="5450" spans="2:17">
      <c r="B5450" s="17"/>
      <c r="C5450" s="16" t="str">
        <f>IFERROR(VLOOKUP(DATA!#REF!,DATA!#REF!,1,FALSE),"")</f>
        <v/>
      </c>
      <c r="D5450" s="16" t="str">
        <f>IFERROR(VLOOKUP(C5450,DATA!#REF!,2,FALSE),"")</f>
        <v/>
      </c>
      <c r="I5450" s="17"/>
      <c r="J5450" s="17"/>
      <c r="P5450" s="17"/>
      <c r="Q5450" s="17"/>
    </row>
    <row r="5451" spans="2:17">
      <c r="B5451" s="17"/>
      <c r="C5451" s="16" t="str">
        <f>IFERROR(VLOOKUP(DATA!#REF!,DATA!#REF!,1,FALSE),"")</f>
        <v/>
      </c>
      <c r="D5451" s="16" t="str">
        <f>IFERROR(VLOOKUP(C5451,DATA!#REF!,2,FALSE),"")</f>
        <v/>
      </c>
      <c r="I5451" s="17"/>
      <c r="J5451" s="17"/>
      <c r="P5451" s="17"/>
      <c r="Q5451" s="17"/>
    </row>
    <row r="5452" spans="2:17">
      <c r="B5452" s="17"/>
      <c r="C5452" s="16" t="str">
        <f>IFERROR(VLOOKUP(DATA!#REF!,DATA!#REF!,1,FALSE),"")</f>
        <v/>
      </c>
      <c r="D5452" s="16" t="str">
        <f>IFERROR(VLOOKUP(C5452,DATA!#REF!,2,FALSE),"")</f>
        <v/>
      </c>
      <c r="I5452" s="17"/>
      <c r="J5452" s="17"/>
      <c r="P5452" s="17"/>
      <c r="Q5452" s="17"/>
    </row>
    <row r="5453" spans="2:17">
      <c r="B5453" s="17"/>
      <c r="C5453" s="16" t="str">
        <f>IFERROR(VLOOKUP(DATA!#REF!,DATA!#REF!,1,FALSE),"")</f>
        <v/>
      </c>
      <c r="D5453" s="16" t="str">
        <f>IFERROR(VLOOKUP(C5453,DATA!#REF!,2,FALSE),"")</f>
        <v/>
      </c>
      <c r="I5453" s="17"/>
      <c r="J5453" s="17"/>
      <c r="P5453" s="17"/>
      <c r="Q5453" s="17"/>
    </row>
    <row r="5454" spans="2:17">
      <c r="B5454" s="17"/>
      <c r="C5454" s="16" t="str">
        <f>IFERROR(VLOOKUP(DATA!#REF!,DATA!#REF!,1,FALSE),"")</f>
        <v/>
      </c>
      <c r="D5454" s="16" t="str">
        <f>IFERROR(VLOOKUP(C5454,DATA!#REF!,2,FALSE),"")</f>
        <v/>
      </c>
      <c r="I5454" s="17"/>
      <c r="J5454" s="17"/>
      <c r="P5454" s="17"/>
      <c r="Q5454" s="17"/>
    </row>
    <row r="5455" spans="2:17">
      <c r="B5455" s="17"/>
      <c r="C5455" s="16" t="str">
        <f>IFERROR(VLOOKUP(DATA!#REF!,DATA!#REF!,1,FALSE),"")</f>
        <v/>
      </c>
      <c r="D5455" s="16" t="str">
        <f>IFERROR(VLOOKUP(C5455,DATA!#REF!,2,FALSE),"")</f>
        <v/>
      </c>
      <c r="I5455" s="17"/>
      <c r="J5455" s="17"/>
      <c r="P5455" s="17"/>
      <c r="Q5455" s="17"/>
    </row>
    <row r="5456" spans="2:17">
      <c r="B5456" s="17"/>
      <c r="C5456" s="16" t="str">
        <f>IFERROR(VLOOKUP(DATA!#REF!,DATA!#REF!,1,FALSE),"")</f>
        <v/>
      </c>
      <c r="D5456" s="16" t="str">
        <f>IFERROR(VLOOKUP(C5456,DATA!#REF!,2,FALSE),"")</f>
        <v/>
      </c>
      <c r="I5456" s="17"/>
      <c r="J5456" s="17"/>
      <c r="P5456" s="17"/>
      <c r="Q5456" s="17"/>
    </row>
    <row r="5457" spans="2:17">
      <c r="B5457" s="17"/>
      <c r="C5457" s="16" t="str">
        <f>IFERROR(VLOOKUP(DATA!#REF!,DATA!#REF!,1,FALSE),"")</f>
        <v/>
      </c>
      <c r="D5457" s="16" t="str">
        <f>IFERROR(VLOOKUP(C5457,DATA!#REF!,2,FALSE),"")</f>
        <v/>
      </c>
      <c r="I5457" s="17"/>
      <c r="J5457" s="17"/>
      <c r="P5457" s="17"/>
      <c r="Q5457" s="17"/>
    </row>
    <row r="5458" spans="2:17">
      <c r="B5458" s="17"/>
      <c r="C5458" s="16" t="str">
        <f>IFERROR(VLOOKUP(DATA!#REF!,DATA!#REF!,1,FALSE),"")</f>
        <v/>
      </c>
      <c r="D5458" s="16" t="str">
        <f>IFERROR(VLOOKUP(C5458,DATA!#REF!,2,FALSE),"")</f>
        <v/>
      </c>
      <c r="I5458" s="17"/>
      <c r="J5458" s="17"/>
      <c r="P5458" s="17"/>
      <c r="Q5458" s="17"/>
    </row>
    <row r="5459" spans="2:17">
      <c r="B5459" s="17"/>
      <c r="C5459" s="16" t="str">
        <f>IFERROR(VLOOKUP(DATA!#REF!,DATA!#REF!,1,FALSE),"")</f>
        <v/>
      </c>
      <c r="D5459" s="16" t="str">
        <f>IFERROR(VLOOKUP(C5459,DATA!#REF!,2,FALSE),"")</f>
        <v/>
      </c>
      <c r="I5459" s="17"/>
      <c r="J5459" s="17"/>
      <c r="P5459" s="17"/>
      <c r="Q5459" s="17"/>
    </row>
    <row r="5460" spans="2:17">
      <c r="B5460" s="17"/>
      <c r="C5460" s="16" t="str">
        <f>IFERROR(VLOOKUP(DATA!#REF!,DATA!#REF!,1,FALSE),"")</f>
        <v/>
      </c>
      <c r="D5460" s="16" t="str">
        <f>IFERROR(VLOOKUP(C5460,DATA!#REF!,2,FALSE),"")</f>
        <v/>
      </c>
      <c r="I5460" s="17"/>
      <c r="J5460" s="17"/>
      <c r="P5460" s="17"/>
      <c r="Q5460" s="17"/>
    </row>
    <row r="5461" spans="2:17">
      <c r="B5461" s="17"/>
      <c r="C5461" s="16" t="str">
        <f>IFERROR(VLOOKUP(DATA!#REF!,DATA!#REF!,1,FALSE),"")</f>
        <v/>
      </c>
      <c r="D5461" s="16" t="str">
        <f>IFERROR(VLOOKUP(C5461,DATA!#REF!,2,FALSE),"")</f>
        <v/>
      </c>
      <c r="I5461" s="17"/>
      <c r="J5461" s="17"/>
      <c r="P5461" s="17"/>
      <c r="Q5461" s="17"/>
    </row>
    <row r="5462" spans="2:17">
      <c r="B5462" s="17"/>
      <c r="C5462" s="16" t="str">
        <f>IFERROR(VLOOKUP(DATA!#REF!,DATA!#REF!,1,FALSE),"")</f>
        <v/>
      </c>
      <c r="D5462" s="16" t="str">
        <f>IFERROR(VLOOKUP(C5462,DATA!#REF!,2,FALSE),"")</f>
        <v/>
      </c>
      <c r="I5462" s="17"/>
      <c r="J5462" s="17"/>
      <c r="P5462" s="17"/>
      <c r="Q5462" s="17"/>
    </row>
    <row r="5463" spans="2:17">
      <c r="B5463" s="17"/>
      <c r="C5463" s="16" t="str">
        <f>IFERROR(VLOOKUP(DATA!#REF!,DATA!#REF!,1,FALSE),"")</f>
        <v/>
      </c>
      <c r="D5463" s="16" t="str">
        <f>IFERROR(VLOOKUP(C5463,DATA!#REF!,2,FALSE),"")</f>
        <v/>
      </c>
      <c r="I5463" s="17"/>
      <c r="J5463" s="17"/>
      <c r="P5463" s="17"/>
      <c r="Q5463" s="17"/>
    </row>
    <row r="5464" spans="2:17">
      <c r="B5464" s="17"/>
      <c r="C5464" s="16" t="str">
        <f>IFERROR(VLOOKUP(DATA!#REF!,DATA!#REF!,1,FALSE),"")</f>
        <v/>
      </c>
      <c r="D5464" s="16" t="str">
        <f>IFERROR(VLOOKUP(C5464,DATA!#REF!,2,FALSE),"")</f>
        <v/>
      </c>
      <c r="I5464" s="17"/>
      <c r="J5464" s="17"/>
      <c r="P5464" s="17"/>
      <c r="Q5464" s="17"/>
    </row>
    <row r="5465" spans="2:17">
      <c r="B5465" s="17"/>
      <c r="C5465" s="16" t="str">
        <f>IFERROR(VLOOKUP(DATA!#REF!,DATA!#REF!,1,FALSE),"")</f>
        <v/>
      </c>
      <c r="D5465" s="16" t="str">
        <f>IFERROR(VLOOKUP(C5465,DATA!#REF!,2,FALSE),"")</f>
        <v/>
      </c>
      <c r="I5465" s="17"/>
      <c r="J5465" s="17"/>
      <c r="P5465" s="17"/>
      <c r="Q5465" s="17"/>
    </row>
    <row r="5466" spans="2:17">
      <c r="B5466" s="17"/>
      <c r="C5466" s="16" t="str">
        <f>IFERROR(VLOOKUP(DATA!#REF!,DATA!#REF!,1,FALSE),"")</f>
        <v/>
      </c>
      <c r="D5466" s="16" t="str">
        <f>IFERROR(VLOOKUP(C5466,DATA!#REF!,2,FALSE),"")</f>
        <v/>
      </c>
      <c r="I5466" s="17"/>
      <c r="J5466" s="17"/>
      <c r="P5466" s="17"/>
      <c r="Q5466" s="17"/>
    </row>
    <row r="5467" spans="2:17">
      <c r="B5467" s="17"/>
      <c r="C5467" s="16" t="str">
        <f>IFERROR(VLOOKUP(DATA!#REF!,DATA!#REF!,1,FALSE),"")</f>
        <v/>
      </c>
      <c r="D5467" s="16" t="str">
        <f>IFERROR(VLOOKUP(C5467,DATA!#REF!,2,FALSE),"")</f>
        <v/>
      </c>
      <c r="I5467" s="17"/>
      <c r="J5467" s="17"/>
      <c r="P5467" s="17"/>
      <c r="Q5467" s="17"/>
    </row>
    <row r="5468" spans="2:17">
      <c r="B5468" s="17"/>
      <c r="C5468" s="16" t="str">
        <f>IFERROR(VLOOKUP(DATA!#REF!,DATA!#REF!,1,FALSE),"")</f>
        <v/>
      </c>
      <c r="D5468" s="16" t="str">
        <f>IFERROR(VLOOKUP(C5468,DATA!#REF!,2,FALSE),"")</f>
        <v/>
      </c>
      <c r="I5468" s="17"/>
      <c r="J5468" s="17"/>
      <c r="P5468" s="17"/>
      <c r="Q5468" s="17"/>
    </row>
    <row r="5469" spans="2:17">
      <c r="B5469" s="17"/>
      <c r="C5469" s="16" t="str">
        <f>IFERROR(VLOOKUP(DATA!#REF!,DATA!#REF!,1,FALSE),"")</f>
        <v/>
      </c>
      <c r="D5469" s="16" t="str">
        <f>IFERROR(VLOOKUP(C5469,DATA!#REF!,2,FALSE),"")</f>
        <v/>
      </c>
      <c r="I5469" s="17"/>
      <c r="J5469" s="17"/>
      <c r="P5469" s="17"/>
      <c r="Q5469" s="17"/>
    </row>
    <row r="5470" spans="2:17">
      <c r="B5470" s="17"/>
      <c r="C5470" s="16" t="str">
        <f>IFERROR(VLOOKUP(DATA!#REF!,DATA!#REF!,1,FALSE),"")</f>
        <v/>
      </c>
      <c r="D5470" s="16" t="str">
        <f>IFERROR(VLOOKUP(C5470,DATA!#REF!,2,FALSE),"")</f>
        <v/>
      </c>
      <c r="I5470" s="17"/>
      <c r="J5470" s="17"/>
      <c r="P5470" s="17"/>
      <c r="Q5470" s="17"/>
    </row>
    <row r="5471" spans="2:17">
      <c r="B5471" s="17"/>
      <c r="C5471" s="16" t="str">
        <f>IFERROR(VLOOKUP(DATA!#REF!,DATA!#REF!,1,FALSE),"")</f>
        <v/>
      </c>
      <c r="D5471" s="16" t="str">
        <f>IFERROR(VLOOKUP(C5471,DATA!#REF!,2,FALSE),"")</f>
        <v/>
      </c>
      <c r="I5471" s="17"/>
      <c r="J5471" s="17"/>
      <c r="P5471" s="17"/>
      <c r="Q5471" s="17"/>
    </row>
    <row r="5472" spans="2:17">
      <c r="B5472" s="17"/>
      <c r="C5472" s="16" t="str">
        <f>IFERROR(VLOOKUP(DATA!#REF!,DATA!#REF!,1,FALSE),"")</f>
        <v/>
      </c>
      <c r="D5472" s="16" t="str">
        <f>IFERROR(VLOOKUP(C5472,DATA!#REF!,2,FALSE),"")</f>
        <v/>
      </c>
      <c r="I5472" s="17"/>
      <c r="J5472" s="17"/>
      <c r="P5472" s="17"/>
      <c r="Q5472" s="17"/>
    </row>
    <row r="5473" spans="2:17">
      <c r="B5473" s="17"/>
      <c r="C5473" s="16" t="str">
        <f>IFERROR(VLOOKUP(DATA!#REF!,DATA!#REF!,1,FALSE),"")</f>
        <v/>
      </c>
      <c r="D5473" s="16" t="str">
        <f>IFERROR(VLOOKUP(C5473,DATA!#REF!,2,FALSE),"")</f>
        <v/>
      </c>
      <c r="I5473" s="17"/>
      <c r="J5473" s="17"/>
      <c r="P5473" s="17"/>
      <c r="Q5473" s="17"/>
    </row>
    <row r="5474" spans="2:17">
      <c r="B5474" s="17"/>
      <c r="C5474" s="16" t="str">
        <f>IFERROR(VLOOKUP(DATA!#REF!,DATA!#REF!,1,FALSE),"")</f>
        <v/>
      </c>
      <c r="D5474" s="16" t="str">
        <f>IFERROR(VLOOKUP(C5474,DATA!#REF!,2,FALSE),"")</f>
        <v/>
      </c>
      <c r="I5474" s="17"/>
      <c r="J5474" s="17"/>
      <c r="P5474" s="17"/>
      <c r="Q5474" s="17"/>
    </row>
    <row r="5475" spans="2:17">
      <c r="B5475" s="17"/>
      <c r="C5475" s="16" t="str">
        <f>IFERROR(VLOOKUP(DATA!#REF!,DATA!#REF!,1,FALSE),"")</f>
        <v/>
      </c>
      <c r="D5475" s="16" t="str">
        <f>IFERROR(VLOOKUP(C5475,DATA!#REF!,2,FALSE),"")</f>
        <v/>
      </c>
      <c r="I5475" s="17"/>
      <c r="J5475" s="17"/>
      <c r="P5475" s="17"/>
      <c r="Q5475" s="17"/>
    </row>
    <row r="5476" spans="2:17">
      <c r="B5476" s="17"/>
      <c r="C5476" s="16" t="str">
        <f>IFERROR(VLOOKUP(DATA!#REF!,DATA!#REF!,1,FALSE),"")</f>
        <v/>
      </c>
      <c r="D5476" s="16" t="str">
        <f>IFERROR(VLOOKUP(C5476,DATA!#REF!,2,FALSE),"")</f>
        <v/>
      </c>
      <c r="I5476" s="17"/>
      <c r="J5476" s="17"/>
      <c r="P5476" s="17"/>
      <c r="Q5476" s="17"/>
    </row>
    <row r="5477" spans="2:17">
      <c r="B5477" s="17"/>
      <c r="C5477" s="16" t="str">
        <f>IFERROR(VLOOKUP(DATA!#REF!,DATA!#REF!,1,FALSE),"")</f>
        <v/>
      </c>
      <c r="D5477" s="16" t="str">
        <f>IFERROR(VLOOKUP(C5477,DATA!#REF!,2,FALSE),"")</f>
        <v/>
      </c>
      <c r="I5477" s="17"/>
      <c r="J5477" s="17"/>
      <c r="P5477" s="17"/>
      <c r="Q5477" s="17"/>
    </row>
    <row r="5478" spans="2:17">
      <c r="B5478" s="17"/>
      <c r="C5478" s="16" t="str">
        <f>IFERROR(VLOOKUP(DATA!#REF!,DATA!#REF!,1,FALSE),"")</f>
        <v/>
      </c>
      <c r="D5478" s="16" t="str">
        <f>IFERROR(VLOOKUP(C5478,DATA!#REF!,2,FALSE),"")</f>
        <v/>
      </c>
      <c r="I5478" s="17"/>
      <c r="J5478" s="17"/>
      <c r="P5478" s="17"/>
      <c r="Q5478" s="17"/>
    </row>
    <row r="5479" spans="2:17">
      <c r="B5479" s="17"/>
      <c r="C5479" s="16" t="str">
        <f>IFERROR(VLOOKUP(DATA!#REF!,DATA!#REF!,1,FALSE),"")</f>
        <v/>
      </c>
      <c r="D5479" s="16" t="str">
        <f>IFERROR(VLOOKUP(C5479,DATA!#REF!,2,FALSE),"")</f>
        <v/>
      </c>
      <c r="I5479" s="17"/>
      <c r="J5479" s="17"/>
      <c r="P5479" s="17"/>
      <c r="Q5479" s="17"/>
    </row>
    <row r="5480" spans="2:17">
      <c r="B5480" s="17"/>
      <c r="C5480" s="16" t="str">
        <f>IFERROR(VLOOKUP(DATA!#REF!,DATA!#REF!,1,FALSE),"")</f>
        <v/>
      </c>
      <c r="D5480" s="16" t="str">
        <f>IFERROR(VLOOKUP(C5480,DATA!#REF!,2,FALSE),"")</f>
        <v/>
      </c>
      <c r="I5480" s="17"/>
      <c r="J5480" s="17"/>
      <c r="P5480" s="17"/>
      <c r="Q5480" s="17"/>
    </row>
    <row r="5481" spans="2:17">
      <c r="B5481" s="17"/>
      <c r="C5481" s="16" t="str">
        <f>IFERROR(VLOOKUP(DATA!#REF!,DATA!#REF!,1,FALSE),"")</f>
        <v/>
      </c>
      <c r="D5481" s="16" t="str">
        <f>IFERROR(VLOOKUP(C5481,DATA!#REF!,2,FALSE),"")</f>
        <v/>
      </c>
      <c r="I5481" s="17"/>
      <c r="J5481" s="17"/>
      <c r="P5481" s="17"/>
      <c r="Q5481" s="17"/>
    </row>
    <row r="5482" spans="2:17">
      <c r="B5482" s="17"/>
      <c r="C5482" s="16" t="str">
        <f>IFERROR(VLOOKUP(DATA!#REF!,DATA!#REF!,1,FALSE),"")</f>
        <v/>
      </c>
      <c r="D5482" s="16" t="str">
        <f>IFERROR(VLOOKUP(C5482,DATA!#REF!,2,FALSE),"")</f>
        <v/>
      </c>
      <c r="I5482" s="17"/>
      <c r="J5482" s="17"/>
      <c r="P5482" s="17"/>
      <c r="Q5482" s="17"/>
    </row>
    <row r="5483" spans="2:17">
      <c r="B5483" s="17"/>
      <c r="C5483" s="16" t="str">
        <f>IFERROR(VLOOKUP(DATA!#REF!,DATA!#REF!,1,FALSE),"")</f>
        <v/>
      </c>
      <c r="D5483" s="16" t="str">
        <f>IFERROR(VLOOKUP(C5483,DATA!#REF!,2,FALSE),"")</f>
        <v/>
      </c>
      <c r="I5483" s="17"/>
      <c r="J5483" s="17"/>
      <c r="P5483" s="17"/>
      <c r="Q5483" s="17"/>
    </row>
    <row r="5484" spans="2:17">
      <c r="B5484" s="17"/>
      <c r="C5484" s="16" t="str">
        <f>IFERROR(VLOOKUP(DATA!#REF!,DATA!#REF!,1,FALSE),"")</f>
        <v/>
      </c>
      <c r="D5484" s="16" t="str">
        <f>IFERROR(VLOOKUP(C5484,DATA!#REF!,2,FALSE),"")</f>
        <v/>
      </c>
      <c r="I5484" s="17"/>
      <c r="J5484" s="17"/>
      <c r="P5484" s="17"/>
      <c r="Q5484" s="17"/>
    </row>
    <row r="5485" spans="2:17">
      <c r="B5485" s="17"/>
      <c r="C5485" s="16" t="str">
        <f>IFERROR(VLOOKUP(DATA!#REF!,DATA!#REF!,1,FALSE),"")</f>
        <v/>
      </c>
      <c r="D5485" s="16" t="str">
        <f>IFERROR(VLOOKUP(C5485,DATA!#REF!,2,FALSE),"")</f>
        <v/>
      </c>
      <c r="I5485" s="17"/>
      <c r="J5485" s="17"/>
      <c r="P5485" s="17"/>
      <c r="Q5485" s="17"/>
    </row>
    <row r="5486" spans="2:17">
      <c r="B5486" s="17"/>
      <c r="C5486" s="16" t="str">
        <f>IFERROR(VLOOKUP(DATA!#REF!,DATA!#REF!,1,FALSE),"")</f>
        <v/>
      </c>
      <c r="D5486" s="16" t="str">
        <f>IFERROR(VLOOKUP(C5486,DATA!#REF!,2,FALSE),"")</f>
        <v/>
      </c>
      <c r="I5486" s="17"/>
      <c r="J5486" s="17"/>
      <c r="P5486" s="17"/>
      <c r="Q5486" s="17"/>
    </row>
    <row r="5487" spans="2:17">
      <c r="B5487" s="17"/>
      <c r="C5487" s="16" t="str">
        <f>IFERROR(VLOOKUP(DATA!#REF!,DATA!#REF!,1,FALSE),"")</f>
        <v/>
      </c>
      <c r="D5487" s="16" t="str">
        <f>IFERROR(VLOOKUP(C5487,DATA!#REF!,2,FALSE),"")</f>
        <v/>
      </c>
      <c r="I5487" s="17"/>
      <c r="J5487" s="17"/>
      <c r="P5487" s="17"/>
      <c r="Q5487" s="17"/>
    </row>
    <row r="5488" spans="2:17">
      <c r="B5488" s="17"/>
      <c r="C5488" s="16" t="str">
        <f>IFERROR(VLOOKUP(DATA!#REF!,DATA!#REF!,1,FALSE),"")</f>
        <v/>
      </c>
      <c r="D5488" s="16" t="str">
        <f>IFERROR(VLOOKUP(C5488,DATA!#REF!,2,FALSE),"")</f>
        <v/>
      </c>
      <c r="I5488" s="17"/>
      <c r="J5488" s="17"/>
      <c r="P5488" s="17"/>
      <c r="Q5488" s="17"/>
    </row>
    <row r="5489" spans="2:17">
      <c r="B5489" s="17"/>
      <c r="C5489" s="16" t="str">
        <f>IFERROR(VLOOKUP(DATA!#REF!,DATA!#REF!,1,FALSE),"")</f>
        <v/>
      </c>
      <c r="D5489" s="16" t="str">
        <f>IFERROR(VLOOKUP(C5489,DATA!#REF!,2,FALSE),"")</f>
        <v/>
      </c>
      <c r="I5489" s="17"/>
      <c r="J5489" s="17"/>
      <c r="P5489" s="17"/>
      <c r="Q5489" s="17"/>
    </row>
    <row r="5490" spans="2:17">
      <c r="B5490" s="17"/>
      <c r="C5490" s="16" t="str">
        <f>IFERROR(VLOOKUP(DATA!#REF!,DATA!#REF!,1,FALSE),"")</f>
        <v/>
      </c>
      <c r="D5490" s="16" t="str">
        <f>IFERROR(VLOOKUP(C5490,DATA!#REF!,2,FALSE),"")</f>
        <v/>
      </c>
      <c r="I5490" s="17"/>
      <c r="J5490" s="17"/>
      <c r="P5490" s="17"/>
      <c r="Q5490" s="17"/>
    </row>
    <row r="5491" spans="2:17">
      <c r="B5491" s="17"/>
      <c r="C5491" s="16" t="str">
        <f>IFERROR(VLOOKUP(DATA!#REF!,DATA!#REF!,1,FALSE),"")</f>
        <v/>
      </c>
      <c r="D5491" s="16" t="str">
        <f>IFERROR(VLOOKUP(C5491,DATA!#REF!,2,FALSE),"")</f>
        <v/>
      </c>
      <c r="I5491" s="17"/>
      <c r="J5491" s="17"/>
      <c r="P5491" s="17"/>
      <c r="Q5491" s="17"/>
    </row>
    <row r="5492" spans="2:17">
      <c r="B5492" s="17"/>
      <c r="C5492" s="16" t="str">
        <f>IFERROR(VLOOKUP(DATA!#REF!,DATA!#REF!,1,FALSE),"")</f>
        <v/>
      </c>
      <c r="D5492" s="16" t="str">
        <f>IFERROR(VLOOKUP(C5492,DATA!#REF!,2,FALSE),"")</f>
        <v/>
      </c>
      <c r="I5492" s="17"/>
      <c r="J5492" s="17"/>
      <c r="P5492" s="17"/>
      <c r="Q5492" s="17"/>
    </row>
    <row r="5493" spans="2:17">
      <c r="B5493" s="17"/>
      <c r="C5493" s="16" t="str">
        <f>IFERROR(VLOOKUP(DATA!#REF!,DATA!#REF!,1,FALSE),"")</f>
        <v/>
      </c>
      <c r="D5493" s="16" t="str">
        <f>IFERROR(VLOOKUP(C5493,DATA!#REF!,2,FALSE),"")</f>
        <v/>
      </c>
      <c r="I5493" s="17"/>
      <c r="J5493" s="17"/>
      <c r="P5493" s="17"/>
      <c r="Q5493" s="17"/>
    </row>
    <row r="5494" spans="2:17">
      <c r="B5494" s="17"/>
      <c r="C5494" s="16" t="str">
        <f>IFERROR(VLOOKUP(DATA!#REF!,DATA!#REF!,1,FALSE),"")</f>
        <v/>
      </c>
      <c r="D5494" s="16" t="str">
        <f>IFERROR(VLOOKUP(C5494,DATA!#REF!,2,FALSE),"")</f>
        <v/>
      </c>
      <c r="I5494" s="17"/>
      <c r="J5494" s="17"/>
      <c r="P5494" s="17"/>
      <c r="Q5494" s="17"/>
    </row>
    <row r="5495" spans="2:17">
      <c r="B5495" s="17"/>
      <c r="C5495" s="16" t="str">
        <f>IFERROR(VLOOKUP(DATA!#REF!,DATA!#REF!,1,FALSE),"")</f>
        <v/>
      </c>
      <c r="D5495" s="16" t="str">
        <f>IFERROR(VLOOKUP(C5495,DATA!#REF!,2,FALSE),"")</f>
        <v/>
      </c>
      <c r="I5495" s="17"/>
      <c r="J5495" s="17"/>
      <c r="P5495" s="17"/>
      <c r="Q5495" s="17"/>
    </row>
    <row r="5496" spans="2:17">
      <c r="B5496" s="17"/>
      <c r="C5496" s="16" t="str">
        <f>IFERROR(VLOOKUP(DATA!#REF!,DATA!#REF!,1,FALSE),"")</f>
        <v/>
      </c>
      <c r="D5496" s="16" t="str">
        <f>IFERROR(VLOOKUP(C5496,DATA!#REF!,2,FALSE),"")</f>
        <v/>
      </c>
      <c r="I5496" s="17"/>
      <c r="J5496" s="17"/>
      <c r="P5496" s="17"/>
      <c r="Q5496" s="17"/>
    </row>
    <row r="5497" spans="2:17">
      <c r="B5497" s="17"/>
      <c r="C5497" s="16" t="str">
        <f>IFERROR(VLOOKUP(DATA!#REF!,DATA!#REF!,1,FALSE),"")</f>
        <v/>
      </c>
      <c r="D5497" s="16" t="str">
        <f>IFERROR(VLOOKUP(C5497,DATA!#REF!,2,FALSE),"")</f>
        <v/>
      </c>
      <c r="I5497" s="17"/>
      <c r="J5497" s="17"/>
      <c r="P5497" s="17"/>
      <c r="Q5497" s="17"/>
    </row>
    <row r="5498" spans="2:17">
      <c r="B5498" s="17"/>
      <c r="C5498" s="16" t="str">
        <f>IFERROR(VLOOKUP(DATA!#REF!,DATA!#REF!,1,FALSE),"")</f>
        <v/>
      </c>
      <c r="D5498" s="16" t="str">
        <f>IFERROR(VLOOKUP(C5498,DATA!#REF!,2,FALSE),"")</f>
        <v/>
      </c>
      <c r="I5498" s="17"/>
      <c r="J5498" s="17"/>
      <c r="P5498" s="17"/>
      <c r="Q5498" s="17"/>
    </row>
    <row r="5499" spans="2:17">
      <c r="B5499" s="17"/>
      <c r="C5499" s="16" t="str">
        <f>IFERROR(VLOOKUP(DATA!#REF!,DATA!#REF!,1,FALSE),"")</f>
        <v/>
      </c>
      <c r="D5499" s="16" t="str">
        <f>IFERROR(VLOOKUP(C5499,DATA!#REF!,2,FALSE),"")</f>
        <v/>
      </c>
      <c r="I5499" s="17"/>
      <c r="J5499" s="17"/>
      <c r="P5499" s="17"/>
      <c r="Q5499" s="17"/>
    </row>
    <row r="5500" spans="2:17">
      <c r="B5500" s="17"/>
      <c r="C5500" s="16" t="str">
        <f>IFERROR(VLOOKUP(DATA!#REF!,DATA!#REF!,1,FALSE),"")</f>
        <v/>
      </c>
      <c r="D5500" s="16" t="str">
        <f>IFERROR(VLOOKUP(C5500,DATA!#REF!,2,FALSE),"")</f>
        <v/>
      </c>
      <c r="I5500" s="17"/>
      <c r="J5500" s="17"/>
      <c r="P5500" s="17"/>
      <c r="Q5500" s="17"/>
    </row>
    <row r="5501" spans="2:17">
      <c r="B5501" s="17"/>
      <c r="C5501" s="16" t="str">
        <f>IFERROR(VLOOKUP(DATA!#REF!,DATA!#REF!,1,FALSE),"")</f>
        <v/>
      </c>
      <c r="D5501" s="16" t="str">
        <f>IFERROR(VLOOKUP(C5501,DATA!#REF!,2,FALSE),"")</f>
        <v/>
      </c>
      <c r="I5501" s="17"/>
      <c r="J5501" s="17"/>
      <c r="P5501" s="17"/>
      <c r="Q5501" s="17"/>
    </row>
    <row r="5502" spans="2:17">
      <c r="B5502" s="17"/>
      <c r="C5502" s="16" t="str">
        <f>IFERROR(VLOOKUP(DATA!#REF!,DATA!#REF!,1,FALSE),"")</f>
        <v/>
      </c>
      <c r="D5502" s="16" t="str">
        <f>IFERROR(VLOOKUP(C5502,DATA!#REF!,2,FALSE),"")</f>
        <v/>
      </c>
      <c r="I5502" s="17"/>
      <c r="J5502" s="17"/>
      <c r="P5502" s="17"/>
      <c r="Q5502" s="17"/>
    </row>
    <row r="5503" spans="2:17">
      <c r="B5503" s="17"/>
      <c r="C5503" s="16" t="str">
        <f>IFERROR(VLOOKUP(DATA!#REF!,DATA!#REF!,1,FALSE),"")</f>
        <v/>
      </c>
      <c r="D5503" s="16" t="str">
        <f>IFERROR(VLOOKUP(C5503,DATA!#REF!,2,FALSE),"")</f>
        <v/>
      </c>
      <c r="I5503" s="17"/>
      <c r="J5503" s="17"/>
      <c r="P5503" s="17"/>
      <c r="Q5503" s="17"/>
    </row>
    <row r="5504" spans="2:17">
      <c r="B5504" s="17"/>
      <c r="C5504" s="16" t="str">
        <f>IFERROR(VLOOKUP(DATA!#REF!,DATA!#REF!,1,FALSE),"")</f>
        <v/>
      </c>
      <c r="D5504" s="16" t="str">
        <f>IFERROR(VLOOKUP(C5504,DATA!#REF!,2,FALSE),"")</f>
        <v/>
      </c>
      <c r="I5504" s="17"/>
      <c r="J5504" s="17"/>
      <c r="P5504" s="17"/>
      <c r="Q5504" s="17"/>
    </row>
    <row r="5505" spans="2:17">
      <c r="B5505" s="17"/>
      <c r="C5505" s="16" t="str">
        <f>IFERROR(VLOOKUP(DATA!#REF!,DATA!#REF!,1,FALSE),"")</f>
        <v/>
      </c>
      <c r="D5505" s="16" t="str">
        <f>IFERROR(VLOOKUP(C5505,DATA!#REF!,2,FALSE),"")</f>
        <v/>
      </c>
      <c r="I5505" s="17"/>
      <c r="J5505" s="17"/>
      <c r="P5505" s="17"/>
      <c r="Q5505" s="17"/>
    </row>
    <row r="5506" spans="2:17">
      <c r="B5506" s="17"/>
      <c r="C5506" s="16" t="str">
        <f>IFERROR(VLOOKUP(DATA!#REF!,DATA!#REF!,1,FALSE),"")</f>
        <v/>
      </c>
      <c r="D5506" s="16" t="str">
        <f>IFERROR(VLOOKUP(C5506,DATA!#REF!,2,FALSE),"")</f>
        <v/>
      </c>
      <c r="I5506" s="17"/>
      <c r="J5506" s="17"/>
      <c r="P5506" s="17"/>
      <c r="Q5506" s="17"/>
    </row>
    <row r="5507" spans="2:17">
      <c r="B5507" s="17"/>
      <c r="C5507" s="16" t="str">
        <f>IFERROR(VLOOKUP(DATA!#REF!,DATA!#REF!,1,FALSE),"")</f>
        <v/>
      </c>
      <c r="D5507" s="16" t="str">
        <f>IFERROR(VLOOKUP(C5507,DATA!#REF!,2,FALSE),"")</f>
        <v/>
      </c>
      <c r="I5507" s="17"/>
      <c r="J5507" s="17"/>
      <c r="P5507" s="17"/>
      <c r="Q5507" s="17"/>
    </row>
    <row r="5508" spans="2:17">
      <c r="B5508" s="17"/>
      <c r="C5508" s="16" t="str">
        <f>IFERROR(VLOOKUP(DATA!#REF!,DATA!#REF!,1,FALSE),"")</f>
        <v/>
      </c>
      <c r="D5508" s="16" t="str">
        <f>IFERROR(VLOOKUP(C5508,DATA!#REF!,2,FALSE),"")</f>
        <v/>
      </c>
      <c r="I5508" s="17"/>
      <c r="J5508" s="17"/>
      <c r="P5508" s="17"/>
      <c r="Q5508" s="17"/>
    </row>
    <row r="5509" spans="2:17">
      <c r="B5509" s="17"/>
      <c r="C5509" s="16" t="str">
        <f>IFERROR(VLOOKUP(DATA!#REF!,DATA!#REF!,1,FALSE),"")</f>
        <v/>
      </c>
      <c r="D5509" s="16" t="str">
        <f>IFERROR(VLOOKUP(C5509,DATA!#REF!,2,FALSE),"")</f>
        <v/>
      </c>
      <c r="I5509" s="17"/>
      <c r="J5509" s="17"/>
      <c r="P5509" s="17"/>
      <c r="Q5509" s="17"/>
    </row>
    <row r="5510" spans="2:17">
      <c r="B5510" s="17"/>
      <c r="C5510" s="16" t="str">
        <f>IFERROR(VLOOKUP(DATA!#REF!,DATA!#REF!,1,FALSE),"")</f>
        <v/>
      </c>
      <c r="D5510" s="16" t="str">
        <f>IFERROR(VLOOKUP(C5510,DATA!#REF!,2,FALSE),"")</f>
        <v/>
      </c>
      <c r="I5510" s="17"/>
      <c r="J5510" s="17"/>
      <c r="P5510" s="17"/>
      <c r="Q5510" s="17"/>
    </row>
    <row r="5511" spans="2:17">
      <c r="B5511" s="17"/>
      <c r="C5511" s="16" t="str">
        <f>IFERROR(VLOOKUP(DATA!#REF!,DATA!#REF!,1,FALSE),"")</f>
        <v/>
      </c>
      <c r="D5511" s="16" t="str">
        <f>IFERROR(VLOOKUP(C5511,DATA!#REF!,2,FALSE),"")</f>
        <v/>
      </c>
      <c r="I5511" s="17"/>
      <c r="J5511" s="17"/>
      <c r="P5511" s="17"/>
      <c r="Q5511" s="17"/>
    </row>
    <row r="5512" spans="2:17">
      <c r="B5512" s="17"/>
      <c r="C5512" s="16" t="str">
        <f>IFERROR(VLOOKUP(DATA!#REF!,DATA!#REF!,1,FALSE),"")</f>
        <v/>
      </c>
      <c r="D5512" s="16" t="str">
        <f>IFERROR(VLOOKUP(C5512,DATA!#REF!,2,FALSE),"")</f>
        <v/>
      </c>
      <c r="I5512" s="17"/>
      <c r="J5512" s="17"/>
      <c r="P5512" s="17"/>
      <c r="Q5512" s="17"/>
    </row>
    <row r="5513" spans="2:17">
      <c r="B5513" s="17"/>
      <c r="C5513" s="16" t="str">
        <f>IFERROR(VLOOKUP(DATA!#REF!,DATA!#REF!,1,FALSE),"")</f>
        <v/>
      </c>
      <c r="D5513" s="16" t="str">
        <f>IFERROR(VLOOKUP(C5513,DATA!#REF!,2,FALSE),"")</f>
        <v/>
      </c>
      <c r="I5513" s="17"/>
      <c r="J5513" s="17"/>
      <c r="P5513" s="17"/>
      <c r="Q5513" s="17"/>
    </row>
    <row r="5514" spans="2:17">
      <c r="B5514" s="17"/>
      <c r="C5514" s="16" t="str">
        <f>IFERROR(VLOOKUP(DATA!#REF!,DATA!#REF!,1,FALSE),"")</f>
        <v/>
      </c>
      <c r="D5514" s="16" t="str">
        <f>IFERROR(VLOOKUP(C5514,DATA!#REF!,2,FALSE),"")</f>
        <v/>
      </c>
      <c r="I5514" s="17"/>
      <c r="J5514" s="17"/>
      <c r="P5514" s="17"/>
      <c r="Q5514" s="17"/>
    </row>
    <row r="5515" spans="2:17">
      <c r="B5515" s="17"/>
      <c r="C5515" s="16" t="str">
        <f>IFERROR(VLOOKUP(DATA!#REF!,DATA!#REF!,1,FALSE),"")</f>
        <v/>
      </c>
      <c r="D5515" s="16" t="str">
        <f>IFERROR(VLOOKUP(C5515,DATA!#REF!,2,FALSE),"")</f>
        <v/>
      </c>
      <c r="I5515" s="17"/>
      <c r="J5515" s="17"/>
      <c r="P5515" s="17"/>
      <c r="Q5515" s="17"/>
    </row>
    <row r="5516" spans="2:17">
      <c r="B5516" s="17"/>
      <c r="C5516" s="16" t="str">
        <f>IFERROR(VLOOKUP(DATA!#REF!,DATA!#REF!,1,FALSE),"")</f>
        <v/>
      </c>
      <c r="D5516" s="16" t="str">
        <f>IFERROR(VLOOKUP(C5516,DATA!#REF!,2,FALSE),"")</f>
        <v/>
      </c>
      <c r="I5516" s="17"/>
      <c r="J5516" s="17"/>
      <c r="P5516" s="17"/>
      <c r="Q5516" s="17"/>
    </row>
    <row r="5517" spans="2:17">
      <c r="B5517" s="17"/>
      <c r="C5517" s="16" t="str">
        <f>IFERROR(VLOOKUP(DATA!#REF!,DATA!#REF!,1,FALSE),"")</f>
        <v/>
      </c>
      <c r="D5517" s="16" t="str">
        <f>IFERROR(VLOOKUP(C5517,DATA!#REF!,2,FALSE),"")</f>
        <v/>
      </c>
      <c r="I5517" s="17"/>
      <c r="J5517" s="17"/>
      <c r="P5517" s="17"/>
      <c r="Q5517" s="17"/>
    </row>
    <row r="5518" spans="2:17">
      <c r="B5518" s="17"/>
      <c r="C5518" s="16" t="str">
        <f>IFERROR(VLOOKUP(DATA!#REF!,DATA!#REF!,1,FALSE),"")</f>
        <v/>
      </c>
      <c r="D5518" s="16" t="str">
        <f>IFERROR(VLOOKUP(C5518,DATA!#REF!,2,FALSE),"")</f>
        <v/>
      </c>
      <c r="I5518" s="17"/>
      <c r="J5518" s="17"/>
      <c r="P5518" s="17"/>
      <c r="Q5518" s="17"/>
    </row>
    <row r="5519" spans="2:17">
      <c r="B5519" s="17"/>
      <c r="C5519" s="16" t="str">
        <f>IFERROR(VLOOKUP(DATA!#REF!,DATA!#REF!,1,FALSE),"")</f>
        <v/>
      </c>
      <c r="D5519" s="16" t="str">
        <f>IFERROR(VLOOKUP(C5519,DATA!#REF!,2,FALSE),"")</f>
        <v/>
      </c>
      <c r="I5519" s="17"/>
      <c r="J5519" s="17"/>
      <c r="P5519" s="17"/>
      <c r="Q5519" s="17"/>
    </row>
    <row r="5520" spans="2:17">
      <c r="B5520" s="17"/>
      <c r="C5520" s="16" t="str">
        <f>IFERROR(VLOOKUP(DATA!#REF!,DATA!#REF!,1,FALSE),"")</f>
        <v/>
      </c>
      <c r="D5520" s="16" t="str">
        <f>IFERROR(VLOOKUP(C5520,DATA!#REF!,2,FALSE),"")</f>
        <v/>
      </c>
      <c r="I5520" s="17"/>
      <c r="J5520" s="17"/>
      <c r="P5520" s="17"/>
      <c r="Q5520" s="17"/>
    </row>
    <row r="5521" spans="2:17">
      <c r="B5521" s="17"/>
      <c r="C5521" s="16" t="str">
        <f>IFERROR(VLOOKUP(DATA!#REF!,DATA!#REF!,1,FALSE),"")</f>
        <v/>
      </c>
      <c r="D5521" s="16" t="str">
        <f>IFERROR(VLOOKUP(C5521,DATA!#REF!,2,FALSE),"")</f>
        <v/>
      </c>
      <c r="I5521" s="17"/>
      <c r="J5521" s="17"/>
      <c r="P5521" s="17"/>
      <c r="Q5521" s="17"/>
    </row>
    <row r="5522" spans="2:17">
      <c r="B5522" s="17"/>
      <c r="C5522" s="16" t="str">
        <f>IFERROR(VLOOKUP(DATA!#REF!,DATA!#REF!,1,FALSE),"")</f>
        <v/>
      </c>
      <c r="D5522" s="16" t="str">
        <f>IFERROR(VLOOKUP(C5522,DATA!#REF!,2,FALSE),"")</f>
        <v/>
      </c>
      <c r="I5522" s="17"/>
      <c r="J5522" s="17"/>
      <c r="P5522" s="17"/>
      <c r="Q5522" s="17"/>
    </row>
    <row r="5523" spans="2:17">
      <c r="B5523" s="17"/>
      <c r="C5523" s="16" t="str">
        <f>IFERROR(VLOOKUP(DATA!#REF!,DATA!#REF!,1,FALSE),"")</f>
        <v/>
      </c>
      <c r="D5523" s="16" t="str">
        <f>IFERROR(VLOOKUP(C5523,DATA!#REF!,2,FALSE),"")</f>
        <v/>
      </c>
      <c r="I5523" s="17"/>
      <c r="J5523" s="17"/>
      <c r="P5523" s="17"/>
      <c r="Q5523" s="17"/>
    </row>
    <row r="5524" spans="2:17">
      <c r="B5524" s="17"/>
      <c r="C5524" s="16" t="str">
        <f>IFERROR(VLOOKUP(DATA!#REF!,DATA!#REF!,1,FALSE),"")</f>
        <v/>
      </c>
      <c r="D5524" s="16" t="str">
        <f>IFERROR(VLOOKUP(C5524,DATA!#REF!,2,FALSE),"")</f>
        <v/>
      </c>
      <c r="I5524" s="17"/>
      <c r="J5524" s="17"/>
      <c r="P5524" s="17"/>
      <c r="Q5524" s="17"/>
    </row>
    <row r="5525" spans="2:17">
      <c r="B5525" s="17"/>
      <c r="C5525" s="16" t="str">
        <f>IFERROR(VLOOKUP(DATA!#REF!,DATA!#REF!,1,FALSE),"")</f>
        <v/>
      </c>
      <c r="D5525" s="16" t="str">
        <f>IFERROR(VLOOKUP(C5525,DATA!#REF!,2,FALSE),"")</f>
        <v/>
      </c>
      <c r="I5525" s="17"/>
      <c r="J5525" s="17"/>
      <c r="P5525" s="17"/>
      <c r="Q5525" s="17"/>
    </row>
    <row r="5526" spans="2:17">
      <c r="B5526" s="17"/>
      <c r="C5526" s="16" t="str">
        <f>IFERROR(VLOOKUP(DATA!#REF!,DATA!#REF!,1,FALSE),"")</f>
        <v/>
      </c>
      <c r="D5526" s="16" t="str">
        <f>IFERROR(VLOOKUP(C5526,DATA!#REF!,2,FALSE),"")</f>
        <v/>
      </c>
      <c r="I5526" s="17"/>
      <c r="J5526" s="17"/>
      <c r="P5526" s="17"/>
      <c r="Q5526" s="17"/>
    </row>
    <row r="5527" spans="2:17">
      <c r="B5527" s="17"/>
      <c r="C5527" s="16" t="str">
        <f>IFERROR(VLOOKUP(DATA!#REF!,DATA!#REF!,1,FALSE),"")</f>
        <v/>
      </c>
      <c r="D5527" s="16" t="str">
        <f>IFERROR(VLOOKUP(C5527,DATA!#REF!,2,FALSE),"")</f>
        <v/>
      </c>
      <c r="I5527" s="17"/>
      <c r="J5527" s="17"/>
      <c r="P5527" s="17"/>
      <c r="Q5527" s="17"/>
    </row>
    <row r="5528" spans="2:17">
      <c r="B5528" s="17"/>
      <c r="C5528" s="16" t="str">
        <f>IFERROR(VLOOKUP(DATA!#REF!,DATA!#REF!,1,FALSE),"")</f>
        <v/>
      </c>
      <c r="D5528" s="16" t="str">
        <f>IFERROR(VLOOKUP(C5528,DATA!#REF!,2,FALSE),"")</f>
        <v/>
      </c>
      <c r="I5528" s="17"/>
      <c r="J5528" s="17"/>
      <c r="P5528" s="17"/>
      <c r="Q5528" s="17"/>
    </row>
    <row r="5529" spans="2:17">
      <c r="B5529" s="17"/>
      <c r="C5529" s="16" t="str">
        <f>IFERROR(VLOOKUP(DATA!#REF!,DATA!#REF!,1,FALSE),"")</f>
        <v/>
      </c>
      <c r="D5529" s="16" t="str">
        <f>IFERROR(VLOOKUP(C5529,DATA!#REF!,2,FALSE),"")</f>
        <v/>
      </c>
      <c r="I5529" s="17"/>
      <c r="J5529" s="17"/>
      <c r="P5529" s="17"/>
      <c r="Q5529" s="17"/>
    </row>
    <row r="5530" spans="2:17">
      <c r="B5530" s="17"/>
      <c r="C5530" s="16" t="str">
        <f>IFERROR(VLOOKUP(DATA!#REF!,DATA!#REF!,1,FALSE),"")</f>
        <v/>
      </c>
      <c r="D5530" s="16" t="str">
        <f>IFERROR(VLOOKUP(C5530,DATA!#REF!,2,FALSE),"")</f>
        <v/>
      </c>
      <c r="I5530" s="17"/>
      <c r="J5530" s="17"/>
      <c r="P5530" s="17"/>
      <c r="Q5530" s="17"/>
    </row>
    <row r="5531" spans="2:17">
      <c r="B5531" s="17"/>
      <c r="C5531" s="16" t="str">
        <f>IFERROR(VLOOKUP(DATA!#REF!,DATA!#REF!,1,FALSE),"")</f>
        <v/>
      </c>
      <c r="D5531" s="16" t="str">
        <f>IFERROR(VLOOKUP(C5531,DATA!#REF!,2,FALSE),"")</f>
        <v/>
      </c>
      <c r="I5531" s="17"/>
      <c r="J5531" s="17"/>
      <c r="P5531" s="17"/>
      <c r="Q5531" s="17"/>
    </row>
    <row r="5532" spans="2:17">
      <c r="B5532" s="17"/>
      <c r="C5532" s="16" t="str">
        <f>IFERROR(VLOOKUP(DATA!#REF!,DATA!#REF!,1,FALSE),"")</f>
        <v/>
      </c>
      <c r="D5532" s="16" t="str">
        <f>IFERROR(VLOOKUP(C5532,DATA!#REF!,2,FALSE),"")</f>
        <v/>
      </c>
      <c r="I5532" s="17"/>
      <c r="J5532" s="17"/>
      <c r="P5532" s="17"/>
      <c r="Q5532" s="17"/>
    </row>
    <row r="5533" spans="2:17">
      <c r="B5533" s="17"/>
      <c r="C5533" s="16" t="str">
        <f>IFERROR(VLOOKUP(DATA!#REF!,DATA!#REF!,1,FALSE),"")</f>
        <v/>
      </c>
      <c r="D5533" s="16" t="str">
        <f>IFERROR(VLOOKUP(C5533,DATA!#REF!,2,FALSE),"")</f>
        <v/>
      </c>
      <c r="I5533" s="17"/>
      <c r="J5533" s="17"/>
      <c r="P5533" s="17"/>
      <c r="Q5533" s="17"/>
    </row>
    <row r="5534" spans="2:17">
      <c r="B5534" s="17"/>
      <c r="C5534" s="16" t="str">
        <f>IFERROR(VLOOKUP(DATA!#REF!,DATA!#REF!,1,FALSE),"")</f>
        <v/>
      </c>
      <c r="D5534" s="16" t="str">
        <f>IFERROR(VLOOKUP(C5534,DATA!#REF!,2,FALSE),"")</f>
        <v/>
      </c>
      <c r="I5534" s="17"/>
      <c r="J5534" s="17"/>
      <c r="P5534" s="17"/>
      <c r="Q5534" s="17"/>
    </row>
    <row r="5535" spans="2:17">
      <c r="B5535" s="17"/>
      <c r="C5535" s="16" t="str">
        <f>IFERROR(VLOOKUP(DATA!#REF!,DATA!#REF!,1,FALSE),"")</f>
        <v/>
      </c>
      <c r="D5535" s="16" t="str">
        <f>IFERROR(VLOOKUP(C5535,DATA!#REF!,2,FALSE),"")</f>
        <v/>
      </c>
      <c r="I5535" s="17"/>
      <c r="J5535" s="17"/>
      <c r="P5535" s="17"/>
      <c r="Q5535" s="17"/>
    </row>
    <row r="5536" spans="2:17">
      <c r="B5536" s="17"/>
      <c r="C5536" s="16" t="str">
        <f>IFERROR(VLOOKUP(DATA!#REF!,DATA!#REF!,1,FALSE),"")</f>
        <v/>
      </c>
      <c r="D5536" s="16" t="str">
        <f>IFERROR(VLOOKUP(C5536,DATA!#REF!,2,FALSE),"")</f>
        <v/>
      </c>
      <c r="I5536" s="17"/>
      <c r="J5536" s="17"/>
      <c r="P5536" s="17"/>
      <c r="Q5536" s="17"/>
    </row>
    <row r="5537" spans="2:17">
      <c r="B5537" s="17"/>
      <c r="C5537" s="16" t="str">
        <f>IFERROR(VLOOKUP(DATA!#REF!,DATA!#REF!,1,FALSE),"")</f>
        <v/>
      </c>
      <c r="D5537" s="16" t="str">
        <f>IFERROR(VLOOKUP(C5537,DATA!#REF!,2,FALSE),"")</f>
        <v/>
      </c>
      <c r="I5537" s="17"/>
      <c r="J5537" s="17"/>
      <c r="P5537" s="17"/>
      <c r="Q5537" s="17"/>
    </row>
    <row r="5538" spans="2:17">
      <c r="B5538" s="17"/>
      <c r="C5538" s="16" t="str">
        <f>IFERROR(VLOOKUP(DATA!#REF!,DATA!#REF!,1,FALSE),"")</f>
        <v/>
      </c>
      <c r="D5538" s="16" t="str">
        <f>IFERROR(VLOOKUP(C5538,DATA!#REF!,2,FALSE),"")</f>
        <v/>
      </c>
      <c r="I5538" s="17"/>
      <c r="J5538" s="17"/>
      <c r="P5538" s="17"/>
      <c r="Q5538" s="17"/>
    </row>
    <row r="5539" spans="2:17">
      <c r="B5539" s="17"/>
      <c r="C5539" s="16" t="str">
        <f>IFERROR(VLOOKUP(DATA!#REF!,DATA!#REF!,1,FALSE),"")</f>
        <v/>
      </c>
      <c r="D5539" s="16" t="str">
        <f>IFERROR(VLOOKUP(C5539,DATA!#REF!,2,FALSE),"")</f>
        <v/>
      </c>
      <c r="I5539" s="17"/>
      <c r="J5539" s="17"/>
      <c r="P5539" s="17"/>
      <c r="Q5539" s="17"/>
    </row>
    <row r="5540" spans="2:17">
      <c r="B5540" s="17"/>
      <c r="C5540" s="16" t="str">
        <f>IFERROR(VLOOKUP(DATA!#REF!,DATA!#REF!,1,FALSE),"")</f>
        <v/>
      </c>
      <c r="D5540" s="16" t="str">
        <f>IFERROR(VLOOKUP(C5540,DATA!#REF!,2,FALSE),"")</f>
        <v/>
      </c>
      <c r="I5540" s="17"/>
      <c r="J5540" s="17"/>
      <c r="P5540" s="17"/>
      <c r="Q5540" s="17"/>
    </row>
    <row r="5541" spans="2:17">
      <c r="B5541" s="17"/>
      <c r="C5541" s="16" t="str">
        <f>IFERROR(VLOOKUP(DATA!#REF!,DATA!#REF!,1,FALSE),"")</f>
        <v/>
      </c>
      <c r="D5541" s="16" t="str">
        <f>IFERROR(VLOOKUP(C5541,DATA!#REF!,2,FALSE),"")</f>
        <v/>
      </c>
      <c r="I5541" s="17"/>
      <c r="J5541" s="17"/>
      <c r="P5541" s="17"/>
      <c r="Q5541" s="17"/>
    </row>
    <row r="5542" spans="2:17">
      <c r="B5542" s="17"/>
      <c r="C5542" s="16" t="str">
        <f>IFERROR(VLOOKUP(DATA!#REF!,DATA!#REF!,1,FALSE),"")</f>
        <v/>
      </c>
      <c r="D5542" s="16" t="str">
        <f>IFERROR(VLOOKUP(C5542,DATA!#REF!,2,FALSE),"")</f>
        <v/>
      </c>
      <c r="I5542" s="17"/>
      <c r="J5542" s="17"/>
      <c r="P5542" s="17"/>
      <c r="Q5542" s="17"/>
    </row>
    <row r="5543" spans="2:17">
      <c r="B5543" s="17"/>
      <c r="C5543" s="16" t="str">
        <f>IFERROR(VLOOKUP(DATA!#REF!,DATA!#REF!,1,FALSE),"")</f>
        <v/>
      </c>
      <c r="D5543" s="16" t="str">
        <f>IFERROR(VLOOKUP(C5543,DATA!#REF!,2,FALSE),"")</f>
        <v/>
      </c>
      <c r="I5543" s="17"/>
      <c r="J5543" s="17"/>
      <c r="P5543" s="17"/>
      <c r="Q5543" s="17"/>
    </row>
    <row r="5544" spans="2:17">
      <c r="B5544" s="17"/>
      <c r="C5544" s="16" t="str">
        <f>IFERROR(VLOOKUP(DATA!#REF!,DATA!#REF!,1,FALSE),"")</f>
        <v/>
      </c>
      <c r="D5544" s="16" t="str">
        <f>IFERROR(VLOOKUP(C5544,DATA!#REF!,2,FALSE),"")</f>
        <v/>
      </c>
      <c r="I5544" s="17"/>
      <c r="J5544" s="17"/>
      <c r="P5544" s="17"/>
      <c r="Q5544" s="17"/>
    </row>
    <row r="5545" spans="2:17">
      <c r="B5545" s="17"/>
      <c r="C5545" s="16" t="str">
        <f>IFERROR(VLOOKUP(DATA!#REF!,DATA!#REF!,1,FALSE),"")</f>
        <v/>
      </c>
      <c r="D5545" s="16" t="str">
        <f>IFERROR(VLOOKUP(C5545,DATA!#REF!,2,FALSE),"")</f>
        <v/>
      </c>
      <c r="I5545" s="17"/>
      <c r="J5545" s="17"/>
      <c r="P5545" s="17"/>
      <c r="Q5545" s="17"/>
    </row>
    <row r="5546" spans="2:17">
      <c r="B5546" s="17"/>
      <c r="C5546" s="16" t="str">
        <f>IFERROR(VLOOKUP(DATA!#REF!,DATA!#REF!,1,FALSE),"")</f>
        <v/>
      </c>
      <c r="D5546" s="16" t="str">
        <f>IFERROR(VLOOKUP(C5546,DATA!#REF!,2,FALSE),"")</f>
        <v/>
      </c>
      <c r="I5546" s="17"/>
      <c r="J5546" s="17"/>
      <c r="P5546" s="17"/>
      <c r="Q5546" s="17"/>
    </row>
    <row r="5547" spans="2:17">
      <c r="B5547" s="17"/>
      <c r="C5547" s="16" t="str">
        <f>IFERROR(VLOOKUP(DATA!#REF!,DATA!#REF!,1,FALSE),"")</f>
        <v/>
      </c>
      <c r="D5547" s="16" t="str">
        <f>IFERROR(VLOOKUP(C5547,DATA!#REF!,2,FALSE),"")</f>
        <v/>
      </c>
      <c r="I5547" s="17"/>
      <c r="J5547" s="17"/>
      <c r="P5547" s="17"/>
      <c r="Q5547" s="17"/>
    </row>
    <row r="5548" spans="2:17">
      <c r="B5548" s="17"/>
      <c r="C5548" s="16" t="str">
        <f>IFERROR(VLOOKUP(DATA!#REF!,DATA!#REF!,1,FALSE),"")</f>
        <v/>
      </c>
      <c r="D5548" s="16" t="str">
        <f>IFERROR(VLOOKUP(C5548,DATA!#REF!,2,FALSE),"")</f>
        <v/>
      </c>
      <c r="I5548" s="17"/>
      <c r="J5548" s="17"/>
      <c r="P5548" s="17"/>
      <c r="Q5548" s="17"/>
    </row>
    <row r="5549" spans="2:17">
      <c r="B5549" s="17"/>
      <c r="C5549" s="16" t="str">
        <f>IFERROR(VLOOKUP(DATA!#REF!,DATA!#REF!,1,FALSE),"")</f>
        <v/>
      </c>
      <c r="D5549" s="16" t="str">
        <f>IFERROR(VLOOKUP(C5549,DATA!#REF!,2,FALSE),"")</f>
        <v/>
      </c>
      <c r="I5549" s="17"/>
      <c r="J5549" s="17"/>
      <c r="P5549" s="17"/>
      <c r="Q5549" s="17"/>
    </row>
    <row r="5550" spans="2:17">
      <c r="B5550" s="17"/>
      <c r="C5550" s="16" t="str">
        <f>IFERROR(VLOOKUP(DATA!#REF!,DATA!#REF!,1,FALSE),"")</f>
        <v/>
      </c>
      <c r="D5550" s="16" t="str">
        <f>IFERROR(VLOOKUP(C5550,DATA!#REF!,2,FALSE),"")</f>
        <v/>
      </c>
      <c r="I5550" s="17"/>
      <c r="J5550" s="17"/>
      <c r="P5550" s="17"/>
      <c r="Q5550" s="17"/>
    </row>
    <row r="5551" spans="2:17">
      <c r="B5551" s="17"/>
      <c r="C5551" s="16" t="str">
        <f>IFERROR(VLOOKUP(DATA!#REF!,DATA!#REF!,1,FALSE),"")</f>
        <v/>
      </c>
      <c r="D5551" s="16" t="str">
        <f>IFERROR(VLOOKUP(C5551,DATA!#REF!,2,FALSE),"")</f>
        <v/>
      </c>
      <c r="I5551" s="17"/>
      <c r="J5551" s="17"/>
      <c r="P5551" s="17"/>
      <c r="Q5551" s="17"/>
    </row>
    <row r="5552" spans="2:17">
      <c r="B5552" s="17"/>
      <c r="C5552" s="16" t="str">
        <f>IFERROR(VLOOKUP(DATA!#REF!,DATA!#REF!,1,FALSE),"")</f>
        <v/>
      </c>
      <c r="D5552" s="16" t="str">
        <f>IFERROR(VLOOKUP(C5552,DATA!#REF!,2,FALSE),"")</f>
        <v/>
      </c>
      <c r="I5552" s="17"/>
      <c r="J5552" s="17"/>
      <c r="P5552" s="17"/>
      <c r="Q5552" s="17"/>
    </row>
    <row r="5553" spans="2:17">
      <c r="B5553" s="17"/>
      <c r="C5553" s="16" t="str">
        <f>IFERROR(VLOOKUP(DATA!#REF!,DATA!#REF!,1,FALSE),"")</f>
        <v/>
      </c>
      <c r="D5553" s="16" t="str">
        <f>IFERROR(VLOOKUP(C5553,DATA!#REF!,2,FALSE),"")</f>
        <v/>
      </c>
      <c r="I5553" s="17"/>
      <c r="J5553" s="17"/>
      <c r="P5553" s="17"/>
      <c r="Q5553" s="17"/>
    </row>
    <row r="5554" spans="2:17">
      <c r="B5554" s="17"/>
      <c r="C5554" s="16" t="str">
        <f>IFERROR(VLOOKUP(DATA!#REF!,DATA!#REF!,1,FALSE),"")</f>
        <v/>
      </c>
      <c r="D5554" s="16" t="str">
        <f>IFERROR(VLOOKUP(C5554,DATA!#REF!,2,FALSE),"")</f>
        <v/>
      </c>
      <c r="I5554" s="17"/>
      <c r="J5554" s="17"/>
      <c r="P5554" s="17"/>
      <c r="Q5554" s="17"/>
    </row>
    <row r="5555" spans="2:17">
      <c r="B5555" s="17"/>
      <c r="C5555" s="16" t="str">
        <f>IFERROR(VLOOKUP(DATA!#REF!,DATA!#REF!,1,FALSE),"")</f>
        <v/>
      </c>
      <c r="D5555" s="16" t="str">
        <f>IFERROR(VLOOKUP(C5555,DATA!#REF!,2,FALSE),"")</f>
        <v/>
      </c>
      <c r="I5555" s="17"/>
      <c r="J5555" s="17"/>
      <c r="P5555" s="17"/>
      <c r="Q5555" s="17"/>
    </row>
    <row r="5556" spans="2:17">
      <c r="B5556" s="17"/>
      <c r="C5556" s="16" t="str">
        <f>IFERROR(VLOOKUP(DATA!#REF!,DATA!#REF!,1,FALSE),"")</f>
        <v/>
      </c>
      <c r="D5556" s="16" t="str">
        <f>IFERROR(VLOOKUP(C5556,DATA!#REF!,2,FALSE),"")</f>
        <v/>
      </c>
      <c r="I5556" s="17"/>
      <c r="J5556" s="17"/>
      <c r="P5556" s="17"/>
      <c r="Q5556" s="17"/>
    </row>
    <row r="5557" spans="2:17">
      <c r="B5557" s="17"/>
      <c r="C5557" s="16" t="str">
        <f>IFERROR(VLOOKUP(DATA!#REF!,DATA!#REF!,1,FALSE),"")</f>
        <v/>
      </c>
      <c r="D5557" s="16" t="str">
        <f>IFERROR(VLOOKUP(C5557,DATA!#REF!,2,FALSE),"")</f>
        <v/>
      </c>
      <c r="I5557" s="17"/>
      <c r="J5557" s="17"/>
      <c r="P5557" s="17"/>
      <c r="Q5557" s="17"/>
    </row>
    <row r="5558" spans="2:17">
      <c r="B5558" s="17"/>
      <c r="C5558" s="16" t="str">
        <f>IFERROR(VLOOKUP(DATA!#REF!,DATA!#REF!,1,FALSE),"")</f>
        <v/>
      </c>
      <c r="D5558" s="16" t="str">
        <f>IFERROR(VLOOKUP(C5558,DATA!#REF!,2,FALSE),"")</f>
        <v/>
      </c>
      <c r="I5558" s="17"/>
      <c r="J5558" s="17"/>
      <c r="P5558" s="17"/>
      <c r="Q5558" s="17"/>
    </row>
    <row r="5559" spans="2:17">
      <c r="B5559" s="17"/>
      <c r="C5559" s="16" t="str">
        <f>IFERROR(VLOOKUP(DATA!#REF!,DATA!#REF!,1,FALSE),"")</f>
        <v/>
      </c>
      <c r="D5559" s="16" t="str">
        <f>IFERROR(VLOOKUP(C5559,DATA!#REF!,2,FALSE),"")</f>
        <v/>
      </c>
      <c r="I5559" s="17"/>
      <c r="J5559" s="17"/>
      <c r="P5559" s="17"/>
      <c r="Q5559" s="17"/>
    </row>
    <row r="5560" spans="2:17">
      <c r="B5560" s="17"/>
      <c r="C5560" s="16" t="str">
        <f>IFERROR(VLOOKUP(DATA!#REF!,DATA!#REF!,1,FALSE),"")</f>
        <v/>
      </c>
      <c r="D5560" s="16" t="str">
        <f>IFERROR(VLOOKUP(C5560,DATA!#REF!,2,FALSE),"")</f>
        <v/>
      </c>
      <c r="I5560" s="17"/>
      <c r="J5560" s="17"/>
      <c r="P5560" s="17"/>
      <c r="Q5560" s="17"/>
    </row>
    <row r="5561" spans="2:17">
      <c r="B5561" s="17"/>
      <c r="C5561" s="16" t="str">
        <f>IFERROR(VLOOKUP(DATA!#REF!,DATA!#REF!,1,FALSE),"")</f>
        <v/>
      </c>
      <c r="D5561" s="16" t="str">
        <f>IFERROR(VLOOKUP(C5561,DATA!#REF!,2,FALSE),"")</f>
        <v/>
      </c>
      <c r="I5561" s="17"/>
      <c r="J5561" s="17"/>
      <c r="P5561" s="17"/>
      <c r="Q5561" s="17"/>
    </row>
    <row r="5562" spans="2:17">
      <c r="B5562" s="17"/>
      <c r="C5562" s="16" t="str">
        <f>IFERROR(VLOOKUP(DATA!#REF!,DATA!#REF!,1,FALSE),"")</f>
        <v/>
      </c>
      <c r="D5562" s="16" t="str">
        <f>IFERROR(VLOOKUP(C5562,DATA!#REF!,2,FALSE),"")</f>
        <v/>
      </c>
      <c r="I5562" s="17"/>
      <c r="J5562" s="17"/>
      <c r="P5562" s="17"/>
      <c r="Q5562" s="17"/>
    </row>
    <row r="5563" spans="2:17">
      <c r="B5563" s="17"/>
      <c r="C5563" s="16" t="str">
        <f>IFERROR(VLOOKUP(DATA!#REF!,DATA!#REF!,1,FALSE),"")</f>
        <v/>
      </c>
      <c r="D5563" s="16" t="str">
        <f>IFERROR(VLOOKUP(C5563,DATA!#REF!,2,FALSE),"")</f>
        <v/>
      </c>
      <c r="I5563" s="17"/>
      <c r="J5563" s="17"/>
      <c r="P5563" s="17"/>
      <c r="Q5563" s="17"/>
    </row>
    <row r="5564" spans="2:17">
      <c r="B5564" s="17"/>
      <c r="C5564" s="16" t="str">
        <f>IFERROR(VLOOKUP(DATA!#REF!,DATA!#REF!,1,FALSE),"")</f>
        <v/>
      </c>
      <c r="D5564" s="16" t="str">
        <f>IFERROR(VLOOKUP(C5564,DATA!#REF!,2,FALSE),"")</f>
        <v/>
      </c>
      <c r="I5564" s="17"/>
      <c r="J5564" s="17"/>
      <c r="P5564" s="17"/>
      <c r="Q5564" s="17"/>
    </row>
    <row r="5565" spans="2:17">
      <c r="B5565" s="17"/>
      <c r="C5565" s="16" t="str">
        <f>IFERROR(VLOOKUP(DATA!#REF!,DATA!#REF!,1,FALSE),"")</f>
        <v/>
      </c>
      <c r="D5565" s="16" t="str">
        <f>IFERROR(VLOOKUP(C5565,DATA!#REF!,2,FALSE),"")</f>
        <v/>
      </c>
      <c r="I5565" s="17"/>
      <c r="J5565" s="17"/>
      <c r="P5565" s="17"/>
      <c r="Q5565" s="17"/>
    </row>
    <row r="5566" spans="2:17">
      <c r="B5566" s="17"/>
      <c r="C5566" s="16" t="str">
        <f>IFERROR(VLOOKUP(DATA!#REF!,DATA!#REF!,1,FALSE),"")</f>
        <v/>
      </c>
      <c r="D5566" s="16" t="str">
        <f>IFERROR(VLOOKUP(C5566,DATA!#REF!,2,FALSE),"")</f>
        <v/>
      </c>
      <c r="I5566" s="17"/>
      <c r="J5566" s="17"/>
      <c r="P5566" s="17"/>
      <c r="Q5566" s="17"/>
    </row>
    <row r="5567" spans="2:17">
      <c r="B5567" s="17"/>
      <c r="C5567" s="16" t="str">
        <f>IFERROR(VLOOKUP(DATA!#REF!,DATA!#REF!,1,FALSE),"")</f>
        <v/>
      </c>
      <c r="D5567" s="16" t="str">
        <f>IFERROR(VLOOKUP(C5567,DATA!#REF!,2,FALSE),"")</f>
        <v/>
      </c>
      <c r="I5567" s="17"/>
      <c r="J5567" s="17"/>
      <c r="P5567" s="17"/>
      <c r="Q5567" s="17"/>
    </row>
    <row r="5568" spans="2:17">
      <c r="B5568" s="17"/>
      <c r="C5568" s="16" t="str">
        <f>IFERROR(VLOOKUP(DATA!#REF!,DATA!#REF!,1,FALSE),"")</f>
        <v/>
      </c>
      <c r="D5568" s="16" t="str">
        <f>IFERROR(VLOOKUP(C5568,DATA!#REF!,2,FALSE),"")</f>
        <v/>
      </c>
      <c r="I5568" s="17"/>
      <c r="J5568" s="17"/>
      <c r="P5568" s="17"/>
      <c r="Q5568" s="17"/>
    </row>
    <row r="5569" spans="2:17">
      <c r="B5569" s="17"/>
      <c r="C5569" s="16" t="str">
        <f>IFERROR(VLOOKUP(DATA!#REF!,DATA!#REF!,1,FALSE),"")</f>
        <v/>
      </c>
      <c r="D5569" s="16" t="str">
        <f>IFERROR(VLOOKUP(C5569,DATA!#REF!,2,FALSE),"")</f>
        <v/>
      </c>
      <c r="I5569" s="17"/>
      <c r="J5569" s="17"/>
      <c r="P5569" s="17"/>
      <c r="Q5569" s="17"/>
    </row>
    <row r="5570" spans="2:17">
      <c r="B5570" s="17"/>
      <c r="C5570" s="16" t="str">
        <f>IFERROR(VLOOKUP(DATA!#REF!,DATA!#REF!,1,FALSE),"")</f>
        <v/>
      </c>
      <c r="D5570" s="16" t="str">
        <f>IFERROR(VLOOKUP(C5570,DATA!#REF!,2,FALSE),"")</f>
        <v/>
      </c>
      <c r="I5570" s="17"/>
      <c r="J5570" s="17"/>
      <c r="P5570" s="17"/>
      <c r="Q5570" s="17"/>
    </row>
    <row r="5571" spans="2:17">
      <c r="B5571" s="17"/>
      <c r="C5571" s="16" t="str">
        <f>IFERROR(VLOOKUP(DATA!#REF!,DATA!#REF!,1,FALSE),"")</f>
        <v/>
      </c>
      <c r="D5571" s="16" t="str">
        <f>IFERROR(VLOOKUP(C5571,DATA!#REF!,2,FALSE),"")</f>
        <v/>
      </c>
      <c r="I5571" s="17"/>
      <c r="J5571" s="17"/>
      <c r="P5571" s="17"/>
      <c r="Q5571" s="17"/>
    </row>
    <row r="5572" spans="2:17">
      <c r="B5572" s="17"/>
      <c r="C5572" s="16" t="str">
        <f>IFERROR(VLOOKUP(DATA!#REF!,DATA!#REF!,1,FALSE),"")</f>
        <v/>
      </c>
      <c r="D5572" s="16" t="str">
        <f>IFERROR(VLOOKUP(C5572,DATA!#REF!,2,FALSE),"")</f>
        <v/>
      </c>
      <c r="I5572" s="17"/>
      <c r="J5572" s="17"/>
      <c r="P5572" s="17"/>
      <c r="Q5572" s="17"/>
    </row>
    <row r="5573" spans="2:17">
      <c r="B5573" s="17"/>
      <c r="C5573" s="16" t="str">
        <f>IFERROR(VLOOKUP(DATA!#REF!,DATA!#REF!,1,FALSE),"")</f>
        <v/>
      </c>
      <c r="D5573" s="16" t="str">
        <f>IFERROR(VLOOKUP(C5573,DATA!#REF!,2,FALSE),"")</f>
        <v/>
      </c>
      <c r="I5573" s="17"/>
      <c r="J5573" s="17"/>
      <c r="P5573" s="17"/>
      <c r="Q5573" s="17"/>
    </row>
    <row r="5574" spans="2:17">
      <c r="B5574" s="17"/>
      <c r="C5574" s="16" t="str">
        <f>IFERROR(VLOOKUP(DATA!#REF!,DATA!#REF!,1,FALSE),"")</f>
        <v/>
      </c>
      <c r="D5574" s="16" t="str">
        <f>IFERROR(VLOOKUP(C5574,DATA!#REF!,2,FALSE),"")</f>
        <v/>
      </c>
      <c r="I5574" s="17"/>
      <c r="J5574" s="17"/>
      <c r="P5574" s="17"/>
      <c r="Q5574" s="17"/>
    </row>
    <row r="5575" spans="2:17">
      <c r="B5575" s="17"/>
      <c r="C5575" s="16" t="str">
        <f>IFERROR(VLOOKUP(DATA!#REF!,DATA!#REF!,1,FALSE),"")</f>
        <v/>
      </c>
      <c r="D5575" s="16" t="str">
        <f>IFERROR(VLOOKUP(C5575,DATA!#REF!,2,FALSE),"")</f>
        <v/>
      </c>
      <c r="I5575" s="17"/>
      <c r="J5575" s="17"/>
      <c r="P5575" s="17"/>
      <c r="Q5575" s="17"/>
    </row>
    <row r="5576" spans="2:17">
      <c r="B5576" s="17"/>
      <c r="C5576" s="16" t="str">
        <f>IFERROR(VLOOKUP(DATA!#REF!,DATA!#REF!,1,FALSE),"")</f>
        <v/>
      </c>
      <c r="D5576" s="16" t="str">
        <f>IFERROR(VLOOKUP(C5576,DATA!#REF!,2,FALSE),"")</f>
        <v/>
      </c>
      <c r="I5576" s="17"/>
      <c r="J5576" s="17"/>
      <c r="P5576" s="17"/>
      <c r="Q5576" s="17"/>
    </row>
    <row r="5577" spans="2:17">
      <c r="B5577" s="17"/>
      <c r="C5577" s="16" t="str">
        <f>IFERROR(VLOOKUP(DATA!#REF!,DATA!#REF!,1,FALSE),"")</f>
        <v/>
      </c>
      <c r="D5577" s="16" t="str">
        <f>IFERROR(VLOOKUP(C5577,DATA!#REF!,2,FALSE),"")</f>
        <v/>
      </c>
      <c r="I5577" s="17"/>
      <c r="J5577" s="17"/>
      <c r="P5577" s="17"/>
      <c r="Q5577" s="17"/>
    </row>
    <row r="5578" spans="2:17">
      <c r="B5578" s="17"/>
      <c r="C5578" s="16" t="str">
        <f>IFERROR(VLOOKUP(DATA!#REF!,DATA!#REF!,1,FALSE),"")</f>
        <v/>
      </c>
      <c r="D5578" s="16" t="str">
        <f>IFERROR(VLOOKUP(C5578,DATA!#REF!,2,FALSE),"")</f>
        <v/>
      </c>
      <c r="I5578" s="17"/>
      <c r="J5578" s="17"/>
      <c r="P5578" s="17"/>
      <c r="Q5578" s="17"/>
    </row>
    <row r="5579" spans="2:17">
      <c r="B5579" s="17"/>
      <c r="C5579" s="16" t="str">
        <f>IFERROR(VLOOKUP(DATA!#REF!,DATA!#REF!,1,FALSE),"")</f>
        <v/>
      </c>
      <c r="D5579" s="16" t="str">
        <f>IFERROR(VLOOKUP(C5579,DATA!#REF!,2,FALSE),"")</f>
        <v/>
      </c>
      <c r="I5579" s="17"/>
      <c r="J5579" s="17"/>
      <c r="P5579" s="17"/>
      <c r="Q5579" s="17"/>
    </row>
    <row r="5580" spans="2:17">
      <c r="B5580" s="17"/>
      <c r="C5580" s="16" t="str">
        <f>IFERROR(VLOOKUP(DATA!#REF!,DATA!#REF!,1,FALSE),"")</f>
        <v/>
      </c>
      <c r="D5580" s="16" t="str">
        <f>IFERROR(VLOOKUP(C5580,DATA!#REF!,2,FALSE),"")</f>
        <v/>
      </c>
      <c r="I5580" s="17"/>
      <c r="J5580" s="17"/>
      <c r="P5580" s="17"/>
      <c r="Q5580" s="17"/>
    </row>
    <row r="5581" spans="2:17">
      <c r="B5581" s="17"/>
      <c r="C5581" s="16" t="str">
        <f>IFERROR(VLOOKUP(DATA!#REF!,DATA!#REF!,1,FALSE),"")</f>
        <v/>
      </c>
      <c r="D5581" s="16" t="str">
        <f>IFERROR(VLOOKUP(C5581,DATA!#REF!,2,FALSE),"")</f>
        <v/>
      </c>
      <c r="I5581" s="17"/>
      <c r="J5581" s="17"/>
      <c r="P5581" s="17"/>
      <c r="Q5581" s="17"/>
    </row>
    <row r="5582" spans="2:17">
      <c r="B5582" s="17"/>
      <c r="C5582" s="16" t="str">
        <f>IFERROR(VLOOKUP(DATA!#REF!,DATA!#REF!,1,FALSE),"")</f>
        <v/>
      </c>
      <c r="D5582" s="16" t="str">
        <f>IFERROR(VLOOKUP(C5582,DATA!#REF!,2,FALSE),"")</f>
        <v/>
      </c>
      <c r="I5582" s="17"/>
      <c r="J5582" s="17"/>
      <c r="P5582" s="17"/>
      <c r="Q5582" s="17"/>
    </row>
    <row r="5583" spans="2:17">
      <c r="B5583" s="17"/>
      <c r="C5583" s="16" t="str">
        <f>IFERROR(VLOOKUP(DATA!#REF!,DATA!#REF!,1,FALSE),"")</f>
        <v/>
      </c>
      <c r="D5583" s="16" t="str">
        <f>IFERROR(VLOOKUP(C5583,DATA!#REF!,2,FALSE),"")</f>
        <v/>
      </c>
      <c r="I5583" s="17"/>
      <c r="J5583" s="17"/>
      <c r="P5583" s="17"/>
      <c r="Q5583" s="17"/>
    </row>
    <row r="5584" spans="2:17">
      <c r="B5584" s="17"/>
      <c r="C5584" s="16" t="str">
        <f>IFERROR(VLOOKUP(DATA!#REF!,DATA!#REF!,1,FALSE),"")</f>
        <v/>
      </c>
      <c r="D5584" s="16" t="str">
        <f>IFERROR(VLOOKUP(C5584,DATA!#REF!,2,FALSE),"")</f>
        <v/>
      </c>
      <c r="I5584" s="17"/>
      <c r="J5584" s="17"/>
      <c r="P5584" s="17"/>
      <c r="Q5584" s="17"/>
    </row>
    <row r="5585" spans="2:17">
      <c r="B5585" s="17"/>
      <c r="C5585" s="16" t="str">
        <f>IFERROR(VLOOKUP(DATA!#REF!,DATA!#REF!,1,FALSE),"")</f>
        <v/>
      </c>
      <c r="D5585" s="16" t="str">
        <f>IFERROR(VLOOKUP(C5585,DATA!#REF!,2,FALSE),"")</f>
        <v/>
      </c>
      <c r="I5585" s="17"/>
      <c r="J5585" s="17"/>
      <c r="P5585" s="17"/>
      <c r="Q5585" s="17"/>
    </row>
    <row r="5586" spans="2:17">
      <c r="B5586" s="17"/>
      <c r="C5586" s="16" t="str">
        <f>IFERROR(VLOOKUP(DATA!#REF!,DATA!#REF!,1,FALSE),"")</f>
        <v/>
      </c>
      <c r="D5586" s="16" t="str">
        <f>IFERROR(VLOOKUP(C5586,DATA!#REF!,2,FALSE),"")</f>
        <v/>
      </c>
      <c r="I5586" s="17"/>
      <c r="J5586" s="17"/>
      <c r="P5586" s="17"/>
      <c r="Q5586" s="17"/>
    </row>
    <row r="5587" spans="2:17">
      <c r="B5587" s="17"/>
      <c r="C5587" s="16" t="str">
        <f>IFERROR(VLOOKUP(DATA!#REF!,DATA!#REF!,1,FALSE),"")</f>
        <v/>
      </c>
      <c r="D5587" s="16" t="str">
        <f>IFERROR(VLOOKUP(C5587,DATA!#REF!,2,FALSE),"")</f>
        <v/>
      </c>
      <c r="I5587" s="17"/>
      <c r="J5587" s="17"/>
      <c r="P5587" s="17"/>
      <c r="Q5587" s="17"/>
    </row>
    <row r="5588" spans="2:17">
      <c r="B5588" s="17"/>
      <c r="C5588" s="16" t="str">
        <f>IFERROR(VLOOKUP(DATA!#REF!,DATA!#REF!,1,FALSE),"")</f>
        <v/>
      </c>
      <c r="D5588" s="16" t="str">
        <f>IFERROR(VLOOKUP(C5588,DATA!#REF!,2,FALSE),"")</f>
        <v/>
      </c>
      <c r="I5588" s="17"/>
      <c r="J5588" s="17"/>
      <c r="P5588" s="17"/>
      <c r="Q5588" s="17"/>
    </row>
    <row r="5589" spans="2:17">
      <c r="B5589" s="17"/>
      <c r="C5589" s="16" t="str">
        <f>IFERROR(VLOOKUP(DATA!#REF!,DATA!#REF!,1,FALSE),"")</f>
        <v/>
      </c>
      <c r="D5589" s="16" t="str">
        <f>IFERROR(VLOOKUP(C5589,DATA!#REF!,2,FALSE),"")</f>
        <v/>
      </c>
      <c r="I5589" s="17"/>
      <c r="J5589" s="17"/>
      <c r="P5589" s="17"/>
      <c r="Q5589" s="17"/>
    </row>
    <row r="5590" spans="2:17">
      <c r="B5590" s="17"/>
      <c r="C5590" s="16" t="str">
        <f>IFERROR(VLOOKUP(DATA!#REF!,DATA!#REF!,1,FALSE),"")</f>
        <v/>
      </c>
      <c r="D5590" s="16" t="str">
        <f>IFERROR(VLOOKUP(C5590,DATA!#REF!,2,FALSE),"")</f>
        <v/>
      </c>
      <c r="I5590" s="17"/>
      <c r="J5590" s="17"/>
      <c r="P5590" s="17"/>
      <c r="Q5590" s="17"/>
    </row>
    <row r="5591" spans="2:17">
      <c r="B5591" s="17"/>
      <c r="C5591" s="16" t="str">
        <f>IFERROR(VLOOKUP(DATA!#REF!,DATA!#REF!,1,FALSE),"")</f>
        <v/>
      </c>
      <c r="D5591" s="16" t="str">
        <f>IFERROR(VLOOKUP(C5591,DATA!#REF!,2,FALSE),"")</f>
        <v/>
      </c>
      <c r="I5591" s="17"/>
      <c r="J5591" s="17"/>
      <c r="P5591" s="17"/>
      <c r="Q5591" s="17"/>
    </row>
    <row r="5592" spans="2:17">
      <c r="B5592" s="17"/>
      <c r="C5592" s="16" t="str">
        <f>IFERROR(VLOOKUP(DATA!#REF!,DATA!#REF!,1,FALSE),"")</f>
        <v/>
      </c>
      <c r="D5592" s="16" t="str">
        <f>IFERROR(VLOOKUP(C5592,DATA!#REF!,2,FALSE),"")</f>
        <v/>
      </c>
      <c r="I5592" s="17"/>
      <c r="J5592" s="17"/>
      <c r="P5592" s="17"/>
      <c r="Q5592" s="17"/>
    </row>
    <row r="5593" spans="2:17">
      <c r="B5593" s="17"/>
      <c r="C5593" s="16" t="str">
        <f>IFERROR(VLOOKUP(DATA!#REF!,DATA!#REF!,1,FALSE),"")</f>
        <v/>
      </c>
      <c r="D5593" s="16" t="str">
        <f>IFERROR(VLOOKUP(C5593,DATA!#REF!,2,FALSE),"")</f>
        <v/>
      </c>
      <c r="I5593" s="17"/>
      <c r="J5593" s="17"/>
      <c r="P5593" s="17"/>
      <c r="Q5593" s="17"/>
    </row>
    <row r="5594" spans="2:17">
      <c r="B5594" s="17"/>
      <c r="C5594" s="16" t="str">
        <f>IFERROR(VLOOKUP(DATA!#REF!,DATA!#REF!,1,FALSE),"")</f>
        <v/>
      </c>
      <c r="D5594" s="16" t="str">
        <f>IFERROR(VLOOKUP(C5594,DATA!#REF!,2,FALSE),"")</f>
        <v/>
      </c>
      <c r="I5594" s="17"/>
      <c r="J5594" s="17"/>
      <c r="P5594" s="17"/>
      <c r="Q5594" s="17"/>
    </row>
    <row r="5595" spans="2:17">
      <c r="B5595" s="17"/>
      <c r="C5595" s="16" t="str">
        <f>IFERROR(VLOOKUP(DATA!#REF!,DATA!#REF!,1,FALSE),"")</f>
        <v/>
      </c>
      <c r="D5595" s="16" t="str">
        <f>IFERROR(VLOOKUP(C5595,DATA!#REF!,2,FALSE),"")</f>
        <v/>
      </c>
      <c r="I5595" s="17"/>
      <c r="J5595" s="17"/>
      <c r="P5595" s="17"/>
      <c r="Q5595" s="17"/>
    </row>
    <row r="5596" spans="2:17">
      <c r="B5596" s="17"/>
      <c r="C5596" s="16" t="str">
        <f>IFERROR(VLOOKUP(DATA!#REF!,DATA!#REF!,1,FALSE),"")</f>
        <v/>
      </c>
      <c r="D5596" s="16" t="str">
        <f>IFERROR(VLOOKUP(C5596,DATA!#REF!,2,FALSE),"")</f>
        <v/>
      </c>
      <c r="I5596" s="17"/>
      <c r="J5596" s="17"/>
      <c r="P5596" s="17"/>
      <c r="Q5596" s="17"/>
    </row>
    <row r="5597" spans="2:17">
      <c r="B5597" s="17"/>
      <c r="C5597" s="16" t="str">
        <f>IFERROR(VLOOKUP(DATA!#REF!,DATA!#REF!,1,FALSE),"")</f>
        <v/>
      </c>
      <c r="D5597" s="16" t="str">
        <f>IFERROR(VLOOKUP(C5597,DATA!#REF!,2,FALSE),"")</f>
        <v/>
      </c>
      <c r="I5597" s="17"/>
      <c r="J5597" s="17"/>
      <c r="P5597" s="17"/>
      <c r="Q5597" s="17"/>
    </row>
    <row r="5598" spans="2:17">
      <c r="B5598" s="17"/>
      <c r="C5598" s="16" t="str">
        <f>IFERROR(VLOOKUP(DATA!#REF!,DATA!#REF!,1,FALSE),"")</f>
        <v/>
      </c>
      <c r="D5598" s="16" t="str">
        <f>IFERROR(VLOOKUP(C5598,DATA!#REF!,2,FALSE),"")</f>
        <v/>
      </c>
      <c r="I5598" s="17"/>
      <c r="J5598" s="17"/>
      <c r="P5598" s="17"/>
      <c r="Q5598" s="17"/>
    </row>
    <row r="5599" spans="2:17">
      <c r="B5599" s="17"/>
      <c r="C5599" s="16" t="str">
        <f>IFERROR(VLOOKUP(DATA!#REF!,DATA!#REF!,1,FALSE),"")</f>
        <v/>
      </c>
      <c r="D5599" s="16" t="str">
        <f>IFERROR(VLOOKUP(C5599,DATA!#REF!,2,FALSE),"")</f>
        <v/>
      </c>
      <c r="I5599" s="17"/>
      <c r="J5599" s="17"/>
      <c r="P5599" s="17"/>
      <c r="Q5599" s="17"/>
    </row>
    <row r="5600" spans="2:17">
      <c r="B5600" s="17"/>
      <c r="C5600" s="16" t="str">
        <f>IFERROR(VLOOKUP(DATA!#REF!,DATA!#REF!,1,FALSE),"")</f>
        <v/>
      </c>
      <c r="D5600" s="16" t="str">
        <f>IFERROR(VLOOKUP(C5600,DATA!#REF!,2,FALSE),"")</f>
        <v/>
      </c>
      <c r="I5600" s="17"/>
      <c r="J5600" s="17"/>
      <c r="P5600" s="17"/>
      <c r="Q5600" s="17"/>
    </row>
    <row r="5601" spans="2:17">
      <c r="B5601" s="17"/>
      <c r="C5601" s="16" t="str">
        <f>IFERROR(VLOOKUP(DATA!#REF!,DATA!#REF!,1,FALSE),"")</f>
        <v/>
      </c>
      <c r="D5601" s="16" t="str">
        <f>IFERROR(VLOOKUP(C5601,DATA!#REF!,2,FALSE),"")</f>
        <v/>
      </c>
      <c r="I5601" s="17"/>
      <c r="J5601" s="17"/>
      <c r="P5601" s="17"/>
      <c r="Q5601" s="17"/>
    </row>
    <row r="5602" spans="2:17">
      <c r="B5602" s="17"/>
      <c r="C5602" s="16" t="str">
        <f>IFERROR(VLOOKUP(DATA!#REF!,DATA!#REF!,1,FALSE),"")</f>
        <v/>
      </c>
      <c r="D5602" s="16" t="str">
        <f>IFERROR(VLOOKUP(C5602,DATA!#REF!,2,FALSE),"")</f>
        <v/>
      </c>
      <c r="I5602" s="17"/>
      <c r="J5602" s="17"/>
      <c r="P5602" s="17"/>
      <c r="Q5602" s="17"/>
    </row>
    <row r="5603" spans="2:17">
      <c r="B5603" s="17"/>
      <c r="C5603" s="16" t="str">
        <f>IFERROR(VLOOKUP(DATA!#REF!,DATA!#REF!,1,FALSE),"")</f>
        <v/>
      </c>
      <c r="D5603" s="16" t="str">
        <f>IFERROR(VLOOKUP(C5603,DATA!#REF!,2,FALSE),"")</f>
        <v/>
      </c>
      <c r="I5603" s="17"/>
      <c r="J5603" s="17"/>
      <c r="P5603" s="17"/>
      <c r="Q5603" s="17"/>
    </row>
    <row r="5604" spans="2:17">
      <c r="B5604" s="17"/>
      <c r="C5604" s="16" t="str">
        <f>IFERROR(VLOOKUP(DATA!#REF!,DATA!#REF!,1,FALSE),"")</f>
        <v/>
      </c>
      <c r="D5604" s="16" t="str">
        <f>IFERROR(VLOOKUP(C5604,DATA!#REF!,2,FALSE),"")</f>
        <v/>
      </c>
      <c r="I5604" s="17"/>
      <c r="J5604" s="17"/>
      <c r="P5604" s="17"/>
      <c r="Q5604" s="17"/>
    </row>
    <row r="5605" spans="2:17">
      <c r="B5605" s="17"/>
      <c r="C5605" s="16" t="str">
        <f>IFERROR(VLOOKUP(DATA!#REF!,DATA!#REF!,1,FALSE),"")</f>
        <v/>
      </c>
      <c r="D5605" s="16" t="str">
        <f>IFERROR(VLOOKUP(C5605,DATA!#REF!,2,FALSE),"")</f>
        <v/>
      </c>
      <c r="I5605" s="17"/>
      <c r="J5605" s="17"/>
      <c r="P5605" s="17"/>
      <c r="Q5605" s="17"/>
    </row>
    <row r="5606" spans="2:17">
      <c r="B5606" s="17"/>
      <c r="C5606" s="16" t="str">
        <f>IFERROR(VLOOKUP(DATA!#REF!,DATA!#REF!,1,FALSE),"")</f>
        <v/>
      </c>
      <c r="D5606" s="16" t="str">
        <f>IFERROR(VLOOKUP(C5606,DATA!#REF!,2,FALSE),"")</f>
        <v/>
      </c>
      <c r="I5606" s="17"/>
      <c r="J5606" s="17"/>
      <c r="P5606" s="17"/>
      <c r="Q5606" s="17"/>
    </row>
    <row r="5607" spans="2:17">
      <c r="B5607" s="17"/>
      <c r="C5607" s="16" t="str">
        <f>IFERROR(VLOOKUP(DATA!#REF!,DATA!#REF!,1,FALSE),"")</f>
        <v/>
      </c>
      <c r="D5607" s="16" t="str">
        <f>IFERROR(VLOOKUP(C5607,DATA!#REF!,2,FALSE),"")</f>
        <v/>
      </c>
      <c r="I5607" s="17"/>
      <c r="J5607" s="17"/>
      <c r="P5607" s="17"/>
      <c r="Q5607" s="17"/>
    </row>
    <row r="5608" spans="2:17">
      <c r="B5608" s="17"/>
      <c r="C5608" s="16" t="str">
        <f>IFERROR(VLOOKUP(DATA!#REF!,DATA!#REF!,1,FALSE),"")</f>
        <v/>
      </c>
      <c r="D5608" s="16" t="str">
        <f>IFERROR(VLOOKUP(C5608,DATA!#REF!,2,FALSE),"")</f>
        <v/>
      </c>
      <c r="I5608" s="17"/>
      <c r="J5608" s="17"/>
      <c r="P5608" s="17"/>
      <c r="Q5608" s="17"/>
    </row>
    <row r="5609" spans="2:17">
      <c r="B5609" s="17"/>
      <c r="C5609" s="16" t="str">
        <f>IFERROR(VLOOKUP(DATA!#REF!,DATA!#REF!,1,FALSE),"")</f>
        <v/>
      </c>
      <c r="D5609" s="16" t="str">
        <f>IFERROR(VLOOKUP(C5609,DATA!#REF!,2,FALSE),"")</f>
        <v/>
      </c>
      <c r="I5609" s="17"/>
      <c r="J5609" s="17"/>
      <c r="P5609" s="17"/>
      <c r="Q5609" s="17"/>
    </row>
    <row r="5610" spans="2:17">
      <c r="B5610" s="17"/>
      <c r="C5610" s="16" t="str">
        <f>IFERROR(VLOOKUP(DATA!#REF!,DATA!#REF!,1,FALSE),"")</f>
        <v/>
      </c>
      <c r="D5610" s="16" t="str">
        <f>IFERROR(VLOOKUP(C5610,DATA!#REF!,2,FALSE),"")</f>
        <v/>
      </c>
      <c r="I5610" s="17"/>
      <c r="J5610" s="17"/>
      <c r="P5610" s="17"/>
      <c r="Q5610" s="17"/>
    </row>
    <row r="5611" spans="2:17">
      <c r="B5611" s="17"/>
      <c r="C5611" s="16" t="str">
        <f>IFERROR(VLOOKUP(DATA!#REF!,DATA!#REF!,1,FALSE),"")</f>
        <v/>
      </c>
      <c r="D5611" s="16" t="str">
        <f>IFERROR(VLOOKUP(C5611,DATA!#REF!,2,FALSE),"")</f>
        <v/>
      </c>
      <c r="I5611" s="17"/>
      <c r="J5611" s="17"/>
      <c r="P5611" s="17"/>
      <c r="Q5611" s="17"/>
    </row>
    <row r="5612" spans="2:17">
      <c r="B5612" s="17"/>
      <c r="C5612" s="16" t="str">
        <f>IFERROR(VLOOKUP(DATA!#REF!,DATA!#REF!,1,FALSE),"")</f>
        <v/>
      </c>
      <c r="D5612" s="16" t="str">
        <f>IFERROR(VLOOKUP(C5612,DATA!#REF!,2,FALSE),"")</f>
        <v/>
      </c>
      <c r="I5612" s="17"/>
      <c r="J5612" s="17"/>
      <c r="P5612" s="17"/>
      <c r="Q5612" s="17"/>
    </row>
    <row r="5613" spans="2:17">
      <c r="B5613" s="17"/>
      <c r="C5613" s="16" t="str">
        <f>IFERROR(VLOOKUP(DATA!#REF!,DATA!#REF!,1,FALSE),"")</f>
        <v/>
      </c>
      <c r="D5613" s="16" t="str">
        <f>IFERROR(VLOOKUP(C5613,DATA!#REF!,2,FALSE),"")</f>
        <v/>
      </c>
      <c r="I5613" s="17"/>
      <c r="J5613" s="17"/>
      <c r="P5613" s="17"/>
      <c r="Q5613" s="17"/>
    </row>
    <row r="5614" spans="2:17">
      <c r="B5614" s="17"/>
      <c r="C5614" s="16" t="str">
        <f>IFERROR(VLOOKUP(DATA!#REF!,DATA!#REF!,1,FALSE),"")</f>
        <v/>
      </c>
      <c r="D5614" s="16" t="str">
        <f>IFERROR(VLOOKUP(C5614,DATA!#REF!,2,FALSE),"")</f>
        <v/>
      </c>
      <c r="I5614" s="17"/>
      <c r="J5614" s="17"/>
      <c r="P5614" s="17"/>
      <c r="Q5614" s="17"/>
    </row>
    <row r="5615" spans="2:17">
      <c r="B5615" s="17"/>
      <c r="C5615" s="16" t="str">
        <f>IFERROR(VLOOKUP(DATA!#REF!,DATA!#REF!,1,FALSE),"")</f>
        <v/>
      </c>
      <c r="D5615" s="16" t="str">
        <f>IFERROR(VLOOKUP(C5615,DATA!#REF!,2,FALSE),"")</f>
        <v/>
      </c>
      <c r="I5615" s="17"/>
      <c r="J5615" s="17"/>
      <c r="P5615" s="17"/>
      <c r="Q5615" s="17"/>
    </row>
    <row r="5616" spans="2:17">
      <c r="B5616" s="17"/>
      <c r="C5616" s="16" t="str">
        <f>IFERROR(VLOOKUP(DATA!#REF!,DATA!#REF!,1,FALSE),"")</f>
        <v/>
      </c>
      <c r="D5616" s="16" t="str">
        <f>IFERROR(VLOOKUP(C5616,DATA!#REF!,2,FALSE),"")</f>
        <v/>
      </c>
      <c r="I5616" s="17"/>
      <c r="J5616" s="17"/>
      <c r="P5616" s="17"/>
      <c r="Q5616" s="17"/>
    </row>
    <row r="5617" spans="2:17">
      <c r="B5617" s="17"/>
      <c r="C5617" s="16" t="str">
        <f>IFERROR(VLOOKUP(DATA!#REF!,DATA!#REF!,1,FALSE),"")</f>
        <v/>
      </c>
      <c r="D5617" s="16" t="str">
        <f>IFERROR(VLOOKUP(C5617,DATA!#REF!,2,FALSE),"")</f>
        <v/>
      </c>
      <c r="I5617" s="17"/>
      <c r="J5617" s="17"/>
      <c r="P5617" s="17"/>
      <c r="Q5617" s="17"/>
    </row>
    <row r="5618" spans="2:17">
      <c r="B5618" s="17"/>
      <c r="C5618" s="16" t="str">
        <f>IFERROR(VLOOKUP(DATA!#REF!,DATA!#REF!,1,FALSE),"")</f>
        <v/>
      </c>
      <c r="D5618" s="16" t="str">
        <f>IFERROR(VLOOKUP(C5618,DATA!#REF!,2,FALSE),"")</f>
        <v/>
      </c>
      <c r="I5618" s="17"/>
      <c r="J5618" s="17"/>
      <c r="P5618" s="17"/>
      <c r="Q5618" s="17"/>
    </row>
    <row r="5619" spans="2:17">
      <c r="B5619" s="17"/>
      <c r="C5619" s="16" t="str">
        <f>IFERROR(VLOOKUP(DATA!#REF!,DATA!#REF!,1,FALSE),"")</f>
        <v/>
      </c>
      <c r="D5619" s="16" t="str">
        <f>IFERROR(VLOOKUP(C5619,DATA!#REF!,2,FALSE),"")</f>
        <v/>
      </c>
      <c r="I5619" s="17"/>
      <c r="J5619" s="17"/>
      <c r="P5619" s="17"/>
      <c r="Q5619" s="17"/>
    </row>
    <row r="5620" spans="2:17">
      <c r="B5620" s="17"/>
      <c r="C5620" s="16" t="str">
        <f>IFERROR(VLOOKUP(DATA!#REF!,DATA!#REF!,1,FALSE),"")</f>
        <v/>
      </c>
      <c r="D5620" s="16" t="str">
        <f>IFERROR(VLOOKUP(C5620,DATA!#REF!,2,FALSE),"")</f>
        <v/>
      </c>
      <c r="I5620" s="17"/>
      <c r="J5620" s="17"/>
      <c r="P5620" s="17"/>
      <c r="Q5620" s="17"/>
    </row>
    <row r="5621" spans="2:17">
      <c r="B5621" s="17"/>
      <c r="C5621" s="16" t="str">
        <f>IFERROR(VLOOKUP(DATA!#REF!,DATA!#REF!,1,FALSE),"")</f>
        <v/>
      </c>
      <c r="D5621" s="16" t="str">
        <f>IFERROR(VLOOKUP(C5621,DATA!#REF!,2,FALSE),"")</f>
        <v/>
      </c>
      <c r="I5621" s="17"/>
      <c r="J5621" s="17"/>
      <c r="P5621" s="17"/>
      <c r="Q5621" s="17"/>
    </row>
    <row r="5622" spans="2:17">
      <c r="B5622" s="17"/>
      <c r="C5622" s="16" t="str">
        <f>IFERROR(VLOOKUP(DATA!#REF!,DATA!#REF!,1,FALSE),"")</f>
        <v/>
      </c>
      <c r="D5622" s="16" t="str">
        <f>IFERROR(VLOOKUP(C5622,DATA!#REF!,2,FALSE),"")</f>
        <v/>
      </c>
      <c r="I5622" s="17"/>
      <c r="J5622" s="17"/>
      <c r="P5622" s="17"/>
      <c r="Q5622" s="17"/>
    </row>
    <row r="5623" spans="2:17">
      <c r="B5623" s="17"/>
      <c r="C5623" s="16" t="str">
        <f>IFERROR(VLOOKUP(DATA!#REF!,DATA!#REF!,1,FALSE),"")</f>
        <v/>
      </c>
      <c r="D5623" s="16" t="str">
        <f>IFERROR(VLOOKUP(C5623,DATA!#REF!,2,FALSE),"")</f>
        <v/>
      </c>
      <c r="I5623" s="17"/>
      <c r="J5623" s="17"/>
      <c r="P5623" s="17"/>
      <c r="Q5623" s="17"/>
    </row>
    <row r="5624" spans="2:17">
      <c r="B5624" s="17"/>
      <c r="C5624" s="16" t="str">
        <f>IFERROR(VLOOKUP(DATA!#REF!,DATA!#REF!,1,FALSE),"")</f>
        <v/>
      </c>
      <c r="D5624" s="16" t="str">
        <f>IFERROR(VLOOKUP(C5624,DATA!#REF!,2,FALSE),"")</f>
        <v/>
      </c>
      <c r="I5624" s="17"/>
      <c r="J5624" s="17"/>
      <c r="P5624" s="17"/>
      <c r="Q5624" s="17"/>
    </row>
    <row r="5625" spans="2:17">
      <c r="B5625" s="17"/>
      <c r="C5625" s="16" t="str">
        <f>IFERROR(VLOOKUP(DATA!#REF!,DATA!#REF!,1,FALSE),"")</f>
        <v/>
      </c>
      <c r="D5625" s="16" t="str">
        <f>IFERROR(VLOOKUP(C5625,DATA!#REF!,2,FALSE),"")</f>
        <v/>
      </c>
      <c r="I5625" s="17"/>
      <c r="J5625" s="17"/>
      <c r="P5625" s="17"/>
      <c r="Q5625" s="17"/>
    </row>
    <row r="5626" spans="2:17">
      <c r="B5626" s="17"/>
      <c r="C5626" s="16" t="str">
        <f>IFERROR(VLOOKUP(DATA!#REF!,DATA!#REF!,1,FALSE),"")</f>
        <v/>
      </c>
      <c r="D5626" s="16" t="str">
        <f>IFERROR(VLOOKUP(C5626,DATA!#REF!,2,FALSE),"")</f>
        <v/>
      </c>
      <c r="I5626" s="17"/>
      <c r="J5626" s="17"/>
      <c r="P5626" s="17"/>
      <c r="Q5626" s="17"/>
    </row>
    <row r="5627" spans="2:17">
      <c r="B5627" s="17"/>
      <c r="C5627" s="16" t="str">
        <f>IFERROR(VLOOKUP(DATA!#REF!,DATA!#REF!,1,FALSE),"")</f>
        <v/>
      </c>
      <c r="D5627" s="16" t="str">
        <f>IFERROR(VLOOKUP(C5627,DATA!#REF!,2,FALSE),"")</f>
        <v/>
      </c>
      <c r="I5627" s="17"/>
      <c r="J5627" s="17"/>
      <c r="P5627" s="17"/>
      <c r="Q5627" s="17"/>
    </row>
    <row r="5628" spans="2:17">
      <c r="B5628" s="17"/>
      <c r="C5628" s="16" t="str">
        <f>IFERROR(VLOOKUP(DATA!#REF!,DATA!#REF!,1,FALSE),"")</f>
        <v/>
      </c>
      <c r="D5628" s="16" t="str">
        <f>IFERROR(VLOOKUP(C5628,DATA!#REF!,2,FALSE),"")</f>
        <v/>
      </c>
      <c r="I5628" s="17"/>
      <c r="J5628" s="17"/>
      <c r="P5628" s="17"/>
      <c r="Q5628" s="17"/>
    </row>
    <row r="5629" spans="2:17">
      <c r="B5629" s="17"/>
      <c r="C5629" s="16" t="str">
        <f>IFERROR(VLOOKUP(DATA!#REF!,DATA!#REF!,1,FALSE),"")</f>
        <v/>
      </c>
      <c r="D5629" s="16" t="str">
        <f>IFERROR(VLOOKUP(C5629,DATA!#REF!,2,FALSE),"")</f>
        <v/>
      </c>
      <c r="I5629" s="17"/>
      <c r="J5629" s="17"/>
      <c r="P5629" s="17"/>
      <c r="Q5629" s="17"/>
    </row>
    <row r="5630" spans="2:17">
      <c r="B5630" s="17"/>
      <c r="C5630" s="16" t="str">
        <f>IFERROR(VLOOKUP(DATA!#REF!,DATA!#REF!,1,FALSE),"")</f>
        <v/>
      </c>
      <c r="D5630" s="16" t="str">
        <f>IFERROR(VLOOKUP(C5630,DATA!#REF!,2,FALSE),"")</f>
        <v/>
      </c>
      <c r="I5630" s="17"/>
      <c r="J5630" s="17"/>
      <c r="P5630" s="17"/>
      <c r="Q5630" s="17"/>
    </row>
    <row r="5631" spans="2:17">
      <c r="B5631" s="17"/>
      <c r="C5631" s="16" t="str">
        <f>IFERROR(VLOOKUP(DATA!#REF!,DATA!#REF!,1,FALSE),"")</f>
        <v/>
      </c>
      <c r="D5631" s="16" t="str">
        <f>IFERROR(VLOOKUP(C5631,DATA!#REF!,2,FALSE),"")</f>
        <v/>
      </c>
      <c r="I5631" s="17"/>
      <c r="J5631" s="17"/>
      <c r="P5631" s="17"/>
      <c r="Q5631" s="17"/>
    </row>
    <row r="5632" spans="2:17">
      <c r="B5632" s="17"/>
      <c r="C5632" s="16" t="str">
        <f>IFERROR(VLOOKUP(DATA!#REF!,DATA!#REF!,1,FALSE),"")</f>
        <v/>
      </c>
      <c r="D5632" s="16" t="str">
        <f>IFERROR(VLOOKUP(C5632,DATA!#REF!,2,FALSE),"")</f>
        <v/>
      </c>
      <c r="I5632" s="17"/>
      <c r="J5632" s="17"/>
      <c r="P5632" s="17"/>
      <c r="Q5632" s="17"/>
    </row>
    <row r="5633" spans="2:17">
      <c r="B5633" s="17"/>
      <c r="C5633" s="16" t="str">
        <f>IFERROR(VLOOKUP(DATA!#REF!,DATA!#REF!,1,FALSE),"")</f>
        <v/>
      </c>
      <c r="D5633" s="16" t="str">
        <f>IFERROR(VLOOKUP(C5633,DATA!#REF!,2,FALSE),"")</f>
        <v/>
      </c>
      <c r="I5633" s="17"/>
      <c r="J5633" s="17"/>
      <c r="P5633" s="17"/>
      <c r="Q5633" s="17"/>
    </row>
    <row r="5634" spans="2:17">
      <c r="B5634" s="17"/>
      <c r="C5634" s="16" t="str">
        <f>IFERROR(VLOOKUP(DATA!#REF!,DATA!#REF!,1,FALSE),"")</f>
        <v/>
      </c>
      <c r="D5634" s="16" t="str">
        <f>IFERROR(VLOOKUP(C5634,DATA!#REF!,2,FALSE),"")</f>
        <v/>
      </c>
      <c r="I5634" s="17"/>
      <c r="J5634" s="17"/>
      <c r="P5634" s="17"/>
      <c r="Q5634" s="17"/>
    </row>
    <row r="5635" spans="2:17">
      <c r="B5635" s="17"/>
      <c r="C5635" s="16" t="str">
        <f>IFERROR(VLOOKUP(DATA!#REF!,DATA!#REF!,1,FALSE),"")</f>
        <v/>
      </c>
      <c r="D5635" s="16" t="str">
        <f>IFERROR(VLOOKUP(C5635,DATA!#REF!,2,FALSE),"")</f>
        <v/>
      </c>
      <c r="I5635" s="17"/>
      <c r="J5635" s="17"/>
      <c r="P5635" s="17"/>
      <c r="Q5635" s="17"/>
    </row>
    <row r="5636" spans="2:17">
      <c r="B5636" s="17"/>
      <c r="C5636" s="16" t="str">
        <f>IFERROR(VLOOKUP(DATA!#REF!,DATA!#REF!,1,FALSE),"")</f>
        <v/>
      </c>
      <c r="D5636" s="16" t="str">
        <f>IFERROR(VLOOKUP(C5636,DATA!#REF!,2,FALSE),"")</f>
        <v/>
      </c>
      <c r="I5636" s="17"/>
      <c r="J5636" s="17"/>
      <c r="P5636" s="17"/>
      <c r="Q5636" s="17"/>
    </row>
    <row r="5637" spans="2:17">
      <c r="B5637" s="17"/>
      <c r="C5637" s="16" t="str">
        <f>IFERROR(VLOOKUP(DATA!#REF!,DATA!#REF!,1,FALSE),"")</f>
        <v/>
      </c>
      <c r="D5637" s="16" t="str">
        <f>IFERROR(VLOOKUP(C5637,DATA!#REF!,2,FALSE),"")</f>
        <v/>
      </c>
      <c r="I5637" s="17"/>
      <c r="J5637" s="17"/>
      <c r="P5637" s="17"/>
      <c r="Q5637" s="17"/>
    </row>
    <row r="5638" spans="2:17">
      <c r="B5638" s="17"/>
      <c r="C5638" s="16" t="str">
        <f>IFERROR(VLOOKUP(DATA!#REF!,DATA!#REF!,1,FALSE),"")</f>
        <v/>
      </c>
      <c r="D5638" s="16" t="str">
        <f>IFERROR(VLOOKUP(C5638,DATA!#REF!,2,FALSE),"")</f>
        <v/>
      </c>
      <c r="I5638" s="17"/>
      <c r="J5638" s="17"/>
      <c r="P5638" s="17"/>
      <c r="Q5638" s="17"/>
    </row>
    <row r="5639" spans="2:17">
      <c r="B5639" s="17"/>
      <c r="C5639" s="16" t="str">
        <f>IFERROR(VLOOKUP(DATA!#REF!,DATA!#REF!,1,FALSE),"")</f>
        <v/>
      </c>
      <c r="D5639" s="16" t="str">
        <f>IFERROR(VLOOKUP(C5639,DATA!#REF!,2,FALSE),"")</f>
        <v/>
      </c>
      <c r="I5639" s="17"/>
      <c r="J5639" s="17"/>
      <c r="P5639" s="17"/>
      <c r="Q5639" s="17"/>
    </row>
    <row r="5640" spans="2:17">
      <c r="B5640" s="17"/>
      <c r="C5640" s="16" t="str">
        <f>IFERROR(VLOOKUP(DATA!#REF!,DATA!#REF!,1,FALSE),"")</f>
        <v/>
      </c>
      <c r="D5640" s="16" t="str">
        <f>IFERROR(VLOOKUP(C5640,DATA!#REF!,2,FALSE),"")</f>
        <v/>
      </c>
      <c r="I5640" s="17"/>
      <c r="J5640" s="17"/>
      <c r="P5640" s="17"/>
      <c r="Q5640" s="17"/>
    </row>
    <row r="5641" spans="2:17">
      <c r="B5641" s="17"/>
      <c r="C5641" s="16" t="str">
        <f>IFERROR(VLOOKUP(DATA!#REF!,DATA!#REF!,1,FALSE),"")</f>
        <v/>
      </c>
      <c r="D5641" s="16" t="str">
        <f>IFERROR(VLOOKUP(C5641,DATA!#REF!,2,FALSE),"")</f>
        <v/>
      </c>
      <c r="I5641" s="17"/>
      <c r="J5641" s="17"/>
      <c r="P5641" s="17"/>
      <c r="Q5641" s="17"/>
    </row>
    <row r="5642" spans="2:17">
      <c r="B5642" s="17"/>
      <c r="C5642" s="16" t="str">
        <f>IFERROR(VLOOKUP(DATA!#REF!,DATA!#REF!,1,FALSE),"")</f>
        <v/>
      </c>
      <c r="D5642" s="16" t="str">
        <f>IFERROR(VLOOKUP(C5642,DATA!#REF!,2,FALSE),"")</f>
        <v/>
      </c>
      <c r="I5642" s="17"/>
      <c r="J5642" s="17"/>
      <c r="P5642" s="17"/>
      <c r="Q5642" s="17"/>
    </row>
    <row r="5643" spans="2:17">
      <c r="B5643" s="17"/>
      <c r="C5643" s="16" t="str">
        <f>IFERROR(VLOOKUP(DATA!#REF!,DATA!#REF!,1,FALSE),"")</f>
        <v/>
      </c>
      <c r="D5643" s="16" t="str">
        <f>IFERROR(VLOOKUP(C5643,DATA!#REF!,2,FALSE),"")</f>
        <v/>
      </c>
      <c r="I5643" s="17"/>
      <c r="J5643" s="17"/>
      <c r="P5643" s="17"/>
      <c r="Q5643" s="17"/>
    </row>
    <row r="5644" spans="2:17">
      <c r="B5644" s="17"/>
      <c r="C5644" s="16" t="str">
        <f>IFERROR(VLOOKUP(DATA!#REF!,DATA!#REF!,1,FALSE),"")</f>
        <v/>
      </c>
      <c r="D5644" s="16" t="str">
        <f>IFERROR(VLOOKUP(C5644,DATA!#REF!,2,FALSE),"")</f>
        <v/>
      </c>
      <c r="I5644" s="17"/>
      <c r="J5644" s="17"/>
      <c r="P5644" s="17"/>
      <c r="Q5644" s="17"/>
    </row>
    <row r="5645" spans="2:17">
      <c r="B5645" s="17"/>
      <c r="C5645" s="16" t="str">
        <f>IFERROR(VLOOKUP(DATA!#REF!,DATA!#REF!,1,FALSE),"")</f>
        <v/>
      </c>
      <c r="D5645" s="16" t="str">
        <f>IFERROR(VLOOKUP(C5645,DATA!#REF!,2,FALSE),"")</f>
        <v/>
      </c>
      <c r="I5645" s="17"/>
      <c r="J5645" s="17"/>
      <c r="P5645" s="17"/>
      <c r="Q5645" s="17"/>
    </row>
    <row r="5646" spans="2:17">
      <c r="B5646" s="17"/>
      <c r="C5646" s="16" t="str">
        <f>IFERROR(VLOOKUP(DATA!#REF!,DATA!#REF!,1,FALSE),"")</f>
        <v/>
      </c>
      <c r="D5646" s="16" t="str">
        <f>IFERROR(VLOOKUP(C5646,DATA!#REF!,2,FALSE),"")</f>
        <v/>
      </c>
      <c r="I5646" s="17"/>
      <c r="J5646" s="17"/>
      <c r="P5646" s="17"/>
      <c r="Q5646" s="17"/>
    </row>
    <row r="5647" spans="2:17">
      <c r="B5647" s="17"/>
      <c r="C5647" s="16" t="str">
        <f>IFERROR(VLOOKUP(DATA!#REF!,DATA!#REF!,1,FALSE),"")</f>
        <v/>
      </c>
      <c r="D5647" s="16" t="str">
        <f>IFERROR(VLOOKUP(C5647,DATA!#REF!,2,FALSE),"")</f>
        <v/>
      </c>
      <c r="I5647" s="17"/>
      <c r="J5647" s="17"/>
      <c r="P5647" s="17"/>
      <c r="Q5647" s="17"/>
    </row>
    <row r="5648" spans="2:17">
      <c r="B5648" s="17"/>
      <c r="C5648" s="16" t="str">
        <f>IFERROR(VLOOKUP(DATA!#REF!,DATA!#REF!,1,FALSE),"")</f>
        <v/>
      </c>
      <c r="D5648" s="16" t="str">
        <f>IFERROR(VLOOKUP(C5648,DATA!#REF!,2,FALSE),"")</f>
        <v/>
      </c>
      <c r="I5648" s="17"/>
      <c r="J5648" s="17"/>
      <c r="P5648" s="17"/>
      <c r="Q5648" s="17"/>
    </row>
    <row r="5649" spans="2:17">
      <c r="B5649" s="17"/>
      <c r="C5649" s="16" t="str">
        <f>IFERROR(VLOOKUP(DATA!#REF!,DATA!#REF!,1,FALSE),"")</f>
        <v/>
      </c>
      <c r="D5649" s="16" t="str">
        <f>IFERROR(VLOOKUP(C5649,DATA!#REF!,2,FALSE),"")</f>
        <v/>
      </c>
      <c r="I5649" s="17"/>
      <c r="J5649" s="17"/>
      <c r="P5649" s="17"/>
      <c r="Q5649" s="17"/>
    </row>
    <row r="5650" spans="2:17">
      <c r="B5650" s="17"/>
      <c r="C5650" s="16" t="str">
        <f>IFERROR(VLOOKUP(DATA!#REF!,DATA!#REF!,1,FALSE),"")</f>
        <v/>
      </c>
      <c r="D5650" s="16" t="str">
        <f>IFERROR(VLOOKUP(C5650,DATA!#REF!,2,FALSE),"")</f>
        <v/>
      </c>
      <c r="I5650" s="17"/>
      <c r="J5650" s="17"/>
      <c r="P5650" s="17"/>
      <c r="Q5650" s="17"/>
    </row>
    <row r="5651" spans="2:17">
      <c r="B5651" s="17"/>
      <c r="C5651" s="16" t="str">
        <f>IFERROR(VLOOKUP(DATA!#REF!,DATA!#REF!,1,FALSE),"")</f>
        <v/>
      </c>
      <c r="D5651" s="16" t="str">
        <f>IFERROR(VLOOKUP(C5651,DATA!#REF!,2,FALSE),"")</f>
        <v/>
      </c>
      <c r="I5651" s="17"/>
      <c r="J5651" s="17"/>
      <c r="P5651" s="17"/>
      <c r="Q5651" s="17"/>
    </row>
    <row r="5652" spans="2:17">
      <c r="B5652" s="17"/>
      <c r="C5652" s="16" t="str">
        <f>IFERROR(VLOOKUP(DATA!#REF!,DATA!#REF!,1,FALSE),"")</f>
        <v/>
      </c>
      <c r="D5652" s="16" t="str">
        <f>IFERROR(VLOOKUP(C5652,DATA!#REF!,2,FALSE),"")</f>
        <v/>
      </c>
      <c r="I5652" s="17"/>
      <c r="J5652" s="17"/>
      <c r="P5652" s="17"/>
      <c r="Q5652" s="17"/>
    </row>
    <row r="5653" spans="2:17">
      <c r="B5653" s="17"/>
      <c r="C5653" s="16" t="str">
        <f>IFERROR(VLOOKUP(DATA!#REF!,DATA!#REF!,1,FALSE),"")</f>
        <v/>
      </c>
      <c r="D5653" s="16" t="str">
        <f>IFERROR(VLOOKUP(C5653,DATA!#REF!,2,FALSE),"")</f>
        <v/>
      </c>
      <c r="I5653" s="17"/>
      <c r="J5653" s="17"/>
      <c r="P5653" s="17"/>
      <c r="Q5653" s="17"/>
    </row>
    <row r="5654" spans="2:17">
      <c r="B5654" s="17"/>
      <c r="C5654" s="16" t="str">
        <f>IFERROR(VLOOKUP(DATA!#REF!,DATA!#REF!,1,FALSE),"")</f>
        <v/>
      </c>
      <c r="D5654" s="16" t="str">
        <f>IFERROR(VLOOKUP(C5654,DATA!#REF!,2,FALSE),"")</f>
        <v/>
      </c>
      <c r="I5654" s="17"/>
      <c r="J5654" s="17"/>
      <c r="P5654" s="17"/>
      <c r="Q5654" s="17"/>
    </row>
    <row r="5655" spans="2:17">
      <c r="B5655" s="17"/>
      <c r="C5655" s="16" t="str">
        <f>IFERROR(VLOOKUP(DATA!#REF!,DATA!#REF!,1,FALSE),"")</f>
        <v/>
      </c>
      <c r="D5655" s="16" t="str">
        <f>IFERROR(VLOOKUP(C5655,DATA!#REF!,2,FALSE),"")</f>
        <v/>
      </c>
      <c r="I5655" s="17"/>
      <c r="J5655" s="17"/>
      <c r="P5655" s="17"/>
      <c r="Q5655" s="17"/>
    </row>
    <row r="5656" spans="2:17">
      <c r="B5656" s="17"/>
      <c r="C5656" s="16" t="str">
        <f>IFERROR(VLOOKUP(DATA!#REF!,DATA!#REF!,1,FALSE),"")</f>
        <v/>
      </c>
      <c r="D5656" s="16" t="str">
        <f>IFERROR(VLOOKUP(C5656,DATA!#REF!,2,FALSE),"")</f>
        <v/>
      </c>
      <c r="I5656" s="17"/>
      <c r="J5656" s="17"/>
      <c r="P5656" s="17"/>
      <c r="Q5656" s="17"/>
    </row>
    <row r="5657" spans="2:17">
      <c r="B5657" s="17"/>
      <c r="C5657" s="16" t="str">
        <f>IFERROR(VLOOKUP(DATA!#REF!,DATA!#REF!,1,FALSE),"")</f>
        <v/>
      </c>
      <c r="D5657" s="16" t="str">
        <f>IFERROR(VLOOKUP(C5657,DATA!#REF!,2,FALSE),"")</f>
        <v/>
      </c>
      <c r="I5657" s="17"/>
      <c r="J5657" s="17"/>
      <c r="P5657" s="17"/>
      <c r="Q5657" s="17"/>
    </row>
    <row r="5658" spans="2:17">
      <c r="B5658" s="17"/>
      <c r="C5658" s="16" t="str">
        <f>IFERROR(VLOOKUP(DATA!#REF!,DATA!#REF!,1,FALSE),"")</f>
        <v/>
      </c>
      <c r="D5658" s="16" t="str">
        <f>IFERROR(VLOOKUP(C5658,DATA!#REF!,2,FALSE),"")</f>
        <v/>
      </c>
      <c r="I5658" s="17"/>
      <c r="J5658" s="17"/>
      <c r="P5658" s="17"/>
      <c r="Q5658" s="17"/>
    </row>
    <row r="5659" spans="2:17">
      <c r="B5659" s="17"/>
      <c r="C5659" s="16" t="str">
        <f>IFERROR(VLOOKUP(DATA!#REF!,DATA!#REF!,1,FALSE),"")</f>
        <v/>
      </c>
      <c r="D5659" s="16" t="str">
        <f>IFERROR(VLOOKUP(C5659,DATA!#REF!,2,FALSE),"")</f>
        <v/>
      </c>
      <c r="I5659" s="17"/>
      <c r="J5659" s="17"/>
      <c r="P5659" s="17"/>
      <c r="Q5659" s="17"/>
    </row>
    <row r="5660" spans="2:17">
      <c r="B5660" s="17"/>
      <c r="C5660" s="16" t="str">
        <f>IFERROR(VLOOKUP(DATA!#REF!,DATA!#REF!,1,FALSE),"")</f>
        <v/>
      </c>
      <c r="D5660" s="16" t="str">
        <f>IFERROR(VLOOKUP(C5660,DATA!#REF!,2,FALSE),"")</f>
        <v/>
      </c>
      <c r="I5660" s="17"/>
      <c r="J5660" s="17"/>
      <c r="P5660" s="17"/>
      <c r="Q5660" s="17"/>
    </row>
    <row r="5661" spans="2:17">
      <c r="B5661" s="17"/>
      <c r="C5661" s="16" t="str">
        <f>IFERROR(VLOOKUP(DATA!#REF!,DATA!#REF!,1,FALSE),"")</f>
        <v/>
      </c>
      <c r="D5661" s="16" t="str">
        <f>IFERROR(VLOOKUP(C5661,DATA!#REF!,2,FALSE),"")</f>
        <v/>
      </c>
      <c r="I5661" s="17"/>
      <c r="J5661" s="17"/>
      <c r="P5661" s="17"/>
      <c r="Q5661" s="17"/>
    </row>
    <row r="5662" spans="2:17">
      <c r="B5662" s="17"/>
      <c r="C5662" s="16" t="str">
        <f>IFERROR(VLOOKUP(DATA!#REF!,DATA!#REF!,1,FALSE),"")</f>
        <v/>
      </c>
      <c r="D5662" s="16" t="str">
        <f>IFERROR(VLOOKUP(C5662,DATA!#REF!,2,FALSE),"")</f>
        <v/>
      </c>
      <c r="I5662" s="17"/>
      <c r="J5662" s="17"/>
      <c r="P5662" s="17"/>
      <c r="Q5662" s="17"/>
    </row>
    <row r="5663" spans="2:17">
      <c r="B5663" s="17"/>
      <c r="C5663" s="16" t="str">
        <f>IFERROR(VLOOKUP(DATA!#REF!,DATA!#REF!,1,FALSE),"")</f>
        <v/>
      </c>
      <c r="D5663" s="16" t="str">
        <f>IFERROR(VLOOKUP(C5663,DATA!#REF!,2,FALSE),"")</f>
        <v/>
      </c>
      <c r="I5663" s="17"/>
      <c r="J5663" s="17"/>
      <c r="P5663" s="17"/>
      <c r="Q5663" s="17"/>
    </row>
    <row r="5664" spans="2:17">
      <c r="B5664" s="17"/>
      <c r="C5664" s="16" t="str">
        <f>IFERROR(VLOOKUP(DATA!#REF!,DATA!#REF!,1,FALSE),"")</f>
        <v/>
      </c>
      <c r="D5664" s="16" t="str">
        <f>IFERROR(VLOOKUP(C5664,DATA!#REF!,2,FALSE),"")</f>
        <v/>
      </c>
      <c r="I5664" s="17"/>
      <c r="J5664" s="17"/>
      <c r="P5664" s="17"/>
      <c r="Q5664" s="17"/>
    </row>
    <row r="5665" spans="2:17">
      <c r="B5665" s="17"/>
      <c r="C5665" s="16" t="str">
        <f>IFERROR(VLOOKUP(DATA!#REF!,DATA!#REF!,1,FALSE),"")</f>
        <v/>
      </c>
      <c r="D5665" s="16" t="str">
        <f>IFERROR(VLOOKUP(C5665,DATA!#REF!,2,FALSE),"")</f>
        <v/>
      </c>
      <c r="I5665" s="17"/>
      <c r="J5665" s="17"/>
      <c r="P5665" s="17"/>
      <c r="Q5665" s="17"/>
    </row>
    <row r="5666" spans="2:17">
      <c r="B5666" s="17"/>
      <c r="C5666" s="16" t="str">
        <f>IFERROR(VLOOKUP(DATA!#REF!,DATA!#REF!,1,FALSE),"")</f>
        <v/>
      </c>
      <c r="D5666" s="16" t="str">
        <f>IFERROR(VLOOKUP(C5666,DATA!#REF!,2,FALSE),"")</f>
        <v/>
      </c>
      <c r="I5666" s="17"/>
      <c r="J5666" s="17"/>
      <c r="P5666" s="17"/>
      <c r="Q5666" s="17"/>
    </row>
    <row r="5667" spans="2:17">
      <c r="B5667" s="17"/>
      <c r="C5667" s="16" t="str">
        <f>IFERROR(VLOOKUP(DATA!#REF!,DATA!#REF!,1,FALSE),"")</f>
        <v/>
      </c>
      <c r="D5667" s="16" t="str">
        <f>IFERROR(VLOOKUP(C5667,DATA!#REF!,2,FALSE),"")</f>
        <v/>
      </c>
      <c r="I5667" s="17"/>
      <c r="J5667" s="17"/>
      <c r="P5667" s="17"/>
      <c r="Q5667" s="17"/>
    </row>
    <row r="5668" spans="2:17">
      <c r="B5668" s="17"/>
      <c r="C5668" s="16" t="str">
        <f>IFERROR(VLOOKUP(DATA!#REF!,DATA!#REF!,1,FALSE),"")</f>
        <v/>
      </c>
      <c r="D5668" s="16" t="str">
        <f>IFERROR(VLOOKUP(C5668,DATA!#REF!,2,FALSE),"")</f>
        <v/>
      </c>
      <c r="I5668" s="17"/>
      <c r="J5668" s="17"/>
      <c r="P5668" s="17"/>
      <c r="Q5668" s="17"/>
    </row>
    <row r="5669" spans="2:17">
      <c r="B5669" s="17"/>
      <c r="C5669" s="16" t="str">
        <f>IFERROR(VLOOKUP(DATA!#REF!,DATA!#REF!,1,FALSE),"")</f>
        <v/>
      </c>
      <c r="D5669" s="16" t="str">
        <f>IFERROR(VLOOKUP(C5669,DATA!#REF!,2,FALSE),"")</f>
        <v/>
      </c>
      <c r="I5669" s="17"/>
      <c r="J5669" s="17"/>
      <c r="P5669" s="17"/>
      <c r="Q5669" s="17"/>
    </row>
    <row r="5670" spans="2:17">
      <c r="B5670" s="17"/>
      <c r="C5670" s="16" t="str">
        <f>IFERROR(VLOOKUP(DATA!#REF!,DATA!#REF!,1,FALSE),"")</f>
        <v/>
      </c>
      <c r="D5670" s="16" t="str">
        <f>IFERROR(VLOOKUP(C5670,DATA!#REF!,2,FALSE),"")</f>
        <v/>
      </c>
      <c r="I5670" s="17"/>
      <c r="J5670" s="17"/>
      <c r="P5670" s="17"/>
      <c r="Q5670" s="17"/>
    </row>
    <row r="5671" spans="2:17">
      <c r="B5671" s="17"/>
      <c r="C5671" s="16" t="str">
        <f>IFERROR(VLOOKUP(DATA!#REF!,DATA!#REF!,1,FALSE),"")</f>
        <v/>
      </c>
      <c r="D5671" s="16" t="str">
        <f>IFERROR(VLOOKUP(C5671,DATA!#REF!,2,FALSE),"")</f>
        <v/>
      </c>
      <c r="I5671" s="17"/>
      <c r="J5671" s="17"/>
      <c r="P5671" s="17"/>
      <c r="Q5671" s="17"/>
    </row>
    <row r="5672" spans="2:17">
      <c r="B5672" s="17"/>
      <c r="C5672" s="16" t="str">
        <f>IFERROR(VLOOKUP(DATA!#REF!,DATA!#REF!,1,FALSE),"")</f>
        <v/>
      </c>
      <c r="D5672" s="16" t="str">
        <f>IFERROR(VLOOKUP(C5672,DATA!#REF!,2,FALSE),"")</f>
        <v/>
      </c>
      <c r="I5672" s="17"/>
      <c r="J5672" s="17"/>
      <c r="P5672" s="17"/>
      <c r="Q5672" s="17"/>
    </row>
    <row r="5673" spans="2:17">
      <c r="B5673" s="17"/>
      <c r="C5673" s="16" t="str">
        <f>IFERROR(VLOOKUP(DATA!#REF!,DATA!#REF!,1,FALSE),"")</f>
        <v/>
      </c>
      <c r="D5673" s="16" t="str">
        <f>IFERROR(VLOOKUP(C5673,DATA!#REF!,2,FALSE),"")</f>
        <v/>
      </c>
      <c r="I5673" s="17"/>
      <c r="J5673" s="17"/>
      <c r="P5673" s="17"/>
      <c r="Q5673" s="17"/>
    </row>
    <row r="5674" spans="2:17">
      <c r="B5674" s="17"/>
      <c r="C5674" s="16" t="str">
        <f>IFERROR(VLOOKUP(DATA!#REF!,DATA!#REF!,1,FALSE),"")</f>
        <v/>
      </c>
      <c r="D5674" s="16" t="str">
        <f>IFERROR(VLOOKUP(C5674,DATA!#REF!,2,FALSE),"")</f>
        <v/>
      </c>
      <c r="I5674" s="17"/>
      <c r="J5674" s="17"/>
      <c r="P5674" s="17"/>
      <c r="Q5674" s="17"/>
    </row>
    <row r="5675" spans="2:17">
      <c r="B5675" s="17"/>
      <c r="C5675" s="16" t="str">
        <f>IFERROR(VLOOKUP(DATA!#REF!,DATA!#REF!,1,FALSE),"")</f>
        <v/>
      </c>
      <c r="D5675" s="16" t="str">
        <f>IFERROR(VLOOKUP(C5675,DATA!#REF!,2,FALSE),"")</f>
        <v/>
      </c>
      <c r="I5675" s="17"/>
      <c r="J5675" s="17"/>
      <c r="P5675" s="17"/>
      <c r="Q5675" s="17"/>
    </row>
    <row r="5676" spans="2:17">
      <c r="B5676" s="17"/>
      <c r="C5676" s="16" t="str">
        <f>IFERROR(VLOOKUP(DATA!#REF!,DATA!#REF!,1,FALSE),"")</f>
        <v/>
      </c>
      <c r="D5676" s="16" t="str">
        <f>IFERROR(VLOOKUP(C5676,DATA!#REF!,2,FALSE),"")</f>
        <v/>
      </c>
      <c r="I5676" s="17"/>
      <c r="J5676" s="17"/>
      <c r="P5676" s="17"/>
      <c r="Q5676" s="17"/>
    </row>
    <row r="5677" spans="2:17">
      <c r="B5677" s="17"/>
      <c r="C5677" s="16" t="str">
        <f>IFERROR(VLOOKUP(DATA!#REF!,DATA!#REF!,1,FALSE),"")</f>
        <v/>
      </c>
      <c r="D5677" s="16" t="str">
        <f>IFERROR(VLOOKUP(C5677,DATA!#REF!,2,FALSE),"")</f>
        <v/>
      </c>
      <c r="I5677" s="17"/>
      <c r="J5677" s="17"/>
      <c r="P5677" s="17"/>
      <c r="Q5677" s="17"/>
    </row>
    <row r="5678" spans="2:17">
      <c r="B5678" s="17"/>
      <c r="C5678" s="16" t="str">
        <f>IFERROR(VLOOKUP(DATA!#REF!,DATA!#REF!,1,FALSE),"")</f>
        <v/>
      </c>
      <c r="D5678" s="16" t="str">
        <f>IFERROR(VLOOKUP(C5678,DATA!#REF!,2,FALSE),"")</f>
        <v/>
      </c>
      <c r="I5678" s="17"/>
      <c r="J5678" s="17"/>
      <c r="P5678" s="17"/>
      <c r="Q5678" s="17"/>
    </row>
    <row r="5679" spans="2:17">
      <c r="B5679" s="17"/>
      <c r="C5679" s="16" t="str">
        <f>IFERROR(VLOOKUP(DATA!#REF!,DATA!#REF!,1,FALSE),"")</f>
        <v/>
      </c>
      <c r="D5679" s="16" t="str">
        <f>IFERROR(VLOOKUP(C5679,DATA!#REF!,2,FALSE),"")</f>
        <v/>
      </c>
      <c r="I5679" s="17"/>
      <c r="J5679" s="17"/>
      <c r="P5679" s="17"/>
      <c r="Q5679" s="17"/>
    </row>
    <row r="5680" spans="2:17">
      <c r="B5680" s="17"/>
      <c r="C5680" s="16" t="str">
        <f>IFERROR(VLOOKUP(DATA!#REF!,DATA!#REF!,1,FALSE),"")</f>
        <v/>
      </c>
      <c r="D5680" s="16" t="str">
        <f>IFERROR(VLOOKUP(C5680,DATA!#REF!,2,FALSE),"")</f>
        <v/>
      </c>
      <c r="I5680" s="17"/>
      <c r="J5680" s="17"/>
      <c r="P5680" s="17"/>
      <c r="Q5680" s="17"/>
    </row>
    <row r="5681" spans="2:17">
      <c r="B5681" s="17"/>
      <c r="C5681" s="16" t="str">
        <f>IFERROR(VLOOKUP(DATA!#REF!,DATA!#REF!,1,FALSE),"")</f>
        <v/>
      </c>
      <c r="D5681" s="16" t="str">
        <f>IFERROR(VLOOKUP(C5681,DATA!#REF!,2,FALSE),"")</f>
        <v/>
      </c>
      <c r="I5681" s="17"/>
      <c r="J5681" s="17"/>
      <c r="P5681" s="17"/>
      <c r="Q5681" s="17"/>
    </row>
  </sheetData>
  <sheetProtection password="DFC0" sheet="1" objects="1" scenarios="1"/>
  <autoFilter ref="B5:R5681"/>
  <mergeCells count="8">
    <mergeCell ref="F47:I47"/>
    <mergeCell ref="K47:N47"/>
    <mergeCell ref="F4:I4"/>
    <mergeCell ref="K4:N4"/>
    <mergeCell ref="F18:I18"/>
    <mergeCell ref="K18:N18"/>
    <mergeCell ref="F32:I32"/>
    <mergeCell ref="K32:N32"/>
  </mergeCells>
  <conditionalFormatting sqref="C41:D5681 B6:D13 B7:B14 C6:D14 G6:I13 L6:N13 G20:I26 L20:N26 B20:D28 B41:B2195">
    <cfRule type="expression" dxfId="432" priority="96">
      <formula>$C6&lt;&gt;""</formula>
    </cfRule>
  </conditionalFormatting>
  <conditionalFormatting sqref="C41:D5681 B6:D13 B7:B14 C6:D14 G6:I13 L6:N13 G20:I26 L20:N26 B20:D28 B41:B2195">
    <cfRule type="expression" dxfId="431" priority="94">
      <formula>$C6&lt;&gt;""</formula>
    </cfRule>
  </conditionalFormatting>
  <conditionalFormatting sqref="C41:D5681 B27:N28 F6:N13 B6:D13 B14:N14 B20:D26 F20:N26 B41:B2195 B41:N202">
    <cfRule type="expression" dxfId="430" priority="89">
      <formula>"$c6&lt;&gt;,"""""</formula>
    </cfRule>
  </conditionalFormatting>
  <conditionalFormatting sqref="C41:D5681 B27:N28 F6:N13 B6:D13 B14:N14 B20:D26 F20:N26 B41:N2365">
    <cfRule type="expression" dxfId="429" priority="88">
      <formula>"$C6&lt;&gt;"""""</formula>
    </cfRule>
  </conditionalFormatting>
  <conditionalFormatting sqref="B14:N14 B6:D13 F6:N13 B27:N28 B20:D26 F20:N26 B41:N14118">
    <cfRule type="expression" dxfId="428" priority="87">
      <formula>$C6&lt;&gt;""</formula>
    </cfRule>
  </conditionalFormatting>
  <conditionalFormatting sqref="G34:I36 L34:N40 B34:D40 G34:H40">
    <cfRule type="expression" dxfId="427" priority="56">
      <formula>$C34&lt;&gt;""</formula>
    </cfRule>
  </conditionalFormatting>
  <conditionalFormatting sqref="G34:I36 L34:N40 B34:D40 G34:H40">
    <cfRule type="expression" dxfId="426" priority="55">
      <formula>$C34&lt;&gt;""</formula>
    </cfRule>
  </conditionalFormatting>
  <conditionalFormatting sqref="F34:N36 G37:I40 B34:D40 F34:H40 J34:N40">
    <cfRule type="expression" dxfId="425" priority="54">
      <formula>"$c6&lt;&gt;,"""""</formula>
    </cfRule>
  </conditionalFormatting>
  <conditionalFormatting sqref="F34:N36 G37:I40 B34:D40 F34:H40 J34:N40">
    <cfRule type="expression" dxfId="424" priority="53">
      <formula>"$C6&lt;&gt;"""""</formula>
    </cfRule>
  </conditionalFormatting>
  <conditionalFormatting sqref="F34:N36 G37:I40 B34:D40 F34:H40 J34:N40">
    <cfRule type="expression" dxfId="423" priority="52">
      <formula>$C34&lt;&gt;""</formula>
    </cfRule>
  </conditionalFormatting>
  <conditionalFormatting sqref="G37:I40">
    <cfRule type="expression" dxfId="422" priority="51">
      <formula>$C37&lt;&gt;""</formula>
    </cfRule>
  </conditionalFormatting>
  <conditionalFormatting sqref="G37:I40">
    <cfRule type="expression" dxfId="421" priority="50">
      <formula>$C37&lt;&gt;""</formula>
    </cfRule>
  </conditionalFormatting>
  <conditionalFormatting sqref="J37:J40">
    <cfRule type="expression" dxfId="420" priority="49">
      <formula>"$c6&lt;&gt;,"""""</formula>
    </cfRule>
  </conditionalFormatting>
  <conditionalFormatting sqref="J37:J40">
    <cfRule type="expression" dxfId="419" priority="48">
      <formula>"$C6&lt;&gt;"""""</formula>
    </cfRule>
  </conditionalFormatting>
  <conditionalFormatting sqref="J37:J40">
    <cfRule type="expression" dxfId="418" priority="47">
      <formula>$C37&lt;&gt;""</formula>
    </cfRule>
  </conditionalFormatting>
  <conditionalFormatting sqref="G36">
    <cfRule type="expression" dxfId="417" priority="46">
      <formula>$C36&lt;&gt;""</formula>
    </cfRule>
  </conditionalFormatting>
  <conditionalFormatting sqref="G36">
    <cfRule type="expression" dxfId="416" priority="45">
      <formula>$C36&lt;&gt;""</formula>
    </cfRule>
  </conditionalFormatting>
  <conditionalFormatting sqref="G35">
    <cfRule type="expression" dxfId="415" priority="44">
      <formula>$C35&lt;&gt;""</formula>
    </cfRule>
  </conditionalFormatting>
  <conditionalFormatting sqref="G35">
    <cfRule type="expression" dxfId="414" priority="43">
      <formula>$C35&lt;&gt;""</formula>
    </cfRule>
  </conditionalFormatting>
  <conditionalFormatting sqref="G34:G40">
    <cfRule type="expression" dxfId="413" priority="42">
      <formula>$C34&lt;&gt;""</formula>
    </cfRule>
  </conditionalFormatting>
  <conditionalFormatting sqref="G34:G40">
    <cfRule type="expression" dxfId="412" priority="41">
      <formula>$C34&lt;&gt;""</formula>
    </cfRule>
  </conditionalFormatting>
  <conditionalFormatting sqref="C20:D26">
    <cfRule type="expression" dxfId="411" priority="40">
      <formula>$C20&lt;&gt;""</formula>
    </cfRule>
  </conditionalFormatting>
  <conditionalFormatting sqref="C20:D26">
    <cfRule type="expression" dxfId="410" priority="39">
      <formula>$C20&lt;&gt;""</formula>
    </cfRule>
  </conditionalFormatting>
  <conditionalFormatting sqref="C20:D26">
    <cfRule type="expression" dxfId="409" priority="36">
      <formula>$C20&lt;&gt;""</formula>
    </cfRule>
  </conditionalFormatting>
  <conditionalFormatting sqref="J20:J26">
    <cfRule type="expression" dxfId="408" priority="33">
      <formula>$C20&lt;&gt;""</formula>
    </cfRule>
  </conditionalFormatting>
  <conditionalFormatting sqref="C34:D40">
    <cfRule type="expression" dxfId="407" priority="32">
      <formula>$C34&lt;&gt;""</formula>
    </cfRule>
  </conditionalFormatting>
  <conditionalFormatting sqref="C34:D40">
    <cfRule type="expression" dxfId="406" priority="31">
      <formula>$C34&lt;&gt;""</formula>
    </cfRule>
  </conditionalFormatting>
  <conditionalFormatting sqref="C34:D40">
    <cfRule type="expression" dxfId="405" priority="30">
      <formula>"$c6&lt;&gt;,"""""</formula>
    </cfRule>
  </conditionalFormatting>
  <conditionalFormatting sqref="C34:D40">
    <cfRule type="expression" dxfId="404" priority="29">
      <formula>"$C6&lt;&gt;"""""</formula>
    </cfRule>
  </conditionalFormatting>
  <conditionalFormatting sqref="C34:D40">
    <cfRule type="expression" dxfId="403" priority="28">
      <formula>$C34&lt;&gt;""</formula>
    </cfRule>
  </conditionalFormatting>
  <conditionalFormatting sqref="C34:D40">
    <cfRule type="expression" dxfId="402" priority="27">
      <formula>$C34&lt;&gt;""</formula>
    </cfRule>
  </conditionalFormatting>
  <conditionalFormatting sqref="C34:D40">
    <cfRule type="expression" dxfId="401" priority="26">
      <formula>$C34&lt;&gt;""</formula>
    </cfRule>
  </conditionalFormatting>
  <conditionalFormatting sqref="C34:D40">
    <cfRule type="expression" dxfId="400" priority="25">
      <formula>$C34&lt;&gt;""</formula>
    </cfRule>
  </conditionalFormatting>
  <conditionalFormatting sqref="G49:I51 L49:N55 B49:D55 G49:H55">
    <cfRule type="expression" dxfId="399" priority="24">
      <formula>$C49&lt;&gt;""</formula>
    </cfRule>
  </conditionalFormatting>
  <conditionalFormatting sqref="G49:I51 L49:N55 B49:D55 G49:H55">
    <cfRule type="expression" dxfId="398" priority="23">
      <formula>$C49&lt;&gt;""</formula>
    </cfRule>
  </conditionalFormatting>
  <conditionalFormatting sqref="F49:N51 F52:I55 J54:N55 K52:N53 B49:D55 G49:H55 J49:J55">
    <cfRule type="expression" dxfId="397" priority="22">
      <formula>"$c6&lt;&gt;,"""""</formula>
    </cfRule>
  </conditionalFormatting>
  <conditionalFormatting sqref="F49:N51 F52:I55 J54:N55 K52:N53 B49:D55 G49:H55 J49:J55">
    <cfRule type="expression" dxfId="396" priority="21">
      <formula>"$C6&lt;&gt;"""""</formula>
    </cfRule>
  </conditionalFormatting>
  <conditionalFormatting sqref="F49:N51 F52:I55 J54:N55 K52:N53 B49:D55 G49:H55 J49:J55">
    <cfRule type="expression" dxfId="395" priority="20">
      <formula>$C49&lt;&gt;""</formula>
    </cfRule>
  </conditionalFormatting>
  <conditionalFormatting sqref="G52:I55">
    <cfRule type="expression" dxfId="394" priority="19">
      <formula>$C52&lt;&gt;""</formula>
    </cfRule>
  </conditionalFormatting>
  <conditionalFormatting sqref="G52:I55">
    <cfRule type="expression" dxfId="393" priority="18">
      <formula>$C52&lt;&gt;""</formula>
    </cfRule>
  </conditionalFormatting>
  <conditionalFormatting sqref="J52:J55">
    <cfRule type="expression" dxfId="392" priority="17">
      <formula>"$c6&lt;&gt;,"""""</formula>
    </cfRule>
  </conditionalFormatting>
  <conditionalFormatting sqref="J52:J55">
    <cfRule type="expression" dxfId="391" priority="16">
      <formula>"$C6&lt;&gt;"""""</formula>
    </cfRule>
  </conditionalFormatting>
  <conditionalFormatting sqref="J52:J55">
    <cfRule type="expression" dxfId="390" priority="15">
      <formula>$C52&lt;&gt;""</formula>
    </cfRule>
  </conditionalFormatting>
  <conditionalFormatting sqref="G51">
    <cfRule type="expression" dxfId="389" priority="14">
      <formula>$C51&lt;&gt;""</formula>
    </cfRule>
  </conditionalFormatting>
  <conditionalFormatting sqref="G51">
    <cfRule type="expression" dxfId="388" priority="13">
      <formula>$C51&lt;&gt;""</formula>
    </cfRule>
  </conditionalFormatting>
  <conditionalFormatting sqref="G50">
    <cfRule type="expression" dxfId="387" priority="12">
      <formula>$C50&lt;&gt;""</formula>
    </cfRule>
  </conditionalFormatting>
  <conditionalFormatting sqref="G50">
    <cfRule type="expression" dxfId="386" priority="11">
      <formula>$C50&lt;&gt;""</formula>
    </cfRule>
  </conditionalFormatting>
  <conditionalFormatting sqref="G49:G55">
    <cfRule type="expression" dxfId="385" priority="10">
      <formula>$C49&lt;&gt;""</formula>
    </cfRule>
  </conditionalFormatting>
  <conditionalFormatting sqref="G49:G55">
    <cfRule type="expression" dxfId="384" priority="9">
      <formula>$C49&lt;&gt;""</formula>
    </cfRule>
  </conditionalFormatting>
  <conditionalFormatting sqref="C49:D55">
    <cfRule type="expression" dxfId="383" priority="8">
      <formula>$C49&lt;&gt;""</formula>
    </cfRule>
  </conditionalFormatting>
  <conditionalFormatting sqref="C49:D55">
    <cfRule type="expression" dxfId="382" priority="7">
      <formula>$C49&lt;&gt;""</formula>
    </cfRule>
  </conditionalFormatting>
  <conditionalFormatting sqref="C49:D55">
    <cfRule type="expression" dxfId="381" priority="6">
      <formula>"$c6&lt;&gt;,"""""</formula>
    </cfRule>
  </conditionalFormatting>
  <conditionalFormatting sqref="C49:D55">
    <cfRule type="expression" dxfId="380" priority="5">
      <formula>"$C6&lt;&gt;"""""</formula>
    </cfRule>
  </conditionalFormatting>
  <conditionalFormatting sqref="C49:D55">
    <cfRule type="expression" dxfId="379" priority="4">
      <formula>$C49&lt;&gt;""</formula>
    </cfRule>
  </conditionalFormatting>
  <conditionalFormatting sqref="C49:D55">
    <cfRule type="expression" dxfId="378" priority="3">
      <formula>$C49&lt;&gt;""</formula>
    </cfRule>
  </conditionalFormatting>
  <conditionalFormatting sqref="C49:D55">
    <cfRule type="expression" dxfId="377" priority="2">
      <formula>$C49&lt;&gt;""</formula>
    </cfRule>
  </conditionalFormatting>
  <conditionalFormatting sqref="C49:D55">
    <cfRule type="expression" dxfId="376" priority="1">
      <formula>$C49&lt;&gt;""</formula>
    </cfRule>
  </conditionalFormatting>
  <pageMargins left="0.7" right="0.7" top="0.75" bottom="0.75" header="0.3" footer="0.3"/>
  <pageSetup scale="55" fitToHeight="0" orientation="landscape" r:id="rId1"/>
  <ignoredErrors>
    <ignoredError sqref="F31:N33 J29:N29 I35:I37 I34 L35:N39 I39 I38 G30:H30 J30:N30 K34:N34" evalError="1"/>
  </ignoredErrors>
</worksheet>
</file>

<file path=xl/worksheets/sheet5.xml><?xml version="1.0" encoding="utf-8"?>
<worksheet xmlns="http://schemas.openxmlformats.org/spreadsheetml/2006/main" xmlns:r="http://schemas.openxmlformats.org/officeDocument/2006/relationships">
  <sheetPr>
    <pageSetUpPr fitToPage="1"/>
  </sheetPr>
  <dimension ref="B1:R5683"/>
  <sheetViews>
    <sheetView topLeftCell="A19" workbookViewId="0">
      <selection activeCell="F40" sqref="F40"/>
    </sheetView>
  </sheetViews>
  <sheetFormatPr defaultRowHeight="12.75"/>
  <cols>
    <col min="1" max="1" width="9.85546875" style="230" bestFit="1" customWidth="1"/>
    <col min="2" max="2" width="5.28515625" style="15" customWidth="1"/>
    <col min="3" max="3" width="5.5703125" style="16" customWidth="1"/>
    <col min="4" max="4" width="28.85546875" style="230" bestFit="1" customWidth="1"/>
    <col min="5" max="5" width="7.5703125" style="230" customWidth="1"/>
    <col min="6" max="7" width="12.7109375" style="230" customWidth="1"/>
    <col min="8" max="8" width="14" style="230" bestFit="1" customWidth="1"/>
    <col min="9" max="9" width="14.28515625" style="18" customWidth="1"/>
    <col min="10" max="10" width="7.42578125" style="16" customWidth="1"/>
    <col min="11" max="11" width="13" style="230" customWidth="1"/>
    <col min="12" max="12" width="12.85546875" style="230" bestFit="1" customWidth="1"/>
    <col min="13" max="14" width="14" style="230" bestFit="1" customWidth="1"/>
    <col min="15" max="15" width="12.5703125" style="230" bestFit="1" customWidth="1"/>
    <col min="16" max="16" width="11.42578125" style="16" bestFit="1" customWidth="1"/>
    <col min="17" max="17" width="6.5703125" style="16" customWidth="1"/>
    <col min="18" max="18" width="7.28515625" style="230" customWidth="1"/>
    <col min="19" max="16384" width="9.140625" style="230"/>
  </cols>
  <sheetData>
    <row r="1" spans="2:18">
      <c r="B1" s="77" t="s">
        <v>1346</v>
      </c>
      <c r="C1" s="77"/>
      <c r="D1" s="77"/>
      <c r="E1" s="77" t="s">
        <v>260</v>
      </c>
      <c r="F1" s="78">
        <f>SUM(F6:F500)</f>
        <v>2644403</v>
      </c>
      <c r="G1" s="78">
        <f t="shared" ref="G1:N1" si="0">SUM(G6:G500)</f>
        <v>29044680</v>
      </c>
      <c r="H1" s="78">
        <f t="shared" si="0"/>
        <v>29044679.99791</v>
      </c>
      <c r="I1" s="78">
        <f t="shared" si="0"/>
        <v>2644403.0020899996</v>
      </c>
      <c r="J1" s="77" t="s">
        <v>260</v>
      </c>
      <c r="K1" s="78">
        <f t="shared" si="0"/>
        <v>0</v>
      </c>
      <c r="L1" s="78">
        <f t="shared" si="0"/>
        <v>3288043</v>
      </c>
      <c r="M1" s="78">
        <f t="shared" si="0"/>
        <v>6787070.46</v>
      </c>
      <c r="N1" s="78">
        <f t="shared" si="0"/>
        <v>3499027.46</v>
      </c>
      <c r="O1" s="78">
        <f>SUM(O6:O731)</f>
        <v>1000000</v>
      </c>
      <c r="P1" s="176"/>
    </row>
    <row r="2" spans="2:18">
      <c r="E2" s="16" t="s">
        <v>1354</v>
      </c>
      <c r="F2" s="230">
        <f>+STAT1!H18</f>
        <v>2644403.0000789911</v>
      </c>
      <c r="G2" s="230">
        <f>+STAT1!J18+STAT2!J18+STAT3!J18+STAT4!J18</f>
        <v>29044680</v>
      </c>
      <c r="H2" s="230">
        <f>+STAT1!K18+STAT2!K18+STAT3!K18+STAT4!K18</f>
        <v>29044679.99791</v>
      </c>
      <c r="I2" s="18">
        <f>+STAT4!V18</f>
        <v>2644403.0021689907</v>
      </c>
      <c r="J2" s="16" t="s">
        <v>1354</v>
      </c>
      <c r="K2" s="230">
        <f>+STAT1!I78</f>
        <v>0</v>
      </c>
    </row>
    <row r="3" spans="2:18">
      <c r="B3" s="15">
        <f>+COUNT(B6:B5697)</f>
        <v>135</v>
      </c>
      <c r="E3" s="230" t="s">
        <v>1362</v>
      </c>
      <c r="G3" s="230">
        <f>+G1-G2</f>
        <v>0</v>
      </c>
      <c r="H3" s="230">
        <f>+H1-H2</f>
        <v>0</v>
      </c>
      <c r="I3" s="230">
        <f>+I1-I2</f>
        <v>-7.8991055488586426E-5</v>
      </c>
      <c r="K3" s="230">
        <f>+K2-K1</f>
        <v>0</v>
      </c>
      <c r="L3" s="108" t="s">
        <v>329</v>
      </c>
      <c r="M3" s="109">
        <v>42736</v>
      </c>
      <c r="N3" s="109">
        <v>43100</v>
      </c>
    </row>
    <row r="4" spans="2:18" ht="15" customHeight="1">
      <c r="B4" s="57" t="s">
        <v>1</v>
      </c>
      <c r="C4" s="58" t="s">
        <v>0</v>
      </c>
      <c r="D4" s="59" t="s">
        <v>302</v>
      </c>
      <c r="E4" s="58" t="s">
        <v>299</v>
      </c>
      <c r="F4" s="913" t="s">
        <v>41</v>
      </c>
      <c r="G4" s="913"/>
      <c r="H4" s="913"/>
      <c r="I4" s="913"/>
      <c r="J4" s="58" t="s">
        <v>299</v>
      </c>
      <c r="K4" s="913" t="s">
        <v>42</v>
      </c>
      <c r="L4" s="913"/>
      <c r="M4" s="913"/>
      <c r="N4" s="913"/>
      <c r="O4" s="85" t="s">
        <v>327</v>
      </c>
      <c r="P4" s="177"/>
    </row>
    <row r="5" spans="2:18">
      <c r="B5" s="57"/>
      <c r="C5" s="58"/>
      <c r="D5" s="59"/>
      <c r="E5" s="75" t="s">
        <v>300</v>
      </c>
      <c r="F5" s="60" t="s">
        <v>40</v>
      </c>
      <c r="G5" s="60" t="s">
        <v>3</v>
      </c>
      <c r="H5" s="60" t="s">
        <v>4</v>
      </c>
      <c r="I5" s="76" t="s">
        <v>301</v>
      </c>
      <c r="J5" s="75" t="s">
        <v>300</v>
      </c>
      <c r="K5" s="60" t="s">
        <v>40</v>
      </c>
      <c r="L5" s="60" t="s">
        <v>3</v>
      </c>
      <c r="M5" s="60" t="s">
        <v>4</v>
      </c>
      <c r="N5" s="76" t="s">
        <v>301</v>
      </c>
      <c r="O5" s="83" t="s">
        <v>328</v>
      </c>
      <c r="P5" s="138" t="s">
        <v>261</v>
      </c>
      <c r="Q5" s="16" t="s">
        <v>262</v>
      </c>
    </row>
    <row r="6" spans="2:18">
      <c r="B6" s="15">
        <f t="shared" ref="B6" si="1">+IF(C6="","",ROW()-5)</f>
        <v>1</v>
      </c>
      <c r="C6" s="16">
        <f>IFERROR(VLOOKUP(DATA!G4,DATA!$G$4:$J$2149,1,FALSE),"")</f>
        <v>2001</v>
      </c>
      <c r="D6" s="16" t="str">
        <f>+IFERROR(VLOOKUP(C6,DATA!$G$4:$H$2000,2,FALSE),"")</f>
        <v>ХУД-н ТАТВАРЫН ХЭЛТЭС</v>
      </c>
      <c r="E6" s="16">
        <v>120100</v>
      </c>
      <c r="G6" s="230">
        <f>+SUMIFS(JURNAL!G:G,JURNAL!E:E,E6,JURNAL!L:L,$C6,JURNAL!C:C,"&gt;="&amp;$M$3,JURNAL!C:C,"&lt;="&amp;$N$3)</f>
        <v>0</v>
      </c>
      <c r="H6" s="19">
        <f>+SUMIFS(JURNAL!H:H,JURNAL!E:E,E6,JURNAL!L:L,$C6,JURNAL!C:C,"&gt;="&amp;$M$3,JURNAL!C:C,"&lt;="&amp;$N$3)</f>
        <v>0</v>
      </c>
      <c r="I6" s="18">
        <f>+F6+G6-H6</f>
        <v>0</v>
      </c>
      <c r="J6" s="16">
        <v>310100</v>
      </c>
      <c r="L6" s="230">
        <f>+SUMIFS(JURNAL!G:G,JURNAL!E:E,J6,JURNAL!L:L,$C6,JURNAL!C:C,"&gt;="&amp;$M$3,JURNAL!C:C,"&lt;="&amp;$N$3)</f>
        <v>0</v>
      </c>
      <c r="M6" s="19">
        <f>+SUMIFS(JURNAL!H:H,JURNAL!E:E,J6,JURNAL!L:L,$C6,JURNAL!C:C,"&gt;="&amp;$M$3,JURNAL!C:C,"&lt;="&amp;$N$3)</f>
        <v>0</v>
      </c>
      <c r="N6" s="73">
        <f t="shared" ref="N6" si="2">+K6+M6-L6</f>
        <v>0</v>
      </c>
      <c r="O6" s="230">
        <f t="shared" ref="O6" si="3">+IF(I6&lt;N6,I6,N6)</f>
        <v>0</v>
      </c>
      <c r="P6" s="16">
        <f>+J6</f>
        <v>310100</v>
      </c>
      <c r="Q6" s="16">
        <f>+E6</f>
        <v>120100</v>
      </c>
      <c r="R6" s="230">
        <f>+IF(O6,1,0)</f>
        <v>0</v>
      </c>
    </row>
    <row r="7" spans="2:18">
      <c r="B7" s="15">
        <f t="shared" ref="B7:B70" si="4">+IF(C7="","",ROW()-5)</f>
        <v>2</v>
      </c>
      <c r="C7" s="16">
        <f>IFERROR(VLOOKUP(DATA!G5,DATA!$G$4:$J$2149,1,FALSE),"")</f>
        <v>2002</v>
      </c>
      <c r="D7" s="16" t="str">
        <f>+IFERROR(VLOOKUP(C7,DATA!$G$4:$H$2000,2,FALSE),"")</f>
        <v xml:space="preserve">ХУД-н ЭМНД ХЭЛТЭС </v>
      </c>
      <c r="E7" s="16">
        <v>120100</v>
      </c>
      <c r="G7" s="230">
        <f>+SUMIFS(JURNAL!G:G,JURNAL!E:E,E7,JURNAL!L:L,$C7,JURNAL!C:C,"&gt;="&amp;$M$3,JURNAL!C:C,"&lt;="&amp;$N$3)</f>
        <v>0</v>
      </c>
      <c r="H7" s="19">
        <f>+SUMIFS(JURNAL!H:H,JURNAL!E:E,E7,JURNAL!L:L,$C7,JURNAL!C:C,"&gt;="&amp;$M$3,JURNAL!C:C,"&lt;="&amp;$N$3)</f>
        <v>0</v>
      </c>
      <c r="I7" s="18">
        <f t="shared" ref="I7:I70" si="5">+F7+G7-H7</f>
        <v>0</v>
      </c>
      <c r="J7" s="16">
        <v>310100</v>
      </c>
      <c r="L7" s="230">
        <f>+SUMIFS(JURNAL!G:G,JURNAL!E:E,J7,JURNAL!L:L,$C7,JURNAL!C:C,"&gt;="&amp;$M$3,JURNAL!C:C,"&lt;="&amp;$N$3)</f>
        <v>0</v>
      </c>
      <c r="M7" s="19">
        <f>+SUMIFS(JURNAL!H:H,JURNAL!E:E,J7,JURNAL!L:L,$C7,JURNAL!C:C,"&gt;="&amp;$M$3,JURNAL!C:C,"&lt;="&amp;$N$3)</f>
        <v>0</v>
      </c>
      <c r="N7" s="73">
        <f t="shared" ref="N7:N70" si="6">+K7+M7-L7</f>
        <v>0</v>
      </c>
      <c r="O7" s="230">
        <f t="shared" ref="O7:O70" si="7">+IF(I7&lt;N7,I7,N7)</f>
        <v>0</v>
      </c>
      <c r="P7" s="16">
        <f t="shared" ref="P7:P70" si="8">+J7</f>
        <v>310100</v>
      </c>
      <c r="Q7" s="16">
        <f t="shared" ref="Q7:Q70" si="9">+E7</f>
        <v>120100</v>
      </c>
      <c r="R7" s="230">
        <f t="shared" ref="R7:R70" si="10">+IF(O7,1,0)</f>
        <v>0</v>
      </c>
    </row>
    <row r="8" spans="2:18">
      <c r="B8" s="15">
        <f t="shared" si="4"/>
        <v>3</v>
      </c>
      <c r="C8" s="16">
        <f>IFERROR(VLOOKUP(DATA!G6,DATA!$G$4:$J$2149,1,FALSE),"")</f>
        <v>2003</v>
      </c>
      <c r="D8" s="16" t="str">
        <f>+IFERROR(VLOOKUP(C8,DATA!$G$4:$H$2000,2,FALSE),"")</f>
        <v xml:space="preserve">УБЦТС ТӨХК </v>
      </c>
      <c r="E8" s="16">
        <v>120100</v>
      </c>
      <c r="G8" s="230">
        <f>+SUMIFS(JURNAL!G:G,JURNAL!E:E,E8,JURNAL!L:L,$C8,JURNAL!C:C,"&gt;="&amp;$M$3,JURNAL!C:C,"&lt;="&amp;$N$3)</f>
        <v>0</v>
      </c>
      <c r="H8" s="19">
        <f>+SUMIFS(JURNAL!H:H,JURNAL!E:E,E8,JURNAL!L:L,$C8,JURNAL!C:C,"&gt;="&amp;$M$3,JURNAL!C:C,"&lt;="&amp;$N$3)</f>
        <v>0</v>
      </c>
      <c r="I8" s="18">
        <f t="shared" si="5"/>
        <v>0</v>
      </c>
      <c r="J8" s="16">
        <v>310100</v>
      </c>
      <c r="L8" s="230">
        <f>+SUMIFS(JURNAL!G:G,JURNAL!E:E,J8,JURNAL!L:L,$C8,JURNAL!C:C,"&gt;="&amp;$M$3,JURNAL!C:C,"&lt;="&amp;$N$3)</f>
        <v>0</v>
      </c>
      <c r="M8" s="19">
        <f>+SUMIFS(JURNAL!H:H,JURNAL!E:E,J8,JURNAL!L:L,$C8,JURNAL!C:C,"&gt;="&amp;$M$3,JURNAL!C:C,"&lt;="&amp;$N$3)</f>
        <v>0</v>
      </c>
      <c r="N8" s="73">
        <f t="shared" si="6"/>
        <v>0</v>
      </c>
      <c r="O8" s="230">
        <f t="shared" si="7"/>
        <v>0</v>
      </c>
      <c r="P8" s="16">
        <f t="shared" si="8"/>
        <v>310100</v>
      </c>
      <c r="Q8" s="16">
        <f t="shared" si="9"/>
        <v>120100</v>
      </c>
      <c r="R8" s="230">
        <f t="shared" si="10"/>
        <v>0</v>
      </c>
    </row>
    <row r="9" spans="2:18">
      <c r="B9" s="15">
        <f t="shared" si="4"/>
        <v>4</v>
      </c>
      <c r="C9" s="16">
        <f>IFERROR(VLOOKUP(DATA!G7,DATA!$G$4:$J$2149,1,FALSE),"")</f>
        <v>2004</v>
      </c>
      <c r="D9" s="16" t="str">
        <f>+IFERROR(VLOOKUP(C9,DATA!$G$4:$H$2000,2,FALSE),"")</f>
        <v xml:space="preserve">ДЦС-3 ТӨХК </v>
      </c>
      <c r="E9" s="16">
        <v>120100</v>
      </c>
      <c r="F9" s="230">
        <v>1000000</v>
      </c>
      <c r="G9" s="230">
        <f>+SUMIFS(JURNAL!G:G,JURNAL!E:E,E9,JURNAL!L:L,$C9,JURNAL!C:C,"&gt;="&amp;$M$3,JURNAL!C:C,"&lt;="&amp;$N$3)</f>
        <v>0</v>
      </c>
      <c r="H9" s="19">
        <f>+SUMIFS(JURNAL!H:H,JURNAL!E:E,E9,JURNAL!L:L,$C9,JURNAL!C:C,"&gt;="&amp;$M$3,JURNAL!C:C,"&lt;="&amp;$N$3)</f>
        <v>0</v>
      </c>
      <c r="I9" s="18">
        <f t="shared" si="5"/>
        <v>1000000</v>
      </c>
      <c r="J9" s="16">
        <v>310100</v>
      </c>
      <c r="L9" s="230">
        <f>+SUMIFS(JURNAL!G:G,JURNAL!E:E,J9,JURNAL!L:L,$C9,JURNAL!C:C,"&gt;="&amp;$M$3,JURNAL!C:C,"&lt;="&amp;$N$3)</f>
        <v>0</v>
      </c>
      <c r="M9" s="19">
        <f>+SUMIFS(JURNAL!H:H,JURNAL!E:E,J9,JURNAL!L:L,$C9,JURNAL!C:C,"&gt;="&amp;$M$3,JURNAL!C:C,"&lt;="&amp;$N$3)</f>
        <v>3499027.46</v>
      </c>
      <c r="N9" s="73">
        <f t="shared" si="6"/>
        <v>3499027.46</v>
      </c>
      <c r="O9" s="230">
        <f t="shared" si="7"/>
        <v>1000000</v>
      </c>
      <c r="P9" s="16">
        <f t="shared" si="8"/>
        <v>310100</v>
      </c>
      <c r="Q9" s="16">
        <f t="shared" si="9"/>
        <v>120100</v>
      </c>
      <c r="R9" s="230">
        <f t="shared" si="10"/>
        <v>1</v>
      </c>
    </row>
    <row r="10" spans="2:18">
      <c r="B10" s="15">
        <f t="shared" si="4"/>
        <v>5</v>
      </c>
      <c r="C10" s="16">
        <f>IFERROR(VLOOKUP(DATA!G8,DATA!$G$4:$J$2149,1,FALSE),"")</f>
        <v>2005</v>
      </c>
      <c r="D10" s="16" t="str">
        <f>+IFERROR(VLOOKUP(C10,DATA!$G$4:$H$2000,2,FALSE),"")</f>
        <v xml:space="preserve">УСУГ ТӨХК </v>
      </c>
      <c r="E10" s="16">
        <v>120100</v>
      </c>
      <c r="G10" s="230">
        <f>+SUMIFS(JURNAL!G:G,JURNAL!E:E,E10,JURNAL!L:L,$C10,JURNAL!C:C,"&gt;="&amp;$M$3,JURNAL!C:C,"&lt;="&amp;$N$3)</f>
        <v>0</v>
      </c>
      <c r="H10" s="19">
        <f>+SUMIFS(JURNAL!H:H,JURNAL!E:E,E10,JURNAL!L:L,$C10,JURNAL!C:C,"&gt;="&amp;$M$3,JURNAL!C:C,"&lt;="&amp;$N$3)</f>
        <v>0</v>
      </c>
      <c r="I10" s="18">
        <f t="shared" si="5"/>
        <v>0</v>
      </c>
      <c r="J10" s="16">
        <v>310100</v>
      </c>
      <c r="L10" s="230">
        <f>+SUMIFS(JURNAL!G:G,JURNAL!E:E,J10,JURNAL!L:L,$C10,JURNAL!C:C,"&gt;="&amp;$M$3,JURNAL!C:C,"&lt;="&amp;$N$3)</f>
        <v>0</v>
      </c>
      <c r="M10" s="19">
        <f>+SUMIFS(JURNAL!H:H,JURNAL!E:E,J10,JURNAL!L:L,$C10,JURNAL!C:C,"&gt;="&amp;$M$3,JURNAL!C:C,"&lt;="&amp;$N$3)</f>
        <v>0</v>
      </c>
      <c r="N10" s="73">
        <f t="shared" si="6"/>
        <v>0</v>
      </c>
      <c r="O10" s="230">
        <f t="shared" si="7"/>
        <v>0</v>
      </c>
      <c r="P10" s="16">
        <f t="shared" si="8"/>
        <v>310100</v>
      </c>
      <c r="Q10" s="16">
        <f t="shared" si="9"/>
        <v>120100</v>
      </c>
      <c r="R10" s="230">
        <f t="shared" si="10"/>
        <v>0</v>
      </c>
    </row>
    <row r="11" spans="2:18">
      <c r="B11" s="15">
        <f t="shared" si="4"/>
        <v>6</v>
      </c>
      <c r="C11" s="16">
        <f>IFERROR(VLOOKUP(DATA!G9,DATA!$G$4:$J$2149,1,FALSE),"")</f>
        <v>2006</v>
      </c>
      <c r="D11" s="16" t="str">
        <f>+IFERROR(VLOOKUP(C11,DATA!$G$4:$H$2000,2,FALSE),"")</f>
        <v xml:space="preserve">МЦХОЛБОО </v>
      </c>
      <c r="E11" s="16">
        <v>120100</v>
      </c>
      <c r="G11" s="230">
        <f>+SUMIFS(JURNAL!G:G,JURNAL!E:E,E11,JURNAL!L:L,$C11,JURNAL!C:C,"&gt;="&amp;$M$3,JURNAL!C:C,"&lt;="&amp;$N$3)</f>
        <v>0</v>
      </c>
      <c r="H11" s="19">
        <f>+SUMIFS(JURNAL!H:H,JURNAL!E:E,E11,JURNAL!L:L,$C11,JURNAL!C:C,"&gt;="&amp;$M$3,JURNAL!C:C,"&lt;="&amp;$N$3)</f>
        <v>0</v>
      </c>
      <c r="I11" s="18">
        <f t="shared" si="5"/>
        <v>0</v>
      </c>
      <c r="J11" s="16">
        <v>310100</v>
      </c>
      <c r="L11" s="230">
        <f>+SUMIFS(JURNAL!G:G,JURNAL!E:E,J11,JURNAL!L:L,$C11,JURNAL!C:C,"&gt;="&amp;$M$3,JURNAL!C:C,"&lt;="&amp;$N$3)</f>
        <v>0</v>
      </c>
      <c r="M11" s="19">
        <f>+SUMIFS(JURNAL!H:H,JURNAL!E:E,J11,JURNAL!L:L,$C11,JURNAL!C:C,"&gt;="&amp;$M$3,JURNAL!C:C,"&lt;="&amp;$N$3)</f>
        <v>0</v>
      </c>
      <c r="N11" s="73">
        <f t="shared" si="6"/>
        <v>0</v>
      </c>
      <c r="O11" s="230">
        <f t="shared" si="7"/>
        <v>0</v>
      </c>
      <c r="P11" s="16">
        <f t="shared" si="8"/>
        <v>310100</v>
      </c>
      <c r="Q11" s="16">
        <f t="shared" si="9"/>
        <v>120100</v>
      </c>
      <c r="R11" s="230">
        <f t="shared" si="10"/>
        <v>0</v>
      </c>
    </row>
    <row r="12" spans="2:18">
      <c r="B12" s="15">
        <f t="shared" si="4"/>
        <v>7</v>
      </c>
      <c r="C12" s="16">
        <f>IFERROR(VLOOKUP(DATA!G10,DATA!$G$4:$J$2149,1,FALSE),"")</f>
        <v>2007</v>
      </c>
      <c r="D12" s="16" t="str">
        <f>+IFERROR(VLOOKUP(C12,DATA!$G$4:$H$2000,2,FALSE),"")</f>
        <v xml:space="preserve">МХБИРЖ -ТӨХК </v>
      </c>
      <c r="E12" s="16">
        <v>120100</v>
      </c>
      <c r="G12" s="230">
        <f>+SUMIFS(JURNAL!G:G,JURNAL!E:E,E12,JURNAL!L:L,$C12,JURNAL!C:C,"&gt;="&amp;$M$3,JURNAL!C:C,"&lt;="&amp;$N$3)</f>
        <v>0</v>
      </c>
      <c r="H12" s="19">
        <f>+SUMIFS(JURNAL!H:H,JURNAL!E:E,E12,JURNAL!L:L,$C12,JURNAL!C:C,"&gt;="&amp;$M$3,JURNAL!C:C,"&lt;="&amp;$N$3)</f>
        <v>0</v>
      </c>
      <c r="I12" s="18">
        <f t="shared" si="5"/>
        <v>0</v>
      </c>
      <c r="J12" s="16">
        <v>310100</v>
      </c>
      <c r="L12" s="230">
        <f>+SUMIFS(JURNAL!G:G,JURNAL!E:E,J12,JURNAL!L:L,$C12,JURNAL!C:C,"&gt;="&amp;$M$3,JURNAL!C:C,"&lt;="&amp;$N$3)</f>
        <v>0</v>
      </c>
      <c r="M12" s="19">
        <f>+SUMIFS(JURNAL!H:H,JURNAL!E:E,J12,JURNAL!L:L,$C12,JURNAL!C:C,"&gt;="&amp;$M$3,JURNAL!C:C,"&lt;="&amp;$N$3)</f>
        <v>0</v>
      </c>
      <c r="N12" s="73">
        <f t="shared" si="6"/>
        <v>0</v>
      </c>
      <c r="O12" s="230">
        <f t="shared" si="7"/>
        <v>0</v>
      </c>
      <c r="P12" s="16">
        <f t="shared" si="8"/>
        <v>310100</v>
      </c>
      <c r="Q12" s="16">
        <f t="shared" si="9"/>
        <v>120100</v>
      </c>
      <c r="R12" s="230">
        <f t="shared" si="10"/>
        <v>0</v>
      </c>
    </row>
    <row r="13" spans="2:18">
      <c r="B13" s="15">
        <f t="shared" si="4"/>
        <v>8</v>
      </c>
      <c r="C13" s="16">
        <f>IFERROR(VLOOKUP(DATA!G11,DATA!$G$4:$J$2149,1,FALSE),"")</f>
        <v>2008</v>
      </c>
      <c r="D13" s="16" t="str">
        <f>+IFERROR(VLOOKUP(C13,DATA!$G$4:$H$2000,2,FALSE),"")</f>
        <v xml:space="preserve">САНХҮҮГИЙН ЗОХИЦУУЛАХ ХОРОО </v>
      </c>
      <c r="E13" s="16">
        <v>120100</v>
      </c>
      <c r="G13" s="230">
        <f>+SUMIFS(JURNAL!G:G,JURNAL!E:E,E13,JURNAL!L:L,$C13,JURNAL!C:C,"&gt;="&amp;$M$3,JURNAL!C:C,"&lt;="&amp;$N$3)</f>
        <v>0</v>
      </c>
      <c r="H13" s="19">
        <f>+SUMIFS(JURNAL!H:H,JURNAL!E:E,E13,JURNAL!L:L,$C13,JURNAL!C:C,"&gt;="&amp;$M$3,JURNAL!C:C,"&lt;="&amp;$N$3)</f>
        <v>0</v>
      </c>
      <c r="I13" s="18">
        <f t="shared" si="5"/>
        <v>0</v>
      </c>
      <c r="J13" s="16">
        <v>310100</v>
      </c>
      <c r="L13" s="230">
        <f>+SUMIFS(JURNAL!G:G,JURNAL!E:E,J13,JURNAL!L:L,$C13,JURNAL!C:C,"&gt;="&amp;$M$3,JURNAL!C:C,"&lt;="&amp;$N$3)</f>
        <v>0</v>
      </c>
      <c r="M13" s="19">
        <f>+SUMIFS(JURNAL!H:H,JURNAL!E:E,J13,JURNAL!L:L,$C13,JURNAL!C:C,"&gt;="&amp;$M$3,JURNAL!C:C,"&lt;="&amp;$N$3)</f>
        <v>0</v>
      </c>
      <c r="N13" s="73">
        <f t="shared" si="6"/>
        <v>0</v>
      </c>
      <c r="O13" s="230">
        <f t="shared" si="7"/>
        <v>0</v>
      </c>
      <c r="P13" s="16">
        <f t="shared" si="8"/>
        <v>310100</v>
      </c>
      <c r="Q13" s="16">
        <f t="shared" si="9"/>
        <v>120100</v>
      </c>
      <c r="R13" s="230">
        <f t="shared" si="10"/>
        <v>0</v>
      </c>
    </row>
    <row r="14" spans="2:18">
      <c r="B14" s="15">
        <f t="shared" si="4"/>
        <v>9</v>
      </c>
      <c r="C14" s="16">
        <f>IFERROR(VLOOKUP(DATA!G12,DATA!$G$4:$J$2149,1,FALSE),"")</f>
        <v>2009</v>
      </c>
      <c r="D14" s="16" t="str">
        <f>+IFERROR(VLOOKUP(C14,DATA!$G$4:$H$2000,2,FALSE),"")</f>
        <v>ХААН БАНК</v>
      </c>
      <c r="E14" s="16">
        <v>120100</v>
      </c>
      <c r="G14" s="230">
        <f>+SUMIFS(JURNAL!G:G,JURNAL!E:E,E14,JURNAL!L:L,$C14,JURNAL!C:C,"&gt;="&amp;$M$3,JURNAL!C:C,"&lt;="&amp;$N$3)</f>
        <v>0</v>
      </c>
      <c r="H14" s="19">
        <f>+SUMIFS(JURNAL!H:H,JURNAL!E:E,E14,JURNAL!L:L,$C14,JURNAL!C:C,"&gt;="&amp;$M$3,JURNAL!C:C,"&lt;="&amp;$N$3)</f>
        <v>0</v>
      </c>
      <c r="I14" s="18">
        <f t="shared" si="5"/>
        <v>0</v>
      </c>
      <c r="J14" s="16">
        <v>310100</v>
      </c>
      <c r="L14" s="230">
        <f>+SUMIFS(JURNAL!G:G,JURNAL!E:E,J14,JURNAL!L:L,$C14,JURNAL!C:C,"&gt;="&amp;$M$3,JURNAL!C:C,"&lt;="&amp;$N$3)</f>
        <v>0</v>
      </c>
      <c r="M14" s="19">
        <f>+SUMIFS(JURNAL!H:H,JURNAL!E:E,J14,JURNAL!L:L,$C14,JURNAL!C:C,"&gt;="&amp;$M$3,JURNAL!C:C,"&lt;="&amp;$N$3)</f>
        <v>0</v>
      </c>
      <c r="N14" s="73">
        <f t="shared" si="6"/>
        <v>0</v>
      </c>
      <c r="O14" s="230">
        <f t="shared" si="7"/>
        <v>0</v>
      </c>
      <c r="P14" s="16">
        <f t="shared" si="8"/>
        <v>310100</v>
      </c>
      <c r="Q14" s="16">
        <f t="shared" si="9"/>
        <v>120100</v>
      </c>
      <c r="R14" s="230">
        <f t="shared" si="10"/>
        <v>0</v>
      </c>
    </row>
    <row r="15" spans="2:18">
      <c r="B15" s="15">
        <f t="shared" si="4"/>
        <v>10</v>
      </c>
      <c r="C15" s="16">
        <f>IFERROR(VLOOKUP(DATA!G13,DATA!$G$4:$J$2149,1,FALSE),"")</f>
        <v>2010</v>
      </c>
      <c r="D15" s="16" t="str">
        <f>+IFERROR(VLOOKUP(C15,DATA!$G$4:$H$2000,2,FALSE),"")</f>
        <v>ХХБАНК</v>
      </c>
      <c r="E15" s="16">
        <v>120100</v>
      </c>
      <c r="G15" s="230">
        <f>+SUMIFS(JURNAL!G:G,JURNAL!E:E,E15,JURNAL!L:L,$C15,JURNAL!C:C,"&gt;="&amp;$M$3,JURNAL!C:C,"&lt;="&amp;$N$3)</f>
        <v>0</v>
      </c>
      <c r="H15" s="19">
        <f>+SUMIFS(JURNAL!H:H,JURNAL!E:E,E15,JURNAL!L:L,$C15,JURNAL!C:C,"&gt;="&amp;$M$3,JURNAL!C:C,"&lt;="&amp;$N$3)</f>
        <v>0</v>
      </c>
      <c r="I15" s="18">
        <f t="shared" si="5"/>
        <v>0</v>
      </c>
      <c r="J15" s="16">
        <v>310100</v>
      </c>
      <c r="L15" s="230">
        <f>+SUMIFS(JURNAL!G:G,JURNAL!E:E,J15,JURNAL!L:L,$C15,JURNAL!C:C,"&gt;="&amp;$M$3,JURNAL!C:C,"&lt;="&amp;$N$3)</f>
        <v>0</v>
      </c>
      <c r="M15" s="19">
        <f>+SUMIFS(JURNAL!H:H,JURNAL!E:E,J15,JURNAL!L:L,$C15,JURNAL!C:C,"&gt;="&amp;$M$3,JURNAL!C:C,"&lt;="&amp;$N$3)</f>
        <v>0</v>
      </c>
      <c r="N15" s="73">
        <f t="shared" si="6"/>
        <v>0</v>
      </c>
      <c r="O15" s="230">
        <f t="shared" si="7"/>
        <v>0</v>
      </c>
      <c r="P15" s="16">
        <f t="shared" si="8"/>
        <v>310100</v>
      </c>
      <c r="Q15" s="16">
        <f t="shared" si="9"/>
        <v>120100</v>
      </c>
      <c r="R15" s="230">
        <f t="shared" si="10"/>
        <v>0</v>
      </c>
    </row>
    <row r="16" spans="2:18">
      <c r="B16" s="15">
        <f t="shared" si="4"/>
        <v>11</v>
      </c>
      <c r="C16" s="16">
        <f>IFERROR(VLOOKUP(DATA!G14,DATA!$G$4:$J$2149,1,FALSE),"")</f>
        <v>2011</v>
      </c>
      <c r="D16" s="16" t="str">
        <f>+IFERROR(VLOOKUP(C16,DATA!$G$4:$H$2000,2,FALSE),"")</f>
        <v xml:space="preserve">ГОЛОМТ БАНК </v>
      </c>
      <c r="E16" s="16">
        <v>120100</v>
      </c>
      <c r="G16" s="230">
        <f>+SUMIFS(JURNAL!G:G,JURNAL!E:E,E16,JURNAL!L:L,$C16,JURNAL!C:C,"&gt;="&amp;$M$3,JURNAL!C:C,"&lt;="&amp;$N$3)</f>
        <v>0</v>
      </c>
      <c r="H16" s="19">
        <f>+SUMIFS(JURNAL!H:H,JURNAL!E:E,E16,JURNAL!L:L,$C16,JURNAL!C:C,"&gt;="&amp;$M$3,JURNAL!C:C,"&lt;="&amp;$N$3)</f>
        <v>0</v>
      </c>
      <c r="I16" s="18">
        <f t="shared" si="5"/>
        <v>0</v>
      </c>
      <c r="J16" s="16">
        <v>310100</v>
      </c>
      <c r="L16" s="230">
        <f>+SUMIFS(JURNAL!G:G,JURNAL!E:E,J16,JURNAL!L:L,$C16,JURNAL!C:C,"&gt;="&amp;$M$3,JURNAL!C:C,"&lt;="&amp;$N$3)</f>
        <v>0</v>
      </c>
      <c r="M16" s="19">
        <f>+SUMIFS(JURNAL!H:H,JURNAL!E:E,J16,JURNAL!L:L,$C16,JURNAL!C:C,"&gt;="&amp;$M$3,JURNAL!C:C,"&lt;="&amp;$N$3)</f>
        <v>0</v>
      </c>
      <c r="N16" s="73">
        <f t="shared" si="6"/>
        <v>0</v>
      </c>
      <c r="O16" s="230">
        <f t="shared" si="7"/>
        <v>0</v>
      </c>
      <c r="P16" s="16">
        <f t="shared" si="8"/>
        <v>310100</v>
      </c>
      <c r="Q16" s="16">
        <f t="shared" si="9"/>
        <v>120100</v>
      </c>
      <c r="R16" s="230">
        <f t="shared" si="10"/>
        <v>0</v>
      </c>
    </row>
    <row r="17" spans="2:18">
      <c r="B17" s="15">
        <f t="shared" si="4"/>
        <v>12</v>
      </c>
      <c r="C17" s="16">
        <f>IFERROR(VLOOKUP(DATA!G15,DATA!$G$4:$J$2149,1,FALSE),"")</f>
        <v>3001</v>
      </c>
      <c r="D17" s="16" t="str">
        <f>+IFERROR(VLOOKUP(C17,DATA!$G$4:$H$2000,2,FALSE),"")</f>
        <v>ХУРД ГРУПП ХХК</v>
      </c>
      <c r="E17" s="16">
        <v>120100</v>
      </c>
      <c r="G17" s="230">
        <f>+SUMIFS(JURNAL!G:G,JURNAL!E:E,E17,JURNAL!L:L,$C17,JURNAL!C:C,"&gt;="&amp;$M$3,JURNAL!C:C,"&lt;="&amp;$N$3)</f>
        <v>0</v>
      </c>
      <c r="H17" s="19">
        <f>+SUMIFS(JURNAL!H:H,JURNAL!E:E,E17,JURNAL!L:L,$C17,JURNAL!C:C,"&gt;="&amp;$M$3,JURNAL!C:C,"&lt;="&amp;$N$3)</f>
        <v>0</v>
      </c>
      <c r="I17" s="18">
        <f t="shared" si="5"/>
        <v>0</v>
      </c>
      <c r="J17" s="16">
        <v>310100</v>
      </c>
      <c r="L17" s="230">
        <f>+SUMIFS(JURNAL!G:G,JURNAL!E:E,J17,JURNAL!L:L,$C17,JURNAL!C:C,"&gt;="&amp;$M$3,JURNAL!C:C,"&lt;="&amp;$N$3)</f>
        <v>0</v>
      </c>
      <c r="M17" s="19">
        <f>+SUMIFS(JURNAL!H:H,JURNAL!E:E,J17,JURNAL!L:L,$C17,JURNAL!C:C,"&gt;="&amp;$M$3,JURNAL!C:C,"&lt;="&amp;$N$3)</f>
        <v>0</v>
      </c>
      <c r="N17" s="73">
        <f t="shared" si="6"/>
        <v>0</v>
      </c>
      <c r="O17" s="230">
        <f t="shared" si="7"/>
        <v>0</v>
      </c>
      <c r="P17" s="16">
        <f t="shared" si="8"/>
        <v>310100</v>
      </c>
      <c r="Q17" s="16">
        <f t="shared" si="9"/>
        <v>120100</v>
      </c>
      <c r="R17" s="230">
        <f t="shared" si="10"/>
        <v>0</v>
      </c>
    </row>
    <row r="18" spans="2:18">
      <c r="B18" s="15">
        <f t="shared" si="4"/>
        <v>13</v>
      </c>
      <c r="C18" s="16">
        <f>IFERROR(VLOOKUP(DATA!G16,DATA!$G$4:$J$2149,1,FALSE),"")</f>
        <v>3002</v>
      </c>
      <c r="D18" s="16" t="str">
        <f>+IFERROR(VLOOKUP(C18,DATA!$G$4:$H$2000,2,FALSE),"")</f>
        <v>ЭКО КОНСТРАКШН ХХК</v>
      </c>
      <c r="E18" s="16">
        <v>120100</v>
      </c>
      <c r="G18" s="230">
        <f>+SUMIFS(JURNAL!G:G,JURNAL!E:E,E18,JURNAL!L:L,$C18,JURNAL!C:C,"&gt;="&amp;$M$3,JURNAL!C:C,"&lt;="&amp;$N$3)</f>
        <v>0</v>
      </c>
      <c r="H18" s="19">
        <f>+SUMIFS(JURNAL!H:H,JURNAL!E:E,E18,JURNAL!L:L,$C18,JURNAL!C:C,"&gt;="&amp;$M$3,JURNAL!C:C,"&lt;="&amp;$N$3)</f>
        <v>0</v>
      </c>
      <c r="I18" s="18">
        <f t="shared" si="5"/>
        <v>0</v>
      </c>
      <c r="J18" s="16">
        <v>310100</v>
      </c>
      <c r="L18" s="230">
        <f>+SUMIFS(JURNAL!G:G,JURNAL!E:E,J18,JURNAL!L:L,$C18,JURNAL!C:C,"&gt;="&amp;$M$3,JURNAL!C:C,"&lt;="&amp;$N$3)</f>
        <v>0</v>
      </c>
      <c r="M18" s="19">
        <f>+SUMIFS(JURNAL!H:H,JURNAL!E:E,J18,JURNAL!L:L,$C18,JURNAL!C:C,"&gt;="&amp;$M$3,JURNAL!C:C,"&lt;="&amp;$N$3)</f>
        <v>0</v>
      </c>
      <c r="N18" s="73">
        <f t="shared" si="6"/>
        <v>0</v>
      </c>
      <c r="O18" s="230">
        <f t="shared" si="7"/>
        <v>0</v>
      </c>
      <c r="P18" s="16">
        <f t="shared" si="8"/>
        <v>310100</v>
      </c>
      <c r="Q18" s="16">
        <f t="shared" si="9"/>
        <v>120100</v>
      </c>
      <c r="R18" s="230">
        <f t="shared" si="10"/>
        <v>0</v>
      </c>
    </row>
    <row r="19" spans="2:18">
      <c r="B19" s="15">
        <f t="shared" si="4"/>
        <v>14</v>
      </c>
      <c r="C19" s="16">
        <f>IFERROR(VLOOKUP(DATA!G17,DATA!$G$4:$J$2149,1,FALSE),"")</f>
        <v>3003</v>
      </c>
      <c r="D19" s="16" t="str">
        <f>+IFERROR(VLOOKUP(C19,DATA!$G$4:$H$2000,2,FALSE),"")</f>
        <v xml:space="preserve">МУХИА ХХК </v>
      </c>
      <c r="E19" s="16">
        <v>120100</v>
      </c>
      <c r="G19" s="230">
        <f>+SUMIFS(JURNAL!G:G,JURNAL!E:E,E19,JURNAL!L:L,$C19,JURNAL!C:C,"&gt;="&amp;$M$3,JURNAL!C:C,"&lt;="&amp;$N$3)</f>
        <v>0</v>
      </c>
      <c r="H19" s="19">
        <f>+SUMIFS(JURNAL!H:H,JURNAL!E:E,E19,JURNAL!L:L,$C19,JURNAL!C:C,"&gt;="&amp;$M$3,JURNAL!C:C,"&lt;="&amp;$N$3)</f>
        <v>0</v>
      </c>
      <c r="I19" s="18">
        <f t="shared" si="5"/>
        <v>0</v>
      </c>
      <c r="J19" s="16">
        <v>310100</v>
      </c>
      <c r="L19" s="230">
        <f>+SUMIFS(JURNAL!G:G,JURNAL!E:E,J19,JURNAL!L:L,$C19,JURNAL!C:C,"&gt;="&amp;$M$3,JURNAL!C:C,"&lt;="&amp;$N$3)</f>
        <v>0</v>
      </c>
      <c r="M19" s="19">
        <f>+SUMIFS(JURNAL!H:H,JURNAL!E:E,J19,JURNAL!L:L,$C19,JURNAL!C:C,"&gt;="&amp;$M$3,JURNAL!C:C,"&lt;="&amp;$N$3)</f>
        <v>0</v>
      </c>
      <c r="N19" s="73">
        <f t="shared" si="6"/>
        <v>0</v>
      </c>
      <c r="O19" s="230">
        <f t="shared" si="7"/>
        <v>0</v>
      </c>
      <c r="P19" s="16">
        <f t="shared" si="8"/>
        <v>310100</v>
      </c>
      <c r="Q19" s="16">
        <f t="shared" si="9"/>
        <v>120100</v>
      </c>
      <c r="R19" s="230">
        <f t="shared" si="10"/>
        <v>0</v>
      </c>
    </row>
    <row r="20" spans="2:18">
      <c r="B20" s="15">
        <f t="shared" si="4"/>
        <v>15</v>
      </c>
      <c r="C20" s="16">
        <f>IFERROR(VLOOKUP(DATA!G18,DATA!$G$4:$J$2149,1,FALSE),"")</f>
        <v>3004</v>
      </c>
      <c r="D20" s="16" t="str">
        <f>+IFERROR(VLOOKUP(C20,DATA!$G$4:$H$2000,2,FALSE),"")</f>
        <v xml:space="preserve">ИЭСОМ ХХК </v>
      </c>
      <c r="E20" s="16">
        <v>120100</v>
      </c>
      <c r="G20" s="230">
        <f>+SUMIFS(JURNAL!G:G,JURNAL!E:E,E20,JURNAL!L:L,$C20,JURNAL!C:C,"&gt;="&amp;$M$3,JURNAL!C:C,"&lt;="&amp;$N$3)</f>
        <v>0</v>
      </c>
      <c r="H20" s="19">
        <f>+SUMIFS(JURNAL!H:H,JURNAL!E:E,E20,JURNAL!L:L,$C20,JURNAL!C:C,"&gt;="&amp;$M$3,JURNAL!C:C,"&lt;="&amp;$N$3)</f>
        <v>0</v>
      </c>
      <c r="I20" s="18">
        <f t="shared" si="5"/>
        <v>0</v>
      </c>
      <c r="J20" s="16">
        <v>310100</v>
      </c>
      <c r="K20" s="406"/>
      <c r="L20" s="230">
        <f>+SUMIFS(JURNAL!G:G,JURNAL!E:E,J20,JURNAL!L:L,$C20,JURNAL!C:C,"&gt;="&amp;$M$3,JURNAL!C:C,"&lt;="&amp;$N$3)</f>
        <v>0</v>
      </c>
      <c r="M20" s="19">
        <f>+SUMIFS(JURNAL!H:H,JURNAL!E:E,J20,JURNAL!L:L,$C20,JURNAL!C:C,"&gt;="&amp;$M$3,JURNAL!C:C,"&lt;="&amp;$N$3)</f>
        <v>0</v>
      </c>
      <c r="N20" s="73">
        <f t="shared" si="6"/>
        <v>0</v>
      </c>
      <c r="O20" s="230">
        <f t="shared" si="7"/>
        <v>0</v>
      </c>
      <c r="P20" s="16">
        <f t="shared" si="8"/>
        <v>310100</v>
      </c>
      <c r="Q20" s="16">
        <f t="shared" si="9"/>
        <v>120100</v>
      </c>
      <c r="R20" s="230">
        <f t="shared" si="10"/>
        <v>0</v>
      </c>
    </row>
    <row r="21" spans="2:18">
      <c r="B21" s="15">
        <f t="shared" si="4"/>
        <v>16</v>
      </c>
      <c r="C21" s="16">
        <f>IFERROR(VLOOKUP(DATA!G19,DATA!$G$4:$J$2149,1,FALSE),"")</f>
        <v>3005</v>
      </c>
      <c r="D21" s="16" t="str">
        <f>+IFERROR(VLOOKUP(C21,DATA!$G$4:$H$2000,2,FALSE),"")</f>
        <v xml:space="preserve">ОРГИЛ ХҮНС ХХК </v>
      </c>
      <c r="E21" s="16">
        <v>120100</v>
      </c>
      <c r="G21" s="230">
        <f>+SUMIFS(JURNAL!G:G,JURNAL!E:E,E21,JURNAL!L:L,$C21,JURNAL!C:C,"&gt;="&amp;$M$3,JURNAL!C:C,"&lt;="&amp;$N$3)</f>
        <v>0</v>
      </c>
      <c r="H21" s="19">
        <f>+SUMIFS(JURNAL!H:H,JURNAL!E:E,E21,JURNAL!L:L,$C21,JURNAL!C:C,"&gt;="&amp;$M$3,JURNAL!C:C,"&lt;="&amp;$N$3)</f>
        <v>0</v>
      </c>
      <c r="I21" s="18">
        <f t="shared" si="5"/>
        <v>0</v>
      </c>
      <c r="J21" s="16">
        <v>310100</v>
      </c>
      <c r="L21" s="230">
        <f>+SUMIFS(JURNAL!G:G,JURNAL!E:E,J21,JURNAL!L:L,$C21,JURNAL!C:C,"&gt;="&amp;$M$3,JURNAL!C:C,"&lt;="&amp;$N$3)</f>
        <v>0</v>
      </c>
      <c r="M21" s="19">
        <f>+SUMIFS(JURNAL!H:H,JURNAL!E:E,J21,JURNAL!L:L,$C21,JURNAL!C:C,"&gt;="&amp;$M$3,JURNAL!C:C,"&lt;="&amp;$N$3)</f>
        <v>0</v>
      </c>
      <c r="N21" s="73">
        <f t="shared" si="6"/>
        <v>0</v>
      </c>
      <c r="O21" s="230">
        <f t="shared" si="7"/>
        <v>0</v>
      </c>
      <c r="P21" s="16">
        <f t="shared" si="8"/>
        <v>310100</v>
      </c>
      <c r="Q21" s="16">
        <f t="shared" si="9"/>
        <v>120100</v>
      </c>
      <c r="R21" s="230">
        <f t="shared" si="10"/>
        <v>0</v>
      </c>
    </row>
    <row r="22" spans="2:18">
      <c r="B22" s="15">
        <f t="shared" si="4"/>
        <v>17</v>
      </c>
      <c r="C22" s="16">
        <f>IFERROR(VLOOKUP(DATA!G20,DATA!$G$4:$J$2149,1,FALSE),"")</f>
        <v>3006</v>
      </c>
      <c r="D22" s="16" t="str">
        <f>+IFERROR(VLOOKUP(C22,DATA!$G$4:$H$2000,2,FALSE),"")</f>
        <v xml:space="preserve">ПАЙОНЕРИНГ ИНТЕРНЭШНЛ ХХК </v>
      </c>
      <c r="E22" s="16">
        <v>120100</v>
      </c>
      <c r="G22" s="230">
        <f>+SUMIFS(JURNAL!G:G,JURNAL!E:E,E22,JURNAL!L:L,$C22,JURNAL!C:C,"&gt;="&amp;$M$3,JURNAL!C:C,"&lt;="&amp;$N$3)</f>
        <v>0</v>
      </c>
      <c r="H22" s="19">
        <f>+SUMIFS(JURNAL!H:H,JURNAL!E:E,E22,JURNAL!L:L,$C22,JURNAL!C:C,"&gt;="&amp;$M$3,JURNAL!C:C,"&lt;="&amp;$N$3)</f>
        <v>0</v>
      </c>
      <c r="I22" s="18">
        <f t="shared" si="5"/>
        <v>0</v>
      </c>
      <c r="J22" s="16">
        <v>310100</v>
      </c>
      <c r="L22" s="230">
        <f>+SUMIFS(JURNAL!G:G,JURNAL!E:E,J22,JURNAL!L:L,$C22,JURNAL!C:C,"&gt;="&amp;$M$3,JURNAL!C:C,"&lt;="&amp;$N$3)</f>
        <v>0</v>
      </c>
      <c r="M22" s="19">
        <f>+SUMIFS(JURNAL!H:H,JURNAL!E:E,J22,JURNAL!L:L,$C22,JURNAL!C:C,"&gt;="&amp;$M$3,JURNAL!C:C,"&lt;="&amp;$N$3)</f>
        <v>0</v>
      </c>
      <c r="N22" s="73">
        <f t="shared" si="6"/>
        <v>0</v>
      </c>
      <c r="O22" s="230">
        <f t="shared" si="7"/>
        <v>0</v>
      </c>
      <c r="P22" s="16">
        <f t="shared" si="8"/>
        <v>310100</v>
      </c>
      <c r="Q22" s="16">
        <f t="shared" si="9"/>
        <v>120100</v>
      </c>
      <c r="R22" s="230">
        <f t="shared" si="10"/>
        <v>0</v>
      </c>
    </row>
    <row r="23" spans="2:18">
      <c r="B23" s="15">
        <f t="shared" si="4"/>
        <v>18</v>
      </c>
      <c r="C23" s="16">
        <f>IFERROR(VLOOKUP(DATA!G21,DATA!$G$4:$J$2149,1,FALSE),"")</f>
        <v>3007</v>
      </c>
      <c r="D23" s="16" t="str">
        <f>+IFERROR(VLOOKUP(C23,DATA!$G$4:$H$2000,2,FALSE),"")</f>
        <v xml:space="preserve">АЯНЧИН АУТФИТТЕРС ХХК </v>
      </c>
      <c r="E23" s="16">
        <v>120100</v>
      </c>
      <c r="G23" s="230">
        <f>+SUMIFS(JURNAL!G:G,JURNAL!E:E,E23,JURNAL!L:L,$C23,JURNAL!C:C,"&gt;="&amp;$M$3,JURNAL!C:C,"&lt;="&amp;$N$3)</f>
        <v>0</v>
      </c>
      <c r="H23" s="19">
        <f>+SUMIFS(JURNAL!H:H,JURNAL!E:E,E23,JURNAL!L:L,$C23,JURNAL!C:C,"&gt;="&amp;$M$3,JURNAL!C:C,"&lt;="&amp;$N$3)</f>
        <v>0</v>
      </c>
      <c r="I23" s="18">
        <f t="shared" si="5"/>
        <v>0</v>
      </c>
      <c r="J23" s="16">
        <v>310100</v>
      </c>
      <c r="L23" s="230">
        <f>+SUMIFS(JURNAL!G:G,JURNAL!E:E,J23,JURNAL!L:L,$C23,JURNAL!C:C,"&gt;="&amp;$M$3,JURNAL!C:C,"&lt;="&amp;$N$3)</f>
        <v>0</v>
      </c>
      <c r="M23" s="19">
        <f>+SUMIFS(JURNAL!H:H,JURNAL!E:E,J23,JURNAL!L:L,$C23,JURNAL!C:C,"&gt;="&amp;$M$3,JURNAL!C:C,"&lt;="&amp;$N$3)</f>
        <v>0</v>
      </c>
      <c r="N23" s="73">
        <f t="shared" si="6"/>
        <v>0</v>
      </c>
      <c r="O23" s="230">
        <f t="shared" si="7"/>
        <v>0</v>
      </c>
      <c r="P23" s="16">
        <f t="shared" si="8"/>
        <v>310100</v>
      </c>
      <c r="Q23" s="16">
        <f t="shared" si="9"/>
        <v>120100</v>
      </c>
      <c r="R23" s="230">
        <f t="shared" si="10"/>
        <v>0</v>
      </c>
    </row>
    <row r="24" spans="2:18">
      <c r="B24" s="15">
        <f t="shared" si="4"/>
        <v>19</v>
      </c>
      <c r="C24" s="16">
        <f>IFERROR(VLOOKUP(DATA!G22,DATA!$G$4:$J$2149,1,FALSE),"")</f>
        <v>3008</v>
      </c>
      <c r="D24" s="16" t="str">
        <f>+IFERROR(VLOOKUP(C24,DATA!$G$4:$H$2000,2,FALSE),"")</f>
        <v xml:space="preserve">ГЭГЭЭН ДАЛАЙ ХХК </v>
      </c>
      <c r="E24" s="16">
        <v>120100</v>
      </c>
      <c r="G24" s="230">
        <f>+SUMIFS(JURNAL!G:G,JURNAL!E:E,E24,JURNAL!L:L,$C24,JURNAL!C:C,"&gt;="&amp;$M$3,JURNAL!C:C,"&lt;="&amp;$N$3)</f>
        <v>0</v>
      </c>
      <c r="H24" s="19">
        <f>+SUMIFS(JURNAL!H:H,JURNAL!E:E,E24,JURNAL!L:L,$C24,JURNAL!C:C,"&gt;="&amp;$M$3,JURNAL!C:C,"&lt;="&amp;$N$3)</f>
        <v>0</v>
      </c>
      <c r="I24" s="18">
        <f t="shared" si="5"/>
        <v>0</v>
      </c>
      <c r="J24" s="16">
        <v>310100</v>
      </c>
      <c r="L24" s="230">
        <f>+SUMIFS(JURNAL!G:G,JURNAL!E:E,J24,JURNAL!L:L,$C24,JURNAL!C:C,"&gt;="&amp;$M$3,JURNAL!C:C,"&lt;="&amp;$N$3)</f>
        <v>0</v>
      </c>
      <c r="M24" s="19">
        <f>+SUMIFS(JURNAL!H:H,JURNAL!E:E,J24,JURNAL!L:L,$C24,JURNAL!C:C,"&gt;="&amp;$M$3,JURNAL!C:C,"&lt;="&amp;$N$3)</f>
        <v>0</v>
      </c>
      <c r="N24" s="73">
        <f t="shared" si="6"/>
        <v>0</v>
      </c>
      <c r="O24" s="230">
        <f t="shared" si="7"/>
        <v>0</v>
      </c>
      <c r="P24" s="16">
        <f t="shared" si="8"/>
        <v>310100</v>
      </c>
      <c r="Q24" s="16">
        <f t="shared" si="9"/>
        <v>120100</v>
      </c>
      <c r="R24" s="230">
        <f t="shared" si="10"/>
        <v>0</v>
      </c>
    </row>
    <row r="25" spans="2:18">
      <c r="B25" s="15">
        <f t="shared" si="4"/>
        <v>20</v>
      </c>
      <c r="C25" s="16">
        <f>IFERROR(VLOOKUP(DATA!G23,DATA!$G$4:$J$2149,1,FALSE),"")</f>
        <v>3009</v>
      </c>
      <c r="D25" s="16" t="str">
        <f>+IFERROR(VLOOKUP(C25,DATA!$G$4:$H$2000,2,FALSE),"")</f>
        <v xml:space="preserve">СЭРҮҮН ХАРААТ ХХК </v>
      </c>
      <c r="E25" s="16">
        <v>120100</v>
      </c>
      <c r="G25" s="230">
        <f>+SUMIFS(JURNAL!G:G,JURNAL!E:E,E25,JURNAL!L:L,$C25,JURNAL!C:C,"&gt;="&amp;$M$3,JURNAL!C:C,"&lt;="&amp;$N$3)</f>
        <v>0</v>
      </c>
      <c r="H25" s="19">
        <f>+SUMIFS(JURNAL!H:H,JURNAL!E:E,E25,JURNAL!L:L,$C25,JURNAL!C:C,"&gt;="&amp;$M$3,JURNAL!C:C,"&lt;="&amp;$N$3)</f>
        <v>0</v>
      </c>
      <c r="I25" s="18">
        <f t="shared" si="5"/>
        <v>0</v>
      </c>
      <c r="J25" s="16">
        <v>310100</v>
      </c>
      <c r="L25" s="230">
        <f>+SUMIFS(JURNAL!G:G,JURNAL!E:E,J25,JURNAL!L:L,$C25,JURNAL!C:C,"&gt;="&amp;$M$3,JURNAL!C:C,"&lt;="&amp;$N$3)</f>
        <v>0</v>
      </c>
      <c r="M25" s="19">
        <f>+SUMIFS(JURNAL!H:H,JURNAL!E:E,J25,JURNAL!L:L,$C25,JURNAL!C:C,"&gt;="&amp;$M$3,JURNAL!C:C,"&lt;="&amp;$N$3)</f>
        <v>0</v>
      </c>
      <c r="N25" s="73">
        <f t="shared" si="6"/>
        <v>0</v>
      </c>
      <c r="O25" s="230">
        <f t="shared" si="7"/>
        <v>0</v>
      </c>
      <c r="P25" s="16">
        <f t="shared" si="8"/>
        <v>310100</v>
      </c>
      <c r="Q25" s="16">
        <f t="shared" si="9"/>
        <v>120100</v>
      </c>
      <c r="R25" s="230">
        <f t="shared" si="10"/>
        <v>0</v>
      </c>
    </row>
    <row r="26" spans="2:18">
      <c r="B26" s="15">
        <f t="shared" si="4"/>
        <v>21</v>
      </c>
      <c r="C26" s="16">
        <f>IFERROR(VLOOKUP(DATA!G24,DATA!$G$4:$J$2149,1,FALSE),"")</f>
        <v>3010</v>
      </c>
      <c r="D26" s="16" t="str">
        <f>+IFERROR(VLOOKUP(C26,DATA!$G$4:$H$2000,2,FALSE),"")</f>
        <v xml:space="preserve">РЕНДЕР ХХК </v>
      </c>
      <c r="E26" s="16">
        <v>120100</v>
      </c>
      <c r="G26" s="230">
        <f>+SUMIFS(JURNAL!G:G,JURNAL!E:E,E26,JURNAL!L:L,$C26,JURNAL!C:C,"&gt;="&amp;$M$3,JURNAL!C:C,"&lt;="&amp;$N$3)</f>
        <v>0</v>
      </c>
      <c r="H26" s="19">
        <f>+SUMIFS(JURNAL!H:H,JURNAL!E:E,E26,JURNAL!L:L,$C26,JURNAL!C:C,"&gt;="&amp;$M$3,JURNAL!C:C,"&lt;="&amp;$N$3)</f>
        <v>0</v>
      </c>
      <c r="I26" s="18">
        <f t="shared" si="5"/>
        <v>0</v>
      </c>
      <c r="J26" s="16">
        <v>310100</v>
      </c>
      <c r="L26" s="230">
        <f>+SUMIFS(JURNAL!G:G,JURNAL!E:E,J26,JURNAL!L:L,$C26,JURNAL!C:C,"&gt;="&amp;$M$3,JURNAL!C:C,"&lt;="&amp;$N$3)</f>
        <v>0</v>
      </c>
      <c r="M26" s="19">
        <f>+SUMIFS(JURNAL!H:H,JURNAL!E:E,J26,JURNAL!L:L,$C26,JURNAL!C:C,"&gt;="&amp;$M$3,JURNAL!C:C,"&lt;="&amp;$N$3)</f>
        <v>0</v>
      </c>
      <c r="N26" s="73">
        <f t="shared" si="6"/>
        <v>0</v>
      </c>
      <c r="O26" s="230">
        <f t="shared" si="7"/>
        <v>0</v>
      </c>
      <c r="P26" s="16">
        <f t="shared" si="8"/>
        <v>310100</v>
      </c>
      <c r="Q26" s="16">
        <f t="shared" si="9"/>
        <v>120100</v>
      </c>
      <c r="R26" s="230">
        <f t="shared" si="10"/>
        <v>0</v>
      </c>
    </row>
    <row r="27" spans="2:18">
      <c r="B27" s="15">
        <f t="shared" si="4"/>
        <v>22</v>
      </c>
      <c r="C27" s="16">
        <f>IFERROR(VLOOKUP(DATA!G25,DATA!$G$4:$J$2149,1,FALSE),"")</f>
        <v>3011</v>
      </c>
      <c r="D27" s="16" t="str">
        <f>+IFERROR(VLOOKUP(C27,DATA!$G$4:$H$2000,2,FALSE),"")</f>
        <v xml:space="preserve">САКУРА КОНСТРАКШН ХХК </v>
      </c>
      <c r="E27" s="16">
        <v>120100</v>
      </c>
      <c r="G27" s="230">
        <f>+SUMIFS(JURNAL!G:G,JURNAL!E:E,E27,JURNAL!L:L,$C27,JURNAL!C:C,"&gt;="&amp;$M$3,JURNAL!C:C,"&lt;="&amp;$N$3)</f>
        <v>0</v>
      </c>
      <c r="H27" s="19">
        <f>+SUMIFS(JURNAL!H:H,JURNAL!E:E,E27,JURNAL!L:L,$C27,JURNAL!C:C,"&gt;="&amp;$M$3,JURNAL!C:C,"&lt;="&amp;$N$3)</f>
        <v>0</v>
      </c>
      <c r="I27" s="18">
        <f t="shared" si="5"/>
        <v>0</v>
      </c>
      <c r="J27" s="16">
        <v>310100</v>
      </c>
      <c r="L27" s="230">
        <f>+SUMIFS(JURNAL!G:G,JURNAL!E:E,J27,JURNAL!L:L,$C27,JURNAL!C:C,"&gt;="&amp;$M$3,JURNAL!C:C,"&lt;="&amp;$N$3)</f>
        <v>0</v>
      </c>
      <c r="M27" s="19">
        <f>+SUMIFS(JURNAL!H:H,JURNAL!E:E,J27,JURNAL!L:L,$C27,JURNAL!C:C,"&gt;="&amp;$M$3,JURNAL!C:C,"&lt;="&amp;$N$3)</f>
        <v>0</v>
      </c>
      <c r="N27" s="73">
        <f t="shared" si="6"/>
        <v>0</v>
      </c>
      <c r="O27" s="230">
        <f t="shared" si="7"/>
        <v>0</v>
      </c>
      <c r="P27" s="16">
        <f t="shared" si="8"/>
        <v>310100</v>
      </c>
      <c r="Q27" s="16">
        <f t="shared" si="9"/>
        <v>120100</v>
      </c>
      <c r="R27" s="230">
        <f t="shared" si="10"/>
        <v>0</v>
      </c>
    </row>
    <row r="28" spans="2:18">
      <c r="B28" s="15">
        <f t="shared" si="4"/>
        <v>23</v>
      </c>
      <c r="C28" s="16">
        <f>IFERROR(VLOOKUP(DATA!G26,DATA!$G$4:$J$2149,1,FALSE),"")</f>
        <v>3012</v>
      </c>
      <c r="D28" s="16" t="str">
        <f>+IFERROR(VLOOKUP(C28,DATA!$G$4:$H$2000,2,FALSE),"")</f>
        <v xml:space="preserve">УБПК ХХК </v>
      </c>
      <c r="E28" s="16">
        <v>120100</v>
      </c>
      <c r="G28" s="230">
        <f>+SUMIFS(JURNAL!G:G,JURNAL!E:E,E28,JURNAL!L:L,$C28,JURNAL!C:C,"&gt;="&amp;$M$3,JURNAL!C:C,"&lt;="&amp;$N$3)</f>
        <v>0</v>
      </c>
      <c r="H28" s="19">
        <f>+SUMIFS(JURNAL!H:H,JURNAL!E:E,E28,JURNAL!L:L,$C28,JURNAL!C:C,"&gt;="&amp;$M$3,JURNAL!C:C,"&lt;="&amp;$N$3)</f>
        <v>0</v>
      </c>
      <c r="I28" s="18">
        <f t="shared" si="5"/>
        <v>0</v>
      </c>
      <c r="J28" s="16">
        <v>310100</v>
      </c>
      <c r="L28" s="230">
        <f>+SUMIFS(JURNAL!G:G,JURNAL!E:E,J28,JURNAL!L:L,$C28,JURNAL!C:C,"&gt;="&amp;$M$3,JURNAL!C:C,"&lt;="&amp;$N$3)</f>
        <v>0</v>
      </c>
      <c r="M28" s="19">
        <f>+SUMIFS(JURNAL!H:H,JURNAL!E:E,J28,JURNAL!L:L,$C28,JURNAL!C:C,"&gt;="&amp;$M$3,JURNAL!C:C,"&lt;="&amp;$N$3)</f>
        <v>0</v>
      </c>
      <c r="N28" s="73">
        <f t="shared" si="6"/>
        <v>0</v>
      </c>
      <c r="O28" s="230">
        <f t="shared" si="7"/>
        <v>0</v>
      </c>
      <c r="P28" s="16">
        <f t="shared" si="8"/>
        <v>310100</v>
      </c>
      <c r="Q28" s="16">
        <f t="shared" si="9"/>
        <v>120100</v>
      </c>
      <c r="R28" s="230">
        <f t="shared" si="10"/>
        <v>0</v>
      </c>
    </row>
    <row r="29" spans="2:18">
      <c r="B29" s="15">
        <f t="shared" si="4"/>
        <v>24</v>
      </c>
      <c r="C29" s="16">
        <f>IFERROR(VLOOKUP(DATA!G27,DATA!$G$4:$J$2149,1,FALSE),"")</f>
        <v>3013</v>
      </c>
      <c r="D29" s="16" t="str">
        <f>+IFERROR(VLOOKUP(C29,DATA!$G$4:$H$2000,2,FALSE),"")</f>
        <v xml:space="preserve">МИАТ ХК </v>
      </c>
      <c r="E29" s="16">
        <v>120100</v>
      </c>
      <c r="G29" s="230">
        <f>+SUMIFS(JURNAL!G:G,JURNAL!E:E,E29,JURNAL!L:L,$C29,JURNAL!C:C,"&gt;="&amp;$M$3,JURNAL!C:C,"&lt;="&amp;$N$3)</f>
        <v>0</v>
      </c>
      <c r="H29" s="19">
        <f>+SUMIFS(JURNAL!H:H,JURNAL!E:E,E29,JURNAL!L:L,$C29,JURNAL!C:C,"&gt;="&amp;$M$3,JURNAL!C:C,"&lt;="&amp;$N$3)</f>
        <v>0</v>
      </c>
      <c r="I29" s="18">
        <f t="shared" si="5"/>
        <v>0</v>
      </c>
      <c r="J29" s="16">
        <v>310100</v>
      </c>
      <c r="L29" s="230">
        <f>+SUMIFS(JURNAL!G:G,JURNAL!E:E,J29,JURNAL!L:L,$C29,JURNAL!C:C,"&gt;="&amp;$M$3,JURNAL!C:C,"&lt;="&amp;$N$3)</f>
        <v>0</v>
      </c>
      <c r="M29" s="19">
        <f>+SUMIFS(JURNAL!H:H,JURNAL!E:E,J29,JURNAL!L:L,$C29,JURNAL!C:C,"&gt;="&amp;$M$3,JURNAL!C:C,"&lt;="&amp;$N$3)</f>
        <v>0</v>
      </c>
      <c r="N29" s="73">
        <f t="shared" si="6"/>
        <v>0</v>
      </c>
      <c r="O29" s="230">
        <f t="shared" si="7"/>
        <v>0</v>
      </c>
      <c r="P29" s="16">
        <f t="shared" si="8"/>
        <v>310100</v>
      </c>
      <c r="Q29" s="16">
        <f t="shared" si="9"/>
        <v>120100</v>
      </c>
      <c r="R29" s="230">
        <f t="shared" si="10"/>
        <v>0</v>
      </c>
    </row>
    <row r="30" spans="2:18">
      <c r="B30" s="15">
        <f t="shared" si="4"/>
        <v>25</v>
      </c>
      <c r="C30" s="16">
        <f>IFERROR(VLOOKUP(DATA!G28,DATA!$G$4:$J$2149,1,FALSE),"")</f>
        <v>3014</v>
      </c>
      <c r="D30" s="16" t="str">
        <f>+IFERROR(VLOOKUP(C30,DATA!$G$4:$H$2000,2,FALSE),"")</f>
        <v xml:space="preserve">БОЛОР ШИЛЭН ТОЛЬ ХХК </v>
      </c>
      <c r="E30" s="16">
        <v>120100</v>
      </c>
      <c r="G30" s="230">
        <f>+SUMIFS(JURNAL!G:G,JURNAL!E:E,E30,JURNAL!L:L,$C30,JURNAL!C:C,"&gt;="&amp;$M$3,JURNAL!C:C,"&lt;="&amp;$N$3)</f>
        <v>0</v>
      </c>
      <c r="H30" s="19">
        <f>+SUMIFS(JURNAL!H:H,JURNAL!E:E,E30,JURNAL!L:L,$C30,JURNAL!C:C,"&gt;="&amp;$M$3,JURNAL!C:C,"&lt;="&amp;$N$3)</f>
        <v>0</v>
      </c>
      <c r="I30" s="18">
        <f t="shared" si="5"/>
        <v>0</v>
      </c>
      <c r="J30" s="16">
        <v>310100</v>
      </c>
      <c r="L30" s="230">
        <f>+SUMIFS(JURNAL!G:G,JURNAL!E:E,J30,JURNAL!L:L,$C30,JURNAL!C:C,"&gt;="&amp;$M$3,JURNAL!C:C,"&lt;="&amp;$N$3)</f>
        <v>0</v>
      </c>
      <c r="M30" s="19">
        <f>+SUMIFS(JURNAL!H:H,JURNAL!E:E,J30,JURNAL!L:L,$C30,JURNAL!C:C,"&gt;="&amp;$M$3,JURNAL!C:C,"&lt;="&amp;$N$3)</f>
        <v>0</v>
      </c>
      <c r="N30" s="73">
        <f t="shared" si="6"/>
        <v>0</v>
      </c>
      <c r="O30" s="230">
        <f t="shared" si="7"/>
        <v>0</v>
      </c>
      <c r="P30" s="16">
        <f t="shared" si="8"/>
        <v>310100</v>
      </c>
      <c r="Q30" s="16">
        <f t="shared" si="9"/>
        <v>120100</v>
      </c>
      <c r="R30" s="230">
        <f t="shared" si="10"/>
        <v>0</v>
      </c>
    </row>
    <row r="31" spans="2:18">
      <c r="B31" s="15">
        <f t="shared" si="4"/>
        <v>26</v>
      </c>
      <c r="C31" s="16">
        <f>IFERROR(VLOOKUP(DATA!G29,DATA!$G$4:$J$2149,1,FALSE),"")</f>
        <v>3015</v>
      </c>
      <c r="D31" s="16" t="str">
        <f>+IFERROR(VLOOKUP(C31,DATA!$G$4:$H$2000,2,FALSE),"")</f>
        <v xml:space="preserve">АТМОР ГРУПП ХХК </v>
      </c>
      <c r="E31" s="16">
        <v>120100</v>
      </c>
      <c r="G31" s="230">
        <f>+SUMIFS(JURNAL!G:G,JURNAL!E:E,E31,JURNAL!L:L,$C31,JURNAL!C:C,"&gt;="&amp;$M$3,JURNAL!C:C,"&lt;="&amp;$N$3)</f>
        <v>0</v>
      </c>
      <c r="H31" s="19">
        <f>+SUMIFS(JURNAL!H:H,JURNAL!E:E,E31,JURNAL!L:L,$C31,JURNAL!C:C,"&gt;="&amp;$M$3,JURNAL!C:C,"&lt;="&amp;$N$3)</f>
        <v>0</v>
      </c>
      <c r="I31" s="18">
        <f t="shared" si="5"/>
        <v>0</v>
      </c>
      <c r="J31" s="16">
        <v>310100</v>
      </c>
      <c r="L31" s="230">
        <f>+SUMIFS(JURNAL!G:G,JURNAL!E:E,J31,JURNAL!L:L,$C31,JURNAL!C:C,"&gt;="&amp;$M$3,JURNAL!C:C,"&lt;="&amp;$N$3)</f>
        <v>0</v>
      </c>
      <c r="M31" s="19">
        <f>+SUMIFS(JURNAL!H:H,JURNAL!E:E,J31,JURNAL!L:L,$C31,JURNAL!C:C,"&gt;="&amp;$M$3,JURNAL!C:C,"&lt;="&amp;$N$3)</f>
        <v>0</v>
      </c>
      <c r="N31" s="73">
        <f t="shared" si="6"/>
        <v>0</v>
      </c>
      <c r="O31" s="230">
        <f t="shared" si="7"/>
        <v>0</v>
      </c>
      <c r="P31" s="16">
        <f t="shared" si="8"/>
        <v>310100</v>
      </c>
      <c r="Q31" s="16">
        <f t="shared" si="9"/>
        <v>120100</v>
      </c>
      <c r="R31" s="230">
        <f t="shared" si="10"/>
        <v>0</v>
      </c>
    </row>
    <row r="32" spans="2:18">
      <c r="B32" s="15">
        <f t="shared" si="4"/>
        <v>27</v>
      </c>
      <c r="C32" s="16">
        <f>IFERROR(VLOOKUP(DATA!G30,DATA!$G$4:$J$2149,1,FALSE),"")</f>
        <v>3016</v>
      </c>
      <c r="D32" s="16" t="str">
        <f>+IFERROR(VLOOKUP(C32,DATA!$G$4:$H$2000,2,FALSE),"")</f>
        <v xml:space="preserve">СТИЙЛ АРТ ХХК </v>
      </c>
      <c r="E32" s="16">
        <v>120100</v>
      </c>
      <c r="G32" s="230">
        <f>+SUMIFS(JURNAL!G:G,JURNAL!E:E,E32,JURNAL!L:L,$C32,JURNAL!C:C,"&gt;="&amp;$M$3,JURNAL!C:C,"&lt;="&amp;$N$3)</f>
        <v>11600000</v>
      </c>
      <c r="H32" s="19">
        <f>+SUMIFS(JURNAL!H:H,JURNAL!E:E,E32,JURNAL!L:L,$C32,JURNAL!C:C,"&gt;="&amp;$M$3,JURNAL!C:C,"&lt;="&amp;$N$3)</f>
        <v>11600000</v>
      </c>
      <c r="I32" s="18">
        <f t="shared" si="5"/>
        <v>0</v>
      </c>
      <c r="J32" s="16">
        <v>310100</v>
      </c>
      <c r="L32" s="230">
        <f>+SUMIFS(JURNAL!G:G,JURNAL!E:E,J32,JURNAL!L:L,$C32,JURNAL!C:C,"&gt;="&amp;$M$3,JURNAL!C:C,"&lt;="&amp;$N$3)</f>
        <v>0</v>
      </c>
      <c r="M32" s="19">
        <f>+SUMIFS(JURNAL!H:H,JURNAL!E:E,J32,JURNAL!L:L,$C32,JURNAL!C:C,"&gt;="&amp;$M$3,JURNAL!C:C,"&lt;="&amp;$N$3)</f>
        <v>0</v>
      </c>
      <c r="N32" s="73">
        <f t="shared" si="6"/>
        <v>0</v>
      </c>
      <c r="O32" s="230">
        <f t="shared" si="7"/>
        <v>0</v>
      </c>
      <c r="P32" s="16">
        <f t="shared" si="8"/>
        <v>310100</v>
      </c>
      <c r="Q32" s="16">
        <f t="shared" si="9"/>
        <v>120100</v>
      </c>
      <c r="R32" s="230">
        <f t="shared" si="10"/>
        <v>0</v>
      </c>
    </row>
    <row r="33" spans="2:18">
      <c r="B33" s="15">
        <f t="shared" si="4"/>
        <v>28</v>
      </c>
      <c r="C33" s="16">
        <f>IFERROR(VLOOKUP(DATA!G31,DATA!$G$4:$J$2149,1,FALSE),"")</f>
        <v>3017</v>
      </c>
      <c r="D33" s="16" t="str">
        <f>+IFERROR(VLOOKUP(C33,DATA!$G$4:$H$2000,2,FALSE),"")</f>
        <v xml:space="preserve">ВОС ХХК </v>
      </c>
      <c r="E33" s="16">
        <v>120100</v>
      </c>
      <c r="G33" s="230">
        <f>+SUMIFS(JURNAL!G:G,JURNAL!E:E,E33,JURNAL!L:L,$C33,JURNAL!C:C,"&gt;="&amp;$M$3,JURNAL!C:C,"&lt;="&amp;$N$3)</f>
        <v>16652680</v>
      </c>
      <c r="H33" s="19">
        <f>+SUMIFS(JURNAL!H:H,JURNAL!E:E,E33,JURNAL!L:L,$C33,JURNAL!C:C,"&gt;="&amp;$M$3,JURNAL!C:C,"&lt;="&amp;$N$3)</f>
        <v>16652679.99791</v>
      </c>
      <c r="I33" s="18">
        <f t="shared" si="5"/>
        <v>2.0899996161460876E-3</v>
      </c>
      <c r="J33" s="16">
        <v>310100</v>
      </c>
      <c r="L33" s="230">
        <f>+SUMIFS(JURNAL!G:G,JURNAL!E:E,J33,JURNAL!L:L,$C33,JURNAL!C:C,"&gt;="&amp;$M$3,JURNAL!C:C,"&lt;="&amp;$N$3)</f>
        <v>0</v>
      </c>
      <c r="M33" s="19">
        <f>+SUMIFS(JURNAL!H:H,JURNAL!E:E,J33,JURNAL!L:L,$C33,JURNAL!C:C,"&gt;="&amp;$M$3,JURNAL!C:C,"&lt;="&amp;$N$3)</f>
        <v>0</v>
      </c>
      <c r="N33" s="73">
        <f t="shared" si="6"/>
        <v>0</v>
      </c>
      <c r="O33" s="230">
        <f t="shared" si="7"/>
        <v>0</v>
      </c>
      <c r="P33" s="16">
        <f t="shared" si="8"/>
        <v>310100</v>
      </c>
      <c r="Q33" s="16">
        <f t="shared" si="9"/>
        <v>120100</v>
      </c>
      <c r="R33" s="230">
        <f t="shared" si="10"/>
        <v>0</v>
      </c>
    </row>
    <row r="34" spans="2:18">
      <c r="B34" s="15">
        <f t="shared" si="4"/>
        <v>29</v>
      </c>
      <c r="C34" s="16">
        <f>IFERROR(VLOOKUP(DATA!G32,DATA!$G$4:$J$2149,1,FALSE),"")</f>
        <v>3018</v>
      </c>
      <c r="D34" s="16" t="str">
        <f>+IFERROR(VLOOKUP(C34,DATA!$G$4:$H$2000,2,FALSE),"")</f>
        <v xml:space="preserve">ВЮРТ МОНГОЛИЯ ХХК </v>
      </c>
      <c r="E34" s="16">
        <v>120100</v>
      </c>
      <c r="G34" s="230">
        <f>+SUMIFS(JURNAL!G:G,JURNAL!E:E,E34,JURNAL!L:L,$C34,JURNAL!C:C,"&gt;="&amp;$M$3,JURNAL!C:C,"&lt;="&amp;$N$3)</f>
        <v>792000</v>
      </c>
      <c r="H34" s="19">
        <f>+SUMIFS(JURNAL!H:H,JURNAL!E:E,E34,JURNAL!L:L,$C34,JURNAL!C:C,"&gt;="&amp;$M$3,JURNAL!C:C,"&lt;="&amp;$N$3)</f>
        <v>792000</v>
      </c>
      <c r="I34" s="18">
        <f t="shared" si="5"/>
        <v>0</v>
      </c>
      <c r="J34" s="16">
        <v>310100</v>
      </c>
      <c r="L34" s="230">
        <f>+SUMIFS(JURNAL!G:G,JURNAL!E:E,J34,JURNAL!L:L,$C34,JURNAL!C:C,"&gt;="&amp;$M$3,JURNAL!C:C,"&lt;="&amp;$N$3)</f>
        <v>0</v>
      </c>
      <c r="M34" s="19">
        <f>+SUMIFS(JURNAL!H:H,JURNAL!E:E,J34,JURNAL!L:L,$C34,JURNAL!C:C,"&gt;="&amp;$M$3,JURNAL!C:C,"&lt;="&amp;$N$3)</f>
        <v>0</v>
      </c>
      <c r="N34" s="73">
        <f t="shared" si="6"/>
        <v>0</v>
      </c>
      <c r="O34" s="230">
        <f t="shared" si="7"/>
        <v>0</v>
      </c>
      <c r="P34" s="16">
        <f t="shared" si="8"/>
        <v>310100</v>
      </c>
      <c r="Q34" s="16">
        <f t="shared" si="9"/>
        <v>120100</v>
      </c>
      <c r="R34" s="230">
        <f t="shared" si="10"/>
        <v>0</v>
      </c>
    </row>
    <row r="35" spans="2:18">
      <c r="B35" s="15">
        <f t="shared" si="4"/>
        <v>30</v>
      </c>
      <c r="C35" s="16">
        <f>IFERROR(VLOOKUP(DATA!G33,DATA!$G$4:$J$2149,1,FALSE),"")</f>
        <v>3019</v>
      </c>
      <c r="D35" s="16" t="str">
        <f>+IFERROR(VLOOKUP(C35,DATA!$G$4:$H$2000,2,FALSE),"")</f>
        <v xml:space="preserve">ГЭСЭР БИЛЭГ ХХК </v>
      </c>
      <c r="E35" s="16">
        <v>120100</v>
      </c>
      <c r="G35" s="230">
        <f>+SUMIFS(JURNAL!G:G,JURNAL!E:E,E35,JURNAL!L:L,$C35,JURNAL!C:C,"&gt;="&amp;$M$3,JURNAL!C:C,"&lt;="&amp;$N$3)</f>
        <v>0</v>
      </c>
      <c r="H35" s="19">
        <f>+SUMIFS(JURNAL!H:H,JURNAL!E:E,E35,JURNAL!L:L,$C35,JURNAL!C:C,"&gt;="&amp;$M$3,JURNAL!C:C,"&lt;="&amp;$N$3)</f>
        <v>0</v>
      </c>
      <c r="I35" s="18">
        <f t="shared" si="5"/>
        <v>0</v>
      </c>
      <c r="J35" s="16">
        <v>310100</v>
      </c>
      <c r="L35" s="230">
        <f>+SUMIFS(JURNAL!G:G,JURNAL!E:E,J35,JURNAL!L:L,$C35,JURNAL!C:C,"&gt;="&amp;$M$3,JURNAL!C:C,"&lt;="&amp;$N$3)</f>
        <v>0</v>
      </c>
      <c r="M35" s="19">
        <f>+SUMIFS(JURNAL!H:H,JURNAL!E:E,J35,JURNAL!L:L,$C35,JURNAL!C:C,"&gt;="&amp;$M$3,JURNAL!C:C,"&lt;="&amp;$N$3)</f>
        <v>0</v>
      </c>
      <c r="N35" s="73">
        <f t="shared" si="6"/>
        <v>0</v>
      </c>
      <c r="O35" s="230">
        <f t="shared" si="7"/>
        <v>0</v>
      </c>
      <c r="P35" s="16">
        <f t="shared" si="8"/>
        <v>310100</v>
      </c>
      <c r="Q35" s="16">
        <f t="shared" si="9"/>
        <v>120100</v>
      </c>
      <c r="R35" s="230">
        <f t="shared" si="10"/>
        <v>0</v>
      </c>
    </row>
    <row r="36" spans="2:18">
      <c r="B36" s="15">
        <f t="shared" si="4"/>
        <v>31</v>
      </c>
      <c r="C36" s="16">
        <f>IFERROR(VLOOKUP(DATA!G34,DATA!$G$4:$J$2149,1,FALSE),"")</f>
        <v>4001</v>
      </c>
      <c r="D36" s="16" t="str">
        <f>+IFERROR(VLOOKUP(C36,DATA!$G$4:$H$2000,2,FALSE),"")</f>
        <v>Сайннямбуу</v>
      </c>
      <c r="E36" s="16">
        <v>120100</v>
      </c>
      <c r="G36" s="230">
        <f>+SUMIFS(JURNAL!G:G,JURNAL!E:E,E36,JURNAL!L:L,$C36,JURNAL!C:C,"&gt;="&amp;$M$3,JURNAL!C:C,"&lt;="&amp;$N$3)</f>
        <v>0</v>
      </c>
      <c r="H36" s="19">
        <f>+SUMIFS(JURNAL!H:H,JURNAL!E:E,E36,JURNAL!L:L,$C36,JURNAL!C:C,"&gt;="&amp;$M$3,JURNAL!C:C,"&lt;="&amp;$N$3)</f>
        <v>0</v>
      </c>
      <c r="I36" s="18">
        <f t="shared" si="5"/>
        <v>0</v>
      </c>
      <c r="J36" s="16">
        <v>310100</v>
      </c>
      <c r="L36" s="230">
        <f>+SUMIFS(JURNAL!G:G,JURNAL!E:E,J36,JURNAL!L:L,$C36,JURNAL!C:C,"&gt;="&amp;$M$3,JURNAL!C:C,"&lt;="&amp;$N$3)</f>
        <v>0</v>
      </c>
      <c r="M36" s="19">
        <f>+SUMIFS(JURNAL!H:H,JURNAL!E:E,J36,JURNAL!L:L,$C36,JURNAL!C:C,"&gt;="&amp;$M$3,JURNAL!C:C,"&lt;="&amp;$N$3)</f>
        <v>0</v>
      </c>
      <c r="N36" s="73">
        <f t="shared" si="6"/>
        <v>0</v>
      </c>
      <c r="O36" s="230">
        <f t="shared" si="7"/>
        <v>0</v>
      </c>
      <c r="P36" s="16">
        <f t="shared" si="8"/>
        <v>310100</v>
      </c>
      <c r="Q36" s="16">
        <f t="shared" si="9"/>
        <v>120100</v>
      </c>
      <c r="R36" s="230">
        <f t="shared" si="10"/>
        <v>0</v>
      </c>
    </row>
    <row r="37" spans="2:18">
      <c r="B37" s="15">
        <f t="shared" si="4"/>
        <v>32</v>
      </c>
      <c r="C37" s="16">
        <f>IFERROR(VLOOKUP(DATA!G35,DATA!$G$4:$J$2149,1,FALSE),"")</f>
        <v>4002</v>
      </c>
      <c r="D37" s="16" t="str">
        <f>+IFERROR(VLOOKUP(C37,DATA!$G$4:$H$2000,2,FALSE),"")</f>
        <v xml:space="preserve">Хувь хүн </v>
      </c>
      <c r="E37" s="16">
        <v>120100</v>
      </c>
      <c r="G37" s="230">
        <f>+SUMIFS(JURNAL!G:G,JURNAL!E:E,E37,JURNAL!L:L,$C37,JURNAL!C:C,"&gt;="&amp;$M$3,JURNAL!C:C,"&lt;="&amp;$N$3)</f>
        <v>0</v>
      </c>
      <c r="H37" s="19">
        <f>+SUMIFS(JURNAL!H:H,JURNAL!E:E,E37,JURNAL!L:L,$C37,JURNAL!C:C,"&gt;="&amp;$M$3,JURNAL!C:C,"&lt;="&amp;$N$3)</f>
        <v>0</v>
      </c>
      <c r="I37" s="18">
        <f t="shared" si="5"/>
        <v>0</v>
      </c>
      <c r="J37" s="16">
        <v>310100</v>
      </c>
      <c r="L37" s="230">
        <f>+SUMIFS(JURNAL!G:G,JURNAL!E:E,J37,JURNAL!L:L,$C37,JURNAL!C:C,"&gt;="&amp;$M$3,JURNAL!C:C,"&lt;="&amp;$N$3)</f>
        <v>0</v>
      </c>
      <c r="M37" s="19">
        <f>+SUMIFS(JURNAL!H:H,JURNAL!E:E,J37,JURNAL!L:L,$C37,JURNAL!C:C,"&gt;="&amp;$M$3,JURNAL!C:C,"&lt;="&amp;$N$3)</f>
        <v>0</v>
      </c>
      <c r="N37" s="73">
        <f t="shared" si="6"/>
        <v>0</v>
      </c>
      <c r="O37" s="230">
        <f t="shared" si="7"/>
        <v>0</v>
      </c>
      <c r="P37" s="16">
        <f t="shared" si="8"/>
        <v>310100</v>
      </c>
      <c r="Q37" s="16">
        <f t="shared" si="9"/>
        <v>120100</v>
      </c>
      <c r="R37" s="230">
        <f t="shared" si="10"/>
        <v>0</v>
      </c>
    </row>
    <row r="38" spans="2:18">
      <c r="B38" s="15">
        <f t="shared" si="4"/>
        <v>33</v>
      </c>
      <c r="C38" s="16">
        <f>IFERROR(VLOOKUP(DATA!G36,DATA!$G$4:$J$2149,1,FALSE),"")</f>
        <v>2012</v>
      </c>
      <c r="D38" s="16" t="str">
        <f>+IFERROR(VLOOKUP(C38,DATA!$G$4:$H$2000,2,FALSE),"")</f>
        <v>ИХ ТУГЧ ХХК</v>
      </c>
      <c r="E38" s="16">
        <v>120100</v>
      </c>
      <c r="G38" s="230">
        <f>+SUMIFS(JURNAL!G:G,JURNAL!E:E,E38,JURNAL!L:L,$C38,JURNAL!C:C,"&gt;="&amp;$M$3,JURNAL!C:C,"&lt;="&amp;$N$3)</f>
        <v>0</v>
      </c>
      <c r="H38" s="19">
        <f>+SUMIFS(JURNAL!H:H,JURNAL!E:E,E38,JURNAL!L:L,$C38,JURNAL!C:C,"&gt;="&amp;$M$3,JURNAL!C:C,"&lt;="&amp;$N$3)</f>
        <v>0</v>
      </c>
      <c r="I38" s="18">
        <f t="shared" si="5"/>
        <v>0</v>
      </c>
      <c r="J38" s="16">
        <v>310100</v>
      </c>
      <c r="L38" s="230">
        <f>+SUMIFS(JURNAL!G:G,JURNAL!E:E,J38,JURNAL!L:L,$C38,JURNAL!C:C,"&gt;="&amp;$M$3,JURNAL!C:C,"&lt;="&amp;$N$3)</f>
        <v>0</v>
      </c>
      <c r="M38" s="19">
        <f>+SUMIFS(JURNAL!H:H,JURNAL!E:E,J38,JURNAL!L:L,$C38,JURNAL!C:C,"&gt;="&amp;$M$3,JURNAL!C:C,"&lt;="&amp;$N$3)</f>
        <v>0</v>
      </c>
      <c r="N38" s="73">
        <f t="shared" si="6"/>
        <v>0</v>
      </c>
      <c r="O38" s="230">
        <f t="shared" si="7"/>
        <v>0</v>
      </c>
      <c r="P38" s="16">
        <f t="shared" si="8"/>
        <v>310100</v>
      </c>
      <c r="Q38" s="16">
        <f t="shared" si="9"/>
        <v>120100</v>
      </c>
      <c r="R38" s="230">
        <f t="shared" si="10"/>
        <v>0</v>
      </c>
    </row>
    <row r="39" spans="2:18">
      <c r="B39" s="15">
        <f t="shared" si="4"/>
        <v>34</v>
      </c>
      <c r="C39" s="16">
        <f>IFERROR(VLOOKUP(DATA!G37,DATA!$G$4:$J$2149,1,FALSE),"")</f>
        <v>2013</v>
      </c>
      <c r="D39" s="16" t="str">
        <f>+IFERROR(VLOOKUP(C39,DATA!$G$4:$H$2000,2,FALSE),"")</f>
        <v>УБДС ТӨХК</v>
      </c>
      <c r="E39" s="16">
        <v>120100</v>
      </c>
      <c r="G39" s="230">
        <f>+SUMIFS(JURNAL!G:G,JURNAL!E:E,E39,JURNAL!L:L,$C39,JURNAL!C:C,"&gt;="&amp;$M$3,JURNAL!C:C,"&lt;="&amp;$N$3)</f>
        <v>0</v>
      </c>
      <c r="H39" s="19">
        <f>+SUMIFS(JURNAL!H:H,JURNAL!E:E,E39,JURNAL!L:L,$C39,JURNAL!C:C,"&gt;="&amp;$M$3,JURNAL!C:C,"&lt;="&amp;$N$3)</f>
        <v>0</v>
      </c>
      <c r="I39" s="18">
        <f t="shared" si="5"/>
        <v>0</v>
      </c>
      <c r="J39" s="16">
        <v>310100</v>
      </c>
      <c r="L39" s="230">
        <f>+SUMIFS(JURNAL!G:G,JURNAL!E:E,J39,JURNAL!L:L,$C39,JURNAL!C:C,"&gt;="&amp;$M$3,JURNAL!C:C,"&lt;="&amp;$N$3)</f>
        <v>3288043</v>
      </c>
      <c r="M39" s="19">
        <f>+SUMIFS(JURNAL!H:H,JURNAL!E:E,J39,JURNAL!L:L,$C39,JURNAL!C:C,"&gt;="&amp;$M$3,JURNAL!C:C,"&lt;="&amp;$N$3)</f>
        <v>3288043</v>
      </c>
      <c r="N39" s="73">
        <f t="shared" si="6"/>
        <v>0</v>
      </c>
      <c r="O39" s="230">
        <f t="shared" si="7"/>
        <v>0</v>
      </c>
      <c r="P39" s="16">
        <f t="shared" si="8"/>
        <v>310100</v>
      </c>
      <c r="Q39" s="16">
        <f t="shared" si="9"/>
        <v>120100</v>
      </c>
      <c r="R39" s="230">
        <f t="shared" si="10"/>
        <v>0</v>
      </c>
    </row>
    <row r="40" spans="2:18">
      <c r="B40" s="15">
        <f t="shared" si="4"/>
        <v>35</v>
      </c>
      <c r="C40" s="16">
        <f>IFERROR(VLOOKUP(DATA!G38,DATA!$G$4:$J$2149,1,FALSE),"")</f>
        <v>3020</v>
      </c>
      <c r="D40" s="16" t="str">
        <f>+IFERROR(VLOOKUP(C40,DATA!$G$4:$H$2000,2,FALSE),"")</f>
        <v xml:space="preserve">ЖЭЙ ЭЛ КЭЙ ЭМ ХХК </v>
      </c>
      <c r="E40" s="16">
        <v>120100</v>
      </c>
      <c r="G40" s="230">
        <f>+SUMIFS(JURNAL!G:G,JURNAL!E:E,E40,JURNAL!L:L,$C40,JURNAL!C:C,"&gt;="&amp;$M$3,JURNAL!C:C,"&lt;="&amp;$N$3)</f>
        <v>0</v>
      </c>
      <c r="H40" s="19">
        <f>+SUMIFS(JURNAL!H:H,JURNAL!E:E,E40,JURNAL!L:L,$C40,JURNAL!C:C,"&gt;="&amp;$M$3,JURNAL!C:C,"&lt;="&amp;$N$3)</f>
        <v>0</v>
      </c>
      <c r="I40" s="18">
        <f t="shared" si="5"/>
        <v>0</v>
      </c>
      <c r="J40" s="16">
        <v>310100</v>
      </c>
      <c r="L40" s="230">
        <f>+SUMIFS(JURNAL!G:G,JURNAL!E:E,J40,JURNAL!L:L,$C40,JURNAL!C:C,"&gt;="&amp;$M$3,JURNAL!C:C,"&lt;="&amp;$N$3)</f>
        <v>0</v>
      </c>
      <c r="M40" s="19">
        <f>+SUMIFS(JURNAL!H:H,JURNAL!E:E,J40,JURNAL!L:L,$C40,JURNAL!C:C,"&gt;="&amp;$M$3,JURNAL!C:C,"&lt;="&amp;$N$3)</f>
        <v>0</v>
      </c>
      <c r="N40" s="73">
        <f t="shared" si="6"/>
        <v>0</v>
      </c>
      <c r="O40" s="230">
        <f t="shared" si="7"/>
        <v>0</v>
      </c>
      <c r="P40" s="16">
        <f t="shared" si="8"/>
        <v>310100</v>
      </c>
      <c r="Q40" s="16">
        <f t="shared" si="9"/>
        <v>120100</v>
      </c>
      <c r="R40" s="230">
        <f t="shared" si="10"/>
        <v>0</v>
      </c>
    </row>
    <row r="41" spans="2:18">
      <c r="B41" s="15">
        <f t="shared" si="4"/>
        <v>36</v>
      </c>
      <c r="C41" s="16">
        <f>IFERROR(VLOOKUP(DATA!G39,DATA!$G$4:$J$2149,1,FALSE),"")</f>
        <v>3021</v>
      </c>
      <c r="D41" s="16" t="str">
        <f>+IFERROR(VLOOKUP(C41,DATA!$G$4:$H$2000,2,FALSE),"")</f>
        <v>БАНДИА ХХК</v>
      </c>
      <c r="E41" s="16">
        <v>120100</v>
      </c>
      <c r="G41" s="230">
        <f>+SUMIFS(JURNAL!G:G,JURNAL!E:E,E41,JURNAL!L:L,$C41,JURNAL!C:C,"&gt;="&amp;$M$3,JURNAL!C:C,"&lt;="&amp;$N$3)</f>
        <v>0</v>
      </c>
      <c r="H41" s="19">
        <f>+SUMIFS(JURNAL!H:H,JURNAL!E:E,E41,JURNAL!L:L,$C41,JURNAL!C:C,"&gt;="&amp;$M$3,JURNAL!C:C,"&lt;="&amp;$N$3)</f>
        <v>0</v>
      </c>
      <c r="I41" s="18">
        <f t="shared" si="5"/>
        <v>0</v>
      </c>
      <c r="J41" s="16">
        <v>310100</v>
      </c>
      <c r="L41" s="230">
        <f>+SUMIFS(JURNAL!G:G,JURNAL!E:E,J41,JURNAL!L:L,$C41,JURNAL!C:C,"&gt;="&amp;$M$3,JURNAL!C:C,"&lt;="&amp;$N$3)</f>
        <v>0</v>
      </c>
      <c r="M41" s="19">
        <f>+SUMIFS(JURNAL!H:H,JURNAL!E:E,J41,JURNAL!L:L,$C41,JURNAL!C:C,"&gt;="&amp;$M$3,JURNAL!C:C,"&lt;="&amp;$N$3)</f>
        <v>0</v>
      </c>
      <c r="N41" s="73">
        <f t="shared" si="6"/>
        <v>0</v>
      </c>
      <c r="O41" s="230">
        <f t="shared" si="7"/>
        <v>0</v>
      </c>
      <c r="P41" s="16">
        <f t="shared" si="8"/>
        <v>310100</v>
      </c>
      <c r="Q41" s="16">
        <f t="shared" si="9"/>
        <v>120100</v>
      </c>
      <c r="R41" s="230">
        <f t="shared" si="10"/>
        <v>0</v>
      </c>
    </row>
    <row r="42" spans="2:18">
      <c r="B42" s="15">
        <f t="shared" si="4"/>
        <v>37</v>
      </c>
      <c r="C42" s="16">
        <f>IFERROR(VLOOKUP(DATA!G40,DATA!$G$4:$J$2149,1,FALSE),"")</f>
        <v>3022</v>
      </c>
      <c r="D42" s="16" t="str">
        <f>+IFERROR(VLOOKUP(C42,DATA!$G$4:$H$2000,2,FALSE),"")</f>
        <v xml:space="preserve">ИННОМН ХХК </v>
      </c>
      <c r="E42" s="16">
        <v>120100</v>
      </c>
      <c r="G42" s="230">
        <f>+SUMIFS(JURNAL!G:G,JURNAL!E:E,E42,JURNAL!L:L,$C42,JURNAL!C:C,"&gt;="&amp;$M$3,JURNAL!C:C,"&lt;="&amp;$N$3)</f>
        <v>0</v>
      </c>
      <c r="H42" s="19">
        <f>+SUMIFS(JURNAL!H:H,JURNAL!E:E,E42,JURNAL!L:L,$C42,JURNAL!C:C,"&gt;="&amp;$M$3,JURNAL!C:C,"&lt;="&amp;$N$3)</f>
        <v>0</v>
      </c>
      <c r="I42" s="18">
        <f t="shared" si="5"/>
        <v>0</v>
      </c>
      <c r="J42" s="16">
        <v>310100</v>
      </c>
      <c r="L42" s="230">
        <f>+SUMIFS(JURNAL!G:G,JURNAL!E:E,J42,JURNAL!L:L,$C42,JURNAL!C:C,"&gt;="&amp;$M$3,JURNAL!C:C,"&lt;="&amp;$N$3)</f>
        <v>0</v>
      </c>
      <c r="M42" s="19">
        <f>+SUMIFS(JURNAL!H:H,JURNAL!E:E,J42,JURNAL!L:L,$C42,JURNAL!C:C,"&gt;="&amp;$M$3,JURNAL!C:C,"&lt;="&amp;$N$3)</f>
        <v>0</v>
      </c>
      <c r="N42" s="73">
        <f t="shared" si="6"/>
        <v>0</v>
      </c>
      <c r="O42" s="230">
        <f t="shared" si="7"/>
        <v>0</v>
      </c>
      <c r="P42" s="16">
        <f t="shared" si="8"/>
        <v>310100</v>
      </c>
      <c r="Q42" s="16">
        <f t="shared" si="9"/>
        <v>120100</v>
      </c>
      <c r="R42" s="230">
        <f t="shared" si="10"/>
        <v>0</v>
      </c>
    </row>
    <row r="43" spans="2:18">
      <c r="B43" s="15">
        <f t="shared" si="4"/>
        <v>38</v>
      </c>
      <c r="C43" s="16">
        <f>IFERROR(VLOOKUP(DATA!G41,DATA!$G$4:$J$2149,1,FALSE),"")</f>
        <v>3023</v>
      </c>
      <c r="D43" s="16" t="str">
        <f>+IFERROR(VLOOKUP(C43,DATA!$G$4:$H$2000,2,FALSE),"")</f>
        <v>ЭГЭЛ ХХК</v>
      </c>
      <c r="E43" s="16">
        <v>120100</v>
      </c>
      <c r="G43" s="230">
        <f>+SUMIFS(JURNAL!G:G,JURNAL!E:E,E43,JURNAL!L:L,$C43,JURNAL!C:C,"&gt;="&amp;$M$3,JURNAL!C:C,"&lt;="&amp;$N$3)</f>
        <v>0</v>
      </c>
      <c r="H43" s="19">
        <f>+SUMIFS(JURNAL!H:H,JURNAL!E:E,E43,JURNAL!L:L,$C43,JURNAL!C:C,"&gt;="&amp;$M$3,JURNAL!C:C,"&lt;="&amp;$N$3)</f>
        <v>0</v>
      </c>
      <c r="I43" s="18">
        <f t="shared" si="5"/>
        <v>0</v>
      </c>
      <c r="J43" s="16">
        <v>310100</v>
      </c>
      <c r="L43" s="230">
        <f>+SUMIFS(JURNAL!G:G,JURNAL!E:E,J43,JURNAL!L:L,$C43,JURNAL!C:C,"&gt;="&amp;$M$3,JURNAL!C:C,"&lt;="&amp;$N$3)</f>
        <v>0</v>
      </c>
      <c r="M43" s="19">
        <f>+SUMIFS(JURNAL!H:H,JURNAL!E:E,J43,JURNAL!L:L,$C43,JURNAL!C:C,"&gt;="&amp;$M$3,JURNAL!C:C,"&lt;="&amp;$N$3)</f>
        <v>0</v>
      </c>
      <c r="N43" s="73">
        <f t="shared" si="6"/>
        <v>0</v>
      </c>
      <c r="O43" s="230">
        <f t="shared" si="7"/>
        <v>0</v>
      </c>
      <c r="P43" s="16">
        <f t="shared" si="8"/>
        <v>310100</v>
      </c>
      <c r="Q43" s="16">
        <f t="shared" si="9"/>
        <v>120100</v>
      </c>
      <c r="R43" s="230">
        <f t="shared" si="10"/>
        <v>0</v>
      </c>
    </row>
    <row r="44" spans="2:18">
      <c r="B44" s="15">
        <f t="shared" si="4"/>
        <v>39</v>
      </c>
      <c r="C44" s="16">
        <f>IFERROR(VLOOKUP(DATA!G42,DATA!$G$4:$J$2149,1,FALSE),"")</f>
        <v>3024</v>
      </c>
      <c r="D44" s="16" t="str">
        <f>+IFERROR(VLOOKUP(C44,DATA!$G$4:$H$2000,2,FALSE),"")</f>
        <v xml:space="preserve">ЭМБАССИ РЭЗИДЭНС ХХК </v>
      </c>
      <c r="E44" s="16">
        <v>120100</v>
      </c>
      <c r="G44" s="230">
        <f>+SUMIFS(JURNAL!G:G,JURNAL!E:E,E44,JURNAL!L:L,$C44,JURNAL!C:C,"&gt;="&amp;$M$3,JURNAL!C:C,"&lt;="&amp;$N$3)</f>
        <v>0</v>
      </c>
      <c r="H44" s="19">
        <f>+SUMIFS(JURNAL!H:H,JURNAL!E:E,E44,JURNAL!L:L,$C44,JURNAL!C:C,"&gt;="&amp;$M$3,JURNAL!C:C,"&lt;="&amp;$N$3)</f>
        <v>0</v>
      </c>
      <c r="I44" s="18">
        <f t="shared" si="5"/>
        <v>0</v>
      </c>
      <c r="J44" s="16">
        <v>310100</v>
      </c>
      <c r="L44" s="230">
        <f>+SUMIFS(JURNAL!G:G,JURNAL!E:E,J44,JURNAL!L:L,$C44,JURNAL!C:C,"&gt;="&amp;$M$3,JURNAL!C:C,"&lt;="&amp;$N$3)</f>
        <v>0</v>
      </c>
      <c r="M44" s="19">
        <f>+SUMIFS(JURNAL!H:H,JURNAL!E:E,J44,JURNAL!L:L,$C44,JURNAL!C:C,"&gt;="&amp;$M$3,JURNAL!C:C,"&lt;="&amp;$N$3)</f>
        <v>0</v>
      </c>
      <c r="N44" s="73">
        <f t="shared" si="6"/>
        <v>0</v>
      </c>
      <c r="O44" s="230">
        <f t="shared" si="7"/>
        <v>0</v>
      </c>
      <c r="P44" s="16">
        <f t="shared" si="8"/>
        <v>310100</v>
      </c>
      <c r="Q44" s="16">
        <f t="shared" si="9"/>
        <v>120100</v>
      </c>
      <c r="R44" s="230">
        <f t="shared" si="10"/>
        <v>0</v>
      </c>
    </row>
    <row r="45" spans="2:18">
      <c r="B45" s="15">
        <f t="shared" si="4"/>
        <v>40</v>
      </c>
      <c r="C45" s="16">
        <f>IFERROR(VLOOKUP(DATA!G43,DATA!$G$4:$J$2149,1,FALSE),"")</f>
        <v>3025</v>
      </c>
      <c r="D45" s="16" t="str">
        <f>+IFERROR(VLOOKUP(C45,DATA!$G$4:$H$2000,2,FALSE),"")</f>
        <v xml:space="preserve">ТОСОН ВҮҮД ХХК </v>
      </c>
      <c r="E45" s="16">
        <v>120100</v>
      </c>
      <c r="G45" s="230">
        <f>+SUMIFS(JURNAL!G:G,JURNAL!E:E,E45,JURNAL!L:L,$C45,JURNAL!C:C,"&gt;="&amp;$M$3,JURNAL!C:C,"&lt;="&amp;$N$3)</f>
        <v>0</v>
      </c>
      <c r="H45" s="19">
        <f>+SUMIFS(JURNAL!H:H,JURNAL!E:E,E45,JURNAL!L:L,$C45,JURNAL!C:C,"&gt;="&amp;$M$3,JURNAL!C:C,"&lt;="&amp;$N$3)</f>
        <v>0</v>
      </c>
      <c r="I45" s="18">
        <f t="shared" si="5"/>
        <v>0</v>
      </c>
      <c r="J45" s="16">
        <v>310100</v>
      </c>
      <c r="L45" s="230">
        <f>+SUMIFS(JURNAL!G:G,JURNAL!E:E,J45,JURNAL!L:L,$C45,JURNAL!C:C,"&gt;="&amp;$M$3,JURNAL!C:C,"&lt;="&amp;$N$3)</f>
        <v>0</v>
      </c>
      <c r="M45" s="19">
        <f>+SUMIFS(JURNAL!H:H,JURNAL!E:E,J45,JURNAL!L:L,$C45,JURNAL!C:C,"&gt;="&amp;$M$3,JURNAL!C:C,"&lt;="&amp;$N$3)</f>
        <v>0</v>
      </c>
      <c r="N45" s="73">
        <f t="shared" si="6"/>
        <v>0</v>
      </c>
      <c r="O45" s="230">
        <f t="shared" si="7"/>
        <v>0</v>
      </c>
      <c r="P45" s="16">
        <f t="shared" si="8"/>
        <v>310100</v>
      </c>
      <c r="Q45" s="16">
        <f t="shared" si="9"/>
        <v>120100</v>
      </c>
      <c r="R45" s="230">
        <f t="shared" si="10"/>
        <v>0</v>
      </c>
    </row>
    <row r="46" spans="2:18">
      <c r="B46" s="15">
        <f t="shared" si="4"/>
        <v>41</v>
      </c>
      <c r="C46" s="16">
        <f>IFERROR(VLOOKUP(DATA!G44,DATA!$G$4:$J$2149,1,FALSE),"")</f>
        <v>3026</v>
      </c>
      <c r="D46" s="16" t="str">
        <f>+IFERROR(VLOOKUP(C46,DATA!$G$4:$H$2000,2,FALSE),"")</f>
        <v xml:space="preserve">ВОРЛДНЬЮ МЕДИА ХХК </v>
      </c>
      <c r="E46" s="16">
        <v>120100</v>
      </c>
      <c r="G46" s="230">
        <f>+SUMIFS(JURNAL!G:G,JURNAL!E:E,E46,JURNAL!L:L,$C46,JURNAL!C:C,"&gt;="&amp;$M$3,JURNAL!C:C,"&lt;="&amp;$N$3)</f>
        <v>0</v>
      </c>
      <c r="H46" s="19">
        <f>+SUMIFS(JURNAL!H:H,JURNAL!E:E,E46,JURNAL!L:L,$C46,JURNAL!C:C,"&gt;="&amp;$M$3,JURNAL!C:C,"&lt;="&amp;$N$3)</f>
        <v>0</v>
      </c>
      <c r="I46" s="18">
        <f t="shared" si="5"/>
        <v>0</v>
      </c>
      <c r="J46" s="16">
        <v>310100</v>
      </c>
      <c r="L46" s="230">
        <f>+SUMIFS(JURNAL!G:G,JURNAL!E:E,J46,JURNAL!L:L,$C46,JURNAL!C:C,"&gt;="&amp;$M$3,JURNAL!C:C,"&lt;="&amp;$N$3)</f>
        <v>0</v>
      </c>
      <c r="M46" s="19">
        <f>+SUMIFS(JURNAL!H:H,JURNAL!E:E,J46,JURNAL!L:L,$C46,JURNAL!C:C,"&gt;="&amp;$M$3,JURNAL!C:C,"&lt;="&amp;$N$3)</f>
        <v>0</v>
      </c>
      <c r="N46" s="73">
        <f t="shared" si="6"/>
        <v>0</v>
      </c>
      <c r="O46" s="230">
        <f t="shared" si="7"/>
        <v>0</v>
      </c>
      <c r="P46" s="16">
        <f t="shared" si="8"/>
        <v>310100</v>
      </c>
      <c r="Q46" s="16">
        <f t="shared" si="9"/>
        <v>120100</v>
      </c>
      <c r="R46" s="230">
        <f t="shared" si="10"/>
        <v>0</v>
      </c>
    </row>
    <row r="47" spans="2:18">
      <c r="B47" s="15">
        <f t="shared" si="4"/>
        <v>42</v>
      </c>
      <c r="C47" s="16">
        <f>IFERROR(VLOOKUP(DATA!G45,DATA!$G$4:$J$2149,1,FALSE),"")</f>
        <v>3027</v>
      </c>
      <c r="D47" s="16" t="str">
        <f>+IFERROR(VLOOKUP(C47,DATA!$G$4:$H$2000,2,FALSE),"")</f>
        <v xml:space="preserve">МОНГОЛЫН ХҮҮХДИЙН САН </v>
      </c>
      <c r="E47" s="16">
        <v>120100</v>
      </c>
      <c r="G47" s="230">
        <f>+SUMIFS(JURNAL!G:G,JURNAL!E:E,E47,JURNAL!L:L,$C47,JURNAL!C:C,"&gt;="&amp;$M$3,JURNAL!C:C,"&lt;="&amp;$N$3)</f>
        <v>0</v>
      </c>
      <c r="H47" s="19">
        <f>+SUMIFS(JURNAL!H:H,JURNAL!E:E,E47,JURNAL!L:L,$C47,JURNAL!C:C,"&gt;="&amp;$M$3,JURNAL!C:C,"&lt;="&amp;$N$3)</f>
        <v>0</v>
      </c>
      <c r="I47" s="18">
        <f t="shared" si="5"/>
        <v>0</v>
      </c>
      <c r="J47" s="16">
        <v>310100</v>
      </c>
      <c r="L47" s="230">
        <f>+SUMIFS(JURNAL!G:G,JURNAL!E:E,J47,JURNAL!L:L,$C47,JURNAL!C:C,"&gt;="&amp;$M$3,JURNAL!C:C,"&lt;="&amp;$N$3)</f>
        <v>0</v>
      </c>
      <c r="M47" s="19">
        <f>+SUMIFS(JURNAL!H:H,JURNAL!E:E,J47,JURNAL!L:L,$C47,JURNAL!C:C,"&gt;="&amp;$M$3,JURNAL!C:C,"&lt;="&amp;$N$3)</f>
        <v>0</v>
      </c>
      <c r="N47" s="73">
        <f t="shared" si="6"/>
        <v>0</v>
      </c>
      <c r="O47" s="230">
        <f t="shared" si="7"/>
        <v>0</v>
      </c>
      <c r="P47" s="16">
        <f t="shared" si="8"/>
        <v>310100</v>
      </c>
      <c r="Q47" s="16">
        <f t="shared" si="9"/>
        <v>120100</v>
      </c>
      <c r="R47" s="230">
        <f t="shared" si="10"/>
        <v>0</v>
      </c>
    </row>
    <row r="48" spans="2:18">
      <c r="B48" s="15">
        <f t="shared" si="4"/>
        <v>43</v>
      </c>
      <c r="C48" s="16">
        <f>IFERROR(VLOOKUP(DATA!G46,DATA!$G$4:$J$2149,1,FALSE),"")</f>
        <v>3028</v>
      </c>
      <c r="D48" s="16" t="str">
        <f>+IFERROR(VLOOKUP(C48,DATA!$G$4:$H$2000,2,FALSE),"")</f>
        <v>УБТЗам БОС1-р анги</v>
      </c>
      <c r="E48" s="16">
        <v>120100</v>
      </c>
      <c r="G48" s="230">
        <f>+SUMIFS(JURNAL!G:G,JURNAL!E:E,E48,JURNAL!L:L,$C48,JURNAL!C:C,"&gt;="&amp;$M$3,JURNAL!C:C,"&lt;="&amp;$N$3)</f>
        <v>0</v>
      </c>
      <c r="H48" s="19">
        <f>+SUMIFS(JURNAL!H:H,JURNAL!E:E,E48,JURNAL!L:L,$C48,JURNAL!C:C,"&gt;="&amp;$M$3,JURNAL!C:C,"&lt;="&amp;$N$3)</f>
        <v>0</v>
      </c>
      <c r="I48" s="18">
        <f t="shared" si="5"/>
        <v>0</v>
      </c>
      <c r="J48" s="16">
        <v>310100</v>
      </c>
      <c r="L48" s="230">
        <f>+SUMIFS(JURNAL!G:G,JURNAL!E:E,J48,JURNAL!L:L,$C48,JURNAL!C:C,"&gt;="&amp;$M$3,JURNAL!C:C,"&lt;="&amp;$N$3)</f>
        <v>0</v>
      </c>
      <c r="M48" s="19">
        <f>+SUMIFS(JURNAL!H:H,JURNAL!E:E,J48,JURNAL!L:L,$C48,JURNAL!C:C,"&gt;="&amp;$M$3,JURNAL!C:C,"&lt;="&amp;$N$3)</f>
        <v>0</v>
      </c>
      <c r="N48" s="73">
        <f t="shared" si="6"/>
        <v>0</v>
      </c>
      <c r="O48" s="230">
        <f t="shared" si="7"/>
        <v>0</v>
      </c>
      <c r="P48" s="16">
        <f t="shared" si="8"/>
        <v>310100</v>
      </c>
      <c r="Q48" s="16">
        <f t="shared" si="9"/>
        <v>120100</v>
      </c>
      <c r="R48" s="230">
        <f t="shared" si="10"/>
        <v>0</v>
      </c>
    </row>
    <row r="49" spans="2:18">
      <c r="B49" s="15">
        <f t="shared" si="4"/>
        <v>44</v>
      </c>
      <c r="C49" s="16">
        <f>IFERROR(VLOOKUP(DATA!G47,DATA!$G$4:$J$2149,1,FALSE),"")</f>
        <v>3029</v>
      </c>
      <c r="D49" s="16" t="str">
        <f>+IFERROR(VLOOKUP(C49,DATA!$G$4:$H$2000,2,FALSE),"")</f>
        <v xml:space="preserve">ДУГАН ХАД ЖУУЛЧИН ХХК </v>
      </c>
      <c r="E49" s="16">
        <v>120100</v>
      </c>
      <c r="G49" s="230">
        <f>+SUMIFS(JURNAL!G:G,JURNAL!E:E,E49,JURNAL!L:L,$C49,JURNAL!C:C,"&gt;="&amp;$M$3,JURNAL!C:C,"&lt;="&amp;$N$3)</f>
        <v>0</v>
      </c>
      <c r="H49" s="19">
        <f>+SUMIFS(JURNAL!H:H,JURNAL!E:E,E49,JURNAL!L:L,$C49,JURNAL!C:C,"&gt;="&amp;$M$3,JURNAL!C:C,"&lt;="&amp;$N$3)</f>
        <v>0</v>
      </c>
      <c r="I49" s="18">
        <f t="shared" si="5"/>
        <v>0</v>
      </c>
      <c r="J49" s="16">
        <v>310100</v>
      </c>
      <c r="L49" s="230">
        <f>+SUMIFS(JURNAL!G:G,JURNAL!E:E,J49,JURNAL!L:L,$C49,JURNAL!C:C,"&gt;="&amp;$M$3,JURNAL!C:C,"&lt;="&amp;$N$3)</f>
        <v>0</v>
      </c>
      <c r="M49" s="19">
        <f>+SUMIFS(JURNAL!H:H,JURNAL!E:E,J49,JURNAL!L:L,$C49,JURNAL!C:C,"&gt;="&amp;$M$3,JURNAL!C:C,"&lt;="&amp;$N$3)</f>
        <v>0</v>
      </c>
      <c r="N49" s="73">
        <f t="shared" si="6"/>
        <v>0</v>
      </c>
      <c r="O49" s="230">
        <f t="shared" si="7"/>
        <v>0</v>
      </c>
      <c r="P49" s="16">
        <f t="shared" si="8"/>
        <v>310100</v>
      </c>
      <c r="Q49" s="16">
        <f t="shared" si="9"/>
        <v>120100</v>
      </c>
      <c r="R49" s="230">
        <f t="shared" si="10"/>
        <v>0</v>
      </c>
    </row>
    <row r="50" spans="2:18">
      <c r="B50" s="15">
        <f t="shared" si="4"/>
        <v>45</v>
      </c>
      <c r="C50" s="16">
        <f>IFERROR(VLOOKUP(DATA!G48,DATA!$G$4:$J$2149,1,FALSE),"")</f>
        <v>3030</v>
      </c>
      <c r="D50" s="16" t="str">
        <f>+IFERROR(VLOOKUP(C50,DATA!$G$4:$H$2000,2,FALSE),"")</f>
        <v xml:space="preserve">МОНГОЛ ГЛОБАЛ ХХК </v>
      </c>
      <c r="E50" s="16">
        <v>120100</v>
      </c>
      <c r="G50" s="230">
        <f>+SUMIFS(JURNAL!G:G,JURNAL!E:E,E50,JURNAL!L:L,$C50,JURNAL!C:C,"&gt;="&amp;$M$3,JURNAL!C:C,"&lt;="&amp;$N$3)</f>
        <v>0</v>
      </c>
      <c r="H50" s="19">
        <f>+SUMIFS(JURNAL!H:H,JURNAL!E:E,E50,JURNAL!L:L,$C50,JURNAL!C:C,"&gt;="&amp;$M$3,JURNAL!C:C,"&lt;="&amp;$N$3)</f>
        <v>0</v>
      </c>
      <c r="I50" s="18">
        <f t="shared" si="5"/>
        <v>0</v>
      </c>
      <c r="J50" s="16">
        <v>310100</v>
      </c>
      <c r="L50" s="230">
        <f>+SUMIFS(JURNAL!G:G,JURNAL!E:E,J50,JURNAL!L:L,$C50,JURNAL!C:C,"&gt;="&amp;$M$3,JURNAL!C:C,"&lt;="&amp;$N$3)</f>
        <v>0</v>
      </c>
      <c r="M50" s="19">
        <f>+SUMIFS(JURNAL!H:H,JURNAL!E:E,J50,JURNAL!L:L,$C50,JURNAL!C:C,"&gt;="&amp;$M$3,JURNAL!C:C,"&lt;="&amp;$N$3)</f>
        <v>0</v>
      </c>
      <c r="N50" s="73">
        <f t="shared" si="6"/>
        <v>0</v>
      </c>
      <c r="O50" s="230">
        <f t="shared" si="7"/>
        <v>0</v>
      </c>
      <c r="P50" s="16">
        <f t="shared" si="8"/>
        <v>310100</v>
      </c>
      <c r="Q50" s="16">
        <f t="shared" si="9"/>
        <v>120100</v>
      </c>
      <c r="R50" s="230">
        <f t="shared" si="10"/>
        <v>0</v>
      </c>
    </row>
    <row r="51" spans="2:18">
      <c r="B51" s="15">
        <f t="shared" si="4"/>
        <v>46</v>
      </c>
      <c r="C51" s="16">
        <f>IFERROR(VLOOKUP(DATA!G49,DATA!$G$4:$J$2149,1,FALSE),"")</f>
        <v>3031</v>
      </c>
      <c r="D51" s="16" t="str">
        <f>+IFERROR(VLOOKUP(C51,DATA!$G$4:$H$2000,2,FALSE),"")</f>
        <v xml:space="preserve">ГРИЙН АРТ ПАРК ХХК </v>
      </c>
      <c r="E51" s="16">
        <v>120100</v>
      </c>
      <c r="G51" s="230">
        <f>+SUMIFS(JURNAL!G:G,JURNAL!E:E,E51,JURNAL!L:L,$C51,JURNAL!C:C,"&gt;="&amp;$M$3,JURNAL!C:C,"&lt;="&amp;$N$3)</f>
        <v>0</v>
      </c>
      <c r="H51" s="19">
        <f>+SUMIFS(JURNAL!H:H,JURNAL!E:E,E51,JURNAL!L:L,$C51,JURNAL!C:C,"&gt;="&amp;$M$3,JURNAL!C:C,"&lt;="&amp;$N$3)</f>
        <v>0</v>
      </c>
      <c r="I51" s="18">
        <f t="shared" si="5"/>
        <v>0</v>
      </c>
      <c r="J51" s="16">
        <v>310100</v>
      </c>
      <c r="L51" s="230">
        <f>+SUMIFS(JURNAL!G:G,JURNAL!E:E,J51,JURNAL!L:L,$C51,JURNAL!C:C,"&gt;="&amp;$M$3,JURNAL!C:C,"&lt;="&amp;$N$3)</f>
        <v>0</v>
      </c>
      <c r="M51" s="19">
        <f>+SUMIFS(JURNAL!H:H,JURNAL!E:E,J51,JURNAL!L:L,$C51,JURNAL!C:C,"&gt;="&amp;$M$3,JURNAL!C:C,"&lt;="&amp;$N$3)</f>
        <v>0</v>
      </c>
      <c r="N51" s="73">
        <f t="shared" si="6"/>
        <v>0</v>
      </c>
      <c r="O51" s="230">
        <f t="shared" si="7"/>
        <v>0</v>
      </c>
      <c r="P51" s="16">
        <f t="shared" si="8"/>
        <v>310100</v>
      </c>
      <c r="Q51" s="16">
        <f t="shared" si="9"/>
        <v>120100</v>
      </c>
      <c r="R51" s="230">
        <f t="shared" si="10"/>
        <v>0</v>
      </c>
    </row>
    <row r="52" spans="2:18">
      <c r="B52" s="15">
        <f t="shared" si="4"/>
        <v>47</v>
      </c>
      <c r="C52" s="16">
        <f>IFERROR(VLOOKUP(DATA!G50,DATA!$G$4:$J$2149,1,FALSE),"")</f>
        <v>3032</v>
      </c>
      <c r="D52" s="16" t="str">
        <f>+IFERROR(VLOOKUP(C52,DATA!$G$4:$H$2000,2,FALSE),"")</f>
        <v xml:space="preserve">БОДЬ ЦАМХАГ ХХК </v>
      </c>
      <c r="E52" s="16">
        <v>120100</v>
      </c>
      <c r="G52" s="230">
        <f>+SUMIFS(JURNAL!G:G,JURNAL!E:E,E52,JURNAL!L:L,$C52,JURNAL!C:C,"&gt;="&amp;$M$3,JURNAL!C:C,"&lt;="&amp;$N$3)</f>
        <v>0</v>
      </c>
      <c r="H52" s="19">
        <f>+SUMIFS(JURNAL!H:H,JURNAL!E:E,E52,JURNAL!L:L,$C52,JURNAL!C:C,"&gt;="&amp;$M$3,JURNAL!C:C,"&lt;="&amp;$N$3)</f>
        <v>0</v>
      </c>
      <c r="I52" s="18">
        <f t="shared" si="5"/>
        <v>0</v>
      </c>
      <c r="J52" s="16">
        <v>310100</v>
      </c>
      <c r="L52" s="230">
        <f>+SUMIFS(JURNAL!G:G,JURNAL!E:E,J52,JURNAL!L:L,$C52,JURNAL!C:C,"&gt;="&amp;$M$3,JURNAL!C:C,"&lt;="&amp;$N$3)</f>
        <v>0</v>
      </c>
      <c r="M52" s="19">
        <f>+SUMIFS(JURNAL!H:H,JURNAL!E:E,J52,JURNAL!L:L,$C52,JURNAL!C:C,"&gt;="&amp;$M$3,JURNAL!C:C,"&lt;="&amp;$N$3)</f>
        <v>0</v>
      </c>
      <c r="N52" s="73">
        <f t="shared" si="6"/>
        <v>0</v>
      </c>
      <c r="O52" s="230">
        <f t="shared" si="7"/>
        <v>0</v>
      </c>
      <c r="P52" s="16">
        <f t="shared" si="8"/>
        <v>310100</v>
      </c>
      <c r="Q52" s="16">
        <f t="shared" si="9"/>
        <v>120100</v>
      </c>
      <c r="R52" s="230">
        <f t="shared" si="10"/>
        <v>0</v>
      </c>
    </row>
    <row r="53" spans="2:18">
      <c r="B53" s="15">
        <f t="shared" si="4"/>
        <v>48</v>
      </c>
      <c r="C53" s="16">
        <f>IFERROR(VLOOKUP(DATA!G51,DATA!$G$4:$J$2149,1,FALSE),"")</f>
        <v>3033</v>
      </c>
      <c r="D53" s="16" t="str">
        <f>+IFERROR(VLOOKUP(C53,DATA!$G$4:$H$2000,2,FALSE),"")</f>
        <v xml:space="preserve">МАКС АГРО ХХК </v>
      </c>
      <c r="E53" s="16">
        <v>120100</v>
      </c>
      <c r="G53" s="230">
        <f>+SUMIFS(JURNAL!G:G,JURNAL!E:E,E53,JURNAL!L:L,$C53,JURNAL!C:C,"&gt;="&amp;$M$3,JURNAL!C:C,"&lt;="&amp;$N$3)</f>
        <v>0</v>
      </c>
      <c r="H53" s="19">
        <f>+SUMIFS(JURNAL!H:H,JURNAL!E:E,E53,JURNAL!L:L,$C53,JURNAL!C:C,"&gt;="&amp;$M$3,JURNAL!C:C,"&lt;="&amp;$N$3)</f>
        <v>0</v>
      </c>
      <c r="I53" s="18">
        <f t="shared" si="5"/>
        <v>0</v>
      </c>
      <c r="J53" s="16">
        <v>310100</v>
      </c>
      <c r="L53" s="230">
        <f>+SUMIFS(JURNAL!G:G,JURNAL!E:E,J53,JURNAL!L:L,$C53,JURNAL!C:C,"&gt;="&amp;$M$3,JURNAL!C:C,"&lt;="&amp;$N$3)</f>
        <v>0</v>
      </c>
      <c r="M53" s="19">
        <f>+SUMIFS(JURNAL!H:H,JURNAL!E:E,J53,JURNAL!L:L,$C53,JURNAL!C:C,"&gt;="&amp;$M$3,JURNAL!C:C,"&lt;="&amp;$N$3)</f>
        <v>0</v>
      </c>
      <c r="N53" s="73">
        <f t="shared" si="6"/>
        <v>0</v>
      </c>
      <c r="O53" s="230">
        <f t="shared" si="7"/>
        <v>0</v>
      </c>
      <c r="P53" s="16">
        <f t="shared" si="8"/>
        <v>310100</v>
      </c>
      <c r="Q53" s="16">
        <f t="shared" si="9"/>
        <v>120100</v>
      </c>
      <c r="R53" s="230">
        <f t="shared" si="10"/>
        <v>0</v>
      </c>
    </row>
    <row r="54" spans="2:18">
      <c r="B54" s="15">
        <f t="shared" si="4"/>
        <v>49</v>
      </c>
      <c r="C54" s="16">
        <f>IFERROR(VLOOKUP(DATA!G52,DATA!$G$4:$J$2149,1,FALSE),"")</f>
        <v>3034</v>
      </c>
      <c r="D54" s="16" t="str">
        <f>+IFERROR(VLOOKUP(C54,DATA!$G$4:$H$2000,2,FALSE),"")</f>
        <v xml:space="preserve">ЭН ТИ ЭМ ХХК </v>
      </c>
      <c r="E54" s="16">
        <v>120100</v>
      </c>
      <c r="G54" s="230">
        <f>+SUMIFS(JURNAL!G:G,JURNAL!E:E,E54,JURNAL!L:L,$C54,JURNAL!C:C,"&gt;="&amp;$M$3,JURNAL!C:C,"&lt;="&amp;$N$3)</f>
        <v>0</v>
      </c>
      <c r="H54" s="19">
        <f>+SUMIFS(JURNAL!H:H,JURNAL!E:E,E54,JURNAL!L:L,$C54,JURNAL!C:C,"&gt;="&amp;$M$3,JURNAL!C:C,"&lt;="&amp;$N$3)</f>
        <v>0</v>
      </c>
      <c r="I54" s="18">
        <f t="shared" si="5"/>
        <v>0</v>
      </c>
      <c r="J54" s="16">
        <v>310100</v>
      </c>
      <c r="L54" s="230">
        <f>+SUMIFS(JURNAL!G:G,JURNAL!E:E,J54,JURNAL!L:L,$C54,JURNAL!C:C,"&gt;="&amp;$M$3,JURNAL!C:C,"&lt;="&amp;$N$3)</f>
        <v>0</v>
      </c>
      <c r="M54" s="19">
        <f>+SUMIFS(JURNAL!H:H,JURNAL!E:E,J54,JURNAL!L:L,$C54,JURNAL!C:C,"&gt;="&amp;$M$3,JURNAL!C:C,"&lt;="&amp;$N$3)</f>
        <v>0</v>
      </c>
      <c r="N54" s="73">
        <f t="shared" si="6"/>
        <v>0</v>
      </c>
      <c r="O54" s="230">
        <f t="shared" si="7"/>
        <v>0</v>
      </c>
      <c r="P54" s="16">
        <f t="shared" si="8"/>
        <v>310100</v>
      </c>
      <c r="Q54" s="16">
        <f t="shared" si="9"/>
        <v>120100</v>
      </c>
      <c r="R54" s="230">
        <f t="shared" si="10"/>
        <v>0</v>
      </c>
    </row>
    <row r="55" spans="2:18">
      <c r="B55" s="15">
        <f t="shared" si="4"/>
        <v>50</v>
      </c>
      <c r="C55" s="16">
        <f>IFERROR(VLOOKUP(DATA!G53,DATA!$G$4:$J$2149,1,FALSE),"")</f>
        <v>3035</v>
      </c>
      <c r="D55" s="16" t="str">
        <f>+IFERROR(VLOOKUP(C55,DATA!$G$4:$H$2000,2,FALSE),"")</f>
        <v xml:space="preserve">ГОЛДЕН ЖИМ ХХК </v>
      </c>
      <c r="E55" s="16">
        <v>120100</v>
      </c>
      <c r="G55" s="230">
        <f>+SUMIFS(JURNAL!G:G,JURNAL!E:E,E55,JURNAL!L:L,$C55,JURNAL!C:C,"&gt;="&amp;$M$3,JURNAL!C:C,"&lt;="&amp;$N$3)</f>
        <v>0</v>
      </c>
      <c r="H55" s="19">
        <f>+SUMIFS(JURNAL!H:H,JURNAL!E:E,E55,JURNAL!L:L,$C55,JURNAL!C:C,"&gt;="&amp;$M$3,JURNAL!C:C,"&lt;="&amp;$N$3)</f>
        <v>0</v>
      </c>
      <c r="I55" s="18">
        <f t="shared" si="5"/>
        <v>0</v>
      </c>
      <c r="J55" s="16">
        <v>310100</v>
      </c>
      <c r="L55" s="230">
        <f>+SUMIFS(JURNAL!G:G,JURNAL!E:E,J55,JURNAL!L:L,$C55,JURNAL!C:C,"&gt;="&amp;$M$3,JURNAL!C:C,"&lt;="&amp;$N$3)</f>
        <v>0</v>
      </c>
      <c r="M55" s="19">
        <f>+SUMIFS(JURNAL!H:H,JURNAL!E:E,J55,JURNAL!L:L,$C55,JURNAL!C:C,"&gt;="&amp;$M$3,JURNAL!C:C,"&lt;="&amp;$N$3)</f>
        <v>0</v>
      </c>
      <c r="N55" s="73">
        <f t="shared" si="6"/>
        <v>0</v>
      </c>
      <c r="O55" s="230">
        <f t="shared" si="7"/>
        <v>0</v>
      </c>
      <c r="P55" s="16">
        <f t="shared" si="8"/>
        <v>310100</v>
      </c>
      <c r="Q55" s="16">
        <f t="shared" si="9"/>
        <v>120100</v>
      </c>
      <c r="R55" s="230">
        <f t="shared" si="10"/>
        <v>0</v>
      </c>
    </row>
    <row r="56" spans="2:18">
      <c r="B56" s="15">
        <f t="shared" si="4"/>
        <v>51</v>
      </c>
      <c r="C56" s="16">
        <f>IFERROR(VLOOKUP(DATA!G54,DATA!$G$4:$J$2149,1,FALSE),"")</f>
        <v>3036</v>
      </c>
      <c r="D56" s="16" t="str">
        <f>+IFERROR(VLOOKUP(C56,DATA!$G$4:$H$2000,2,FALSE),"")</f>
        <v>ИХ БАГА ХОНГОР ХХК</v>
      </c>
      <c r="E56" s="16">
        <v>120100</v>
      </c>
      <c r="G56" s="230">
        <f>+SUMIFS(JURNAL!G:G,JURNAL!E:E,E56,JURNAL!L:L,$C56,JURNAL!C:C,"&gt;="&amp;$M$3,JURNAL!C:C,"&lt;="&amp;$N$3)</f>
        <v>0</v>
      </c>
      <c r="H56" s="19">
        <f>+SUMIFS(JURNAL!H:H,JURNAL!E:E,E56,JURNAL!L:L,$C56,JURNAL!C:C,"&gt;="&amp;$M$3,JURNAL!C:C,"&lt;="&amp;$N$3)</f>
        <v>0</v>
      </c>
      <c r="I56" s="18">
        <f t="shared" si="5"/>
        <v>0</v>
      </c>
      <c r="J56" s="16">
        <v>310100</v>
      </c>
      <c r="L56" s="230">
        <f>+SUMIFS(JURNAL!G:G,JURNAL!E:E,J56,JURNAL!L:L,$C56,JURNAL!C:C,"&gt;="&amp;$M$3,JURNAL!C:C,"&lt;="&amp;$N$3)</f>
        <v>0</v>
      </c>
      <c r="M56" s="19">
        <f>+SUMIFS(JURNAL!H:H,JURNAL!E:E,J56,JURNAL!L:L,$C56,JURNAL!C:C,"&gt;="&amp;$M$3,JURNAL!C:C,"&lt;="&amp;$N$3)</f>
        <v>0</v>
      </c>
      <c r="N56" s="73">
        <f t="shared" si="6"/>
        <v>0</v>
      </c>
      <c r="O56" s="230">
        <f t="shared" si="7"/>
        <v>0</v>
      </c>
      <c r="P56" s="16">
        <f t="shared" si="8"/>
        <v>310100</v>
      </c>
      <c r="Q56" s="16">
        <f t="shared" si="9"/>
        <v>120100</v>
      </c>
      <c r="R56" s="230">
        <f t="shared" si="10"/>
        <v>0</v>
      </c>
    </row>
    <row r="57" spans="2:18">
      <c r="B57" s="15">
        <f t="shared" si="4"/>
        <v>52</v>
      </c>
      <c r="C57" s="16">
        <f>IFERROR(VLOOKUP(DATA!G55,DATA!$G$4:$J$2149,1,FALSE),"")</f>
        <v>3037</v>
      </c>
      <c r="D57" s="16" t="str">
        <f>+IFERROR(VLOOKUP(C57,DATA!$G$4:$H$2000,2,FALSE),"")</f>
        <v xml:space="preserve">ЯВУУ ИМПЕКС ХХК </v>
      </c>
      <c r="E57" s="16">
        <v>120100</v>
      </c>
      <c r="F57" s="230">
        <v>1104403</v>
      </c>
      <c r="G57" s="230">
        <f>+SUMIFS(JURNAL!G:G,JURNAL!E:E,E57,JURNAL!L:L,$C57,JURNAL!C:C,"&gt;="&amp;$M$3,JURNAL!C:C,"&lt;="&amp;$N$3)</f>
        <v>0</v>
      </c>
      <c r="H57" s="19">
        <f>+SUMIFS(JURNAL!H:H,JURNAL!E:E,E57,JURNAL!L:L,$C57,JURNAL!C:C,"&gt;="&amp;$M$3,JURNAL!C:C,"&lt;="&amp;$N$3)</f>
        <v>0</v>
      </c>
      <c r="I57" s="18">
        <f t="shared" si="5"/>
        <v>1104403</v>
      </c>
      <c r="J57" s="16">
        <v>310100</v>
      </c>
      <c r="L57" s="230">
        <f>+SUMIFS(JURNAL!G:G,JURNAL!E:E,J57,JURNAL!L:L,$C57,JURNAL!C:C,"&gt;="&amp;$M$3,JURNAL!C:C,"&lt;="&amp;$N$3)</f>
        <v>0</v>
      </c>
      <c r="M57" s="19">
        <f>+SUMIFS(JURNAL!H:H,JURNAL!E:E,J57,JURNAL!L:L,$C57,JURNAL!C:C,"&gt;="&amp;$M$3,JURNAL!C:C,"&lt;="&amp;$N$3)</f>
        <v>0</v>
      </c>
      <c r="N57" s="73">
        <f t="shared" si="6"/>
        <v>0</v>
      </c>
      <c r="O57" s="230">
        <f t="shared" si="7"/>
        <v>0</v>
      </c>
      <c r="P57" s="16">
        <f t="shared" si="8"/>
        <v>310100</v>
      </c>
      <c r="Q57" s="16">
        <f t="shared" si="9"/>
        <v>120100</v>
      </c>
      <c r="R57" s="230">
        <f t="shared" si="10"/>
        <v>0</v>
      </c>
    </row>
    <row r="58" spans="2:18">
      <c r="B58" s="15">
        <f t="shared" si="4"/>
        <v>53</v>
      </c>
      <c r="C58" s="16">
        <f>IFERROR(VLOOKUP(DATA!G56,DATA!$G$4:$J$2149,1,FALSE),"")</f>
        <v>3038</v>
      </c>
      <c r="D58" s="16" t="str">
        <f>+IFERROR(VLOOKUP(C58,DATA!$G$4:$H$2000,2,FALSE),"")</f>
        <v xml:space="preserve">ТЭХ БАРИЛГЫН МАТЕРИАЛЫН ДЭЛГҮҮР </v>
      </c>
      <c r="E58" s="16">
        <v>120100</v>
      </c>
      <c r="F58" s="230">
        <v>540000</v>
      </c>
      <c r="G58" s="230">
        <f>+SUMIFS(JURNAL!G:G,JURNAL!E:E,E58,JURNAL!L:L,$C58,JURNAL!C:C,"&gt;="&amp;$M$3,JURNAL!C:C,"&lt;="&amp;$N$3)</f>
        <v>0</v>
      </c>
      <c r="H58" s="19">
        <f>+SUMIFS(JURNAL!H:H,JURNAL!E:E,E58,JURNAL!L:L,$C58,JURNAL!C:C,"&gt;="&amp;$M$3,JURNAL!C:C,"&lt;="&amp;$N$3)</f>
        <v>0</v>
      </c>
      <c r="I58" s="18">
        <f t="shared" si="5"/>
        <v>540000</v>
      </c>
      <c r="J58" s="16">
        <v>310100</v>
      </c>
      <c r="L58" s="230">
        <f>+SUMIFS(JURNAL!G:G,JURNAL!E:E,J58,JURNAL!L:L,$C58,JURNAL!C:C,"&gt;="&amp;$M$3,JURNAL!C:C,"&lt;="&amp;$N$3)</f>
        <v>0</v>
      </c>
      <c r="M58" s="19">
        <f>+SUMIFS(JURNAL!H:H,JURNAL!E:E,J58,JURNAL!L:L,$C58,JURNAL!C:C,"&gt;="&amp;$M$3,JURNAL!C:C,"&lt;="&amp;$N$3)</f>
        <v>0</v>
      </c>
      <c r="N58" s="73">
        <f t="shared" si="6"/>
        <v>0</v>
      </c>
      <c r="O58" s="230">
        <f t="shared" si="7"/>
        <v>0</v>
      </c>
      <c r="P58" s="16">
        <f t="shared" si="8"/>
        <v>310100</v>
      </c>
      <c r="Q58" s="16">
        <f t="shared" si="9"/>
        <v>120100</v>
      </c>
      <c r="R58" s="230">
        <f t="shared" si="10"/>
        <v>0</v>
      </c>
    </row>
    <row r="59" spans="2:18">
      <c r="B59" s="15">
        <f t="shared" si="4"/>
        <v>54</v>
      </c>
      <c r="C59" s="16">
        <f>IFERROR(VLOOKUP(DATA!G57,DATA!$G$4:$J$2149,1,FALSE),"")</f>
        <v>3039</v>
      </c>
      <c r="D59" s="16" t="str">
        <f>+IFERROR(VLOOKUP(C59,DATA!$G$4:$H$2000,2,FALSE),"")</f>
        <v xml:space="preserve">САССИР ХХК </v>
      </c>
      <c r="E59" s="16">
        <v>120100</v>
      </c>
      <c r="G59" s="230">
        <f>+SUMIFS(JURNAL!G:G,JURNAL!E:E,E59,JURNAL!L:L,$C59,JURNAL!C:C,"&gt;="&amp;$M$3,JURNAL!C:C,"&lt;="&amp;$N$3)</f>
        <v>0</v>
      </c>
      <c r="H59" s="19">
        <f>+SUMIFS(JURNAL!H:H,JURNAL!E:E,E59,JURNAL!L:L,$C59,JURNAL!C:C,"&gt;="&amp;$M$3,JURNAL!C:C,"&lt;="&amp;$N$3)</f>
        <v>0</v>
      </c>
      <c r="I59" s="18">
        <f t="shared" si="5"/>
        <v>0</v>
      </c>
      <c r="J59" s="16">
        <v>310100</v>
      </c>
      <c r="L59" s="230">
        <f>+SUMIFS(JURNAL!G:G,JURNAL!E:E,J59,JURNAL!L:L,$C59,JURNAL!C:C,"&gt;="&amp;$M$3,JURNAL!C:C,"&lt;="&amp;$N$3)</f>
        <v>0</v>
      </c>
      <c r="M59" s="19">
        <f>+SUMIFS(JURNAL!H:H,JURNAL!E:E,J59,JURNAL!L:L,$C59,JURNAL!C:C,"&gt;="&amp;$M$3,JURNAL!C:C,"&lt;="&amp;$N$3)</f>
        <v>0</v>
      </c>
      <c r="N59" s="73">
        <f t="shared" si="6"/>
        <v>0</v>
      </c>
      <c r="O59" s="230">
        <f t="shared" si="7"/>
        <v>0</v>
      </c>
      <c r="P59" s="16">
        <f t="shared" si="8"/>
        <v>310100</v>
      </c>
      <c r="Q59" s="16">
        <f t="shared" si="9"/>
        <v>120100</v>
      </c>
      <c r="R59" s="230">
        <f t="shared" si="10"/>
        <v>0</v>
      </c>
    </row>
    <row r="60" spans="2:18">
      <c r="B60" s="15">
        <f t="shared" si="4"/>
        <v>55</v>
      </c>
      <c r="C60" s="16">
        <f>IFERROR(VLOOKUP(DATA!G58,DATA!$G$4:$J$2149,1,FALSE),"")</f>
        <v>3040</v>
      </c>
      <c r="D60" s="16" t="str">
        <f>+IFERROR(VLOOKUP(C60,DATA!$G$4:$H$2000,2,FALSE),"")</f>
        <v xml:space="preserve">АР ПИ ДИ ХХК </v>
      </c>
      <c r="E60" s="16">
        <v>120100</v>
      </c>
      <c r="G60" s="230">
        <f>+SUMIFS(JURNAL!G:G,JURNAL!E:E,E60,JURNAL!L:L,$C60,JURNAL!C:C,"&gt;="&amp;$M$3,JURNAL!C:C,"&lt;="&amp;$N$3)</f>
        <v>0</v>
      </c>
      <c r="H60" s="19">
        <f>+SUMIFS(JURNAL!H:H,JURNAL!E:E,E60,JURNAL!L:L,$C60,JURNAL!C:C,"&gt;="&amp;$M$3,JURNAL!C:C,"&lt;="&amp;$N$3)</f>
        <v>0</v>
      </c>
      <c r="I60" s="18">
        <f t="shared" si="5"/>
        <v>0</v>
      </c>
      <c r="J60" s="16">
        <v>310100</v>
      </c>
      <c r="L60" s="230">
        <f>+SUMIFS(JURNAL!G:G,JURNAL!E:E,J60,JURNAL!L:L,$C60,JURNAL!C:C,"&gt;="&amp;$M$3,JURNAL!C:C,"&lt;="&amp;$N$3)</f>
        <v>0</v>
      </c>
      <c r="M60" s="19">
        <f>+SUMIFS(JURNAL!H:H,JURNAL!E:E,J60,JURNAL!L:L,$C60,JURNAL!C:C,"&gt;="&amp;$M$3,JURNAL!C:C,"&lt;="&amp;$N$3)</f>
        <v>0</v>
      </c>
      <c r="N60" s="73">
        <f t="shared" si="6"/>
        <v>0</v>
      </c>
      <c r="O60" s="230">
        <f t="shared" si="7"/>
        <v>0</v>
      </c>
      <c r="P60" s="16">
        <f t="shared" si="8"/>
        <v>310100</v>
      </c>
      <c r="Q60" s="16">
        <f t="shared" si="9"/>
        <v>120100</v>
      </c>
      <c r="R60" s="230">
        <f t="shared" si="10"/>
        <v>0</v>
      </c>
    </row>
    <row r="61" spans="2:18">
      <c r="B61" s="15">
        <f t="shared" si="4"/>
        <v>56</v>
      </c>
      <c r="C61" s="16">
        <f>IFERROR(VLOOKUP(DATA!G59,DATA!$G$4:$J$2149,1,FALSE),"")</f>
        <v>3041</v>
      </c>
      <c r="D61" s="16" t="str">
        <f>+IFERROR(VLOOKUP(C61,DATA!$G$4:$H$2000,2,FALSE),"")</f>
        <v>БҮТЭЭГЧ ХХК</v>
      </c>
      <c r="E61" s="16">
        <v>120100</v>
      </c>
      <c r="G61" s="230">
        <f>+SUMIFS(JURNAL!G:G,JURNAL!E:E,E61,JURNAL!L:L,$C61,JURNAL!C:C,"&gt;="&amp;$M$3,JURNAL!C:C,"&lt;="&amp;$N$3)</f>
        <v>0</v>
      </c>
      <c r="H61" s="19">
        <f>+SUMIFS(JURNAL!H:H,JURNAL!E:E,E61,JURNAL!L:L,$C61,JURNAL!C:C,"&gt;="&amp;$M$3,JURNAL!C:C,"&lt;="&amp;$N$3)</f>
        <v>0</v>
      </c>
      <c r="I61" s="18">
        <f t="shared" si="5"/>
        <v>0</v>
      </c>
      <c r="J61" s="16">
        <v>310100</v>
      </c>
      <c r="L61" s="230">
        <f>+SUMIFS(JURNAL!G:G,JURNAL!E:E,J61,JURNAL!L:L,$C61,JURNAL!C:C,"&gt;="&amp;$M$3,JURNAL!C:C,"&lt;="&amp;$N$3)</f>
        <v>0</v>
      </c>
      <c r="M61" s="19">
        <f>+SUMIFS(JURNAL!H:H,JURNAL!E:E,J61,JURNAL!L:L,$C61,JURNAL!C:C,"&gt;="&amp;$M$3,JURNAL!C:C,"&lt;="&amp;$N$3)</f>
        <v>0</v>
      </c>
      <c r="N61" s="73">
        <f t="shared" si="6"/>
        <v>0</v>
      </c>
      <c r="O61" s="230">
        <f t="shared" si="7"/>
        <v>0</v>
      </c>
      <c r="P61" s="16">
        <f t="shared" si="8"/>
        <v>310100</v>
      </c>
      <c r="Q61" s="16">
        <f t="shared" si="9"/>
        <v>120100</v>
      </c>
      <c r="R61" s="230">
        <f t="shared" si="10"/>
        <v>0</v>
      </c>
    </row>
    <row r="62" spans="2:18">
      <c r="B62" s="15">
        <f t="shared" si="4"/>
        <v>57</v>
      </c>
      <c r="C62" s="16">
        <f>IFERROR(VLOOKUP(DATA!G60,DATA!$G$4:$J$2149,1,FALSE),"")</f>
        <v>3042</v>
      </c>
      <c r="D62" s="16" t="str">
        <f>+IFERROR(VLOOKUP(C62,DATA!$G$4:$H$2000,2,FALSE),"")</f>
        <v xml:space="preserve">ЖУРМАК ХХК </v>
      </c>
      <c r="E62" s="16">
        <v>120100</v>
      </c>
      <c r="G62" s="230">
        <f>+SUMIFS(JURNAL!G:G,JURNAL!E:E,E62,JURNAL!L:L,$C62,JURNAL!C:C,"&gt;="&amp;$M$3,JURNAL!C:C,"&lt;="&amp;$N$3)</f>
        <v>0</v>
      </c>
      <c r="H62" s="19">
        <f>+SUMIFS(JURNAL!H:H,JURNAL!E:E,E62,JURNAL!L:L,$C62,JURNAL!C:C,"&gt;="&amp;$M$3,JURNAL!C:C,"&lt;="&amp;$N$3)</f>
        <v>0</v>
      </c>
      <c r="I62" s="18">
        <f t="shared" si="5"/>
        <v>0</v>
      </c>
      <c r="J62" s="16">
        <v>310100</v>
      </c>
      <c r="L62" s="230">
        <f>+SUMIFS(JURNAL!G:G,JURNAL!E:E,J62,JURNAL!L:L,$C62,JURNAL!C:C,"&gt;="&amp;$M$3,JURNAL!C:C,"&lt;="&amp;$N$3)</f>
        <v>0</v>
      </c>
      <c r="M62" s="19">
        <f>+SUMIFS(JURNAL!H:H,JURNAL!E:E,J62,JURNAL!L:L,$C62,JURNAL!C:C,"&gt;="&amp;$M$3,JURNAL!C:C,"&lt;="&amp;$N$3)</f>
        <v>0</v>
      </c>
      <c r="N62" s="73">
        <f t="shared" si="6"/>
        <v>0</v>
      </c>
      <c r="O62" s="230">
        <f t="shared" si="7"/>
        <v>0</v>
      </c>
      <c r="P62" s="16">
        <f t="shared" si="8"/>
        <v>310100</v>
      </c>
      <c r="Q62" s="16">
        <f t="shared" si="9"/>
        <v>120100</v>
      </c>
      <c r="R62" s="230">
        <f t="shared" si="10"/>
        <v>0</v>
      </c>
    </row>
    <row r="63" spans="2:18">
      <c r="B63" s="15">
        <f t="shared" si="4"/>
        <v>58</v>
      </c>
      <c r="C63" s="16">
        <f>IFERROR(VLOOKUP(DATA!G61,DATA!$G$4:$J$2149,1,FALSE),"")</f>
        <v>3043</v>
      </c>
      <c r="D63" s="16" t="str">
        <f>+IFERROR(VLOOKUP(C63,DATA!$G$4:$H$2000,2,FALSE),"")</f>
        <v xml:space="preserve">ДЕКОР ВҮҮД ХХК </v>
      </c>
      <c r="E63" s="16">
        <v>120100</v>
      </c>
      <c r="G63" s="230">
        <f>+SUMIFS(JURNAL!G:G,JURNAL!E:E,E63,JURNAL!L:L,$C63,JURNAL!C:C,"&gt;="&amp;$M$3,JURNAL!C:C,"&lt;="&amp;$N$3)</f>
        <v>0</v>
      </c>
      <c r="H63" s="19">
        <f>+SUMIFS(JURNAL!H:H,JURNAL!E:E,E63,JURNAL!L:L,$C63,JURNAL!C:C,"&gt;="&amp;$M$3,JURNAL!C:C,"&lt;="&amp;$N$3)</f>
        <v>0</v>
      </c>
      <c r="I63" s="18">
        <f t="shared" si="5"/>
        <v>0</v>
      </c>
      <c r="J63" s="16">
        <v>310100</v>
      </c>
      <c r="L63" s="230">
        <f>+SUMIFS(JURNAL!G:G,JURNAL!E:E,J63,JURNAL!L:L,$C63,JURNAL!C:C,"&gt;="&amp;$M$3,JURNAL!C:C,"&lt;="&amp;$N$3)</f>
        <v>0</v>
      </c>
      <c r="M63" s="19">
        <f>+SUMIFS(JURNAL!H:H,JURNAL!E:E,J63,JURNAL!L:L,$C63,JURNAL!C:C,"&gt;="&amp;$M$3,JURNAL!C:C,"&lt;="&amp;$N$3)</f>
        <v>0</v>
      </c>
      <c r="N63" s="73">
        <f t="shared" si="6"/>
        <v>0</v>
      </c>
      <c r="O63" s="230">
        <f t="shared" si="7"/>
        <v>0</v>
      </c>
      <c r="P63" s="16">
        <f t="shared" si="8"/>
        <v>310100</v>
      </c>
      <c r="Q63" s="16">
        <f t="shared" si="9"/>
        <v>120100</v>
      </c>
      <c r="R63" s="230">
        <f t="shared" si="10"/>
        <v>0</v>
      </c>
    </row>
    <row r="64" spans="2:18">
      <c r="B64" s="15">
        <f t="shared" si="4"/>
        <v>59</v>
      </c>
      <c r="C64" s="16">
        <f>IFERROR(VLOOKUP(DATA!G62,DATA!$G$4:$J$2149,1,FALSE),"")</f>
        <v>3044</v>
      </c>
      <c r="D64" s="16" t="str">
        <f>+IFERROR(VLOOKUP(C64,DATA!$G$4:$H$2000,2,FALSE),"")</f>
        <v>ЛАНС КОНСТРАКШН ХХК</v>
      </c>
      <c r="E64" s="16">
        <v>120100</v>
      </c>
      <c r="G64" s="230">
        <f>+SUMIFS(JURNAL!G:G,JURNAL!E:E,E64,JURNAL!L:L,$C64,JURNAL!C:C,"&gt;="&amp;$M$3,JURNAL!C:C,"&lt;="&amp;$N$3)</f>
        <v>0</v>
      </c>
      <c r="H64" s="19">
        <f>+SUMIFS(JURNAL!H:H,JURNAL!E:E,E64,JURNAL!L:L,$C64,JURNAL!C:C,"&gt;="&amp;$M$3,JURNAL!C:C,"&lt;="&amp;$N$3)</f>
        <v>0</v>
      </c>
      <c r="I64" s="18">
        <f t="shared" si="5"/>
        <v>0</v>
      </c>
      <c r="J64" s="16">
        <v>310100</v>
      </c>
      <c r="L64" s="230">
        <f>+SUMIFS(JURNAL!G:G,JURNAL!E:E,J64,JURNAL!L:L,$C64,JURNAL!C:C,"&gt;="&amp;$M$3,JURNAL!C:C,"&lt;="&amp;$N$3)</f>
        <v>0</v>
      </c>
      <c r="M64" s="19">
        <f>+SUMIFS(JURNAL!H:H,JURNAL!E:E,J64,JURNAL!L:L,$C64,JURNAL!C:C,"&gt;="&amp;$M$3,JURNAL!C:C,"&lt;="&amp;$N$3)</f>
        <v>0</v>
      </c>
      <c r="N64" s="73">
        <f t="shared" si="6"/>
        <v>0</v>
      </c>
      <c r="O64" s="230">
        <f t="shared" si="7"/>
        <v>0</v>
      </c>
      <c r="P64" s="16">
        <f t="shared" si="8"/>
        <v>310100</v>
      </c>
      <c r="Q64" s="16">
        <f t="shared" si="9"/>
        <v>120100</v>
      </c>
      <c r="R64" s="230">
        <f t="shared" si="10"/>
        <v>0</v>
      </c>
    </row>
    <row r="65" spans="2:18">
      <c r="B65" s="15">
        <f t="shared" si="4"/>
        <v>60</v>
      </c>
      <c r="C65" s="16">
        <f>IFERROR(VLOOKUP(DATA!G63,DATA!$G$4:$J$2149,1,FALSE),"")</f>
        <v>3045</v>
      </c>
      <c r="D65" s="16" t="str">
        <f>+IFERROR(VLOOKUP(C65,DATA!$G$4:$H$2000,2,FALSE),"")</f>
        <v xml:space="preserve">МОНГОЛ ИДЕАЛ ХХК </v>
      </c>
      <c r="E65" s="16">
        <v>120100</v>
      </c>
      <c r="G65" s="230">
        <f>+SUMIFS(JURNAL!G:G,JURNAL!E:E,E65,JURNAL!L:L,$C65,JURNAL!C:C,"&gt;="&amp;$M$3,JURNAL!C:C,"&lt;="&amp;$N$3)</f>
        <v>0</v>
      </c>
      <c r="H65" s="19">
        <f>+SUMIFS(JURNAL!H:H,JURNAL!E:E,E65,JURNAL!L:L,$C65,JURNAL!C:C,"&gt;="&amp;$M$3,JURNAL!C:C,"&lt;="&amp;$N$3)</f>
        <v>0</v>
      </c>
      <c r="I65" s="18">
        <f t="shared" si="5"/>
        <v>0</v>
      </c>
      <c r="J65" s="16">
        <v>310100</v>
      </c>
      <c r="L65" s="230">
        <f>+SUMIFS(JURNAL!G:G,JURNAL!E:E,J65,JURNAL!L:L,$C65,JURNAL!C:C,"&gt;="&amp;$M$3,JURNAL!C:C,"&lt;="&amp;$N$3)</f>
        <v>0</v>
      </c>
      <c r="M65" s="19">
        <f>+SUMIFS(JURNAL!H:H,JURNAL!E:E,J65,JURNAL!L:L,$C65,JURNAL!C:C,"&gt;="&amp;$M$3,JURNAL!C:C,"&lt;="&amp;$N$3)</f>
        <v>0</v>
      </c>
      <c r="N65" s="73">
        <f t="shared" si="6"/>
        <v>0</v>
      </c>
      <c r="O65" s="230">
        <f t="shared" si="7"/>
        <v>0</v>
      </c>
      <c r="P65" s="16">
        <f t="shared" si="8"/>
        <v>310100</v>
      </c>
      <c r="Q65" s="16">
        <f t="shared" si="9"/>
        <v>120100</v>
      </c>
      <c r="R65" s="230">
        <f t="shared" si="10"/>
        <v>0</v>
      </c>
    </row>
    <row r="66" spans="2:18">
      <c r="B66" s="15">
        <f t="shared" si="4"/>
        <v>61</v>
      </c>
      <c r="C66" s="16">
        <f>IFERROR(VLOOKUP(DATA!G64,DATA!$G$4:$J$2149,1,FALSE),"")</f>
        <v>3046</v>
      </c>
      <c r="D66" s="16" t="str">
        <f>+IFERROR(VLOOKUP(C66,DATA!$G$4:$H$2000,2,FALSE),"")</f>
        <v xml:space="preserve">ТЭГШРЭХ ГУРВАН ЭРДЭНЭ ХХК </v>
      </c>
      <c r="E66" s="16">
        <v>120100</v>
      </c>
      <c r="G66" s="230">
        <f>+SUMIFS(JURNAL!G:G,JURNAL!E:E,E66,JURNAL!L:L,$C66,JURNAL!C:C,"&gt;="&amp;$M$3,JURNAL!C:C,"&lt;="&amp;$N$3)</f>
        <v>0</v>
      </c>
      <c r="H66" s="19">
        <f>+SUMIFS(JURNAL!H:H,JURNAL!E:E,E66,JURNAL!L:L,$C66,JURNAL!C:C,"&gt;="&amp;$M$3,JURNAL!C:C,"&lt;="&amp;$N$3)</f>
        <v>0</v>
      </c>
      <c r="I66" s="18">
        <f t="shared" si="5"/>
        <v>0</v>
      </c>
      <c r="J66" s="16">
        <v>310100</v>
      </c>
      <c r="L66" s="230">
        <f>+SUMIFS(JURNAL!G:G,JURNAL!E:E,J66,JURNAL!L:L,$C66,JURNAL!C:C,"&gt;="&amp;$M$3,JURNAL!C:C,"&lt;="&amp;$N$3)</f>
        <v>0</v>
      </c>
      <c r="M66" s="19">
        <f>+SUMIFS(JURNAL!H:H,JURNAL!E:E,J66,JURNAL!L:L,$C66,JURNAL!C:C,"&gt;="&amp;$M$3,JURNAL!C:C,"&lt;="&amp;$N$3)</f>
        <v>0</v>
      </c>
      <c r="N66" s="73">
        <f t="shared" si="6"/>
        <v>0</v>
      </c>
      <c r="O66" s="230">
        <f t="shared" si="7"/>
        <v>0</v>
      </c>
      <c r="P66" s="16">
        <f t="shared" si="8"/>
        <v>310100</v>
      </c>
      <c r="Q66" s="16">
        <f t="shared" si="9"/>
        <v>120100</v>
      </c>
      <c r="R66" s="230">
        <f t="shared" si="10"/>
        <v>0</v>
      </c>
    </row>
    <row r="67" spans="2:18">
      <c r="B67" s="15">
        <f t="shared" si="4"/>
        <v>62</v>
      </c>
      <c r="C67" s="16">
        <f>IFERROR(VLOOKUP(DATA!G65,DATA!$G$4:$J$2149,1,FALSE),"")</f>
        <v>3047</v>
      </c>
      <c r="D67" s="16" t="str">
        <f>+IFERROR(VLOOKUP(C67,DATA!$G$4:$H$2000,2,FALSE),"")</f>
        <v>ГЛОБАЛ ГАЗАР ХХК</v>
      </c>
      <c r="E67" s="16">
        <v>120100</v>
      </c>
      <c r="G67" s="230">
        <f>+SUMIFS(JURNAL!G:G,JURNAL!E:E,E67,JURNAL!L:L,$C67,JURNAL!C:C,"&gt;="&amp;$M$3,JURNAL!C:C,"&lt;="&amp;$N$3)</f>
        <v>0</v>
      </c>
      <c r="H67" s="19">
        <f>+SUMIFS(JURNAL!H:H,JURNAL!E:E,E67,JURNAL!L:L,$C67,JURNAL!C:C,"&gt;="&amp;$M$3,JURNAL!C:C,"&lt;="&amp;$N$3)</f>
        <v>0</v>
      </c>
      <c r="I67" s="18">
        <f t="shared" si="5"/>
        <v>0</v>
      </c>
      <c r="J67" s="16">
        <v>310100</v>
      </c>
      <c r="L67" s="230">
        <f>+SUMIFS(JURNAL!G:G,JURNAL!E:E,J67,JURNAL!L:L,$C67,JURNAL!C:C,"&gt;="&amp;$M$3,JURNAL!C:C,"&lt;="&amp;$N$3)</f>
        <v>0</v>
      </c>
      <c r="M67" s="19">
        <f>+SUMIFS(JURNAL!H:H,JURNAL!E:E,J67,JURNAL!L:L,$C67,JURNAL!C:C,"&gt;="&amp;$M$3,JURNAL!C:C,"&lt;="&amp;$N$3)</f>
        <v>0</v>
      </c>
      <c r="N67" s="73">
        <f t="shared" si="6"/>
        <v>0</v>
      </c>
      <c r="O67" s="230">
        <f t="shared" si="7"/>
        <v>0</v>
      </c>
      <c r="P67" s="16">
        <f t="shared" si="8"/>
        <v>310100</v>
      </c>
      <c r="Q67" s="16">
        <f t="shared" si="9"/>
        <v>120100</v>
      </c>
      <c r="R67" s="230">
        <f t="shared" si="10"/>
        <v>0</v>
      </c>
    </row>
    <row r="68" spans="2:18">
      <c r="B68" s="15">
        <f t="shared" si="4"/>
        <v>63</v>
      </c>
      <c r="C68" s="16">
        <f>IFERROR(VLOOKUP(DATA!G66,DATA!$G$4:$J$2149,1,FALSE),"")</f>
        <v>3048</v>
      </c>
      <c r="D68" s="16" t="str">
        <f>+IFERROR(VLOOKUP(C68,DATA!$G$4:$H$2000,2,FALSE),"")</f>
        <v xml:space="preserve">МАК ХХК </v>
      </c>
      <c r="E68" s="16">
        <v>120100</v>
      </c>
      <c r="G68" s="230">
        <f>+SUMIFS(JURNAL!G:G,JURNAL!E:E,E68,JURNAL!L:L,$C68,JURNAL!C:C,"&gt;="&amp;$M$3,JURNAL!C:C,"&lt;="&amp;$N$3)</f>
        <v>0</v>
      </c>
      <c r="H68" s="19">
        <f>+SUMIFS(JURNAL!H:H,JURNAL!E:E,E68,JURNAL!L:L,$C68,JURNAL!C:C,"&gt;="&amp;$M$3,JURNAL!C:C,"&lt;="&amp;$N$3)</f>
        <v>0</v>
      </c>
      <c r="I68" s="18">
        <f t="shared" si="5"/>
        <v>0</v>
      </c>
      <c r="J68" s="16">
        <v>310100</v>
      </c>
      <c r="L68" s="230">
        <f>+SUMIFS(JURNAL!G:G,JURNAL!E:E,J68,JURNAL!L:L,$C68,JURNAL!C:C,"&gt;="&amp;$M$3,JURNAL!C:C,"&lt;="&amp;$N$3)</f>
        <v>0</v>
      </c>
      <c r="M68" s="19">
        <f>+SUMIFS(JURNAL!H:H,JURNAL!E:E,J68,JURNAL!L:L,$C68,JURNAL!C:C,"&gt;="&amp;$M$3,JURNAL!C:C,"&lt;="&amp;$N$3)</f>
        <v>0</v>
      </c>
      <c r="N68" s="73">
        <f t="shared" si="6"/>
        <v>0</v>
      </c>
      <c r="O68" s="230">
        <f t="shared" si="7"/>
        <v>0</v>
      </c>
      <c r="P68" s="16">
        <f t="shared" si="8"/>
        <v>310100</v>
      </c>
      <c r="Q68" s="16">
        <f t="shared" si="9"/>
        <v>120100</v>
      </c>
      <c r="R68" s="230">
        <f t="shared" si="10"/>
        <v>0</v>
      </c>
    </row>
    <row r="69" spans="2:18">
      <c r="B69" s="15">
        <f t="shared" si="4"/>
        <v>64</v>
      </c>
      <c r="C69" s="16">
        <f>IFERROR(VLOOKUP(DATA!G67,DATA!$G$4:$J$2149,1,FALSE),"")</f>
        <v>3049</v>
      </c>
      <c r="D69" s="16" t="str">
        <f>+IFERROR(VLOOKUP(C69,DATA!$G$4:$H$2000,2,FALSE),"")</f>
        <v xml:space="preserve">НОЁН ХХК </v>
      </c>
      <c r="E69" s="16">
        <v>120100</v>
      </c>
      <c r="G69" s="230">
        <f>+SUMIFS(JURNAL!G:G,JURNAL!E:E,E69,JURNAL!L:L,$C69,JURNAL!C:C,"&gt;="&amp;$M$3,JURNAL!C:C,"&lt;="&amp;$N$3)</f>
        <v>0</v>
      </c>
      <c r="H69" s="19">
        <f>+SUMIFS(JURNAL!H:H,JURNAL!E:E,E69,JURNAL!L:L,$C69,JURNAL!C:C,"&gt;="&amp;$M$3,JURNAL!C:C,"&lt;="&amp;$N$3)</f>
        <v>0</v>
      </c>
      <c r="I69" s="18">
        <f t="shared" si="5"/>
        <v>0</v>
      </c>
      <c r="J69" s="16">
        <v>310100</v>
      </c>
      <c r="L69" s="230">
        <f>+SUMIFS(JURNAL!G:G,JURNAL!E:E,J69,JURNAL!L:L,$C69,JURNAL!C:C,"&gt;="&amp;$M$3,JURNAL!C:C,"&lt;="&amp;$N$3)</f>
        <v>0</v>
      </c>
      <c r="M69" s="19">
        <f>+SUMIFS(JURNAL!H:H,JURNAL!E:E,J69,JURNAL!L:L,$C69,JURNAL!C:C,"&gt;="&amp;$M$3,JURNAL!C:C,"&lt;="&amp;$N$3)</f>
        <v>0</v>
      </c>
      <c r="N69" s="73">
        <f t="shared" si="6"/>
        <v>0</v>
      </c>
      <c r="O69" s="230">
        <f t="shared" si="7"/>
        <v>0</v>
      </c>
      <c r="P69" s="16">
        <f t="shared" si="8"/>
        <v>310100</v>
      </c>
      <c r="Q69" s="16">
        <f t="shared" si="9"/>
        <v>120100</v>
      </c>
      <c r="R69" s="230">
        <f t="shared" si="10"/>
        <v>0</v>
      </c>
    </row>
    <row r="70" spans="2:18">
      <c r="B70" s="15">
        <f t="shared" si="4"/>
        <v>65</v>
      </c>
      <c r="C70" s="16">
        <f>IFERROR(VLOOKUP(DATA!G68,DATA!$G$4:$J$2149,1,FALSE),"")</f>
        <v>3050</v>
      </c>
      <c r="D70" s="16" t="str">
        <f>+IFERROR(VLOOKUP(C70,DATA!$G$4:$H$2000,2,FALSE),"")</f>
        <v>БАЯЛАГ ОД ХХК</v>
      </c>
      <c r="E70" s="16">
        <v>120100</v>
      </c>
      <c r="G70" s="230">
        <f>+SUMIFS(JURNAL!G:G,JURNAL!E:E,E70,JURNAL!L:L,$C70,JURNAL!C:C,"&gt;="&amp;$M$3,JURNAL!C:C,"&lt;="&amp;$N$3)</f>
        <v>0</v>
      </c>
      <c r="H70" s="19">
        <f>+SUMIFS(JURNAL!H:H,JURNAL!E:E,E70,JURNAL!L:L,$C70,JURNAL!C:C,"&gt;="&amp;$M$3,JURNAL!C:C,"&lt;="&amp;$N$3)</f>
        <v>0</v>
      </c>
      <c r="I70" s="18">
        <f t="shared" si="5"/>
        <v>0</v>
      </c>
      <c r="J70" s="16">
        <v>310100</v>
      </c>
      <c r="L70" s="230">
        <f>+SUMIFS(JURNAL!G:G,JURNAL!E:E,J70,JURNAL!L:L,$C70,JURNAL!C:C,"&gt;="&amp;$M$3,JURNAL!C:C,"&lt;="&amp;$N$3)</f>
        <v>0</v>
      </c>
      <c r="M70" s="19">
        <f>+SUMIFS(JURNAL!H:H,JURNAL!E:E,J70,JURNAL!L:L,$C70,JURNAL!C:C,"&gt;="&amp;$M$3,JURNAL!C:C,"&lt;="&amp;$N$3)</f>
        <v>0</v>
      </c>
      <c r="N70" s="73">
        <f t="shared" si="6"/>
        <v>0</v>
      </c>
      <c r="O70" s="230">
        <f t="shared" si="7"/>
        <v>0</v>
      </c>
      <c r="P70" s="16">
        <f t="shared" si="8"/>
        <v>310100</v>
      </c>
      <c r="Q70" s="16">
        <f t="shared" si="9"/>
        <v>120100</v>
      </c>
      <c r="R70" s="230">
        <f t="shared" si="10"/>
        <v>0</v>
      </c>
    </row>
    <row r="71" spans="2:18">
      <c r="B71" s="15">
        <f t="shared" ref="B71:B134" si="11">+IF(C71="","",ROW()-5)</f>
        <v>66</v>
      </c>
      <c r="C71" s="16">
        <f>IFERROR(VLOOKUP(DATA!G69,DATA!$G$4:$J$2149,1,FALSE),"")</f>
        <v>3051</v>
      </c>
      <c r="D71" s="16" t="str">
        <f>+IFERROR(VLOOKUP(C71,DATA!$G$4:$H$2000,2,FALSE),"")</f>
        <v xml:space="preserve">НОМАДС ТУР ХХК </v>
      </c>
      <c r="E71" s="16">
        <v>120100</v>
      </c>
      <c r="G71" s="230">
        <f>+SUMIFS(JURNAL!G:G,JURNAL!E:E,E71,JURNAL!L:L,$C71,JURNAL!C:C,"&gt;="&amp;$M$3,JURNAL!C:C,"&lt;="&amp;$N$3)</f>
        <v>0</v>
      </c>
      <c r="H71" s="19">
        <f>+SUMIFS(JURNAL!H:H,JURNAL!E:E,E71,JURNAL!L:L,$C71,JURNAL!C:C,"&gt;="&amp;$M$3,JURNAL!C:C,"&lt;="&amp;$N$3)</f>
        <v>0</v>
      </c>
      <c r="I71" s="18">
        <f t="shared" ref="I71:I123" si="12">+F71+G71-H71</f>
        <v>0</v>
      </c>
      <c r="J71" s="16">
        <v>310100</v>
      </c>
      <c r="L71" s="230">
        <f>+SUMIFS(JURNAL!G:G,JURNAL!E:E,J71,JURNAL!L:L,$C71,JURNAL!C:C,"&gt;="&amp;$M$3,JURNAL!C:C,"&lt;="&amp;$N$3)</f>
        <v>0</v>
      </c>
      <c r="M71" s="19">
        <f>+SUMIFS(JURNAL!H:H,JURNAL!E:E,J71,JURNAL!L:L,$C71,JURNAL!C:C,"&gt;="&amp;$M$3,JURNAL!C:C,"&lt;="&amp;$N$3)</f>
        <v>0</v>
      </c>
      <c r="N71" s="73">
        <f t="shared" ref="N71:N123" si="13">+K71+M71-L71</f>
        <v>0</v>
      </c>
      <c r="O71" s="230">
        <f t="shared" ref="O71:O134" si="14">+IF(I71&lt;N71,I71,N71)</f>
        <v>0</v>
      </c>
      <c r="P71" s="16">
        <f t="shared" ref="P71:P134" si="15">+J71</f>
        <v>310100</v>
      </c>
      <c r="Q71" s="16">
        <f t="shared" ref="Q71:Q134" si="16">+E71</f>
        <v>120100</v>
      </c>
      <c r="R71" s="230">
        <f t="shared" ref="R71:R134" si="17">+IF(O71,1,0)</f>
        <v>0</v>
      </c>
    </row>
    <row r="72" spans="2:18">
      <c r="B72" s="15">
        <f t="shared" si="11"/>
        <v>67</v>
      </c>
      <c r="C72" s="16">
        <f>IFERROR(VLOOKUP(DATA!G70,DATA!$G$4:$J$2149,1,FALSE),"")</f>
        <v>3052</v>
      </c>
      <c r="D72" s="16" t="str">
        <f>+IFERROR(VLOOKUP(C72,DATA!$G$4:$H$2000,2,FALSE),"")</f>
        <v>ШИНЭ ОРОН СУУЦ ХХК</v>
      </c>
      <c r="E72" s="16">
        <v>120100</v>
      </c>
      <c r="G72" s="230">
        <f>+SUMIFS(JURNAL!G:G,JURNAL!E:E,E72,JURNAL!L:L,$C72,JURNAL!C:C,"&gt;="&amp;$M$3,JURNAL!C:C,"&lt;="&amp;$N$3)</f>
        <v>0</v>
      </c>
      <c r="H72" s="19">
        <f>+SUMIFS(JURNAL!H:H,JURNAL!E:E,E72,JURNAL!L:L,$C72,JURNAL!C:C,"&gt;="&amp;$M$3,JURNAL!C:C,"&lt;="&amp;$N$3)</f>
        <v>0</v>
      </c>
      <c r="I72" s="18">
        <f t="shared" si="12"/>
        <v>0</v>
      </c>
      <c r="J72" s="16">
        <v>310100</v>
      </c>
      <c r="L72" s="230">
        <f>+SUMIFS(JURNAL!G:G,JURNAL!E:E,J72,JURNAL!L:L,$C72,JURNAL!C:C,"&gt;="&amp;$M$3,JURNAL!C:C,"&lt;="&amp;$N$3)</f>
        <v>0</v>
      </c>
      <c r="M72" s="19">
        <f>+SUMIFS(JURNAL!H:H,JURNAL!E:E,J72,JURNAL!L:L,$C72,JURNAL!C:C,"&gt;="&amp;$M$3,JURNAL!C:C,"&lt;="&amp;$N$3)</f>
        <v>0</v>
      </c>
      <c r="N72" s="73">
        <f t="shared" si="13"/>
        <v>0</v>
      </c>
      <c r="O72" s="230">
        <f t="shared" si="14"/>
        <v>0</v>
      </c>
      <c r="P72" s="16">
        <f t="shared" si="15"/>
        <v>310100</v>
      </c>
      <c r="Q72" s="16">
        <f t="shared" si="16"/>
        <v>120100</v>
      </c>
      <c r="R72" s="230">
        <f t="shared" si="17"/>
        <v>0</v>
      </c>
    </row>
    <row r="73" spans="2:18">
      <c r="B73" s="15">
        <f t="shared" si="11"/>
        <v>68</v>
      </c>
      <c r="C73" s="16">
        <f>IFERROR(VLOOKUP(DATA!G71,DATA!$G$4:$J$2149,1,FALSE),"")</f>
        <v>3053</v>
      </c>
      <c r="D73" s="16" t="str">
        <f>+IFERROR(VLOOKUP(C73,DATA!$G$4:$H$2000,2,FALSE),"")</f>
        <v>ЧИНГИС ТРЕЙД ХХК</v>
      </c>
      <c r="E73" s="16">
        <v>120100</v>
      </c>
      <c r="G73" s="230">
        <f>+SUMIFS(JURNAL!G:G,JURNAL!E:E,E73,JURNAL!L:L,$C73,JURNAL!C:C,"&gt;="&amp;$M$3,JURNAL!C:C,"&lt;="&amp;$N$3)</f>
        <v>0</v>
      </c>
      <c r="H73" s="19">
        <f>+SUMIFS(JURNAL!H:H,JURNAL!E:E,E73,JURNAL!L:L,$C73,JURNAL!C:C,"&gt;="&amp;$M$3,JURNAL!C:C,"&lt;="&amp;$N$3)</f>
        <v>0</v>
      </c>
      <c r="I73" s="18">
        <f t="shared" si="12"/>
        <v>0</v>
      </c>
      <c r="J73" s="16">
        <v>310100</v>
      </c>
      <c r="L73" s="230">
        <f>+SUMIFS(JURNAL!G:G,JURNAL!E:E,J73,JURNAL!L:L,$C73,JURNAL!C:C,"&gt;="&amp;$M$3,JURNAL!C:C,"&lt;="&amp;$N$3)</f>
        <v>0</v>
      </c>
      <c r="M73" s="19">
        <f>+SUMIFS(JURNAL!H:H,JURNAL!E:E,J73,JURNAL!L:L,$C73,JURNAL!C:C,"&gt;="&amp;$M$3,JURNAL!C:C,"&lt;="&amp;$N$3)</f>
        <v>0</v>
      </c>
      <c r="N73" s="73">
        <f t="shared" si="13"/>
        <v>0</v>
      </c>
      <c r="O73" s="230">
        <f t="shared" si="14"/>
        <v>0</v>
      </c>
      <c r="P73" s="16">
        <f t="shared" si="15"/>
        <v>310100</v>
      </c>
      <c r="Q73" s="16">
        <f t="shared" si="16"/>
        <v>120100</v>
      </c>
      <c r="R73" s="230">
        <f t="shared" si="17"/>
        <v>0</v>
      </c>
    </row>
    <row r="74" spans="2:18">
      <c r="B74" s="15">
        <f t="shared" si="11"/>
        <v>69</v>
      </c>
      <c r="C74" s="16">
        <f>IFERROR(VLOOKUP(DATA!G72,DATA!$G$4:$J$2149,1,FALSE),"")</f>
        <v>3054</v>
      </c>
      <c r="D74" s="16" t="str">
        <f>+IFERROR(VLOOKUP(C74,DATA!$G$4:$H$2000,2,FALSE),"")</f>
        <v>3 МЕН ХХК</v>
      </c>
      <c r="E74" s="16">
        <v>120100</v>
      </c>
      <c r="G74" s="230">
        <f>+SUMIFS(JURNAL!G:G,JURNAL!E:E,E74,JURNAL!L:L,$C74,JURNAL!C:C,"&gt;="&amp;$M$3,JURNAL!C:C,"&lt;="&amp;$N$3)</f>
        <v>0</v>
      </c>
      <c r="H74" s="19">
        <f>+SUMIFS(JURNAL!H:H,JURNAL!E:E,E74,JURNAL!L:L,$C74,JURNAL!C:C,"&gt;="&amp;$M$3,JURNAL!C:C,"&lt;="&amp;$N$3)</f>
        <v>0</v>
      </c>
      <c r="I74" s="18">
        <f t="shared" si="12"/>
        <v>0</v>
      </c>
      <c r="J74" s="16">
        <v>310100</v>
      </c>
      <c r="L74" s="230">
        <f>+SUMIFS(JURNAL!G:G,JURNAL!E:E,J74,JURNAL!L:L,$C74,JURNAL!C:C,"&gt;="&amp;$M$3,JURNAL!C:C,"&lt;="&amp;$N$3)</f>
        <v>0</v>
      </c>
      <c r="M74" s="19">
        <f>+SUMIFS(JURNAL!H:H,JURNAL!E:E,J74,JURNAL!L:L,$C74,JURNAL!C:C,"&gt;="&amp;$M$3,JURNAL!C:C,"&lt;="&amp;$N$3)</f>
        <v>0</v>
      </c>
      <c r="N74" s="73">
        <f t="shared" si="13"/>
        <v>0</v>
      </c>
      <c r="O74" s="230">
        <f t="shared" si="14"/>
        <v>0</v>
      </c>
      <c r="P74" s="16">
        <f t="shared" si="15"/>
        <v>310100</v>
      </c>
      <c r="Q74" s="16">
        <f t="shared" si="16"/>
        <v>120100</v>
      </c>
      <c r="R74" s="230">
        <f t="shared" si="17"/>
        <v>0</v>
      </c>
    </row>
    <row r="75" spans="2:18">
      <c r="B75" s="15">
        <f t="shared" si="11"/>
        <v>70</v>
      </c>
      <c r="C75" s="16">
        <f>IFERROR(VLOOKUP(DATA!G73,DATA!$G$4:$J$2149,1,FALSE),"")</f>
        <v>3055</v>
      </c>
      <c r="D75" s="16" t="str">
        <f>+IFERROR(VLOOKUP(C75,DATA!$G$4:$H$2000,2,FALSE),"")</f>
        <v xml:space="preserve">МЧБС ХХК </v>
      </c>
      <c r="E75" s="16">
        <v>120100</v>
      </c>
      <c r="G75" s="230">
        <f>+SUMIFS(JURNAL!G:G,JURNAL!E:E,E75,JURNAL!L:L,$C75,JURNAL!C:C,"&gt;="&amp;$M$3,JURNAL!C:C,"&lt;="&amp;$N$3)</f>
        <v>0</v>
      </c>
      <c r="H75" s="19">
        <f>+SUMIFS(JURNAL!H:H,JURNAL!E:E,E75,JURNAL!L:L,$C75,JURNAL!C:C,"&gt;="&amp;$M$3,JURNAL!C:C,"&lt;="&amp;$N$3)</f>
        <v>0</v>
      </c>
      <c r="I75" s="18">
        <f t="shared" si="12"/>
        <v>0</v>
      </c>
      <c r="J75" s="16">
        <v>310100</v>
      </c>
      <c r="L75" s="230">
        <f>+SUMIFS(JURNAL!G:G,JURNAL!E:E,J75,JURNAL!L:L,$C75,JURNAL!C:C,"&gt;="&amp;$M$3,JURNAL!C:C,"&lt;="&amp;$N$3)</f>
        <v>0</v>
      </c>
      <c r="M75" s="19">
        <f>+SUMIFS(JURNAL!H:H,JURNAL!E:E,J75,JURNAL!L:L,$C75,JURNAL!C:C,"&gt;="&amp;$M$3,JURNAL!C:C,"&lt;="&amp;$N$3)</f>
        <v>0</v>
      </c>
      <c r="N75" s="73">
        <f t="shared" si="13"/>
        <v>0</v>
      </c>
      <c r="O75" s="230">
        <f t="shared" si="14"/>
        <v>0</v>
      </c>
      <c r="P75" s="16">
        <f t="shared" si="15"/>
        <v>310100</v>
      </c>
      <c r="Q75" s="16">
        <f t="shared" si="16"/>
        <v>120100</v>
      </c>
      <c r="R75" s="230">
        <f t="shared" si="17"/>
        <v>0</v>
      </c>
    </row>
    <row r="76" spans="2:18">
      <c r="B76" s="15">
        <f t="shared" si="11"/>
        <v>71</v>
      </c>
      <c r="C76" s="16">
        <f>IFERROR(VLOOKUP(DATA!G74,DATA!$G$4:$J$2149,1,FALSE),"")</f>
        <v>3056</v>
      </c>
      <c r="D76" s="16" t="str">
        <f>+IFERROR(VLOOKUP(C76,DATA!$G$4:$H$2000,2,FALSE),"")</f>
        <v xml:space="preserve">САНТ-АСАР ХХК </v>
      </c>
      <c r="E76" s="16">
        <v>120100</v>
      </c>
      <c r="G76" s="230">
        <f>+SUMIFS(JURNAL!G:G,JURNAL!E:E,E76,JURNAL!L:L,$C76,JURNAL!C:C,"&gt;="&amp;$M$3,JURNAL!C:C,"&lt;="&amp;$N$3)</f>
        <v>0</v>
      </c>
      <c r="H76" s="19">
        <f>+SUMIFS(JURNAL!H:H,JURNAL!E:E,E76,JURNAL!L:L,$C76,JURNAL!C:C,"&gt;="&amp;$M$3,JURNAL!C:C,"&lt;="&amp;$N$3)</f>
        <v>0</v>
      </c>
      <c r="I76" s="18">
        <f t="shared" si="12"/>
        <v>0</v>
      </c>
      <c r="J76" s="16">
        <v>310100</v>
      </c>
      <c r="L76" s="230">
        <f>+SUMIFS(JURNAL!G:G,JURNAL!E:E,J76,JURNAL!L:L,$C76,JURNAL!C:C,"&gt;="&amp;$M$3,JURNAL!C:C,"&lt;="&amp;$N$3)</f>
        <v>0</v>
      </c>
      <c r="M76" s="19">
        <f>+SUMIFS(JURNAL!H:H,JURNAL!E:E,J76,JURNAL!L:L,$C76,JURNAL!C:C,"&gt;="&amp;$M$3,JURNAL!C:C,"&lt;="&amp;$N$3)</f>
        <v>0</v>
      </c>
      <c r="N76" s="73">
        <f t="shared" si="13"/>
        <v>0</v>
      </c>
      <c r="O76" s="230">
        <f t="shared" si="14"/>
        <v>0</v>
      </c>
      <c r="P76" s="16">
        <f t="shared" si="15"/>
        <v>310100</v>
      </c>
      <c r="Q76" s="16">
        <f t="shared" si="16"/>
        <v>120100</v>
      </c>
      <c r="R76" s="230">
        <f t="shared" si="17"/>
        <v>0</v>
      </c>
    </row>
    <row r="77" spans="2:18">
      <c r="B77" s="15">
        <f t="shared" si="11"/>
        <v>72</v>
      </c>
      <c r="C77" s="16">
        <f>IFERROR(VLOOKUP(DATA!G75,DATA!$G$4:$J$2149,1,FALSE),"")</f>
        <v>3057</v>
      </c>
      <c r="D77" s="16" t="str">
        <f>+IFERROR(VLOOKUP(C77,DATA!$G$4:$H$2000,2,FALSE),"")</f>
        <v>ЕНТҮМ ТРЭЙВЭЛ ХХК</v>
      </c>
      <c r="E77" s="16">
        <v>120100</v>
      </c>
      <c r="G77" s="230">
        <f>+SUMIFS(JURNAL!G:G,JURNAL!E:E,E77,JURNAL!L:L,$C77,JURNAL!C:C,"&gt;="&amp;$M$3,JURNAL!C:C,"&lt;="&amp;$N$3)</f>
        <v>0</v>
      </c>
      <c r="H77" s="19">
        <f>+SUMIFS(JURNAL!H:H,JURNAL!E:E,E77,JURNAL!L:L,$C77,JURNAL!C:C,"&gt;="&amp;$M$3,JURNAL!C:C,"&lt;="&amp;$N$3)</f>
        <v>0</v>
      </c>
      <c r="I77" s="18">
        <f t="shared" si="12"/>
        <v>0</v>
      </c>
      <c r="J77" s="16">
        <v>310100</v>
      </c>
      <c r="L77" s="230">
        <f>+SUMIFS(JURNAL!G:G,JURNAL!E:E,J77,JURNAL!L:L,$C77,JURNAL!C:C,"&gt;="&amp;$M$3,JURNAL!C:C,"&lt;="&amp;$N$3)</f>
        <v>0</v>
      </c>
      <c r="M77" s="19">
        <f>+SUMIFS(JURNAL!H:H,JURNAL!E:E,J77,JURNAL!L:L,$C77,JURNAL!C:C,"&gt;="&amp;$M$3,JURNAL!C:C,"&lt;="&amp;$N$3)</f>
        <v>0</v>
      </c>
      <c r="N77" s="73">
        <f t="shared" si="13"/>
        <v>0</v>
      </c>
      <c r="O77" s="230">
        <f t="shared" si="14"/>
        <v>0</v>
      </c>
      <c r="P77" s="16">
        <f t="shared" si="15"/>
        <v>310100</v>
      </c>
      <c r="Q77" s="16">
        <f t="shared" si="16"/>
        <v>120100</v>
      </c>
      <c r="R77" s="230">
        <f t="shared" si="17"/>
        <v>0</v>
      </c>
    </row>
    <row r="78" spans="2:18">
      <c r="B78" s="15">
        <f t="shared" si="11"/>
        <v>73</v>
      </c>
      <c r="C78" s="16">
        <f>IFERROR(VLOOKUP(DATA!G76,DATA!$G$4:$J$2149,1,FALSE),"")</f>
        <v>3058</v>
      </c>
      <c r="D78" s="16" t="str">
        <f>+IFERROR(VLOOKUP(C78,DATA!$G$4:$H$2000,2,FALSE),"")</f>
        <v>БЕСТ СТАЙЛ ХХК</v>
      </c>
      <c r="E78" s="16">
        <v>120100</v>
      </c>
      <c r="G78" s="230">
        <f>+SUMIFS(JURNAL!G:G,JURNAL!E:E,E78,JURNAL!L:L,$C78,JURNAL!C:C,"&gt;="&amp;$M$3,JURNAL!C:C,"&lt;="&amp;$N$3)</f>
        <v>0</v>
      </c>
      <c r="H78" s="19">
        <f>+SUMIFS(JURNAL!H:H,JURNAL!E:E,E78,JURNAL!L:L,$C78,JURNAL!C:C,"&gt;="&amp;$M$3,JURNAL!C:C,"&lt;="&amp;$N$3)</f>
        <v>0</v>
      </c>
      <c r="I78" s="18">
        <f t="shared" si="12"/>
        <v>0</v>
      </c>
      <c r="J78" s="16">
        <v>310100</v>
      </c>
      <c r="L78" s="230">
        <f>+SUMIFS(JURNAL!G:G,JURNAL!E:E,J78,JURNAL!L:L,$C78,JURNAL!C:C,"&gt;="&amp;$M$3,JURNAL!C:C,"&lt;="&amp;$N$3)</f>
        <v>0</v>
      </c>
      <c r="M78" s="19">
        <f>+SUMIFS(JURNAL!H:H,JURNAL!E:E,J78,JURNAL!L:L,$C78,JURNAL!C:C,"&gt;="&amp;$M$3,JURNAL!C:C,"&lt;="&amp;$N$3)</f>
        <v>0</v>
      </c>
      <c r="N78" s="73">
        <f t="shared" si="13"/>
        <v>0</v>
      </c>
      <c r="O78" s="230">
        <f t="shared" si="14"/>
        <v>0</v>
      </c>
      <c r="P78" s="16">
        <f t="shared" si="15"/>
        <v>310100</v>
      </c>
      <c r="Q78" s="16">
        <f t="shared" si="16"/>
        <v>120100</v>
      </c>
      <c r="R78" s="230">
        <f t="shared" si="17"/>
        <v>0</v>
      </c>
    </row>
    <row r="79" spans="2:18">
      <c r="B79" s="15">
        <f t="shared" si="11"/>
        <v>74</v>
      </c>
      <c r="C79" s="16">
        <f>IFERROR(VLOOKUP(DATA!G77,DATA!$G$4:$J$2149,1,FALSE),"")</f>
        <v>3059</v>
      </c>
      <c r="D79" s="16" t="str">
        <f>+IFERROR(VLOOKUP(C79,DATA!$G$4:$H$2000,2,FALSE),"")</f>
        <v>ЦАМХАГТ АСАР КОНСТРАКШН ХХК</v>
      </c>
      <c r="E79" s="16">
        <v>120100</v>
      </c>
      <c r="G79" s="230">
        <f>+SUMIFS(JURNAL!G:G,JURNAL!E:E,E79,JURNAL!L:L,$C79,JURNAL!C:C,"&gt;="&amp;$M$3,JURNAL!C:C,"&lt;="&amp;$N$3)</f>
        <v>0</v>
      </c>
      <c r="H79" s="19">
        <f>+SUMIFS(JURNAL!H:H,JURNAL!E:E,E79,JURNAL!L:L,$C79,JURNAL!C:C,"&gt;="&amp;$M$3,JURNAL!C:C,"&lt;="&amp;$N$3)</f>
        <v>0</v>
      </c>
      <c r="I79" s="18">
        <f t="shared" si="12"/>
        <v>0</v>
      </c>
      <c r="J79" s="16">
        <v>310100</v>
      </c>
      <c r="L79" s="230">
        <f>+SUMIFS(JURNAL!G:G,JURNAL!E:E,J79,JURNAL!L:L,$C79,JURNAL!C:C,"&gt;="&amp;$M$3,JURNAL!C:C,"&lt;="&amp;$N$3)</f>
        <v>0</v>
      </c>
      <c r="M79" s="19">
        <f>+SUMIFS(JURNAL!H:H,JURNAL!E:E,J79,JURNAL!L:L,$C79,JURNAL!C:C,"&gt;="&amp;$M$3,JURNAL!C:C,"&lt;="&amp;$N$3)</f>
        <v>0</v>
      </c>
      <c r="N79" s="73">
        <f t="shared" si="13"/>
        <v>0</v>
      </c>
      <c r="O79" s="230">
        <f t="shared" si="14"/>
        <v>0</v>
      </c>
      <c r="P79" s="16">
        <f t="shared" si="15"/>
        <v>310100</v>
      </c>
      <c r="Q79" s="16">
        <f t="shared" si="16"/>
        <v>120100</v>
      </c>
      <c r="R79" s="230">
        <f t="shared" si="17"/>
        <v>0</v>
      </c>
    </row>
    <row r="80" spans="2:18">
      <c r="B80" s="15">
        <f t="shared" si="11"/>
        <v>75</v>
      </c>
      <c r="C80" s="16">
        <f>IFERROR(VLOOKUP(DATA!G78,DATA!$G$4:$J$2149,1,FALSE),"")</f>
        <v>3060</v>
      </c>
      <c r="D80" s="16" t="str">
        <f>+IFERROR(VLOOKUP(C80,DATA!$G$4:$H$2000,2,FALSE),"")</f>
        <v>САУНД ОФ МОНГОЛИЯ ХХК</v>
      </c>
      <c r="E80" s="16">
        <v>120100</v>
      </c>
      <c r="G80" s="230">
        <f>+SUMIFS(JURNAL!G:G,JURNAL!E:E,E80,JURNAL!L:L,$C80,JURNAL!C:C,"&gt;="&amp;$M$3,JURNAL!C:C,"&lt;="&amp;$N$3)</f>
        <v>0</v>
      </c>
      <c r="H80" s="19">
        <f>+SUMIFS(JURNAL!H:H,JURNAL!E:E,E80,JURNAL!L:L,$C80,JURNAL!C:C,"&gt;="&amp;$M$3,JURNAL!C:C,"&lt;="&amp;$N$3)</f>
        <v>0</v>
      </c>
      <c r="I80" s="18">
        <f t="shared" si="12"/>
        <v>0</v>
      </c>
      <c r="J80" s="16">
        <v>310100</v>
      </c>
      <c r="L80" s="230">
        <f>+SUMIFS(JURNAL!G:G,JURNAL!E:E,J80,JURNAL!L:L,$C80,JURNAL!C:C,"&gt;="&amp;$M$3,JURNAL!C:C,"&lt;="&amp;$N$3)</f>
        <v>0</v>
      </c>
      <c r="M80" s="19">
        <f>+SUMIFS(JURNAL!H:H,JURNAL!E:E,J80,JURNAL!L:L,$C80,JURNAL!C:C,"&gt;="&amp;$M$3,JURNAL!C:C,"&lt;="&amp;$N$3)</f>
        <v>0</v>
      </c>
      <c r="N80" s="73">
        <f t="shared" si="13"/>
        <v>0</v>
      </c>
      <c r="O80" s="230">
        <f t="shared" si="14"/>
        <v>0</v>
      </c>
      <c r="P80" s="16">
        <f t="shared" si="15"/>
        <v>310100</v>
      </c>
      <c r="Q80" s="16">
        <f t="shared" si="16"/>
        <v>120100</v>
      </c>
      <c r="R80" s="230">
        <f t="shared" si="17"/>
        <v>0</v>
      </c>
    </row>
    <row r="81" spans="2:18">
      <c r="B81" s="15">
        <f t="shared" si="11"/>
        <v>76</v>
      </c>
      <c r="C81" s="16">
        <f>IFERROR(VLOOKUP(DATA!G79,DATA!$G$4:$J$2149,1,FALSE),"")</f>
        <v>3061</v>
      </c>
      <c r="D81" s="16" t="str">
        <f>+IFERROR(VLOOKUP(C81,DATA!$G$4:$H$2000,2,FALSE),"")</f>
        <v>СТИМО ХХК</v>
      </c>
      <c r="E81" s="16">
        <v>120100</v>
      </c>
      <c r="G81" s="230">
        <f>+SUMIFS(JURNAL!G:G,JURNAL!E:E,E81,JURNAL!L:L,$C81,JURNAL!C:C,"&gt;="&amp;$M$3,JURNAL!C:C,"&lt;="&amp;$N$3)</f>
        <v>0</v>
      </c>
      <c r="H81" s="19">
        <f>+SUMIFS(JURNAL!H:H,JURNAL!E:E,E81,JURNAL!L:L,$C81,JURNAL!C:C,"&gt;="&amp;$M$3,JURNAL!C:C,"&lt;="&amp;$N$3)</f>
        <v>0</v>
      </c>
      <c r="I81" s="18">
        <f t="shared" si="12"/>
        <v>0</v>
      </c>
      <c r="J81" s="16">
        <v>310100</v>
      </c>
      <c r="L81" s="230">
        <f>+SUMIFS(JURNAL!G:G,JURNAL!E:E,J81,JURNAL!L:L,$C81,JURNAL!C:C,"&gt;="&amp;$M$3,JURNAL!C:C,"&lt;="&amp;$N$3)</f>
        <v>0</v>
      </c>
      <c r="M81" s="19">
        <f>+SUMIFS(JURNAL!H:H,JURNAL!E:E,J81,JURNAL!L:L,$C81,JURNAL!C:C,"&gt;="&amp;$M$3,JURNAL!C:C,"&lt;="&amp;$N$3)</f>
        <v>0</v>
      </c>
      <c r="N81" s="73">
        <f t="shared" si="13"/>
        <v>0</v>
      </c>
      <c r="O81" s="230">
        <f t="shared" si="14"/>
        <v>0</v>
      </c>
      <c r="P81" s="16">
        <f t="shared" si="15"/>
        <v>310100</v>
      </c>
      <c r="Q81" s="16">
        <f t="shared" si="16"/>
        <v>120100</v>
      </c>
      <c r="R81" s="230">
        <f t="shared" si="17"/>
        <v>0</v>
      </c>
    </row>
    <row r="82" spans="2:18">
      <c r="B82" s="15">
        <f t="shared" si="11"/>
        <v>77</v>
      </c>
      <c r="C82" s="16">
        <f>IFERROR(VLOOKUP(DATA!G80,DATA!$G$4:$J$2149,1,FALSE),"")</f>
        <v>3062</v>
      </c>
      <c r="D82" s="16" t="str">
        <f>+IFERROR(VLOOKUP(C82,DATA!$G$4:$H$2000,2,FALSE),"")</f>
        <v>УНДРУУЛАН ФҮҮД ХХК</v>
      </c>
      <c r="E82" s="16">
        <v>120100</v>
      </c>
      <c r="G82" s="230">
        <f>+SUMIFS(JURNAL!G:G,JURNAL!E:E,E82,JURNAL!L:L,$C82,JURNAL!C:C,"&gt;="&amp;$M$3,JURNAL!C:C,"&lt;="&amp;$N$3)</f>
        <v>0</v>
      </c>
      <c r="H82" s="19">
        <f>+SUMIFS(JURNAL!H:H,JURNAL!E:E,E82,JURNAL!L:L,$C82,JURNAL!C:C,"&gt;="&amp;$M$3,JURNAL!C:C,"&lt;="&amp;$N$3)</f>
        <v>0</v>
      </c>
      <c r="I82" s="18">
        <f t="shared" si="12"/>
        <v>0</v>
      </c>
      <c r="J82" s="16">
        <v>310100</v>
      </c>
      <c r="L82" s="230">
        <f>+SUMIFS(JURNAL!G:G,JURNAL!E:E,J82,JURNAL!L:L,$C82,JURNAL!C:C,"&gt;="&amp;$M$3,JURNAL!C:C,"&lt;="&amp;$N$3)</f>
        <v>0</v>
      </c>
      <c r="M82" s="19">
        <f>+SUMIFS(JURNAL!H:H,JURNAL!E:E,J82,JURNAL!L:L,$C82,JURNAL!C:C,"&gt;="&amp;$M$3,JURNAL!C:C,"&lt;="&amp;$N$3)</f>
        <v>0</v>
      </c>
      <c r="N82" s="73">
        <f t="shared" si="13"/>
        <v>0</v>
      </c>
      <c r="O82" s="230">
        <f t="shared" si="14"/>
        <v>0</v>
      </c>
      <c r="P82" s="16">
        <f t="shared" si="15"/>
        <v>310100</v>
      </c>
      <c r="Q82" s="16">
        <f t="shared" si="16"/>
        <v>120100</v>
      </c>
      <c r="R82" s="230">
        <f t="shared" si="17"/>
        <v>0</v>
      </c>
    </row>
    <row r="83" spans="2:18">
      <c r="B83" s="15">
        <f t="shared" si="11"/>
        <v>78</v>
      </c>
      <c r="C83" s="16">
        <f>IFERROR(VLOOKUP(DATA!G81,DATA!$G$4:$J$2149,1,FALSE),"")</f>
        <v>3063</v>
      </c>
      <c r="D83" s="16" t="str">
        <f>+IFERROR(VLOOKUP(C83,DATA!$G$4:$H$2000,2,FALSE),"")</f>
        <v>МЭЖИК ДООР ХХК</v>
      </c>
      <c r="E83" s="16">
        <v>120100</v>
      </c>
      <c r="G83" s="230">
        <f>+SUMIFS(JURNAL!G:G,JURNAL!E:E,E83,JURNAL!L:L,$C83,JURNAL!C:C,"&gt;="&amp;$M$3,JURNAL!C:C,"&lt;="&amp;$N$3)</f>
        <v>0</v>
      </c>
      <c r="H83" s="19">
        <f>+SUMIFS(JURNAL!H:H,JURNAL!E:E,E83,JURNAL!L:L,$C83,JURNAL!C:C,"&gt;="&amp;$M$3,JURNAL!C:C,"&lt;="&amp;$N$3)</f>
        <v>0</v>
      </c>
      <c r="I83" s="18">
        <f t="shared" si="12"/>
        <v>0</v>
      </c>
      <c r="J83" s="16">
        <v>310100</v>
      </c>
      <c r="L83" s="230">
        <f>+SUMIFS(JURNAL!G:G,JURNAL!E:E,J83,JURNAL!L:L,$C83,JURNAL!C:C,"&gt;="&amp;$M$3,JURNAL!C:C,"&lt;="&amp;$N$3)</f>
        <v>0</v>
      </c>
      <c r="M83" s="19">
        <f>+SUMIFS(JURNAL!H:H,JURNAL!E:E,J83,JURNAL!L:L,$C83,JURNAL!C:C,"&gt;="&amp;$M$3,JURNAL!C:C,"&lt;="&amp;$N$3)</f>
        <v>0</v>
      </c>
      <c r="N83" s="73">
        <f t="shared" si="13"/>
        <v>0</v>
      </c>
      <c r="O83" s="230">
        <f t="shared" si="14"/>
        <v>0</v>
      </c>
      <c r="P83" s="16">
        <f t="shared" si="15"/>
        <v>310100</v>
      </c>
      <c r="Q83" s="16">
        <f t="shared" si="16"/>
        <v>120100</v>
      </c>
      <c r="R83" s="230">
        <f t="shared" si="17"/>
        <v>0</v>
      </c>
    </row>
    <row r="84" spans="2:18">
      <c r="B84" s="15">
        <f t="shared" si="11"/>
        <v>79</v>
      </c>
      <c r="C84" s="16">
        <f>IFERROR(VLOOKUP(DATA!G82,DATA!$G$4:$J$2149,1,FALSE),"")</f>
        <v>3064</v>
      </c>
      <c r="D84" s="16" t="str">
        <f>+IFERROR(VLOOKUP(C84,DATA!$G$4:$H$2000,2,FALSE),"")</f>
        <v xml:space="preserve">МИОТ ХХ </v>
      </c>
      <c r="E84" s="16">
        <v>120100</v>
      </c>
      <c r="G84" s="230">
        <f>+SUMIFS(JURNAL!G:G,JURNAL!E:E,E84,JURNAL!L:L,$C84,JURNAL!C:C,"&gt;="&amp;$M$3,JURNAL!C:C,"&lt;="&amp;$N$3)</f>
        <v>0</v>
      </c>
      <c r="H84" s="19">
        <f>+SUMIFS(JURNAL!H:H,JURNAL!E:E,E84,JURNAL!L:L,$C84,JURNAL!C:C,"&gt;="&amp;$M$3,JURNAL!C:C,"&lt;="&amp;$N$3)</f>
        <v>0</v>
      </c>
      <c r="I84" s="18">
        <f t="shared" si="12"/>
        <v>0</v>
      </c>
      <c r="J84" s="16">
        <v>310100</v>
      </c>
      <c r="L84" s="230">
        <f>+SUMIFS(JURNAL!G:G,JURNAL!E:E,J84,JURNAL!L:L,$C84,JURNAL!C:C,"&gt;="&amp;$M$3,JURNAL!C:C,"&lt;="&amp;$N$3)</f>
        <v>0</v>
      </c>
      <c r="M84" s="19">
        <f>+SUMIFS(JURNAL!H:H,JURNAL!E:E,J84,JURNAL!L:L,$C84,JURNAL!C:C,"&gt;="&amp;$M$3,JURNAL!C:C,"&lt;="&amp;$N$3)</f>
        <v>0</v>
      </c>
      <c r="N84" s="73">
        <f t="shared" si="13"/>
        <v>0</v>
      </c>
      <c r="O84" s="230">
        <f t="shared" si="14"/>
        <v>0</v>
      </c>
      <c r="P84" s="16">
        <f t="shared" si="15"/>
        <v>310100</v>
      </c>
      <c r="Q84" s="16">
        <f t="shared" si="16"/>
        <v>120100</v>
      </c>
      <c r="R84" s="230">
        <f t="shared" si="17"/>
        <v>0</v>
      </c>
    </row>
    <row r="85" spans="2:18">
      <c r="B85" s="15">
        <f t="shared" si="11"/>
        <v>80</v>
      </c>
      <c r="C85" s="16">
        <f>IFERROR(VLOOKUP(DATA!G83,DATA!$G$4:$J$2149,1,FALSE),"")</f>
        <v>3065</v>
      </c>
      <c r="D85" s="16" t="str">
        <f>+IFERROR(VLOOKUP(C85,DATA!$G$4:$H$2000,2,FALSE),"")</f>
        <v>СИТИ ПАЛАС ХХК</v>
      </c>
      <c r="E85" s="16">
        <v>120100</v>
      </c>
      <c r="G85" s="230">
        <f>+SUMIFS(JURNAL!G:G,JURNAL!E:E,E85,JURNAL!L:L,$C85,JURNAL!C:C,"&gt;="&amp;$M$3,JURNAL!C:C,"&lt;="&amp;$N$3)</f>
        <v>0</v>
      </c>
      <c r="H85" s="19">
        <f>+SUMIFS(JURNAL!H:H,JURNAL!E:E,E85,JURNAL!L:L,$C85,JURNAL!C:C,"&gt;="&amp;$M$3,JURNAL!C:C,"&lt;="&amp;$N$3)</f>
        <v>0</v>
      </c>
      <c r="I85" s="18">
        <f t="shared" si="12"/>
        <v>0</v>
      </c>
      <c r="J85" s="16">
        <v>310100</v>
      </c>
      <c r="L85" s="230">
        <f>+SUMIFS(JURNAL!G:G,JURNAL!E:E,J85,JURNAL!L:L,$C85,JURNAL!C:C,"&gt;="&amp;$M$3,JURNAL!C:C,"&lt;="&amp;$N$3)</f>
        <v>0</v>
      </c>
      <c r="M85" s="19">
        <f>+SUMIFS(JURNAL!H:H,JURNAL!E:E,J85,JURNAL!L:L,$C85,JURNAL!C:C,"&gt;="&amp;$M$3,JURNAL!C:C,"&lt;="&amp;$N$3)</f>
        <v>0</v>
      </c>
      <c r="N85" s="73">
        <f t="shared" si="13"/>
        <v>0</v>
      </c>
      <c r="O85" s="230">
        <f t="shared" si="14"/>
        <v>0</v>
      </c>
      <c r="P85" s="16">
        <f t="shared" si="15"/>
        <v>310100</v>
      </c>
      <c r="Q85" s="16">
        <f t="shared" si="16"/>
        <v>120100</v>
      </c>
      <c r="R85" s="230">
        <f t="shared" si="17"/>
        <v>0</v>
      </c>
    </row>
    <row r="86" spans="2:18">
      <c r="B86" s="15">
        <f t="shared" si="11"/>
        <v>81</v>
      </c>
      <c r="C86" s="16">
        <f>IFERROR(VLOOKUP(DATA!G84,DATA!$G$4:$J$2149,1,FALSE),"")</f>
        <v>3066</v>
      </c>
      <c r="D86" s="16" t="str">
        <f>+IFERROR(VLOOKUP(C86,DATA!$G$4:$H$2000,2,FALSE),"")</f>
        <v>МСҮТөв</v>
      </c>
      <c r="E86" s="16">
        <v>120100</v>
      </c>
      <c r="G86" s="230">
        <f>+SUMIFS(JURNAL!G:G,JURNAL!E:E,E86,JURNAL!L:L,$C86,JURNAL!C:C,"&gt;="&amp;$M$3,JURNAL!C:C,"&lt;="&amp;$N$3)</f>
        <v>0</v>
      </c>
      <c r="H86" s="19">
        <f>+SUMIFS(JURNAL!H:H,JURNAL!E:E,E86,JURNAL!L:L,$C86,JURNAL!C:C,"&gt;="&amp;$M$3,JURNAL!C:C,"&lt;="&amp;$N$3)</f>
        <v>0</v>
      </c>
      <c r="I86" s="18">
        <f t="shared" si="12"/>
        <v>0</v>
      </c>
      <c r="J86" s="16">
        <v>310100</v>
      </c>
      <c r="L86" s="230">
        <f>+SUMIFS(JURNAL!G:G,JURNAL!E:E,J86,JURNAL!L:L,$C86,JURNAL!C:C,"&gt;="&amp;$M$3,JURNAL!C:C,"&lt;="&amp;$N$3)</f>
        <v>0</v>
      </c>
      <c r="M86" s="19">
        <f>+SUMIFS(JURNAL!H:H,JURNAL!E:E,J86,JURNAL!L:L,$C86,JURNAL!C:C,"&gt;="&amp;$M$3,JURNAL!C:C,"&lt;="&amp;$N$3)</f>
        <v>0</v>
      </c>
      <c r="N86" s="73">
        <f t="shared" si="13"/>
        <v>0</v>
      </c>
      <c r="O86" s="230">
        <f t="shared" si="14"/>
        <v>0</v>
      </c>
      <c r="P86" s="16">
        <f t="shared" si="15"/>
        <v>310100</v>
      </c>
      <c r="Q86" s="16">
        <f t="shared" si="16"/>
        <v>120100</v>
      </c>
      <c r="R86" s="230">
        <f t="shared" si="17"/>
        <v>0</v>
      </c>
    </row>
    <row r="87" spans="2:18">
      <c r="B87" s="15">
        <f t="shared" si="11"/>
        <v>82</v>
      </c>
      <c r="C87" s="16">
        <f>IFERROR(VLOOKUP(DATA!G85,DATA!$G$4:$J$2149,1,FALSE),"")</f>
        <v>3067</v>
      </c>
      <c r="D87" s="16" t="str">
        <f>+IFERROR(VLOOKUP(C87,DATA!$G$4:$H$2000,2,FALSE),"")</f>
        <v>ЦЭЦЭН УРЧУУД ХХК</v>
      </c>
      <c r="E87" s="16">
        <v>120100</v>
      </c>
      <c r="G87" s="230">
        <f>+SUMIFS(JURNAL!G:G,JURNAL!E:E,E87,JURNAL!L:L,$C87,JURNAL!C:C,"&gt;="&amp;$M$3,JURNAL!C:C,"&lt;="&amp;$N$3)</f>
        <v>0</v>
      </c>
      <c r="H87" s="19">
        <f>+SUMIFS(JURNAL!H:H,JURNAL!E:E,E87,JURNAL!L:L,$C87,JURNAL!C:C,"&gt;="&amp;$M$3,JURNAL!C:C,"&lt;="&amp;$N$3)</f>
        <v>0</v>
      </c>
      <c r="I87" s="18">
        <f t="shared" si="12"/>
        <v>0</v>
      </c>
      <c r="J87" s="16">
        <v>310100</v>
      </c>
      <c r="L87" s="230">
        <f>+SUMIFS(JURNAL!G:G,JURNAL!E:E,J87,JURNAL!L:L,$C87,JURNAL!C:C,"&gt;="&amp;$M$3,JURNAL!C:C,"&lt;="&amp;$N$3)</f>
        <v>0</v>
      </c>
      <c r="M87" s="19">
        <f>+SUMIFS(JURNAL!H:H,JURNAL!E:E,J87,JURNAL!L:L,$C87,JURNAL!C:C,"&gt;="&amp;$M$3,JURNAL!C:C,"&lt;="&amp;$N$3)</f>
        <v>0</v>
      </c>
      <c r="N87" s="73">
        <f t="shared" si="13"/>
        <v>0</v>
      </c>
      <c r="O87" s="230">
        <f t="shared" si="14"/>
        <v>0</v>
      </c>
      <c r="P87" s="16">
        <f t="shared" si="15"/>
        <v>310100</v>
      </c>
      <c r="Q87" s="16">
        <f t="shared" si="16"/>
        <v>120100</v>
      </c>
      <c r="R87" s="230">
        <f t="shared" si="17"/>
        <v>0</v>
      </c>
    </row>
    <row r="88" spans="2:18">
      <c r="B88" s="15">
        <f t="shared" si="11"/>
        <v>83</v>
      </c>
      <c r="C88" s="16">
        <f>IFERROR(VLOOKUP(DATA!G86,DATA!$G$4:$J$2149,1,FALSE),"")</f>
        <v>3068</v>
      </c>
      <c r="D88" s="16" t="str">
        <f>+IFERROR(VLOOKUP(C88,DATA!$G$4:$H$2000,2,FALSE),"")</f>
        <v>ҮЛЭМЖИТ ХХК</v>
      </c>
      <c r="E88" s="16">
        <v>120100</v>
      </c>
      <c r="G88" s="230">
        <f>+SUMIFS(JURNAL!G:G,JURNAL!E:E,E88,JURNAL!L:L,$C88,JURNAL!C:C,"&gt;="&amp;$M$3,JURNAL!C:C,"&lt;="&amp;$N$3)</f>
        <v>0</v>
      </c>
      <c r="H88" s="19">
        <f>+SUMIFS(JURNAL!H:H,JURNAL!E:E,E88,JURNAL!L:L,$C88,JURNAL!C:C,"&gt;="&amp;$M$3,JURNAL!C:C,"&lt;="&amp;$N$3)</f>
        <v>0</v>
      </c>
      <c r="I88" s="18">
        <f t="shared" si="12"/>
        <v>0</v>
      </c>
      <c r="J88" s="16">
        <v>310100</v>
      </c>
      <c r="L88" s="230">
        <f>+SUMIFS(JURNAL!G:G,JURNAL!E:E,J88,JURNAL!L:L,$C88,JURNAL!C:C,"&gt;="&amp;$M$3,JURNAL!C:C,"&lt;="&amp;$N$3)</f>
        <v>0</v>
      </c>
      <c r="M88" s="19">
        <f>+SUMIFS(JURNAL!H:H,JURNAL!E:E,J88,JURNAL!L:L,$C88,JURNAL!C:C,"&gt;="&amp;$M$3,JURNAL!C:C,"&lt;="&amp;$N$3)</f>
        <v>0</v>
      </c>
      <c r="N88" s="73">
        <f t="shared" si="13"/>
        <v>0</v>
      </c>
      <c r="O88" s="230">
        <f t="shared" si="14"/>
        <v>0</v>
      </c>
      <c r="P88" s="16">
        <f t="shared" si="15"/>
        <v>310100</v>
      </c>
      <c r="Q88" s="16">
        <f t="shared" si="16"/>
        <v>120100</v>
      </c>
      <c r="R88" s="230">
        <f t="shared" si="17"/>
        <v>0</v>
      </c>
    </row>
    <row r="89" spans="2:18">
      <c r="B89" s="15">
        <f t="shared" si="11"/>
        <v>84</v>
      </c>
      <c r="C89" s="16">
        <f>IFERROR(VLOOKUP(DATA!G87,DATA!$G$4:$J$2149,1,FALSE),"")</f>
        <v>3069</v>
      </c>
      <c r="D89" s="16" t="str">
        <f>+IFERROR(VLOOKUP(C89,DATA!$G$4:$H$2000,2,FALSE),"")</f>
        <v>УУЛЫН ЗАМ ХХК</v>
      </c>
      <c r="E89" s="16">
        <v>120100</v>
      </c>
      <c r="G89" s="230">
        <f>+SUMIFS(JURNAL!G:G,JURNAL!E:E,E89,JURNAL!L:L,$C89,JURNAL!C:C,"&gt;="&amp;$M$3,JURNAL!C:C,"&lt;="&amp;$N$3)</f>
        <v>0</v>
      </c>
      <c r="H89" s="19">
        <f>+SUMIFS(JURNAL!H:H,JURNAL!E:E,E89,JURNAL!L:L,$C89,JURNAL!C:C,"&gt;="&amp;$M$3,JURNAL!C:C,"&lt;="&amp;$N$3)</f>
        <v>0</v>
      </c>
      <c r="I89" s="18">
        <f t="shared" si="12"/>
        <v>0</v>
      </c>
      <c r="J89" s="16">
        <v>310100</v>
      </c>
      <c r="L89" s="230">
        <f>+SUMIFS(JURNAL!G:G,JURNAL!E:E,J89,JURNAL!L:L,$C89,JURNAL!C:C,"&gt;="&amp;$M$3,JURNAL!C:C,"&lt;="&amp;$N$3)</f>
        <v>0</v>
      </c>
      <c r="M89" s="19">
        <f>+SUMIFS(JURNAL!H:H,JURNAL!E:E,J89,JURNAL!L:L,$C89,JURNAL!C:C,"&gt;="&amp;$M$3,JURNAL!C:C,"&lt;="&amp;$N$3)</f>
        <v>0</v>
      </c>
      <c r="N89" s="73">
        <f t="shared" si="13"/>
        <v>0</v>
      </c>
      <c r="O89" s="230">
        <f t="shared" si="14"/>
        <v>0</v>
      </c>
      <c r="P89" s="16">
        <f t="shared" si="15"/>
        <v>310100</v>
      </c>
      <c r="Q89" s="16">
        <f t="shared" si="16"/>
        <v>120100</v>
      </c>
      <c r="R89" s="230">
        <f t="shared" si="17"/>
        <v>0</v>
      </c>
    </row>
    <row r="90" spans="2:18">
      <c r="B90" s="15">
        <f t="shared" si="11"/>
        <v>85</v>
      </c>
      <c r="C90" s="16">
        <f>IFERROR(VLOOKUP(DATA!G88,DATA!$G$4:$J$2149,1,FALSE),"")</f>
        <v>3070</v>
      </c>
      <c r="D90" s="16" t="str">
        <f>+IFERROR(VLOOKUP(C90,DATA!$G$4:$H$2000,2,FALSE),"")</f>
        <v>ВОТЕР ФОРД КАСТОМ ХӨҮМ ХХК</v>
      </c>
      <c r="E90" s="16">
        <v>120100</v>
      </c>
      <c r="G90" s="230">
        <f>+SUMIFS(JURNAL!G:G,JURNAL!E:E,E90,JURNAL!L:L,$C90,JURNAL!C:C,"&gt;="&amp;$M$3,JURNAL!C:C,"&lt;="&amp;$N$3)</f>
        <v>0</v>
      </c>
      <c r="H90" s="19">
        <f>+SUMIFS(JURNAL!H:H,JURNAL!E:E,E90,JURNAL!L:L,$C90,JURNAL!C:C,"&gt;="&amp;$M$3,JURNAL!C:C,"&lt;="&amp;$N$3)</f>
        <v>0</v>
      </c>
      <c r="I90" s="18">
        <f t="shared" si="12"/>
        <v>0</v>
      </c>
      <c r="J90" s="16">
        <v>310100</v>
      </c>
      <c r="L90" s="230">
        <f>+SUMIFS(JURNAL!G:G,JURNAL!E:E,J90,JURNAL!L:L,$C90,JURNAL!C:C,"&gt;="&amp;$M$3,JURNAL!C:C,"&lt;="&amp;$N$3)</f>
        <v>0</v>
      </c>
      <c r="M90" s="19">
        <f>+SUMIFS(JURNAL!H:H,JURNAL!E:E,J90,JURNAL!L:L,$C90,JURNAL!C:C,"&gt;="&amp;$M$3,JURNAL!C:C,"&lt;="&amp;$N$3)</f>
        <v>0</v>
      </c>
      <c r="N90" s="73">
        <f t="shared" si="13"/>
        <v>0</v>
      </c>
      <c r="O90" s="230">
        <f t="shared" si="14"/>
        <v>0</v>
      </c>
      <c r="P90" s="16">
        <f t="shared" si="15"/>
        <v>310100</v>
      </c>
      <c r="Q90" s="16">
        <f t="shared" si="16"/>
        <v>120100</v>
      </c>
      <c r="R90" s="230">
        <f t="shared" si="17"/>
        <v>0</v>
      </c>
    </row>
    <row r="91" spans="2:18">
      <c r="B91" s="15">
        <f t="shared" si="11"/>
        <v>86</v>
      </c>
      <c r="C91" s="16">
        <f>IFERROR(VLOOKUP(DATA!G89,DATA!$G$4:$J$2149,1,FALSE),"")</f>
        <v>3071</v>
      </c>
      <c r="D91" s="16" t="str">
        <f>+IFERROR(VLOOKUP(C91,DATA!$G$4:$H$2000,2,FALSE),"")</f>
        <v>ЭЛ ВИ ЭЙС ХХК</v>
      </c>
      <c r="E91" s="16">
        <v>120100</v>
      </c>
      <c r="G91" s="230">
        <f>+SUMIFS(JURNAL!G:G,JURNAL!E:E,E91,JURNAL!L:L,$C91,JURNAL!C:C,"&gt;="&amp;$M$3,JURNAL!C:C,"&lt;="&amp;$N$3)</f>
        <v>0</v>
      </c>
      <c r="H91" s="19">
        <f>+SUMIFS(JURNAL!H:H,JURNAL!E:E,E91,JURNAL!L:L,$C91,JURNAL!C:C,"&gt;="&amp;$M$3,JURNAL!C:C,"&lt;="&amp;$N$3)</f>
        <v>0</v>
      </c>
      <c r="I91" s="18">
        <f t="shared" si="12"/>
        <v>0</v>
      </c>
      <c r="J91" s="16">
        <v>310100</v>
      </c>
      <c r="L91" s="230">
        <f>+SUMIFS(JURNAL!G:G,JURNAL!E:E,J91,JURNAL!L:L,$C91,JURNAL!C:C,"&gt;="&amp;$M$3,JURNAL!C:C,"&lt;="&amp;$N$3)</f>
        <v>0</v>
      </c>
      <c r="M91" s="19">
        <f>+SUMIFS(JURNAL!H:H,JURNAL!E:E,J91,JURNAL!L:L,$C91,JURNAL!C:C,"&gt;="&amp;$M$3,JURNAL!C:C,"&lt;="&amp;$N$3)</f>
        <v>0</v>
      </c>
      <c r="N91" s="73">
        <f t="shared" si="13"/>
        <v>0</v>
      </c>
      <c r="O91" s="230">
        <f t="shared" si="14"/>
        <v>0</v>
      </c>
      <c r="P91" s="16">
        <f t="shared" si="15"/>
        <v>310100</v>
      </c>
      <c r="Q91" s="16">
        <f t="shared" si="16"/>
        <v>120100</v>
      </c>
      <c r="R91" s="230">
        <f t="shared" si="17"/>
        <v>0</v>
      </c>
    </row>
    <row r="92" spans="2:18">
      <c r="B92" s="15">
        <f t="shared" si="11"/>
        <v>87</v>
      </c>
      <c r="C92" s="16">
        <f>IFERROR(VLOOKUP(DATA!G90,DATA!$G$4:$J$2149,1,FALSE),"")</f>
        <v>3072</v>
      </c>
      <c r="D92" s="16" t="str">
        <f>+IFERROR(VLOOKUP(C92,DATA!$G$4:$H$2000,2,FALSE),"")</f>
        <v>МЕТАЛ ХАУС ХХК</v>
      </c>
      <c r="E92" s="16">
        <v>120100</v>
      </c>
      <c r="G92" s="230">
        <f>+SUMIFS(JURNAL!G:G,JURNAL!E:E,E92,JURNAL!L:L,$C92,JURNAL!C:C,"&gt;="&amp;$M$3,JURNAL!C:C,"&lt;="&amp;$N$3)</f>
        <v>0</v>
      </c>
      <c r="H92" s="19">
        <f>+SUMIFS(JURNAL!H:H,JURNAL!E:E,E92,JURNAL!L:L,$C92,JURNAL!C:C,"&gt;="&amp;$M$3,JURNAL!C:C,"&lt;="&amp;$N$3)</f>
        <v>0</v>
      </c>
      <c r="I92" s="18">
        <f t="shared" si="12"/>
        <v>0</v>
      </c>
      <c r="J92" s="16">
        <v>310100</v>
      </c>
      <c r="L92" s="230">
        <f>+SUMIFS(JURNAL!G:G,JURNAL!E:E,J92,JURNAL!L:L,$C92,JURNAL!C:C,"&gt;="&amp;$M$3,JURNAL!C:C,"&lt;="&amp;$N$3)</f>
        <v>0</v>
      </c>
      <c r="M92" s="19">
        <f>+SUMIFS(JURNAL!H:H,JURNAL!E:E,J92,JURNAL!L:L,$C92,JURNAL!C:C,"&gt;="&amp;$M$3,JURNAL!C:C,"&lt;="&amp;$N$3)</f>
        <v>0</v>
      </c>
      <c r="N92" s="73">
        <f t="shared" si="13"/>
        <v>0</v>
      </c>
      <c r="O92" s="230">
        <f t="shared" si="14"/>
        <v>0</v>
      </c>
      <c r="P92" s="16">
        <f t="shared" si="15"/>
        <v>310100</v>
      </c>
      <c r="Q92" s="16">
        <f t="shared" si="16"/>
        <v>120100</v>
      </c>
      <c r="R92" s="230">
        <f t="shared" si="17"/>
        <v>0</v>
      </c>
    </row>
    <row r="93" spans="2:18">
      <c r="B93" s="15">
        <f t="shared" si="11"/>
        <v>88</v>
      </c>
      <c r="C93" s="16">
        <f>IFERROR(VLOOKUP(DATA!G91,DATA!$G$4:$J$2149,1,FALSE),"")</f>
        <v>3073</v>
      </c>
      <c r="D93" s="16" t="str">
        <f>+IFERROR(VLOOKUP(C93,DATA!$G$4:$H$2000,2,FALSE),"")</f>
        <v>ХАНГАЛ КОНСТРАКШН ХХК</v>
      </c>
      <c r="E93" s="16">
        <v>120100</v>
      </c>
      <c r="G93" s="230">
        <f>+SUMIFS(JURNAL!G:G,JURNAL!E:E,E93,JURNAL!L:L,$C93,JURNAL!C:C,"&gt;="&amp;$M$3,JURNAL!C:C,"&lt;="&amp;$N$3)</f>
        <v>0</v>
      </c>
      <c r="H93" s="19">
        <f>+SUMIFS(JURNAL!H:H,JURNAL!E:E,E93,JURNAL!L:L,$C93,JURNAL!C:C,"&gt;="&amp;$M$3,JURNAL!C:C,"&lt;="&amp;$N$3)</f>
        <v>0</v>
      </c>
      <c r="I93" s="18">
        <f t="shared" si="12"/>
        <v>0</v>
      </c>
      <c r="J93" s="16">
        <v>310100</v>
      </c>
      <c r="L93" s="230">
        <f>+SUMIFS(JURNAL!G:G,JURNAL!E:E,J93,JURNAL!L:L,$C93,JURNAL!C:C,"&gt;="&amp;$M$3,JURNAL!C:C,"&lt;="&amp;$N$3)</f>
        <v>0</v>
      </c>
      <c r="M93" s="19">
        <f>+SUMIFS(JURNAL!H:H,JURNAL!E:E,J93,JURNAL!L:L,$C93,JURNAL!C:C,"&gt;="&amp;$M$3,JURNAL!C:C,"&lt;="&amp;$N$3)</f>
        <v>0</v>
      </c>
      <c r="N93" s="73">
        <f t="shared" si="13"/>
        <v>0</v>
      </c>
      <c r="O93" s="230">
        <f t="shared" si="14"/>
        <v>0</v>
      </c>
      <c r="P93" s="16">
        <f t="shared" si="15"/>
        <v>310100</v>
      </c>
      <c r="Q93" s="16">
        <f t="shared" si="16"/>
        <v>120100</v>
      </c>
      <c r="R93" s="230">
        <f t="shared" si="17"/>
        <v>0</v>
      </c>
    </row>
    <row r="94" spans="2:18">
      <c r="B94" s="15">
        <f t="shared" si="11"/>
        <v>89</v>
      </c>
      <c r="C94" s="16">
        <f>IFERROR(VLOOKUP(DATA!G92,DATA!$G$4:$J$2149,1,FALSE),"")</f>
        <v>3074</v>
      </c>
      <c r="D94" s="16" t="str">
        <f>+IFERROR(VLOOKUP(C94,DATA!$G$4:$H$2000,2,FALSE),"")</f>
        <v>КАМДЕР ХХК</v>
      </c>
      <c r="E94" s="16">
        <v>120100</v>
      </c>
      <c r="G94" s="230">
        <f>+SUMIFS(JURNAL!G:G,JURNAL!E:E,E94,JURNAL!L:L,$C94,JURNAL!C:C,"&gt;="&amp;$M$3,JURNAL!C:C,"&lt;="&amp;$N$3)</f>
        <v>0</v>
      </c>
      <c r="H94" s="19">
        <f>+SUMIFS(JURNAL!H:H,JURNAL!E:E,E94,JURNAL!L:L,$C94,JURNAL!C:C,"&gt;="&amp;$M$3,JURNAL!C:C,"&lt;="&amp;$N$3)</f>
        <v>0</v>
      </c>
      <c r="I94" s="18">
        <f t="shared" si="12"/>
        <v>0</v>
      </c>
      <c r="J94" s="16">
        <v>310100</v>
      </c>
      <c r="L94" s="230">
        <f>+SUMIFS(JURNAL!G:G,JURNAL!E:E,J94,JURNAL!L:L,$C94,JURNAL!C:C,"&gt;="&amp;$M$3,JURNAL!C:C,"&lt;="&amp;$N$3)</f>
        <v>0</v>
      </c>
      <c r="M94" s="19">
        <f>+SUMIFS(JURNAL!H:H,JURNAL!E:E,J94,JURNAL!L:L,$C94,JURNAL!C:C,"&gt;="&amp;$M$3,JURNAL!C:C,"&lt;="&amp;$N$3)</f>
        <v>0</v>
      </c>
      <c r="N94" s="73">
        <f t="shared" si="13"/>
        <v>0</v>
      </c>
      <c r="O94" s="230">
        <f t="shared" si="14"/>
        <v>0</v>
      </c>
      <c r="P94" s="16">
        <f t="shared" si="15"/>
        <v>310100</v>
      </c>
      <c r="Q94" s="16">
        <f t="shared" si="16"/>
        <v>120100</v>
      </c>
      <c r="R94" s="230">
        <f t="shared" si="17"/>
        <v>0</v>
      </c>
    </row>
    <row r="95" spans="2:18">
      <c r="B95" s="15">
        <f t="shared" si="11"/>
        <v>90</v>
      </c>
      <c r="C95" s="16">
        <f>IFERROR(VLOOKUP(DATA!G93,DATA!$G$4:$J$2149,1,FALSE),"")</f>
        <v>3075</v>
      </c>
      <c r="D95" s="16" t="str">
        <f>+IFERROR(VLOOKUP(C95,DATA!$G$4:$H$2000,2,FALSE),"")</f>
        <v>СИ АЙ ТИ ХХК</v>
      </c>
      <c r="E95" s="16">
        <v>120100</v>
      </c>
      <c r="G95" s="230">
        <f>+SUMIFS(JURNAL!G:G,JURNAL!E:E,E95,JURNAL!L:L,$C95,JURNAL!C:C,"&gt;="&amp;$M$3,JURNAL!C:C,"&lt;="&amp;$N$3)</f>
        <v>0</v>
      </c>
      <c r="H95" s="19">
        <f>+SUMIFS(JURNAL!H:H,JURNAL!E:E,E95,JURNAL!L:L,$C95,JURNAL!C:C,"&gt;="&amp;$M$3,JURNAL!C:C,"&lt;="&amp;$N$3)</f>
        <v>0</v>
      </c>
      <c r="I95" s="18">
        <f t="shared" si="12"/>
        <v>0</v>
      </c>
      <c r="J95" s="16">
        <v>310100</v>
      </c>
      <c r="L95" s="230">
        <f>+SUMIFS(JURNAL!G:G,JURNAL!E:E,J95,JURNAL!L:L,$C95,JURNAL!C:C,"&gt;="&amp;$M$3,JURNAL!C:C,"&lt;="&amp;$N$3)</f>
        <v>0</v>
      </c>
      <c r="M95" s="19">
        <f>+SUMIFS(JURNAL!H:H,JURNAL!E:E,J95,JURNAL!L:L,$C95,JURNAL!C:C,"&gt;="&amp;$M$3,JURNAL!C:C,"&lt;="&amp;$N$3)</f>
        <v>0</v>
      </c>
      <c r="N95" s="73">
        <f t="shared" si="13"/>
        <v>0</v>
      </c>
      <c r="O95" s="230">
        <f t="shared" si="14"/>
        <v>0</v>
      </c>
      <c r="P95" s="16">
        <f t="shared" si="15"/>
        <v>310100</v>
      </c>
      <c r="Q95" s="16">
        <f t="shared" si="16"/>
        <v>120100</v>
      </c>
      <c r="R95" s="230">
        <f t="shared" si="17"/>
        <v>0</v>
      </c>
    </row>
    <row r="96" spans="2:18">
      <c r="B96" s="15">
        <f t="shared" si="11"/>
        <v>91</v>
      </c>
      <c r="C96" s="16">
        <f>IFERROR(VLOOKUP(DATA!G94,DATA!$G$4:$J$2149,1,FALSE),"")</f>
        <v>3076</v>
      </c>
      <c r="D96" s="16" t="str">
        <f>+IFERROR(VLOOKUP(C96,DATA!$G$4:$H$2000,2,FALSE),"")</f>
        <v>ЖИ ЭЙ БИ ӨҮ ТИ ХХК</v>
      </c>
      <c r="E96" s="16">
        <v>120100</v>
      </c>
      <c r="G96" s="230">
        <f>+SUMIFS(JURNAL!G:G,JURNAL!E:E,E96,JURNAL!L:L,$C96,JURNAL!C:C,"&gt;="&amp;$M$3,JURNAL!C:C,"&lt;="&amp;$N$3)</f>
        <v>0</v>
      </c>
      <c r="H96" s="19">
        <f>+SUMIFS(JURNAL!H:H,JURNAL!E:E,E96,JURNAL!L:L,$C96,JURNAL!C:C,"&gt;="&amp;$M$3,JURNAL!C:C,"&lt;="&amp;$N$3)</f>
        <v>0</v>
      </c>
      <c r="I96" s="18">
        <f t="shared" si="12"/>
        <v>0</v>
      </c>
      <c r="J96" s="16">
        <v>310100</v>
      </c>
      <c r="L96" s="230">
        <f>+SUMIFS(JURNAL!G:G,JURNAL!E:E,J96,JURNAL!L:L,$C96,JURNAL!C:C,"&gt;="&amp;$M$3,JURNAL!C:C,"&lt;="&amp;$N$3)</f>
        <v>0</v>
      </c>
      <c r="M96" s="19">
        <f>+SUMIFS(JURNAL!H:H,JURNAL!E:E,J96,JURNAL!L:L,$C96,JURNAL!C:C,"&gt;="&amp;$M$3,JURNAL!C:C,"&lt;="&amp;$N$3)</f>
        <v>0</v>
      </c>
      <c r="N96" s="73">
        <f t="shared" si="13"/>
        <v>0</v>
      </c>
      <c r="O96" s="230">
        <f t="shared" si="14"/>
        <v>0</v>
      </c>
      <c r="P96" s="16">
        <f t="shared" si="15"/>
        <v>310100</v>
      </c>
      <c r="Q96" s="16">
        <f t="shared" si="16"/>
        <v>120100</v>
      </c>
      <c r="R96" s="230">
        <f t="shared" si="17"/>
        <v>0</v>
      </c>
    </row>
    <row r="97" spans="2:18">
      <c r="B97" s="15">
        <f t="shared" si="11"/>
        <v>92</v>
      </c>
      <c r="C97" s="16">
        <f>IFERROR(VLOOKUP(DATA!G95,DATA!$G$4:$J$2149,1,FALSE),"")</f>
        <v>3077</v>
      </c>
      <c r="D97" s="16" t="str">
        <f>+IFERROR(VLOOKUP(C97,DATA!$G$4:$H$2000,2,FALSE),"")</f>
        <v>КАРАНДАШ ХХК</v>
      </c>
      <c r="E97" s="16">
        <v>120100</v>
      </c>
      <c r="G97" s="230">
        <f>+SUMIFS(JURNAL!G:G,JURNAL!E:E,E97,JURNAL!L:L,$C97,JURNAL!C:C,"&gt;="&amp;$M$3,JURNAL!C:C,"&lt;="&amp;$N$3)</f>
        <v>0</v>
      </c>
      <c r="H97" s="19">
        <f>+SUMIFS(JURNAL!H:H,JURNAL!E:E,E97,JURNAL!L:L,$C97,JURNAL!C:C,"&gt;="&amp;$M$3,JURNAL!C:C,"&lt;="&amp;$N$3)</f>
        <v>0</v>
      </c>
      <c r="I97" s="18">
        <f t="shared" si="12"/>
        <v>0</v>
      </c>
      <c r="J97" s="16">
        <v>310100</v>
      </c>
      <c r="L97" s="230">
        <f>+SUMIFS(JURNAL!G:G,JURNAL!E:E,J97,JURNAL!L:L,$C97,JURNAL!C:C,"&gt;="&amp;$M$3,JURNAL!C:C,"&lt;="&amp;$N$3)</f>
        <v>0</v>
      </c>
      <c r="M97" s="19">
        <f>+SUMIFS(JURNAL!H:H,JURNAL!E:E,J97,JURNAL!L:L,$C97,JURNAL!C:C,"&gt;="&amp;$M$3,JURNAL!C:C,"&lt;="&amp;$N$3)</f>
        <v>0</v>
      </c>
      <c r="N97" s="73">
        <f t="shared" si="13"/>
        <v>0</v>
      </c>
      <c r="O97" s="230">
        <f t="shared" si="14"/>
        <v>0</v>
      </c>
      <c r="P97" s="16">
        <f t="shared" si="15"/>
        <v>310100</v>
      </c>
      <c r="Q97" s="16">
        <f t="shared" si="16"/>
        <v>120100</v>
      </c>
      <c r="R97" s="230">
        <f t="shared" si="17"/>
        <v>0</v>
      </c>
    </row>
    <row r="98" spans="2:18">
      <c r="B98" s="15">
        <f t="shared" si="11"/>
        <v>93</v>
      </c>
      <c r="C98" s="16">
        <f>IFERROR(VLOOKUP(DATA!G96,DATA!$G$4:$J$2149,1,FALSE),"")</f>
        <v>3078</v>
      </c>
      <c r="D98" s="16" t="str">
        <f>+IFERROR(VLOOKUP(C98,DATA!$G$4:$H$2000,2,FALSE),"")</f>
        <v>МӨНХ ЭНХРИЙ ХХК</v>
      </c>
      <c r="E98" s="16">
        <v>120100</v>
      </c>
      <c r="G98" s="230">
        <f>+SUMIFS(JURNAL!G:G,JURNAL!E:E,E98,JURNAL!L:L,$C98,JURNAL!C:C,"&gt;="&amp;$M$3,JURNAL!C:C,"&lt;="&amp;$N$3)</f>
        <v>0</v>
      </c>
      <c r="H98" s="19">
        <f>+SUMIFS(JURNAL!H:H,JURNAL!E:E,E98,JURNAL!L:L,$C98,JURNAL!C:C,"&gt;="&amp;$M$3,JURNAL!C:C,"&lt;="&amp;$N$3)</f>
        <v>0</v>
      </c>
      <c r="I98" s="18">
        <f t="shared" si="12"/>
        <v>0</v>
      </c>
      <c r="J98" s="16">
        <v>310100</v>
      </c>
      <c r="L98" s="230">
        <f>+SUMIFS(JURNAL!G:G,JURNAL!E:E,J98,JURNAL!L:L,$C98,JURNAL!C:C,"&gt;="&amp;$M$3,JURNAL!C:C,"&lt;="&amp;$N$3)</f>
        <v>0</v>
      </c>
      <c r="M98" s="19">
        <f>+SUMIFS(JURNAL!H:H,JURNAL!E:E,J98,JURNAL!L:L,$C98,JURNAL!C:C,"&gt;="&amp;$M$3,JURNAL!C:C,"&lt;="&amp;$N$3)</f>
        <v>0</v>
      </c>
      <c r="N98" s="73">
        <f t="shared" si="13"/>
        <v>0</v>
      </c>
      <c r="O98" s="230">
        <f t="shared" si="14"/>
        <v>0</v>
      </c>
      <c r="P98" s="16">
        <f t="shared" si="15"/>
        <v>310100</v>
      </c>
      <c r="Q98" s="16">
        <f t="shared" si="16"/>
        <v>120100</v>
      </c>
      <c r="R98" s="230">
        <f t="shared" si="17"/>
        <v>0</v>
      </c>
    </row>
    <row r="99" spans="2:18">
      <c r="B99" s="15">
        <f t="shared" si="11"/>
        <v>94</v>
      </c>
      <c r="C99" s="16">
        <f>IFERROR(VLOOKUP(DATA!G97,DATA!$G$4:$J$2149,1,FALSE),"")</f>
        <v>3079</v>
      </c>
      <c r="D99" s="16" t="str">
        <f>+IFERROR(VLOOKUP(C99,DATA!$G$4:$H$2000,2,FALSE),"")</f>
        <v>ДА ХОТ ХХК</v>
      </c>
      <c r="E99" s="16">
        <v>120100</v>
      </c>
      <c r="G99" s="230">
        <f>+SUMIFS(JURNAL!G:G,JURNAL!E:E,E99,JURNAL!L:L,$C99,JURNAL!C:C,"&gt;="&amp;$M$3,JURNAL!C:C,"&lt;="&amp;$N$3)</f>
        <v>0</v>
      </c>
      <c r="H99" s="19">
        <f>+SUMIFS(JURNAL!H:H,JURNAL!E:E,E99,JURNAL!L:L,$C99,JURNAL!C:C,"&gt;="&amp;$M$3,JURNAL!C:C,"&lt;="&amp;$N$3)</f>
        <v>0</v>
      </c>
      <c r="I99" s="18">
        <f t="shared" si="12"/>
        <v>0</v>
      </c>
      <c r="J99" s="16">
        <v>310100</v>
      </c>
      <c r="L99" s="230">
        <f>+SUMIFS(JURNAL!G:G,JURNAL!E:E,J99,JURNAL!L:L,$C99,JURNAL!C:C,"&gt;="&amp;$M$3,JURNAL!C:C,"&lt;="&amp;$N$3)</f>
        <v>0</v>
      </c>
      <c r="M99" s="19">
        <f>+SUMIFS(JURNAL!H:H,JURNAL!E:E,J99,JURNAL!L:L,$C99,JURNAL!C:C,"&gt;="&amp;$M$3,JURNAL!C:C,"&lt;="&amp;$N$3)</f>
        <v>0</v>
      </c>
      <c r="N99" s="73">
        <f t="shared" si="13"/>
        <v>0</v>
      </c>
      <c r="O99" s="230">
        <f t="shared" si="14"/>
        <v>0</v>
      </c>
      <c r="P99" s="16">
        <f t="shared" si="15"/>
        <v>310100</v>
      </c>
      <c r="Q99" s="16">
        <f t="shared" si="16"/>
        <v>120100</v>
      </c>
      <c r="R99" s="230">
        <f t="shared" si="17"/>
        <v>0</v>
      </c>
    </row>
    <row r="100" spans="2:18">
      <c r="B100" s="15">
        <f t="shared" si="11"/>
        <v>95</v>
      </c>
      <c r="C100" s="16">
        <f>IFERROR(VLOOKUP(DATA!G98,DATA!$G$4:$J$2149,1,FALSE),"")</f>
        <v>3080</v>
      </c>
      <c r="D100" s="16" t="str">
        <f>+IFERROR(VLOOKUP(C100,DATA!$G$4:$H$2000,2,FALSE),"")</f>
        <v>ДИ ЭЙЧ ЭЛ ГЭЙТВЭЙ ХХК</v>
      </c>
      <c r="E100" s="16">
        <v>120100</v>
      </c>
      <c r="G100" s="230">
        <f>+SUMIFS(JURNAL!G:G,JURNAL!E:E,E100,JURNAL!L:L,$C100,JURNAL!C:C,"&gt;="&amp;$M$3,JURNAL!C:C,"&lt;="&amp;$N$3)</f>
        <v>0</v>
      </c>
      <c r="H100" s="19">
        <f>+SUMIFS(JURNAL!H:H,JURNAL!E:E,E100,JURNAL!L:L,$C100,JURNAL!C:C,"&gt;="&amp;$M$3,JURNAL!C:C,"&lt;="&amp;$N$3)</f>
        <v>0</v>
      </c>
      <c r="I100" s="18">
        <f t="shared" si="12"/>
        <v>0</v>
      </c>
      <c r="J100" s="16">
        <v>310100</v>
      </c>
      <c r="L100" s="230">
        <f>+SUMIFS(JURNAL!G:G,JURNAL!E:E,J100,JURNAL!L:L,$C100,JURNAL!C:C,"&gt;="&amp;$M$3,JURNAL!C:C,"&lt;="&amp;$N$3)</f>
        <v>0</v>
      </c>
      <c r="M100" s="19">
        <f>+SUMIFS(JURNAL!H:H,JURNAL!E:E,J100,JURNAL!L:L,$C100,JURNAL!C:C,"&gt;="&amp;$M$3,JURNAL!C:C,"&lt;="&amp;$N$3)</f>
        <v>0</v>
      </c>
      <c r="N100" s="73">
        <f t="shared" si="13"/>
        <v>0</v>
      </c>
      <c r="O100" s="230">
        <f t="shared" si="14"/>
        <v>0</v>
      </c>
      <c r="P100" s="16">
        <f t="shared" si="15"/>
        <v>310100</v>
      </c>
      <c r="Q100" s="16">
        <f t="shared" si="16"/>
        <v>120100</v>
      </c>
      <c r="R100" s="230">
        <f t="shared" si="17"/>
        <v>0</v>
      </c>
    </row>
    <row r="101" spans="2:18">
      <c r="B101" s="15">
        <f t="shared" si="11"/>
        <v>96</v>
      </c>
      <c r="C101" s="16">
        <f>IFERROR(VLOOKUP(DATA!G99,DATA!$G$4:$J$2149,1,FALSE),"")</f>
        <v>3081</v>
      </c>
      <c r="D101" s="16" t="str">
        <f>+IFERROR(VLOOKUP(C101,DATA!$G$4:$H$2000,2,FALSE),"")</f>
        <v>ПИ АЙ ЭМ ЭМ ХХК</v>
      </c>
      <c r="E101" s="16">
        <v>120100</v>
      </c>
      <c r="G101" s="230">
        <f>+SUMIFS(JURNAL!G:G,JURNAL!E:E,E101,JURNAL!L:L,$C101,JURNAL!C:C,"&gt;="&amp;$M$3,JURNAL!C:C,"&lt;="&amp;$N$3)</f>
        <v>0</v>
      </c>
      <c r="H101" s="19">
        <f>+SUMIFS(JURNAL!H:H,JURNAL!E:E,E101,JURNAL!L:L,$C101,JURNAL!C:C,"&gt;="&amp;$M$3,JURNAL!C:C,"&lt;="&amp;$N$3)</f>
        <v>0</v>
      </c>
      <c r="I101" s="18">
        <f t="shared" si="12"/>
        <v>0</v>
      </c>
      <c r="J101" s="16">
        <v>310100</v>
      </c>
      <c r="L101" s="230">
        <f>+SUMIFS(JURNAL!G:G,JURNAL!E:E,J101,JURNAL!L:L,$C101,JURNAL!C:C,"&gt;="&amp;$M$3,JURNAL!C:C,"&lt;="&amp;$N$3)</f>
        <v>0</v>
      </c>
      <c r="M101" s="19">
        <f>+SUMIFS(JURNAL!H:H,JURNAL!E:E,J101,JURNAL!L:L,$C101,JURNAL!C:C,"&gt;="&amp;$M$3,JURNAL!C:C,"&lt;="&amp;$N$3)</f>
        <v>0</v>
      </c>
      <c r="N101" s="73">
        <f t="shared" si="13"/>
        <v>0</v>
      </c>
      <c r="O101" s="230">
        <f t="shared" si="14"/>
        <v>0</v>
      </c>
      <c r="P101" s="16">
        <f t="shared" si="15"/>
        <v>310100</v>
      </c>
      <c r="Q101" s="16">
        <f t="shared" si="16"/>
        <v>120100</v>
      </c>
      <c r="R101" s="230">
        <f t="shared" si="17"/>
        <v>0</v>
      </c>
    </row>
    <row r="102" spans="2:18">
      <c r="B102" s="15">
        <f t="shared" si="11"/>
        <v>97</v>
      </c>
      <c r="C102" s="16">
        <f>IFERROR(VLOOKUP(DATA!G100,DATA!$G$4:$J$2149,1,FALSE),"")</f>
        <v>3082</v>
      </c>
      <c r="D102" s="16" t="str">
        <f>+IFERROR(VLOOKUP(C102,DATA!$G$4:$H$2000,2,FALSE),"")</f>
        <v xml:space="preserve">ӨСӨХ БЭЙС ХХК </v>
      </c>
      <c r="E102" s="16">
        <v>120100</v>
      </c>
      <c r="G102" s="230">
        <f>+SUMIFS(JURNAL!G:G,JURNAL!E:E,E102,JURNAL!L:L,$C102,JURNAL!C:C,"&gt;="&amp;$M$3,JURNAL!C:C,"&lt;="&amp;$N$3)</f>
        <v>0</v>
      </c>
      <c r="H102" s="19">
        <f>+SUMIFS(JURNAL!H:H,JURNAL!E:E,E102,JURNAL!L:L,$C102,JURNAL!C:C,"&gt;="&amp;$M$3,JURNAL!C:C,"&lt;="&amp;$N$3)</f>
        <v>0</v>
      </c>
      <c r="I102" s="18">
        <f t="shared" si="12"/>
        <v>0</v>
      </c>
      <c r="J102" s="16">
        <v>310100</v>
      </c>
      <c r="L102" s="230">
        <f>+SUMIFS(JURNAL!G:G,JURNAL!E:E,J102,JURNAL!L:L,$C102,JURNAL!C:C,"&gt;="&amp;$M$3,JURNAL!C:C,"&lt;="&amp;$N$3)</f>
        <v>0</v>
      </c>
      <c r="M102" s="19">
        <f>+SUMIFS(JURNAL!H:H,JURNAL!E:E,J102,JURNAL!L:L,$C102,JURNAL!C:C,"&gt;="&amp;$M$3,JURNAL!C:C,"&lt;="&amp;$N$3)</f>
        <v>0</v>
      </c>
      <c r="N102" s="73">
        <f t="shared" si="13"/>
        <v>0</v>
      </c>
      <c r="O102" s="230">
        <f t="shared" si="14"/>
        <v>0</v>
      </c>
      <c r="P102" s="16">
        <f t="shared" si="15"/>
        <v>310100</v>
      </c>
      <c r="Q102" s="16">
        <f t="shared" si="16"/>
        <v>120100</v>
      </c>
      <c r="R102" s="230">
        <f t="shared" si="17"/>
        <v>0</v>
      </c>
    </row>
    <row r="103" spans="2:18">
      <c r="B103" s="15">
        <f t="shared" si="11"/>
        <v>98</v>
      </c>
      <c r="C103" s="16">
        <f>IFERROR(VLOOKUP(DATA!G101,DATA!$G$4:$J$2149,1,FALSE),"")</f>
        <v>3083</v>
      </c>
      <c r="D103" s="16" t="str">
        <f>+IFERROR(VLOOKUP(C103,DATA!$G$4:$H$2000,2,FALSE),"")</f>
        <v xml:space="preserve">БЧГ ХХК </v>
      </c>
      <c r="E103" s="16">
        <v>120100</v>
      </c>
      <c r="G103" s="230">
        <f>+SUMIFS(JURNAL!G:G,JURNAL!E:E,E103,JURNAL!L:L,$C103,JURNAL!C:C,"&gt;="&amp;$M$3,JURNAL!C:C,"&lt;="&amp;$N$3)</f>
        <v>0</v>
      </c>
      <c r="H103" s="19">
        <f>+SUMIFS(JURNAL!H:H,JURNAL!E:E,E103,JURNAL!L:L,$C103,JURNAL!C:C,"&gt;="&amp;$M$3,JURNAL!C:C,"&lt;="&amp;$N$3)</f>
        <v>0</v>
      </c>
      <c r="I103" s="18">
        <f t="shared" si="12"/>
        <v>0</v>
      </c>
      <c r="J103" s="16">
        <v>310100</v>
      </c>
      <c r="L103" s="230">
        <f>+SUMIFS(JURNAL!G:G,JURNAL!E:E,J103,JURNAL!L:L,$C103,JURNAL!C:C,"&gt;="&amp;$M$3,JURNAL!C:C,"&lt;="&amp;$N$3)</f>
        <v>0</v>
      </c>
      <c r="M103" s="19">
        <f>+SUMIFS(JURNAL!H:H,JURNAL!E:E,J103,JURNAL!L:L,$C103,JURNAL!C:C,"&gt;="&amp;$M$3,JURNAL!C:C,"&lt;="&amp;$N$3)</f>
        <v>0</v>
      </c>
      <c r="N103" s="73">
        <f t="shared" si="13"/>
        <v>0</v>
      </c>
      <c r="O103" s="230">
        <f t="shared" si="14"/>
        <v>0</v>
      </c>
      <c r="P103" s="16">
        <f t="shared" si="15"/>
        <v>310100</v>
      </c>
      <c r="Q103" s="16">
        <f t="shared" si="16"/>
        <v>120100</v>
      </c>
      <c r="R103" s="230">
        <f t="shared" si="17"/>
        <v>0</v>
      </c>
    </row>
    <row r="104" spans="2:18">
      <c r="B104" s="15">
        <f t="shared" si="11"/>
        <v>99</v>
      </c>
      <c r="C104" s="16">
        <f>IFERROR(VLOOKUP(DATA!G102,DATA!$G$4:$J$2149,1,FALSE),"")</f>
        <v>3084</v>
      </c>
      <c r="D104" s="16" t="str">
        <f>+IFERROR(VLOOKUP(C104,DATA!$G$4:$H$2000,2,FALSE),"")</f>
        <v xml:space="preserve">ТОРГО ЗАГВАР </v>
      </c>
      <c r="E104" s="16">
        <v>120100</v>
      </c>
      <c r="G104" s="230">
        <f>+SUMIFS(JURNAL!G:G,JURNAL!E:E,E104,JURNAL!L:L,$C104,JURNAL!C:C,"&gt;="&amp;$M$3,JURNAL!C:C,"&lt;="&amp;$N$3)</f>
        <v>0</v>
      </c>
      <c r="H104" s="19">
        <f>+SUMIFS(JURNAL!H:H,JURNAL!E:E,E104,JURNAL!L:L,$C104,JURNAL!C:C,"&gt;="&amp;$M$3,JURNAL!C:C,"&lt;="&amp;$N$3)</f>
        <v>0</v>
      </c>
      <c r="I104" s="18">
        <f t="shared" si="12"/>
        <v>0</v>
      </c>
      <c r="J104" s="16">
        <v>310100</v>
      </c>
      <c r="L104" s="230">
        <f>+SUMIFS(JURNAL!G:G,JURNAL!E:E,J104,JURNAL!L:L,$C104,JURNAL!C:C,"&gt;="&amp;$M$3,JURNAL!C:C,"&lt;="&amp;$N$3)</f>
        <v>0</v>
      </c>
      <c r="M104" s="19">
        <f>+SUMIFS(JURNAL!H:H,JURNAL!E:E,J104,JURNAL!L:L,$C104,JURNAL!C:C,"&gt;="&amp;$M$3,JURNAL!C:C,"&lt;="&amp;$N$3)</f>
        <v>0</v>
      </c>
      <c r="N104" s="73">
        <f t="shared" si="13"/>
        <v>0</v>
      </c>
      <c r="O104" s="230">
        <f t="shared" si="14"/>
        <v>0</v>
      </c>
      <c r="P104" s="16">
        <f t="shared" si="15"/>
        <v>310100</v>
      </c>
      <c r="Q104" s="16">
        <f t="shared" si="16"/>
        <v>120100</v>
      </c>
      <c r="R104" s="230">
        <f t="shared" si="17"/>
        <v>0</v>
      </c>
    </row>
    <row r="105" spans="2:18">
      <c r="B105" s="15">
        <f t="shared" si="11"/>
        <v>100</v>
      </c>
      <c r="C105" s="16">
        <f>IFERROR(VLOOKUP(DATA!G103,DATA!$G$4:$J$2149,1,FALSE),"")</f>
        <v>3085</v>
      </c>
      <c r="D105" s="16" t="str">
        <f>+IFERROR(VLOOKUP(C105,DATA!$G$4:$H$2000,2,FALSE),"")</f>
        <v>УС ЭЛЕКТРО МОНТАЖ ХХК</v>
      </c>
      <c r="E105" s="16">
        <v>120100</v>
      </c>
      <c r="G105" s="230">
        <f>+SUMIFS(JURNAL!G:G,JURNAL!E:E,E105,JURNAL!L:L,$C105,JURNAL!C:C,"&gt;="&amp;$M$3,JURNAL!C:C,"&lt;="&amp;$N$3)</f>
        <v>0</v>
      </c>
      <c r="H105" s="19">
        <f>+SUMIFS(JURNAL!H:H,JURNAL!E:E,E105,JURNAL!L:L,$C105,JURNAL!C:C,"&gt;="&amp;$M$3,JURNAL!C:C,"&lt;="&amp;$N$3)</f>
        <v>0</v>
      </c>
      <c r="I105" s="18">
        <f t="shared" si="12"/>
        <v>0</v>
      </c>
      <c r="J105" s="16">
        <v>310100</v>
      </c>
      <c r="L105" s="230">
        <f>+SUMIFS(JURNAL!G:G,JURNAL!E:E,J105,JURNAL!L:L,$C105,JURNAL!C:C,"&gt;="&amp;$M$3,JURNAL!C:C,"&lt;="&amp;$N$3)</f>
        <v>0</v>
      </c>
      <c r="M105" s="19">
        <f>+SUMIFS(JURNAL!H:H,JURNAL!E:E,J105,JURNAL!L:L,$C105,JURNAL!C:C,"&gt;="&amp;$M$3,JURNAL!C:C,"&lt;="&amp;$N$3)</f>
        <v>0</v>
      </c>
      <c r="N105" s="73">
        <f t="shared" si="13"/>
        <v>0</v>
      </c>
      <c r="O105" s="230">
        <f t="shared" si="14"/>
        <v>0</v>
      </c>
      <c r="P105" s="16">
        <f t="shared" si="15"/>
        <v>310100</v>
      </c>
      <c r="Q105" s="16">
        <f t="shared" si="16"/>
        <v>120100</v>
      </c>
      <c r="R105" s="230">
        <f t="shared" si="17"/>
        <v>0</v>
      </c>
    </row>
    <row r="106" spans="2:18">
      <c r="B106" s="15">
        <f t="shared" si="11"/>
        <v>101</v>
      </c>
      <c r="C106" s="16">
        <f>IFERROR(VLOOKUP(DATA!G104,DATA!$G$4:$J$2149,1,FALSE),"")</f>
        <v>3086</v>
      </c>
      <c r="D106" s="16" t="str">
        <f>+IFERROR(VLOOKUP(C106,DATA!$G$4:$H$2000,2,FALSE),"")</f>
        <v xml:space="preserve">УНИВЕРСАЛ АВТО КОМПЛЕКС ХХК </v>
      </c>
      <c r="E106" s="16">
        <v>120100</v>
      </c>
      <c r="G106" s="230">
        <f>+SUMIFS(JURNAL!G:G,JURNAL!E:E,E106,JURNAL!L:L,$C106,JURNAL!C:C,"&gt;="&amp;$M$3,JURNAL!C:C,"&lt;="&amp;$N$3)</f>
        <v>0</v>
      </c>
      <c r="H106" s="19">
        <f>+SUMIFS(JURNAL!H:H,JURNAL!E:E,E106,JURNAL!L:L,$C106,JURNAL!C:C,"&gt;="&amp;$M$3,JURNAL!C:C,"&lt;="&amp;$N$3)</f>
        <v>0</v>
      </c>
      <c r="I106" s="18">
        <f t="shared" si="12"/>
        <v>0</v>
      </c>
      <c r="J106" s="16">
        <v>310100</v>
      </c>
      <c r="L106" s="230">
        <f>+SUMIFS(JURNAL!G:G,JURNAL!E:E,J106,JURNAL!L:L,$C106,JURNAL!C:C,"&gt;="&amp;$M$3,JURNAL!C:C,"&lt;="&amp;$N$3)</f>
        <v>0</v>
      </c>
      <c r="M106" s="19">
        <f>+SUMIFS(JURNAL!H:H,JURNAL!E:E,J106,JURNAL!L:L,$C106,JURNAL!C:C,"&gt;="&amp;$M$3,JURNAL!C:C,"&lt;="&amp;$N$3)</f>
        <v>0</v>
      </c>
      <c r="N106" s="73">
        <f t="shared" si="13"/>
        <v>0</v>
      </c>
      <c r="O106" s="230">
        <f t="shared" si="14"/>
        <v>0</v>
      </c>
      <c r="P106" s="16">
        <f t="shared" si="15"/>
        <v>310100</v>
      </c>
      <c r="Q106" s="16">
        <f t="shared" si="16"/>
        <v>120100</v>
      </c>
      <c r="R106" s="230">
        <f t="shared" si="17"/>
        <v>0</v>
      </c>
    </row>
    <row r="107" spans="2:18">
      <c r="B107" s="15">
        <f t="shared" si="11"/>
        <v>102</v>
      </c>
      <c r="C107" s="16">
        <f>IFERROR(VLOOKUP(DATA!G105,DATA!$G$4:$J$2149,1,FALSE),"")</f>
        <v>3087</v>
      </c>
      <c r="D107" s="16" t="str">
        <f>+IFERROR(VLOOKUP(C107,DATA!$G$4:$H$2000,2,FALSE),"")</f>
        <v xml:space="preserve">ОРГИЛ ХАУС ХХК </v>
      </c>
      <c r="E107" s="16">
        <v>120100</v>
      </c>
      <c r="G107" s="230">
        <f>+SUMIFS(JURNAL!G:G,JURNAL!E:E,E107,JURNAL!L:L,$C107,JURNAL!C:C,"&gt;="&amp;$M$3,JURNAL!C:C,"&lt;="&amp;$N$3)</f>
        <v>0</v>
      </c>
      <c r="H107" s="19">
        <f>+SUMIFS(JURNAL!H:H,JURNAL!E:E,E107,JURNAL!L:L,$C107,JURNAL!C:C,"&gt;="&amp;$M$3,JURNAL!C:C,"&lt;="&amp;$N$3)</f>
        <v>0</v>
      </c>
      <c r="I107" s="18">
        <f t="shared" si="12"/>
        <v>0</v>
      </c>
      <c r="J107" s="16">
        <v>310100</v>
      </c>
      <c r="L107" s="230">
        <f>+SUMIFS(JURNAL!G:G,JURNAL!E:E,J107,JURNAL!L:L,$C107,JURNAL!C:C,"&gt;="&amp;$M$3,JURNAL!C:C,"&lt;="&amp;$N$3)</f>
        <v>0</v>
      </c>
      <c r="M107" s="19">
        <f>+SUMIFS(JURNAL!H:H,JURNAL!E:E,J107,JURNAL!L:L,$C107,JURNAL!C:C,"&gt;="&amp;$M$3,JURNAL!C:C,"&lt;="&amp;$N$3)</f>
        <v>0</v>
      </c>
      <c r="N107" s="73">
        <f t="shared" si="13"/>
        <v>0</v>
      </c>
      <c r="O107" s="230">
        <f t="shared" si="14"/>
        <v>0</v>
      </c>
      <c r="P107" s="16">
        <f t="shared" si="15"/>
        <v>310100</v>
      </c>
      <c r="Q107" s="16">
        <f t="shared" si="16"/>
        <v>120100</v>
      </c>
      <c r="R107" s="230">
        <f t="shared" si="17"/>
        <v>0</v>
      </c>
    </row>
    <row r="108" spans="2:18">
      <c r="B108" s="15">
        <f t="shared" si="11"/>
        <v>103</v>
      </c>
      <c r="C108" s="16">
        <f>IFERROR(VLOOKUP(DATA!G106,DATA!$G$4:$J$2149,1,FALSE),"")</f>
        <v>3088</v>
      </c>
      <c r="D108" s="16" t="str">
        <f>+IFERROR(VLOOKUP(C108,DATA!$G$4:$H$2000,2,FALSE),"")</f>
        <v xml:space="preserve">ОГТОРГУЙН ХУДАГ ХХК </v>
      </c>
      <c r="E108" s="16">
        <v>120100</v>
      </c>
      <c r="G108" s="230">
        <f>+SUMIFS(JURNAL!G:G,JURNAL!E:E,E108,JURNAL!L:L,$C108,JURNAL!C:C,"&gt;="&amp;$M$3,JURNAL!C:C,"&lt;="&amp;$N$3)</f>
        <v>0</v>
      </c>
      <c r="H108" s="19">
        <f>+SUMIFS(JURNAL!H:H,JURNAL!E:E,E108,JURNAL!L:L,$C108,JURNAL!C:C,"&gt;="&amp;$M$3,JURNAL!C:C,"&lt;="&amp;$N$3)</f>
        <v>0</v>
      </c>
      <c r="I108" s="18">
        <f t="shared" si="12"/>
        <v>0</v>
      </c>
      <c r="J108" s="16">
        <v>310100</v>
      </c>
      <c r="L108" s="230">
        <f>+SUMIFS(JURNAL!G:G,JURNAL!E:E,J108,JURNAL!L:L,$C108,JURNAL!C:C,"&gt;="&amp;$M$3,JURNAL!C:C,"&lt;="&amp;$N$3)</f>
        <v>0</v>
      </c>
      <c r="M108" s="19">
        <f>+SUMIFS(JURNAL!H:H,JURNAL!E:E,J108,JURNAL!L:L,$C108,JURNAL!C:C,"&gt;="&amp;$M$3,JURNAL!C:C,"&lt;="&amp;$N$3)</f>
        <v>0</v>
      </c>
      <c r="N108" s="73">
        <f t="shared" si="13"/>
        <v>0</v>
      </c>
      <c r="O108" s="230">
        <f t="shared" si="14"/>
        <v>0</v>
      </c>
      <c r="P108" s="16">
        <f t="shared" si="15"/>
        <v>310100</v>
      </c>
      <c r="Q108" s="16">
        <f t="shared" si="16"/>
        <v>120100</v>
      </c>
      <c r="R108" s="230">
        <f t="shared" si="17"/>
        <v>0</v>
      </c>
    </row>
    <row r="109" spans="2:18">
      <c r="B109" s="15">
        <f t="shared" si="11"/>
        <v>104</v>
      </c>
      <c r="C109" s="16">
        <f>IFERROR(VLOOKUP(DATA!G107,DATA!$G$4:$J$2149,1,FALSE),"")</f>
        <v>3089</v>
      </c>
      <c r="D109" s="16" t="str">
        <f>+IFERROR(VLOOKUP(C109,DATA!$G$4:$H$2000,2,FALSE),"")</f>
        <v>ГУУЛИЙН ДӨШ ХХК</v>
      </c>
      <c r="E109" s="16">
        <v>120100</v>
      </c>
      <c r="G109" s="230">
        <f>+SUMIFS(JURNAL!G:G,JURNAL!E:E,E109,JURNAL!L:L,$C109,JURNAL!C:C,"&gt;="&amp;$M$3,JURNAL!C:C,"&lt;="&amp;$N$3)</f>
        <v>0</v>
      </c>
      <c r="H109" s="19">
        <f>+SUMIFS(JURNAL!H:H,JURNAL!E:E,E109,JURNAL!L:L,$C109,JURNAL!C:C,"&gt;="&amp;$M$3,JURNAL!C:C,"&lt;="&amp;$N$3)</f>
        <v>0</v>
      </c>
      <c r="I109" s="18">
        <f t="shared" si="12"/>
        <v>0</v>
      </c>
      <c r="J109" s="16">
        <v>310100</v>
      </c>
      <c r="L109" s="230">
        <f>+SUMIFS(JURNAL!G:G,JURNAL!E:E,J109,JURNAL!L:L,$C109,JURNAL!C:C,"&gt;="&amp;$M$3,JURNAL!C:C,"&lt;="&amp;$N$3)</f>
        <v>0</v>
      </c>
      <c r="M109" s="19">
        <f>+SUMIFS(JURNAL!H:H,JURNAL!E:E,J109,JURNAL!L:L,$C109,JURNAL!C:C,"&gt;="&amp;$M$3,JURNAL!C:C,"&lt;="&amp;$N$3)</f>
        <v>0</v>
      </c>
      <c r="N109" s="73">
        <f t="shared" si="13"/>
        <v>0</v>
      </c>
      <c r="O109" s="230">
        <f t="shared" si="14"/>
        <v>0</v>
      </c>
      <c r="P109" s="16">
        <f t="shared" si="15"/>
        <v>310100</v>
      </c>
      <c r="Q109" s="16">
        <f t="shared" si="16"/>
        <v>120100</v>
      </c>
      <c r="R109" s="230">
        <f t="shared" si="17"/>
        <v>0</v>
      </c>
    </row>
    <row r="110" spans="2:18">
      <c r="B110" s="15">
        <f t="shared" si="11"/>
        <v>105</v>
      </c>
      <c r="C110" s="16">
        <f>IFERROR(VLOOKUP(DATA!G108,DATA!$G$4:$J$2149,1,FALSE),"")</f>
        <v>3090</v>
      </c>
      <c r="D110" s="16" t="str">
        <f>+IFERROR(VLOOKUP(C110,DATA!$G$4:$H$2000,2,FALSE),"")</f>
        <v>ЭНХ ЭРХЭС ХХК</v>
      </c>
      <c r="E110" s="16">
        <v>120100</v>
      </c>
      <c r="G110" s="230">
        <f>+SUMIFS(JURNAL!G:G,JURNAL!E:E,E110,JURNAL!L:L,$C110,JURNAL!C:C,"&gt;="&amp;$M$3,JURNAL!C:C,"&lt;="&amp;$N$3)</f>
        <v>0</v>
      </c>
      <c r="H110" s="19">
        <f>+SUMIFS(JURNAL!H:H,JURNAL!E:E,E110,JURNAL!L:L,$C110,JURNAL!C:C,"&gt;="&amp;$M$3,JURNAL!C:C,"&lt;="&amp;$N$3)</f>
        <v>0</v>
      </c>
      <c r="I110" s="18">
        <f t="shared" si="12"/>
        <v>0</v>
      </c>
      <c r="J110" s="16">
        <v>310100</v>
      </c>
      <c r="L110" s="230">
        <f>+SUMIFS(JURNAL!G:G,JURNAL!E:E,J110,JURNAL!L:L,$C110,JURNAL!C:C,"&gt;="&amp;$M$3,JURNAL!C:C,"&lt;="&amp;$N$3)</f>
        <v>0</v>
      </c>
      <c r="M110" s="19">
        <f>+SUMIFS(JURNAL!H:H,JURNAL!E:E,J110,JURNAL!L:L,$C110,JURNAL!C:C,"&gt;="&amp;$M$3,JURNAL!C:C,"&lt;="&amp;$N$3)</f>
        <v>0</v>
      </c>
      <c r="N110" s="73">
        <f t="shared" si="13"/>
        <v>0</v>
      </c>
      <c r="O110" s="230">
        <f t="shared" si="14"/>
        <v>0</v>
      </c>
      <c r="P110" s="16">
        <f t="shared" si="15"/>
        <v>310100</v>
      </c>
      <c r="Q110" s="16">
        <f t="shared" si="16"/>
        <v>120100</v>
      </c>
      <c r="R110" s="230">
        <f t="shared" si="17"/>
        <v>0</v>
      </c>
    </row>
    <row r="111" spans="2:18">
      <c r="B111" s="15">
        <f t="shared" si="11"/>
        <v>106</v>
      </c>
      <c r="C111" s="16">
        <f>IFERROR(VLOOKUP(DATA!G109,DATA!$G$4:$J$2149,1,FALSE),"")</f>
        <v>3091</v>
      </c>
      <c r="D111" s="16" t="str">
        <f>+IFERROR(VLOOKUP(C111,DATA!$G$4:$H$2000,2,FALSE),"")</f>
        <v xml:space="preserve">ДЭРСТЭЙ ТАВАН САЛАА ХХК </v>
      </c>
      <c r="E111" s="16">
        <v>120100</v>
      </c>
      <c r="G111" s="230">
        <f>+SUMIFS(JURNAL!G:G,JURNAL!E:E,E111,JURNAL!L:L,$C111,JURNAL!C:C,"&gt;="&amp;$M$3,JURNAL!C:C,"&lt;="&amp;$N$3)</f>
        <v>0</v>
      </c>
      <c r="H111" s="19">
        <f>+SUMIFS(JURNAL!H:H,JURNAL!E:E,E111,JURNAL!L:L,$C111,JURNAL!C:C,"&gt;="&amp;$M$3,JURNAL!C:C,"&lt;="&amp;$N$3)</f>
        <v>0</v>
      </c>
      <c r="I111" s="18">
        <f t="shared" si="12"/>
        <v>0</v>
      </c>
      <c r="J111" s="16">
        <v>310100</v>
      </c>
      <c r="L111" s="230">
        <f>+SUMIFS(JURNAL!G:G,JURNAL!E:E,J111,JURNAL!L:L,$C111,JURNAL!C:C,"&gt;="&amp;$M$3,JURNAL!C:C,"&lt;="&amp;$N$3)</f>
        <v>0</v>
      </c>
      <c r="M111" s="19">
        <f>+SUMIFS(JURNAL!H:H,JURNAL!E:E,J111,JURNAL!L:L,$C111,JURNAL!C:C,"&gt;="&amp;$M$3,JURNAL!C:C,"&lt;="&amp;$N$3)</f>
        <v>0</v>
      </c>
      <c r="N111" s="73">
        <f t="shared" si="13"/>
        <v>0</v>
      </c>
      <c r="O111" s="230">
        <f t="shared" si="14"/>
        <v>0</v>
      </c>
      <c r="P111" s="16">
        <f t="shared" si="15"/>
        <v>310100</v>
      </c>
      <c r="Q111" s="16">
        <f t="shared" si="16"/>
        <v>120100</v>
      </c>
      <c r="R111" s="230">
        <f t="shared" si="17"/>
        <v>0</v>
      </c>
    </row>
    <row r="112" spans="2:18">
      <c r="B112" s="15">
        <f t="shared" si="11"/>
        <v>107</v>
      </c>
      <c r="C112" s="16">
        <f>IFERROR(VLOOKUP(DATA!G110,DATA!$G$4:$J$2149,1,FALSE),"")</f>
        <v>3092</v>
      </c>
      <c r="D112" s="16" t="str">
        <f>+IFERROR(VLOOKUP(C112,DATA!$G$4:$H$2000,2,FALSE),"")</f>
        <v>МӨНХ ВҮҮД ХХК</v>
      </c>
      <c r="E112" s="16">
        <v>120100</v>
      </c>
      <c r="G112" s="230">
        <f>+SUMIFS(JURNAL!G:G,JURNAL!E:E,E112,JURNAL!L:L,$C112,JURNAL!C:C,"&gt;="&amp;$M$3,JURNAL!C:C,"&lt;="&amp;$N$3)</f>
        <v>0</v>
      </c>
      <c r="H112" s="19">
        <f>+SUMIFS(JURNAL!H:H,JURNAL!E:E,E112,JURNAL!L:L,$C112,JURNAL!C:C,"&gt;="&amp;$M$3,JURNAL!C:C,"&lt;="&amp;$N$3)</f>
        <v>0</v>
      </c>
      <c r="I112" s="18">
        <f t="shared" si="12"/>
        <v>0</v>
      </c>
      <c r="J112" s="16">
        <v>310100</v>
      </c>
      <c r="L112" s="230">
        <f>+SUMIFS(JURNAL!G:G,JURNAL!E:E,J112,JURNAL!L:L,$C112,JURNAL!C:C,"&gt;="&amp;$M$3,JURNAL!C:C,"&lt;="&amp;$N$3)</f>
        <v>0</v>
      </c>
      <c r="M112" s="19">
        <f>+SUMIFS(JURNAL!H:H,JURNAL!E:E,J112,JURNAL!L:L,$C112,JURNAL!C:C,"&gt;="&amp;$M$3,JURNAL!C:C,"&lt;="&amp;$N$3)</f>
        <v>0</v>
      </c>
      <c r="N112" s="73">
        <f t="shared" si="13"/>
        <v>0</v>
      </c>
      <c r="O112" s="230">
        <f t="shared" si="14"/>
        <v>0</v>
      </c>
      <c r="P112" s="16">
        <f t="shared" si="15"/>
        <v>310100</v>
      </c>
      <c r="Q112" s="16">
        <f t="shared" si="16"/>
        <v>120100</v>
      </c>
      <c r="R112" s="230">
        <f t="shared" si="17"/>
        <v>0</v>
      </c>
    </row>
    <row r="113" spans="2:18">
      <c r="B113" s="15">
        <f t="shared" si="11"/>
        <v>108</v>
      </c>
      <c r="C113" s="16">
        <f>IFERROR(VLOOKUP(DATA!G111,DATA!$G$4:$J$2149,1,FALSE),"")</f>
        <v>3093</v>
      </c>
      <c r="D113" s="16" t="str">
        <f>+IFERROR(VLOOKUP(C113,DATA!$G$4:$H$2000,2,FALSE),"")</f>
        <v xml:space="preserve">НЬЮ ЭРА ТУР МОНГОЛИА ХХК </v>
      </c>
      <c r="E113" s="16">
        <v>120100</v>
      </c>
      <c r="G113" s="230">
        <f>+SUMIFS(JURNAL!G:G,JURNAL!E:E,E113,JURNAL!L:L,$C113,JURNAL!C:C,"&gt;="&amp;$M$3,JURNAL!C:C,"&lt;="&amp;$N$3)</f>
        <v>0</v>
      </c>
      <c r="H113" s="19">
        <f>+SUMIFS(JURNAL!H:H,JURNAL!E:E,E113,JURNAL!L:L,$C113,JURNAL!C:C,"&gt;="&amp;$M$3,JURNAL!C:C,"&lt;="&amp;$N$3)</f>
        <v>0</v>
      </c>
      <c r="I113" s="18">
        <f t="shared" si="12"/>
        <v>0</v>
      </c>
      <c r="J113" s="16">
        <v>310100</v>
      </c>
      <c r="L113" s="230">
        <f>+SUMIFS(JURNAL!G:G,JURNAL!E:E,J113,JURNAL!L:L,$C113,JURNAL!C:C,"&gt;="&amp;$M$3,JURNAL!C:C,"&lt;="&amp;$N$3)</f>
        <v>0</v>
      </c>
      <c r="M113" s="19">
        <f>+SUMIFS(JURNAL!H:H,JURNAL!E:E,J113,JURNAL!L:L,$C113,JURNAL!C:C,"&gt;="&amp;$M$3,JURNAL!C:C,"&lt;="&amp;$N$3)</f>
        <v>0</v>
      </c>
      <c r="N113" s="73">
        <f t="shared" si="13"/>
        <v>0</v>
      </c>
      <c r="O113" s="230">
        <f t="shared" si="14"/>
        <v>0</v>
      </c>
      <c r="P113" s="16">
        <f t="shared" si="15"/>
        <v>310100</v>
      </c>
      <c r="Q113" s="16">
        <f t="shared" si="16"/>
        <v>120100</v>
      </c>
      <c r="R113" s="230">
        <f t="shared" si="17"/>
        <v>0</v>
      </c>
    </row>
    <row r="114" spans="2:18">
      <c r="B114" s="15">
        <f t="shared" si="11"/>
        <v>109</v>
      </c>
      <c r="C114" s="16">
        <f>IFERROR(VLOOKUP(DATA!G112,DATA!$G$4:$J$2149,1,FALSE),"")</f>
        <v>3094</v>
      </c>
      <c r="D114" s="16" t="str">
        <f>+IFERROR(VLOOKUP(C114,DATA!$G$4:$H$2000,2,FALSE),"")</f>
        <v xml:space="preserve">ТОД УНДАРГА ХХК </v>
      </c>
      <c r="E114" s="16">
        <v>120100</v>
      </c>
      <c r="G114" s="230">
        <f>+SUMIFS(JURNAL!G:G,JURNAL!E:E,E114,JURNAL!L:L,$C114,JURNAL!C:C,"&gt;="&amp;$M$3,JURNAL!C:C,"&lt;="&amp;$N$3)</f>
        <v>0</v>
      </c>
      <c r="H114" s="19">
        <f>+SUMIFS(JURNAL!H:H,JURNAL!E:E,E114,JURNAL!L:L,$C114,JURNAL!C:C,"&gt;="&amp;$M$3,JURNAL!C:C,"&lt;="&amp;$N$3)</f>
        <v>0</v>
      </c>
      <c r="I114" s="18">
        <f t="shared" si="12"/>
        <v>0</v>
      </c>
      <c r="J114" s="16">
        <v>310100</v>
      </c>
      <c r="L114" s="230">
        <f>+SUMIFS(JURNAL!G:G,JURNAL!E:E,J114,JURNAL!L:L,$C114,JURNAL!C:C,"&gt;="&amp;$M$3,JURNAL!C:C,"&lt;="&amp;$N$3)</f>
        <v>0</v>
      </c>
      <c r="M114" s="19">
        <f>+SUMIFS(JURNAL!H:H,JURNAL!E:E,J114,JURNAL!L:L,$C114,JURNAL!C:C,"&gt;="&amp;$M$3,JURNAL!C:C,"&lt;="&amp;$N$3)</f>
        <v>0</v>
      </c>
      <c r="N114" s="73">
        <f t="shared" si="13"/>
        <v>0</v>
      </c>
      <c r="O114" s="230">
        <f t="shared" si="14"/>
        <v>0</v>
      </c>
      <c r="P114" s="16">
        <f t="shared" si="15"/>
        <v>310100</v>
      </c>
      <c r="Q114" s="16">
        <f t="shared" si="16"/>
        <v>120100</v>
      </c>
      <c r="R114" s="230">
        <f t="shared" si="17"/>
        <v>0</v>
      </c>
    </row>
    <row r="115" spans="2:18">
      <c r="B115" s="15">
        <f t="shared" si="11"/>
        <v>110</v>
      </c>
      <c r="C115" s="16">
        <f>IFERROR(VLOOKUP(DATA!G113,DATA!$G$4:$J$2149,1,FALSE),"")</f>
        <v>3095</v>
      </c>
      <c r="D115" s="16" t="str">
        <f>+IFERROR(VLOOKUP(C115,DATA!$G$4:$H$2000,2,FALSE),"")</f>
        <v xml:space="preserve">БАТС ӨРГӨӨ ХХК </v>
      </c>
      <c r="E115" s="16">
        <v>120100</v>
      </c>
      <c r="G115" s="230">
        <f>+SUMIFS(JURNAL!G:G,JURNAL!E:E,E115,JURNAL!L:L,$C115,JURNAL!C:C,"&gt;="&amp;$M$3,JURNAL!C:C,"&lt;="&amp;$N$3)</f>
        <v>0</v>
      </c>
      <c r="H115" s="19">
        <f>+SUMIFS(JURNAL!H:H,JURNAL!E:E,E115,JURNAL!L:L,$C115,JURNAL!C:C,"&gt;="&amp;$M$3,JURNAL!C:C,"&lt;="&amp;$N$3)</f>
        <v>0</v>
      </c>
      <c r="I115" s="18">
        <f t="shared" si="12"/>
        <v>0</v>
      </c>
      <c r="J115" s="16">
        <v>310100</v>
      </c>
      <c r="L115" s="230">
        <f>+SUMIFS(JURNAL!G:G,JURNAL!E:E,J115,JURNAL!L:L,$C115,JURNAL!C:C,"&gt;="&amp;$M$3,JURNAL!C:C,"&lt;="&amp;$N$3)</f>
        <v>0</v>
      </c>
      <c r="M115" s="19">
        <f>+SUMIFS(JURNAL!H:H,JURNAL!E:E,J115,JURNAL!L:L,$C115,JURNAL!C:C,"&gt;="&amp;$M$3,JURNAL!C:C,"&lt;="&amp;$N$3)</f>
        <v>0</v>
      </c>
      <c r="N115" s="73">
        <f t="shared" si="13"/>
        <v>0</v>
      </c>
      <c r="O115" s="230">
        <f t="shared" si="14"/>
        <v>0</v>
      </c>
      <c r="P115" s="16">
        <f t="shared" si="15"/>
        <v>310100</v>
      </c>
      <c r="Q115" s="16">
        <f t="shared" si="16"/>
        <v>120100</v>
      </c>
      <c r="R115" s="230">
        <f t="shared" si="17"/>
        <v>0</v>
      </c>
    </row>
    <row r="116" spans="2:18">
      <c r="B116" s="15">
        <f t="shared" si="11"/>
        <v>111</v>
      </c>
      <c r="C116" s="16">
        <f>IFERROR(VLOOKUP(DATA!G114,DATA!$G$4:$J$2149,1,FALSE),"")</f>
        <v>3096</v>
      </c>
      <c r="D116" s="16" t="str">
        <f>+IFERROR(VLOOKUP(C116,DATA!$G$4:$H$2000,2,FALSE),"")</f>
        <v>ЭРДЭНЭДРИЙЛИНГ ХХК</v>
      </c>
      <c r="E116" s="16">
        <v>120100</v>
      </c>
      <c r="G116" s="230">
        <f>+SUMIFS(JURNAL!G:G,JURNAL!E:E,E116,JURNAL!L:L,$C116,JURNAL!C:C,"&gt;="&amp;$M$3,JURNAL!C:C,"&lt;="&amp;$N$3)</f>
        <v>0</v>
      </c>
      <c r="H116" s="19">
        <f>+SUMIFS(JURNAL!H:H,JURNAL!E:E,E116,JURNAL!L:L,$C116,JURNAL!C:C,"&gt;="&amp;$M$3,JURNAL!C:C,"&lt;="&amp;$N$3)</f>
        <v>0</v>
      </c>
      <c r="I116" s="18">
        <f t="shared" si="12"/>
        <v>0</v>
      </c>
      <c r="J116" s="16">
        <v>310100</v>
      </c>
      <c r="L116" s="230">
        <f>+SUMIFS(JURNAL!G:G,JURNAL!E:E,J116,JURNAL!L:L,$C116,JURNAL!C:C,"&gt;="&amp;$M$3,JURNAL!C:C,"&lt;="&amp;$N$3)</f>
        <v>0</v>
      </c>
      <c r="M116" s="19">
        <f>+SUMIFS(JURNAL!H:H,JURNAL!E:E,J116,JURNAL!L:L,$C116,JURNAL!C:C,"&gt;="&amp;$M$3,JURNAL!C:C,"&lt;="&amp;$N$3)</f>
        <v>0</v>
      </c>
      <c r="N116" s="73">
        <f t="shared" si="13"/>
        <v>0</v>
      </c>
      <c r="O116" s="230">
        <f t="shared" si="14"/>
        <v>0</v>
      </c>
      <c r="P116" s="16">
        <f t="shared" si="15"/>
        <v>310100</v>
      </c>
      <c r="Q116" s="16">
        <f t="shared" si="16"/>
        <v>120100</v>
      </c>
      <c r="R116" s="230">
        <f t="shared" si="17"/>
        <v>0</v>
      </c>
    </row>
    <row r="117" spans="2:18">
      <c r="B117" s="15">
        <f t="shared" si="11"/>
        <v>112</v>
      </c>
      <c r="C117" s="16">
        <f>IFERROR(VLOOKUP(DATA!G115,DATA!$G$4:$J$2149,1,FALSE),"")</f>
        <v>1001</v>
      </c>
      <c r="D117" s="16" t="str">
        <f>+IFERROR(VLOOKUP(C117,DATA!$G$4:$H$2000,2,FALSE),"")</f>
        <v xml:space="preserve">Энхбат </v>
      </c>
      <c r="E117" s="16">
        <v>120100</v>
      </c>
      <c r="G117" s="230">
        <f>+SUMIFS(JURNAL!G:G,JURNAL!E:E,E117,JURNAL!L:L,$C117,JURNAL!C:C,"&gt;="&amp;$M$3,JURNAL!C:C,"&lt;="&amp;$N$3)</f>
        <v>0</v>
      </c>
      <c r="H117" s="19">
        <f>+SUMIFS(JURNAL!H:H,JURNAL!E:E,E117,JURNAL!L:L,$C117,JURNAL!C:C,"&gt;="&amp;$M$3,JURNAL!C:C,"&lt;="&amp;$N$3)</f>
        <v>0</v>
      </c>
      <c r="I117" s="18">
        <f t="shared" si="12"/>
        <v>0</v>
      </c>
      <c r="J117" s="16">
        <v>310100</v>
      </c>
      <c r="L117" s="230">
        <f>+SUMIFS(JURNAL!G:G,JURNAL!E:E,J117,JURNAL!L:L,$C117,JURNAL!C:C,"&gt;="&amp;$M$3,JURNAL!C:C,"&lt;="&amp;$N$3)</f>
        <v>0</v>
      </c>
      <c r="M117" s="19">
        <f>+SUMIFS(JURNAL!H:H,JURNAL!E:E,J117,JURNAL!L:L,$C117,JURNAL!C:C,"&gt;="&amp;$M$3,JURNAL!C:C,"&lt;="&amp;$N$3)</f>
        <v>0</v>
      </c>
      <c r="N117" s="73">
        <f t="shared" si="13"/>
        <v>0</v>
      </c>
      <c r="O117" s="230">
        <f t="shared" si="14"/>
        <v>0</v>
      </c>
      <c r="P117" s="16">
        <f t="shared" si="15"/>
        <v>310100</v>
      </c>
      <c r="Q117" s="16">
        <f t="shared" si="16"/>
        <v>120100</v>
      </c>
      <c r="R117" s="230">
        <f t="shared" si="17"/>
        <v>0</v>
      </c>
    </row>
    <row r="118" spans="2:18">
      <c r="B118" s="15">
        <f t="shared" si="11"/>
        <v>113</v>
      </c>
      <c r="C118" s="16">
        <f>IFERROR(VLOOKUP(DATA!G116,DATA!$G$4:$J$2149,1,FALSE),"")</f>
        <v>1002</v>
      </c>
      <c r="D118" s="16" t="str">
        <f>+IFERROR(VLOOKUP(C118,DATA!$G$4:$H$2000,2,FALSE),"")</f>
        <v>Бурмаа</v>
      </c>
      <c r="E118" s="16">
        <v>120100</v>
      </c>
      <c r="G118" s="230">
        <f>+SUMIFS(JURNAL!G:G,JURNAL!E:E,E118,JURNAL!L:L,$C118,JURNAL!C:C,"&gt;="&amp;$M$3,JURNAL!C:C,"&lt;="&amp;$N$3)</f>
        <v>0</v>
      </c>
      <c r="H118" s="19">
        <f>+SUMIFS(JURNAL!H:H,JURNAL!E:E,E118,JURNAL!L:L,$C118,JURNAL!C:C,"&gt;="&amp;$M$3,JURNAL!C:C,"&lt;="&amp;$N$3)</f>
        <v>0</v>
      </c>
      <c r="I118" s="18">
        <f t="shared" si="12"/>
        <v>0</v>
      </c>
      <c r="J118" s="16">
        <v>310100</v>
      </c>
      <c r="L118" s="230">
        <f>+SUMIFS(JURNAL!G:G,JURNAL!E:E,J118,JURNAL!L:L,$C118,JURNAL!C:C,"&gt;="&amp;$M$3,JURNAL!C:C,"&lt;="&amp;$N$3)</f>
        <v>0</v>
      </c>
      <c r="M118" s="19">
        <f>+SUMIFS(JURNAL!H:H,JURNAL!E:E,J118,JURNAL!L:L,$C118,JURNAL!C:C,"&gt;="&amp;$M$3,JURNAL!C:C,"&lt;="&amp;$N$3)</f>
        <v>0</v>
      </c>
      <c r="N118" s="73">
        <f t="shared" si="13"/>
        <v>0</v>
      </c>
      <c r="O118" s="230">
        <f t="shared" si="14"/>
        <v>0</v>
      </c>
      <c r="P118" s="16">
        <f t="shared" si="15"/>
        <v>310100</v>
      </c>
      <c r="Q118" s="16">
        <f t="shared" si="16"/>
        <v>120100</v>
      </c>
      <c r="R118" s="230">
        <f t="shared" si="17"/>
        <v>0</v>
      </c>
    </row>
    <row r="119" spans="2:18">
      <c r="B119" s="15">
        <f t="shared" si="11"/>
        <v>114</v>
      </c>
      <c r="C119" s="16">
        <f>IFERROR(VLOOKUP(DATA!G117,DATA!$G$4:$J$2149,1,FALSE),"")</f>
        <v>1003</v>
      </c>
      <c r="D119" s="16" t="str">
        <f>+IFERROR(VLOOKUP(C119,DATA!$G$4:$H$2000,2,FALSE),"")</f>
        <v>Бахдамдэмбэрэл</v>
      </c>
      <c r="E119" s="16">
        <v>120100</v>
      </c>
      <c r="G119" s="230">
        <f>+SUMIFS(JURNAL!G:G,JURNAL!E:E,E119,JURNAL!L:L,$C119,JURNAL!C:C,"&gt;="&amp;$M$3,JURNAL!C:C,"&lt;="&amp;$N$3)</f>
        <v>0</v>
      </c>
      <c r="H119" s="19">
        <f>+SUMIFS(JURNAL!H:H,JURNAL!E:E,E119,JURNAL!L:L,$C119,JURNAL!C:C,"&gt;="&amp;$M$3,JURNAL!C:C,"&lt;="&amp;$N$3)</f>
        <v>0</v>
      </c>
      <c r="I119" s="18">
        <f t="shared" si="12"/>
        <v>0</v>
      </c>
      <c r="J119" s="16">
        <v>310100</v>
      </c>
      <c r="L119" s="230">
        <f>+SUMIFS(JURNAL!G:G,JURNAL!E:E,J119,JURNAL!L:L,$C119,JURNAL!C:C,"&gt;="&amp;$M$3,JURNAL!C:C,"&lt;="&amp;$N$3)</f>
        <v>0</v>
      </c>
      <c r="M119" s="19">
        <f>+SUMIFS(JURNAL!H:H,JURNAL!E:E,J119,JURNAL!L:L,$C119,JURNAL!C:C,"&gt;="&amp;$M$3,JURNAL!C:C,"&lt;="&amp;$N$3)</f>
        <v>0</v>
      </c>
      <c r="N119" s="73">
        <f t="shared" si="13"/>
        <v>0</v>
      </c>
      <c r="O119" s="230">
        <f t="shared" si="14"/>
        <v>0</v>
      </c>
      <c r="P119" s="16">
        <f t="shared" si="15"/>
        <v>310100</v>
      </c>
      <c r="Q119" s="16">
        <f t="shared" si="16"/>
        <v>120100</v>
      </c>
      <c r="R119" s="230">
        <f t="shared" si="17"/>
        <v>0</v>
      </c>
    </row>
    <row r="120" spans="2:18">
      <c r="B120" s="15">
        <f t="shared" si="11"/>
        <v>115</v>
      </c>
      <c r="C120" s="16">
        <f>IFERROR(VLOOKUP(DATA!G118,DATA!$G$4:$J$2149,1,FALSE),"")</f>
        <v>1004</v>
      </c>
      <c r="D120" s="16" t="str">
        <f>+IFERROR(VLOOKUP(C120,DATA!$G$4:$H$2000,2,FALSE),"")</f>
        <v xml:space="preserve">Түмэндэлгэр </v>
      </c>
      <c r="E120" s="16">
        <v>120100</v>
      </c>
      <c r="G120" s="230">
        <f>+SUMIFS(JURNAL!G:G,JURNAL!E:E,E120,JURNAL!L:L,$C120,JURNAL!C:C,"&gt;="&amp;$M$3,JURNAL!C:C,"&lt;="&amp;$N$3)</f>
        <v>0</v>
      </c>
      <c r="H120" s="19">
        <f>+SUMIFS(JURNAL!H:H,JURNAL!E:E,E120,JURNAL!L:L,$C120,JURNAL!C:C,"&gt;="&amp;$M$3,JURNAL!C:C,"&lt;="&amp;$N$3)</f>
        <v>0</v>
      </c>
      <c r="I120" s="18">
        <f t="shared" si="12"/>
        <v>0</v>
      </c>
      <c r="J120" s="16">
        <v>310100</v>
      </c>
      <c r="L120" s="230">
        <f>+SUMIFS(JURNAL!G:G,JURNAL!E:E,J120,JURNAL!L:L,$C120,JURNAL!C:C,"&gt;="&amp;$M$3,JURNAL!C:C,"&lt;="&amp;$N$3)</f>
        <v>0</v>
      </c>
      <c r="M120" s="19">
        <f>+SUMIFS(JURNAL!H:H,JURNAL!E:E,J120,JURNAL!L:L,$C120,JURNAL!C:C,"&gt;="&amp;$M$3,JURNAL!C:C,"&lt;="&amp;$N$3)</f>
        <v>0</v>
      </c>
      <c r="N120" s="73">
        <f t="shared" si="13"/>
        <v>0</v>
      </c>
      <c r="O120" s="230">
        <f t="shared" si="14"/>
        <v>0</v>
      </c>
      <c r="P120" s="16">
        <f t="shared" si="15"/>
        <v>310100</v>
      </c>
      <c r="Q120" s="16">
        <f t="shared" si="16"/>
        <v>120100</v>
      </c>
      <c r="R120" s="230">
        <f t="shared" si="17"/>
        <v>0</v>
      </c>
    </row>
    <row r="121" spans="2:18">
      <c r="B121" s="15">
        <f t="shared" si="11"/>
        <v>116</v>
      </c>
      <c r="C121" s="16">
        <f>IFERROR(VLOOKUP(DATA!G119,DATA!$G$4:$J$2149,1,FALSE),"")</f>
        <v>1005</v>
      </c>
      <c r="D121" s="16" t="str">
        <f>+IFERROR(VLOOKUP(C121,DATA!$G$4:$H$2000,2,FALSE),"")</f>
        <v>Золжаргал</v>
      </c>
      <c r="E121" s="16">
        <v>120100</v>
      </c>
      <c r="G121" s="230">
        <f>+SUMIFS(JURNAL!G:G,JURNAL!E:E,E121,JURNAL!L:L,$C121,JURNAL!C:C,"&gt;="&amp;$M$3,JURNAL!C:C,"&lt;="&amp;$N$3)</f>
        <v>0</v>
      </c>
      <c r="H121" s="19">
        <f>+SUMIFS(JURNAL!H:H,JURNAL!E:E,E121,JURNAL!L:L,$C121,JURNAL!C:C,"&gt;="&amp;$M$3,JURNAL!C:C,"&lt;="&amp;$N$3)</f>
        <v>0</v>
      </c>
      <c r="I121" s="18">
        <f t="shared" si="12"/>
        <v>0</v>
      </c>
      <c r="J121" s="16">
        <v>310100</v>
      </c>
      <c r="L121" s="230">
        <f>+SUMIFS(JURNAL!G:G,JURNAL!E:E,J121,JURNAL!L:L,$C121,JURNAL!C:C,"&gt;="&amp;$M$3,JURNAL!C:C,"&lt;="&amp;$N$3)</f>
        <v>0</v>
      </c>
      <c r="M121" s="19">
        <f>+SUMIFS(JURNAL!H:H,JURNAL!E:E,J121,JURNAL!L:L,$C121,JURNAL!C:C,"&gt;="&amp;$M$3,JURNAL!C:C,"&lt;="&amp;$N$3)</f>
        <v>0</v>
      </c>
      <c r="N121" s="73">
        <f t="shared" si="13"/>
        <v>0</v>
      </c>
      <c r="O121" s="230">
        <f t="shared" si="14"/>
        <v>0</v>
      </c>
      <c r="P121" s="16">
        <f t="shared" si="15"/>
        <v>310100</v>
      </c>
      <c r="Q121" s="16">
        <f t="shared" si="16"/>
        <v>120100</v>
      </c>
      <c r="R121" s="230">
        <f t="shared" si="17"/>
        <v>0</v>
      </c>
    </row>
    <row r="122" spans="2:18">
      <c r="B122" s="15">
        <f t="shared" si="11"/>
        <v>117</v>
      </c>
      <c r="C122" s="16">
        <f>IFERROR(VLOOKUP(DATA!G120,DATA!$G$4:$J$2149,1,FALSE),"")</f>
        <v>1006</v>
      </c>
      <c r="D122" s="16" t="str">
        <f>+IFERROR(VLOOKUP(C122,DATA!$G$4:$H$2000,2,FALSE),"")</f>
        <v>Оюундэлгэр /нярав/</v>
      </c>
      <c r="E122" s="16">
        <v>120100</v>
      </c>
      <c r="G122" s="230">
        <f>+SUMIFS(JURNAL!G:G,JURNAL!E:E,E122,JURNAL!L:L,$C122,JURNAL!C:C,"&gt;="&amp;$M$3,JURNAL!C:C,"&lt;="&amp;$N$3)</f>
        <v>0</v>
      </c>
      <c r="H122" s="19">
        <f>+SUMIFS(JURNAL!H:H,JURNAL!E:E,E122,JURNAL!L:L,$C122,JURNAL!C:C,"&gt;="&amp;$M$3,JURNAL!C:C,"&lt;="&amp;$N$3)</f>
        <v>0</v>
      </c>
      <c r="I122" s="18">
        <f t="shared" si="12"/>
        <v>0</v>
      </c>
      <c r="J122" s="16">
        <v>310100</v>
      </c>
      <c r="L122" s="230">
        <f>+SUMIFS(JURNAL!G:G,JURNAL!E:E,J122,JURNAL!L:L,$C122,JURNAL!C:C,"&gt;="&amp;$M$3,JURNAL!C:C,"&lt;="&amp;$N$3)</f>
        <v>0</v>
      </c>
      <c r="M122" s="19">
        <f>+SUMIFS(JURNAL!H:H,JURNAL!E:E,J122,JURNAL!L:L,$C122,JURNAL!C:C,"&gt;="&amp;$M$3,JURNAL!C:C,"&lt;="&amp;$N$3)</f>
        <v>0</v>
      </c>
      <c r="N122" s="73">
        <f t="shared" si="13"/>
        <v>0</v>
      </c>
      <c r="O122" s="230">
        <f t="shared" si="14"/>
        <v>0</v>
      </c>
      <c r="P122" s="16">
        <f t="shared" si="15"/>
        <v>310100</v>
      </c>
      <c r="Q122" s="16">
        <f t="shared" si="16"/>
        <v>120100</v>
      </c>
      <c r="R122" s="230">
        <f t="shared" si="17"/>
        <v>0</v>
      </c>
    </row>
    <row r="123" spans="2:18">
      <c r="B123" s="15">
        <f t="shared" si="11"/>
        <v>118</v>
      </c>
      <c r="C123" s="16">
        <f>IFERROR(VLOOKUP(DATA!G121,DATA!$G$4:$J$2149,1,FALSE),"")</f>
        <v>1007</v>
      </c>
      <c r="D123" s="16" t="str">
        <f>+IFERROR(VLOOKUP(C123,DATA!$G$4:$H$2000,2,FALSE),"")</f>
        <v xml:space="preserve">Нэргүй </v>
      </c>
      <c r="E123" s="16">
        <v>120100</v>
      </c>
      <c r="G123" s="230">
        <f>+SUMIFS(JURNAL!G:G,JURNAL!E:E,E123,JURNAL!L:L,$C123,JURNAL!C:C,"&gt;="&amp;$M$3,JURNAL!C:C,"&lt;="&amp;$N$3)</f>
        <v>0</v>
      </c>
      <c r="H123" s="19">
        <f>+SUMIFS(JURNAL!H:H,JURNAL!E:E,E123,JURNAL!L:L,$C123,JURNAL!C:C,"&gt;="&amp;$M$3,JURNAL!C:C,"&lt;="&amp;$N$3)</f>
        <v>0</v>
      </c>
      <c r="I123" s="18">
        <f t="shared" si="12"/>
        <v>0</v>
      </c>
      <c r="J123" s="16">
        <v>310100</v>
      </c>
      <c r="L123" s="230">
        <f>+SUMIFS(JURNAL!G:G,JURNAL!E:E,J123,JURNAL!L:L,$C123,JURNAL!C:C,"&gt;="&amp;$M$3,JURNAL!C:C,"&lt;="&amp;$N$3)</f>
        <v>0</v>
      </c>
      <c r="M123" s="19">
        <f>+SUMIFS(JURNAL!H:H,JURNAL!E:E,J123,JURNAL!L:L,$C123,JURNAL!C:C,"&gt;="&amp;$M$3,JURNAL!C:C,"&lt;="&amp;$N$3)</f>
        <v>0</v>
      </c>
      <c r="N123" s="73">
        <f t="shared" si="13"/>
        <v>0</v>
      </c>
      <c r="O123" s="230">
        <f t="shared" si="14"/>
        <v>0</v>
      </c>
      <c r="P123" s="16">
        <f t="shared" si="15"/>
        <v>310100</v>
      </c>
      <c r="Q123" s="16">
        <f t="shared" si="16"/>
        <v>120100</v>
      </c>
      <c r="R123" s="230">
        <f t="shared" si="17"/>
        <v>0</v>
      </c>
    </row>
    <row r="124" spans="2:18">
      <c r="B124" s="15">
        <f t="shared" si="11"/>
        <v>119</v>
      </c>
      <c r="C124" s="16">
        <f>IFERROR(VLOOKUP(DATA!G122,DATA!$G$4:$J$2149,1,FALSE),"")</f>
        <v>3097</v>
      </c>
      <c r="D124" s="16" t="str">
        <f>+IFERROR(VLOOKUP(C124,DATA!$G$4:$H$2000,2,FALSE),"")</f>
        <v xml:space="preserve">ХӨВСГӨЛ ТРЕЙВЛ ХХК </v>
      </c>
      <c r="E124" s="16">
        <v>120100</v>
      </c>
      <c r="G124" s="230">
        <f>+SUMIFS(JURNAL!G:G,JURNAL!E:E,E124,JURNAL!L:L,$C124,JURNAL!C:C,"&gt;="&amp;$M$3,JURNAL!C:C,"&lt;="&amp;$N$3)</f>
        <v>0</v>
      </c>
      <c r="H124" s="19">
        <f>+SUMIFS(JURNAL!H:H,JURNAL!E:E,E124,JURNAL!L:L,$C124,JURNAL!C:C,"&gt;="&amp;$M$3,JURNAL!C:C,"&lt;="&amp;$N$3)</f>
        <v>0</v>
      </c>
      <c r="I124" s="18">
        <f t="shared" ref="I124" si="18">+F124+G124-H124</f>
        <v>0</v>
      </c>
      <c r="J124" s="16">
        <v>310100</v>
      </c>
      <c r="L124" s="230">
        <f>+SUMIFS(JURNAL!G:G,JURNAL!E:E,J124,JURNAL!L:L,$C124,JURNAL!C:C,"&gt;="&amp;$M$3,JURNAL!C:C,"&lt;="&amp;$N$3)</f>
        <v>0</v>
      </c>
      <c r="M124" s="19">
        <f>+SUMIFS(JURNAL!H:H,JURNAL!E:E,J124,JURNAL!L:L,$C124,JURNAL!C:C,"&gt;="&amp;$M$3,JURNAL!C:C,"&lt;="&amp;$N$3)</f>
        <v>0</v>
      </c>
      <c r="N124" s="73">
        <f t="shared" ref="N124" si="19">+K124+M124-L124</f>
        <v>0</v>
      </c>
      <c r="O124" s="230">
        <f t="shared" si="14"/>
        <v>0</v>
      </c>
      <c r="P124" s="16">
        <f t="shared" si="15"/>
        <v>310100</v>
      </c>
      <c r="Q124" s="16">
        <f t="shared" si="16"/>
        <v>120100</v>
      </c>
      <c r="R124" s="230">
        <f t="shared" si="17"/>
        <v>0</v>
      </c>
    </row>
    <row r="125" spans="2:18">
      <c r="B125" s="15">
        <f t="shared" si="11"/>
        <v>120</v>
      </c>
      <c r="C125" s="16">
        <f>IFERROR(VLOOKUP(DATA!G123,DATA!$G$4:$J$2149,1,FALSE),"")</f>
        <v>3098</v>
      </c>
      <c r="D125" s="16" t="str">
        <f>+IFERROR(VLOOKUP(C125,DATA!$G$4:$H$2000,2,FALSE),"")</f>
        <v xml:space="preserve">ЭБСО ХХК </v>
      </c>
      <c r="E125" s="16">
        <v>120100</v>
      </c>
      <c r="G125" s="230">
        <f>+SUMIFS(JURNAL!G:G,JURNAL!E:E,E125,JURNAL!L:L,$C125,JURNAL!C:C,"&gt;="&amp;$M$3,JURNAL!C:C,"&lt;="&amp;$N$3)</f>
        <v>0</v>
      </c>
      <c r="H125" s="19">
        <f>+SUMIFS(JURNAL!H:H,JURNAL!E:E,E125,JURNAL!L:L,$C125,JURNAL!C:C,"&gt;="&amp;$M$3,JURNAL!C:C,"&lt;="&amp;$N$3)</f>
        <v>0</v>
      </c>
      <c r="I125" s="18">
        <f t="shared" ref="I125:I137" si="20">+F125+G125-H125</f>
        <v>0</v>
      </c>
      <c r="J125" s="16">
        <v>310100</v>
      </c>
      <c r="L125" s="230">
        <f>+SUMIFS(JURNAL!G:G,JURNAL!E:E,J125,JURNAL!L:L,$C125,JURNAL!C:C,"&gt;="&amp;$M$3,JURNAL!C:C,"&lt;="&amp;$N$3)</f>
        <v>0</v>
      </c>
      <c r="M125" s="19">
        <f>+SUMIFS(JURNAL!H:H,JURNAL!E:E,J125,JURNAL!L:L,$C125,JURNAL!C:C,"&gt;="&amp;$M$3,JURNAL!C:C,"&lt;="&amp;$N$3)</f>
        <v>0</v>
      </c>
      <c r="N125" s="73">
        <f t="shared" ref="N125:N137" si="21">+K125+M125-L125</f>
        <v>0</v>
      </c>
      <c r="O125" s="230">
        <f t="shared" si="14"/>
        <v>0</v>
      </c>
      <c r="P125" s="16">
        <f t="shared" si="15"/>
        <v>310100</v>
      </c>
      <c r="Q125" s="16">
        <f t="shared" si="16"/>
        <v>120100</v>
      </c>
      <c r="R125" s="230">
        <f t="shared" si="17"/>
        <v>0</v>
      </c>
    </row>
    <row r="126" spans="2:18">
      <c r="B126" s="15">
        <f t="shared" si="11"/>
        <v>121</v>
      </c>
      <c r="C126" s="16">
        <f>IFERROR(VLOOKUP(DATA!G124,DATA!$G$4:$J$2149,1,FALSE),"")</f>
        <v>3099</v>
      </c>
      <c r="D126" s="16" t="str">
        <f>+IFERROR(VLOOKUP(C126,DATA!$G$4:$H$2000,2,FALSE),"")</f>
        <v>ÃÐÀÍÄ ÑËÀÁ ÕÕÊ</v>
      </c>
      <c r="E126" s="16">
        <v>120100</v>
      </c>
      <c r="G126" s="230">
        <f>+SUMIFS(JURNAL!G:G,JURNAL!E:E,E126,JURNAL!L:L,$C126,JURNAL!C:C,"&gt;="&amp;$M$3,JURNAL!C:C,"&lt;="&amp;$N$3)</f>
        <v>0</v>
      </c>
      <c r="H126" s="19">
        <f>+SUMIFS(JURNAL!H:H,JURNAL!E:E,E126,JURNAL!L:L,$C126,JURNAL!C:C,"&gt;="&amp;$M$3,JURNAL!C:C,"&lt;="&amp;$N$3)</f>
        <v>0</v>
      </c>
      <c r="I126" s="18">
        <f t="shared" si="20"/>
        <v>0</v>
      </c>
      <c r="J126" s="16">
        <v>310100</v>
      </c>
      <c r="L126" s="230">
        <f>+SUMIFS(JURNAL!G:G,JURNAL!E:E,J126,JURNAL!L:L,$C126,JURNAL!C:C,"&gt;="&amp;$M$3,JURNAL!C:C,"&lt;="&amp;$N$3)</f>
        <v>0</v>
      </c>
      <c r="M126" s="19">
        <f>+SUMIFS(JURNAL!H:H,JURNAL!E:E,J126,JURNAL!L:L,$C126,JURNAL!C:C,"&gt;="&amp;$M$3,JURNAL!C:C,"&lt;="&amp;$N$3)</f>
        <v>0</v>
      </c>
      <c r="N126" s="73">
        <f t="shared" si="21"/>
        <v>0</v>
      </c>
      <c r="O126" s="230">
        <f t="shared" si="14"/>
        <v>0</v>
      </c>
      <c r="P126" s="16">
        <f t="shared" si="15"/>
        <v>310100</v>
      </c>
      <c r="Q126" s="16">
        <f t="shared" si="16"/>
        <v>120100</v>
      </c>
      <c r="R126" s="230">
        <f t="shared" si="17"/>
        <v>0</v>
      </c>
    </row>
    <row r="127" spans="2:18">
      <c r="B127" s="15">
        <f t="shared" si="11"/>
        <v>122</v>
      </c>
      <c r="C127" s="16">
        <f>IFERROR(VLOOKUP(DATA!G125,DATA!$G$4:$J$2149,1,FALSE),"")</f>
        <v>3100</v>
      </c>
      <c r="D127" s="16" t="str">
        <f>+IFERROR(VLOOKUP(C127,DATA!$G$4:$H$2000,2,FALSE),"")</f>
        <v xml:space="preserve">УЛЬТРАСОНИК ХХК </v>
      </c>
      <c r="E127" s="16">
        <v>120100</v>
      </c>
      <c r="G127" s="230">
        <f>+SUMIFS(JURNAL!G:G,JURNAL!E:E,E127,JURNAL!L:L,$C127,JURNAL!C:C,"&gt;="&amp;$M$3,JURNAL!C:C,"&lt;="&amp;$N$3)</f>
        <v>0</v>
      </c>
      <c r="H127" s="19">
        <f>+SUMIFS(JURNAL!H:H,JURNAL!E:E,E127,JURNAL!L:L,$C127,JURNAL!C:C,"&gt;="&amp;$M$3,JURNAL!C:C,"&lt;="&amp;$N$3)</f>
        <v>0</v>
      </c>
      <c r="I127" s="18">
        <f t="shared" si="20"/>
        <v>0</v>
      </c>
      <c r="J127" s="16">
        <v>310100</v>
      </c>
      <c r="L127" s="230">
        <f>+SUMIFS(JURNAL!G:G,JURNAL!E:E,J127,JURNAL!L:L,$C127,JURNAL!C:C,"&gt;="&amp;$M$3,JURNAL!C:C,"&lt;="&amp;$N$3)</f>
        <v>0</v>
      </c>
      <c r="M127" s="19">
        <f>+SUMIFS(JURNAL!H:H,JURNAL!E:E,J127,JURNAL!L:L,$C127,JURNAL!C:C,"&gt;="&amp;$M$3,JURNAL!C:C,"&lt;="&amp;$N$3)</f>
        <v>0</v>
      </c>
      <c r="N127" s="73">
        <f t="shared" si="21"/>
        <v>0</v>
      </c>
      <c r="O127" s="230">
        <f t="shared" si="14"/>
        <v>0</v>
      </c>
      <c r="P127" s="16">
        <f t="shared" si="15"/>
        <v>310100</v>
      </c>
      <c r="Q127" s="16">
        <f t="shared" si="16"/>
        <v>120100</v>
      </c>
      <c r="R127" s="230">
        <f t="shared" si="17"/>
        <v>0</v>
      </c>
    </row>
    <row r="128" spans="2:18">
      <c r="B128" s="15">
        <f t="shared" si="11"/>
        <v>123</v>
      </c>
      <c r="C128" s="16">
        <f>IFERROR(VLOOKUP(DATA!G126,DATA!$G$4:$J$2149,1,FALSE),"")</f>
        <v>3101</v>
      </c>
      <c r="D128" s="16" t="str">
        <f>+IFERROR(VLOOKUP(C128,DATA!$G$4:$H$2000,2,FALSE),"")</f>
        <v xml:space="preserve">АЛТАН ТАРИА ХХК </v>
      </c>
      <c r="E128" s="16">
        <v>120100</v>
      </c>
      <c r="G128" s="230">
        <f>+SUMIFS(JURNAL!G:G,JURNAL!E:E,E128,JURNAL!L:L,$C128,JURNAL!C:C,"&gt;="&amp;$M$3,JURNAL!C:C,"&lt;="&amp;$N$3)</f>
        <v>0</v>
      </c>
      <c r="H128" s="19">
        <f>+SUMIFS(JURNAL!H:H,JURNAL!E:E,E128,JURNAL!L:L,$C128,JURNAL!C:C,"&gt;="&amp;$M$3,JURNAL!C:C,"&lt;="&amp;$N$3)</f>
        <v>0</v>
      </c>
      <c r="I128" s="18">
        <f t="shared" si="20"/>
        <v>0</v>
      </c>
      <c r="J128" s="16">
        <v>310100</v>
      </c>
      <c r="L128" s="230">
        <f>+SUMIFS(JURNAL!G:G,JURNAL!E:E,J128,JURNAL!L:L,$C128,JURNAL!C:C,"&gt;="&amp;$M$3,JURNAL!C:C,"&lt;="&amp;$N$3)</f>
        <v>0</v>
      </c>
      <c r="M128" s="19">
        <f>+SUMIFS(JURNAL!H:H,JURNAL!E:E,J128,JURNAL!L:L,$C128,JURNAL!C:C,"&gt;="&amp;$M$3,JURNAL!C:C,"&lt;="&amp;$N$3)</f>
        <v>0</v>
      </c>
      <c r="N128" s="73">
        <f t="shared" si="21"/>
        <v>0</v>
      </c>
      <c r="O128" s="230">
        <f t="shared" si="14"/>
        <v>0</v>
      </c>
      <c r="P128" s="16">
        <f t="shared" si="15"/>
        <v>310100</v>
      </c>
      <c r="Q128" s="16">
        <f t="shared" si="16"/>
        <v>120100</v>
      </c>
      <c r="R128" s="230">
        <f t="shared" si="17"/>
        <v>0</v>
      </c>
    </row>
    <row r="129" spans="2:18">
      <c r="B129" s="15">
        <f t="shared" si="11"/>
        <v>124</v>
      </c>
      <c r="C129" s="16">
        <f>IFERROR(VLOOKUP(DATA!G127,DATA!$G$4:$J$2149,1,FALSE),"")</f>
        <v>3102</v>
      </c>
      <c r="D129" s="16" t="str">
        <f>+IFERROR(VLOOKUP(C129,DATA!$G$4:$H$2000,2,FALSE),"")</f>
        <v xml:space="preserve">ВОРК ШОП ХХК </v>
      </c>
      <c r="E129" s="16">
        <v>120100</v>
      </c>
      <c r="G129" s="230">
        <f>+SUMIFS(JURNAL!G:G,JURNAL!E:E,E129,JURNAL!L:L,$C129,JURNAL!C:C,"&gt;="&amp;$M$3,JURNAL!C:C,"&lt;="&amp;$N$3)</f>
        <v>0</v>
      </c>
      <c r="H129" s="19">
        <f>+SUMIFS(JURNAL!H:H,JURNAL!E:E,E129,JURNAL!L:L,$C129,JURNAL!C:C,"&gt;="&amp;$M$3,JURNAL!C:C,"&lt;="&amp;$N$3)</f>
        <v>0</v>
      </c>
      <c r="I129" s="18">
        <f t="shared" si="20"/>
        <v>0</v>
      </c>
      <c r="J129" s="16">
        <v>310100</v>
      </c>
      <c r="L129" s="230">
        <f>+SUMIFS(JURNAL!G:G,JURNAL!E:E,J129,JURNAL!L:L,$C129,JURNAL!C:C,"&gt;="&amp;$M$3,JURNAL!C:C,"&lt;="&amp;$N$3)</f>
        <v>0</v>
      </c>
      <c r="M129" s="19">
        <f>+SUMIFS(JURNAL!H:H,JURNAL!E:E,J129,JURNAL!L:L,$C129,JURNAL!C:C,"&gt;="&amp;$M$3,JURNAL!C:C,"&lt;="&amp;$N$3)</f>
        <v>0</v>
      </c>
      <c r="N129" s="73">
        <f t="shared" si="21"/>
        <v>0</v>
      </c>
      <c r="O129" s="230">
        <f t="shared" si="14"/>
        <v>0</v>
      </c>
      <c r="P129" s="16">
        <f t="shared" si="15"/>
        <v>310100</v>
      </c>
      <c r="Q129" s="16">
        <f t="shared" si="16"/>
        <v>120100</v>
      </c>
      <c r="R129" s="230">
        <f t="shared" si="17"/>
        <v>0</v>
      </c>
    </row>
    <row r="130" spans="2:18">
      <c r="B130" s="15">
        <f t="shared" si="11"/>
        <v>125</v>
      </c>
      <c r="C130" s="16">
        <f>IFERROR(VLOOKUP(DATA!G128,DATA!$G$4:$J$2149,1,FALSE),"")</f>
        <v>3103</v>
      </c>
      <c r="D130" s="16" t="str">
        <f>+IFERROR(VLOOKUP(C130,DATA!$G$4:$H$2000,2,FALSE),"")</f>
        <v xml:space="preserve">СКАЙ ФОРТУН ХХК </v>
      </c>
      <c r="E130" s="16">
        <v>120100</v>
      </c>
      <c r="G130" s="230">
        <f>+SUMIFS(JURNAL!G:G,JURNAL!E:E,E130,JURNAL!L:L,$C130,JURNAL!C:C,"&gt;="&amp;$M$3,JURNAL!C:C,"&lt;="&amp;$N$3)</f>
        <v>0</v>
      </c>
      <c r="H130" s="19">
        <f>+SUMIFS(JURNAL!H:H,JURNAL!E:E,E130,JURNAL!L:L,$C130,JURNAL!C:C,"&gt;="&amp;$M$3,JURNAL!C:C,"&lt;="&amp;$N$3)</f>
        <v>0</v>
      </c>
      <c r="I130" s="18">
        <f t="shared" si="20"/>
        <v>0</v>
      </c>
      <c r="J130" s="16">
        <v>310100</v>
      </c>
      <c r="L130" s="230">
        <f>+SUMIFS(JURNAL!G:G,JURNAL!E:E,J130,JURNAL!L:L,$C130,JURNAL!C:C,"&gt;="&amp;$M$3,JURNAL!C:C,"&lt;="&amp;$N$3)</f>
        <v>0</v>
      </c>
      <c r="M130" s="19">
        <f>+SUMIFS(JURNAL!H:H,JURNAL!E:E,J130,JURNAL!L:L,$C130,JURNAL!C:C,"&gt;="&amp;$M$3,JURNAL!C:C,"&lt;="&amp;$N$3)</f>
        <v>0</v>
      </c>
      <c r="N130" s="73">
        <f t="shared" si="21"/>
        <v>0</v>
      </c>
      <c r="O130" s="230">
        <f t="shared" si="14"/>
        <v>0</v>
      </c>
      <c r="P130" s="16">
        <f t="shared" si="15"/>
        <v>310100</v>
      </c>
      <c r="Q130" s="16">
        <f t="shared" si="16"/>
        <v>120100</v>
      </c>
      <c r="R130" s="230">
        <f t="shared" si="17"/>
        <v>0</v>
      </c>
    </row>
    <row r="131" spans="2:18">
      <c r="B131" s="15">
        <f t="shared" si="11"/>
        <v>126</v>
      </c>
      <c r="C131" s="16">
        <f>IFERROR(VLOOKUP(DATA!G129,DATA!$G$4:$J$2149,1,FALSE),"")</f>
        <v>3104</v>
      </c>
      <c r="D131" s="16" t="str">
        <f>+IFERROR(VLOOKUP(C131,DATA!$G$4:$H$2000,2,FALSE),"")</f>
        <v>ХҮРЭЭ ЦАМХАГ ХХК</v>
      </c>
      <c r="E131" s="16">
        <v>120100</v>
      </c>
      <c r="G131" s="230">
        <f>+SUMIFS(JURNAL!G:G,JURNAL!E:E,E131,JURNAL!L:L,$C131,JURNAL!C:C,"&gt;="&amp;$M$3,JURNAL!C:C,"&lt;="&amp;$N$3)</f>
        <v>0</v>
      </c>
      <c r="H131" s="19">
        <f>+SUMIFS(JURNAL!H:H,JURNAL!E:E,E131,JURNAL!L:L,$C131,JURNAL!C:C,"&gt;="&amp;$M$3,JURNAL!C:C,"&lt;="&amp;$N$3)</f>
        <v>0</v>
      </c>
      <c r="I131" s="18">
        <f t="shared" si="20"/>
        <v>0</v>
      </c>
      <c r="J131" s="16">
        <v>310100</v>
      </c>
      <c r="L131" s="230">
        <f>+SUMIFS(JURNAL!G:G,JURNAL!E:E,J131,JURNAL!L:L,$C131,JURNAL!C:C,"&gt;="&amp;$M$3,JURNAL!C:C,"&lt;="&amp;$N$3)</f>
        <v>0</v>
      </c>
      <c r="M131" s="19">
        <f>+SUMIFS(JURNAL!H:H,JURNAL!E:E,J131,JURNAL!L:L,$C131,JURNAL!C:C,"&gt;="&amp;$M$3,JURNAL!C:C,"&lt;="&amp;$N$3)</f>
        <v>0</v>
      </c>
      <c r="N131" s="73">
        <f t="shared" si="21"/>
        <v>0</v>
      </c>
      <c r="O131" s="230">
        <f t="shared" si="14"/>
        <v>0</v>
      </c>
      <c r="P131" s="16">
        <f t="shared" si="15"/>
        <v>310100</v>
      </c>
      <c r="Q131" s="16">
        <f t="shared" si="16"/>
        <v>120100</v>
      </c>
      <c r="R131" s="230">
        <f t="shared" si="17"/>
        <v>0</v>
      </c>
    </row>
    <row r="132" spans="2:18">
      <c r="B132" s="15">
        <f t="shared" si="11"/>
        <v>127</v>
      </c>
      <c r="C132" s="16">
        <f>IFERROR(VLOOKUP(DATA!G130,DATA!$G$4:$J$2149,1,FALSE),"")</f>
        <v>3105</v>
      </c>
      <c r="D132" s="16" t="str">
        <f>+IFERROR(VLOOKUP(C132,DATA!$G$4:$H$2000,2,FALSE),"")</f>
        <v xml:space="preserve">ÆÈÍÑÒ ÕÀÉÐÕÀÍ ÕÕÊ </v>
      </c>
      <c r="E132" s="16">
        <v>120100</v>
      </c>
      <c r="G132" s="230">
        <f>+SUMIFS(JURNAL!G:G,JURNAL!E:E,E132,JURNAL!L:L,$C132,JURNAL!C:C,"&gt;="&amp;$M$3,JURNAL!C:C,"&lt;="&amp;$N$3)</f>
        <v>0</v>
      </c>
      <c r="H132" s="19">
        <f>+SUMIFS(JURNAL!H:H,JURNAL!E:E,E132,JURNAL!L:L,$C132,JURNAL!C:C,"&gt;="&amp;$M$3,JURNAL!C:C,"&lt;="&amp;$N$3)</f>
        <v>0</v>
      </c>
      <c r="I132" s="18">
        <f t="shared" si="20"/>
        <v>0</v>
      </c>
      <c r="J132" s="16">
        <v>310100</v>
      </c>
      <c r="L132" s="230">
        <f>+SUMIFS(JURNAL!G:G,JURNAL!E:E,J132,JURNAL!L:L,$C132,JURNAL!C:C,"&gt;="&amp;$M$3,JURNAL!C:C,"&lt;="&amp;$N$3)</f>
        <v>0</v>
      </c>
      <c r="M132" s="19">
        <f>+SUMIFS(JURNAL!H:H,JURNAL!E:E,J132,JURNAL!L:L,$C132,JURNAL!C:C,"&gt;="&amp;$M$3,JURNAL!C:C,"&lt;="&amp;$N$3)</f>
        <v>0</v>
      </c>
      <c r="N132" s="73">
        <f t="shared" si="21"/>
        <v>0</v>
      </c>
      <c r="O132" s="230">
        <f t="shared" si="14"/>
        <v>0</v>
      </c>
      <c r="P132" s="16">
        <f t="shared" si="15"/>
        <v>310100</v>
      </c>
      <c r="Q132" s="16">
        <f t="shared" si="16"/>
        <v>120100</v>
      </c>
      <c r="R132" s="230">
        <f t="shared" si="17"/>
        <v>0</v>
      </c>
    </row>
    <row r="133" spans="2:18">
      <c r="B133" s="15">
        <f t="shared" si="11"/>
        <v>128</v>
      </c>
      <c r="C133" s="16">
        <f>IFERROR(VLOOKUP(DATA!G131,DATA!$G$4:$J$2149,1,FALSE),"")</f>
        <v>3106</v>
      </c>
      <c r="D133" s="16" t="str">
        <f>+IFERROR(VLOOKUP(C133,DATA!$G$4:$H$2000,2,FALSE),"")</f>
        <v xml:space="preserve">ГАН ЗОСОН КОНСТРАКШН ХХК </v>
      </c>
      <c r="E133" s="16">
        <v>120100</v>
      </c>
      <c r="G133" s="230">
        <f>+SUMIFS(JURNAL!G:G,JURNAL!E:E,E133,JURNAL!L:L,$C133,JURNAL!C:C,"&gt;="&amp;$M$3,JURNAL!C:C,"&lt;="&amp;$N$3)</f>
        <v>0</v>
      </c>
      <c r="H133" s="19">
        <f>+SUMIFS(JURNAL!H:H,JURNAL!E:E,E133,JURNAL!L:L,$C133,JURNAL!C:C,"&gt;="&amp;$M$3,JURNAL!C:C,"&lt;="&amp;$N$3)</f>
        <v>0</v>
      </c>
      <c r="I133" s="18">
        <f t="shared" si="20"/>
        <v>0</v>
      </c>
      <c r="J133" s="16">
        <v>310100</v>
      </c>
      <c r="L133" s="230">
        <f>+SUMIFS(JURNAL!G:G,JURNAL!E:E,J133,JURNAL!L:L,$C133,JURNAL!C:C,"&gt;="&amp;$M$3,JURNAL!C:C,"&lt;="&amp;$N$3)</f>
        <v>0</v>
      </c>
      <c r="M133" s="19">
        <f>+SUMIFS(JURNAL!H:H,JURNAL!E:E,J133,JURNAL!L:L,$C133,JURNAL!C:C,"&gt;="&amp;$M$3,JURNAL!C:C,"&lt;="&amp;$N$3)</f>
        <v>0</v>
      </c>
      <c r="N133" s="73">
        <f t="shared" si="21"/>
        <v>0</v>
      </c>
      <c r="O133" s="230">
        <f t="shared" si="14"/>
        <v>0</v>
      </c>
      <c r="P133" s="16">
        <f t="shared" si="15"/>
        <v>310100</v>
      </c>
      <c r="Q133" s="16">
        <f t="shared" si="16"/>
        <v>120100</v>
      </c>
      <c r="R133" s="230">
        <f t="shared" si="17"/>
        <v>0</v>
      </c>
    </row>
    <row r="134" spans="2:18">
      <c r="B134" s="15">
        <f t="shared" si="11"/>
        <v>129</v>
      </c>
      <c r="C134" s="16">
        <f>IFERROR(VLOOKUP(DATA!G132,DATA!$G$4:$J$2149,1,FALSE),"")</f>
        <v>3107</v>
      </c>
      <c r="D134" s="16" t="str">
        <f>+IFERROR(VLOOKUP(C134,DATA!$G$4:$H$2000,2,FALSE),"")</f>
        <v>СЭФИЛО ХХК</v>
      </c>
      <c r="E134" s="16">
        <v>120100</v>
      </c>
      <c r="G134" s="230">
        <f>+SUMIFS(JURNAL!G:G,JURNAL!E:E,E134,JURNAL!L:L,$C134,JURNAL!C:C,"&gt;="&amp;$M$3,JURNAL!C:C,"&lt;="&amp;$N$3)</f>
        <v>0</v>
      </c>
      <c r="H134" s="19">
        <f>+SUMIFS(JURNAL!H:H,JURNAL!E:E,E134,JURNAL!L:L,$C134,JURNAL!C:C,"&gt;="&amp;$M$3,JURNAL!C:C,"&lt;="&amp;$N$3)</f>
        <v>0</v>
      </c>
      <c r="I134" s="18">
        <f t="shared" si="20"/>
        <v>0</v>
      </c>
      <c r="J134" s="16">
        <v>310100</v>
      </c>
      <c r="L134" s="230">
        <f>+SUMIFS(JURNAL!G:G,JURNAL!E:E,J134,JURNAL!L:L,$C134,JURNAL!C:C,"&gt;="&amp;$M$3,JURNAL!C:C,"&lt;="&amp;$N$3)</f>
        <v>0</v>
      </c>
      <c r="M134" s="19">
        <f>+SUMIFS(JURNAL!H:H,JURNAL!E:E,J134,JURNAL!L:L,$C134,JURNAL!C:C,"&gt;="&amp;$M$3,JURNAL!C:C,"&lt;="&amp;$N$3)</f>
        <v>0</v>
      </c>
      <c r="N134" s="73">
        <f t="shared" si="21"/>
        <v>0</v>
      </c>
      <c r="O134" s="230">
        <f t="shared" si="14"/>
        <v>0</v>
      </c>
      <c r="P134" s="16">
        <f t="shared" si="15"/>
        <v>310100</v>
      </c>
      <c r="Q134" s="16">
        <f t="shared" si="16"/>
        <v>120100</v>
      </c>
      <c r="R134" s="230">
        <f t="shared" si="17"/>
        <v>0</v>
      </c>
    </row>
    <row r="135" spans="2:18">
      <c r="B135" s="15">
        <f t="shared" ref="B135:B162" si="22">+IF(C135="","",ROW()-5)</f>
        <v>130</v>
      </c>
      <c r="C135" s="16">
        <f>IFERROR(VLOOKUP(DATA!G133,DATA!$G$4:$J$2149,1,FALSE),"")</f>
        <v>3108</v>
      </c>
      <c r="D135" s="16" t="str">
        <f>+IFERROR(VLOOKUP(C135,DATA!$G$4:$H$2000,2,FALSE),"")</f>
        <v>ИХ ГОВИЙН ЭРЧИМ ХУРД ХХК</v>
      </c>
      <c r="E135" s="16">
        <v>120100</v>
      </c>
      <c r="G135" s="230">
        <f>+SUMIFS(JURNAL!G:G,JURNAL!E:E,E135,JURNAL!L:L,$C135,JURNAL!C:C,"&gt;="&amp;$M$3,JURNAL!C:C,"&lt;="&amp;$N$3)</f>
        <v>0</v>
      </c>
      <c r="H135" s="19">
        <f>+SUMIFS(JURNAL!H:H,JURNAL!E:E,E135,JURNAL!L:L,$C135,JURNAL!C:C,"&gt;="&amp;$M$3,JURNAL!C:C,"&lt;="&amp;$N$3)</f>
        <v>0</v>
      </c>
      <c r="I135" s="18">
        <f t="shared" si="20"/>
        <v>0</v>
      </c>
      <c r="J135" s="16">
        <v>310100</v>
      </c>
      <c r="L135" s="230">
        <f>+SUMIFS(JURNAL!G:G,JURNAL!E:E,J135,JURNAL!L:L,$C135,JURNAL!C:C,"&gt;="&amp;$M$3,JURNAL!C:C,"&lt;="&amp;$N$3)</f>
        <v>0</v>
      </c>
      <c r="M135" s="19">
        <f>+SUMIFS(JURNAL!H:H,JURNAL!E:E,J135,JURNAL!L:L,$C135,JURNAL!C:C,"&gt;="&amp;$M$3,JURNAL!C:C,"&lt;="&amp;$N$3)</f>
        <v>0</v>
      </c>
      <c r="N135" s="73">
        <f t="shared" si="21"/>
        <v>0</v>
      </c>
      <c r="O135" s="230">
        <f t="shared" ref="O135:O162" si="23">+IF(I135&lt;N135,I135,N135)</f>
        <v>0</v>
      </c>
      <c r="P135" s="16">
        <f t="shared" ref="P135:P162" si="24">+J135</f>
        <v>310100</v>
      </c>
      <c r="Q135" s="16">
        <f t="shared" ref="Q135:Q162" si="25">+E135</f>
        <v>120100</v>
      </c>
      <c r="R135" s="230">
        <f t="shared" ref="R135:R162" si="26">+IF(O135,1,0)</f>
        <v>0</v>
      </c>
    </row>
    <row r="136" spans="2:18">
      <c r="B136" s="15">
        <f t="shared" si="22"/>
        <v>131</v>
      </c>
      <c r="C136" s="16">
        <f>IFERROR(VLOOKUP(DATA!G134,DATA!$G$4:$J$2149,1,FALSE),"")</f>
        <v>3109</v>
      </c>
      <c r="D136" s="16" t="str">
        <f>+IFERROR(VLOOKUP(C136,DATA!$G$4:$H$2000,2,FALSE),"")</f>
        <v xml:space="preserve">СИЛК РӨҮТ ТЕКСТИЛЬ ХХК </v>
      </c>
      <c r="E136" s="16">
        <v>120100</v>
      </c>
      <c r="G136" s="230">
        <f>+SUMIFS(JURNAL!G:G,JURNAL!E:E,E136,JURNAL!L:L,$C136,JURNAL!C:C,"&gt;="&amp;$M$3,JURNAL!C:C,"&lt;="&amp;$N$3)</f>
        <v>0</v>
      </c>
      <c r="H136" s="19">
        <f>+SUMIFS(JURNAL!H:H,JURNAL!E:E,E136,JURNAL!L:L,$C136,JURNAL!C:C,"&gt;="&amp;$M$3,JURNAL!C:C,"&lt;="&amp;$N$3)</f>
        <v>0</v>
      </c>
      <c r="I136" s="18">
        <f t="shared" si="20"/>
        <v>0</v>
      </c>
      <c r="J136" s="16">
        <v>310100</v>
      </c>
      <c r="L136" s="230">
        <f>+SUMIFS(JURNAL!G:G,JURNAL!E:E,J136,JURNAL!L:L,$C136,JURNAL!C:C,"&gt;="&amp;$M$3,JURNAL!C:C,"&lt;="&amp;$N$3)</f>
        <v>0</v>
      </c>
      <c r="M136" s="19">
        <f>+SUMIFS(JURNAL!H:H,JURNAL!E:E,J136,JURNAL!L:L,$C136,JURNAL!C:C,"&gt;="&amp;$M$3,JURNAL!C:C,"&lt;="&amp;$N$3)</f>
        <v>0</v>
      </c>
      <c r="N136" s="73">
        <f t="shared" si="21"/>
        <v>0</v>
      </c>
      <c r="O136" s="230">
        <f t="shared" si="23"/>
        <v>0</v>
      </c>
      <c r="P136" s="16">
        <f t="shared" si="24"/>
        <v>310100</v>
      </c>
      <c r="Q136" s="16">
        <f t="shared" si="25"/>
        <v>120100</v>
      </c>
      <c r="R136" s="230">
        <f t="shared" si="26"/>
        <v>0</v>
      </c>
    </row>
    <row r="137" spans="2:18">
      <c r="B137" s="15">
        <f t="shared" si="22"/>
        <v>132</v>
      </c>
      <c r="C137" s="16">
        <f>IFERROR(VLOOKUP(DATA!G135,DATA!$G$4:$J$2149,1,FALSE),"")</f>
        <v>3110</v>
      </c>
      <c r="D137" s="16" t="str">
        <f>+IFERROR(VLOOKUP(C137,DATA!$G$4:$H$2000,2,FALSE),"")</f>
        <v xml:space="preserve">СҮЙХЭНТ ХХК </v>
      </c>
      <c r="E137" s="16">
        <v>120100</v>
      </c>
      <c r="G137" s="230">
        <f>+SUMIFS(JURNAL!G:G,JURNAL!E:E,E137,JURNAL!L:L,$C137,JURNAL!C:C,"&gt;="&amp;$M$3,JURNAL!C:C,"&lt;="&amp;$N$3)</f>
        <v>0</v>
      </c>
      <c r="H137" s="19">
        <f>+SUMIFS(JURNAL!H:H,JURNAL!E:E,E137,JURNAL!L:L,$C137,JURNAL!C:C,"&gt;="&amp;$M$3,JURNAL!C:C,"&lt;="&amp;$N$3)</f>
        <v>0</v>
      </c>
      <c r="I137" s="18">
        <f t="shared" si="20"/>
        <v>0</v>
      </c>
      <c r="J137" s="16">
        <v>310100</v>
      </c>
      <c r="L137" s="230">
        <f>+SUMIFS(JURNAL!G:G,JURNAL!E:E,J137,JURNAL!L:L,$C137,JURNAL!C:C,"&gt;="&amp;$M$3,JURNAL!C:C,"&lt;="&amp;$N$3)</f>
        <v>0</v>
      </c>
      <c r="M137" s="19">
        <f>+SUMIFS(JURNAL!H:H,JURNAL!E:E,J137,JURNAL!L:L,$C137,JURNAL!C:C,"&gt;="&amp;$M$3,JURNAL!C:C,"&lt;="&amp;$N$3)</f>
        <v>0</v>
      </c>
      <c r="N137" s="73">
        <f t="shared" si="21"/>
        <v>0</v>
      </c>
      <c r="O137" s="230">
        <f t="shared" si="23"/>
        <v>0</v>
      </c>
      <c r="P137" s="16">
        <f t="shared" si="24"/>
        <v>310100</v>
      </c>
      <c r="Q137" s="16">
        <f t="shared" si="25"/>
        <v>120100</v>
      </c>
      <c r="R137" s="230">
        <f t="shared" si="26"/>
        <v>0</v>
      </c>
    </row>
    <row r="138" spans="2:18">
      <c r="B138" s="15">
        <f t="shared" si="22"/>
        <v>133</v>
      </c>
      <c r="C138" s="16">
        <f>IFERROR(VLOOKUP(DATA!G136,DATA!$G$4:$J$2149,1,FALSE),"")</f>
        <v>3111</v>
      </c>
      <c r="D138" s="16" t="str">
        <f>+IFERROR(VLOOKUP(C138,DATA!$G$4:$H$2000,2,FALSE),"")</f>
        <v xml:space="preserve">ЗУЛЗАГАН ДӨЛ ХХК </v>
      </c>
      <c r="E138" s="16">
        <v>120100</v>
      </c>
      <c r="G138" s="230">
        <f>+SUMIFS(JURNAL!G:G,JURNAL!E:E,E138,JURNAL!L:L,$C138,JURNAL!C:C,"&gt;="&amp;$M$3,JURNAL!C:C,"&lt;="&amp;$N$3)</f>
        <v>0</v>
      </c>
      <c r="H138" s="19">
        <f>+SUMIFS(JURNAL!H:H,JURNAL!E:E,E138,JURNAL!L:L,$C138,JURNAL!C:C,"&gt;="&amp;$M$3,JURNAL!C:C,"&lt;="&amp;$N$3)</f>
        <v>0</v>
      </c>
      <c r="I138" s="18">
        <f t="shared" ref="I138:I145" si="27">+F138+G138-H138</f>
        <v>0</v>
      </c>
      <c r="J138" s="16">
        <v>310100</v>
      </c>
      <c r="L138" s="230">
        <f>+SUMIFS(JURNAL!G:G,JURNAL!E:E,J138,JURNAL!L:L,$C138,JURNAL!C:C,"&gt;="&amp;$M$3,JURNAL!C:C,"&lt;="&amp;$N$3)</f>
        <v>0</v>
      </c>
      <c r="M138" s="19">
        <f>+SUMIFS(JURNAL!H:H,JURNAL!E:E,J138,JURNAL!L:L,$C138,JURNAL!C:C,"&gt;="&amp;$M$3,JURNAL!C:C,"&lt;="&amp;$N$3)</f>
        <v>0</v>
      </c>
      <c r="N138" s="73">
        <f t="shared" ref="N138:N145" si="28">+K138+M138-L138</f>
        <v>0</v>
      </c>
      <c r="O138" s="230">
        <f t="shared" si="23"/>
        <v>0</v>
      </c>
      <c r="P138" s="16">
        <f t="shared" si="24"/>
        <v>310100</v>
      </c>
      <c r="Q138" s="16">
        <f t="shared" si="25"/>
        <v>120100</v>
      </c>
      <c r="R138" s="230">
        <f t="shared" si="26"/>
        <v>0</v>
      </c>
    </row>
    <row r="139" spans="2:18">
      <c r="B139" s="15">
        <f t="shared" si="22"/>
        <v>134</v>
      </c>
      <c r="C139" s="16">
        <f>IFERROR(VLOOKUP(DATA!G137,DATA!$G$4:$J$2149,1,FALSE),"")</f>
        <v>3112</v>
      </c>
      <c r="D139" s="16" t="str">
        <f>+IFERROR(VLOOKUP(C139,DATA!$G$4:$H$2000,2,FALSE),"")</f>
        <v>АЛИА ДАРХАН ХХК</v>
      </c>
      <c r="E139" s="16">
        <v>120100</v>
      </c>
      <c r="G139" s="230">
        <f>+SUMIFS(JURNAL!G:G,JURNAL!E:E,E139,JURNAL!L:L,$C139,JURNAL!C:C,"&gt;="&amp;$M$3,JURNAL!C:C,"&lt;="&amp;$N$3)</f>
        <v>0</v>
      </c>
      <c r="H139" s="19">
        <f>+SUMIFS(JURNAL!H:H,JURNAL!E:E,E139,JURNAL!L:L,$C139,JURNAL!C:C,"&gt;="&amp;$M$3,JURNAL!C:C,"&lt;="&amp;$N$3)</f>
        <v>0</v>
      </c>
      <c r="I139" s="18">
        <f t="shared" si="27"/>
        <v>0</v>
      </c>
      <c r="J139" s="16">
        <v>310100</v>
      </c>
      <c r="L139" s="230">
        <f>+SUMIFS(JURNAL!G:G,JURNAL!E:E,J139,JURNAL!L:L,$C139,JURNAL!C:C,"&gt;="&amp;$M$3,JURNAL!C:C,"&lt;="&amp;$N$3)</f>
        <v>0</v>
      </c>
      <c r="M139" s="19">
        <f>+SUMIFS(JURNAL!H:H,JURNAL!E:E,J139,JURNAL!L:L,$C139,JURNAL!C:C,"&gt;="&amp;$M$3,JURNAL!C:C,"&lt;="&amp;$N$3)</f>
        <v>0</v>
      </c>
      <c r="N139" s="73">
        <f t="shared" si="28"/>
        <v>0</v>
      </c>
      <c r="O139" s="230">
        <f t="shared" si="23"/>
        <v>0</v>
      </c>
      <c r="P139" s="16">
        <f t="shared" si="24"/>
        <v>310100</v>
      </c>
      <c r="Q139" s="16">
        <f t="shared" si="25"/>
        <v>120100</v>
      </c>
      <c r="R139" s="230">
        <f t="shared" si="26"/>
        <v>0</v>
      </c>
    </row>
    <row r="140" spans="2:18">
      <c r="B140" s="15">
        <f t="shared" si="22"/>
        <v>135</v>
      </c>
      <c r="C140" s="16">
        <f>IFERROR(VLOOKUP(DATA!G138,DATA!$G$4:$J$2149,1,FALSE),"")</f>
        <v>3113</v>
      </c>
      <c r="D140" s="16" t="str">
        <f>+IFERROR(VLOOKUP(C140,DATA!$G$4:$H$2000,2,FALSE),"")</f>
        <v xml:space="preserve">ХАВТГАЙН ГОЛ ХХК </v>
      </c>
      <c r="E140" s="16">
        <v>120100</v>
      </c>
      <c r="G140" s="230">
        <f>+SUMIFS(JURNAL!G:G,JURNAL!E:E,E140,JURNAL!L:L,$C140,JURNAL!C:C,"&gt;="&amp;$M$3,JURNAL!C:C,"&lt;="&amp;$N$3)</f>
        <v>0</v>
      </c>
      <c r="H140" s="19">
        <f>+SUMIFS(JURNAL!H:H,JURNAL!E:E,E140,JURNAL!L:L,$C140,JURNAL!C:C,"&gt;="&amp;$M$3,JURNAL!C:C,"&lt;="&amp;$N$3)</f>
        <v>0</v>
      </c>
      <c r="I140" s="18">
        <f t="shared" si="27"/>
        <v>0</v>
      </c>
      <c r="J140" s="16">
        <v>310100</v>
      </c>
      <c r="L140" s="230">
        <f>+SUMIFS(JURNAL!G:G,JURNAL!E:E,J140,JURNAL!L:L,$C140,JURNAL!C:C,"&gt;="&amp;$M$3,JURNAL!C:C,"&lt;="&amp;$N$3)</f>
        <v>0</v>
      </c>
      <c r="M140" s="19">
        <f>+SUMIFS(JURNAL!H:H,JURNAL!E:E,J140,JURNAL!L:L,$C140,JURNAL!C:C,"&gt;="&amp;$M$3,JURNAL!C:C,"&lt;="&amp;$N$3)</f>
        <v>0</v>
      </c>
      <c r="N140" s="73">
        <f t="shared" si="28"/>
        <v>0</v>
      </c>
      <c r="O140" s="230">
        <f t="shared" si="23"/>
        <v>0</v>
      </c>
      <c r="P140" s="16">
        <f t="shared" si="24"/>
        <v>310100</v>
      </c>
      <c r="Q140" s="16">
        <f t="shared" si="25"/>
        <v>120100</v>
      </c>
      <c r="R140" s="230">
        <f t="shared" si="26"/>
        <v>0</v>
      </c>
    </row>
    <row r="141" spans="2:18">
      <c r="B141" s="15" t="str">
        <f t="shared" si="22"/>
        <v/>
      </c>
      <c r="C141" s="16" t="str">
        <f>IFERROR(VLOOKUP(DATA!G139,DATA!$G$4:$J$2149,1,FALSE),"")</f>
        <v/>
      </c>
      <c r="D141" s="16" t="str">
        <f>+IFERROR(VLOOKUP(C141,DATA!$G$4:$H$2000,2,FALSE),"")</f>
        <v/>
      </c>
      <c r="E141" s="16">
        <v>120100</v>
      </c>
      <c r="G141" s="230">
        <f>+SUMIFS(JURNAL!G:G,JURNAL!E:E,E141,JURNAL!L:L,$C141,JURNAL!C:C,"&gt;="&amp;$M$3,JURNAL!C:C,"&lt;="&amp;$N$3)</f>
        <v>0</v>
      </c>
      <c r="H141" s="19">
        <f>+SUMIFS(JURNAL!H:H,JURNAL!E:E,E141,JURNAL!L:L,$C141,JURNAL!C:C,"&gt;="&amp;$M$3,JURNAL!C:C,"&lt;="&amp;$N$3)</f>
        <v>0</v>
      </c>
      <c r="I141" s="18">
        <f t="shared" si="27"/>
        <v>0</v>
      </c>
      <c r="J141" s="16">
        <v>310100</v>
      </c>
      <c r="L141" s="230">
        <f>+SUMIFS(JURNAL!G:G,JURNAL!E:E,J141,JURNAL!L:L,$C141,JURNAL!C:C,"&gt;="&amp;$M$3,JURNAL!C:C,"&lt;="&amp;$N$3)</f>
        <v>0</v>
      </c>
      <c r="M141" s="19">
        <f>+SUMIFS(JURNAL!H:H,JURNAL!E:E,J141,JURNAL!L:L,$C141,JURNAL!C:C,"&gt;="&amp;$M$3,JURNAL!C:C,"&lt;="&amp;$N$3)</f>
        <v>0</v>
      </c>
      <c r="N141" s="73">
        <f t="shared" si="28"/>
        <v>0</v>
      </c>
      <c r="O141" s="230">
        <f t="shared" si="23"/>
        <v>0</v>
      </c>
      <c r="P141" s="16">
        <f t="shared" si="24"/>
        <v>310100</v>
      </c>
      <c r="Q141" s="16">
        <f t="shared" si="25"/>
        <v>120100</v>
      </c>
      <c r="R141" s="230">
        <f t="shared" si="26"/>
        <v>0</v>
      </c>
    </row>
    <row r="142" spans="2:18">
      <c r="B142" s="15" t="str">
        <f t="shared" si="22"/>
        <v/>
      </c>
      <c r="C142" s="16" t="str">
        <f>IFERROR(VLOOKUP(DATA!G140,DATA!$G$4:$J$2149,1,FALSE),"")</f>
        <v/>
      </c>
      <c r="D142" s="16" t="str">
        <f>+IFERROR(VLOOKUP(C142,DATA!$G$4:$H$2000,2,FALSE),"")</f>
        <v/>
      </c>
      <c r="E142" s="16">
        <v>120100</v>
      </c>
      <c r="G142" s="230">
        <f>+SUMIFS(JURNAL!G:G,JURNAL!E:E,E142,JURNAL!L:L,$C142,JURNAL!C:C,"&gt;="&amp;$M$3,JURNAL!C:C,"&lt;="&amp;$N$3)</f>
        <v>0</v>
      </c>
      <c r="H142" s="19">
        <f>+SUMIFS(JURNAL!H:H,JURNAL!E:E,E142,JURNAL!L:L,$C142,JURNAL!C:C,"&gt;="&amp;$M$3,JURNAL!C:C,"&lt;="&amp;$N$3)</f>
        <v>0</v>
      </c>
      <c r="I142" s="18">
        <f t="shared" si="27"/>
        <v>0</v>
      </c>
      <c r="J142" s="16">
        <v>310100</v>
      </c>
      <c r="L142" s="230">
        <f>+SUMIFS(JURNAL!G:G,JURNAL!E:E,J142,JURNAL!L:L,$C142,JURNAL!C:C,"&gt;="&amp;$M$3,JURNAL!C:C,"&lt;="&amp;$N$3)</f>
        <v>0</v>
      </c>
      <c r="M142" s="19">
        <f>+SUMIFS(JURNAL!H:H,JURNAL!E:E,J142,JURNAL!L:L,$C142,JURNAL!C:C,"&gt;="&amp;$M$3,JURNAL!C:C,"&lt;="&amp;$N$3)</f>
        <v>0</v>
      </c>
      <c r="N142" s="73">
        <f t="shared" si="28"/>
        <v>0</v>
      </c>
      <c r="O142" s="230">
        <f t="shared" si="23"/>
        <v>0</v>
      </c>
      <c r="P142" s="16">
        <f t="shared" si="24"/>
        <v>310100</v>
      </c>
      <c r="Q142" s="16">
        <f t="shared" si="25"/>
        <v>120100</v>
      </c>
      <c r="R142" s="230">
        <f t="shared" si="26"/>
        <v>0</v>
      </c>
    </row>
    <row r="143" spans="2:18">
      <c r="B143" s="15" t="str">
        <f t="shared" si="22"/>
        <v/>
      </c>
      <c r="C143" s="16" t="str">
        <f>IFERROR(VLOOKUP(DATA!G141,DATA!$G$4:$J$2149,1,FALSE),"")</f>
        <v/>
      </c>
      <c r="D143" s="16" t="str">
        <f>+IFERROR(VLOOKUP(C143,DATA!$G$4:$H$2000,2,FALSE),"")</f>
        <v/>
      </c>
      <c r="E143" s="16">
        <v>120100</v>
      </c>
      <c r="G143" s="230">
        <f>+SUMIFS(JURNAL!G:G,JURNAL!E:E,E143,JURNAL!L:L,$C143,JURNAL!C:C,"&gt;="&amp;$M$3,JURNAL!C:C,"&lt;="&amp;$N$3)</f>
        <v>0</v>
      </c>
      <c r="H143" s="19">
        <f>+SUMIFS(JURNAL!H:H,JURNAL!E:E,E143,JURNAL!L:L,$C143,JURNAL!C:C,"&gt;="&amp;$M$3,JURNAL!C:C,"&lt;="&amp;$N$3)</f>
        <v>0</v>
      </c>
      <c r="I143" s="18">
        <f t="shared" si="27"/>
        <v>0</v>
      </c>
      <c r="J143" s="16">
        <v>310100</v>
      </c>
      <c r="L143" s="230">
        <f>+SUMIFS(JURNAL!G:G,JURNAL!E:E,J143,JURNAL!L:L,$C143,JURNAL!C:C,"&gt;="&amp;$M$3,JURNAL!C:C,"&lt;="&amp;$N$3)</f>
        <v>0</v>
      </c>
      <c r="M143" s="19">
        <f>+SUMIFS(JURNAL!H:H,JURNAL!E:E,J143,JURNAL!L:L,$C143,JURNAL!C:C,"&gt;="&amp;$M$3,JURNAL!C:C,"&lt;="&amp;$N$3)</f>
        <v>0</v>
      </c>
      <c r="N143" s="73">
        <f t="shared" si="28"/>
        <v>0</v>
      </c>
      <c r="O143" s="230">
        <f t="shared" si="23"/>
        <v>0</v>
      </c>
      <c r="P143" s="16">
        <f t="shared" si="24"/>
        <v>310100</v>
      </c>
      <c r="Q143" s="16">
        <f t="shared" si="25"/>
        <v>120100</v>
      </c>
      <c r="R143" s="230">
        <f t="shared" si="26"/>
        <v>0</v>
      </c>
    </row>
    <row r="144" spans="2:18">
      <c r="B144" s="15" t="str">
        <f t="shared" si="22"/>
        <v/>
      </c>
      <c r="C144" s="16" t="str">
        <f>IFERROR(VLOOKUP(DATA!G142,DATA!$G$4:$J$2149,1,FALSE),"")</f>
        <v/>
      </c>
      <c r="D144" s="16" t="str">
        <f>+IFERROR(VLOOKUP(C144,DATA!$G$4:$H$2000,2,FALSE),"")</f>
        <v/>
      </c>
      <c r="E144" s="16">
        <v>120100</v>
      </c>
      <c r="G144" s="230">
        <f>+SUMIFS(JURNAL!G:G,JURNAL!E:E,E144,JURNAL!L:L,$C144,JURNAL!C:C,"&gt;="&amp;$M$3,JURNAL!C:C,"&lt;="&amp;$N$3)</f>
        <v>0</v>
      </c>
      <c r="H144" s="19">
        <f>+SUMIFS(JURNAL!H:H,JURNAL!E:E,E144,JURNAL!L:L,$C144,JURNAL!C:C,"&gt;="&amp;$M$3,JURNAL!C:C,"&lt;="&amp;$N$3)</f>
        <v>0</v>
      </c>
      <c r="I144" s="18">
        <f t="shared" si="27"/>
        <v>0</v>
      </c>
      <c r="J144" s="16">
        <v>310100</v>
      </c>
      <c r="L144" s="230">
        <f>+SUMIFS(JURNAL!G:G,JURNAL!E:E,J144,JURNAL!L:L,$C144,JURNAL!C:C,"&gt;="&amp;$M$3,JURNAL!C:C,"&lt;="&amp;$N$3)</f>
        <v>0</v>
      </c>
      <c r="M144" s="19">
        <f>+SUMIFS(JURNAL!H:H,JURNAL!E:E,J144,JURNAL!L:L,$C144,JURNAL!C:C,"&gt;="&amp;$M$3,JURNAL!C:C,"&lt;="&amp;$N$3)</f>
        <v>0</v>
      </c>
      <c r="N144" s="73">
        <f t="shared" si="28"/>
        <v>0</v>
      </c>
      <c r="O144" s="230">
        <f t="shared" si="23"/>
        <v>0</v>
      </c>
      <c r="P144" s="16">
        <f t="shared" si="24"/>
        <v>310100</v>
      </c>
      <c r="Q144" s="16">
        <f t="shared" si="25"/>
        <v>120100</v>
      </c>
      <c r="R144" s="230">
        <f t="shared" si="26"/>
        <v>0</v>
      </c>
    </row>
    <row r="145" spans="2:18">
      <c r="B145" s="15" t="str">
        <f t="shared" si="22"/>
        <v/>
      </c>
      <c r="C145" s="16" t="str">
        <f>IFERROR(VLOOKUP(DATA!G143,DATA!$G$4:$J$2149,1,FALSE),"")</f>
        <v/>
      </c>
      <c r="D145" s="16" t="str">
        <f>+IFERROR(VLOOKUP(C145,DATA!$G$4:$H$2000,2,FALSE),"")</f>
        <v/>
      </c>
      <c r="E145" s="16">
        <v>120100</v>
      </c>
      <c r="G145" s="230">
        <f>+SUMIFS(JURNAL!G:G,JURNAL!E:E,E145,JURNAL!L:L,$C145,JURNAL!C:C,"&gt;="&amp;$M$3,JURNAL!C:C,"&lt;="&amp;$N$3)</f>
        <v>0</v>
      </c>
      <c r="H145" s="19">
        <f>+SUMIFS(JURNAL!H:H,JURNAL!E:E,E145,JURNAL!L:L,$C145,JURNAL!C:C,"&gt;="&amp;$M$3,JURNAL!C:C,"&lt;="&amp;$N$3)</f>
        <v>0</v>
      </c>
      <c r="I145" s="18">
        <f t="shared" si="27"/>
        <v>0</v>
      </c>
      <c r="J145" s="16">
        <v>310100</v>
      </c>
      <c r="L145" s="230">
        <f>+SUMIFS(JURNAL!G:G,JURNAL!E:E,J145,JURNAL!L:L,$C145,JURNAL!C:C,"&gt;="&amp;$M$3,JURNAL!C:C,"&lt;="&amp;$N$3)</f>
        <v>0</v>
      </c>
      <c r="M145" s="19">
        <f>+SUMIFS(JURNAL!H:H,JURNAL!E:E,J145,JURNAL!L:L,$C145,JURNAL!C:C,"&gt;="&amp;$M$3,JURNAL!C:C,"&lt;="&amp;$N$3)</f>
        <v>0</v>
      </c>
      <c r="N145" s="73">
        <f t="shared" si="28"/>
        <v>0</v>
      </c>
      <c r="O145" s="230">
        <f t="shared" si="23"/>
        <v>0</v>
      </c>
      <c r="P145" s="16">
        <f t="shared" si="24"/>
        <v>310100</v>
      </c>
      <c r="Q145" s="16">
        <f t="shared" si="25"/>
        <v>120100</v>
      </c>
      <c r="R145" s="230">
        <f t="shared" si="26"/>
        <v>0</v>
      </c>
    </row>
    <row r="146" spans="2:18">
      <c r="B146" s="15" t="str">
        <f t="shared" si="22"/>
        <v/>
      </c>
      <c r="C146" s="16" t="str">
        <f>IFERROR(VLOOKUP(DATA!G144,DATA!$G$4:$J$2149,1,FALSE),"")</f>
        <v/>
      </c>
      <c r="D146" s="16" t="str">
        <f>+IFERROR(VLOOKUP(C146,DATA!$G$4:$H$2000,2,FALSE),"")</f>
        <v/>
      </c>
      <c r="E146" s="16"/>
      <c r="M146" s="19"/>
      <c r="N146" s="73"/>
      <c r="O146" s="230">
        <f t="shared" si="23"/>
        <v>0</v>
      </c>
      <c r="P146" s="16">
        <f t="shared" si="24"/>
        <v>0</v>
      </c>
      <c r="Q146" s="16">
        <f t="shared" si="25"/>
        <v>0</v>
      </c>
      <c r="R146" s="230">
        <f t="shared" si="26"/>
        <v>0</v>
      </c>
    </row>
    <row r="147" spans="2:18">
      <c r="B147" s="15" t="str">
        <f t="shared" si="22"/>
        <v/>
      </c>
      <c r="C147" s="16" t="str">
        <f>IFERROR(VLOOKUP(DATA!G145,DATA!$G$4:$J$2149,1,FALSE),"")</f>
        <v/>
      </c>
      <c r="D147" s="16" t="str">
        <f>+IFERROR(VLOOKUP(C147,DATA!$G$4:$H$2000,2,FALSE),"")</f>
        <v/>
      </c>
      <c r="E147" s="16"/>
      <c r="M147" s="19"/>
      <c r="N147" s="73"/>
      <c r="O147" s="230">
        <f t="shared" si="23"/>
        <v>0</v>
      </c>
      <c r="P147" s="16">
        <f t="shared" si="24"/>
        <v>0</v>
      </c>
      <c r="Q147" s="16">
        <f t="shared" si="25"/>
        <v>0</v>
      </c>
      <c r="R147" s="230">
        <f t="shared" si="26"/>
        <v>0</v>
      </c>
    </row>
    <row r="148" spans="2:18">
      <c r="B148" s="15" t="str">
        <f t="shared" si="22"/>
        <v/>
      </c>
      <c r="C148" s="16" t="str">
        <f>IFERROR(VLOOKUP(DATA!G146,DATA!$G$4:$J$2149,1,FALSE),"")</f>
        <v/>
      </c>
      <c r="D148" s="16" t="str">
        <f>+IFERROR(VLOOKUP(C148,DATA!$G$4:$H$2000,2,FALSE),"")</f>
        <v/>
      </c>
      <c r="E148" s="16"/>
      <c r="M148" s="19"/>
      <c r="N148" s="73"/>
      <c r="O148" s="230">
        <f t="shared" si="23"/>
        <v>0</v>
      </c>
      <c r="P148" s="16">
        <f t="shared" si="24"/>
        <v>0</v>
      </c>
      <c r="Q148" s="16">
        <f t="shared" si="25"/>
        <v>0</v>
      </c>
      <c r="R148" s="230">
        <f t="shared" si="26"/>
        <v>0</v>
      </c>
    </row>
    <row r="149" spans="2:18">
      <c r="B149" s="15" t="str">
        <f t="shared" si="22"/>
        <v/>
      </c>
      <c r="C149" s="16" t="str">
        <f>IFERROR(VLOOKUP(DATA!G147,DATA!$G$4:$J$2149,1,FALSE),"")</f>
        <v/>
      </c>
      <c r="D149" s="16" t="str">
        <f>+IFERROR(VLOOKUP(C149,DATA!$G$4:$H$2000,2,FALSE),"")</f>
        <v/>
      </c>
      <c r="E149" s="16"/>
      <c r="M149" s="19"/>
      <c r="N149" s="73"/>
      <c r="O149" s="230">
        <f t="shared" si="23"/>
        <v>0</v>
      </c>
      <c r="P149" s="16">
        <f t="shared" si="24"/>
        <v>0</v>
      </c>
      <c r="Q149" s="16">
        <f t="shared" si="25"/>
        <v>0</v>
      </c>
      <c r="R149" s="230">
        <f t="shared" si="26"/>
        <v>0</v>
      </c>
    </row>
    <row r="150" spans="2:18">
      <c r="B150" s="15" t="str">
        <f t="shared" si="22"/>
        <v/>
      </c>
      <c r="C150" s="16" t="str">
        <f>IFERROR(VLOOKUP(DATA!G148,DATA!$G$4:$J$2149,1,FALSE),"")</f>
        <v/>
      </c>
      <c r="D150" s="16" t="str">
        <f>+IFERROR(VLOOKUP(C150,DATA!$G$4:$H$2000,2,FALSE),"")</f>
        <v/>
      </c>
      <c r="E150" s="16"/>
      <c r="M150" s="19"/>
      <c r="N150" s="73"/>
      <c r="O150" s="230">
        <f t="shared" si="23"/>
        <v>0</v>
      </c>
      <c r="P150" s="16">
        <f t="shared" si="24"/>
        <v>0</v>
      </c>
      <c r="Q150" s="16">
        <f t="shared" si="25"/>
        <v>0</v>
      </c>
      <c r="R150" s="230">
        <f t="shared" si="26"/>
        <v>0</v>
      </c>
    </row>
    <row r="151" spans="2:18">
      <c r="B151" s="15" t="str">
        <f t="shared" si="22"/>
        <v/>
      </c>
      <c r="C151" s="16" t="str">
        <f>IFERROR(VLOOKUP(DATA!G149,DATA!$G$4:$J$2149,1,FALSE),"")</f>
        <v/>
      </c>
      <c r="D151" s="16" t="str">
        <f>+IFERROR(VLOOKUP(C151,DATA!$G$4:$H$2000,2,FALSE),"")</f>
        <v/>
      </c>
      <c r="E151" s="16"/>
      <c r="M151" s="19"/>
      <c r="N151" s="73"/>
      <c r="O151" s="230">
        <f t="shared" si="23"/>
        <v>0</v>
      </c>
      <c r="P151" s="16">
        <f t="shared" si="24"/>
        <v>0</v>
      </c>
      <c r="Q151" s="16">
        <f t="shared" si="25"/>
        <v>0</v>
      </c>
      <c r="R151" s="230">
        <f t="shared" si="26"/>
        <v>0</v>
      </c>
    </row>
    <row r="152" spans="2:18">
      <c r="B152" s="15" t="str">
        <f t="shared" si="22"/>
        <v/>
      </c>
      <c r="C152" s="16" t="str">
        <f>IFERROR(VLOOKUP(DATA!G150,DATA!$G$4:$J$2149,1,FALSE),"")</f>
        <v/>
      </c>
      <c r="D152" s="16" t="str">
        <f>+IFERROR(VLOOKUP(C152,DATA!$G$4:$H$2000,2,FALSE),"")</f>
        <v/>
      </c>
      <c r="E152" s="16"/>
      <c r="M152" s="19"/>
      <c r="N152" s="73"/>
      <c r="O152" s="230">
        <f t="shared" si="23"/>
        <v>0</v>
      </c>
      <c r="P152" s="16">
        <f t="shared" si="24"/>
        <v>0</v>
      </c>
      <c r="Q152" s="16">
        <f t="shared" si="25"/>
        <v>0</v>
      </c>
      <c r="R152" s="230">
        <f t="shared" si="26"/>
        <v>0</v>
      </c>
    </row>
    <row r="153" spans="2:18">
      <c r="B153" s="15" t="str">
        <f t="shared" si="22"/>
        <v/>
      </c>
      <c r="C153" s="16" t="str">
        <f>IFERROR(VLOOKUP(DATA!G151,DATA!$G$4:$J$2149,1,FALSE),"")</f>
        <v/>
      </c>
      <c r="D153" s="16" t="str">
        <f>+IFERROR(VLOOKUP(C153,DATA!$G$4:$H$2000,2,FALSE),"")</f>
        <v/>
      </c>
      <c r="E153" s="16"/>
      <c r="M153" s="19"/>
      <c r="N153" s="73"/>
      <c r="O153" s="230">
        <f t="shared" si="23"/>
        <v>0</v>
      </c>
      <c r="P153" s="16">
        <f t="shared" si="24"/>
        <v>0</v>
      </c>
      <c r="Q153" s="16">
        <f t="shared" si="25"/>
        <v>0</v>
      </c>
      <c r="R153" s="230">
        <f t="shared" si="26"/>
        <v>0</v>
      </c>
    </row>
    <row r="154" spans="2:18">
      <c r="B154" s="15" t="str">
        <f t="shared" si="22"/>
        <v/>
      </c>
      <c r="C154" s="16" t="str">
        <f>IFERROR(VLOOKUP(DATA!G152,DATA!$G$4:$J$2149,1,FALSE),"")</f>
        <v/>
      </c>
      <c r="D154" s="16" t="str">
        <f>+IFERROR(VLOOKUP(C154,DATA!$G$4:$H$2000,2,FALSE),"")</f>
        <v/>
      </c>
      <c r="E154" s="16"/>
      <c r="M154" s="19"/>
      <c r="N154" s="73"/>
      <c r="O154" s="230">
        <f t="shared" si="23"/>
        <v>0</v>
      </c>
      <c r="P154" s="16">
        <f t="shared" si="24"/>
        <v>0</v>
      </c>
      <c r="Q154" s="16">
        <f t="shared" si="25"/>
        <v>0</v>
      </c>
      <c r="R154" s="230">
        <f t="shared" si="26"/>
        <v>0</v>
      </c>
    </row>
    <row r="155" spans="2:18">
      <c r="B155" s="15" t="str">
        <f t="shared" si="22"/>
        <v/>
      </c>
      <c r="C155" s="16" t="str">
        <f>IFERROR(VLOOKUP(DATA!G153,DATA!$G$4:$J$2149,1,FALSE),"")</f>
        <v/>
      </c>
      <c r="D155" s="16" t="str">
        <f>+IFERROR(VLOOKUP(C155,DATA!$G$4:$H$2000,2,FALSE),"")</f>
        <v/>
      </c>
      <c r="E155" s="16"/>
      <c r="M155" s="19"/>
      <c r="N155" s="73"/>
      <c r="O155" s="230">
        <f t="shared" si="23"/>
        <v>0</v>
      </c>
      <c r="P155" s="16">
        <f t="shared" si="24"/>
        <v>0</v>
      </c>
      <c r="Q155" s="16">
        <f t="shared" si="25"/>
        <v>0</v>
      </c>
      <c r="R155" s="230">
        <f t="shared" si="26"/>
        <v>0</v>
      </c>
    </row>
    <row r="156" spans="2:18">
      <c r="B156" s="15" t="str">
        <f t="shared" si="22"/>
        <v/>
      </c>
      <c r="C156" s="16" t="str">
        <f>IFERROR(VLOOKUP(DATA!G154,DATA!$G$4:$J$2149,1,FALSE),"")</f>
        <v/>
      </c>
      <c r="D156" s="16" t="str">
        <f>+IFERROR(VLOOKUP(C156,DATA!$G$4:$H$2000,2,FALSE),"")</f>
        <v/>
      </c>
      <c r="E156" s="16"/>
      <c r="M156" s="19"/>
      <c r="N156" s="73"/>
      <c r="O156" s="230">
        <f t="shared" si="23"/>
        <v>0</v>
      </c>
      <c r="P156" s="16">
        <f t="shared" si="24"/>
        <v>0</v>
      </c>
      <c r="Q156" s="16">
        <f t="shared" si="25"/>
        <v>0</v>
      </c>
      <c r="R156" s="230">
        <f t="shared" si="26"/>
        <v>0</v>
      </c>
    </row>
    <row r="157" spans="2:18">
      <c r="B157" s="15" t="str">
        <f t="shared" si="22"/>
        <v/>
      </c>
      <c r="C157" s="16" t="str">
        <f>IFERROR(VLOOKUP(DATA!G155,DATA!$G$4:$J$2149,1,FALSE),"")</f>
        <v/>
      </c>
      <c r="D157" s="16" t="str">
        <f>+IFERROR(VLOOKUP(C157,DATA!$G$4:$H$2000,2,FALSE),"")</f>
        <v/>
      </c>
      <c r="E157" s="16"/>
      <c r="M157" s="19"/>
      <c r="N157" s="73"/>
      <c r="O157" s="230">
        <f t="shared" si="23"/>
        <v>0</v>
      </c>
      <c r="P157" s="16">
        <f t="shared" si="24"/>
        <v>0</v>
      </c>
      <c r="Q157" s="16">
        <f t="shared" si="25"/>
        <v>0</v>
      </c>
      <c r="R157" s="230">
        <f t="shared" si="26"/>
        <v>0</v>
      </c>
    </row>
    <row r="158" spans="2:18">
      <c r="B158" s="15" t="str">
        <f t="shared" si="22"/>
        <v/>
      </c>
      <c r="C158" s="16" t="str">
        <f>IFERROR(VLOOKUP(DATA!G156,DATA!$G$4:$J$2149,1,FALSE),"")</f>
        <v/>
      </c>
      <c r="D158" s="16" t="str">
        <f>+IFERROR(VLOOKUP(C158,DATA!$G$4:$H$2000,2,FALSE),"")</f>
        <v/>
      </c>
      <c r="E158" s="16"/>
      <c r="M158" s="19"/>
      <c r="N158" s="73"/>
      <c r="O158" s="230">
        <f t="shared" si="23"/>
        <v>0</v>
      </c>
      <c r="P158" s="16">
        <f t="shared" si="24"/>
        <v>0</v>
      </c>
      <c r="Q158" s="16">
        <f t="shared" si="25"/>
        <v>0</v>
      </c>
      <c r="R158" s="230">
        <f t="shared" si="26"/>
        <v>0</v>
      </c>
    </row>
    <row r="159" spans="2:18">
      <c r="B159" s="15" t="str">
        <f t="shared" si="22"/>
        <v/>
      </c>
      <c r="C159" s="16" t="str">
        <f>IFERROR(VLOOKUP(DATA!G157,DATA!$G$4:$J$2149,1,FALSE),"")</f>
        <v/>
      </c>
      <c r="D159" s="16" t="str">
        <f>+IFERROR(VLOOKUP(C159,DATA!$G$4:$H$2000,2,FALSE),"")</f>
        <v/>
      </c>
      <c r="E159" s="16"/>
      <c r="M159" s="19"/>
      <c r="N159" s="73"/>
      <c r="O159" s="230">
        <f t="shared" si="23"/>
        <v>0</v>
      </c>
      <c r="P159" s="16">
        <f t="shared" si="24"/>
        <v>0</v>
      </c>
      <c r="Q159" s="16">
        <f t="shared" si="25"/>
        <v>0</v>
      </c>
      <c r="R159" s="230">
        <f t="shared" si="26"/>
        <v>0</v>
      </c>
    </row>
    <row r="160" spans="2:18">
      <c r="B160" s="15" t="str">
        <f t="shared" si="22"/>
        <v/>
      </c>
      <c r="C160" s="16" t="str">
        <f>IFERROR(VLOOKUP(DATA!G158,DATA!$G$4:$J$2149,1,FALSE),"")</f>
        <v/>
      </c>
      <c r="D160" s="16" t="str">
        <f>+IFERROR(VLOOKUP(C160,DATA!$G$4:$H$2000,2,FALSE),"")</f>
        <v/>
      </c>
      <c r="E160" s="16"/>
      <c r="M160" s="19"/>
      <c r="N160" s="73"/>
      <c r="O160" s="230">
        <f t="shared" si="23"/>
        <v>0</v>
      </c>
      <c r="P160" s="16">
        <f t="shared" si="24"/>
        <v>0</v>
      </c>
      <c r="Q160" s="16">
        <f t="shared" si="25"/>
        <v>0</v>
      </c>
      <c r="R160" s="230">
        <f t="shared" si="26"/>
        <v>0</v>
      </c>
    </row>
    <row r="161" spans="2:18">
      <c r="B161" s="15" t="str">
        <f t="shared" si="22"/>
        <v/>
      </c>
      <c r="C161" s="16" t="str">
        <f>IFERROR(VLOOKUP(DATA!G159,DATA!$G$4:$J$2149,1,FALSE),"")</f>
        <v/>
      </c>
      <c r="D161" s="16" t="str">
        <f>+IFERROR(VLOOKUP(C161,DATA!$G$4:$H$2000,2,FALSE),"")</f>
        <v/>
      </c>
      <c r="E161" s="16"/>
      <c r="M161" s="19"/>
      <c r="N161" s="73"/>
      <c r="O161" s="230">
        <f t="shared" si="23"/>
        <v>0</v>
      </c>
      <c r="P161" s="16">
        <f t="shared" si="24"/>
        <v>0</v>
      </c>
      <c r="Q161" s="16">
        <f t="shared" si="25"/>
        <v>0</v>
      </c>
      <c r="R161" s="230">
        <f t="shared" si="26"/>
        <v>0</v>
      </c>
    </row>
    <row r="162" spans="2:18">
      <c r="B162" s="15" t="str">
        <f t="shared" si="22"/>
        <v/>
      </c>
      <c r="C162" s="16" t="str">
        <f>IFERROR(VLOOKUP(DATA!G160,DATA!$G$4:$J$2149,1,FALSE),"")</f>
        <v/>
      </c>
      <c r="D162" s="16" t="str">
        <f>+IFERROR(VLOOKUP(C162,DATA!$G$4:$H$2000,2,FALSE),"")</f>
        <v/>
      </c>
      <c r="E162" s="16"/>
      <c r="M162" s="19"/>
      <c r="N162" s="73"/>
      <c r="O162" s="230">
        <f t="shared" si="23"/>
        <v>0</v>
      </c>
      <c r="P162" s="16">
        <f t="shared" si="24"/>
        <v>0</v>
      </c>
      <c r="Q162" s="16">
        <f t="shared" si="25"/>
        <v>0</v>
      </c>
      <c r="R162" s="230">
        <f t="shared" si="26"/>
        <v>0</v>
      </c>
    </row>
    <row r="163" spans="2:18">
      <c r="B163" s="15" t="str">
        <f t="shared" ref="B163:B197" si="29">+IF(C163="","",ROW()-5)</f>
        <v/>
      </c>
      <c r="C163" s="16" t="str">
        <f>IFERROR(VLOOKUP(DATA!#REF!,DATA!#REF!,1,FALSE),"")</f>
        <v/>
      </c>
      <c r="D163" s="16" t="str">
        <f>IFERROR(VLOOKUP(C163,DATA!#REF!,2,FALSE),"")</f>
        <v/>
      </c>
      <c r="I163" s="230"/>
      <c r="J163" s="230"/>
      <c r="P163" s="230"/>
      <c r="Q163" s="230"/>
    </row>
    <row r="164" spans="2:18">
      <c r="B164" s="15" t="str">
        <f t="shared" si="29"/>
        <v/>
      </c>
      <c r="C164" s="16" t="str">
        <f>IFERROR(VLOOKUP(DATA!#REF!,DATA!#REF!,1,FALSE),"")</f>
        <v/>
      </c>
      <c r="D164" s="16" t="str">
        <f>IFERROR(VLOOKUP(C164,DATA!#REF!,2,FALSE),"")</f>
        <v/>
      </c>
      <c r="I164" s="230"/>
      <c r="J164" s="230"/>
      <c r="P164" s="230"/>
      <c r="Q164" s="230"/>
    </row>
    <row r="165" spans="2:18">
      <c r="B165" s="15" t="str">
        <f t="shared" si="29"/>
        <v/>
      </c>
      <c r="C165" s="16" t="str">
        <f>IFERROR(VLOOKUP(DATA!#REF!,DATA!#REF!,1,FALSE),"")</f>
        <v/>
      </c>
      <c r="D165" s="16" t="str">
        <f>IFERROR(VLOOKUP(C165,DATA!#REF!,2,FALSE),"")</f>
        <v/>
      </c>
      <c r="I165" s="230"/>
      <c r="J165" s="230"/>
      <c r="P165" s="230"/>
      <c r="Q165" s="230"/>
    </row>
    <row r="166" spans="2:18">
      <c r="B166" s="15" t="str">
        <f t="shared" si="29"/>
        <v/>
      </c>
      <c r="C166" s="16" t="str">
        <f>IFERROR(VLOOKUP(DATA!#REF!,DATA!#REF!,1,FALSE),"")</f>
        <v/>
      </c>
      <c r="D166" s="16" t="str">
        <f>IFERROR(VLOOKUP(C166,DATA!#REF!,2,FALSE),"")</f>
        <v/>
      </c>
      <c r="I166" s="230"/>
      <c r="J166" s="230"/>
      <c r="P166" s="230"/>
      <c r="Q166" s="230"/>
    </row>
    <row r="167" spans="2:18">
      <c r="B167" s="15" t="str">
        <f t="shared" si="29"/>
        <v/>
      </c>
      <c r="C167" s="16" t="str">
        <f>IFERROR(VLOOKUP(DATA!#REF!,DATA!#REF!,1,FALSE),"")</f>
        <v/>
      </c>
      <c r="D167" s="16" t="str">
        <f>IFERROR(VLOOKUP(C167,DATA!#REF!,2,FALSE),"")</f>
        <v/>
      </c>
      <c r="I167" s="230"/>
      <c r="J167" s="230"/>
      <c r="P167" s="230"/>
      <c r="Q167" s="230"/>
    </row>
    <row r="168" spans="2:18">
      <c r="B168" s="15" t="str">
        <f t="shared" si="29"/>
        <v/>
      </c>
      <c r="C168" s="16" t="str">
        <f>IFERROR(VLOOKUP(DATA!#REF!,DATA!#REF!,1,FALSE),"")</f>
        <v/>
      </c>
      <c r="D168" s="16" t="str">
        <f>IFERROR(VLOOKUP(C168,DATA!#REF!,2,FALSE),"")</f>
        <v/>
      </c>
      <c r="I168" s="230"/>
      <c r="J168" s="230"/>
      <c r="P168" s="230"/>
      <c r="Q168" s="230"/>
    </row>
    <row r="169" spans="2:18">
      <c r="B169" s="15" t="str">
        <f t="shared" si="29"/>
        <v/>
      </c>
      <c r="C169" s="16" t="str">
        <f>IFERROR(VLOOKUP(DATA!#REF!,DATA!#REF!,1,FALSE),"")</f>
        <v/>
      </c>
      <c r="D169" s="16" t="str">
        <f>IFERROR(VLOOKUP(C169,DATA!#REF!,2,FALSE),"")</f>
        <v/>
      </c>
      <c r="I169" s="230"/>
      <c r="J169" s="230"/>
      <c r="P169" s="230"/>
      <c r="Q169" s="230"/>
    </row>
    <row r="170" spans="2:18">
      <c r="B170" s="15" t="str">
        <f t="shared" si="29"/>
        <v/>
      </c>
      <c r="C170" s="16" t="str">
        <f>IFERROR(VLOOKUP(DATA!#REF!,DATA!#REF!,1,FALSE),"")</f>
        <v/>
      </c>
      <c r="D170" s="16" t="str">
        <f>IFERROR(VLOOKUP(C170,DATA!#REF!,2,FALSE),"")</f>
        <v/>
      </c>
      <c r="I170" s="230"/>
      <c r="J170" s="230"/>
      <c r="P170" s="230"/>
      <c r="Q170" s="230"/>
    </row>
    <row r="171" spans="2:18">
      <c r="B171" s="15" t="str">
        <f t="shared" si="29"/>
        <v/>
      </c>
      <c r="C171" s="16" t="str">
        <f>IFERROR(VLOOKUP(DATA!#REF!,DATA!#REF!,1,FALSE),"")</f>
        <v/>
      </c>
      <c r="D171" s="16" t="str">
        <f>IFERROR(VLOOKUP(C171,DATA!#REF!,2,FALSE),"")</f>
        <v/>
      </c>
      <c r="I171" s="230"/>
      <c r="J171" s="230"/>
      <c r="P171" s="230"/>
      <c r="Q171" s="230"/>
    </row>
    <row r="172" spans="2:18">
      <c r="B172" s="15" t="str">
        <f t="shared" si="29"/>
        <v/>
      </c>
      <c r="C172" s="16" t="str">
        <f>IFERROR(VLOOKUP(DATA!#REF!,DATA!#REF!,1,FALSE),"")</f>
        <v/>
      </c>
      <c r="D172" s="16" t="str">
        <f>IFERROR(VLOOKUP(C172,DATA!#REF!,2,FALSE),"")</f>
        <v/>
      </c>
      <c r="I172" s="230"/>
      <c r="J172" s="230"/>
      <c r="P172" s="230"/>
      <c r="Q172" s="230"/>
    </row>
    <row r="173" spans="2:18">
      <c r="B173" s="15" t="str">
        <f t="shared" si="29"/>
        <v/>
      </c>
      <c r="C173" s="16" t="str">
        <f>IFERROR(VLOOKUP(DATA!#REF!,DATA!#REF!,1,FALSE),"")</f>
        <v/>
      </c>
      <c r="D173" s="16" t="str">
        <f>IFERROR(VLOOKUP(C173,DATA!#REF!,2,FALSE),"")</f>
        <v/>
      </c>
      <c r="I173" s="230"/>
      <c r="J173" s="230"/>
      <c r="P173" s="230"/>
      <c r="Q173" s="230"/>
    </row>
    <row r="174" spans="2:18">
      <c r="B174" s="15" t="str">
        <f t="shared" si="29"/>
        <v/>
      </c>
      <c r="C174" s="16" t="str">
        <f>IFERROR(VLOOKUP(DATA!#REF!,DATA!#REF!,1,FALSE),"")</f>
        <v/>
      </c>
      <c r="D174" s="16" t="str">
        <f>IFERROR(VLOOKUP(C174,DATA!#REF!,2,FALSE),"")</f>
        <v/>
      </c>
      <c r="I174" s="230"/>
      <c r="J174" s="230"/>
      <c r="P174" s="230"/>
      <c r="Q174" s="230"/>
    </row>
    <row r="175" spans="2:18">
      <c r="B175" s="15" t="str">
        <f t="shared" si="29"/>
        <v/>
      </c>
      <c r="C175" s="16" t="str">
        <f>IFERROR(VLOOKUP(DATA!#REF!,DATA!#REF!,1,FALSE),"")</f>
        <v/>
      </c>
      <c r="D175" s="16" t="str">
        <f>IFERROR(VLOOKUP(C175,DATA!#REF!,2,FALSE),"")</f>
        <v/>
      </c>
      <c r="I175" s="230"/>
      <c r="J175" s="230"/>
      <c r="P175" s="230"/>
      <c r="Q175" s="230"/>
    </row>
    <row r="176" spans="2:18">
      <c r="B176" s="15" t="str">
        <f t="shared" si="29"/>
        <v/>
      </c>
      <c r="C176" s="16" t="str">
        <f>IFERROR(VLOOKUP(DATA!#REF!,DATA!#REF!,1,FALSE),"")</f>
        <v/>
      </c>
      <c r="D176" s="16" t="str">
        <f>IFERROR(VLOOKUP(C176,DATA!#REF!,2,FALSE),"")</f>
        <v/>
      </c>
      <c r="I176" s="230"/>
      <c r="J176" s="230"/>
      <c r="P176" s="230"/>
      <c r="Q176" s="230"/>
    </row>
    <row r="177" spans="2:4" s="230" customFormat="1">
      <c r="B177" s="15" t="str">
        <f t="shared" si="29"/>
        <v/>
      </c>
      <c r="C177" s="16" t="str">
        <f>IFERROR(VLOOKUP(DATA!#REF!,DATA!#REF!,1,FALSE),"")</f>
        <v/>
      </c>
      <c r="D177" s="16" t="str">
        <f>IFERROR(VLOOKUP(C177,DATA!#REF!,2,FALSE),"")</f>
        <v/>
      </c>
    </row>
    <row r="178" spans="2:4" s="230" customFormat="1">
      <c r="B178" s="15" t="str">
        <f t="shared" si="29"/>
        <v/>
      </c>
      <c r="C178" s="16" t="str">
        <f>IFERROR(VLOOKUP(DATA!#REF!,DATA!#REF!,1,FALSE),"")</f>
        <v/>
      </c>
      <c r="D178" s="16" t="str">
        <f>IFERROR(VLOOKUP(C178,DATA!#REF!,2,FALSE),"")</f>
        <v/>
      </c>
    </row>
    <row r="179" spans="2:4" s="230" customFormat="1">
      <c r="B179" s="15" t="str">
        <f t="shared" si="29"/>
        <v/>
      </c>
      <c r="C179" s="16" t="str">
        <f>IFERROR(VLOOKUP(DATA!#REF!,DATA!#REF!,1,FALSE),"")</f>
        <v/>
      </c>
      <c r="D179" s="16" t="str">
        <f>IFERROR(VLOOKUP(C179,DATA!#REF!,2,FALSE),"")</f>
        <v/>
      </c>
    </row>
    <row r="180" spans="2:4" s="230" customFormat="1">
      <c r="B180" s="15" t="str">
        <f t="shared" si="29"/>
        <v/>
      </c>
      <c r="C180" s="16" t="str">
        <f>IFERROR(VLOOKUP(DATA!#REF!,DATA!#REF!,1,FALSE),"")</f>
        <v/>
      </c>
      <c r="D180" s="16" t="str">
        <f>IFERROR(VLOOKUP(C180,DATA!#REF!,2,FALSE),"")</f>
        <v/>
      </c>
    </row>
    <row r="181" spans="2:4" s="230" customFormat="1">
      <c r="B181" s="15" t="str">
        <f t="shared" si="29"/>
        <v/>
      </c>
      <c r="C181" s="16" t="str">
        <f>IFERROR(VLOOKUP(DATA!#REF!,DATA!#REF!,1,FALSE),"")</f>
        <v/>
      </c>
      <c r="D181" s="16" t="str">
        <f>IFERROR(VLOOKUP(C181,DATA!#REF!,2,FALSE),"")</f>
        <v/>
      </c>
    </row>
    <row r="182" spans="2:4" s="230" customFormat="1">
      <c r="B182" s="15" t="str">
        <f t="shared" si="29"/>
        <v/>
      </c>
      <c r="C182" s="16" t="str">
        <f>IFERROR(VLOOKUP(DATA!#REF!,DATA!#REF!,1,FALSE),"")</f>
        <v/>
      </c>
      <c r="D182" s="16" t="str">
        <f>IFERROR(VLOOKUP(C182,DATA!#REF!,2,FALSE),"")</f>
        <v/>
      </c>
    </row>
    <row r="183" spans="2:4" s="230" customFormat="1">
      <c r="B183" s="15" t="str">
        <f t="shared" si="29"/>
        <v/>
      </c>
      <c r="C183" s="16" t="str">
        <f>IFERROR(VLOOKUP(DATA!#REF!,DATA!#REF!,1,FALSE),"")</f>
        <v/>
      </c>
      <c r="D183" s="16" t="str">
        <f>IFERROR(VLOOKUP(C183,DATA!#REF!,2,FALSE),"")</f>
        <v/>
      </c>
    </row>
    <row r="184" spans="2:4" s="230" customFormat="1">
      <c r="B184" s="15" t="str">
        <f t="shared" si="29"/>
        <v/>
      </c>
      <c r="C184" s="16" t="str">
        <f>IFERROR(VLOOKUP(DATA!#REF!,DATA!#REF!,1,FALSE),"")</f>
        <v/>
      </c>
      <c r="D184" s="16" t="str">
        <f>IFERROR(VLOOKUP(C184,DATA!#REF!,2,FALSE),"")</f>
        <v/>
      </c>
    </row>
    <row r="185" spans="2:4" s="230" customFormat="1">
      <c r="B185" s="15" t="str">
        <f t="shared" si="29"/>
        <v/>
      </c>
      <c r="C185" s="16" t="str">
        <f>IFERROR(VLOOKUP(DATA!#REF!,DATA!#REF!,1,FALSE),"")</f>
        <v/>
      </c>
      <c r="D185" s="16" t="str">
        <f>IFERROR(VLOOKUP(C185,DATA!#REF!,2,FALSE),"")</f>
        <v/>
      </c>
    </row>
    <row r="186" spans="2:4" s="230" customFormat="1">
      <c r="B186" s="15" t="str">
        <f t="shared" si="29"/>
        <v/>
      </c>
      <c r="C186" s="16" t="str">
        <f>IFERROR(VLOOKUP(DATA!#REF!,DATA!#REF!,1,FALSE),"")</f>
        <v/>
      </c>
      <c r="D186" s="16" t="str">
        <f>IFERROR(VLOOKUP(C186,DATA!#REF!,2,FALSE),"")</f>
        <v/>
      </c>
    </row>
    <row r="187" spans="2:4" s="230" customFormat="1">
      <c r="B187" s="15" t="str">
        <f t="shared" si="29"/>
        <v/>
      </c>
      <c r="C187" s="16" t="str">
        <f>IFERROR(VLOOKUP(DATA!#REF!,DATA!#REF!,1,FALSE),"")</f>
        <v/>
      </c>
      <c r="D187" s="16" t="str">
        <f>IFERROR(VLOOKUP(C187,DATA!#REF!,2,FALSE),"")</f>
        <v/>
      </c>
    </row>
    <row r="188" spans="2:4" s="230" customFormat="1">
      <c r="B188" s="15" t="str">
        <f t="shared" si="29"/>
        <v/>
      </c>
      <c r="C188" s="16" t="str">
        <f>IFERROR(VLOOKUP(DATA!#REF!,DATA!#REF!,1,FALSE),"")</f>
        <v/>
      </c>
      <c r="D188" s="16" t="str">
        <f>IFERROR(VLOOKUP(C188,DATA!#REF!,2,FALSE),"")</f>
        <v/>
      </c>
    </row>
    <row r="189" spans="2:4" s="230" customFormat="1">
      <c r="B189" s="15" t="str">
        <f t="shared" si="29"/>
        <v/>
      </c>
      <c r="C189" s="16" t="str">
        <f>IFERROR(VLOOKUP(DATA!#REF!,DATA!#REF!,1,FALSE),"")</f>
        <v/>
      </c>
      <c r="D189" s="16" t="str">
        <f>IFERROR(VLOOKUP(C189,DATA!#REF!,2,FALSE),"")</f>
        <v/>
      </c>
    </row>
    <row r="190" spans="2:4" s="230" customFormat="1">
      <c r="B190" s="15" t="str">
        <f t="shared" si="29"/>
        <v/>
      </c>
      <c r="C190" s="16" t="str">
        <f>IFERROR(VLOOKUP(DATA!#REF!,DATA!#REF!,1,FALSE),"")</f>
        <v/>
      </c>
      <c r="D190" s="16" t="str">
        <f>IFERROR(VLOOKUP(C190,DATA!#REF!,2,FALSE),"")</f>
        <v/>
      </c>
    </row>
    <row r="191" spans="2:4" s="230" customFormat="1">
      <c r="B191" s="15" t="str">
        <f t="shared" si="29"/>
        <v/>
      </c>
      <c r="C191" s="16" t="str">
        <f>IFERROR(VLOOKUP(DATA!#REF!,DATA!#REF!,1,FALSE),"")</f>
        <v/>
      </c>
      <c r="D191" s="16" t="str">
        <f>IFERROR(VLOOKUP(C191,DATA!#REF!,2,FALSE),"")</f>
        <v/>
      </c>
    </row>
    <row r="192" spans="2:4" s="230" customFormat="1">
      <c r="B192" s="15" t="str">
        <f t="shared" si="29"/>
        <v/>
      </c>
      <c r="C192" s="16" t="str">
        <f>IFERROR(VLOOKUP(DATA!#REF!,DATA!#REF!,1,FALSE),"")</f>
        <v/>
      </c>
      <c r="D192" s="16" t="str">
        <f>IFERROR(VLOOKUP(C192,DATA!#REF!,2,FALSE),"")</f>
        <v/>
      </c>
    </row>
    <row r="193" spans="2:4" s="230" customFormat="1">
      <c r="B193" s="15" t="str">
        <f t="shared" si="29"/>
        <v/>
      </c>
      <c r="C193" s="16" t="str">
        <f>IFERROR(VLOOKUP(DATA!#REF!,DATA!#REF!,1,FALSE),"")</f>
        <v/>
      </c>
      <c r="D193" s="16" t="str">
        <f>IFERROR(VLOOKUP(C193,DATA!#REF!,2,FALSE),"")</f>
        <v/>
      </c>
    </row>
    <row r="194" spans="2:4" s="230" customFormat="1">
      <c r="B194" s="15" t="str">
        <f t="shared" si="29"/>
        <v/>
      </c>
      <c r="C194" s="16" t="str">
        <f>IFERROR(VLOOKUP(DATA!#REF!,DATA!#REF!,1,FALSE),"")</f>
        <v/>
      </c>
      <c r="D194" s="16" t="str">
        <f>IFERROR(VLOOKUP(C194,DATA!#REF!,2,FALSE),"")</f>
        <v/>
      </c>
    </row>
    <row r="195" spans="2:4" s="230" customFormat="1">
      <c r="B195" s="15" t="str">
        <f t="shared" si="29"/>
        <v/>
      </c>
      <c r="C195" s="16" t="str">
        <f>IFERROR(VLOOKUP(DATA!#REF!,DATA!#REF!,1,FALSE),"")</f>
        <v/>
      </c>
      <c r="D195" s="16" t="str">
        <f>IFERROR(VLOOKUP(C195,DATA!#REF!,2,FALSE),"")</f>
        <v/>
      </c>
    </row>
    <row r="196" spans="2:4" s="230" customFormat="1">
      <c r="B196" s="15" t="str">
        <f t="shared" si="29"/>
        <v/>
      </c>
      <c r="C196" s="16" t="str">
        <f>IFERROR(VLOOKUP(DATA!#REF!,DATA!#REF!,1,FALSE),"")</f>
        <v/>
      </c>
      <c r="D196" s="16" t="str">
        <f>IFERROR(VLOOKUP(C196,DATA!#REF!,2,FALSE),"")</f>
        <v/>
      </c>
    </row>
    <row r="197" spans="2:4" s="230" customFormat="1">
      <c r="B197" s="15" t="str">
        <f t="shared" si="29"/>
        <v/>
      </c>
      <c r="C197" s="16" t="str">
        <f>IFERROR(VLOOKUP(DATA!#REF!,DATA!#REF!,1,FALSE),"")</f>
        <v/>
      </c>
      <c r="D197" s="16" t="str">
        <f>IFERROR(VLOOKUP(C197,DATA!#REF!,2,FALSE),"")</f>
        <v/>
      </c>
    </row>
    <row r="198" spans="2:4" s="230" customFormat="1">
      <c r="B198" s="15" t="str">
        <f t="shared" ref="B198:B261" si="30">+IF(C198="","",ROW()-5)</f>
        <v/>
      </c>
      <c r="C198" s="16" t="str">
        <f>IFERROR(VLOOKUP(DATA!#REF!,DATA!#REF!,1,FALSE),"")</f>
        <v/>
      </c>
      <c r="D198" s="16" t="str">
        <f>IFERROR(VLOOKUP(C198,DATA!#REF!,2,FALSE),"")</f>
        <v/>
      </c>
    </row>
    <row r="199" spans="2:4" s="230" customFormat="1">
      <c r="B199" s="15" t="str">
        <f t="shared" si="30"/>
        <v/>
      </c>
      <c r="C199" s="16" t="str">
        <f>IFERROR(VLOOKUP(DATA!#REF!,DATA!#REF!,1,FALSE),"")</f>
        <v/>
      </c>
      <c r="D199" s="16" t="str">
        <f>IFERROR(VLOOKUP(C199,DATA!#REF!,2,FALSE),"")</f>
        <v/>
      </c>
    </row>
    <row r="200" spans="2:4" s="230" customFormat="1">
      <c r="B200" s="15" t="str">
        <f t="shared" si="30"/>
        <v/>
      </c>
      <c r="C200" s="16" t="str">
        <f>IFERROR(VLOOKUP(DATA!#REF!,DATA!#REF!,1,FALSE),"")</f>
        <v/>
      </c>
      <c r="D200" s="16" t="str">
        <f>IFERROR(VLOOKUP(C200,DATA!#REF!,2,FALSE),"")</f>
        <v/>
      </c>
    </row>
    <row r="201" spans="2:4" s="230" customFormat="1">
      <c r="B201" s="15" t="str">
        <f t="shared" si="30"/>
        <v/>
      </c>
      <c r="C201" s="16" t="str">
        <f>IFERROR(VLOOKUP(DATA!#REF!,DATA!#REF!,1,FALSE),"")</f>
        <v/>
      </c>
      <c r="D201" s="16" t="str">
        <f>IFERROR(VLOOKUP(C201,DATA!#REF!,2,FALSE),"")</f>
        <v/>
      </c>
    </row>
    <row r="202" spans="2:4" s="230" customFormat="1">
      <c r="B202" s="15" t="str">
        <f t="shared" si="30"/>
        <v/>
      </c>
      <c r="C202" s="16" t="str">
        <f>IFERROR(VLOOKUP(DATA!#REF!,DATA!#REF!,1,FALSE),"")</f>
        <v/>
      </c>
      <c r="D202" s="16" t="str">
        <f>IFERROR(VLOOKUP(C202,DATA!#REF!,2,FALSE),"")</f>
        <v/>
      </c>
    </row>
    <row r="203" spans="2:4" s="230" customFormat="1">
      <c r="B203" s="15" t="str">
        <f t="shared" si="30"/>
        <v/>
      </c>
      <c r="C203" s="16" t="str">
        <f>IFERROR(VLOOKUP(DATA!#REF!,DATA!#REF!,1,FALSE),"")</f>
        <v/>
      </c>
      <c r="D203" s="16" t="str">
        <f>IFERROR(VLOOKUP(C203,DATA!#REF!,2,FALSE),"")</f>
        <v/>
      </c>
    </row>
    <row r="204" spans="2:4" s="230" customFormat="1">
      <c r="B204" s="15" t="str">
        <f t="shared" si="30"/>
        <v/>
      </c>
      <c r="C204" s="16" t="str">
        <f>IFERROR(VLOOKUP(DATA!#REF!,DATA!#REF!,1,FALSE),"")</f>
        <v/>
      </c>
      <c r="D204" s="16" t="str">
        <f>IFERROR(VLOOKUP(C204,DATA!#REF!,2,FALSE),"")</f>
        <v/>
      </c>
    </row>
    <row r="205" spans="2:4" s="230" customFormat="1">
      <c r="B205" s="15" t="str">
        <f t="shared" si="30"/>
        <v/>
      </c>
      <c r="C205" s="16" t="str">
        <f>IFERROR(VLOOKUP(DATA!#REF!,DATA!#REF!,1,FALSE),"")</f>
        <v/>
      </c>
      <c r="D205" s="16" t="str">
        <f>IFERROR(VLOOKUP(C205,DATA!#REF!,2,FALSE),"")</f>
        <v/>
      </c>
    </row>
    <row r="206" spans="2:4" s="230" customFormat="1">
      <c r="B206" s="15" t="str">
        <f t="shared" si="30"/>
        <v/>
      </c>
      <c r="C206" s="16" t="str">
        <f>IFERROR(VLOOKUP(DATA!#REF!,DATA!#REF!,1,FALSE),"")</f>
        <v/>
      </c>
      <c r="D206" s="16" t="str">
        <f>IFERROR(VLOOKUP(C206,DATA!#REF!,2,FALSE),"")</f>
        <v/>
      </c>
    </row>
    <row r="207" spans="2:4" s="230" customFormat="1">
      <c r="B207" s="15" t="str">
        <f t="shared" si="30"/>
        <v/>
      </c>
      <c r="C207" s="16" t="str">
        <f>IFERROR(VLOOKUP(DATA!#REF!,DATA!#REF!,1,FALSE),"")</f>
        <v/>
      </c>
      <c r="D207" s="16" t="str">
        <f>IFERROR(VLOOKUP(C207,DATA!#REF!,2,FALSE),"")</f>
        <v/>
      </c>
    </row>
    <row r="208" spans="2:4" s="230" customFormat="1">
      <c r="B208" s="15" t="str">
        <f t="shared" si="30"/>
        <v/>
      </c>
      <c r="C208" s="16" t="str">
        <f>IFERROR(VLOOKUP(DATA!#REF!,DATA!#REF!,1,FALSE),"")</f>
        <v/>
      </c>
      <c r="D208" s="16" t="str">
        <f>IFERROR(VLOOKUP(C208,DATA!#REF!,2,FALSE),"")</f>
        <v/>
      </c>
    </row>
    <row r="209" spans="2:4" s="230" customFormat="1">
      <c r="B209" s="15" t="str">
        <f t="shared" si="30"/>
        <v/>
      </c>
      <c r="C209" s="16" t="str">
        <f>IFERROR(VLOOKUP(DATA!#REF!,DATA!#REF!,1,FALSE),"")</f>
        <v/>
      </c>
      <c r="D209" s="16" t="str">
        <f>IFERROR(VLOOKUP(C209,DATA!#REF!,2,FALSE),"")</f>
        <v/>
      </c>
    </row>
    <row r="210" spans="2:4" s="230" customFormat="1">
      <c r="B210" s="15" t="str">
        <f t="shared" si="30"/>
        <v/>
      </c>
      <c r="C210" s="16" t="str">
        <f>IFERROR(VLOOKUP(DATA!#REF!,DATA!#REF!,1,FALSE),"")</f>
        <v/>
      </c>
      <c r="D210" s="16" t="str">
        <f>IFERROR(VLOOKUP(C210,DATA!#REF!,2,FALSE),"")</f>
        <v/>
      </c>
    </row>
    <row r="211" spans="2:4" s="230" customFormat="1">
      <c r="B211" s="15" t="str">
        <f t="shared" si="30"/>
        <v/>
      </c>
      <c r="C211" s="16" t="str">
        <f>IFERROR(VLOOKUP(DATA!#REF!,DATA!#REF!,1,FALSE),"")</f>
        <v/>
      </c>
      <c r="D211" s="16" t="str">
        <f>IFERROR(VLOOKUP(C211,DATA!#REF!,2,FALSE),"")</f>
        <v/>
      </c>
    </row>
    <row r="212" spans="2:4" s="230" customFormat="1">
      <c r="B212" s="15" t="str">
        <f t="shared" si="30"/>
        <v/>
      </c>
      <c r="C212" s="16" t="str">
        <f>IFERROR(VLOOKUP(DATA!#REF!,DATA!#REF!,1,FALSE),"")</f>
        <v/>
      </c>
      <c r="D212" s="16" t="str">
        <f>IFERROR(VLOOKUP(C212,DATA!#REF!,2,FALSE),"")</f>
        <v/>
      </c>
    </row>
    <row r="213" spans="2:4" s="230" customFormat="1">
      <c r="B213" s="15" t="str">
        <f t="shared" si="30"/>
        <v/>
      </c>
      <c r="C213" s="16" t="str">
        <f>IFERROR(VLOOKUP(DATA!#REF!,DATA!#REF!,1,FALSE),"")</f>
        <v/>
      </c>
      <c r="D213" s="16" t="str">
        <f>IFERROR(VLOOKUP(C213,DATA!#REF!,2,FALSE),"")</f>
        <v/>
      </c>
    </row>
    <row r="214" spans="2:4" s="230" customFormat="1">
      <c r="B214" s="15" t="str">
        <f t="shared" si="30"/>
        <v/>
      </c>
      <c r="C214" s="16" t="str">
        <f>IFERROR(VLOOKUP(DATA!#REF!,DATA!#REF!,1,FALSE),"")</f>
        <v/>
      </c>
      <c r="D214" s="16" t="str">
        <f>IFERROR(VLOOKUP(C214,DATA!#REF!,2,FALSE),"")</f>
        <v/>
      </c>
    </row>
    <row r="215" spans="2:4" s="230" customFormat="1">
      <c r="B215" s="15" t="str">
        <f t="shared" si="30"/>
        <v/>
      </c>
      <c r="C215" s="16" t="str">
        <f>IFERROR(VLOOKUP(DATA!#REF!,DATA!#REF!,1,FALSE),"")</f>
        <v/>
      </c>
      <c r="D215" s="16" t="str">
        <f>IFERROR(VLOOKUP(C215,DATA!#REF!,2,FALSE),"")</f>
        <v/>
      </c>
    </row>
    <row r="216" spans="2:4" s="230" customFormat="1">
      <c r="B216" s="15" t="str">
        <f t="shared" si="30"/>
        <v/>
      </c>
      <c r="C216" s="16" t="str">
        <f>IFERROR(VLOOKUP(DATA!#REF!,DATA!#REF!,1,FALSE),"")</f>
        <v/>
      </c>
      <c r="D216" s="16" t="str">
        <f>IFERROR(VLOOKUP(C216,DATA!#REF!,2,FALSE),"")</f>
        <v/>
      </c>
    </row>
    <row r="217" spans="2:4" s="230" customFormat="1">
      <c r="B217" s="15" t="str">
        <f t="shared" si="30"/>
        <v/>
      </c>
      <c r="C217" s="16" t="str">
        <f>IFERROR(VLOOKUP(DATA!#REF!,DATA!#REF!,1,FALSE),"")</f>
        <v/>
      </c>
      <c r="D217" s="16" t="str">
        <f>IFERROR(VLOOKUP(C217,DATA!#REF!,2,FALSE),"")</f>
        <v/>
      </c>
    </row>
    <row r="218" spans="2:4" s="230" customFormat="1">
      <c r="B218" s="15" t="str">
        <f t="shared" si="30"/>
        <v/>
      </c>
      <c r="C218" s="16" t="str">
        <f>IFERROR(VLOOKUP(DATA!#REF!,DATA!#REF!,1,FALSE),"")</f>
        <v/>
      </c>
      <c r="D218" s="16" t="str">
        <f>IFERROR(VLOOKUP(C218,DATA!#REF!,2,FALSE),"")</f>
        <v/>
      </c>
    </row>
    <row r="219" spans="2:4" s="230" customFormat="1">
      <c r="B219" s="15" t="str">
        <f t="shared" si="30"/>
        <v/>
      </c>
      <c r="C219" s="16" t="str">
        <f>IFERROR(VLOOKUP(DATA!#REF!,DATA!#REF!,1,FALSE),"")</f>
        <v/>
      </c>
      <c r="D219" s="16" t="str">
        <f>IFERROR(VLOOKUP(C219,DATA!#REF!,2,FALSE),"")</f>
        <v/>
      </c>
    </row>
    <row r="220" spans="2:4" s="230" customFormat="1">
      <c r="B220" s="15" t="str">
        <f t="shared" si="30"/>
        <v/>
      </c>
      <c r="C220" s="16" t="str">
        <f>IFERROR(VLOOKUP(DATA!#REF!,DATA!#REF!,1,FALSE),"")</f>
        <v/>
      </c>
      <c r="D220" s="16" t="str">
        <f>IFERROR(VLOOKUP(C220,DATA!#REF!,2,FALSE),"")</f>
        <v/>
      </c>
    </row>
    <row r="221" spans="2:4" s="230" customFormat="1">
      <c r="B221" s="15" t="str">
        <f t="shared" si="30"/>
        <v/>
      </c>
      <c r="C221" s="16" t="str">
        <f>IFERROR(VLOOKUP(DATA!#REF!,DATA!#REF!,1,FALSE),"")</f>
        <v/>
      </c>
      <c r="D221" s="16" t="str">
        <f>IFERROR(VLOOKUP(C221,DATA!#REF!,2,FALSE),"")</f>
        <v/>
      </c>
    </row>
    <row r="222" spans="2:4" s="230" customFormat="1">
      <c r="B222" s="15" t="str">
        <f t="shared" si="30"/>
        <v/>
      </c>
      <c r="C222" s="16" t="str">
        <f>IFERROR(VLOOKUP(DATA!#REF!,DATA!#REF!,1,FALSE),"")</f>
        <v/>
      </c>
      <c r="D222" s="16" t="str">
        <f>IFERROR(VLOOKUP(C222,DATA!#REF!,2,FALSE),"")</f>
        <v/>
      </c>
    </row>
    <row r="223" spans="2:4" s="230" customFormat="1">
      <c r="B223" s="15" t="str">
        <f t="shared" si="30"/>
        <v/>
      </c>
      <c r="C223" s="16" t="str">
        <f>IFERROR(VLOOKUP(DATA!#REF!,DATA!#REF!,1,FALSE),"")</f>
        <v/>
      </c>
      <c r="D223" s="16" t="str">
        <f>IFERROR(VLOOKUP(C223,DATA!#REF!,2,FALSE),"")</f>
        <v/>
      </c>
    </row>
    <row r="224" spans="2:4" s="230" customFormat="1">
      <c r="B224" s="15" t="str">
        <f t="shared" si="30"/>
        <v/>
      </c>
      <c r="C224" s="16" t="str">
        <f>IFERROR(VLOOKUP(DATA!#REF!,DATA!#REF!,1,FALSE),"")</f>
        <v/>
      </c>
      <c r="D224" s="16" t="str">
        <f>IFERROR(VLOOKUP(C224,DATA!#REF!,2,FALSE),"")</f>
        <v/>
      </c>
    </row>
    <row r="225" spans="2:4" s="230" customFormat="1">
      <c r="B225" s="15" t="str">
        <f t="shared" si="30"/>
        <v/>
      </c>
      <c r="C225" s="16" t="str">
        <f>IFERROR(VLOOKUP(DATA!#REF!,DATA!#REF!,1,FALSE),"")</f>
        <v/>
      </c>
      <c r="D225" s="16" t="str">
        <f>IFERROR(VLOOKUP(C225,DATA!#REF!,2,FALSE),"")</f>
        <v/>
      </c>
    </row>
    <row r="226" spans="2:4" s="230" customFormat="1">
      <c r="B226" s="15" t="str">
        <f t="shared" si="30"/>
        <v/>
      </c>
      <c r="C226" s="16" t="str">
        <f>IFERROR(VLOOKUP(DATA!#REF!,DATA!#REF!,1,FALSE),"")</f>
        <v/>
      </c>
      <c r="D226" s="16" t="str">
        <f>IFERROR(VLOOKUP(C226,DATA!#REF!,2,FALSE),"")</f>
        <v/>
      </c>
    </row>
    <row r="227" spans="2:4" s="230" customFormat="1">
      <c r="B227" s="15" t="str">
        <f t="shared" si="30"/>
        <v/>
      </c>
      <c r="C227" s="16" t="str">
        <f>IFERROR(VLOOKUP(DATA!#REF!,DATA!#REF!,1,FALSE),"")</f>
        <v/>
      </c>
      <c r="D227" s="16" t="str">
        <f>IFERROR(VLOOKUP(C227,DATA!#REF!,2,FALSE),"")</f>
        <v/>
      </c>
    </row>
    <row r="228" spans="2:4" s="230" customFormat="1">
      <c r="B228" s="15" t="str">
        <f t="shared" si="30"/>
        <v/>
      </c>
      <c r="C228" s="16" t="str">
        <f>IFERROR(VLOOKUP(DATA!#REF!,DATA!#REF!,1,FALSE),"")</f>
        <v/>
      </c>
      <c r="D228" s="16" t="str">
        <f>IFERROR(VLOOKUP(C228,DATA!#REF!,2,FALSE),"")</f>
        <v/>
      </c>
    </row>
    <row r="229" spans="2:4" s="230" customFormat="1">
      <c r="B229" s="15" t="str">
        <f t="shared" si="30"/>
        <v/>
      </c>
      <c r="C229" s="16" t="str">
        <f>IFERROR(VLOOKUP(DATA!#REF!,DATA!#REF!,1,FALSE),"")</f>
        <v/>
      </c>
      <c r="D229" s="16" t="str">
        <f>IFERROR(VLOOKUP(C229,DATA!#REF!,2,FALSE),"")</f>
        <v/>
      </c>
    </row>
    <row r="230" spans="2:4" s="230" customFormat="1">
      <c r="B230" s="15" t="str">
        <f t="shared" si="30"/>
        <v/>
      </c>
      <c r="C230" s="16" t="str">
        <f>IFERROR(VLOOKUP(DATA!#REF!,DATA!#REF!,1,FALSE),"")</f>
        <v/>
      </c>
      <c r="D230" s="16" t="str">
        <f>IFERROR(VLOOKUP(C230,DATA!#REF!,2,FALSE),"")</f>
        <v/>
      </c>
    </row>
    <row r="231" spans="2:4" s="230" customFormat="1">
      <c r="B231" s="15" t="str">
        <f t="shared" si="30"/>
        <v/>
      </c>
      <c r="C231" s="16" t="str">
        <f>IFERROR(VLOOKUP(DATA!#REF!,DATA!#REF!,1,FALSE),"")</f>
        <v/>
      </c>
      <c r="D231" s="16" t="str">
        <f>IFERROR(VLOOKUP(C231,DATA!#REF!,2,FALSE),"")</f>
        <v/>
      </c>
    </row>
    <row r="232" spans="2:4" s="230" customFormat="1">
      <c r="B232" s="15" t="str">
        <f t="shared" si="30"/>
        <v/>
      </c>
      <c r="C232" s="16" t="str">
        <f>IFERROR(VLOOKUP(DATA!#REF!,DATA!#REF!,1,FALSE),"")</f>
        <v/>
      </c>
      <c r="D232" s="16" t="str">
        <f>IFERROR(VLOOKUP(C232,DATA!#REF!,2,FALSE),"")</f>
        <v/>
      </c>
    </row>
    <row r="233" spans="2:4" s="230" customFormat="1">
      <c r="B233" s="15" t="str">
        <f t="shared" si="30"/>
        <v/>
      </c>
      <c r="C233" s="16" t="str">
        <f>IFERROR(VLOOKUP(DATA!#REF!,DATA!#REF!,1,FALSE),"")</f>
        <v/>
      </c>
      <c r="D233" s="16" t="str">
        <f>IFERROR(VLOOKUP(C233,DATA!#REF!,2,FALSE),"")</f>
        <v/>
      </c>
    </row>
    <row r="234" spans="2:4" s="230" customFormat="1">
      <c r="B234" s="15" t="str">
        <f t="shared" si="30"/>
        <v/>
      </c>
      <c r="C234" s="16" t="str">
        <f>IFERROR(VLOOKUP(DATA!#REF!,DATA!#REF!,1,FALSE),"")</f>
        <v/>
      </c>
      <c r="D234" s="16" t="str">
        <f>IFERROR(VLOOKUP(C234,DATA!#REF!,2,FALSE),"")</f>
        <v/>
      </c>
    </row>
    <row r="235" spans="2:4" s="230" customFormat="1">
      <c r="B235" s="15" t="str">
        <f t="shared" si="30"/>
        <v/>
      </c>
      <c r="C235" s="16" t="str">
        <f>IFERROR(VLOOKUP(DATA!#REF!,DATA!#REF!,1,FALSE),"")</f>
        <v/>
      </c>
      <c r="D235" s="16" t="str">
        <f>IFERROR(VLOOKUP(C235,DATA!#REF!,2,FALSE),"")</f>
        <v/>
      </c>
    </row>
    <row r="236" spans="2:4" s="230" customFormat="1">
      <c r="B236" s="15" t="str">
        <f t="shared" si="30"/>
        <v/>
      </c>
      <c r="C236" s="16" t="str">
        <f>IFERROR(VLOOKUP(DATA!#REF!,DATA!#REF!,1,FALSE),"")</f>
        <v/>
      </c>
      <c r="D236" s="16" t="str">
        <f>IFERROR(VLOOKUP(C236,DATA!#REF!,2,FALSE),"")</f>
        <v/>
      </c>
    </row>
    <row r="237" spans="2:4" s="230" customFormat="1">
      <c r="B237" s="15" t="str">
        <f t="shared" si="30"/>
        <v/>
      </c>
      <c r="C237" s="16" t="str">
        <f>IFERROR(VLOOKUP(DATA!#REF!,DATA!#REF!,1,FALSE),"")</f>
        <v/>
      </c>
      <c r="D237" s="16" t="str">
        <f>IFERROR(VLOOKUP(C237,DATA!#REF!,2,FALSE),"")</f>
        <v/>
      </c>
    </row>
    <row r="238" spans="2:4" s="230" customFormat="1">
      <c r="B238" s="15" t="str">
        <f t="shared" si="30"/>
        <v/>
      </c>
      <c r="C238" s="16" t="str">
        <f>IFERROR(VLOOKUP(DATA!#REF!,DATA!#REF!,1,FALSE),"")</f>
        <v/>
      </c>
      <c r="D238" s="16" t="str">
        <f>IFERROR(VLOOKUP(C238,DATA!#REF!,2,FALSE),"")</f>
        <v/>
      </c>
    </row>
    <row r="239" spans="2:4" s="230" customFormat="1">
      <c r="B239" s="15" t="str">
        <f t="shared" si="30"/>
        <v/>
      </c>
      <c r="C239" s="16" t="str">
        <f>IFERROR(VLOOKUP(DATA!#REF!,DATA!#REF!,1,FALSE),"")</f>
        <v/>
      </c>
      <c r="D239" s="16" t="str">
        <f>IFERROR(VLOOKUP(C239,DATA!#REF!,2,FALSE),"")</f>
        <v/>
      </c>
    </row>
    <row r="240" spans="2:4" s="230" customFormat="1">
      <c r="B240" s="15" t="str">
        <f t="shared" si="30"/>
        <v/>
      </c>
      <c r="C240" s="16" t="str">
        <f>IFERROR(VLOOKUP(DATA!#REF!,DATA!#REF!,1,FALSE),"")</f>
        <v/>
      </c>
      <c r="D240" s="16" t="str">
        <f>IFERROR(VLOOKUP(C240,DATA!#REF!,2,FALSE),"")</f>
        <v/>
      </c>
    </row>
    <row r="241" spans="2:4" s="230" customFormat="1">
      <c r="B241" s="15" t="str">
        <f t="shared" si="30"/>
        <v/>
      </c>
      <c r="C241" s="16" t="str">
        <f>IFERROR(VLOOKUP(DATA!#REF!,DATA!#REF!,1,FALSE),"")</f>
        <v/>
      </c>
      <c r="D241" s="16" t="str">
        <f>IFERROR(VLOOKUP(C241,DATA!#REF!,2,FALSE),"")</f>
        <v/>
      </c>
    </row>
    <row r="242" spans="2:4" s="230" customFormat="1">
      <c r="B242" s="15" t="str">
        <f t="shared" si="30"/>
        <v/>
      </c>
      <c r="C242" s="16" t="str">
        <f>IFERROR(VLOOKUP(DATA!#REF!,DATA!#REF!,1,FALSE),"")</f>
        <v/>
      </c>
      <c r="D242" s="16" t="str">
        <f>IFERROR(VLOOKUP(C242,DATA!#REF!,2,FALSE),"")</f>
        <v/>
      </c>
    </row>
    <row r="243" spans="2:4" s="230" customFormat="1">
      <c r="B243" s="15" t="str">
        <f t="shared" si="30"/>
        <v/>
      </c>
      <c r="C243" s="16" t="str">
        <f>IFERROR(VLOOKUP(DATA!#REF!,DATA!#REF!,1,FALSE),"")</f>
        <v/>
      </c>
      <c r="D243" s="16" t="str">
        <f>IFERROR(VLOOKUP(C243,DATA!#REF!,2,FALSE),"")</f>
        <v/>
      </c>
    </row>
    <row r="244" spans="2:4" s="230" customFormat="1">
      <c r="B244" s="15" t="str">
        <f t="shared" si="30"/>
        <v/>
      </c>
      <c r="C244" s="16" t="str">
        <f>IFERROR(VLOOKUP(DATA!#REF!,DATA!#REF!,1,FALSE),"")</f>
        <v/>
      </c>
      <c r="D244" s="16" t="str">
        <f>IFERROR(VLOOKUP(C244,DATA!#REF!,2,FALSE),"")</f>
        <v/>
      </c>
    </row>
    <row r="245" spans="2:4" s="230" customFormat="1">
      <c r="B245" s="15" t="str">
        <f t="shared" si="30"/>
        <v/>
      </c>
      <c r="C245" s="16" t="str">
        <f>IFERROR(VLOOKUP(DATA!#REF!,DATA!#REF!,1,FALSE),"")</f>
        <v/>
      </c>
      <c r="D245" s="16" t="str">
        <f>IFERROR(VLOOKUP(C245,DATA!#REF!,2,FALSE),"")</f>
        <v/>
      </c>
    </row>
    <row r="246" spans="2:4" s="230" customFormat="1">
      <c r="B246" s="15" t="str">
        <f t="shared" si="30"/>
        <v/>
      </c>
      <c r="C246" s="16" t="str">
        <f>IFERROR(VLOOKUP(DATA!#REF!,DATA!#REF!,1,FALSE),"")</f>
        <v/>
      </c>
      <c r="D246" s="16" t="str">
        <f>IFERROR(VLOOKUP(C246,DATA!#REF!,2,FALSE),"")</f>
        <v/>
      </c>
    </row>
    <row r="247" spans="2:4" s="230" customFormat="1">
      <c r="B247" s="15" t="str">
        <f t="shared" si="30"/>
        <v/>
      </c>
      <c r="C247" s="16" t="str">
        <f>IFERROR(VLOOKUP(DATA!#REF!,DATA!#REF!,1,FALSE),"")</f>
        <v/>
      </c>
      <c r="D247" s="16" t="str">
        <f>IFERROR(VLOOKUP(C247,DATA!#REF!,2,FALSE),"")</f>
        <v/>
      </c>
    </row>
    <row r="248" spans="2:4" s="230" customFormat="1">
      <c r="B248" s="15" t="str">
        <f t="shared" si="30"/>
        <v/>
      </c>
      <c r="C248" s="16" t="str">
        <f>IFERROR(VLOOKUP(DATA!#REF!,DATA!#REF!,1,FALSE),"")</f>
        <v/>
      </c>
      <c r="D248" s="16" t="str">
        <f>IFERROR(VLOOKUP(C248,DATA!#REF!,2,FALSE),"")</f>
        <v/>
      </c>
    </row>
    <row r="249" spans="2:4" s="230" customFormat="1">
      <c r="B249" s="15" t="str">
        <f t="shared" si="30"/>
        <v/>
      </c>
      <c r="C249" s="16" t="str">
        <f>IFERROR(VLOOKUP(DATA!#REF!,DATA!#REF!,1,FALSE),"")</f>
        <v/>
      </c>
      <c r="D249" s="16" t="str">
        <f>IFERROR(VLOOKUP(C249,DATA!#REF!,2,FALSE),"")</f>
        <v/>
      </c>
    </row>
    <row r="250" spans="2:4" s="230" customFormat="1">
      <c r="B250" s="15" t="str">
        <f t="shared" si="30"/>
        <v/>
      </c>
      <c r="C250" s="16" t="str">
        <f>IFERROR(VLOOKUP(DATA!#REF!,DATA!#REF!,1,FALSE),"")</f>
        <v/>
      </c>
      <c r="D250" s="16" t="str">
        <f>IFERROR(VLOOKUP(C250,DATA!#REF!,2,FALSE),"")</f>
        <v/>
      </c>
    </row>
    <row r="251" spans="2:4" s="230" customFormat="1">
      <c r="B251" s="15" t="str">
        <f t="shared" si="30"/>
        <v/>
      </c>
      <c r="C251" s="16" t="str">
        <f>IFERROR(VLOOKUP(DATA!#REF!,DATA!#REF!,1,FALSE),"")</f>
        <v/>
      </c>
      <c r="D251" s="16" t="str">
        <f>IFERROR(VLOOKUP(C251,DATA!#REF!,2,FALSE),"")</f>
        <v/>
      </c>
    </row>
    <row r="252" spans="2:4" s="230" customFormat="1">
      <c r="B252" s="15" t="str">
        <f t="shared" si="30"/>
        <v/>
      </c>
      <c r="C252" s="16" t="str">
        <f>IFERROR(VLOOKUP(DATA!#REF!,DATA!#REF!,1,FALSE),"")</f>
        <v/>
      </c>
      <c r="D252" s="16" t="str">
        <f>IFERROR(VLOOKUP(C252,DATA!#REF!,2,FALSE),"")</f>
        <v/>
      </c>
    </row>
    <row r="253" spans="2:4" s="230" customFormat="1">
      <c r="B253" s="15" t="str">
        <f t="shared" si="30"/>
        <v/>
      </c>
      <c r="C253" s="16" t="str">
        <f>IFERROR(VLOOKUP(DATA!#REF!,DATA!#REF!,1,FALSE),"")</f>
        <v/>
      </c>
      <c r="D253" s="16" t="str">
        <f>IFERROR(VLOOKUP(C253,DATA!#REF!,2,FALSE),"")</f>
        <v/>
      </c>
    </row>
    <row r="254" spans="2:4" s="230" customFormat="1">
      <c r="B254" s="15" t="str">
        <f t="shared" si="30"/>
        <v/>
      </c>
      <c r="C254" s="16" t="str">
        <f>IFERROR(VLOOKUP(DATA!#REF!,DATA!#REF!,1,FALSE),"")</f>
        <v/>
      </c>
      <c r="D254" s="16" t="str">
        <f>IFERROR(VLOOKUP(C254,DATA!#REF!,2,FALSE),"")</f>
        <v/>
      </c>
    </row>
    <row r="255" spans="2:4" s="230" customFormat="1">
      <c r="B255" s="15" t="str">
        <f t="shared" si="30"/>
        <v/>
      </c>
      <c r="C255" s="16" t="str">
        <f>IFERROR(VLOOKUP(DATA!#REF!,DATA!#REF!,1,FALSE),"")</f>
        <v/>
      </c>
      <c r="D255" s="16" t="str">
        <f>IFERROR(VLOOKUP(C255,DATA!#REF!,2,FALSE),"")</f>
        <v/>
      </c>
    </row>
    <row r="256" spans="2:4" s="230" customFormat="1">
      <c r="B256" s="15" t="str">
        <f t="shared" si="30"/>
        <v/>
      </c>
      <c r="C256" s="16" t="str">
        <f>IFERROR(VLOOKUP(DATA!#REF!,DATA!#REF!,1,FALSE),"")</f>
        <v/>
      </c>
      <c r="D256" s="16" t="str">
        <f>IFERROR(VLOOKUP(C256,DATA!#REF!,2,FALSE),"")</f>
        <v/>
      </c>
    </row>
    <row r="257" spans="2:4" s="230" customFormat="1">
      <c r="B257" s="15" t="str">
        <f t="shared" si="30"/>
        <v/>
      </c>
      <c r="C257" s="16" t="str">
        <f>IFERROR(VLOOKUP(DATA!#REF!,DATA!#REF!,1,FALSE),"")</f>
        <v/>
      </c>
      <c r="D257" s="16" t="str">
        <f>IFERROR(VLOOKUP(C257,DATA!#REF!,2,FALSE),"")</f>
        <v/>
      </c>
    </row>
    <row r="258" spans="2:4" s="230" customFormat="1">
      <c r="B258" s="15" t="str">
        <f t="shared" si="30"/>
        <v/>
      </c>
      <c r="C258" s="16" t="str">
        <f>IFERROR(VLOOKUP(DATA!#REF!,DATA!#REF!,1,FALSE),"")</f>
        <v/>
      </c>
      <c r="D258" s="16" t="str">
        <f>IFERROR(VLOOKUP(C258,DATA!#REF!,2,FALSE),"")</f>
        <v/>
      </c>
    </row>
    <row r="259" spans="2:4" s="230" customFormat="1">
      <c r="B259" s="15" t="str">
        <f t="shared" si="30"/>
        <v/>
      </c>
      <c r="C259" s="16" t="str">
        <f>IFERROR(VLOOKUP(DATA!#REF!,DATA!#REF!,1,FALSE),"")</f>
        <v/>
      </c>
      <c r="D259" s="16" t="str">
        <f>IFERROR(VLOOKUP(C259,DATA!#REF!,2,FALSE),"")</f>
        <v/>
      </c>
    </row>
    <row r="260" spans="2:4" s="230" customFormat="1">
      <c r="B260" s="15" t="str">
        <f t="shared" si="30"/>
        <v/>
      </c>
      <c r="C260" s="16" t="str">
        <f>IFERROR(VLOOKUP(DATA!#REF!,DATA!#REF!,1,FALSE),"")</f>
        <v/>
      </c>
      <c r="D260" s="16" t="str">
        <f>IFERROR(VLOOKUP(C260,DATA!#REF!,2,FALSE),"")</f>
        <v/>
      </c>
    </row>
    <row r="261" spans="2:4" s="230" customFormat="1">
      <c r="B261" s="15" t="str">
        <f t="shared" si="30"/>
        <v/>
      </c>
      <c r="C261" s="16" t="str">
        <f>IFERROR(VLOOKUP(DATA!#REF!,DATA!#REF!,1,FALSE),"")</f>
        <v/>
      </c>
      <c r="D261" s="16" t="str">
        <f>IFERROR(VLOOKUP(C261,DATA!#REF!,2,FALSE),"")</f>
        <v/>
      </c>
    </row>
    <row r="262" spans="2:4" s="230" customFormat="1">
      <c r="B262" s="15" t="str">
        <f t="shared" ref="B262:B325" si="31">+IF(C262="","",ROW()-5)</f>
        <v/>
      </c>
      <c r="C262" s="16" t="str">
        <f>IFERROR(VLOOKUP(DATA!#REF!,DATA!#REF!,1,FALSE),"")</f>
        <v/>
      </c>
      <c r="D262" s="16" t="str">
        <f>IFERROR(VLOOKUP(C262,DATA!#REF!,2,FALSE),"")</f>
        <v/>
      </c>
    </row>
    <row r="263" spans="2:4" s="230" customFormat="1">
      <c r="B263" s="15" t="str">
        <f t="shared" si="31"/>
        <v/>
      </c>
      <c r="C263" s="16" t="str">
        <f>IFERROR(VLOOKUP(DATA!#REF!,DATA!#REF!,1,FALSE),"")</f>
        <v/>
      </c>
      <c r="D263" s="16" t="str">
        <f>IFERROR(VLOOKUP(C263,DATA!#REF!,2,FALSE),"")</f>
        <v/>
      </c>
    </row>
    <row r="264" spans="2:4" s="230" customFormat="1">
      <c r="B264" s="15" t="str">
        <f t="shared" si="31"/>
        <v/>
      </c>
      <c r="C264" s="16" t="str">
        <f>IFERROR(VLOOKUP(DATA!#REF!,DATA!#REF!,1,FALSE),"")</f>
        <v/>
      </c>
      <c r="D264" s="16" t="str">
        <f>IFERROR(VLOOKUP(C264,DATA!#REF!,2,FALSE),"")</f>
        <v/>
      </c>
    </row>
    <row r="265" spans="2:4" s="230" customFormat="1">
      <c r="B265" s="15" t="str">
        <f t="shared" si="31"/>
        <v/>
      </c>
      <c r="C265" s="16" t="str">
        <f>IFERROR(VLOOKUP(DATA!#REF!,DATA!#REF!,1,FALSE),"")</f>
        <v/>
      </c>
      <c r="D265" s="16" t="str">
        <f>IFERROR(VLOOKUP(C265,DATA!#REF!,2,FALSE),"")</f>
        <v/>
      </c>
    </row>
    <row r="266" spans="2:4" s="230" customFormat="1">
      <c r="B266" s="15" t="str">
        <f t="shared" si="31"/>
        <v/>
      </c>
      <c r="C266" s="16" t="str">
        <f>IFERROR(VLOOKUP(DATA!#REF!,DATA!#REF!,1,FALSE),"")</f>
        <v/>
      </c>
      <c r="D266" s="16" t="str">
        <f>IFERROR(VLOOKUP(C266,DATA!#REF!,2,FALSE),"")</f>
        <v/>
      </c>
    </row>
    <row r="267" spans="2:4" s="230" customFormat="1">
      <c r="B267" s="15" t="str">
        <f t="shared" si="31"/>
        <v/>
      </c>
      <c r="C267" s="16" t="str">
        <f>IFERROR(VLOOKUP(DATA!#REF!,DATA!#REF!,1,FALSE),"")</f>
        <v/>
      </c>
      <c r="D267" s="16" t="str">
        <f>IFERROR(VLOOKUP(C267,DATA!#REF!,2,FALSE),"")</f>
        <v/>
      </c>
    </row>
    <row r="268" spans="2:4" s="230" customFormat="1">
      <c r="B268" s="15" t="str">
        <f t="shared" si="31"/>
        <v/>
      </c>
      <c r="C268" s="16" t="str">
        <f>IFERROR(VLOOKUP(DATA!#REF!,DATA!#REF!,1,FALSE),"")</f>
        <v/>
      </c>
      <c r="D268" s="16" t="str">
        <f>IFERROR(VLOOKUP(C268,DATA!#REF!,2,FALSE),"")</f>
        <v/>
      </c>
    </row>
    <row r="269" spans="2:4" s="230" customFormat="1">
      <c r="B269" s="15" t="str">
        <f t="shared" si="31"/>
        <v/>
      </c>
      <c r="C269" s="16" t="str">
        <f>IFERROR(VLOOKUP(DATA!#REF!,DATA!#REF!,1,FALSE),"")</f>
        <v/>
      </c>
      <c r="D269" s="16" t="str">
        <f>IFERROR(VLOOKUP(C269,DATA!#REF!,2,FALSE),"")</f>
        <v/>
      </c>
    </row>
    <row r="270" spans="2:4" s="230" customFormat="1">
      <c r="B270" s="15" t="str">
        <f t="shared" si="31"/>
        <v/>
      </c>
      <c r="C270" s="16" t="str">
        <f>IFERROR(VLOOKUP(DATA!#REF!,DATA!#REF!,1,FALSE),"")</f>
        <v/>
      </c>
      <c r="D270" s="16" t="str">
        <f>IFERROR(VLOOKUP(C270,DATA!#REF!,2,FALSE),"")</f>
        <v/>
      </c>
    </row>
    <row r="271" spans="2:4" s="230" customFormat="1">
      <c r="B271" s="15" t="str">
        <f t="shared" si="31"/>
        <v/>
      </c>
      <c r="C271" s="16" t="str">
        <f>IFERROR(VLOOKUP(DATA!#REF!,DATA!#REF!,1,FALSE),"")</f>
        <v/>
      </c>
      <c r="D271" s="16" t="str">
        <f>IFERROR(VLOOKUP(C271,DATA!#REF!,2,FALSE),"")</f>
        <v/>
      </c>
    </row>
    <row r="272" spans="2:4" s="230" customFormat="1">
      <c r="B272" s="15" t="str">
        <f t="shared" si="31"/>
        <v/>
      </c>
      <c r="C272" s="16" t="str">
        <f>IFERROR(VLOOKUP(DATA!#REF!,DATA!#REF!,1,FALSE),"")</f>
        <v/>
      </c>
      <c r="D272" s="16" t="str">
        <f>IFERROR(VLOOKUP(C272,DATA!#REF!,2,FALSE),"")</f>
        <v/>
      </c>
    </row>
    <row r="273" spans="2:4" s="230" customFormat="1">
      <c r="B273" s="15" t="str">
        <f t="shared" si="31"/>
        <v/>
      </c>
      <c r="C273" s="16" t="str">
        <f>IFERROR(VLOOKUP(DATA!#REF!,DATA!#REF!,1,FALSE),"")</f>
        <v/>
      </c>
      <c r="D273" s="16" t="str">
        <f>IFERROR(VLOOKUP(C273,DATA!#REF!,2,FALSE),"")</f>
        <v/>
      </c>
    </row>
    <row r="274" spans="2:4" s="230" customFormat="1">
      <c r="B274" s="15" t="str">
        <f t="shared" si="31"/>
        <v/>
      </c>
      <c r="C274" s="16" t="str">
        <f>IFERROR(VLOOKUP(DATA!#REF!,DATA!#REF!,1,FALSE),"")</f>
        <v/>
      </c>
      <c r="D274" s="16" t="str">
        <f>IFERROR(VLOOKUP(C274,DATA!#REF!,2,FALSE),"")</f>
        <v/>
      </c>
    </row>
    <row r="275" spans="2:4" s="230" customFormat="1">
      <c r="B275" s="15" t="str">
        <f t="shared" si="31"/>
        <v/>
      </c>
      <c r="C275" s="16" t="str">
        <f>IFERROR(VLOOKUP(DATA!#REF!,DATA!#REF!,1,FALSE),"")</f>
        <v/>
      </c>
      <c r="D275" s="16" t="str">
        <f>IFERROR(VLOOKUP(C275,DATA!#REF!,2,FALSE),"")</f>
        <v/>
      </c>
    </row>
    <row r="276" spans="2:4" s="230" customFormat="1">
      <c r="B276" s="15" t="str">
        <f t="shared" si="31"/>
        <v/>
      </c>
      <c r="C276" s="16" t="str">
        <f>IFERROR(VLOOKUP(DATA!#REF!,DATA!#REF!,1,FALSE),"")</f>
        <v/>
      </c>
      <c r="D276" s="16" t="str">
        <f>IFERROR(VLOOKUP(C276,DATA!#REF!,2,FALSE),"")</f>
        <v/>
      </c>
    </row>
    <row r="277" spans="2:4" s="230" customFormat="1">
      <c r="B277" s="15" t="str">
        <f t="shared" si="31"/>
        <v/>
      </c>
      <c r="C277" s="16" t="str">
        <f>IFERROR(VLOOKUP(DATA!#REF!,DATA!#REF!,1,FALSE),"")</f>
        <v/>
      </c>
      <c r="D277" s="16" t="str">
        <f>IFERROR(VLOOKUP(C277,DATA!#REF!,2,FALSE),"")</f>
        <v/>
      </c>
    </row>
    <row r="278" spans="2:4" s="230" customFormat="1">
      <c r="B278" s="15" t="str">
        <f t="shared" si="31"/>
        <v/>
      </c>
      <c r="C278" s="16" t="str">
        <f>IFERROR(VLOOKUP(DATA!#REF!,DATA!#REF!,1,FALSE),"")</f>
        <v/>
      </c>
      <c r="D278" s="16" t="str">
        <f>IFERROR(VLOOKUP(C278,DATA!#REF!,2,FALSE),"")</f>
        <v/>
      </c>
    </row>
    <row r="279" spans="2:4" s="230" customFormat="1">
      <c r="B279" s="15" t="str">
        <f t="shared" si="31"/>
        <v/>
      </c>
      <c r="C279" s="16" t="str">
        <f>IFERROR(VLOOKUP(DATA!#REF!,DATA!#REF!,1,FALSE),"")</f>
        <v/>
      </c>
      <c r="D279" s="16" t="str">
        <f>IFERROR(VLOOKUP(C279,DATA!#REF!,2,FALSE),"")</f>
        <v/>
      </c>
    </row>
    <row r="280" spans="2:4" s="230" customFormat="1">
      <c r="B280" s="15" t="str">
        <f t="shared" si="31"/>
        <v/>
      </c>
      <c r="C280" s="16" t="str">
        <f>IFERROR(VLOOKUP(DATA!#REF!,DATA!#REF!,1,FALSE),"")</f>
        <v/>
      </c>
      <c r="D280" s="16" t="str">
        <f>IFERROR(VLOOKUP(C280,DATA!#REF!,2,FALSE),"")</f>
        <v/>
      </c>
    </row>
    <row r="281" spans="2:4" s="230" customFormat="1">
      <c r="B281" s="15" t="str">
        <f t="shared" si="31"/>
        <v/>
      </c>
      <c r="C281" s="16" t="str">
        <f>IFERROR(VLOOKUP(DATA!#REF!,DATA!#REF!,1,FALSE),"")</f>
        <v/>
      </c>
      <c r="D281" s="16" t="str">
        <f>IFERROR(VLOOKUP(C281,DATA!#REF!,2,FALSE),"")</f>
        <v/>
      </c>
    </row>
    <row r="282" spans="2:4" s="230" customFormat="1">
      <c r="B282" s="15" t="str">
        <f t="shared" si="31"/>
        <v/>
      </c>
      <c r="C282" s="16" t="str">
        <f>IFERROR(VLOOKUP(DATA!#REF!,DATA!#REF!,1,FALSE),"")</f>
        <v/>
      </c>
      <c r="D282" s="16" t="str">
        <f>IFERROR(VLOOKUP(C282,DATA!#REF!,2,FALSE),"")</f>
        <v/>
      </c>
    </row>
    <row r="283" spans="2:4" s="230" customFormat="1">
      <c r="B283" s="15" t="str">
        <f t="shared" si="31"/>
        <v/>
      </c>
      <c r="C283" s="16" t="str">
        <f>IFERROR(VLOOKUP(DATA!#REF!,DATA!#REF!,1,FALSE),"")</f>
        <v/>
      </c>
      <c r="D283" s="16" t="str">
        <f>IFERROR(VLOOKUP(C283,DATA!#REF!,2,FALSE),"")</f>
        <v/>
      </c>
    </row>
    <row r="284" spans="2:4" s="230" customFormat="1">
      <c r="B284" s="15" t="str">
        <f t="shared" si="31"/>
        <v/>
      </c>
      <c r="C284" s="16" t="str">
        <f>IFERROR(VLOOKUP(DATA!#REF!,DATA!#REF!,1,FALSE),"")</f>
        <v/>
      </c>
      <c r="D284" s="16" t="str">
        <f>IFERROR(VLOOKUP(C284,DATA!#REF!,2,FALSE),"")</f>
        <v/>
      </c>
    </row>
    <row r="285" spans="2:4" s="230" customFormat="1">
      <c r="B285" s="15" t="str">
        <f t="shared" si="31"/>
        <v/>
      </c>
      <c r="C285" s="16" t="str">
        <f>IFERROR(VLOOKUP(DATA!#REF!,DATA!#REF!,1,FALSE),"")</f>
        <v/>
      </c>
      <c r="D285" s="16" t="str">
        <f>IFERROR(VLOOKUP(C285,DATA!#REF!,2,FALSE),"")</f>
        <v/>
      </c>
    </row>
    <row r="286" spans="2:4" s="230" customFormat="1">
      <c r="B286" s="15" t="str">
        <f t="shared" si="31"/>
        <v/>
      </c>
      <c r="C286" s="16" t="str">
        <f>IFERROR(VLOOKUP(DATA!#REF!,DATA!#REF!,1,FALSE),"")</f>
        <v/>
      </c>
      <c r="D286" s="16" t="str">
        <f>IFERROR(VLOOKUP(C286,DATA!#REF!,2,FALSE),"")</f>
        <v/>
      </c>
    </row>
    <row r="287" spans="2:4" s="230" customFormat="1">
      <c r="B287" s="15" t="str">
        <f t="shared" si="31"/>
        <v/>
      </c>
      <c r="C287" s="16" t="str">
        <f>IFERROR(VLOOKUP(DATA!#REF!,DATA!#REF!,1,FALSE),"")</f>
        <v/>
      </c>
      <c r="D287" s="16" t="str">
        <f>IFERROR(VLOOKUP(C287,DATA!#REF!,2,FALSE),"")</f>
        <v/>
      </c>
    </row>
    <row r="288" spans="2:4" s="230" customFormat="1">
      <c r="B288" s="15" t="str">
        <f t="shared" si="31"/>
        <v/>
      </c>
      <c r="C288" s="16" t="str">
        <f>IFERROR(VLOOKUP(DATA!#REF!,DATA!#REF!,1,FALSE),"")</f>
        <v/>
      </c>
      <c r="D288" s="16" t="str">
        <f>IFERROR(VLOOKUP(C288,DATA!#REF!,2,FALSE),"")</f>
        <v/>
      </c>
    </row>
    <row r="289" spans="2:4" s="230" customFormat="1">
      <c r="B289" s="15" t="str">
        <f t="shared" si="31"/>
        <v/>
      </c>
      <c r="C289" s="16" t="str">
        <f>IFERROR(VLOOKUP(DATA!#REF!,DATA!#REF!,1,FALSE),"")</f>
        <v/>
      </c>
      <c r="D289" s="16" t="str">
        <f>IFERROR(VLOOKUP(C289,DATA!#REF!,2,FALSE),"")</f>
        <v/>
      </c>
    </row>
    <row r="290" spans="2:4" s="230" customFormat="1">
      <c r="B290" s="15" t="str">
        <f t="shared" si="31"/>
        <v/>
      </c>
      <c r="C290" s="16" t="str">
        <f>IFERROR(VLOOKUP(DATA!#REF!,DATA!#REF!,1,FALSE),"")</f>
        <v/>
      </c>
      <c r="D290" s="16" t="str">
        <f>IFERROR(VLOOKUP(C290,DATA!#REF!,2,FALSE),"")</f>
        <v/>
      </c>
    </row>
    <row r="291" spans="2:4" s="230" customFormat="1">
      <c r="B291" s="15" t="str">
        <f t="shared" si="31"/>
        <v/>
      </c>
      <c r="C291" s="16" t="str">
        <f>IFERROR(VLOOKUP(DATA!#REF!,DATA!#REF!,1,FALSE),"")</f>
        <v/>
      </c>
      <c r="D291" s="16" t="str">
        <f>IFERROR(VLOOKUP(C291,DATA!#REF!,2,FALSE),"")</f>
        <v/>
      </c>
    </row>
    <row r="292" spans="2:4" s="230" customFormat="1">
      <c r="B292" s="15" t="str">
        <f t="shared" si="31"/>
        <v/>
      </c>
      <c r="C292" s="16" t="str">
        <f>IFERROR(VLOOKUP(DATA!#REF!,DATA!#REF!,1,FALSE),"")</f>
        <v/>
      </c>
      <c r="D292" s="16" t="str">
        <f>IFERROR(VLOOKUP(C292,DATA!#REF!,2,FALSE),"")</f>
        <v/>
      </c>
    </row>
    <row r="293" spans="2:4" s="230" customFormat="1">
      <c r="B293" s="15" t="str">
        <f t="shared" si="31"/>
        <v/>
      </c>
      <c r="C293" s="16" t="str">
        <f>IFERROR(VLOOKUP(DATA!#REF!,DATA!#REF!,1,FALSE),"")</f>
        <v/>
      </c>
      <c r="D293" s="16" t="str">
        <f>IFERROR(VLOOKUP(C293,DATA!#REF!,2,FALSE),"")</f>
        <v/>
      </c>
    </row>
    <row r="294" spans="2:4" s="230" customFormat="1">
      <c r="B294" s="15" t="str">
        <f t="shared" si="31"/>
        <v/>
      </c>
      <c r="C294" s="16" t="str">
        <f>IFERROR(VLOOKUP(DATA!#REF!,DATA!#REF!,1,FALSE),"")</f>
        <v/>
      </c>
      <c r="D294" s="16" t="str">
        <f>IFERROR(VLOOKUP(C294,DATA!#REF!,2,FALSE),"")</f>
        <v/>
      </c>
    </row>
    <row r="295" spans="2:4" s="230" customFormat="1">
      <c r="B295" s="15" t="str">
        <f t="shared" si="31"/>
        <v/>
      </c>
      <c r="C295" s="16" t="str">
        <f>IFERROR(VLOOKUP(DATA!#REF!,DATA!#REF!,1,FALSE),"")</f>
        <v/>
      </c>
      <c r="D295" s="16" t="str">
        <f>IFERROR(VLOOKUP(C295,DATA!#REF!,2,FALSE),"")</f>
        <v/>
      </c>
    </row>
    <row r="296" spans="2:4" s="230" customFormat="1">
      <c r="B296" s="15" t="str">
        <f t="shared" si="31"/>
        <v/>
      </c>
      <c r="C296" s="16" t="str">
        <f>IFERROR(VLOOKUP(DATA!#REF!,DATA!#REF!,1,FALSE),"")</f>
        <v/>
      </c>
      <c r="D296" s="16" t="str">
        <f>IFERROR(VLOOKUP(C296,DATA!#REF!,2,FALSE),"")</f>
        <v/>
      </c>
    </row>
    <row r="297" spans="2:4" s="230" customFormat="1">
      <c r="B297" s="15" t="str">
        <f t="shared" si="31"/>
        <v/>
      </c>
      <c r="C297" s="16" t="str">
        <f>IFERROR(VLOOKUP(DATA!#REF!,DATA!#REF!,1,FALSE),"")</f>
        <v/>
      </c>
      <c r="D297" s="16" t="str">
        <f>IFERROR(VLOOKUP(C297,DATA!#REF!,2,FALSE),"")</f>
        <v/>
      </c>
    </row>
    <row r="298" spans="2:4" s="230" customFormat="1">
      <c r="B298" s="15" t="str">
        <f t="shared" si="31"/>
        <v/>
      </c>
      <c r="C298" s="16" t="str">
        <f>IFERROR(VLOOKUP(DATA!#REF!,DATA!#REF!,1,FALSE),"")</f>
        <v/>
      </c>
      <c r="D298" s="16" t="str">
        <f>IFERROR(VLOOKUP(C298,DATA!#REF!,2,FALSE),"")</f>
        <v/>
      </c>
    </row>
    <row r="299" spans="2:4" s="230" customFormat="1">
      <c r="B299" s="15" t="str">
        <f t="shared" si="31"/>
        <v/>
      </c>
      <c r="C299" s="16" t="str">
        <f>IFERROR(VLOOKUP(DATA!#REF!,DATA!#REF!,1,FALSE),"")</f>
        <v/>
      </c>
      <c r="D299" s="16" t="str">
        <f>IFERROR(VLOOKUP(C299,DATA!#REF!,2,FALSE),"")</f>
        <v/>
      </c>
    </row>
    <row r="300" spans="2:4" s="230" customFormat="1">
      <c r="B300" s="15" t="str">
        <f t="shared" si="31"/>
        <v/>
      </c>
      <c r="C300" s="16" t="str">
        <f>IFERROR(VLOOKUP(DATA!#REF!,DATA!#REF!,1,FALSE),"")</f>
        <v/>
      </c>
      <c r="D300" s="16" t="str">
        <f>IFERROR(VLOOKUP(C300,DATA!#REF!,2,FALSE),"")</f>
        <v/>
      </c>
    </row>
    <row r="301" spans="2:4" s="230" customFormat="1">
      <c r="B301" s="15" t="str">
        <f t="shared" si="31"/>
        <v/>
      </c>
      <c r="C301" s="16" t="str">
        <f>IFERROR(VLOOKUP(DATA!#REF!,DATA!#REF!,1,FALSE),"")</f>
        <v/>
      </c>
      <c r="D301" s="16" t="str">
        <f>IFERROR(VLOOKUP(C301,DATA!#REF!,2,FALSE),"")</f>
        <v/>
      </c>
    </row>
    <row r="302" spans="2:4" s="230" customFormat="1">
      <c r="B302" s="15" t="str">
        <f t="shared" si="31"/>
        <v/>
      </c>
      <c r="C302" s="16" t="str">
        <f>IFERROR(VLOOKUP(DATA!#REF!,DATA!#REF!,1,FALSE),"")</f>
        <v/>
      </c>
      <c r="D302" s="16" t="str">
        <f>IFERROR(VLOOKUP(C302,DATA!#REF!,2,FALSE),"")</f>
        <v/>
      </c>
    </row>
    <row r="303" spans="2:4" s="230" customFormat="1">
      <c r="B303" s="15" t="str">
        <f t="shared" si="31"/>
        <v/>
      </c>
      <c r="C303" s="16" t="str">
        <f>IFERROR(VLOOKUP(DATA!#REF!,DATA!#REF!,1,FALSE),"")</f>
        <v/>
      </c>
      <c r="D303" s="16" t="str">
        <f>IFERROR(VLOOKUP(C303,DATA!#REF!,2,FALSE),"")</f>
        <v/>
      </c>
    </row>
    <row r="304" spans="2:4" s="230" customFormat="1">
      <c r="B304" s="15" t="str">
        <f t="shared" si="31"/>
        <v/>
      </c>
      <c r="C304" s="16" t="str">
        <f>IFERROR(VLOOKUP(DATA!#REF!,DATA!#REF!,1,FALSE),"")</f>
        <v/>
      </c>
      <c r="D304" s="16" t="str">
        <f>IFERROR(VLOOKUP(C304,DATA!#REF!,2,FALSE),"")</f>
        <v/>
      </c>
    </row>
    <row r="305" spans="2:4" s="230" customFormat="1">
      <c r="B305" s="15" t="str">
        <f t="shared" si="31"/>
        <v/>
      </c>
      <c r="C305" s="16" t="str">
        <f>IFERROR(VLOOKUP(DATA!#REF!,DATA!#REF!,1,FALSE),"")</f>
        <v/>
      </c>
      <c r="D305" s="16" t="str">
        <f>IFERROR(VLOOKUP(C305,DATA!#REF!,2,FALSE),"")</f>
        <v/>
      </c>
    </row>
    <row r="306" spans="2:4" s="230" customFormat="1">
      <c r="B306" s="15" t="str">
        <f t="shared" si="31"/>
        <v/>
      </c>
      <c r="C306" s="16" t="str">
        <f>IFERROR(VLOOKUP(DATA!#REF!,DATA!#REF!,1,FALSE),"")</f>
        <v/>
      </c>
      <c r="D306" s="16" t="str">
        <f>IFERROR(VLOOKUP(C306,DATA!#REF!,2,FALSE),"")</f>
        <v/>
      </c>
    </row>
    <row r="307" spans="2:4" s="230" customFormat="1">
      <c r="B307" s="15" t="str">
        <f t="shared" si="31"/>
        <v/>
      </c>
      <c r="C307" s="16" t="str">
        <f>IFERROR(VLOOKUP(DATA!#REF!,DATA!#REF!,1,FALSE),"")</f>
        <v/>
      </c>
      <c r="D307" s="16" t="str">
        <f>IFERROR(VLOOKUP(C307,DATA!#REF!,2,FALSE),"")</f>
        <v/>
      </c>
    </row>
    <row r="308" spans="2:4" s="230" customFormat="1">
      <c r="B308" s="15" t="str">
        <f t="shared" si="31"/>
        <v/>
      </c>
      <c r="C308" s="16" t="str">
        <f>IFERROR(VLOOKUP(DATA!#REF!,DATA!#REF!,1,FALSE),"")</f>
        <v/>
      </c>
      <c r="D308" s="16" t="str">
        <f>IFERROR(VLOOKUP(C308,DATA!#REF!,2,FALSE),"")</f>
        <v/>
      </c>
    </row>
    <row r="309" spans="2:4" s="230" customFormat="1">
      <c r="B309" s="15" t="str">
        <f t="shared" si="31"/>
        <v/>
      </c>
      <c r="C309" s="16" t="str">
        <f>IFERROR(VLOOKUP(DATA!#REF!,DATA!#REF!,1,FALSE),"")</f>
        <v/>
      </c>
      <c r="D309" s="16" t="str">
        <f>IFERROR(VLOOKUP(C309,DATA!#REF!,2,FALSE),"")</f>
        <v/>
      </c>
    </row>
    <row r="310" spans="2:4" s="230" customFormat="1">
      <c r="B310" s="15" t="str">
        <f t="shared" si="31"/>
        <v/>
      </c>
      <c r="C310" s="16" t="str">
        <f>IFERROR(VLOOKUP(DATA!#REF!,DATA!#REF!,1,FALSE),"")</f>
        <v/>
      </c>
      <c r="D310" s="16" t="str">
        <f>IFERROR(VLOOKUP(C310,DATA!#REF!,2,FALSE),"")</f>
        <v/>
      </c>
    </row>
    <row r="311" spans="2:4" s="230" customFormat="1">
      <c r="B311" s="15" t="str">
        <f t="shared" si="31"/>
        <v/>
      </c>
      <c r="C311" s="16" t="str">
        <f>IFERROR(VLOOKUP(DATA!#REF!,DATA!#REF!,1,FALSE),"")</f>
        <v/>
      </c>
      <c r="D311" s="16" t="str">
        <f>IFERROR(VLOOKUP(C311,DATA!#REF!,2,FALSE),"")</f>
        <v/>
      </c>
    </row>
    <row r="312" spans="2:4" s="230" customFormat="1">
      <c r="B312" s="15" t="str">
        <f t="shared" si="31"/>
        <v/>
      </c>
      <c r="C312" s="16" t="str">
        <f>IFERROR(VLOOKUP(DATA!#REF!,DATA!#REF!,1,FALSE),"")</f>
        <v/>
      </c>
      <c r="D312" s="16" t="str">
        <f>IFERROR(VLOOKUP(C312,DATA!#REF!,2,FALSE),"")</f>
        <v/>
      </c>
    </row>
    <row r="313" spans="2:4" s="230" customFormat="1">
      <c r="B313" s="15" t="str">
        <f t="shared" si="31"/>
        <v/>
      </c>
      <c r="C313" s="16" t="str">
        <f>IFERROR(VLOOKUP(DATA!#REF!,DATA!#REF!,1,FALSE),"")</f>
        <v/>
      </c>
      <c r="D313" s="16" t="str">
        <f>IFERROR(VLOOKUP(C313,DATA!#REF!,2,FALSE),"")</f>
        <v/>
      </c>
    </row>
    <row r="314" spans="2:4" s="230" customFormat="1">
      <c r="B314" s="15" t="str">
        <f t="shared" si="31"/>
        <v/>
      </c>
      <c r="C314" s="16" t="str">
        <f>IFERROR(VLOOKUP(DATA!#REF!,DATA!#REF!,1,FALSE),"")</f>
        <v/>
      </c>
      <c r="D314" s="16" t="str">
        <f>IFERROR(VLOOKUP(C314,DATA!#REF!,2,FALSE),"")</f>
        <v/>
      </c>
    </row>
    <row r="315" spans="2:4" s="230" customFormat="1">
      <c r="B315" s="15" t="str">
        <f t="shared" si="31"/>
        <v/>
      </c>
      <c r="C315" s="16" t="str">
        <f>IFERROR(VLOOKUP(DATA!#REF!,DATA!#REF!,1,FALSE),"")</f>
        <v/>
      </c>
      <c r="D315" s="16" t="str">
        <f>IFERROR(VLOOKUP(C315,DATA!#REF!,2,FALSE),"")</f>
        <v/>
      </c>
    </row>
    <row r="316" spans="2:4" s="230" customFormat="1">
      <c r="B316" s="15" t="str">
        <f t="shared" si="31"/>
        <v/>
      </c>
      <c r="C316" s="16" t="str">
        <f>IFERROR(VLOOKUP(DATA!#REF!,DATA!#REF!,1,FALSE),"")</f>
        <v/>
      </c>
      <c r="D316" s="16" t="str">
        <f>IFERROR(VLOOKUP(C316,DATA!#REF!,2,FALSE),"")</f>
        <v/>
      </c>
    </row>
    <row r="317" spans="2:4" s="230" customFormat="1">
      <c r="B317" s="15" t="str">
        <f t="shared" si="31"/>
        <v/>
      </c>
      <c r="C317" s="16" t="str">
        <f>IFERROR(VLOOKUP(DATA!#REF!,DATA!#REF!,1,FALSE),"")</f>
        <v/>
      </c>
      <c r="D317" s="16" t="str">
        <f>IFERROR(VLOOKUP(C317,DATA!#REF!,2,FALSE),"")</f>
        <v/>
      </c>
    </row>
    <row r="318" spans="2:4" s="230" customFormat="1">
      <c r="B318" s="15" t="str">
        <f t="shared" si="31"/>
        <v/>
      </c>
      <c r="C318" s="16" t="str">
        <f>IFERROR(VLOOKUP(DATA!#REF!,DATA!#REF!,1,FALSE),"")</f>
        <v/>
      </c>
      <c r="D318" s="16" t="str">
        <f>IFERROR(VLOOKUP(C318,DATA!#REF!,2,FALSE),"")</f>
        <v/>
      </c>
    </row>
    <row r="319" spans="2:4" s="230" customFormat="1">
      <c r="B319" s="15" t="str">
        <f t="shared" si="31"/>
        <v/>
      </c>
      <c r="C319" s="16" t="str">
        <f>IFERROR(VLOOKUP(DATA!#REF!,DATA!#REF!,1,FALSE),"")</f>
        <v/>
      </c>
      <c r="D319" s="16" t="str">
        <f>IFERROR(VLOOKUP(C319,DATA!#REF!,2,FALSE),"")</f>
        <v/>
      </c>
    </row>
    <row r="320" spans="2:4" s="230" customFormat="1">
      <c r="B320" s="15" t="str">
        <f t="shared" si="31"/>
        <v/>
      </c>
      <c r="C320" s="16" t="str">
        <f>IFERROR(VLOOKUP(DATA!#REF!,DATA!#REF!,1,FALSE),"")</f>
        <v/>
      </c>
      <c r="D320" s="16" t="str">
        <f>IFERROR(VLOOKUP(C320,DATA!#REF!,2,FALSE),"")</f>
        <v/>
      </c>
    </row>
    <row r="321" spans="2:4" s="230" customFormat="1">
      <c r="B321" s="15" t="str">
        <f t="shared" si="31"/>
        <v/>
      </c>
      <c r="C321" s="16" t="str">
        <f>IFERROR(VLOOKUP(DATA!#REF!,DATA!#REF!,1,FALSE),"")</f>
        <v/>
      </c>
      <c r="D321" s="16" t="str">
        <f>IFERROR(VLOOKUP(C321,DATA!#REF!,2,FALSE),"")</f>
        <v/>
      </c>
    </row>
    <row r="322" spans="2:4" s="230" customFormat="1">
      <c r="B322" s="15" t="str">
        <f t="shared" si="31"/>
        <v/>
      </c>
      <c r="C322" s="16" t="str">
        <f>IFERROR(VLOOKUP(DATA!#REF!,DATA!#REF!,1,FALSE),"")</f>
        <v/>
      </c>
      <c r="D322" s="16" t="str">
        <f>IFERROR(VLOOKUP(C322,DATA!#REF!,2,FALSE),"")</f>
        <v/>
      </c>
    </row>
    <row r="323" spans="2:4" s="230" customFormat="1">
      <c r="B323" s="15" t="str">
        <f t="shared" si="31"/>
        <v/>
      </c>
      <c r="C323" s="16" t="str">
        <f>IFERROR(VLOOKUP(DATA!#REF!,DATA!#REF!,1,FALSE),"")</f>
        <v/>
      </c>
      <c r="D323" s="16" t="str">
        <f>IFERROR(VLOOKUP(C323,DATA!#REF!,2,FALSE),"")</f>
        <v/>
      </c>
    </row>
    <row r="324" spans="2:4" s="230" customFormat="1">
      <c r="B324" s="15" t="str">
        <f t="shared" si="31"/>
        <v/>
      </c>
      <c r="C324" s="16" t="str">
        <f>IFERROR(VLOOKUP(DATA!#REF!,DATA!#REF!,1,FALSE),"")</f>
        <v/>
      </c>
      <c r="D324" s="16" t="str">
        <f>IFERROR(VLOOKUP(C324,DATA!#REF!,2,FALSE),"")</f>
        <v/>
      </c>
    </row>
    <row r="325" spans="2:4" s="230" customFormat="1">
      <c r="B325" s="15" t="str">
        <f t="shared" si="31"/>
        <v/>
      </c>
      <c r="C325" s="16" t="str">
        <f>IFERROR(VLOOKUP(DATA!#REF!,DATA!#REF!,1,FALSE),"")</f>
        <v/>
      </c>
      <c r="D325" s="16" t="str">
        <f>IFERROR(VLOOKUP(C325,DATA!#REF!,2,FALSE),"")</f>
        <v/>
      </c>
    </row>
    <row r="326" spans="2:4" s="230" customFormat="1">
      <c r="B326" s="15" t="str">
        <f t="shared" ref="B326:B389" si="32">+IF(C326="","",ROW()-5)</f>
        <v/>
      </c>
      <c r="C326" s="16" t="str">
        <f>IFERROR(VLOOKUP(DATA!#REF!,DATA!#REF!,1,FALSE),"")</f>
        <v/>
      </c>
      <c r="D326" s="16" t="str">
        <f>IFERROR(VLOOKUP(C326,DATA!#REF!,2,FALSE),"")</f>
        <v/>
      </c>
    </row>
    <row r="327" spans="2:4" s="230" customFormat="1">
      <c r="B327" s="15" t="str">
        <f t="shared" si="32"/>
        <v/>
      </c>
      <c r="C327" s="16" t="str">
        <f>IFERROR(VLOOKUP(DATA!#REF!,DATA!#REF!,1,FALSE),"")</f>
        <v/>
      </c>
      <c r="D327" s="16" t="str">
        <f>IFERROR(VLOOKUP(C327,DATA!#REF!,2,FALSE),"")</f>
        <v/>
      </c>
    </row>
    <row r="328" spans="2:4" s="230" customFormat="1">
      <c r="B328" s="15" t="str">
        <f t="shared" si="32"/>
        <v/>
      </c>
      <c r="C328" s="16" t="str">
        <f>IFERROR(VLOOKUP(DATA!#REF!,DATA!#REF!,1,FALSE),"")</f>
        <v/>
      </c>
      <c r="D328" s="16" t="str">
        <f>IFERROR(VLOOKUP(C328,DATA!#REF!,2,FALSE),"")</f>
        <v/>
      </c>
    </row>
    <row r="329" spans="2:4" s="230" customFormat="1">
      <c r="B329" s="15" t="str">
        <f t="shared" si="32"/>
        <v/>
      </c>
      <c r="C329" s="16" t="str">
        <f>IFERROR(VLOOKUP(DATA!#REF!,DATA!#REF!,1,FALSE),"")</f>
        <v/>
      </c>
      <c r="D329" s="16" t="str">
        <f>IFERROR(VLOOKUP(C329,DATA!#REF!,2,FALSE),"")</f>
        <v/>
      </c>
    </row>
    <row r="330" spans="2:4" s="230" customFormat="1">
      <c r="B330" s="15" t="str">
        <f t="shared" si="32"/>
        <v/>
      </c>
      <c r="C330" s="16" t="str">
        <f>IFERROR(VLOOKUP(DATA!#REF!,DATA!#REF!,1,FALSE),"")</f>
        <v/>
      </c>
      <c r="D330" s="16" t="str">
        <f>IFERROR(VLOOKUP(C330,DATA!#REF!,2,FALSE),"")</f>
        <v/>
      </c>
    </row>
    <row r="331" spans="2:4" s="230" customFormat="1">
      <c r="B331" s="15" t="str">
        <f t="shared" si="32"/>
        <v/>
      </c>
      <c r="C331" s="16" t="str">
        <f>IFERROR(VLOOKUP(DATA!#REF!,DATA!#REF!,1,FALSE),"")</f>
        <v/>
      </c>
      <c r="D331" s="16" t="str">
        <f>IFERROR(VLOOKUP(C331,DATA!#REF!,2,FALSE),"")</f>
        <v/>
      </c>
    </row>
    <row r="332" spans="2:4" s="230" customFormat="1">
      <c r="B332" s="15" t="str">
        <f t="shared" si="32"/>
        <v/>
      </c>
      <c r="C332" s="16" t="str">
        <f>IFERROR(VLOOKUP(DATA!#REF!,DATA!#REF!,1,FALSE),"")</f>
        <v/>
      </c>
      <c r="D332" s="16" t="str">
        <f>IFERROR(VLOOKUP(C332,DATA!#REF!,2,FALSE),"")</f>
        <v/>
      </c>
    </row>
    <row r="333" spans="2:4" s="230" customFormat="1">
      <c r="B333" s="15" t="str">
        <f t="shared" si="32"/>
        <v/>
      </c>
      <c r="C333" s="16" t="str">
        <f>IFERROR(VLOOKUP(DATA!#REF!,DATA!#REF!,1,FALSE),"")</f>
        <v/>
      </c>
      <c r="D333" s="16" t="str">
        <f>IFERROR(VLOOKUP(C333,DATA!#REF!,2,FALSE),"")</f>
        <v/>
      </c>
    </row>
    <row r="334" spans="2:4" s="230" customFormat="1">
      <c r="B334" s="15" t="str">
        <f t="shared" si="32"/>
        <v/>
      </c>
      <c r="C334" s="16" t="str">
        <f>IFERROR(VLOOKUP(DATA!#REF!,DATA!#REF!,1,FALSE),"")</f>
        <v/>
      </c>
      <c r="D334" s="16" t="str">
        <f>IFERROR(VLOOKUP(C334,DATA!#REF!,2,FALSE),"")</f>
        <v/>
      </c>
    </row>
    <row r="335" spans="2:4" s="230" customFormat="1">
      <c r="B335" s="15" t="str">
        <f t="shared" si="32"/>
        <v/>
      </c>
      <c r="C335" s="16" t="str">
        <f>IFERROR(VLOOKUP(DATA!#REF!,DATA!#REF!,1,FALSE),"")</f>
        <v/>
      </c>
      <c r="D335" s="16" t="str">
        <f>IFERROR(VLOOKUP(C335,DATA!#REF!,2,FALSE),"")</f>
        <v/>
      </c>
    </row>
    <row r="336" spans="2:4" s="230" customFormat="1">
      <c r="B336" s="15" t="str">
        <f t="shared" si="32"/>
        <v/>
      </c>
      <c r="C336" s="16" t="str">
        <f>IFERROR(VLOOKUP(DATA!#REF!,DATA!#REF!,1,FALSE),"")</f>
        <v/>
      </c>
      <c r="D336" s="16" t="str">
        <f>IFERROR(VLOOKUP(C336,DATA!#REF!,2,FALSE),"")</f>
        <v/>
      </c>
    </row>
    <row r="337" spans="2:4" s="230" customFormat="1">
      <c r="B337" s="15" t="str">
        <f t="shared" si="32"/>
        <v/>
      </c>
      <c r="C337" s="16" t="str">
        <f>IFERROR(VLOOKUP(DATA!#REF!,DATA!#REF!,1,FALSE),"")</f>
        <v/>
      </c>
      <c r="D337" s="16" t="str">
        <f>IFERROR(VLOOKUP(C337,DATA!#REF!,2,FALSE),"")</f>
        <v/>
      </c>
    </row>
    <row r="338" spans="2:4" s="230" customFormat="1">
      <c r="B338" s="15" t="str">
        <f t="shared" si="32"/>
        <v/>
      </c>
      <c r="C338" s="16" t="str">
        <f>IFERROR(VLOOKUP(DATA!#REF!,DATA!#REF!,1,FALSE),"")</f>
        <v/>
      </c>
      <c r="D338" s="16" t="str">
        <f>IFERROR(VLOOKUP(C338,DATA!#REF!,2,FALSE),"")</f>
        <v/>
      </c>
    </row>
    <row r="339" spans="2:4" s="230" customFormat="1">
      <c r="B339" s="15" t="str">
        <f t="shared" si="32"/>
        <v/>
      </c>
      <c r="C339" s="16" t="str">
        <f>IFERROR(VLOOKUP(DATA!#REF!,DATA!#REF!,1,FALSE),"")</f>
        <v/>
      </c>
      <c r="D339" s="16" t="str">
        <f>IFERROR(VLOOKUP(C339,DATA!#REF!,2,FALSE),"")</f>
        <v/>
      </c>
    </row>
    <row r="340" spans="2:4" s="230" customFormat="1">
      <c r="B340" s="15" t="str">
        <f t="shared" si="32"/>
        <v/>
      </c>
      <c r="C340" s="16" t="str">
        <f>IFERROR(VLOOKUP(DATA!#REF!,DATA!#REF!,1,FALSE),"")</f>
        <v/>
      </c>
      <c r="D340" s="16" t="str">
        <f>IFERROR(VLOOKUP(C340,DATA!#REF!,2,FALSE),"")</f>
        <v/>
      </c>
    </row>
    <row r="341" spans="2:4" s="230" customFormat="1">
      <c r="B341" s="15" t="str">
        <f t="shared" si="32"/>
        <v/>
      </c>
      <c r="C341" s="16" t="str">
        <f>IFERROR(VLOOKUP(DATA!#REF!,DATA!#REF!,1,FALSE),"")</f>
        <v/>
      </c>
      <c r="D341" s="16" t="str">
        <f>IFERROR(VLOOKUP(C341,DATA!#REF!,2,FALSE),"")</f>
        <v/>
      </c>
    </row>
    <row r="342" spans="2:4" s="230" customFormat="1">
      <c r="B342" s="15" t="str">
        <f t="shared" si="32"/>
        <v/>
      </c>
      <c r="C342" s="16" t="str">
        <f>IFERROR(VLOOKUP(DATA!#REF!,DATA!#REF!,1,FALSE),"")</f>
        <v/>
      </c>
      <c r="D342" s="16" t="str">
        <f>IFERROR(VLOOKUP(C342,DATA!#REF!,2,FALSE),"")</f>
        <v/>
      </c>
    </row>
    <row r="343" spans="2:4" s="230" customFormat="1">
      <c r="B343" s="15" t="str">
        <f t="shared" si="32"/>
        <v/>
      </c>
      <c r="C343" s="16" t="str">
        <f>IFERROR(VLOOKUP(DATA!#REF!,DATA!#REF!,1,FALSE),"")</f>
        <v/>
      </c>
      <c r="D343" s="16" t="str">
        <f>IFERROR(VLOOKUP(C343,DATA!#REF!,2,FALSE),"")</f>
        <v/>
      </c>
    </row>
    <row r="344" spans="2:4" s="230" customFormat="1">
      <c r="B344" s="15" t="str">
        <f t="shared" si="32"/>
        <v/>
      </c>
      <c r="C344" s="16" t="str">
        <f>IFERROR(VLOOKUP(DATA!#REF!,DATA!#REF!,1,FALSE),"")</f>
        <v/>
      </c>
      <c r="D344" s="16" t="str">
        <f>IFERROR(VLOOKUP(C344,DATA!#REF!,2,FALSE),"")</f>
        <v/>
      </c>
    </row>
    <row r="345" spans="2:4" s="230" customFormat="1">
      <c r="B345" s="15" t="str">
        <f t="shared" si="32"/>
        <v/>
      </c>
      <c r="C345" s="16" t="str">
        <f>IFERROR(VLOOKUP(DATA!#REF!,DATA!#REF!,1,FALSE),"")</f>
        <v/>
      </c>
      <c r="D345" s="16" t="str">
        <f>IFERROR(VLOOKUP(C345,DATA!#REF!,2,FALSE),"")</f>
        <v/>
      </c>
    </row>
    <row r="346" spans="2:4" s="230" customFormat="1">
      <c r="B346" s="15" t="str">
        <f t="shared" si="32"/>
        <v/>
      </c>
      <c r="C346" s="16" t="str">
        <f>IFERROR(VLOOKUP(DATA!#REF!,DATA!#REF!,1,FALSE),"")</f>
        <v/>
      </c>
      <c r="D346" s="16" t="str">
        <f>IFERROR(VLOOKUP(C346,DATA!#REF!,2,FALSE),"")</f>
        <v/>
      </c>
    </row>
    <row r="347" spans="2:4" s="230" customFormat="1">
      <c r="B347" s="15" t="str">
        <f t="shared" si="32"/>
        <v/>
      </c>
      <c r="C347" s="16" t="str">
        <f>IFERROR(VLOOKUP(DATA!#REF!,DATA!#REF!,1,FALSE),"")</f>
        <v/>
      </c>
      <c r="D347" s="16" t="str">
        <f>IFERROR(VLOOKUP(C347,DATA!#REF!,2,FALSE),"")</f>
        <v/>
      </c>
    </row>
    <row r="348" spans="2:4" s="230" customFormat="1">
      <c r="B348" s="15" t="str">
        <f t="shared" si="32"/>
        <v/>
      </c>
      <c r="C348" s="16" t="str">
        <f>IFERROR(VLOOKUP(DATA!#REF!,DATA!#REF!,1,FALSE),"")</f>
        <v/>
      </c>
      <c r="D348" s="16" t="str">
        <f>IFERROR(VLOOKUP(C348,DATA!#REF!,2,FALSE),"")</f>
        <v/>
      </c>
    </row>
    <row r="349" spans="2:4" s="230" customFormat="1">
      <c r="B349" s="15" t="str">
        <f t="shared" si="32"/>
        <v/>
      </c>
      <c r="C349" s="16" t="str">
        <f>IFERROR(VLOOKUP(DATA!#REF!,DATA!#REF!,1,FALSE),"")</f>
        <v/>
      </c>
      <c r="D349" s="16" t="str">
        <f>IFERROR(VLOOKUP(C349,DATA!#REF!,2,FALSE),"")</f>
        <v/>
      </c>
    </row>
    <row r="350" spans="2:4" s="230" customFormat="1">
      <c r="B350" s="15" t="str">
        <f t="shared" si="32"/>
        <v/>
      </c>
      <c r="C350" s="16" t="str">
        <f>IFERROR(VLOOKUP(DATA!#REF!,DATA!#REF!,1,FALSE),"")</f>
        <v/>
      </c>
      <c r="D350" s="16" t="str">
        <f>IFERROR(VLOOKUP(C350,DATA!#REF!,2,FALSE),"")</f>
        <v/>
      </c>
    </row>
    <row r="351" spans="2:4" s="230" customFormat="1">
      <c r="B351" s="15" t="str">
        <f t="shared" si="32"/>
        <v/>
      </c>
      <c r="C351" s="16" t="str">
        <f>IFERROR(VLOOKUP(DATA!#REF!,DATA!#REF!,1,FALSE),"")</f>
        <v/>
      </c>
      <c r="D351" s="16" t="str">
        <f>IFERROR(VLOOKUP(C351,DATA!#REF!,2,FALSE),"")</f>
        <v/>
      </c>
    </row>
    <row r="352" spans="2:4" s="230" customFormat="1">
      <c r="B352" s="15" t="str">
        <f t="shared" si="32"/>
        <v/>
      </c>
      <c r="C352" s="16" t="str">
        <f>IFERROR(VLOOKUP(DATA!#REF!,DATA!#REF!,1,FALSE),"")</f>
        <v/>
      </c>
      <c r="D352" s="16" t="str">
        <f>IFERROR(VLOOKUP(C352,DATA!#REF!,2,FALSE),"")</f>
        <v/>
      </c>
    </row>
    <row r="353" spans="2:4" s="230" customFormat="1">
      <c r="B353" s="15" t="str">
        <f t="shared" si="32"/>
        <v/>
      </c>
      <c r="C353" s="16" t="str">
        <f>IFERROR(VLOOKUP(DATA!#REF!,DATA!#REF!,1,FALSE),"")</f>
        <v/>
      </c>
      <c r="D353" s="16" t="str">
        <f>IFERROR(VLOOKUP(C353,DATA!#REF!,2,FALSE),"")</f>
        <v/>
      </c>
    </row>
    <row r="354" spans="2:4" s="230" customFormat="1">
      <c r="B354" s="15" t="str">
        <f t="shared" si="32"/>
        <v/>
      </c>
      <c r="C354" s="16" t="str">
        <f>IFERROR(VLOOKUP(DATA!#REF!,DATA!#REF!,1,FALSE),"")</f>
        <v/>
      </c>
      <c r="D354" s="16" t="str">
        <f>IFERROR(VLOOKUP(C354,DATA!#REF!,2,FALSE),"")</f>
        <v/>
      </c>
    </row>
    <row r="355" spans="2:4" s="230" customFormat="1">
      <c r="B355" s="15" t="str">
        <f t="shared" si="32"/>
        <v/>
      </c>
      <c r="C355" s="16" t="str">
        <f>IFERROR(VLOOKUP(DATA!#REF!,DATA!#REF!,1,FALSE),"")</f>
        <v/>
      </c>
      <c r="D355" s="16" t="str">
        <f>IFERROR(VLOOKUP(C355,DATA!#REF!,2,FALSE),"")</f>
        <v/>
      </c>
    </row>
    <row r="356" spans="2:4" s="230" customFormat="1">
      <c r="B356" s="15" t="str">
        <f t="shared" si="32"/>
        <v/>
      </c>
      <c r="C356" s="16" t="str">
        <f>IFERROR(VLOOKUP(DATA!#REF!,DATA!#REF!,1,FALSE),"")</f>
        <v/>
      </c>
      <c r="D356" s="16" t="str">
        <f>IFERROR(VLOOKUP(C356,DATA!#REF!,2,FALSE),"")</f>
        <v/>
      </c>
    </row>
    <row r="357" spans="2:4" s="230" customFormat="1">
      <c r="B357" s="15" t="str">
        <f t="shared" si="32"/>
        <v/>
      </c>
      <c r="C357" s="16" t="str">
        <f>IFERROR(VLOOKUP(DATA!#REF!,DATA!#REF!,1,FALSE),"")</f>
        <v/>
      </c>
      <c r="D357" s="16" t="str">
        <f>IFERROR(VLOOKUP(C357,DATA!#REF!,2,FALSE),"")</f>
        <v/>
      </c>
    </row>
    <row r="358" spans="2:4" s="230" customFormat="1">
      <c r="B358" s="15" t="str">
        <f t="shared" si="32"/>
        <v/>
      </c>
      <c r="C358" s="16" t="str">
        <f>IFERROR(VLOOKUP(DATA!#REF!,DATA!#REF!,1,FALSE),"")</f>
        <v/>
      </c>
      <c r="D358" s="16" t="str">
        <f>IFERROR(VLOOKUP(C358,DATA!#REF!,2,FALSE),"")</f>
        <v/>
      </c>
    </row>
    <row r="359" spans="2:4" s="230" customFormat="1">
      <c r="B359" s="15" t="str">
        <f t="shared" si="32"/>
        <v/>
      </c>
      <c r="C359" s="16" t="str">
        <f>IFERROR(VLOOKUP(DATA!#REF!,DATA!#REF!,1,FALSE),"")</f>
        <v/>
      </c>
      <c r="D359" s="16" t="str">
        <f>IFERROR(VLOOKUP(C359,DATA!#REF!,2,FALSE),"")</f>
        <v/>
      </c>
    </row>
    <row r="360" spans="2:4" s="230" customFormat="1">
      <c r="B360" s="15" t="str">
        <f t="shared" si="32"/>
        <v/>
      </c>
      <c r="C360" s="16" t="str">
        <f>IFERROR(VLOOKUP(DATA!#REF!,DATA!#REF!,1,FALSE),"")</f>
        <v/>
      </c>
      <c r="D360" s="16" t="str">
        <f>IFERROR(VLOOKUP(C360,DATA!#REF!,2,FALSE),"")</f>
        <v/>
      </c>
    </row>
    <row r="361" spans="2:4" s="230" customFormat="1">
      <c r="B361" s="15" t="str">
        <f t="shared" si="32"/>
        <v/>
      </c>
      <c r="C361" s="16" t="str">
        <f>IFERROR(VLOOKUP(DATA!#REF!,DATA!#REF!,1,FALSE),"")</f>
        <v/>
      </c>
      <c r="D361" s="16" t="str">
        <f>IFERROR(VLOOKUP(C361,DATA!#REF!,2,FALSE),"")</f>
        <v/>
      </c>
    </row>
    <row r="362" spans="2:4" s="230" customFormat="1">
      <c r="B362" s="15" t="str">
        <f t="shared" si="32"/>
        <v/>
      </c>
      <c r="C362" s="16" t="str">
        <f>IFERROR(VLOOKUP(DATA!#REF!,DATA!#REF!,1,FALSE),"")</f>
        <v/>
      </c>
      <c r="D362" s="16" t="str">
        <f>IFERROR(VLOOKUP(C362,DATA!#REF!,2,FALSE),"")</f>
        <v/>
      </c>
    </row>
    <row r="363" spans="2:4" s="230" customFormat="1">
      <c r="B363" s="15" t="str">
        <f t="shared" si="32"/>
        <v/>
      </c>
      <c r="C363" s="16" t="str">
        <f>IFERROR(VLOOKUP(DATA!#REF!,DATA!#REF!,1,FALSE),"")</f>
        <v/>
      </c>
      <c r="D363" s="16" t="str">
        <f>IFERROR(VLOOKUP(C363,DATA!#REF!,2,FALSE),"")</f>
        <v/>
      </c>
    </row>
    <row r="364" spans="2:4" s="230" customFormat="1">
      <c r="B364" s="15" t="str">
        <f t="shared" si="32"/>
        <v/>
      </c>
      <c r="C364" s="16" t="str">
        <f>IFERROR(VLOOKUP(DATA!#REF!,DATA!#REF!,1,FALSE),"")</f>
        <v/>
      </c>
      <c r="D364" s="16" t="str">
        <f>IFERROR(VLOOKUP(C364,DATA!#REF!,2,FALSE),"")</f>
        <v/>
      </c>
    </row>
    <row r="365" spans="2:4" s="230" customFormat="1">
      <c r="B365" s="15" t="str">
        <f t="shared" si="32"/>
        <v/>
      </c>
      <c r="C365" s="16" t="str">
        <f>IFERROR(VLOOKUP(DATA!#REF!,DATA!#REF!,1,FALSE),"")</f>
        <v/>
      </c>
      <c r="D365" s="16" t="str">
        <f>IFERROR(VLOOKUP(C365,DATA!#REF!,2,FALSE),"")</f>
        <v/>
      </c>
    </row>
    <row r="366" spans="2:4" s="230" customFormat="1">
      <c r="B366" s="15" t="str">
        <f t="shared" si="32"/>
        <v/>
      </c>
      <c r="C366" s="16" t="str">
        <f>IFERROR(VLOOKUP(DATA!#REF!,DATA!#REF!,1,FALSE),"")</f>
        <v/>
      </c>
      <c r="D366" s="16" t="str">
        <f>IFERROR(VLOOKUP(C366,DATA!#REF!,2,FALSE),"")</f>
        <v/>
      </c>
    </row>
    <row r="367" spans="2:4" s="230" customFormat="1">
      <c r="B367" s="15" t="str">
        <f t="shared" si="32"/>
        <v/>
      </c>
      <c r="C367" s="16" t="str">
        <f>IFERROR(VLOOKUP(DATA!#REF!,DATA!#REF!,1,FALSE),"")</f>
        <v/>
      </c>
      <c r="D367" s="16" t="str">
        <f>IFERROR(VLOOKUP(C367,DATA!#REF!,2,FALSE),"")</f>
        <v/>
      </c>
    </row>
    <row r="368" spans="2:4" s="230" customFormat="1">
      <c r="B368" s="15" t="str">
        <f t="shared" si="32"/>
        <v/>
      </c>
      <c r="C368" s="16" t="str">
        <f>IFERROR(VLOOKUP(DATA!#REF!,DATA!#REF!,1,FALSE),"")</f>
        <v/>
      </c>
      <c r="D368" s="16" t="str">
        <f>IFERROR(VLOOKUP(C368,DATA!#REF!,2,FALSE),"")</f>
        <v/>
      </c>
    </row>
    <row r="369" spans="2:4" s="230" customFormat="1">
      <c r="B369" s="15" t="str">
        <f t="shared" si="32"/>
        <v/>
      </c>
      <c r="C369" s="16" t="str">
        <f>IFERROR(VLOOKUP(DATA!#REF!,DATA!#REF!,1,FALSE),"")</f>
        <v/>
      </c>
      <c r="D369" s="16" t="str">
        <f>IFERROR(VLOOKUP(C369,DATA!#REF!,2,FALSE),"")</f>
        <v/>
      </c>
    </row>
    <row r="370" spans="2:4" s="230" customFormat="1">
      <c r="B370" s="15" t="str">
        <f t="shared" si="32"/>
        <v/>
      </c>
      <c r="C370" s="16" t="str">
        <f>IFERROR(VLOOKUP(DATA!#REF!,DATA!#REF!,1,FALSE),"")</f>
        <v/>
      </c>
      <c r="D370" s="16" t="str">
        <f>IFERROR(VLOOKUP(C370,DATA!#REF!,2,FALSE),"")</f>
        <v/>
      </c>
    </row>
    <row r="371" spans="2:4" s="230" customFormat="1">
      <c r="B371" s="15" t="str">
        <f t="shared" si="32"/>
        <v/>
      </c>
      <c r="C371" s="16" t="str">
        <f>IFERROR(VLOOKUP(DATA!#REF!,DATA!#REF!,1,FALSE),"")</f>
        <v/>
      </c>
      <c r="D371" s="16" t="str">
        <f>IFERROR(VLOOKUP(C371,DATA!#REF!,2,FALSE),"")</f>
        <v/>
      </c>
    </row>
    <row r="372" spans="2:4" s="230" customFormat="1">
      <c r="B372" s="15" t="str">
        <f t="shared" si="32"/>
        <v/>
      </c>
      <c r="C372" s="16" t="str">
        <f>IFERROR(VLOOKUP(DATA!#REF!,DATA!#REF!,1,FALSE),"")</f>
        <v/>
      </c>
      <c r="D372" s="16" t="str">
        <f>IFERROR(VLOOKUP(C372,DATA!#REF!,2,FALSE),"")</f>
        <v/>
      </c>
    </row>
    <row r="373" spans="2:4" s="230" customFormat="1">
      <c r="B373" s="15" t="str">
        <f t="shared" si="32"/>
        <v/>
      </c>
      <c r="C373" s="16" t="str">
        <f>IFERROR(VLOOKUP(DATA!#REF!,DATA!#REF!,1,FALSE),"")</f>
        <v/>
      </c>
      <c r="D373" s="16" t="str">
        <f>IFERROR(VLOOKUP(C373,DATA!#REF!,2,FALSE),"")</f>
        <v/>
      </c>
    </row>
    <row r="374" spans="2:4" s="230" customFormat="1">
      <c r="B374" s="15" t="str">
        <f t="shared" si="32"/>
        <v/>
      </c>
      <c r="C374" s="16" t="str">
        <f>IFERROR(VLOOKUP(DATA!#REF!,DATA!#REF!,1,FALSE),"")</f>
        <v/>
      </c>
      <c r="D374" s="16" t="str">
        <f>IFERROR(VLOOKUP(C374,DATA!#REF!,2,FALSE),"")</f>
        <v/>
      </c>
    </row>
    <row r="375" spans="2:4" s="230" customFormat="1">
      <c r="B375" s="15" t="str">
        <f t="shared" si="32"/>
        <v/>
      </c>
      <c r="C375" s="16" t="str">
        <f>IFERROR(VLOOKUP(DATA!#REF!,DATA!#REF!,1,FALSE),"")</f>
        <v/>
      </c>
      <c r="D375" s="16" t="str">
        <f>IFERROR(VLOOKUP(C375,DATA!#REF!,2,FALSE),"")</f>
        <v/>
      </c>
    </row>
    <row r="376" spans="2:4" s="230" customFormat="1">
      <c r="B376" s="15" t="str">
        <f t="shared" si="32"/>
        <v/>
      </c>
      <c r="C376" s="16" t="str">
        <f>IFERROR(VLOOKUP(DATA!#REF!,DATA!#REF!,1,FALSE),"")</f>
        <v/>
      </c>
      <c r="D376" s="16" t="str">
        <f>IFERROR(VLOOKUP(C376,DATA!#REF!,2,FALSE),"")</f>
        <v/>
      </c>
    </row>
    <row r="377" spans="2:4" s="230" customFormat="1">
      <c r="B377" s="15" t="str">
        <f t="shared" si="32"/>
        <v/>
      </c>
      <c r="C377" s="16" t="str">
        <f>IFERROR(VLOOKUP(DATA!#REF!,DATA!#REF!,1,FALSE),"")</f>
        <v/>
      </c>
      <c r="D377" s="16" t="str">
        <f>IFERROR(VLOOKUP(C377,DATA!#REF!,2,FALSE),"")</f>
        <v/>
      </c>
    </row>
    <row r="378" spans="2:4" s="230" customFormat="1">
      <c r="B378" s="15" t="str">
        <f t="shared" si="32"/>
        <v/>
      </c>
      <c r="C378" s="16" t="str">
        <f>IFERROR(VLOOKUP(DATA!#REF!,DATA!#REF!,1,FALSE),"")</f>
        <v/>
      </c>
      <c r="D378" s="16" t="str">
        <f>IFERROR(VLOOKUP(C378,DATA!#REF!,2,FALSE),"")</f>
        <v/>
      </c>
    </row>
    <row r="379" spans="2:4" s="230" customFormat="1">
      <c r="B379" s="15" t="str">
        <f t="shared" si="32"/>
        <v/>
      </c>
      <c r="C379" s="16" t="str">
        <f>IFERROR(VLOOKUP(DATA!#REF!,DATA!#REF!,1,FALSE),"")</f>
        <v/>
      </c>
      <c r="D379" s="16" t="str">
        <f>IFERROR(VLOOKUP(C379,DATA!#REF!,2,FALSE),"")</f>
        <v/>
      </c>
    </row>
    <row r="380" spans="2:4" s="230" customFormat="1">
      <c r="B380" s="15" t="str">
        <f t="shared" si="32"/>
        <v/>
      </c>
      <c r="C380" s="16" t="str">
        <f>IFERROR(VLOOKUP(DATA!#REF!,DATA!#REF!,1,FALSE),"")</f>
        <v/>
      </c>
      <c r="D380" s="16" t="str">
        <f>IFERROR(VLOOKUP(C380,DATA!#REF!,2,FALSE),"")</f>
        <v/>
      </c>
    </row>
    <row r="381" spans="2:4" s="230" customFormat="1">
      <c r="B381" s="15" t="str">
        <f t="shared" si="32"/>
        <v/>
      </c>
      <c r="C381" s="16" t="str">
        <f>IFERROR(VLOOKUP(DATA!#REF!,DATA!#REF!,1,FALSE),"")</f>
        <v/>
      </c>
      <c r="D381" s="16" t="str">
        <f>IFERROR(VLOOKUP(C381,DATA!#REF!,2,FALSE),"")</f>
        <v/>
      </c>
    </row>
    <row r="382" spans="2:4" s="230" customFormat="1">
      <c r="B382" s="15" t="str">
        <f t="shared" si="32"/>
        <v/>
      </c>
      <c r="C382" s="16" t="str">
        <f>IFERROR(VLOOKUP(DATA!#REF!,DATA!#REF!,1,FALSE),"")</f>
        <v/>
      </c>
      <c r="D382" s="16" t="str">
        <f>IFERROR(VLOOKUP(C382,DATA!#REF!,2,FALSE),"")</f>
        <v/>
      </c>
    </row>
    <row r="383" spans="2:4" s="230" customFormat="1">
      <c r="B383" s="15" t="str">
        <f t="shared" si="32"/>
        <v/>
      </c>
      <c r="C383" s="16" t="str">
        <f>IFERROR(VLOOKUP(DATA!#REF!,DATA!#REF!,1,FALSE),"")</f>
        <v/>
      </c>
      <c r="D383" s="16" t="str">
        <f>IFERROR(VLOOKUP(C383,DATA!#REF!,2,FALSE),"")</f>
        <v/>
      </c>
    </row>
    <row r="384" spans="2:4" s="230" customFormat="1">
      <c r="B384" s="15" t="str">
        <f t="shared" si="32"/>
        <v/>
      </c>
      <c r="C384" s="16" t="str">
        <f>IFERROR(VLOOKUP(DATA!#REF!,DATA!#REF!,1,FALSE),"")</f>
        <v/>
      </c>
      <c r="D384" s="16" t="str">
        <f>IFERROR(VLOOKUP(C384,DATA!#REF!,2,FALSE),"")</f>
        <v/>
      </c>
    </row>
    <row r="385" spans="2:4" s="230" customFormat="1">
      <c r="B385" s="15" t="str">
        <f t="shared" si="32"/>
        <v/>
      </c>
      <c r="C385" s="16" t="str">
        <f>IFERROR(VLOOKUP(DATA!#REF!,DATA!#REF!,1,FALSE),"")</f>
        <v/>
      </c>
      <c r="D385" s="16" t="str">
        <f>IFERROR(VLOOKUP(C385,DATA!#REF!,2,FALSE),"")</f>
        <v/>
      </c>
    </row>
    <row r="386" spans="2:4" s="230" customFormat="1">
      <c r="B386" s="15" t="str">
        <f t="shared" si="32"/>
        <v/>
      </c>
      <c r="C386" s="16" t="str">
        <f>IFERROR(VLOOKUP(DATA!#REF!,DATA!#REF!,1,FALSE),"")</f>
        <v/>
      </c>
      <c r="D386" s="16" t="str">
        <f>IFERROR(VLOOKUP(C386,DATA!#REF!,2,FALSE),"")</f>
        <v/>
      </c>
    </row>
    <row r="387" spans="2:4" s="230" customFormat="1">
      <c r="B387" s="15" t="str">
        <f t="shared" si="32"/>
        <v/>
      </c>
      <c r="C387" s="16" t="str">
        <f>IFERROR(VLOOKUP(DATA!#REF!,DATA!#REF!,1,FALSE),"")</f>
        <v/>
      </c>
      <c r="D387" s="16" t="str">
        <f>IFERROR(VLOOKUP(C387,DATA!#REF!,2,FALSE),"")</f>
        <v/>
      </c>
    </row>
    <row r="388" spans="2:4" s="230" customFormat="1">
      <c r="B388" s="15" t="str">
        <f t="shared" si="32"/>
        <v/>
      </c>
      <c r="C388" s="16" t="str">
        <f>IFERROR(VLOOKUP(DATA!#REF!,DATA!#REF!,1,FALSE),"")</f>
        <v/>
      </c>
      <c r="D388" s="16" t="str">
        <f>IFERROR(VLOOKUP(C388,DATA!#REF!,2,FALSE),"")</f>
        <v/>
      </c>
    </row>
    <row r="389" spans="2:4" s="230" customFormat="1">
      <c r="B389" s="15" t="str">
        <f t="shared" si="32"/>
        <v/>
      </c>
      <c r="C389" s="16" t="str">
        <f>IFERROR(VLOOKUP(DATA!#REF!,DATA!#REF!,1,FALSE),"")</f>
        <v/>
      </c>
      <c r="D389" s="16" t="str">
        <f>IFERROR(VLOOKUP(C389,DATA!#REF!,2,FALSE),"")</f>
        <v/>
      </c>
    </row>
    <row r="390" spans="2:4" s="230" customFormat="1">
      <c r="B390" s="15" t="str">
        <f t="shared" ref="B390:B453" si="33">+IF(C390="","",ROW()-5)</f>
        <v/>
      </c>
      <c r="C390" s="16" t="str">
        <f>IFERROR(VLOOKUP(DATA!#REF!,DATA!#REF!,1,FALSE),"")</f>
        <v/>
      </c>
      <c r="D390" s="16" t="str">
        <f>IFERROR(VLOOKUP(C390,DATA!#REF!,2,FALSE),"")</f>
        <v/>
      </c>
    </row>
    <row r="391" spans="2:4" s="230" customFormat="1">
      <c r="B391" s="15" t="str">
        <f t="shared" si="33"/>
        <v/>
      </c>
      <c r="C391" s="16" t="str">
        <f>IFERROR(VLOOKUP(DATA!#REF!,DATA!#REF!,1,FALSE),"")</f>
        <v/>
      </c>
      <c r="D391" s="16" t="str">
        <f>IFERROR(VLOOKUP(C391,DATA!#REF!,2,FALSE),"")</f>
        <v/>
      </c>
    </row>
    <row r="392" spans="2:4" s="230" customFormat="1">
      <c r="B392" s="15" t="str">
        <f t="shared" si="33"/>
        <v/>
      </c>
      <c r="C392" s="16" t="str">
        <f>IFERROR(VLOOKUP(DATA!#REF!,DATA!#REF!,1,FALSE),"")</f>
        <v/>
      </c>
      <c r="D392" s="16" t="str">
        <f>IFERROR(VLOOKUP(C392,DATA!#REF!,2,FALSE),"")</f>
        <v/>
      </c>
    </row>
    <row r="393" spans="2:4" s="230" customFormat="1">
      <c r="B393" s="15" t="str">
        <f t="shared" si="33"/>
        <v/>
      </c>
      <c r="C393" s="16" t="str">
        <f>IFERROR(VLOOKUP(DATA!#REF!,DATA!#REF!,1,FALSE),"")</f>
        <v/>
      </c>
      <c r="D393" s="16" t="str">
        <f>IFERROR(VLOOKUP(C393,DATA!#REF!,2,FALSE),"")</f>
        <v/>
      </c>
    </row>
    <row r="394" spans="2:4" s="230" customFormat="1">
      <c r="B394" s="15" t="str">
        <f t="shared" si="33"/>
        <v/>
      </c>
      <c r="C394" s="16" t="str">
        <f>IFERROR(VLOOKUP(DATA!#REF!,DATA!#REF!,1,FALSE),"")</f>
        <v/>
      </c>
      <c r="D394" s="16" t="str">
        <f>IFERROR(VLOOKUP(C394,DATA!#REF!,2,FALSE),"")</f>
        <v/>
      </c>
    </row>
    <row r="395" spans="2:4" s="230" customFormat="1">
      <c r="B395" s="15" t="str">
        <f t="shared" si="33"/>
        <v/>
      </c>
      <c r="C395" s="16" t="str">
        <f>IFERROR(VLOOKUP(DATA!#REF!,DATA!#REF!,1,FALSE),"")</f>
        <v/>
      </c>
      <c r="D395" s="16" t="str">
        <f>IFERROR(VLOOKUP(C395,DATA!#REF!,2,FALSE),"")</f>
        <v/>
      </c>
    </row>
    <row r="396" spans="2:4" s="230" customFormat="1">
      <c r="B396" s="15" t="str">
        <f t="shared" si="33"/>
        <v/>
      </c>
      <c r="C396" s="16" t="str">
        <f>IFERROR(VLOOKUP(DATA!#REF!,DATA!#REF!,1,FALSE),"")</f>
        <v/>
      </c>
      <c r="D396" s="16" t="str">
        <f>IFERROR(VLOOKUP(C396,DATA!#REF!,2,FALSE),"")</f>
        <v/>
      </c>
    </row>
    <row r="397" spans="2:4" s="230" customFormat="1">
      <c r="B397" s="15" t="str">
        <f t="shared" si="33"/>
        <v/>
      </c>
      <c r="C397" s="16" t="str">
        <f>IFERROR(VLOOKUP(DATA!#REF!,DATA!#REF!,1,FALSE),"")</f>
        <v/>
      </c>
      <c r="D397" s="16" t="str">
        <f>IFERROR(VLOOKUP(C397,DATA!#REF!,2,FALSE),"")</f>
        <v/>
      </c>
    </row>
    <row r="398" spans="2:4" s="230" customFormat="1">
      <c r="B398" s="15" t="str">
        <f t="shared" si="33"/>
        <v/>
      </c>
      <c r="C398" s="16" t="str">
        <f>IFERROR(VLOOKUP(DATA!#REF!,DATA!#REF!,1,FALSE),"")</f>
        <v/>
      </c>
      <c r="D398" s="16" t="str">
        <f>IFERROR(VLOOKUP(C398,DATA!#REF!,2,FALSE),"")</f>
        <v/>
      </c>
    </row>
    <row r="399" spans="2:4" s="230" customFormat="1">
      <c r="B399" s="15" t="str">
        <f t="shared" si="33"/>
        <v/>
      </c>
      <c r="C399" s="16" t="str">
        <f>IFERROR(VLOOKUP(DATA!#REF!,DATA!#REF!,1,FALSE),"")</f>
        <v/>
      </c>
      <c r="D399" s="16" t="str">
        <f>IFERROR(VLOOKUP(C399,DATA!#REF!,2,FALSE),"")</f>
        <v/>
      </c>
    </row>
    <row r="400" spans="2:4" s="230" customFormat="1">
      <c r="B400" s="15" t="str">
        <f t="shared" si="33"/>
        <v/>
      </c>
      <c r="C400" s="16" t="str">
        <f>IFERROR(VLOOKUP(DATA!#REF!,DATA!#REF!,1,FALSE),"")</f>
        <v/>
      </c>
      <c r="D400" s="16" t="str">
        <f>IFERROR(VLOOKUP(C400,DATA!#REF!,2,FALSE),"")</f>
        <v/>
      </c>
    </row>
    <row r="401" spans="2:4" s="230" customFormat="1">
      <c r="B401" s="15" t="str">
        <f t="shared" si="33"/>
        <v/>
      </c>
      <c r="C401" s="16" t="str">
        <f>IFERROR(VLOOKUP(DATA!#REF!,DATA!#REF!,1,FALSE),"")</f>
        <v/>
      </c>
      <c r="D401" s="16" t="str">
        <f>IFERROR(VLOOKUP(C401,DATA!#REF!,2,FALSE),"")</f>
        <v/>
      </c>
    </row>
    <row r="402" spans="2:4" s="230" customFormat="1">
      <c r="B402" s="15" t="str">
        <f t="shared" si="33"/>
        <v/>
      </c>
      <c r="C402" s="16" t="str">
        <f>IFERROR(VLOOKUP(DATA!#REF!,DATA!#REF!,1,FALSE),"")</f>
        <v/>
      </c>
      <c r="D402" s="16" t="str">
        <f>IFERROR(VLOOKUP(C402,DATA!#REF!,2,FALSE),"")</f>
        <v/>
      </c>
    </row>
    <row r="403" spans="2:4" s="230" customFormat="1">
      <c r="B403" s="15" t="str">
        <f t="shared" si="33"/>
        <v/>
      </c>
      <c r="C403" s="16" t="str">
        <f>IFERROR(VLOOKUP(DATA!#REF!,DATA!#REF!,1,FALSE),"")</f>
        <v/>
      </c>
      <c r="D403" s="16" t="str">
        <f>IFERROR(VLOOKUP(C403,DATA!#REF!,2,FALSE),"")</f>
        <v/>
      </c>
    </row>
    <row r="404" spans="2:4" s="230" customFormat="1">
      <c r="B404" s="15" t="str">
        <f t="shared" si="33"/>
        <v/>
      </c>
      <c r="C404" s="16" t="str">
        <f>IFERROR(VLOOKUP(DATA!#REF!,DATA!#REF!,1,FALSE),"")</f>
        <v/>
      </c>
      <c r="D404" s="16" t="str">
        <f>IFERROR(VLOOKUP(C404,DATA!#REF!,2,FALSE),"")</f>
        <v/>
      </c>
    </row>
    <row r="405" spans="2:4" s="230" customFormat="1">
      <c r="B405" s="15" t="str">
        <f t="shared" si="33"/>
        <v/>
      </c>
      <c r="C405" s="16" t="str">
        <f>IFERROR(VLOOKUP(DATA!#REF!,DATA!#REF!,1,FALSE),"")</f>
        <v/>
      </c>
      <c r="D405" s="16" t="str">
        <f>IFERROR(VLOOKUP(C405,DATA!#REF!,2,FALSE),"")</f>
        <v/>
      </c>
    </row>
    <row r="406" spans="2:4" s="230" customFormat="1">
      <c r="B406" s="15" t="str">
        <f t="shared" si="33"/>
        <v/>
      </c>
      <c r="C406" s="16" t="str">
        <f>IFERROR(VLOOKUP(DATA!#REF!,DATA!#REF!,1,FALSE),"")</f>
        <v/>
      </c>
      <c r="D406" s="16" t="str">
        <f>IFERROR(VLOOKUP(C406,DATA!#REF!,2,FALSE),"")</f>
        <v/>
      </c>
    </row>
    <row r="407" spans="2:4" s="230" customFormat="1">
      <c r="B407" s="15" t="str">
        <f t="shared" si="33"/>
        <v/>
      </c>
      <c r="C407" s="16" t="str">
        <f>IFERROR(VLOOKUP(DATA!#REF!,DATA!#REF!,1,FALSE),"")</f>
        <v/>
      </c>
      <c r="D407" s="16" t="str">
        <f>IFERROR(VLOOKUP(C407,DATA!#REF!,2,FALSE),"")</f>
        <v/>
      </c>
    </row>
    <row r="408" spans="2:4" s="230" customFormat="1">
      <c r="B408" s="15" t="str">
        <f t="shared" si="33"/>
        <v/>
      </c>
      <c r="C408" s="16" t="str">
        <f>IFERROR(VLOOKUP(DATA!#REF!,DATA!#REF!,1,FALSE),"")</f>
        <v/>
      </c>
      <c r="D408" s="16" t="str">
        <f>IFERROR(VLOOKUP(C408,DATA!#REF!,2,FALSE),"")</f>
        <v/>
      </c>
    </row>
    <row r="409" spans="2:4" s="230" customFormat="1">
      <c r="B409" s="15" t="str">
        <f t="shared" si="33"/>
        <v/>
      </c>
      <c r="C409" s="16" t="str">
        <f>IFERROR(VLOOKUP(DATA!#REF!,DATA!#REF!,1,FALSE),"")</f>
        <v/>
      </c>
      <c r="D409" s="16" t="str">
        <f>IFERROR(VLOOKUP(C409,DATA!#REF!,2,FALSE),"")</f>
        <v/>
      </c>
    </row>
    <row r="410" spans="2:4" s="230" customFormat="1">
      <c r="B410" s="15" t="str">
        <f t="shared" si="33"/>
        <v/>
      </c>
      <c r="C410" s="16" t="str">
        <f>IFERROR(VLOOKUP(DATA!#REF!,DATA!#REF!,1,FALSE),"")</f>
        <v/>
      </c>
      <c r="D410" s="16" t="str">
        <f>IFERROR(VLOOKUP(C410,DATA!#REF!,2,FALSE),"")</f>
        <v/>
      </c>
    </row>
    <row r="411" spans="2:4" s="230" customFormat="1">
      <c r="B411" s="15" t="str">
        <f t="shared" si="33"/>
        <v/>
      </c>
      <c r="C411" s="16" t="str">
        <f>IFERROR(VLOOKUP(DATA!#REF!,DATA!#REF!,1,FALSE),"")</f>
        <v/>
      </c>
      <c r="D411" s="16" t="str">
        <f>IFERROR(VLOOKUP(C411,DATA!#REF!,2,FALSE),"")</f>
        <v/>
      </c>
    </row>
    <row r="412" spans="2:4" s="230" customFormat="1">
      <c r="B412" s="15" t="str">
        <f t="shared" si="33"/>
        <v/>
      </c>
      <c r="C412" s="16" t="str">
        <f>IFERROR(VLOOKUP(DATA!#REF!,DATA!#REF!,1,FALSE),"")</f>
        <v/>
      </c>
      <c r="D412" s="16" t="str">
        <f>IFERROR(VLOOKUP(C412,DATA!#REF!,2,FALSE),"")</f>
        <v/>
      </c>
    </row>
    <row r="413" spans="2:4" s="230" customFormat="1">
      <c r="B413" s="15" t="str">
        <f t="shared" si="33"/>
        <v/>
      </c>
      <c r="C413" s="16" t="str">
        <f>IFERROR(VLOOKUP(DATA!#REF!,DATA!#REF!,1,FALSE),"")</f>
        <v/>
      </c>
      <c r="D413" s="16" t="str">
        <f>IFERROR(VLOOKUP(C413,DATA!#REF!,2,FALSE),"")</f>
        <v/>
      </c>
    </row>
    <row r="414" spans="2:4" s="230" customFormat="1">
      <c r="B414" s="15" t="str">
        <f t="shared" si="33"/>
        <v/>
      </c>
      <c r="C414" s="16" t="str">
        <f>IFERROR(VLOOKUP(DATA!#REF!,DATA!#REF!,1,FALSE),"")</f>
        <v/>
      </c>
      <c r="D414" s="16" t="str">
        <f>IFERROR(VLOOKUP(C414,DATA!#REF!,2,FALSE),"")</f>
        <v/>
      </c>
    </row>
    <row r="415" spans="2:4" s="230" customFormat="1">
      <c r="B415" s="15" t="str">
        <f t="shared" si="33"/>
        <v/>
      </c>
      <c r="C415" s="16" t="str">
        <f>IFERROR(VLOOKUP(DATA!#REF!,DATA!#REF!,1,FALSE),"")</f>
        <v/>
      </c>
      <c r="D415" s="16" t="str">
        <f>IFERROR(VLOOKUP(C415,DATA!#REF!,2,FALSE),"")</f>
        <v/>
      </c>
    </row>
    <row r="416" spans="2:4" s="230" customFormat="1">
      <c r="B416" s="15" t="str">
        <f t="shared" si="33"/>
        <v/>
      </c>
      <c r="C416" s="16" t="str">
        <f>IFERROR(VLOOKUP(DATA!#REF!,DATA!#REF!,1,FALSE),"")</f>
        <v/>
      </c>
      <c r="D416" s="16" t="str">
        <f>IFERROR(VLOOKUP(C416,DATA!#REF!,2,FALSE),"")</f>
        <v/>
      </c>
    </row>
    <row r="417" spans="2:4" s="230" customFormat="1">
      <c r="B417" s="15" t="str">
        <f t="shared" si="33"/>
        <v/>
      </c>
      <c r="C417" s="16" t="str">
        <f>IFERROR(VLOOKUP(DATA!#REF!,DATA!#REF!,1,FALSE),"")</f>
        <v/>
      </c>
      <c r="D417" s="16" t="str">
        <f>IFERROR(VLOOKUP(C417,DATA!#REF!,2,FALSE),"")</f>
        <v/>
      </c>
    </row>
    <row r="418" spans="2:4" s="230" customFormat="1">
      <c r="B418" s="15" t="str">
        <f t="shared" si="33"/>
        <v/>
      </c>
      <c r="C418" s="16" t="str">
        <f>IFERROR(VLOOKUP(DATA!#REF!,DATA!#REF!,1,FALSE),"")</f>
        <v/>
      </c>
      <c r="D418" s="16" t="str">
        <f>IFERROR(VLOOKUP(C418,DATA!#REF!,2,FALSE),"")</f>
        <v/>
      </c>
    </row>
    <row r="419" spans="2:4" s="230" customFormat="1">
      <c r="B419" s="15" t="str">
        <f t="shared" si="33"/>
        <v/>
      </c>
      <c r="C419" s="16" t="str">
        <f>IFERROR(VLOOKUP(DATA!#REF!,DATA!#REF!,1,FALSE),"")</f>
        <v/>
      </c>
      <c r="D419" s="16" t="str">
        <f>IFERROR(VLOOKUP(C419,DATA!#REF!,2,FALSE),"")</f>
        <v/>
      </c>
    </row>
    <row r="420" spans="2:4" s="230" customFormat="1">
      <c r="B420" s="15" t="str">
        <f t="shared" si="33"/>
        <v/>
      </c>
      <c r="C420" s="16" t="str">
        <f>IFERROR(VLOOKUP(DATA!#REF!,DATA!#REF!,1,FALSE),"")</f>
        <v/>
      </c>
      <c r="D420" s="16" t="str">
        <f>IFERROR(VLOOKUP(C420,DATA!#REF!,2,FALSE),"")</f>
        <v/>
      </c>
    </row>
    <row r="421" spans="2:4" s="230" customFormat="1">
      <c r="B421" s="15" t="str">
        <f t="shared" si="33"/>
        <v/>
      </c>
      <c r="C421" s="16" t="str">
        <f>IFERROR(VLOOKUP(DATA!#REF!,DATA!#REF!,1,FALSE),"")</f>
        <v/>
      </c>
      <c r="D421" s="16" t="str">
        <f>IFERROR(VLOOKUP(C421,DATA!#REF!,2,FALSE),"")</f>
        <v/>
      </c>
    </row>
    <row r="422" spans="2:4" s="230" customFormat="1">
      <c r="B422" s="15" t="str">
        <f t="shared" si="33"/>
        <v/>
      </c>
      <c r="C422" s="16" t="str">
        <f>IFERROR(VLOOKUP(DATA!#REF!,DATA!#REF!,1,FALSE),"")</f>
        <v/>
      </c>
      <c r="D422" s="16" t="str">
        <f>IFERROR(VLOOKUP(C422,DATA!#REF!,2,FALSE),"")</f>
        <v/>
      </c>
    </row>
    <row r="423" spans="2:4" s="230" customFormat="1">
      <c r="B423" s="15" t="str">
        <f t="shared" si="33"/>
        <v/>
      </c>
      <c r="C423" s="16" t="str">
        <f>IFERROR(VLOOKUP(DATA!#REF!,DATA!#REF!,1,FALSE),"")</f>
        <v/>
      </c>
      <c r="D423" s="16" t="str">
        <f>IFERROR(VLOOKUP(C423,DATA!#REF!,2,FALSE),"")</f>
        <v/>
      </c>
    </row>
    <row r="424" spans="2:4" s="230" customFormat="1">
      <c r="B424" s="15" t="str">
        <f t="shared" si="33"/>
        <v/>
      </c>
      <c r="C424" s="16" t="str">
        <f>IFERROR(VLOOKUP(DATA!#REF!,DATA!#REF!,1,FALSE),"")</f>
        <v/>
      </c>
      <c r="D424" s="16" t="str">
        <f>IFERROR(VLOOKUP(C424,DATA!#REF!,2,FALSE),"")</f>
        <v/>
      </c>
    </row>
    <row r="425" spans="2:4" s="230" customFormat="1">
      <c r="B425" s="15" t="str">
        <f t="shared" si="33"/>
        <v/>
      </c>
      <c r="C425" s="16" t="str">
        <f>IFERROR(VLOOKUP(DATA!#REF!,DATA!#REF!,1,FALSE),"")</f>
        <v/>
      </c>
      <c r="D425" s="16" t="str">
        <f>IFERROR(VLOOKUP(C425,DATA!#REF!,2,FALSE),"")</f>
        <v/>
      </c>
    </row>
    <row r="426" spans="2:4" s="230" customFormat="1">
      <c r="B426" s="15" t="str">
        <f t="shared" si="33"/>
        <v/>
      </c>
      <c r="C426" s="16" t="str">
        <f>IFERROR(VLOOKUP(DATA!#REF!,DATA!#REF!,1,FALSE),"")</f>
        <v/>
      </c>
      <c r="D426" s="16" t="str">
        <f>IFERROR(VLOOKUP(C426,DATA!#REF!,2,FALSE),"")</f>
        <v/>
      </c>
    </row>
    <row r="427" spans="2:4" s="230" customFormat="1">
      <c r="B427" s="15" t="str">
        <f t="shared" si="33"/>
        <v/>
      </c>
      <c r="C427" s="16" t="str">
        <f>IFERROR(VLOOKUP(DATA!#REF!,DATA!#REF!,1,FALSE),"")</f>
        <v/>
      </c>
      <c r="D427" s="16" t="str">
        <f>IFERROR(VLOOKUP(C427,DATA!#REF!,2,FALSE),"")</f>
        <v/>
      </c>
    </row>
    <row r="428" spans="2:4" s="230" customFormat="1">
      <c r="B428" s="15" t="str">
        <f t="shared" si="33"/>
        <v/>
      </c>
      <c r="C428" s="16" t="str">
        <f>IFERROR(VLOOKUP(DATA!#REF!,DATA!#REF!,1,FALSE),"")</f>
        <v/>
      </c>
      <c r="D428" s="16" t="str">
        <f>IFERROR(VLOOKUP(C428,DATA!#REF!,2,FALSE),"")</f>
        <v/>
      </c>
    </row>
    <row r="429" spans="2:4" s="230" customFormat="1">
      <c r="B429" s="15" t="str">
        <f t="shared" si="33"/>
        <v/>
      </c>
      <c r="C429" s="16" t="str">
        <f>IFERROR(VLOOKUP(DATA!#REF!,DATA!#REF!,1,FALSE),"")</f>
        <v/>
      </c>
      <c r="D429" s="16" t="str">
        <f>IFERROR(VLOOKUP(C429,DATA!#REF!,2,FALSE),"")</f>
        <v/>
      </c>
    </row>
    <row r="430" spans="2:4" s="230" customFormat="1">
      <c r="B430" s="15" t="str">
        <f t="shared" si="33"/>
        <v/>
      </c>
      <c r="C430" s="16" t="str">
        <f>IFERROR(VLOOKUP(DATA!#REF!,DATA!#REF!,1,FALSE),"")</f>
        <v/>
      </c>
      <c r="D430" s="16" t="str">
        <f>IFERROR(VLOOKUP(C430,DATA!#REF!,2,FALSE),"")</f>
        <v/>
      </c>
    </row>
    <row r="431" spans="2:4" s="230" customFormat="1">
      <c r="B431" s="15" t="str">
        <f t="shared" si="33"/>
        <v/>
      </c>
      <c r="C431" s="16" t="str">
        <f>IFERROR(VLOOKUP(DATA!#REF!,DATA!#REF!,1,FALSE),"")</f>
        <v/>
      </c>
      <c r="D431" s="16" t="str">
        <f>IFERROR(VLOOKUP(C431,DATA!#REF!,2,FALSE),"")</f>
        <v/>
      </c>
    </row>
    <row r="432" spans="2:4" s="230" customFormat="1">
      <c r="B432" s="15" t="str">
        <f t="shared" si="33"/>
        <v/>
      </c>
      <c r="C432" s="16" t="str">
        <f>IFERROR(VLOOKUP(DATA!#REF!,DATA!#REF!,1,FALSE),"")</f>
        <v/>
      </c>
      <c r="D432" s="16" t="str">
        <f>IFERROR(VLOOKUP(C432,DATA!#REF!,2,FALSE),"")</f>
        <v/>
      </c>
    </row>
    <row r="433" spans="2:4" s="230" customFormat="1">
      <c r="B433" s="15" t="str">
        <f t="shared" si="33"/>
        <v/>
      </c>
      <c r="C433" s="16" t="str">
        <f>IFERROR(VLOOKUP(DATA!#REF!,DATA!#REF!,1,FALSE),"")</f>
        <v/>
      </c>
      <c r="D433" s="16" t="str">
        <f>IFERROR(VLOOKUP(C433,DATA!#REF!,2,FALSE),"")</f>
        <v/>
      </c>
    </row>
    <row r="434" spans="2:4" s="230" customFormat="1">
      <c r="B434" s="15" t="str">
        <f t="shared" si="33"/>
        <v/>
      </c>
      <c r="C434" s="16" t="str">
        <f>IFERROR(VLOOKUP(DATA!#REF!,DATA!#REF!,1,FALSE),"")</f>
        <v/>
      </c>
      <c r="D434" s="16" t="str">
        <f>IFERROR(VLOOKUP(C434,DATA!#REF!,2,FALSE),"")</f>
        <v/>
      </c>
    </row>
    <row r="435" spans="2:4" s="230" customFormat="1">
      <c r="B435" s="15" t="str">
        <f t="shared" si="33"/>
        <v/>
      </c>
      <c r="C435" s="16" t="str">
        <f>IFERROR(VLOOKUP(DATA!#REF!,DATA!#REF!,1,FALSE),"")</f>
        <v/>
      </c>
      <c r="D435" s="16" t="str">
        <f>IFERROR(VLOOKUP(C435,DATA!#REF!,2,FALSE),"")</f>
        <v/>
      </c>
    </row>
    <row r="436" spans="2:4" s="230" customFormat="1">
      <c r="B436" s="15" t="str">
        <f t="shared" si="33"/>
        <v/>
      </c>
      <c r="C436" s="16" t="str">
        <f>IFERROR(VLOOKUP(DATA!#REF!,DATA!#REF!,1,FALSE),"")</f>
        <v/>
      </c>
      <c r="D436" s="16" t="str">
        <f>IFERROR(VLOOKUP(C436,DATA!#REF!,2,FALSE),"")</f>
        <v/>
      </c>
    </row>
    <row r="437" spans="2:4" s="230" customFormat="1">
      <c r="B437" s="15" t="str">
        <f t="shared" si="33"/>
        <v/>
      </c>
      <c r="C437" s="16" t="str">
        <f>IFERROR(VLOOKUP(DATA!#REF!,DATA!#REF!,1,FALSE),"")</f>
        <v/>
      </c>
      <c r="D437" s="16" t="str">
        <f>IFERROR(VLOOKUP(C437,DATA!#REF!,2,FALSE),"")</f>
        <v/>
      </c>
    </row>
    <row r="438" spans="2:4" s="230" customFormat="1">
      <c r="B438" s="15" t="str">
        <f t="shared" si="33"/>
        <v/>
      </c>
      <c r="C438" s="16" t="str">
        <f>IFERROR(VLOOKUP(DATA!#REF!,DATA!#REF!,1,FALSE),"")</f>
        <v/>
      </c>
      <c r="D438" s="16" t="str">
        <f>IFERROR(VLOOKUP(C438,DATA!#REF!,2,FALSE),"")</f>
        <v/>
      </c>
    </row>
    <row r="439" spans="2:4" s="230" customFormat="1">
      <c r="B439" s="15" t="str">
        <f t="shared" si="33"/>
        <v/>
      </c>
      <c r="C439" s="16" t="str">
        <f>IFERROR(VLOOKUP(DATA!#REF!,DATA!#REF!,1,FALSE),"")</f>
        <v/>
      </c>
      <c r="D439" s="16" t="str">
        <f>IFERROR(VLOOKUP(C439,DATA!#REF!,2,FALSE),"")</f>
        <v/>
      </c>
    </row>
    <row r="440" spans="2:4" s="230" customFormat="1">
      <c r="B440" s="15" t="str">
        <f t="shared" si="33"/>
        <v/>
      </c>
      <c r="C440" s="16" t="str">
        <f>IFERROR(VLOOKUP(DATA!#REF!,DATA!#REF!,1,FALSE),"")</f>
        <v/>
      </c>
      <c r="D440" s="16" t="str">
        <f>IFERROR(VLOOKUP(C440,DATA!#REF!,2,FALSE),"")</f>
        <v/>
      </c>
    </row>
    <row r="441" spans="2:4" s="230" customFormat="1">
      <c r="B441" s="15" t="str">
        <f t="shared" si="33"/>
        <v/>
      </c>
      <c r="C441" s="16" t="str">
        <f>IFERROR(VLOOKUP(DATA!#REF!,DATA!#REF!,1,FALSE),"")</f>
        <v/>
      </c>
      <c r="D441" s="16" t="str">
        <f>IFERROR(VLOOKUP(C441,DATA!#REF!,2,FALSE),"")</f>
        <v/>
      </c>
    </row>
    <row r="442" spans="2:4" s="230" customFormat="1">
      <c r="B442" s="15" t="str">
        <f t="shared" si="33"/>
        <v/>
      </c>
      <c r="C442" s="16" t="str">
        <f>IFERROR(VLOOKUP(DATA!#REF!,DATA!#REF!,1,FALSE),"")</f>
        <v/>
      </c>
      <c r="D442" s="16" t="str">
        <f>IFERROR(VLOOKUP(C442,DATA!#REF!,2,FALSE),"")</f>
        <v/>
      </c>
    </row>
    <row r="443" spans="2:4" s="230" customFormat="1">
      <c r="B443" s="15" t="str">
        <f t="shared" si="33"/>
        <v/>
      </c>
      <c r="C443" s="16" t="str">
        <f>IFERROR(VLOOKUP(DATA!#REF!,DATA!#REF!,1,FALSE),"")</f>
        <v/>
      </c>
      <c r="D443" s="16" t="str">
        <f>IFERROR(VLOOKUP(C443,DATA!#REF!,2,FALSE),"")</f>
        <v/>
      </c>
    </row>
    <row r="444" spans="2:4" s="230" customFormat="1">
      <c r="B444" s="15" t="str">
        <f t="shared" si="33"/>
        <v/>
      </c>
      <c r="C444" s="16" t="str">
        <f>IFERROR(VLOOKUP(DATA!#REF!,DATA!#REF!,1,FALSE),"")</f>
        <v/>
      </c>
      <c r="D444" s="16" t="str">
        <f>IFERROR(VLOOKUP(C444,DATA!#REF!,2,FALSE),"")</f>
        <v/>
      </c>
    </row>
    <row r="445" spans="2:4" s="230" customFormat="1">
      <c r="B445" s="15" t="str">
        <f t="shared" si="33"/>
        <v/>
      </c>
      <c r="C445" s="16" t="str">
        <f>IFERROR(VLOOKUP(DATA!#REF!,DATA!#REF!,1,FALSE),"")</f>
        <v/>
      </c>
      <c r="D445" s="16" t="str">
        <f>IFERROR(VLOOKUP(C445,DATA!#REF!,2,FALSE),"")</f>
        <v/>
      </c>
    </row>
    <row r="446" spans="2:4" s="230" customFormat="1">
      <c r="B446" s="15" t="str">
        <f t="shared" si="33"/>
        <v/>
      </c>
      <c r="C446" s="16" t="str">
        <f>IFERROR(VLOOKUP(DATA!#REF!,DATA!#REF!,1,FALSE),"")</f>
        <v/>
      </c>
      <c r="D446" s="16" t="str">
        <f>IFERROR(VLOOKUP(C446,DATA!#REF!,2,FALSE),"")</f>
        <v/>
      </c>
    </row>
    <row r="447" spans="2:4" s="230" customFormat="1">
      <c r="B447" s="15" t="str">
        <f t="shared" si="33"/>
        <v/>
      </c>
      <c r="C447" s="16" t="str">
        <f>IFERROR(VLOOKUP(DATA!#REF!,DATA!#REF!,1,FALSE),"")</f>
        <v/>
      </c>
      <c r="D447" s="16" t="str">
        <f>IFERROR(VLOOKUP(C447,DATA!#REF!,2,FALSE),"")</f>
        <v/>
      </c>
    </row>
    <row r="448" spans="2:4" s="230" customFormat="1">
      <c r="B448" s="15" t="str">
        <f t="shared" si="33"/>
        <v/>
      </c>
      <c r="C448" s="16" t="str">
        <f>IFERROR(VLOOKUP(DATA!#REF!,DATA!#REF!,1,FALSE),"")</f>
        <v/>
      </c>
      <c r="D448" s="16" t="str">
        <f>IFERROR(VLOOKUP(C448,DATA!#REF!,2,FALSE),"")</f>
        <v/>
      </c>
    </row>
    <row r="449" spans="2:4" s="230" customFormat="1">
      <c r="B449" s="15" t="str">
        <f t="shared" si="33"/>
        <v/>
      </c>
      <c r="C449" s="16" t="str">
        <f>IFERROR(VLOOKUP(DATA!#REF!,DATA!#REF!,1,FALSE),"")</f>
        <v/>
      </c>
      <c r="D449" s="16" t="str">
        <f>IFERROR(VLOOKUP(C449,DATA!#REF!,2,FALSE),"")</f>
        <v/>
      </c>
    </row>
    <row r="450" spans="2:4" s="230" customFormat="1">
      <c r="B450" s="15" t="str">
        <f t="shared" si="33"/>
        <v/>
      </c>
      <c r="C450" s="16" t="str">
        <f>IFERROR(VLOOKUP(DATA!#REF!,DATA!#REF!,1,FALSE),"")</f>
        <v/>
      </c>
      <c r="D450" s="16" t="str">
        <f>IFERROR(VLOOKUP(C450,DATA!#REF!,2,FALSE),"")</f>
        <v/>
      </c>
    </row>
    <row r="451" spans="2:4" s="230" customFormat="1">
      <c r="B451" s="15" t="str">
        <f t="shared" si="33"/>
        <v/>
      </c>
      <c r="C451" s="16" t="str">
        <f>IFERROR(VLOOKUP(DATA!#REF!,DATA!#REF!,1,FALSE),"")</f>
        <v/>
      </c>
      <c r="D451" s="16" t="str">
        <f>IFERROR(VLOOKUP(C451,DATA!#REF!,2,FALSE),"")</f>
        <v/>
      </c>
    </row>
    <row r="452" spans="2:4" s="230" customFormat="1">
      <c r="B452" s="15" t="str">
        <f t="shared" si="33"/>
        <v/>
      </c>
      <c r="C452" s="16" t="str">
        <f>IFERROR(VLOOKUP(DATA!#REF!,DATA!#REF!,1,FALSE),"")</f>
        <v/>
      </c>
      <c r="D452" s="16" t="str">
        <f>IFERROR(VLOOKUP(C452,DATA!#REF!,2,FALSE),"")</f>
        <v/>
      </c>
    </row>
    <row r="453" spans="2:4" s="230" customFormat="1">
      <c r="B453" s="15" t="str">
        <f t="shared" si="33"/>
        <v/>
      </c>
      <c r="C453" s="16" t="str">
        <f>IFERROR(VLOOKUP(DATA!#REF!,DATA!#REF!,1,FALSE),"")</f>
        <v/>
      </c>
      <c r="D453" s="16" t="str">
        <f>IFERROR(VLOOKUP(C453,DATA!#REF!,2,FALSE),"")</f>
        <v/>
      </c>
    </row>
    <row r="454" spans="2:4" s="230" customFormat="1">
      <c r="B454" s="15" t="str">
        <f t="shared" ref="B454:B517" si="34">+IF(C454="","",ROW()-5)</f>
        <v/>
      </c>
      <c r="C454" s="16" t="str">
        <f>IFERROR(VLOOKUP(DATA!#REF!,DATA!#REF!,1,FALSE),"")</f>
        <v/>
      </c>
      <c r="D454" s="16" t="str">
        <f>IFERROR(VLOOKUP(C454,DATA!#REF!,2,FALSE),"")</f>
        <v/>
      </c>
    </row>
    <row r="455" spans="2:4" s="230" customFormat="1">
      <c r="B455" s="15" t="str">
        <f t="shared" si="34"/>
        <v/>
      </c>
      <c r="C455" s="16" t="str">
        <f>IFERROR(VLOOKUP(DATA!#REF!,DATA!#REF!,1,FALSE),"")</f>
        <v/>
      </c>
      <c r="D455" s="16" t="str">
        <f>IFERROR(VLOOKUP(C455,DATA!#REF!,2,FALSE),"")</f>
        <v/>
      </c>
    </row>
    <row r="456" spans="2:4" s="230" customFormat="1">
      <c r="B456" s="15" t="str">
        <f t="shared" si="34"/>
        <v/>
      </c>
      <c r="C456" s="16" t="str">
        <f>IFERROR(VLOOKUP(DATA!#REF!,DATA!#REF!,1,FALSE),"")</f>
        <v/>
      </c>
      <c r="D456" s="16" t="str">
        <f>IFERROR(VLOOKUP(C456,DATA!#REF!,2,FALSE),"")</f>
        <v/>
      </c>
    </row>
    <row r="457" spans="2:4" s="230" customFormat="1">
      <c r="B457" s="15" t="str">
        <f t="shared" si="34"/>
        <v/>
      </c>
      <c r="C457" s="16" t="str">
        <f>IFERROR(VLOOKUP(DATA!#REF!,DATA!#REF!,1,FALSE),"")</f>
        <v/>
      </c>
      <c r="D457" s="16" t="str">
        <f>IFERROR(VLOOKUP(C457,DATA!#REF!,2,FALSE),"")</f>
        <v/>
      </c>
    </row>
    <row r="458" spans="2:4" s="230" customFormat="1">
      <c r="B458" s="15" t="str">
        <f t="shared" si="34"/>
        <v/>
      </c>
      <c r="C458" s="16" t="str">
        <f>IFERROR(VLOOKUP(DATA!#REF!,DATA!#REF!,1,FALSE),"")</f>
        <v/>
      </c>
      <c r="D458" s="16" t="str">
        <f>IFERROR(VLOOKUP(C458,DATA!#REF!,2,FALSE),"")</f>
        <v/>
      </c>
    </row>
    <row r="459" spans="2:4" s="230" customFormat="1">
      <c r="B459" s="15" t="str">
        <f t="shared" si="34"/>
        <v/>
      </c>
      <c r="C459" s="16" t="str">
        <f>IFERROR(VLOOKUP(DATA!#REF!,DATA!#REF!,1,FALSE),"")</f>
        <v/>
      </c>
      <c r="D459" s="16" t="str">
        <f>IFERROR(VLOOKUP(C459,DATA!#REF!,2,FALSE),"")</f>
        <v/>
      </c>
    </row>
    <row r="460" spans="2:4" s="230" customFormat="1">
      <c r="B460" s="15" t="str">
        <f t="shared" si="34"/>
        <v/>
      </c>
      <c r="C460" s="16" t="str">
        <f>IFERROR(VLOOKUP(DATA!#REF!,DATA!#REF!,1,FALSE),"")</f>
        <v/>
      </c>
      <c r="D460" s="16" t="str">
        <f>IFERROR(VLOOKUP(C460,DATA!#REF!,2,FALSE),"")</f>
        <v/>
      </c>
    </row>
    <row r="461" spans="2:4" s="230" customFormat="1">
      <c r="B461" s="15" t="str">
        <f t="shared" si="34"/>
        <v/>
      </c>
      <c r="C461" s="16" t="str">
        <f>IFERROR(VLOOKUP(DATA!#REF!,DATA!#REF!,1,FALSE),"")</f>
        <v/>
      </c>
      <c r="D461" s="16" t="str">
        <f>IFERROR(VLOOKUP(C461,DATA!#REF!,2,FALSE),"")</f>
        <v/>
      </c>
    </row>
    <row r="462" spans="2:4" s="230" customFormat="1">
      <c r="B462" s="15" t="str">
        <f t="shared" si="34"/>
        <v/>
      </c>
      <c r="C462" s="16" t="str">
        <f>IFERROR(VLOOKUP(DATA!#REF!,DATA!#REF!,1,FALSE),"")</f>
        <v/>
      </c>
      <c r="D462" s="16" t="str">
        <f>IFERROR(VLOOKUP(C462,DATA!#REF!,2,FALSE),"")</f>
        <v/>
      </c>
    </row>
    <row r="463" spans="2:4" s="230" customFormat="1">
      <c r="B463" s="15" t="str">
        <f t="shared" si="34"/>
        <v/>
      </c>
      <c r="C463" s="16" t="str">
        <f>IFERROR(VLOOKUP(DATA!#REF!,DATA!#REF!,1,FALSE),"")</f>
        <v/>
      </c>
      <c r="D463" s="16" t="str">
        <f>IFERROR(VLOOKUP(C463,DATA!#REF!,2,FALSE),"")</f>
        <v/>
      </c>
    </row>
    <row r="464" spans="2:4" s="230" customFormat="1">
      <c r="B464" s="15" t="str">
        <f t="shared" si="34"/>
        <v/>
      </c>
      <c r="C464" s="16" t="str">
        <f>IFERROR(VLOOKUP(DATA!#REF!,DATA!#REF!,1,FALSE),"")</f>
        <v/>
      </c>
      <c r="D464" s="16" t="str">
        <f>IFERROR(VLOOKUP(C464,DATA!#REF!,2,FALSE),"")</f>
        <v/>
      </c>
    </row>
    <row r="465" spans="2:4" s="230" customFormat="1">
      <c r="B465" s="15" t="str">
        <f t="shared" si="34"/>
        <v/>
      </c>
      <c r="C465" s="16" t="str">
        <f>IFERROR(VLOOKUP(DATA!#REF!,DATA!#REF!,1,FALSE),"")</f>
        <v/>
      </c>
      <c r="D465" s="16" t="str">
        <f>IFERROR(VLOOKUP(C465,DATA!#REF!,2,FALSE),"")</f>
        <v/>
      </c>
    </row>
    <row r="466" spans="2:4" s="230" customFormat="1">
      <c r="B466" s="15" t="str">
        <f t="shared" si="34"/>
        <v/>
      </c>
      <c r="C466" s="16" t="str">
        <f>IFERROR(VLOOKUP(DATA!#REF!,DATA!#REF!,1,FALSE),"")</f>
        <v/>
      </c>
      <c r="D466" s="16" t="str">
        <f>IFERROR(VLOOKUP(C466,DATA!#REF!,2,FALSE),"")</f>
        <v/>
      </c>
    </row>
    <row r="467" spans="2:4" s="230" customFormat="1">
      <c r="B467" s="15" t="str">
        <f t="shared" si="34"/>
        <v/>
      </c>
      <c r="C467" s="16" t="str">
        <f>IFERROR(VLOOKUP(DATA!#REF!,DATA!#REF!,1,FALSE),"")</f>
        <v/>
      </c>
      <c r="D467" s="16" t="str">
        <f>IFERROR(VLOOKUP(C467,DATA!#REF!,2,FALSE),"")</f>
        <v/>
      </c>
    </row>
    <row r="468" spans="2:4" s="230" customFormat="1">
      <c r="B468" s="15" t="str">
        <f t="shared" si="34"/>
        <v/>
      </c>
      <c r="C468" s="16" t="str">
        <f>IFERROR(VLOOKUP(DATA!#REF!,DATA!#REF!,1,FALSE),"")</f>
        <v/>
      </c>
      <c r="D468" s="16" t="str">
        <f>IFERROR(VLOOKUP(C468,DATA!#REF!,2,FALSE),"")</f>
        <v/>
      </c>
    </row>
    <row r="469" spans="2:4" s="230" customFormat="1">
      <c r="B469" s="15" t="str">
        <f t="shared" si="34"/>
        <v/>
      </c>
      <c r="C469" s="16" t="str">
        <f>IFERROR(VLOOKUP(DATA!#REF!,DATA!#REF!,1,FALSE),"")</f>
        <v/>
      </c>
      <c r="D469" s="16" t="str">
        <f>IFERROR(VLOOKUP(C469,DATA!#REF!,2,FALSE),"")</f>
        <v/>
      </c>
    </row>
    <row r="470" spans="2:4" s="230" customFormat="1">
      <c r="B470" s="15" t="str">
        <f t="shared" si="34"/>
        <v/>
      </c>
      <c r="C470" s="16" t="str">
        <f>IFERROR(VLOOKUP(DATA!#REF!,DATA!#REF!,1,FALSE),"")</f>
        <v/>
      </c>
      <c r="D470" s="16" t="str">
        <f>IFERROR(VLOOKUP(C470,DATA!#REF!,2,FALSE),"")</f>
        <v/>
      </c>
    </row>
    <row r="471" spans="2:4" s="230" customFormat="1">
      <c r="B471" s="15" t="str">
        <f t="shared" si="34"/>
        <v/>
      </c>
      <c r="C471" s="16" t="str">
        <f>IFERROR(VLOOKUP(DATA!#REF!,DATA!#REF!,1,FALSE),"")</f>
        <v/>
      </c>
      <c r="D471" s="16" t="str">
        <f>IFERROR(VLOOKUP(C471,DATA!#REF!,2,FALSE),"")</f>
        <v/>
      </c>
    </row>
    <row r="472" spans="2:4" s="230" customFormat="1">
      <c r="B472" s="15" t="str">
        <f t="shared" si="34"/>
        <v/>
      </c>
      <c r="C472" s="16" t="str">
        <f>IFERROR(VLOOKUP(DATA!#REF!,DATA!#REF!,1,FALSE),"")</f>
        <v/>
      </c>
      <c r="D472" s="16" t="str">
        <f>IFERROR(VLOOKUP(C472,DATA!#REF!,2,FALSE),"")</f>
        <v/>
      </c>
    </row>
    <row r="473" spans="2:4" s="230" customFormat="1">
      <c r="B473" s="15" t="str">
        <f t="shared" si="34"/>
        <v/>
      </c>
      <c r="C473" s="16" t="str">
        <f>IFERROR(VLOOKUP(DATA!#REF!,DATA!#REF!,1,FALSE),"")</f>
        <v/>
      </c>
      <c r="D473" s="16" t="str">
        <f>IFERROR(VLOOKUP(C473,DATA!#REF!,2,FALSE),"")</f>
        <v/>
      </c>
    </row>
    <row r="474" spans="2:4" s="230" customFormat="1">
      <c r="B474" s="15" t="str">
        <f t="shared" si="34"/>
        <v/>
      </c>
      <c r="C474" s="16" t="str">
        <f>IFERROR(VLOOKUP(DATA!#REF!,DATA!#REF!,1,FALSE),"")</f>
        <v/>
      </c>
      <c r="D474" s="16" t="str">
        <f>IFERROR(VLOOKUP(C474,DATA!#REF!,2,FALSE),"")</f>
        <v/>
      </c>
    </row>
    <row r="475" spans="2:4" s="230" customFormat="1">
      <c r="B475" s="15" t="str">
        <f t="shared" si="34"/>
        <v/>
      </c>
      <c r="C475" s="16" t="str">
        <f>IFERROR(VLOOKUP(DATA!#REF!,DATA!#REF!,1,FALSE),"")</f>
        <v/>
      </c>
      <c r="D475" s="16" t="str">
        <f>IFERROR(VLOOKUP(C475,DATA!#REF!,2,FALSE),"")</f>
        <v/>
      </c>
    </row>
    <row r="476" spans="2:4" s="230" customFormat="1">
      <c r="B476" s="15" t="str">
        <f t="shared" si="34"/>
        <v/>
      </c>
      <c r="C476" s="16" t="str">
        <f>IFERROR(VLOOKUP(DATA!#REF!,DATA!#REF!,1,FALSE),"")</f>
        <v/>
      </c>
      <c r="D476" s="16" t="str">
        <f>IFERROR(VLOOKUP(C476,DATA!#REF!,2,FALSE),"")</f>
        <v/>
      </c>
    </row>
    <row r="477" spans="2:4" s="230" customFormat="1">
      <c r="B477" s="15" t="str">
        <f t="shared" si="34"/>
        <v/>
      </c>
      <c r="C477" s="16" t="str">
        <f>IFERROR(VLOOKUP(DATA!#REF!,DATA!#REF!,1,FALSE),"")</f>
        <v/>
      </c>
      <c r="D477" s="16" t="str">
        <f>IFERROR(VLOOKUP(C477,DATA!#REF!,2,FALSE),"")</f>
        <v/>
      </c>
    </row>
    <row r="478" spans="2:4" s="230" customFormat="1">
      <c r="B478" s="15" t="str">
        <f t="shared" si="34"/>
        <v/>
      </c>
      <c r="C478" s="16" t="str">
        <f>IFERROR(VLOOKUP(DATA!#REF!,DATA!#REF!,1,FALSE),"")</f>
        <v/>
      </c>
      <c r="D478" s="16" t="str">
        <f>IFERROR(VLOOKUP(C478,DATA!#REF!,2,FALSE),"")</f>
        <v/>
      </c>
    </row>
    <row r="479" spans="2:4" s="230" customFormat="1">
      <c r="B479" s="15" t="str">
        <f t="shared" si="34"/>
        <v/>
      </c>
      <c r="C479" s="16" t="str">
        <f>IFERROR(VLOOKUP(DATA!#REF!,DATA!#REF!,1,FALSE),"")</f>
        <v/>
      </c>
      <c r="D479" s="16" t="str">
        <f>IFERROR(VLOOKUP(C479,DATA!#REF!,2,FALSE),"")</f>
        <v/>
      </c>
    </row>
    <row r="480" spans="2:4" s="230" customFormat="1">
      <c r="B480" s="15" t="str">
        <f t="shared" si="34"/>
        <v/>
      </c>
      <c r="C480" s="16" t="str">
        <f>IFERROR(VLOOKUP(DATA!#REF!,DATA!#REF!,1,FALSE),"")</f>
        <v/>
      </c>
      <c r="D480" s="16" t="str">
        <f>IFERROR(VLOOKUP(C480,DATA!#REF!,2,FALSE),"")</f>
        <v/>
      </c>
    </row>
    <row r="481" spans="2:4" s="230" customFormat="1">
      <c r="B481" s="15" t="str">
        <f t="shared" si="34"/>
        <v/>
      </c>
      <c r="C481" s="16" t="str">
        <f>IFERROR(VLOOKUP(DATA!#REF!,DATA!#REF!,1,FALSE),"")</f>
        <v/>
      </c>
      <c r="D481" s="16" t="str">
        <f>IFERROR(VLOOKUP(C481,DATA!#REF!,2,FALSE),"")</f>
        <v/>
      </c>
    </row>
    <row r="482" spans="2:4" s="230" customFormat="1">
      <c r="B482" s="15" t="str">
        <f t="shared" si="34"/>
        <v/>
      </c>
      <c r="C482" s="16" t="str">
        <f>IFERROR(VLOOKUP(DATA!#REF!,DATA!#REF!,1,FALSE),"")</f>
        <v/>
      </c>
      <c r="D482" s="16" t="str">
        <f>IFERROR(VLOOKUP(C482,DATA!#REF!,2,FALSE),"")</f>
        <v/>
      </c>
    </row>
    <row r="483" spans="2:4" s="230" customFormat="1">
      <c r="B483" s="15" t="str">
        <f t="shared" si="34"/>
        <v/>
      </c>
      <c r="C483" s="16" t="str">
        <f>IFERROR(VLOOKUP(DATA!#REF!,DATA!#REF!,1,FALSE),"")</f>
        <v/>
      </c>
      <c r="D483" s="16" t="str">
        <f>IFERROR(VLOOKUP(C483,DATA!#REF!,2,FALSE),"")</f>
        <v/>
      </c>
    </row>
    <row r="484" spans="2:4" s="230" customFormat="1">
      <c r="B484" s="15" t="str">
        <f t="shared" si="34"/>
        <v/>
      </c>
      <c r="C484" s="16" t="str">
        <f>IFERROR(VLOOKUP(DATA!#REF!,DATA!#REF!,1,FALSE),"")</f>
        <v/>
      </c>
      <c r="D484" s="16" t="str">
        <f>IFERROR(VLOOKUP(C484,DATA!#REF!,2,FALSE),"")</f>
        <v/>
      </c>
    </row>
    <row r="485" spans="2:4" s="230" customFormat="1">
      <c r="B485" s="15" t="str">
        <f t="shared" si="34"/>
        <v/>
      </c>
      <c r="C485" s="16" t="str">
        <f>IFERROR(VLOOKUP(DATA!#REF!,DATA!#REF!,1,FALSE),"")</f>
        <v/>
      </c>
      <c r="D485" s="16" t="str">
        <f>IFERROR(VLOOKUP(C485,DATA!#REF!,2,FALSE),"")</f>
        <v/>
      </c>
    </row>
    <row r="486" spans="2:4" s="230" customFormat="1">
      <c r="B486" s="15" t="str">
        <f t="shared" si="34"/>
        <v/>
      </c>
      <c r="C486" s="16" t="str">
        <f>IFERROR(VLOOKUP(DATA!#REF!,DATA!#REF!,1,FALSE),"")</f>
        <v/>
      </c>
      <c r="D486" s="16" t="str">
        <f>IFERROR(VLOOKUP(C486,DATA!#REF!,2,FALSE),"")</f>
        <v/>
      </c>
    </row>
    <row r="487" spans="2:4" s="230" customFormat="1">
      <c r="B487" s="15" t="str">
        <f t="shared" si="34"/>
        <v/>
      </c>
      <c r="C487" s="16" t="str">
        <f>IFERROR(VLOOKUP(DATA!#REF!,DATA!#REF!,1,FALSE),"")</f>
        <v/>
      </c>
      <c r="D487" s="16" t="str">
        <f>IFERROR(VLOOKUP(C487,DATA!#REF!,2,FALSE),"")</f>
        <v/>
      </c>
    </row>
    <row r="488" spans="2:4" s="230" customFormat="1">
      <c r="B488" s="15" t="str">
        <f t="shared" si="34"/>
        <v/>
      </c>
      <c r="C488" s="16" t="str">
        <f>IFERROR(VLOOKUP(DATA!#REF!,DATA!#REF!,1,FALSE),"")</f>
        <v/>
      </c>
      <c r="D488" s="16" t="str">
        <f>IFERROR(VLOOKUP(C488,DATA!#REF!,2,FALSE),"")</f>
        <v/>
      </c>
    </row>
    <row r="489" spans="2:4" s="230" customFormat="1">
      <c r="B489" s="15" t="str">
        <f t="shared" si="34"/>
        <v/>
      </c>
      <c r="C489" s="16" t="str">
        <f>IFERROR(VLOOKUP(DATA!#REF!,DATA!#REF!,1,FALSE),"")</f>
        <v/>
      </c>
      <c r="D489" s="16" t="str">
        <f>IFERROR(VLOOKUP(C489,DATA!#REF!,2,FALSE),"")</f>
        <v/>
      </c>
    </row>
    <row r="490" spans="2:4" s="230" customFormat="1">
      <c r="B490" s="15" t="str">
        <f t="shared" si="34"/>
        <v/>
      </c>
      <c r="C490" s="16" t="str">
        <f>IFERROR(VLOOKUP(DATA!#REF!,DATA!#REF!,1,FALSE),"")</f>
        <v/>
      </c>
      <c r="D490" s="16" t="str">
        <f>IFERROR(VLOOKUP(C490,DATA!#REF!,2,FALSE),"")</f>
        <v/>
      </c>
    </row>
    <row r="491" spans="2:4" s="230" customFormat="1">
      <c r="B491" s="15" t="str">
        <f t="shared" si="34"/>
        <v/>
      </c>
      <c r="C491" s="16" t="str">
        <f>IFERROR(VLOOKUP(DATA!#REF!,DATA!#REF!,1,FALSE),"")</f>
        <v/>
      </c>
      <c r="D491" s="16" t="str">
        <f>IFERROR(VLOOKUP(C491,DATA!#REF!,2,FALSE),"")</f>
        <v/>
      </c>
    </row>
    <row r="492" spans="2:4" s="230" customFormat="1">
      <c r="B492" s="15" t="str">
        <f t="shared" si="34"/>
        <v/>
      </c>
      <c r="C492" s="16" t="str">
        <f>IFERROR(VLOOKUP(DATA!#REF!,DATA!#REF!,1,FALSE),"")</f>
        <v/>
      </c>
      <c r="D492" s="16" t="str">
        <f>IFERROR(VLOOKUP(C492,DATA!#REF!,2,FALSE),"")</f>
        <v/>
      </c>
    </row>
    <row r="493" spans="2:4" s="230" customFormat="1">
      <c r="B493" s="15" t="str">
        <f t="shared" si="34"/>
        <v/>
      </c>
      <c r="C493" s="16" t="str">
        <f>IFERROR(VLOOKUP(DATA!#REF!,DATA!#REF!,1,FALSE),"")</f>
        <v/>
      </c>
      <c r="D493" s="16" t="str">
        <f>IFERROR(VLOOKUP(C493,DATA!#REF!,2,FALSE),"")</f>
        <v/>
      </c>
    </row>
    <row r="494" spans="2:4" s="230" customFormat="1">
      <c r="B494" s="15" t="str">
        <f t="shared" si="34"/>
        <v/>
      </c>
      <c r="C494" s="16" t="str">
        <f>IFERROR(VLOOKUP(DATA!#REF!,DATA!#REF!,1,FALSE),"")</f>
        <v/>
      </c>
      <c r="D494" s="16" t="str">
        <f>IFERROR(VLOOKUP(C494,DATA!#REF!,2,FALSE),"")</f>
        <v/>
      </c>
    </row>
    <row r="495" spans="2:4" s="230" customFormat="1">
      <c r="B495" s="15" t="str">
        <f t="shared" si="34"/>
        <v/>
      </c>
      <c r="C495" s="16" t="str">
        <f>IFERROR(VLOOKUP(DATA!#REF!,DATA!#REF!,1,FALSE),"")</f>
        <v/>
      </c>
      <c r="D495" s="16" t="str">
        <f>IFERROR(VLOOKUP(C495,DATA!#REF!,2,FALSE),"")</f>
        <v/>
      </c>
    </row>
    <row r="496" spans="2:4" s="230" customFormat="1">
      <c r="B496" s="15" t="str">
        <f t="shared" si="34"/>
        <v/>
      </c>
      <c r="C496" s="16" t="str">
        <f>IFERROR(VLOOKUP(DATA!#REF!,DATA!#REF!,1,FALSE),"")</f>
        <v/>
      </c>
      <c r="D496" s="16" t="str">
        <f>IFERROR(VLOOKUP(C496,DATA!#REF!,2,FALSE),"")</f>
        <v/>
      </c>
    </row>
    <row r="497" spans="2:4" s="230" customFormat="1">
      <c r="B497" s="15" t="str">
        <f t="shared" si="34"/>
        <v/>
      </c>
      <c r="C497" s="16" t="str">
        <f>IFERROR(VLOOKUP(DATA!#REF!,DATA!#REF!,1,FALSE),"")</f>
        <v/>
      </c>
      <c r="D497" s="16" t="str">
        <f>IFERROR(VLOOKUP(C497,DATA!#REF!,2,FALSE),"")</f>
        <v/>
      </c>
    </row>
    <row r="498" spans="2:4" s="230" customFormat="1">
      <c r="B498" s="15" t="str">
        <f t="shared" si="34"/>
        <v/>
      </c>
      <c r="C498" s="16" t="str">
        <f>IFERROR(VLOOKUP(DATA!#REF!,DATA!#REF!,1,FALSE),"")</f>
        <v/>
      </c>
      <c r="D498" s="16" t="str">
        <f>IFERROR(VLOOKUP(C498,DATA!#REF!,2,FALSE),"")</f>
        <v/>
      </c>
    </row>
    <row r="499" spans="2:4" s="230" customFormat="1">
      <c r="B499" s="15" t="str">
        <f t="shared" si="34"/>
        <v/>
      </c>
      <c r="C499" s="16" t="str">
        <f>IFERROR(VLOOKUP(DATA!#REF!,DATA!#REF!,1,FALSE),"")</f>
        <v/>
      </c>
      <c r="D499" s="16" t="str">
        <f>IFERROR(VLOOKUP(C499,DATA!#REF!,2,FALSE),"")</f>
        <v/>
      </c>
    </row>
    <row r="500" spans="2:4" s="230" customFormat="1">
      <c r="B500" s="15" t="str">
        <f t="shared" si="34"/>
        <v/>
      </c>
      <c r="C500" s="16" t="str">
        <f>IFERROR(VLOOKUP(DATA!#REF!,DATA!#REF!,1,FALSE),"")</f>
        <v/>
      </c>
      <c r="D500" s="16" t="str">
        <f>IFERROR(VLOOKUP(C500,DATA!#REF!,2,FALSE),"")</f>
        <v/>
      </c>
    </row>
    <row r="501" spans="2:4" s="230" customFormat="1">
      <c r="B501" s="15" t="str">
        <f t="shared" si="34"/>
        <v/>
      </c>
      <c r="C501" s="16" t="str">
        <f>IFERROR(VLOOKUP(DATA!#REF!,DATA!#REF!,1,FALSE),"")</f>
        <v/>
      </c>
      <c r="D501" s="16" t="str">
        <f>IFERROR(VLOOKUP(C501,DATA!#REF!,2,FALSE),"")</f>
        <v/>
      </c>
    </row>
    <row r="502" spans="2:4" s="230" customFormat="1">
      <c r="B502" s="15" t="str">
        <f t="shared" si="34"/>
        <v/>
      </c>
      <c r="C502" s="16" t="str">
        <f>IFERROR(VLOOKUP(DATA!#REF!,DATA!#REF!,1,FALSE),"")</f>
        <v/>
      </c>
      <c r="D502" s="16" t="str">
        <f>IFERROR(VLOOKUP(C502,DATA!#REF!,2,FALSE),"")</f>
        <v/>
      </c>
    </row>
    <row r="503" spans="2:4" s="230" customFormat="1">
      <c r="B503" s="15" t="str">
        <f t="shared" si="34"/>
        <v/>
      </c>
      <c r="C503" s="16" t="str">
        <f>IFERROR(VLOOKUP(DATA!#REF!,DATA!#REF!,1,FALSE),"")</f>
        <v/>
      </c>
      <c r="D503" s="16" t="str">
        <f>IFERROR(VLOOKUP(C503,DATA!#REF!,2,FALSE),"")</f>
        <v/>
      </c>
    </row>
    <row r="504" spans="2:4" s="230" customFormat="1">
      <c r="B504" s="15" t="str">
        <f t="shared" si="34"/>
        <v/>
      </c>
      <c r="C504" s="16" t="str">
        <f>IFERROR(VLOOKUP(DATA!#REF!,DATA!#REF!,1,FALSE),"")</f>
        <v/>
      </c>
      <c r="D504" s="16" t="str">
        <f>IFERROR(VLOOKUP(C504,DATA!#REF!,2,FALSE),"")</f>
        <v/>
      </c>
    </row>
    <row r="505" spans="2:4" s="230" customFormat="1">
      <c r="B505" s="15" t="str">
        <f t="shared" si="34"/>
        <v/>
      </c>
      <c r="C505" s="16" t="str">
        <f>IFERROR(VLOOKUP(DATA!#REF!,DATA!#REF!,1,FALSE),"")</f>
        <v/>
      </c>
      <c r="D505" s="16" t="str">
        <f>IFERROR(VLOOKUP(C505,DATA!#REF!,2,FALSE),"")</f>
        <v/>
      </c>
    </row>
    <row r="506" spans="2:4" s="230" customFormat="1">
      <c r="B506" s="15" t="str">
        <f t="shared" si="34"/>
        <v/>
      </c>
      <c r="C506" s="16" t="str">
        <f>IFERROR(VLOOKUP(DATA!#REF!,DATA!#REF!,1,FALSE),"")</f>
        <v/>
      </c>
      <c r="D506" s="16" t="str">
        <f>IFERROR(VLOOKUP(C506,DATA!#REF!,2,FALSE),"")</f>
        <v/>
      </c>
    </row>
    <row r="507" spans="2:4" s="230" customFormat="1">
      <c r="B507" s="15" t="str">
        <f t="shared" si="34"/>
        <v/>
      </c>
      <c r="C507" s="16" t="str">
        <f>IFERROR(VLOOKUP(DATA!#REF!,DATA!#REF!,1,FALSE),"")</f>
        <v/>
      </c>
      <c r="D507" s="16" t="str">
        <f>IFERROR(VLOOKUP(C507,DATA!#REF!,2,FALSE),"")</f>
        <v/>
      </c>
    </row>
    <row r="508" spans="2:4" s="230" customFormat="1">
      <c r="B508" s="15" t="str">
        <f t="shared" si="34"/>
        <v/>
      </c>
      <c r="C508" s="16" t="str">
        <f>IFERROR(VLOOKUP(DATA!#REF!,DATA!#REF!,1,FALSE),"")</f>
        <v/>
      </c>
      <c r="D508" s="16" t="str">
        <f>IFERROR(VLOOKUP(C508,DATA!#REF!,2,FALSE),"")</f>
        <v/>
      </c>
    </row>
    <row r="509" spans="2:4" s="230" customFormat="1">
      <c r="B509" s="15" t="str">
        <f t="shared" si="34"/>
        <v/>
      </c>
      <c r="C509" s="16" t="str">
        <f>IFERROR(VLOOKUP(DATA!#REF!,DATA!#REF!,1,FALSE),"")</f>
        <v/>
      </c>
      <c r="D509" s="16" t="str">
        <f>IFERROR(VLOOKUP(C509,DATA!#REF!,2,FALSE),"")</f>
        <v/>
      </c>
    </row>
    <row r="510" spans="2:4" s="230" customFormat="1">
      <c r="B510" s="15" t="str">
        <f t="shared" si="34"/>
        <v/>
      </c>
      <c r="C510" s="16" t="str">
        <f>IFERROR(VLOOKUP(DATA!#REF!,DATA!#REF!,1,FALSE),"")</f>
        <v/>
      </c>
      <c r="D510" s="16" t="str">
        <f>IFERROR(VLOOKUP(C510,DATA!#REF!,2,FALSE),"")</f>
        <v/>
      </c>
    </row>
    <row r="511" spans="2:4" s="230" customFormat="1">
      <c r="B511" s="15" t="str">
        <f t="shared" si="34"/>
        <v/>
      </c>
      <c r="C511" s="16" t="str">
        <f>IFERROR(VLOOKUP(DATA!#REF!,DATA!#REF!,1,FALSE),"")</f>
        <v/>
      </c>
      <c r="D511" s="16" t="str">
        <f>IFERROR(VLOOKUP(C511,DATA!#REF!,2,FALSE),"")</f>
        <v/>
      </c>
    </row>
    <row r="512" spans="2:4" s="230" customFormat="1">
      <c r="B512" s="15" t="str">
        <f t="shared" si="34"/>
        <v/>
      </c>
      <c r="C512" s="16" t="str">
        <f>IFERROR(VLOOKUP(DATA!#REF!,DATA!#REF!,1,FALSE),"")</f>
        <v/>
      </c>
      <c r="D512" s="16" t="str">
        <f>IFERROR(VLOOKUP(C512,DATA!#REF!,2,FALSE),"")</f>
        <v/>
      </c>
    </row>
    <row r="513" spans="2:4" s="230" customFormat="1">
      <c r="B513" s="15" t="str">
        <f t="shared" si="34"/>
        <v/>
      </c>
      <c r="C513" s="16" t="str">
        <f>IFERROR(VLOOKUP(DATA!#REF!,DATA!#REF!,1,FALSE),"")</f>
        <v/>
      </c>
      <c r="D513" s="16" t="str">
        <f>IFERROR(VLOOKUP(C513,DATA!#REF!,2,FALSE),"")</f>
        <v/>
      </c>
    </row>
    <row r="514" spans="2:4" s="230" customFormat="1">
      <c r="B514" s="15" t="str">
        <f t="shared" si="34"/>
        <v/>
      </c>
      <c r="C514" s="16" t="str">
        <f>IFERROR(VLOOKUP(DATA!#REF!,DATA!#REF!,1,FALSE),"")</f>
        <v/>
      </c>
      <c r="D514" s="16" t="str">
        <f>IFERROR(VLOOKUP(C514,DATA!#REF!,2,FALSE),"")</f>
        <v/>
      </c>
    </row>
    <row r="515" spans="2:4" s="230" customFormat="1">
      <c r="B515" s="15" t="str">
        <f t="shared" si="34"/>
        <v/>
      </c>
      <c r="C515" s="16" t="str">
        <f>IFERROR(VLOOKUP(DATA!#REF!,DATA!#REF!,1,FALSE),"")</f>
        <v/>
      </c>
      <c r="D515" s="16" t="str">
        <f>IFERROR(VLOOKUP(C515,DATA!#REF!,2,FALSE),"")</f>
        <v/>
      </c>
    </row>
    <row r="516" spans="2:4" s="230" customFormat="1">
      <c r="B516" s="15" t="str">
        <f t="shared" si="34"/>
        <v/>
      </c>
      <c r="C516" s="16" t="str">
        <f>IFERROR(VLOOKUP(DATA!#REF!,DATA!#REF!,1,FALSE),"")</f>
        <v/>
      </c>
      <c r="D516" s="16" t="str">
        <f>IFERROR(VLOOKUP(C516,DATA!#REF!,2,FALSE),"")</f>
        <v/>
      </c>
    </row>
    <row r="517" spans="2:4" s="230" customFormat="1">
      <c r="B517" s="15" t="str">
        <f t="shared" si="34"/>
        <v/>
      </c>
      <c r="C517" s="16" t="str">
        <f>IFERROR(VLOOKUP(DATA!#REF!,DATA!#REF!,1,FALSE),"")</f>
        <v/>
      </c>
      <c r="D517" s="16" t="str">
        <f>IFERROR(VLOOKUP(C517,DATA!#REF!,2,FALSE),"")</f>
        <v/>
      </c>
    </row>
    <row r="518" spans="2:4" s="230" customFormat="1">
      <c r="B518" s="15" t="str">
        <f t="shared" ref="B518:B581" si="35">+IF(C518="","",ROW()-5)</f>
        <v/>
      </c>
      <c r="C518" s="16" t="str">
        <f>IFERROR(VLOOKUP(DATA!#REF!,DATA!#REF!,1,FALSE),"")</f>
        <v/>
      </c>
      <c r="D518" s="16" t="str">
        <f>IFERROR(VLOOKUP(C518,DATA!#REF!,2,FALSE),"")</f>
        <v/>
      </c>
    </row>
    <row r="519" spans="2:4" s="230" customFormat="1">
      <c r="B519" s="15" t="str">
        <f t="shared" si="35"/>
        <v/>
      </c>
      <c r="C519" s="16" t="str">
        <f>IFERROR(VLOOKUP(DATA!#REF!,DATA!#REF!,1,FALSE),"")</f>
        <v/>
      </c>
      <c r="D519" s="16" t="str">
        <f>IFERROR(VLOOKUP(C519,DATA!#REF!,2,FALSE),"")</f>
        <v/>
      </c>
    </row>
    <row r="520" spans="2:4" s="230" customFormat="1">
      <c r="B520" s="15" t="str">
        <f t="shared" si="35"/>
        <v/>
      </c>
      <c r="C520" s="16" t="str">
        <f>IFERROR(VLOOKUP(DATA!#REF!,DATA!#REF!,1,FALSE),"")</f>
        <v/>
      </c>
      <c r="D520" s="16" t="str">
        <f>IFERROR(VLOOKUP(C520,DATA!#REF!,2,FALSE),"")</f>
        <v/>
      </c>
    </row>
    <row r="521" spans="2:4" s="230" customFormat="1">
      <c r="B521" s="15" t="str">
        <f t="shared" si="35"/>
        <v/>
      </c>
      <c r="C521" s="16" t="str">
        <f>IFERROR(VLOOKUP(DATA!#REF!,DATA!#REF!,1,FALSE),"")</f>
        <v/>
      </c>
      <c r="D521" s="16" t="str">
        <f>IFERROR(VLOOKUP(C521,DATA!#REF!,2,FALSE),"")</f>
        <v/>
      </c>
    </row>
    <row r="522" spans="2:4" s="230" customFormat="1">
      <c r="B522" s="15" t="str">
        <f t="shared" si="35"/>
        <v/>
      </c>
      <c r="C522" s="16" t="str">
        <f>IFERROR(VLOOKUP(DATA!#REF!,DATA!#REF!,1,FALSE),"")</f>
        <v/>
      </c>
      <c r="D522" s="16" t="str">
        <f>IFERROR(VLOOKUP(C522,DATA!#REF!,2,FALSE),"")</f>
        <v/>
      </c>
    </row>
    <row r="523" spans="2:4" s="230" customFormat="1">
      <c r="B523" s="15" t="str">
        <f t="shared" si="35"/>
        <v/>
      </c>
      <c r="C523" s="16" t="str">
        <f>IFERROR(VLOOKUP(DATA!#REF!,DATA!#REF!,1,FALSE),"")</f>
        <v/>
      </c>
      <c r="D523" s="16" t="str">
        <f>IFERROR(VLOOKUP(C523,DATA!#REF!,2,FALSE),"")</f>
        <v/>
      </c>
    </row>
    <row r="524" spans="2:4" s="230" customFormat="1">
      <c r="B524" s="15" t="str">
        <f t="shared" si="35"/>
        <v/>
      </c>
      <c r="C524" s="16" t="str">
        <f>IFERROR(VLOOKUP(DATA!#REF!,DATA!#REF!,1,FALSE),"")</f>
        <v/>
      </c>
      <c r="D524" s="16" t="str">
        <f>IFERROR(VLOOKUP(C524,DATA!#REF!,2,FALSE),"")</f>
        <v/>
      </c>
    </row>
    <row r="525" spans="2:4" s="230" customFormat="1">
      <c r="B525" s="15" t="str">
        <f t="shared" si="35"/>
        <v/>
      </c>
      <c r="C525" s="16" t="str">
        <f>IFERROR(VLOOKUP(DATA!#REF!,DATA!#REF!,1,FALSE),"")</f>
        <v/>
      </c>
      <c r="D525" s="16" t="str">
        <f>IFERROR(VLOOKUP(C525,DATA!#REF!,2,FALSE),"")</f>
        <v/>
      </c>
    </row>
    <row r="526" spans="2:4" s="230" customFormat="1">
      <c r="B526" s="15" t="str">
        <f t="shared" si="35"/>
        <v/>
      </c>
      <c r="C526" s="16" t="str">
        <f>IFERROR(VLOOKUP(DATA!#REF!,DATA!#REF!,1,FALSE),"")</f>
        <v/>
      </c>
      <c r="D526" s="16" t="str">
        <f>IFERROR(VLOOKUP(C526,DATA!#REF!,2,FALSE),"")</f>
        <v/>
      </c>
    </row>
    <row r="527" spans="2:4" s="230" customFormat="1">
      <c r="B527" s="15" t="str">
        <f t="shared" si="35"/>
        <v/>
      </c>
      <c r="C527" s="16" t="str">
        <f>IFERROR(VLOOKUP(DATA!#REF!,DATA!#REF!,1,FALSE),"")</f>
        <v/>
      </c>
      <c r="D527" s="16" t="str">
        <f>IFERROR(VLOOKUP(C527,DATA!#REF!,2,FALSE),"")</f>
        <v/>
      </c>
    </row>
    <row r="528" spans="2:4" s="230" customFormat="1">
      <c r="B528" s="15" t="str">
        <f t="shared" si="35"/>
        <v/>
      </c>
      <c r="C528" s="16" t="str">
        <f>IFERROR(VLOOKUP(DATA!#REF!,DATA!#REF!,1,FALSE),"")</f>
        <v/>
      </c>
      <c r="D528" s="16" t="str">
        <f>IFERROR(VLOOKUP(C528,DATA!#REF!,2,FALSE),"")</f>
        <v/>
      </c>
    </row>
    <row r="529" spans="2:4" s="230" customFormat="1">
      <c r="B529" s="15" t="str">
        <f t="shared" si="35"/>
        <v/>
      </c>
      <c r="C529" s="16" t="str">
        <f>IFERROR(VLOOKUP(DATA!#REF!,DATA!#REF!,1,FALSE),"")</f>
        <v/>
      </c>
      <c r="D529" s="16" t="str">
        <f>IFERROR(VLOOKUP(C529,DATA!#REF!,2,FALSE),"")</f>
        <v/>
      </c>
    </row>
    <row r="530" spans="2:4" s="230" customFormat="1">
      <c r="B530" s="15" t="str">
        <f t="shared" si="35"/>
        <v/>
      </c>
      <c r="C530" s="16" t="str">
        <f>IFERROR(VLOOKUP(DATA!#REF!,DATA!#REF!,1,FALSE),"")</f>
        <v/>
      </c>
      <c r="D530" s="16" t="str">
        <f>IFERROR(VLOOKUP(C530,DATA!#REF!,2,FALSE),"")</f>
        <v/>
      </c>
    </row>
    <row r="531" spans="2:4" s="230" customFormat="1">
      <c r="B531" s="15" t="str">
        <f t="shared" si="35"/>
        <v/>
      </c>
      <c r="C531" s="16" t="str">
        <f>IFERROR(VLOOKUP(DATA!#REF!,DATA!#REF!,1,FALSE),"")</f>
        <v/>
      </c>
      <c r="D531" s="16" t="str">
        <f>IFERROR(VLOOKUP(C531,DATA!#REF!,2,FALSE),"")</f>
        <v/>
      </c>
    </row>
    <row r="532" spans="2:4" s="230" customFormat="1">
      <c r="B532" s="15" t="str">
        <f t="shared" si="35"/>
        <v/>
      </c>
      <c r="C532" s="16" t="str">
        <f>IFERROR(VLOOKUP(DATA!#REF!,DATA!#REF!,1,FALSE),"")</f>
        <v/>
      </c>
      <c r="D532" s="16" t="str">
        <f>IFERROR(VLOOKUP(C532,DATA!#REF!,2,FALSE),"")</f>
        <v/>
      </c>
    </row>
    <row r="533" spans="2:4" s="230" customFormat="1">
      <c r="B533" s="15" t="str">
        <f t="shared" si="35"/>
        <v/>
      </c>
      <c r="C533" s="16" t="str">
        <f>IFERROR(VLOOKUP(DATA!#REF!,DATA!#REF!,1,FALSE),"")</f>
        <v/>
      </c>
      <c r="D533" s="16" t="str">
        <f>IFERROR(VLOOKUP(C533,DATA!#REF!,2,FALSE),"")</f>
        <v/>
      </c>
    </row>
    <row r="534" spans="2:4" s="230" customFormat="1">
      <c r="B534" s="15" t="str">
        <f t="shared" si="35"/>
        <v/>
      </c>
      <c r="C534" s="16" t="str">
        <f>IFERROR(VLOOKUP(DATA!#REF!,DATA!#REF!,1,FALSE),"")</f>
        <v/>
      </c>
      <c r="D534" s="16" t="str">
        <f>IFERROR(VLOOKUP(C534,DATA!#REF!,2,FALSE),"")</f>
        <v/>
      </c>
    </row>
    <row r="535" spans="2:4" s="230" customFormat="1">
      <c r="B535" s="15" t="str">
        <f t="shared" si="35"/>
        <v/>
      </c>
      <c r="C535" s="16" t="str">
        <f>IFERROR(VLOOKUP(DATA!#REF!,DATA!#REF!,1,FALSE),"")</f>
        <v/>
      </c>
      <c r="D535" s="16" t="str">
        <f>IFERROR(VLOOKUP(C535,DATA!#REF!,2,FALSE),"")</f>
        <v/>
      </c>
    </row>
    <row r="536" spans="2:4" s="230" customFormat="1">
      <c r="B536" s="15" t="str">
        <f t="shared" si="35"/>
        <v/>
      </c>
      <c r="C536" s="16" t="str">
        <f>IFERROR(VLOOKUP(DATA!#REF!,DATA!#REF!,1,FALSE),"")</f>
        <v/>
      </c>
      <c r="D536" s="16" t="str">
        <f>IFERROR(VLOOKUP(C536,DATA!#REF!,2,FALSE),"")</f>
        <v/>
      </c>
    </row>
    <row r="537" spans="2:4" s="230" customFormat="1">
      <c r="B537" s="15" t="str">
        <f t="shared" si="35"/>
        <v/>
      </c>
      <c r="C537" s="16" t="str">
        <f>IFERROR(VLOOKUP(DATA!#REF!,DATA!#REF!,1,FALSE),"")</f>
        <v/>
      </c>
      <c r="D537" s="16" t="str">
        <f>IFERROR(VLOOKUP(C537,DATA!#REF!,2,FALSE),"")</f>
        <v/>
      </c>
    </row>
    <row r="538" spans="2:4" s="230" customFormat="1">
      <c r="B538" s="15" t="str">
        <f t="shared" si="35"/>
        <v/>
      </c>
      <c r="C538" s="16" t="str">
        <f>IFERROR(VLOOKUP(DATA!#REF!,DATA!#REF!,1,FALSE),"")</f>
        <v/>
      </c>
      <c r="D538" s="16" t="str">
        <f>IFERROR(VLOOKUP(C538,DATA!#REF!,2,FALSE),"")</f>
        <v/>
      </c>
    </row>
    <row r="539" spans="2:4" s="230" customFormat="1">
      <c r="B539" s="15" t="str">
        <f t="shared" si="35"/>
        <v/>
      </c>
      <c r="C539" s="16" t="str">
        <f>IFERROR(VLOOKUP(DATA!#REF!,DATA!#REF!,1,FALSE),"")</f>
        <v/>
      </c>
      <c r="D539" s="16" t="str">
        <f>IFERROR(VLOOKUP(C539,DATA!#REF!,2,FALSE),"")</f>
        <v/>
      </c>
    </row>
    <row r="540" spans="2:4" s="230" customFormat="1">
      <c r="B540" s="15" t="str">
        <f t="shared" si="35"/>
        <v/>
      </c>
      <c r="C540" s="16" t="str">
        <f>IFERROR(VLOOKUP(DATA!#REF!,DATA!#REF!,1,FALSE),"")</f>
        <v/>
      </c>
      <c r="D540" s="16" t="str">
        <f>IFERROR(VLOOKUP(C540,DATA!#REF!,2,FALSE),"")</f>
        <v/>
      </c>
    </row>
    <row r="541" spans="2:4" s="230" customFormat="1">
      <c r="B541" s="15" t="str">
        <f t="shared" si="35"/>
        <v/>
      </c>
      <c r="C541" s="16" t="str">
        <f>IFERROR(VLOOKUP(DATA!#REF!,DATA!#REF!,1,FALSE),"")</f>
        <v/>
      </c>
      <c r="D541" s="16" t="str">
        <f>IFERROR(VLOOKUP(C541,DATA!#REF!,2,FALSE),"")</f>
        <v/>
      </c>
    </row>
    <row r="542" spans="2:4" s="230" customFormat="1">
      <c r="B542" s="15" t="str">
        <f t="shared" si="35"/>
        <v/>
      </c>
      <c r="C542" s="16" t="str">
        <f>IFERROR(VLOOKUP(DATA!#REF!,DATA!#REF!,1,FALSE),"")</f>
        <v/>
      </c>
      <c r="D542" s="16" t="str">
        <f>IFERROR(VLOOKUP(C542,DATA!#REF!,2,FALSE),"")</f>
        <v/>
      </c>
    </row>
    <row r="543" spans="2:4" s="230" customFormat="1">
      <c r="B543" s="15" t="str">
        <f t="shared" si="35"/>
        <v/>
      </c>
      <c r="C543" s="16" t="str">
        <f>IFERROR(VLOOKUP(DATA!#REF!,DATA!#REF!,1,FALSE),"")</f>
        <v/>
      </c>
      <c r="D543" s="16" t="str">
        <f>IFERROR(VLOOKUP(C543,DATA!#REF!,2,FALSE),"")</f>
        <v/>
      </c>
    </row>
    <row r="544" spans="2:4" s="230" customFormat="1">
      <c r="B544" s="15" t="str">
        <f t="shared" si="35"/>
        <v/>
      </c>
      <c r="C544" s="16" t="str">
        <f>IFERROR(VLOOKUP(DATA!#REF!,DATA!#REF!,1,FALSE),"")</f>
        <v/>
      </c>
      <c r="D544" s="16" t="str">
        <f>IFERROR(VLOOKUP(C544,DATA!#REF!,2,FALSE),"")</f>
        <v/>
      </c>
    </row>
    <row r="545" spans="2:4" s="230" customFormat="1">
      <c r="B545" s="15" t="str">
        <f t="shared" si="35"/>
        <v/>
      </c>
      <c r="C545" s="16" t="str">
        <f>IFERROR(VLOOKUP(DATA!#REF!,DATA!#REF!,1,FALSE),"")</f>
        <v/>
      </c>
      <c r="D545" s="16" t="str">
        <f>IFERROR(VLOOKUP(C545,DATA!#REF!,2,FALSE),"")</f>
        <v/>
      </c>
    </row>
    <row r="546" spans="2:4" s="230" customFormat="1">
      <c r="B546" s="15" t="str">
        <f t="shared" si="35"/>
        <v/>
      </c>
      <c r="C546" s="16" t="str">
        <f>IFERROR(VLOOKUP(DATA!#REF!,DATA!#REF!,1,FALSE),"")</f>
        <v/>
      </c>
      <c r="D546" s="16" t="str">
        <f>IFERROR(VLOOKUP(C546,DATA!#REF!,2,FALSE),"")</f>
        <v/>
      </c>
    </row>
    <row r="547" spans="2:4" s="230" customFormat="1">
      <c r="B547" s="15" t="str">
        <f t="shared" si="35"/>
        <v/>
      </c>
      <c r="C547" s="16" t="str">
        <f>IFERROR(VLOOKUP(DATA!#REF!,DATA!#REF!,1,FALSE),"")</f>
        <v/>
      </c>
      <c r="D547" s="16" t="str">
        <f>IFERROR(VLOOKUP(C547,DATA!#REF!,2,FALSE),"")</f>
        <v/>
      </c>
    </row>
    <row r="548" spans="2:4" s="230" customFormat="1">
      <c r="B548" s="15" t="str">
        <f t="shared" si="35"/>
        <v/>
      </c>
      <c r="C548" s="16" t="str">
        <f>IFERROR(VLOOKUP(DATA!#REF!,DATA!#REF!,1,FALSE),"")</f>
        <v/>
      </c>
      <c r="D548" s="16" t="str">
        <f>IFERROR(VLOOKUP(C548,DATA!#REF!,2,FALSE),"")</f>
        <v/>
      </c>
    </row>
    <row r="549" spans="2:4" s="230" customFormat="1">
      <c r="B549" s="15" t="str">
        <f t="shared" si="35"/>
        <v/>
      </c>
      <c r="C549" s="16" t="str">
        <f>IFERROR(VLOOKUP(DATA!#REF!,DATA!#REF!,1,FALSE),"")</f>
        <v/>
      </c>
      <c r="D549" s="16" t="str">
        <f>IFERROR(VLOOKUP(C549,DATA!#REF!,2,FALSE),"")</f>
        <v/>
      </c>
    </row>
    <row r="550" spans="2:4" s="230" customFormat="1">
      <c r="B550" s="15" t="str">
        <f t="shared" si="35"/>
        <v/>
      </c>
      <c r="C550" s="16" t="str">
        <f>IFERROR(VLOOKUP(DATA!#REF!,DATA!#REF!,1,FALSE),"")</f>
        <v/>
      </c>
      <c r="D550" s="16" t="str">
        <f>IFERROR(VLOOKUP(C550,DATA!#REF!,2,FALSE),"")</f>
        <v/>
      </c>
    </row>
    <row r="551" spans="2:4" s="230" customFormat="1">
      <c r="B551" s="15" t="str">
        <f t="shared" si="35"/>
        <v/>
      </c>
      <c r="C551" s="16" t="str">
        <f>IFERROR(VLOOKUP(DATA!#REF!,DATA!#REF!,1,FALSE),"")</f>
        <v/>
      </c>
      <c r="D551" s="16" t="str">
        <f>IFERROR(VLOOKUP(C551,DATA!#REF!,2,FALSE),"")</f>
        <v/>
      </c>
    </row>
    <row r="552" spans="2:4" s="230" customFormat="1">
      <c r="B552" s="15" t="str">
        <f t="shared" si="35"/>
        <v/>
      </c>
      <c r="C552" s="16" t="str">
        <f>IFERROR(VLOOKUP(DATA!#REF!,DATA!#REF!,1,FALSE),"")</f>
        <v/>
      </c>
      <c r="D552" s="16" t="str">
        <f>IFERROR(VLOOKUP(C552,DATA!#REF!,2,FALSE),"")</f>
        <v/>
      </c>
    </row>
    <row r="553" spans="2:4" s="230" customFormat="1">
      <c r="B553" s="15" t="str">
        <f t="shared" si="35"/>
        <v/>
      </c>
      <c r="C553" s="16" t="str">
        <f>IFERROR(VLOOKUP(DATA!#REF!,DATA!#REF!,1,FALSE),"")</f>
        <v/>
      </c>
      <c r="D553" s="16" t="str">
        <f>IFERROR(VLOOKUP(C553,DATA!#REF!,2,FALSE),"")</f>
        <v/>
      </c>
    </row>
    <row r="554" spans="2:4" s="230" customFormat="1">
      <c r="B554" s="15" t="str">
        <f t="shared" si="35"/>
        <v/>
      </c>
      <c r="C554" s="16" t="str">
        <f>IFERROR(VLOOKUP(DATA!#REF!,DATA!#REF!,1,FALSE),"")</f>
        <v/>
      </c>
      <c r="D554" s="16" t="str">
        <f>IFERROR(VLOOKUP(C554,DATA!#REF!,2,FALSE),"")</f>
        <v/>
      </c>
    </row>
    <row r="555" spans="2:4" s="230" customFormat="1">
      <c r="B555" s="15" t="str">
        <f t="shared" si="35"/>
        <v/>
      </c>
      <c r="C555" s="16" t="str">
        <f>IFERROR(VLOOKUP(DATA!#REF!,DATA!#REF!,1,FALSE),"")</f>
        <v/>
      </c>
      <c r="D555" s="16" t="str">
        <f>IFERROR(VLOOKUP(C555,DATA!#REF!,2,FALSE),"")</f>
        <v/>
      </c>
    </row>
    <row r="556" spans="2:4" s="230" customFormat="1">
      <c r="B556" s="15" t="str">
        <f t="shared" si="35"/>
        <v/>
      </c>
      <c r="C556" s="16" t="str">
        <f>IFERROR(VLOOKUP(DATA!#REF!,DATA!#REF!,1,FALSE),"")</f>
        <v/>
      </c>
      <c r="D556" s="16" t="str">
        <f>IFERROR(VLOOKUP(C556,DATA!#REF!,2,FALSE),"")</f>
        <v/>
      </c>
    </row>
    <row r="557" spans="2:4" s="230" customFormat="1">
      <c r="B557" s="15" t="str">
        <f t="shared" si="35"/>
        <v/>
      </c>
      <c r="C557" s="16" t="str">
        <f>IFERROR(VLOOKUP(DATA!#REF!,DATA!#REF!,1,FALSE),"")</f>
        <v/>
      </c>
      <c r="D557" s="16" t="str">
        <f>IFERROR(VLOOKUP(C557,DATA!#REF!,2,FALSE),"")</f>
        <v/>
      </c>
    </row>
    <row r="558" spans="2:4" s="230" customFormat="1">
      <c r="B558" s="15" t="str">
        <f t="shared" si="35"/>
        <v/>
      </c>
      <c r="C558" s="16" t="str">
        <f>IFERROR(VLOOKUP(DATA!#REF!,DATA!#REF!,1,FALSE),"")</f>
        <v/>
      </c>
      <c r="D558" s="16" t="str">
        <f>IFERROR(VLOOKUP(C558,DATA!#REF!,2,FALSE),"")</f>
        <v/>
      </c>
    </row>
    <row r="559" spans="2:4" s="230" customFormat="1">
      <c r="B559" s="15" t="str">
        <f t="shared" si="35"/>
        <v/>
      </c>
      <c r="C559" s="16" t="str">
        <f>IFERROR(VLOOKUP(DATA!#REF!,DATA!#REF!,1,FALSE),"")</f>
        <v/>
      </c>
      <c r="D559" s="16" t="str">
        <f>IFERROR(VLOOKUP(C559,DATA!#REF!,2,FALSE),"")</f>
        <v/>
      </c>
    </row>
    <row r="560" spans="2:4" s="230" customFormat="1">
      <c r="B560" s="15" t="str">
        <f t="shared" si="35"/>
        <v/>
      </c>
      <c r="C560" s="16" t="str">
        <f>IFERROR(VLOOKUP(DATA!#REF!,DATA!#REF!,1,FALSE),"")</f>
        <v/>
      </c>
      <c r="D560" s="16" t="str">
        <f>IFERROR(VLOOKUP(C560,DATA!#REF!,2,FALSE),"")</f>
        <v/>
      </c>
    </row>
    <row r="561" spans="2:4" s="230" customFormat="1">
      <c r="B561" s="15" t="str">
        <f t="shared" si="35"/>
        <v/>
      </c>
      <c r="C561" s="16" t="str">
        <f>IFERROR(VLOOKUP(DATA!#REF!,DATA!#REF!,1,FALSE),"")</f>
        <v/>
      </c>
      <c r="D561" s="16" t="str">
        <f>IFERROR(VLOOKUP(C561,DATA!#REF!,2,FALSE),"")</f>
        <v/>
      </c>
    </row>
    <row r="562" spans="2:4" s="230" customFormat="1">
      <c r="B562" s="15" t="str">
        <f t="shared" si="35"/>
        <v/>
      </c>
      <c r="C562" s="16" t="str">
        <f>IFERROR(VLOOKUP(DATA!#REF!,DATA!#REF!,1,FALSE),"")</f>
        <v/>
      </c>
      <c r="D562" s="16" t="str">
        <f>IFERROR(VLOOKUP(C562,DATA!#REF!,2,FALSE),"")</f>
        <v/>
      </c>
    </row>
    <row r="563" spans="2:4" s="230" customFormat="1">
      <c r="B563" s="15" t="str">
        <f t="shared" si="35"/>
        <v/>
      </c>
      <c r="C563" s="16" t="str">
        <f>IFERROR(VLOOKUP(DATA!#REF!,DATA!#REF!,1,FALSE),"")</f>
        <v/>
      </c>
      <c r="D563" s="16" t="str">
        <f>IFERROR(VLOOKUP(C563,DATA!#REF!,2,FALSE),"")</f>
        <v/>
      </c>
    </row>
    <row r="564" spans="2:4" s="230" customFormat="1">
      <c r="B564" s="15" t="str">
        <f t="shared" si="35"/>
        <v/>
      </c>
      <c r="C564" s="16" t="str">
        <f>IFERROR(VLOOKUP(DATA!#REF!,DATA!#REF!,1,FALSE),"")</f>
        <v/>
      </c>
      <c r="D564" s="16" t="str">
        <f>IFERROR(VLOOKUP(C564,DATA!#REF!,2,FALSE),"")</f>
        <v/>
      </c>
    </row>
    <row r="565" spans="2:4" s="230" customFormat="1">
      <c r="B565" s="15" t="str">
        <f t="shared" si="35"/>
        <v/>
      </c>
      <c r="C565" s="16" t="str">
        <f>IFERROR(VLOOKUP(DATA!#REF!,DATA!#REF!,1,FALSE),"")</f>
        <v/>
      </c>
      <c r="D565" s="16" t="str">
        <f>IFERROR(VLOOKUP(C565,DATA!#REF!,2,FALSE),"")</f>
        <v/>
      </c>
    </row>
    <row r="566" spans="2:4" s="230" customFormat="1">
      <c r="B566" s="15" t="str">
        <f t="shared" si="35"/>
        <v/>
      </c>
      <c r="C566" s="16" t="str">
        <f>IFERROR(VLOOKUP(DATA!#REF!,DATA!#REF!,1,FALSE),"")</f>
        <v/>
      </c>
      <c r="D566" s="16" t="str">
        <f>IFERROR(VLOOKUP(C566,DATA!#REF!,2,FALSE),"")</f>
        <v/>
      </c>
    </row>
    <row r="567" spans="2:4" s="230" customFormat="1">
      <c r="B567" s="15" t="str">
        <f t="shared" si="35"/>
        <v/>
      </c>
      <c r="C567" s="16" t="str">
        <f>IFERROR(VLOOKUP(DATA!#REF!,DATA!#REF!,1,FALSE),"")</f>
        <v/>
      </c>
      <c r="D567" s="16" t="str">
        <f>IFERROR(VLOOKUP(C567,DATA!#REF!,2,FALSE),"")</f>
        <v/>
      </c>
    </row>
    <row r="568" spans="2:4" s="230" customFormat="1">
      <c r="B568" s="15" t="str">
        <f t="shared" si="35"/>
        <v/>
      </c>
      <c r="C568" s="16" t="str">
        <f>IFERROR(VLOOKUP(DATA!#REF!,DATA!#REF!,1,FALSE),"")</f>
        <v/>
      </c>
      <c r="D568" s="16" t="str">
        <f>IFERROR(VLOOKUP(C568,DATA!#REF!,2,FALSE),"")</f>
        <v/>
      </c>
    </row>
    <row r="569" spans="2:4" s="230" customFormat="1">
      <c r="B569" s="15" t="str">
        <f t="shared" si="35"/>
        <v/>
      </c>
      <c r="C569" s="16" t="str">
        <f>IFERROR(VLOOKUP(DATA!#REF!,DATA!#REF!,1,FALSE),"")</f>
        <v/>
      </c>
      <c r="D569" s="16" t="str">
        <f>IFERROR(VLOOKUP(C569,DATA!#REF!,2,FALSE),"")</f>
        <v/>
      </c>
    </row>
    <row r="570" spans="2:4" s="230" customFormat="1">
      <c r="B570" s="15" t="str">
        <f t="shared" si="35"/>
        <v/>
      </c>
      <c r="C570" s="16" t="str">
        <f>IFERROR(VLOOKUP(DATA!#REF!,DATA!#REF!,1,FALSE),"")</f>
        <v/>
      </c>
      <c r="D570" s="16" t="str">
        <f>IFERROR(VLOOKUP(C570,DATA!#REF!,2,FALSE),"")</f>
        <v/>
      </c>
    </row>
    <row r="571" spans="2:4" s="230" customFormat="1">
      <c r="B571" s="15" t="str">
        <f t="shared" si="35"/>
        <v/>
      </c>
      <c r="C571" s="16" t="str">
        <f>IFERROR(VLOOKUP(DATA!#REF!,DATA!#REF!,1,FALSE),"")</f>
        <v/>
      </c>
      <c r="D571" s="16" t="str">
        <f>IFERROR(VLOOKUP(C571,DATA!#REF!,2,FALSE),"")</f>
        <v/>
      </c>
    </row>
    <row r="572" spans="2:4" s="230" customFormat="1">
      <c r="B572" s="15" t="str">
        <f t="shared" si="35"/>
        <v/>
      </c>
      <c r="C572" s="16" t="str">
        <f>IFERROR(VLOOKUP(DATA!#REF!,DATA!#REF!,1,FALSE),"")</f>
        <v/>
      </c>
      <c r="D572" s="16" t="str">
        <f>IFERROR(VLOOKUP(C572,DATA!#REF!,2,FALSE),"")</f>
        <v/>
      </c>
    </row>
    <row r="573" spans="2:4" s="230" customFormat="1">
      <c r="B573" s="15" t="str">
        <f t="shared" si="35"/>
        <v/>
      </c>
      <c r="C573" s="16" t="str">
        <f>IFERROR(VLOOKUP(DATA!#REF!,DATA!#REF!,1,FALSE),"")</f>
        <v/>
      </c>
      <c r="D573" s="16" t="str">
        <f>IFERROR(VLOOKUP(C573,DATA!#REF!,2,FALSE),"")</f>
        <v/>
      </c>
    </row>
    <row r="574" spans="2:4" s="230" customFormat="1">
      <c r="B574" s="15" t="str">
        <f t="shared" si="35"/>
        <v/>
      </c>
      <c r="C574" s="16" t="str">
        <f>IFERROR(VLOOKUP(DATA!#REF!,DATA!#REF!,1,FALSE),"")</f>
        <v/>
      </c>
      <c r="D574" s="16" t="str">
        <f>IFERROR(VLOOKUP(C574,DATA!#REF!,2,FALSE),"")</f>
        <v/>
      </c>
    </row>
    <row r="575" spans="2:4" s="230" customFormat="1">
      <c r="B575" s="15" t="str">
        <f t="shared" si="35"/>
        <v/>
      </c>
      <c r="C575" s="16" t="str">
        <f>IFERROR(VLOOKUP(DATA!#REF!,DATA!#REF!,1,FALSE),"")</f>
        <v/>
      </c>
      <c r="D575" s="16" t="str">
        <f>IFERROR(VLOOKUP(C575,DATA!#REF!,2,FALSE),"")</f>
        <v/>
      </c>
    </row>
    <row r="576" spans="2:4" s="230" customFormat="1">
      <c r="B576" s="15" t="str">
        <f t="shared" si="35"/>
        <v/>
      </c>
      <c r="C576" s="16" t="str">
        <f>IFERROR(VLOOKUP(DATA!#REF!,DATA!#REF!,1,FALSE),"")</f>
        <v/>
      </c>
      <c r="D576" s="16" t="str">
        <f>IFERROR(VLOOKUP(C576,DATA!#REF!,2,FALSE),"")</f>
        <v/>
      </c>
    </row>
    <row r="577" spans="2:4" s="230" customFormat="1">
      <c r="B577" s="15" t="str">
        <f t="shared" si="35"/>
        <v/>
      </c>
      <c r="C577" s="16" t="str">
        <f>IFERROR(VLOOKUP(DATA!#REF!,DATA!#REF!,1,FALSE),"")</f>
        <v/>
      </c>
      <c r="D577" s="16" t="str">
        <f>IFERROR(VLOOKUP(C577,DATA!#REF!,2,FALSE),"")</f>
        <v/>
      </c>
    </row>
    <row r="578" spans="2:4" s="230" customFormat="1">
      <c r="B578" s="15" t="str">
        <f t="shared" si="35"/>
        <v/>
      </c>
      <c r="C578" s="16" t="str">
        <f>IFERROR(VLOOKUP(DATA!#REF!,DATA!#REF!,1,FALSE),"")</f>
        <v/>
      </c>
      <c r="D578" s="16" t="str">
        <f>IFERROR(VLOOKUP(C578,DATA!#REF!,2,FALSE),"")</f>
        <v/>
      </c>
    </row>
    <row r="579" spans="2:4" s="230" customFormat="1">
      <c r="B579" s="15" t="str">
        <f t="shared" si="35"/>
        <v/>
      </c>
      <c r="C579" s="16" t="str">
        <f>IFERROR(VLOOKUP(DATA!#REF!,DATA!#REF!,1,FALSE),"")</f>
        <v/>
      </c>
      <c r="D579" s="16" t="str">
        <f>IFERROR(VLOOKUP(C579,DATA!#REF!,2,FALSE),"")</f>
        <v/>
      </c>
    </row>
    <row r="580" spans="2:4" s="230" customFormat="1">
      <c r="B580" s="15" t="str">
        <f t="shared" si="35"/>
        <v/>
      </c>
      <c r="C580" s="16" t="str">
        <f>IFERROR(VLOOKUP(DATA!#REF!,DATA!#REF!,1,FALSE),"")</f>
        <v/>
      </c>
      <c r="D580" s="16" t="str">
        <f>IFERROR(VLOOKUP(C580,DATA!#REF!,2,FALSE),"")</f>
        <v/>
      </c>
    </row>
    <row r="581" spans="2:4" s="230" customFormat="1">
      <c r="B581" s="15" t="str">
        <f t="shared" si="35"/>
        <v/>
      </c>
      <c r="C581" s="16" t="str">
        <f>IFERROR(VLOOKUP(DATA!#REF!,DATA!#REF!,1,FALSE),"")</f>
        <v/>
      </c>
      <c r="D581" s="16" t="str">
        <f>IFERROR(VLOOKUP(C581,DATA!#REF!,2,FALSE),"")</f>
        <v/>
      </c>
    </row>
    <row r="582" spans="2:4" s="230" customFormat="1">
      <c r="B582" s="15" t="str">
        <f t="shared" ref="B582:B645" si="36">+IF(C582="","",ROW()-5)</f>
        <v/>
      </c>
      <c r="C582" s="16" t="str">
        <f>IFERROR(VLOOKUP(DATA!#REF!,DATA!#REF!,1,FALSE),"")</f>
        <v/>
      </c>
      <c r="D582" s="16" t="str">
        <f>IFERROR(VLOOKUP(C582,DATA!#REF!,2,FALSE),"")</f>
        <v/>
      </c>
    </row>
    <row r="583" spans="2:4" s="230" customFormat="1">
      <c r="B583" s="15" t="str">
        <f t="shared" si="36"/>
        <v/>
      </c>
      <c r="C583" s="16" t="str">
        <f>IFERROR(VLOOKUP(DATA!#REF!,DATA!#REF!,1,FALSE),"")</f>
        <v/>
      </c>
      <c r="D583" s="16" t="str">
        <f>IFERROR(VLOOKUP(C583,DATA!#REF!,2,FALSE),"")</f>
        <v/>
      </c>
    </row>
    <row r="584" spans="2:4" s="230" customFormat="1">
      <c r="B584" s="15" t="str">
        <f t="shared" si="36"/>
        <v/>
      </c>
      <c r="C584" s="16" t="str">
        <f>IFERROR(VLOOKUP(DATA!#REF!,DATA!#REF!,1,FALSE),"")</f>
        <v/>
      </c>
      <c r="D584" s="16" t="str">
        <f>IFERROR(VLOOKUP(C584,DATA!#REF!,2,FALSE),"")</f>
        <v/>
      </c>
    </row>
    <row r="585" spans="2:4" s="230" customFormat="1">
      <c r="B585" s="15" t="str">
        <f t="shared" si="36"/>
        <v/>
      </c>
      <c r="C585" s="16" t="str">
        <f>IFERROR(VLOOKUP(DATA!#REF!,DATA!#REF!,1,FALSE),"")</f>
        <v/>
      </c>
      <c r="D585" s="16" t="str">
        <f>IFERROR(VLOOKUP(C585,DATA!#REF!,2,FALSE),"")</f>
        <v/>
      </c>
    </row>
    <row r="586" spans="2:4" s="230" customFormat="1">
      <c r="B586" s="15" t="str">
        <f t="shared" si="36"/>
        <v/>
      </c>
      <c r="C586" s="16" t="str">
        <f>IFERROR(VLOOKUP(DATA!#REF!,DATA!#REF!,1,FALSE),"")</f>
        <v/>
      </c>
      <c r="D586" s="16" t="str">
        <f>IFERROR(VLOOKUP(C586,DATA!#REF!,2,FALSE),"")</f>
        <v/>
      </c>
    </row>
    <row r="587" spans="2:4" s="230" customFormat="1">
      <c r="B587" s="15" t="str">
        <f t="shared" si="36"/>
        <v/>
      </c>
      <c r="C587" s="16" t="str">
        <f>IFERROR(VLOOKUP(DATA!#REF!,DATA!#REF!,1,FALSE),"")</f>
        <v/>
      </c>
      <c r="D587" s="16" t="str">
        <f>IFERROR(VLOOKUP(C587,DATA!#REF!,2,FALSE),"")</f>
        <v/>
      </c>
    </row>
    <row r="588" spans="2:4" s="230" customFormat="1">
      <c r="B588" s="15" t="str">
        <f t="shared" si="36"/>
        <v/>
      </c>
      <c r="C588" s="16" t="str">
        <f>IFERROR(VLOOKUP(DATA!#REF!,DATA!#REF!,1,FALSE),"")</f>
        <v/>
      </c>
      <c r="D588" s="16" t="str">
        <f>IFERROR(VLOOKUP(C588,DATA!#REF!,2,FALSE),"")</f>
        <v/>
      </c>
    </row>
    <row r="589" spans="2:4" s="230" customFormat="1">
      <c r="B589" s="15" t="str">
        <f t="shared" si="36"/>
        <v/>
      </c>
      <c r="C589" s="16" t="str">
        <f>IFERROR(VLOOKUP(DATA!#REF!,DATA!#REF!,1,FALSE),"")</f>
        <v/>
      </c>
      <c r="D589" s="16" t="str">
        <f>IFERROR(VLOOKUP(C589,DATA!#REF!,2,FALSE),"")</f>
        <v/>
      </c>
    </row>
    <row r="590" spans="2:4" s="230" customFormat="1">
      <c r="B590" s="15" t="str">
        <f t="shared" si="36"/>
        <v/>
      </c>
      <c r="C590" s="16" t="str">
        <f>IFERROR(VLOOKUP(DATA!#REF!,DATA!#REF!,1,FALSE),"")</f>
        <v/>
      </c>
      <c r="D590" s="16" t="str">
        <f>IFERROR(VLOOKUP(C590,DATA!#REF!,2,FALSE),"")</f>
        <v/>
      </c>
    </row>
    <row r="591" spans="2:4" s="230" customFormat="1">
      <c r="B591" s="15" t="str">
        <f t="shared" si="36"/>
        <v/>
      </c>
      <c r="C591" s="16" t="str">
        <f>IFERROR(VLOOKUP(DATA!#REF!,DATA!#REF!,1,FALSE),"")</f>
        <v/>
      </c>
      <c r="D591" s="16" t="str">
        <f>IFERROR(VLOOKUP(C591,DATA!#REF!,2,FALSE),"")</f>
        <v/>
      </c>
    </row>
    <row r="592" spans="2:4" s="230" customFormat="1">
      <c r="B592" s="15" t="str">
        <f t="shared" si="36"/>
        <v/>
      </c>
      <c r="C592" s="16" t="str">
        <f>IFERROR(VLOOKUP(DATA!#REF!,DATA!#REF!,1,FALSE),"")</f>
        <v/>
      </c>
      <c r="D592" s="16" t="str">
        <f>IFERROR(VLOOKUP(C592,DATA!#REF!,2,FALSE),"")</f>
        <v/>
      </c>
    </row>
    <row r="593" spans="2:4" s="230" customFormat="1">
      <c r="B593" s="15" t="str">
        <f t="shared" si="36"/>
        <v/>
      </c>
      <c r="C593" s="16" t="str">
        <f>IFERROR(VLOOKUP(DATA!#REF!,DATA!#REF!,1,FALSE),"")</f>
        <v/>
      </c>
      <c r="D593" s="16" t="str">
        <f>IFERROR(VLOOKUP(C593,DATA!#REF!,2,FALSE),"")</f>
        <v/>
      </c>
    </row>
    <row r="594" spans="2:4" s="230" customFormat="1">
      <c r="B594" s="15" t="str">
        <f t="shared" si="36"/>
        <v/>
      </c>
      <c r="C594" s="16" t="str">
        <f>IFERROR(VLOOKUP(DATA!#REF!,DATA!#REF!,1,FALSE),"")</f>
        <v/>
      </c>
      <c r="D594" s="16" t="str">
        <f>IFERROR(VLOOKUP(C594,DATA!#REF!,2,FALSE),"")</f>
        <v/>
      </c>
    </row>
    <row r="595" spans="2:4" s="230" customFormat="1">
      <c r="B595" s="15" t="str">
        <f t="shared" si="36"/>
        <v/>
      </c>
      <c r="C595" s="16" t="str">
        <f>IFERROR(VLOOKUP(DATA!#REF!,DATA!#REF!,1,FALSE),"")</f>
        <v/>
      </c>
      <c r="D595" s="16" t="str">
        <f>IFERROR(VLOOKUP(C595,DATA!#REF!,2,FALSE),"")</f>
        <v/>
      </c>
    </row>
    <row r="596" spans="2:4" s="230" customFormat="1">
      <c r="B596" s="15" t="str">
        <f t="shared" si="36"/>
        <v/>
      </c>
      <c r="C596" s="16" t="str">
        <f>IFERROR(VLOOKUP(DATA!#REF!,DATA!#REF!,1,FALSE),"")</f>
        <v/>
      </c>
      <c r="D596" s="16" t="str">
        <f>IFERROR(VLOOKUP(C596,DATA!#REF!,2,FALSE),"")</f>
        <v/>
      </c>
    </row>
    <row r="597" spans="2:4" s="230" customFormat="1">
      <c r="B597" s="15" t="str">
        <f t="shared" si="36"/>
        <v/>
      </c>
      <c r="C597" s="16" t="str">
        <f>IFERROR(VLOOKUP(DATA!#REF!,DATA!#REF!,1,FALSE),"")</f>
        <v/>
      </c>
      <c r="D597" s="16" t="str">
        <f>IFERROR(VLOOKUP(C597,DATA!#REF!,2,FALSE),"")</f>
        <v/>
      </c>
    </row>
    <row r="598" spans="2:4" s="230" customFormat="1">
      <c r="B598" s="15" t="str">
        <f t="shared" si="36"/>
        <v/>
      </c>
      <c r="C598" s="16" t="str">
        <f>IFERROR(VLOOKUP(DATA!#REF!,DATA!#REF!,1,FALSE),"")</f>
        <v/>
      </c>
      <c r="D598" s="16" t="str">
        <f>IFERROR(VLOOKUP(C598,DATA!#REF!,2,FALSE),"")</f>
        <v/>
      </c>
    </row>
    <row r="599" spans="2:4" s="230" customFormat="1">
      <c r="B599" s="15" t="str">
        <f t="shared" si="36"/>
        <v/>
      </c>
      <c r="C599" s="16" t="str">
        <f>IFERROR(VLOOKUP(DATA!#REF!,DATA!#REF!,1,FALSE),"")</f>
        <v/>
      </c>
      <c r="D599" s="16" t="str">
        <f>IFERROR(VLOOKUP(C599,DATA!#REF!,2,FALSE),"")</f>
        <v/>
      </c>
    </row>
    <row r="600" spans="2:4" s="230" customFormat="1">
      <c r="B600" s="15" t="str">
        <f t="shared" si="36"/>
        <v/>
      </c>
      <c r="C600" s="16" t="str">
        <f>IFERROR(VLOOKUP(DATA!#REF!,DATA!#REF!,1,FALSE),"")</f>
        <v/>
      </c>
      <c r="D600" s="16" t="str">
        <f>IFERROR(VLOOKUP(C600,DATA!#REF!,2,FALSE),"")</f>
        <v/>
      </c>
    </row>
    <row r="601" spans="2:4" s="230" customFormat="1">
      <c r="B601" s="15" t="str">
        <f t="shared" si="36"/>
        <v/>
      </c>
      <c r="C601" s="16" t="str">
        <f>IFERROR(VLOOKUP(DATA!#REF!,DATA!#REF!,1,FALSE),"")</f>
        <v/>
      </c>
      <c r="D601" s="16" t="str">
        <f>IFERROR(VLOOKUP(C601,DATA!#REF!,2,FALSE),"")</f>
        <v/>
      </c>
    </row>
    <row r="602" spans="2:4" s="230" customFormat="1">
      <c r="B602" s="15" t="str">
        <f t="shared" si="36"/>
        <v/>
      </c>
      <c r="C602" s="16" t="str">
        <f>IFERROR(VLOOKUP(DATA!#REF!,DATA!#REF!,1,FALSE),"")</f>
        <v/>
      </c>
      <c r="D602" s="16" t="str">
        <f>IFERROR(VLOOKUP(C602,DATA!#REF!,2,FALSE),"")</f>
        <v/>
      </c>
    </row>
    <row r="603" spans="2:4" s="230" customFormat="1">
      <c r="B603" s="15" t="str">
        <f t="shared" si="36"/>
        <v/>
      </c>
      <c r="C603" s="16" t="str">
        <f>IFERROR(VLOOKUP(DATA!#REF!,DATA!#REF!,1,FALSE),"")</f>
        <v/>
      </c>
      <c r="D603" s="16" t="str">
        <f>IFERROR(VLOOKUP(C603,DATA!#REF!,2,FALSE),"")</f>
        <v/>
      </c>
    </row>
    <row r="604" spans="2:4" s="230" customFormat="1">
      <c r="B604" s="15" t="str">
        <f t="shared" si="36"/>
        <v/>
      </c>
      <c r="C604" s="16" t="str">
        <f>IFERROR(VLOOKUP(DATA!#REF!,DATA!#REF!,1,FALSE),"")</f>
        <v/>
      </c>
      <c r="D604" s="16" t="str">
        <f>IFERROR(VLOOKUP(C604,DATA!#REF!,2,FALSE),"")</f>
        <v/>
      </c>
    </row>
    <row r="605" spans="2:4" s="230" customFormat="1">
      <c r="B605" s="15" t="str">
        <f t="shared" si="36"/>
        <v/>
      </c>
      <c r="C605" s="16" t="str">
        <f>IFERROR(VLOOKUP(DATA!#REF!,DATA!#REF!,1,FALSE),"")</f>
        <v/>
      </c>
      <c r="D605" s="16" t="str">
        <f>IFERROR(VLOOKUP(C605,DATA!#REF!,2,FALSE),"")</f>
        <v/>
      </c>
    </row>
    <row r="606" spans="2:4" s="230" customFormat="1">
      <c r="B606" s="15" t="str">
        <f t="shared" si="36"/>
        <v/>
      </c>
      <c r="C606" s="16" t="str">
        <f>IFERROR(VLOOKUP(DATA!#REF!,DATA!#REF!,1,FALSE),"")</f>
        <v/>
      </c>
      <c r="D606" s="16" t="str">
        <f>IFERROR(VLOOKUP(C606,DATA!#REF!,2,FALSE),"")</f>
        <v/>
      </c>
    </row>
    <row r="607" spans="2:4" s="230" customFormat="1">
      <c r="B607" s="15" t="str">
        <f t="shared" si="36"/>
        <v/>
      </c>
      <c r="C607" s="16" t="str">
        <f>IFERROR(VLOOKUP(DATA!#REF!,DATA!#REF!,1,FALSE),"")</f>
        <v/>
      </c>
      <c r="D607" s="16" t="str">
        <f>IFERROR(VLOOKUP(C607,DATA!#REF!,2,FALSE),"")</f>
        <v/>
      </c>
    </row>
    <row r="608" spans="2:4" s="230" customFormat="1">
      <c r="B608" s="15" t="str">
        <f t="shared" si="36"/>
        <v/>
      </c>
      <c r="C608" s="16" t="str">
        <f>IFERROR(VLOOKUP(DATA!#REF!,DATA!#REF!,1,FALSE),"")</f>
        <v/>
      </c>
      <c r="D608" s="16" t="str">
        <f>IFERROR(VLOOKUP(C608,DATA!#REF!,2,FALSE),"")</f>
        <v/>
      </c>
    </row>
    <row r="609" spans="2:4" s="230" customFormat="1">
      <c r="B609" s="15" t="str">
        <f t="shared" si="36"/>
        <v/>
      </c>
      <c r="C609" s="16" t="str">
        <f>IFERROR(VLOOKUP(DATA!#REF!,DATA!#REF!,1,FALSE),"")</f>
        <v/>
      </c>
      <c r="D609" s="16" t="str">
        <f>IFERROR(VLOOKUP(C609,DATA!#REF!,2,FALSE),"")</f>
        <v/>
      </c>
    </row>
    <row r="610" spans="2:4" s="230" customFormat="1">
      <c r="B610" s="15" t="str">
        <f t="shared" si="36"/>
        <v/>
      </c>
      <c r="C610" s="16" t="str">
        <f>IFERROR(VLOOKUP(DATA!#REF!,DATA!#REF!,1,FALSE),"")</f>
        <v/>
      </c>
      <c r="D610" s="16" t="str">
        <f>IFERROR(VLOOKUP(C610,DATA!#REF!,2,FALSE),"")</f>
        <v/>
      </c>
    </row>
    <row r="611" spans="2:4" s="230" customFormat="1">
      <c r="B611" s="15" t="str">
        <f t="shared" si="36"/>
        <v/>
      </c>
      <c r="C611" s="16" t="str">
        <f>IFERROR(VLOOKUP(DATA!#REF!,DATA!#REF!,1,FALSE),"")</f>
        <v/>
      </c>
      <c r="D611" s="16" t="str">
        <f>IFERROR(VLOOKUP(C611,DATA!#REF!,2,FALSE),"")</f>
        <v/>
      </c>
    </row>
    <row r="612" spans="2:4" s="230" customFormat="1">
      <c r="B612" s="15" t="str">
        <f t="shared" si="36"/>
        <v/>
      </c>
      <c r="C612" s="16" t="str">
        <f>IFERROR(VLOOKUP(DATA!#REF!,DATA!#REF!,1,FALSE),"")</f>
        <v/>
      </c>
      <c r="D612" s="16" t="str">
        <f>IFERROR(VLOOKUP(C612,DATA!#REF!,2,FALSE),"")</f>
        <v/>
      </c>
    </row>
    <row r="613" spans="2:4" s="230" customFormat="1">
      <c r="B613" s="15" t="str">
        <f t="shared" si="36"/>
        <v/>
      </c>
      <c r="C613" s="16" t="str">
        <f>IFERROR(VLOOKUP(DATA!#REF!,DATA!#REF!,1,FALSE),"")</f>
        <v/>
      </c>
      <c r="D613" s="16" t="str">
        <f>IFERROR(VLOOKUP(C613,DATA!#REF!,2,FALSE),"")</f>
        <v/>
      </c>
    </row>
    <row r="614" spans="2:4" s="230" customFormat="1">
      <c r="B614" s="15" t="str">
        <f t="shared" si="36"/>
        <v/>
      </c>
      <c r="C614" s="16" t="str">
        <f>IFERROR(VLOOKUP(DATA!#REF!,DATA!#REF!,1,FALSE),"")</f>
        <v/>
      </c>
      <c r="D614" s="16" t="str">
        <f>IFERROR(VLOOKUP(C614,DATA!#REF!,2,FALSE),"")</f>
        <v/>
      </c>
    </row>
    <row r="615" spans="2:4" s="230" customFormat="1">
      <c r="B615" s="15" t="str">
        <f t="shared" si="36"/>
        <v/>
      </c>
      <c r="C615" s="16" t="str">
        <f>IFERROR(VLOOKUP(DATA!#REF!,DATA!#REF!,1,FALSE),"")</f>
        <v/>
      </c>
      <c r="D615" s="16" t="str">
        <f>IFERROR(VLOOKUP(C615,DATA!#REF!,2,FALSE),"")</f>
        <v/>
      </c>
    </row>
    <row r="616" spans="2:4" s="230" customFormat="1">
      <c r="B616" s="15" t="str">
        <f t="shared" si="36"/>
        <v/>
      </c>
      <c r="C616" s="16" t="str">
        <f>IFERROR(VLOOKUP(DATA!#REF!,DATA!#REF!,1,FALSE),"")</f>
        <v/>
      </c>
      <c r="D616" s="16" t="str">
        <f>IFERROR(VLOOKUP(C616,DATA!#REF!,2,FALSE),"")</f>
        <v/>
      </c>
    </row>
    <row r="617" spans="2:4" s="230" customFormat="1">
      <c r="B617" s="15" t="str">
        <f t="shared" si="36"/>
        <v/>
      </c>
      <c r="C617" s="16" t="str">
        <f>IFERROR(VLOOKUP(DATA!#REF!,DATA!#REF!,1,FALSE),"")</f>
        <v/>
      </c>
      <c r="D617" s="16" t="str">
        <f>IFERROR(VLOOKUP(C617,DATA!#REF!,2,FALSE),"")</f>
        <v/>
      </c>
    </row>
    <row r="618" spans="2:4" s="230" customFormat="1">
      <c r="B618" s="15" t="str">
        <f t="shared" si="36"/>
        <v/>
      </c>
      <c r="C618" s="16" t="str">
        <f>IFERROR(VLOOKUP(DATA!#REF!,DATA!#REF!,1,FALSE),"")</f>
        <v/>
      </c>
      <c r="D618" s="16" t="str">
        <f>IFERROR(VLOOKUP(C618,DATA!#REF!,2,FALSE),"")</f>
        <v/>
      </c>
    </row>
    <row r="619" spans="2:4" s="230" customFormat="1">
      <c r="B619" s="15" t="str">
        <f t="shared" si="36"/>
        <v/>
      </c>
      <c r="C619" s="16" t="str">
        <f>IFERROR(VLOOKUP(DATA!#REF!,DATA!#REF!,1,FALSE),"")</f>
        <v/>
      </c>
      <c r="D619" s="16" t="str">
        <f>IFERROR(VLOOKUP(C619,DATA!#REF!,2,FALSE),"")</f>
        <v/>
      </c>
    </row>
    <row r="620" spans="2:4" s="230" customFormat="1">
      <c r="B620" s="15" t="str">
        <f t="shared" si="36"/>
        <v/>
      </c>
      <c r="C620" s="16" t="str">
        <f>IFERROR(VLOOKUP(DATA!#REF!,DATA!#REF!,1,FALSE),"")</f>
        <v/>
      </c>
      <c r="D620" s="16" t="str">
        <f>IFERROR(VLOOKUP(C620,DATA!#REF!,2,FALSE),"")</f>
        <v/>
      </c>
    </row>
    <row r="621" spans="2:4" s="230" customFormat="1">
      <c r="B621" s="15" t="str">
        <f t="shared" si="36"/>
        <v/>
      </c>
      <c r="C621" s="16" t="str">
        <f>IFERROR(VLOOKUP(DATA!#REF!,DATA!#REF!,1,FALSE),"")</f>
        <v/>
      </c>
      <c r="D621" s="16" t="str">
        <f>IFERROR(VLOOKUP(C621,DATA!#REF!,2,FALSE),"")</f>
        <v/>
      </c>
    </row>
    <row r="622" spans="2:4" s="230" customFormat="1">
      <c r="B622" s="15" t="str">
        <f t="shared" si="36"/>
        <v/>
      </c>
      <c r="C622" s="16" t="str">
        <f>IFERROR(VLOOKUP(DATA!#REF!,DATA!#REF!,1,FALSE),"")</f>
        <v/>
      </c>
      <c r="D622" s="16" t="str">
        <f>IFERROR(VLOOKUP(C622,DATA!#REF!,2,FALSE),"")</f>
        <v/>
      </c>
    </row>
    <row r="623" spans="2:4" s="230" customFormat="1">
      <c r="B623" s="15" t="str">
        <f t="shared" si="36"/>
        <v/>
      </c>
      <c r="C623" s="16" t="str">
        <f>IFERROR(VLOOKUP(DATA!#REF!,DATA!#REF!,1,FALSE),"")</f>
        <v/>
      </c>
      <c r="D623" s="16" t="str">
        <f>IFERROR(VLOOKUP(C623,DATA!#REF!,2,FALSE),"")</f>
        <v/>
      </c>
    </row>
    <row r="624" spans="2:4" s="230" customFormat="1">
      <c r="B624" s="15" t="str">
        <f t="shared" si="36"/>
        <v/>
      </c>
      <c r="C624" s="16" t="str">
        <f>IFERROR(VLOOKUP(DATA!#REF!,DATA!#REF!,1,FALSE),"")</f>
        <v/>
      </c>
      <c r="D624" s="16" t="str">
        <f>IFERROR(VLOOKUP(C624,DATA!#REF!,2,FALSE),"")</f>
        <v/>
      </c>
    </row>
    <row r="625" spans="2:4" s="230" customFormat="1">
      <c r="B625" s="15" t="str">
        <f t="shared" si="36"/>
        <v/>
      </c>
      <c r="C625" s="16" t="str">
        <f>IFERROR(VLOOKUP(DATA!#REF!,DATA!#REF!,1,FALSE),"")</f>
        <v/>
      </c>
      <c r="D625" s="16" t="str">
        <f>IFERROR(VLOOKUP(C625,DATA!#REF!,2,FALSE),"")</f>
        <v/>
      </c>
    </row>
    <row r="626" spans="2:4" s="230" customFormat="1">
      <c r="B626" s="15" t="str">
        <f t="shared" si="36"/>
        <v/>
      </c>
      <c r="C626" s="16" t="str">
        <f>IFERROR(VLOOKUP(DATA!#REF!,DATA!#REF!,1,FALSE),"")</f>
        <v/>
      </c>
      <c r="D626" s="16" t="str">
        <f>IFERROR(VLOOKUP(C626,DATA!#REF!,2,FALSE),"")</f>
        <v/>
      </c>
    </row>
    <row r="627" spans="2:4" s="230" customFormat="1">
      <c r="B627" s="15" t="str">
        <f t="shared" si="36"/>
        <v/>
      </c>
      <c r="C627" s="16" t="str">
        <f>IFERROR(VLOOKUP(DATA!#REF!,DATA!#REF!,1,FALSE),"")</f>
        <v/>
      </c>
      <c r="D627" s="16" t="str">
        <f>IFERROR(VLOOKUP(C627,DATA!#REF!,2,FALSE),"")</f>
        <v/>
      </c>
    </row>
    <row r="628" spans="2:4" s="230" customFormat="1">
      <c r="B628" s="15" t="str">
        <f t="shared" si="36"/>
        <v/>
      </c>
      <c r="C628" s="16" t="str">
        <f>IFERROR(VLOOKUP(DATA!#REF!,DATA!#REF!,1,FALSE),"")</f>
        <v/>
      </c>
      <c r="D628" s="16" t="str">
        <f>IFERROR(VLOOKUP(C628,DATA!#REF!,2,FALSE),"")</f>
        <v/>
      </c>
    </row>
    <row r="629" spans="2:4" s="230" customFormat="1">
      <c r="B629" s="15" t="str">
        <f t="shared" si="36"/>
        <v/>
      </c>
      <c r="C629" s="16" t="str">
        <f>IFERROR(VLOOKUP(DATA!#REF!,DATA!#REF!,1,FALSE),"")</f>
        <v/>
      </c>
      <c r="D629" s="16" t="str">
        <f>IFERROR(VLOOKUP(C629,DATA!#REF!,2,FALSE),"")</f>
        <v/>
      </c>
    </row>
    <row r="630" spans="2:4" s="230" customFormat="1">
      <c r="B630" s="15" t="str">
        <f t="shared" si="36"/>
        <v/>
      </c>
      <c r="C630" s="16" t="str">
        <f>IFERROR(VLOOKUP(DATA!#REF!,DATA!#REF!,1,FALSE),"")</f>
        <v/>
      </c>
      <c r="D630" s="16" t="str">
        <f>IFERROR(VLOOKUP(C630,DATA!#REF!,2,FALSE),"")</f>
        <v/>
      </c>
    </row>
    <row r="631" spans="2:4" s="230" customFormat="1">
      <c r="B631" s="15" t="str">
        <f t="shared" si="36"/>
        <v/>
      </c>
      <c r="C631" s="16" t="str">
        <f>IFERROR(VLOOKUP(DATA!#REF!,DATA!#REF!,1,FALSE),"")</f>
        <v/>
      </c>
      <c r="D631" s="16" t="str">
        <f>IFERROR(VLOOKUP(C631,DATA!#REF!,2,FALSE),"")</f>
        <v/>
      </c>
    </row>
    <row r="632" spans="2:4" s="230" customFormat="1">
      <c r="B632" s="15" t="str">
        <f t="shared" si="36"/>
        <v/>
      </c>
      <c r="C632" s="16" t="str">
        <f>IFERROR(VLOOKUP(DATA!#REF!,DATA!#REF!,1,FALSE),"")</f>
        <v/>
      </c>
      <c r="D632" s="16" t="str">
        <f>IFERROR(VLOOKUP(C632,DATA!#REF!,2,FALSE),"")</f>
        <v/>
      </c>
    </row>
    <row r="633" spans="2:4" s="230" customFormat="1">
      <c r="B633" s="15" t="str">
        <f t="shared" si="36"/>
        <v/>
      </c>
      <c r="C633" s="16" t="str">
        <f>IFERROR(VLOOKUP(DATA!#REF!,DATA!#REF!,1,FALSE),"")</f>
        <v/>
      </c>
      <c r="D633" s="16" t="str">
        <f>IFERROR(VLOOKUP(C633,DATA!#REF!,2,FALSE),"")</f>
        <v/>
      </c>
    </row>
    <row r="634" spans="2:4" s="230" customFormat="1">
      <c r="B634" s="15" t="str">
        <f t="shared" si="36"/>
        <v/>
      </c>
      <c r="C634" s="16" t="str">
        <f>IFERROR(VLOOKUP(DATA!#REF!,DATA!#REF!,1,FALSE),"")</f>
        <v/>
      </c>
      <c r="D634" s="16" t="str">
        <f>IFERROR(VLOOKUP(C634,DATA!#REF!,2,FALSE),"")</f>
        <v/>
      </c>
    </row>
    <row r="635" spans="2:4" s="230" customFormat="1">
      <c r="B635" s="15" t="str">
        <f t="shared" si="36"/>
        <v/>
      </c>
      <c r="C635" s="16" t="str">
        <f>IFERROR(VLOOKUP(DATA!#REF!,DATA!#REF!,1,FALSE),"")</f>
        <v/>
      </c>
      <c r="D635" s="16" t="str">
        <f>IFERROR(VLOOKUP(C635,DATA!#REF!,2,FALSE),"")</f>
        <v/>
      </c>
    </row>
    <row r="636" spans="2:4" s="230" customFormat="1">
      <c r="B636" s="15" t="str">
        <f t="shared" si="36"/>
        <v/>
      </c>
      <c r="C636" s="16" t="str">
        <f>IFERROR(VLOOKUP(DATA!#REF!,DATA!#REF!,1,FALSE),"")</f>
        <v/>
      </c>
      <c r="D636" s="16" t="str">
        <f>IFERROR(VLOOKUP(C636,DATA!#REF!,2,FALSE),"")</f>
        <v/>
      </c>
    </row>
    <row r="637" spans="2:4" s="230" customFormat="1">
      <c r="B637" s="15" t="str">
        <f t="shared" si="36"/>
        <v/>
      </c>
      <c r="C637" s="16" t="str">
        <f>IFERROR(VLOOKUP(DATA!#REF!,DATA!#REF!,1,FALSE),"")</f>
        <v/>
      </c>
      <c r="D637" s="16" t="str">
        <f>IFERROR(VLOOKUP(C637,DATA!#REF!,2,FALSE),"")</f>
        <v/>
      </c>
    </row>
    <row r="638" spans="2:4" s="230" customFormat="1">
      <c r="B638" s="15" t="str">
        <f t="shared" si="36"/>
        <v/>
      </c>
      <c r="C638" s="16" t="str">
        <f>IFERROR(VLOOKUP(DATA!#REF!,DATA!#REF!,1,FALSE),"")</f>
        <v/>
      </c>
      <c r="D638" s="16" t="str">
        <f>IFERROR(VLOOKUP(C638,DATA!#REF!,2,FALSE),"")</f>
        <v/>
      </c>
    </row>
    <row r="639" spans="2:4" s="230" customFormat="1">
      <c r="B639" s="15" t="str">
        <f t="shared" si="36"/>
        <v/>
      </c>
      <c r="C639" s="16" t="str">
        <f>IFERROR(VLOOKUP(DATA!#REF!,DATA!#REF!,1,FALSE),"")</f>
        <v/>
      </c>
      <c r="D639" s="16" t="str">
        <f>IFERROR(VLOOKUP(C639,DATA!#REF!,2,FALSE),"")</f>
        <v/>
      </c>
    </row>
    <row r="640" spans="2:4" s="230" customFormat="1">
      <c r="B640" s="15" t="str">
        <f t="shared" si="36"/>
        <v/>
      </c>
      <c r="C640" s="16" t="str">
        <f>IFERROR(VLOOKUP(DATA!#REF!,DATA!#REF!,1,FALSE),"")</f>
        <v/>
      </c>
      <c r="D640" s="16" t="str">
        <f>IFERROR(VLOOKUP(C640,DATA!#REF!,2,FALSE),"")</f>
        <v/>
      </c>
    </row>
    <row r="641" spans="2:4" s="230" customFormat="1">
      <c r="B641" s="15" t="str">
        <f t="shared" si="36"/>
        <v/>
      </c>
      <c r="C641" s="16" t="str">
        <f>IFERROR(VLOOKUP(DATA!#REF!,DATA!#REF!,1,FALSE),"")</f>
        <v/>
      </c>
      <c r="D641" s="16" t="str">
        <f>IFERROR(VLOOKUP(C641,DATA!#REF!,2,FALSE),"")</f>
        <v/>
      </c>
    </row>
    <row r="642" spans="2:4" s="230" customFormat="1">
      <c r="B642" s="15" t="str">
        <f t="shared" si="36"/>
        <v/>
      </c>
      <c r="C642" s="16" t="str">
        <f>IFERROR(VLOOKUP(DATA!#REF!,DATA!#REF!,1,FALSE),"")</f>
        <v/>
      </c>
      <c r="D642" s="16" t="str">
        <f>IFERROR(VLOOKUP(C642,DATA!#REF!,2,FALSE),"")</f>
        <v/>
      </c>
    </row>
    <row r="643" spans="2:4" s="230" customFormat="1">
      <c r="B643" s="15" t="str">
        <f t="shared" si="36"/>
        <v/>
      </c>
      <c r="C643" s="16" t="str">
        <f>IFERROR(VLOOKUP(DATA!#REF!,DATA!#REF!,1,FALSE),"")</f>
        <v/>
      </c>
      <c r="D643" s="16" t="str">
        <f>IFERROR(VLOOKUP(C643,DATA!#REF!,2,FALSE),"")</f>
        <v/>
      </c>
    </row>
    <row r="644" spans="2:4" s="230" customFormat="1">
      <c r="B644" s="15" t="str">
        <f t="shared" si="36"/>
        <v/>
      </c>
      <c r="C644" s="16" t="str">
        <f>IFERROR(VLOOKUP(DATA!#REF!,DATA!#REF!,1,FALSE),"")</f>
        <v/>
      </c>
      <c r="D644" s="16" t="str">
        <f>IFERROR(VLOOKUP(C644,DATA!#REF!,2,FALSE),"")</f>
        <v/>
      </c>
    </row>
    <row r="645" spans="2:4" s="230" customFormat="1">
      <c r="B645" s="15" t="str">
        <f t="shared" si="36"/>
        <v/>
      </c>
      <c r="C645" s="16" t="str">
        <f>IFERROR(VLOOKUP(DATA!#REF!,DATA!#REF!,1,FALSE),"")</f>
        <v/>
      </c>
      <c r="D645" s="16" t="str">
        <f>IFERROR(VLOOKUP(C645,DATA!#REF!,2,FALSE),"")</f>
        <v/>
      </c>
    </row>
    <row r="646" spans="2:4" s="230" customFormat="1">
      <c r="B646" s="15" t="str">
        <f t="shared" ref="B646:B709" si="37">+IF(C646="","",ROW()-5)</f>
        <v/>
      </c>
      <c r="C646" s="16" t="str">
        <f>IFERROR(VLOOKUP(DATA!#REF!,DATA!#REF!,1,FALSE),"")</f>
        <v/>
      </c>
      <c r="D646" s="16" t="str">
        <f>IFERROR(VLOOKUP(C646,DATA!#REF!,2,FALSE),"")</f>
        <v/>
      </c>
    </row>
    <row r="647" spans="2:4" s="230" customFormat="1">
      <c r="B647" s="15" t="str">
        <f t="shared" si="37"/>
        <v/>
      </c>
      <c r="C647" s="16" t="str">
        <f>IFERROR(VLOOKUP(DATA!#REF!,DATA!#REF!,1,FALSE),"")</f>
        <v/>
      </c>
      <c r="D647" s="16" t="str">
        <f>IFERROR(VLOOKUP(C647,DATA!#REF!,2,FALSE),"")</f>
        <v/>
      </c>
    </row>
    <row r="648" spans="2:4" s="230" customFormat="1">
      <c r="B648" s="15" t="str">
        <f t="shared" si="37"/>
        <v/>
      </c>
      <c r="C648" s="16" t="str">
        <f>IFERROR(VLOOKUP(DATA!#REF!,DATA!#REF!,1,FALSE),"")</f>
        <v/>
      </c>
      <c r="D648" s="16" t="str">
        <f>IFERROR(VLOOKUP(C648,DATA!#REF!,2,FALSE),"")</f>
        <v/>
      </c>
    </row>
    <row r="649" spans="2:4" s="230" customFormat="1">
      <c r="B649" s="15" t="str">
        <f t="shared" si="37"/>
        <v/>
      </c>
      <c r="C649" s="16" t="str">
        <f>IFERROR(VLOOKUP(DATA!#REF!,DATA!#REF!,1,FALSE),"")</f>
        <v/>
      </c>
      <c r="D649" s="16" t="str">
        <f>IFERROR(VLOOKUP(C649,DATA!#REF!,2,FALSE),"")</f>
        <v/>
      </c>
    </row>
    <row r="650" spans="2:4" s="230" customFormat="1">
      <c r="B650" s="15" t="str">
        <f t="shared" si="37"/>
        <v/>
      </c>
      <c r="C650" s="16" t="str">
        <f>IFERROR(VLOOKUP(DATA!#REF!,DATA!#REF!,1,FALSE),"")</f>
        <v/>
      </c>
      <c r="D650" s="16" t="str">
        <f>IFERROR(VLOOKUP(C650,DATA!#REF!,2,FALSE),"")</f>
        <v/>
      </c>
    </row>
    <row r="651" spans="2:4" s="230" customFormat="1">
      <c r="B651" s="15" t="str">
        <f t="shared" si="37"/>
        <v/>
      </c>
      <c r="C651" s="16" t="str">
        <f>IFERROR(VLOOKUP(DATA!#REF!,DATA!#REF!,1,FALSE),"")</f>
        <v/>
      </c>
      <c r="D651" s="16" t="str">
        <f>IFERROR(VLOOKUP(C651,DATA!#REF!,2,FALSE),"")</f>
        <v/>
      </c>
    </row>
    <row r="652" spans="2:4" s="230" customFormat="1">
      <c r="B652" s="15" t="str">
        <f t="shared" si="37"/>
        <v/>
      </c>
      <c r="C652" s="16" t="str">
        <f>IFERROR(VLOOKUP(DATA!#REF!,DATA!#REF!,1,FALSE),"")</f>
        <v/>
      </c>
      <c r="D652" s="16" t="str">
        <f>IFERROR(VLOOKUP(C652,DATA!#REF!,2,FALSE),"")</f>
        <v/>
      </c>
    </row>
    <row r="653" spans="2:4" s="230" customFormat="1">
      <c r="B653" s="15" t="str">
        <f t="shared" si="37"/>
        <v/>
      </c>
      <c r="C653" s="16" t="str">
        <f>IFERROR(VLOOKUP(DATA!#REF!,DATA!#REF!,1,FALSE),"")</f>
        <v/>
      </c>
      <c r="D653" s="16" t="str">
        <f>IFERROR(VLOOKUP(C653,DATA!#REF!,2,FALSE),"")</f>
        <v/>
      </c>
    </row>
    <row r="654" spans="2:4" s="230" customFormat="1">
      <c r="B654" s="15" t="str">
        <f t="shared" si="37"/>
        <v/>
      </c>
      <c r="C654" s="16" t="str">
        <f>IFERROR(VLOOKUP(DATA!#REF!,DATA!#REF!,1,FALSE),"")</f>
        <v/>
      </c>
      <c r="D654" s="16" t="str">
        <f>IFERROR(VLOOKUP(C654,DATA!#REF!,2,FALSE),"")</f>
        <v/>
      </c>
    </row>
    <row r="655" spans="2:4" s="230" customFormat="1">
      <c r="B655" s="15" t="str">
        <f t="shared" si="37"/>
        <v/>
      </c>
      <c r="C655" s="16" t="str">
        <f>IFERROR(VLOOKUP(DATA!#REF!,DATA!#REF!,1,FALSE),"")</f>
        <v/>
      </c>
      <c r="D655" s="16" t="str">
        <f>IFERROR(VLOOKUP(C655,DATA!#REF!,2,FALSE),"")</f>
        <v/>
      </c>
    </row>
    <row r="656" spans="2:4" s="230" customFormat="1">
      <c r="B656" s="15" t="str">
        <f t="shared" si="37"/>
        <v/>
      </c>
      <c r="C656" s="16" t="str">
        <f>IFERROR(VLOOKUP(DATA!#REF!,DATA!#REF!,1,FALSE),"")</f>
        <v/>
      </c>
      <c r="D656" s="16" t="str">
        <f>IFERROR(VLOOKUP(C656,DATA!#REF!,2,FALSE),"")</f>
        <v/>
      </c>
    </row>
    <row r="657" spans="2:4" s="230" customFormat="1">
      <c r="B657" s="15" t="str">
        <f t="shared" si="37"/>
        <v/>
      </c>
      <c r="C657" s="16" t="str">
        <f>IFERROR(VLOOKUP(DATA!#REF!,DATA!#REF!,1,FALSE),"")</f>
        <v/>
      </c>
      <c r="D657" s="16" t="str">
        <f>IFERROR(VLOOKUP(C657,DATA!#REF!,2,FALSE),"")</f>
        <v/>
      </c>
    </row>
    <row r="658" spans="2:4" s="230" customFormat="1">
      <c r="B658" s="15" t="str">
        <f t="shared" si="37"/>
        <v/>
      </c>
      <c r="C658" s="16" t="str">
        <f>IFERROR(VLOOKUP(DATA!#REF!,DATA!#REF!,1,FALSE),"")</f>
        <v/>
      </c>
      <c r="D658" s="16" t="str">
        <f>IFERROR(VLOOKUP(C658,DATA!#REF!,2,FALSE),"")</f>
        <v/>
      </c>
    </row>
    <row r="659" spans="2:4" s="230" customFormat="1">
      <c r="B659" s="15" t="str">
        <f t="shared" si="37"/>
        <v/>
      </c>
      <c r="C659" s="16" t="str">
        <f>IFERROR(VLOOKUP(DATA!#REF!,DATA!#REF!,1,FALSE),"")</f>
        <v/>
      </c>
      <c r="D659" s="16" t="str">
        <f>IFERROR(VLOOKUP(C659,DATA!#REF!,2,FALSE),"")</f>
        <v/>
      </c>
    </row>
    <row r="660" spans="2:4" s="230" customFormat="1">
      <c r="B660" s="15" t="str">
        <f t="shared" si="37"/>
        <v/>
      </c>
      <c r="C660" s="16" t="str">
        <f>IFERROR(VLOOKUP(DATA!#REF!,DATA!#REF!,1,FALSE),"")</f>
        <v/>
      </c>
      <c r="D660" s="16" t="str">
        <f>IFERROR(VLOOKUP(C660,DATA!#REF!,2,FALSE),"")</f>
        <v/>
      </c>
    </row>
    <row r="661" spans="2:4" s="230" customFormat="1">
      <c r="B661" s="15" t="str">
        <f t="shared" si="37"/>
        <v/>
      </c>
      <c r="C661" s="16" t="str">
        <f>IFERROR(VLOOKUP(DATA!#REF!,DATA!#REF!,1,FALSE),"")</f>
        <v/>
      </c>
      <c r="D661" s="16" t="str">
        <f>IFERROR(VLOOKUP(C661,DATA!#REF!,2,FALSE),"")</f>
        <v/>
      </c>
    </row>
    <row r="662" spans="2:4" s="230" customFormat="1">
      <c r="B662" s="15" t="str">
        <f t="shared" si="37"/>
        <v/>
      </c>
      <c r="C662" s="16" t="str">
        <f>IFERROR(VLOOKUP(DATA!#REF!,DATA!#REF!,1,FALSE),"")</f>
        <v/>
      </c>
      <c r="D662" s="16" t="str">
        <f>IFERROR(VLOOKUP(C662,DATA!#REF!,2,FALSE),"")</f>
        <v/>
      </c>
    </row>
    <row r="663" spans="2:4" s="230" customFormat="1">
      <c r="B663" s="15" t="str">
        <f t="shared" si="37"/>
        <v/>
      </c>
      <c r="C663" s="16" t="str">
        <f>IFERROR(VLOOKUP(DATA!#REF!,DATA!#REF!,1,FALSE),"")</f>
        <v/>
      </c>
      <c r="D663" s="16" t="str">
        <f>IFERROR(VLOOKUP(C663,DATA!#REF!,2,FALSE),"")</f>
        <v/>
      </c>
    </row>
    <row r="664" spans="2:4" s="230" customFormat="1">
      <c r="B664" s="15" t="str">
        <f t="shared" si="37"/>
        <v/>
      </c>
      <c r="C664" s="16" t="str">
        <f>IFERROR(VLOOKUP(DATA!#REF!,DATA!#REF!,1,FALSE),"")</f>
        <v/>
      </c>
      <c r="D664" s="16" t="str">
        <f>IFERROR(VLOOKUP(C664,DATA!#REF!,2,FALSE),"")</f>
        <v/>
      </c>
    </row>
    <row r="665" spans="2:4" s="230" customFormat="1">
      <c r="B665" s="15" t="str">
        <f t="shared" si="37"/>
        <v/>
      </c>
      <c r="C665" s="16" t="str">
        <f>IFERROR(VLOOKUP(DATA!#REF!,DATA!#REF!,1,FALSE),"")</f>
        <v/>
      </c>
      <c r="D665" s="16" t="str">
        <f>IFERROR(VLOOKUP(C665,DATA!#REF!,2,FALSE),"")</f>
        <v/>
      </c>
    </row>
    <row r="666" spans="2:4" s="230" customFormat="1">
      <c r="B666" s="15" t="str">
        <f t="shared" si="37"/>
        <v/>
      </c>
      <c r="C666" s="16" t="str">
        <f>IFERROR(VLOOKUP(DATA!#REF!,DATA!#REF!,1,FALSE),"")</f>
        <v/>
      </c>
      <c r="D666" s="16" t="str">
        <f>IFERROR(VLOOKUP(C666,DATA!#REF!,2,FALSE),"")</f>
        <v/>
      </c>
    </row>
    <row r="667" spans="2:4" s="230" customFormat="1">
      <c r="B667" s="15" t="str">
        <f t="shared" si="37"/>
        <v/>
      </c>
      <c r="C667" s="16" t="str">
        <f>IFERROR(VLOOKUP(DATA!#REF!,DATA!#REF!,1,FALSE),"")</f>
        <v/>
      </c>
      <c r="D667" s="16" t="str">
        <f>IFERROR(VLOOKUP(C667,DATA!#REF!,2,FALSE),"")</f>
        <v/>
      </c>
    </row>
    <row r="668" spans="2:4" s="230" customFormat="1">
      <c r="B668" s="15" t="str">
        <f t="shared" si="37"/>
        <v/>
      </c>
      <c r="C668" s="16" t="str">
        <f>IFERROR(VLOOKUP(DATA!#REF!,DATA!#REF!,1,FALSE),"")</f>
        <v/>
      </c>
      <c r="D668" s="16" t="str">
        <f>IFERROR(VLOOKUP(C668,DATA!#REF!,2,FALSE),"")</f>
        <v/>
      </c>
    </row>
    <row r="669" spans="2:4" s="230" customFormat="1">
      <c r="B669" s="15" t="str">
        <f t="shared" si="37"/>
        <v/>
      </c>
      <c r="C669" s="16" t="str">
        <f>IFERROR(VLOOKUP(DATA!#REF!,DATA!#REF!,1,FALSE),"")</f>
        <v/>
      </c>
      <c r="D669" s="16" t="str">
        <f>IFERROR(VLOOKUP(C669,DATA!#REF!,2,FALSE),"")</f>
        <v/>
      </c>
    </row>
    <row r="670" spans="2:4" s="230" customFormat="1">
      <c r="B670" s="15" t="str">
        <f t="shared" si="37"/>
        <v/>
      </c>
      <c r="C670" s="16" t="str">
        <f>IFERROR(VLOOKUP(DATA!#REF!,DATA!#REF!,1,FALSE),"")</f>
        <v/>
      </c>
      <c r="D670" s="16" t="str">
        <f>IFERROR(VLOOKUP(C670,DATA!#REF!,2,FALSE),"")</f>
        <v/>
      </c>
    </row>
    <row r="671" spans="2:4" s="230" customFormat="1">
      <c r="B671" s="15" t="str">
        <f t="shared" si="37"/>
        <v/>
      </c>
      <c r="C671" s="16" t="str">
        <f>IFERROR(VLOOKUP(DATA!#REF!,DATA!#REF!,1,FALSE),"")</f>
        <v/>
      </c>
      <c r="D671" s="16" t="str">
        <f>IFERROR(VLOOKUP(C671,DATA!#REF!,2,FALSE),"")</f>
        <v/>
      </c>
    </row>
    <row r="672" spans="2:4" s="230" customFormat="1">
      <c r="B672" s="15" t="str">
        <f t="shared" si="37"/>
        <v/>
      </c>
      <c r="C672" s="16" t="str">
        <f>IFERROR(VLOOKUP(DATA!#REF!,DATA!#REF!,1,FALSE),"")</f>
        <v/>
      </c>
      <c r="D672" s="16" t="str">
        <f>IFERROR(VLOOKUP(C672,DATA!#REF!,2,FALSE),"")</f>
        <v/>
      </c>
    </row>
    <row r="673" spans="2:4" s="230" customFormat="1">
      <c r="B673" s="15" t="str">
        <f t="shared" si="37"/>
        <v/>
      </c>
      <c r="C673" s="16" t="str">
        <f>IFERROR(VLOOKUP(DATA!#REF!,DATA!#REF!,1,FALSE),"")</f>
        <v/>
      </c>
      <c r="D673" s="16" t="str">
        <f>IFERROR(VLOOKUP(C673,DATA!#REF!,2,FALSE),"")</f>
        <v/>
      </c>
    </row>
    <row r="674" spans="2:4" s="230" customFormat="1">
      <c r="B674" s="15" t="str">
        <f t="shared" si="37"/>
        <v/>
      </c>
      <c r="C674" s="16" t="str">
        <f>IFERROR(VLOOKUP(DATA!#REF!,DATA!#REF!,1,FALSE),"")</f>
        <v/>
      </c>
      <c r="D674" s="16" t="str">
        <f>IFERROR(VLOOKUP(C674,DATA!#REF!,2,FALSE),"")</f>
        <v/>
      </c>
    </row>
    <row r="675" spans="2:4" s="230" customFormat="1">
      <c r="B675" s="15" t="str">
        <f t="shared" si="37"/>
        <v/>
      </c>
      <c r="C675" s="16" t="str">
        <f>IFERROR(VLOOKUP(DATA!#REF!,DATA!#REF!,1,FALSE),"")</f>
        <v/>
      </c>
      <c r="D675" s="16" t="str">
        <f>IFERROR(VLOOKUP(C675,DATA!#REF!,2,FALSE),"")</f>
        <v/>
      </c>
    </row>
    <row r="676" spans="2:4" s="230" customFormat="1">
      <c r="B676" s="15" t="str">
        <f t="shared" si="37"/>
        <v/>
      </c>
      <c r="C676" s="16" t="str">
        <f>IFERROR(VLOOKUP(DATA!#REF!,DATA!#REF!,1,FALSE),"")</f>
        <v/>
      </c>
      <c r="D676" s="16" t="str">
        <f>IFERROR(VLOOKUP(C676,DATA!#REF!,2,FALSE),"")</f>
        <v/>
      </c>
    </row>
    <row r="677" spans="2:4" s="230" customFormat="1">
      <c r="B677" s="15" t="str">
        <f t="shared" si="37"/>
        <v/>
      </c>
      <c r="C677" s="16" t="str">
        <f>IFERROR(VLOOKUP(DATA!#REF!,DATA!#REF!,1,FALSE),"")</f>
        <v/>
      </c>
      <c r="D677" s="16" t="str">
        <f>IFERROR(VLOOKUP(C677,DATA!#REF!,2,FALSE),"")</f>
        <v/>
      </c>
    </row>
    <row r="678" spans="2:4" s="230" customFormat="1">
      <c r="B678" s="15" t="str">
        <f t="shared" si="37"/>
        <v/>
      </c>
      <c r="C678" s="16" t="str">
        <f>IFERROR(VLOOKUP(DATA!#REF!,DATA!#REF!,1,FALSE),"")</f>
        <v/>
      </c>
      <c r="D678" s="16" t="str">
        <f>IFERROR(VLOOKUP(C678,DATA!#REF!,2,FALSE),"")</f>
        <v/>
      </c>
    </row>
    <row r="679" spans="2:4" s="230" customFormat="1">
      <c r="B679" s="15" t="str">
        <f t="shared" si="37"/>
        <v/>
      </c>
      <c r="C679" s="16" t="str">
        <f>IFERROR(VLOOKUP(DATA!#REF!,DATA!#REF!,1,FALSE),"")</f>
        <v/>
      </c>
      <c r="D679" s="16" t="str">
        <f>IFERROR(VLOOKUP(C679,DATA!#REF!,2,FALSE),"")</f>
        <v/>
      </c>
    </row>
    <row r="680" spans="2:4" s="230" customFormat="1">
      <c r="B680" s="15" t="str">
        <f t="shared" si="37"/>
        <v/>
      </c>
      <c r="C680" s="16" t="str">
        <f>IFERROR(VLOOKUP(DATA!#REF!,DATA!#REF!,1,FALSE),"")</f>
        <v/>
      </c>
      <c r="D680" s="16" t="str">
        <f>IFERROR(VLOOKUP(C680,DATA!#REF!,2,FALSE),"")</f>
        <v/>
      </c>
    </row>
    <row r="681" spans="2:4" s="230" customFormat="1">
      <c r="B681" s="15" t="str">
        <f t="shared" si="37"/>
        <v/>
      </c>
      <c r="C681" s="16" t="str">
        <f>IFERROR(VLOOKUP(DATA!#REF!,DATA!#REF!,1,FALSE),"")</f>
        <v/>
      </c>
      <c r="D681" s="16" t="str">
        <f>IFERROR(VLOOKUP(C681,DATA!#REF!,2,FALSE),"")</f>
        <v/>
      </c>
    </row>
    <row r="682" spans="2:4" s="230" customFormat="1">
      <c r="B682" s="15" t="str">
        <f t="shared" si="37"/>
        <v/>
      </c>
      <c r="C682" s="16" t="str">
        <f>IFERROR(VLOOKUP(DATA!#REF!,DATA!#REF!,1,FALSE),"")</f>
        <v/>
      </c>
      <c r="D682" s="16" t="str">
        <f>IFERROR(VLOOKUP(C682,DATA!#REF!,2,FALSE),"")</f>
        <v/>
      </c>
    </row>
    <row r="683" spans="2:4" s="230" customFormat="1">
      <c r="B683" s="15" t="str">
        <f t="shared" si="37"/>
        <v/>
      </c>
      <c r="C683" s="16" t="str">
        <f>IFERROR(VLOOKUP(DATA!#REF!,DATA!#REF!,1,FALSE),"")</f>
        <v/>
      </c>
      <c r="D683" s="16" t="str">
        <f>IFERROR(VLOOKUP(C683,DATA!#REF!,2,FALSE),"")</f>
        <v/>
      </c>
    </row>
    <row r="684" spans="2:4" s="230" customFormat="1">
      <c r="B684" s="15" t="str">
        <f t="shared" si="37"/>
        <v/>
      </c>
      <c r="C684" s="16" t="str">
        <f>IFERROR(VLOOKUP(DATA!#REF!,DATA!#REF!,1,FALSE),"")</f>
        <v/>
      </c>
      <c r="D684" s="16" t="str">
        <f>IFERROR(VLOOKUP(C684,DATA!#REF!,2,FALSE),"")</f>
        <v/>
      </c>
    </row>
    <row r="685" spans="2:4" s="230" customFormat="1">
      <c r="B685" s="15" t="str">
        <f t="shared" si="37"/>
        <v/>
      </c>
      <c r="C685" s="16" t="str">
        <f>IFERROR(VLOOKUP(DATA!#REF!,DATA!#REF!,1,FALSE),"")</f>
        <v/>
      </c>
      <c r="D685" s="16" t="str">
        <f>IFERROR(VLOOKUP(C685,DATA!#REF!,2,FALSE),"")</f>
        <v/>
      </c>
    </row>
    <row r="686" spans="2:4" s="230" customFormat="1">
      <c r="B686" s="15" t="str">
        <f t="shared" si="37"/>
        <v/>
      </c>
      <c r="C686" s="16" t="str">
        <f>IFERROR(VLOOKUP(DATA!#REF!,DATA!#REF!,1,FALSE),"")</f>
        <v/>
      </c>
      <c r="D686" s="16" t="str">
        <f>IFERROR(VLOOKUP(C686,DATA!#REF!,2,FALSE),"")</f>
        <v/>
      </c>
    </row>
    <row r="687" spans="2:4" s="230" customFormat="1">
      <c r="B687" s="15" t="str">
        <f t="shared" si="37"/>
        <v/>
      </c>
      <c r="C687" s="16" t="str">
        <f>IFERROR(VLOOKUP(DATA!#REF!,DATA!#REF!,1,FALSE),"")</f>
        <v/>
      </c>
      <c r="D687" s="16" t="str">
        <f>IFERROR(VLOOKUP(C687,DATA!#REF!,2,FALSE),"")</f>
        <v/>
      </c>
    </row>
    <row r="688" spans="2:4" s="230" customFormat="1">
      <c r="B688" s="15" t="str">
        <f t="shared" si="37"/>
        <v/>
      </c>
      <c r="C688" s="16" t="str">
        <f>IFERROR(VLOOKUP(DATA!#REF!,DATA!#REF!,1,FALSE),"")</f>
        <v/>
      </c>
      <c r="D688" s="16" t="str">
        <f>IFERROR(VLOOKUP(C688,DATA!#REF!,2,FALSE),"")</f>
        <v/>
      </c>
    </row>
    <row r="689" spans="2:4" s="230" customFormat="1">
      <c r="B689" s="15" t="str">
        <f t="shared" si="37"/>
        <v/>
      </c>
      <c r="C689" s="16" t="str">
        <f>IFERROR(VLOOKUP(DATA!#REF!,DATA!#REF!,1,FALSE),"")</f>
        <v/>
      </c>
      <c r="D689" s="16" t="str">
        <f>IFERROR(VLOOKUP(C689,DATA!#REF!,2,FALSE),"")</f>
        <v/>
      </c>
    </row>
    <row r="690" spans="2:4" s="230" customFormat="1">
      <c r="B690" s="15" t="str">
        <f t="shared" si="37"/>
        <v/>
      </c>
      <c r="C690" s="16" t="str">
        <f>IFERROR(VLOOKUP(DATA!#REF!,DATA!#REF!,1,FALSE),"")</f>
        <v/>
      </c>
      <c r="D690" s="16" t="str">
        <f>IFERROR(VLOOKUP(C690,DATA!#REF!,2,FALSE),"")</f>
        <v/>
      </c>
    </row>
    <row r="691" spans="2:4" s="230" customFormat="1">
      <c r="B691" s="15" t="str">
        <f t="shared" si="37"/>
        <v/>
      </c>
      <c r="C691" s="16" t="str">
        <f>IFERROR(VLOOKUP(DATA!#REF!,DATA!#REF!,1,FALSE),"")</f>
        <v/>
      </c>
      <c r="D691" s="16" t="str">
        <f>IFERROR(VLOOKUP(C691,DATA!#REF!,2,FALSE),"")</f>
        <v/>
      </c>
    </row>
    <row r="692" spans="2:4" s="230" customFormat="1">
      <c r="B692" s="15" t="str">
        <f t="shared" si="37"/>
        <v/>
      </c>
      <c r="C692" s="16" t="str">
        <f>IFERROR(VLOOKUP(DATA!#REF!,DATA!#REF!,1,FALSE),"")</f>
        <v/>
      </c>
      <c r="D692" s="16" t="str">
        <f>IFERROR(VLOOKUP(C692,DATA!#REF!,2,FALSE),"")</f>
        <v/>
      </c>
    </row>
    <row r="693" spans="2:4" s="230" customFormat="1">
      <c r="B693" s="15" t="str">
        <f t="shared" si="37"/>
        <v/>
      </c>
      <c r="C693" s="16" t="str">
        <f>IFERROR(VLOOKUP(DATA!#REF!,DATA!#REF!,1,FALSE),"")</f>
        <v/>
      </c>
      <c r="D693" s="16" t="str">
        <f>IFERROR(VLOOKUP(C693,DATA!#REF!,2,FALSE),"")</f>
        <v/>
      </c>
    </row>
    <row r="694" spans="2:4" s="230" customFormat="1">
      <c r="B694" s="15" t="str">
        <f t="shared" si="37"/>
        <v/>
      </c>
      <c r="C694" s="16" t="str">
        <f>IFERROR(VLOOKUP(DATA!#REF!,DATA!#REF!,1,FALSE),"")</f>
        <v/>
      </c>
      <c r="D694" s="16" t="str">
        <f>IFERROR(VLOOKUP(C694,DATA!#REF!,2,FALSE),"")</f>
        <v/>
      </c>
    </row>
    <row r="695" spans="2:4" s="230" customFormat="1">
      <c r="B695" s="15" t="str">
        <f t="shared" si="37"/>
        <v/>
      </c>
      <c r="C695" s="16" t="str">
        <f>IFERROR(VLOOKUP(DATA!#REF!,DATA!#REF!,1,FALSE),"")</f>
        <v/>
      </c>
      <c r="D695" s="16" t="str">
        <f>IFERROR(VLOOKUP(C695,DATA!#REF!,2,FALSE),"")</f>
        <v/>
      </c>
    </row>
    <row r="696" spans="2:4" s="230" customFormat="1">
      <c r="B696" s="15" t="str">
        <f t="shared" si="37"/>
        <v/>
      </c>
      <c r="C696" s="16" t="str">
        <f>IFERROR(VLOOKUP(DATA!#REF!,DATA!#REF!,1,FALSE),"")</f>
        <v/>
      </c>
      <c r="D696" s="16" t="str">
        <f>IFERROR(VLOOKUP(C696,DATA!#REF!,2,FALSE),"")</f>
        <v/>
      </c>
    </row>
    <row r="697" spans="2:4" s="230" customFormat="1">
      <c r="B697" s="15" t="str">
        <f t="shared" si="37"/>
        <v/>
      </c>
      <c r="C697" s="16" t="str">
        <f>IFERROR(VLOOKUP(DATA!#REF!,DATA!#REF!,1,FALSE),"")</f>
        <v/>
      </c>
      <c r="D697" s="16" t="str">
        <f>IFERROR(VLOOKUP(C697,DATA!#REF!,2,FALSE),"")</f>
        <v/>
      </c>
    </row>
    <row r="698" spans="2:4" s="230" customFormat="1">
      <c r="B698" s="15" t="str">
        <f t="shared" si="37"/>
        <v/>
      </c>
      <c r="C698" s="16" t="str">
        <f>IFERROR(VLOOKUP(DATA!#REF!,DATA!#REF!,1,FALSE),"")</f>
        <v/>
      </c>
      <c r="D698" s="16" t="str">
        <f>IFERROR(VLOOKUP(C698,DATA!#REF!,2,FALSE),"")</f>
        <v/>
      </c>
    </row>
    <row r="699" spans="2:4" s="230" customFormat="1">
      <c r="B699" s="15" t="str">
        <f t="shared" si="37"/>
        <v/>
      </c>
      <c r="C699" s="16" t="str">
        <f>IFERROR(VLOOKUP(DATA!#REF!,DATA!#REF!,1,FALSE),"")</f>
        <v/>
      </c>
      <c r="D699" s="16" t="str">
        <f>IFERROR(VLOOKUP(C699,DATA!#REF!,2,FALSE),"")</f>
        <v/>
      </c>
    </row>
    <row r="700" spans="2:4" s="230" customFormat="1">
      <c r="B700" s="15" t="str">
        <f t="shared" si="37"/>
        <v/>
      </c>
      <c r="C700" s="16" t="str">
        <f>IFERROR(VLOOKUP(DATA!#REF!,DATA!#REF!,1,FALSE),"")</f>
        <v/>
      </c>
      <c r="D700" s="16" t="str">
        <f>IFERROR(VLOOKUP(C700,DATA!#REF!,2,FALSE),"")</f>
        <v/>
      </c>
    </row>
    <row r="701" spans="2:4" s="230" customFormat="1">
      <c r="B701" s="15" t="str">
        <f t="shared" si="37"/>
        <v/>
      </c>
      <c r="C701" s="16" t="str">
        <f>IFERROR(VLOOKUP(DATA!#REF!,DATA!#REF!,1,FALSE),"")</f>
        <v/>
      </c>
      <c r="D701" s="16" t="str">
        <f>IFERROR(VLOOKUP(C701,DATA!#REF!,2,FALSE),"")</f>
        <v/>
      </c>
    </row>
    <row r="702" spans="2:4" s="230" customFormat="1">
      <c r="B702" s="15" t="str">
        <f t="shared" si="37"/>
        <v/>
      </c>
      <c r="C702" s="16" t="str">
        <f>IFERROR(VLOOKUP(DATA!#REF!,DATA!#REF!,1,FALSE),"")</f>
        <v/>
      </c>
      <c r="D702" s="16" t="str">
        <f>IFERROR(VLOOKUP(C702,DATA!#REF!,2,FALSE),"")</f>
        <v/>
      </c>
    </row>
    <row r="703" spans="2:4" s="230" customFormat="1">
      <c r="B703" s="15" t="str">
        <f t="shared" si="37"/>
        <v/>
      </c>
      <c r="C703" s="16" t="str">
        <f>IFERROR(VLOOKUP(DATA!#REF!,DATA!#REF!,1,FALSE),"")</f>
        <v/>
      </c>
      <c r="D703" s="16" t="str">
        <f>IFERROR(VLOOKUP(C703,DATA!#REF!,2,FALSE),"")</f>
        <v/>
      </c>
    </row>
    <row r="704" spans="2:4" s="230" customFormat="1">
      <c r="B704" s="15" t="str">
        <f t="shared" si="37"/>
        <v/>
      </c>
      <c r="C704" s="16" t="str">
        <f>IFERROR(VLOOKUP(DATA!#REF!,DATA!#REF!,1,FALSE),"")</f>
        <v/>
      </c>
      <c r="D704" s="16" t="str">
        <f>IFERROR(VLOOKUP(C704,DATA!#REF!,2,FALSE),"")</f>
        <v/>
      </c>
    </row>
    <row r="705" spans="2:4" s="230" customFormat="1">
      <c r="B705" s="15" t="str">
        <f t="shared" si="37"/>
        <v/>
      </c>
      <c r="C705" s="16" t="str">
        <f>IFERROR(VLOOKUP(DATA!#REF!,DATA!#REF!,1,FALSE),"")</f>
        <v/>
      </c>
      <c r="D705" s="16" t="str">
        <f>IFERROR(VLOOKUP(C705,DATA!#REF!,2,FALSE),"")</f>
        <v/>
      </c>
    </row>
    <row r="706" spans="2:4" s="230" customFormat="1">
      <c r="B706" s="15" t="str">
        <f t="shared" si="37"/>
        <v/>
      </c>
      <c r="C706" s="16" t="str">
        <f>IFERROR(VLOOKUP(DATA!#REF!,DATA!#REF!,1,FALSE),"")</f>
        <v/>
      </c>
      <c r="D706" s="16" t="str">
        <f>IFERROR(VLOOKUP(C706,DATA!#REF!,2,FALSE),"")</f>
        <v/>
      </c>
    </row>
    <row r="707" spans="2:4" s="230" customFormat="1">
      <c r="B707" s="15" t="str">
        <f t="shared" si="37"/>
        <v/>
      </c>
      <c r="C707" s="16" t="str">
        <f>IFERROR(VLOOKUP(DATA!#REF!,DATA!#REF!,1,FALSE),"")</f>
        <v/>
      </c>
      <c r="D707" s="16" t="str">
        <f>IFERROR(VLOOKUP(C707,DATA!#REF!,2,FALSE),"")</f>
        <v/>
      </c>
    </row>
    <row r="708" spans="2:4" s="230" customFormat="1">
      <c r="B708" s="15" t="str">
        <f t="shared" si="37"/>
        <v/>
      </c>
      <c r="C708" s="16" t="str">
        <f>IFERROR(VLOOKUP(DATA!#REF!,DATA!#REF!,1,FALSE),"")</f>
        <v/>
      </c>
      <c r="D708" s="16" t="str">
        <f>IFERROR(VLOOKUP(C708,DATA!#REF!,2,FALSE),"")</f>
        <v/>
      </c>
    </row>
    <row r="709" spans="2:4" s="230" customFormat="1">
      <c r="B709" s="15" t="str">
        <f t="shared" si="37"/>
        <v/>
      </c>
      <c r="C709" s="16" t="str">
        <f>IFERROR(VLOOKUP(DATA!#REF!,DATA!#REF!,1,FALSE),"")</f>
        <v/>
      </c>
      <c r="D709" s="16" t="str">
        <f>IFERROR(VLOOKUP(C709,DATA!#REF!,2,FALSE),"")</f>
        <v/>
      </c>
    </row>
    <row r="710" spans="2:4" s="230" customFormat="1">
      <c r="B710" s="15" t="str">
        <f t="shared" ref="B710:B773" si="38">+IF(C710="","",ROW()-5)</f>
        <v/>
      </c>
      <c r="C710" s="16" t="str">
        <f>IFERROR(VLOOKUP(DATA!#REF!,DATA!#REF!,1,FALSE),"")</f>
        <v/>
      </c>
      <c r="D710" s="16" t="str">
        <f>IFERROR(VLOOKUP(C710,DATA!#REF!,2,FALSE),"")</f>
        <v/>
      </c>
    </row>
    <row r="711" spans="2:4" s="230" customFormat="1">
      <c r="B711" s="15" t="str">
        <f t="shared" si="38"/>
        <v/>
      </c>
      <c r="C711" s="16" t="str">
        <f>IFERROR(VLOOKUP(DATA!#REF!,DATA!#REF!,1,FALSE),"")</f>
        <v/>
      </c>
      <c r="D711" s="16" t="str">
        <f>IFERROR(VLOOKUP(C711,DATA!#REF!,2,FALSE),"")</f>
        <v/>
      </c>
    </row>
    <row r="712" spans="2:4" s="230" customFormat="1">
      <c r="B712" s="15" t="str">
        <f t="shared" si="38"/>
        <v/>
      </c>
      <c r="C712" s="16" t="str">
        <f>IFERROR(VLOOKUP(DATA!#REF!,DATA!#REF!,1,FALSE),"")</f>
        <v/>
      </c>
      <c r="D712" s="16" t="str">
        <f>IFERROR(VLOOKUP(C712,DATA!#REF!,2,FALSE),"")</f>
        <v/>
      </c>
    </row>
    <row r="713" spans="2:4" s="230" customFormat="1">
      <c r="B713" s="15" t="str">
        <f t="shared" si="38"/>
        <v/>
      </c>
      <c r="C713" s="16" t="str">
        <f>IFERROR(VLOOKUP(DATA!#REF!,DATA!#REF!,1,FALSE),"")</f>
        <v/>
      </c>
      <c r="D713" s="16" t="str">
        <f>IFERROR(VLOOKUP(C713,DATA!#REF!,2,FALSE),"")</f>
        <v/>
      </c>
    </row>
    <row r="714" spans="2:4" s="230" customFormat="1">
      <c r="B714" s="15" t="str">
        <f t="shared" si="38"/>
        <v/>
      </c>
      <c r="C714" s="16" t="str">
        <f>IFERROR(VLOOKUP(DATA!#REF!,DATA!#REF!,1,FALSE),"")</f>
        <v/>
      </c>
      <c r="D714" s="16" t="str">
        <f>IFERROR(VLOOKUP(C714,DATA!#REF!,2,FALSE),"")</f>
        <v/>
      </c>
    </row>
    <row r="715" spans="2:4" s="230" customFormat="1">
      <c r="B715" s="15" t="str">
        <f t="shared" si="38"/>
        <v/>
      </c>
      <c r="C715" s="16" t="str">
        <f>IFERROR(VLOOKUP(DATA!#REF!,DATA!#REF!,1,FALSE),"")</f>
        <v/>
      </c>
      <c r="D715" s="16" t="str">
        <f>IFERROR(VLOOKUP(C715,DATA!#REF!,2,FALSE),"")</f>
        <v/>
      </c>
    </row>
    <row r="716" spans="2:4" s="230" customFormat="1">
      <c r="B716" s="15" t="str">
        <f t="shared" si="38"/>
        <v/>
      </c>
      <c r="C716" s="16" t="str">
        <f>IFERROR(VLOOKUP(DATA!#REF!,DATA!#REF!,1,FALSE),"")</f>
        <v/>
      </c>
      <c r="D716" s="16" t="str">
        <f>IFERROR(VLOOKUP(C716,DATA!#REF!,2,FALSE),"")</f>
        <v/>
      </c>
    </row>
    <row r="717" spans="2:4" s="230" customFormat="1">
      <c r="B717" s="15" t="str">
        <f t="shared" si="38"/>
        <v/>
      </c>
      <c r="C717" s="16" t="str">
        <f>IFERROR(VLOOKUP(DATA!#REF!,DATA!#REF!,1,FALSE),"")</f>
        <v/>
      </c>
      <c r="D717" s="16" t="str">
        <f>IFERROR(VLOOKUP(C717,DATA!#REF!,2,FALSE),"")</f>
        <v/>
      </c>
    </row>
    <row r="718" spans="2:4" s="230" customFormat="1">
      <c r="B718" s="15" t="str">
        <f t="shared" si="38"/>
        <v/>
      </c>
      <c r="C718" s="16" t="str">
        <f>IFERROR(VLOOKUP(DATA!#REF!,DATA!#REF!,1,FALSE),"")</f>
        <v/>
      </c>
      <c r="D718" s="16" t="str">
        <f>IFERROR(VLOOKUP(C718,DATA!#REF!,2,FALSE),"")</f>
        <v/>
      </c>
    </row>
    <row r="719" spans="2:4" s="230" customFormat="1">
      <c r="B719" s="15" t="str">
        <f t="shared" si="38"/>
        <v/>
      </c>
      <c r="C719" s="16" t="str">
        <f>IFERROR(VLOOKUP(DATA!#REF!,DATA!#REF!,1,FALSE),"")</f>
        <v/>
      </c>
      <c r="D719" s="16" t="str">
        <f>IFERROR(VLOOKUP(C719,DATA!#REF!,2,FALSE),"")</f>
        <v/>
      </c>
    </row>
    <row r="720" spans="2:4" s="230" customFormat="1">
      <c r="B720" s="15" t="str">
        <f t="shared" si="38"/>
        <v/>
      </c>
      <c r="C720" s="16" t="str">
        <f>IFERROR(VLOOKUP(DATA!#REF!,DATA!#REF!,1,FALSE),"")</f>
        <v/>
      </c>
      <c r="D720" s="16" t="str">
        <f>IFERROR(VLOOKUP(C720,DATA!#REF!,2,FALSE),"")</f>
        <v/>
      </c>
    </row>
    <row r="721" spans="2:4" s="230" customFormat="1">
      <c r="B721" s="15" t="str">
        <f t="shared" si="38"/>
        <v/>
      </c>
      <c r="C721" s="16" t="str">
        <f>IFERROR(VLOOKUP(DATA!#REF!,DATA!#REF!,1,FALSE),"")</f>
        <v/>
      </c>
      <c r="D721" s="16" t="str">
        <f>IFERROR(VLOOKUP(C721,DATA!#REF!,2,FALSE),"")</f>
        <v/>
      </c>
    </row>
    <row r="722" spans="2:4" s="230" customFormat="1">
      <c r="B722" s="15" t="str">
        <f t="shared" si="38"/>
        <v/>
      </c>
      <c r="C722" s="16" t="str">
        <f>IFERROR(VLOOKUP(DATA!#REF!,DATA!#REF!,1,FALSE),"")</f>
        <v/>
      </c>
      <c r="D722" s="16" t="str">
        <f>IFERROR(VLOOKUP(C722,DATA!#REF!,2,FALSE),"")</f>
        <v/>
      </c>
    </row>
    <row r="723" spans="2:4" s="230" customFormat="1">
      <c r="B723" s="15" t="str">
        <f t="shared" si="38"/>
        <v/>
      </c>
      <c r="C723" s="16" t="str">
        <f>IFERROR(VLOOKUP(DATA!#REF!,DATA!#REF!,1,FALSE),"")</f>
        <v/>
      </c>
      <c r="D723" s="16" t="str">
        <f>IFERROR(VLOOKUP(C723,DATA!#REF!,2,FALSE),"")</f>
        <v/>
      </c>
    </row>
    <row r="724" spans="2:4" s="230" customFormat="1">
      <c r="B724" s="15" t="str">
        <f t="shared" si="38"/>
        <v/>
      </c>
      <c r="C724" s="16" t="str">
        <f>IFERROR(VLOOKUP(DATA!#REF!,DATA!#REF!,1,FALSE),"")</f>
        <v/>
      </c>
      <c r="D724" s="16" t="str">
        <f>IFERROR(VLOOKUP(C724,DATA!#REF!,2,FALSE),"")</f>
        <v/>
      </c>
    </row>
    <row r="725" spans="2:4" s="230" customFormat="1">
      <c r="B725" s="15" t="str">
        <f t="shared" si="38"/>
        <v/>
      </c>
      <c r="C725" s="16" t="str">
        <f>IFERROR(VLOOKUP(DATA!#REF!,DATA!#REF!,1,FALSE),"")</f>
        <v/>
      </c>
      <c r="D725" s="16" t="str">
        <f>IFERROR(VLOOKUP(C725,DATA!#REF!,2,FALSE),"")</f>
        <v/>
      </c>
    </row>
    <row r="726" spans="2:4" s="230" customFormat="1">
      <c r="B726" s="15" t="str">
        <f t="shared" si="38"/>
        <v/>
      </c>
      <c r="C726" s="16" t="str">
        <f>IFERROR(VLOOKUP(DATA!#REF!,DATA!#REF!,1,FALSE),"")</f>
        <v/>
      </c>
      <c r="D726" s="16" t="str">
        <f>IFERROR(VLOOKUP(C726,DATA!#REF!,2,FALSE),"")</f>
        <v/>
      </c>
    </row>
    <row r="727" spans="2:4" s="230" customFormat="1">
      <c r="B727" s="15" t="str">
        <f t="shared" si="38"/>
        <v/>
      </c>
      <c r="C727" s="16" t="str">
        <f>IFERROR(VLOOKUP(DATA!#REF!,DATA!#REF!,1,FALSE),"")</f>
        <v/>
      </c>
      <c r="D727" s="16" t="str">
        <f>IFERROR(VLOOKUP(C727,DATA!#REF!,2,FALSE),"")</f>
        <v/>
      </c>
    </row>
    <row r="728" spans="2:4" s="230" customFormat="1">
      <c r="B728" s="15" t="str">
        <f t="shared" si="38"/>
        <v/>
      </c>
      <c r="C728" s="16" t="str">
        <f>IFERROR(VLOOKUP(DATA!#REF!,DATA!#REF!,1,FALSE),"")</f>
        <v/>
      </c>
      <c r="D728" s="16" t="str">
        <f>IFERROR(VLOOKUP(C728,DATA!#REF!,2,FALSE),"")</f>
        <v/>
      </c>
    </row>
    <row r="729" spans="2:4" s="230" customFormat="1">
      <c r="B729" s="15" t="str">
        <f t="shared" si="38"/>
        <v/>
      </c>
      <c r="C729" s="16" t="str">
        <f>IFERROR(VLOOKUP(DATA!#REF!,DATA!#REF!,1,FALSE),"")</f>
        <v/>
      </c>
      <c r="D729" s="16" t="str">
        <f>IFERROR(VLOOKUP(C729,DATA!#REF!,2,FALSE),"")</f>
        <v/>
      </c>
    </row>
    <row r="730" spans="2:4" s="230" customFormat="1">
      <c r="B730" s="15" t="str">
        <f t="shared" si="38"/>
        <v/>
      </c>
      <c r="C730" s="16" t="str">
        <f>IFERROR(VLOOKUP(DATA!#REF!,DATA!#REF!,1,FALSE),"")</f>
        <v/>
      </c>
      <c r="D730" s="16" t="str">
        <f>IFERROR(VLOOKUP(C730,DATA!#REF!,2,FALSE),"")</f>
        <v/>
      </c>
    </row>
    <row r="731" spans="2:4" s="230" customFormat="1">
      <c r="B731" s="15" t="str">
        <f t="shared" si="38"/>
        <v/>
      </c>
      <c r="C731" s="16" t="str">
        <f>IFERROR(VLOOKUP(DATA!#REF!,DATA!#REF!,1,FALSE),"")</f>
        <v/>
      </c>
      <c r="D731" s="16" t="str">
        <f>IFERROR(VLOOKUP(C731,DATA!#REF!,2,FALSE),"")</f>
        <v/>
      </c>
    </row>
    <row r="732" spans="2:4" s="230" customFormat="1">
      <c r="B732" s="15" t="str">
        <f t="shared" si="38"/>
        <v/>
      </c>
      <c r="C732" s="16" t="str">
        <f>IFERROR(VLOOKUP(DATA!#REF!,DATA!#REF!,1,FALSE),"")</f>
        <v/>
      </c>
      <c r="D732" s="16" t="str">
        <f>IFERROR(VLOOKUP(C732,DATA!#REF!,2,FALSE),"")</f>
        <v/>
      </c>
    </row>
    <row r="733" spans="2:4" s="230" customFormat="1">
      <c r="B733" s="15" t="str">
        <f t="shared" si="38"/>
        <v/>
      </c>
      <c r="C733" s="16" t="str">
        <f>IFERROR(VLOOKUP(DATA!#REF!,DATA!#REF!,1,FALSE),"")</f>
        <v/>
      </c>
      <c r="D733" s="16" t="str">
        <f>IFERROR(VLOOKUP(C733,DATA!#REF!,2,FALSE),"")</f>
        <v/>
      </c>
    </row>
    <row r="734" spans="2:4" s="230" customFormat="1">
      <c r="B734" s="15" t="str">
        <f t="shared" si="38"/>
        <v/>
      </c>
      <c r="C734" s="16" t="str">
        <f>IFERROR(VLOOKUP(DATA!#REF!,DATA!#REF!,1,FALSE),"")</f>
        <v/>
      </c>
      <c r="D734" s="16" t="str">
        <f>IFERROR(VLOOKUP(C734,DATA!#REF!,2,FALSE),"")</f>
        <v/>
      </c>
    </row>
    <row r="735" spans="2:4" s="230" customFormat="1">
      <c r="B735" s="15" t="str">
        <f t="shared" si="38"/>
        <v/>
      </c>
      <c r="C735" s="16" t="str">
        <f>IFERROR(VLOOKUP(DATA!#REF!,DATA!#REF!,1,FALSE),"")</f>
        <v/>
      </c>
      <c r="D735" s="16" t="str">
        <f>IFERROR(VLOOKUP(C735,DATA!#REF!,2,FALSE),"")</f>
        <v/>
      </c>
    </row>
    <row r="736" spans="2:4" s="230" customFormat="1">
      <c r="B736" s="15" t="str">
        <f t="shared" si="38"/>
        <v/>
      </c>
      <c r="C736" s="16" t="str">
        <f>IFERROR(VLOOKUP(DATA!#REF!,DATA!#REF!,1,FALSE),"")</f>
        <v/>
      </c>
      <c r="D736" s="16" t="str">
        <f>IFERROR(VLOOKUP(C736,DATA!#REF!,2,FALSE),"")</f>
        <v/>
      </c>
    </row>
    <row r="737" spans="2:4" s="230" customFormat="1">
      <c r="B737" s="15" t="str">
        <f t="shared" si="38"/>
        <v/>
      </c>
      <c r="C737" s="16" t="str">
        <f>IFERROR(VLOOKUP(DATA!#REF!,DATA!#REF!,1,FALSE),"")</f>
        <v/>
      </c>
      <c r="D737" s="16" t="str">
        <f>IFERROR(VLOOKUP(C737,DATA!#REF!,2,FALSE),"")</f>
        <v/>
      </c>
    </row>
    <row r="738" spans="2:4" s="230" customFormat="1">
      <c r="B738" s="15" t="str">
        <f t="shared" si="38"/>
        <v/>
      </c>
      <c r="C738" s="16" t="str">
        <f>IFERROR(VLOOKUP(DATA!#REF!,DATA!#REF!,1,FALSE),"")</f>
        <v/>
      </c>
      <c r="D738" s="16" t="str">
        <f>IFERROR(VLOOKUP(C738,DATA!#REF!,2,FALSE),"")</f>
        <v/>
      </c>
    </row>
    <row r="739" spans="2:4" s="230" customFormat="1">
      <c r="B739" s="15" t="str">
        <f t="shared" si="38"/>
        <v/>
      </c>
      <c r="C739" s="16" t="str">
        <f>IFERROR(VLOOKUP(DATA!#REF!,DATA!#REF!,1,FALSE),"")</f>
        <v/>
      </c>
      <c r="D739" s="16" t="str">
        <f>IFERROR(VLOOKUP(C739,DATA!#REF!,2,FALSE),"")</f>
        <v/>
      </c>
    </row>
    <row r="740" spans="2:4" s="230" customFormat="1">
      <c r="B740" s="15" t="str">
        <f t="shared" si="38"/>
        <v/>
      </c>
      <c r="C740" s="16" t="str">
        <f>IFERROR(VLOOKUP(DATA!#REF!,DATA!#REF!,1,FALSE),"")</f>
        <v/>
      </c>
      <c r="D740" s="16" t="str">
        <f>IFERROR(VLOOKUP(C740,DATA!#REF!,2,FALSE),"")</f>
        <v/>
      </c>
    </row>
    <row r="741" spans="2:4" s="230" customFormat="1">
      <c r="B741" s="15" t="str">
        <f t="shared" si="38"/>
        <v/>
      </c>
      <c r="C741" s="16" t="str">
        <f>IFERROR(VLOOKUP(DATA!#REF!,DATA!#REF!,1,FALSE),"")</f>
        <v/>
      </c>
      <c r="D741" s="16" t="str">
        <f>IFERROR(VLOOKUP(C741,DATA!#REF!,2,FALSE),"")</f>
        <v/>
      </c>
    </row>
    <row r="742" spans="2:4" s="230" customFormat="1">
      <c r="B742" s="15" t="str">
        <f t="shared" si="38"/>
        <v/>
      </c>
      <c r="C742" s="16" t="str">
        <f>IFERROR(VLOOKUP(DATA!#REF!,DATA!#REF!,1,FALSE),"")</f>
        <v/>
      </c>
      <c r="D742" s="16" t="str">
        <f>IFERROR(VLOOKUP(C742,DATA!#REF!,2,FALSE),"")</f>
        <v/>
      </c>
    </row>
    <row r="743" spans="2:4" s="230" customFormat="1">
      <c r="B743" s="15" t="str">
        <f t="shared" si="38"/>
        <v/>
      </c>
      <c r="C743" s="16" t="str">
        <f>IFERROR(VLOOKUP(DATA!#REF!,DATA!#REF!,1,FALSE),"")</f>
        <v/>
      </c>
      <c r="D743" s="16" t="str">
        <f>IFERROR(VLOOKUP(C743,DATA!#REF!,2,FALSE),"")</f>
        <v/>
      </c>
    </row>
    <row r="744" spans="2:4" s="230" customFormat="1">
      <c r="B744" s="15" t="str">
        <f t="shared" si="38"/>
        <v/>
      </c>
      <c r="C744" s="16" t="str">
        <f>IFERROR(VLOOKUP(DATA!#REF!,DATA!#REF!,1,FALSE),"")</f>
        <v/>
      </c>
      <c r="D744" s="16" t="str">
        <f>IFERROR(VLOOKUP(C744,DATA!#REF!,2,FALSE),"")</f>
        <v/>
      </c>
    </row>
    <row r="745" spans="2:4" s="230" customFormat="1">
      <c r="B745" s="15" t="str">
        <f t="shared" si="38"/>
        <v/>
      </c>
      <c r="C745" s="16" t="str">
        <f>IFERROR(VLOOKUP(DATA!#REF!,DATA!#REF!,1,FALSE),"")</f>
        <v/>
      </c>
      <c r="D745" s="16" t="str">
        <f>IFERROR(VLOOKUP(C745,DATA!#REF!,2,FALSE),"")</f>
        <v/>
      </c>
    </row>
    <row r="746" spans="2:4" s="230" customFormat="1">
      <c r="B746" s="15" t="str">
        <f t="shared" si="38"/>
        <v/>
      </c>
      <c r="C746" s="16" t="str">
        <f>IFERROR(VLOOKUP(DATA!#REF!,DATA!#REF!,1,FALSE),"")</f>
        <v/>
      </c>
      <c r="D746" s="16" t="str">
        <f>IFERROR(VLOOKUP(C746,DATA!#REF!,2,FALSE),"")</f>
        <v/>
      </c>
    </row>
    <row r="747" spans="2:4" s="230" customFormat="1">
      <c r="B747" s="15" t="str">
        <f t="shared" si="38"/>
        <v/>
      </c>
      <c r="C747" s="16" t="str">
        <f>IFERROR(VLOOKUP(DATA!#REF!,DATA!#REF!,1,FALSE),"")</f>
        <v/>
      </c>
      <c r="D747" s="16" t="str">
        <f>IFERROR(VLOOKUP(C747,DATA!#REF!,2,FALSE),"")</f>
        <v/>
      </c>
    </row>
    <row r="748" spans="2:4" s="230" customFormat="1">
      <c r="B748" s="15" t="str">
        <f t="shared" si="38"/>
        <v/>
      </c>
      <c r="C748" s="16" t="str">
        <f>IFERROR(VLOOKUP(DATA!#REF!,DATA!#REF!,1,FALSE),"")</f>
        <v/>
      </c>
      <c r="D748" s="16" t="str">
        <f>IFERROR(VLOOKUP(C748,DATA!#REF!,2,FALSE),"")</f>
        <v/>
      </c>
    </row>
    <row r="749" spans="2:4" s="230" customFormat="1">
      <c r="B749" s="15" t="str">
        <f t="shared" si="38"/>
        <v/>
      </c>
      <c r="C749" s="16" t="str">
        <f>IFERROR(VLOOKUP(DATA!#REF!,DATA!#REF!,1,FALSE),"")</f>
        <v/>
      </c>
      <c r="D749" s="16" t="str">
        <f>IFERROR(VLOOKUP(C749,DATA!#REF!,2,FALSE),"")</f>
        <v/>
      </c>
    </row>
    <row r="750" spans="2:4" s="230" customFormat="1">
      <c r="B750" s="15" t="str">
        <f t="shared" si="38"/>
        <v/>
      </c>
      <c r="C750" s="16" t="str">
        <f>IFERROR(VLOOKUP(DATA!#REF!,DATA!#REF!,1,FALSE),"")</f>
        <v/>
      </c>
      <c r="D750" s="16" t="str">
        <f>IFERROR(VLOOKUP(C750,DATA!#REF!,2,FALSE),"")</f>
        <v/>
      </c>
    </row>
    <row r="751" spans="2:4" s="230" customFormat="1">
      <c r="B751" s="15" t="str">
        <f t="shared" si="38"/>
        <v/>
      </c>
      <c r="C751" s="16" t="str">
        <f>IFERROR(VLOOKUP(DATA!#REF!,DATA!#REF!,1,FALSE),"")</f>
        <v/>
      </c>
      <c r="D751" s="16" t="str">
        <f>IFERROR(VLOOKUP(C751,DATA!#REF!,2,FALSE),"")</f>
        <v/>
      </c>
    </row>
    <row r="752" spans="2:4" s="230" customFormat="1">
      <c r="B752" s="15" t="str">
        <f t="shared" si="38"/>
        <v/>
      </c>
      <c r="C752" s="16" t="str">
        <f>IFERROR(VLOOKUP(DATA!#REF!,DATA!#REF!,1,FALSE),"")</f>
        <v/>
      </c>
      <c r="D752" s="16" t="str">
        <f>IFERROR(VLOOKUP(C752,DATA!#REF!,2,FALSE),"")</f>
        <v/>
      </c>
    </row>
    <row r="753" spans="2:4" s="230" customFormat="1">
      <c r="B753" s="15" t="str">
        <f t="shared" si="38"/>
        <v/>
      </c>
      <c r="C753" s="16" t="str">
        <f>IFERROR(VLOOKUP(DATA!#REF!,DATA!#REF!,1,FALSE),"")</f>
        <v/>
      </c>
      <c r="D753" s="16" t="str">
        <f>IFERROR(VLOOKUP(C753,DATA!#REF!,2,FALSE),"")</f>
        <v/>
      </c>
    </row>
    <row r="754" spans="2:4" s="230" customFormat="1">
      <c r="B754" s="15" t="str">
        <f t="shared" si="38"/>
        <v/>
      </c>
      <c r="C754" s="16" t="str">
        <f>IFERROR(VLOOKUP(DATA!#REF!,DATA!#REF!,1,FALSE),"")</f>
        <v/>
      </c>
      <c r="D754" s="16" t="str">
        <f>IFERROR(VLOOKUP(C754,DATA!#REF!,2,FALSE),"")</f>
        <v/>
      </c>
    </row>
    <row r="755" spans="2:4" s="230" customFormat="1">
      <c r="B755" s="15" t="str">
        <f t="shared" si="38"/>
        <v/>
      </c>
      <c r="C755" s="16" t="str">
        <f>IFERROR(VLOOKUP(DATA!#REF!,DATA!#REF!,1,FALSE),"")</f>
        <v/>
      </c>
      <c r="D755" s="16" t="str">
        <f>IFERROR(VLOOKUP(C755,DATA!#REF!,2,FALSE),"")</f>
        <v/>
      </c>
    </row>
    <row r="756" spans="2:4" s="230" customFormat="1">
      <c r="B756" s="15" t="str">
        <f t="shared" si="38"/>
        <v/>
      </c>
      <c r="C756" s="16" t="str">
        <f>IFERROR(VLOOKUP(DATA!#REF!,DATA!#REF!,1,FALSE),"")</f>
        <v/>
      </c>
      <c r="D756" s="16" t="str">
        <f>IFERROR(VLOOKUP(C756,DATA!#REF!,2,FALSE),"")</f>
        <v/>
      </c>
    </row>
    <row r="757" spans="2:4" s="230" customFormat="1">
      <c r="B757" s="15" t="str">
        <f t="shared" si="38"/>
        <v/>
      </c>
      <c r="C757" s="16" t="str">
        <f>IFERROR(VLOOKUP(DATA!#REF!,DATA!#REF!,1,FALSE),"")</f>
        <v/>
      </c>
      <c r="D757" s="16" t="str">
        <f>IFERROR(VLOOKUP(C757,DATA!#REF!,2,FALSE),"")</f>
        <v/>
      </c>
    </row>
    <row r="758" spans="2:4" s="230" customFormat="1">
      <c r="B758" s="15" t="str">
        <f t="shared" si="38"/>
        <v/>
      </c>
      <c r="C758" s="16" t="str">
        <f>IFERROR(VLOOKUP(DATA!#REF!,DATA!#REF!,1,FALSE),"")</f>
        <v/>
      </c>
      <c r="D758" s="16" t="str">
        <f>IFERROR(VLOOKUP(C758,DATA!#REF!,2,FALSE),"")</f>
        <v/>
      </c>
    </row>
    <row r="759" spans="2:4" s="230" customFormat="1">
      <c r="B759" s="15" t="str">
        <f t="shared" si="38"/>
        <v/>
      </c>
      <c r="C759" s="16" t="str">
        <f>IFERROR(VLOOKUP(DATA!#REF!,DATA!#REF!,1,FALSE),"")</f>
        <v/>
      </c>
      <c r="D759" s="16" t="str">
        <f>IFERROR(VLOOKUP(C759,DATA!#REF!,2,FALSE),"")</f>
        <v/>
      </c>
    </row>
    <row r="760" spans="2:4" s="230" customFormat="1">
      <c r="B760" s="15" t="str">
        <f t="shared" si="38"/>
        <v/>
      </c>
      <c r="C760" s="16" t="str">
        <f>IFERROR(VLOOKUP(DATA!#REF!,DATA!#REF!,1,FALSE),"")</f>
        <v/>
      </c>
      <c r="D760" s="16" t="str">
        <f>IFERROR(VLOOKUP(C760,DATA!#REF!,2,FALSE),"")</f>
        <v/>
      </c>
    </row>
    <row r="761" spans="2:4" s="230" customFormat="1">
      <c r="B761" s="15" t="str">
        <f t="shared" si="38"/>
        <v/>
      </c>
      <c r="C761" s="16" t="str">
        <f>IFERROR(VLOOKUP(DATA!#REF!,DATA!#REF!,1,FALSE),"")</f>
        <v/>
      </c>
      <c r="D761" s="16" t="str">
        <f>IFERROR(VLOOKUP(C761,DATA!#REF!,2,FALSE),"")</f>
        <v/>
      </c>
    </row>
    <row r="762" spans="2:4" s="230" customFormat="1">
      <c r="B762" s="15" t="str">
        <f t="shared" si="38"/>
        <v/>
      </c>
      <c r="C762" s="16" t="str">
        <f>IFERROR(VLOOKUP(DATA!#REF!,DATA!#REF!,1,FALSE),"")</f>
        <v/>
      </c>
      <c r="D762" s="16" t="str">
        <f>IFERROR(VLOOKUP(C762,DATA!#REF!,2,FALSE),"")</f>
        <v/>
      </c>
    </row>
    <row r="763" spans="2:4" s="230" customFormat="1">
      <c r="B763" s="15" t="str">
        <f t="shared" si="38"/>
        <v/>
      </c>
      <c r="C763" s="16" t="str">
        <f>IFERROR(VLOOKUP(DATA!#REF!,DATA!#REF!,1,FALSE),"")</f>
        <v/>
      </c>
      <c r="D763" s="16" t="str">
        <f>IFERROR(VLOOKUP(C763,DATA!#REF!,2,FALSE),"")</f>
        <v/>
      </c>
    </row>
    <row r="764" spans="2:4" s="230" customFormat="1">
      <c r="B764" s="15" t="str">
        <f t="shared" si="38"/>
        <v/>
      </c>
      <c r="C764" s="16" t="str">
        <f>IFERROR(VLOOKUP(DATA!#REF!,DATA!#REF!,1,FALSE),"")</f>
        <v/>
      </c>
      <c r="D764" s="16" t="str">
        <f>IFERROR(VLOOKUP(C764,DATA!#REF!,2,FALSE),"")</f>
        <v/>
      </c>
    </row>
    <row r="765" spans="2:4" s="230" customFormat="1">
      <c r="B765" s="15" t="str">
        <f t="shared" si="38"/>
        <v/>
      </c>
      <c r="C765" s="16" t="str">
        <f>IFERROR(VLOOKUP(DATA!#REF!,DATA!#REF!,1,FALSE),"")</f>
        <v/>
      </c>
      <c r="D765" s="16" t="str">
        <f>IFERROR(VLOOKUP(C765,DATA!#REF!,2,FALSE),"")</f>
        <v/>
      </c>
    </row>
    <row r="766" spans="2:4" s="230" customFormat="1">
      <c r="B766" s="15" t="str">
        <f t="shared" si="38"/>
        <v/>
      </c>
      <c r="C766" s="16" t="str">
        <f>IFERROR(VLOOKUP(DATA!#REF!,DATA!#REF!,1,FALSE),"")</f>
        <v/>
      </c>
      <c r="D766" s="16" t="str">
        <f>IFERROR(VLOOKUP(C766,DATA!#REF!,2,FALSE),"")</f>
        <v/>
      </c>
    </row>
    <row r="767" spans="2:4" s="230" customFormat="1">
      <c r="B767" s="15" t="str">
        <f t="shared" si="38"/>
        <v/>
      </c>
      <c r="C767" s="16" t="str">
        <f>IFERROR(VLOOKUP(DATA!#REF!,DATA!#REF!,1,FALSE),"")</f>
        <v/>
      </c>
      <c r="D767" s="16" t="str">
        <f>IFERROR(VLOOKUP(C767,DATA!#REF!,2,FALSE),"")</f>
        <v/>
      </c>
    </row>
    <row r="768" spans="2:4" s="230" customFormat="1">
      <c r="B768" s="15" t="str">
        <f t="shared" si="38"/>
        <v/>
      </c>
      <c r="C768" s="16" t="str">
        <f>IFERROR(VLOOKUP(DATA!#REF!,DATA!#REF!,1,FALSE),"")</f>
        <v/>
      </c>
      <c r="D768" s="16" t="str">
        <f>IFERROR(VLOOKUP(C768,DATA!#REF!,2,FALSE),"")</f>
        <v/>
      </c>
    </row>
    <row r="769" spans="2:4" s="230" customFormat="1">
      <c r="B769" s="15" t="str">
        <f t="shared" si="38"/>
        <v/>
      </c>
      <c r="C769" s="16" t="str">
        <f>IFERROR(VLOOKUP(DATA!#REF!,DATA!#REF!,1,FALSE),"")</f>
        <v/>
      </c>
      <c r="D769" s="16" t="str">
        <f>IFERROR(VLOOKUP(C769,DATA!#REF!,2,FALSE),"")</f>
        <v/>
      </c>
    </row>
    <row r="770" spans="2:4" s="230" customFormat="1">
      <c r="B770" s="15" t="str">
        <f t="shared" si="38"/>
        <v/>
      </c>
      <c r="C770" s="16" t="str">
        <f>IFERROR(VLOOKUP(DATA!#REF!,DATA!#REF!,1,FALSE),"")</f>
        <v/>
      </c>
      <c r="D770" s="16" t="str">
        <f>IFERROR(VLOOKUP(C770,DATA!#REF!,2,FALSE),"")</f>
        <v/>
      </c>
    </row>
    <row r="771" spans="2:4" s="230" customFormat="1">
      <c r="B771" s="15" t="str">
        <f t="shared" si="38"/>
        <v/>
      </c>
      <c r="C771" s="16" t="str">
        <f>IFERROR(VLOOKUP(DATA!#REF!,DATA!#REF!,1,FALSE),"")</f>
        <v/>
      </c>
      <c r="D771" s="16" t="str">
        <f>IFERROR(VLOOKUP(C771,DATA!#REF!,2,FALSE),"")</f>
        <v/>
      </c>
    </row>
    <row r="772" spans="2:4" s="230" customFormat="1">
      <c r="B772" s="15" t="str">
        <f t="shared" si="38"/>
        <v/>
      </c>
      <c r="C772" s="16" t="str">
        <f>IFERROR(VLOOKUP(DATA!#REF!,DATA!#REF!,1,FALSE),"")</f>
        <v/>
      </c>
      <c r="D772" s="16" t="str">
        <f>IFERROR(VLOOKUP(C772,DATA!#REF!,2,FALSE),"")</f>
        <v/>
      </c>
    </row>
    <row r="773" spans="2:4" s="230" customFormat="1">
      <c r="B773" s="15" t="str">
        <f t="shared" si="38"/>
        <v/>
      </c>
      <c r="C773" s="16" t="str">
        <f>IFERROR(VLOOKUP(DATA!#REF!,DATA!#REF!,1,FALSE),"")</f>
        <v/>
      </c>
      <c r="D773" s="16" t="str">
        <f>IFERROR(VLOOKUP(C773,DATA!#REF!,2,FALSE),"")</f>
        <v/>
      </c>
    </row>
    <row r="774" spans="2:4" s="230" customFormat="1">
      <c r="B774" s="15" t="str">
        <f t="shared" ref="B774:B837" si="39">+IF(C774="","",ROW()-5)</f>
        <v/>
      </c>
      <c r="C774" s="16" t="str">
        <f>IFERROR(VLOOKUP(DATA!#REF!,DATA!#REF!,1,FALSE),"")</f>
        <v/>
      </c>
      <c r="D774" s="16" t="str">
        <f>IFERROR(VLOOKUP(C774,DATA!#REF!,2,FALSE),"")</f>
        <v/>
      </c>
    </row>
    <row r="775" spans="2:4" s="230" customFormat="1">
      <c r="B775" s="15" t="str">
        <f t="shared" si="39"/>
        <v/>
      </c>
      <c r="C775" s="16" t="str">
        <f>IFERROR(VLOOKUP(DATA!#REF!,DATA!#REF!,1,FALSE),"")</f>
        <v/>
      </c>
      <c r="D775" s="16" t="str">
        <f>IFERROR(VLOOKUP(C775,DATA!#REF!,2,FALSE),"")</f>
        <v/>
      </c>
    </row>
    <row r="776" spans="2:4" s="230" customFormat="1">
      <c r="B776" s="15" t="str">
        <f t="shared" si="39"/>
        <v/>
      </c>
      <c r="C776" s="16" t="str">
        <f>IFERROR(VLOOKUP(DATA!#REF!,DATA!#REF!,1,FALSE),"")</f>
        <v/>
      </c>
      <c r="D776" s="16" t="str">
        <f>IFERROR(VLOOKUP(C776,DATA!#REF!,2,FALSE),"")</f>
        <v/>
      </c>
    </row>
    <row r="777" spans="2:4" s="230" customFormat="1">
      <c r="B777" s="15" t="str">
        <f t="shared" si="39"/>
        <v/>
      </c>
      <c r="C777" s="16" t="str">
        <f>IFERROR(VLOOKUP(DATA!#REF!,DATA!#REF!,1,FALSE),"")</f>
        <v/>
      </c>
      <c r="D777" s="16" t="str">
        <f>IFERROR(VLOOKUP(C777,DATA!#REF!,2,FALSE),"")</f>
        <v/>
      </c>
    </row>
    <row r="778" spans="2:4" s="230" customFormat="1">
      <c r="B778" s="15" t="str">
        <f t="shared" si="39"/>
        <v/>
      </c>
      <c r="C778" s="16" t="str">
        <f>IFERROR(VLOOKUP(DATA!#REF!,DATA!#REF!,1,FALSE),"")</f>
        <v/>
      </c>
      <c r="D778" s="16" t="str">
        <f>IFERROR(VLOOKUP(C778,DATA!#REF!,2,FALSE),"")</f>
        <v/>
      </c>
    </row>
    <row r="779" spans="2:4" s="230" customFormat="1">
      <c r="B779" s="15" t="str">
        <f t="shared" si="39"/>
        <v/>
      </c>
      <c r="C779" s="16" t="str">
        <f>IFERROR(VLOOKUP(DATA!#REF!,DATA!#REF!,1,FALSE),"")</f>
        <v/>
      </c>
      <c r="D779" s="16" t="str">
        <f>IFERROR(VLOOKUP(C779,DATA!#REF!,2,FALSE),"")</f>
        <v/>
      </c>
    </row>
    <row r="780" spans="2:4" s="230" customFormat="1">
      <c r="B780" s="15" t="str">
        <f t="shared" si="39"/>
        <v/>
      </c>
      <c r="C780" s="16" t="str">
        <f>IFERROR(VLOOKUP(DATA!#REF!,DATA!#REF!,1,FALSE),"")</f>
        <v/>
      </c>
      <c r="D780" s="16" t="str">
        <f>IFERROR(VLOOKUP(C780,DATA!#REF!,2,FALSE),"")</f>
        <v/>
      </c>
    </row>
    <row r="781" spans="2:4" s="230" customFormat="1">
      <c r="B781" s="15" t="str">
        <f t="shared" si="39"/>
        <v/>
      </c>
      <c r="C781" s="16" t="str">
        <f>IFERROR(VLOOKUP(DATA!#REF!,DATA!#REF!,1,FALSE),"")</f>
        <v/>
      </c>
      <c r="D781" s="16" t="str">
        <f>IFERROR(VLOOKUP(C781,DATA!#REF!,2,FALSE),"")</f>
        <v/>
      </c>
    </row>
    <row r="782" spans="2:4" s="230" customFormat="1">
      <c r="B782" s="15" t="str">
        <f t="shared" si="39"/>
        <v/>
      </c>
      <c r="C782" s="16" t="str">
        <f>IFERROR(VLOOKUP(DATA!#REF!,DATA!#REF!,1,FALSE),"")</f>
        <v/>
      </c>
      <c r="D782" s="16" t="str">
        <f>IFERROR(VLOOKUP(C782,DATA!#REF!,2,FALSE),"")</f>
        <v/>
      </c>
    </row>
    <row r="783" spans="2:4" s="230" customFormat="1">
      <c r="B783" s="15" t="str">
        <f t="shared" si="39"/>
        <v/>
      </c>
      <c r="C783" s="16" t="str">
        <f>IFERROR(VLOOKUP(DATA!#REF!,DATA!#REF!,1,FALSE),"")</f>
        <v/>
      </c>
      <c r="D783" s="16" t="str">
        <f>IFERROR(VLOOKUP(C783,DATA!#REF!,2,FALSE),"")</f>
        <v/>
      </c>
    </row>
    <row r="784" spans="2:4" s="230" customFormat="1">
      <c r="B784" s="15" t="str">
        <f t="shared" si="39"/>
        <v/>
      </c>
      <c r="C784" s="16" t="str">
        <f>IFERROR(VLOOKUP(DATA!#REF!,DATA!#REF!,1,FALSE),"")</f>
        <v/>
      </c>
      <c r="D784" s="16" t="str">
        <f>IFERROR(VLOOKUP(C784,DATA!#REF!,2,FALSE),"")</f>
        <v/>
      </c>
    </row>
    <row r="785" spans="2:4" s="230" customFormat="1">
      <c r="B785" s="15" t="str">
        <f t="shared" si="39"/>
        <v/>
      </c>
      <c r="C785" s="16" t="str">
        <f>IFERROR(VLOOKUP(DATA!#REF!,DATA!#REF!,1,FALSE),"")</f>
        <v/>
      </c>
      <c r="D785" s="16" t="str">
        <f>IFERROR(VLOOKUP(C785,DATA!#REF!,2,FALSE),"")</f>
        <v/>
      </c>
    </row>
    <row r="786" spans="2:4" s="230" customFormat="1">
      <c r="B786" s="15" t="str">
        <f t="shared" si="39"/>
        <v/>
      </c>
      <c r="C786" s="16" t="str">
        <f>IFERROR(VLOOKUP(DATA!#REF!,DATA!#REF!,1,FALSE),"")</f>
        <v/>
      </c>
      <c r="D786" s="16" t="str">
        <f>IFERROR(VLOOKUP(C786,DATA!#REF!,2,FALSE),"")</f>
        <v/>
      </c>
    </row>
    <row r="787" spans="2:4" s="230" customFormat="1">
      <c r="B787" s="15" t="str">
        <f t="shared" si="39"/>
        <v/>
      </c>
      <c r="C787" s="16" t="str">
        <f>IFERROR(VLOOKUP(DATA!#REF!,DATA!#REF!,1,FALSE),"")</f>
        <v/>
      </c>
      <c r="D787" s="16" t="str">
        <f>IFERROR(VLOOKUP(C787,DATA!#REF!,2,FALSE),"")</f>
        <v/>
      </c>
    </row>
    <row r="788" spans="2:4" s="230" customFormat="1">
      <c r="B788" s="15" t="str">
        <f t="shared" si="39"/>
        <v/>
      </c>
      <c r="C788" s="16" t="str">
        <f>IFERROR(VLOOKUP(DATA!#REF!,DATA!#REF!,1,FALSE),"")</f>
        <v/>
      </c>
      <c r="D788" s="16" t="str">
        <f>IFERROR(VLOOKUP(C788,DATA!#REF!,2,FALSE),"")</f>
        <v/>
      </c>
    </row>
    <row r="789" spans="2:4" s="230" customFormat="1">
      <c r="B789" s="15" t="str">
        <f t="shared" si="39"/>
        <v/>
      </c>
      <c r="C789" s="16" t="str">
        <f>IFERROR(VLOOKUP(DATA!#REF!,DATA!#REF!,1,FALSE),"")</f>
        <v/>
      </c>
      <c r="D789" s="16" t="str">
        <f>IFERROR(VLOOKUP(C789,DATA!#REF!,2,FALSE),"")</f>
        <v/>
      </c>
    </row>
    <row r="790" spans="2:4" s="230" customFormat="1">
      <c r="B790" s="15" t="str">
        <f t="shared" si="39"/>
        <v/>
      </c>
      <c r="C790" s="16" t="str">
        <f>IFERROR(VLOOKUP(DATA!#REF!,DATA!#REF!,1,FALSE),"")</f>
        <v/>
      </c>
      <c r="D790" s="16" t="str">
        <f>IFERROR(VLOOKUP(C790,DATA!#REF!,2,FALSE),"")</f>
        <v/>
      </c>
    </row>
    <row r="791" spans="2:4" s="230" customFormat="1">
      <c r="B791" s="15" t="str">
        <f t="shared" si="39"/>
        <v/>
      </c>
      <c r="C791" s="16" t="str">
        <f>IFERROR(VLOOKUP(DATA!#REF!,DATA!#REF!,1,FALSE),"")</f>
        <v/>
      </c>
      <c r="D791" s="16" t="str">
        <f>IFERROR(VLOOKUP(C791,DATA!#REF!,2,FALSE),"")</f>
        <v/>
      </c>
    </row>
    <row r="792" spans="2:4" s="230" customFormat="1">
      <c r="B792" s="15" t="str">
        <f t="shared" si="39"/>
        <v/>
      </c>
      <c r="C792" s="16" t="str">
        <f>IFERROR(VLOOKUP(DATA!#REF!,DATA!#REF!,1,FALSE),"")</f>
        <v/>
      </c>
      <c r="D792" s="16" t="str">
        <f>IFERROR(VLOOKUP(C792,DATA!#REF!,2,FALSE),"")</f>
        <v/>
      </c>
    </row>
    <row r="793" spans="2:4" s="230" customFormat="1">
      <c r="B793" s="15" t="str">
        <f t="shared" si="39"/>
        <v/>
      </c>
      <c r="C793" s="16" t="str">
        <f>IFERROR(VLOOKUP(DATA!#REF!,DATA!#REF!,1,FALSE),"")</f>
        <v/>
      </c>
      <c r="D793" s="16" t="str">
        <f>IFERROR(VLOOKUP(C793,DATA!#REF!,2,FALSE),"")</f>
        <v/>
      </c>
    </row>
    <row r="794" spans="2:4" s="230" customFormat="1">
      <c r="B794" s="15" t="str">
        <f t="shared" si="39"/>
        <v/>
      </c>
      <c r="C794" s="16" t="str">
        <f>IFERROR(VLOOKUP(DATA!#REF!,DATA!#REF!,1,FALSE),"")</f>
        <v/>
      </c>
      <c r="D794" s="16" t="str">
        <f>IFERROR(VLOOKUP(C794,DATA!#REF!,2,FALSE),"")</f>
        <v/>
      </c>
    </row>
    <row r="795" spans="2:4" s="230" customFormat="1">
      <c r="B795" s="15" t="str">
        <f t="shared" si="39"/>
        <v/>
      </c>
      <c r="C795" s="16" t="str">
        <f>IFERROR(VLOOKUP(DATA!#REF!,DATA!#REF!,1,FALSE),"")</f>
        <v/>
      </c>
      <c r="D795" s="16" t="str">
        <f>IFERROR(VLOOKUP(C795,DATA!#REF!,2,FALSE),"")</f>
        <v/>
      </c>
    </row>
    <row r="796" spans="2:4" s="230" customFormat="1">
      <c r="B796" s="15" t="str">
        <f t="shared" si="39"/>
        <v/>
      </c>
      <c r="C796" s="16" t="str">
        <f>IFERROR(VLOOKUP(DATA!#REF!,DATA!#REF!,1,FALSE),"")</f>
        <v/>
      </c>
      <c r="D796" s="16" t="str">
        <f>IFERROR(VLOOKUP(C796,DATA!#REF!,2,FALSE),"")</f>
        <v/>
      </c>
    </row>
    <row r="797" spans="2:4" s="230" customFormat="1">
      <c r="B797" s="15" t="str">
        <f t="shared" si="39"/>
        <v/>
      </c>
      <c r="C797" s="16" t="str">
        <f>IFERROR(VLOOKUP(DATA!#REF!,DATA!#REF!,1,FALSE),"")</f>
        <v/>
      </c>
      <c r="D797" s="16" t="str">
        <f>IFERROR(VLOOKUP(C797,DATA!#REF!,2,FALSE),"")</f>
        <v/>
      </c>
    </row>
    <row r="798" spans="2:4" s="230" customFormat="1">
      <c r="B798" s="15" t="str">
        <f t="shared" si="39"/>
        <v/>
      </c>
      <c r="C798" s="16" t="str">
        <f>IFERROR(VLOOKUP(DATA!#REF!,DATA!#REF!,1,FALSE),"")</f>
        <v/>
      </c>
      <c r="D798" s="16" t="str">
        <f>IFERROR(VLOOKUP(C798,DATA!#REF!,2,FALSE),"")</f>
        <v/>
      </c>
    </row>
    <row r="799" spans="2:4" s="230" customFormat="1">
      <c r="B799" s="15" t="str">
        <f t="shared" si="39"/>
        <v/>
      </c>
      <c r="C799" s="16" t="str">
        <f>IFERROR(VLOOKUP(DATA!#REF!,DATA!#REF!,1,FALSE),"")</f>
        <v/>
      </c>
      <c r="D799" s="16" t="str">
        <f>IFERROR(VLOOKUP(C799,DATA!#REF!,2,FALSE),"")</f>
        <v/>
      </c>
    </row>
    <row r="800" spans="2:4" s="230" customFormat="1">
      <c r="B800" s="15" t="str">
        <f t="shared" si="39"/>
        <v/>
      </c>
      <c r="C800" s="16" t="str">
        <f>IFERROR(VLOOKUP(DATA!#REF!,DATA!#REF!,1,FALSE),"")</f>
        <v/>
      </c>
      <c r="D800" s="16" t="str">
        <f>IFERROR(VLOOKUP(C800,DATA!#REF!,2,FALSE),"")</f>
        <v/>
      </c>
    </row>
    <row r="801" spans="2:4" s="230" customFormat="1">
      <c r="B801" s="15" t="str">
        <f t="shared" si="39"/>
        <v/>
      </c>
      <c r="C801" s="16" t="str">
        <f>IFERROR(VLOOKUP(DATA!#REF!,DATA!#REF!,1,FALSE),"")</f>
        <v/>
      </c>
      <c r="D801" s="16" t="str">
        <f>IFERROR(VLOOKUP(C801,DATA!#REF!,2,FALSE),"")</f>
        <v/>
      </c>
    </row>
    <row r="802" spans="2:4" s="230" customFormat="1">
      <c r="B802" s="15" t="str">
        <f t="shared" si="39"/>
        <v/>
      </c>
      <c r="C802" s="16" t="str">
        <f>IFERROR(VLOOKUP(DATA!#REF!,DATA!#REF!,1,FALSE),"")</f>
        <v/>
      </c>
      <c r="D802" s="16" t="str">
        <f>IFERROR(VLOOKUP(C802,DATA!#REF!,2,FALSE),"")</f>
        <v/>
      </c>
    </row>
    <row r="803" spans="2:4" s="230" customFormat="1">
      <c r="B803" s="15" t="str">
        <f t="shared" si="39"/>
        <v/>
      </c>
      <c r="C803" s="16" t="str">
        <f>IFERROR(VLOOKUP(DATA!#REF!,DATA!#REF!,1,FALSE),"")</f>
        <v/>
      </c>
      <c r="D803" s="16" t="str">
        <f>IFERROR(VLOOKUP(C803,DATA!#REF!,2,FALSE),"")</f>
        <v/>
      </c>
    </row>
    <row r="804" spans="2:4" s="230" customFormat="1">
      <c r="B804" s="15" t="str">
        <f t="shared" si="39"/>
        <v/>
      </c>
      <c r="C804" s="16" t="str">
        <f>IFERROR(VLOOKUP(DATA!#REF!,DATA!#REF!,1,FALSE),"")</f>
        <v/>
      </c>
      <c r="D804" s="16" t="str">
        <f>IFERROR(VLOOKUP(C804,DATA!#REF!,2,FALSE),"")</f>
        <v/>
      </c>
    </row>
    <row r="805" spans="2:4" s="230" customFormat="1">
      <c r="B805" s="15" t="str">
        <f t="shared" si="39"/>
        <v/>
      </c>
      <c r="C805" s="16" t="str">
        <f>IFERROR(VLOOKUP(DATA!#REF!,DATA!#REF!,1,FALSE),"")</f>
        <v/>
      </c>
      <c r="D805" s="16" t="str">
        <f>IFERROR(VLOOKUP(C805,DATA!#REF!,2,FALSE),"")</f>
        <v/>
      </c>
    </row>
    <row r="806" spans="2:4" s="230" customFormat="1">
      <c r="B806" s="15" t="str">
        <f t="shared" si="39"/>
        <v/>
      </c>
      <c r="C806" s="16" t="str">
        <f>IFERROR(VLOOKUP(DATA!#REF!,DATA!#REF!,1,FALSE),"")</f>
        <v/>
      </c>
      <c r="D806" s="16" t="str">
        <f>IFERROR(VLOOKUP(C806,DATA!#REF!,2,FALSE),"")</f>
        <v/>
      </c>
    </row>
    <row r="807" spans="2:4" s="230" customFormat="1">
      <c r="B807" s="15" t="str">
        <f t="shared" si="39"/>
        <v/>
      </c>
      <c r="C807" s="16" t="str">
        <f>IFERROR(VLOOKUP(DATA!#REF!,DATA!#REF!,1,FALSE),"")</f>
        <v/>
      </c>
      <c r="D807" s="16" t="str">
        <f>IFERROR(VLOOKUP(C807,DATA!#REF!,2,FALSE),"")</f>
        <v/>
      </c>
    </row>
    <row r="808" spans="2:4" s="230" customFormat="1">
      <c r="B808" s="15" t="str">
        <f t="shared" si="39"/>
        <v/>
      </c>
      <c r="C808" s="16" t="str">
        <f>IFERROR(VLOOKUP(DATA!#REF!,DATA!#REF!,1,FALSE),"")</f>
        <v/>
      </c>
      <c r="D808" s="16" t="str">
        <f>IFERROR(VLOOKUP(C808,DATA!#REF!,2,FALSE),"")</f>
        <v/>
      </c>
    </row>
    <row r="809" spans="2:4" s="230" customFormat="1">
      <c r="B809" s="15" t="str">
        <f t="shared" si="39"/>
        <v/>
      </c>
      <c r="C809" s="16" t="str">
        <f>IFERROR(VLOOKUP(DATA!#REF!,DATA!#REF!,1,FALSE),"")</f>
        <v/>
      </c>
      <c r="D809" s="16" t="str">
        <f>IFERROR(VLOOKUP(C809,DATA!#REF!,2,FALSE),"")</f>
        <v/>
      </c>
    </row>
    <row r="810" spans="2:4" s="230" customFormat="1">
      <c r="B810" s="15" t="str">
        <f t="shared" si="39"/>
        <v/>
      </c>
      <c r="C810" s="16" t="str">
        <f>IFERROR(VLOOKUP(DATA!#REF!,DATA!#REF!,1,FALSE),"")</f>
        <v/>
      </c>
      <c r="D810" s="16" t="str">
        <f>IFERROR(VLOOKUP(C810,DATA!#REF!,2,FALSE),"")</f>
        <v/>
      </c>
    </row>
    <row r="811" spans="2:4" s="230" customFormat="1">
      <c r="B811" s="15" t="str">
        <f t="shared" si="39"/>
        <v/>
      </c>
      <c r="C811" s="16" t="str">
        <f>IFERROR(VLOOKUP(DATA!#REF!,DATA!#REF!,1,FALSE),"")</f>
        <v/>
      </c>
      <c r="D811" s="16" t="str">
        <f>IFERROR(VLOOKUP(C811,DATA!#REF!,2,FALSE),"")</f>
        <v/>
      </c>
    </row>
    <row r="812" spans="2:4" s="230" customFormat="1">
      <c r="B812" s="15" t="str">
        <f t="shared" si="39"/>
        <v/>
      </c>
      <c r="C812" s="16" t="str">
        <f>IFERROR(VLOOKUP(DATA!#REF!,DATA!#REF!,1,FALSE),"")</f>
        <v/>
      </c>
      <c r="D812" s="16" t="str">
        <f>IFERROR(VLOOKUP(C812,DATA!#REF!,2,FALSE),"")</f>
        <v/>
      </c>
    </row>
    <row r="813" spans="2:4" s="230" customFormat="1">
      <c r="B813" s="15" t="str">
        <f t="shared" si="39"/>
        <v/>
      </c>
      <c r="C813" s="16" t="str">
        <f>IFERROR(VLOOKUP(DATA!#REF!,DATA!#REF!,1,FALSE),"")</f>
        <v/>
      </c>
      <c r="D813" s="16" t="str">
        <f>IFERROR(VLOOKUP(C813,DATA!#REF!,2,FALSE),"")</f>
        <v/>
      </c>
    </row>
    <row r="814" spans="2:4" s="230" customFormat="1">
      <c r="B814" s="15" t="str">
        <f t="shared" si="39"/>
        <v/>
      </c>
      <c r="C814" s="16" t="str">
        <f>IFERROR(VLOOKUP(DATA!#REF!,DATA!#REF!,1,FALSE),"")</f>
        <v/>
      </c>
      <c r="D814" s="16" t="str">
        <f>IFERROR(VLOOKUP(C814,DATA!#REF!,2,FALSE),"")</f>
        <v/>
      </c>
    </row>
    <row r="815" spans="2:4" s="230" customFormat="1">
      <c r="B815" s="15" t="str">
        <f t="shared" si="39"/>
        <v/>
      </c>
      <c r="C815" s="16" t="str">
        <f>IFERROR(VLOOKUP(DATA!#REF!,DATA!#REF!,1,FALSE),"")</f>
        <v/>
      </c>
      <c r="D815" s="16" t="str">
        <f>IFERROR(VLOOKUP(C815,DATA!#REF!,2,FALSE),"")</f>
        <v/>
      </c>
    </row>
    <row r="816" spans="2:4" s="230" customFormat="1">
      <c r="B816" s="15" t="str">
        <f t="shared" si="39"/>
        <v/>
      </c>
      <c r="C816" s="16" t="str">
        <f>IFERROR(VLOOKUP(DATA!#REF!,DATA!#REF!,1,FALSE),"")</f>
        <v/>
      </c>
      <c r="D816" s="16" t="str">
        <f>IFERROR(VLOOKUP(C816,DATA!#REF!,2,FALSE),"")</f>
        <v/>
      </c>
    </row>
    <row r="817" spans="2:4" s="230" customFormat="1">
      <c r="B817" s="15" t="str">
        <f t="shared" si="39"/>
        <v/>
      </c>
      <c r="C817" s="16" t="str">
        <f>IFERROR(VLOOKUP(DATA!#REF!,DATA!#REF!,1,FALSE),"")</f>
        <v/>
      </c>
      <c r="D817" s="16" t="str">
        <f>IFERROR(VLOOKUP(C817,DATA!#REF!,2,FALSE),"")</f>
        <v/>
      </c>
    </row>
    <row r="818" spans="2:4" s="230" customFormat="1">
      <c r="B818" s="15" t="str">
        <f t="shared" si="39"/>
        <v/>
      </c>
      <c r="C818" s="16" t="str">
        <f>IFERROR(VLOOKUP(DATA!#REF!,DATA!#REF!,1,FALSE),"")</f>
        <v/>
      </c>
      <c r="D818" s="16" t="str">
        <f>IFERROR(VLOOKUP(C818,DATA!#REF!,2,FALSE),"")</f>
        <v/>
      </c>
    </row>
    <row r="819" spans="2:4" s="230" customFormat="1">
      <c r="B819" s="15" t="str">
        <f t="shared" si="39"/>
        <v/>
      </c>
      <c r="C819" s="16" t="str">
        <f>IFERROR(VLOOKUP(DATA!#REF!,DATA!#REF!,1,FALSE),"")</f>
        <v/>
      </c>
      <c r="D819" s="16" t="str">
        <f>IFERROR(VLOOKUP(C819,DATA!#REF!,2,FALSE),"")</f>
        <v/>
      </c>
    </row>
    <row r="820" spans="2:4" s="230" customFormat="1">
      <c r="B820" s="15" t="str">
        <f t="shared" si="39"/>
        <v/>
      </c>
      <c r="C820" s="16" t="str">
        <f>IFERROR(VLOOKUP(DATA!#REF!,DATA!#REF!,1,FALSE),"")</f>
        <v/>
      </c>
      <c r="D820" s="16" t="str">
        <f>IFERROR(VLOOKUP(C820,DATA!#REF!,2,FALSE),"")</f>
        <v/>
      </c>
    </row>
    <row r="821" spans="2:4" s="230" customFormat="1">
      <c r="B821" s="15" t="str">
        <f t="shared" si="39"/>
        <v/>
      </c>
      <c r="C821" s="16" t="str">
        <f>IFERROR(VLOOKUP(DATA!#REF!,DATA!#REF!,1,FALSE),"")</f>
        <v/>
      </c>
      <c r="D821" s="16" t="str">
        <f>IFERROR(VLOOKUP(C821,DATA!#REF!,2,FALSE),"")</f>
        <v/>
      </c>
    </row>
    <row r="822" spans="2:4" s="230" customFormat="1">
      <c r="B822" s="15" t="str">
        <f t="shared" si="39"/>
        <v/>
      </c>
      <c r="C822" s="16" t="str">
        <f>IFERROR(VLOOKUP(DATA!#REF!,DATA!#REF!,1,FALSE),"")</f>
        <v/>
      </c>
      <c r="D822" s="16" t="str">
        <f>IFERROR(VLOOKUP(C822,DATA!#REF!,2,FALSE),"")</f>
        <v/>
      </c>
    </row>
    <row r="823" spans="2:4" s="230" customFormat="1">
      <c r="B823" s="15" t="str">
        <f t="shared" si="39"/>
        <v/>
      </c>
      <c r="C823" s="16" t="str">
        <f>IFERROR(VLOOKUP(DATA!#REF!,DATA!#REF!,1,FALSE),"")</f>
        <v/>
      </c>
      <c r="D823" s="16" t="str">
        <f>IFERROR(VLOOKUP(C823,DATA!#REF!,2,FALSE),"")</f>
        <v/>
      </c>
    </row>
    <row r="824" spans="2:4" s="230" customFormat="1">
      <c r="B824" s="15" t="str">
        <f t="shared" si="39"/>
        <v/>
      </c>
      <c r="C824" s="16" t="str">
        <f>IFERROR(VLOOKUP(DATA!#REF!,DATA!#REF!,1,FALSE),"")</f>
        <v/>
      </c>
      <c r="D824" s="16" t="str">
        <f>IFERROR(VLOOKUP(C824,DATA!#REF!,2,FALSE),"")</f>
        <v/>
      </c>
    </row>
    <row r="825" spans="2:4" s="230" customFormat="1">
      <c r="B825" s="15" t="str">
        <f t="shared" si="39"/>
        <v/>
      </c>
      <c r="C825" s="16" t="str">
        <f>IFERROR(VLOOKUP(DATA!#REF!,DATA!#REF!,1,FALSE),"")</f>
        <v/>
      </c>
      <c r="D825" s="16" t="str">
        <f>IFERROR(VLOOKUP(C825,DATA!#REF!,2,FALSE),"")</f>
        <v/>
      </c>
    </row>
    <row r="826" spans="2:4" s="230" customFormat="1">
      <c r="B826" s="15" t="str">
        <f t="shared" si="39"/>
        <v/>
      </c>
      <c r="C826" s="16" t="str">
        <f>IFERROR(VLOOKUP(DATA!#REF!,DATA!#REF!,1,FALSE),"")</f>
        <v/>
      </c>
      <c r="D826" s="16" t="str">
        <f>IFERROR(VLOOKUP(C826,DATA!#REF!,2,FALSE),"")</f>
        <v/>
      </c>
    </row>
    <row r="827" spans="2:4" s="230" customFormat="1">
      <c r="B827" s="15" t="str">
        <f t="shared" si="39"/>
        <v/>
      </c>
      <c r="C827" s="16" t="str">
        <f>IFERROR(VLOOKUP(DATA!#REF!,DATA!#REF!,1,FALSE),"")</f>
        <v/>
      </c>
      <c r="D827" s="16" t="str">
        <f>IFERROR(VLOOKUP(C827,DATA!#REF!,2,FALSE),"")</f>
        <v/>
      </c>
    </row>
    <row r="828" spans="2:4" s="230" customFormat="1">
      <c r="B828" s="15" t="str">
        <f t="shared" si="39"/>
        <v/>
      </c>
      <c r="C828" s="16" t="str">
        <f>IFERROR(VLOOKUP(DATA!#REF!,DATA!#REF!,1,FALSE),"")</f>
        <v/>
      </c>
      <c r="D828" s="16" t="str">
        <f>IFERROR(VLOOKUP(C828,DATA!#REF!,2,FALSE),"")</f>
        <v/>
      </c>
    </row>
    <row r="829" spans="2:4" s="230" customFormat="1">
      <c r="B829" s="15" t="str">
        <f t="shared" si="39"/>
        <v/>
      </c>
      <c r="C829" s="16" t="str">
        <f>IFERROR(VLOOKUP(DATA!#REF!,DATA!#REF!,1,FALSE),"")</f>
        <v/>
      </c>
      <c r="D829" s="16" t="str">
        <f>IFERROR(VLOOKUP(C829,DATA!#REF!,2,FALSE),"")</f>
        <v/>
      </c>
    </row>
    <row r="830" spans="2:4" s="230" customFormat="1">
      <c r="B830" s="15" t="str">
        <f t="shared" si="39"/>
        <v/>
      </c>
      <c r="C830" s="16" t="str">
        <f>IFERROR(VLOOKUP(DATA!#REF!,DATA!#REF!,1,FALSE),"")</f>
        <v/>
      </c>
      <c r="D830" s="16" t="str">
        <f>IFERROR(VLOOKUP(C830,DATA!#REF!,2,FALSE),"")</f>
        <v/>
      </c>
    </row>
    <row r="831" spans="2:4" s="230" customFormat="1">
      <c r="B831" s="15" t="str">
        <f t="shared" si="39"/>
        <v/>
      </c>
      <c r="C831" s="16" t="str">
        <f>IFERROR(VLOOKUP(DATA!#REF!,DATA!#REF!,1,FALSE),"")</f>
        <v/>
      </c>
      <c r="D831" s="16" t="str">
        <f>IFERROR(VLOOKUP(C831,DATA!#REF!,2,FALSE),"")</f>
        <v/>
      </c>
    </row>
    <row r="832" spans="2:4" s="230" customFormat="1">
      <c r="B832" s="15" t="str">
        <f t="shared" si="39"/>
        <v/>
      </c>
      <c r="C832" s="16" t="str">
        <f>IFERROR(VLOOKUP(DATA!#REF!,DATA!#REF!,1,FALSE),"")</f>
        <v/>
      </c>
      <c r="D832" s="16" t="str">
        <f>IFERROR(VLOOKUP(C832,DATA!#REF!,2,FALSE),"")</f>
        <v/>
      </c>
    </row>
    <row r="833" spans="2:4" s="230" customFormat="1">
      <c r="B833" s="15" t="str">
        <f t="shared" si="39"/>
        <v/>
      </c>
      <c r="C833" s="16" t="str">
        <f>IFERROR(VLOOKUP(DATA!#REF!,DATA!#REF!,1,FALSE),"")</f>
        <v/>
      </c>
      <c r="D833" s="16" t="str">
        <f>IFERROR(VLOOKUP(C833,DATA!#REF!,2,FALSE),"")</f>
        <v/>
      </c>
    </row>
    <row r="834" spans="2:4" s="230" customFormat="1">
      <c r="B834" s="15" t="str">
        <f t="shared" si="39"/>
        <v/>
      </c>
      <c r="C834" s="16" t="str">
        <f>IFERROR(VLOOKUP(DATA!#REF!,DATA!#REF!,1,FALSE),"")</f>
        <v/>
      </c>
      <c r="D834" s="16" t="str">
        <f>IFERROR(VLOOKUP(C834,DATA!#REF!,2,FALSE),"")</f>
        <v/>
      </c>
    </row>
    <row r="835" spans="2:4" s="230" customFormat="1">
      <c r="B835" s="15" t="str">
        <f t="shared" si="39"/>
        <v/>
      </c>
      <c r="C835" s="16" t="str">
        <f>IFERROR(VLOOKUP(DATA!#REF!,DATA!#REF!,1,FALSE),"")</f>
        <v/>
      </c>
      <c r="D835" s="16" t="str">
        <f>IFERROR(VLOOKUP(C835,DATA!#REF!,2,FALSE),"")</f>
        <v/>
      </c>
    </row>
    <row r="836" spans="2:4" s="230" customFormat="1">
      <c r="B836" s="15" t="str">
        <f t="shared" si="39"/>
        <v/>
      </c>
      <c r="C836" s="16" t="str">
        <f>IFERROR(VLOOKUP(DATA!#REF!,DATA!#REF!,1,FALSE),"")</f>
        <v/>
      </c>
      <c r="D836" s="16" t="str">
        <f>IFERROR(VLOOKUP(C836,DATA!#REF!,2,FALSE),"")</f>
        <v/>
      </c>
    </row>
    <row r="837" spans="2:4" s="230" customFormat="1">
      <c r="B837" s="15" t="str">
        <f t="shared" si="39"/>
        <v/>
      </c>
      <c r="C837" s="16" t="str">
        <f>IFERROR(VLOOKUP(DATA!#REF!,DATA!#REF!,1,FALSE),"")</f>
        <v/>
      </c>
      <c r="D837" s="16" t="str">
        <f>IFERROR(VLOOKUP(C837,DATA!#REF!,2,FALSE),"")</f>
        <v/>
      </c>
    </row>
    <row r="838" spans="2:4" s="230" customFormat="1">
      <c r="B838" s="15" t="str">
        <f t="shared" ref="B838:B901" si="40">+IF(C838="","",ROW()-5)</f>
        <v/>
      </c>
      <c r="C838" s="16" t="str">
        <f>IFERROR(VLOOKUP(DATA!#REF!,DATA!#REF!,1,FALSE),"")</f>
        <v/>
      </c>
      <c r="D838" s="16" t="str">
        <f>IFERROR(VLOOKUP(C838,DATA!#REF!,2,FALSE),"")</f>
        <v/>
      </c>
    </row>
    <row r="839" spans="2:4" s="230" customFormat="1">
      <c r="B839" s="15" t="str">
        <f t="shared" si="40"/>
        <v/>
      </c>
      <c r="C839" s="16" t="str">
        <f>IFERROR(VLOOKUP(DATA!#REF!,DATA!#REF!,1,FALSE),"")</f>
        <v/>
      </c>
      <c r="D839" s="16" t="str">
        <f>IFERROR(VLOOKUP(C839,DATA!#REF!,2,FALSE),"")</f>
        <v/>
      </c>
    </row>
    <row r="840" spans="2:4" s="230" customFormat="1">
      <c r="B840" s="15" t="str">
        <f t="shared" si="40"/>
        <v/>
      </c>
      <c r="C840" s="16" t="str">
        <f>IFERROR(VLOOKUP(DATA!#REF!,DATA!#REF!,1,FALSE),"")</f>
        <v/>
      </c>
      <c r="D840" s="16" t="str">
        <f>IFERROR(VLOOKUP(C840,DATA!#REF!,2,FALSE),"")</f>
        <v/>
      </c>
    </row>
    <row r="841" spans="2:4" s="230" customFormat="1">
      <c r="B841" s="15" t="str">
        <f t="shared" si="40"/>
        <v/>
      </c>
      <c r="C841" s="16" t="str">
        <f>IFERROR(VLOOKUP(DATA!#REF!,DATA!#REF!,1,FALSE),"")</f>
        <v/>
      </c>
      <c r="D841" s="16" t="str">
        <f>IFERROR(VLOOKUP(C841,DATA!#REF!,2,FALSE),"")</f>
        <v/>
      </c>
    </row>
    <row r="842" spans="2:4" s="230" customFormat="1">
      <c r="B842" s="15" t="str">
        <f t="shared" si="40"/>
        <v/>
      </c>
      <c r="C842" s="16" t="str">
        <f>IFERROR(VLOOKUP(DATA!#REF!,DATA!#REF!,1,FALSE),"")</f>
        <v/>
      </c>
      <c r="D842" s="16" t="str">
        <f>IFERROR(VLOOKUP(C842,DATA!#REF!,2,FALSE),"")</f>
        <v/>
      </c>
    </row>
    <row r="843" spans="2:4" s="230" customFormat="1">
      <c r="B843" s="15" t="str">
        <f t="shared" si="40"/>
        <v/>
      </c>
      <c r="C843" s="16" t="str">
        <f>IFERROR(VLOOKUP(DATA!#REF!,DATA!#REF!,1,FALSE),"")</f>
        <v/>
      </c>
      <c r="D843" s="16" t="str">
        <f>IFERROR(VLOOKUP(C843,DATA!#REF!,2,FALSE),"")</f>
        <v/>
      </c>
    </row>
    <row r="844" spans="2:4" s="230" customFormat="1">
      <c r="B844" s="15" t="str">
        <f t="shared" si="40"/>
        <v/>
      </c>
      <c r="C844" s="16" t="str">
        <f>IFERROR(VLOOKUP(DATA!#REF!,DATA!#REF!,1,FALSE),"")</f>
        <v/>
      </c>
      <c r="D844" s="16" t="str">
        <f>IFERROR(VLOOKUP(C844,DATA!#REF!,2,FALSE),"")</f>
        <v/>
      </c>
    </row>
    <row r="845" spans="2:4" s="230" customFormat="1">
      <c r="B845" s="15" t="str">
        <f t="shared" si="40"/>
        <v/>
      </c>
      <c r="C845" s="16" t="str">
        <f>IFERROR(VLOOKUP(DATA!#REF!,DATA!#REF!,1,FALSE),"")</f>
        <v/>
      </c>
      <c r="D845" s="16" t="str">
        <f>IFERROR(VLOOKUP(C845,DATA!#REF!,2,FALSE),"")</f>
        <v/>
      </c>
    </row>
    <row r="846" spans="2:4" s="230" customFormat="1">
      <c r="B846" s="15" t="str">
        <f t="shared" si="40"/>
        <v/>
      </c>
      <c r="C846" s="16" t="str">
        <f>IFERROR(VLOOKUP(DATA!#REF!,DATA!#REF!,1,FALSE),"")</f>
        <v/>
      </c>
      <c r="D846" s="16" t="str">
        <f>IFERROR(VLOOKUP(C846,DATA!#REF!,2,FALSE),"")</f>
        <v/>
      </c>
    </row>
    <row r="847" spans="2:4" s="230" customFormat="1">
      <c r="B847" s="15" t="str">
        <f t="shared" si="40"/>
        <v/>
      </c>
      <c r="C847" s="16" t="str">
        <f>IFERROR(VLOOKUP(DATA!#REF!,DATA!#REF!,1,FALSE),"")</f>
        <v/>
      </c>
      <c r="D847" s="16" t="str">
        <f>IFERROR(VLOOKUP(C847,DATA!#REF!,2,FALSE),"")</f>
        <v/>
      </c>
    </row>
    <row r="848" spans="2:4" s="230" customFormat="1">
      <c r="B848" s="15" t="str">
        <f t="shared" si="40"/>
        <v/>
      </c>
      <c r="C848" s="16" t="str">
        <f>IFERROR(VLOOKUP(DATA!#REF!,DATA!#REF!,1,FALSE),"")</f>
        <v/>
      </c>
      <c r="D848" s="16" t="str">
        <f>IFERROR(VLOOKUP(C848,DATA!#REF!,2,FALSE),"")</f>
        <v/>
      </c>
    </row>
    <row r="849" spans="2:4" s="230" customFormat="1">
      <c r="B849" s="15" t="str">
        <f t="shared" si="40"/>
        <v/>
      </c>
      <c r="C849" s="16" t="str">
        <f>IFERROR(VLOOKUP(DATA!#REF!,DATA!#REF!,1,FALSE),"")</f>
        <v/>
      </c>
      <c r="D849" s="16" t="str">
        <f>IFERROR(VLOOKUP(C849,DATA!#REF!,2,FALSE),"")</f>
        <v/>
      </c>
    </row>
    <row r="850" spans="2:4" s="230" customFormat="1">
      <c r="B850" s="15" t="str">
        <f t="shared" si="40"/>
        <v/>
      </c>
      <c r="C850" s="16" t="str">
        <f>IFERROR(VLOOKUP(DATA!#REF!,DATA!#REF!,1,FALSE),"")</f>
        <v/>
      </c>
      <c r="D850" s="16" t="str">
        <f>IFERROR(VLOOKUP(C850,DATA!#REF!,2,FALSE),"")</f>
        <v/>
      </c>
    </row>
    <row r="851" spans="2:4" s="230" customFormat="1">
      <c r="B851" s="15" t="str">
        <f t="shared" si="40"/>
        <v/>
      </c>
      <c r="C851" s="16" t="str">
        <f>IFERROR(VLOOKUP(DATA!#REF!,DATA!#REF!,1,FALSE),"")</f>
        <v/>
      </c>
      <c r="D851" s="16" t="str">
        <f>IFERROR(VLOOKUP(C851,DATA!#REF!,2,FALSE),"")</f>
        <v/>
      </c>
    </row>
    <row r="852" spans="2:4" s="230" customFormat="1">
      <c r="B852" s="15" t="str">
        <f t="shared" si="40"/>
        <v/>
      </c>
      <c r="C852" s="16" t="str">
        <f>IFERROR(VLOOKUP(DATA!#REF!,DATA!#REF!,1,FALSE),"")</f>
        <v/>
      </c>
      <c r="D852" s="16" t="str">
        <f>IFERROR(VLOOKUP(C852,DATA!#REF!,2,FALSE),"")</f>
        <v/>
      </c>
    </row>
    <row r="853" spans="2:4" s="230" customFormat="1">
      <c r="B853" s="15" t="str">
        <f t="shared" si="40"/>
        <v/>
      </c>
      <c r="C853" s="16" t="str">
        <f>IFERROR(VLOOKUP(DATA!#REF!,DATA!#REF!,1,FALSE),"")</f>
        <v/>
      </c>
      <c r="D853" s="16" t="str">
        <f>IFERROR(VLOOKUP(C853,DATA!#REF!,2,FALSE),"")</f>
        <v/>
      </c>
    </row>
    <row r="854" spans="2:4" s="230" customFormat="1">
      <c r="B854" s="15" t="str">
        <f t="shared" si="40"/>
        <v/>
      </c>
      <c r="C854" s="16" t="str">
        <f>IFERROR(VLOOKUP(DATA!#REF!,DATA!#REF!,1,FALSE),"")</f>
        <v/>
      </c>
      <c r="D854" s="16" t="str">
        <f>IFERROR(VLOOKUP(C854,DATA!#REF!,2,FALSE),"")</f>
        <v/>
      </c>
    </row>
    <row r="855" spans="2:4" s="230" customFormat="1">
      <c r="B855" s="15" t="str">
        <f t="shared" si="40"/>
        <v/>
      </c>
      <c r="C855" s="16" t="str">
        <f>IFERROR(VLOOKUP(DATA!#REF!,DATA!#REF!,1,FALSE),"")</f>
        <v/>
      </c>
      <c r="D855" s="16" t="str">
        <f>IFERROR(VLOOKUP(C855,DATA!#REF!,2,FALSE),"")</f>
        <v/>
      </c>
    </row>
    <row r="856" spans="2:4" s="230" customFormat="1">
      <c r="B856" s="15" t="str">
        <f t="shared" si="40"/>
        <v/>
      </c>
      <c r="C856" s="16" t="str">
        <f>IFERROR(VLOOKUP(DATA!#REF!,DATA!#REF!,1,FALSE),"")</f>
        <v/>
      </c>
      <c r="D856" s="16" t="str">
        <f>IFERROR(VLOOKUP(C856,DATA!#REF!,2,FALSE),"")</f>
        <v/>
      </c>
    </row>
    <row r="857" spans="2:4" s="230" customFormat="1">
      <c r="B857" s="15" t="str">
        <f t="shared" si="40"/>
        <v/>
      </c>
      <c r="C857" s="16" t="str">
        <f>IFERROR(VLOOKUP(DATA!#REF!,DATA!#REF!,1,FALSE),"")</f>
        <v/>
      </c>
      <c r="D857" s="16" t="str">
        <f>IFERROR(VLOOKUP(C857,DATA!#REF!,2,FALSE),"")</f>
        <v/>
      </c>
    </row>
    <row r="858" spans="2:4" s="230" customFormat="1">
      <c r="B858" s="15" t="str">
        <f t="shared" si="40"/>
        <v/>
      </c>
      <c r="C858" s="16" t="str">
        <f>IFERROR(VLOOKUP(DATA!#REF!,DATA!#REF!,1,FALSE),"")</f>
        <v/>
      </c>
      <c r="D858" s="16" t="str">
        <f>IFERROR(VLOOKUP(C858,DATA!#REF!,2,FALSE),"")</f>
        <v/>
      </c>
    </row>
    <row r="859" spans="2:4" s="230" customFormat="1">
      <c r="B859" s="15" t="str">
        <f t="shared" si="40"/>
        <v/>
      </c>
      <c r="C859" s="16" t="str">
        <f>IFERROR(VLOOKUP(DATA!#REF!,DATA!#REF!,1,FALSE),"")</f>
        <v/>
      </c>
      <c r="D859" s="16" t="str">
        <f>IFERROR(VLOOKUP(C859,DATA!#REF!,2,FALSE),"")</f>
        <v/>
      </c>
    </row>
    <row r="860" spans="2:4" s="230" customFormat="1">
      <c r="B860" s="15" t="str">
        <f t="shared" si="40"/>
        <v/>
      </c>
      <c r="C860" s="16" t="str">
        <f>IFERROR(VLOOKUP(DATA!#REF!,DATA!#REF!,1,FALSE),"")</f>
        <v/>
      </c>
      <c r="D860" s="16" t="str">
        <f>IFERROR(VLOOKUP(C860,DATA!#REF!,2,FALSE),"")</f>
        <v/>
      </c>
    </row>
    <row r="861" spans="2:4" s="230" customFormat="1">
      <c r="B861" s="15" t="str">
        <f t="shared" si="40"/>
        <v/>
      </c>
      <c r="C861" s="16" t="str">
        <f>IFERROR(VLOOKUP(DATA!#REF!,DATA!#REF!,1,FALSE),"")</f>
        <v/>
      </c>
      <c r="D861" s="16" t="str">
        <f>IFERROR(VLOOKUP(C861,DATA!#REF!,2,FALSE),"")</f>
        <v/>
      </c>
    </row>
    <row r="862" spans="2:4" s="230" customFormat="1">
      <c r="B862" s="15" t="str">
        <f t="shared" si="40"/>
        <v/>
      </c>
      <c r="C862" s="16" t="str">
        <f>IFERROR(VLOOKUP(DATA!#REF!,DATA!#REF!,1,FALSE),"")</f>
        <v/>
      </c>
      <c r="D862" s="16" t="str">
        <f>IFERROR(VLOOKUP(C862,DATA!#REF!,2,FALSE),"")</f>
        <v/>
      </c>
    </row>
    <row r="863" spans="2:4" s="230" customFormat="1">
      <c r="B863" s="15" t="str">
        <f t="shared" si="40"/>
        <v/>
      </c>
      <c r="C863" s="16" t="str">
        <f>IFERROR(VLOOKUP(DATA!#REF!,DATA!#REF!,1,FALSE),"")</f>
        <v/>
      </c>
      <c r="D863" s="16" t="str">
        <f>IFERROR(VLOOKUP(C863,DATA!#REF!,2,FALSE),"")</f>
        <v/>
      </c>
    </row>
    <row r="864" spans="2:4" s="230" customFormat="1">
      <c r="B864" s="15" t="str">
        <f t="shared" si="40"/>
        <v/>
      </c>
      <c r="C864" s="16" t="str">
        <f>IFERROR(VLOOKUP(DATA!#REF!,DATA!#REF!,1,FALSE),"")</f>
        <v/>
      </c>
      <c r="D864" s="16" t="str">
        <f>IFERROR(VLOOKUP(C864,DATA!#REF!,2,FALSE),"")</f>
        <v/>
      </c>
    </row>
    <row r="865" spans="2:4" s="230" customFormat="1">
      <c r="B865" s="15" t="str">
        <f t="shared" si="40"/>
        <v/>
      </c>
      <c r="C865" s="16" t="str">
        <f>IFERROR(VLOOKUP(DATA!#REF!,DATA!#REF!,1,FALSE),"")</f>
        <v/>
      </c>
      <c r="D865" s="16" t="str">
        <f>IFERROR(VLOOKUP(C865,DATA!#REF!,2,FALSE),"")</f>
        <v/>
      </c>
    </row>
    <row r="866" spans="2:4" s="230" customFormat="1">
      <c r="B866" s="15" t="str">
        <f t="shared" si="40"/>
        <v/>
      </c>
      <c r="C866" s="16" t="str">
        <f>IFERROR(VLOOKUP(DATA!#REF!,DATA!#REF!,1,FALSE),"")</f>
        <v/>
      </c>
      <c r="D866" s="16" t="str">
        <f>IFERROR(VLOOKUP(C866,DATA!#REF!,2,FALSE),"")</f>
        <v/>
      </c>
    </row>
    <row r="867" spans="2:4" s="230" customFormat="1">
      <c r="B867" s="15" t="str">
        <f t="shared" si="40"/>
        <v/>
      </c>
      <c r="C867" s="16" t="str">
        <f>IFERROR(VLOOKUP(DATA!#REF!,DATA!#REF!,1,FALSE),"")</f>
        <v/>
      </c>
      <c r="D867" s="16" t="str">
        <f>IFERROR(VLOOKUP(C867,DATA!#REF!,2,FALSE),"")</f>
        <v/>
      </c>
    </row>
    <row r="868" spans="2:4" s="230" customFormat="1">
      <c r="B868" s="15" t="str">
        <f t="shared" si="40"/>
        <v/>
      </c>
      <c r="C868" s="16" t="str">
        <f>IFERROR(VLOOKUP(DATA!#REF!,DATA!#REF!,1,FALSE),"")</f>
        <v/>
      </c>
      <c r="D868" s="16" t="str">
        <f>IFERROR(VLOOKUP(C868,DATA!#REF!,2,FALSE),"")</f>
        <v/>
      </c>
    </row>
    <row r="869" spans="2:4" s="230" customFormat="1">
      <c r="B869" s="15" t="str">
        <f t="shared" si="40"/>
        <v/>
      </c>
      <c r="C869" s="16" t="str">
        <f>IFERROR(VLOOKUP(DATA!#REF!,DATA!#REF!,1,FALSE),"")</f>
        <v/>
      </c>
      <c r="D869" s="16" t="str">
        <f>IFERROR(VLOOKUP(C869,DATA!#REF!,2,FALSE),"")</f>
        <v/>
      </c>
    </row>
    <row r="870" spans="2:4" s="230" customFormat="1">
      <c r="B870" s="15" t="str">
        <f t="shared" si="40"/>
        <v/>
      </c>
      <c r="C870" s="16" t="str">
        <f>IFERROR(VLOOKUP(DATA!#REF!,DATA!#REF!,1,FALSE),"")</f>
        <v/>
      </c>
      <c r="D870" s="16" t="str">
        <f>IFERROR(VLOOKUP(C870,DATA!#REF!,2,FALSE),"")</f>
        <v/>
      </c>
    </row>
    <row r="871" spans="2:4" s="230" customFormat="1">
      <c r="B871" s="15" t="str">
        <f t="shared" si="40"/>
        <v/>
      </c>
      <c r="C871" s="16" t="str">
        <f>IFERROR(VLOOKUP(DATA!#REF!,DATA!#REF!,1,FALSE),"")</f>
        <v/>
      </c>
      <c r="D871" s="16" t="str">
        <f>IFERROR(VLOOKUP(C871,DATA!#REF!,2,FALSE),"")</f>
        <v/>
      </c>
    </row>
    <row r="872" spans="2:4" s="230" customFormat="1">
      <c r="B872" s="15" t="str">
        <f t="shared" si="40"/>
        <v/>
      </c>
      <c r="C872" s="16" t="str">
        <f>IFERROR(VLOOKUP(DATA!#REF!,DATA!#REF!,1,FALSE),"")</f>
        <v/>
      </c>
      <c r="D872" s="16" t="str">
        <f>IFERROR(VLOOKUP(C872,DATA!#REF!,2,FALSE),"")</f>
        <v/>
      </c>
    </row>
    <row r="873" spans="2:4" s="230" customFormat="1">
      <c r="B873" s="15" t="str">
        <f t="shared" si="40"/>
        <v/>
      </c>
      <c r="C873" s="16" t="str">
        <f>IFERROR(VLOOKUP(DATA!#REF!,DATA!#REF!,1,FALSE),"")</f>
        <v/>
      </c>
      <c r="D873" s="16" t="str">
        <f>IFERROR(VLOOKUP(C873,DATA!#REF!,2,FALSE),"")</f>
        <v/>
      </c>
    </row>
    <row r="874" spans="2:4" s="230" customFormat="1">
      <c r="B874" s="15" t="str">
        <f t="shared" si="40"/>
        <v/>
      </c>
      <c r="C874" s="16" t="str">
        <f>IFERROR(VLOOKUP(DATA!#REF!,DATA!#REF!,1,FALSE),"")</f>
        <v/>
      </c>
      <c r="D874" s="16" t="str">
        <f>IFERROR(VLOOKUP(C874,DATA!#REF!,2,FALSE),"")</f>
        <v/>
      </c>
    </row>
    <row r="875" spans="2:4" s="230" customFormat="1">
      <c r="B875" s="15" t="str">
        <f t="shared" si="40"/>
        <v/>
      </c>
      <c r="C875" s="16" t="str">
        <f>IFERROR(VLOOKUP(DATA!#REF!,DATA!#REF!,1,FALSE),"")</f>
        <v/>
      </c>
      <c r="D875" s="16" t="str">
        <f>IFERROR(VLOOKUP(C875,DATA!#REF!,2,FALSE),"")</f>
        <v/>
      </c>
    </row>
    <row r="876" spans="2:4" s="230" customFormat="1">
      <c r="B876" s="15" t="str">
        <f t="shared" si="40"/>
        <v/>
      </c>
      <c r="C876" s="16" t="str">
        <f>IFERROR(VLOOKUP(DATA!#REF!,DATA!#REF!,1,FALSE),"")</f>
        <v/>
      </c>
      <c r="D876" s="16" t="str">
        <f>IFERROR(VLOOKUP(C876,DATA!#REF!,2,FALSE),"")</f>
        <v/>
      </c>
    </row>
    <row r="877" spans="2:4" s="230" customFormat="1">
      <c r="B877" s="15" t="str">
        <f t="shared" si="40"/>
        <v/>
      </c>
      <c r="C877" s="16" t="str">
        <f>IFERROR(VLOOKUP(DATA!#REF!,DATA!#REF!,1,FALSE),"")</f>
        <v/>
      </c>
      <c r="D877" s="16" t="str">
        <f>IFERROR(VLOOKUP(C877,DATA!#REF!,2,FALSE),"")</f>
        <v/>
      </c>
    </row>
    <row r="878" spans="2:4" s="230" customFormat="1">
      <c r="B878" s="15" t="str">
        <f t="shared" si="40"/>
        <v/>
      </c>
      <c r="C878" s="16" t="str">
        <f>IFERROR(VLOOKUP(DATA!#REF!,DATA!#REF!,1,FALSE),"")</f>
        <v/>
      </c>
      <c r="D878" s="16" t="str">
        <f>IFERROR(VLOOKUP(C878,DATA!#REF!,2,FALSE),"")</f>
        <v/>
      </c>
    </row>
    <row r="879" spans="2:4" s="230" customFormat="1">
      <c r="B879" s="15" t="str">
        <f t="shared" si="40"/>
        <v/>
      </c>
      <c r="C879" s="16" t="str">
        <f>IFERROR(VLOOKUP(DATA!#REF!,DATA!#REF!,1,FALSE),"")</f>
        <v/>
      </c>
      <c r="D879" s="16" t="str">
        <f>IFERROR(VLOOKUP(C879,DATA!#REF!,2,FALSE),"")</f>
        <v/>
      </c>
    </row>
    <row r="880" spans="2:4" s="230" customFormat="1">
      <c r="B880" s="15" t="str">
        <f t="shared" si="40"/>
        <v/>
      </c>
      <c r="C880" s="16" t="str">
        <f>IFERROR(VLOOKUP(DATA!#REF!,DATA!#REF!,1,FALSE),"")</f>
        <v/>
      </c>
      <c r="D880" s="16" t="str">
        <f>IFERROR(VLOOKUP(C880,DATA!#REF!,2,FALSE),"")</f>
        <v/>
      </c>
    </row>
    <row r="881" spans="2:4" s="230" customFormat="1">
      <c r="B881" s="15" t="str">
        <f t="shared" si="40"/>
        <v/>
      </c>
      <c r="C881" s="16" t="str">
        <f>IFERROR(VLOOKUP(DATA!#REF!,DATA!#REF!,1,FALSE),"")</f>
        <v/>
      </c>
      <c r="D881" s="16" t="str">
        <f>IFERROR(VLOOKUP(C881,DATA!#REF!,2,FALSE),"")</f>
        <v/>
      </c>
    </row>
    <row r="882" spans="2:4" s="230" customFormat="1">
      <c r="B882" s="15" t="str">
        <f t="shared" si="40"/>
        <v/>
      </c>
      <c r="C882" s="16" t="str">
        <f>IFERROR(VLOOKUP(DATA!#REF!,DATA!#REF!,1,FALSE),"")</f>
        <v/>
      </c>
      <c r="D882" s="16" t="str">
        <f>IFERROR(VLOOKUP(C882,DATA!#REF!,2,FALSE),"")</f>
        <v/>
      </c>
    </row>
    <row r="883" spans="2:4" s="230" customFormat="1">
      <c r="B883" s="15" t="str">
        <f t="shared" si="40"/>
        <v/>
      </c>
      <c r="C883" s="16" t="str">
        <f>IFERROR(VLOOKUP(DATA!#REF!,DATA!#REF!,1,FALSE),"")</f>
        <v/>
      </c>
      <c r="D883" s="16" t="str">
        <f>IFERROR(VLOOKUP(C883,DATA!#REF!,2,FALSE),"")</f>
        <v/>
      </c>
    </row>
    <row r="884" spans="2:4" s="230" customFormat="1">
      <c r="B884" s="15" t="str">
        <f t="shared" si="40"/>
        <v/>
      </c>
      <c r="C884" s="16" t="str">
        <f>IFERROR(VLOOKUP(DATA!#REF!,DATA!#REF!,1,FALSE),"")</f>
        <v/>
      </c>
      <c r="D884" s="16" t="str">
        <f>IFERROR(VLOOKUP(C884,DATA!#REF!,2,FALSE),"")</f>
        <v/>
      </c>
    </row>
    <row r="885" spans="2:4" s="230" customFormat="1">
      <c r="B885" s="15" t="str">
        <f t="shared" si="40"/>
        <v/>
      </c>
      <c r="C885" s="16" t="str">
        <f>IFERROR(VLOOKUP(DATA!#REF!,DATA!#REF!,1,FALSE),"")</f>
        <v/>
      </c>
      <c r="D885" s="16" t="str">
        <f>IFERROR(VLOOKUP(C885,DATA!#REF!,2,FALSE),"")</f>
        <v/>
      </c>
    </row>
    <row r="886" spans="2:4" s="230" customFormat="1">
      <c r="B886" s="15" t="str">
        <f t="shared" si="40"/>
        <v/>
      </c>
      <c r="C886" s="16" t="str">
        <f>IFERROR(VLOOKUP(DATA!#REF!,DATA!#REF!,1,FALSE),"")</f>
        <v/>
      </c>
      <c r="D886" s="16" t="str">
        <f>IFERROR(VLOOKUP(C886,DATA!#REF!,2,FALSE),"")</f>
        <v/>
      </c>
    </row>
    <row r="887" spans="2:4" s="230" customFormat="1">
      <c r="B887" s="15" t="str">
        <f t="shared" si="40"/>
        <v/>
      </c>
      <c r="C887" s="16" t="str">
        <f>IFERROR(VLOOKUP(DATA!#REF!,DATA!#REF!,1,FALSE),"")</f>
        <v/>
      </c>
      <c r="D887" s="16" t="str">
        <f>IFERROR(VLOOKUP(C887,DATA!#REF!,2,FALSE),"")</f>
        <v/>
      </c>
    </row>
    <row r="888" spans="2:4" s="230" customFormat="1">
      <c r="B888" s="15" t="str">
        <f t="shared" si="40"/>
        <v/>
      </c>
      <c r="C888" s="16" t="str">
        <f>IFERROR(VLOOKUP(DATA!#REF!,DATA!#REF!,1,FALSE),"")</f>
        <v/>
      </c>
      <c r="D888" s="16" t="str">
        <f>IFERROR(VLOOKUP(C888,DATA!#REF!,2,FALSE),"")</f>
        <v/>
      </c>
    </row>
    <row r="889" spans="2:4" s="230" customFormat="1">
      <c r="B889" s="15" t="str">
        <f t="shared" si="40"/>
        <v/>
      </c>
      <c r="C889" s="16" t="str">
        <f>IFERROR(VLOOKUP(DATA!#REF!,DATA!#REF!,1,FALSE),"")</f>
        <v/>
      </c>
      <c r="D889" s="16" t="str">
        <f>IFERROR(VLOOKUP(C889,DATA!#REF!,2,FALSE),"")</f>
        <v/>
      </c>
    </row>
    <row r="890" spans="2:4" s="230" customFormat="1">
      <c r="B890" s="15" t="str">
        <f t="shared" si="40"/>
        <v/>
      </c>
      <c r="C890" s="16" t="str">
        <f>IFERROR(VLOOKUP(DATA!#REF!,DATA!#REF!,1,FALSE),"")</f>
        <v/>
      </c>
      <c r="D890" s="16" t="str">
        <f>IFERROR(VLOOKUP(C890,DATA!#REF!,2,FALSE),"")</f>
        <v/>
      </c>
    </row>
    <row r="891" spans="2:4" s="230" customFormat="1">
      <c r="B891" s="15" t="str">
        <f t="shared" si="40"/>
        <v/>
      </c>
      <c r="C891" s="16" t="str">
        <f>IFERROR(VLOOKUP(DATA!#REF!,DATA!#REF!,1,FALSE),"")</f>
        <v/>
      </c>
      <c r="D891" s="16" t="str">
        <f>IFERROR(VLOOKUP(C891,DATA!#REF!,2,FALSE),"")</f>
        <v/>
      </c>
    </row>
    <row r="892" spans="2:4" s="230" customFormat="1">
      <c r="B892" s="15" t="str">
        <f t="shared" si="40"/>
        <v/>
      </c>
      <c r="C892" s="16" t="str">
        <f>IFERROR(VLOOKUP(DATA!#REF!,DATA!#REF!,1,FALSE),"")</f>
        <v/>
      </c>
      <c r="D892" s="16" t="str">
        <f>IFERROR(VLOOKUP(C892,DATA!#REF!,2,FALSE),"")</f>
        <v/>
      </c>
    </row>
    <row r="893" spans="2:4" s="230" customFormat="1">
      <c r="B893" s="15" t="str">
        <f t="shared" si="40"/>
        <v/>
      </c>
      <c r="C893" s="16" t="str">
        <f>IFERROR(VLOOKUP(DATA!#REF!,DATA!#REF!,1,FALSE),"")</f>
        <v/>
      </c>
      <c r="D893" s="16" t="str">
        <f>IFERROR(VLOOKUP(C893,DATA!#REF!,2,FALSE),"")</f>
        <v/>
      </c>
    </row>
    <row r="894" spans="2:4" s="230" customFormat="1">
      <c r="B894" s="15" t="str">
        <f t="shared" si="40"/>
        <v/>
      </c>
      <c r="C894" s="16" t="str">
        <f>IFERROR(VLOOKUP(DATA!#REF!,DATA!#REF!,1,FALSE),"")</f>
        <v/>
      </c>
      <c r="D894" s="16" t="str">
        <f>IFERROR(VLOOKUP(C894,DATA!#REF!,2,FALSE),"")</f>
        <v/>
      </c>
    </row>
    <row r="895" spans="2:4" s="230" customFormat="1">
      <c r="B895" s="15" t="str">
        <f t="shared" si="40"/>
        <v/>
      </c>
      <c r="C895" s="16" t="str">
        <f>IFERROR(VLOOKUP(DATA!#REF!,DATA!#REF!,1,FALSE),"")</f>
        <v/>
      </c>
      <c r="D895" s="16" t="str">
        <f>IFERROR(VLOOKUP(C895,DATA!#REF!,2,FALSE),"")</f>
        <v/>
      </c>
    </row>
    <row r="896" spans="2:4" s="230" customFormat="1">
      <c r="B896" s="15" t="str">
        <f t="shared" si="40"/>
        <v/>
      </c>
      <c r="C896" s="16" t="str">
        <f>IFERROR(VLOOKUP(DATA!#REF!,DATA!#REF!,1,FALSE),"")</f>
        <v/>
      </c>
      <c r="D896" s="16" t="str">
        <f>IFERROR(VLOOKUP(C896,DATA!#REF!,2,FALSE),"")</f>
        <v/>
      </c>
    </row>
    <row r="897" spans="2:4" s="230" customFormat="1">
      <c r="B897" s="15" t="str">
        <f t="shared" si="40"/>
        <v/>
      </c>
      <c r="C897" s="16" t="str">
        <f>IFERROR(VLOOKUP(DATA!#REF!,DATA!#REF!,1,FALSE),"")</f>
        <v/>
      </c>
      <c r="D897" s="16" t="str">
        <f>IFERROR(VLOOKUP(C897,DATA!#REF!,2,FALSE),"")</f>
        <v/>
      </c>
    </row>
    <row r="898" spans="2:4" s="230" customFormat="1">
      <c r="B898" s="15" t="str">
        <f t="shared" si="40"/>
        <v/>
      </c>
      <c r="C898" s="16" t="str">
        <f>IFERROR(VLOOKUP(DATA!#REF!,DATA!#REF!,1,FALSE),"")</f>
        <v/>
      </c>
      <c r="D898" s="16" t="str">
        <f>IFERROR(VLOOKUP(C898,DATA!#REF!,2,FALSE),"")</f>
        <v/>
      </c>
    </row>
    <row r="899" spans="2:4" s="230" customFormat="1">
      <c r="B899" s="15" t="str">
        <f t="shared" si="40"/>
        <v/>
      </c>
      <c r="C899" s="16" t="str">
        <f>IFERROR(VLOOKUP(DATA!#REF!,DATA!#REF!,1,FALSE),"")</f>
        <v/>
      </c>
      <c r="D899" s="16" t="str">
        <f>IFERROR(VLOOKUP(C899,DATA!#REF!,2,FALSE),"")</f>
        <v/>
      </c>
    </row>
    <row r="900" spans="2:4" s="230" customFormat="1">
      <c r="B900" s="15" t="str">
        <f t="shared" si="40"/>
        <v/>
      </c>
      <c r="C900" s="16" t="str">
        <f>IFERROR(VLOOKUP(DATA!#REF!,DATA!#REF!,1,FALSE),"")</f>
        <v/>
      </c>
      <c r="D900" s="16" t="str">
        <f>IFERROR(VLOOKUP(C900,DATA!#REF!,2,FALSE),"")</f>
        <v/>
      </c>
    </row>
    <row r="901" spans="2:4" s="230" customFormat="1">
      <c r="B901" s="15" t="str">
        <f t="shared" si="40"/>
        <v/>
      </c>
      <c r="C901" s="16" t="str">
        <f>IFERROR(VLOOKUP(DATA!#REF!,DATA!#REF!,1,FALSE),"")</f>
        <v/>
      </c>
      <c r="D901" s="16" t="str">
        <f>IFERROR(VLOOKUP(C901,DATA!#REF!,2,FALSE),"")</f>
        <v/>
      </c>
    </row>
    <row r="902" spans="2:4" s="230" customFormat="1">
      <c r="B902" s="15" t="str">
        <f t="shared" ref="B902:B965" si="41">+IF(C902="","",ROW()-5)</f>
        <v/>
      </c>
      <c r="C902" s="16" t="str">
        <f>IFERROR(VLOOKUP(DATA!#REF!,DATA!#REF!,1,FALSE),"")</f>
        <v/>
      </c>
      <c r="D902" s="16" t="str">
        <f>IFERROR(VLOOKUP(C902,DATA!#REF!,2,FALSE),"")</f>
        <v/>
      </c>
    </row>
    <row r="903" spans="2:4" s="230" customFormat="1">
      <c r="B903" s="15" t="str">
        <f t="shared" si="41"/>
        <v/>
      </c>
      <c r="C903" s="16" t="str">
        <f>IFERROR(VLOOKUP(DATA!#REF!,DATA!#REF!,1,FALSE),"")</f>
        <v/>
      </c>
      <c r="D903" s="16" t="str">
        <f>IFERROR(VLOOKUP(C903,DATA!#REF!,2,FALSE),"")</f>
        <v/>
      </c>
    </row>
    <row r="904" spans="2:4" s="230" customFormat="1">
      <c r="B904" s="15" t="str">
        <f t="shared" si="41"/>
        <v/>
      </c>
      <c r="C904" s="16" t="str">
        <f>IFERROR(VLOOKUP(DATA!#REF!,DATA!#REF!,1,FALSE),"")</f>
        <v/>
      </c>
      <c r="D904" s="16" t="str">
        <f>IFERROR(VLOOKUP(C904,DATA!#REF!,2,FALSE),"")</f>
        <v/>
      </c>
    </row>
    <row r="905" spans="2:4" s="230" customFormat="1">
      <c r="B905" s="15" t="str">
        <f t="shared" si="41"/>
        <v/>
      </c>
      <c r="C905" s="16" t="str">
        <f>IFERROR(VLOOKUP(DATA!#REF!,DATA!#REF!,1,FALSE),"")</f>
        <v/>
      </c>
      <c r="D905" s="16" t="str">
        <f>IFERROR(VLOOKUP(C905,DATA!#REF!,2,FALSE),"")</f>
        <v/>
      </c>
    </row>
    <row r="906" spans="2:4" s="230" customFormat="1">
      <c r="B906" s="15" t="str">
        <f t="shared" si="41"/>
        <v/>
      </c>
      <c r="C906" s="16" t="str">
        <f>IFERROR(VLOOKUP(DATA!#REF!,DATA!#REF!,1,FALSE),"")</f>
        <v/>
      </c>
      <c r="D906" s="16" t="str">
        <f>IFERROR(VLOOKUP(C906,DATA!#REF!,2,FALSE),"")</f>
        <v/>
      </c>
    </row>
    <row r="907" spans="2:4" s="230" customFormat="1">
      <c r="B907" s="15" t="str">
        <f t="shared" si="41"/>
        <v/>
      </c>
      <c r="C907" s="16" t="str">
        <f>IFERROR(VLOOKUP(DATA!#REF!,DATA!#REF!,1,FALSE),"")</f>
        <v/>
      </c>
      <c r="D907" s="16" t="str">
        <f>IFERROR(VLOOKUP(C907,DATA!#REF!,2,FALSE),"")</f>
        <v/>
      </c>
    </row>
    <row r="908" spans="2:4" s="230" customFormat="1">
      <c r="B908" s="15" t="str">
        <f t="shared" si="41"/>
        <v/>
      </c>
      <c r="C908" s="16" t="str">
        <f>IFERROR(VLOOKUP(DATA!#REF!,DATA!#REF!,1,FALSE),"")</f>
        <v/>
      </c>
      <c r="D908" s="16" t="str">
        <f>IFERROR(VLOOKUP(C908,DATA!#REF!,2,FALSE),"")</f>
        <v/>
      </c>
    </row>
    <row r="909" spans="2:4" s="230" customFormat="1">
      <c r="B909" s="15" t="str">
        <f t="shared" si="41"/>
        <v/>
      </c>
      <c r="C909" s="16" t="str">
        <f>IFERROR(VLOOKUP(DATA!#REF!,DATA!#REF!,1,FALSE),"")</f>
        <v/>
      </c>
      <c r="D909" s="16" t="str">
        <f>IFERROR(VLOOKUP(C909,DATA!#REF!,2,FALSE),"")</f>
        <v/>
      </c>
    </row>
    <row r="910" spans="2:4" s="230" customFormat="1">
      <c r="B910" s="15" t="str">
        <f t="shared" si="41"/>
        <v/>
      </c>
      <c r="C910" s="16" t="str">
        <f>IFERROR(VLOOKUP(DATA!#REF!,DATA!#REF!,1,FALSE),"")</f>
        <v/>
      </c>
      <c r="D910" s="16" t="str">
        <f>IFERROR(VLOOKUP(C910,DATA!#REF!,2,FALSE),"")</f>
        <v/>
      </c>
    </row>
    <row r="911" spans="2:4" s="230" customFormat="1">
      <c r="B911" s="15" t="str">
        <f t="shared" si="41"/>
        <v/>
      </c>
      <c r="C911" s="16" t="str">
        <f>IFERROR(VLOOKUP(DATA!#REF!,DATA!#REF!,1,FALSE),"")</f>
        <v/>
      </c>
      <c r="D911" s="16" t="str">
        <f>IFERROR(VLOOKUP(C911,DATA!#REF!,2,FALSE),"")</f>
        <v/>
      </c>
    </row>
    <row r="912" spans="2:4" s="230" customFormat="1">
      <c r="B912" s="15" t="str">
        <f t="shared" si="41"/>
        <v/>
      </c>
      <c r="C912" s="16" t="str">
        <f>IFERROR(VLOOKUP(DATA!#REF!,DATA!#REF!,1,FALSE),"")</f>
        <v/>
      </c>
      <c r="D912" s="16" t="str">
        <f>IFERROR(VLOOKUP(C912,DATA!#REF!,2,FALSE),"")</f>
        <v/>
      </c>
    </row>
    <row r="913" spans="2:4" s="230" customFormat="1">
      <c r="B913" s="15" t="str">
        <f t="shared" si="41"/>
        <v/>
      </c>
      <c r="C913" s="16" t="str">
        <f>IFERROR(VLOOKUP(DATA!#REF!,DATA!#REF!,1,FALSE),"")</f>
        <v/>
      </c>
      <c r="D913" s="16" t="str">
        <f>IFERROR(VLOOKUP(C913,DATA!#REF!,2,FALSE),"")</f>
        <v/>
      </c>
    </row>
    <row r="914" spans="2:4" s="230" customFormat="1">
      <c r="B914" s="15" t="str">
        <f t="shared" si="41"/>
        <v/>
      </c>
      <c r="C914" s="16" t="str">
        <f>IFERROR(VLOOKUP(DATA!#REF!,DATA!#REF!,1,FALSE),"")</f>
        <v/>
      </c>
      <c r="D914" s="16" t="str">
        <f>IFERROR(VLOOKUP(C914,DATA!#REF!,2,FALSE),"")</f>
        <v/>
      </c>
    </row>
    <row r="915" spans="2:4" s="230" customFormat="1">
      <c r="B915" s="15" t="str">
        <f t="shared" si="41"/>
        <v/>
      </c>
      <c r="C915" s="16" t="str">
        <f>IFERROR(VLOOKUP(DATA!#REF!,DATA!#REF!,1,FALSE),"")</f>
        <v/>
      </c>
      <c r="D915" s="16" t="str">
        <f>IFERROR(VLOOKUP(C915,DATA!#REF!,2,FALSE),"")</f>
        <v/>
      </c>
    </row>
    <row r="916" spans="2:4" s="230" customFormat="1">
      <c r="B916" s="15" t="str">
        <f t="shared" si="41"/>
        <v/>
      </c>
      <c r="C916" s="16" t="str">
        <f>IFERROR(VLOOKUP(DATA!#REF!,DATA!#REF!,1,FALSE),"")</f>
        <v/>
      </c>
      <c r="D916" s="16" t="str">
        <f>IFERROR(VLOOKUP(C916,DATA!#REF!,2,FALSE),"")</f>
        <v/>
      </c>
    </row>
    <row r="917" spans="2:4" s="230" customFormat="1">
      <c r="B917" s="15" t="str">
        <f t="shared" si="41"/>
        <v/>
      </c>
      <c r="C917" s="16" t="str">
        <f>IFERROR(VLOOKUP(DATA!#REF!,DATA!#REF!,1,FALSE),"")</f>
        <v/>
      </c>
      <c r="D917" s="16" t="str">
        <f>IFERROR(VLOOKUP(C917,DATA!#REF!,2,FALSE),"")</f>
        <v/>
      </c>
    </row>
    <row r="918" spans="2:4" s="230" customFormat="1">
      <c r="B918" s="15" t="str">
        <f t="shared" si="41"/>
        <v/>
      </c>
      <c r="C918" s="16" t="str">
        <f>IFERROR(VLOOKUP(DATA!#REF!,DATA!#REF!,1,FALSE),"")</f>
        <v/>
      </c>
      <c r="D918" s="16" t="str">
        <f>IFERROR(VLOOKUP(C918,DATA!#REF!,2,FALSE),"")</f>
        <v/>
      </c>
    </row>
    <row r="919" spans="2:4" s="230" customFormat="1">
      <c r="B919" s="15" t="str">
        <f t="shared" si="41"/>
        <v/>
      </c>
      <c r="C919" s="16" t="str">
        <f>IFERROR(VLOOKUP(DATA!#REF!,DATA!#REF!,1,FALSE),"")</f>
        <v/>
      </c>
      <c r="D919" s="16" t="str">
        <f>IFERROR(VLOOKUP(C919,DATA!#REF!,2,FALSE),"")</f>
        <v/>
      </c>
    </row>
    <row r="920" spans="2:4" s="230" customFormat="1">
      <c r="B920" s="15" t="str">
        <f t="shared" si="41"/>
        <v/>
      </c>
      <c r="C920" s="16" t="str">
        <f>IFERROR(VLOOKUP(DATA!#REF!,DATA!#REF!,1,FALSE),"")</f>
        <v/>
      </c>
      <c r="D920" s="16" t="str">
        <f>IFERROR(VLOOKUP(C920,DATA!#REF!,2,FALSE),"")</f>
        <v/>
      </c>
    </row>
    <row r="921" spans="2:4" s="230" customFormat="1">
      <c r="B921" s="15" t="str">
        <f t="shared" si="41"/>
        <v/>
      </c>
      <c r="C921" s="16" t="str">
        <f>IFERROR(VLOOKUP(DATA!#REF!,DATA!#REF!,1,FALSE),"")</f>
        <v/>
      </c>
      <c r="D921" s="16" t="str">
        <f>IFERROR(VLOOKUP(C921,DATA!#REF!,2,FALSE),"")</f>
        <v/>
      </c>
    </row>
    <row r="922" spans="2:4" s="230" customFormat="1">
      <c r="B922" s="15" t="str">
        <f t="shared" si="41"/>
        <v/>
      </c>
      <c r="C922" s="16" t="str">
        <f>IFERROR(VLOOKUP(DATA!#REF!,DATA!#REF!,1,FALSE),"")</f>
        <v/>
      </c>
      <c r="D922" s="16" t="str">
        <f>IFERROR(VLOOKUP(C922,DATA!#REF!,2,FALSE),"")</f>
        <v/>
      </c>
    </row>
    <row r="923" spans="2:4" s="230" customFormat="1">
      <c r="B923" s="15" t="str">
        <f t="shared" si="41"/>
        <v/>
      </c>
      <c r="C923" s="16" t="str">
        <f>IFERROR(VLOOKUP(DATA!#REF!,DATA!#REF!,1,FALSE),"")</f>
        <v/>
      </c>
      <c r="D923" s="16" t="str">
        <f>IFERROR(VLOOKUP(C923,DATA!#REF!,2,FALSE),"")</f>
        <v/>
      </c>
    </row>
    <row r="924" spans="2:4" s="230" customFormat="1">
      <c r="B924" s="15" t="str">
        <f t="shared" si="41"/>
        <v/>
      </c>
      <c r="C924" s="16" t="str">
        <f>IFERROR(VLOOKUP(DATA!#REF!,DATA!#REF!,1,FALSE),"")</f>
        <v/>
      </c>
      <c r="D924" s="16" t="str">
        <f>IFERROR(VLOOKUP(C924,DATA!#REF!,2,FALSE),"")</f>
        <v/>
      </c>
    </row>
    <row r="925" spans="2:4" s="230" customFormat="1">
      <c r="B925" s="15" t="str">
        <f t="shared" si="41"/>
        <v/>
      </c>
      <c r="C925" s="16" t="str">
        <f>IFERROR(VLOOKUP(DATA!#REF!,DATA!#REF!,1,FALSE),"")</f>
        <v/>
      </c>
      <c r="D925" s="16" t="str">
        <f>IFERROR(VLOOKUP(C925,DATA!#REF!,2,FALSE),"")</f>
        <v/>
      </c>
    </row>
    <row r="926" spans="2:4" s="230" customFormat="1">
      <c r="B926" s="15" t="str">
        <f t="shared" si="41"/>
        <v/>
      </c>
      <c r="C926" s="16" t="str">
        <f>IFERROR(VLOOKUP(DATA!#REF!,DATA!#REF!,1,FALSE),"")</f>
        <v/>
      </c>
      <c r="D926" s="16" t="str">
        <f>IFERROR(VLOOKUP(C926,DATA!#REF!,2,FALSE),"")</f>
        <v/>
      </c>
    </row>
    <row r="927" spans="2:4" s="230" customFormat="1">
      <c r="B927" s="15" t="str">
        <f t="shared" si="41"/>
        <v/>
      </c>
      <c r="C927" s="16" t="str">
        <f>IFERROR(VLOOKUP(DATA!#REF!,DATA!#REF!,1,FALSE),"")</f>
        <v/>
      </c>
      <c r="D927" s="16" t="str">
        <f>IFERROR(VLOOKUP(C927,DATA!#REF!,2,FALSE),"")</f>
        <v/>
      </c>
    </row>
    <row r="928" spans="2:4" s="230" customFormat="1">
      <c r="B928" s="15" t="str">
        <f t="shared" si="41"/>
        <v/>
      </c>
      <c r="C928" s="16" t="str">
        <f>IFERROR(VLOOKUP(DATA!#REF!,DATA!#REF!,1,FALSE),"")</f>
        <v/>
      </c>
      <c r="D928" s="16" t="str">
        <f>IFERROR(VLOOKUP(C928,DATA!#REF!,2,FALSE),"")</f>
        <v/>
      </c>
    </row>
    <row r="929" spans="2:4" s="230" customFormat="1">
      <c r="B929" s="15" t="str">
        <f t="shared" si="41"/>
        <v/>
      </c>
      <c r="C929" s="16" t="str">
        <f>IFERROR(VLOOKUP(DATA!#REF!,DATA!#REF!,1,FALSE),"")</f>
        <v/>
      </c>
      <c r="D929" s="16" t="str">
        <f>IFERROR(VLOOKUP(C929,DATA!#REF!,2,FALSE),"")</f>
        <v/>
      </c>
    </row>
    <row r="930" spans="2:4" s="230" customFormat="1">
      <c r="B930" s="15" t="str">
        <f t="shared" si="41"/>
        <v/>
      </c>
      <c r="C930" s="16" t="str">
        <f>IFERROR(VLOOKUP(DATA!#REF!,DATA!#REF!,1,FALSE),"")</f>
        <v/>
      </c>
      <c r="D930" s="16" t="str">
        <f>IFERROR(VLOOKUP(C930,DATA!#REF!,2,FALSE),"")</f>
        <v/>
      </c>
    </row>
    <row r="931" spans="2:4" s="230" customFormat="1">
      <c r="B931" s="15" t="str">
        <f t="shared" si="41"/>
        <v/>
      </c>
      <c r="C931" s="16" t="str">
        <f>IFERROR(VLOOKUP(DATA!#REF!,DATA!#REF!,1,FALSE),"")</f>
        <v/>
      </c>
      <c r="D931" s="16" t="str">
        <f>IFERROR(VLOOKUP(C931,DATA!#REF!,2,FALSE),"")</f>
        <v/>
      </c>
    </row>
    <row r="932" spans="2:4" s="230" customFormat="1">
      <c r="B932" s="15" t="str">
        <f t="shared" si="41"/>
        <v/>
      </c>
      <c r="C932" s="16" t="str">
        <f>IFERROR(VLOOKUP(DATA!#REF!,DATA!#REF!,1,FALSE),"")</f>
        <v/>
      </c>
      <c r="D932" s="16" t="str">
        <f>IFERROR(VLOOKUP(C932,DATA!#REF!,2,FALSE),"")</f>
        <v/>
      </c>
    </row>
    <row r="933" spans="2:4" s="230" customFormat="1">
      <c r="B933" s="15" t="str">
        <f t="shared" si="41"/>
        <v/>
      </c>
      <c r="C933" s="16" t="str">
        <f>IFERROR(VLOOKUP(DATA!#REF!,DATA!#REF!,1,FALSE),"")</f>
        <v/>
      </c>
      <c r="D933" s="16" t="str">
        <f>IFERROR(VLOOKUP(C933,DATA!#REF!,2,FALSE),"")</f>
        <v/>
      </c>
    </row>
    <row r="934" spans="2:4" s="230" customFormat="1">
      <c r="B934" s="15" t="str">
        <f t="shared" si="41"/>
        <v/>
      </c>
      <c r="C934" s="16" t="str">
        <f>IFERROR(VLOOKUP(DATA!#REF!,DATA!#REF!,1,FALSE),"")</f>
        <v/>
      </c>
      <c r="D934" s="16" t="str">
        <f>IFERROR(VLOOKUP(C934,DATA!#REF!,2,FALSE),"")</f>
        <v/>
      </c>
    </row>
    <row r="935" spans="2:4" s="230" customFormat="1">
      <c r="B935" s="15" t="str">
        <f t="shared" si="41"/>
        <v/>
      </c>
      <c r="C935" s="16" t="str">
        <f>IFERROR(VLOOKUP(DATA!#REF!,DATA!#REF!,1,FALSE),"")</f>
        <v/>
      </c>
      <c r="D935" s="16" t="str">
        <f>IFERROR(VLOOKUP(C935,DATA!#REF!,2,FALSE),"")</f>
        <v/>
      </c>
    </row>
    <row r="936" spans="2:4" s="230" customFormat="1">
      <c r="B936" s="15" t="str">
        <f t="shared" si="41"/>
        <v/>
      </c>
      <c r="C936" s="16" t="str">
        <f>IFERROR(VLOOKUP(DATA!#REF!,DATA!#REF!,1,FALSE),"")</f>
        <v/>
      </c>
      <c r="D936" s="16" t="str">
        <f>IFERROR(VLOOKUP(C936,DATA!#REF!,2,FALSE),"")</f>
        <v/>
      </c>
    </row>
    <row r="937" spans="2:4" s="230" customFormat="1">
      <c r="B937" s="15" t="str">
        <f t="shared" si="41"/>
        <v/>
      </c>
      <c r="C937" s="16" t="str">
        <f>IFERROR(VLOOKUP(DATA!#REF!,DATA!#REF!,1,FALSE),"")</f>
        <v/>
      </c>
      <c r="D937" s="16" t="str">
        <f>IFERROR(VLOOKUP(C937,DATA!#REF!,2,FALSE),"")</f>
        <v/>
      </c>
    </row>
    <row r="938" spans="2:4" s="230" customFormat="1">
      <c r="B938" s="15" t="str">
        <f t="shared" si="41"/>
        <v/>
      </c>
      <c r="C938" s="16" t="str">
        <f>IFERROR(VLOOKUP(DATA!#REF!,DATA!#REF!,1,FALSE),"")</f>
        <v/>
      </c>
      <c r="D938" s="16" t="str">
        <f>IFERROR(VLOOKUP(C938,DATA!#REF!,2,FALSE),"")</f>
        <v/>
      </c>
    </row>
    <row r="939" spans="2:4" s="230" customFormat="1">
      <c r="B939" s="15" t="str">
        <f t="shared" si="41"/>
        <v/>
      </c>
      <c r="C939" s="16" t="str">
        <f>IFERROR(VLOOKUP(DATA!#REF!,DATA!#REF!,1,FALSE),"")</f>
        <v/>
      </c>
      <c r="D939" s="16" t="str">
        <f>IFERROR(VLOOKUP(C939,DATA!#REF!,2,FALSE),"")</f>
        <v/>
      </c>
    </row>
    <row r="940" spans="2:4" s="230" customFormat="1">
      <c r="B940" s="15" t="str">
        <f t="shared" si="41"/>
        <v/>
      </c>
      <c r="C940" s="16" t="str">
        <f>IFERROR(VLOOKUP(DATA!#REF!,DATA!#REF!,1,FALSE),"")</f>
        <v/>
      </c>
      <c r="D940" s="16" t="str">
        <f>IFERROR(VLOOKUP(C940,DATA!#REF!,2,FALSE),"")</f>
        <v/>
      </c>
    </row>
    <row r="941" spans="2:4" s="230" customFormat="1">
      <c r="B941" s="15" t="str">
        <f t="shared" si="41"/>
        <v/>
      </c>
      <c r="C941" s="16" t="str">
        <f>IFERROR(VLOOKUP(DATA!#REF!,DATA!#REF!,1,FALSE),"")</f>
        <v/>
      </c>
      <c r="D941" s="16" t="str">
        <f>IFERROR(VLOOKUP(C941,DATA!#REF!,2,FALSE),"")</f>
        <v/>
      </c>
    </row>
    <row r="942" spans="2:4" s="230" customFormat="1">
      <c r="B942" s="15" t="str">
        <f t="shared" si="41"/>
        <v/>
      </c>
      <c r="C942" s="16" t="str">
        <f>IFERROR(VLOOKUP(DATA!#REF!,DATA!#REF!,1,FALSE),"")</f>
        <v/>
      </c>
      <c r="D942" s="16" t="str">
        <f>IFERROR(VLOOKUP(C942,DATA!#REF!,2,FALSE),"")</f>
        <v/>
      </c>
    </row>
    <row r="943" spans="2:4" s="230" customFormat="1">
      <c r="B943" s="15" t="str">
        <f t="shared" si="41"/>
        <v/>
      </c>
      <c r="C943" s="16" t="str">
        <f>IFERROR(VLOOKUP(DATA!#REF!,DATA!#REF!,1,FALSE),"")</f>
        <v/>
      </c>
      <c r="D943" s="16" t="str">
        <f>IFERROR(VLOOKUP(C943,DATA!#REF!,2,FALSE),"")</f>
        <v/>
      </c>
    </row>
    <row r="944" spans="2:4" s="230" customFormat="1">
      <c r="B944" s="15" t="str">
        <f t="shared" si="41"/>
        <v/>
      </c>
      <c r="C944" s="16" t="str">
        <f>IFERROR(VLOOKUP(DATA!#REF!,DATA!#REF!,1,FALSE),"")</f>
        <v/>
      </c>
      <c r="D944" s="16" t="str">
        <f>IFERROR(VLOOKUP(C944,DATA!#REF!,2,FALSE),"")</f>
        <v/>
      </c>
    </row>
    <row r="945" spans="2:4" s="230" customFormat="1">
      <c r="B945" s="15" t="str">
        <f t="shared" si="41"/>
        <v/>
      </c>
      <c r="C945" s="16" t="str">
        <f>IFERROR(VLOOKUP(DATA!#REF!,DATA!#REF!,1,FALSE),"")</f>
        <v/>
      </c>
      <c r="D945" s="16" t="str">
        <f>IFERROR(VLOOKUP(C945,DATA!#REF!,2,FALSE),"")</f>
        <v/>
      </c>
    </row>
    <row r="946" spans="2:4" s="230" customFormat="1">
      <c r="B946" s="15" t="str">
        <f t="shared" si="41"/>
        <v/>
      </c>
      <c r="C946" s="16" t="str">
        <f>IFERROR(VLOOKUP(DATA!#REF!,DATA!#REF!,1,FALSE),"")</f>
        <v/>
      </c>
      <c r="D946" s="16" t="str">
        <f>IFERROR(VLOOKUP(C946,DATA!#REF!,2,FALSE),"")</f>
        <v/>
      </c>
    </row>
    <row r="947" spans="2:4" s="230" customFormat="1">
      <c r="B947" s="15" t="str">
        <f t="shared" si="41"/>
        <v/>
      </c>
      <c r="C947" s="16" t="str">
        <f>IFERROR(VLOOKUP(DATA!#REF!,DATA!#REF!,1,FALSE),"")</f>
        <v/>
      </c>
      <c r="D947" s="16" t="str">
        <f>IFERROR(VLOOKUP(C947,DATA!#REF!,2,FALSE),"")</f>
        <v/>
      </c>
    </row>
    <row r="948" spans="2:4" s="230" customFormat="1">
      <c r="B948" s="15" t="str">
        <f t="shared" si="41"/>
        <v/>
      </c>
      <c r="C948" s="16" t="str">
        <f>IFERROR(VLOOKUP(DATA!#REF!,DATA!#REF!,1,FALSE),"")</f>
        <v/>
      </c>
      <c r="D948" s="16" t="str">
        <f>IFERROR(VLOOKUP(C948,DATA!#REF!,2,FALSE),"")</f>
        <v/>
      </c>
    </row>
    <row r="949" spans="2:4" s="230" customFormat="1">
      <c r="B949" s="15" t="str">
        <f t="shared" si="41"/>
        <v/>
      </c>
      <c r="C949" s="16" t="str">
        <f>IFERROR(VLOOKUP(DATA!#REF!,DATA!#REF!,1,FALSE),"")</f>
        <v/>
      </c>
      <c r="D949" s="16" t="str">
        <f>IFERROR(VLOOKUP(C949,DATA!#REF!,2,FALSE),"")</f>
        <v/>
      </c>
    </row>
    <row r="950" spans="2:4" s="230" customFormat="1">
      <c r="B950" s="15" t="str">
        <f t="shared" si="41"/>
        <v/>
      </c>
      <c r="C950" s="16" t="str">
        <f>IFERROR(VLOOKUP(DATA!#REF!,DATA!#REF!,1,FALSE),"")</f>
        <v/>
      </c>
      <c r="D950" s="16" t="str">
        <f>IFERROR(VLOOKUP(C950,DATA!#REF!,2,FALSE),"")</f>
        <v/>
      </c>
    </row>
    <row r="951" spans="2:4" s="230" customFormat="1">
      <c r="B951" s="15" t="str">
        <f t="shared" si="41"/>
        <v/>
      </c>
      <c r="C951" s="16" t="str">
        <f>IFERROR(VLOOKUP(DATA!#REF!,DATA!#REF!,1,FALSE),"")</f>
        <v/>
      </c>
      <c r="D951" s="16" t="str">
        <f>IFERROR(VLOOKUP(C951,DATA!#REF!,2,FALSE),"")</f>
        <v/>
      </c>
    </row>
    <row r="952" spans="2:4" s="230" customFormat="1">
      <c r="B952" s="15" t="str">
        <f t="shared" si="41"/>
        <v/>
      </c>
      <c r="C952" s="16" t="str">
        <f>IFERROR(VLOOKUP(DATA!#REF!,DATA!#REF!,1,FALSE),"")</f>
        <v/>
      </c>
      <c r="D952" s="16" t="str">
        <f>IFERROR(VLOOKUP(C952,DATA!#REF!,2,FALSE),"")</f>
        <v/>
      </c>
    </row>
    <row r="953" spans="2:4" s="230" customFormat="1">
      <c r="B953" s="15" t="str">
        <f t="shared" si="41"/>
        <v/>
      </c>
      <c r="C953" s="16" t="str">
        <f>IFERROR(VLOOKUP(DATA!#REF!,DATA!#REF!,1,FALSE),"")</f>
        <v/>
      </c>
      <c r="D953" s="16" t="str">
        <f>IFERROR(VLOOKUP(C953,DATA!#REF!,2,FALSE),"")</f>
        <v/>
      </c>
    </row>
    <row r="954" spans="2:4" s="230" customFormat="1">
      <c r="B954" s="15" t="str">
        <f t="shared" si="41"/>
        <v/>
      </c>
      <c r="C954" s="16" t="str">
        <f>IFERROR(VLOOKUP(DATA!#REF!,DATA!#REF!,1,FALSE),"")</f>
        <v/>
      </c>
      <c r="D954" s="16" t="str">
        <f>IFERROR(VLOOKUP(C954,DATA!#REF!,2,FALSE),"")</f>
        <v/>
      </c>
    </row>
    <row r="955" spans="2:4" s="230" customFormat="1">
      <c r="B955" s="15" t="str">
        <f t="shared" si="41"/>
        <v/>
      </c>
      <c r="C955" s="16" t="str">
        <f>IFERROR(VLOOKUP(DATA!#REF!,DATA!#REF!,1,FALSE),"")</f>
        <v/>
      </c>
      <c r="D955" s="16" t="str">
        <f>IFERROR(VLOOKUP(C955,DATA!#REF!,2,FALSE),"")</f>
        <v/>
      </c>
    </row>
    <row r="956" spans="2:4" s="230" customFormat="1">
      <c r="B956" s="15" t="str">
        <f t="shared" si="41"/>
        <v/>
      </c>
      <c r="C956" s="16" t="str">
        <f>IFERROR(VLOOKUP(DATA!#REF!,DATA!#REF!,1,FALSE),"")</f>
        <v/>
      </c>
      <c r="D956" s="16" t="str">
        <f>IFERROR(VLOOKUP(C956,DATA!#REF!,2,FALSE),"")</f>
        <v/>
      </c>
    </row>
    <row r="957" spans="2:4" s="230" customFormat="1">
      <c r="B957" s="15" t="str">
        <f t="shared" si="41"/>
        <v/>
      </c>
      <c r="C957" s="16" t="str">
        <f>IFERROR(VLOOKUP(DATA!#REF!,DATA!#REF!,1,FALSE),"")</f>
        <v/>
      </c>
      <c r="D957" s="16" t="str">
        <f>IFERROR(VLOOKUP(C957,DATA!#REF!,2,FALSE),"")</f>
        <v/>
      </c>
    </row>
    <row r="958" spans="2:4" s="230" customFormat="1">
      <c r="B958" s="15" t="str">
        <f t="shared" si="41"/>
        <v/>
      </c>
      <c r="C958" s="16" t="str">
        <f>IFERROR(VLOOKUP(DATA!#REF!,DATA!#REF!,1,FALSE),"")</f>
        <v/>
      </c>
      <c r="D958" s="16" t="str">
        <f>IFERROR(VLOOKUP(C958,DATA!#REF!,2,FALSE),"")</f>
        <v/>
      </c>
    </row>
    <row r="959" spans="2:4" s="230" customFormat="1">
      <c r="B959" s="15" t="str">
        <f t="shared" si="41"/>
        <v/>
      </c>
      <c r="C959" s="16" t="str">
        <f>IFERROR(VLOOKUP(DATA!#REF!,DATA!#REF!,1,FALSE),"")</f>
        <v/>
      </c>
      <c r="D959" s="16" t="str">
        <f>IFERROR(VLOOKUP(C959,DATA!#REF!,2,FALSE),"")</f>
        <v/>
      </c>
    </row>
    <row r="960" spans="2:4" s="230" customFormat="1">
      <c r="B960" s="15" t="str">
        <f t="shared" si="41"/>
        <v/>
      </c>
      <c r="C960" s="16" t="str">
        <f>IFERROR(VLOOKUP(DATA!#REF!,DATA!#REF!,1,FALSE),"")</f>
        <v/>
      </c>
      <c r="D960" s="16" t="str">
        <f>IFERROR(VLOOKUP(C960,DATA!#REF!,2,FALSE),"")</f>
        <v/>
      </c>
    </row>
    <row r="961" spans="2:4" s="230" customFormat="1">
      <c r="B961" s="15" t="str">
        <f t="shared" si="41"/>
        <v/>
      </c>
      <c r="C961" s="16" t="str">
        <f>IFERROR(VLOOKUP(DATA!#REF!,DATA!#REF!,1,FALSE),"")</f>
        <v/>
      </c>
      <c r="D961" s="16" t="str">
        <f>IFERROR(VLOOKUP(C961,DATA!#REF!,2,FALSE),"")</f>
        <v/>
      </c>
    </row>
    <row r="962" spans="2:4" s="230" customFormat="1">
      <c r="B962" s="15" t="str">
        <f t="shared" si="41"/>
        <v/>
      </c>
      <c r="C962" s="16" t="str">
        <f>IFERROR(VLOOKUP(DATA!#REF!,DATA!#REF!,1,FALSE),"")</f>
        <v/>
      </c>
      <c r="D962" s="16" t="str">
        <f>IFERROR(VLOOKUP(C962,DATA!#REF!,2,FALSE),"")</f>
        <v/>
      </c>
    </row>
    <row r="963" spans="2:4" s="230" customFormat="1">
      <c r="B963" s="15" t="str">
        <f t="shared" si="41"/>
        <v/>
      </c>
      <c r="C963" s="16" t="str">
        <f>IFERROR(VLOOKUP(DATA!#REF!,DATA!#REF!,1,FALSE),"")</f>
        <v/>
      </c>
      <c r="D963" s="16" t="str">
        <f>IFERROR(VLOOKUP(C963,DATA!#REF!,2,FALSE),"")</f>
        <v/>
      </c>
    </row>
    <row r="964" spans="2:4" s="230" customFormat="1">
      <c r="B964" s="15" t="str">
        <f t="shared" si="41"/>
        <v/>
      </c>
      <c r="C964" s="16" t="str">
        <f>IFERROR(VLOOKUP(DATA!#REF!,DATA!#REF!,1,FALSE),"")</f>
        <v/>
      </c>
      <c r="D964" s="16" t="str">
        <f>IFERROR(VLOOKUP(C964,DATA!#REF!,2,FALSE),"")</f>
        <v/>
      </c>
    </row>
    <row r="965" spans="2:4" s="230" customFormat="1">
      <c r="B965" s="15" t="str">
        <f t="shared" si="41"/>
        <v/>
      </c>
      <c r="C965" s="16" t="str">
        <f>IFERROR(VLOOKUP(DATA!#REF!,DATA!#REF!,1,FALSE),"")</f>
        <v/>
      </c>
      <c r="D965" s="16" t="str">
        <f>IFERROR(VLOOKUP(C965,DATA!#REF!,2,FALSE),"")</f>
        <v/>
      </c>
    </row>
    <row r="966" spans="2:4" s="230" customFormat="1">
      <c r="B966" s="15" t="str">
        <f t="shared" ref="B966:B1029" si="42">+IF(C966="","",ROW()-5)</f>
        <v/>
      </c>
      <c r="C966" s="16" t="str">
        <f>IFERROR(VLOOKUP(DATA!#REF!,DATA!#REF!,1,FALSE),"")</f>
        <v/>
      </c>
      <c r="D966" s="16" t="str">
        <f>IFERROR(VLOOKUP(C966,DATA!#REF!,2,FALSE),"")</f>
        <v/>
      </c>
    </row>
    <row r="967" spans="2:4" s="230" customFormat="1">
      <c r="B967" s="15" t="str">
        <f t="shared" si="42"/>
        <v/>
      </c>
      <c r="C967" s="16" t="str">
        <f>IFERROR(VLOOKUP(DATA!#REF!,DATA!#REF!,1,FALSE),"")</f>
        <v/>
      </c>
      <c r="D967" s="16" t="str">
        <f>IFERROR(VLOOKUP(C967,DATA!#REF!,2,FALSE),"")</f>
        <v/>
      </c>
    </row>
    <row r="968" spans="2:4" s="230" customFormat="1">
      <c r="B968" s="15" t="str">
        <f t="shared" si="42"/>
        <v/>
      </c>
      <c r="C968" s="16" t="str">
        <f>IFERROR(VLOOKUP(DATA!#REF!,DATA!#REF!,1,FALSE),"")</f>
        <v/>
      </c>
      <c r="D968" s="16" t="str">
        <f>IFERROR(VLOOKUP(C968,DATA!#REF!,2,FALSE),"")</f>
        <v/>
      </c>
    </row>
    <row r="969" spans="2:4" s="230" customFormat="1">
      <c r="B969" s="15" t="str">
        <f t="shared" si="42"/>
        <v/>
      </c>
      <c r="C969" s="16" t="str">
        <f>IFERROR(VLOOKUP(DATA!#REF!,DATA!#REF!,1,FALSE),"")</f>
        <v/>
      </c>
      <c r="D969" s="16" t="str">
        <f>IFERROR(VLOOKUP(C969,DATA!#REF!,2,FALSE),"")</f>
        <v/>
      </c>
    </row>
    <row r="970" spans="2:4" s="230" customFormat="1">
      <c r="B970" s="15" t="str">
        <f t="shared" si="42"/>
        <v/>
      </c>
      <c r="C970" s="16" t="str">
        <f>IFERROR(VLOOKUP(DATA!#REF!,DATA!#REF!,1,FALSE),"")</f>
        <v/>
      </c>
      <c r="D970" s="16" t="str">
        <f>IFERROR(VLOOKUP(C970,DATA!#REF!,2,FALSE),"")</f>
        <v/>
      </c>
    </row>
    <row r="971" spans="2:4" s="230" customFormat="1">
      <c r="B971" s="15" t="str">
        <f t="shared" si="42"/>
        <v/>
      </c>
      <c r="C971" s="16" t="str">
        <f>IFERROR(VLOOKUP(DATA!#REF!,DATA!#REF!,1,FALSE),"")</f>
        <v/>
      </c>
      <c r="D971" s="16" t="str">
        <f>IFERROR(VLOOKUP(C971,DATA!#REF!,2,FALSE),"")</f>
        <v/>
      </c>
    </row>
    <row r="972" spans="2:4" s="230" customFormat="1">
      <c r="B972" s="15" t="str">
        <f t="shared" si="42"/>
        <v/>
      </c>
      <c r="C972" s="16" t="str">
        <f>IFERROR(VLOOKUP(DATA!#REF!,DATA!#REF!,1,FALSE),"")</f>
        <v/>
      </c>
      <c r="D972" s="16" t="str">
        <f>IFERROR(VLOOKUP(C972,DATA!#REF!,2,FALSE),"")</f>
        <v/>
      </c>
    </row>
    <row r="973" spans="2:4" s="230" customFormat="1">
      <c r="B973" s="15" t="str">
        <f t="shared" si="42"/>
        <v/>
      </c>
      <c r="C973" s="16" t="str">
        <f>IFERROR(VLOOKUP(DATA!#REF!,DATA!#REF!,1,FALSE),"")</f>
        <v/>
      </c>
      <c r="D973" s="16" t="str">
        <f>IFERROR(VLOOKUP(C973,DATA!#REF!,2,FALSE),"")</f>
        <v/>
      </c>
    </row>
    <row r="974" spans="2:4" s="230" customFormat="1">
      <c r="B974" s="15" t="str">
        <f t="shared" si="42"/>
        <v/>
      </c>
      <c r="C974" s="16" t="str">
        <f>IFERROR(VLOOKUP(DATA!#REF!,DATA!#REF!,1,FALSE),"")</f>
        <v/>
      </c>
      <c r="D974" s="16" t="str">
        <f>IFERROR(VLOOKUP(C974,DATA!#REF!,2,FALSE),"")</f>
        <v/>
      </c>
    </row>
    <row r="975" spans="2:4" s="230" customFormat="1">
      <c r="B975" s="15" t="str">
        <f t="shared" si="42"/>
        <v/>
      </c>
      <c r="C975" s="16" t="str">
        <f>IFERROR(VLOOKUP(DATA!#REF!,DATA!#REF!,1,FALSE),"")</f>
        <v/>
      </c>
      <c r="D975" s="16" t="str">
        <f>IFERROR(VLOOKUP(C975,DATA!#REF!,2,FALSE),"")</f>
        <v/>
      </c>
    </row>
    <row r="976" spans="2:4" s="230" customFormat="1">
      <c r="B976" s="15" t="str">
        <f t="shared" si="42"/>
        <v/>
      </c>
      <c r="C976" s="16" t="str">
        <f>IFERROR(VLOOKUP(DATA!#REF!,DATA!#REF!,1,FALSE),"")</f>
        <v/>
      </c>
      <c r="D976" s="16" t="str">
        <f>IFERROR(VLOOKUP(C976,DATA!#REF!,2,FALSE),"")</f>
        <v/>
      </c>
    </row>
    <row r="977" spans="2:4" s="230" customFormat="1">
      <c r="B977" s="15" t="str">
        <f t="shared" si="42"/>
        <v/>
      </c>
      <c r="C977" s="16" t="str">
        <f>IFERROR(VLOOKUP(DATA!#REF!,DATA!#REF!,1,FALSE),"")</f>
        <v/>
      </c>
      <c r="D977" s="16" t="str">
        <f>IFERROR(VLOOKUP(C977,DATA!#REF!,2,FALSE),"")</f>
        <v/>
      </c>
    </row>
    <row r="978" spans="2:4" s="230" customFormat="1">
      <c r="B978" s="15" t="str">
        <f t="shared" si="42"/>
        <v/>
      </c>
      <c r="C978" s="16" t="str">
        <f>IFERROR(VLOOKUP(DATA!#REF!,DATA!#REF!,1,FALSE),"")</f>
        <v/>
      </c>
      <c r="D978" s="16" t="str">
        <f>IFERROR(VLOOKUP(C978,DATA!#REF!,2,FALSE),"")</f>
        <v/>
      </c>
    </row>
    <row r="979" spans="2:4" s="230" customFormat="1">
      <c r="B979" s="15" t="str">
        <f t="shared" si="42"/>
        <v/>
      </c>
      <c r="C979" s="16" t="str">
        <f>IFERROR(VLOOKUP(DATA!#REF!,DATA!#REF!,1,FALSE),"")</f>
        <v/>
      </c>
      <c r="D979" s="16" t="str">
        <f>IFERROR(VLOOKUP(C979,DATA!#REF!,2,FALSE),"")</f>
        <v/>
      </c>
    </row>
    <row r="980" spans="2:4" s="230" customFormat="1">
      <c r="B980" s="15" t="str">
        <f t="shared" si="42"/>
        <v/>
      </c>
      <c r="C980" s="16" t="str">
        <f>IFERROR(VLOOKUP(DATA!#REF!,DATA!#REF!,1,FALSE),"")</f>
        <v/>
      </c>
      <c r="D980" s="16" t="str">
        <f>IFERROR(VLOOKUP(C980,DATA!#REF!,2,FALSE),"")</f>
        <v/>
      </c>
    </row>
    <row r="981" spans="2:4" s="230" customFormat="1">
      <c r="B981" s="15" t="str">
        <f t="shared" si="42"/>
        <v/>
      </c>
      <c r="C981" s="16" t="str">
        <f>IFERROR(VLOOKUP(DATA!#REF!,DATA!#REF!,1,FALSE),"")</f>
        <v/>
      </c>
      <c r="D981" s="16" t="str">
        <f>IFERROR(VLOOKUP(C981,DATA!#REF!,2,FALSE),"")</f>
        <v/>
      </c>
    </row>
    <row r="982" spans="2:4" s="230" customFormat="1">
      <c r="B982" s="15" t="str">
        <f t="shared" si="42"/>
        <v/>
      </c>
      <c r="C982" s="16" t="str">
        <f>IFERROR(VLOOKUP(DATA!#REF!,DATA!#REF!,1,FALSE),"")</f>
        <v/>
      </c>
      <c r="D982" s="16" t="str">
        <f>IFERROR(VLOOKUP(C982,DATA!#REF!,2,FALSE),"")</f>
        <v/>
      </c>
    </row>
    <row r="983" spans="2:4" s="230" customFormat="1">
      <c r="B983" s="15" t="str">
        <f t="shared" si="42"/>
        <v/>
      </c>
      <c r="C983" s="16" t="str">
        <f>IFERROR(VLOOKUP(DATA!#REF!,DATA!#REF!,1,FALSE),"")</f>
        <v/>
      </c>
      <c r="D983" s="16" t="str">
        <f>IFERROR(VLOOKUP(C983,DATA!#REF!,2,FALSE),"")</f>
        <v/>
      </c>
    </row>
    <row r="984" spans="2:4" s="230" customFormat="1">
      <c r="B984" s="15" t="str">
        <f t="shared" si="42"/>
        <v/>
      </c>
      <c r="C984" s="16" t="str">
        <f>IFERROR(VLOOKUP(DATA!#REF!,DATA!#REF!,1,FALSE),"")</f>
        <v/>
      </c>
      <c r="D984" s="16" t="str">
        <f>IFERROR(VLOOKUP(C984,DATA!#REF!,2,FALSE),"")</f>
        <v/>
      </c>
    </row>
    <row r="985" spans="2:4" s="230" customFormat="1">
      <c r="B985" s="15" t="str">
        <f t="shared" si="42"/>
        <v/>
      </c>
      <c r="C985" s="16" t="str">
        <f>IFERROR(VLOOKUP(DATA!#REF!,DATA!#REF!,1,FALSE),"")</f>
        <v/>
      </c>
      <c r="D985" s="16" t="str">
        <f>IFERROR(VLOOKUP(C985,DATA!#REF!,2,FALSE),"")</f>
        <v/>
      </c>
    </row>
    <row r="986" spans="2:4" s="230" customFormat="1">
      <c r="B986" s="15" t="str">
        <f t="shared" si="42"/>
        <v/>
      </c>
      <c r="C986" s="16" t="str">
        <f>IFERROR(VLOOKUP(DATA!#REF!,DATA!#REF!,1,FALSE),"")</f>
        <v/>
      </c>
      <c r="D986" s="16" t="str">
        <f>IFERROR(VLOOKUP(C986,DATA!#REF!,2,FALSE),"")</f>
        <v/>
      </c>
    </row>
    <row r="987" spans="2:4" s="230" customFormat="1">
      <c r="B987" s="15" t="str">
        <f t="shared" si="42"/>
        <v/>
      </c>
      <c r="C987" s="16" t="str">
        <f>IFERROR(VLOOKUP(DATA!#REF!,DATA!#REF!,1,FALSE),"")</f>
        <v/>
      </c>
      <c r="D987" s="16" t="str">
        <f>IFERROR(VLOOKUP(C987,DATA!#REF!,2,FALSE),"")</f>
        <v/>
      </c>
    </row>
    <row r="988" spans="2:4" s="230" customFormat="1">
      <c r="B988" s="15" t="str">
        <f t="shared" si="42"/>
        <v/>
      </c>
      <c r="C988" s="16" t="str">
        <f>IFERROR(VLOOKUP(DATA!#REF!,DATA!#REF!,1,FALSE),"")</f>
        <v/>
      </c>
      <c r="D988" s="16" t="str">
        <f>IFERROR(VLOOKUP(C988,DATA!#REF!,2,FALSE),"")</f>
        <v/>
      </c>
    </row>
    <row r="989" spans="2:4" s="230" customFormat="1">
      <c r="B989" s="15" t="str">
        <f t="shared" si="42"/>
        <v/>
      </c>
      <c r="C989" s="16" t="str">
        <f>IFERROR(VLOOKUP(DATA!#REF!,DATA!#REF!,1,FALSE),"")</f>
        <v/>
      </c>
      <c r="D989" s="16" t="str">
        <f>IFERROR(VLOOKUP(C989,DATA!#REF!,2,FALSE),"")</f>
        <v/>
      </c>
    </row>
    <row r="990" spans="2:4" s="230" customFormat="1">
      <c r="B990" s="15" t="str">
        <f t="shared" si="42"/>
        <v/>
      </c>
      <c r="C990" s="16" t="str">
        <f>IFERROR(VLOOKUP(DATA!#REF!,DATA!#REF!,1,FALSE),"")</f>
        <v/>
      </c>
      <c r="D990" s="16" t="str">
        <f>IFERROR(VLOOKUP(C990,DATA!#REF!,2,FALSE),"")</f>
        <v/>
      </c>
    </row>
    <row r="991" spans="2:4" s="230" customFormat="1">
      <c r="B991" s="15" t="str">
        <f t="shared" si="42"/>
        <v/>
      </c>
      <c r="C991" s="16" t="str">
        <f>IFERROR(VLOOKUP(DATA!#REF!,DATA!#REF!,1,FALSE),"")</f>
        <v/>
      </c>
      <c r="D991" s="16" t="str">
        <f>IFERROR(VLOOKUP(C991,DATA!#REF!,2,FALSE),"")</f>
        <v/>
      </c>
    </row>
    <row r="992" spans="2:4" s="230" customFormat="1">
      <c r="B992" s="15" t="str">
        <f t="shared" si="42"/>
        <v/>
      </c>
      <c r="C992" s="16" t="str">
        <f>IFERROR(VLOOKUP(DATA!#REF!,DATA!#REF!,1,FALSE),"")</f>
        <v/>
      </c>
      <c r="D992" s="16" t="str">
        <f>IFERROR(VLOOKUP(C992,DATA!#REF!,2,FALSE),"")</f>
        <v/>
      </c>
    </row>
    <row r="993" spans="2:4" s="230" customFormat="1">
      <c r="B993" s="15" t="str">
        <f t="shared" si="42"/>
        <v/>
      </c>
      <c r="C993" s="16" t="str">
        <f>IFERROR(VLOOKUP(DATA!#REF!,DATA!#REF!,1,FALSE),"")</f>
        <v/>
      </c>
      <c r="D993" s="16" t="str">
        <f>IFERROR(VLOOKUP(C993,DATA!#REF!,2,FALSE),"")</f>
        <v/>
      </c>
    </row>
    <row r="994" spans="2:4" s="230" customFormat="1">
      <c r="B994" s="15" t="str">
        <f t="shared" si="42"/>
        <v/>
      </c>
      <c r="C994" s="16" t="str">
        <f>IFERROR(VLOOKUP(DATA!#REF!,DATA!#REF!,1,FALSE),"")</f>
        <v/>
      </c>
      <c r="D994" s="16" t="str">
        <f>IFERROR(VLOOKUP(C994,DATA!#REF!,2,FALSE),"")</f>
        <v/>
      </c>
    </row>
    <row r="995" spans="2:4" s="230" customFormat="1">
      <c r="B995" s="15" t="str">
        <f t="shared" si="42"/>
        <v/>
      </c>
      <c r="C995" s="16" t="str">
        <f>IFERROR(VLOOKUP(DATA!#REF!,DATA!#REF!,1,FALSE),"")</f>
        <v/>
      </c>
      <c r="D995" s="16" t="str">
        <f>IFERROR(VLOOKUP(C995,DATA!#REF!,2,FALSE),"")</f>
        <v/>
      </c>
    </row>
    <row r="996" spans="2:4" s="230" customFormat="1">
      <c r="B996" s="15" t="str">
        <f t="shared" si="42"/>
        <v/>
      </c>
      <c r="C996" s="16" t="str">
        <f>IFERROR(VLOOKUP(DATA!#REF!,DATA!#REF!,1,FALSE),"")</f>
        <v/>
      </c>
      <c r="D996" s="16" t="str">
        <f>IFERROR(VLOOKUP(C996,DATA!#REF!,2,FALSE),"")</f>
        <v/>
      </c>
    </row>
    <row r="997" spans="2:4" s="230" customFormat="1">
      <c r="B997" s="15" t="str">
        <f t="shared" si="42"/>
        <v/>
      </c>
      <c r="C997" s="16" t="str">
        <f>IFERROR(VLOOKUP(DATA!#REF!,DATA!#REF!,1,FALSE),"")</f>
        <v/>
      </c>
      <c r="D997" s="16" t="str">
        <f>IFERROR(VLOOKUP(C997,DATA!#REF!,2,FALSE),"")</f>
        <v/>
      </c>
    </row>
    <row r="998" spans="2:4" s="230" customFormat="1">
      <c r="B998" s="15" t="str">
        <f t="shared" si="42"/>
        <v/>
      </c>
      <c r="C998" s="16" t="str">
        <f>IFERROR(VLOOKUP(DATA!#REF!,DATA!#REF!,1,FALSE),"")</f>
        <v/>
      </c>
      <c r="D998" s="16" t="str">
        <f>IFERROR(VLOOKUP(C998,DATA!#REF!,2,FALSE),"")</f>
        <v/>
      </c>
    </row>
    <row r="999" spans="2:4" s="230" customFormat="1">
      <c r="B999" s="15" t="str">
        <f t="shared" si="42"/>
        <v/>
      </c>
      <c r="C999" s="16" t="str">
        <f>IFERROR(VLOOKUP(DATA!#REF!,DATA!#REF!,1,FALSE),"")</f>
        <v/>
      </c>
      <c r="D999" s="16" t="str">
        <f>IFERROR(VLOOKUP(C999,DATA!#REF!,2,FALSE),"")</f>
        <v/>
      </c>
    </row>
    <row r="1000" spans="2:4" s="230" customFormat="1">
      <c r="B1000" s="15" t="str">
        <f t="shared" si="42"/>
        <v/>
      </c>
      <c r="C1000" s="16" t="str">
        <f>IFERROR(VLOOKUP(DATA!#REF!,DATA!#REF!,1,FALSE),"")</f>
        <v/>
      </c>
      <c r="D1000" s="16" t="str">
        <f>IFERROR(VLOOKUP(C1000,DATA!#REF!,2,FALSE),"")</f>
        <v/>
      </c>
    </row>
    <row r="1001" spans="2:4" s="230" customFormat="1">
      <c r="B1001" s="15" t="str">
        <f t="shared" si="42"/>
        <v/>
      </c>
      <c r="C1001" s="16" t="str">
        <f>IFERROR(VLOOKUP(DATA!#REF!,DATA!#REF!,1,FALSE),"")</f>
        <v/>
      </c>
      <c r="D1001" s="16" t="str">
        <f>IFERROR(VLOOKUP(C1001,DATA!#REF!,2,FALSE),"")</f>
        <v/>
      </c>
    </row>
    <row r="1002" spans="2:4" s="230" customFormat="1">
      <c r="B1002" s="15" t="str">
        <f t="shared" si="42"/>
        <v/>
      </c>
      <c r="C1002" s="16" t="str">
        <f>IFERROR(VLOOKUP(DATA!#REF!,DATA!#REF!,1,FALSE),"")</f>
        <v/>
      </c>
      <c r="D1002" s="16" t="str">
        <f>IFERROR(VLOOKUP(C1002,DATA!#REF!,2,FALSE),"")</f>
        <v/>
      </c>
    </row>
    <row r="1003" spans="2:4" s="230" customFormat="1">
      <c r="B1003" s="15" t="str">
        <f t="shared" si="42"/>
        <v/>
      </c>
      <c r="C1003" s="16" t="str">
        <f>IFERROR(VLOOKUP(DATA!#REF!,DATA!#REF!,1,FALSE),"")</f>
        <v/>
      </c>
      <c r="D1003" s="16" t="str">
        <f>IFERROR(VLOOKUP(C1003,DATA!#REF!,2,FALSE),"")</f>
        <v/>
      </c>
    </row>
    <row r="1004" spans="2:4" s="230" customFormat="1">
      <c r="B1004" s="15" t="str">
        <f t="shared" si="42"/>
        <v/>
      </c>
      <c r="C1004" s="16" t="str">
        <f>IFERROR(VLOOKUP(DATA!#REF!,DATA!#REF!,1,FALSE),"")</f>
        <v/>
      </c>
      <c r="D1004" s="16" t="str">
        <f>IFERROR(VLOOKUP(C1004,DATA!#REF!,2,FALSE),"")</f>
        <v/>
      </c>
    </row>
    <row r="1005" spans="2:4" s="230" customFormat="1">
      <c r="B1005" s="15" t="str">
        <f t="shared" si="42"/>
        <v/>
      </c>
      <c r="C1005" s="16" t="str">
        <f>IFERROR(VLOOKUP(DATA!#REF!,DATA!#REF!,1,FALSE),"")</f>
        <v/>
      </c>
      <c r="D1005" s="16" t="str">
        <f>IFERROR(VLOOKUP(C1005,DATA!#REF!,2,FALSE),"")</f>
        <v/>
      </c>
    </row>
    <row r="1006" spans="2:4" s="230" customFormat="1">
      <c r="B1006" s="15" t="str">
        <f t="shared" si="42"/>
        <v/>
      </c>
      <c r="C1006" s="16" t="str">
        <f>IFERROR(VLOOKUP(DATA!#REF!,DATA!#REF!,1,FALSE),"")</f>
        <v/>
      </c>
      <c r="D1006" s="16" t="str">
        <f>IFERROR(VLOOKUP(C1006,DATA!#REF!,2,FALSE),"")</f>
        <v/>
      </c>
    </row>
    <row r="1007" spans="2:4" s="230" customFormat="1">
      <c r="B1007" s="15" t="str">
        <f t="shared" si="42"/>
        <v/>
      </c>
      <c r="C1007" s="16" t="str">
        <f>IFERROR(VLOOKUP(DATA!#REF!,DATA!#REF!,1,FALSE),"")</f>
        <v/>
      </c>
      <c r="D1007" s="16" t="str">
        <f>IFERROR(VLOOKUP(C1007,DATA!#REF!,2,FALSE),"")</f>
        <v/>
      </c>
    </row>
    <row r="1008" spans="2:4" s="230" customFormat="1">
      <c r="B1008" s="15" t="str">
        <f t="shared" si="42"/>
        <v/>
      </c>
      <c r="C1008" s="16" t="str">
        <f>IFERROR(VLOOKUP(DATA!#REF!,DATA!#REF!,1,FALSE),"")</f>
        <v/>
      </c>
      <c r="D1008" s="16" t="str">
        <f>IFERROR(VLOOKUP(C1008,DATA!#REF!,2,FALSE),"")</f>
        <v/>
      </c>
    </row>
    <row r="1009" spans="2:4" s="230" customFormat="1">
      <c r="B1009" s="15" t="str">
        <f t="shared" si="42"/>
        <v/>
      </c>
      <c r="C1009" s="16" t="str">
        <f>IFERROR(VLOOKUP(DATA!#REF!,DATA!#REF!,1,FALSE),"")</f>
        <v/>
      </c>
      <c r="D1009" s="16" t="str">
        <f>IFERROR(VLOOKUP(C1009,DATA!#REF!,2,FALSE),"")</f>
        <v/>
      </c>
    </row>
    <row r="1010" spans="2:4" s="230" customFormat="1">
      <c r="B1010" s="15" t="str">
        <f t="shared" si="42"/>
        <v/>
      </c>
      <c r="C1010" s="16" t="str">
        <f>IFERROR(VLOOKUP(DATA!#REF!,DATA!#REF!,1,FALSE),"")</f>
        <v/>
      </c>
      <c r="D1010" s="16" t="str">
        <f>IFERROR(VLOOKUP(C1010,DATA!#REF!,2,FALSE),"")</f>
        <v/>
      </c>
    </row>
    <row r="1011" spans="2:4" s="230" customFormat="1">
      <c r="B1011" s="15" t="str">
        <f t="shared" si="42"/>
        <v/>
      </c>
      <c r="C1011" s="16" t="str">
        <f>IFERROR(VLOOKUP(DATA!#REF!,DATA!#REF!,1,FALSE),"")</f>
        <v/>
      </c>
      <c r="D1011" s="16" t="str">
        <f>IFERROR(VLOOKUP(C1011,DATA!#REF!,2,FALSE),"")</f>
        <v/>
      </c>
    </row>
    <row r="1012" spans="2:4" s="230" customFormat="1">
      <c r="B1012" s="15" t="str">
        <f t="shared" si="42"/>
        <v/>
      </c>
      <c r="C1012" s="16" t="str">
        <f>IFERROR(VLOOKUP(DATA!#REF!,DATA!#REF!,1,FALSE),"")</f>
        <v/>
      </c>
      <c r="D1012" s="16" t="str">
        <f>IFERROR(VLOOKUP(C1012,DATA!#REF!,2,FALSE),"")</f>
        <v/>
      </c>
    </row>
    <row r="1013" spans="2:4" s="230" customFormat="1">
      <c r="B1013" s="15" t="str">
        <f t="shared" si="42"/>
        <v/>
      </c>
      <c r="C1013" s="16" t="str">
        <f>IFERROR(VLOOKUP(DATA!#REF!,DATA!#REF!,1,FALSE),"")</f>
        <v/>
      </c>
      <c r="D1013" s="16" t="str">
        <f>IFERROR(VLOOKUP(C1013,DATA!#REF!,2,FALSE),"")</f>
        <v/>
      </c>
    </row>
    <row r="1014" spans="2:4" s="230" customFormat="1">
      <c r="B1014" s="15" t="str">
        <f t="shared" si="42"/>
        <v/>
      </c>
      <c r="C1014" s="16" t="str">
        <f>IFERROR(VLOOKUP(DATA!#REF!,DATA!#REF!,1,FALSE),"")</f>
        <v/>
      </c>
      <c r="D1014" s="16" t="str">
        <f>IFERROR(VLOOKUP(C1014,DATA!#REF!,2,FALSE),"")</f>
        <v/>
      </c>
    </row>
    <row r="1015" spans="2:4" s="230" customFormat="1">
      <c r="B1015" s="15" t="str">
        <f t="shared" si="42"/>
        <v/>
      </c>
      <c r="C1015" s="16" t="str">
        <f>IFERROR(VLOOKUP(DATA!#REF!,DATA!#REF!,1,FALSE),"")</f>
        <v/>
      </c>
      <c r="D1015" s="16" t="str">
        <f>IFERROR(VLOOKUP(C1015,DATA!#REF!,2,FALSE),"")</f>
        <v/>
      </c>
    </row>
    <row r="1016" spans="2:4" s="230" customFormat="1">
      <c r="B1016" s="15" t="str">
        <f t="shared" si="42"/>
        <v/>
      </c>
      <c r="C1016" s="16" t="str">
        <f>IFERROR(VLOOKUP(DATA!#REF!,DATA!#REF!,1,FALSE),"")</f>
        <v/>
      </c>
      <c r="D1016" s="16" t="str">
        <f>IFERROR(VLOOKUP(C1016,DATA!#REF!,2,FALSE),"")</f>
        <v/>
      </c>
    </row>
    <row r="1017" spans="2:4" s="230" customFormat="1">
      <c r="B1017" s="15" t="str">
        <f t="shared" si="42"/>
        <v/>
      </c>
      <c r="C1017" s="16" t="str">
        <f>IFERROR(VLOOKUP(DATA!#REF!,DATA!#REF!,1,FALSE),"")</f>
        <v/>
      </c>
      <c r="D1017" s="16" t="str">
        <f>IFERROR(VLOOKUP(C1017,DATA!#REF!,2,FALSE),"")</f>
        <v/>
      </c>
    </row>
    <row r="1018" spans="2:4" s="230" customFormat="1">
      <c r="B1018" s="15" t="str">
        <f t="shared" si="42"/>
        <v/>
      </c>
      <c r="C1018" s="16" t="str">
        <f>IFERROR(VLOOKUP(DATA!#REF!,DATA!#REF!,1,FALSE),"")</f>
        <v/>
      </c>
      <c r="D1018" s="16" t="str">
        <f>IFERROR(VLOOKUP(C1018,DATA!#REF!,2,FALSE),"")</f>
        <v/>
      </c>
    </row>
    <row r="1019" spans="2:4" s="230" customFormat="1">
      <c r="B1019" s="15" t="str">
        <f t="shared" si="42"/>
        <v/>
      </c>
      <c r="C1019" s="16" t="str">
        <f>IFERROR(VLOOKUP(DATA!#REF!,DATA!#REF!,1,FALSE),"")</f>
        <v/>
      </c>
      <c r="D1019" s="16" t="str">
        <f>IFERROR(VLOOKUP(C1019,DATA!#REF!,2,FALSE),"")</f>
        <v/>
      </c>
    </row>
    <row r="1020" spans="2:4" s="230" customFormat="1">
      <c r="B1020" s="15" t="str">
        <f t="shared" si="42"/>
        <v/>
      </c>
      <c r="C1020" s="16" t="str">
        <f>IFERROR(VLOOKUP(DATA!#REF!,DATA!#REF!,1,FALSE),"")</f>
        <v/>
      </c>
      <c r="D1020" s="16" t="str">
        <f>IFERROR(VLOOKUP(C1020,DATA!#REF!,2,FALSE),"")</f>
        <v/>
      </c>
    </row>
    <row r="1021" spans="2:4" s="230" customFormat="1">
      <c r="B1021" s="15" t="str">
        <f t="shared" si="42"/>
        <v/>
      </c>
      <c r="C1021" s="16" t="str">
        <f>IFERROR(VLOOKUP(DATA!#REF!,DATA!#REF!,1,FALSE),"")</f>
        <v/>
      </c>
      <c r="D1021" s="16" t="str">
        <f>IFERROR(VLOOKUP(C1021,DATA!#REF!,2,FALSE),"")</f>
        <v/>
      </c>
    </row>
    <row r="1022" spans="2:4" s="230" customFormat="1">
      <c r="B1022" s="15" t="str">
        <f t="shared" si="42"/>
        <v/>
      </c>
      <c r="C1022" s="16" t="str">
        <f>IFERROR(VLOOKUP(DATA!#REF!,DATA!#REF!,1,FALSE),"")</f>
        <v/>
      </c>
      <c r="D1022" s="16" t="str">
        <f>IFERROR(VLOOKUP(C1022,DATA!#REF!,2,FALSE),"")</f>
        <v/>
      </c>
    </row>
    <row r="1023" spans="2:4" s="230" customFormat="1">
      <c r="B1023" s="15" t="str">
        <f t="shared" si="42"/>
        <v/>
      </c>
      <c r="C1023" s="16" t="str">
        <f>IFERROR(VLOOKUP(DATA!#REF!,DATA!#REF!,1,FALSE),"")</f>
        <v/>
      </c>
      <c r="D1023" s="16" t="str">
        <f>IFERROR(VLOOKUP(C1023,DATA!#REF!,2,FALSE),"")</f>
        <v/>
      </c>
    </row>
    <row r="1024" spans="2:4" s="230" customFormat="1">
      <c r="B1024" s="15" t="str">
        <f t="shared" si="42"/>
        <v/>
      </c>
      <c r="C1024" s="16" t="str">
        <f>IFERROR(VLOOKUP(DATA!#REF!,DATA!#REF!,1,FALSE),"")</f>
        <v/>
      </c>
      <c r="D1024" s="16" t="str">
        <f>IFERROR(VLOOKUP(C1024,DATA!#REF!,2,FALSE),"")</f>
        <v/>
      </c>
    </row>
    <row r="1025" spans="2:4" s="230" customFormat="1">
      <c r="B1025" s="15" t="str">
        <f t="shared" si="42"/>
        <v/>
      </c>
      <c r="C1025" s="16" t="str">
        <f>IFERROR(VLOOKUP(DATA!#REF!,DATA!#REF!,1,FALSE),"")</f>
        <v/>
      </c>
      <c r="D1025" s="16" t="str">
        <f>IFERROR(VLOOKUP(C1025,DATA!#REF!,2,FALSE),"")</f>
        <v/>
      </c>
    </row>
    <row r="1026" spans="2:4" s="230" customFormat="1">
      <c r="B1026" s="15" t="str">
        <f t="shared" si="42"/>
        <v/>
      </c>
      <c r="C1026" s="16" t="str">
        <f>IFERROR(VLOOKUP(DATA!#REF!,DATA!#REF!,1,FALSE),"")</f>
        <v/>
      </c>
      <c r="D1026" s="16" t="str">
        <f>IFERROR(VLOOKUP(C1026,DATA!#REF!,2,FALSE),"")</f>
        <v/>
      </c>
    </row>
    <row r="1027" spans="2:4" s="230" customFormat="1">
      <c r="B1027" s="15" t="str">
        <f t="shared" si="42"/>
        <v/>
      </c>
      <c r="C1027" s="16" t="str">
        <f>IFERROR(VLOOKUP(DATA!#REF!,DATA!#REF!,1,FALSE),"")</f>
        <v/>
      </c>
      <c r="D1027" s="16" t="str">
        <f>IFERROR(VLOOKUP(C1027,DATA!#REF!,2,FALSE),"")</f>
        <v/>
      </c>
    </row>
    <row r="1028" spans="2:4" s="230" customFormat="1">
      <c r="B1028" s="15" t="str">
        <f t="shared" si="42"/>
        <v/>
      </c>
      <c r="C1028" s="16" t="str">
        <f>IFERROR(VLOOKUP(DATA!#REF!,DATA!#REF!,1,FALSE),"")</f>
        <v/>
      </c>
      <c r="D1028" s="16" t="str">
        <f>IFERROR(VLOOKUP(C1028,DATA!#REF!,2,FALSE),"")</f>
        <v/>
      </c>
    </row>
    <row r="1029" spans="2:4" s="230" customFormat="1">
      <c r="B1029" s="15" t="str">
        <f t="shared" si="42"/>
        <v/>
      </c>
      <c r="C1029" s="16" t="str">
        <f>IFERROR(VLOOKUP(DATA!#REF!,DATA!#REF!,1,FALSE),"")</f>
        <v/>
      </c>
      <c r="D1029" s="16" t="str">
        <f>IFERROR(VLOOKUP(C1029,DATA!#REF!,2,FALSE),"")</f>
        <v/>
      </c>
    </row>
    <row r="1030" spans="2:4" s="230" customFormat="1">
      <c r="B1030" s="15" t="str">
        <f t="shared" ref="B1030:B1093" si="43">+IF(C1030="","",ROW()-5)</f>
        <v/>
      </c>
      <c r="C1030" s="16" t="str">
        <f>IFERROR(VLOOKUP(DATA!#REF!,DATA!#REF!,1,FALSE),"")</f>
        <v/>
      </c>
      <c r="D1030" s="16" t="str">
        <f>IFERROR(VLOOKUP(C1030,DATA!#REF!,2,FALSE),"")</f>
        <v/>
      </c>
    </row>
    <row r="1031" spans="2:4" s="230" customFormat="1">
      <c r="B1031" s="15" t="str">
        <f t="shared" si="43"/>
        <v/>
      </c>
      <c r="C1031" s="16" t="str">
        <f>IFERROR(VLOOKUP(DATA!#REF!,DATA!#REF!,1,FALSE),"")</f>
        <v/>
      </c>
      <c r="D1031" s="16" t="str">
        <f>IFERROR(VLOOKUP(C1031,DATA!#REF!,2,FALSE),"")</f>
        <v/>
      </c>
    </row>
    <row r="1032" spans="2:4" s="230" customFormat="1">
      <c r="B1032" s="15" t="str">
        <f t="shared" si="43"/>
        <v/>
      </c>
      <c r="C1032" s="16" t="str">
        <f>IFERROR(VLOOKUP(DATA!#REF!,DATA!#REF!,1,FALSE),"")</f>
        <v/>
      </c>
      <c r="D1032" s="16" t="str">
        <f>IFERROR(VLOOKUP(C1032,DATA!#REF!,2,FALSE),"")</f>
        <v/>
      </c>
    </row>
    <row r="1033" spans="2:4" s="230" customFormat="1">
      <c r="B1033" s="15" t="str">
        <f t="shared" si="43"/>
        <v/>
      </c>
      <c r="C1033" s="16" t="str">
        <f>IFERROR(VLOOKUP(DATA!#REF!,DATA!#REF!,1,FALSE),"")</f>
        <v/>
      </c>
      <c r="D1033" s="16" t="str">
        <f>IFERROR(VLOOKUP(C1033,DATA!#REF!,2,FALSE),"")</f>
        <v/>
      </c>
    </row>
    <row r="1034" spans="2:4" s="230" customFormat="1">
      <c r="B1034" s="15" t="str">
        <f t="shared" si="43"/>
        <v/>
      </c>
      <c r="C1034" s="16" t="str">
        <f>IFERROR(VLOOKUP(DATA!#REF!,DATA!#REF!,1,FALSE),"")</f>
        <v/>
      </c>
      <c r="D1034" s="16" t="str">
        <f>IFERROR(VLOOKUP(C1034,DATA!#REF!,2,FALSE),"")</f>
        <v/>
      </c>
    </row>
    <row r="1035" spans="2:4" s="230" customFormat="1">
      <c r="B1035" s="15" t="str">
        <f t="shared" si="43"/>
        <v/>
      </c>
      <c r="C1035" s="16" t="str">
        <f>IFERROR(VLOOKUP(DATA!#REF!,DATA!#REF!,1,FALSE),"")</f>
        <v/>
      </c>
      <c r="D1035" s="16" t="str">
        <f>IFERROR(VLOOKUP(C1035,DATA!#REF!,2,FALSE),"")</f>
        <v/>
      </c>
    </row>
    <row r="1036" spans="2:4" s="230" customFormat="1">
      <c r="B1036" s="15" t="str">
        <f t="shared" si="43"/>
        <v/>
      </c>
      <c r="C1036" s="16" t="str">
        <f>IFERROR(VLOOKUP(DATA!#REF!,DATA!#REF!,1,FALSE),"")</f>
        <v/>
      </c>
      <c r="D1036" s="16" t="str">
        <f>IFERROR(VLOOKUP(C1036,DATA!#REF!,2,FALSE),"")</f>
        <v/>
      </c>
    </row>
    <row r="1037" spans="2:4" s="230" customFormat="1">
      <c r="B1037" s="15" t="str">
        <f t="shared" si="43"/>
        <v/>
      </c>
      <c r="C1037" s="16" t="str">
        <f>IFERROR(VLOOKUP(DATA!#REF!,DATA!#REF!,1,FALSE),"")</f>
        <v/>
      </c>
      <c r="D1037" s="16" t="str">
        <f>IFERROR(VLOOKUP(C1037,DATA!#REF!,2,FALSE),"")</f>
        <v/>
      </c>
    </row>
    <row r="1038" spans="2:4" s="230" customFormat="1">
      <c r="B1038" s="15" t="str">
        <f t="shared" si="43"/>
        <v/>
      </c>
      <c r="C1038" s="16" t="str">
        <f>IFERROR(VLOOKUP(DATA!#REF!,DATA!#REF!,1,FALSE),"")</f>
        <v/>
      </c>
      <c r="D1038" s="16" t="str">
        <f>IFERROR(VLOOKUP(C1038,DATA!#REF!,2,FALSE),"")</f>
        <v/>
      </c>
    </row>
    <row r="1039" spans="2:4" s="230" customFormat="1">
      <c r="B1039" s="15" t="str">
        <f t="shared" si="43"/>
        <v/>
      </c>
      <c r="C1039" s="16" t="str">
        <f>IFERROR(VLOOKUP(DATA!#REF!,DATA!#REF!,1,FALSE),"")</f>
        <v/>
      </c>
      <c r="D1039" s="16" t="str">
        <f>IFERROR(VLOOKUP(C1039,DATA!#REF!,2,FALSE),"")</f>
        <v/>
      </c>
    </row>
    <row r="1040" spans="2:4" s="230" customFormat="1">
      <c r="B1040" s="15" t="str">
        <f t="shared" si="43"/>
        <v/>
      </c>
      <c r="C1040" s="16" t="str">
        <f>IFERROR(VLOOKUP(DATA!#REF!,DATA!#REF!,1,FALSE),"")</f>
        <v/>
      </c>
      <c r="D1040" s="16" t="str">
        <f>IFERROR(VLOOKUP(C1040,DATA!#REF!,2,FALSE),"")</f>
        <v/>
      </c>
    </row>
    <row r="1041" spans="2:4" s="230" customFormat="1">
      <c r="B1041" s="15" t="str">
        <f t="shared" si="43"/>
        <v/>
      </c>
      <c r="C1041" s="16" t="str">
        <f>IFERROR(VLOOKUP(DATA!#REF!,DATA!#REF!,1,FALSE),"")</f>
        <v/>
      </c>
      <c r="D1041" s="16" t="str">
        <f>IFERROR(VLOOKUP(C1041,DATA!#REF!,2,FALSE),"")</f>
        <v/>
      </c>
    </row>
    <row r="1042" spans="2:4" s="230" customFormat="1">
      <c r="B1042" s="15" t="str">
        <f t="shared" si="43"/>
        <v/>
      </c>
      <c r="C1042" s="16" t="str">
        <f>IFERROR(VLOOKUP(DATA!#REF!,DATA!#REF!,1,FALSE),"")</f>
        <v/>
      </c>
      <c r="D1042" s="16" t="str">
        <f>IFERROR(VLOOKUP(C1042,DATA!#REF!,2,FALSE),"")</f>
        <v/>
      </c>
    </row>
    <row r="1043" spans="2:4" s="230" customFormat="1">
      <c r="B1043" s="15" t="str">
        <f t="shared" si="43"/>
        <v/>
      </c>
      <c r="C1043" s="16" t="str">
        <f>IFERROR(VLOOKUP(DATA!#REF!,DATA!#REF!,1,FALSE),"")</f>
        <v/>
      </c>
      <c r="D1043" s="16" t="str">
        <f>IFERROR(VLOOKUP(C1043,DATA!#REF!,2,FALSE),"")</f>
        <v/>
      </c>
    </row>
    <row r="1044" spans="2:4" s="230" customFormat="1">
      <c r="B1044" s="15" t="str">
        <f t="shared" si="43"/>
        <v/>
      </c>
      <c r="C1044" s="16" t="str">
        <f>IFERROR(VLOOKUP(DATA!#REF!,DATA!#REF!,1,FALSE),"")</f>
        <v/>
      </c>
      <c r="D1044" s="16" t="str">
        <f>IFERROR(VLOOKUP(C1044,DATA!#REF!,2,FALSE),"")</f>
        <v/>
      </c>
    </row>
    <row r="1045" spans="2:4" s="230" customFormat="1">
      <c r="B1045" s="15" t="str">
        <f t="shared" si="43"/>
        <v/>
      </c>
      <c r="C1045" s="16" t="str">
        <f>IFERROR(VLOOKUP(DATA!#REF!,DATA!#REF!,1,FALSE),"")</f>
        <v/>
      </c>
      <c r="D1045" s="16" t="str">
        <f>IFERROR(VLOOKUP(C1045,DATA!#REF!,2,FALSE),"")</f>
        <v/>
      </c>
    </row>
    <row r="1046" spans="2:4" s="230" customFormat="1">
      <c r="B1046" s="15" t="str">
        <f t="shared" si="43"/>
        <v/>
      </c>
      <c r="C1046" s="16" t="str">
        <f>IFERROR(VLOOKUP(DATA!#REF!,DATA!#REF!,1,FALSE),"")</f>
        <v/>
      </c>
      <c r="D1046" s="16" t="str">
        <f>IFERROR(VLOOKUP(C1046,DATA!#REF!,2,FALSE),"")</f>
        <v/>
      </c>
    </row>
    <row r="1047" spans="2:4" s="230" customFormat="1">
      <c r="B1047" s="15" t="str">
        <f t="shared" si="43"/>
        <v/>
      </c>
      <c r="C1047" s="16" t="str">
        <f>IFERROR(VLOOKUP(DATA!#REF!,DATA!#REF!,1,FALSE),"")</f>
        <v/>
      </c>
      <c r="D1047" s="16" t="str">
        <f>IFERROR(VLOOKUP(C1047,DATA!#REF!,2,FALSE),"")</f>
        <v/>
      </c>
    </row>
    <row r="1048" spans="2:4" s="230" customFormat="1">
      <c r="B1048" s="15" t="str">
        <f t="shared" si="43"/>
        <v/>
      </c>
      <c r="C1048" s="16" t="str">
        <f>IFERROR(VLOOKUP(DATA!#REF!,DATA!#REF!,1,FALSE),"")</f>
        <v/>
      </c>
      <c r="D1048" s="16" t="str">
        <f>IFERROR(VLOOKUP(C1048,DATA!#REF!,2,FALSE),"")</f>
        <v/>
      </c>
    </row>
    <row r="1049" spans="2:4" s="230" customFormat="1">
      <c r="B1049" s="15" t="str">
        <f t="shared" si="43"/>
        <v/>
      </c>
      <c r="C1049" s="16" t="str">
        <f>IFERROR(VLOOKUP(DATA!#REF!,DATA!#REF!,1,FALSE),"")</f>
        <v/>
      </c>
      <c r="D1049" s="16" t="str">
        <f>IFERROR(VLOOKUP(C1049,DATA!#REF!,2,FALSE),"")</f>
        <v/>
      </c>
    </row>
    <row r="1050" spans="2:4" s="230" customFormat="1">
      <c r="B1050" s="15" t="str">
        <f t="shared" si="43"/>
        <v/>
      </c>
      <c r="C1050" s="16" t="str">
        <f>IFERROR(VLOOKUP(DATA!#REF!,DATA!#REF!,1,FALSE),"")</f>
        <v/>
      </c>
      <c r="D1050" s="16" t="str">
        <f>IFERROR(VLOOKUP(C1050,DATA!#REF!,2,FALSE),"")</f>
        <v/>
      </c>
    </row>
    <row r="1051" spans="2:4" s="230" customFormat="1">
      <c r="B1051" s="15" t="str">
        <f t="shared" si="43"/>
        <v/>
      </c>
      <c r="C1051" s="16" t="str">
        <f>IFERROR(VLOOKUP(DATA!#REF!,DATA!#REF!,1,FALSE),"")</f>
        <v/>
      </c>
      <c r="D1051" s="16" t="str">
        <f>IFERROR(VLOOKUP(C1051,DATA!#REF!,2,FALSE),"")</f>
        <v/>
      </c>
    </row>
    <row r="1052" spans="2:4" s="230" customFormat="1">
      <c r="B1052" s="15" t="str">
        <f t="shared" si="43"/>
        <v/>
      </c>
      <c r="C1052" s="16" t="str">
        <f>IFERROR(VLOOKUP(DATA!#REF!,DATA!#REF!,1,FALSE),"")</f>
        <v/>
      </c>
      <c r="D1052" s="16" t="str">
        <f>IFERROR(VLOOKUP(C1052,DATA!#REF!,2,FALSE),"")</f>
        <v/>
      </c>
    </row>
    <row r="1053" spans="2:4" s="230" customFormat="1">
      <c r="B1053" s="15" t="str">
        <f t="shared" si="43"/>
        <v/>
      </c>
      <c r="C1053" s="16" t="str">
        <f>IFERROR(VLOOKUP(DATA!#REF!,DATA!#REF!,1,FALSE),"")</f>
        <v/>
      </c>
      <c r="D1053" s="16" t="str">
        <f>IFERROR(VLOOKUP(C1053,DATA!#REF!,2,FALSE),"")</f>
        <v/>
      </c>
    </row>
    <row r="1054" spans="2:4" s="230" customFormat="1">
      <c r="B1054" s="15" t="str">
        <f t="shared" si="43"/>
        <v/>
      </c>
      <c r="C1054" s="16" t="str">
        <f>IFERROR(VLOOKUP(DATA!#REF!,DATA!#REF!,1,FALSE),"")</f>
        <v/>
      </c>
      <c r="D1054" s="16" t="str">
        <f>IFERROR(VLOOKUP(C1054,DATA!#REF!,2,FALSE),"")</f>
        <v/>
      </c>
    </row>
    <row r="1055" spans="2:4" s="230" customFormat="1">
      <c r="B1055" s="15" t="str">
        <f t="shared" si="43"/>
        <v/>
      </c>
      <c r="C1055" s="16" t="str">
        <f>IFERROR(VLOOKUP(DATA!#REF!,DATA!#REF!,1,FALSE),"")</f>
        <v/>
      </c>
      <c r="D1055" s="16" t="str">
        <f>IFERROR(VLOOKUP(C1055,DATA!#REF!,2,FALSE),"")</f>
        <v/>
      </c>
    </row>
    <row r="1056" spans="2:4" s="230" customFormat="1">
      <c r="B1056" s="15" t="str">
        <f t="shared" si="43"/>
        <v/>
      </c>
      <c r="C1056" s="16" t="str">
        <f>IFERROR(VLOOKUP(DATA!#REF!,DATA!#REF!,1,FALSE),"")</f>
        <v/>
      </c>
      <c r="D1056" s="16" t="str">
        <f>IFERROR(VLOOKUP(C1056,DATA!#REF!,2,FALSE),"")</f>
        <v/>
      </c>
    </row>
    <row r="1057" spans="2:4" s="230" customFormat="1">
      <c r="B1057" s="15" t="str">
        <f t="shared" si="43"/>
        <v/>
      </c>
      <c r="C1057" s="16" t="str">
        <f>IFERROR(VLOOKUP(DATA!#REF!,DATA!#REF!,1,FALSE),"")</f>
        <v/>
      </c>
      <c r="D1057" s="16" t="str">
        <f>IFERROR(VLOOKUP(C1057,DATA!#REF!,2,FALSE),"")</f>
        <v/>
      </c>
    </row>
    <row r="1058" spans="2:4" s="230" customFormat="1">
      <c r="B1058" s="15" t="str">
        <f t="shared" si="43"/>
        <v/>
      </c>
      <c r="C1058" s="16" t="str">
        <f>IFERROR(VLOOKUP(DATA!#REF!,DATA!#REF!,1,FALSE),"")</f>
        <v/>
      </c>
      <c r="D1058" s="16" t="str">
        <f>IFERROR(VLOOKUP(C1058,DATA!#REF!,2,FALSE),"")</f>
        <v/>
      </c>
    </row>
    <row r="1059" spans="2:4" s="230" customFormat="1">
      <c r="B1059" s="15" t="str">
        <f t="shared" si="43"/>
        <v/>
      </c>
      <c r="C1059" s="16" t="str">
        <f>IFERROR(VLOOKUP(DATA!#REF!,DATA!#REF!,1,FALSE),"")</f>
        <v/>
      </c>
      <c r="D1059" s="16" t="str">
        <f>IFERROR(VLOOKUP(C1059,DATA!#REF!,2,FALSE),"")</f>
        <v/>
      </c>
    </row>
    <row r="1060" spans="2:4" s="230" customFormat="1">
      <c r="B1060" s="15" t="str">
        <f t="shared" si="43"/>
        <v/>
      </c>
      <c r="C1060" s="16" t="str">
        <f>IFERROR(VLOOKUP(DATA!#REF!,DATA!#REF!,1,FALSE),"")</f>
        <v/>
      </c>
      <c r="D1060" s="16" t="str">
        <f>IFERROR(VLOOKUP(C1060,DATA!#REF!,2,FALSE),"")</f>
        <v/>
      </c>
    </row>
    <row r="1061" spans="2:4" s="230" customFormat="1">
      <c r="B1061" s="15" t="str">
        <f t="shared" si="43"/>
        <v/>
      </c>
      <c r="C1061" s="16" t="str">
        <f>IFERROR(VLOOKUP(DATA!#REF!,DATA!#REF!,1,FALSE),"")</f>
        <v/>
      </c>
      <c r="D1061" s="16" t="str">
        <f>IFERROR(VLOOKUP(C1061,DATA!#REF!,2,FALSE),"")</f>
        <v/>
      </c>
    </row>
    <row r="1062" spans="2:4" s="230" customFormat="1">
      <c r="B1062" s="15" t="str">
        <f t="shared" si="43"/>
        <v/>
      </c>
      <c r="C1062" s="16" t="str">
        <f>IFERROR(VLOOKUP(DATA!#REF!,DATA!#REF!,1,FALSE),"")</f>
        <v/>
      </c>
      <c r="D1062" s="16" t="str">
        <f>IFERROR(VLOOKUP(C1062,DATA!#REF!,2,FALSE),"")</f>
        <v/>
      </c>
    </row>
    <row r="1063" spans="2:4" s="230" customFormat="1">
      <c r="B1063" s="15" t="str">
        <f t="shared" si="43"/>
        <v/>
      </c>
      <c r="C1063" s="16" t="str">
        <f>IFERROR(VLOOKUP(DATA!#REF!,DATA!#REF!,1,FALSE),"")</f>
        <v/>
      </c>
      <c r="D1063" s="16" t="str">
        <f>IFERROR(VLOOKUP(C1063,DATA!#REF!,2,FALSE),"")</f>
        <v/>
      </c>
    </row>
    <row r="1064" spans="2:4" s="230" customFormat="1">
      <c r="B1064" s="15" t="str">
        <f t="shared" si="43"/>
        <v/>
      </c>
      <c r="C1064" s="16" t="str">
        <f>IFERROR(VLOOKUP(DATA!#REF!,DATA!#REF!,1,FALSE),"")</f>
        <v/>
      </c>
      <c r="D1064" s="16" t="str">
        <f>IFERROR(VLOOKUP(C1064,DATA!#REF!,2,FALSE),"")</f>
        <v/>
      </c>
    </row>
    <row r="1065" spans="2:4" s="230" customFormat="1">
      <c r="B1065" s="15" t="str">
        <f t="shared" si="43"/>
        <v/>
      </c>
      <c r="C1065" s="16" t="str">
        <f>IFERROR(VLOOKUP(DATA!#REF!,DATA!#REF!,1,FALSE),"")</f>
        <v/>
      </c>
      <c r="D1065" s="16" t="str">
        <f>IFERROR(VLOOKUP(C1065,DATA!#REF!,2,FALSE),"")</f>
        <v/>
      </c>
    </row>
    <row r="1066" spans="2:4" s="230" customFormat="1">
      <c r="B1066" s="15" t="str">
        <f t="shared" si="43"/>
        <v/>
      </c>
      <c r="C1066" s="16" t="str">
        <f>IFERROR(VLOOKUP(DATA!#REF!,DATA!#REF!,1,FALSE),"")</f>
        <v/>
      </c>
      <c r="D1066" s="16" t="str">
        <f>IFERROR(VLOOKUP(C1066,DATA!#REF!,2,FALSE),"")</f>
        <v/>
      </c>
    </row>
    <row r="1067" spans="2:4" s="230" customFormat="1">
      <c r="B1067" s="15" t="str">
        <f t="shared" si="43"/>
        <v/>
      </c>
      <c r="C1067" s="16" t="str">
        <f>IFERROR(VLOOKUP(DATA!#REF!,DATA!#REF!,1,FALSE),"")</f>
        <v/>
      </c>
      <c r="D1067" s="16" t="str">
        <f>IFERROR(VLOOKUP(C1067,DATA!#REF!,2,FALSE),"")</f>
        <v/>
      </c>
    </row>
    <row r="1068" spans="2:4" s="230" customFormat="1">
      <c r="B1068" s="15" t="str">
        <f t="shared" si="43"/>
        <v/>
      </c>
      <c r="C1068" s="16" t="str">
        <f>IFERROR(VLOOKUP(DATA!#REF!,DATA!#REF!,1,FALSE),"")</f>
        <v/>
      </c>
      <c r="D1068" s="16" t="str">
        <f>IFERROR(VLOOKUP(C1068,DATA!#REF!,2,FALSE),"")</f>
        <v/>
      </c>
    </row>
    <row r="1069" spans="2:4" s="230" customFormat="1">
      <c r="B1069" s="15" t="str">
        <f t="shared" si="43"/>
        <v/>
      </c>
      <c r="C1069" s="16" t="str">
        <f>IFERROR(VLOOKUP(DATA!#REF!,DATA!#REF!,1,FALSE),"")</f>
        <v/>
      </c>
      <c r="D1069" s="16" t="str">
        <f>IFERROR(VLOOKUP(C1069,DATA!#REF!,2,FALSE),"")</f>
        <v/>
      </c>
    </row>
    <row r="1070" spans="2:4" s="230" customFormat="1">
      <c r="B1070" s="15" t="str">
        <f t="shared" si="43"/>
        <v/>
      </c>
      <c r="C1070" s="16" t="str">
        <f>IFERROR(VLOOKUP(DATA!#REF!,DATA!#REF!,1,FALSE),"")</f>
        <v/>
      </c>
      <c r="D1070" s="16" t="str">
        <f>IFERROR(VLOOKUP(C1070,DATA!#REF!,2,FALSE),"")</f>
        <v/>
      </c>
    </row>
    <row r="1071" spans="2:4" s="230" customFormat="1">
      <c r="B1071" s="15" t="str">
        <f t="shared" si="43"/>
        <v/>
      </c>
      <c r="C1071" s="16" t="str">
        <f>IFERROR(VLOOKUP(DATA!#REF!,DATA!#REF!,1,FALSE),"")</f>
        <v/>
      </c>
      <c r="D1071" s="16" t="str">
        <f>IFERROR(VLOOKUP(C1071,DATA!#REF!,2,FALSE),"")</f>
        <v/>
      </c>
    </row>
    <row r="1072" spans="2:4" s="230" customFormat="1">
      <c r="B1072" s="15" t="str">
        <f t="shared" si="43"/>
        <v/>
      </c>
      <c r="C1072" s="16" t="str">
        <f>IFERROR(VLOOKUP(DATA!#REF!,DATA!#REF!,1,FALSE),"")</f>
        <v/>
      </c>
      <c r="D1072" s="16" t="str">
        <f>IFERROR(VLOOKUP(C1072,DATA!#REF!,2,FALSE),"")</f>
        <v/>
      </c>
    </row>
    <row r="1073" spans="2:4" s="230" customFormat="1">
      <c r="B1073" s="15" t="str">
        <f t="shared" si="43"/>
        <v/>
      </c>
      <c r="C1073" s="16" t="str">
        <f>IFERROR(VLOOKUP(DATA!#REF!,DATA!#REF!,1,FALSE),"")</f>
        <v/>
      </c>
      <c r="D1073" s="16" t="str">
        <f>IFERROR(VLOOKUP(C1073,DATA!#REF!,2,FALSE),"")</f>
        <v/>
      </c>
    </row>
    <row r="1074" spans="2:4" s="230" customFormat="1">
      <c r="B1074" s="15" t="str">
        <f t="shared" si="43"/>
        <v/>
      </c>
      <c r="C1074" s="16" t="str">
        <f>IFERROR(VLOOKUP(DATA!#REF!,DATA!#REF!,1,FALSE),"")</f>
        <v/>
      </c>
      <c r="D1074" s="16" t="str">
        <f>IFERROR(VLOOKUP(C1074,DATA!#REF!,2,FALSE),"")</f>
        <v/>
      </c>
    </row>
    <row r="1075" spans="2:4" s="230" customFormat="1">
      <c r="B1075" s="15" t="str">
        <f t="shared" si="43"/>
        <v/>
      </c>
      <c r="C1075" s="16" t="str">
        <f>IFERROR(VLOOKUP(DATA!#REF!,DATA!#REF!,1,FALSE),"")</f>
        <v/>
      </c>
      <c r="D1075" s="16" t="str">
        <f>IFERROR(VLOOKUP(C1075,DATA!#REF!,2,FALSE),"")</f>
        <v/>
      </c>
    </row>
    <row r="1076" spans="2:4" s="230" customFormat="1">
      <c r="B1076" s="15" t="str">
        <f t="shared" si="43"/>
        <v/>
      </c>
      <c r="C1076" s="16" t="str">
        <f>IFERROR(VLOOKUP(DATA!#REF!,DATA!#REF!,1,FALSE),"")</f>
        <v/>
      </c>
      <c r="D1076" s="16" t="str">
        <f>IFERROR(VLOOKUP(C1076,DATA!#REF!,2,FALSE),"")</f>
        <v/>
      </c>
    </row>
    <row r="1077" spans="2:4" s="230" customFormat="1">
      <c r="B1077" s="15" t="str">
        <f t="shared" si="43"/>
        <v/>
      </c>
      <c r="C1077" s="16" t="str">
        <f>IFERROR(VLOOKUP(DATA!#REF!,DATA!#REF!,1,FALSE),"")</f>
        <v/>
      </c>
      <c r="D1077" s="16" t="str">
        <f>IFERROR(VLOOKUP(C1077,DATA!#REF!,2,FALSE),"")</f>
        <v/>
      </c>
    </row>
    <row r="1078" spans="2:4" s="230" customFormat="1">
      <c r="B1078" s="15" t="str">
        <f t="shared" si="43"/>
        <v/>
      </c>
      <c r="C1078" s="16" t="str">
        <f>IFERROR(VLOOKUP(DATA!#REF!,DATA!#REF!,1,FALSE),"")</f>
        <v/>
      </c>
      <c r="D1078" s="16" t="str">
        <f>IFERROR(VLOOKUP(C1078,DATA!#REF!,2,FALSE),"")</f>
        <v/>
      </c>
    </row>
    <row r="1079" spans="2:4" s="230" customFormat="1">
      <c r="B1079" s="15" t="str">
        <f t="shared" si="43"/>
        <v/>
      </c>
      <c r="C1079" s="16" t="str">
        <f>IFERROR(VLOOKUP(DATA!#REF!,DATA!#REF!,1,FALSE),"")</f>
        <v/>
      </c>
      <c r="D1079" s="16" t="str">
        <f>IFERROR(VLOOKUP(C1079,DATA!#REF!,2,FALSE),"")</f>
        <v/>
      </c>
    </row>
    <row r="1080" spans="2:4" s="230" customFormat="1">
      <c r="B1080" s="15" t="str">
        <f t="shared" si="43"/>
        <v/>
      </c>
      <c r="C1080" s="16" t="str">
        <f>IFERROR(VLOOKUP(DATA!#REF!,DATA!#REF!,1,FALSE),"")</f>
        <v/>
      </c>
      <c r="D1080" s="16" t="str">
        <f>IFERROR(VLOOKUP(C1080,DATA!#REF!,2,FALSE),"")</f>
        <v/>
      </c>
    </row>
    <row r="1081" spans="2:4" s="230" customFormat="1">
      <c r="B1081" s="15" t="str">
        <f t="shared" si="43"/>
        <v/>
      </c>
      <c r="C1081" s="16" t="str">
        <f>IFERROR(VLOOKUP(DATA!#REF!,DATA!#REF!,1,FALSE),"")</f>
        <v/>
      </c>
      <c r="D1081" s="16" t="str">
        <f>IFERROR(VLOOKUP(C1081,DATA!#REF!,2,FALSE),"")</f>
        <v/>
      </c>
    </row>
    <row r="1082" spans="2:4" s="230" customFormat="1">
      <c r="B1082" s="15" t="str">
        <f t="shared" si="43"/>
        <v/>
      </c>
      <c r="C1082" s="16" t="str">
        <f>IFERROR(VLOOKUP(DATA!#REF!,DATA!#REF!,1,FALSE),"")</f>
        <v/>
      </c>
      <c r="D1082" s="16" t="str">
        <f>IFERROR(VLOOKUP(C1082,DATA!#REF!,2,FALSE),"")</f>
        <v/>
      </c>
    </row>
    <row r="1083" spans="2:4" s="230" customFormat="1">
      <c r="B1083" s="15" t="str">
        <f t="shared" si="43"/>
        <v/>
      </c>
      <c r="C1083" s="16" t="str">
        <f>IFERROR(VLOOKUP(DATA!#REF!,DATA!#REF!,1,FALSE),"")</f>
        <v/>
      </c>
      <c r="D1083" s="16" t="str">
        <f>IFERROR(VLOOKUP(C1083,DATA!#REF!,2,FALSE),"")</f>
        <v/>
      </c>
    </row>
    <row r="1084" spans="2:4" s="230" customFormat="1">
      <c r="B1084" s="15" t="str">
        <f t="shared" si="43"/>
        <v/>
      </c>
      <c r="C1084" s="16" t="str">
        <f>IFERROR(VLOOKUP(DATA!#REF!,DATA!#REF!,1,FALSE),"")</f>
        <v/>
      </c>
      <c r="D1084" s="16" t="str">
        <f>IFERROR(VLOOKUP(C1084,DATA!#REF!,2,FALSE),"")</f>
        <v/>
      </c>
    </row>
    <row r="1085" spans="2:4" s="230" customFormat="1">
      <c r="B1085" s="15" t="str">
        <f t="shared" si="43"/>
        <v/>
      </c>
      <c r="C1085" s="16" t="str">
        <f>IFERROR(VLOOKUP(DATA!#REF!,DATA!#REF!,1,FALSE),"")</f>
        <v/>
      </c>
      <c r="D1085" s="16" t="str">
        <f>IFERROR(VLOOKUP(C1085,DATA!#REF!,2,FALSE),"")</f>
        <v/>
      </c>
    </row>
    <row r="1086" spans="2:4" s="230" customFormat="1">
      <c r="B1086" s="15" t="str">
        <f t="shared" si="43"/>
        <v/>
      </c>
      <c r="C1086" s="16" t="str">
        <f>IFERROR(VLOOKUP(DATA!#REF!,DATA!#REF!,1,FALSE),"")</f>
        <v/>
      </c>
      <c r="D1086" s="16" t="str">
        <f>IFERROR(VLOOKUP(C1086,DATA!#REF!,2,FALSE),"")</f>
        <v/>
      </c>
    </row>
    <row r="1087" spans="2:4" s="230" customFormat="1">
      <c r="B1087" s="15" t="str">
        <f t="shared" si="43"/>
        <v/>
      </c>
      <c r="C1087" s="16" t="str">
        <f>IFERROR(VLOOKUP(DATA!#REF!,DATA!#REF!,1,FALSE),"")</f>
        <v/>
      </c>
      <c r="D1087" s="16" t="str">
        <f>IFERROR(VLOOKUP(C1087,DATA!#REF!,2,FALSE),"")</f>
        <v/>
      </c>
    </row>
    <row r="1088" spans="2:4" s="230" customFormat="1">
      <c r="B1088" s="15" t="str">
        <f t="shared" si="43"/>
        <v/>
      </c>
      <c r="C1088" s="16" t="str">
        <f>IFERROR(VLOOKUP(DATA!#REF!,DATA!#REF!,1,FALSE),"")</f>
        <v/>
      </c>
      <c r="D1088" s="16" t="str">
        <f>IFERROR(VLOOKUP(C1088,DATA!#REF!,2,FALSE),"")</f>
        <v/>
      </c>
    </row>
    <row r="1089" spans="2:4" s="230" customFormat="1">
      <c r="B1089" s="15" t="str">
        <f t="shared" si="43"/>
        <v/>
      </c>
      <c r="C1089" s="16" t="str">
        <f>IFERROR(VLOOKUP(DATA!#REF!,DATA!#REF!,1,FALSE),"")</f>
        <v/>
      </c>
      <c r="D1089" s="16" t="str">
        <f>IFERROR(VLOOKUP(C1089,DATA!#REF!,2,FALSE),"")</f>
        <v/>
      </c>
    </row>
    <row r="1090" spans="2:4" s="230" customFormat="1">
      <c r="B1090" s="15" t="str">
        <f t="shared" si="43"/>
        <v/>
      </c>
      <c r="C1090" s="16" t="str">
        <f>IFERROR(VLOOKUP(DATA!#REF!,DATA!#REF!,1,FALSE),"")</f>
        <v/>
      </c>
      <c r="D1090" s="16" t="str">
        <f>IFERROR(VLOOKUP(C1090,DATA!#REF!,2,FALSE),"")</f>
        <v/>
      </c>
    </row>
    <row r="1091" spans="2:4" s="230" customFormat="1">
      <c r="B1091" s="15" t="str">
        <f t="shared" si="43"/>
        <v/>
      </c>
      <c r="C1091" s="16" t="str">
        <f>IFERROR(VLOOKUP(DATA!#REF!,DATA!#REF!,1,FALSE),"")</f>
        <v/>
      </c>
      <c r="D1091" s="16" t="str">
        <f>IFERROR(VLOOKUP(C1091,DATA!#REF!,2,FALSE),"")</f>
        <v/>
      </c>
    </row>
    <row r="1092" spans="2:4" s="230" customFormat="1">
      <c r="B1092" s="15" t="str">
        <f t="shared" si="43"/>
        <v/>
      </c>
      <c r="C1092" s="16" t="str">
        <f>IFERROR(VLOOKUP(DATA!#REF!,DATA!#REF!,1,FALSE),"")</f>
        <v/>
      </c>
      <c r="D1092" s="16" t="str">
        <f>IFERROR(VLOOKUP(C1092,DATA!#REF!,2,FALSE),"")</f>
        <v/>
      </c>
    </row>
    <row r="1093" spans="2:4" s="230" customFormat="1">
      <c r="B1093" s="15" t="str">
        <f t="shared" si="43"/>
        <v/>
      </c>
      <c r="C1093" s="16" t="str">
        <f>IFERROR(VLOOKUP(DATA!#REF!,DATA!#REF!,1,FALSE),"")</f>
        <v/>
      </c>
      <c r="D1093" s="16" t="str">
        <f>IFERROR(VLOOKUP(C1093,DATA!#REF!,2,FALSE),"")</f>
        <v/>
      </c>
    </row>
    <row r="1094" spans="2:4" s="230" customFormat="1">
      <c r="B1094" s="15" t="str">
        <f t="shared" ref="B1094:B1157" si="44">+IF(C1094="","",ROW()-5)</f>
        <v/>
      </c>
      <c r="C1094" s="16" t="str">
        <f>IFERROR(VLOOKUP(DATA!#REF!,DATA!#REF!,1,FALSE),"")</f>
        <v/>
      </c>
      <c r="D1094" s="16" t="str">
        <f>IFERROR(VLOOKUP(C1094,DATA!#REF!,2,FALSE),"")</f>
        <v/>
      </c>
    </row>
    <row r="1095" spans="2:4" s="230" customFormat="1">
      <c r="B1095" s="15" t="str">
        <f t="shared" si="44"/>
        <v/>
      </c>
      <c r="C1095" s="16" t="str">
        <f>IFERROR(VLOOKUP(DATA!#REF!,DATA!#REF!,1,FALSE),"")</f>
        <v/>
      </c>
      <c r="D1095" s="16" t="str">
        <f>IFERROR(VLOOKUP(C1095,DATA!#REF!,2,FALSE),"")</f>
        <v/>
      </c>
    </row>
    <row r="1096" spans="2:4" s="230" customFormat="1">
      <c r="B1096" s="15" t="str">
        <f t="shared" si="44"/>
        <v/>
      </c>
      <c r="C1096" s="16" t="str">
        <f>IFERROR(VLOOKUP(DATA!#REF!,DATA!#REF!,1,FALSE),"")</f>
        <v/>
      </c>
      <c r="D1096" s="16" t="str">
        <f>IFERROR(VLOOKUP(C1096,DATA!#REF!,2,FALSE),"")</f>
        <v/>
      </c>
    </row>
    <row r="1097" spans="2:4" s="230" customFormat="1">
      <c r="B1097" s="15" t="str">
        <f t="shared" si="44"/>
        <v/>
      </c>
      <c r="C1097" s="16" t="str">
        <f>IFERROR(VLOOKUP(DATA!#REF!,DATA!#REF!,1,FALSE),"")</f>
        <v/>
      </c>
      <c r="D1097" s="16" t="str">
        <f>IFERROR(VLOOKUP(C1097,DATA!#REF!,2,FALSE),"")</f>
        <v/>
      </c>
    </row>
    <row r="1098" spans="2:4" s="230" customFormat="1">
      <c r="B1098" s="15" t="str">
        <f t="shared" si="44"/>
        <v/>
      </c>
      <c r="C1098" s="16" t="str">
        <f>IFERROR(VLOOKUP(DATA!#REF!,DATA!#REF!,1,FALSE),"")</f>
        <v/>
      </c>
      <c r="D1098" s="16" t="str">
        <f>IFERROR(VLOOKUP(C1098,DATA!#REF!,2,FALSE),"")</f>
        <v/>
      </c>
    </row>
    <row r="1099" spans="2:4" s="230" customFormat="1">
      <c r="B1099" s="15" t="str">
        <f t="shared" si="44"/>
        <v/>
      </c>
      <c r="C1099" s="16" t="str">
        <f>IFERROR(VLOOKUP(DATA!#REF!,DATA!#REF!,1,FALSE),"")</f>
        <v/>
      </c>
      <c r="D1099" s="16" t="str">
        <f>IFERROR(VLOOKUP(C1099,DATA!#REF!,2,FALSE),"")</f>
        <v/>
      </c>
    </row>
    <row r="1100" spans="2:4" s="230" customFormat="1">
      <c r="B1100" s="15" t="str">
        <f t="shared" si="44"/>
        <v/>
      </c>
      <c r="C1100" s="16" t="str">
        <f>IFERROR(VLOOKUP(DATA!#REF!,DATA!#REF!,1,FALSE),"")</f>
        <v/>
      </c>
      <c r="D1100" s="16" t="str">
        <f>IFERROR(VLOOKUP(C1100,DATA!#REF!,2,FALSE),"")</f>
        <v/>
      </c>
    </row>
    <row r="1101" spans="2:4" s="230" customFormat="1">
      <c r="B1101" s="15" t="str">
        <f t="shared" si="44"/>
        <v/>
      </c>
      <c r="C1101" s="16" t="str">
        <f>IFERROR(VLOOKUP(DATA!#REF!,DATA!#REF!,1,FALSE),"")</f>
        <v/>
      </c>
      <c r="D1101" s="16" t="str">
        <f>IFERROR(VLOOKUP(C1101,DATA!#REF!,2,FALSE),"")</f>
        <v/>
      </c>
    </row>
    <row r="1102" spans="2:4" s="230" customFormat="1">
      <c r="B1102" s="15" t="str">
        <f t="shared" si="44"/>
        <v/>
      </c>
      <c r="C1102" s="16" t="str">
        <f>IFERROR(VLOOKUP(DATA!#REF!,DATA!#REF!,1,FALSE),"")</f>
        <v/>
      </c>
      <c r="D1102" s="16" t="str">
        <f>IFERROR(VLOOKUP(C1102,DATA!#REF!,2,FALSE),"")</f>
        <v/>
      </c>
    </row>
    <row r="1103" spans="2:4" s="230" customFormat="1">
      <c r="B1103" s="15" t="str">
        <f t="shared" si="44"/>
        <v/>
      </c>
      <c r="C1103" s="16" t="str">
        <f>IFERROR(VLOOKUP(DATA!#REF!,DATA!#REF!,1,FALSE),"")</f>
        <v/>
      </c>
      <c r="D1103" s="16" t="str">
        <f>IFERROR(VLOOKUP(C1103,DATA!#REF!,2,FALSE),"")</f>
        <v/>
      </c>
    </row>
    <row r="1104" spans="2:4" s="230" customFormat="1">
      <c r="B1104" s="15" t="str">
        <f t="shared" si="44"/>
        <v/>
      </c>
      <c r="C1104" s="16" t="str">
        <f>IFERROR(VLOOKUP(DATA!#REF!,DATA!#REF!,1,FALSE),"")</f>
        <v/>
      </c>
      <c r="D1104" s="16" t="str">
        <f>IFERROR(VLOOKUP(C1104,DATA!#REF!,2,FALSE),"")</f>
        <v/>
      </c>
    </row>
    <row r="1105" spans="2:4" s="230" customFormat="1">
      <c r="B1105" s="15" t="str">
        <f t="shared" si="44"/>
        <v/>
      </c>
      <c r="C1105" s="16" t="str">
        <f>IFERROR(VLOOKUP(DATA!#REF!,DATA!#REF!,1,FALSE),"")</f>
        <v/>
      </c>
      <c r="D1105" s="16" t="str">
        <f>IFERROR(VLOOKUP(C1105,DATA!#REF!,2,FALSE),"")</f>
        <v/>
      </c>
    </row>
    <row r="1106" spans="2:4" s="230" customFormat="1">
      <c r="B1106" s="15" t="str">
        <f t="shared" si="44"/>
        <v/>
      </c>
      <c r="C1106" s="16" t="str">
        <f>IFERROR(VLOOKUP(DATA!#REF!,DATA!#REF!,1,FALSE),"")</f>
        <v/>
      </c>
      <c r="D1106" s="16" t="str">
        <f>IFERROR(VLOOKUP(C1106,DATA!#REF!,2,FALSE),"")</f>
        <v/>
      </c>
    </row>
    <row r="1107" spans="2:4" s="230" customFormat="1">
      <c r="B1107" s="15" t="str">
        <f t="shared" si="44"/>
        <v/>
      </c>
      <c r="C1107" s="16" t="str">
        <f>IFERROR(VLOOKUP(DATA!#REF!,DATA!#REF!,1,FALSE),"")</f>
        <v/>
      </c>
      <c r="D1107" s="16" t="str">
        <f>IFERROR(VLOOKUP(C1107,DATA!#REF!,2,FALSE),"")</f>
        <v/>
      </c>
    </row>
    <row r="1108" spans="2:4" s="230" customFormat="1">
      <c r="B1108" s="15" t="str">
        <f t="shared" si="44"/>
        <v/>
      </c>
      <c r="C1108" s="16" t="str">
        <f>IFERROR(VLOOKUP(DATA!#REF!,DATA!#REF!,1,FALSE),"")</f>
        <v/>
      </c>
      <c r="D1108" s="16" t="str">
        <f>IFERROR(VLOOKUP(C1108,DATA!#REF!,2,FALSE),"")</f>
        <v/>
      </c>
    </row>
    <row r="1109" spans="2:4" s="230" customFormat="1">
      <c r="B1109" s="15" t="str">
        <f t="shared" si="44"/>
        <v/>
      </c>
      <c r="C1109" s="16" t="str">
        <f>IFERROR(VLOOKUP(DATA!#REF!,DATA!#REF!,1,FALSE),"")</f>
        <v/>
      </c>
      <c r="D1109" s="16" t="str">
        <f>IFERROR(VLOOKUP(C1109,DATA!#REF!,2,FALSE),"")</f>
        <v/>
      </c>
    </row>
    <row r="1110" spans="2:4" s="230" customFormat="1">
      <c r="B1110" s="15" t="str">
        <f t="shared" si="44"/>
        <v/>
      </c>
      <c r="C1110" s="16" t="str">
        <f>IFERROR(VLOOKUP(DATA!#REF!,DATA!#REF!,1,FALSE),"")</f>
        <v/>
      </c>
      <c r="D1110" s="16" t="str">
        <f>IFERROR(VLOOKUP(C1110,DATA!#REF!,2,FALSE),"")</f>
        <v/>
      </c>
    </row>
    <row r="1111" spans="2:4" s="230" customFormat="1">
      <c r="B1111" s="15" t="str">
        <f t="shared" si="44"/>
        <v/>
      </c>
      <c r="C1111" s="16" t="str">
        <f>IFERROR(VLOOKUP(DATA!#REF!,DATA!#REF!,1,FALSE),"")</f>
        <v/>
      </c>
      <c r="D1111" s="16" t="str">
        <f>IFERROR(VLOOKUP(C1111,DATA!#REF!,2,FALSE),"")</f>
        <v/>
      </c>
    </row>
    <row r="1112" spans="2:4" s="230" customFormat="1">
      <c r="B1112" s="15" t="str">
        <f t="shared" si="44"/>
        <v/>
      </c>
      <c r="C1112" s="16" t="str">
        <f>IFERROR(VLOOKUP(DATA!#REF!,DATA!#REF!,1,FALSE),"")</f>
        <v/>
      </c>
      <c r="D1112" s="16" t="str">
        <f>IFERROR(VLOOKUP(C1112,DATA!#REF!,2,FALSE),"")</f>
        <v/>
      </c>
    </row>
    <row r="1113" spans="2:4" s="230" customFormat="1">
      <c r="B1113" s="15" t="str">
        <f t="shared" si="44"/>
        <v/>
      </c>
      <c r="C1113" s="16" t="str">
        <f>IFERROR(VLOOKUP(DATA!#REF!,DATA!#REF!,1,FALSE),"")</f>
        <v/>
      </c>
      <c r="D1113" s="16" t="str">
        <f>IFERROR(VLOOKUP(C1113,DATA!#REF!,2,FALSE),"")</f>
        <v/>
      </c>
    </row>
    <row r="1114" spans="2:4" s="230" customFormat="1">
      <c r="B1114" s="15" t="str">
        <f t="shared" si="44"/>
        <v/>
      </c>
      <c r="C1114" s="16" t="str">
        <f>IFERROR(VLOOKUP(DATA!#REF!,DATA!#REF!,1,FALSE),"")</f>
        <v/>
      </c>
      <c r="D1114" s="16" t="str">
        <f>IFERROR(VLOOKUP(C1114,DATA!#REF!,2,FALSE),"")</f>
        <v/>
      </c>
    </row>
    <row r="1115" spans="2:4" s="230" customFormat="1">
      <c r="B1115" s="15" t="str">
        <f t="shared" si="44"/>
        <v/>
      </c>
      <c r="C1115" s="16" t="str">
        <f>IFERROR(VLOOKUP(DATA!#REF!,DATA!#REF!,1,FALSE),"")</f>
        <v/>
      </c>
      <c r="D1115" s="16" t="str">
        <f>IFERROR(VLOOKUP(C1115,DATA!#REF!,2,FALSE),"")</f>
        <v/>
      </c>
    </row>
    <row r="1116" spans="2:4" s="230" customFormat="1">
      <c r="B1116" s="15" t="str">
        <f t="shared" si="44"/>
        <v/>
      </c>
      <c r="C1116" s="16" t="str">
        <f>IFERROR(VLOOKUP(DATA!#REF!,DATA!#REF!,1,FALSE),"")</f>
        <v/>
      </c>
      <c r="D1116" s="16" t="str">
        <f>IFERROR(VLOOKUP(C1116,DATA!#REF!,2,FALSE),"")</f>
        <v/>
      </c>
    </row>
    <row r="1117" spans="2:4" s="230" customFormat="1">
      <c r="B1117" s="15" t="str">
        <f t="shared" si="44"/>
        <v/>
      </c>
      <c r="C1117" s="16" t="str">
        <f>IFERROR(VLOOKUP(DATA!#REF!,DATA!#REF!,1,FALSE),"")</f>
        <v/>
      </c>
      <c r="D1117" s="16" t="str">
        <f>IFERROR(VLOOKUP(C1117,DATA!#REF!,2,FALSE),"")</f>
        <v/>
      </c>
    </row>
    <row r="1118" spans="2:4" s="230" customFormat="1">
      <c r="B1118" s="15" t="str">
        <f t="shared" si="44"/>
        <v/>
      </c>
      <c r="C1118" s="16" t="str">
        <f>IFERROR(VLOOKUP(DATA!#REF!,DATA!#REF!,1,FALSE),"")</f>
        <v/>
      </c>
      <c r="D1118" s="16" t="str">
        <f>IFERROR(VLOOKUP(C1118,DATA!#REF!,2,FALSE),"")</f>
        <v/>
      </c>
    </row>
    <row r="1119" spans="2:4" s="230" customFormat="1">
      <c r="B1119" s="15" t="str">
        <f t="shared" si="44"/>
        <v/>
      </c>
      <c r="C1119" s="16" t="str">
        <f>IFERROR(VLOOKUP(DATA!#REF!,DATA!#REF!,1,FALSE),"")</f>
        <v/>
      </c>
      <c r="D1119" s="16" t="str">
        <f>IFERROR(VLOOKUP(C1119,DATA!#REF!,2,FALSE),"")</f>
        <v/>
      </c>
    </row>
    <row r="1120" spans="2:4" s="230" customFormat="1">
      <c r="B1120" s="15" t="str">
        <f t="shared" si="44"/>
        <v/>
      </c>
      <c r="C1120" s="16" t="str">
        <f>IFERROR(VLOOKUP(DATA!#REF!,DATA!#REF!,1,FALSE),"")</f>
        <v/>
      </c>
      <c r="D1120" s="16" t="str">
        <f>IFERROR(VLOOKUP(C1120,DATA!#REF!,2,FALSE),"")</f>
        <v/>
      </c>
    </row>
    <row r="1121" spans="2:4" s="230" customFormat="1">
      <c r="B1121" s="15" t="str">
        <f t="shared" si="44"/>
        <v/>
      </c>
      <c r="C1121" s="16" t="str">
        <f>IFERROR(VLOOKUP(DATA!#REF!,DATA!#REF!,1,FALSE),"")</f>
        <v/>
      </c>
      <c r="D1121" s="16" t="str">
        <f>IFERROR(VLOOKUP(C1121,DATA!#REF!,2,FALSE),"")</f>
        <v/>
      </c>
    </row>
    <row r="1122" spans="2:4" s="230" customFormat="1">
      <c r="B1122" s="15" t="str">
        <f t="shared" si="44"/>
        <v/>
      </c>
      <c r="C1122" s="16" t="str">
        <f>IFERROR(VLOOKUP(DATA!#REF!,DATA!#REF!,1,FALSE),"")</f>
        <v/>
      </c>
      <c r="D1122" s="16" t="str">
        <f>IFERROR(VLOOKUP(C1122,DATA!#REF!,2,FALSE),"")</f>
        <v/>
      </c>
    </row>
    <row r="1123" spans="2:4" s="230" customFormat="1">
      <c r="B1123" s="15" t="str">
        <f t="shared" si="44"/>
        <v/>
      </c>
      <c r="C1123" s="16" t="str">
        <f>IFERROR(VLOOKUP(DATA!#REF!,DATA!#REF!,1,FALSE),"")</f>
        <v/>
      </c>
      <c r="D1123" s="16" t="str">
        <f>IFERROR(VLOOKUP(C1123,DATA!#REF!,2,FALSE),"")</f>
        <v/>
      </c>
    </row>
    <row r="1124" spans="2:4" s="230" customFormat="1">
      <c r="B1124" s="15" t="str">
        <f t="shared" si="44"/>
        <v/>
      </c>
      <c r="C1124" s="16" t="str">
        <f>IFERROR(VLOOKUP(DATA!#REF!,DATA!#REF!,1,FALSE),"")</f>
        <v/>
      </c>
      <c r="D1124" s="16" t="str">
        <f>IFERROR(VLOOKUP(C1124,DATA!#REF!,2,FALSE),"")</f>
        <v/>
      </c>
    </row>
    <row r="1125" spans="2:4" s="230" customFormat="1">
      <c r="B1125" s="15" t="str">
        <f t="shared" si="44"/>
        <v/>
      </c>
      <c r="C1125" s="16" t="str">
        <f>IFERROR(VLOOKUP(DATA!#REF!,DATA!#REF!,1,FALSE),"")</f>
        <v/>
      </c>
      <c r="D1125" s="16" t="str">
        <f>IFERROR(VLOOKUP(C1125,DATA!#REF!,2,FALSE),"")</f>
        <v/>
      </c>
    </row>
    <row r="1126" spans="2:4" s="230" customFormat="1">
      <c r="B1126" s="15" t="str">
        <f t="shared" si="44"/>
        <v/>
      </c>
      <c r="C1126" s="16" t="str">
        <f>IFERROR(VLOOKUP(DATA!#REF!,DATA!#REF!,1,FALSE),"")</f>
        <v/>
      </c>
      <c r="D1126" s="16" t="str">
        <f>IFERROR(VLOOKUP(C1126,DATA!#REF!,2,FALSE),"")</f>
        <v/>
      </c>
    </row>
    <row r="1127" spans="2:4" s="230" customFormat="1">
      <c r="B1127" s="15" t="str">
        <f t="shared" si="44"/>
        <v/>
      </c>
      <c r="C1127" s="16" t="str">
        <f>IFERROR(VLOOKUP(DATA!#REF!,DATA!#REF!,1,FALSE),"")</f>
        <v/>
      </c>
      <c r="D1127" s="16" t="str">
        <f>IFERROR(VLOOKUP(C1127,DATA!#REF!,2,FALSE),"")</f>
        <v/>
      </c>
    </row>
    <row r="1128" spans="2:4" s="230" customFormat="1">
      <c r="B1128" s="15" t="str">
        <f t="shared" si="44"/>
        <v/>
      </c>
      <c r="C1128" s="16" t="str">
        <f>IFERROR(VLOOKUP(DATA!#REF!,DATA!#REF!,1,FALSE),"")</f>
        <v/>
      </c>
      <c r="D1128" s="16" t="str">
        <f>IFERROR(VLOOKUP(C1128,DATA!#REF!,2,FALSE),"")</f>
        <v/>
      </c>
    </row>
    <row r="1129" spans="2:4" s="230" customFormat="1">
      <c r="B1129" s="15" t="str">
        <f t="shared" si="44"/>
        <v/>
      </c>
      <c r="C1129" s="16" t="str">
        <f>IFERROR(VLOOKUP(DATA!#REF!,DATA!#REF!,1,FALSE),"")</f>
        <v/>
      </c>
      <c r="D1129" s="16" t="str">
        <f>IFERROR(VLOOKUP(C1129,DATA!#REF!,2,FALSE),"")</f>
        <v/>
      </c>
    </row>
    <row r="1130" spans="2:4" s="230" customFormat="1">
      <c r="B1130" s="15" t="str">
        <f t="shared" si="44"/>
        <v/>
      </c>
      <c r="C1130" s="16" t="str">
        <f>IFERROR(VLOOKUP(DATA!#REF!,DATA!#REF!,1,FALSE),"")</f>
        <v/>
      </c>
      <c r="D1130" s="16" t="str">
        <f>IFERROR(VLOOKUP(C1130,DATA!#REF!,2,FALSE),"")</f>
        <v/>
      </c>
    </row>
    <row r="1131" spans="2:4" s="230" customFormat="1">
      <c r="B1131" s="15" t="str">
        <f t="shared" si="44"/>
        <v/>
      </c>
      <c r="C1131" s="16" t="str">
        <f>IFERROR(VLOOKUP(DATA!#REF!,DATA!#REF!,1,FALSE),"")</f>
        <v/>
      </c>
      <c r="D1131" s="16" t="str">
        <f>IFERROR(VLOOKUP(C1131,DATA!#REF!,2,FALSE),"")</f>
        <v/>
      </c>
    </row>
    <row r="1132" spans="2:4" s="230" customFormat="1">
      <c r="B1132" s="15" t="str">
        <f t="shared" si="44"/>
        <v/>
      </c>
      <c r="C1132" s="16" t="str">
        <f>IFERROR(VLOOKUP(DATA!#REF!,DATA!#REF!,1,FALSE),"")</f>
        <v/>
      </c>
      <c r="D1132" s="16" t="str">
        <f>IFERROR(VLOOKUP(C1132,DATA!#REF!,2,FALSE),"")</f>
        <v/>
      </c>
    </row>
    <row r="1133" spans="2:4" s="230" customFormat="1">
      <c r="B1133" s="15" t="str">
        <f t="shared" si="44"/>
        <v/>
      </c>
      <c r="C1133" s="16" t="str">
        <f>IFERROR(VLOOKUP(DATA!#REF!,DATA!#REF!,1,FALSE),"")</f>
        <v/>
      </c>
      <c r="D1133" s="16" t="str">
        <f>IFERROR(VLOOKUP(C1133,DATA!#REF!,2,FALSE),"")</f>
        <v/>
      </c>
    </row>
    <row r="1134" spans="2:4" s="230" customFormat="1">
      <c r="B1134" s="15" t="str">
        <f t="shared" si="44"/>
        <v/>
      </c>
      <c r="C1134" s="16" t="str">
        <f>IFERROR(VLOOKUP(DATA!#REF!,DATA!#REF!,1,FALSE),"")</f>
        <v/>
      </c>
      <c r="D1134" s="16" t="str">
        <f>IFERROR(VLOOKUP(C1134,DATA!#REF!,2,FALSE),"")</f>
        <v/>
      </c>
    </row>
    <row r="1135" spans="2:4" s="230" customFormat="1">
      <c r="B1135" s="15" t="str">
        <f t="shared" si="44"/>
        <v/>
      </c>
      <c r="C1135" s="16" t="str">
        <f>IFERROR(VLOOKUP(DATA!#REF!,DATA!#REF!,1,FALSE),"")</f>
        <v/>
      </c>
      <c r="D1135" s="16" t="str">
        <f>IFERROR(VLOOKUP(C1135,DATA!#REF!,2,FALSE),"")</f>
        <v/>
      </c>
    </row>
    <row r="1136" spans="2:4" s="230" customFormat="1">
      <c r="B1136" s="15" t="str">
        <f t="shared" si="44"/>
        <v/>
      </c>
      <c r="C1136" s="16" t="str">
        <f>IFERROR(VLOOKUP(DATA!#REF!,DATA!#REF!,1,FALSE),"")</f>
        <v/>
      </c>
      <c r="D1136" s="16" t="str">
        <f>IFERROR(VLOOKUP(C1136,DATA!#REF!,2,FALSE),"")</f>
        <v/>
      </c>
    </row>
    <row r="1137" spans="2:4" s="230" customFormat="1">
      <c r="B1137" s="15" t="str">
        <f t="shared" si="44"/>
        <v/>
      </c>
      <c r="C1137" s="16" t="str">
        <f>IFERROR(VLOOKUP(DATA!#REF!,DATA!#REF!,1,FALSE),"")</f>
        <v/>
      </c>
      <c r="D1137" s="16" t="str">
        <f>IFERROR(VLOOKUP(C1137,DATA!#REF!,2,FALSE),"")</f>
        <v/>
      </c>
    </row>
    <row r="1138" spans="2:4" s="230" customFormat="1">
      <c r="B1138" s="15" t="str">
        <f t="shared" si="44"/>
        <v/>
      </c>
      <c r="C1138" s="16" t="str">
        <f>IFERROR(VLOOKUP(DATA!#REF!,DATA!#REF!,1,FALSE),"")</f>
        <v/>
      </c>
      <c r="D1138" s="16" t="str">
        <f>IFERROR(VLOOKUP(C1138,DATA!#REF!,2,FALSE),"")</f>
        <v/>
      </c>
    </row>
    <row r="1139" spans="2:4" s="230" customFormat="1">
      <c r="B1139" s="15" t="str">
        <f t="shared" si="44"/>
        <v/>
      </c>
      <c r="C1139" s="16" t="str">
        <f>IFERROR(VLOOKUP(DATA!#REF!,DATA!#REF!,1,FALSE),"")</f>
        <v/>
      </c>
      <c r="D1139" s="16" t="str">
        <f>IFERROR(VLOOKUP(C1139,DATA!#REF!,2,FALSE),"")</f>
        <v/>
      </c>
    </row>
    <row r="1140" spans="2:4" s="230" customFormat="1">
      <c r="B1140" s="15" t="str">
        <f t="shared" si="44"/>
        <v/>
      </c>
      <c r="C1140" s="16" t="str">
        <f>IFERROR(VLOOKUP(DATA!#REF!,DATA!#REF!,1,FALSE),"")</f>
        <v/>
      </c>
      <c r="D1140" s="16" t="str">
        <f>IFERROR(VLOOKUP(C1140,DATA!#REF!,2,FALSE),"")</f>
        <v/>
      </c>
    </row>
    <row r="1141" spans="2:4" s="230" customFormat="1">
      <c r="B1141" s="15" t="str">
        <f t="shared" si="44"/>
        <v/>
      </c>
      <c r="C1141" s="16" t="str">
        <f>IFERROR(VLOOKUP(DATA!#REF!,DATA!#REF!,1,FALSE),"")</f>
        <v/>
      </c>
      <c r="D1141" s="16" t="str">
        <f>IFERROR(VLOOKUP(C1141,DATA!#REF!,2,FALSE),"")</f>
        <v/>
      </c>
    </row>
    <row r="1142" spans="2:4" s="230" customFormat="1">
      <c r="B1142" s="15" t="str">
        <f t="shared" si="44"/>
        <v/>
      </c>
      <c r="C1142" s="16" t="str">
        <f>IFERROR(VLOOKUP(DATA!#REF!,DATA!#REF!,1,FALSE),"")</f>
        <v/>
      </c>
      <c r="D1142" s="16" t="str">
        <f>IFERROR(VLOOKUP(C1142,DATA!#REF!,2,FALSE),"")</f>
        <v/>
      </c>
    </row>
    <row r="1143" spans="2:4" s="230" customFormat="1">
      <c r="B1143" s="15" t="str">
        <f t="shared" si="44"/>
        <v/>
      </c>
      <c r="C1143" s="16" t="str">
        <f>IFERROR(VLOOKUP(DATA!#REF!,DATA!#REF!,1,FALSE),"")</f>
        <v/>
      </c>
      <c r="D1143" s="16" t="str">
        <f>IFERROR(VLOOKUP(C1143,DATA!#REF!,2,FALSE),"")</f>
        <v/>
      </c>
    </row>
    <row r="1144" spans="2:4" s="230" customFormat="1">
      <c r="B1144" s="15" t="str">
        <f t="shared" si="44"/>
        <v/>
      </c>
      <c r="C1144" s="16" t="str">
        <f>IFERROR(VLOOKUP(DATA!#REF!,DATA!#REF!,1,FALSE),"")</f>
        <v/>
      </c>
      <c r="D1144" s="16" t="str">
        <f>IFERROR(VLOOKUP(C1144,DATA!#REF!,2,FALSE),"")</f>
        <v/>
      </c>
    </row>
    <row r="1145" spans="2:4" s="230" customFormat="1">
      <c r="B1145" s="15" t="str">
        <f t="shared" si="44"/>
        <v/>
      </c>
      <c r="C1145" s="16" t="str">
        <f>IFERROR(VLOOKUP(DATA!#REF!,DATA!#REF!,1,FALSE),"")</f>
        <v/>
      </c>
      <c r="D1145" s="16" t="str">
        <f>IFERROR(VLOOKUP(C1145,DATA!#REF!,2,FALSE),"")</f>
        <v/>
      </c>
    </row>
    <row r="1146" spans="2:4" s="230" customFormat="1">
      <c r="B1146" s="15" t="str">
        <f t="shared" si="44"/>
        <v/>
      </c>
      <c r="C1146" s="16" t="str">
        <f>IFERROR(VLOOKUP(DATA!#REF!,DATA!#REF!,1,FALSE),"")</f>
        <v/>
      </c>
      <c r="D1146" s="16" t="str">
        <f>IFERROR(VLOOKUP(C1146,DATA!#REF!,2,FALSE),"")</f>
        <v/>
      </c>
    </row>
    <row r="1147" spans="2:4" s="230" customFormat="1">
      <c r="B1147" s="15" t="str">
        <f t="shared" si="44"/>
        <v/>
      </c>
      <c r="C1147" s="16" t="str">
        <f>IFERROR(VLOOKUP(DATA!#REF!,DATA!#REF!,1,FALSE),"")</f>
        <v/>
      </c>
      <c r="D1147" s="16" t="str">
        <f>IFERROR(VLOOKUP(C1147,DATA!#REF!,2,FALSE),"")</f>
        <v/>
      </c>
    </row>
    <row r="1148" spans="2:4" s="230" customFormat="1">
      <c r="B1148" s="15" t="str">
        <f t="shared" si="44"/>
        <v/>
      </c>
      <c r="C1148" s="16" t="str">
        <f>IFERROR(VLOOKUP(DATA!#REF!,DATA!#REF!,1,FALSE),"")</f>
        <v/>
      </c>
      <c r="D1148" s="16" t="str">
        <f>IFERROR(VLOOKUP(C1148,DATA!#REF!,2,FALSE),"")</f>
        <v/>
      </c>
    </row>
    <row r="1149" spans="2:4" s="230" customFormat="1">
      <c r="B1149" s="15" t="str">
        <f t="shared" si="44"/>
        <v/>
      </c>
      <c r="C1149" s="16" t="str">
        <f>IFERROR(VLOOKUP(DATA!#REF!,DATA!#REF!,1,FALSE),"")</f>
        <v/>
      </c>
      <c r="D1149" s="16" t="str">
        <f>IFERROR(VLOOKUP(C1149,DATA!#REF!,2,FALSE),"")</f>
        <v/>
      </c>
    </row>
    <row r="1150" spans="2:4" s="230" customFormat="1">
      <c r="B1150" s="15" t="str">
        <f t="shared" si="44"/>
        <v/>
      </c>
      <c r="C1150" s="16" t="str">
        <f>IFERROR(VLOOKUP(DATA!#REF!,DATA!#REF!,1,FALSE),"")</f>
        <v/>
      </c>
      <c r="D1150" s="16" t="str">
        <f>IFERROR(VLOOKUP(C1150,DATA!#REF!,2,FALSE),"")</f>
        <v/>
      </c>
    </row>
    <row r="1151" spans="2:4" s="230" customFormat="1">
      <c r="B1151" s="15" t="str">
        <f t="shared" si="44"/>
        <v/>
      </c>
      <c r="C1151" s="16" t="str">
        <f>IFERROR(VLOOKUP(DATA!#REF!,DATA!#REF!,1,FALSE),"")</f>
        <v/>
      </c>
      <c r="D1151" s="16" t="str">
        <f>IFERROR(VLOOKUP(C1151,DATA!#REF!,2,FALSE),"")</f>
        <v/>
      </c>
    </row>
    <row r="1152" spans="2:4" s="230" customFormat="1">
      <c r="B1152" s="15" t="str">
        <f t="shared" si="44"/>
        <v/>
      </c>
      <c r="C1152" s="16" t="str">
        <f>IFERROR(VLOOKUP(DATA!#REF!,DATA!#REF!,1,FALSE),"")</f>
        <v/>
      </c>
      <c r="D1152" s="16" t="str">
        <f>IFERROR(VLOOKUP(C1152,DATA!#REF!,2,FALSE),"")</f>
        <v/>
      </c>
    </row>
    <row r="1153" spans="2:4" s="230" customFormat="1">
      <c r="B1153" s="15" t="str">
        <f t="shared" si="44"/>
        <v/>
      </c>
      <c r="C1153" s="16" t="str">
        <f>IFERROR(VLOOKUP(DATA!#REF!,DATA!#REF!,1,FALSE),"")</f>
        <v/>
      </c>
      <c r="D1153" s="16" t="str">
        <f>IFERROR(VLOOKUP(C1153,DATA!#REF!,2,FALSE),"")</f>
        <v/>
      </c>
    </row>
    <row r="1154" spans="2:4" s="230" customFormat="1">
      <c r="B1154" s="15" t="str">
        <f t="shared" si="44"/>
        <v/>
      </c>
      <c r="C1154" s="16" t="str">
        <f>IFERROR(VLOOKUP(DATA!#REF!,DATA!#REF!,1,FALSE),"")</f>
        <v/>
      </c>
      <c r="D1154" s="16" t="str">
        <f>IFERROR(VLOOKUP(C1154,DATA!#REF!,2,FALSE),"")</f>
        <v/>
      </c>
    </row>
    <row r="1155" spans="2:4" s="230" customFormat="1">
      <c r="B1155" s="15" t="str">
        <f t="shared" si="44"/>
        <v/>
      </c>
      <c r="C1155" s="16" t="str">
        <f>IFERROR(VLOOKUP(DATA!#REF!,DATA!#REF!,1,FALSE),"")</f>
        <v/>
      </c>
      <c r="D1155" s="16" t="str">
        <f>IFERROR(VLOOKUP(C1155,DATA!#REF!,2,FALSE),"")</f>
        <v/>
      </c>
    </row>
    <row r="1156" spans="2:4" s="230" customFormat="1">
      <c r="B1156" s="15" t="str">
        <f t="shared" si="44"/>
        <v/>
      </c>
      <c r="C1156" s="16" t="str">
        <f>IFERROR(VLOOKUP(DATA!#REF!,DATA!#REF!,1,FALSE),"")</f>
        <v/>
      </c>
      <c r="D1156" s="16" t="str">
        <f>IFERROR(VLOOKUP(C1156,DATA!#REF!,2,FALSE),"")</f>
        <v/>
      </c>
    </row>
    <row r="1157" spans="2:4" s="230" customFormat="1">
      <c r="B1157" s="15" t="str">
        <f t="shared" si="44"/>
        <v/>
      </c>
      <c r="C1157" s="16" t="str">
        <f>IFERROR(VLOOKUP(DATA!#REF!,DATA!#REF!,1,FALSE),"")</f>
        <v/>
      </c>
      <c r="D1157" s="16" t="str">
        <f>IFERROR(VLOOKUP(C1157,DATA!#REF!,2,FALSE),"")</f>
        <v/>
      </c>
    </row>
    <row r="1158" spans="2:4" s="230" customFormat="1">
      <c r="B1158" s="15" t="str">
        <f t="shared" ref="B1158:B1221" si="45">+IF(C1158="","",ROW()-5)</f>
        <v/>
      </c>
      <c r="C1158" s="16" t="str">
        <f>IFERROR(VLOOKUP(DATA!#REF!,DATA!#REF!,1,FALSE),"")</f>
        <v/>
      </c>
      <c r="D1158" s="16" t="str">
        <f>IFERROR(VLOOKUP(C1158,DATA!#REF!,2,FALSE),"")</f>
        <v/>
      </c>
    </row>
    <row r="1159" spans="2:4" s="230" customFormat="1">
      <c r="B1159" s="15" t="str">
        <f t="shared" si="45"/>
        <v/>
      </c>
      <c r="C1159" s="16" t="str">
        <f>IFERROR(VLOOKUP(DATA!#REF!,DATA!#REF!,1,FALSE),"")</f>
        <v/>
      </c>
      <c r="D1159" s="16" t="str">
        <f>IFERROR(VLOOKUP(C1159,DATA!#REF!,2,FALSE),"")</f>
        <v/>
      </c>
    </row>
    <row r="1160" spans="2:4" s="230" customFormat="1">
      <c r="B1160" s="15" t="str">
        <f t="shared" si="45"/>
        <v/>
      </c>
      <c r="C1160" s="16" t="str">
        <f>IFERROR(VLOOKUP(DATA!#REF!,DATA!#REF!,1,FALSE),"")</f>
        <v/>
      </c>
      <c r="D1160" s="16" t="str">
        <f>IFERROR(VLOOKUP(C1160,DATA!#REF!,2,FALSE),"")</f>
        <v/>
      </c>
    </row>
    <row r="1161" spans="2:4" s="230" customFormat="1">
      <c r="B1161" s="15" t="str">
        <f t="shared" si="45"/>
        <v/>
      </c>
      <c r="C1161" s="16" t="str">
        <f>IFERROR(VLOOKUP(DATA!#REF!,DATA!#REF!,1,FALSE),"")</f>
        <v/>
      </c>
      <c r="D1161" s="16" t="str">
        <f>IFERROR(VLOOKUP(C1161,DATA!#REF!,2,FALSE),"")</f>
        <v/>
      </c>
    </row>
    <row r="1162" spans="2:4" s="230" customFormat="1">
      <c r="B1162" s="15" t="str">
        <f t="shared" si="45"/>
        <v/>
      </c>
      <c r="C1162" s="16" t="str">
        <f>IFERROR(VLOOKUP(DATA!#REF!,DATA!#REF!,1,FALSE),"")</f>
        <v/>
      </c>
      <c r="D1162" s="16" t="str">
        <f>IFERROR(VLOOKUP(C1162,DATA!#REF!,2,FALSE),"")</f>
        <v/>
      </c>
    </row>
    <row r="1163" spans="2:4" s="230" customFormat="1">
      <c r="B1163" s="15" t="str">
        <f t="shared" si="45"/>
        <v/>
      </c>
      <c r="C1163" s="16" t="str">
        <f>IFERROR(VLOOKUP(DATA!#REF!,DATA!#REF!,1,FALSE),"")</f>
        <v/>
      </c>
      <c r="D1163" s="16" t="str">
        <f>IFERROR(VLOOKUP(C1163,DATA!#REF!,2,FALSE),"")</f>
        <v/>
      </c>
    </row>
    <row r="1164" spans="2:4" s="230" customFormat="1">
      <c r="B1164" s="15" t="str">
        <f t="shared" si="45"/>
        <v/>
      </c>
      <c r="C1164" s="16" t="str">
        <f>IFERROR(VLOOKUP(DATA!#REF!,DATA!#REF!,1,FALSE),"")</f>
        <v/>
      </c>
      <c r="D1164" s="16" t="str">
        <f>IFERROR(VLOOKUP(C1164,DATA!#REF!,2,FALSE),"")</f>
        <v/>
      </c>
    </row>
    <row r="1165" spans="2:4" s="230" customFormat="1">
      <c r="B1165" s="15" t="str">
        <f t="shared" si="45"/>
        <v/>
      </c>
      <c r="C1165" s="16" t="str">
        <f>IFERROR(VLOOKUP(DATA!#REF!,DATA!#REF!,1,FALSE),"")</f>
        <v/>
      </c>
      <c r="D1165" s="16" t="str">
        <f>IFERROR(VLOOKUP(C1165,DATA!#REF!,2,FALSE),"")</f>
        <v/>
      </c>
    </row>
    <row r="1166" spans="2:4" s="230" customFormat="1">
      <c r="B1166" s="15" t="str">
        <f t="shared" si="45"/>
        <v/>
      </c>
      <c r="C1166" s="16" t="str">
        <f>IFERROR(VLOOKUP(DATA!#REF!,DATA!#REF!,1,FALSE),"")</f>
        <v/>
      </c>
      <c r="D1166" s="16" t="str">
        <f>IFERROR(VLOOKUP(C1166,DATA!#REF!,2,FALSE),"")</f>
        <v/>
      </c>
    </row>
    <row r="1167" spans="2:4" s="230" customFormat="1">
      <c r="B1167" s="15" t="str">
        <f t="shared" si="45"/>
        <v/>
      </c>
      <c r="C1167" s="16" t="str">
        <f>IFERROR(VLOOKUP(DATA!#REF!,DATA!#REF!,1,FALSE),"")</f>
        <v/>
      </c>
      <c r="D1167" s="16" t="str">
        <f>IFERROR(VLOOKUP(C1167,DATA!#REF!,2,FALSE),"")</f>
        <v/>
      </c>
    </row>
    <row r="1168" spans="2:4" s="230" customFormat="1">
      <c r="B1168" s="15" t="str">
        <f t="shared" si="45"/>
        <v/>
      </c>
      <c r="C1168" s="16" t="str">
        <f>IFERROR(VLOOKUP(DATA!#REF!,DATA!#REF!,1,FALSE),"")</f>
        <v/>
      </c>
      <c r="D1168" s="16" t="str">
        <f>IFERROR(VLOOKUP(C1168,DATA!#REF!,2,FALSE),"")</f>
        <v/>
      </c>
    </row>
    <row r="1169" spans="2:4" s="230" customFormat="1">
      <c r="B1169" s="15" t="str">
        <f t="shared" si="45"/>
        <v/>
      </c>
      <c r="C1169" s="16" t="str">
        <f>IFERROR(VLOOKUP(DATA!#REF!,DATA!#REF!,1,FALSE),"")</f>
        <v/>
      </c>
      <c r="D1169" s="16" t="str">
        <f>IFERROR(VLOOKUP(C1169,DATA!#REF!,2,FALSE),"")</f>
        <v/>
      </c>
    </row>
    <row r="1170" spans="2:4" s="230" customFormat="1">
      <c r="B1170" s="15" t="str">
        <f t="shared" si="45"/>
        <v/>
      </c>
      <c r="C1170" s="16" t="str">
        <f>IFERROR(VLOOKUP(DATA!#REF!,DATA!#REF!,1,FALSE),"")</f>
        <v/>
      </c>
      <c r="D1170" s="16" t="str">
        <f>IFERROR(VLOOKUP(C1170,DATA!#REF!,2,FALSE),"")</f>
        <v/>
      </c>
    </row>
    <row r="1171" spans="2:4" s="230" customFormat="1">
      <c r="B1171" s="15" t="str">
        <f t="shared" si="45"/>
        <v/>
      </c>
      <c r="C1171" s="16" t="str">
        <f>IFERROR(VLOOKUP(DATA!#REF!,DATA!#REF!,1,FALSE),"")</f>
        <v/>
      </c>
      <c r="D1171" s="16" t="str">
        <f>IFERROR(VLOOKUP(C1171,DATA!#REF!,2,FALSE),"")</f>
        <v/>
      </c>
    </row>
    <row r="1172" spans="2:4" s="230" customFormat="1">
      <c r="B1172" s="15" t="str">
        <f t="shared" si="45"/>
        <v/>
      </c>
      <c r="C1172" s="16" t="str">
        <f>IFERROR(VLOOKUP(DATA!#REF!,DATA!#REF!,1,FALSE),"")</f>
        <v/>
      </c>
      <c r="D1172" s="16" t="str">
        <f>IFERROR(VLOOKUP(C1172,DATA!#REF!,2,FALSE),"")</f>
        <v/>
      </c>
    </row>
    <row r="1173" spans="2:4" s="230" customFormat="1">
      <c r="B1173" s="15" t="str">
        <f t="shared" si="45"/>
        <v/>
      </c>
      <c r="C1173" s="16" t="str">
        <f>IFERROR(VLOOKUP(DATA!#REF!,DATA!#REF!,1,FALSE),"")</f>
        <v/>
      </c>
      <c r="D1173" s="16" t="str">
        <f>IFERROR(VLOOKUP(C1173,DATA!#REF!,2,FALSE),"")</f>
        <v/>
      </c>
    </row>
    <row r="1174" spans="2:4" s="230" customFormat="1">
      <c r="B1174" s="15" t="str">
        <f t="shared" si="45"/>
        <v/>
      </c>
      <c r="C1174" s="16" t="str">
        <f>IFERROR(VLOOKUP(DATA!#REF!,DATA!#REF!,1,FALSE),"")</f>
        <v/>
      </c>
      <c r="D1174" s="16" t="str">
        <f>IFERROR(VLOOKUP(C1174,DATA!#REF!,2,FALSE),"")</f>
        <v/>
      </c>
    </row>
    <row r="1175" spans="2:4" s="230" customFormat="1">
      <c r="B1175" s="15" t="str">
        <f t="shared" si="45"/>
        <v/>
      </c>
      <c r="C1175" s="16" t="str">
        <f>IFERROR(VLOOKUP(DATA!#REF!,DATA!#REF!,1,FALSE),"")</f>
        <v/>
      </c>
      <c r="D1175" s="16" t="str">
        <f>IFERROR(VLOOKUP(C1175,DATA!#REF!,2,FALSE),"")</f>
        <v/>
      </c>
    </row>
    <row r="1176" spans="2:4" s="230" customFormat="1">
      <c r="B1176" s="15" t="str">
        <f t="shared" si="45"/>
        <v/>
      </c>
      <c r="C1176" s="16" t="str">
        <f>IFERROR(VLOOKUP(DATA!#REF!,DATA!#REF!,1,FALSE),"")</f>
        <v/>
      </c>
      <c r="D1176" s="16" t="str">
        <f>IFERROR(VLOOKUP(C1176,DATA!#REF!,2,FALSE),"")</f>
        <v/>
      </c>
    </row>
    <row r="1177" spans="2:4" s="230" customFormat="1">
      <c r="B1177" s="15" t="str">
        <f t="shared" si="45"/>
        <v/>
      </c>
      <c r="C1177" s="16" t="str">
        <f>IFERROR(VLOOKUP(DATA!#REF!,DATA!#REF!,1,FALSE),"")</f>
        <v/>
      </c>
      <c r="D1177" s="16" t="str">
        <f>IFERROR(VLOOKUP(C1177,DATA!#REF!,2,FALSE),"")</f>
        <v/>
      </c>
    </row>
    <row r="1178" spans="2:4" s="230" customFormat="1">
      <c r="B1178" s="15" t="str">
        <f t="shared" si="45"/>
        <v/>
      </c>
      <c r="C1178" s="16" t="str">
        <f>IFERROR(VLOOKUP(DATA!#REF!,DATA!#REF!,1,FALSE),"")</f>
        <v/>
      </c>
      <c r="D1178" s="16" t="str">
        <f>IFERROR(VLOOKUP(C1178,DATA!#REF!,2,FALSE),"")</f>
        <v/>
      </c>
    </row>
    <row r="1179" spans="2:4" s="230" customFormat="1">
      <c r="B1179" s="15" t="str">
        <f t="shared" si="45"/>
        <v/>
      </c>
      <c r="C1179" s="16" t="str">
        <f>IFERROR(VLOOKUP(DATA!#REF!,DATA!#REF!,1,FALSE),"")</f>
        <v/>
      </c>
      <c r="D1179" s="16" t="str">
        <f>IFERROR(VLOOKUP(C1179,DATA!#REF!,2,FALSE),"")</f>
        <v/>
      </c>
    </row>
    <row r="1180" spans="2:4" s="230" customFormat="1">
      <c r="B1180" s="15" t="str">
        <f t="shared" si="45"/>
        <v/>
      </c>
      <c r="C1180" s="16" t="str">
        <f>IFERROR(VLOOKUP(DATA!#REF!,DATA!#REF!,1,FALSE),"")</f>
        <v/>
      </c>
      <c r="D1180" s="16" t="str">
        <f>IFERROR(VLOOKUP(C1180,DATA!#REF!,2,FALSE),"")</f>
        <v/>
      </c>
    </row>
    <row r="1181" spans="2:4" s="230" customFormat="1">
      <c r="B1181" s="15" t="str">
        <f t="shared" si="45"/>
        <v/>
      </c>
      <c r="C1181" s="16" t="str">
        <f>IFERROR(VLOOKUP(DATA!#REF!,DATA!#REF!,1,FALSE),"")</f>
        <v/>
      </c>
      <c r="D1181" s="16" t="str">
        <f>IFERROR(VLOOKUP(C1181,DATA!#REF!,2,FALSE),"")</f>
        <v/>
      </c>
    </row>
    <row r="1182" spans="2:4" s="230" customFormat="1">
      <c r="B1182" s="15" t="str">
        <f t="shared" si="45"/>
        <v/>
      </c>
      <c r="C1182" s="16" t="str">
        <f>IFERROR(VLOOKUP(DATA!#REF!,DATA!#REF!,1,FALSE),"")</f>
        <v/>
      </c>
      <c r="D1182" s="16" t="str">
        <f>IFERROR(VLOOKUP(C1182,DATA!#REF!,2,FALSE),"")</f>
        <v/>
      </c>
    </row>
    <row r="1183" spans="2:4" s="230" customFormat="1">
      <c r="B1183" s="15" t="str">
        <f t="shared" si="45"/>
        <v/>
      </c>
      <c r="C1183" s="16" t="str">
        <f>IFERROR(VLOOKUP(DATA!#REF!,DATA!#REF!,1,FALSE),"")</f>
        <v/>
      </c>
      <c r="D1183" s="16" t="str">
        <f>IFERROR(VLOOKUP(C1183,DATA!#REF!,2,FALSE),"")</f>
        <v/>
      </c>
    </row>
    <row r="1184" spans="2:4" s="230" customFormat="1">
      <c r="B1184" s="15" t="str">
        <f t="shared" si="45"/>
        <v/>
      </c>
      <c r="C1184" s="16" t="str">
        <f>IFERROR(VLOOKUP(DATA!#REF!,DATA!#REF!,1,FALSE),"")</f>
        <v/>
      </c>
      <c r="D1184" s="16" t="str">
        <f>IFERROR(VLOOKUP(C1184,DATA!#REF!,2,FALSE),"")</f>
        <v/>
      </c>
    </row>
    <row r="1185" spans="2:4" s="230" customFormat="1">
      <c r="B1185" s="15" t="str">
        <f t="shared" si="45"/>
        <v/>
      </c>
      <c r="C1185" s="16" t="str">
        <f>IFERROR(VLOOKUP(DATA!#REF!,DATA!#REF!,1,FALSE),"")</f>
        <v/>
      </c>
      <c r="D1185" s="16" t="str">
        <f>IFERROR(VLOOKUP(C1185,DATA!#REF!,2,FALSE),"")</f>
        <v/>
      </c>
    </row>
    <row r="1186" spans="2:4" s="230" customFormat="1">
      <c r="B1186" s="15" t="str">
        <f t="shared" si="45"/>
        <v/>
      </c>
      <c r="C1186" s="16" t="str">
        <f>IFERROR(VLOOKUP(DATA!#REF!,DATA!#REF!,1,FALSE),"")</f>
        <v/>
      </c>
      <c r="D1186" s="16" t="str">
        <f>IFERROR(VLOOKUP(C1186,DATA!#REF!,2,FALSE),"")</f>
        <v/>
      </c>
    </row>
    <row r="1187" spans="2:4" s="230" customFormat="1">
      <c r="B1187" s="15" t="str">
        <f t="shared" si="45"/>
        <v/>
      </c>
      <c r="C1187" s="16" t="str">
        <f>IFERROR(VLOOKUP(DATA!#REF!,DATA!#REF!,1,FALSE),"")</f>
        <v/>
      </c>
      <c r="D1187" s="16" t="str">
        <f>IFERROR(VLOOKUP(C1187,DATA!#REF!,2,FALSE),"")</f>
        <v/>
      </c>
    </row>
    <row r="1188" spans="2:4" s="230" customFormat="1">
      <c r="B1188" s="15" t="str">
        <f t="shared" si="45"/>
        <v/>
      </c>
      <c r="C1188" s="16" t="str">
        <f>IFERROR(VLOOKUP(DATA!#REF!,DATA!#REF!,1,FALSE),"")</f>
        <v/>
      </c>
      <c r="D1188" s="16" t="str">
        <f>IFERROR(VLOOKUP(C1188,DATA!#REF!,2,FALSE),"")</f>
        <v/>
      </c>
    </row>
    <row r="1189" spans="2:4" s="230" customFormat="1">
      <c r="B1189" s="15" t="str">
        <f t="shared" si="45"/>
        <v/>
      </c>
      <c r="C1189" s="16" t="str">
        <f>IFERROR(VLOOKUP(DATA!#REF!,DATA!#REF!,1,FALSE),"")</f>
        <v/>
      </c>
      <c r="D1189" s="16" t="str">
        <f>IFERROR(VLOOKUP(C1189,DATA!#REF!,2,FALSE),"")</f>
        <v/>
      </c>
    </row>
    <row r="1190" spans="2:4" s="230" customFormat="1">
      <c r="B1190" s="15" t="str">
        <f t="shared" si="45"/>
        <v/>
      </c>
      <c r="C1190" s="16" t="str">
        <f>IFERROR(VLOOKUP(DATA!#REF!,DATA!#REF!,1,FALSE),"")</f>
        <v/>
      </c>
      <c r="D1190" s="16" t="str">
        <f>IFERROR(VLOOKUP(C1190,DATA!#REF!,2,FALSE),"")</f>
        <v/>
      </c>
    </row>
    <row r="1191" spans="2:4" s="230" customFormat="1">
      <c r="B1191" s="15" t="str">
        <f t="shared" si="45"/>
        <v/>
      </c>
      <c r="C1191" s="16" t="str">
        <f>IFERROR(VLOOKUP(DATA!#REF!,DATA!#REF!,1,FALSE),"")</f>
        <v/>
      </c>
      <c r="D1191" s="16" t="str">
        <f>IFERROR(VLOOKUP(C1191,DATA!#REF!,2,FALSE),"")</f>
        <v/>
      </c>
    </row>
    <row r="1192" spans="2:4" s="230" customFormat="1">
      <c r="B1192" s="15" t="str">
        <f t="shared" si="45"/>
        <v/>
      </c>
      <c r="C1192" s="16" t="str">
        <f>IFERROR(VLOOKUP(DATA!#REF!,DATA!#REF!,1,FALSE),"")</f>
        <v/>
      </c>
      <c r="D1192" s="16" t="str">
        <f>IFERROR(VLOOKUP(C1192,DATA!#REF!,2,FALSE),"")</f>
        <v/>
      </c>
    </row>
    <row r="1193" spans="2:4" s="230" customFormat="1">
      <c r="B1193" s="15" t="str">
        <f t="shared" si="45"/>
        <v/>
      </c>
      <c r="C1193" s="16" t="str">
        <f>IFERROR(VLOOKUP(DATA!#REF!,DATA!#REF!,1,FALSE),"")</f>
        <v/>
      </c>
      <c r="D1193" s="16" t="str">
        <f>IFERROR(VLOOKUP(C1193,DATA!#REF!,2,FALSE),"")</f>
        <v/>
      </c>
    </row>
    <row r="1194" spans="2:4" s="230" customFormat="1">
      <c r="B1194" s="15" t="str">
        <f t="shared" si="45"/>
        <v/>
      </c>
      <c r="C1194" s="16" t="str">
        <f>IFERROR(VLOOKUP(DATA!#REF!,DATA!#REF!,1,FALSE),"")</f>
        <v/>
      </c>
      <c r="D1194" s="16" t="str">
        <f>IFERROR(VLOOKUP(C1194,DATA!#REF!,2,FALSE),"")</f>
        <v/>
      </c>
    </row>
    <row r="1195" spans="2:4" s="230" customFormat="1">
      <c r="B1195" s="15" t="str">
        <f t="shared" si="45"/>
        <v/>
      </c>
      <c r="C1195" s="16" t="str">
        <f>IFERROR(VLOOKUP(DATA!#REF!,DATA!#REF!,1,FALSE),"")</f>
        <v/>
      </c>
      <c r="D1195" s="16" t="str">
        <f>IFERROR(VLOOKUP(C1195,DATA!#REF!,2,FALSE),"")</f>
        <v/>
      </c>
    </row>
    <row r="1196" spans="2:4" s="230" customFormat="1">
      <c r="B1196" s="15" t="str">
        <f t="shared" si="45"/>
        <v/>
      </c>
      <c r="C1196" s="16" t="str">
        <f>IFERROR(VLOOKUP(DATA!#REF!,DATA!#REF!,1,FALSE),"")</f>
        <v/>
      </c>
      <c r="D1196" s="16" t="str">
        <f>IFERROR(VLOOKUP(C1196,DATA!#REF!,2,FALSE),"")</f>
        <v/>
      </c>
    </row>
    <row r="1197" spans="2:4" s="230" customFormat="1">
      <c r="B1197" s="15" t="str">
        <f t="shared" si="45"/>
        <v/>
      </c>
      <c r="C1197" s="16" t="str">
        <f>IFERROR(VLOOKUP(DATA!#REF!,DATA!#REF!,1,FALSE),"")</f>
        <v/>
      </c>
      <c r="D1197" s="16" t="str">
        <f>IFERROR(VLOOKUP(C1197,DATA!#REF!,2,FALSE),"")</f>
        <v/>
      </c>
    </row>
    <row r="1198" spans="2:4" s="230" customFormat="1">
      <c r="B1198" s="15" t="str">
        <f t="shared" si="45"/>
        <v/>
      </c>
      <c r="C1198" s="16" t="str">
        <f>IFERROR(VLOOKUP(DATA!#REF!,DATA!#REF!,1,FALSE),"")</f>
        <v/>
      </c>
      <c r="D1198" s="16" t="str">
        <f>IFERROR(VLOOKUP(C1198,DATA!#REF!,2,FALSE),"")</f>
        <v/>
      </c>
    </row>
    <row r="1199" spans="2:4" s="230" customFormat="1">
      <c r="B1199" s="15" t="str">
        <f t="shared" si="45"/>
        <v/>
      </c>
      <c r="C1199" s="16" t="str">
        <f>IFERROR(VLOOKUP(DATA!#REF!,DATA!#REF!,1,FALSE),"")</f>
        <v/>
      </c>
      <c r="D1199" s="16" t="str">
        <f>IFERROR(VLOOKUP(C1199,DATA!#REF!,2,FALSE),"")</f>
        <v/>
      </c>
    </row>
    <row r="1200" spans="2:4" s="230" customFormat="1">
      <c r="B1200" s="15" t="str">
        <f t="shared" si="45"/>
        <v/>
      </c>
      <c r="C1200" s="16" t="str">
        <f>IFERROR(VLOOKUP(DATA!#REF!,DATA!#REF!,1,FALSE),"")</f>
        <v/>
      </c>
      <c r="D1200" s="16" t="str">
        <f>IFERROR(VLOOKUP(C1200,DATA!#REF!,2,FALSE),"")</f>
        <v/>
      </c>
    </row>
    <row r="1201" spans="2:4" s="230" customFormat="1">
      <c r="B1201" s="15" t="str">
        <f t="shared" si="45"/>
        <v/>
      </c>
      <c r="C1201" s="16" t="str">
        <f>IFERROR(VLOOKUP(DATA!#REF!,DATA!#REF!,1,FALSE),"")</f>
        <v/>
      </c>
      <c r="D1201" s="16" t="str">
        <f>IFERROR(VLOOKUP(C1201,DATA!#REF!,2,FALSE),"")</f>
        <v/>
      </c>
    </row>
    <row r="1202" spans="2:4" s="230" customFormat="1">
      <c r="B1202" s="15" t="str">
        <f t="shared" si="45"/>
        <v/>
      </c>
      <c r="C1202" s="16" t="str">
        <f>IFERROR(VLOOKUP(DATA!#REF!,DATA!#REF!,1,FALSE),"")</f>
        <v/>
      </c>
      <c r="D1202" s="16" t="str">
        <f>IFERROR(VLOOKUP(C1202,DATA!#REF!,2,FALSE),"")</f>
        <v/>
      </c>
    </row>
    <row r="1203" spans="2:4" s="230" customFormat="1">
      <c r="B1203" s="15" t="str">
        <f t="shared" si="45"/>
        <v/>
      </c>
      <c r="C1203" s="16" t="str">
        <f>IFERROR(VLOOKUP(DATA!#REF!,DATA!#REF!,1,FALSE),"")</f>
        <v/>
      </c>
      <c r="D1203" s="16" t="str">
        <f>IFERROR(VLOOKUP(C1203,DATA!#REF!,2,FALSE),"")</f>
        <v/>
      </c>
    </row>
    <row r="1204" spans="2:4" s="230" customFormat="1">
      <c r="B1204" s="15" t="str">
        <f t="shared" si="45"/>
        <v/>
      </c>
      <c r="C1204" s="16" t="str">
        <f>IFERROR(VLOOKUP(DATA!#REF!,DATA!#REF!,1,FALSE),"")</f>
        <v/>
      </c>
      <c r="D1204" s="16" t="str">
        <f>IFERROR(VLOOKUP(C1204,DATA!#REF!,2,FALSE),"")</f>
        <v/>
      </c>
    </row>
    <row r="1205" spans="2:4" s="230" customFormat="1">
      <c r="B1205" s="15" t="str">
        <f t="shared" si="45"/>
        <v/>
      </c>
      <c r="C1205" s="16" t="str">
        <f>IFERROR(VLOOKUP(DATA!#REF!,DATA!#REF!,1,FALSE),"")</f>
        <v/>
      </c>
      <c r="D1205" s="16" t="str">
        <f>IFERROR(VLOOKUP(C1205,DATA!#REF!,2,FALSE),"")</f>
        <v/>
      </c>
    </row>
    <row r="1206" spans="2:4" s="230" customFormat="1">
      <c r="B1206" s="15" t="str">
        <f t="shared" si="45"/>
        <v/>
      </c>
      <c r="C1206" s="16" t="str">
        <f>IFERROR(VLOOKUP(DATA!#REF!,DATA!#REF!,1,FALSE),"")</f>
        <v/>
      </c>
      <c r="D1206" s="16" t="str">
        <f>IFERROR(VLOOKUP(C1206,DATA!#REF!,2,FALSE),"")</f>
        <v/>
      </c>
    </row>
    <row r="1207" spans="2:4" s="230" customFormat="1">
      <c r="B1207" s="15" t="str">
        <f t="shared" si="45"/>
        <v/>
      </c>
      <c r="C1207" s="16" t="str">
        <f>IFERROR(VLOOKUP(DATA!#REF!,DATA!#REF!,1,FALSE),"")</f>
        <v/>
      </c>
      <c r="D1207" s="16" t="str">
        <f>IFERROR(VLOOKUP(C1207,DATA!#REF!,2,FALSE),"")</f>
        <v/>
      </c>
    </row>
    <row r="1208" spans="2:4" s="230" customFormat="1">
      <c r="B1208" s="15" t="str">
        <f t="shared" si="45"/>
        <v/>
      </c>
      <c r="C1208" s="16" t="str">
        <f>IFERROR(VLOOKUP(DATA!#REF!,DATA!#REF!,1,FALSE),"")</f>
        <v/>
      </c>
      <c r="D1208" s="16" t="str">
        <f>IFERROR(VLOOKUP(C1208,DATA!#REF!,2,FALSE),"")</f>
        <v/>
      </c>
    </row>
    <row r="1209" spans="2:4" s="230" customFormat="1">
      <c r="B1209" s="15" t="str">
        <f t="shared" si="45"/>
        <v/>
      </c>
      <c r="C1209" s="16" t="str">
        <f>IFERROR(VLOOKUP(DATA!#REF!,DATA!#REF!,1,FALSE),"")</f>
        <v/>
      </c>
      <c r="D1209" s="16" t="str">
        <f>IFERROR(VLOOKUP(C1209,DATA!#REF!,2,FALSE),"")</f>
        <v/>
      </c>
    </row>
    <row r="1210" spans="2:4" s="230" customFormat="1">
      <c r="B1210" s="15" t="str">
        <f t="shared" si="45"/>
        <v/>
      </c>
      <c r="C1210" s="16" t="str">
        <f>IFERROR(VLOOKUP(DATA!#REF!,DATA!#REF!,1,FALSE),"")</f>
        <v/>
      </c>
      <c r="D1210" s="16" t="str">
        <f>IFERROR(VLOOKUP(C1210,DATA!#REF!,2,FALSE),"")</f>
        <v/>
      </c>
    </row>
    <row r="1211" spans="2:4" s="230" customFormat="1">
      <c r="B1211" s="15" t="str">
        <f t="shared" si="45"/>
        <v/>
      </c>
      <c r="C1211" s="16" t="str">
        <f>IFERROR(VLOOKUP(DATA!#REF!,DATA!#REF!,1,FALSE),"")</f>
        <v/>
      </c>
      <c r="D1211" s="16" t="str">
        <f>IFERROR(VLOOKUP(C1211,DATA!#REF!,2,FALSE),"")</f>
        <v/>
      </c>
    </row>
    <row r="1212" spans="2:4" s="230" customFormat="1">
      <c r="B1212" s="15" t="str">
        <f t="shared" si="45"/>
        <v/>
      </c>
      <c r="C1212" s="16" t="str">
        <f>IFERROR(VLOOKUP(DATA!#REF!,DATA!#REF!,1,FALSE),"")</f>
        <v/>
      </c>
      <c r="D1212" s="16" t="str">
        <f>IFERROR(VLOOKUP(C1212,DATA!#REF!,2,FALSE),"")</f>
        <v/>
      </c>
    </row>
    <row r="1213" spans="2:4" s="230" customFormat="1">
      <c r="B1213" s="15" t="str">
        <f t="shared" si="45"/>
        <v/>
      </c>
      <c r="C1213" s="16" t="str">
        <f>IFERROR(VLOOKUP(DATA!#REF!,DATA!#REF!,1,FALSE),"")</f>
        <v/>
      </c>
      <c r="D1213" s="16" t="str">
        <f>IFERROR(VLOOKUP(C1213,DATA!#REF!,2,FALSE),"")</f>
        <v/>
      </c>
    </row>
    <row r="1214" spans="2:4" s="230" customFormat="1">
      <c r="B1214" s="15" t="str">
        <f t="shared" si="45"/>
        <v/>
      </c>
      <c r="C1214" s="16" t="str">
        <f>IFERROR(VLOOKUP(DATA!#REF!,DATA!#REF!,1,FALSE),"")</f>
        <v/>
      </c>
      <c r="D1214" s="16" t="str">
        <f>IFERROR(VLOOKUP(C1214,DATA!#REF!,2,FALSE),"")</f>
        <v/>
      </c>
    </row>
    <row r="1215" spans="2:4" s="230" customFormat="1">
      <c r="B1215" s="15" t="str">
        <f t="shared" si="45"/>
        <v/>
      </c>
      <c r="C1215" s="16" t="str">
        <f>IFERROR(VLOOKUP(DATA!#REF!,DATA!#REF!,1,FALSE),"")</f>
        <v/>
      </c>
      <c r="D1215" s="16" t="str">
        <f>IFERROR(VLOOKUP(C1215,DATA!#REF!,2,FALSE),"")</f>
        <v/>
      </c>
    </row>
    <row r="1216" spans="2:4" s="230" customFormat="1">
      <c r="B1216" s="15" t="str">
        <f t="shared" si="45"/>
        <v/>
      </c>
      <c r="C1216" s="16" t="str">
        <f>IFERROR(VLOOKUP(DATA!#REF!,DATA!#REF!,1,FALSE),"")</f>
        <v/>
      </c>
      <c r="D1216" s="16" t="str">
        <f>IFERROR(VLOOKUP(C1216,DATA!#REF!,2,FALSE),"")</f>
        <v/>
      </c>
    </row>
    <row r="1217" spans="2:4" s="230" customFormat="1">
      <c r="B1217" s="15" t="str">
        <f t="shared" si="45"/>
        <v/>
      </c>
      <c r="C1217" s="16" t="str">
        <f>IFERROR(VLOOKUP(DATA!#REF!,DATA!#REF!,1,FALSE),"")</f>
        <v/>
      </c>
      <c r="D1217" s="16" t="str">
        <f>IFERROR(VLOOKUP(C1217,DATA!#REF!,2,FALSE),"")</f>
        <v/>
      </c>
    </row>
    <row r="1218" spans="2:4" s="230" customFormat="1">
      <c r="B1218" s="15" t="str">
        <f t="shared" si="45"/>
        <v/>
      </c>
      <c r="C1218" s="16" t="str">
        <f>IFERROR(VLOOKUP(DATA!#REF!,DATA!#REF!,1,FALSE),"")</f>
        <v/>
      </c>
      <c r="D1218" s="16" t="str">
        <f>IFERROR(VLOOKUP(C1218,DATA!#REF!,2,FALSE),"")</f>
        <v/>
      </c>
    </row>
    <row r="1219" spans="2:4" s="230" customFormat="1">
      <c r="B1219" s="15" t="str">
        <f t="shared" si="45"/>
        <v/>
      </c>
      <c r="C1219" s="16" t="str">
        <f>IFERROR(VLOOKUP(DATA!#REF!,DATA!#REF!,1,FALSE),"")</f>
        <v/>
      </c>
      <c r="D1219" s="16" t="str">
        <f>IFERROR(VLOOKUP(C1219,DATA!#REF!,2,FALSE),"")</f>
        <v/>
      </c>
    </row>
    <row r="1220" spans="2:4" s="230" customFormat="1">
      <c r="B1220" s="15" t="str">
        <f t="shared" si="45"/>
        <v/>
      </c>
      <c r="C1220" s="16" t="str">
        <f>IFERROR(VLOOKUP(DATA!#REF!,DATA!#REF!,1,FALSE),"")</f>
        <v/>
      </c>
      <c r="D1220" s="16" t="str">
        <f>IFERROR(VLOOKUP(C1220,DATA!#REF!,2,FALSE),"")</f>
        <v/>
      </c>
    </row>
    <row r="1221" spans="2:4" s="230" customFormat="1">
      <c r="B1221" s="15" t="str">
        <f t="shared" si="45"/>
        <v/>
      </c>
      <c r="C1221" s="16" t="str">
        <f>IFERROR(VLOOKUP(DATA!#REF!,DATA!#REF!,1,FALSE),"")</f>
        <v/>
      </c>
      <c r="D1221" s="16" t="str">
        <f>IFERROR(VLOOKUP(C1221,DATA!#REF!,2,FALSE),"")</f>
        <v/>
      </c>
    </row>
    <row r="1222" spans="2:4" s="230" customFormat="1">
      <c r="B1222" s="15" t="str">
        <f t="shared" ref="B1222:B1285" si="46">+IF(C1222="","",ROW()-5)</f>
        <v/>
      </c>
      <c r="C1222" s="16" t="str">
        <f>IFERROR(VLOOKUP(DATA!#REF!,DATA!#REF!,1,FALSE),"")</f>
        <v/>
      </c>
      <c r="D1222" s="16" t="str">
        <f>IFERROR(VLOOKUP(C1222,DATA!#REF!,2,FALSE),"")</f>
        <v/>
      </c>
    </row>
    <row r="1223" spans="2:4" s="230" customFormat="1">
      <c r="B1223" s="15" t="str">
        <f t="shared" si="46"/>
        <v/>
      </c>
      <c r="C1223" s="16" t="str">
        <f>IFERROR(VLOOKUP(DATA!#REF!,DATA!#REF!,1,FALSE),"")</f>
        <v/>
      </c>
      <c r="D1223" s="16" t="str">
        <f>IFERROR(VLOOKUP(C1223,DATA!#REF!,2,FALSE),"")</f>
        <v/>
      </c>
    </row>
    <row r="1224" spans="2:4" s="230" customFormat="1">
      <c r="B1224" s="15" t="str">
        <f t="shared" si="46"/>
        <v/>
      </c>
      <c r="C1224" s="16" t="str">
        <f>IFERROR(VLOOKUP(DATA!#REF!,DATA!#REF!,1,FALSE),"")</f>
        <v/>
      </c>
      <c r="D1224" s="16" t="str">
        <f>IFERROR(VLOOKUP(C1224,DATA!#REF!,2,FALSE),"")</f>
        <v/>
      </c>
    </row>
    <row r="1225" spans="2:4" s="230" customFormat="1">
      <c r="B1225" s="15" t="str">
        <f t="shared" si="46"/>
        <v/>
      </c>
      <c r="C1225" s="16" t="str">
        <f>IFERROR(VLOOKUP(DATA!#REF!,DATA!#REF!,1,FALSE),"")</f>
        <v/>
      </c>
      <c r="D1225" s="16" t="str">
        <f>IFERROR(VLOOKUP(C1225,DATA!#REF!,2,FALSE),"")</f>
        <v/>
      </c>
    </row>
    <row r="1226" spans="2:4" s="230" customFormat="1">
      <c r="B1226" s="15" t="str">
        <f t="shared" si="46"/>
        <v/>
      </c>
      <c r="C1226" s="16" t="str">
        <f>IFERROR(VLOOKUP(DATA!#REF!,DATA!#REF!,1,FALSE),"")</f>
        <v/>
      </c>
      <c r="D1226" s="16" t="str">
        <f>IFERROR(VLOOKUP(C1226,DATA!#REF!,2,FALSE),"")</f>
        <v/>
      </c>
    </row>
    <row r="1227" spans="2:4" s="230" customFormat="1">
      <c r="B1227" s="15" t="str">
        <f t="shared" si="46"/>
        <v/>
      </c>
      <c r="C1227" s="16" t="str">
        <f>IFERROR(VLOOKUP(DATA!#REF!,DATA!#REF!,1,FALSE),"")</f>
        <v/>
      </c>
      <c r="D1227" s="16" t="str">
        <f>IFERROR(VLOOKUP(C1227,DATA!#REF!,2,FALSE),"")</f>
        <v/>
      </c>
    </row>
    <row r="1228" spans="2:4" s="230" customFormat="1">
      <c r="B1228" s="15" t="str">
        <f t="shared" si="46"/>
        <v/>
      </c>
      <c r="C1228" s="16" t="str">
        <f>IFERROR(VLOOKUP(DATA!#REF!,DATA!#REF!,1,FALSE),"")</f>
        <v/>
      </c>
      <c r="D1228" s="16" t="str">
        <f>IFERROR(VLOOKUP(C1228,DATA!#REF!,2,FALSE),"")</f>
        <v/>
      </c>
    </row>
    <row r="1229" spans="2:4" s="230" customFormat="1">
      <c r="B1229" s="15" t="str">
        <f t="shared" si="46"/>
        <v/>
      </c>
      <c r="C1229" s="16" t="str">
        <f>IFERROR(VLOOKUP(DATA!#REF!,DATA!#REF!,1,FALSE),"")</f>
        <v/>
      </c>
      <c r="D1229" s="16" t="str">
        <f>IFERROR(VLOOKUP(C1229,DATA!#REF!,2,FALSE),"")</f>
        <v/>
      </c>
    </row>
    <row r="1230" spans="2:4" s="230" customFormat="1">
      <c r="B1230" s="15" t="str">
        <f t="shared" si="46"/>
        <v/>
      </c>
      <c r="C1230" s="16" t="str">
        <f>IFERROR(VLOOKUP(DATA!#REF!,DATA!#REF!,1,FALSE),"")</f>
        <v/>
      </c>
      <c r="D1230" s="16" t="str">
        <f>IFERROR(VLOOKUP(C1230,DATA!#REF!,2,FALSE),"")</f>
        <v/>
      </c>
    </row>
    <row r="1231" spans="2:4" s="230" customFormat="1">
      <c r="B1231" s="15" t="str">
        <f t="shared" si="46"/>
        <v/>
      </c>
      <c r="C1231" s="16" t="str">
        <f>IFERROR(VLOOKUP(DATA!#REF!,DATA!#REF!,1,FALSE),"")</f>
        <v/>
      </c>
      <c r="D1231" s="16" t="str">
        <f>IFERROR(VLOOKUP(C1231,DATA!#REF!,2,FALSE),"")</f>
        <v/>
      </c>
    </row>
    <row r="1232" spans="2:4" s="230" customFormat="1">
      <c r="B1232" s="15" t="str">
        <f t="shared" si="46"/>
        <v/>
      </c>
      <c r="C1232" s="16" t="str">
        <f>IFERROR(VLOOKUP(DATA!#REF!,DATA!#REF!,1,FALSE),"")</f>
        <v/>
      </c>
      <c r="D1232" s="16" t="str">
        <f>IFERROR(VLOOKUP(C1232,DATA!#REF!,2,FALSE),"")</f>
        <v/>
      </c>
    </row>
    <row r="1233" spans="2:4" s="230" customFormat="1">
      <c r="B1233" s="15" t="str">
        <f t="shared" si="46"/>
        <v/>
      </c>
      <c r="C1233" s="16" t="str">
        <f>IFERROR(VLOOKUP(DATA!#REF!,DATA!#REF!,1,FALSE),"")</f>
        <v/>
      </c>
      <c r="D1233" s="16" t="str">
        <f>IFERROR(VLOOKUP(C1233,DATA!#REF!,2,FALSE),"")</f>
        <v/>
      </c>
    </row>
    <row r="1234" spans="2:4" s="230" customFormat="1">
      <c r="B1234" s="15" t="str">
        <f t="shared" si="46"/>
        <v/>
      </c>
      <c r="C1234" s="16" t="str">
        <f>IFERROR(VLOOKUP(DATA!#REF!,DATA!#REF!,1,FALSE),"")</f>
        <v/>
      </c>
      <c r="D1234" s="16" t="str">
        <f>IFERROR(VLOOKUP(C1234,DATA!#REF!,2,FALSE),"")</f>
        <v/>
      </c>
    </row>
    <row r="1235" spans="2:4" s="230" customFormat="1">
      <c r="B1235" s="15" t="str">
        <f t="shared" si="46"/>
        <v/>
      </c>
      <c r="C1235" s="16" t="str">
        <f>IFERROR(VLOOKUP(DATA!#REF!,DATA!#REF!,1,FALSE),"")</f>
        <v/>
      </c>
      <c r="D1235" s="16" t="str">
        <f>IFERROR(VLOOKUP(C1235,DATA!#REF!,2,FALSE),"")</f>
        <v/>
      </c>
    </row>
    <row r="1236" spans="2:4" s="230" customFormat="1">
      <c r="B1236" s="15" t="str">
        <f t="shared" si="46"/>
        <v/>
      </c>
      <c r="C1236" s="16" t="str">
        <f>IFERROR(VLOOKUP(DATA!#REF!,DATA!#REF!,1,FALSE),"")</f>
        <v/>
      </c>
      <c r="D1236" s="16" t="str">
        <f>IFERROR(VLOOKUP(C1236,DATA!#REF!,2,FALSE),"")</f>
        <v/>
      </c>
    </row>
    <row r="1237" spans="2:4" s="230" customFormat="1">
      <c r="B1237" s="15" t="str">
        <f t="shared" si="46"/>
        <v/>
      </c>
      <c r="C1237" s="16" t="str">
        <f>IFERROR(VLOOKUP(DATA!#REF!,DATA!#REF!,1,FALSE),"")</f>
        <v/>
      </c>
      <c r="D1237" s="16" t="str">
        <f>IFERROR(VLOOKUP(C1237,DATA!#REF!,2,FALSE),"")</f>
        <v/>
      </c>
    </row>
    <row r="1238" spans="2:4" s="230" customFormat="1">
      <c r="B1238" s="15" t="str">
        <f t="shared" si="46"/>
        <v/>
      </c>
      <c r="C1238" s="16" t="str">
        <f>IFERROR(VLOOKUP(DATA!#REF!,DATA!#REF!,1,FALSE),"")</f>
        <v/>
      </c>
      <c r="D1238" s="16" t="str">
        <f>IFERROR(VLOOKUP(C1238,DATA!#REF!,2,FALSE),"")</f>
        <v/>
      </c>
    </row>
    <row r="1239" spans="2:4" s="230" customFormat="1">
      <c r="B1239" s="15" t="str">
        <f t="shared" si="46"/>
        <v/>
      </c>
      <c r="C1239" s="16" t="str">
        <f>IFERROR(VLOOKUP(DATA!#REF!,DATA!#REF!,1,FALSE),"")</f>
        <v/>
      </c>
      <c r="D1239" s="16" t="str">
        <f>IFERROR(VLOOKUP(C1239,DATA!#REF!,2,FALSE),"")</f>
        <v/>
      </c>
    </row>
    <row r="1240" spans="2:4" s="230" customFormat="1">
      <c r="B1240" s="15" t="str">
        <f t="shared" si="46"/>
        <v/>
      </c>
      <c r="C1240" s="16" t="str">
        <f>IFERROR(VLOOKUP(DATA!#REF!,DATA!#REF!,1,FALSE),"")</f>
        <v/>
      </c>
      <c r="D1240" s="16" t="str">
        <f>IFERROR(VLOOKUP(C1240,DATA!#REF!,2,FALSE),"")</f>
        <v/>
      </c>
    </row>
    <row r="1241" spans="2:4" s="230" customFormat="1">
      <c r="B1241" s="15" t="str">
        <f t="shared" si="46"/>
        <v/>
      </c>
      <c r="C1241" s="16" t="str">
        <f>IFERROR(VLOOKUP(DATA!#REF!,DATA!#REF!,1,FALSE),"")</f>
        <v/>
      </c>
      <c r="D1241" s="16" t="str">
        <f>IFERROR(VLOOKUP(C1241,DATA!#REF!,2,FALSE),"")</f>
        <v/>
      </c>
    </row>
    <row r="1242" spans="2:4" s="230" customFormat="1">
      <c r="B1242" s="15" t="str">
        <f t="shared" si="46"/>
        <v/>
      </c>
      <c r="C1242" s="16" t="str">
        <f>IFERROR(VLOOKUP(DATA!#REF!,DATA!#REF!,1,FALSE),"")</f>
        <v/>
      </c>
      <c r="D1242" s="16" t="str">
        <f>IFERROR(VLOOKUP(C1242,DATA!#REF!,2,FALSE),"")</f>
        <v/>
      </c>
    </row>
    <row r="1243" spans="2:4" s="230" customFormat="1">
      <c r="B1243" s="15" t="str">
        <f t="shared" si="46"/>
        <v/>
      </c>
      <c r="C1243" s="16" t="str">
        <f>IFERROR(VLOOKUP(DATA!#REF!,DATA!#REF!,1,FALSE),"")</f>
        <v/>
      </c>
      <c r="D1243" s="16" t="str">
        <f>IFERROR(VLOOKUP(C1243,DATA!#REF!,2,FALSE),"")</f>
        <v/>
      </c>
    </row>
    <row r="1244" spans="2:4" s="230" customFormat="1">
      <c r="B1244" s="15" t="str">
        <f t="shared" si="46"/>
        <v/>
      </c>
      <c r="C1244" s="16" t="str">
        <f>IFERROR(VLOOKUP(DATA!#REF!,DATA!#REF!,1,FALSE),"")</f>
        <v/>
      </c>
      <c r="D1244" s="16" t="str">
        <f>IFERROR(VLOOKUP(C1244,DATA!#REF!,2,FALSE),"")</f>
        <v/>
      </c>
    </row>
    <row r="1245" spans="2:4" s="230" customFormat="1">
      <c r="B1245" s="15" t="str">
        <f t="shared" si="46"/>
        <v/>
      </c>
      <c r="C1245" s="16" t="str">
        <f>IFERROR(VLOOKUP(DATA!#REF!,DATA!#REF!,1,FALSE),"")</f>
        <v/>
      </c>
      <c r="D1245" s="16" t="str">
        <f>IFERROR(VLOOKUP(C1245,DATA!#REF!,2,FALSE),"")</f>
        <v/>
      </c>
    </row>
    <row r="1246" spans="2:4" s="230" customFormat="1">
      <c r="B1246" s="15" t="str">
        <f t="shared" si="46"/>
        <v/>
      </c>
      <c r="C1246" s="16" t="str">
        <f>IFERROR(VLOOKUP(DATA!#REF!,DATA!#REF!,1,FALSE),"")</f>
        <v/>
      </c>
      <c r="D1246" s="16" t="str">
        <f>IFERROR(VLOOKUP(C1246,DATA!#REF!,2,FALSE),"")</f>
        <v/>
      </c>
    </row>
    <row r="1247" spans="2:4" s="230" customFormat="1">
      <c r="B1247" s="15" t="str">
        <f t="shared" si="46"/>
        <v/>
      </c>
      <c r="C1247" s="16" t="str">
        <f>IFERROR(VLOOKUP(DATA!#REF!,DATA!#REF!,1,FALSE),"")</f>
        <v/>
      </c>
      <c r="D1247" s="16" t="str">
        <f>IFERROR(VLOOKUP(C1247,DATA!#REF!,2,FALSE),"")</f>
        <v/>
      </c>
    </row>
    <row r="1248" spans="2:4" s="230" customFormat="1">
      <c r="B1248" s="15" t="str">
        <f t="shared" si="46"/>
        <v/>
      </c>
      <c r="C1248" s="16" t="str">
        <f>IFERROR(VLOOKUP(DATA!#REF!,DATA!#REF!,1,FALSE),"")</f>
        <v/>
      </c>
      <c r="D1248" s="16" t="str">
        <f>IFERROR(VLOOKUP(C1248,DATA!#REF!,2,FALSE),"")</f>
        <v/>
      </c>
    </row>
    <row r="1249" spans="2:4" s="230" customFormat="1">
      <c r="B1249" s="15" t="str">
        <f t="shared" si="46"/>
        <v/>
      </c>
      <c r="C1249" s="16" t="str">
        <f>IFERROR(VLOOKUP(DATA!#REF!,DATA!#REF!,1,FALSE),"")</f>
        <v/>
      </c>
      <c r="D1249" s="16" t="str">
        <f>IFERROR(VLOOKUP(C1249,DATA!#REF!,2,FALSE),"")</f>
        <v/>
      </c>
    </row>
    <row r="1250" spans="2:4" s="230" customFormat="1">
      <c r="B1250" s="15" t="str">
        <f t="shared" si="46"/>
        <v/>
      </c>
      <c r="C1250" s="16" t="str">
        <f>IFERROR(VLOOKUP(DATA!#REF!,DATA!#REF!,1,FALSE),"")</f>
        <v/>
      </c>
      <c r="D1250" s="16" t="str">
        <f>IFERROR(VLOOKUP(C1250,DATA!#REF!,2,FALSE),"")</f>
        <v/>
      </c>
    </row>
    <row r="1251" spans="2:4" s="230" customFormat="1">
      <c r="B1251" s="15" t="str">
        <f t="shared" si="46"/>
        <v/>
      </c>
      <c r="C1251" s="16" t="str">
        <f>IFERROR(VLOOKUP(DATA!#REF!,DATA!#REF!,1,FALSE),"")</f>
        <v/>
      </c>
      <c r="D1251" s="16" t="str">
        <f>IFERROR(VLOOKUP(C1251,DATA!#REF!,2,FALSE),"")</f>
        <v/>
      </c>
    </row>
    <row r="1252" spans="2:4" s="230" customFormat="1">
      <c r="B1252" s="15" t="str">
        <f t="shared" si="46"/>
        <v/>
      </c>
      <c r="C1252" s="16" t="str">
        <f>IFERROR(VLOOKUP(DATA!#REF!,DATA!#REF!,1,FALSE),"")</f>
        <v/>
      </c>
      <c r="D1252" s="16" t="str">
        <f>IFERROR(VLOOKUP(C1252,DATA!#REF!,2,FALSE),"")</f>
        <v/>
      </c>
    </row>
    <row r="1253" spans="2:4" s="230" customFormat="1">
      <c r="B1253" s="15" t="str">
        <f t="shared" si="46"/>
        <v/>
      </c>
      <c r="C1253" s="16" t="str">
        <f>IFERROR(VLOOKUP(DATA!#REF!,DATA!#REF!,1,FALSE),"")</f>
        <v/>
      </c>
      <c r="D1253" s="16" t="str">
        <f>IFERROR(VLOOKUP(C1253,DATA!#REF!,2,FALSE),"")</f>
        <v/>
      </c>
    </row>
    <row r="1254" spans="2:4" s="230" customFormat="1">
      <c r="B1254" s="15" t="str">
        <f t="shared" si="46"/>
        <v/>
      </c>
      <c r="C1254" s="16" t="str">
        <f>IFERROR(VLOOKUP(DATA!#REF!,DATA!#REF!,1,FALSE),"")</f>
        <v/>
      </c>
      <c r="D1254" s="16" t="str">
        <f>IFERROR(VLOOKUP(C1254,DATA!#REF!,2,FALSE),"")</f>
        <v/>
      </c>
    </row>
    <row r="1255" spans="2:4" s="230" customFormat="1">
      <c r="B1255" s="15" t="str">
        <f t="shared" si="46"/>
        <v/>
      </c>
      <c r="C1255" s="16" t="str">
        <f>IFERROR(VLOOKUP(DATA!#REF!,DATA!#REF!,1,FALSE),"")</f>
        <v/>
      </c>
      <c r="D1255" s="16" t="str">
        <f>IFERROR(VLOOKUP(C1255,DATA!#REF!,2,FALSE),"")</f>
        <v/>
      </c>
    </row>
    <row r="1256" spans="2:4" s="230" customFormat="1">
      <c r="B1256" s="15" t="str">
        <f t="shared" si="46"/>
        <v/>
      </c>
      <c r="C1256" s="16" t="str">
        <f>IFERROR(VLOOKUP(DATA!#REF!,DATA!#REF!,1,FALSE),"")</f>
        <v/>
      </c>
      <c r="D1256" s="16" t="str">
        <f>IFERROR(VLOOKUP(C1256,DATA!#REF!,2,FALSE),"")</f>
        <v/>
      </c>
    </row>
    <row r="1257" spans="2:4" s="230" customFormat="1">
      <c r="B1257" s="15" t="str">
        <f t="shared" si="46"/>
        <v/>
      </c>
      <c r="C1257" s="16" t="str">
        <f>IFERROR(VLOOKUP(DATA!#REF!,DATA!#REF!,1,FALSE),"")</f>
        <v/>
      </c>
      <c r="D1257" s="16" t="str">
        <f>IFERROR(VLOOKUP(C1257,DATA!#REF!,2,FALSE),"")</f>
        <v/>
      </c>
    </row>
    <row r="1258" spans="2:4" s="230" customFormat="1">
      <c r="B1258" s="15" t="str">
        <f t="shared" si="46"/>
        <v/>
      </c>
      <c r="C1258" s="16" t="str">
        <f>IFERROR(VLOOKUP(DATA!#REF!,DATA!#REF!,1,FALSE),"")</f>
        <v/>
      </c>
      <c r="D1258" s="16" t="str">
        <f>IFERROR(VLOOKUP(C1258,DATA!#REF!,2,FALSE),"")</f>
        <v/>
      </c>
    </row>
    <row r="1259" spans="2:4" s="230" customFormat="1">
      <c r="B1259" s="15" t="str">
        <f t="shared" si="46"/>
        <v/>
      </c>
      <c r="C1259" s="16" t="str">
        <f>IFERROR(VLOOKUP(DATA!#REF!,DATA!#REF!,1,FALSE),"")</f>
        <v/>
      </c>
      <c r="D1259" s="16" t="str">
        <f>IFERROR(VLOOKUP(C1259,DATA!#REF!,2,FALSE),"")</f>
        <v/>
      </c>
    </row>
    <row r="1260" spans="2:4" s="230" customFormat="1">
      <c r="B1260" s="15" t="str">
        <f t="shared" si="46"/>
        <v/>
      </c>
      <c r="C1260" s="16" t="str">
        <f>IFERROR(VLOOKUP(DATA!#REF!,DATA!#REF!,1,FALSE),"")</f>
        <v/>
      </c>
      <c r="D1260" s="16" t="str">
        <f>IFERROR(VLOOKUP(C1260,DATA!#REF!,2,FALSE),"")</f>
        <v/>
      </c>
    </row>
    <row r="1261" spans="2:4" s="230" customFormat="1">
      <c r="B1261" s="15" t="str">
        <f t="shared" si="46"/>
        <v/>
      </c>
      <c r="C1261" s="16" t="str">
        <f>IFERROR(VLOOKUP(DATA!#REF!,DATA!#REF!,1,FALSE),"")</f>
        <v/>
      </c>
      <c r="D1261" s="16" t="str">
        <f>IFERROR(VLOOKUP(C1261,DATA!#REF!,2,FALSE),"")</f>
        <v/>
      </c>
    </row>
    <row r="1262" spans="2:4" s="230" customFormat="1">
      <c r="B1262" s="15" t="str">
        <f t="shared" si="46"/>
        <v/>
      </c>
      <c r="C1262" s="16" t="str">
        <f>IFERROR(VLOOKUP(DATA!#REF!,DATA!#REF!,1,FALSE),"")</f>
        <v/>
      </c>
      <c r="D1262" s="16" t="str">
        <f>IFERROR(VLOOKUP(C1262,DATA!#REF!,2,FALSE),"")</f>
        <v/>
      </c>
    </row>
    <row r="1263" spans="2:4" s="230" customFormat="1">
      <c r="B1263" s="15" t="str">
        <f t="shared" si="46"/>
        <v/>
      </c>
      <c r="C1263" s="16" t="str">
        <f>IFERROR(VLOOKUP(DATA!#REF!,DATA!#REF!,1,FALSE),"")</f>
        <v/>
      </c>
      <c r="D1263" s="16" t="str">
        <f>IFERROR(VLOOKUP(C1263,DATA!#REF!,2,FALSE),"")</f>
        <v/>
      </c>
    </row>
    <row r="1264" spans="2:4" s="230" customFormat="1">
      <c r="B1264" s="15" t="str">
        <f t="shared" si="46"/>
        <v/>
      </c>
      <c r="C1264" s="16" t="str">
        <f>IFERROR(VLOOKUP(DATA!#REF!,DATA!#REF!,1,FALSE),"")</f>
        <v/>
      </c>
      <c r="D1264" s="16" t="str">
        <f>IFERROR(VLOOKUP(C1264,DATA!#REF!,2,FALSE),"")</f>
        <v/>
      </c>
    </row>
    <row r="1265" spans="2:4" s="230" customFormat="1">
      <c r="B1265" s="15" t="str">
        <f t="shared" si="46"/>
        <v/>
      </c>
      <c r="C1265" s="16" t="str">
        <f>IFERROR(VLOOKUP(DATA!#REF!,DATA!#REF!,1,FALSE),"")</f>
        <v/>
      </c>
      <c r="D1265" s="16" t="str">
        <f>IFERROR(VLOOKUP(C1265,DATA!#REF!,2,FALSE),"")</f>
        <v/>
      </c>
    </row>
    <row r="1266" spans="2:4" s="230" customFormat="1">
      <c r="B1266" s="15" t="str">
        <f t="shared" si="46"/>
        <v/>
      </c>
      <c r="C1266" s="16" t="str">
        <f>IFERROR(VLOOKUP(DATA!#REF!,DATA!#REF!,1,FALSE),"")</f>
        <v/>
      </c>
      <c r="D1266" s="16" t="str">
        <f>IFERROR(VLOOKUP(C1266,DATA!#REF!,2,FALSE),"")</f>
        <v/>
      </c>
    </row>
    <row r="1267" spans="2:4" s="230" customFormat="1">
      <c r="B1267" s="15" t="str">
        <f t="shared" si="46"/>
        <v/>
      </c>
      <c r="C1267" s="16" t="str">
        <f>IFERROR(VLOOKUP(DATA!#REF!,DATA!#REF!,1,FALSE),"")</f>
        <v/>
      </c>
      <c r="D1267" s="16" t="str">
        <f>IFERROR(VLOOKUP(C1267,DATA!#REF!,2,FALSE),"")</f>
        <v/>
      </c>
    </row>
    <row r="1268" spans="2:4" s="230" customFormat="1">
      <c r="B1268" s="15" t="str">
        <f t="shared" si="46"/>
        <v/>
      </c>
      <c r="C1268" s="16" t="str">
        <f>IFERROR(VLOOKUP(DATA!#REF!,DATA!#REF!,1,FALSE),"")</f>
        <v/>
      </c>
      <c r="D1268" s="16" t="str">
        <f>IFERROR(VLOOKUP(C1268,DATA!#REF!,2,FALSE),"")</f>
        <v/>
      </c>
    </row>
    <row r="1269" spans="2:4" s="230" customFormat="1">
      <c r="B1269" s="15" t="str">
        <f t="shared" si="46"/>
        <v/>
      </c>
      <c r="C1269" s="16" t="str">
        <f>IFERROR(VLOOKUP(DATA!#REF!,DATA!#REF!,1,FALSE),"")</f>
        <v/>
      </c>
      <c r="D1269" s="16" t="str">
        <f>IFERROR(VLOOKUP(C1269,DATA!#REF!,2,FALSE),"")</f>
        <v/>
      </c>
    </row>
    <row r="1270" spans="2:4" s="230" customFormat="1">
      <c r="B1270" s="15" t="str">
        <f t="shared" si="46"/>
        <v/>
      </c>
      <c r="C1270" s="16" t="str">
        <f>IFERROR(VLOOKUP(DATA!#REF!,DATA!#REF!,1,FALSE),"")</f>
        <v/>
      </c>
      <c r="D1270" s="16" t="str">
        <f>IFERROR(VLOOKUP(C1270,DATA!#REF!,2,FALSE),"")</f>
        <v/>
      </c>
    </row>
    <row r="1271" spans="2:4" s="230" customFormat="1">
      <c r="B1271" s="15" t="str">
        <f t="shared" si="46"/>
        <v/>
      </c>
      <c r="C1271" s="16" t="str">
        <f>IFERROR(VLOOKUP(DATA!#REF!,DATA!#REF!,1,FALSE),"")</f>
        <v/>
      </c>
      <c r="D1271" s="16" t="str">
        <f>IFERROR(VLOOKUP(C1271,DATA!#REF!,2,FALSE),"")</f>
        <v/>
      </c>
    </row>
    <row r="1272" spans="2:4" s="230" customFormat="1">
      <c r="B1272" s="15" t="str">
        <f t="shared" si="46"/>
        <v/>
      </c>
      <c r="C1272" s="16" t="str">
        <f>IFERROR(VLOOKUP(DATA!#REF!,DATA!#REF!,1,FALSE),"")</f>
        <v/>
      </c>
      <c r="D1272" s="16" t="str">
        <f>IFERROR(VLOOKUP(C1272,DATA!#REF!,2,FALSE),"")</f>
        <v/>
      </c>
    </row>
    <row r="1273" spans="2:4" s="230" customFormat="1">
      <c r="B1273" s="15" t="str">
        <f t="shared" si="46"/>
        <v/>
      </c>
      <c r="C1273" s="16" t="str">
        <f>IFERROR(VLOOKUP(DATA!#REF!,DATA!#REF!,1,FALSE),"")</f>
        <v/>
      </c>
      <c r="D1273" s="16" t="str">
        <f>IFERROR(VLOOKUP(C1273,DATA!#REF!,2,FALSE),"")</f>
        <v/>
      </c>
    </row>
    <row r="1274" spans="2:4" s="230" customFormat="1">
      <c r="B1274" s="15" t="str">
        <f t="shared" si="46"/>
        <v/>
      </c>
      <c r="C1274" s="16" t="str">
        <f>IFERROR(VLOOKUP(DATA!#REF!,DATA!#REF!,1,FALSE),"")</f>
        <v/>
      </c>
      <c r="D1274" s="16" t="str">
        <f>IFERROR(VLOOKUP(C1274,DATA!#REF!,2,FALSE),"")</f>
        <v/>
      </c>
    </row>
    <row r="1275" spans="2:4" s="230" customFormat="1">
      <c r="B1275" s="15" t="str">
        <f t="shared" si="46"/>
        <v/>
      </c>
      <c r="C1275" s="16" t="str">
        <f>IFERROR(VLOOKUP(DATA!#REF!,DATA!#REF!,1,FALSE),"")</f>
        <v/>
      </c>
      <c r="D1275" s="16" t="str">
        <f>IFERROR(VLOOKUP(C1275,DATA!#REF!,2,FALSE),"")</f>
        <v/>
      </c>
    </row>
    <row r="1276" spans="2:4" s="230" customFormat="1">
      <c r="B1276" s="15" t="str">
        <f t="shared" si="46"/>
        <v/>
      </c>
      <c r="C1276" s="16" t="str">
        <f>IFERROR(VLOOKUP(DATA!#REF!,DATA!#REF!,1,FALSE),"")</f>
        <v/>
      </c>
      <c r="D1276" s="16" t="str">
        <f>IFERROR(VLOOKUP(C1276,DATA!#REF!,2,FALSE),"")</f>
        <v/>
      </c>
    </row>
    <row r="1277" spans="2:4" s="230" customFormat="1">
      <c r="B1277" s="15" t="str">
        <f t="shared" si="46"/>
        <v/>
      </c>
      <c r="C1277" s="16" t="str">
        <f>IFERROR(VLOOKUP(DATA!#REF!,DATA!#REF!,1,FALSE),"")</f>
        <v/>
      </c>
      <c r="D1277" s="16" t="str">
        <f>IFERROR(VLOOKUP(C1277,DATA!#REF!,2,FALSE),"")</f>
        <v/>
      </c>
    </row>
    <row r="1278" spans="2:4" s="230" customFormat="1">
      <c r="B1278" s="15" t="str">
        <f t="shared" si="46"/>
        <v/>
      </c>
      <c r="C1278" s="16" t="str">
        <f>IFERROR(VLOOKUP(DATA!#REF!,DATA!#REF!,1,FALSE),"")</f>
        <v/>
      </c>
      <c r="D1278" s="16" t="str">
        <f>IFERROR(VLOOKUP(C1278,DATA!#REF!,2,FALSE),"")</f>
        <v/>
      </c>
    </row>
    <row r="1279" spans="2:4" s="230" customFormat="1">
      <c r="B1279" s="15" t="str">
        <f t="shared" si="46"/>
        <v/>
      </c>
      <c r="C1279" s="16" t="str">
        <f>IFERROR(VLOOKUP(DATA!#REF!,DATA!#REF!,1,FALSE),"")</f>
        <v/>
      </c>
      <c r="D1279" s="16" t="str">
        <f>IFERROR(VLOOKUP(C1279,DATA!#REF!,2,FALSE),"")</f>
        <v/>
      </c>
    </row>
    <row r="1280" spans="2:4" s="230" customFormat="1">
      <c r="B1280" s="15" t="str">
        <f t="shared" si="46"/>
        <v/>
      </c>
      <c r="C1280" s="16" t="str">
        <f>IFERROR(VLOOKUP(DATA!#REF!,DATA!#REF!,1,FALSE),"")</f>
        <v/>
      </c>
      <c r="D1280" s="16" t="str">
        <f>IFERROR(VLOOKUP(C1280,DATA!#REF!,2,FALSE),"")</f>
        <v/>
      </c>
    </row>
    <row r="1281" spans="2:4" s="230" customFormat="1">
      <c r="B1281" s="15" t="str">
        <f t="shared" si="46"/>
        <v/>
      </c>
      <c r="C1281" s="16" t="str">
        <f>IFERROR(VLOOKUP(DATA!#REF!,DATA!#REF!,1,FALSE),"")</f>
        <v/>
      </c>
      <c r="D1281" s="16" t="str">
        <f>IFERROR(VLOOKUP(C1281,DATA!#REF!,2,FALSE),"")</f>
        <v/>
      </c>
    </row>
    <row r="1282" spans="2:4" s="230" customFormat="1">
      <c r="B1282" s="15" t="str">
        <f t="shared" si="46"/>
        <v/>
      </c>
      <c r="C1282" s="16" t="str">
        <f>IFERROR(VLOOKUP(DATA!#REF!,DATA!#REF!,1,FALSE),"")</f>
        <v/>
      </c>
      <c r="D1282" s="16" t="str">
        <f>IFERROR(VLOOKUP(C1282,DATA!#REF!,2,FALSE),"")</f>
        <v/>
      </c>
    </row>
    <row r="1283" spans="2:4" s="230" customFormat="1">
      <c r="B1283" s="15" t="str">
        <f t="shared" si="46"/>
        <v/>
      </c>
      <c r="C1283" s="16" t="str">
        <f>IFERROR(VLOOKUP(DATA!#REF!,DATA!#REF!,1,FALSE),"")</f>
        <v/>
      </c>
      <c r="D1283" s="16" t="str">
        <f>IFERROR(VLOOKUP(C1283,DATA!#REF!,2,FALSE),"")</f>
        <v/>
      </c>
    </row>
    <row r="1284" spans="2:4" s="230" customFormat="1">
      <c r="B1284" s="15" t="str">
        <f t="shared" si="46"/>
        <v/>
      </c>
      <c r="C1284" s="16" t="str">
        <f>IFERROR(VLOOKUP(DATA!#REF!,DATA!#REF!,1,FALSE),"")</f>
        <v/>
      </c>
      <c r="D1284" s="16" t="str">
        <f>IFERROR(VLOOKUP(C1284,DATA!#REF!,2,FALSE),"")</f>
        <v/>
      </c>
    </row>
    <row r="1285" spans="2:4" s="230" customFormat="1">
      <c r="B1285" s="15" t="str">
        <f t="shared" si="46"/>
        <v/>
      </c>
      <c r="C1285" s="16" t="str">
        <f>IFERROR(VLOOKUP(DATA!#REF!,DATA!#REF!,1,FALSE),"")</f>
        <v/>
      </c>
      <c r="D1285" s="16" t="str">
        <f>IFERROR(VLOOKUP(C1285,DATA!#REF!,2,FALSE),"")</f>
        <v/>
      </c>
    </row>
    <row r="1286" spans="2:4" s="230" customFormat="1">
      <c r="B1286" s="15" t="str">
        <f t="shared" ref="B1286:B1349" si="47">+IF(C1286="","",ROW()-5)</f>
        <v/>
      </c>
      <c r="C1286" s="16" t="str">
        <f>IFERROR(VLOOKUP(DATA!#REF!,DATA!#REF!,1,FALSE),"")</f>
        <v/>
      </c>
      <c r="D1286" s="16" t="str">
        <f>IFERROR(VLOOKUP(C1286,DATA!#REF!,2,FALSE),"")</f>
        <v/>
      </c>
    </row>
    <row r="1287" spans="2:4" s="230" customFormat="1">
      <c r="B1287" s="15" t="str">
        <f t="shared" si="47"/>
        <v/>
      </c>
      <c r="C1287" s="16" t="str">
        <f>IFERROR(VLOOKUP(DATA!#REF!,DATA!#REF!,1,FALSE),"")</f>
        <v/>
      </c>
      <c r="D1287" s="16" t="str">
        <f>IFERROR(VLOOKUP(C1287,DATA!#REF!,2,FALSE),"")</f>
        <v/>
      </c>
    </row>
    <row r="1288" spans="2:4" s="230" customFormat="1">
      <c r="B1288" s="15" t="str">
        <f t="shared" si="47"/>
        <v/>
      </c>
      <c r="C1288" s="16" t="str">
        <f>IFERROR(VLOOKUP(DATA!#REF!,DATA!#REF!,1,FALSE),"")</f>
        <v/>
      </c>
      <c r="D1288" s="16" t="str">
        <f>IFERROR(VLOOKUP(C1288,DATA!#REF!,2,FALSE),"")</f>
        <v/>
      </c>
    </row>
    <row r="1289" spans="2:4" s="230" customFormat="1">
      <c r="B1289" s="15" t="str">
        <f t="shared" si="47"/>
        <v/>
      </c>
      <c r="C1289" s="16" t="str">
        <f>IFERROR(VLOOKUP(DATA!#REF!,DATA!#REF!,1,FALSE),"")</f>
        <v/>
      </c>
      <c r="D1289" s="16" t="str">
        <f>IFERROR(VLOOKUP(C1289,DATA!#REF!,2,FALSE),"")</f>
        <v/>
      </c>
    </row>
    <row r="1290" spans="2:4" s="230" customFormat="1">
      <c r="B1290" s="15" t="str">
        <f t="shared" si="47"/>
        <v/>
      </c>
      <c r="C1290" s="16" t="str">
        <f>IFERROR(VLOOKUP(DATA!#REF!,DATA!#REF!,1,FALSE),"")</f>
        <v/>
      </c>
      <c r="D1290" s="16" t="str">
        <f>IFERROR(VLOOKUP(C1290,DATA!#REF!,2,FALSE),"")</f>
        <v/>
      </c>
    </row>
    <row r="1291" spans="2:4" s="230" customFormat="1">
      <c r="B1291" s="15" t="str">
        <f t="shared" si="47"/>
        <v/>
      </c>
      <c r="C1291" s="16" t="str">
        <f>IFERROR(VLOOKUP(DATA!#REF!,DATA!#REF!,1,FALSE),"")</f>
        <v/>
      </c>
      <c r="D1291" s="16" t="str">
        <f>IFERROR(VLOOKUP(C1291,DATA!#REF!,2,FALSE),"")</f>
        <v/>
      </c>
    </row>
    <row r="1292" spans="2:4" s="230" customFormat="1">
      <c r="B1292" s="15" t="str">
        <f t="shared" si="47"/>
        <v/>
      </c>
      <c r="C1292" s="16" t="str">
        <f>IFERROR(VLOOKUP(DATA!#REF!,DATA!#REF!,1,FALSE),"")</f>
        <v/>
      </c>
      <c r="D1292" s="16" t="str">
        <f>IFERROR(VLOOKUP(C1292,DATA!#REF!,2,FALSE),"")</f>
        <v/>
      </c>
    </row>
    <row r="1293" spans="2:4" s="230" customFormat="1">
      <c r="B1293" s="15" t="str">
        <f t="shared" si="47"/>
        <v/>
      </c>
      <c r="C1293" s="16" t="str">
        <f>IFERROR(VLOOKUP(DATA!#REF!,DATA!#REF!,1,FALSE),"")</f>
        <v/>
      </c>
      <c r="D1293" s="16" t="str">
        <f>IFERROR(VLOOKUP(C1293,DATA!#REF!,2,FALSE),"")</f>
        <v/>
      </c>
    </row>
    <row r="1294" spans="2:4" s="230" customFormat="1">
      <c r="B1294" s="15" t="str">
        <f t="shared" si="47"/>
        <v/>
      </c>
      <c r="C1294" s="16" t="str">
        <f>IFERROR(VLOOKUP(DATA!#REF!,DATA!#REF!,1,FALSE),"")</f>
        <v/>
      </c>
      <c r="D1294" s="16" t="str">
        <f>IFERROR(VLOOKUP(C1294,DATA!#REF!,2,FALSE),"")</f>
        <v/>
      </c>
    </row>
    <row r="1295" spans="2:4" s="230" customFormat="1">
      <c r="B1295" s="15" t="str">
        <f t="shared" si="47"/>
        <v/>
      </c>
      <c r="C1295" s="16" t="str">
        <f>IFERROR(VLOOKUP(DATA!#REF!,DATA!#REF!,1,FALSE),"")</f>
        <v/>
      </c>
      <c r="D1295" s="16" t="str">
        <f>IFERROR(VLOOKUP(C1295,DATA!#REF!,2,FALSE),"")</f>
        <v/>
      </c>
    </row>
    <row r="1296" spans="2:4" s="230" customFormat="1">
      <c r="B1296" s="15" t="str">
        <f t="shared" si="47"/>
        <v/>
      </c>
      <c r="C1296" s="16" t="str">
        <f>IFERROR(VLOOKUP(DATA!#REF!,DATA!#REF!,1,FALSE),"")</f>
        <v/>
      </c>
      <c r="D1296" s="16" t="str">
        <f>IFERROR(VLOOKUP(C1296,DATA!#REF!,2,FALSE),"")</f>
        <v/>
      </c>
    </row>
    <row r="1297" spans="2:4" s="230" customFormat="1">
      <c r="B1297" s="15" t="str">
        <f t="shared" si="47"/>
        <v/>
      </c>
      <c r="C1297" s="16" t="str">
        <f>IFERROR(VLOOKUP(DATA!#REF!,DATA!#REF!,1,FALSE),"")</f>
        <v/>
      </c>
      <c r="D1297" s="16" t="str">
        <f>IFERROR(VLOOKUP(C1297,DATA!#REF!,2,FALSE),"")</f>
        <v/>
      </c>
    </row>
    <row r="1298" spans="2:4" s="230" customFormat="1">
      <c r="B1298" s="15" t="str">
        <f t="shared" si="47"/>
        <v/>
      </c>
      <c r="C1298" s="16" t="str">
        <f>IFERROR(VLOOKUP(DATA!#REF!,DATA!#REF!,1,FALSE),"")</f>
        <v/>
      </c>
      <c r="D1298" s="16" t="str">
        <f>IFERROR(VLOOKUP(C1298,DATA!#REF!,2,FALSE),"")</f>
        <v/>
      </c>
    </row>
    <row r="1299" spans="2:4" s="230" customFormat="1">
      <c r="B1299" s="15" t="str">
        <f t="shared" si="47"/>
        <v/>
      </c>
      <c r="C1299" s="16" t="str">
        <f>IFERROR(VLOOKUP(DATA!#REF!,DATA!#REF!,1,FALSE),"")</f>
        <v/>
      </c>
      <c r="D1299" s="16" t="str">
        <f>IFERROR(VLOOKUP(C1299,DATA!#REF!,2,FALSE),"")</f>
        <v/>
      </c>
    </row>
    <row r="1300" spans="2:4" s="230" customFormat="1">
      <c r="B1300" s="15" t="str">
        <f t="shared" si="47"/>
        <v/>
      </c>
      <c r="C1300" s="16" t="str">
        <f>IFERROR(VLOOKUP(DATA!#REF!,DATA!#REF!,1,FALSE),"")</f>
        <v/>
      </c>
      <c r="D1300" s="16" t="str">
        <f>IFERROR(VLOOKUP(C1300,DATA!#REF!,2,FALSE),"")</f>
        <v/>
      </c>
    </row>
    <row r="1301" spans="2:4" s="230" customFormat="1">
      <c r="B1301" s="15" t="str">
        <f t="shared" si="47"/>
        <v/>
      </c>
      <c r="C1301" s="16" t="str">
        <f>IFERROR(VLOOKUP(DATA!#REF!,DATA!#REF!,1,FALSE),"")</f>
        <v/>
      </c>
      <c r="D1301" s="16" t="str">
        <f>IFERROR(VLOOKUP(C1301,DATA!#REF!,2,FALSE),"")</f>
        <v/>
      </c>
    </row>
    <row r="1302" spans="2:4" s="230" customFormat="1">
      <c r="B1302" s="15" t="str">
        <f t="shared" si="47"/>
        <v/>
      </c>
      <c r="C1302" s="16" t="str">
        <f>IFERROR(VLOOKUP(DATA!#REF!,DATA!#REF!,1,FALSE),"")</f>
        <v/>
      </c>
      <c r="D1302" s="16" t="str">
        <f>IFERROR(VLOOKUP(C1302,DATA!#REF!,2,FALSE),"")</f>
        <v/>
      </c>
    </row>
    <row r="1303" spans="2:4" s="230" customFormat="1">
      <c r="B1303" s="15" t="str">
        <f t="shared" si="47"/>
        <v/>
      </c>
      <c r="C1303" s="16" t="str">
        <f>IFERROR(VLOOKUP(DATA!#REF!,DATA!#REF!,1,FALSE),"")</f>
        <v/>
      </c>
      <c r="D1303" s="16" t="str">
        <f>IFERROR(VLOOKUP(C1303,DATA!#REF!,2,FALSE),"")</f>
        <v/>
      </c>
    </row>
    <row r="1304" spans="2:4" s="230" customFormat="1">
      <c r="B1304" s="15" t="str">
        <f t="shared" si="47"/>
        <v/>
      </c>
      <c r="C1304" s="16" t="str">
        <f>IFERROR(VLOOKUP(DATA!#REF!,DATA!#REF!,1,FALSE),"")</f>
        <v/>
      </c>
      <c r="D1304" s="16" t="str">
        <f>IFERROR(VLOOKUP(C1304,DATA!#REF!,2,FALSE),"")</f>
        <v/>
      </c>
    </row>
    <row r="1305" spans="2:4" s="230" customFormat="1">
      <c r="B1305" s="15" t="str">
        <f t="shared" si="47"/>
        <v/>
      </c>
      <c r="C1305" s="16" t="str">
        <f>IFERROR(VLOOKUP(DATA!#REF!,DATA!#REF!,1,FALSE),"")</f>
        <v/>
      </c>
      <c r="D1305" s="16" t="str">
        <f>IFERROR(VLOOKUP(C1305,DATA!#REF!,2,FALSE),"")</f>
        <v/>
      </c>
    </row>
    <row r="1306" spans="2:4" s="230" customFormat="1">
      <c r="B1306" s="15" t="str">
        <f t="shared" si="47"/>
        <v/>
      </c>
      <c r="C1306" s="16" t="str">
        <f>IFERROR(VLOOKUP(DATA!#REF!,DATA!#REF!,1,FALSE),"")</f>
        <v/>
      </c>
      <c r="D1306" s="16" t="str">
        <f>IFERROR(VLOOKUP(C1306,DATA!#REF!,2,FALSE),"")</f>
        <v/>
      </c>
    </row>
    <row r="1307" spans="2:4" s="230" customFormat="1">
      <c r="B1307" s="15" t="str">
        <f t="shared" si="47"/>
        <v/>
      </c>
      <c r="C1307" s="16" t="str">
        <f>IFERROR(VLOOKUP(DATA!#REF!,DATA!#REF!,1,FALSE),"")</f>
        <v/>
      </c>
      <c r="D1307" s="16" t="str">
        <f>IFERROR(VLOOKUP(C1307,DATA!#REF!,2,FALSE),"")</f>
        <v/>
      </c>
    </row>
    <row r="1308" spans="2:4" s="230" customFormat="1">
      <c r="B1308" s="15" t="str">
        <f t="shared" si="47"/>
        <v/>
      </c>
      <c r="C1308" s="16" t="str">
        <f>IFERROR(VLOOKUP(DATA!#REF!,DATA!#REF!,1,FALSE),"")</f>
        <v/>
      </c>
      <c r="D1308" s="16" t="str">
        <f>IFERROR(VLOOKUP(C1308,DATA!#REF!,2,FALSE),"")</f>
        <v/>
      </c>
    </row>
    <row r="1309" spans="2:4" s="230" customFormat="1">
      <c r="B1309" s="15" t="str">
        <f t="shared" si="47"/>
        <v/>
      </c>
      <c r="C1309" s="16" t="str">
        <f>IFERROR(VLOOKUP(DATA!#REF!,DATA!#REF!,1,FALSE),"")</f>
        <v/>
      </c>
      <c r="D1309" s="16" t="str">
        <f>IFERROR(VLOOKUP(C1309,DATA!#REF!,2,FALSE),"")</f>
        <v/>
      </c>
    </row>
    <row r="1310" spans="2:4" s="230" customFormat="1">
      <c r="B1310" s="15" t="str">
        <f t="shared" si="47"/>
        <v/>
      </c>
      <c r="C1310" s="16" t="str">
        <f>IFERROR(VLOOKUP(DATA!#REF!,DATA!#REF!,1,FALSE),"")</f>
        <v/>
      </c>
      <c r="D1310" s="16" t="str">
        <f>IFERROR(VLOOKUP(C1310,DATA!#REF!,2,FALSE),"")</f>
        <v/>
      </c>
    </row>
    <row r="1311" spans="2:4" s="230" customFormat="1">
      <c r="B1311" s="15" t="str">
        <f t="shared" si="47"/>
        <v/>
      </c>
      <c r="C1311" s="16" t="str">
        <f>IFERROR(VLOOKUP(DATA!#REF!,DATA!#REF!,1,FALSE),"")</f>
        <v/>
      </c>
      <c r="D1311" s="16" t="str">
        <f>IFERROR(VLOOKUP(C1311,DATA!#REF!,2,FALSE),"")</f>
        <v/>
      </c>
    </row>
    <row r="1312" spans="2:4" s="230" customFormat="1">
      <c r="B1312" s="15" t="str">
        <f t="shared" si="47"/>
        <v/>
      </c>
      <c r="C1312" s="16" t="str">
        <f>IFERROR(VLOOKUP(DATA!#REF!,DATA!#REF!,1,FALSE),"")</f>
        <v/>
      </c>
      <c r="D1312" s="16" t="str">
        <f>IFERROR(VLOOKUP(C1312,DATA!#REF!,2,FALSE),"")</f>
        <v/>
      </c>
    </row>
    <row r="1313" spans="2:4" s="230" customFormat="1">
      <c r="B1313" s="15" t="str">
        <f t="shared" si="47"/>
        <v/>
      </c>
      <c r="C1313" s="16" t="str">
        <f>IFERROR(VLOOKUP(DATA!#REF!,DATA!#REF!,1,FALSE),"")</f>
        <v/>
      </c>
      <c r="D1313" s="16" t="str">
        <f>IFERROR(VLOOKUP(C1313,DATA!#REF!,2,FALSE),"")</f>
        <v/>
      </c>
    </row>
    <row r="1314" spans="2:4" s="230" customFormat="1">
      <c r="B1314" s="15" t="str">
        <f t="shared" si="47"/>
        <v/>
      </c>
      <c r="C1314" s="16" t="str">
        <f>IFERROR(VLOOKUP(DATA!#REF!,DATA!#REF!,1,FALSE),"")</f>
        <v/>
      </c>
      <c r="D1314" s="16" t="str">
        <f>IFERROR(VLOOKUP(C1314,DATA!#REF!,2,FALSE),"")</f>
        <v/>
      </c>
    </row>
    <row r="1315" spans="2:4" s="230" customFormat="1">
      <c r="B1315" s="15" t="str">
        <f t="shared" si="47"/>
        <v/>
      </c>
      <c r="C1315" s="16" t="str">
        <f>IFERROR(VLOOKUP(DATA!#REF!,DATA!#REF!,1,FALSE),"")</f>
        <v/>
      </c>
      <c r="D1315" s="16" t="str">
        <f>IFERROR(VLOOKUP(C1315,DATA!#REF!,2,FALSE),"")</f>
        <v/>
      </c>
    </row>
    <row r="1316" spans="2:4" s="230" customFormat="1">
      <c r="B1316" s="15" t="str">
        <f t="shared" si="47"/>
        <v/>
      </c>
      <c r="C1316" s="16" t="str">
        <f>IFERROR(VLOOKUP(DATA!#REF!,DATA!#REF!,1,FALSE),"")</f>
        <v/>
      </c>
      <c r="D1316" s="16" t="str">
        <f>IFERROR(VLOOKUP(C1316,DATA!#REF!,2,FALSE),"")</f>
        <v/>
      </c>
    </row>
    <row r="1317" spans="2:4" s="230" customFormat="1">
      <c r="B1317" s="15" t="str">
        <f t="shared" si="47"/>
        <v/>
      </c>
      <c r="C1317" s="16" t="str">
        <f>IFERROR(VLOOKUP(DATA!#REF!,DATA!#REF!,1,FALSE),"")</f>
        <v/>
      </c>
      <c r="D1317" s="16" t="str">
        <f>IFERROR(VLOOKUP(C1317,DATA!#REF!,2,FALSE),"")</f>
        <v/>
      </c>
    </row>
    <row r="1318" spans="2:4" s="230" customFormat="1">
      <c r="B1318" s="15" t="str">
        <f t="shared" si="47"/>
        <v/>
      </c>
      <c r="C1318" s="16" t="str">
        <f>IFERROR(VLOOKUP(DATA!#REF!,DATA!#REF!,1,FALSE),"")</f>
        <v/>
      </c>
      <c r="D1318" s="16" t="str">
        <f>IFERROR(VLOOKUP(C1318,DATA!#REF!,2,FALSE),"")</f>
        <v/>
      </c>
    </row>
    <row r="1319" spans="2:4" s="230" customFormat="1">
      <c r="B1319" s="15" t="str">
        <f t="shared" si="47"/>
        <v/>
      </c>
      <c r="C1319" s="16" t="str">
        <f>IFERROR(VLOOKUP(DATA!#REF!,DATA!#REF!,1,FALSE),"")</f>
        <v/>
      </c>
      <c r="D1319" s="16" t="str">
        <f>IFERROR(VLOOKUP(C1319,DATA!#REF!,2,FALSE),"")</f>
        <v/>
      </c>
    </row>
    <row r="1320" spans="2:4" s="230" customFormat="1">
      <c r="B1320" s="15" t="str">
        <f t="shared" si="47"/>
        <v/>
      </c>
      <c r="C1320" s="16" t="str">
        <f>IFERROR(VLOOKUP(DATA!#REF!,DATA!#REF!,1,FALSE),"")</f>
        <v/>
      </c>
      <c r="D1320" s="16" t="str">
        <f>IFERROR(VLOOKUP(C1320,DATA!#REF!,2,FALSE),"")</f>
        <v/>
      </c>
    </row>
    <row r="1321" spans="2:4" s="230" customFormat="1">
      <c r="B1321" s="15" t="str">
        <f t="shared" si="47"/>
        <v/>
      </c>
      <c r="C1321" s="16" t="str">
        <f>IFERROR(VLOOKUP(DATA!#REF!,DATA!#REF!,1,FALSE),"")</f>
        <v/>
      </c>
      <c r="D1321" s="16" t="str">
        <f>IFERROR(VLOOKUP(C1321,DATA!#REF!,2,FALSE),"")</f>
        <v/>
      </c>
    </row>
    <row r="1322" spans="2:4" s="230" customFormat="1">
      <c r="B1322" s="15" t="str">
        <f t="shared" si="47"/>
        <v/>
      </c>
      <c r="C1322" s="16" t="str">
        <f>IFERROR(VLOOKUP(DATA!#REF!,DATA!#REF!,1,FALSE),"")</f>
        <v/>
      </c>
      <c r="D1322" s="16" t="str">
        <f>IFERROR(VLOOKUP(C1322,DATA!#REF!,2,FALSE),"")</f>
        <v/>
      </c>
    </row>
    <row r="1323" spans="2:4" s="230" customFormat="1">
      <c r="B1323" s="15" t="str">
        <f t="shared" si="47"/>
        <v/>
      </c>
      <c r="C1323" s="16" t="str">
        <f>IFERROR(VLOOKUP(DATA!#REF!,DATA!#REF!,1,FALSE),"")</f>
        <v/>
      </c>
      <c r="D1323" s="16" t="str">
        <f>IFERROR(VLOOKUP(C1323,DATA!#REF!,2,FALSE),"")</f>
        <v/>
      </c>
    </row>
    <row r="1324" spans="2:4" s="230" customFormat="1">
      <c r="B1324" s="15" t="str">
        <f t="shared" si="47"/>
        <v/>
      </c>
      <c r="C1324" s="16" t="str">
        <f>IFERROR(VLOOKUP(DATA!#REF!,DATA!#REF!,1,FALSE),"")</f>
        <v/>
      </c>
      <c r="D1324" s="16" t="str">
        <f>IFERROR(VLOOKUP(C1324,DATA!#REF!,2,FALSE),"")</f>
        <v/>
      </c>
    </row>
    <row r="1325" spans="2:4" s="230" customFormat="1">
      <c r="B1325" s="15" t="str">
        <f t="shared" si="47"/>
        <v/>
      </c>
      <c r="C1325" s="16" t="str">
        <f>IFERROR(VLOOKUP(DATA!#REF!,DATA!#REF!,1,FALSE),"")</f>
        <v/>
      </c>
      <c r="D1325" s="16" t="str">
        <f>IFERROR(VLOOKUP(C1325,DATA!#REF!,2,FALSE),"")</f>
        <v/>
      </c>
    </row>
    <row r="1326" spans="2:4" s="230" customFormat="1">
      <c r="B1326" s="15" t="str">
        <f t="shared" si="47"/>
        <v/>
      </c>
      <c r="C1326" s="16" t="str">
        <f>IFERROR(VLOOKUP(DATA!#REF!,DATA!#REF!,1,FALSE),"")</f>
        <v/>
      </c>
      <c r="D1326" s="16" t="str">
        <f>IFERROR(VLOOKUP(C1326,DATA!#REF!,2,FALSE),"")</f>
        <v/>
      </c>
    </row>
    <row r="1327" spans="2:4" s="230" customFormat="1">
      <c r="B1327" s="15" t="str">
        <f t="shared" si="47"/>
        <v/>
      </c>
      <c r="C1327" s="16" t="str">
        <f>IFERROR(VLOOKUP(DATA!#REF!,DATA!#REF!,1,FALSE),"")</f>
        <v/>
      </c>
      <c r="D1327" s="16" t="str">
        <f>IFERROR(VLOOKUP(C1327,DATA!#REF!,2,FALSE),"")</f>
        <v/>
      </c>
    </row>
    <row r="1328" spans="2:4" s="230" customFormat="1">
      <c r="B1328" s="15" t="str">
        <f t="shared" si="47"/>
        <v/>
      </c>
      <c r="C1328" s="16" t="str">
        <f>IFERROR(VLOOKUP(DATA!#REF!,DATA!#REF!,1,FALSE),"")</f>
        <v/>
      </c>
      <c r="D1328" s="16" t="str">
        <f>IFERROR(VLOOKUP(C1328,DATA!#REF!,2,FALSE),"")</f>
        <v/>
      </c>
    </row>
    <row r="1329" spans="2:4" s="230" customFormat="1">
      <c r="B1329" s="15" t="str">
        <f t="shared" si="47"/>
        <v/>
      </c>
      <c r="C1329" s="16" t="str">
        <f>IFERROR(VLOOKUP(DATA!#REF!,DATA!#REF!,1,FALSE),"")</f>
        <v/>
      </c>
      <c r="D1329" s="16" t="str">
        <f>IFERROR(VLOOKUP(C1329,DATA!#REF!,2,FALSE),"")</f>
        <v/>
      </c>
    </row>
    <row r="1330" spans="2:4" s="230" customFormat="1">
      <c r="B1330" s="15" t="str">
        <f t="shared" si="47"/>
        <v/>
      </c>
      <c r="C1330" s="16" t="str">
        <f>IFERROR(VLOOKUP(DATA!#REF!,DATA!#REF!,1,FALSE),"")</f>
        <v/>
      </c>
      <c r="D1330" s="16" t="str">
        <f>IFERROR(VLOOKUP(C1330,DATA!#REF!,2,FALSE),"")</f>
        <v/>
      </c>
    </row>
    <row r="1331" spans="2:4" s="230" customFormat="1">
      <c r="B1331" s="15" t="str">
        <f t="shared" si="47"/>
        <v/>
      </c>
      <c r="C1331" s="16" t="str">
        <f>IFERROR(VLOOKUP(DATA!#REF!,DATA!#REF!,1,FALSE),"")</f>
        <v/>
      </c>
      <c r="D1331" s="16" t="str">
        <f>IFERROR(VLOOKUP(C1331,DATA!#REF!,2,FALSE),"")</f>
        <v/>
      </c>
    </row>
    <row r="1332" spans="2:4" s="230" customFormat="1">
      <c r="B1332" s="15" t="str">
        <f t="shared" si="47"/>
        <v/>
      </c>
      <c r="C1332" s="16" t="str">
        <f>IFERROR(VLOOKUP(DATA!#REF!,DATA!#REF!,1,FALSE),"")</f>
        <v/>
      </c>
      <c r="D1332" s="16" t="str">
        <f>IFERROR(VLOOKUP(C1332,DATA!#REF!,2,FALSE),"")</f>
        <v/>
      </c>
    </row>
    <row r="1333" spans="2:4" s="230" customFormat="1">
      <c r="B1333" s="15" t="str">
        <f t="shared" si="47"/>
        <v/>
      </c>
      <c r="C1333" s="16" t="str">
        <f>IFERROR(VLOOKUP(DATA!#REF!,DATA!#REF!,1,FALSE),"")</f>
        <v/>
      </c>
      <c r="D1333" s="16" t="str">
        <f>IFERROR(VLOOKUP(C1333,DATA!#REF!,2,FALSE),"")</f>
        <v/>
      </c>
    </row>
    <row r="1334" spans="2:4" s="230" customFormat="1">
      <c r="B1334" s="15" t="str">
        <f t="shared" si="47"/>
        <v/>
      </c>
      <c r="C1334" s="16" t="str">
        <f>IFERROR(VLOOKUP(DATA!#REF!,DATA!#REF!,1,FALSE),"")</f>
        <v/>
      </c>
      <c r="D1334" s="16" t="str">
        <f>IFERROR(VLOOKUP(C1334,DATA!#REF!,2,FALSE),"")</f>
        <v/>
      </c>
    </row>
    <row r="1335" spans="2:4" s="230" customFormat="1">
      <c r="B1335" s="15" t="str">
        <f t="shared" si="47"/>
        <v/>
      </c>
      <c r="C1335" s="16" t="str">
        <f>IFERROR(VLOOKUP(DATA!#REF!,DATA!#REF!,1,FALSE),"")</f>
        <v/>
      </c>
      <c r="D1335" s="16" t="str">
        <f>IFERROR(VLOOKUP(C1335,DATA!#REF!,2,FALSE),"")</f>
        <v/>
      </c>
    </row>
    <row r="1336" spans="2:4" s="230" customFormat="1">
      <c r="B1336" s="15" t="str">
        <f t="shared" si="47"/>
        <v/>
      </c>
      <c r="C1336" s="16" t="str">
        <f>IFERROR(VLOOKUP(DATA!#REF!,DATA!#REF!,1,FALSE),"")</f>
        <v/>
      </c>
      <c r="D1336" s="16" t="str">
        <f>IFERROR(VLOOKUP(C1336,DATA!#REF!,2,FALSE),"")</f>
        <v/>
      </c>
    </row>
    <row r="1337" spans="2:4" s="230" customFormat="1">
      <c r="B1337" s="15" t="str">
        <f t="shared" si="47"/>
        <v/>
      </c>
      <c r="C1337" s="16" t="str">
        <f>IFERROR(VLOOKUP(DATA!#REF!,DATA!#REF!,1,FALSE),"")</f>
        <v/>
      </c>
      <c r="D1337" s="16" t="str">
        <f>IFERROR(VLOOKUP(C1337,DATA!#REF!,2,FALSE),"")</f>
        <v/>
      </c>
    </row>
    <row r="1338" spans="2:4" s="230" customFormat="1">
      <c r="B1338" s="15" t="str">
        <f t="shared" si="47"/>
        <v/>
      </c>
      <c r="C1338" s="16" t="str">
        <f>IFERROR(VLOOKUP(DATA!#REF!,DATA!#REF!,1,FALSE),"")</f>
        <v/>
      </c>
      <c r="D1338" s="16" t="str">
        <f>IFERROR(VLOOKUP(C1338,DATA!#REF!,2,FALSE),"")</f>
        <v/>
      </c>
    </row>
    <row r="1339" spans="2:4" s="230" customFormat="1">
      <c r="B1339" s="15" t="str">
        <f t="shared" si="47"/>
        <v/>
      </c>
      <c r="C1339" s="16" t="str">
        <f>IFERROR(VLOOKUP(DATA!#REF!,DATA!#REF!,1,FALSE),"")</f>
        <v/>
      </c>
      <c r="D1339" s="16" t="str">
        <f>IFERROR(VLOOKUP(C1339,DATA!#REF!,2,FALSE),"")</f>
        <v/>
      </c>
    </row>
    <row r="1340" spans="2:4" s="230" customFormat="1">
      <c r="B1340" s="15" t="str">
        <f t="shared" si="47"/>
        <v/>
      </c>
      <c r="C1340" s="16" t="str">
        <f>IFERROR(VLOOKUP(DATA!#REF!,DATA!#REF!,1,FALSE),"")</f>
        <v/>
      </c>
      <c r="D1340" s="16" t="str">
        <f>IFERROR(VLOOKUP(C1340,DATA!#REF!,2,FALSE),"")</f>
        <v/>
      </c>
    </row>
    <row r="1341" spans="2:4" s="230" customFormat="1">
      <c r="B1341" s="15" t="str">
        <f t="shared" si="47"/>
        <v/>
      </c>
      <c r="C1341" s="16" t="str">
        <f>IFERROR(VLOOKUP(DATA!#REF!,DATA!#REF!,1,FALSE),"")</f>
        <v/>
      </c>
      <c r="D1341" s="16" t="str">
        <f>IFERROR(VLOOKUP(C1341,DATA!#REF!,2,FALSE),"")</f>
        <v/>
      </c>
    </row>
    <row r="1342" spans="2:4" s="230" customFormat="1">
      <c r="B1342" s="15" t="str">
        <f t="shared" si="47"/>
        <v/>
      </c>
      <c r="C1342" s="16" t="str">
        <f>IFERROR(VLOOKUP(DATA!#REF!,DATA!#REF!,1,FALSE),"")</f>
        <v/>
      </c>
      <c r="D1342" s="16" t="str">
        <f>IFERROR(VLOOKUP(C1342,DATA!#REF!,2,FALSE),"")</f>
        <v/>
      </c>
    </row>
    <row r="1343" spans="2:4" s="230" customFormat="1">
      <c r="B1343" s="15" t="str">
        <f t="shared" si="47"/>
        <v/>
      </c>
      <c r="C1343" s="16" t="str">
        <f>IFERROR(VLOOKUP(DATA!#REF!,DATA!#REF!,1,FALSE),"")</f>
        <v/>
      </c>
      <c r="D1343" s="16" t="str">
        <f>IFERROR(VLOOKUP(C1343,DATA!#REF!,2,FALSE),"")</f>
        <v/>
      </c>
    </row>
    <row r="1344" spans="2:4" s="230" customFormat="1">
      <c r="B1344" s="15" t="str">
        <f t="shared" si="47"/>
        <v/>
      </c>
      <c r="C1344" s="16" t="str">
        <f>IFERROR(VLOOKUP(DATA!#REF!,DATA!#REF!,1,FALSE),"")</f>
        <v/>
      </c>
      <c r="D1344" s="16" t="str">
        <f>IFERROR(VLOOKUP(C1344,DATA!#REF!,2,FALSE),"")</f>
        <v/>
      </c>
    </row>
    <row r="1345" spans="2:4" s="230" customFormat="1">
      <c r="B1345" s="15" t="str">
        <f t="shared" si="47"/>
        <v/>
      </c>
      <c r="C1345" s="16" t="str">
        <f>IFERROR(VLOOKUP(DATA!#REF!,DATA!#REF!,1,FALSE),"")</f>
        <v/>
      </c>
      <c r="D1345" s="16" t="str">
        <f>IFERROR(VLOOKUP(C1345,DATA!#REF!,2,FALSE),"")</f>
        <v/>
      </c>
    </row>
    <row r="1346" spans="2:4" s="230" customFormat="1">
      <c r="B1346" s="15" t="str">
        <f t="shared" si="47"/>
        <v/>
      </c>
      <c r="C1346" s="16" t="str">
        <f>IFERROR(VLOOKUP(DATA!#REF!,DATA!#REF!,1,FALSE),"")</f>
        <v/>
      </c>
      <c r="D1346" s="16" t="str">
        <f>IFERROR(VLOOKUP(C1346,DATA!#REF!,2,FALSE),"")</f>
        <v/>
      </c>
    </row>
    <row r="1347" spans="2:4" s="230" customFormat="1">
      <c r="B1347" s="15" t="str">
        <f t="shared" si="47"/>
        <v/>
      </c>
      <c r="C1347" s="16" t="str">
        <f>IFERROR(VLOOKUP(DATA!#REF!,DATA!#REF!,1,FALSE),"")</f>
        <v/>
      </c>
      <c r="D1347" s="16" t="str">
        <f>IFERROR(VLOOKUP(C1347,DATA!#REF!,2,FALSE),"")</f>
        <v/>
      </c>
    </row>
    <row r="1348" spans="2:4" s="230" customFormat="1">
      <c r="B1348" s="15" t="str">
        <f t="shared" si="47"/>
        <v/>
      </c>
      <c r="C1348" s="16" t="str">
        <f>IFERROR(VLOOKUP(DATA!#REF!,DATA!#REF!,1,FALSE),"")</f>
        <v/>
      </c>
      <c r="D1348" s="16" t="str">
        <f>IFERROR(VLOOKUP(C1348,DATA!#REF!,2,FALSE),"")</f>
        <v/>
      </c>
    </row>
    <row r="1349" spans="2:4" s="230" customFormat="1">
      <c r="B1349" s="15" t="str">
        <f t="shared" si="47"/>
        <v/>
      </c>
      <c r="C1349" s="16" t="str">
        <f>IFERROR(VLOOKUP(DATA!#REF!,DATA!#REF!,1,FALSE),"")</f>
        <v/>
      </c>
      <c r="D1349" s="16" t="str">
        <f>IFERROR(VLOOKUP(C1349,DATA!#REF!,2,FALSE),"")</f>
        <v/>
      </c>
    </row>
    <row r="1350" spans="2:4" s="230" customFormat="1">
      <c r="B1350" s="15" t="str">
        <f t="shared" ref="B1350:B1413" si="48">+IF(C1350="","",ROW()-5)</f>
        <v/>
      </c>
      <c r="C1350" s="16" t="str">
        <f>IFERROR(VLOOKUP(DATA!#REF!,DATA!#REF!,1,FALSE),"")</f>
        <v/>
      </c>
      <c r="D1350" s="16" t="str">
        <f>IFERROR(VLOOKUP(C1350,DATA!#REF!,2,FALSE),"")</f>
        <v/>
      </c>
    </row>
    <row r="1351" spans="2:4" s="230" customFormat="1">
      <c r="B1351" s="15" t="str">
        <f t="shared" si="48"/>
        <v/>
      </c>
      <c r="C1351" s="16" t="str">
        <f>IFERROR(VLOOKUP(DATA!#REF!,DATA!#REF!,1,FALSE),"")</f>
        <v/>
      </c>
      <c r="D1351" s="16" t="str">
        <f>IFERROR(VLOOKUP(C1351,DATA!#REF!,2,FALSE),"")</f>
        <v/>
      </c>
    </row>
    <row r="1352" spans="2:4" s="230" customFormat="1">
      <c r="B1352" s="15" t="str">
        <f t="shared" si="48"/>
        <v/>
      </c>
      <c r="C1352" s="16" t="str">
        <f>IFERROR(VLOOKUP(DATA!#REF!,DATA!#REF!,1,FALSE),"")</f>
        <v/>
      </c>
      <c r="D1352" s="16" t="str">
        <f>IFERROR(VLOOKUP(C1352,DATA!#REF!,2,FALSE),"")</f>
        <v/>
      </c>
    </row>
    <row r="1353" spans="2:4" s="230" customFormat="1">
      <c r="B1353" s="15" t="str">
        <f t="shared" si="48"/>
        <v/>
      </c>
      <c r="C1353" s="16" t="str">
        <f>IFERROR(VLOOKUP(DATA!#REF!,DATA!#REF!,1,FALSE),"")</f>
        <v/>
      </c>
      <c r="D1353" s="16" t="str">
        <f>IFERROR(VLOOKUP(C1353,DATA!#REF!,2,FALSE),"")</f>
        <v/>
      </c>
    </row>
    <row r="1354" spans="2:4" s="230" customFormat="1">
      <c r="B1354" s="15" t="str">
        <f t="shared" si="48"/>
        <v/>
      </c>
      <c r="C1354" s="16" t="str">
        <f>IFERROR(VLOOKUP(DATA!#REF!,DATA!#REF!,1,FALSE),"")</f>
        <v/>
      </c>
      <c r="D1354" s="16" t="str">
        <f>IFERROR(VLOOKUP(C1354,DATA!#REF!,2,FALSE),"")</f>
        <v/>
      </c>
    </row>
    <row r="1355" spans="2:4" s="230" customFormat="1">
      <c r="B1355" s="15" t="str">
        <f t="shared" si="48"/>
        <v/>
      </c>
      <c r="C1355" s="16" t="str">
        <f>IFERROR(VLOOKUP(DATA!#REF!,DATA!#REF!,1,FALSE),"")</f>
        <v/>
      </c>
      <c r="D1355" s="16" t="str">
        <f>IFERROR(VLOOKUP(C1355,DATA!#REF!,2,FALSE),"")</f>
        <v/>
      </c>
    </row>
    <row r="1356" spans="2:4" s="230" customFormat="1">
      <c r="B1356" s="15" t="str">
        <f t="shared" si="48"/>
        <v/>
      </c>
      <c r="C1356" s="16" t="str">
        <f>IFERROR(VLOOKUP(DATA!#REF!,DATA!#REF!,1,FALSE),"")</f>
        <v/>
      </c>
      <c r="D1356" s="16" t="str">
        <f>IFERROR(VLOOKUP(C1356,DATA!#REF!,2,FALSE),"")</f>
        <v/>
      </c>
    </row>
    <row r="1357" spans="2:4" s="230" customFormat="1">
      <c r="B1357" s="15" t="str">
        <f t="shared" si="48"/>
        <v/>
      </c>
      <c r="C1357" s="16" t="str">
        <f>IFERROR(VLOOKUP(DATA!#REF!,DATA!#REF!,1,FALSE),"")</f>
        <v/>
      </c>
      <c r="D1357" s="16" t="str">
        <f>IFERROR(VLOOKUP(C1357,DATA!#REF!,2,FALSE),"")</f>
        <v/>
      </c>
    </row>
    <row r="1358" spans="2:4" s="230" customFormat="1">
      <c r="B1358" s="15" t="str">
        <f t="shared" si="48"/>
        <v/>
      </c>
      <c r="C1358" s="16" t="str">
        <f>IFERROR(VLOOKUP(DATA!#REF!,DATA!#REF!,1,FALSE),"")</f>
        <v/>
      </c>
      <c r="D1358" s="16" t="str">
        <f>IFERROR(VLOOKUP(C1358,DATA!#REF!,2,FALSE),"")</f>
        <v/>
      </c>
    </row>
    <row r="1359" spans="2:4" s="230" customFormat="1">
      <c r="B1359" s="15" t="str">
        <f t="shared" si="48"/>
        <v/>
      </c>
      <c r="C1359" s="16" t="str">
        <f>IFERROR(VLOOKUP(DATA!#REF!,DATA!#REF!,1,FALSE),"")</f>
        <v/>
      </c>
      <c r="D1359" s="16" t="str">
        <f>IFERROR(VLOOKUP(C1359,DATA!#REF!,2,FALSE),"")</f>
        <v/>
      </c>
    </row>
    <row r="1360" spans="2:4" s="230" customFormat="1">
      <c r="B1360" s="15" t="str">
        <f t="shared" si="48"/>
        <v/>
      </c>
      <c r="C1360" s="16" t="str">
        <f>IFERROR(VLOOKUP(DATA!#REF!,DATA!#REF!,1,FALSE),"")</f>
        <v/>
      </c>
      <c r="D1360" s="16" t="str">
        <f>IFERROR(VLOOKUP(C1360,DATA!#REF!,2,FALSE),"")</f>
        <v/>
      </c>
    </row>
    <row r="1361" spans="2:4" s="230" customFormat="1">
      <c r="B1361" s="15" t="str">
        <f t="shared" si="48"/>
        <v/>
      </c>
      <c r="C1361" s="16" t="str">
        <f>IFERROR(VLOOKUP(DATA!#REF!,DATA!#REF!,1,FALSE),"")</f>
        <v/>
      </c>
      <c r="D1361" s="16" t="str">
        <f>IFERROR(VLOOKUP(C1361,DATA!#REF!,2,FALSE),"")</f>
        <v/>
      </c>
    </row>
    <row r="1362" spans="2:4" s="230" customFormat="1">
      <c r="B1362" s="15" t="str">
        <f t="shared" si="48"/>
        <v/>
      </c>
      <c r="C1362" s="16" t="str">
        <f>IFERROR(VLOOKUP(DATA!#REF!,DATA!#REF!,1,FALSE),"")</f>
        <v/>
      </c>
      <c r="D1362" s="16" t="str">
        <f>IFERROR(VLOOKUP(C1362,DATA!#REF!,2,FALSE),"")</f>
        <v/>
      </c>
    </row>
    <row r="1363" spans="2:4" s="230" customFormat="1">
      <c r="B1363" s="15" t="str">
        <f t="shared" si="48"/>
        <v/>
      </c>
      <c r="C1363" s="16" t="str">
        <f>IFERROR(VLOOKUP(DATA!#REF!,DATA!#REF!,1,FALSE),"")</f>
        <v/>
      </c>
      <c r="D1363" s="16" t="str">
        <f>IFERROR(VLOOKUP(C1363,DATA!#REF!,2,FALSE),"")</f>
        <v/>
      </c>
    </row>
    <row r="1364" spans="2:4" s="230" customFormat="1">
      <c r="B1364" s="15" t="str">
        <f t="shared" si="48"/>
        <v/>
      </c>
      <c r="C1364" s="16" t="str">
        <f>IFERROR(VLOOKUP(DATA!#REF!,DATA!#REF!,1,FALSE),"")</f>
        <v/>
      </c>
      <c r="D1364" s="16" t="str">
        <f>IFERROR(VLOOKUP(C1364,DATA!#REF!,2,FALSE),"")</f>
        <v/>
      </c>
    </row>
    <row r="1365" spans="2:4" s="230" customFormat="1">
      <c r="B1365" s="15" t="str">
        <f t="shared" si="48"/>
        <v/>
      </c>
      <c r="C1365" s="16" t="str">
        <f>IFERROR(VLOOKUP(DATA!#REF!,DATA!#REF!,1,FALSE),"")</f>
        <v/>
      </c>
      <c r="D1365" s="16" t="str">
        <f>IFERROR(VLOOKUP(C1365,DATA!#REF!,2,FALSE),"")</f>
        <v/>
      </c>
    </row>
    <row r="1366" spans="2:4" s="230" customFormat="1">
      <c r="B1366" s="15" t="str">
        <f t="shared" si="48"/>
        <v/>
      </c>
      <c r="C1366" s="16" t="str">
        <f>IFERROR(VLOOKUP(DATA!#REF!,DATA!#REF!,1,FALSE),"")</f>
        <v/>
      </c>
      <c r="D1366" s="16" t="str">
        <f>IFERROR(VLOOKUP(C1366,DATA!#REF!,2,FALSE),"")</f>
        <v/>
      </c>
    </row>
    <row r="1367" spans="2:4" s="230" customFormat="1">
      <c r="B1367" s="15" t="str">
        <f t="shared" si="48"/>
        <v/>
      </c>
      <c r="C1367" s="16" t="str">
        <f>IFERROR(VLOOKUP(DATA!#REF!,DATA!#REF!,1,FALSE),"")</f>
        <v/>
      </c>
      <c r="D1367" s="16" t="str">
        <f>IFERROR(VLOOKUP(C1367,DATA!#REF!,2,FALSE),"")</f>
        <v/>
      </c>
    </row>
    <row r="1368" spans="2:4" s="230" customFormat="1">
      <c r="B1368" s="15" t="str">
        <f t="shared" si="48"/>
        <v/>
      </c>
      <c r="C1368" s="16" t="str">
        <f>IFERROR(VLOOKUP(DATA!#REF!,DATA!#REF!,1,FALSE),"")</f>
        <v/>
      </c>
      <c r="D1368" s="16" t="str">
        <f>IFERROR(VLOOKUP(C1368,DATA!#REF!,2,FALSE),"")</f>
        <v/>
      </c>
    </row>
    <row r="1369" spans="2:4" s="230" customFormat="1">
      <c r="B1369" s="15" t="str">
        <f t="shared" si="48"/>
        <v/>
      </c>
      <c r="C1369" s="16" t="str">
        <f>IFERROR(VLOOKUP(DATA!#REF!,DATA!#REF!,1,FALSE),"")</f>
        <v/>
      </c>
      <c r="D1369" s="16" t="str">
        <f>IFERROR(VLOOKUP(C1369,DATA!#REF!,2,FALSE),"")</f>
        <v/>
      </c>
    </row>
    <row r="1370" spans="2:4" s="230" customFormat="1">
      <c r="B1370" s="15" t="str">
        <f t="shared" si="48"/>
        <v/>
      </c>
      <c r="C1370" s="16" t="str">
        <f>IFERROR(VLOOKUP(DATA!#REF!,DATA!#REF!,1,FALSE),"")</f>
        <v/>
      </c>
      <c r="D1370" s="16" t="str">
        <f>IFERROR(VLOOKUP(C1370,DATA!#REF!,2,FALSE),"")</f>
        <v/>
      </c>
    </row>
    <row r="1371" spans="2:4" s="230" customFormat="1">
      <c r="B1371" s="15" t="str">
        <f t="shared" si="48"/>
        <v/>
      </c>
      <c r="C1371" s="16" t="str">
        <f>IFERROR(VLOOKUP(DATA!#REF!,DATA!#REF!,1,FALSE),"")</f>
        <v/>
      </c>
      <c r="D1371" s="16" t="str">
        <f>IFERROR(VLOOKUP(C1371,DATA!#REF!,2,FALSE),"")</f>
        <v/>
      </c>
    </row>
    <row r="1372" spans="2:4" s="230" customFormat="1">
      <c r="B1372" s="15" t="str">
        <f t="shared" si="48"/>
        <v/>
      </c>
      <c r="C1372" s="16" t="str">
        <f>IFERROR(VLOOKUP(DATA!#REF!,DATA!#REF!,1,FALSE),"")</f>
        <v/>
      </c>
      <c r="D1372" s="16" t="str">
        <f>IFERROR(VLOOKUP(C1372,DATA!#REF!,2,FALSE),"")</f>
        <v/>
      </c>
    </row>
    <row r="1373" spans="2:4" s="230" customFormat="1">
      <c r="B1373" s="15" t="str">
        <f t="shared" si="48"/>
        <v/>
      </c>
      <c r="C1373" s="16" t="str">
        <f>IFERROR(VLOOKUP(DATA!#REF!,DATA!#REF!,1,FALSE),"")</f>
        <v/>
      </c>
      <c r="D1373" s="16" t="str">
        <f>IFERROR(VLOOKUP(C1373,DATA!#REF!,2,FALSE),"")</f>
        <v/>
      </c>
    </row>
    <row r="1374" spans="2:4" s="230" customFormat="1">
      <c r="B1374" s="15" t="str">
        <f t="shared" si="48"/>
        <v/>
      </c>
      <c r="C1374" s="16" t="str">
        <f>IFERROR(VLOOKUP(DATA!#REF!,DATA!#REF!,1,FALSE),"")</f>
        <v/>
      </c>
      <c r="D1374" s="16" t="str">
        <f>IFERROR(VLOOKUP(C1374,DATA!#REF!,2,FALSE),"")</f>
        <v/>
      </c>
    </row>
    <row r="1375" spans="2:4" s="230" customFormat="1">
      <c r="B1375" s="15" t="str">
        <f t="shared" si="48"/>
        <v/>
      </c>
      <c r="C1375" s="16" t="str">
        <f>IFERROR(VLOOKUP(DATA!#REF!,DATA!#REF!,1,FALSE),"")</f>
        <v/>
      </c>
      <c r="D1375" s="16" t="str">
        <f>IFERROR(VLOOKUP(C1375,DATA!#REF!,2,FALSE),"")</f>
        <v/>
      </c>
    </row>
    <row r="1376" spans="2:4" s="230" customFormat="1">
      <c r="B1376" s="15" t="str">
        <f t="shared" si="48"/>
        <v/>
      </c>
      <c r="C1376" s="16" t="str">
        <f>IFERROR(VLOOKUP(DATA!#REF!,DATA!#REF!,1,FALSE),"")</f>
        <v/>
      </c>
      <c r="D1376" s="16" t="str">
        <f>IFERROR(VLOOKUP(C1376,DATA!#REF!,2,FALSE),"")</f>
        <v/>
      </c>
    </row>
    <row r="1377" spans="2:4" s="230" customFormat="1">
      <c r="B1377" s="15" t="str">
        <f t="shared" si="48"/>
        <v/>
      </c>
      <c r="C1377" s="16" t="str">
        <f>IFERROR(VLOOKUP(DATA!#REF!,DATA!#REF!,1,FALSE),"")</f>
        <v/>
      </c>
      <c r="D1377" s="16" t="str">
        <f>IFERROR(VLOOKUP(C1377,DATA!#REF!,2,FALSE),"")</f>
        <v/>
      </c>
    </row>
    <row r="1378" spans="2:4" s="230" customFormat="1">
      <c r="B1378" s="15" t="str">
        <f t="shared" si="48"/>
        <v/>
      </c>
      <c r="C1378" s="16" t="str">
        <f>IFERROR(VLOOKUP(DATA!#REF!,DATA!#REF!,1,FALSE),"")</f>
        <v/>
      </c>
      <c r="D1378" s="16" t="str">
        <f>IFERROR(VLOOKUP(C1378,DATA!#REF!,2,FALSE),"")</f>
        <v/>
      </c>
    </row>
    <row r="1379" spans="2:4" s="230" customFormat="1">
      <c r="B1379" s="15" t="str">
        <f t="shared" si="48"/>
        <v/>
      </c>
      <c r="C1379" s="16" t="str">
        <f>IFERROR(VLOOKUP(DATA!#REF!,DATA!#REF!,1,FALSE),"")</f>
        <v/>
      </c>
      <c r="D1379" s="16" t="str">
        <f>IFERROR(VLOOKUP(C1379,DATA!#REF!,2,FALSE),"")</f>
        <v/>
      </c>
    </row>
    <row r="1380" spans="2:4" s="230" customFormat="1">
      <c r="B1380" s="15" t="str">
        <f t="shared" si="48"/>
        <v/>
      </c>
      <c r="C1380" s="16" t="str">
        <f>IFERROR(VLOOKUP(DATA!#REF!,DATA!#REF!,1,FALSE),"")</f>
        <v/>
      </c>
      <c r="D1380" s="16" t="str">
        <f>IFERROR(VLOOKUP(C1380,DATA!#REF!,2,FALSE),"")</f>
        <v/>
      </c>
    </row>
    <row r="1381" spans="2:4" s="230" customFormat="1">
      <c r="B1381" s="15" t="str">
        <f t="shared" si="48"/>
        <v/>
      </c>
      <c r="C1381" s="16" t="str">
        <f>IFERROR(VLOOKUP(DATA!#REF!,DATA!#REF!,1,FALSE),"")</f>
        <v/>
      </c>
      <c r="D1381" s="16" t="str">
        <f>IFERROR(VLOOKUP(C1381,DATA!#REF!,2,FALSE),"")</f>
        <v/>
      </c>
    </row>
    <row r="1382" spans="2:4" s="230" customFormat="1">
      <c r="B1382" s="15" t="str">
        <f t="shared" si="48"/>
        <v/>
      </c>
      <c r="C1382" s="16" t="str">
        <f>IFERROR(VLOOKUP(DATA!#REF!,DATA!#REF!,1,FALSE),"")</f>
        <v/>
      </c>
      <c r="D1382" s="16" t="str">
        <f>IFERROR(VLOOKUP(C1382,DATA!#REF!,2,FALSE),"")</f>
        <v/>
      </c>
    </row>
    <row r="1383" spans="2:4" s="230" customFormat="1">
      <c r="B1383" s="15" t="str">
        <f t="shared" si="48"/>
        <v/>
      </c>
      <c r="C1383" s="16" t="str">
        <f>IFERROR(VLOOKUP(DATA!#REF!,DATA!#REF!,1,FALSE),"")</f>
        <v/>
      </c>
      <c r="D1383" s="16" t="str">
        <f>IFERROR(VLOOKUP(C1383,DATA!#REF!,2,FALSE),"")</f>
        <v/>
      </c>
    </row>
    <row r="1384" spans="2:4" s="230" customFormat="1">
      <c r="B1384" s="15" t="str">
        <f t="shared" si="48"/>
        <v/>
      </c>
      <c r="C1384" s="16" t="str">
        <f>IFERROR(VLOOKUP(DATA!#REF!,DATA!#REF!,1,FALSE),"")</f>
        <v/>
      </c>
      <c r="D1384" s="16" t="str">
        <f>IFERROR(VLOOKUP(C1384,DATA!#REF!,2,FALSE),"")</f>
        <v/>
      </c>
    </row>
    <row r="1385" spans="2:4" s="230" customFormat="1">
      <c r="B1385" s="15" t="str">
        <f t="shared" si="48"/>
        <v/>
      </c>
      <c r="C1385" s="16" t="str">
        <f>IFERROR(VLOOKUP(DATA!#REF!,DATA!#REF!,1,FALSE),"")</f>
        <v/>
      </c>
      <c r="D1385" s="16" t="str">
        <f>IFERROR(VLOOKUP(C1385,DATA!#REF!,2,FALSE),"")</f>
        <v/>
      </c>
    </row>
    <row r="1386" spans="2:4" s="230" customFormat="1">
      <c r="B1386" s="15" t="str">
        <f t="shared" si="48"/>
        <v/>
      </c>
      <c r="C1386" s="16" t="str">
        <f>IFERROR(VLOOKUP(DATA!#REF!,DATA!#REF!,1,FALSE),"")</f>
        <v/>
      </c>
      <c r="D1386" s="16" t="str">
        <f>IFERROR(VLOOKUP(C1386,DATA!#REF!,2,FALSE),"")</f>
        <v/>
      </c>
    </row>
    <row r="1387" spans="2:4" s="230" customFormat="1">
      <c r="B1387" s="15" t="str">
        <f t="shared" si="48"/>
        <v/>
      </c>
      <c r="C1387" s="16" t="str">
        <f>IFERROR(VLOOKUP(DATA!#REF!,DATA!#REF!,1,FALSE),"")</f>
        <v/>
      </c>
      <c r="D1387" s="16" t="str">
        <f>IFERROR(VLOOKUP(C1387,DATA!#REF!,2,FALSE),"")</f>
        <v/>
      </c>
    </row>
    <row r="1388" spans="2:4" s="230" customFormat="1">
      <c r="B1388" s="15" t="str">
        <f t="shared" si="48"/>
        <v/>
      </c>
      <c r="C1388" s="16" t="str">
        <f>IFERROR(VLOOKUP(DATA!#REF!,DATA!#REF!,1,FALSE),"")</f>
        <v/>
      </c>
      <c r="D1388" s="16" t="str">
        <f>IFERROR(VLOOKUP(C1388,DATA!#REF!,2,FALSE),"")</f>
        <v/>
      </c>
    </row>
    <row r="1389" spans="2:4" s="230" customFormat="1">
      <c r="B1389" s="15" t="str">
        <f t="shared" si="48"/>
        <v/>
      </c>
      <c r="C1389" s="16" t="str">
        <f>IFERROR(VLOOKUP(DATA!#REF!,DATA!#REF!,1,FALSE),"")</f>
        <v/>
      </c>
      <c r="D1389" s="16" t="str">
        <f>IFERROR(VLOOKUP(C1389,DATA!#REF!,2,FALSE),"")</f>
        <v/>
      </c>
    </row>
    <row r="1390" spans="2:4" s="230" customFormat="1">
      <c r="B1390" s="15" t="str">
        <f t="shared" si="48"/>
        <v/>
      </c>
      <c r="C1390" s="16" t="str">
        <f>IFERROR(VLOOKUP(DATA!#REF!,DATA!#REF!,1,FALSE),"")</f>
        <v/>
      </c>
      <c r="D1390" s="16" t="str">
        <f>IFERROR(VLOOKUP(C1390,DATA!#REF!,2,FALSE),"")</f>
        <v/>
      </c>
    </row>
    <row r="1391" spans="2:4" s="230" customFormat="1">
      <c r="B1391" s="15" t="str">
        <f t="shared" si="48"/>
        <v/>
      </c>
      <c r="C1391" s="16" t="str">
        <f>IFERROR(VLOOKUP(DATA!#REF!,DATA!#REF!,1,FALSE),"")</f>
        <v/>
      </c>
      <c r="D1391" s="16" t="str">
        <f>IFERROR(VLOOKUP(C1391,DATA!#REF!,2,FALSE),"")</f>
        <v/>
      </c>
    </row>
    <row r="1392" spans="2:4" s="230" customFormat="1">
      <c r="B1392" s="15" t="str">
        <f t="shared" si="48"/>
        <v/>
      </c>
      <c r="C1392" s="16" t="str">
        <f>IFERROR(VLOOKUP(DATA!#REF!,DATA!#REF!,1,FALSE),"")</f>
        <v/>
      </c>
      <c r="D1392" s="16" t="str">
        <f>IFERROR(VLOOKUP(C1392,DATA!#REF!,2,FALSE),"")</f>
        <v/>
      </c>
    </row>
    <row r="1393" spans="2:4" s="230" customFormat="1">
      <c r="B1393" s="15" t="str">
        <f t="shared" si="48"/>
        <v/>
      </c>
      <c r="C1393" s="16" t="str">
        <f>IFERROR(VLOOKUP(DATA!#REF!,DATA!#REF!,1,FALSE),"")</f>
        <v/>
      </c>
      <c r="D1393" s="16" t="str">
        <f>IFERROR(VLOOKUP(C1393,DATA!#REF!,2,FALSE),"")</f>
        <v/>
      </c>
    </row>
    <row r="1394" spans="2:4" s="230" customFormat="1">
      <c r="B1394" s="15" t="str">
        <f t="shared" si="48"/>
        <v/>
      </c>
      <c r="C1394" s="16" t="str">
        <f>IFERROR(VLOOKUP(DATA!#REF!,DATA!#REF!,1,FALSE),"")</f>
        <v/>
      </c>
      <c r="D1394" s="16" t="str">
        <f>IFERROR(VLOOKUP(C1394,DATA!#REF!,2,FALSE),"")</f>
        <v/>
      </c>
    </row>
    <row r="1395" spans="2:4" s="230" customFormat="1">
      <c r="B1395" s="15" t="str">
        <f t="shared" si="48"/>
        <v/>
      </c>
      <c r="C1395" s="16" t="str">
        <f>IFERROR(VLOOKUP(DATA!#REF!,DATA!#REF!,1,FALSE),"")</f>
        <v/>
      </c>
      <c r="D1395" s="16" t="str">
        <f>IFERROR(VLOOKUP(C1395,DATA!#REF!,2,FALSE),"")</f>
        <v/>
      </c>
    </row>
    <row r="1396" spans="2:4" s="230" customFormat="1">
      <c r="B1396" s="15" t="str">
        <f t="shared" si="48"/>
        <v/>
      </c>
      <c r="C1396" s="16" t="str">
        <f>IFERROR(VLOOKUP(DATA!#REF!,DATA!#REF!,1,FALSE),"")</f>
        <v/>
      </c>
      <c r="D1396" s="16" t="str">
        <f>IFERROR(VLOOKUP(C1396,DATA!#REF!,2,FALSE),"")</f>
        <v/>
      </c>
    </row>
    <row r="1397" spans="2:4" s="230" customFormat="1">
      <c r="B1397" s="15" t="str">
        <f t="shared" si="48"/>
        <v/>
      </c>
      <c r="C1397" s="16" t="str">
        <f>IFERROR(VLOOKUP(DATA!#REF!,DATA!#REF!,1,FALSE),"")</f>
        <v/>
      </c>
      <c r="D1397" s="16" t="str">
        <f>IFERROR(VLOOKUP(C1397,DATA!#REF!,2,FALSE),"")</f>
        <v/>
      </c>
    </row>
    <row r="1398" spans="2:4" s="230" customFormat="1">
      <c r="B1398" s="15" t="str">
        <f t="shared" si="48"/>
        <v/>
      </c>
      <c r="C1398" s="16" t="str">
        <f>IFERROR(VLOOKUP(DATA!#REF!,DATA!#REF!,1,FALSE),"")</f>
        <v/>
      </c>
      <c r="D1398" s="16" t="str">
        <f>IFERROR(VLOOKUP(C1398,DATA!#REF!,2,FALSE),"")</f>
        <v/>
      </c>
    </row>
    <row r="1399" spans="2:4" s="230" customFormat="1">
      <c r="B1399" s="15" t="str">
        <f t="shared" si="48"/>
        <v/>
      </c>
      <c r="C1399" s="16" t="str">
        <f>IFERROR(VLOOKUP(DATA!#REF!,DATA!#REF!,1,FALSE),"")</f>
        <v/>
      </c>
      <c r="D1399" s="16" t="str">
        <f>IFERROR(VLOOKUP(C1399,DATA!#REF!,2,FALSE),"")</f>
        <v/>
      </c>
    </row>
    <row r="1400" spans="2:4" s="230" customFormat="1">
      <c r="B1400" s="15" t="str">
        <f t="shared" si="48"/>
        <v/>
      </c>
      <c r="C1400" s="16" t="str">
        <f>IFERROR(VLOOKUP(DATA!#REF!,DATA!#REF!,1,FALSE),"")</f>
        <v/>
      </c>
      <c r="D1400" s="16" t="str">
        <f>IFERROR(VLOOKUP(C1400,DATA!#REF!,2,FALSE),"")</f>
        <v/>
      </c>
    </row>
    <row r="1401" spans="2:4" s="230" customFormat="1">
      <c r="B1401" s="15" t="str">
        <f t="shared" si="48"/>
        <v/>
      </c>
      <c r="C1401" s="16" t="str">
        <f>IFERROR(VLOOKUP(DATA!#REF!,DATA!#REF!,1,FALSE),"")</f>
        <v/>
      </c>
      <c r="D1401" s="16" t="str">
        <f>IFERROR(VLOOKUP(C1401,DATA!#REF!,2,FALSE),"")</f>
        <v/>
      </c>
    </row>
    <row r="1402" spans="2:4" s="230" customFormat="1">
      <c r="B1402" s="15" t="str">
        <f t="shared" si="48"/>
        <v/>
      </c>
      <c r="C1402" s="16" t="str">
        <f>IFERROR(VLOOKUP(DATA!#REF!,DATA!#REF!,1,FALSE),"")</f>
        <v/>
      </c>
      <c r="D1402" s="16" t="str">
        <f>IFERROR(VLOOKUP(C1402,DATA!#REF!,2,FALSE),"")</f>
        <v/>
      </c>
    </row>
    <row r="1403" spans="2:4" s="230" customFormat="1">
      <c r="B1403" s="15" t="str">
        <f t="shared" si="48"/>
        <v/>
      </c>
      <c r="C1403" s="16" t="str">
        <f>IFERROR(VLOOKUP(DATA!#REF!,DATA!#REF!,1,FALSE),"")</f>
        <v/>
      </c>
      <c r="D1403" s="16" t="str">
        <f>IFERROR(VLOOKUP(C1403,DATA!#REF!,2,FALSE),"")</f>
        <v/>
      </c>
    </row>
    <row r="1404" spans="2:4" s="230" customFormat="1">
      <c r="B1404" s="15" t="str">
        <f t="shared" si="48"/>
        <v/>
      </c>
      <c r="C1404" s="16" t="str">
        <f>IFERROR(VLOOKUP(DATA!#REF!,DATA!#REF!,1,FALSE),"")</f>
        <v/>
      </c>
      <c r="D1404" s="16" t="str">
        <f>IFERROR(VLOOKUP(C1404,DATA!#REF!,2,FALSE),"")</f>
        <v/>
      </c>
    </row>
    <row r="1405" spans="2:4" s="230" customFormat="1">
      <c r="B1405" s="15" t="str">
        <f t="shared" si="48"/>
        <v/>
      </c>
      <c r="C1405" s="16" t="str">
        <f>IFERROR(VLOOKUP(DATA!#REF!,DATA!#REF!,1,FALSE),"")</f>
        <v/>
      </c>
      <c r="D1405" s="16" t="str">
        <f>IFERROR(VLOOKUP(C1405,DATA!#REF!,2,FALSE),"")</f>
        <v/>
      </c>
    </row>
    <row r="1406" spans="2:4" s="230" customFormat="1">
      <c r="B1406" s="15" t="str">
        <f t="shared" si="48"/>
        <v/>
      </c>
      <c r="C1406" s="16" t="str">
        <f>IFERROR(VLOOKUP(DATA!#REF!,DATA!#REF!,1,FALSE),"")</f>
        <v/>
      </c>
      <c r="D1406" s="16" t="str">
        <f>IFERROR(VLOOKUP(C1406,DATA!#REF!,2,FALSE),"")</f>
        <v/>
      </c>
    </row>
    <row r="1407" spans="2:4" s="230" customFormat="1">
      <c r="B1407" s="15" t="str">
        <f t="shared" si="48"/>
        <v/>
      </c>
      <c r="C1407" s="16" t="str">
        <f>IFERROR(VLOOKUP(DATA!#REF!,DATA!#REF!,1,FALSE),"")</f>
        <v/>
      </c>
      <c r="D1407" s="16" t="str">
        <f>IFERROR(VLOOKUP(C1407,DATA!#REF!,2,FALSE),"")</f>
        <v/>
      </c>
    </row>
    <row r="1408" spans="2:4" s="230" customFormat="1">
      <c r="B1408" s="15" t="str">
        <f t="shared" si="48"/>
        <v/>
      </c>
      <c r="C1408" s="16" t="str">
        <f>IFERROR(VLOOKUP(DATA!#REF!,DATA!#REF!,1,FALSE),"")</f>
        <v/>
      </c>
      <c r="D1408" s="16" t="str">
        <f>IFERROR(VLOOKUP(C1408,DATA!#REF!,2,FALSE),"")</f>
        <v/>
      </c>
    </row>
    <row r="1409" spans="2:4" s="230" customFormat="1">
      <c r="B1409" s="15" t="str">
        <f t="shared" si="48"/>
        <v/>
      </c>
      <c r="C1409" s="16" t="str">
        <f>IFERROR(VLOOKUP(DATA!#REF!,DATA!#REF!,1,FALSE),"")</f>
        <v/>
      </c>
      <c r="D1409" s="16" t="str">
        <f>IFERROR(VLOOKUP(C1409,DATA!#REF!,2,FALSE),"")</f>
        <v/>
      </c>
    </row>
    <row r="1410" spans="2:4" s="230" customFormat="1">
      <c r="B1410" s="15" t="str">
        <f t="shared" si="48"/>
        <v/>
      </c>
      <c r="C1410" s="16" t="str">
        <f>IFERROR(VLOOKUP(DATA!#REF!,DATA!#REF!,1,FALSE),"")</f>
        <v/>
      </c>
      <c r="D1410" s="16" t="str">
        <f>IFERROR(VLOOKUP(C1410,DATA!#REF!,2,FALSE),"")</f>
        <v/>
      </c>
    </row>
    <row r="1411" spans="2:4" s="230" customFormat="1">
      <c r="B1411" s="15" t="str">
        <f t="shared" si="48"/>
        <v/>
      </c>
      <c r="C1411" s="16" t="str">
        <f>IFERROR(VLOOKUP(DATA!#REF!,DATA!#REF!,1,FALSE),"")</f>
        <v/>
      </c>
      <c r="D1411" s="16" t="str">
        <f>IFERROR(VLOOKUP(C1411,DATA!#REF!,2,FALSE),"")</f>
        <v/>
      </c>
    </row>
    <row r="1412" spans="2:4" s="230" customFormat="1">
      <c r="B1412" s="15" t="str">
        <f t="shared" si="48"/>
        <v/>
      </c>
      <c r="C1412" s="16" t="str">
        <f>IFERROR(VLOOKUP(DATA!#REF!,DATA!#REF!,1,FALSE),"")</f>
        <v/>
      </c>
      <c r="D1412" s="16" t="str">
        <f>IFERROR(VLOOKUP(C1412,DATA!#REF!,2,FALSE),"")</f>
        <v/>
      </c>
    </row>
    <row r="1413" spans="2:4" s="230" customFormat="1">
      <c r="B1413" s="15" t="str">
        <f t="shared" si="48"/>
        <v/>
      </c>
      <c r="C1413" s="16" t="str">
        <f>IFERROR(VLOOKUP(DATA!#REF!,DATA!#REF!,1,FALSE),"")</f>
        <v/>
      </c>
      <c r="D1413" s="16" t="str">
        <f>IFERROR(VLOOKUP(C1413,DATA!#REF!,2,FALSE),"")</f>
        <v/>
      </c>
    </row>
    <row r="1414" spans="2:4" s="230" customFormat="1">
      <c r="B1414" s="15" t="str">
        <f t="shared" ref="B1414:B1477" si="49">+IF(C1414="","",ROW()-5)</f>
        <v/>
      </c>
      <c r="C1414" s="16" t="str">
        <f>IFERROR(VLOOKUP(DATA!#REF!,DATA!#REF!,1,FALSE),"")</f>
        <v/>
      </c>
      <c r="D1414" s="16" t="str">
        <f>IFERROR(VLOOKUP(C1414,DATA!#REF!,2,FALSE),"")</f>
        <v/>
      </c>
    </row>
    <row r="1415" spans="2:4" s="230" customFormat="1">
      <c r="B1415" s="15" t="str">
        <f t="shared" si="49"/>
        <v/>
      </c>
      <c r="C1415" s="16" t="str">
        <f>IFERROR(VLOOKUP(DATA!#REF!,DATA!#REF!,1,FALSE),"")</f>
        <v/>
      </c>
      <c r="D1415" s="16" t="str">
        <f>IFERROR(VLOOKUP(C1415,DATA!#REF!,2,FALSE),"")</f>
        <v/>
      </c>
    </row>
    <row r="1416" spans="2:4" s="230" customFormat="1">
      <c r="B1416" s="15" t="str">
        <f t="shared" si="49"/>
        <v/>
      </c>
      <c r="C1416" s="16" t="str">
        <f>IFERROR(VLOOKUP(DATA!#REF!,DATA!#REF!,1,FALSE),"")</f>
        <v/>
      </c>
      <c r="D1416" s="16" t="str">
        <f>IFERROR(VLOOKUP(C1416,DATA!#REF!,2,FALSE),"")</f>
        <v/>
      </c>
    </row>
    <row r="1417" spans="2:4" s="230" customFormat="1">
      <c r="B1417" s="15" t="str">
        <f t="shared" si="49"/>
        <v/>
      </c>
      <c r="C1417" s="16" t="str">
        <f>IFERROR(VLOOKUP(DATA!#REF!,DATA!#REF!,1,FALSE),"")</f>
        <v/>
      </c>
      <c r="D1417" s="16" t="str">
        <f>IFERROR(VLOOKUP(C1417,DATA!#REF!,2,FALSE),"")</f>
        <v/>
      </c>
    </row>
    <row r="1418" spans="2:4" s="230" customFormat="1">
      <c r="B1418" s="15" t="str">
        <f t="shared" si="49"/>
        <v/>
      </c>
      <c r="C1418" s="16" t="str">
        <f>IFERROR(VLOOKUP(DATA!#REF!,DATA!#REF!,1,FALSE),"")</f>
        <v/>
      </c>
      <c r="D1418" s="16" t="str">
        <f>IFERROR(VLOOKUP(C1418,DATA!#REF!,2,FALSE),"")</f>
        <v/>
      </c>
    </row>
    <row r="1419" spans="2:4" s="230" customFormat="1">
      <c r="B1419" s="15" t="str">
        <f t="shared" si="49"/>
        <v/>
      </c>
      <c r="C1419" s="16" t="str">
        <f>IFERROR(VLOOKUP(DATA!#REF!,DATA!#REF!,1,FALSE),"")</f>
        <v/>
      </c>
      <c r="D1419" s="16" t="str">
        <f>IFERROR(VLOOKUP(C1419,DATA!#REF!,2,FALSE),"")</f>
        <v/>
      </c>
    </row>
    <row r="1420" spans="2:4" s="230" customFormat="1">
      <c r="B1420" s="15" t="str">
        <f t="shared" si="49"/>
        <v/>
      </c>
      <c r="C1420" s="16" t="str">
        <f>IFERROR(VLOOKUP(DATA!#REF!,DATA!#REF!,1,FALSE),"")</f>
        <v/>
      </c>
      <c r="D1420" s="16" t="str">
        <f>IFERROR(VLOOKUP(C1420,DATA!#REF!,2,FALSE),"")</f>
        <v/>
      </c>
    </row>
    <row r="1421" spans="2:4" s="230" customFormat="1">
      <c r="B1421" s="15" t="str">
        <f t="shared" si="49"/>
        <v/>
      </c>
      <c r="C1421" s="16" t="str">
        <f>IFERROR(VLOOKUP(DATA!#REF!,DATA!#REF!,1,FALSE),"")</f>
        <v/>
      </c>
      <c r="D1421" s="16" t="str">
        <f>IFERROR(VLOOKUP(C1421,DATA!#REF!,2,FALSE),"")</f>
        <v/>
      </c>
    </row>
    <row r="1422" spans="2:4" s="230" customFormat="1">
      <c r="B1422" s="15" t="str">
        <f t="shared" si="49"/>
        <v/>
      </c>
      <c r="C1422" s="16" t="str">
        <f>IFERROR(VLOOKUP(DATA!#REF!,DATA!#REF!,1,FALSE),"")</f>
        <v/>
      </c>
      <c r="D1422" s="16" t="str">
        <f>IFERROR(VLOOKUP(C1422,DATA!#REF!,2,FALSE),"")</f>
        <v/>
      </c>
    </row>
    <row r="1423" spans="2:4" s="230" customFormat="1">
      <c r="B1423" s="15" t="str">
        <f t="shared" si="49"/>
        <v/>
      </c>
      <c r="C1423" s="16" t="str">
        <f>IFERROR(VLOOKUP(DATA!#REF!,DATA!#REF!,1,FALSE),"")</f>
        <v/>
      </c>
      <c r="D1423" s="16" t="str">
        <f>IFERROR(VLOOKUP(C1423,DATA!#REF!,2,FALSE),"")</f>
        <v/>
      </c>
    </row>
    <row r="1424" spans="2:4" s="230" customFormat="1">
      <c r="B1424" s="15" t="str">
        <f t="shared" si="49"/>
        <v/>
      </c>
      <c r="C1424" s="16" t="str">
        <f>IFERROR(VLOOKUP(DATA!#REF!,DATA!#REF!,1,FALSE),"")</f>
        <v/>
      </c>
      <c r="D1424" s="16" t="str">
        <f>IFERROR(VLOOKUP(C1424,DATA!#REF!,2,FALSE),"")</f>
        <v/>
      </c>
    </row>
    <row r="1425" spans="2:4" s="230" customFormat="1">
      <c r="B1425" s="15" t="str">
        <f t="shared" si="49"/>
        <v/>
      </c>
      <c r="C1425" s="16" t="str">
        <f>IFERROR(VLOOKUP(DATA!#REF!,DATA!#REF!,1,FALSE),"")</f>
        <v/>
      </c>
      <c r="D1425" s="16" t="str">
        <f>IFERROR(VLOOKUP(C1425,DATA!#REF!,2,FALSE),"")</f>
        <v/>
      </c>
    </row>
    <row r="1426" spans="2:4" s="230" customFormat="1">
      <c r="B1426" s="15" t="str">
        <f t="shared" si="49"/>
        <v/>
      </c>
      <c r="C1426" s="16" t="str">
        <f>IFERROR(VLOOKUP(DATA!#REF!,DATA!#REF!,1,FALSE),"")</f>
        <v/>
      </c>
      <c r="D1426" s="16" t="str">
        <f>IFERROR(VLOOKUP(C1426,DATA!#REF!,2,FALSE),"")</f>
        <v/>
      </c>
    </row>
    <row r="1427" spans="2:4" s="230" customFormat="1">
      <c r="B1427" s="15" t="str">
        <f t="shared" si="49"/>
        <v/>
      </c>
      <c r="C1427" s="16" t="str">
        <f>IFERROR(VLOOKUP(DATA!#REF!,DATA!#REF!,1,FALSE),"")</f>
        <v/>
      </c>
      <c r="D1427" s="16" t="str">
        <f>IFERROR(VLOOKUP(C1427,DATA!#REF!,2,FALSE),"")</f>
        <v/>
      </c>
    </row>
    <row r="1428" spans="2:4" s="230" customFormat="1">
      <c r="B1428" s="15" t="str">
        <f t="shared" si="49"/>
        <v/>
      </c>
      <c r="C1428" s="16" t="str">
        <f>IFERROR(VLOOKUP(DATA!#REF!,DATA!#REF!,1,FALSE),"")</f>
        <v/>
      </c>
      <c r="D1428" s="16" t="str">
        <f>IFERROR(VLOOKUP(C1428,DATA!#REF!,2,FALSE),"")</f>
        <v/>
      </c>
    </row>
    <row r="1429" spans="2:4" s="230" customFormat="1">
      <c r="B1429" s="15" t="str">
        <f t="shared" si="49"/>
        <v/>
      </c>
      <c r="C1429" s="16" t="str">
        <f>IFERROR(VLOOKUP(DATA!#REF!,DATA!#REF!,1,FALSE),"")</f>
        <v/>
      </c>
      <c r="D1429" s="16" t="str">
        <f>IFERROR(VLOOKUP(C1429,DATA!#REF!,2,FALSE),"")</f>
        <v/>
      </c>
    </row>
    <row r="1430" spans="2:4" s="230" customFormat="1">
      <c r="B1430" s="15" t="str">
        <f t="shared" si="49"/>
        <v/>
      </c>
      <c r="C1430" s="16" t="str">
        <f>IFERROR(VLOOKUP(DATA!#REF!,DATA!#REF!,1,FALSE),"")</f>
        <v/>
      </c>
      <c r="D1430" s="16" t="str">
        <f>IFERROR(VLOOKUP(C1430,DATA!#REF!,2,FALSE),"")</f>
        <v/>
      </c>
    </row>
    <row r="1431" spans="2:4" s="230" customFormat="1">
      <c r="B1431" s="15" t="str">
        <f t="shared" si="49"/>
        <v/>
      </c>
      <c r="C1431" s="16" t="str">
        <f>IFERROR(VLOOKUP(DATA!#REF!,DATA!#REF!,1,FALSE),"")</f>
        <v/>
      </c>
      <c r="D1431" s="16" t="str">
        <f>IFERROR(VLOOKUP(C1431,DATA!#REF!,2,FALSE),"")</f>
        <v/>
      </c>
    </row>
    <row r="1432" spans="2:4" s="230" customFormat="1">
      <c r="B1432" s="15" t="str">
        <f t="shared" si="49"/>
        <v/>
      </c>
      <c r="C1432" s="16" t="str">
        <f>IFERROR(VLOOKUP(DATA!#REF!,DATA!#REF!,1,FALSE),"")</f>
        <v/>
      </c>
      <c r="D1432" s="16" t="str">
        <f>IFERROR(VLOOKUP(C1432,DATA!#REF!,2,FALSE),"")</f>
        <v/>
      </c>
    </row>
    <row r="1433" spans="2:4" s="230" customFormat="1">
      <c r="B1433" s="15" t="str">
        <f t="shared" si="49"/>
        <v/>
      </c>
      <c r="C1433" s="16" t="str">
        <f>IFERROR(VLOOKUP(DATA!#REF!,DATA!#REF!,1,FALSE),"")</f>
        <v/>
      </c>
      <c r="D1433" s="16" t="str">
        <f>IFERROR(VLOOKUP(C1433,DATA!#REF!,2,FALSE),"")</f>
        <v/>
      </c>
    </row>
    <row r="1434" spans="2:4" s="230" customFormat="1">
      <c r="B1434" s="15" t="str">
        <f t="shared" si="49"/>
        <v/>
      </c>
      <c r="C1434" s="16" t="str">
        <f>IFERROR(VLOOKUP(DATA!#REF!,DATA!#REF!,1,FALSE),"")</f>
        <v/>
      </c>
      <c r="D1434" s="16" t="str">
        <f>IFERROR(VLOOKUP(C1434,DATA!#REF!,2,FALSE),"")</f>
        <v/>
      </c>
    </row>
    <row r="1435" spans="2:4" s="230" customFormat="1">
      <c r="B1435" s="15" t="str">
        <f t="shared" si="49"/>
        <v/>
      </c>
      <c r="C1435" s="16" t="str">
        <f>IFERROR(VLOOKUP(DATA!#REF!,DATA!#REF!,1,FALSE),"")</f>
        <v/>
      </c>
      <c r="D1435" s="16" t="str">
        <f>IFERROR(VLOOKUP(C1435,DATA!#REF!,2,FALSE),"")</f>
        <v/>
      </c>
    </row>
    <row r="1436" spans="2:4" s="230" customFormat="1">
      <c r="B1436" s="15" t="str">
        <f t="shared" si="49"/>
        <v/>
      </c>
      <c r="C1436" s="16" t="str">
        <f>IFERROR(VLOOKUP(DATA!#REF!,DATA!#REF!,1,FALSE),"")</f>
        <v/>
      </c>
      <c r="D1436" s="16" t="str">
        <f>IFERROR(VLOOKUP(C1436,DATA!#REF!,2,FALSE),"")</f>
        <v/>
      </c>
    </row>
    <row r="1437" spans="2:4" s="230" customFormat="1">
      <c r="B1437" s="15" t="str">
        <f t="shared" si="49"/>
        <v/>
      </c>
      <c r="C1437" s="16" t="str">
        <f>IFERROR(VLOOKUP(DATA!#REF!,DATA!#REF!,1,FALSE),"")</f>
        <v/>
      </c>
      <c r="D1437" s="16" t="str">
        <f>IFERROR(VLOOKUP(C1437,DATA!#REF!,2,FALSE),"")</f>
        <v/>
      </c>
    </row>
    <row r="1438" spans="2:4" s="230" customFormat="1">
      <c r="B1438" s="15" t="str">
        <f t="shared" si="49"/>
        <v/>
      </c>
      <c r="C1438" s="16" t="str">
        <f>IFERROR(VLOOKUP(DATA!#REF!,DATA!#REF!,1,FALSE),"")</f>
        <v/>
      </c>
      <c r="D1438" s="16" t="str">
        <f>IFERROR(VLOOKUP(C1438,DATA!#REF!,2,FALSE),"")</f>
        <v/>
      </c>
    </row>
    <row r="1439" spans="2:4" s="230" customFormat="1">
      <c r="B1439" s="15" t="str">
        <f t="shared" si="49"/>
        <v/>
      </c>
      <c r="C1439" s="16" t="str">
        <f>IFERROR(VLOOKUP(DATA!#REF!,DATA!#REF!,1,FALSE),"")</f>
        <v/>
      </c>
      <c r="D1439" s="16" t="str">
        <f>IFERROR(VLOOKUP(C1439,DATA!#REF!,2,FALSE),"")</f>
        <v/>
      </c>
    </row>
    <row r="1440" spans="2:4" s="230" customFormat="1">
      <c r="B1440" s="15" t="str">
        <f t="shared" si="49"/>
        <v/>
      </c>
      <c r="C1440" s="16" t="str">
        <f>IFERROR(VLOOKUP(DATA!#REF!,DATA!#REF!,1,FALSE),"")</f>
        <v/>
      </c>
      <c r="D1440" s="16" t="str">
        <f>IFERROR(VLOOKUP(C1440,DATA!#REF!,2,FALSE),"")</f>
        <v/>
      </c>
    </row>
    <row r="1441" spans="2:4" s="230" customFormat="1">
      <c r="B1441" s="15" t="str">
        <f t="shared" si="49"/>
        <v/>
      </c>
      <c r="C1441" s="16" t="str">
        <f>IFERROR(VLOOKUP(DATA!#REF!,DATA!#REF!,1,FALSE),"")</f>
        <v/>
      </c>
      <c r="D1441" s="16" t="str">
        <f>IFERROR(VLOOKUP(C1441,DATA!#REF!,2,FALSE),"")</f>
        <v/>
      </c>
    </row>
    <row r="1442" spans="2:4" s="230" customFormat="1">
      <c r="B1442" s="15" t="str">
        <f t="shared" si="49"/>
        <v/>
      </c>
      <c r="C1442" s="16" t="str">
        <f>IFERROR(VLOOKUP(DATA!#REF!,DATA!#REF!,1,FALSE),"")</f>
        <v/>
      </c>
      <c r="D1442" s="16" t="str">
        <f>IFERROR(VLOOKUP(C1442,DATA!#REF!,2,FALSE),"")</f>
        <v/>
      </c>
    </row>
    <row r="1443" spans="2:4" s="230" customFormat="1">
      <c r="B1443" s="15" t="str">
        <f t="shared" si="49"/>
        <v/>
      </c>
      <c r="C1443" s="16" t="str">
        <f>IFERROR(VLOOKUP(DATA!#REF!,DATA!#REF!,1,FALSE),"")</f>
        <v/>
      </c>
      <c r="D1443" s="16" t="str">
        <f>IFERROR(VLOOKUP(C1443,DATA!#REF!,2,FALSE),"")</f>
        <v/>
      </c>
    </row>
    <row r="1444" spans="2:4" s="230" customFormat="1">
      <c r="B1444" s="15" t="str">
        <f t="shared" si="49"/>
        <v/>
      </c>
      <c r="C1444" s="16" t="str">
        <f>IFERROR(VLOOKUP(DATA!#REF!,DATA!#REF!,1,FALSE),"")</f>
        <v/>
      </c>
      <c r="D1444" s="16" t="str">
        <f>IFERROR(VLOOKUP(C1444,DATA!#REF!,2,FALSE),"")</f>
        <v/>
      </c>
    </row>
    <row r="1445" spans="2:4" s="230" customFormat="1">
      <c r="B1445" s="15" t="str">
        <f t="shared" si="49"/>
        <v/>
      </c>
      <c r="C1445" s="16" t="str">
        <f>IFERROR(VLOOKUP(DATA!#REF!,DATA!#REF!,1,FALSE),"")</f>
        <v/>
      </c>
      <c r="D1445" s="16" t="str">
        <f>IFERROR(VLOOKUP(C1445,DATA!#REF!,2,FALSE),"")</f>
        <v/>
      </c>
    </row>
    <row r="1446" spans="2:4" s="230" customFormat="1">
      <c r="B1446" s="15" t="str">
        <f t="shared" si="49"/>
        <v/>
      </c>
      <c r="C1446" s="16" t="str">
        <f>IFERROR(VLOOKUP(DATA!#REF!,DATA!#REF!,1,FALSE),"")</f>
        <v/>
      </c>
      <c r="D1446" s="16" t="str">
        <f>IFERROR(VLOOKUP(C1446,DATA!#REF!,2,FALSE),"")</f>
        <v/>
      </c>
    </row>
    <row r="1447" spans="2:4" s="230" customFormat="1">
      <c r="B1447" s="15" t="str">
        <f t="shared" si="49"/>
        <v/>
      </c>
      <c r="C1447" s="16" t="str">
        <f>IFERROR(VLOOKUP(DATA!#REF!,DATA!#REF!,1,FALSE),"")</f>
        <v/>
      </c>
      <c r="D1447" s="16" t="str">
        <f>IFERROR(VLOOKUP(C1447,DATA!#REF!,2,FALSE),"")</f>
        <v/>
      </c>
    </row>
    <row r="1448" spans="2:4" s="230" customFormat="1">
      <c r="B1448" s="15" t="str">
        <f t="shared" si="49"/>
        <v/>
      </c>
      <c r="C1448" s="16" t="str">
        <f>IFERROR(VLOOKUP(DATA!#REF!,DATA!#REF!,1,FALSE),"")</f>
        <v/>
      </c>
      <c r="D1448" s="16" t="str">
        <f>IFERROR(VLOOKUP(C1448,DATA!#REF!,2,FALSE),"")</f>
        <v/>
      </c>
    </row>
    <row r="1449" spans="2:4" s="230" customFormat="1">
      <c r="B1449" s="15" t="str">
        <f t="shared" si="49"/>
        <v/>
      </c>
      <c r="C1449" s="16" t="str">
        <f>IFERROR(VLOOKUP(DATA!#REF!,DATA!#REF!,1,FALSE),"")</f>
        <v/>
      </c>
      <c r="D1449" s="16" t="str">
        <f>IFERROR(VLOOKUP(C1449,DATA!#REF!,2,FALSE),"")</f>
        <v/>
      </c>
    </row>
    <row r="1450" spans="2:4" s="230" customFormat="1">
      <c r="B1450" s="15" t="str">
        <f t="shared" si="49"/>
        <v/>
      </c>
      <c r="C1450" s="16" t="str">
        <f>IFERROR(VLOOKUP(DATA!#REF!,DATA!#REF!,1,FALSE),"")</f>
        <v/>
      </c>
      <c r="D1450" s="16" t="str">
        <f>IFERROR(VLOOKUP(C1450,DATA!#REF!,2,FALSE),"")</f>
        <v/>
      </c>
    </row>
    <row r="1451" spans="2:4" s="230" customFormat="1">
      <c r="B1451" s="15" t="str">
        <f t="shared" si="49"/>
        <v/>
      </c>
      <c r="C1451" s="16" t="str">
        <f>IFERROR(VLOOKUP(DATA!#REF!,DATA!#REF!,1,FALSE),"")</f>
        <v/>
      </c>
      <c r="D1451" s="16" t="str">
        <f>IFERROR(VLOOKUP(C1451,DATA!#REF!,2,FALSE),"")</f>
        <v/>
      </c>
    </row>
    <row r="1452" spans="2:4" s="230" customFormat="1">
      <c r="B1452" s="15" t="str">
        <f t="shared" si="49"/>
        <v/>
      </c>
      <c r="C1452" s="16" t="str">
        <f>IFERROR(VLOOKUP(DATA!#REF!,DATA!#REF!,1,FALSE),"")</f>
        <v/>
      </c>
      <c r="D1452" s="16" t="str">
        <f>IFERROR(VLOOKUP(C1452,DATA!#REF!,2,FALSE),"")</f>
        <v/>
      </c>
    </row>
    <row r="1453" spans="2:4" s="230" customFormat="1">
      <c r="B1453" s="15" t="str">
        <f t="shared" si="49"/>
        <v/>
      </c>
      <c r="C1453" s="16" t="str">
        <f>IFERROR(VLOOKUP(DATA!#REF!,DATA!#REF!,1,FALSE),"")</f>
        <v/>
      </c>
      <c r="D1453" s="16" t="str">
        <f>IFERROR(VLOOKUP(C1453,DATA!#REF!,2,FALSE),"")</f>
        <v/>
      </c>
    </row>
    <row r="1454" spans="2:4" s="230" customFormat="1">
      <c r="B1454" s="15" t="str">
        <f t="shared" si="49"/>
        <v/>
      </c>
      <c r="C1454" s="16" t="str">
        <f>IFERROR(VLOOKUP(DATA!#REF!,DATA!#REF!,1,FALSE),"")</f>
        <v/>
      </c>
      <c r="D1454" s="16" t="str">
        <f>IFERROR(VLOOKUP(C1454,DATA!#REF!,2,FALSE),"")</f>
        <v/>
      </c>
    </row>
    <row r="1455" spans="2:4" s="230" customFormat="1">
      <c r="B1455" s="15" t="str">
        <f t="shared" si="49"/>
        <v/>
      </c>
      <c r="C1455" s="16" t="str">
        <f>IFERROR(VLOOKUP(DATA!#REF!,DATA!#REF!,1,FALSE),"")</f>
        <v/>
      </c>
      <c r="D1455" s="16" t="str">
        <f>IFERROR(VLOOKUP(C1455,DATA!#REF!,2,FALSE),"")</f>
        <v/>
      </c>
    </row>
    <row r="1456" spans="2:4" s="230" customFormat="1">
      <c r="B1456" s="15" t="str">
        <f t="shared" si="49"/>
        <v/>
      </c>
      <c r="C1456" s="16" t="str">
        <f>IFERROR(VLOOKUP(DATA!#REF!,DATA!#REF!,1,FALSE),"")</f>
        <v/>
      </c>
      <c r="D1456" s="16" t="str">
        <f>IFERROR(VLOOKUP(C1456,DATA!#REF!,2,FALSE),"")</f>
        <v/>
      </c>
    </row>
    <row r="1457" spans="2:4" s="230" customFormat="1">
      <c r="B1457" s="15" t="str">
        <f t="shared" si="49"/>
        <v/>
      </c>
      <c r="C1457" s="16" t="str">
        <f>IFERROR(VLOOKUP(DATA!#REF!,DATA!#REF!,1,FALSE),"")</f>
        <v/>
      </c>
      <c r="D1457" s="16" t="str">
        <f>IFERROR(VLOOKUP(C1457,DATA!#REF!,2,FALSE),"")</f>
        <v/>
      </c>
    </row>
    <row r="1458" spans="2:4" s="230" customFormat="1">
      <c r="B1458" s="15" t="str">
        <f t="shared" si="49"/>
        <v/>
      </c>
      <c r="C1458" s="16" t="str">
        <f>IFERROR(VLOOKUP(DATA!#REF!,DATA!#REF!,1,FALSE),"")</f>
        <v/>
      </c>
      <c r="D1458" s="16" t="str">
        <f>IFERROR(VLOOKUP(C1458,DATA!#REF!,2,FALSE),"")</f>
        <v/>
      </c>
    </row>
    <row r="1459" spans="2:4" s="230" customFormat="1">
      <c r="B1459" s="15" t="str">
        <f t="shared" si="49"/>
        <v/>
      </c>
      <c r="C1459" s="16" t="str">
        <f>IFERROR(VLOOKUP(DATA!#REF!,DATA!#REF!,1,FALSE),"")</f>
        <v/>
      </c>
      <c r="D1459" s="16" t="str">
        <f>IFERROR(VLOOKUP(C1459,DATA!#REF!,2,FALSE),"")</f>
        <v/>
      </c>
    </row>
    <row r="1460" spans="2:4" s="230" customFormat="1">
      <c r="B1460" s="15" t="str">
        <f t="shared" si="49"/>
        <v/>
      </c>
      <c r="C1460" s="16" t="str">
        <f>IFERROR(VLOOKUP(DATA!#REF!,DATA!#REF!,1,FALSE),"")</f>
        <v/>
      </c>
      <c r="D1460" s="16" t="str">
        <f>IFERROR(VLOOKUP(C1460,DATA!#REF!,2,FALSE),"")</f>
        <v/>
      </c>
    </row>
    <row r="1461" spans="2:4" s="230" customFormat="1">
      <c r="B1461" s="15" t="str">
        <f t="shared" si="49"/>
        <v/>
      </c>
      <c r="C1461" s="16" t="str">
        <f>IFERROR(VLOOKUP(DATA!#REF!,DATA!#REF!,1,FALSE),"")</f>
        <v/>
      </c>
      <c r="D1461" s="16" t="str">
        <f>IFERROR(VLOOKUP(C1461,DATA!#REF!,2,FALSE),"")</f>
        <v/>
      </c>
    </row>
    <row r="1462" spans="2:4" s="230" customFormat="1">
      <c r="B1462" s="15" t="str">
        <f t="shared" si="49"/>
        <v/>
      </c>
      <c r="C1462" s="16" t="str">
        <f>IFERROR(VLOOKUP(DATA!#REF!,DATA!#REF!,1,FALSE),"")</f>
        <v/>
      </c>
      <c r="D1462" s="16" t="str">
        <f>IFERROR(VLOOKUP(C1462,DATA!#REF!,2,FALSE),"")</f>
        <v/>
      </c>
    </row>
    <row r="1463" spans="2:4" s="230" customFormat="1">
      <c r="B1463" s="15" t="str">
        <f t="shared" si="49"/>
        <v/>
      </c>
      <c r="C1463" s="16" t="str">
        <f>IFERROR(VLOOKUP(DATA!#REF!,DATA!#REF!,1,FALSE),"")</f>
        <v/>
      </c>
      <c r="D1463" s="16" t="str">
        <f>IFERROR(VLOOKUP(C1463,DATA!#REF!,2,FALSE),"")</f>
        <v/>
      </c>
    </row>
    <row r="1464" spans="2:4" s="230" customFormat="1">
      <c r="B1464" s="15" t="str">
        <f t="shared" si="49"/>
        <v/>
      </c>
      <c r="C1464" s="16" t="str">
        <f>IFERROR(VLOOKUP(DATA!#REF!,DATA!#REF!,1,FALSE),"")</f>
        <v/>
      </c>
      <c r="D1464" s="16" t="str">
        <f>IFERROR(VLOOKUP(C1464,DATA!#REF!,2,FALSE),"")</f>
        <v/>
      </c>
    </row>
    <row r="1465" spans="2:4" s="230" customFormat="1">
      <c r="B1465" s="15" t="str">
        <f t="shared" si="49"/>
        <v/>
      </c>
      <c r="C1465" s="16" t="str">
        <f>IFERROR(VLOOKUP(DATA!#REF!,DATA!#REF!,1,FALSE),"")</f>
        <v/>
      </c>
      <c r="D1465" s="16" t="str">
        <f>IFERROR(VLOOKUP(C1465,DATA!#REF!,2,FALSE),"")</f>
        <v/>
      </c>
    </row>
    <row r="1466" spans="2:4" s="230" customFormat="1">
      <c r="B1466" s="15" t="str">
        <f t="shared" si="49"/>
        <v/>
      </c>
      <c r="C1466" s="16" t="str">
        <f>IFERROR(VLOOKUP(DATA!#REF!,DATA!#REF!,1,FALSE),"")</f>
        <v/>
      </c>
      <c r="D1466" s="16" t="str">
        <f>IFERROR(VLOOKUP(C1466,DATA!#REF!,2,FALSE),"")</f>
        <v/>
      </c>
    </row>
    <row r="1467" spans="2:4" s="230" customFormat="1">
      <c r="B1467" s="15" t="str">
        <f t="shared" si="49"/>
        <v/>
      </c>
      <c r="C1467" s="16" t="str">
        <f>IFERROR(VLOOKUP(DATA!#REF!,DATA!#REF!,1,FALSE),"")</f>
        <v/>
      </c>
      <c r="D1467" s="16" t="str">
        <f>IFERROR(VLOOKUP(C1467,DATA!#REF!,2,FALSE),"")</f>
        <v/>
      </c>
    </row>
    <row r="1468" spans="2:4" s="230" customFormat="1">
      <c r="B1468" s="15" t="str">
        <f t="shared" si="49"/>
        <v/>
      </c>
      <c r="C1468" s="16" t="str">
        <f>IFERROR(VLOOKUP(DATA!#REF!,DATA!#REF!,1,FALSE),"")</f>
        <v/>
      </c>
      <c r="D1468" s="16" t="str">
        <f>IFERROR(VLOOKUP(C1468,DATA!#REF!,2,FALSE),"")</f>
        <v/>
      </c>
    </row>
    <row r="1469" spans="2:4" s="230" customFormat="1">
      <c r="B1469" s="15" t="str">
        <f t="shared" si="49"/>
        <v/>
      </c>
      <c r="C1469" s="16" t="str">
        <f>IFERROR(VLOOKUP(DATA!#REF!,DATA!#REF!,1,FALSE),"")</f>
        <v/>
      </c>
      <c r="D1469" s="16" t="str">
        <f>IFERROR(VLOOKUP(C1469,DATA!#REF!,2,FALSE),"")</f>
        <v/>
      </c>
    </row>
    <row r="1470" spans="2:4" s="230" customFormat="1">
      <c r="B1470" s="15" t="str">
        <f t="shared" si="49"/>
        <v/>
      </c>
      <c r="C1470" s="16" t="str">
        <f>IFERROR(VLOOKUP(DATA!#REF!,DATA!#REF!,1,FALSE),"")</f>
        <v/>
      </c>
      <c r="D1470" s="16" t="str">
        <f>IFERROR(VLOOKUP(C1470,DATA!#REF!,2,FALSE),"")</f>
        <v/>
      </c>
    </row>
    <row r="1471" spans="2:4" s="230" customFormat="1">
      <c r="B1471" s="15" t="str">
        <f t="shared" si="49"/>
        <v/>
      </c>
      <c r="C1471" s="16" t="str">
        <f>IFERROR(VLOOKUP(DATA!#REF!,DATA!#REF!,1,FALSE),"")</f>
        <v/>
      </c>
      <c r="D1471" s="16" t="str">
        <f>IFERROR(VLOOKUP(C1471,DATA!#REF!,2,FALSE),"")</f>
        <v/>
      </c>
    </row>
    <row r="1472" spans="2:4" s="230" customFormat="1">
      <c r="B1472" s="15" t="str">
        <f t="shared" si="49"/>
        <v/>
      </c>
      <c r="C1472" s="16" t="str">
        <f>IFERROR(VLOOKUP(DATA!#REF!,DATA!#REF!,1,FALSE),"")</f>
        <v/>
      </c>
      <c r="D1472" s="16" t="str">
        <f>IFERROR(VLOOKUP(C1472,DATA!#REF!,2,FALSE),"")</f>
        <v/>
      </c>
    </row>
    <row r="1473" spans="2:4" s="230" customFormat="1">
      <c r="B1473" s="15" t="str">
        <f t="shared" si="49"/>
        <v/>
      </c>
      <c r="C1473" s="16" t="str">
        <f>IFERROR(VLOOKUP(DATA!#REF!,DATA!#REF!,1,FALSE),"")</f>
        <v/>
      </c>
      <c r="D1473" s="16" t="str">
        <f>IFERROR(VLOOKUP(C1473,DATA!#REF!,2,FALSE),"")</f>
        <v/>
      </c>
    </row>
    <row r="1474" spans="2:4" s="230" customFormat="1">
      <c r="B1474" s="15" t="str">
        <f t="shared" si="49"/>
        <v/>
      </c>
      <c r="C1474" s="16" t="str">
        <f>IFERROR(VLOOKUP(DATA!#REF!,DATA!#REF!,1,FALSE),"")</f>
        <v/>
      </c>
      <c r="D1474" s="16" t="str">
        <f>IFERROR(VLOOKUP(C1474,DATA!#REF!,2,FALSE),"")</f>
        <v/>
      </c>
    </row>
    <row r="1475" spans="2:4" s="230" customFormat="1">
      <c r="B1475" s="15" t="str">
        <f t="shared" si="49"/>
        <v/>
      </c>
      <c r="C1475" s="16" t="str">
        <f>IFERROR(VLOOKUP(DATA!#REF!,DATA!#REF!,1,FALSE),"")</f>
        <v/>
      </c>
      <c r="D1475" s="16" t="str">
        <f>IFERROR(VLOOKUP(C1475,DATA!#REF!,2,FALSE),"")</f>
        <v/>
      </c>
    </row>
    <row r="1476" spans="2:4" s="230" customFormat="1">
      <c r="B1476" s="15" t="str">
        <f t="shared" si="49"/>
        <v/>
      </c>
      <c r="C1476" s="16" t="str">
        <f>IFERROR(VLOOKUP(DATA!#REF!,DATA!#REF!,1,FALSE),"")</f>
        <v/>
      </c>
      <c r="D1476" s="16" t="str">
        <f>IFERROR(VLOOKUP(C1476,DATA!#REF!,2,FALSE),"")</f>
        <v/>
      </c>
    </row>
    <row r="1477" spans="2:4" s="230" customFormat="1">
      <c r="B1477" s="15" t="str">
        <f t="shared" si="49"/>
        <v/>
      </c>
      <c r="C1477" s="16" t="str">
        <f>IFERROR(VLOOKUP(DATA!#REF!,DATA!#REF!,1,FALSE),"")</f>
        <v/>
      </c>
      <c r="D1477" s="16" t="str">
        <f>IFERROR(VLOOKUP(C1477,DATA!#REF!,2,FALSE),"")</f>
        <v/>
      </c>
    </row>
    <row r="1478" spans="2:4" s="230" customFormat="1">
      <c r="B1478" s="15" t="str">
        <f t="shared" ref="B1478:B1541" si="50">+IF(C1478="","",ROW()-5)</f>
        <v/>
      </c>
      <c r="C1478" s="16" t="str">
        <f>IFERROR(VLOOKUP(DATA!#REF!,DATA!#REF!,1,FALSE),"")</f>
        <v/>
      </c>
      <c r="D1478" s="16" t="str">
        <f>IFERROR(VLOOKUP(C1478,DATA!#REF!,2,FALSE),"")</f>
        <v/>
      </c>
    </row>
    <row r="1479" spans="2:4" s="230" customFormat="1">
      <c r="B1479" s="15" t="str">
        <f t="shared" si="50"/>
        <v/>
      </c>
      <c r="C1479" s="16" t="str">
        <f>IFERROR(VLOOKUP(DATA!#REF!,DATA!#REF!,1,FALSE),"")</f>
        <v/>
      </c>
      <c r="D1479" s="16" t="str">
        <f>IFERROR(VLOOKUP(C1479,DATA!#REF!,2,FALSE),"")</f>
        <v/>
      </c>
    </row>
    <row r="1480" spans="2:4" s="230" customFormat="1">
      <c r="B1480" s="15" t="str">
        <f t="shared" si="50"/>
        <v/>
      </c>
      <c r="C1480" s="16" t="str">
        <f>IFERROR(VLOOKUP(DATA!#REF!,DATA!#REF!,1,FALSE),"")</f>
        <v/>
      </c>
      <c r="D1480" s="16" t="str">
        <f>IFERROR(VLOOKUP(C1480,DATA!#REF!,2,FALSE),"")</f>
        <v/>
      </c>
    </row>
    <row r="1481" spans="2:4" s="230" customFormat="1">
      <c r="B1481" s="15" t="str">
        <f t="shared" si="50"/>
        <v/>
      </c>
      <c r="C1481" s="16" t="str">
        <f>IFERROR(VLOOKUP(DATA!#REF!,DATA!#REF!,1,FALSE),"")</f>
        <v/>
      </c>
      <c r="D1481" s="16" t="str">
        <f>IFERROR(VLOOKUP(C1481,DATA!#REF!,2,FALSE),"")</f>
        <v/>
      </c>
    </row>
    <row r="1482" spans="2:4" s="230" customFormat="1">
      <c r="B1482" s="15" t="str">
        <f t="shared" si="50"/>
        <v/>
      </c>
      <c r="C1482" s="16" t="str">
        <f>IFERROR(VLOOKUP(DATA!#REF!,DATA!#REF!,1,FALSE),"")</f>
        <v/>
      </c>
      <c r="D1482" s="16" t="str">
        <f>IFERROR(VLOOKUP(C1482,DATA!#REF!,2,FALSE),"")</f>
        <v/>
      </c>
    </row>
    <row r="1483" spans="2:4" s="230" customFormat="1">
      <c r="B1483" s="15" t="str">
        <f t="shared" si="50"/>
        <v/>
      </c>
      <c r="C1483" s="16" t="str">
        <f>IFERROR(VLOOKUP(DATA!#REF!,DATA!#REF!,1,FALSE),"")</f>
        <v/>
      </c>
      <c r="D1483" s="16" t="str">
        <f>IFERROR(VLOOKUP(C1483,DATA!#REF!,2,FALSE),"")</f>
        <v/>
      </c>
    </row>
    <row r="1484" spans="2:4" s="230" customFormat="1">
      <c r="B1484" s="15" t="str">
        <f t="shared" si="50"/>
        <v/>
      </c>
      <c r="C1484" s="16" t="str">
        <f>IFERROR(VLOOKUP(DATA!#REF!,DATA!#REF!,1,FALSE),"")</f>
        <v/>
      </c>
      <c r="D1484" s="16" t="str">
        <f>IFERROR(VLOOKUP(C1484,DATA!#REF!,2,FALSE),"")</f>
        <v/>
      </c>
    </row>
    <row r="1485" spans="2:4" s="230" customFormat="1">
      <c r="B1485" s="15" t="str">
        <f t="shared" si="50"/>
        <v/>
      </c>
      <c r="C1485" s="16" t="str">
        <f>IFERROR(VLOOKUP(DATA!#REF!,DATA!#REF!,1,FALSE),"")</f>
        <v/>
      </c>
      <c r="D1485" s="16" t="str">
        <f>IFERROR(VLOOKUP(C1485,DATA!#REF!,2,FALSE),"")</f>
        <v/>
      </c>
    </row>
    <row r="1486" spans="2:4" s="230" customFormat="1">
      <c r="B1486" s="15" t="str">
        <f t="shared" si="50"/>
        <v/>
      </c>
      <c r="C1486" s="16" t="str">
        <f>IFERROR(VLOOKUP(DATA!#REF!,DATA!#REF!,1,FALSE),"")</f>
        <v/>
      </c>
      <c r="D1486" s="16" t="str">
        <f>IFERROR(VLOOKUP(C1486,DATA!#REF!,2,FALSE),"")</f>
        <v/>
      </c>
    </row>
    <row r="1487" spans="2:4" s="230" customFormat="1">
      <c r="B1487" s="15" t="str">
        <f t="shared" si="50"/>
        <v/>
      </c>
      <c r="C1487" s="16" t="str">
        <f>IFERROR(VLOOKUP(DATA!#REF!,DATA!#REF!,1,FALSE),"")</f>
        <v/>
      </c>
      <c r="D1487" s="16" t="str">
        <f>IFERROR(VLOOKUP(C1487,DATA!#REF!,2,FALSE),"")</f>
        <v/>
      </c>
    </row>
    <row r="1488" spans="2:4" s="230" customFormat="1">
      <c r="B1488" s="15" t="str">
        <f t="shared" si="50"/>
        <v/>
      </c>
      <c r="C1488" s="16" t="str">
        <f>IFERROR(VLOOKUP(DATA!#REF!,DATA!#REF!,1,FALSE),"")</f>
        <v/>
      </c>
      <c r="D1488" s="16" t="str">
        <f>IFERROR(VLOOKUP(C1488,DATA!#REF!,2,FALSE),"")</f>
        <v/>
      </c>
    </row>
    <row r="1489" spans="2:4" s="230" customFormat="1">
      <c r="B1489" s="15" t="str">
        <f t="shared" si="50"/>
        <v/>
      </c>
      <c r="C1489" s="16" t="str">
        <f>IFERROR(VLOOKUP(DATA!#REF!,DATA!#REF!,1,FALSE),"")</f>
        <v/>
      </c>
      <c r="D1489" s="16" t="str">
        <f>IFERROR(VLOOKUP(C1489,DATA!#REF!,2,FALSE),"")</f>
        <v/>
      </c>
    </row>
    <row r="1490" spans="2:4" s="230" customFormat="1">
      <c r="B1490" s="15" t="str">
        <f t="shared" si="50"/>
        <v/>
      </c>
      <c r="C1490" s="16" t="str">
        <f>IFERROR(VLOOKUP(DATA!#REF!,DATA!#REF!,1,FALSE),"")</f>
        <v/>
      </c>
      <c r="D1490" s="16" t="str">
        <f>IFERROR(VLOOKUP(C1490,DATA!#REF!,2,FALSE),"")</f>
        <v/>
      </c>
    </row>
    <row r="1491" spans="2:4" s="230" customFormat="1">
      <c r="B1491" s="15" t="str">
        <f t="shared" si="50"/>
        <v/>
      </c>
      <c r="C1491" s="16" t="str">
        <f>IFERROR(VLOOKUP(DATA!#REF!,DATA!#REF!,1,FALSE),"")</f>
        <v/>
      </c>
      <c r="D1491" s="16" t="str">
        <f>IFERROR(VLOOKUP(C1491,DATA!#REF!,2,FALSE),"")</f>
        <v/>
      </c>
    </row>
    <row r="1492" spans="2:4" s="230" customFormat="1">
      <c r="B1492" s="15" t="str">
        <f t="shared" si="50"/>
        <v/>
      </c>
      <c r="C1492" s="16" t="str">
        <f>IFERROR(VLOOKUP(DATA!#REF!,DATA!#REF!,1,FALSE),"")</f>
        <v/>
      </c>
      <c r="D1492" s="16" t="str">
        <f>IFERROR(VLOOKUP(C1492,DATA!#REF!,2,FALSE),"")</f>
        <v/>
      </c>
    </row>
    <row r="1493" spans="2:4" s="230" customFormat="1">
      <c r="B1493" s="15" t="str">
        <f t="shared" si="50"/>
        <v/>
      </c>
      <c r="C1493" s="16" t="str">
        <f>IFERROR(VLOOKUP(DATA!#REF!,DATA!#REF!,1,FALSE),"")</f>
        <v/>
      </c>
      <c r="D1493" s="16" t="str">
        <f>IFERROR(VLOOKUP(C1493,DATA!#REF!,2,FALSE),"")</f>
        <v/>
      </c>
    </row>
    <row r="1494" spans="2:4" s="230" customFormat="1">
      <c r="B1494" s="15" t="str">
        <f t="shared" si="50"/>
        <v/>
      </c>
      <c r="C1494" s="16" t="str">
        <f>IFERROR(VLOOKUP(DATA!#REF!,DATA!#REF!,1,FALSE),"")</f>
        <v/>
      </c>
      <c r="D1494" s="16" t="str">
        <f>IFERROR(VLOOKUP(C1494,DATA!#REF!,2,FALSE),"")</f>
        <v/>
      </c>
    </row>
    <row r="1495" spans="2:4" s="230" customFormat="1">
      <c r="B1495" s="15" t="str">
        <f t="shared" si="50"/>
        <v/>
      </c>
      <c r="C1495" s="16" t="str">
        <f>IFERROR(VLOOKUP(DATA!#REF!,DATA!#REF!,1,FALSE),"")</f>
        <v/>
      </c>
      <c r="D1495" s="16" t="str">
        <f>IFERROR(VLOOKUP(C1495,DATA!#REF!,2,FALSE),"")</f>
        <v/>
      </c>
    </row>
    <row r="1496" spans="2:4" s="230" customFormat="1">
      <c r="B1496" s="15" t="str">
        <f t="shared" si="50"/>
        <v/>
      </c>
      <c r="C1496" s="16" t="str">
        <f>IFERROR(VLOOKUP(DATA!#REF!,DATA!#REF!,1,FALSE),"")</f>
        <v/>
      </c>
      <c r="D1496" s="16" t="str">
        <f>IFERROR(VLOOKUP(C1496,DATA!#REF!,2,FALSE),"")</f>
        <v/>
      </c>
    </row>
    <row r="1497" spans="2:4" s="230" customFormat="1">
      <c r="B1497" s="15" t="str">
        <f t="shared" si="50"/>
        <v/>
      </c>
      <c r="C1497" s="16" t="str">
        <f>IFERROR(VLOOKUP(DATA!#REF!,DATA!#REF!,1,FALSE),"")</f>
        <v/>
      </c>
      <c r="D1497" s="16" t="str">
        <f>IFERROR(VLOOKUP(C1497,DATA!#REF!,2,FALSE),"")</f>
        <v/>
      </c>
    </row>
    <row r="1498" spans="2:4" s="230" customFormat="1">
      <c r="B1498" s="15" t="str">
        <f t="shared" si="50"/>
        <v/>
      </c>
      <c r="C1498" s="16" t="str">
        <f>IFERROR(VLOOKUP(DATA!#REF!,DATA!#REF!,1,FALSE),"")</f>
        <v/>
      </c>
      <c r="D1498" s="16" t="str">
        <f>IFERROR(VLOOKUP(C1498,DATA!#REF!,2,FALSE),"")</f>
        <v/>
      </c>
    </row>
    <row r="1499" spans="2:4" s="230" customFormat="1">
      <c r="B1499" s="15" t="str">
        <f t="shared" si="50"/>
        <v/>
      </c>
      <c r="C1499" s="16" t="str">
        <f>IFERROR(VLOOKUP(DATA!#REF!,DATA!#REF!,1,FALSE),"")</f>
        <v/>
      </c>
      <c r="D1499" s="16" t="str">
        <f>IFERROR(VLOOKUP(C1499,DATA!#REF!,2,FALSE),"")</f>
        <v/>
      </c>
    </row>
    <row r="1500" spans="2:4" s="230" customFormat="1">
      <c r="B1500" s="15" t="str">
        <f t="shared" si="50"/>
        <v/>
      </c>
      <c r="C1500" s="16" t="str">
        <f>IFERROR(VLOOKUP(DATA!#REF!,DATA!#REF!,1,FALSE),"")</f>
        <v/>
      </c>
      <c r="D1500" s="16" t="str">
        <f>IFERROR(VLOOKUP(C1500,DATA!#REF!,2,FALSE),"")</f>
        <v/>
      </c>
    </row>
    <row r="1501" spans="2:4" s="230" customFormat="1">
      <c r="B1501" s="15" t="str">
        <f t="shared" si="50"/>
        <v/>
      </c>
      <c r="C1501" s="16" t="str">
        <f>IFERROR(VLOOKUP(DATA!#REF!,DATA!#REF!,1,FALSE),"")</f>
        <v/>
      </c>
      <c r="D1501" s="16" t="str">
        <f>IFERROR(VLOOKUP(C1501,DATA!#REF!,2,FALSE),"")</f>
        <v/>
      </c>
    </row>
    <row r="1502" spans="2:4" s="230" customFormat="1">
      <c r="B1502" s="15" t="str">
        <f t="shared" si="50"/>
        <v/>
      </c>
      <c r="C1502" s="16" t="str">
        <f>IFERROR(VLOOKUP(DATA!#REF!,DATA!#REF!,1,FALSE),"")</f>
        <v/>
      </c>
      <c r="D1502" s="16" t="str">
        <f>IFERROR(VLOOKUP(C1502,DATA!#REF!,2,FALSE),"")</f>
        <v/>
      </c>
    </row>
    <row r="1503" spans="2:4" s="230" customFormat="1">
      <c r="B1503" s="15" t="str">
        <f t="shared" si="50"/>
        <v/>
      </c>
      <c r="C1503" s="16" t="str">
        <f>IFERROR(VLOOKUP(DATA!#REF!,DATA!#REF!,1,FALSE),"")</f>
        <v/>
      </c>
      <c r="D1503" s="16" t="str">
        <f>IFERROR(VLOOKUP(C1503,DATA!#REF!,2,FALSE),"")</f>
        <v/>
      </c>
    </row>
    <row r="1504" spans="2:4" s="230" customFormat="1">
      <c r="B1504" s="15" t="str">
        <f t="shared" si="50"/>
        <v/>
      </c>
      <c r="C1504" s="16" t="str">
        <f>IFERROR(VLOOKUP(DATA!#REF!,DATA!#REF!,1,FALSE),"")</f>
        <v/>
      </c>
      <c r="D1504" s="16" t="str">
        <f>IFERROR(VLOOKUP(C1504,DATA!#REF!,2,FALSE),"")</f>
        <v/>
      </c>
    </row>
    <row r="1505" spans="2:4" s="230" customFormat="1">
      <c r="B1505" s="15" t="str">
        <f t="shared" si="50"/>
        <v/>
      </c>
      <c r="C1505" s="16" t="str">
        <f>IFERROR(VLOOKUP(DATA!#REF!,DATA!#REF!,1,FALSE),"")</f>
        <v/>
      </c>
      <c r="D1505" s="16" t="str">
        <f>IFERROR(VLOOKUP(C1505,DATA!#REF!,2,FALSE),"")</f>
        <v/>
      </c>
    </row>
    <row r="1506" spans="2:4" s="230" customFormat="1">
      <c r="B1506" s="15" t="str">
        <f t="shared" si="50"/>
        <v/>
      </c>
      <c r="C1506" s="16" t="str">
        <f>IFERROR(VLOOKUP(DATA!#REF!,DATA!#REF!,1,FALSE),"")</f>
        <v/>
      </c>
      <c r="D1506" s="16" t="str">
        <f>IFERROR(VLOOKUP(C1506,DATA!#REF!,2,FALSE),"")</f>
        <v/>
      </c>
    </row>
    <row r="1507" spans="2:4" s="230" customFormat="1">
      <c r="B1507" s="15" t="str">
        <f t="shared" si="50"/>
        <v/>
      </c>
      <c r="C1507" s="16" t="str">
        <f>IFERROR(VLOOKUP(DATA!#REF!,DATA!#REF!,1,FALSE),"")</f>
        <v/>
      </c>
      <c r="D1507" s="16" t="str">
        <f>IFERROR(VLOOKUP(C1507,DATA!#REF!,2,FALSE),"")</f>
        <v/>
      </c>
    </row>
    <row r="1508" spans="2:4" s="230" customFormat="1">
      <c r="B1508" s="15" t="str">
        <f t="shared" si="50"/>
        <v/>
      </c>
      <c r="C1508" s="16" t="str">
        <f>IFERROR(VLOOKUP(DATA!#REF!,DATA!#REF!,1,FALSE),"")</f>
        <v/>
      </c>
      <c r="D1508" s="16" t="str">
        <f>IFERROR(VLOOKUP(C1508,DATA!#REF!,2,FALSE),"")</f>
        <v/>
      </c>
    </row>
    <row r="1509" spans="2:4" s="230" customFormat="1">
      <c r="B1509" s="15" t="str">
        <f t="shared" si="50"/>
        <v/>
      </c>
      <c r="C1509" s="16" t="str">
        <f>IFERROR(VLOOKUP(DATA!#REF!,DATA!#REF!,1,FALSE),"")</f>
        <v/>
      </c>
      <c r="D1509" s="16" t="str">
        <f>IFERROR(VLOOKUP(C1509,DATA!#REF!,2,FALSE),"")</f>
        <v/>
      </c>
    </row>
    <row r="1510" spans="2:4" s="230" customFormat="1">
      <c r="B1510" s="15" t="str">
        <f t="shared" si="50"/>
        <v/>
      </c>
      <c r="C1510" s="16" t="str">
        <f>IFERROR(VLOOKUP(DATA!#REF!,DATA!#REF!,1,FALSE),"")</f>
        <v/>
      </c>
      <c r="D1510" s="16" t="str">
        <f>IFERROR(VLOOKUP(C1510,DATA!#REF!,2,FALSE),"")</f>
        <v/>
      </c>
    </row>
    <row r="1511" spans="2:4" s="230" customFormat="1">
      <c r="B1511" s="15" t="str">
        <f t="shared" si="50"/>
        <v/>
      </c>
      <c r="C1511" s="16" t="str">
        <f>IFERROR(VLOOKUP(DATA!#REF!,DATA!#REF!,1,FALSE),"")</f>
        <v/>
      </c>
      <c r="D1511" s="16" t="str">
        <f>IFERROR(VLOOKUP(C1511,DATA!#REF!,2,FALSE),"")</f>
        <v/>
      </c>
    </row>
    <row r="1512" spans="2:4" s="230" customFormat="1">
      <c r="B1512" s="15" t="str">
        <f t="shared" si="50"/>
        <v/>
      </c>
      <c r="C1512" s="16" t="str">
        <f>IFERROR(VLOOKUP(DATA!#REF!,DATA!#REF!,1,FALSE),"")</f>
        <v/>
      </c>
      <c r="D1512" s="16" t="str">
        <f>IFERROR(VLOOKUP(C1512,DATA!#REF!,2,FALSE),"")</f>
        <v/>
      </c>
    </row>
    <row r="1513" spans="2:4" s="230" customFormat="1">
      <c r="B1513" s="15" t="str">
        <f t="shared" si="50"/>
        <v/>
      </c>
      <c r="C1513" s="16" t="str">
        <f>IFERROR(VLOOKUP(DATA!#REF!,DATA!#REF!,1,FALSE),"")</f>
        <v/>
      </c>
      <c r="D1513" s="16" t="str">
        <f>IFERROR(VLOOKUP(C1513,DATA!#REF!,2,FALSE),"")</f>
        <v/>
      </c>
    </row>
    <row r="1514" spans="2:4" s="230" customFormat="1">
      <c r="B1514" s="15" t="str">
        <f t="shared" si="50"/>
        <v/>
      </c>
      <c r="C1514" s="16" t="str">
        <f>IFERROR(VLOOKUP(DATA!#REF!,DATA!#REF!,1,FALSE),"")</f>
        <v/>
      </c>
      <c r="D1514" s="16" t="str">
        <f>IFERROR(VLOOKUP(C1514,DATA!#REF!,2,FALSE),"")</f>
        <v/>
      </c>
    </row>
    <row r="1515" spans="2:4" s="230" customFormat="1">
      <c r="B1515" s="15" t="str">
        <f t="shared" si="50"/>
        <v/>
      </c>
      <c r="C1515" s="16" t="str">
        <f>IFERROR(VLOOKUP(DATA!#REF!,DATA!#REF!,1,FALSE),"")</f>
        <v/>
      </c>
      <c r="D1515" s="16" t="str">
        <f>IFERROR(VLOOKUP(C1515,DATA!#REF!,2,FALSE),"")</f>
        <v/>
      </c>
    </row>
    <row r="1516" spans="2:4" s="230" customFormat="1">
      <c r="B1516" s="15" t="str">
        <f t="shared" si="50"/>
        <v/>
      </c>
      <c r="C1516" s="16" t="str">
        <f>IFERROR(VLOOKUP(DATA!#REF!,DATA!#REF!,1,FALSE),"")</f>
        <v/>
      </c>
      <c r="D1516" s="16" t="str">
        <f>IFERROR(VLOOKUP(C1516,DATA!#REF!,2,FALSE),"")</f>
        <v/>
      </c>
    </row>
    <row r="1517" spans="2:4" s="230" customFormat="1">
      <c r="B1517" s="15" t="str">
        <f t="shared" si="50"/>
        <v/>
      </c>
      <c r="C1517" s="16" t="str">
        <f>IFERROR(VLOOKUP(DATA!#REF!,DATA!#REF!,1,FALSE),"")</f>
        <v/>
      </c>
      <c r="D1517" s="16" t="str">
        <f>IFERROR(VLOOKUP(C1517,DATA!#REF!,2,FALSE),"")</f>
        <v/>
      </c>
    </row>
    <row r="1518" spans="2:4" s="230" customFormat="1">
      <c r="B1518" s="15" t="str">
        <f t="shared" si="50"/>
        <v/>
      </c>
      <c r="C1518" s="16" t="str">
        <f>IFERROR(VLOOKUP(DATA!#REF!,DATA!#REF!,1,FALSE),"")</f>
        <v/>
      </c>
      <c r="D1518" s="16" t="str">
        <f>IFERROR(VLOOKUP(C1518,DATA!#REF!,2,FALSE),"")</f>
        <v/>
      </c>
    </row>
    <row r="1519" spans="2:4" s="230" customFormat="1">
      <c r="B1519" s="15" t="str">
        <f t="shared" si="50"/>
        <v/>
      </c>
      <c r="C1519" s="16" t="str">
        <f>IFERROR(VLOOKUP(DATA!#REF!,DATA!#REF!,1,FALSE),"")</f>
        <v/>
      </c>
      <c r="D1519" s="16" t="str">
        <f>IFERROR(VLOOKUP(C1519,DATA!#REF!,2,FALSE),"")</f>
        <v/>
      </c>
    </row>
    <row r="1520" spans="2:4" s="230" customFormat="1">
      <c r="B1520" s="15" t="str">
        <f t="shared" si="50"/>
        <v/>
      </c>
      <c r="C1520" s="16" t="str">
        <f>IFERROR(VLOOKUP(DATA!#REF!,DATA!#REF!,1,FALSE),"")</f>
        <v/>
      </c>
      <c r="D1520" s="16" t="str">
        <f>IFERROR(VLOOKUP(C1520,DATA!#REF!,2,FALSE),"")</f>
        <v/>
      </c>
    </row>
    <row r="1521" spans="2:4" s="230" customFormat="1">
      <c r="B1521" s="15" t="str">
        <f t="shared" si="50"/>
        <v/>
      </c>
      <c r="C1521" s="16" t="str">
        <f>IFERROR(VLOOKUP(DATA!#REF!,DATA!#REF!,1,FALSE),"")</f>
        <v/>
      </c>
      <c r="D1521" s="16" t="str">
        <f>IFERROR(VLOOKUP(C1521,DATA!#REF!,2,FALSE),"")</f>
        <v/>
      </c>
    </row>
    <row r="1522" spans="2:4" s="230" customFormat="1">
      <c r="B1522" s="15" t="str">
        <f t="shared" si="50"/>
        <v/>
      </c>
      <c r="C1522" s="16" t="str">
        <f>IFERROR(VLOOKUP(DATA!#REF!,DATA!#REF!,1,FALSE),"")</f>
        <v/>
      </c>
      <c r="D1522" s="16" t="str">
        <f>IFERROR(VLOOKUP(C1522,DATA!#REF!,2,FALSE),"")</f>
        <v/>
      </c>
    </row>
    <row r="1523" spans="2:4" s="230" customFormat="1">
      <c r="B1523" s="15" t="str">
        <f t="shared" si="50"/>
        <v/>
      </c>
      <c r="C1523" s="16" t="str">
        <f>IFERROR(VLOOKUP(DATA!#REF!,DATA!#REF!,1,FALSE),"")</f>
        <v/>
      </c>
      <c r="D1523" s="16" t="str">
        <f>IFERROR(VLOOKUP(C1523,DATA!#REF!,2,FALSE),"")</f>
        <v/>
      </c>
    </row>
    <row r="1524" spans="2:4" s="230" customFormat="1">
      <c r="B1524" s="15" t="str">
        <f t="shared" si="50"/>
        <v/>
      </c>
      <c r="C1524" s="16" t="str">
        <f>IFERROR(VLOOKUP(DATA!#REF!,DATA!#REF!,1,FALSE),"")</f>
        <v/>
      </c>
      <c r="D1524" s="16" t="str">
        <f>IFERROR(VLOOKUP(C1524,DATA!#REF!,2,FALSE),"")</f>
        <v/>
      </c>
    </row>
    <row r="1525" spans="2:4" s="230" customFormat="1">
      <c r="B1525" s="15" t="str">
        <f t="shared" si="50"/>
        <v/>
      </c>
      <c r="C1525" s="16" t="str">
        <f>IFERROR(VLOOKUP(DATA!#REF!,DATA!#REF!,1,FALSE),"")</f>
        <v/>
      </c>
      <c r="D1525" s="16" t="str">
        <f>IFERROR(VLOOKUP(C1525,DATA!#REF!,2,FALSE),"")</f>
        <v/>
      </c>
    </row>
    <row r="1526" spans="2:4" s="230" customFormat="1">
      <c r="B1526" s="15" t="str">
        <f t="shared" si="50"/>
        <v/>
      </c>
      <c r="C1526" s="16" t="str">
        <f>IFERROR(VLOOKUP(DATA!#REF!,DATA!#REF!,1,FALSE),"")</f>
        <v/>
      </c>
      <c r="D1526" s="16" t="str">
        <f>IFERROR(VLOOKUP(C1526,DATA!#REF!,2,FALSE),"")</f>
        <v/>
      </c>
    </row>
    <row r="1527" spans="2:4" s="230" customFormat="1">
      <c r="B1527" s="15" t="str">
        <f t="shared" si="50"/>
        <v/>
      </c>
      <c r="C1527" s="16" t="str">
        <f>IFERROR(VLOOKUP(DATA!#REF!,DATA!#REF!,1,FALSE),"")</f>
        <v/>
      </c>
      <c r="D1527" s="16" t="str">
        <f>IFERROR(VLOOKUP(C1527,DATA!#REF!,2,FALSE),"")</f>
        <v/>
      </c>
    </row>
    <row r="1528" spans="2:4" s="230" customFormat="1">
      <c r="B1528" s="15" t="str">
        <f t="shared" si="50"/>
        <v/>
      </c>
      <c r="C1528" s="16" t="str">
        <f>IFERROR(VLOOKUP(DATA!#REF!,DATA!#REF!,1,FALSE),"")</f>
        <v/>
      </c>
      <c r="D1528" s="16" t="str">
        <f>IFERROR(VLOOKUP(C1528,DATA!#REF!,2,FALSE),"")</f>
        <v/>
      </c>
    </row>
    <row r="1529" spans="2:4" s="230" customFormat="1">
      <c r="B1529" s="15" t="str">
        <f t="shared" si="50"/>
        <v/>
      </c>
      <c r="C1529" s="16" t="str">
        <f>IFERROR(VLOOKUP(DATA!#REF!,DATA!#REF!,1,FALSE),"")</f>
        <v/>
      </c>
      <c r="D1529" s="16" t="str">
        <f>IFERROR(VLOOKUP(C1529,DATA!#REF!,2,FALSE),"")</f>
        <v/>
      </c>
    </row>
    <row r="1530" spans="2:4" s="230" customFormat="1">
      <c r="B1530" s="15" t="str">
        <f t="shared" si="50"/>
        <v/>
      </c>
      <c r="C1530" s="16" t="str">
        <f>IFERROR(VLOOKUP(DATA!#REF!,DATA!#REF!,1,FALSE),"")</f>
        <v/>
      </c>
      <c r="D1530" s="16" t="str">
        <f>IFERROR(VLOOKUP(C1530,DATA!#REF!,2,FALSE),"")</f>
        <v/>
      </c>
    </row>
    <row r="1531" spans="2:4" s="230" customFormat="1">
      <c r="B1531" s="15" t="str">
        <f t="shared" si="50"/>
        <v/>
      </c>
      <c r="C1531" s="16" t="str">
        <f>IFERROR(VLOOKUP(DATA!#REF!,DATA!#REF!,1,FALSE),"")</f>
        <v/>
      </c>
      <c r="D1531" s="16" t="str">
        <f>IFERROR(VLOOKUP(C1531,DATA!#REF!,2,FALSE),"")</f>
        <v/>
      </c>
    </row>
    <row r="1532" spans="2:4" s="230" customFormat="1">
      <c r="B1532" s="15" t="str">
        <f t="shared" si="50"/>
        <v/>
      </c>
      <c r="C1532" s="16" t="str">
        <f>IFERROR(VLOOKUP(DATA!#REF!,DATA!#REF!,1,FALSE),"")</f>
        <v/>
      </c>
      <c r="D1532" s="16" t="str">
        <f>IFERROR(VLOOKUP(C1532,DATA!#REF!,2,FALSE),"")</f>
        <v/>
      </c>
    </row>
    <row r="1533" spans="2:4" s="230" customFormat="1">
      <c r="B1533" s="15" t="str">
        <f t="shared" si="50"/>
        <v/>
      </c>
      <c r="C1533" s="16" t="str">
        <f>IFERROR(VLOOKUP(DATA!#REF!,DATA!#REF!,1,FALSE),"")</f>
        <v/>
      </c>
      <c r="D1533" s="16" t="str">
        <f>IFERROR(VLOOKUP(C1533,DATA!#REF!,2,FALSE),"")</f>
        <v/>
      </c>
    </row>
    <row r="1534" spans="2:4" s="230" customFormat="1">
      <c r="B1534" s="15" t="str">
        <f t="shared" si="50"/>
        <v/>
      </c>
      <c r="C1534" s="16" t="str">
        <f>IFERROR(VLOOKUP(DATA!#REF!,DATA!#REF!,1,FALSE),"")</f>
        <v/>
      </c>
      <c r="D1534" s="16" t="str">
        <f>IFERROR(VLOOKUP(C1534,DATA!#REF!,2,FALSE),"")</f>
        <v/>
      </c>
    </row>
    <row r="1535" spans="2:4" s="230" customFormat="1">
      <c r="B1535" s="15" t="str">
        <f t="shared" si="50"/>
        <v/>
      </c>
      <c r="C1535" s="16" t="str">
        <f>IFERROR(VLOOKUP(DATA!#REF!,DATA!#REF!,1,FALSE),"")</f>
        <v/>
      </c>
      <c r="D1535" s="16" t="str">
        <f>IFERROR(VLOOKUP(C1535,DATA!#REF!,2,FALSE),"")</f>
        <v/>
      </c>
    </row>
    <row r="1536" spans="2:4" s="230" customFormat="1">
      <c r="B1536" s="15" t="str">
        <f t="shared" si="50"/>
        <v/>
      </c>
      <c r="C1536" s="16" t="str">
        <f>IFERROR(VLOOKUP(DATA!#REF!,DATA!#REF!,1,FALSE),"")</f>
        <v/>
      </c>
      <c r="D1536" s="16" t="str">
        <f>IFERROR(VLOOKUP(C1536,DATA!#REF!,2,FALSE),"")</f>
        <v/>
      </c>
    </row>
    <row r="1537" spans="2:4" s="230" customFormat="1">
      <c r="B1537" s="15" t="str">
        <f t="shared" si="50"/>
        <v/>
      </c>
      <c r="C1537" s="16" t="str">
        <f>IFERROR(VLOOKUP(DATA!#REF!,DATA!#REF!,1,FALSE),"")</f>
        <v/>
      </c>
      <c r="D1537" s="16" t="str">
        <f>IFERROR(VLOOKUP(C1537,DATA!#REF!,2,FALSE),"")</f>
        <v/>
      </c>
    </row>
    <row r="1538" spans="2:4" s="230" customFormat="1">
      <c r="B1538" s="15" t="str">
        <f t="shared" si="50"/>
        <v/>
      </c>
      <c r="C1538" s="16" t="str">
        <f>IFERROR(VLOOKUP(DATA!#REF!,DATA!#REF!,1,FALSE),"")</f>
        <v/>
      </c>
      <c r="D1538" s="16" t="str">
        <f>IFERROR(VLOOKUP(C1538,DATA!#REF!,2,FALSE),"")</f>
        <v/>
      </c>
    </row>
    <row r="1539" spans="2:4" s="230" customFormat="1">
      <c r="B1539" s="15" t="str">
        <f t="shared" si="50"/>
        <v/>
      </c>
      <c r="C1539" s="16" t="str">
        <f>IFERROR(VLOOKUP(DATA!#REF!,DATA!#REF!,1,FALSE),"")</f>
        <v/>
      </c>
      <c r="D1539" s="16" t="str">
        <f>IFERROR(VLOOKUP(C1539,DATA!#REF!,2,FALSE),"")</f>
        <v/>
      </c>
    </row>
    <row r="1540" spans="2:4" s="230" customFormat="1">
      <c r="B1540" s="15" t="str">
        <f t="shared" si="50"/>
        <v/>
      </c>
      <c r="C1540" s="16" t="str">
        <f>IFERROR(VLOOKUP(DATA!#REF!,DATA!#REF!,1,FALSE),"")</f>
        <v/>
      </c>
      <c r="D1540" s="16" t="str">
        <f>IFERROR(VLOOKUP(C1540,DATA!#REF!,2,FALSE),"")</f>
        <v/>
      </c>
    </row>
    <row r="1541" spans="2:4" s="230" customFormat="1">
      <c r="B1541" s="15" t="str">
        <f t="shared" si="50"/>
        <v/>
      </c>
      <c r="C1541" s="16" t="str">
        <f>IFERROR(VLOOKUP(DATA!#REF!,DATA!#REF!,1,FALSE),"")</f>
        <v/>
      </c>
      <c r="D1541" s="16" t="str">
        <f>IFERROR(VLOOKUP(C1541,DATA!#REF!,2,FALSE),"")</f>
        <v/>
      </c>
    </row>
    <row r="1542" spans="2:4" s="230" customFormat="1">
      <c r="B1542" s="15" t="str">
        <f t="shared" ref="B1542:B1605" si="51">+IF(C1542="","",ROW()-5)</f>
        <v/>
      </c>
      <c r="C1542" s="16" t="str">
        <f>IFERROR(VLOOKUP(DATA!#REF!,DATA!#REF!,1,FALSE),"")</f>
        <v/>
      </c>
      <c r="D1542" s="16" t="str">
        <f>IFERROR(VLOOKUP(C1542,DATA!#REF!,2,FALSE),"")</f>
        <v/>
      </c>
    </row>
    <row r="1543" spans="2:4" s="230" customFormat="1">
      <c r="B1543" s="15" t="str">
        <f t="shared" si="51"/>
        <v/>
      </c>
      <c r="C1543" s="16" t="str">
        <f>IFERROR(VLOOKUP(DATA!#REF!,DATA!#REF!,1,FALSE),"")</f>
        <v/>
      </c>
      <c r="D1543" s="16" t="str">
        <f>IFERROR(VLOOKUP(C1543,DATA!#REF!,2,FALSE),"")</f>
        <v/>
      </c>
    </row>
    <row r="1544" spans="2:4" s="230" customFormat="1">
      <c r="B1544" s="15" t="str">
        <f t="shared" si="51"/>
        <v/>
      </c>
      <c r="C1544" s="16" t="str">
        <f>IFERROR(VLOOKUP(DATA!#REF!,DATA!#REF!,1,FALSE),"")</f>
        <v/>
      </c>
      <c r="D1544" s="16" t="str">
        <f>IFERROR(VLOOKUP(C1544,DATA!#REF!,2,FALSE),"")</f>
        <v/>
      </c>
    </row>
    <row r="1545" spans="2:4" s="230" customFormat="1">
      <c r="B1545" s="15" t="str">
        <f t="shared" si="51"/>
        <v/>
      </c>
      <c r="C1545" s="16" t="str">
        <f>IFERROR(VLOOKUP(DATA!#REF!,DATA!#REF!,1,FALSE),"")</f>
        <v/>
      </c>
      <c r="D1545" s="16" t="str">
        <f>IFERROR(VLOOKUP(C1545,DATA!#REF!,2,FALSE),"")</f>
        <v/>
      </c>
    </row>
    <row r="1546" spans="2:4" s="230" customFormat="1">
      <c r="B1546" s="15" t="str">
        <f t="shared" si="51"/>
        <v/>
      </c>
      <c r="C1546" s="16" t="str">
        <f>IFERROR(VLOOKUP(DATA!#REF!,DATA!#REF!,1,FALSE),"")</f>
        <v/>
      </c>
      <c r="D1546" s="16" t="str">
        <f>IFERROR(VLOOKUP(C1546,DATA!#REF!,2,FALSE),"")</f>
        <v/>
      </c>
    </row>
    <row r="1547" spans="2:4" s="230" customFormat="1">
      <c r="B1547" s="15" t="str">
        <f t="shared" si="51"/>
        <v/>
      </c>
      <c r="C1547" s="16" t="str">
        <f>IFERROR(VLOOKUP(DATA!#REF!,DATA!#REF!,1,FALSE),"")</f>
        <v/>
      </c>
      <c r="D1547" s="16" t="str">
        <f>IFERROR(VLOOKUP(C1547,DATA!#REF!,2,FALSE),"")</f>
        <v/>
      </c>
    </row>
    <row r="1548" spans="2:4" s="230" customFormat="1">
      <c r="B1548" s="15" t="str">
        <f t="shared" si="51"/>
        <v/>
      </c>
      <c r="C1548" s="16" t="str">
        <f>IFERROR(VLOOKUP(DATA!#REF!,DATA!#REF!,1,FALSE),"")</f>
        <v/>
      </c>
      <c r="D1548" s="16" t="str">
        <f>IFERROR(VLOOKUP(C1548,DATA!#REF!,2,FALSE),"")</f>
        <v/>
      </c>
    </row>
    <row r="1549" spans="2:4" s="230" customFormat="1">
      <c r="B1549" s="15" t="str">
        <f t="shared" si="51"/>
        <v/>
      </c>
      <c r="C1549" s="16" t="str">
        <f>IFERROR(VLOOKUP(DATA!#REF!,DATA!#REF!,1,FALSE),"")</f>
        <v/>
      </c>
      <c r="D1549" s="16" t="str">
        <f>IFERROR(VLOOKUP(C1549,DATA!#REF!,2,FALSE),"")</f>
        <v/>
      </c>
    </row>
    <row r="1550" spans="2:4" s="230" customFormat="1">
      <c r="B1550" s="15" t="str">
        <f t="shared" si="51"/>
        <v/>
      </c>
      <c r="C1550" s="16" t="str">
        <f>IFERROR(VLOOKUP(DATA!#REF!,DATA!#REF!,1,FALSE),"")</f>
        <v/>
      </c>
      <c r="D1550" s="16" t="str">
        <f>IFERROR(VLOOKUP(C1550,DATA!#REF!,2,FALSE),"")</f>
        <v/>
      </c>
    </row>
    <row r="1551" spans="2:4" s="230" customFormat="1">
      <c r="B1551" s="15" t="str">
        <f t="shared" si="51"/>
        <v/>
      </c>
      <c r="C1551" s="16" t="str">
        <f>IFERROR(VLOOKUP(DATA!#REF!,DATA!#REF!,1,FALSE),"")</f>
        <v/>
      </c>
      <c r="D1551" s="16" t="str">
        <f>IFERROR(VLOOKUP(C1551,DATA!#REF!,2,FALSE),"")</f>
        <v/>
      </c>
    </row>
    <row r="1552" spans="2:4" s="230" customFormat="1">
      <c r="B1552" s="15" t="str">
        <f t="shared" si="51"/>
        <v/>
      </c>
      <c r="C1552" s="16" t="str">
        <f>IFERROR(VLOOKUP(DATA!#REF!,DATA!#REF!,1,FALSE),"")</f>
        <v/>
      </c>
      <c r="D1552" s="16" t="str">
        <f>IFERROR(VLOOKUP(C1552,DATA!#REF!,2,FALSE),"")</f>
        <v/>
      </c>
    </row>
    <row r="1553" spans="2:4" s="230" customFormat="1">
      <c r="B1553" s="15" t="str">
        <f t="shared" si="51"/>
        <v/>
      </c>
      <c r="C1553" s="16" t="str">
        <f>IFERROR(VLOOKUP(DATA!#REF!,DATA!#REF!,1,FALSE),"")</f>
        <v/>
      </c>
      <c r="D1553" s="16" t="str">
        <f>IFERROR(VLOOKUP(C1553,DATA!#REF!,2,FALSE),"")</f>
        <v/>
      </c>
    </row>
    <row r="1554" spans="2:4" s="230" customFormat="1">
      <c r="B1554" s="15" t="str">
        <f t="shared" si="51"/>
        <v/>
      </c>
      <c r="C1554" s="16" t="str">
        <f>IFERROR(VLOOKUP(DATA!#REF!,DATA!#REF!,1,FALSE),"")</f>
        <v/>
      </c>
      <c r="D1554" s="16" t="str">
        <f>IFERROR(VLOOKUP(C1554,DATA!#REF!,2,FALSE),"")</f>
        <v/>
      </c>
    </row>
    <row r="1555" spans="2:4" s="230" customFormat="1">
      <c r="B1555" s="15" t="str">
        <f t="shared" si="51"/>
        <v/>
      </c>
      <c r="C1555" s="16" t="str">
        <f>IFERROR(VLOOKUP(DATA!#REF!,DATA!#REF!,1,FALSE),"")</f>
        <v/>
      </c>
      <c r="D1555" s="16" t="str">
        <f>IFERROR(VLOOKUP(C1555,DATA!#REF!,2,FALSE),"")</f>
        <v/>
      </c>
    </row>
    <row r="1556" spans="2:4" s="230" customFormat="1">
      <c r="B1556" s="15" t="str">
        <f t="shared" si="51"/>
        <v/>
      </c>
      <c r="C1556" s="16" t="str">
        <f>IFERROR(VLOOKUP(DATA!#REF!,DATA!#REF!,1,FALSE),"")</f>
        <v/>
      </c>
      <c r="D1556" s="16" t="str">
        <f>IFERROR(VLOOKUP(C1556,DATA!#REF!,2,FALSE),"")</f>
        <v/>
      </c>
    </row>
    <row r="1557" spans="2:4" s="230" customFormat="1">
      <c r="B1557" s="15" t="str">
        <f t="shared" si="51"/>
        <v/>
      </c>
      <c r="C1557" s="16" t="str">
        <f>IFERROR(VLOOKUP(DATA!#REF!,DATA!#REF!,1,FALSE),"")</f>
        <v/>
      </c>
      <c r="D1557" s="16" t="str">
        <f>IFERROR(VLOOKUP(C1557,DATA!#REF!,2,FALSE),"")</f>
        <v/>
      </c>
    </row>
    <row r="1558" spans="2:4" s="230" customFormat="1">
      <c r="B1558" s="15" t="str">
        <f t="shared" si="51"/>
        <v/>
      </c>
      <c r="C1558" s="16" t="str">
        <f>IFERROR(VLOOKUP(DATA!#REF!,DATA!#REF!,1,FALSE),"")</f>
        <v/>
      </c>
      <c r="D1558" s="16" t="str">
        <f>IFERROR(VLOOKUP(C1558,DATA!#REF!,2,FALSE),"")</f>
        <v/>
      </c>
    </row>
    <row r="1559" spans="2:4" s="230" customFormat="1">
      <c r="B1559" s="15" t="str">
        <f t="shared" si="51"/>
        <v/>
      </c>
      <c r="C1559" s="16" t="str">
        <f>IFERROR(VLOOKUP(DATA!#REF!,DATA!#REF!,1,FALSE),"")</f>
        <v/>
      </c>
      <c r="D1559" s="16" t="str">
        <f>IFERROR(VLOOKUP(C1559,DATA!#REF!,2,FALSE),"")</f>
        <v/>
      </c>
    </row>
    <row r="1560" spans="2:4" s="230" customFormat="1">
      <c r="B1560" s="15" t="str">
        <f t="shared" si="51"/>
        <v/>
      </c>
      <c r="C1560" s="16" t="str">
        <f>IFERROR(VLOOKUP(DATA!#REF!,DATA!#REF!,1,FALSE),"")</f>
        <v/>
      </c>
      <c r="D1560" s="16" t="str">
        <f>IFERROR(VLOOKUP(C1560,DATA!#REF!,2,FALSE),"")</f>
        <v/>
      </c>
    </row>
    <row r="1561" spans="2:4" s="230" customFormat="1">
      <c r="B1561" s="15" t="str">
        <f t="shared" si="51"/>
        <v/>
      </c>
      <c r="C1561" s="16" t="str">
        <f>IFERROR(VLOOKUP(DATA!#REF!,DATA!#REF!,1,FALSE),"")</f>
        <v/>
      </c>
      <c r="D1561" s="16" t="str">
        <f>IFERROR(VLOOKUP(C1561,DATA!#REF!,2,FALSE),"")</f>
        <v/>
      </c>
    </row>
    <row r="1562" spans="2:4" s="230" customFormat="1">
      <c r="B1562" s="15" t="str">
        <f t="shared" si="51"/>
        <v/>
      </c>
      <c r="C1562" s="16" t="str">
        <f>IFERROR(VLOOKUP(DATA!#REF!,DATA!#REF!,1,FALSE),"")</f>
        <v/>
      </c>
      <c r="D1562" s="16" t="str">
        <f>IFERROR(VLOOKUP(C1562,DATA!#REF!,2,FALSE),"")</f>
        <v/>
      </c>
    </row>
    <row r="1563" spans="2:4" s="230" customFormat="1">
      <c r="B1563" s="15" t="str">
        <f t="shared" si="51"/>
        <v/>
      </c>
      <c r="C1563" s="16" t="str">
        <f>IFERROR(VLOOKUP(DATA!#REF!,DATA!#REF!,1,FALSE),"")</f>
        <v/>
      </c>
      <c r="D1563" s="16" t="str">
        <f>IFERROR(VLOOKUP(C1563,DATA!#REF!,2,FALSE),"")</f>
        <v/>
      </c>
    </row>
    <row r="1564" spans="2:4" s="230" customFormat="1">
      <c r="B1564" s="15" t="str">
        <f t="shared" si="51"/>
        <v/>
      </c>
      <c r="C1564" s="16" t="str">
        <f>IFERROR(VLOOKUP(DATA!#REF!,DATA!#REF!,1,FALSE),"")</f>
        <v/>
      </c>
      <c r="D1564" s="16" t="str">
        <f>IFERROR(VLOOKUP(C1564,DATA!#REF!,2,FALSE),"")</f>
        <v/>
      </c>
    </row>
    <row r="1565" spans="2:4" s="230" customFormat="1">
      <c r="B1565" s="15" t="str">
        <f t="shared" si="51"/>
        <v/>
      </c>
      <c r="C1565" s="16" t="str">
        <f>IFERROR(VLOOKUP(DATA!#REF!,DATA!#REF!,1,FALSE),"")</f>
        <v/>
      </c>
      <c r="D1565" s="16" t="str">
        <f>IFERROR(VLOOKUP(C1565,DATA!#REF!,2,FALSE),"")</f>
        <v/>
      </c>
    </row>
    <row r="1566" spans="2:4" s="230" customFormat="1">
      <c r="B1566" s="15" t="str">
        <f t="shared" si="51"/>
        <v/>
      </c>
      <c r="C1566" s="16" t="str">
        <f>IFERROR(VLOOKUP(DATA!#REF!,DATA!#REF!,1,FALSE),"")</f>
        <v/>
      </c>
      <c r="D1566" s="16" t="str">
        <f>IFERROR(VLOOKUP(C1566,DATA!#REF!,2,FALSE),"")</f>
        <v/>
      </c>
    </row>
    <row r="1567" spans="2:4" s="230" customFormat="1">
      <c r="B1567" s="15" t="str">
        <f t="shared" si="51"/>
        <v/>
      </c>
      <c r="C1567" s="16" t="str">
        <f>IFERROR(VLOOKUP(DATA!#REF!,DATA!#REF!,1,FALSE),"")</f>
        <v/>
      </c>
      <c r="D1567" s="16" t="str">
        <f>IFERROR(VLOOKUP(C1567,DATA!#REF!,2,FALSE),"")</f>
        <v/>
      </c>
    </row>
    <row r="1568" spans="2:4" s="230" customFormat="1">
      <c r="B1568" s="15" t="str">
        <f t="shared" si="51"/>
        <v/>
      </c>
      <c r="C1568" s="16" t="str">
        <f>IFERROR(VLOOKUP(DATA!#REF!,DATA!#REF!,1,FALSE),"")</f>
        <v/>
      </c>
      <c r="D1568" s="16" t="str">
        <f>IFERROR(VLOOKUP(C1568,DATA!#REF!,2,FALSE),"")</f>
        <v/>
      </c>
    </row>
    <row r="1569" spans="2:4" s="230" customFormat="1">
      <c r="B1569" s="15" t="str">
        <f t="shared" si="51"/>
        <v/>
      </c>
      <c r="C1569" s="16" t="str">
        <f>IFERROR(VLOOKUP(DATA!#REF!,DATA!#REF!,1,FALSE),"")</f>
        <v/>
      </c>
      <c r="D1569" s="16" t="str">
        <f>IFERROR(VLOOKUP(C1569,DATA!#REF!,2,FALSE),"")</f>
        <v/>
      </c>
    </row>
    <row r="1570" spans="2:4" s="230" customFormat="1">
      <c r="B1570" s="15" t="str">
        <f t="shared" si="51"/>
        <v/>
      </c>
      <c r="C1570" s="16" t="str">
        <f>IFERROR(VLOOKUP(DATA!#REF!,DATA!#REF!,1,FALSE),"")</f>
        <v/>
      </c>
      <c r="D1570" s="16" t="str">
        <f>IFERROR(VLOOKUP(C1570,DATA!#REF!,2,FALSE),"")</f>
        <v/>
      </c>
    </row>
    <row r="1571" spans="2:4" s="230" customFormat="1">
      <c r="B1571" s="15" t="str">
        <f t="shared" si="51"/>
        <v/>
      </c>
      <c r="C1571" s="16" t="str">
        <f>IFERROR(VLOOKUP(DATA!#REF!,DATA!#REF!,1,FALSE),"")</f>
        <v/>
      </c>
      <c r="D1571" s="16" t="str">
        <f>IFERROR(VLOOKUP(C1571,DATA!#REF!,2,FALSE),"")</f>
        <v/>
      </c>
    </row>
    <row r="1572" spans="2:4" s="230" customFormat="1">
      <c r="B1572" s="15" t="str">
        <f t="shared" si="51"/>
        <v/>
      </c>
      <c r="C1572" s="16" t="str">
        <f>IFERROR(VLOOKUP(DATA!#REF!,DATA!#REF!,1,FALSE),"")</f>
        <v/>
      </c>
      <c r="D1572" s="16" t="str">
        <f>IFERROR(VLOOKUP(C1572,DATA!#REF!,2,FALSE),"")</f>
        <v/>
      </c>
    </row>
    <row r="1573" spans="2:4" s="230" customFormat="1">
      <c r="B1573" s="15" t="str">
        <f t="shared" si="51"/>
        <v/>
      </c>
      <c r="C1573" s="16" t="str">
        <f>IFERROR(VLOOKUP(DATA!#REF!,DATA!#REF!,1,FALSE),"")</f>
        <v/>
      </c>
      <c r="D1573" s="16" t="str">
        <f>IFERROR(VLOOKUP(C1573,DATA!#REF!,2,FALSE),"")</f>
        <v/>
      </c>
    </row>
    <row r="1574" spans="2:4" s="230" customFormat="1">
      <c r="B1574" s="15" t="str">
        <f t="shared" si="51"/>
        <v/>
      </c>
      <c r="C1574" s="16" t="str">
        <f>IFERROR(VLOOKUP(DATA!#REF!,DATA!#REF!,1,FALSE),"")</f>
        <v/>
      </c>
      <c r="D1574" s="16" t="str">
        <f>IFERROR(VLOOKUP(C1574,DATA!#REF!,2,FALSE),"")</f>
        <v/>
      </c>
    </row>
    <row r="1575" spans="2:4" s="230" customFormat="1">
      <c r="B1575" s="15" t="str">
        <f t="shared" si="51"/>
        <v/>
      </c>
      <c r="C1575" s="16" t="str">
        <f>IFERROR(VLOOKUP(DATA!#REF!,DATA!#REF!,1,FALSE),"")</f>
        <v/>
      </c>
      <c r="D1575" s="16" t="str">
        <f>IFERROR(VLOOKUP(C1575,DATA!#REF!,2,FALSE),"")</f>
        <v/>
      </c>
    </row>
    <row r="1576" spans="2:4" s="230" customFormat="1">
      <c r="B1576" s="15" t="str">
        <f t="shared" si="51"/>
        <v/>
      </c>
      <c r="C1576" s="16" t="str">
        <f>IFERROR(VLOOKUP(DATA!#REF!,DATA!#REF!,1,FALSE),"")</f>
        <v/>
      </c>
      <c r="D1576" s="16" t="str">
        <f>IFERROR(VLOOKUP(C1576,DATA!#REF!,2,FALSE),"")</f>
        <v/>
      </c>
    </row>
    <row r="1577" spans="2:4" s="230" customFormat="1">
      <c r="B1577" s="15" t="str">
        <f t="shared" si="51"/>
        <v/>
      </c>
      <c r="C1577" s="16" t="str">
        <f>IFERROR(VLOOKUP(DATA!#REF!,DATA!#REF!,1,FALSE),"")</f>
        <v/>
      </c>
      <c r="D1577" s="16" t="str">
        <f>IFERROR(VLOOKUP(C1577,DATA!#REF!,2,FALSE),"")</f>
        <v/>
      </c>
    </row>
    <row r="1578" spans="2:4" s="230" customFormat="1">
      <c r="B1578" s="15" t="str">
        <f t="shared" si="51"/>
        <v/>
      </c>
      <c r="C1578" s="16" t="str">
        <f>IFERROR(VLOOKUP(DATA!#REF!,DATA!#REF!,1,FALSE),"")</f>
        <v/>
      </c>
      <c r="D1578" s="16" t="str">
        <f>IFERROR(VLOOKUP(C1578,DATA!#REF!,2,FALSE),"")</f>
        <v/>
      </c>
    </row>
    <row r="1579" spans="2:4" s="230" customFormat="1">
      <c r="B1579" s="15" t="str">
        <f t="shared" si="51"/>
        <v/>
      </c>
      <c r="C1579" s="16" t="str">
        <f>IFERROR(VLOOKUP(DATA!#REF!,DATA!#REF!,1,FALSE),"")</f>
        <v/>
      </c>
      <c r="D1579" s="16" t="str">
        <f>IFERROR(VLOOKUP(C1579,DATA!#REF!,2,FALSE),"")</f>
        <v/>
      </c>
    </row>
    <row r="1580" spans="2:4" s="230" customFormat="1">
      <c r="B1580" s="15" t="str">
        <f t="shared" si="51"/>
        <v/>
      </c>
      <c r="C1580" s="16" t="str">
        <f>IFERROR(VLOOKUP(DATA!#REF!,DATA!#REF!,1,FALSE),"")</f>
        <v/>
      </c>
      <c r="D1580" s="16" t="str">
        <f>IFERROR(VLOOKUP(C1580,DATA!#REF!,2,FALSE),"")</f>
        <v/>
      </c>
    </row>
    <row r="1581" spans="2:4" s="230" customFormat="1">
      <c r="B1581" s="15" t="str">
        <f t="shared" si="51"/>
        <v/>
      </c>
      <c r="C1581" s="16" t="str">
        <f>IFERROR(VLOOKUP(DATA!#REF!,DATA!#REF!,1,FALSE),"")</f>
        <v/>
      </c>
      <c r="D1581" s="16" t="str">
        <f>IFERROR(VLOOKUP(C1581,DATA!#REF!,2,FALSE),"")</f>
        <v/>
      </c>
    </row>
    <row r="1582" spans="2:4" s="230" customFormat="1">
      <c r="B1582" s="15" t="str">
        <f t="shared" si="51"/>
        <v/>
      </c>
      <c r="C1582" s="16" t="str">
        <f>IFERROR(VLOOKUP(DATA!#REF!,DATA!#REF!,1,FALSE),"")</f>
        <v/>
      </c>
      <c r="D1582" s="16" t="str">
        <f>IFERROR(VLOOKUP(C1582,DATA!#REF!,2,FALSE),"")</f>
        <v/>
      </c>
    </row>
    <row r="1583" spans="2:4" s="230" customFormat="1">
      <c r="B1583" s="15" t="str">
        <f t="shared" si="51"/>
        <v/>
      </c>
      <c r="C1583" s="16" t="str">
        <f>IFERROR(VLOOKUP(DATA!#REF!,DATA!#REF!,1,FALSE),"")</f>
        <v/>
      </c>
      <c r="D1583" s="16" t="str">
        <f>IFERROR(VLOOKUP(C1583,DATA!#REF!,2,FALSE),"")</f>
        <v/>
      </c>
    </row>
    <row r="1584" spans="2:4" s="230" customFormat="1">
      <c r="B1584" s="15" t="str">
        <f t="shared" si="51"/>
        <v/>
      </c>
      <c r="C1584" s="16" t="str">
        <f>IFERROR(VLOOKUP(DATA!#REF!,DATA!#REF!,1,FALSE),"")</f>
        <v/>
      </c>
      <c r="D1584" s="16" t="str">
        <f>IFERROR(VLOOKUP(C1584,DATA!#REF!,2,FALSE),"")</f>
        <v/>
      </c>
    </row>
    <row r="1585" spans="2:4" s="230" customFormat="1">
      <c r="B1585" s="15" t="str">
        <f t="shared" si="51"/>
        <v/>
      </c>
      <c r="C1585" s="16" t="str">
        <f>IFERROR(VLOOKUP(DATA!#REF!,DATA!#REF!,1,FALSE),"")</f>
        <v/>
      </c>
      <c r="D1585" s="16" t="str">
        <f>IFERROR(VLOOKUP(C1585,DATA!#REF!,2,FALSE),"")</f>
        <v/>
      </c>
    </row>
    <row r="1586" spans="2:4" s="230" customFormat="1">
      <c r="B1586" s="15" t="str">
        <f t="shared" si="51"/>
        <v/>
      </c>
      <c r="C1586" s="16" t="str">
        <f>IFERROR(VLOOKUP(DATA!#REF!,DATA!#REF!,1,FALSE),"")</f>
        <v/>
      </c>
      <c r="D1586" s="16" t="str">
        <f>IFERROR(VLOOKUP(C1586,DATA!#REF!,2,FALSE),"")</f>
        <v/>
      </c>
    </row>
    <row r="1587" spans="2:4" s="230" customFormat="1">
      <c r="B1587" s="15" t="str">
        <f t="shared" si="51"/>
        <v/>
      </c>
      <c r="C1587" s="16" t="str">
        <f>IFERROR(VLOOKUP(DATA!#REF!,DATA!#REF!,1,FALSE),"")</f>
        <v/>
      </c>
      <c r="D1587" s="16" t="str">
        <f>IFERROR(VLOOKUP(C1587,DATA!#REF!,2,FALSE),"")</f>
        <v/>
      </c>
    </row>
    <row r="1588" spans="2:4" s="230" customFormat="1">
      <c r="B1588" s="15" t="str">
        <f t="shared" si="51"/>
        <v/>
      </c>
      <c r="C1588" s="16" t="str">
        <f>IFERROR(VLOOKUP(DATA!#REF!,DATA!#REF!,1,FALSE),"")</f>
        <v/>
      </c>
      <c r="D1588" s="16" t="str">
        <f>IFERROR(VLOOKUP(C1588,DATA!#REF!,2,FALSE),"")</f>
        <v/>
      </c>
    </row>
    <row r="1589" spans="2:4" s="230" customFormat="1">
      <c r="B1589" s="15" t="str">
        <f t="shared" si="51"/>
        <v/>
      </c>
      <c r="C1589" s="16" t="str">
        <f>IFERROR(VLOOKUP(DATA!#REF!,DATA!#REF!,1,FALSE),"")</f>
        <v/>
      </c>
      <c r="D1589" s="16" t="str">
        <f>IFERROR(VLOOKUP(C1589,DATA!#REF!,2,FALSE),"")</f>
        <v/>
      </c>
    </row>
    <row r="1590" spans="2:4" s="230" customFormat="1">
      <c r="B1590" s="15" t="str">
        <f t="shared" si="51"/>
        <v/>
      </c>
      <c r="C1590" s="16" t="str">
        <f>IFERROR(VLOOKUP(DATA!#REF!,DATA!#REF!,1,FALSE),"")</f>
        <v/>
      </c>
      <c r="D1590" s="16" t="str">
        <f>IFERROR(VLOOKUP(C1590,DATA!#REF!,2,FALSE),"")</f>
        <v/>
      </c>
    </row>
    <row r="1591" spans="2:4" s="230" customFormat="1">
      <c r="B1591" s="15" t="str">
        <f t="shared" si="51"/>
        <v/>
      </c>
      <c r="C1591" s="16" t="str">
        <f>IFERROR(VLOOKUP(DATA!#REF!,DATA!#REF!,1,FALSE),"")</f>
        <v/>
      </c>
      <c r="D1591" s="16" t="str">
        <f>IFERROR(VLOOKUP(C1591,DATA!#REF!,2,FALSE),"")</f>
        <v/>
      </c>
    </row>
    <row r="1592" spans="2:4" s="230" customFormat="1">
      <c r="B1592" s="15" t="str">
        <f t="shared" si="51"/>
        <v/>
      </c>
      <c r="C1592" s="16" t="str">
        <f>IFERROR(VLOOKUP(DATA!#REF!,DATA!#REF!,1,FALSE),"")</f>
        <v/>
      </c>
      <c r="D1592" s="16" t="str">
        <f>IFERROR(VLOOKUP(C1592,DATA!#REF!,2,FALSE),"")</f>
        <v/>
      </c>
    </row>
    <row r="1593" spans="2:4" s="230" customFormat="1">
      <c r="B1593" s="15" t="str">
        <f t="shared" si="51"/>
        <v/>
      </c>
      <c r="C1593" s="16" t="str">
        <f>IFERROR(VLOOKUP(DATA!#REF!,DATA!#REF!,1,FALSE),"")</f>
        <v/>
      </c>
      <c r="D1593" s="16" t="str">
        <f>IFERROR(VLOOKUP(C1593,DATA!#REF!,2,FALSE),"")</f>
        <v/>
      </c>
    </row>
    <row r="1594" spans="2:4" s="230" customFormat="1">
      <c r="B1594" s="15" t="str">
        <f t="shared" si="51"/>
        <v/>
      </c>
      <c r="C1594" s="16" t="str">
        <f>IFERROR(VLOOKUP(DATA!#REF!,DATA!#REF!,1,FALSE),"")</f>
        <v/>
      </c>
      <c r="D1594" s="16" t="str">
        <f>IFERROR(VLOOKUP(C1594,DATA!#REF!,2,FALSE),"")</f>
        <v/>
      </c>
    </row>
    <row r="1595" spans="2:4" s="230" customFormat="1">
      <c r="B1595" s="15" t="str">
        <f t="shared" si="51"/>
        <v/>
      </c>
      <c r="C1595" s="16" t="str">
        <f>IFERROR(VLOOKUP(DATA!#REF!,DATA!#REF!,1,FALSE),"")</f>
        <v/>
      </c>
      <c r="D1595" s="16" t="str">
        <f>IFERROR(VLOOKUP(C1595,DATA!#REF!,2,FALSE),"")</f>
        <v/>
      </c>
    </row>
    <row r="1596" spans="2:4" s="230" customFormat="1">
      <c r="B1596" s="15" t="str">
        <f t="shared" si="51"/>
        <v/>
      </c>
      <c r="C1596" s="16" t="str">
        <f>IFERROR(VLOOKUP(DATA!#REF!,DATA!#REF!,1,FALSE),"")</f>
        <v/>
      </c>
      <c r="D1596" s="16" t="str">
        <f>IFERROR(VLOOKUP(C1596,DATA!#REF!,2,FALSE),"")</f>
        <v/>
      </c>
    </row>
    <row r="1597" spans="2:4" s="230" customFormat="1">
      <c r="B1597" s="15" t="str">
        <f t="shared" si="51"/>
        <v/>
      </c>
      <c r="C1597" s="16" t="str">
        <f>IFERROR(VLOOKUP(DATA!#REF!,DATA!#REF!,1,FALSE),"")</f>
        <v/>
      </c>
      <c r="D1597" s="16" t="str">
        <f>IFERROR(VLOOKUP(C1597,DATA!#REF!,2,FALSE),"")</f>
        <v/>
      </c>
    </row>
    <row r="1598" spans="2:4" s="230" customFormat="1">
      <c r="B1598" s="15" t="str">
        <f t="shared" si="51"/>
        <v/>
      </c>
      <c r="C1598" s="16" t="str">
        <f>IFERROR(VLOOKUP(DATA!#REF!,DATA!#REF!,1,FALSE),"")</f>
        <v/>
      </c>
      <c r="D1598" s="16" t="str">
        <f>IFERROR(VLOOKUP(C1598,DATA!#REF!,2,FALSE),"")</f>
        <v/>
      </c>
    </row>
    <row r="1599" spans="2:4" s="230" customFormat="1">
      <c r="B1599" s="15" t="str">
        <f t="shared" si="51"/>
        <v/>
      </c>
      <c r="C1599" s="16" t="str">
        <f>IFERROR(VLOOKUP(DATA!#REF!,DATA!#REF!,1,FALSE),"")</f>
        <v/>
      </c>
      <c r="D1599" s="16" t="str">
        <f>IFERROR(VLOOKUP(C1599,DATA!#REF!,2,FALSE),"")</f>
        <v/>
      </c>
    </row>
    <row r="1600" spans="2:4" s="230" customFormat="1">
      <c r="B1600" s="15" t="str">
        <f t="shared" si="51"/>
        <v/>
      </c>
      <c r="C1600" s="16" t="str">
        <f>IFERROR(VLOOKUP(DATA!#REF!,DATA!#REF!,1,FALSE),"")</f>
        <v/>
      </c>
      <c r="D1600" s="16" t="str">
        <f>IFERROR(VLOOKUP(C1600,DATA!#REF!,2,FALSE),"")</f>
        <v/>
      </c>
    </row>
    <row r="1601" spans="2:4" s="230" customFormat="1">
      <c r="B1601" s="15" t="str">
        <f t="shared" si="51"/>
        <v/>
      </c>
      <c r="C1601" s="16" t="str">
        <f>IFERROR(VLOOKUP(DATA!#REF!,DATA!#REF!,1,FALSE),"")</f>
        <v/>
      </c>
      <c r="D1601" s="16" t="str">
        <f>IFERROR(VLOOKUP(C1601,DATA!#REF!,2,FALSE),"")</f>
        <v/>
      </c>
    </row>
    <row r="1602" spans="2:4" s="230" customFormat="1">
      <c r="B1602" s="15" t="str">
        <f t="shared" si="51"/>
        <v/>
      </c>
      <c r="C1602" s="16" t="str">
        <f>IFERROR(VLOOKUP(DATA!#REF!,DATA!#REF!,1,FALSE),"")</f>
        <v/>
      </c>
      <c r="D1602" s="16" t="str">
        <f>IFERROR(VLOOKUP(C1602,DATA!#REF!,2,FALSE),"")</f>
        <v/>
      </c>
    </row>
    <row r="1603" spans="2:4" s="230" customFormat="1">
      <c r="B1603" s="15" t="str">
        <f t="shared" si="51"/>
        <v/>
      </c>
      <c r="C1603" s="16" t="str">
        <f>IFERROR(VLOOKUP(DATA!#REF!,DATA!#REF!,1,FALSE),"")</f>
        <v/>
      </c>
      <c r="D1603" s="16" t="str">
        <f>IFERROR(VLOOKUP(C1603,DATA!#REF!,2,FALSE),"")</f>
        <v/>
      </c>
    </row>
    <row r="1604" spans="2:4" s="230" customFormat="1">
      <c r="B1604" s="15" t="str">
        <f t="shared" si="51"/>
        <v/>
      </c>
      <c r="C1604" s="16" t="str">
        <f>IFERROR(VLOOKUP(DATA!#REF!,DATA!#REF!,1,FALSE),"")</f>
        <v/>
      </c>
      <c r="D1604" s="16" t="str">
        <f>IFERROR(VLOOKUP(C1604,DATA!#REF!,2,FALSE),"")</f>
        <v/>
      </c>
    </row>
    <row r="1605" spans="2:4" s="230" customFormat="1">
      <c r="B1605" s="15" t="str">
        <f t="shared" si="51"/>
        <v/>
      </c>
      <c r="C1605" s="16" t="str">
        <f>IFERROR(VLOOKUP(DATA!#REF!,DATA!#REF!,1,FALSE),"")</f>
        <v/>
      </c>
      <c r="D1605" s="16" t="str">
        <f>IFERROR(VLOOKUP(C1605,DATA!#REF!,2,FALSE),"")</f>
        <v/>
      </c>
    </row>
    <row r="1606" spans="2:4" s="230" customFormat="1">
      <c r="B1606" s="15" t="str">
        <f t="shared" ref="B1606:B1669" si="52">+IF(C1606="","",ROW()-5)</f>
        <v/>
      </c>
      <c r="C1606" s="16" t="str">
        <f>IFERROR(VLOOKUP(DATA!#REF!,DATA!#REF!,1,FALSE),"")</f>
        <v/>
      </c>
      <c r="D1606" s="16" t="str">
        <f>IFERROR(VLOOKUP(C1606,DATA!#REF!,2,FALSE),"")</f>
        <v/>
      </c>
    </row>
    <row r="1607" spans="2:4" s="230" customFormat="1">
      <c r="B1607" s="15" t="str">
        <f t="shared" si="52"/>
        <v/>
      </c>
      <c r="C1607" s="16" t="str">
        <f>IFERROR(VLOOKUP(DATA!#REF!,DATA!#REF!,1,FALSE),"")</f>
        <v/>
      </c>
      <c r="D1607" s="16" t="str">
        <f>IFERROR(VLOOKUP(C1607,DATA!#REF!,2,FALSE),"")</f>
        <v/>
      </c>
    </row>
    <row r="1608" spans="2:4" s="230" customFormat="1">
      <c r="B1608" s="15" t="str">
        <f t="shared" si="52"/>
        <v/>
      </c>
      <c r="C1608" s="16" t="str">
        <f>IFERROR(VLOOKUP(DATA!#REF!,DATA!#REF!,1,FALSE),"")</f>
        <v/>
      </c>
      <c r="D1608" s="16" t="str">
        <f>IFERROR(VLOOKUP(C1608,DATA!#REF!,2,FALSE),"")</f>
        <v/>
      </c>
    </row>
    <row r="1609" spans="2:4" s="230" customFormat="1">
      <c r="B1609" s="15" t="str">
        <f t="shared" si="52"/>
        <v/>
      </c>
      <c r="C1609" s="16" t="str">
        <f>IFERROR(VLOOKUP(DATA!#REF!,DATA!#REF!,1,FALSE),"")</f>
        <v/>
      </c>
      <c r="D1609" s="16" t="str">
        <f>IFERROR(VLOOKUP(C1609,DATA!#REF!,2,FALSE),"")</f>
        <v/>
      </c>
    </row>
    <row r="1610" spans="2:4" s="230" customFormat="1">
      <c r="B1610" s="15" t="str">
        <f t="shared" si="52"/>
        <v/>
      </c>
      <c r="C1610" s="16" t="str">
        <f>IFERROR(VLOOKUP(DATA!#REF!,DATA!#REF!,1,FALSE),"")</f>
        <v/>
      </c>
      <c r="D1610" s="16" t="str">
        <f>IFERROR(VLOOKUP(C1610,DATA!#REF!,2,FALSE),"")</f>
        <v/>
      </c>
    </row>
    <row r="1611" spans="2:4" s="230" customFormat="1">
      <c r="B1611" s="15" t="str">
        <f t="shared" si="52"/>
        <v/>
      </c>
      <c r="C1611" s="16" t="str">
        <f>IFERROR(VLOOKUP(DATA!#REF!,DATA!#REF!,1,FALSE),"")</f>
        <v/>
      </c>
      <c r="D1611" s="16" t="str">
        <f>IFERROR(VLOOKUP(C1611,DATA!#REF!,2,FALSE),"")</f>
        <v/>
      </c>
    </row>
    <row r="1612" spans="2:4" s="230" customFormat="1">
      <c r="B1612" s="15" t="str">
        <f t="shared" si="52"/>
        <v/>
      </c>
      <c r="C1612" s="16" t="str">
        <f>IFERROR(VLOOKUP(DATA!#REF!,DATA!#REF!,1,FALSE),"")</f>
        <v/>
      </c>
      <c r="D1612" s="16" t="str">
        <f>IFERROR(VLOOKUP(C1612,DATA!#REF!,2,FALSE),"")</f>
        <v/>
      </c>
    </row>
    <row r="1613" spans="2:4" s="230" customFormat="1">
      <c r="B1613" s="15" t="str">
        <f t="shared" si="52"/>
        <v/>
      </c>
      <c r="C1613" s="16" t="str">
        <f>IFERROR(VLOOKUP(DATA!#REF!,DATA!#REF!,1,FALSE),"")</f>
        <v/>
      </c>
      <c r="D1613" s="16" t="str">
        <f>IFERROR(VLOOKUP(C1613,DATA!#REF!,2,FALSE),"")</f>
        <v/>
      </c>
    </row>
    <row r="1614" spans="2:4" s="230" customFormat="1">
      <c r="B1614" s="15" t="str">
        <f t="shared" si="52"/>
        <v/>
      </c>
      <c r="C1614" s="16" t="str">
        <f>IFERROR(VLOOKUP(DATA!#REF!,DATA!#REF!,1,FALSE),"")</f>
        <v/>
      </c>
      <c r="D1614" s="16" t="str">
        <f>IFERROR(VLOOKUP(C1614,DATA!#REF!,2,FALSE),"")</f>
        <v/>
      </c>
    </row>
    <row r="1615" spans="2:4" s="230" customFormat="1">
      <c r="B1615" s="15" t="str">
        <f t="shared" si="52"/>
        <v/>
      </c>
      <c r="C1615" s="16" t="str">
        <f>IFERROR(VLOOKUP(DATA!#REF!,DATA!#REF!,1,FALSE),"")</f>
        <v/>
      </c>
      <c r="D1615" s="16" t="str">
        <f>IFERROR(VLOOKUP(C1615,DATA!#REF!,2,FALSE),"")</f>
        <v/>
      </c>
    </row>
    <row r="1616" spans="2:4" s="230" customFormat="1">
      <c r="B1616" s="15" t="str">
        <f t="shared" si="52"/>
        <v/>
      </c>
      <c r="C1616" s="16" t="str">
        <f>IFERROR(VLOOKUP(DATA!#REF!,DATA!#REF!,1,FALSE),"")</f>
        <v/>
      </c>
      <c r="D1616" s="16" t="str">
        <f>IFERROR(VLOOKUP(C1616,DATA!#REF!,2,FALSE),"")</f>
        <v/>
      </c>
    </row>
    <row r="1617" spans="2:4" s="230" customFormat="1">
      <c r="B1617" s="15" t="str">
        <f t="shared" si="52"/>
        <v/>
      </c>
      <c r="C1617" s="16" t="str">
        <f>IFERROR(VLOOKUP(DATA!#REF!,DATA!#REF!,1,FALSE),"")</f>
        <v/>
      </c>
      <c r="D1617" s="16" t="str">
        <f>IFERROR(VLOOKUP(C1617,DATA!#REF!,2,FALSE),"")</f>
        <v/>
      </c>
    </row>
    <row r="1618" spans="2:4" s="230" customFormat="1">
      <c r="B1618" s="15" t="str">
        <f t="shared" si="52"/>
        <v/>
      </c>
      <c r="C1618" s="16" t="str">
        <f>IFERROR(VLOOKUP(DATA!#REF!,DATA!#REF!,1,FALSE),"")</f>
        <v/>
      </c>
      <c r="D1618" s="16" t="str">
        <f>IFERROR(VLOOKUP(C1618,DATA!#REF!,2,FALSE),"")</f>
        <v/>
      </c>
    </row>
    <row r="1619" spans="2:4" s="230" customFormat="1">
      <c r="B1619" s="15" t="str">
        <f t="shared" si="52"/>
        <v/>
      </c>
      <c r="C1619" s="16" t="str">
        <f>IFERROR(VLOOKUP(DATA!#REF!,DATA!#REF!,1,FALSE),"")</f>
        <v/>
      </c>
      <c r="D1619" s="16" t="str">
        <f>IFERROR(VLOOKUP(C1619,DATA!#REF!,2,FALSE),"")</f>
        <v/>
      </c>
    </row>
    <row r="1620" spans="2:4" s="230" customFormat="1">
      <c r="B1620" s="15" t="str">
        <f t="shared" si="52"/>
        <v/>
      </c>
      <c r="C1620" s="16" t="str">
        <f>IFERROR(VLOOKUP(DATA!#REF!,DATA!#REF!,1,FALSE),"")</f>
        <v/>
      </c>
      <c r="D1620" s="16" t="str">
        <f>IFERROR(VLOOKUP(C1620,DATA!#REF!,2,FALSE),"")</f>
        <v/>
      </c>
    </row>
    <row r="1621" spans="2:4" s="230" customFormat="1">
      <c r="B1621" s="15" t="str">
        <f t="shared" si="52"/>
        <v/>
      </c>
      <c r="C1621" s="16" t="str">
        <f>IFERROR(VLOOKUP(DATA!#REF!,DATA!#REF!,1,FALSE),"")</f>
        <v/>
      </c>
      <c r="D1621" s="16" t="str">
        <f>IFERROR(VLOOKUP(C1621,DATA!#REF!,2,FALSE),"")</f>
        <v/>
      </c>
    </row>
    <row r="1622" spans="2:4" s="230" customFormat="1">
      <c r="B1622" s="15" t="str">
        <f t="shared" si="52"/>
        <v/>
      </c>
      <c r="C1622" s="16" t="str">
        <f>IFERROR(VLOOKUP(DATA!#REF!,DATA!#REF!,1,FALSE),"")</f>
        <v/>
      </c>
      <c r="D1622" s="16" t="str">
        <f>IFERROR(VLOOKUP(C1622,DATA!#REF!,2,FALSE),"")</f>
        <v/>
      </c>
    </row>
    <row r="1623" spans="2:4" s="230" customFormat="1">
      <c r="B1623" s="15" t="str">
        <f t="shared" si="52"/>
        <v/>
      </c>
      <c r="C1623" s="16" t="str">
        <f>IFERROR(VLOOKUP(DATA!#REF!,DATA!#REF!,1,FALSE),"")</f>
        <v/>
      </c>
      <c r="D1623" s="16" t="str">
        <f>IFERROR(VLOOKUP(C1623,DATA!#REF!,2,FALSE),"")</f>
        <v/>
      </c>
    </row>
    <row r="1624" spans="2:4" s="230" customFormat="1">
      <c r="B1624" s="15" t="str">
        <f t="shared" si="52"/>
        <v/>
      </c>
      <c r="C1624" s="16" t="str">
        <f>IFERROR(VLOOKUP(DATA!#REF!,DATA!#REF!,1,FALSE),"")</f>
        <v/>
      </c>
      <c r="D1624" s="16" t="str">
        <f>IFERROR(VLOOKUP(C1624,DATA!#REF!,2,FALSE),"")</f>
        <v/>
      </c>
    </row>
    <row r="1625" spans="2:4" s="230" customFormat="1">
      <c r="B1625" s="15" t="str">
        <f t="shared" si="52"/>
        <v/>
      </c>
      <c r="C1625" s="16" t="str">
        <f>IFERROR(VLOOKUP(DATA!#REF!,DATA!#REF!,1,FALSE),"")</f>
        <v/>
      </c>
      <c r="D1625" s="16" t="str">
        <f>IFERROR(VLOOKUP(C1625,DATA!#REF!,2,FALSE),"")</f>
        <v/>
      </c>
    </row>
    <row r="1626" spans="2:4" s="230" customFormat="1">
      <c r="B1626" s="15" t="str">
        <f t="shared" si="52"/>
        <v/>
      </c>
      <c r="C1626" s="16" t="str">
        <f>IFERROR(VLOOKUP(DATA!#REF!,DATA!#REF!,1,FALSE),"")</f>
        <v/>
      </c>
      <c r="D1626" s="16" t="str">
        <f>IFERROR(VLOOKUP(C1626,DATA!#REF!,2,FALSE),"")</f>
        <v/>
      </c>
    </row>
    <row r="1627" spans="2:4" s="230" customFormat="1">
      <c r="B1627" s="15" t="str">
        <f t="shared" si="52"/>
        <v/>
      </c>
      <c r="C1627" s="16" t="str">
        <f>IFERROR(VLOOKUP(DATA!#REF!,DATA!#REF!,1,FALSE),"")</f>
        <v/>
      </c>
      <c r="D1627" s="16" t="str">
        <f>IFERROR(VLOOKUP(C1627,DATA!#REF!,2,FALSE),"")</f>
        <v/>
      </c>
    </row>
    <row r="1628" spans="2:4" s="230" customFormat="1">
      <c r="B1628" s="15" t="str">
        <f t="shared" si="52"/>
        <v/>
      </c>
      <c r="C1628" s="16" t="str">
        <f>IFERROR(VLOOKUP(DATA!#REF!,DATA!#REF!,1,FALSE),"")</f>
        <v/>
      </c>
      <c r="D1628" s="16" t="str">
        <f>IFERROR(VLOOKUP(C1628,DATA!#REF!,2,FALSE),"")</f>
        <v/>
      </c>
    </row>
    <row r="1629" spans="2:4" s="230" customFormat="1">
      <c r="B1629" s="15" t="str">
        <f t="shared" si="52"/>
        <v/>
      </c>
      <c r="C1629" s="16" t="str">
        <f>IFERROR(VLOOKUP(DATA!#REF!,DATA!#REF!,1,FALSE),"")</f>
        <v/>
      </c>
      <c r="D1629" s="16" t="str">
        <f>IFERROR(VLOOKUP(C1629,DATA!#REF!,2,FALSE),"")</f>
        <v/>
      </c>
    </row>
    <row r="1630" spans="2:4" s="230" customFormat="1">
      <c r="B1630" s="15" t="str">
        <f t="shared" si="52"/>
        <v/>
      </c>
      <c r="C1630" s="16" t="str">
        <f>IFERROR(VLOOKUP(DATA!#REF!,DATA!#REF!,1,FALSE),"")</f>
        <v/>
      </c>
      <c r="D1630" s="16" t="str">
        <f>IFERROR(VLOOKUP(C1630,DATA!#REF!,2,FALSE),"")</f>
        <v/>
      </c>
    </row>
    <row r="1631" spans="2:4" s="230" customFormat="1">
      <c r="B1631" s="15" t="str">
        <f t="shared" si="52"/>
        <v/>
      </c>
      <c r="C1631" s="16" t="str">
        <f>IFERROR(VLOOKUP(DATA!#REF!,DATA!#REF!,1,FALSE),"")</f>
        <v/>
      </c>
      <c r="D1631" s="16" t="str">
        <f>IFERROR(VLOOKUP(C1631,DATA!#REF!,2,FALSE),"")</f>
        <v/>
      </c>
    </row>
    <row r="1632" spans="2:4" s="230" customFormat="1">
      <c r="B1632" s="15" t="str">
        <f t="shared" si="52"/>
        <v/>
      </c>
      <c r="C1632" s="16" t="str">
        <f>IFERROR(VLOOKUP(DATA!#REF!,DATA!#REF!,1,FALSE),"")</f>
        <v/>
      </c>
      <c r="D1632" s="16" t="str">
        <f>IFERROR(VLOOKUP(C1632,DATA!#REF!,2,FALSE),"")</f>
        <v/>
      </c>
    </row>
    <row r="1633" spans="2:4" s="230" customFormat="1">
      <c r="B1633" s="15" t="str">
        <f t="shared" si="52"/>
        <v/>
      </c>
      <c r="C1633" s="16" t="str">
        <f>IFERROR(VLOOKUP(DATA!#REF!,DATA!#REF!,1,FALSE),"")</f>
        <v/>
      </c>
      <c r="D1633" s="16" t="str">
        <f>IFERROR(VLOOKUP(C1633,DATA!#REF!,2,FALSE),"")</f>
        <v/>
      </c>
    </row>
    <row r="1634" spans="2:4" s="230" customFormat="1">
      <c r="B1634" s="15" t="str">
        <f t="shared" si="52"/>
        <v/>
      </c>
      <c r="C1634" s="16" t="str">
        <f>IFERROR(VLOOKUP(DATA!#REF!,DATA!#REF!,1,FALSE),"")</f>
        <v/>
      </c>
      <c r="D1634" s="16" t="str">
        <f>IFERROR(VLOOKUP(C1634,DATA!#REF!,2,FALSE),"")</f>
        <v/>
      </c>
    </row>
    <row r="1635" spans="2:4" s="230" customFormat="1">
      <c r="B1635" s="15" t="str">
        <f t="shared" si="52"/>
        <v/>
      </c>
      <c r="C1635" s="16" t="str">
        <f>IFERROR(VLOOKUP(DATA!#REF!,DATA!#REF!,1,FALSE),"")</f>
        <v/>
      </c>
      <c r="D1635" s="16" t="str">
        <f>IFERROR(VLOOKUP(C1635,DATA!#REF!,2,FALSE),"")</f>
        <v/>
      </c>
    </row>
    <row r="1636" spans="2:4" s="230" customFormat="1">
      <c r="B1636" s="15" t="str">
        <f t="shared" si="52"/>
        <v/>
      </c>
      <c r="C1636" s="16" t="str">
        <f>IFERROR(VLOOKUP(DATA!#REF!,DATA!#REF!,1,FALSE),"")</f>
        <v/>
      </c>
      <c r="D1636" s="16" t="str">
        <f>IFERROR(VLOOKUP(C1636,DATA!#REF!,2,FALSE),"")</f>
        <v/>
      </c>
    </row>
    <row r="1637" spans="2:4" s="230" customFormat="1">
      <c r="B1637" s="15" t="str">
        <f t="shared" si="52"/>
        <v/>
      </c>
      <c r="C1637" s="16" t="str">
        <f>IFERROR(VLOOKUP(DATA!#REF!,DATA!#REF!,1,FALSE),"")</f>
        <v/>
      </c>
      <c r="D1637" s="16" t="str">
        <f>IFERROR(VLOOKUP(C1637,DATA!#REF!,2,FALSE),"")</f>
        <v/>
      </c>
    </row>
    <row r="1638" spans="2:4" s="230" customFormat="1">
      <c r="B1638" s="15" t="str">
        <f t="shared" si="52"/>
        <v/>
      </c>
      <c r="C1638" s="16" t="str">
        <f>IFERROR(VLOOKUP(DATA!#REF!,DATA!#REF!,1,FALSE),"")</f>
        <v/>
      </c>
      <c r="D1638" s="16" t="str">
        <f>IFERROR(VLOOKUP(C1638,DATA!#REF!,2,FALSE),"")</f>
        <v/>
      </c>
    </row>
    <row r="1639" spans="2:4" s="230" customFormat="1">
      <c r="B1639" s="15" t="str">
        <f t="shared" si="52"/>
        <v/>
      </c>
      <c r="C1639" s="16" t="str">
        <f>IFERROR(VLOOKUP(DATA!#REF!,DATA!#REF!,1,FALSE),"")</f>
        <v/>
      </c>
      <c r="D1639" s="16" t="str">
        <f>IFERROR(VLOOKUP(C1639,DATA!#REF!,2,FALSE),"")</f>
        <v/>
      </c>
    </row>
    <row r="1640" spans="2:4" s="230" customFormat="1">
      <c r="B1640" s="15" t="str">
        <f t="shared" si="52"/>
        <v/>
      </c>
      <c r="C1640" s="16" t="str">
        <f>IFERROR(VLOOKUP(DATA!#REF!,DATA!#REF!,1,FALSE),"")</f>
        <v/>
      </c>
      <c r="D1640" s="16" t="str">
        <f>IFERROR(VLOOKUP(C1640,DATA!#REF!,2,FALSE),"")</f>
        <v/>
      </c>
    </row>
    <row r="1641" spans="2:4" s="230" customFormat="1">
      <c r="B1641" s="15" t="str">
        <f t="shared" si="52"/>
        <v/>
      </c>
      <c r="C1641" s="16" t="str">
        <f>IFERROR(VLOOKUP(DATA!#REF!,DATA!#REF!,1,FALSE),"")</f>
        <v/>
      </c>
      <c r="D1641" s="16" t="str">
        <f>IFERROR(VLOOKUP(C1641,DATA!#REF!,2,FALSE),"")</f>
        <v/>
      </c>
    </row>
    <row r="1642" spans="2:4" s="230" customFormat="1">
      <c r="B1642" s="15" t="str">
        <f t="shared" si="52"/>
        <v/>
      </c>
      <c r="C1642" s="16" t="str">
        <f>IFERROR(VLOOKUP(DATA!#REF!,DATA!#REF!,1,FALSE),"")</f>
        <v/>
      </c>
      <c r="D1642" s="16" t="str">
        <f>IFERROR(VLOOKUP(C1642,DATA!#REF!,2,FALSE),"")</f>
        <v/>
      </c>
    </row>
    <row r="1643" spans="2:4" s="230" customFormat="1">
      <c r="B1643" s="15" t="str">
        <f t="shared" si="52"/>
        <v/>
      </c>
      <c r="C1643" s="16" t="str">
        <f>IFERROR(VLOOKUP(DATA!#REF!,DATA!#REF!,1,FALSE),"")</f>
        <v/>
      </c>
      <c r="D1643" s="16" t="str">
        <f>IFERROR(VLOOKUP(C1643,DATA!#REF!,2,FALSE),"")</f>
        <v/>
      </c>
    </row>
    <row r="1644" spans="2:4" s="230" customFormat="1">
      <c r="B1644" s="15" t="str">
        <f t="shared" si="52"/>
        <v/>
      </c>
      <c r="C1644" s="16" t="str">
        <f>IFERROR(VLOOKUP(DATA!#REF!,DATA!#REF!,1,FALSE),"")</f>
        <v/>
      </c>
      <c r="D1644" s="16" t="str">
        <f>IFERROR(VLOOKUP(C1644,DATA!#REF!,2,FALSE),"")</f>
        <v/>
      </c>
    </row>
    <row r="1645" spans="2:4" s="230" customFormat="1">
      <c r="B1645" s="15" t="str">
        <f t="shared" si="52"/>
        <v/>
      </c>
      <c r="C1645" s="16" t="str">
        <f>IFERROR(VLOOKUP(DATA!#REF!,DATA!#REF!,1,FALSE),"")</f>
        <v/>
      </c>
      <c r="D1645" s="16" t="str">
        <f>IFERROR(VLOOKUP(C1645,DATA!#REF!,2,FALSE),"")</f>
        <v/>
      </c>
    </row>
    <row r="1646" spans="2:4" s="230" customFormat="1">
      <c r="B1646" s="15" t="str">
        <f t="shared" si="52"/>
        <v/>
      </c>
      <c r="C1646" s="16" t="str">
        <f>IFERROR(VLOOKUP(DATA!#REF!,DATA!#REF!,1,FALSE),"")</f>
        <v/>
      </c>
      <c r="D1646" s="16" t="str">
        <f>IFERROR(VLOOKUP(C1646,DATA!#REF!,2,FALSE),"")</f>
        <v/>
      </c>
    </row>
    <row r="1647" spans="2:4" s="230" customFormat="1">
      <c r="B1647" s="15" t="str">
        <f t="shared" si="52"/>
        <v/>
      </c>
      <c r="C1647" s="16" t="str">
        <f>IFERROR(VLOOKUP(DATA!#REF!,DATA!#REF!,1,FALSE),"")</f>
        <v/>
      </c>
      <c r="D1647" s="16" t="str">
        <f>IFERROR(VLOOKUP(C1647,DATA!#REF!,2,FALSE),"")</f>
        <v/>
      </c>
    </row>
    <row r="1648" spans="2:4" s="230" customFormat="1">
      <c r="B1648" s="15" t="str">
        <f t="shared" si="52"/>
        <v/>
      </c>
      <c r="C1648" s="16" t="str">
        <f>IFERROR(VLOOKUP(DATA!#REF!,DATA!#REF!,1,FALSE),"")</f>
        <v/>
      </c>
      <c r="D1648" s="16" t="str">
        <f>IFERROR(VLOOKUP(C1648,DATA!#REF!,2,FALSE),"")</f>
        <v/>
      </c>
    </row>
    <row r="1649" spans="2:4" s="230" customFormat="1">
      <c r="B1649" s="15" t="str">
        <f t="shared" si="52"/>
        <v/>
      </c>
      <c r="C1649" s="16" t="str">
        <f>IFERROR(VLOOKUP(DATA!#REF!,DATA!#REF!,1,FALSE),"")</f>
        <v/>
      </c>
      <c r="D1649" s="16" t="str">
        <f>IFERROR(VLOOKUP(C1649,DATA!#REF!,2,FALSE),"")</f>
        <v/>
      </c>
    </row>
    <row r="1650" spans="2:4" s="230" customFormat="1">
      <c r="B1650" s="15" t="str">
        <f t="shared" si="52"/>
        <v/>
      </c>
      <c r="C1650" s="16" t="str">
        <f>IFERROR(VLOOKUP(DATA!#REF!,DATA!#REF!,1,FALSE),"")</f>
        <v/>
      </c>
      <c r="D1650" s="16" t="str">
        <f>IFERROR(VLOOKUP(C1650,DATA!#REF!,2,FALSE),"")</f>
        <v/>
      </c>
    </row>
    <row r="1651" spans="2:4" s="230" customFormat="1">
      <c r="B1651" s="15" t="str">
        <f t="shared" si="52"/>
        <v/>
      </c>
      <c r="C1651" s="16" t="str">
        <f>IFERROR(VLOOKUP(DATA!#REF!,DATA!#REF!,1,FALSE),"")</f>
        <v/>
      </c>
      <c r="D1651" s="16" t="str">
        <f>IFERROR(VLOOKUP(C1651,DATA!#REF!,2,FALSE),"")</f>
        <v/>
      </c>
    </row>
    <row r="1652" spans="2:4" s="230" customFormat="1">
      <c r="B1652" s="15" t="str">
        <f t="shared" si="52"/>
        <v/>
      </c>
      <c r="C1652" s="16" t="str">
        <f>IFERROR(VLOOKUP(DATA!#REF!,DATA!#REF!,1,FALSE),"")</f>
        <v/>
      </c>
      <c r="D1652" s="16" t="str">
        <f>IFERROR(VLOOKUP(C1652,DATA!#REF!,2,FALSE),"")</f>
        <v/>
      </c>
    </row>
    <row r="1653" spans="2:4" s="230" customFormat="1">
      <c r="B1653" s="15" t="str">
        <f t="shared" si="52"/>
        <v/>
      </c>
      <c r="C1653" s="16" t="str">
        <f>IFERROR(VLOOKUP(DATA!#REF!,DATA!#REF!,1,FALSE),"")</f>
        <v/>
      </c>
      <c r="D1653" s="16" t="str">
        <f>IFERROR(VLOOKUP(C1653,DATA!#REF!,2,FALSE),"")</f>
        <v/>
      </c>
    </row>
    <row r="1654" spans="2:4" s="230" customFormat="1">
      <c r="B1654" s="15" t="str">
        <f t="shared" si="52"/>
        <v/>
      </c>
      <c r="C1654" s="16" t="str">
        <f>IFERROR(VLOOKUP(DATA!#REF!,DATA!#REF!,1,FALSE),"")</f>
        <v/>
      </c>
      <c r="D1654" s="16" t="str">
        <f>IFERROR(VLOOKUP(C1654,DATA!#REF!,2,FALSE),"")</f>
        <v/>
      </c>
    </row>
    <row r="1655" spans="2:4" s="230" customFormat="1">
      <c r="B1655" s="15" t="str">
        <f t="shared" si="52"/>
        <v/>
      </c>
      <c r="C1655" s="16" t="str">
        <f>IFERROR(VLOOKUP(DATA!#REF!,DATA!#REF!,1,FALSE),"")</f>
        <v/>
      </c>
      <c r="D1655" s="16" t="str">
        <f>IFERROR(VLOOKUP(C1655,DATA!#REF!,2,FALSE),"")</f>
        <v/>
      </c>
    </row>
    <row r="1656" spans="2:4" s="230" customFormat="1">
      <c r="B1656" s="15" t="str">
        <f t="shared" si="52"/>
        <v/>
      </c>
      <c r="C1656" s="16" t="str">
        <f>IFERROR(VLOOKUP(DATA!#REF!,DATA!#REF!,1,FALSE),"")</f>
        <v/>
      </c>
      <c r="D1656" s="16" t="str">
        <f>IFERROR(VLOOKUP(C1656,DATA!#REF!,2,FALSE),"")</f>
        <v/>
      </c>
    </row>
    <row r="1657" spans="2:4" s="230" customFormat="1">
      <c r="B1657" s="15" t="str">
        <f t="shared" si="52"/>
        <v/>
      </c>
      <c r="C1657" s="16" t="str">
        <f>IFERROR(VLOOKUP(DATA!#REF!,DATA!#REF!,1,FALSE),"")</f>
        <v/>
      </c>
      <c r="D1657" s="16" t="str">
        <f>IFERROR(VLOOKUP(C1657,DATA!#REF!,2,FALSE),"")</f>
        <v/>
      </c>
    </row>
    <row r="1658" spans="2:4" s="230" customFormat="1">
      <c r="B1658" s="15" t="str">
        <f t="shared" si="52"/>
        <v/>
      </c>
      <c r="C1658" s="16" t="str">
        <f>IFERROR(VLOOKUP(DATA!#REF!,DATA!#REF!,1,FALSE),"")</f>
        <v/>
      </c>
      <c r="D1658" s="16" t="str">
        <f>IFERROR(VLOOKUP(C1658,DATA!#REF!,2,FALSE),"")</f>
        <v/>
      </c>
    </row>
    <row r="1659" spans="2:4" s="230" customFormat="1">
      <c r="B1659" s="15" t="str">
        <f t="shared" si="52"/>
        <v/>
      </c>
      <c r="C1659" s="16" t="str">
        <f>IFERROR(VLOOKUP(DATA!#REF!,DATA!#REF!,1,FALSE),"")</f>
        <v/>
      </c>
      <c r="D1659" s="16" t="str">
        <f>IFERROR(VLOOKUP(C1659,DATA!#REF!,2,FALSE),"")</f>
        <v/>
      </c>
    </row>
    <row r="1660" spans="2:4" s="230" customFormat="1">
      <c r="B1660" s="15" t="str">
        <f t="shared" si="52"/>
        <v/>
      </c>
      <c r="C1660" s="16" t="str">
        <f>IFERROR(VLOOKUP(DATA!#REF!,DATA!#REF!,1,FALSE),"")</f>
        <v/>
      </c>
      <c r="D1660" s="16" t="str">
        <f>IFERROR(VLOOKUP(C1660,DATA!#REF!,2,FALSE),"")</f>
        <v/>
      </c>
    </row>
    <row r="1661" spans="2:4" s="230" customFormat="1">
      <c r="B1661" s="15" t="str">
        <f t="shared" si="52"/>
        <v/>
      </c>
      <c r="C1661" s="16" t="str">
        <f>IFERROR(VLOOKUP(DATA!#REF!,DATA!#REF!,1,FALSE),"")</f>
        <v/>
      </c>
      <c r="D1661" s="16" t="str">
        <f>IFERROR(VLOOKUP(C1661,DATA!#REF!,2,FALSE),"")</f>
        <v/>
      </c>
    </row>
    <row r="1662" spans="2:4" s="230" customFormat="1">
      <c r="B1662" s="15" t="str">
        <f t="shared" si="52"/>
        <v/>
      </c>
      <c r="C1662" s="16" t="str">
        <f>IFERROR(VLOOKUP(DATA!#REF!,DATA!#REF!,1,FALSE),"")</f>
        <v/>
      </c>
      <c r="D1662" s="16" t="str">
        <f>IFERROR(VLOOKUP(C1662,DATA!#REF!,2,FALSE),"")</f>
        <v/>
      </c>
    </row>
    <row r="1663" spans="2:4" s="230" customFormat="1">
      <c r="B1663" s="15" t="str">
        <f t="shared" si="52"/>
        <v/>
      </c>
      <c r="C1663" s="16" t="str">
        <f>IFERROR(VLOOKUP(DATA!#REF!,DATA!#REF!,1,FALSE),"")</f>
        <v/>
      </c>
      <c r="D1663" s="16" t="str">
        <f>IFERROR(VLOOKUP(C1663,DATA!#REF!,2,FALSE),"")</f>
        <v/>
      </c>
    </row>
    <row r="1664" spans="2:4" s="230" customFormat="1">
      <c r="B1664" s="15" t="str">
        <f t="shared" si="52"/>
        <v/>
      </c>
      <c r="C1664" s="16" t="str">
        <f>IFERROR(VLOOKUP(DATA!#REF!,DATA!#REF!,1,FALSE),"")</f>
        <v/>
      </c>
      <c r="D1664" s="16" t="str">
        <f>IFERROR(VLOOKUP(C1664,DATA!#REF!,2,FALSE),"")</f>
        <v/>
      </c>
    </row>
    <row r="1665" spans="2:4" s="230" customFormat="1">
      <c r="B1665" s="15" t="str">
        <f t="shared" si="52"/>
        <v/>
      </c>
      <c r="C1665" s="16" t="str">
        <f>IFERROR(VLOOKUP(DATA!#REF!,DATA!#REF!,1,FALSE),"")</f>
        <v/>
      </c>
      <c r="D1665" s="16" t="str">
        <f>IFERROR(VLOOKUP(C1665,DATA!#REF!,2,FALSE),"")</f>
        <v/>
      </c>
    </row>
    <row r="1666" spans="2:4" s="230" customFormat="1">
      <c r="B1666" s="15" t="str">
        <f t="shared" si="52"/>
        <v/>
      </c>
      <c r="C1666" s="16" t="str">
        <f>IFERROR(VLOOKUP(DATA!#REF!,DATA!#REF!,1,FALSE),"")</f>
        <v/>
      </c>
      <c r="D1666" s="16" t="str">
        <f>IFERROR(VLOOKUP(C1666,DATA!#REF!,2,FALSE),"")</f>
        <v/>
      </c>
    </row>
    <row r="1667" spans="2:4" s="230" customFormat="1">
      <c r="B1667" s="15" t="str">
        <f t="shared" si="52"/>
        <v/>
      </c>
      <c r="C1667" s="16" t="str">
        <f>IFERROR(VLOOKUP(DATA!#REF!,DATA!#REF!,1,FALSE),"")</f>
        <v/>
      </c>
      <c r="D1667" s="16" t="str">
        <f>IFERROR(VLOOKUP(C1667,DATA!#REF!,2,FALSE),"")</f>
        <v/>
      </c>
    </row>
    <row r="1668" spans="2:4" s="230" customFormat="1">
      <c r="B1668" s="15" t="str">
        <f t="shared" si="52"/>
        <v/>
      </c>
      <c r="C1668" s="16" t="str">
        <f>IFERROR(VLOOKUP(DATA!#REF!,DATA!#REF!,1,FALSE),"")</f>
        <v/>
      </c>
      <c r="D1668" s="16" t="str">
        <f>IFERROR(VLOOKUP(C1668,DATA!#REF!,2,FALSE),"")</f>
        <v/>
      </c>
    </row>
    <row r="1669" spans="2:4" s="230" customFormat="1">
      <c r="B1669" s="15" t="str">
        <f t="shared" si="52"/>
        <v/>
      </c>
      <c r="C1669" s="16" t="str">
        <f>IFERROR(VLOOKUP(DATA!#REF!,DATA!#REF!,1,FALSE),"")</f>
        <v/>
      </c>
      <c r="D1669" s="16" t="str">
        <f>IFERROR(VLOOKUP(C1669,DATA!#REF!,2,FALSE),"")</f>
        <v/>
      </c>
    </row>
    <row r="1670" spans="2:4" s="230" customFormat="1">
      <c r="B1670" s="15" t="str">
        <f t="shared" ref="B1670:B1733" si="53">+IF(C1670="","",ROW()-5)</f>
        <v/>
      </c>
      <c r="C1670" s="16" t="str">
        <f>IFERROR(VLOOKUP(DATA!#REF!,DATA!#REF!,1,FALSE),"")</f>
        <v/>
      </c>
      <c r="D1670" s="16" t="str">
        <f>IFERROR(VLOOKUP(C1670,DATA!#REF!,2,FALSE),"")</f>
        <v/>
      </c>
    </row>
    <row r="1671" spans="2:4" s="230" customFormat="1">
      <c r="B1671" s="15" t="str">
        <f t="shared" si="53"/>
        <v/>
      </c>
      <c r="C1671" s="16" t="str">
        <f>IFERROR(VLOOKUP(DATA!#REF!,DATA!#REF!,1,FALSE),"")</f>
        <v/>
      </c>
      <c r="D1671" s="16" t="str">
        <f>IFERROR(VLOOKUP(C1671,DATA!#REF!,2,FALSE),"")</f>
        <v/>
      </c>
    </row>
    <row r="1672" spans="2:4" s="230" customFormat="1">
      <c r="B1672" s="15" t="str">
        <f t="shared" si="53"/>
        <v/>
      </c>
      <c r="C1672" s="16" t="str">
        <f>IFERROR(VLOOKUP(DATA!#REF!,DATA!#REF!,1,FALSE),"")</f>
        <v/>
      </c>
      <c r="D1672" s="16" t="str">
        <f>IFERROR(VLOOKUP(C1672,DATA!#REF!,2,FALSE),"")</f>
        <v/>
      </c>
    </row>
    <row r="1673" spans="2:4" s="230" customFormat="1">
      <c r="B1673" s="15" t="str">
        <f t="shared" si="53"/>
        <v/>
      </c>
      <c r="C1673" s="16" t="str">
        <f>IFERROR(VLOOKUP(DATA!#REF!,DATA!#REF!,1,FALSE),"")</f>
        <v/>
      </c>
      <c r="D1673" s="16" t="str">
        <f>IFERROR(VLOOKUP(C1673,DATA!#REF!,2,FALSE),"")</f>
        <v/>
      </c>
    </row>
    <row r="1674" spans="2:4" s="230" customFormat="1">
      <c r="B1674" s="15" t="str">
        <f t="shared" si="53"/>
        <v/>
      </c>
      <c r="C1674" s="16" t="str">
        <f>IFERROR(VLOOKUP(DATA!#REF!,DATA!#REF!,1,FALSE),"")</f>
        <v/>
      </c>
      <c r="D1674" s="16" t="str">
        <f>IFERROR(VLOOKUP(C1674,DATA!#REF!,2,FALSE),"")</f>
        <v/>
      </c>
    </row>
    <row r="1675" spans="2:4" s="230" customFormat="1">
      <c r="B1675" s="15" t="str">
        <f t="shared" si="53"/>
        <v/>
      </c>
      <c r="C1675" s="16" t="str">
        <f>IFERROR(VLOOKUP(DATA!#REF!,DATA!#REF!,1,FALSE),"")</f>
        <v/>
      </c>
      <c r="D1675" s="16" t="str">
        <f>IFERROR(VLOOKUP(C1675,DATA!#REF!,2,FALSE),"")</f>
        <v/>
      </c>
    </row>
    <row r="1676" spans="2:4" s="230" customFormat="1">
      <c r="B1676" s="15" t="str">
        <f t="shared" si="53"/>
        <v/>
      </c>
      <c r="C1676" s="16" t="str">
        <f>IFERROR(VLOOKUP(DATA!#REF!,DATA!#REF!,1,FALSE),"")</f>
        <v/>
      </c>
      <c r="D1676" s="16" t="str">
        <f>IFERROR(VLOOKUP(C1676,DATA!#REF!,2,FALSE),"")</f>
        <v/>
      </c>
    </row>
    <row r="1677" spans="2:4" s="230" customFormat="1">
      <c r="B1677" s="15" t="str">
        <f t="shared" si="53"/>
        <v/>
      </c>
      <c r="C1677" s="16" t="str">
        <f>IFERROR(VLOOKUP(DATA!#REF!,DATA!#REF!,1,FALSE),"")</f>
        <v/>
      </c>
      <c r="D1677" s="16" t="str">
        <f>IFERROR(VLOOKUP(C1677,DATA!#REF!,2,FALSE),"")</f>
        <v/>
      </c>
    </row>
    <row r="1678" spans="2:4" s="230" customFormat="1">
      <c r="B1678" s="15" t="str">
        <f t="shared" si="53"/>
        <v/>
      </c>
      <c r="C1678" s="16" t="str">
        <f>IFERROR(VLOOKUP(DATA!#REF!,DATA!#REF!,1,FALSE),"")</f>
        <v/>
      </c>
      <c r="D1678" s="16" t="str">
        <f>IFERROR(VLOOKUP(C1678,DATA!#REF!,2,FALSE),"")</f>
        <v/>
      </c>
    </row>
    <row r="1679" spans="2:4" s="230" customFormat="1">
      <c r="B1679" s="15" t="str">
        <f t="shared" si="53"/>
        <v/>
      </c>
      <c r="C1679" s="16" t="str">
        <f>IFERROR(VLOOKUP(DATA!#REF!,DATA!#REF!,1,FALSE),"")</f>
        <v/>
      </c>
      <c r="D1679" s="16" t="str">
        <f>IFERROR(VLOOKUP(C1679,DATA!#REF!,2,FALSE),"")</f>
        <v/>
      </c>
    </row>
    <row r="1680" spans="2:4" s="230" customFormat="1">
      <c r="B1680" s="15" t="str">
        <f t="shared" si="53"/>
        <v/>
      </c>
      <c r="C1680" s="16" t="str">
        <f>IFERROR(VLOOKUP(DATA!#REF!,DATA!#REF!,1,FALSE),"")</f>
        <v/>
      </c>
      <c r="D1680" s="16" t="str">
        <f>IFERROR(VLOOKUP(C1680,DATA!#REF!,2,FALSE),"")</f>
        <v/>
      </c>
    </row>
    <row r="1681" spans="2:4" s="230" customFormat="1">
      <c r="B1681" s="15" t="str">
        <f t="shared" si="53"/>
        <v/>
      </c>
      <c r="C1681" s="16" t="str">
        <f>IFERROR(VLOOKUP(DATA!#REF!,DATA!#REF!,1,FALSE),"")</f>
        <v/>
      </c>
      <c r="D1681" s="16" t="str">
        <f>IFERROR(VLOOKUP(C1681,DATA!#REF!,2,FALSE),"")</f>
        <v/>
      </c>
    </row>
    <row r="1682" spans="2:4" s="230" customFormat="1">
      <c r="B1682" s="15" t="str">
        <f t="shared" si="53"/>
        <v/>
      </c>
      <c r="C1682" s="16" t="str">
        <f>IFERROR(VLOOKUP(DATA!#REF!,DATA!#REF!,1,FALSE),"")</f>
        <v/>
      </c>
      <c r="D1682" s="16" t="str">
        <f>IFERROR(VLOOKUP(C1682,DATA!#REF!,2,FALSE),"")</f>
        <v/>
      </c>
    </row>
    <row r="1683" spans="2:4" s="230" customFormat="1">
      <c r="B1683" s="15" t="str">
        <f t="shared" si="53"/>
        <v/>
      </c>
      <c r="C1683" s="16" t="str">
        <f>IFERROR(VLOOKUP(DATA!#REF!,DATA!#REF!,1,FALSE),"")</f>
        <v/>
      </c>
      <c r="D1683" s="16" t="str">
        <f>IFERROR(VLOOKUP(C1683,DATA!#REF!,2,FALSE),"")</f>
        <v/>
      </c>
    </row>
    <row r="1684" spans="2:4" s="230" customFormat="1">
      <c r="B1684" s="15" t="str">
        <f t="shared" si="53"/>
        <v/>
      </c>
      <c r="C1684" s="16" t="str">
        <f>IFERROR(VLOOKUP(DATA!#REF!,DATA!#REF!,1,FALSE),"")</f>
        <v/>
      </c>
      <c r="D1684" s="16" t="str">
        <f>IFERROR(VLOOKUP(C1684,DATA!#REF!,2,FALSE),"")</f>
        <v/>
      </c>
    </row>
    <row r="1685" spans="2:4" s="230" customFormat="1">
      <c r="B1685" s="15" t="str">
        <f t="shared" si="53"/>
        <v/>
      </c>
      <c r="C1685" s="16" t="str">
        <f>IFERROR(VLOOKUP(DATA!#REF!,DATA!#REF!,1,FALSE),"")</f>
        <v/>
      </c>
      <c r="D1685" s="16" t="str">
        <f>IFERROR(VLOOKUP(C1685,DATA!#REF!,2,FALSE),"")</f>
        <v/>
      </c>
    </row>
    <row r="1686" spans="2:4" s="230" customFormat="1">
      <c r="B1686" s="15" t="str">
        <f t="shared" si="53"/>
        <v/>
      </c>
      <c r="C1686" s="16" t="str">
        <f>IFERROR(VLOOKUP(DATA!#REF!,DATA!#REF!,1,FALSE),"")</f>
        <v/>
      </c>
      <c r="D1686" s="16" t="str">
        <f>IFERROR(VLOOKUP(C1686,DATA!#REF!,2,FALSE),"")</f>
        <v/>
      </c>
    </row>
    <row r="1687" spans="2:4" s="230" customFormat="1">
      <c r="B1687" s="15" t="str">
        <f t="shared" si="53"/>
        <v/>
      </c>
      <c r="C1687" s="16" t="str">
        <f>IFERROR(VLOOKUP(DATA!#REF!,DATA!#REF!,1,FALSE),"")</f>
        <v/>
      </c>
      <c r="D1687" s="16" t="str">
        <f>IFERROR(VLOOKUP(C1687,DATA!#REF!,2,FALSE),"")</f>
        <v/>
      </c>
    </row>
    <row r="1688" spans="2:4" s="230" customFormat="1">
      <c r="B1688" s="15" t="str">
        <f t="shared" si="53"/>
        <v/>
      </c>
      <c r="C1688" s="16" t="str">
        <f>IFERROR(VLOOKUP(DATA!#REF!,DATA!#REF!,1,FALSE),"")</f>
        <v/>
      </c>
      <c r="D1688" s="16" t="str">
        <f>IFERROR(VLOOKUP(C1688,DATA!#REF!,2,FALSE),"")</f>
        <v/>
      </c>
    </row>
    <row r="1689" spans="2:4" s="230" customFormat="1">
      <c r="B1689" s="15" t="str">
        <f t="shared" si="53"/>
        <v/>
      </c>
      <c r="C1689" s="16" t="str">
        <f>IFERROR(VLOOKUP(DATA!#REF!,DATA!#REF!,1,FALSE),"")</f>
        <v/>
      </c>
      <c r="D1689" s="16" t="str">
        <f>IFERROR(VLOOKUP(C1689,DATA!#REF!,2,FALSE),"")</f>
        <v/>
      </c>
    </row>
    <row r="1690" spans="2:4" s="230" customFormat="1">
      <c r="B1690" s="15" t="str">
        <f t="shared" si="53"/>
        <v/>
      </c>
      <c r="C1690" s="16" t="str">
        <f>IFERROR(VLOOKUP(DATA!#REF!,DATA!#REF!,1,FALSE),"")</f>
        <v/>
      </c>
      <c r="D1690" s="16" t="str">
        <f>IFERROR(VLOOKUP(C1690,DATA!#REF!,2,FALSE),"")</f>
        <v/>
      </c>
    </row>
    <row r="1691" spans="2:4" s="230" customFormat="1">
      <c r="B1691" s="15" t="str">
        <f t="shared" si="53"/>
        <v/>
      </c>
      <c r="C1691" s="16" t="str">
        <f>IFERROR(VLOOKUP(DATA!#REF!,DATA!#REF!,1,FALSE),"")</f>
        <v/>
      </c>
      <c r="D1691" s="16" t="str">
        <f>IFERROR(VLOOKUP(C1691,DATA!#REF!,2,FALSE),"")</f>
        <v/>
      </c>
    </row>
    <row r="1692" spans="2:4" s="230" customFormat="1">
      <c r="B1692" s="15" t="str">
        <f t="shared" si="53"/>
        <v/>
      </c>
      <c r="C1692" s="16" t="str">
        <f>IFERROR(VLOOKUP(DATA!#REF!,DATA!#REF!,1,FALSE),"")</f>
        <v/>
      </c>
      <c r="D1692" s="16" t="str">
        <f>IFERROR(VLOOKUP(C1692,DATA!#REF!,2,FALSE),"")</f>
        <v/>
      </c>
    </row>
    <row r="1693" spans="2:4" s="230" customFormat="1">
      <c r="B1693" s="15" t="str">
        <f t="shared" si="53"/>
        <v/>
      </c>
      <c r="C1693" s="16" t="str">
        <f>IFERROR(VLOOKUP(DATA!#REF!,DATA!#REF!,1,FALSE),"")</f>
        <v/>
      </c>
      <c r="D1693" s="16" t="str">
        <f>IFERROR(VLOOKUP(C1693,DATA!#REF!,2,FALSE),"")</f>
        <v/>
      </c>
    </row>
    <row r="1694" spans="2:4" s="230" customFormat="1">
      <c r="B1694" s="15" t="str">
        <f t="shared" si="53"/>
        <v/>
      </c>
      <c r="C1694" s="16" t="str">
        <f>IFERROR(VLOOKUP(DATA!#REF!,DATA!#REF!,1,FALSE),"")</f>
        <v/>
      </c>
      <c r="D1694" s="16" t="str">
        <f>IFERROR(VLOOKUP(C1694,DATA!#REF!,2,FALSE),"")</f>
        <v/>
      </c>
    </row>
    <row r="1695" spans="2:4" s="230" customFormat="1">
      <c r="B1695" s="15" t="str">
        <f t="shared" si="53"/>
        <v/>
      </c>
      <c r="C1695" s="16" t="str">
        <f>IFERROR(VLOOKUP(DATA!#REF!,DATA!#REF!,1,FALSE),"")</f>
        <v/>
      </c>
      <c r="D1695" s="16" t="str">
        <f>IFERROR(VLOOKUP(C1695,DATA!#REF!,2,FALSE),"")</f>
        <v/>
      </c>
    </row>
    <row r="1696" spans="2:4" s="230" customFormat="1">
      <c r="B1696" s="15" t="str">
        <f t="shared" si="53"/>
        <v/>
      </c>
      <c r="C1696" s="16" t="str">
        <f>IFERROR(VLOOKUP(DATA!#REF!,DATA!#REF!,1,FALSE),"")</f>
        <v/>
      </c>
      <c r="D1696" s="16" t="str">
        <f>IFERROR(VLOOKUP(C1696,DATA!#REF!,2,FALSE),"")</f>
        <v/>
      </c>
    </row>
    <row r="1697" spans="2:4" s="230" customFormat="1">
      <c r="B1697" s="15" t="str">
        <f t="shared" si="53"/>
        <v/>
      </c>
      <c r="C1697" s="16" t="str">
        <f>IFERROR(VLOOKUP(DATA!#REF!,DATA!#REF!,1,FALSE),"")</f>
        <v/>
      </c>
      <c r="D1697" s="16" t="str">
        <f>IFERROR(VLOOKUP(C1697,DATA!#REF!,2,FALSE),"")</f>
        <v/>
      </c>
    </row>
    <row r="1698" spans="2:4" s="230" customFormat="1">
      <c r="B1698" s="15" t="str">
        <f t="shared" si="53"/>
        <v/>
      </c>
      <c r="C1698" s="16" t="str">
        <f>IFERROR(VLOOKUP(DATA!#REF!,DATA!#REF!,1,FALSE),"")</f>
        <v/>
      </c>
      <c r="D1698" s="16" t="str">
        <f>IFERROR(VLOOKUP(C1698,DATA!#REF!,2,FALSE),"")</f>
        <v/>
      </c>
    </row>
    <row r="1699" spans="2:4" s="230" customFormat="1">
      <c r="B1699" s="15" t="str">
        <f t="shared" si="53"/>
        <v/>
      </c>
      <c r="C1699" s="16" t="str">
        <f>IFERROR(VLOOKUP(DATA!#REF!,DATA!#REF!,1,FALSE),"")</f>
        <v/>
      </c>
      <c r="D1699" s="16" t="str">
        <f>IFERROR(VLOOKUP(C1699,DATA!#REF!,2,FALSE),"")</f>
        <v/>
      </c>
    </row>
    <row r="1700" spans="2:4" s="230" customFormat="1">
      <c r="B1700" s="15" t="str">
        <f t="shared" si="53"/>
        <v/>
      </c>
      <c r="C1700" s="16" t="str">
        <f>IFERROR(VLOOKUP(DATA!#REF!,DATA!#REF!,1,FALSE),"")</f>
        <v/>
      </c>
      <c r="D1700" s="16" t="str">
        <f>IFERROR(VLOOKUP(C1700,DATA!#REF!,2,FALSE),"")</f>
        <v/>
      </c>
    </row>
    <row r="1701" spans="2:4" s="230" customFormat="1">
      <c r="B1701" s="15" t="str">
        <f t="shared" si="53"/>
        <v/>
      </c>
      <c r="C1701" s="16" t="str">
        <f>IFERROR(VLOOKUP(DATA!#REF!,DATA!#REF!,1,FALSE),"")</f>
        <v/>
      </c>
      <c r="D1701" s="16" t="str">
        <f>IFERROR(VLOOKUP(C1701,DATA!#REF!,2,FALSE),"")</f>
        <v/>
      </c>
    </row>
    <row r="1702" spans="2:4" s="230" customFormat="1">
      <c r="B1702" s="15" t="str">
        <f t="shared" si="53"/>
        <v/>
      </c>
      <c r="C1702" s="16" t="str">
        <f>IFERROR(VLOOKUP(DATA!#REF!,DATA!#REF!,1,FALSE),"")</f>
        <v/>
      </c>
      <c r="D1702" s="16" t="str">
        <f>IFERROR(VLOOKUP(C1702,DATA!#REF!,2,FALSE),"")</f>
        <v/>
      </c>
    </row>
    <row r="1703" spans="2:4" s="230" customFormat="1">
      <c r="B1703" s="15" t="str">
        <f t="shared" si="53"/>
        <v/>
      </c>
      <c r="C1703" s="16" t="str">
        <f>IFERROR(VLOOKUP(DATA!#REF!,DATA!#REF!,1,FALSE),"")</f>
        <v/>
      </c>
      <c r="D1703" s="16" t="str">
        <f>IFERROR(VLOOKUP(C1703,DATA!#REF!,2,FALSE),"")</f>
        <v/>
      </c>
    </row>
    <row r="1704" spans="2:4" s="230" customFormat="1">
      <c r="B1704" s="15" t="str">
        <f t="shared" si="53"/>
        <v/>
      </c>
      <c r="C1704" s="16" t="str">
        <f>IFERROR(VLOOKUP(DATA!#REF!,DATA!#REF!,1,FALSE),"")</f>
        <v/>
      </c>
      <c r="D1704" s="16" t="str">
        <f>IFERROR(VLOOKUP(C1704,DATA!#REF!,2,FALSE),"")</f>
        <v/>
      </c>
    </row>
    <row r="1705" spans="2:4" s="230" customFormat="1">
      <c r="B1705" s="15" t="str">
        <f t="shared" si="53"/>
        <v/>
      </c>
      <c r="C1705" s="16" t="str">
        <f>IFERROR(VLOOKUP(DATA!#REF!,DATA!#REF!,1,FALSE),"")</f>
        <v/>
      </c>
      <c r="D1705" s="16" t="str">
        <f>IFERROR(VLOOKUP(C1705,DATA!#REF!,2,FALSE),"")</f>
        <v/>
      </c>
    </row>
    <row r="1706" spans="2:4" s="230" customFormat="1">
      <c r="B1706" s="15" t="str">
        <f t="shared" si="53"/>
        <v/>
      </c>
      <c r="C1706" s="16" t="str">
        <f>IFERROR(VLOOKUP(DATA!#REF!,DATA!#REF!,1,FALSE),"")</f>
        <v/>
      </c>
      <c r="D1706" s="16" t="str">
        <f>IFERROR(VLOOKUP(C1706,DATA!#REF!,2,FALSE),"")</f>
        <v/>
      </c>
    </row>
    <row r="1707" spans="2:4" s="230" customFormat="1">
      <c r="B1707" s="15" t="str">
        <f t="shared" si="53"/>
        <v/>
      </c>
      <c r="C1707" s="16" t="str">
        <f>IFERROR(VLOOKUP(DATA!#REF!,DATA!#REF!,1,FALSE),"")</f>
        <v/>
      </c>
      <c r="D1707" s="16" t="str">
        <f>IFERROR(VLOOKUP(C1707,DATA!#REF!,2,FALSE),"")</f>
        <v/>
      </c>
    </row>
    <row r="1708" spans="2:4" s="230" customFormat="1">
      <c r="B1708" s="15" t="str">
        <f t="shared" si="53"/>
        <v/>
      </c>
      <c r="C1708" s="16" t="str">
        <f>IFERROR(VLOOKUP(DATA!#REF!,DATA!#REF!,1,FALSE),"")</f>
        <v/>
      </c>
      <c r="D1708" s="16" t="str">
        <f>IFERROR(VLOOKUP(C1708,DATA!#REF!,2,FALSE),"")</f>
        <v/>
      </c>
    </row>
    <row r="1709" spans="2:4" s="230" customFormat="1">
      <c r="B1709" s="15" t="str">
        <f t="shared" si="53"/>
        <v/>
      </c>
      <c r="C1709" s="16" t="str">
        <f>IFERROR(VLOOKUP(DATA!#REF!,DATA!#REF!,1,FALSE),"")</f>
        <v/>
      </c>
      <c r="D1709" s="16" t="str">
        <f>IFERROR(VLOOKUP(C1709,DATA!#REF!,2,FALSE),"")</f>
        <v/>
      </c>
    </row>
    <row r="1710" spans="2:4" s="230" customFormat="1">
      <c r="B1710" s="15" t="str">
        <f t="shared" si="53"/>
        <v/>
      </c>
      <c r="C1710" s="16" t="str">
        <f>IFERROR(VLOOKUP(DATA!#REF!,DATA!#REF!,1,FALSE),"")</f>
        <v/>
      </c>
      <c r="D1710" s="16" t="str">
        <f>IFERROR(VLOOKUP(C1710,DATA!#REF!,2,FALSE),"")</f>
        <v/>
      </c>
    </row>
    <row r="1711" spans="2:4" s="230" customFormat="1">
      <c r="B1711" s="15" t="str">
        <f t="shared" si="53"/>
        <v/>
      </c>
      <c r="C1711" s="16" t="str">
        <f>IFERROR(VLOOKUP(DATA!#REF!,DATA!#REF!,1,FALSE),"")</f>
        <v/>
      </c>
      <c r="D1711" s="16" t="str">
        <f>IFERROR(VLOOKUP(C1711,DATA!#REF!,2,FALSE),"")</f>
        <v/>
      </c>
    </row>
    <row r="1712" spans="2:4" s="230" customFormat="1">
      <c r="B1712" s="15" t="str">
        <f t="shared" si="53"/>
        <v/>
      </c>
      <c r="C1712" s="16" t="str">
        <f>IFERROR(VLOOKUP(DATA!#REF!,DATA!#REF!,1,FALSE),"")</f>
        <v/>
      </c>
      <c r="D1712" s="16" t="str">
        <f>IFERROR(VLOOKUP(C1712,DATA!#REF!,2,FALSE),"")</f>
        <v/>
      </c>
    </row>
    <row r="1713" spans="2:4" s="230" customFormat="1">
      <c r="B1713" s="15" t="str">
        <f t="shared" si="53"/>
        <v/>
      </c>
      <c r="C1713" s="16" t="str">
        <f>IFERROR(VLOOKUP(DATA!#REF!,DATA!#REF!,1,FALSE),"")</f>
        <v/>
      </c>
      <c r="D1713" s="16" t="str">
        <f>IFERROR(VLOOKUP(C1713,DATA!#REF!,2,FALSE),"")</f>
        <v/>
      </c>
    </row>
    <row r="1714" spans="2:4" s="230" customFormat="1">
      <c r="B1714" s="15" t="str">
        <f t="shared" si="53"/>
        <v/>
      </c>
      <c r="C1714" s="16" t="str">
        <f>IFERROR(VLOOKUP(DATA!#REF!,DATA!#REF!,1,FALSE),"")</f>
        <v/>
      </c>
      <c r="D1714" s="16" t="str">
        <f>IFERROR(VLOOKUP(C1714,DATA!#REF!,2,FALSE),"")</f>
        <v/>
      </c>
    </row>
    <row r="1715" spans="2:4" s="230" customFormat="1">
      <c r="B1715" s="15" t="str">
        <f t="shared" si="53"/>
        <v/>
      </c>
      <c r="C1715" s="16" t="str">
        <f>IFERROR(VLOOKUP(DATA!#REF!,DATA!#REF!,1,FALSE),"")</f>
        <v/>
      </c>
      <c r="D1715" s="16" t="str">
        <f>IFERROR(VLOOKUP(C1715,DATA!#REF!,2,FALSE),"")</f>
        <v/>
      </c>
    </row>
    <row r="1716" spans="2:4" s="230" customFormat="1">
      <c r="B1716" s="15" t="str">
        <f t="shared" si="53"/>
        <v/>
      </c>
      <c r="C1716" s="16" t="str">
        <f>IFERROR(VLOOKUP(DATA!#REF!,DATA!#REF!,1,FALSE),"")</f>
        <v/>
      </c>
      <c r="D1716" s="16" t="str">
        <f>IFERROR(VLOOKUP(C1716,DATA!#REF!,2,FALSE),"")</f>
        <v/>
      </c>
    </row>
    <row r="1717" spans="2:4" s="230" customFormat="1">
      <c r="B1717" s="15" t="str">
        <f t="shared" si="53"/>
        <v/>
      </c>
      <c r="C1717" s="16" t="str">
        <f>IFERROR(VLOOKUP(DATA!#REF!,DATA!#REF!,1,FALSE),"")</f>
        <v/>
      </c>
      <c r="D1717" s="16" t="str">
        <f>IFERROR(VLOOKUP(C1717,DATA!#REF!,2,FALSE),"")</f>
        <v/>
      </c>
    </row>
    <row r="1718" spans="2:4" s="230" customFormat="1">
      <c r="B1718" s="15" t="str">
        <f t="shared" si="53"/>
        <v/>
      </c>
      <c r="C1718" s="16" t="str">
        <f>IFERROR(VLOOKUP(DATA!#REF!,DATA!#REF!,1,FALSE),"")</f>
        <v/>
      </c>
      <c r="D1718" s="16" t="str">
        <f>IFERROR(VLOOKUP(C1718,DATA!#REF!,2,FALSE),"")</f>
        <v/>
      </c>
    </row>
    <row r="1719" spans="2:4" s="230" customFormat="1">
      <c r="B1719" s="15" t="str">
        <f t="shared" si="53"/>
        <v/>
      </c>
      <c r="C1719" s="16" t="str">
        <f>IFERROR(VLOOKUP(DATA!#REF!,DATA!#REF!,1,FALSE),"")</f>
        <v/>
      </c>
      <c r="D1719" s="16" t="str">
        <f>IFERROR(VLOOKUP(C1719,DATA!#REF!,2,FALSE),"")</f>
        <v/>
      </c>
    </row>
    <row r="1720" spans="2:4" s="230" customFormat="1">
      <c r="B1720" s="15" t="str">
        <f t="shared" si="53"/>
        <v/>
      </c>
      <c r="C1720" s="16" t="str">
        <f>IFERROR(VLOOKUP(DATA!#REF!,DATA!#REF!,1,FALSE),"")</f>
        <v/>
      </c>
      <c r="D1720" s="16" t="str">
        <f>IFERROR(VLOOKUP(C1720,DATA!#REF!,2,FALSE),"")</f>
        <v/>
      </c>
    </row>
    <row r="1721" spans="2:4" s="230" customFormat="1">
      <c r="B1721" s="15" t="str">
        <f t="shared" si="53"/>
        <v/>
      </c>
      <c r="C1721" s="16" t="str">
        <f>IFERROR(VLOOKUP(DATA!#REF!,DATA!#REF!,1,FALSE),"")</f>
        <v/>
      </c>
      <c r="D1721" s="16" t="str">
        <f>IFERROR(VLOOKUP(C1721,DATA!#REF!,2,FALSE),"")</f>
        <v/>
      </c>
    </row>
    <row r="1722" spans="2:4" s="230" customFormat="1">
      <c r="B1722" s="15" t="str">
        <f t="shared" si="53"/>
        <v/>
      </c>
      <c r="C1722" s="16" t="str">
        <f>IFERROR(VLOOKUP(DATA!#REF!,DATA!#REF!,1,FALSE),"")</f>
        <v/>
      </c>
      <c r="D1722" s="16" t="str">
        <f>IFERROR(VLOOKUP(C1722,DATA!#REF!,2,FALSE),"")</f>
        <v/>
      </c>
    </row>
    <row r="1723" spans="2:4" s="230" customFormat="1">
      <c r="B1723" s="15" t="str">
        <f t="shared" si="53"/>
        <v/>
      </c>
      <c r="C1723" s="16" t="str">
        <f>IFERROR(VLOOKUP(DATA!#REF!,DATA!#REF!,1,FALSE),"")</f>
        <v/>
      </c>
      <c r="D1723" s="16" t="str">
        <f>IFERROR(VLOOKUP(C1723,DATA!#REF!,2,FALSE),"")</f>
        <v/>
      </c>
    </row>
    <row r="1724" spans="2:4" s="230" customFormat="1">
      <c r="B1724" s="15" t="str">
        <f t="shared" si="53"/>
        <v/>
      </c>
      <c r="C1724" s="16" t="str">
        <f>IFERROR(VLOOKUP(DATA!#REF!,DATA!#REF!,1,FALSE),"")</f>
        <v/>
      </c>
      <c r="D1724" s="16" t="str">
        <f>IFERROR(VLOOKUP(C1724,DATA!#REF!,2,FALSE),"")</f>
        <v/>
      </c>
    </row>
    <row r="1725" spans="2:4" s="230" customFormat="1">
      <c r="B1725" s="15" t="str">
        <f t="shared" si="53"/>
        <v/>
      </c>
      <c r="C1725" s="16" t="str">
        <f>IFERROR(VLOOKUP(DATA!#REF!,DATA!#REF!,1,FALSE),"")</f>
        <v/>
      </c>
      <c r="D1725" s="16" t="str">
        <f>IFERROR(VLOOKUP(C1725,DATA!#REF!,2,FALSE),"")</f>
        <v/>
      </c>
    </row>
    <row r="1726" spans="2:4" s="230" customFormat="1">
      <c r="B1726" s="15" t="str">
        <f t="shared" si="53"/>
        <v/>
      </c>
      <c r="C1726" s="16" t="str">
        <f>IFERROR(VLOOKUP(DATA!#REF!,DATA!#REF!,1,FALSE),"")</f>
        <v/>
      </c>
      <c r="D1726" s="16" t="str">
        <f>IFERROR(VLOOKUP(C1726,DATA!#REF!,2,FALSE),"")</f>
        <v/>
      </c>
    </row>
    <row r="1727" spans="2:4" s="230" customFormat="1">
      <c r="B1727" s="15" t="str">
        <f t="shared" si="53"/>
        <v/>
      </c>
      <c r="C1727" s="16" t="str">
        <f>IFERROR(VLOOKUP(DATA!#REF!,DATA!#REF!,1,FALSE),"")</f>
        <v/>
      </c>
      <c r="D1727" s="16" t="str">
        <f>IFERROR(VLOOKUP(C1727,DATA!#REF!,2,FALSE),"")</f>
        <v/>
      </c>
    </row>
    <row r="1728" spans="2:4" s="230" customFormat="1">
      <c r="B1728" s="15" t="str">
        <f t="shared" si="53"/>
        <v/>
      </c>
      <c r="C1728" s="16" t="str">
        <f>IFERROR(VLOOKUP(DATA!#REF!,DATA!#REF!,1,FALSE),"")</f>
        <v/>
      </c>
      <c r="D1728" s="16" t="str">
        <f>IFERROR(VLOOKUP(C1728,DATA!#REF!,2,FALSE),"")</f>
        <v/>
      </c>
    </row>
    <row r="1729" spans="2:4" s="230" customFormat="1">
      <c r="B1729" s="15" t="str">
        <f t="shared" si="53"/>
        <v/>
      </c>
      <c r="C1729" s="16" t="str">
        <f>IFERROR(VLOOKUP(DATA!#REF!,DATA!#REF!,1,FALSE),"")</f>
        <v/>
      </c>
      <c r="D1729" s="16" t="str">
        <f>IFERROR(VLOOKUP(C1729,DATA!#REF!,2,FALSE),"")</f>
        <v/>
      </c>
    </row>
    <row r="1730" spans="2:4" s="230" customFormat="1">
      <c r="B1730" s="15" t="str">
        <f t="shared" si="53"/>
        <v/>
      </c>
      <c r="C1730" s="16" t="str">
        <f>IFERROR(VLOOKUP(DATA!#REF!,DATA!#REF!,1,FALSE),"")</f>
        <v/>
      </c>
      <c r="D1730" s="16" t="str">
        <f>IFERROR(VLOOKUP(C1730,DATA!#REF!,2,FALSE),"")</f>
        <v/>
      </c>
    </row>
    <row r="1731" spans="2:4" s="230" customFormat="1">
      <c r="B1731" s="15" t="str">
        <f t="shared" si="53"/>
        <v/>
      </c>
      <c r="C1731" s="16" t="str">
        <f>IFERROR(VLOOKUP(DATA!#REF!,DATA!#REF!,1,FALSE),"")</f>
        <v/>
      </c>
      <c r="D1731" s="16" t="str">
        <f>IFERROR(VLOOKUP(C1731,DATA!#REF!,2,FALSE),"")</f>
        <v/>
      </c>
    </row>
    <row r="1732" spans="2:4" s="230" customFormat="1">
      <c r="B1732" s="15" t="str">
        <f t="shared" si="53"/>
        <v/>
      </c>
      <c r="C1732" s="16" t="str">
        <f>IFERROR(VLOOKUP(DATA!#REF!,DATA!#REF!,1,FALSE),"")</f>
        <v/>
      </c>
      <c r="D1732" s="16" t="str">
        <f>IFERROR(VLOOKUP(C1732,DATA!#REF!,2,FALSE),"")</f>
        <v/>
      </c>
    </row>
    <row r="1733" spans="2:4" s="230" customFormat="1">
      <c r="B1733" s="15" t="str">
        <f t="shared" si="53"/>
        <v/>
      </c>
      <c r="C1733" s="16" t="str">
        <f>IFERROR(VLOOKUP(DATA!#REF!,DATA!#REF!,1,FALSE),"")</f>
        <v/>
      </c>
      <c r="D1733" s="16" t="str">
        <f>IFERROR(VLOOKUP(C1733,DATA!#REF!,2,FALSE),"")</f>
        <v/>
      </c>
    </row>
    <row r="1734" spans="2:4" s="230" customFormat="1">
      <c r="B1734" s="15" t="str">
        <f t="shared" ref="B1734:B1797" si="54">+IF(C1734="","",ROW()-5)</f>
        <v/>
      </c>
      <c r="C1734" s="16" t="str">
        <f>IFERROR(VLOOKUP(DATA!#REF!,DATA!#REF!,1,FALSE),"")</f>
        <v/>
      </c>
      <c r="D1734" s="16" t="str">
        <f>IFERROR(VLOOKUP(C1734,DATA!#REF!,2,FALSE),"")</f>
        <v/>
      </c>
    </row>
    <row r="1735" spans="2:4" s="230" customFormat="1">
      <c r="B1735" s="15" t="str">
        <f t="shared" si="54"/>
        <v/>
      </c>
      <c r="C1735" s="16" t="str">
        <f>IFERROR(VLOOKUP(DATA!#REF!,DATA!#REF!,1,FALSE),"")</f>
        <v/>
      </c>
      <c r="D1735" s="16" t="str">
        <f>IFERROR(VLOOKUP(C1735,DATA!#REF!,2,FALSE),"")</f>
        <v/>
      </c>
    </row>
    <row r="1736" spans="2:4" s="230" customFormat="1">
      <c r="B1736" s="15" t="str">
        <f t="shared" si="54"/>
        <v/>
      </c>
      <c r="C1736" s="16" t="str">
        <f>IFERROR(VLOOKUP(DATA!#REF!,DATA!#REF!,1,FALSE),"")</f>
        <v/>
      </c>
      <c r="D1736" s="16" t="str">
        <f>IFERROR(VLOOKUP(C1736,DATA!#REF!,2,FALSE),"")</f>
        <v/>
      </c>
    </row>
    <row r="1737" spans="2:4" s="230" customFormat="1">
      <c r="B1737" s="15" t="str">
        <f t="shared" si="54"/>
        <v/>
      </c>
      <c r="C1737" s="16" t="str">
        <f>IFERROR(VLOOKUP(DATA!#REF!,DATA!#REF!,1,FALSE),"")</f>
        <v/>
      </c>
      <c r="D1737" s="16" t="str">
        <f>IFERROR(VLOOKUP(C1737,DATA!#REF!,2,FALSE),"")</f>
        <v/>
      </c>
    </row>
    <row r="1738" spans="2:4" s="230" customFormat="1">
      <c r="B1738" s="15" t="str">
        <f t="shared" si="54"/>
        <v/>
      </c>
      <c r="C1738" s="16" t="str">
        <f>IFERROR(VLOOKUP(DATA!#REF!,DATA!#REF!,1,FALSE),"")</f>
        <v/>
      </c>
      <c r="D1738" s="16" t="str">
        <f>IFERROR(VLOOKUP(C1738,DATA!#REF!,2,FALSE),"")</f>
        <v/>
      </c>
    </row>
    <row r="1739" spans="2:4" s="230" customFormat="1">
      <c r="B1739" s="15" t="str">
        <f t="shared" si="54"/>
        <v/>
      </c>
      <c r="C1739" s="16" t="str">
        <f>IFERROR(VLOOKUP(DATA!#REF!,DATA!#REF!,1,FALSE),"")</f>
        <v/>
      </c>
      <c r="D1739" s="16" t="str">
        <f>IFERROR(VLOOKUP(C1739,DATA!#REF!,2,FALSE),"")</f>
        <v/>
      </c>
    </row>
    <row r="1740" spans="2:4" s="230" customFormat="1">
      <c r="B1740" s="15" t="str">
        <f t="shared" si="54"/>
        <v/>
      </c>
      <c r="C1740" s="16" t="str">
        <f>IFERROR(VLOOKUP(DATA!#REF!,DATA!#REF!,1,FALSE),"")</f>
        <v/>
      </c>
      <c r="D1740" s="16" t="str">
        <f>IFERROR(VLOOKUP(C1740,DATA!#REF!,2,FALSE),"")</f>
        <v/>
      </c>
    </row>
    <row r="1741" spans="2:4" s="230" customFormat="1">
      <c r="B1741" s="15" t="str">
        <f t="shared" si="54"/>
        <v/>
      </c>
      <c r="C1741" s="16" t="str">
        <f>IFERROR(VLOOKUP(DATA!#REF!,DATA!#REF!,1,FALSE),"")</f>
        <v/>
      </c>
      <c r="D1741" s="16" t="str">
        <f>IFERROR(VLOOKUP(C1741,DATA!#REF!,2,FALSE),"")</f>
        <v/>
      </c>
    </row>
    <row r="1742" spans="2:4" s="230" customFormat="1">
      <c r="B1742" s="15" t="str">
        <f t="shared" si="54"/>
        <v/>
      </c>
      <c r="C1742" s="16" t="str">
        <f>IFERROR(VLOOKUP(DATA!#REF!,DATA!#REF!,1,FALSE),"")</f>
        <v/>
      </c>
      <c r="D1742" s="16" t="str">
        <f>IFERROR(VLOOKUP(C1742,DATA!#REF!,2,FALSE),"")</f>
        <v/>
      </c>
    </row>
    <row r="1743" spans="2:4" s="230" customFormat="1">
      <c r="B1743" s="15" t="str">
        <f t="shared" si="54"/>
        <v/>
      </c>
      <c r="C1743" s="16" t="str">
        <f>IFERROR(VLOOKUP(DATA!#REF!,DATA!#REF!,1,FALSE),"")</f>
        <v/>
      </c>
      <c r="D1743" s="16" t="str">
        <f>IFERROR(VLOOKUP(C1743,DATA!#REF!,2,FALSE),"")</f>
        <v/>
      </c>
    </row>
    <row r="1744" spans="2:4" s="230" customFormat="1">
      <c r="B1744" s="15" t="str">
        <f t="shared" si="54"/>
        <v/>
      </c>
      <c r="C1744" s="16" t="str">
        <f>IFERROR(VLOOKUP(DATA!#REF!,DATA!#REF!,1,FALSE),"")</f>
        <v/>
      </c>
      <c r="D1744" s="16" t="str">
        <f>IFERROR(VLOOKUP(C1744,DATA!#REF!,2,FALSE),"")</f>
        <v/>
      </c>
    </row>
    <row r="1745" spans="2:4" s="230" customFormat="1">
      <c r="B1745" s="15" t="str">
        <f t="shared" si="54"/>
        <v/>
      </c>
      <c r="C1745" s="16" t="str">
        <f>IFERROR(VLOOKUP(DATA!#REF!,DATA!#REF!,1,FALSE),"")</f>
        <v/>
      </c>
      <c r="D1745" s="16" t="str">
        <f>IFERROR(VLOOKUP(C1745,DATA!#REF!,2,FALSE),"")</f>
        <v/>
      </c>
    </row>
    <row r="1746" spans="2:4" s="230" customFormat="1">
      <c r="B1746" s="15" t="str">
        <f t="shared" si="54"/>
        <v/>
      </c>
      <c r="C1746" s="16" t="str">
        <f>IFERROR(VLOOKUP(DATA!#REF!,DATA!#REF!,1,FALSE),"")</f>
        <v/>
      </c>
      <c r="D1746" s="16" t="str">
        <f>IFERROR(VLOOKUP(C1746,DATA!#REF!,2,FALSE),"")</f>
        <v/>
      </c>
    </row>
    <row r="1747" spans="2:4" s="230" customFormat="1">
      <c r="B1747" s="15" t="str">
        <f t="shared" si="54"/>
        <v/>
      </c>
      <c r="C1747" s="16" t="str">
        <f>IFERROR(VLOOKUP(DATA!#REF!,DATA!#REF!,1,FALSE),"")</f>
        <v/>
      </c>
      <c r="D1747" s="16" t="str">
        <f>IFERROR(VLOOKUP(C1747,DATA!#REF!,2,FALSE),"")</f>
        <v/>
      </c>
    </row>
    <row r="1748" spans="2:4" s="230" customFormat="1">
      <c r="B1748" s="15" t="str">
        <f t="shared" si="54"/>
        <v/>
      </c>
      <c r="C1748" s="16" t="str">
        <f>IFERROR(VLOOKUP(DATA!#REF!,DATA!#REF!,1,FALSE),"")</f>
        <v/>
      </c>
      <c r="D1748" s="16" t="str">
        <f>IFERROR(VLOOKUP(C1748,DATA!#REF!,2,FALSE),"")</f>
        <v/>
      </c>
    </row>
    <row r="1749" spans="2:4" s="230" customFormat="1">
      <c r="B1749" s="15" t="str">
        <f t="shared" si="54"/>
        <v/>
      </c>
      <c r="C1749" s="16" t="str">
        <f>IFERROR(VLOOKUP(DATA!#REF!,DATA!#REF!,1,FALSE),"")</f>
        <v/>
      </c>
      <c r="D1749" s="16" t="str">
        <f>IFERROR(VLOOKUP(C1749,DATA!#REF!,2,FALSE),"")</f>
        <v/>
      </c>
    </row>
    <row r="1750" spans="2:4" s="230" customFormat="1">
      <c r="B1750" s="15" t="str">
        <f t="shared" si="54"/>
        <v/>
      </c>
      <c r="C1750" s="16" t="str">
        <f>IFERROR(VLOOKUP(DATA!#REF!,DATA!#REF!,1,FALSE),"")</f>
        <v/>
      </c>
      <c r="D1750" s="16" t="str">
        <f>IFERROR(VLOOKUP(C1750,DATA!#REF!,2,FALSE),"")</f>
        <v/>
      </c>
    </row>
    <row r="1751" spans="2:4" s="230" customFormat="1">
      <c r="B1751" s="15" t="str">
        <f t="shared" si="54"/>
        <v/>
      </c>
      <c r="C1751" s="16" t="str">
        <f>IFERROR(VLOOKUP(DATA!#REF!,DATA!#REF!,1,FALSE),"")</f>
        <v/>
      </c>
      <c r="D1751" s="16" t="str">
        <f>IFERROR(VLOOKUP(C1751,DATA!#REF!,2,FALSE),"")</f>
        <v/>
      </c>
    </row>
    <row r="1752" spans="2:4" s="230" customFormat="1">
      <c r="B1752" s="15" t="str">
        <f t="shared" si="54"/>
        <v/>
      </c>
      <c r="C1752" s="16" t="str">
        <f>IFERROR(VLOOKUP(DATA!#REF!,DATA!#REF!,1,FALSE),"")</f>
        <v/>
      </c>
      <c r="D1752" s="16" t="str">
        <f>IFERROR(VLOOKUP(C1752,DATA!#REF!,2,FALSE),"")</f>
        <v/>
      </c>
    </row>
    <row r="1753" spans="2:4" s="230" customFormat="1">
      <c r="B1753" s="15" t="str">
        <f t="shared" si="54"/>
        <v/>
      </c>
      <c r="C1753" s="16" t="str">
        <f>IFERROR(VLOOKUP(DATA!#REF!,DATA!#REF!,1,FALSE),"")</f>
        <v/>
      </c>
      <c r="D1753" s="16" t="str">
        <f>IFERROR(VLOOKUP(C1753,DATA!#REF!,2,FALSE),"")</f>
        <v/>
      </c>
    </row>
    <row r="1754" spans="2:4" s="230" customFormat="1">
      <c r="B1754" s="15" t="str">
        <f t="shared" si="54"/>
        <v/>
      </c>
      <c r="C1754" s="16" t="str">
        <f>IFERROR(VLOOKUP(DATA!#REF!,DATA!#REF!,1,FALSE),"")</f>
        <v/>
      </c>
      <c r="D1754" s="16" t="str">
        <f>IFERROR(VLOOKUP(C1754,DATA!#REF!,2,FALSE),"")</f>
        <v/>
      </c>
    </row>
    <row r="1755" spans="2:4" s="230" customFormat="1">
      <c r="B1755" s="15" t="str">
        <f t="shared" si="54"/>
        <v/>
      </c>
      <c r="C1755" s="16" t="str">
        <f>IFERROR(VLOOKUP(DATA!#REF!,DATA!#REF!,1,FALSE),"")</f>
        <v/>
      </c>
      <c r="D1755" s="16" t="str">
        <f>IFERROR(VLOOKUP(C1755,DATA!#REF!,2,FALSE),"")</f>
        <v/>
      </c>
    </row>
    <row r="1756" spans="2:4" s="230" customFormat="1">
      <c r="B1756" s="15" t="str">
        <f t="shared" si="54"/>
        <v/>
      </c>
      <c r="C1756" s="16" t="str">
        <f>IFERROR(VLOOKUP(DATA!#REF!,DATA!#REF!,1,FALSE),"")</f>
        <v/>
      </c>
      <c r="D1756" s="16" t="str">
        <f>IFERROR(VLOOKUP(C1756,DATA!#REF!,2,FALSE),"")</f>
        <v/>
      </c>
    </row>
    <row r="1757" spans="2:4" s="230" customFormat="1">
      <c r="B1757" s="15" t="str">
        <f t="shared" si="54"/>
        <v/>
      </c>
      <c r="C1757" s="16" t="str">
        <f>IFERROR(VLOOKUP(DATA!#REF!,DATA!#REF!,1,FALSE),"")</f>
        <v/>
      </c>
      <c r="D1757" s="16" t="str">
        <f>IFERROR(VLOOKUP(C1757,DATA!#REF!,2,FALSE),"")</f>
        <v/>
      </c>
    </row>
    <row r="1758" spans="2:4" s="230" customFormat="1">
      <c r="B1758" s="15" t="str">
        <f t="shared" si="54"/>
        <v/>
      </c>
      <c r="C1758" s="16" t="str">
        <f>IFERROR(VLOOKUP(DATA!#REF!,DATA!#REF!,1,FALSE),"")</f>
        <v/>
      </c>
      <c r="D1758" s="16" t="str">
        <f>IFERROR(VLOOKUP(C1758,DATA!#REF!,2,FALSE),"")</f>
        <v/>
      </c>
    </row>
    <row r="1759" spans="2:4" s="230" customFormat="1">
      <c r="B1759" s="15" t="str">
        <f t="shared" si="54"/>
        <v/>
      </c>
      <c r="C1759" s="16" t="str">
        <f>IFERROR(VLOOKUP(DATA!#REF!,DATA!#REF!,1,FALSE),"")</f>
        <v/>
      </c>
      <c r="D1759" s="16" t="str">
        <f>IFERROR(VLOOKUP(C1759,DATA!#REF!,2,FALSE),"")</f>
        <v/>
      </c>
    </row>
    <row r="1760" spans="2:4" s="230" customFormat="1">
      <c r="B1760" s="15" t="str">
        <f t="shared" si="54"/>
        <v/>
      </c>
      <c r="C1760" s="16" t="str">
        <f>IFERROR(VLOOKUP(DATA!#REF!,DATA!#REF!,1,FALSE),"")</f>
        <v/>
      </c>
      <c r="D1760" s="16" t="str">
        <f>IFERROR(VLOOKUP(C1760,DATA!#REF!,2,FALSE),"")</f>
        <v/>
      </c>
    </row>
    <row r="1761" spans="2:4" s="230" customFormat="1">
      <c r="B1761" s="15" t="str">
        <f t="shared" si="54"/>
        <v/>
      </c>
      <c r="C1761" s="16" t="str">
        <f>IFERROR(VLOOKUP(DATA!#REF!,DATA!#REF!,1,FALSE),"")</f>
        <v/>
      </c>
      <c r="D1761" s="16" t="str">
        <f>IFERROR(VLOOKUP(C1761,DATA!#REF!,2,FALSE),"")</f>
        <v/>
      </c>
    </row>
    <row r="1762" spans="2:4" s="230" customFormat="1">
      <c r="B1762" s="15" t="str">
        <f t="shared" si="54"/>
        <v/>
      </c>
      <c r="C1762" s="16" t="str">
        <f>IFERROR(VLOOKUP(DATA!#REF!,DATA!#REF!,1,FALSE),"")</f>
        <v/>
      </c>
      <c r="D1762" s="16" t="str">
        <f>IFERROR(VLOOKUP(C1762,DATA!#REF!,2,FALSE),"")</f>
        <v/>
      </c>
    </row>
    <row r="1763" spans="2:4" s="230" customFormat="1">
      <c r="B1763" s="15" t="str">
        <f t="shared" si="54"/>
        <v/>
      </c>
      <c r="C1763" s="16" t="str">
        <f>IFERROR(VLOOKUP(DATA!#REF!,DATA!#REF!,1,FALSE),"")</f>
        <v/>
      </c>
      <c r="D1763" s="16" t="str">
        <f>IFERROR(VLOOKUP(C1763,DATA!#REF!,2,FALSE),"")</f>
        <v/>
      </c>
    </row>
    <row r="1764" spans="2:4" s="230" customFormat="1">
      <c r="B1764" s="15" t="str">
        <f t="shared" si="54"/>
        <v/>
      </c>
      <c r="C1764" s="16" t="str">
        <f>IFERROR(VLOOKUP(DATA!#REF!,DATA!#REF!,1,FALSE),"")</f>
        <v/>
      </c>
      <c r="D1764" s="16" t="str">
        <f>IFERROR(VLOOKUP(C1764,DATA!#REF!,2,FALSE),"")</f>
        <v/>
      </c>
    </row>
    <row r="1765" spans="2:4" s="230" customFormat="1">
      <c r="B1765" s="15" t="str">
        <f t="shared" si="54"/>
        <v/>
      </c>
      <c r="C1765" s="16" t="str">
        <f>IFERROR(VLOOKUP(DATA!#REF!,DATA!#REF!,1,FALSE),"")</f>
        <v/>
      </c>
      <c r="D1765" s="16" t="str">
        <f>IFERROR(VLOOKUP(C1765,DATA!#REF!,2,FALSE),"")</f>
        <v/>
      </c>
    </row>
    <row r="1766" spans="2:4" s="230" customFormat="1">
      <c r="B1766" s="15" t="str">
        <f t="shared" si="54"/>
        <v/>
      </c>
      <c r="C1766" s="16" t="str">
        <f>IFERROR(VLOOKUP(DATA!#REF!,DATA!#REF!,1,FALSE),"")</f>
        <v/>
      </c>
      <c r="D1766" s="16" t="str">
        <f>IFERROR(VLOOKUP(C1766,DATA!#REF!,2,FALSE),"")</f>
        <v/>
      </c>
    </row>
    <row r="1767" spans="2:4" s="230" customFormat="1">
      <c r="B1767" s="15" t="str">
        <f t="shared" si="54"/>
        <v/>
      </c>
      <c r="C1767" s="16" t="str">
        <f>IFERROR(VLOOKUP(DATA!#REF!,DATA!#REF!,1,FALSE),"")</f>
        <v/>
      </c>
      <c r="D1767" s="16" t="str">
        <f>IFERROR(VLOOKUP(C1767,DATA!#REF!,2,FALSE),"")</f>
        <v/>
      </c>
    </row>
    <row r="1768" spans="2:4" s="230" customFormat="1">
      <c r="B1768" s="15" t="str">
        <f t="shared" si="54"/>
        <v/>
      </c>
      <c r="C1768" s="16" t="str">
        <f>IFERROR(VLOOKUP(DATA!#REF!,DATA!#REF!,1,FALSE),"")</f>
        <v/>
      </c>
      <c r="D1768" s="16" t="str">
        <f>IFERROR(VLOOKUP(C1768,DATA!#REF!,2,FALSE),"")</f>
        <v/>
      </c>
    </row>
    <row r="1769" spans="2:4" s="230" customFormat="1">
      <c r="B1769" s="15" t="str">
        <f t="shared" si="54"/>
        <v/>
      </c>
      <c r="C1769" s="16" t="str">
        <f>IFERROR(VLOOKUP(DATA!#REF!,DATA!#REF!,1,FALSE),"")</f>
        <v/>
      </c>
      <c r="D1769" s="16" t="str">
        <f>IFERROR(VLOOKUP(C1769,DATA!#REF!,2,FALSE),"")</f>
        <v/>
      </c>
    </row>
    <row r="1770" spans="2:4" s="230" customFormat="1">
      <c r="B1770" s="15" t="str">
        <f t="shared" si="54"/>
        <v/>
      </c>
      <c r="C1770" s="16" t="str">
        <f>IFERROR(VLOOKUP(DATA!#REF!,DATA!#REF!,1,FALSE),"")</f>
        <v/>
      </c>
      <c r="D1770" s="16" t="str">
        <f>IFERROR(VLOOKUP(C1770,DATA!#REF!,2,FALSE),"")</f>
        <v/>
      </c>
    </row>
    <row r="1771" spans="2:4" s="230" customFormat="1">
      <c r="B1771" s="15" t="str">
        <f t="shared" si="54"/>
        <v/>
      </c>
      <c r="C1771" s="16" t="str">
        <f>IFERROR(VLOOKUP(DATA!#REF!,DATA!#REF!,1,FALSE),"")</f>
        <v/>
      </c>
      <c r="D1771" s="16" t="str">
        <f>IFERROR(VLOOKUP(C1771,DATA!#REF!,2,FALSE),"")</f>
        <v/>
      </c>
    </row>
    <row r="1772" spans="2:4" s="230" customFormat="1">
      <c r="B1772" s="15" t="str">
        <f t="shared" si="54"/>
        <v/>
      </c>
      <c r="C1772" s="16" t="str">
        <f>IFERROR(VLOOKUP(DATA!#REF!,DATA!#REF!,1,FALSE),"")</f>
        <v/>
      </c>
      <c r="D1772" s="16" t="str">
        <f>IFERROR(VLOOKUP(C1772,DATA!#REF!,2,FALSE),"")</f>
        <v/>
      </c>
    </row>
    <row r="1773" spans="2:4" s="230" customFormat="1">
      <c r="B1773" s="15" t="str">
        <f t="shared" si="54"/>
        <v/>
      </c>
      <c r="C1773" s="16" t="str">
        <f>IFERROR(VLOOKUP(DATA!#REF!,DATA!#REF!,1,FALSE),"")</f>
        <v/>
      </c>
      <c r="D1773" s="16" t="str">
        <f>IFERROR(VLOOKUP(C1773,DATA!#REF!,2,FALSE),"")</f>
        <v/>
      </c>
    </row>
    <row r="1774" spans="2:4" s="230" customFormat="1">
      <c r="B1774" s="15" t="str">
        <f t="shared" si="54"/>
        <v/>
      </c>
      <c r="C1774" s="16" t="str">
        <f>IFERROR(VLOOKUP(DATA!#REF!,DATA!#REF!,1,FALSE),"")</f>
        <v/>
      </c>
      <c r="D1774" s="16" t="str">
        <f>IFERROR(VLOOKUP(C1774,DATA!#REF!,2,FALSE),"")</f>
        <v/>
      </c>
    </row>
    <row r="1775" spans="2:4" s="230" customFormat="1">
      <c r="B1775" s="15" t="str">
        <f t="shared" si="54"/>
        <v/>
      </c>
      <c r="C1775" s="16" t="str">
        <f>IFERROR(VLOOKUP(DATA!#REF!,DATA!#REF!,1,FALSE),"")</f>
        <v/>
      </c>
      <c r="D1775" s="16" t="str">
        <f>IFERROR(VLOOKUP(C1775,DATA!#REF!,2,FALSE),"")</f>
        <v/>
      </c>
    </row>
    <row r="1776" spans="2:4" s="230" customFormat="1">
      <c r="B1776" s="15" t="str">
        <f t="shared" si="54"/>
        <v/>
      </c>
      <c r="C1776" s="16" t="str">
        <f>IFERROR(VLOOKUP(DATA!#REF!,DATA!#REF!,1,FALSE),"")</f>
        <v/>
      </c>
      <c r="D1776" s="16" t="str">
        <f>IFERROR(VLOOKUP(C1776,DATA!#REF!,2,FALSE),"")</f>
        <v/>
      </c>
    </row>
    <row r="1777" spans="2:4" s="230" customFormat="1">
      <c r="B1777" s="15" t="str">
        <f t="shared" si="54"/>
        <v/>
      </c>
      <c r="C1777" s="16" t="str">
        <f>IFERROR(VLOOKUP(DATA!#REF!,DATA!#REF!,1,FALSE),"")</f>
        <v/>
      </c>
      <c r="D1777" s="16" t="str">
        <f>IFERROR(VLOOKUP(C1777,DATA!#REF!,2,FALSE),"")</f>
        <v/>
      </c>
    </row>
    <row r="1778" spans="2:4" s="230" customFormat="1">
      <c r="B1778" s="15" t="str">
        <f t="shared" si="54"/>
        <v/>
      </c>
      <c r="C1778" s="16" t="str">
        <f>IFERROR(VLOOKUP(DATA!#REF!,DATA!#REF!,1,FALSE),"")</f>
        <v/>
      </c>
      <c r="D1778" s="16" t="str">
        <f>IFERROR(VLOOKUP(C1778,DATA!#REF!,2,FALSE),"")</f>
        <v/>
      </c>
    </row>
    <row r="1779" spans="2:4" s="230" customFormat="1">
      <c r="B1779" s="15" t="str">
        <f t="shared" si="54"/>
        <v/>
      </c>
      <c r="C1779" s="16" t="str">
        <f>IFERROR(VLOOKUP(DATA!#REF!,DATA!#REF!,1,FALSE),"")</f>
        <v/>
      </c>
      <c r="D1779" s="16" t="str">
        <f>IFERROR(VLOOKUP(C1779,DATA!#REF!,2,FALSE),"")</f>
        <v/>
      </c>
    </row>
    <row r="1780" spans="2:4" s="230" customFormat="1">
      <c r="B1780" s="15" t="str">
        <f t="shared" si="54"/>
        <v/>
      </c>
      <c r="C1780" s="16" t="str">
        <f>IFERROR(VLOOKUP(DATA!#REF!,DATA!#REF!,1,FALSE),"")</f>
        <v/>
      </c>
      <c r="D1780" s="16" t="str">
        <f>IFERROR(VLOOKUP(C1780,DATA!#REF!,2,FALSE),"")</f>
        <v/>
      </c>
    </row>
    <row r="1781" spans="2:4" s="230" customFormat="1">
      <c r="B1781" s="15" t="str">
        <f t="shared" si="54"/>
        <v/>
      </c>
      <c r="C1781" s="16" t="str">
        <f>IFERROR(VLOOKUP(DATA!#REF!,DATA!#REF!,1,FALSE),"")</f>
        <v/>
      </c>
      <c r="D1781" s="16" t="str">
        <f>IFERROR(VLOOKUP(C1781,DATA!#REF!,2,FALSE),"")</f>
        <v/>
      </c>
    </row>
    <row r="1782" spans="2:4" s="230" customFormat="1">
      <c r="B1782" s="15" t="str">
        <f t="shared" si="54"/>
        <v/>
      </c>
      <c r="C1782" s="16" t="str">
        <f>IFERROR(VLOOKUP(DATA!#REF!,DATA!#REF!,1,FALSE),"")</f>
        <v/>
      </c>
      <c r="D1782" s="16" t="str">
        <f>IFERROR(VLOOKUP(C1782,DATA!#REF!,2,FALSE),"")</f>
        <v/>
      </c>
    </row>
    <row r="1783" spans="2:4" s="230" customFormat="1">
      <c r="B1783" s="15" t="str">
        <f t="shared" si="54"/>
        <v/>
      </c>
      <c r="C1783" s="16" t="str">
        <f>IFERROR(VLOOKUP(DATA!#REF!,DATA!#REF!,1,FALSE),"")</f>
        <v/>
      </c>
      <c r="D1783" s="16" t="str">
        <f>IFERROR(VLOOKUP(C1783,DATA!#REF!,2,FALSE),"")</f>
        <v/>
      </c>
    </row>
    <row r="1784" spans="2:4" s="230" customFormat="1">
      <c r="B1784" s="15" t="str">
        <f t="shared" si="54"/>
        <v/>
      </c>
      <c r="C1784" s="16" t="str">
        <f>IFERROR(VLOOKUP(DATA!#REF!,DATA!#REF!,1,FALSE),"")</f>
        <v/>
      </c>
      <c r="D1784" s="16" t="str">
        <f>IFERROR(VLOOKUP(C1784,DATA!#REF!,2,FALSE),"")</f>
        <v/>
      </c>
    </row>
    <row r="1785" spans="2:4" s="230" customFormat="1">
      <c r="B1785" s="15" t="str">
        <f t="shared" si="54"/>
        <v/>
      </c>
      <c r="C1785" s="16" t="str">
        <f>IFERROR(VLOOKUP(DATA!#REF!,DATA!#REF!,1,FALSE),"")</f>
        <v/>
      </c>
      <c r="D1785" s="16" t="str">
        <f>IFERROR(VLOOKUP(C1785,DATA!#REF!,2,FALSE),"")</f>
        <v/>
      </c>
    </row>
    <row r="1786" spans="2:4" s="230" customFormat="1">
      <c r="B1786" s="15" t="str">
        <f t="shared" si="54"/>
        <v/>
      </c>
      <c r="C1786" s="16" t="str">
        <f>IFERROR(VLOOKUP(DATA!#REF!,DATA!#REF!,1,FALSE),"")</f>
        <v/>
      </c>
      <c r="D1786" s="16" t="str">
        <f>IFERROR(VLOOKUP(C1786,DATA!#REF!,2,FALSE),"")</f>
        <v/>
      </c>
    </row>
    <row r="1787" spans="2:4" s="230" customFormat="1">
      <c r="B1787" s="15" t="str">
        <f t="shared" si="54"/>
        <v/>
      </c>
      <c r="C1787" s="16" t="str">
        <f>IFERROR(VLOOKUP(DATA!#REF!,DATA!#REF!,1,FALSE),"")</f>
        <v/>
      </c>
      <c r="D1787" s="16" t="str">
        <f>IFERROR(VLOOKUP(C1787,DATA!#REF!,2,FALSE),"")</f>
        <v/>
      </c>
    </row>
    <row r="1788" spans="2:4" s="230" customFormat="1">
      <c r="B1788" s="15" t="str">
        <f t="shared" si="54"/>
        <v/>
      </c>
      <c r="C1788" s="16" t="str">
        <f>IFERROR(VLOOKUP(DATA!#REF!,DATA!#REF!,1,FALSE),"")</f>
        <v/>
      </c>
      <c r="D1788" s="16" t="str">
        <f>IFERROR(VLOOKUP(C1788,DATA!#REF!,2,FALSE),"")</f>
        <v/>
      </c>
    </row>
    <row r="1789" spans="2:4" s="230" customFormat="1">
      <c r="B1789" s="15" t="str">
        <f t="shared" si="54"/>
        <v/>
      </c>
      <c r="C1789" s="16" t="str">
        <f>IFERROR(VLOOKUP(DATA!#REF!,DATA!#REF!,1,FALSE),"")</f>
        <v/>
      </c>
      <c r="D1789" s="16" t="str">
        <f>IFERROR(VLOOKUP(C1789,DATA!#REF!,2,FALSE),"")</f>
        <v/>
      </c>
    </row>
    <row r="1790" spans="2:4" s="230" customFormat="1">
      <c r="B1790" s="15" t="str">
        <f t="shared" si="54"/>
        <v/>
      </c>
      <c r="C1790" s="16" t="str">
        <f>IFERROR(VLOOKUP(DATA!#REF!,DATA!#REF!,1,FALSE),"")</f>
        <v/>
      </c>
      <c r="D1790" s="16" t="str">
        <f>IFERROR(VLOOKUP(C1790,DATA!#REF!,2,FALSE),"")</f>
        <v/>
      </c>
    </row>
    <row r="1791" spans="2:4" s="230" customFormat="1">
      <c r="B1791" s="15" t="str">
        <f t="shared" si="54"/>
        <v/>
      </c>
      <c r="C1791" s="16" t="str">
        <f>IFERROR(VLOOKUP(DATA!#REF!,DATA!#REF!,1,FALSE),"")</f>
        <v/>
      </c>
      <c r="D1791" s="16" t="str">
        <f>IFERROR(VLOOKUP(C1791,DATA!#REF!,2,FALSE),"")</f>
        <v/>
      </c>
    </row>
    <row r="1792" spans="2:4" s="230" customFormat="1">
      <c r="B1792" s="15" t="str">
        <f t="shared" si="54"/>
        <v/>
      </c>
      <c r="C1792" s="16" t="str">
        <f>IFERROR(VLOOKUP(DATA!#REF!,DATA!#REF!,1,FALSE),"")</f>
        <v/>
      </c>
      <c r="D1792" s="16" t="str">
        <f>IFERROR(VLOOKUP(C1792,DATA!#REF!,2,FALSE),"")</f>
        <v/>
      </c>
    </row>
    <row r="1793" spans="2:4" s="230" customFormat="1">
      <c r="B1793" s="15" t="str">
        <f t="shared" si="54"/>
        <v/>
      </c>
      <c r="C1793" s="16" t="str">
        <f>IFERROR(VLOOKUP(DATA!#REF!,DATA!#REF!,1,FALSE),"")</f>
        <v/>
      </c>
      <c r="D1793" s="16" t="str">
        <f>IFERROR(VLOOKUP(C1793,DATA!#REF!,2,FALSE),"")</f>
        <v/>
      </c>
    </row>
    <row r="1794" spans="2:4" s="230" customFormat="1">
      <c r="B1794" s="15" t="str">
        <f t="shared" si="54"/>
        <v/>
      </c>
      <c r="C1794" s="16" t="str">
        <f>IFERROR(VLOOKUP(DATA!#REF!,DATA!#REF!,1,FALSE),"")</f>
        <v/>
      </c>
      <c r="D1794" s="16" t="str">
        <f>IFERROR(VLOOKUP(C1794,DATA!#REF!,2,FALSE),"")</f>
        <v/>
      </c>
    </row>
    <row r="1795" spans="2:4" s="230" customFormat="1">
      <c r="B1795" s="15" t="str">
        <f t="shared" si="54"/>
        <v/>
      </c>
      <c r="C1795" s="16" t="str">
        <f>IFERROR(VLOOKUP(DATA!#REF!,DATA!#REF!,1,FALSE),"")</f>
        <v/>
      </c>
      <c r="D1795" s="16" t="str">
        <f>IFERROR(VLOOKUP(C1795,DATA!#REF!,2,FALSE),"")</f>
        <v/>
      </c>
    </row>
    <row r="1796" spans="2:4" s="230" customFormat="1">
      <c r="B1796" s="15" t="str">
        <f t="shared" si="54"/>
        <v/>
      </c>
      <c r="C1796" s="16" t="str">
        <f>IFERROR(VLOOKUP(DATA!#REF!,DATA!#REF!,1,FALSE),"")</f>
        <v/>
      </c>
      <c r="D1796" s="16" t="str">
        <f>IFERROR(VLOOKUP(C1796,DATA!#REF!,2,FALSE),"")</f>
        <v/>
      </c>
    </row>
    <row r="1797" spans="2:4" s="230" customFormat="1">
      <c r="B1797" s="15" t="str">
        <f t="shared" si="54"/>
        <v/>
      </c>
      <c r="C1797" s="16" t="str">
        <f>IFERROR(VLOOKUP(DATA!#REF!,DATA!#REF!,1,FALSE),"")</f>
        <v/>
      </c>
      <c r="D1797" s="16" t="str">
        <f>IFERROR(VLOOKUP(C1797,DATA!#REF!,2,FALSE),"")</f>
        <v/>
      </c>
    </row>
    <row r="1798" spans="2:4" s="230" customFormat="1">
      <c r="B1798" s="15" t="str">
        <f t="shared" ref="B1798:B1861" si="55">+IF(C1798="","",ROW()-5)</f>
        <v/>
      </c>
      <c r="C1798" s="16" t="str">
        <f>IFERROR(VLOOKUP(DATA!#REF!,DATA!#REF!,1,FALSE),"")</f>
        <v/>
      </c>
      <c r="D1798" s="16" t="str">
        <f>IFERROR(VLOOKUP(C1798,DATA!#REF!,2,FALSE),"")</f>
        <v/>
      </c>
    </row>
    <row r="1799" spans="2:4" s="230" customFormat="1">
      <c r="B1799" s="15" t="str">
        <f t="shared" si="55"/>
        <v/>
      </c>
      <c r="C1799" s="16" t="str">
        <f>IFERROR(VLOOKUP(DATA!#REF!,DATA!#REF!,1,FALSE),"")</f>
        <v/>
      </c>
      <c r="D1799" s="16" t="str">
        <f>IFERROR(VLOOKUP(C1799,DATA!#REF!,2,FALSE),"")</f>
        <v/>
      </c>
    </row>
    <row r="1800" spans="2:4" s="230" customFormat="1">
      <c r="B1800" s="15" t="str">
        <f t="shared" si="55"/>
        <v/>
      </c>
      <c r="C1800" s="16" t="str">
        <f>IFERROR(VLOOKUP(DATA!#REF!,DATA!#REF!,1,FALSE),"")</f>
        <v/>
      </c>
      <c r="D1800" s="16" t="str">
        <f>IFERROR(VLOOKUP(C1800,DATA!#REF!,2,FALSE),"")</f>
        <v/>
      </c>
    </row>
    <row r="1801" spans="2:4" s="230" customFormat="1">
      <c r="B1801" s="15" t="str">
        <f t="shared" si="55"/>
        <v/>
      </c>
      <c r="C1801" s="16" t="str">
        <f>IFERROR(VLOOKUP(DATA!#REF!,DATA!#REF!,1,FALSE),"")</f>
        <v/>
      </c>
      <c r="D1801" s="16" t="str">
        <f>IFERROR(VLOOKUP(C1801,DATA!#REF!,2,FALSE),"")</f>
        <v/>
      </c>
    </row>
    <row r="1802" spans="2:4" s="230" customFormat="1">
      <c r="B1802" s="15" t="str">
        <f t="shared" si="55"/>
        <v/>
      </c>
      <c r="C1802" s="16" t="str">
        <f>IFERROR(VLOOKUP(DATA!#REF!,DATA!#REF!,1,FALSE),"")</f>
        <v/>
      </c>
      <c r="D1802" s="16" t="str">
        <f>IFERROR(VLOOKUP(C1802,DATA!#REF!,2,FALSE),"")</f>
        <v/>
      </c>
    </row>
    <row r="1803" spans="2:4" s="230" customFormat="1">
      <c r="B1803" s="15" t="str">
        <f t="shared" si="55"/>
        <v/>
      </c>
      <c r="C1803" s="16" t="str">
        <f>IFERROR(VLOOKUP(DATA!#REF!,DATA!#REF!,1,FALSE),"")</f>
        <v/>
      </c>
      <c r="D1803" s="16" t="str">
        <f>IFERROR(VLOOKUP(C1803,DATA!#REF!,2,FALSE),"")</f>
        <v/>
      </c>
    </row>
    <row r="1804" spans="2:4" s="230" customFormat="1">
      <c r="B1804" s="15" t="str">
        <f t="shared" si="55"/>
        <v/>
      </c>
      <c r="C1804" s="16" t="str">
        <f>IFERROR(VLOOKUP(DATA!#REF!,DATA!#REF!,1,FALSE),"")</f>
        <v/>
      </c>
      <c r="D1804" s="16" t="str">
        <f>IFERROR(VLOOKUP(C1804,DATA!#REF!,2,FALSE),"")</f>
        <v/>
      </c>
    </row>
    <row r="1805" spans="2:4" s="230" customFormat="1">
      <c r="B1805" s="15" t="str">
        <f t="shared" si="55"/>
        <v/>
      </c>
      <c r="C1805" s="16" t="str">
        <f>IFERROR(VLOOKUP(DATA!#REF!,DATA!#REF!,1,FALSE),"")</f>
        <v/>
      </c>
      <c r="D1805" s="16" t="str">
        <f>IFERROR(VLOOKUP(C1805,DATA!#REF!,2,FALSE),"")</f>
        <v/>
      </c>
    </row>
    <row r="1806" spans="2:4" s="230" customFormat="1">
      <c r="B1806" s="15" t="str">
        <f t="shared" si="55"/>
        <v/>
      </c>
      <c r="C1806" s="16" t="str">
        <f>IFERROR(VLOOKUP(DATA!#REF!,DATA!#REF!,1,FALSE),"")</f>
        <v/>
      </c>
      <c r="D1806" s="16" t="str">
        <f>IFERROR(VLOOKUP(C1806,DATA!#REF!,2,FALSE),"")</f>
        <v/>
      </c>
    </row>
    <row r="1807" spans="2:4" s="230" customFormat="1">
      <c r="B1807" s="15" t="str">
        <f t="shared" si="55"/>
        <v/>
      </c>
      <c r="C1807" s="16" t="str">
        <f>IFERROR(VLOOKUP(DATA!#REF!,DATA!#REF!,1,FALSE),"")</f>
        <v/>
      </c>
      <c r="D1807" s="16" t="str">
        <f>IFERROR(VLOOKUP(C1807,DATA!#REF!,2,FALSE),"")</f>
        <v/>
      </c>
    </row>
    <row r="1808" spans="2:4" s="230" customFormat="1">
      <c r="B1808" s="15" t="str">
        <f t="shared" si="55"/>
        <v/>
      </c>
      <c r="C1808" s="16" t="str">
        <f>IFERROR(VLOOKUP(DATA!#REF!,DATA!#REF!,1,FALSE),"")</f>
        <v/>
      </c>
      <c r="D1808" s="16" t="str">
        <f>IFERROR(VLOOKUP(C1808,DATA!#REF!,2,FALSE),"")</f>
        <v/>
      </c>
    </row>
    <row r="1809" spans="2:4" s="230" customFormat="1">
      <c r="B1809" s="15" t="str">
        <f t="shared" si="55"/>
        <v/>
      </c>
      <c r="C1809" s="16" t="str">
        <f>IFERROR(VLOOKUP(DATA!#REF!,DATA!#REF!,1,FALSE),"")</f>
        <v/>
      </c>
      <c r="D1809" s="16" t="str">
        <f>IFERROR(VLOOKUP(C1809,DATA!#REF!,2,FALSE),"")</f>
        <v/>
      </c>
    </row>
    <row r="1810" spans="2:4" s="230" customFormat="1">
      <c r="B1810" s="15" t="str">
        <f t="shared" si="55"/>
        <v/>
      </c>
      <c r="C1810" s="16" t="str">
        <f>IFERROR(VLOOKUP(DATA!#REF!,DATA!#REF!,1,FALSE),"")</f>
        <v/>
      </c>
      <c r="D1810" s="16" t="str">
        <f>IFERROR(VLOOKUP(C1810,DATA!#REF!,2,FALSE),"")</f>
        <v/>
      </c>
    </row>
    <row r="1811" spans="2:4" s="230" customFormat="1">
      <c r="B1811" s="15" t="str">
        <f t="shared" si="55"/>
        <v/>
      </c>
      <c r="C1811" s="16" t="str">
        <f>IFERROR(VLOOKUP(DATA!#REF!,DATA!#REF!,1,FALSE),"")</f>
        <v/>
      </c>
      <c r="D1811" s="16" t="str">
        <f>IFERROR(VLOOKUP(C1811,DATA!#REF!,2,FALSE),"")</f>
        <v/>
      </c>
    </row>
    <row r="1812" spans="2:4" s="230" customFormat="1">
      <c r="B1812" s="15" t="str">
        <f t="shared" si="55"/>
        <v/>
      </c>
      <c r="C1812" s="16" t="str">
        <f>IFERROR(VLOOKUP(DATA!#REF!,DATA!#REF!,1,FALSE),"")</f>
        <v/>
      </c>
      <c r="D1812" s="16" t="str">
        <f>IFERROR(VLOOKUP(C1812,DATA!#REF!,2,FALSE),"")</f>
        <v/>
      </c>
    </row>
    <row r="1813" spans="2:4" s="230" customFormat="1">
      <c r="B1813" s="15" t="str">
        <f t="shared" si="55"/>
        <v/>
      </c>
      <c r="C1813" s="16" t="str">
        <f>IFERROR(VLOOKUP(DATA!#REF!,DATA!#REF!,1,FALSE),"")</f>
        <v/>
      </c>
      <c r="D1813" s="16" t="str">
        <f>IFERROR(VLOOKUP(C1813,DATA!#REF!,2,FALSE),"")</f>
        <v/>
      </c>
    </row>
    <row r="1814" spans="2:4" s="230" customFormat="1">
      <c r="B1814" s="15" t="str">
        <f t="shared" si="55"/>
        <v/>
      </c>
      <c r="C1814" s="16" t="str">
        <f>IFERROR(VLOOKUP(DATA!#REF!,DATA!#REF!,1,FALSE),"")</f>
        <v/>
      </c>
      <c r="D1814" s="16" t="str">
        <f>IFERROR(VLOOKUP(C1814,DATA!#REF!,2,FALSE),"")</f>
        <v/>
      </c>
    </row>
    <row r="1815" spans="2:4" s="230" customFormat="1">
      <c r="B1815" s="15" t="str">
        <f t="shared" si="55"/>
        <v/>
      </c>
      <c r="C1815" s="16" t="str">
        <f>IFERROR(VLOOKUP(DATA!#REF!,DATA!#REF!,1,FALSE),"")</f>
        <v/>
      </c>
      <c r="D1815" s="16" t="str">
        <f>IFERROR(VLOOKUP(C1815,DATA!#REF!,2,FALSE),"")</f>
        <v/>
      </c>
    </row>
    <row r="1816" spans="2:4" s="230" customFormat="1">
      <c r="B1816" s="15" t="str">
        <f t="shared" si="55"/>
        <v/>
      </c>
      <c r="C1816" s="16" t="str">
        <f>IFERROR(VLOOKUP(DATA!#REF!,DATA!#REF!,1,FALSE),"")</f>
        <v/>
      </c>
      <c r="D1816" s="16" t="str">
        <f>IFERROR(VLOOKUP(C1816,DATA!#REF!,2,FALSE),"")</f>
        <v/>
      </c>
    </row>
    <row r="1817" spans="2:4" s="230" customFormat="1">
      <c r="B1817" s="15" t="str">
        <f t="shared" si="55"/>
        <v/>
      </c>
      <c r="C1817" s="16" t="str">
        <f>IFERROR(VLOOKUP(DATA!#REF!,DATA!#REF!,1,FALSE),"")</f>
        <v/>
      </c>
      <c r="D1817" s="16" t="str">
        <f>IFERROR(VLOOKUP(C1817,DATA!#REF!,2,FALSE),"")</f>
        <v/>
      </c>
    </row>
    <row r="1818" spans="2:4" s="230" customFormat="1">
      <c r="B1818" s="15" t="str">
        <f t="shared" si="55"/>
        <v/>
      </c>
      <c r="C1818" s="16" t="str">
        <f>IFERROR(VLOOKUP(DATA!#REF!,DATA!#REF!,1,FALSE),"")</f>
        <v/>
      </c>
      <c r="D1818" s="16" t="str">
        <f>IFERROR(VLOOKUP(C1818,DATA!#REF!,2,FALSE),"")</f>
        <v/>
      </c>
    </row>
    <row r="1819" spans="2:4" s="230" customFormat="1">
      <c r="B1819" s="15" t="str">
        <f t="shared" si="55"/>
        <v/>
      </c>
      <c r="C1819" s="16" t="str">
        <f>IFERROR(VLOOKUP(DATA!#REF!,DATA!#REF!,1,FALSE),"")</f>
        <v/>
      </c>
      <c r="D1819" s="16" t="str">
        <f>IFERROR(VLOOKUP(C1819,DATA!#REF!,2,FALSE),"")</f>
        <v/>
      </c>
    </row>
    <row r="1820" spans="2:4" s="230" customFormat="1">
      <c r="B1820" s="15" t="str">
        <f t="shared" si="55"/>
        <v/>
      </c>
      <c r="C1820" s="16" t="str">
        <f>IFERROR(VLOOKUP(DATA!#REF!,DATA!#REF!,1,FALSE),"")</f>
        <v/>
      </c>
      <c r="D1820" s="16" t="str">
        <f>IFERROR(VLOOKUP(C1820,DATA!#REF!,2,FALSE),"")</f>
        <v/>
      </c>
    </row>
    <row r="1821" spans="2:4" s="230" customFormat="1">
      <c r="B1821" s="15" t="str">
        <f t="shared" si="55"/>
        <v/>
      </c>
      <c r="C1821" s="16" t="str">
        <f>IFERROR(VLOOKUP(DATA!#REF!,DATA!#REF!,1,FALSE),"")</f>
        <v/>
      </c>
      <c r="D1821" s="16" t="str">
        <f>IFERROR(VLOOKUP(C1821,DATA!#REF!,2,FALSE),"")</f>
        <v/>
      </c>
    </row>
    <row r="1822" spans="2:4" s="230" customFormat="1">
      <c r="B1822" s="15" t="str">
        <f t="shared" si="55"/>
        <v/>
      </c>
      <c r="C1822" s="16" t="str">
        <f>IFERROR(VLOOKUP(DATA!#REF!,DATA!#REF!,1,FALSE),"")</f>
        <v/>
      </c>
      <c r="D1822" s="16" t="str">
        <f>IFERROR(VLOOKUP(C1822,DATA!#REF!,2,FALSE),"")</f>
        <v/>
      </c>
    </row>
    <row r="1823" spans="2:4" s="230" customFormat="1">
      <c r="B1823" s="15" t="str">
        <f t="shared" si="55"/>
        <v/>
      </c>
      <c r="C1823" s="16" t="str">
        <f>IFERROR(VLOOKUP(DATA!#REF!,DATA!#REF!,1,FALSE),"")</f>
        <v/>
      </c>
      <c r="D1823" s="16" t="str">
        <f>IFERROR(VLOOKUP(C1823,DATA!#REF!,2,FALSE),"")</f>
        <v/>
      </c>
    </row>
    <row r="1824" spans="2:4" s="230" customFormat="1">
      <c r="B1824" s="15" t="str">
        <f t="shared" si="55"/>
        <v/>
      </c>
      <c r="C1824" s="16" t="str">
        <f>IFERROR(VLOOKUP(DATA!#REF!,DATA!#REF!,1,FALSE),"")</f>
        <v/>
      </c>
      <c r="D1824" s="16" t="str">
        <f>IFERROR(VLOOKUP(C1824,DATA!#REF!,2,FALSE),"")</f>
        <v/>
      </c>
    </row>
    <row r="1825" spans="2:4" s="230" customFormat="1">
      <c r="B1825" s="15" t="str">
        <f t="shared" si="55"/>
        <v/>
      </c>
      <c r="C1825" s="16" t="str">
        <f>IFERROR(VLOOKUP(DATA!#REF!,DATA!#REF!,1,FALSE),"")</f>
        <v/>
      </c>
      <c r="D1825" s="16" t="str">
        <f>IFERROR(VLOOKUP(C1825,DATA!#REF!,2,FALSE),"")</f>
        <v/>
      </c>
    </row>
    <row r="1826" spans="2:4" s="230" customFormat="1">
      <c r="B1826" s="15" t="str">
        <f t="shared" si="55"/>
        <v/>
      </c>
      <c r="C1826" s="16" t="str">
        <f>IFERROR(VLOOKUP(DATA!#REF!,DATA!#REF!,1,FALSE),"")</f>
        <v/>
      </c>
      <c r="D1826" s="16" t="str">
        <f>IFERROR(VLOOKUP(C1826,DATA!#REF!,2,FALSE),"")</f>
        <v/>
      </c>
    </row>
    <row r="1827" spans="2:4" s="230" customFormat="1">
      <c r="B1827" s="15" t="str">
        <f t="shared" si="55"/>
        <v/>
      </c>
      <c r="C1827" s="16" t="str">
        <f>IFERROR(VLOOKUP(DATA!#REF!,DATA!#REF!,1,FALSE),"")</f>
        <v/>
      </c>
      <c r="D1827" s="16" t="str">
        <f>IFERROR(VLOOKUP(C1827,DATA!#REF!,2,FALSE),"")</f>
        <v/>
      </c>
    </row>
    <row r="1828" spans="2:4" s="230" customFormat="1">
      <c r="B1828" s="15" t="str">
        <f t="shared" si="55"/>
        <v/>
      </c>
      <c r="C1828" s="16" t="str">
        <f>IFERROR(VLOOKUP(DATA!#REF!,DATA!#REF!,1,FALSE),"")</f>
        <v/>
      </c>
      <c r="D1828" s="16" t="str">
        <f>IFERROR(VLOOKUP(C1828,DATA!#REF!,2,FALSE),"")</f>
        <v/>
      </c>
    </row>
    <row r="1829" spans="2:4" s="230" customFormat="1">
      <c r="B1829" s="15" t="str">
        <f t="shared" si="55"/>
        <v/>
      </c>
      <c r="C1829" s="16" t="str">
        <f>IFERROR(VLOOKUP(DATA!#REF!,DATA!#REF!,1,FALSE),"")</f>
        <v/>
      </c>
      <c r="D1829" s="16" t="str">
        <f>IFERROR(VLOOKUP(C1829,DATA!#REF!,2,FALSE),"")</f>
        <v/>
      </c>
    </row>
    <row r="1830" spans="2:4" s="230" customFormat="1">
      <c r="B1830" s="15" t="str">
        <f t="shared" si="55"/>
        <v/>
      </c>
      <c r="C1830" s="16" t="str">
        <f>IFERROR(VLOOKUP(DATA!#REF!,DATA!#REF!,1,FALSE),"")</f>
        <v/>
      </c>
      <c r="D1830" s="16" t="str">
        <f>IFERROR(VLOOKUP(C1830,DATA!#REF!,2,FALSE),"")</f>
        <v/>
      </c>
    </row>
    <row r="1831" spans="2:4" s="230" customFormat="1">
      <c r="B1831" s="15" t="str">
        <f t="shared" si="55"/>
        <v/>
      </c>
      <c r="C1831" s="16" t="str">
        <f>IFERROR(VLOOKUP(DATA!#REF!,DATA!#REF!,1,FALSE),"")</f>
        <v/>
      </c>
      <c r="D1831" s="16" t="str">
        <f>IFERROR(VLOOKUP(C1831,DATA!#REF!,2,FALSE),"")</f>
        <v/>
      </c>
    </row>
    <row r="1832" spans="2:4" s="230" customFormat="1">
      <c r="B1832" s="15" t="str">
        <f t="shared" si="55"/>
        <v/>
      </c>
      <c r="C1832" s="16" t="str">
        <f>IFERROR(VLOOKUP(DATA!#REF!,DATA!#REF!,1,FALSE),"")</f>
        <v/>
      </c>
      <c r="D1832" s="16" t="str">
        <f>IFERROR(VLOOKUP(C1832,DATA!#REF!,2,FALSE),"")</f>
        <v/>
      </c>
    </row>
    <row r="1833" spans="2:4" s="230" customFormat="1">
      <c r="B1833" s="15" t="str">
        <f t="shared" si="55"/>
        <v/>
      </c>
      <c r="C1833" s="16" t="str">
        <f>IFERROR(VLOOKUP(DATA!#REF!,DATA!#REF!,1,FALSE),"")</f>
        <v/>
      </c>
      <c r="D1833" s="16" t="str">
        <f>IFERROR(VLOOKUP(C1833,DATA!#REF!,2,FALSE),"")</f>
        <v/>
      </c>
    </row>
    <row r="1834" spans="2:4" s="230" customFormat="1">
      <c r="B1834" s="15" t="str">
        <f t="shared" si="55"/>
        <v/>
      </c>
      <c r="C1834" s="16" t="str">
        <f>IFERROR(VLOOKUP(DATA!#REF!,DATA!#REF!,1,FALSE),"")</f>
        <v/>
      </c>
      <c r="D1834" s="16" t="str">
        <f>IFERROR(VLOOKUP(C1834,DATA!#REF!,2,FALSE),"")</f>
        <v/>
      </c>
    </row>
    <row r="1835" spans="2:4" s="230" customFormat="1">
      <c r="B1835" s="15" t="str">
        <f t="shared" si="55"/>
        <v/>
      </c>
      <c r="C1835" s="16" t="str">
        <f>IFERROR(VLOOKUP(DATA!#REF!,DATA!#REF!,1,FALSE),"")</f>
        <v/>
      </c>
      <c r="D1835" s="16" t="str">
        <f>IFERROR(VLOOKUP(C1835,DATA!#REF!,2,FALSE),"")</f>
        <v/>
      </c>
    </row>
    <row r="1836" spans="2:4" s="230" customFormat="1">
      <c r="B1836" s="15" t="str">
        <f t="shared" si="55"/>
        <v/>
      </c>
      <c r="C1836" s="16" t="str">
        <f>IFERROR(VLOOKUP(DATA!#REF!,DATA!#REF!,1,FALSE),"")</f>
        <v/>
      </c>
      <c r="D1836" s="16" t="str">
        <f>IFERROR(VLOOKUP(C1836,DATA!#REF!,2,FALSE),"")</f>
        <v/>
      </c>
    </row>
    <row r="1837" spans="2:4" s="230" customFormat="1">
      <c r="B1837" s="15" t="str">
        <f t="shared" si="55"/>
        <v/>
      </c>
      <c r="C1837" s="16" t="str">
        <f>IFERROR(VLOOKUP(DATA!#REF!,DATA!#REF!,1,FALSE),"")</f>
        <v/>
      </c>
      <c r="D1837" s="16" t="str">
        <f>IFERROR(VLOOKUP(C1837,DATA!#REF!,2,FALSE),"")</f>
        <v/>
      </c>
    </row>
    <row r="1838" spans="2:4" s="230" customFormat="1">
      <c r="B1838" s="15" t="str">
        <f t="shared" si="55"/>
        <v/>
      </c>
      <c r="C1838" s="16" t="str">
        <f>IFERROR(VLOOKUP(DATA!#REF!,DATA!#REF!,1,FALSE),"")</f>
        <v/>
      </c>
      <c r="D1838" s="16" t="str">
        <f>IFERROR(VLOOKUP(C1838,DATA!#REF!,2,FALSE),"")</f>
        <v/>
      </c>
    </row>
    <row r="1839" spans="2:4" s="230" customFormat="1">
      <c r="B1839" s="15" t="str">
        <f t="shared" si="55"/>
        <v/>
      </c>
      <c r="C1839" s="16" t="str">
        <f>IFERROR(VLOOKUP(DATA!#REF!,DATA!#REF!,1,FALSE),"")</f>
        <v/>
      </c>
      <c r="D1839" s="16" t="str">
        <f>IFERROR(VLOOKUP(C1839,DATA!#REF!,2,FALSE),"")</f>
        <v/>
      </c>
    </row>
    <row r="1840" spans="2:4" s="230" customFormat="1">
      <c r="B1840" s="15" t="str">
        <f t="shared" si="55"/>
        <v/>
      </c>
      <c r="C1840" s="16" t="str">
        <f>IFERROR(VLOOKUP(DATA!#REF!,DATA!#REF!,1,FALSE),"")</f>
        <v/>
      </c>
      <c r="D1840" s="16" t="str">
        <f>IFERROR(VLOOKUP(C1840,DATA!#REF!,2,FALSE),"")</f>
        <v/>
      </c>
    </row>
    <row r="1841" spans="2:4" s="230" customFormat="1">
      <c r="B1841" s="15" t="str">
        <f t="shared" si="55"/>
        <v/>
      </c>
      <c r="C1841" s="16" t="str">
        <f>IFERROR(VLOOKUP(DATA!#REF!,DATA!#REF!,1,FALSE),"")</f>
        <v/>
      </c>
      <c r="D1841" s="16" t="str">
        <f>IFERROR(VLOOKUP(C1841,DATA!#REF!,2,FALSE),"")</f>
        <v/>
      </c>
    </row>
    <row r="1842" spans="2:4" s="230" customFormat="1">
      <c r="B1842" s="15" t="str">
        <f t="shared" si="55"/>
        <v/>
      </c>
      <c r="C1842" s="16" t="str">
        <f>IFERROR(VLOOKUP(DATA!#REF!,DATA!#REF!,1,FALSE),"")</f>
        <v/>
      </c>
      <c r="D1842" s="16" t="str">
        <f>IFERROR(VLOOKUP(C1842,DATA!#REF!,2,FALSE),"")</f>
        <v/>
      </c>
    </row>
    <row r="1843" spans="2:4" s="230" customFormat="1">
      <c r="B1843" s="15" t="str">
        <f t="shared" si="55"/>
        <v/>
      </c>
      <c r="C1843" s="16" t="str">
        <f>IFERROR(VLOOKUP(DATA!#REF!,DATA!#REF!,1,FALSE),"")</f>
        <v/>
      </c>
      <c r="D1843" s="16" t="str">
        <f>IFERROR(VLOOKUP(C1843,DATA!#REF!,2,FALSE),"")</f>
        <v/>
      </c>
    </row>
    <row r="1844" spans="2:4" s="230" customFormat="1">
      <c r="B1844" s="15" t="str">
        <f t="shared" si="55"/>
        <v/>
      </c>
      <c r="C1844" s="16" t="str">
        <f>IFERROR(VLOOKUP(DATA!#REF!,DATA!#REF!,1,FALSE),"")</f>
        <v/>
      </c>
      <c r="D1844" s="16" t="str">
        <f>IFERROR(VLOOKUP(C1844,DATA!#REF!,2,FALSE),"")</f>
        <v/>
      </c>
    </row>
    <row r="1845" spans="2:4" s="230" customFormat="1">
      <c r="B1845" s="15" t="str">
        <f t="shared" si="55"/>
        <v/>
      </c>
      <c r="C1845" s="16" t="str">
        <f>IFERROR(VLOOKUP(DATA!#REF!,DATA!#REF!,1,FALSE),"")</f>
        <v/>
      </c>
      <c r="D1845" s="16" t="str">
        <f>IFERROR(VLOOKUP(C1845,DATA!#REF!,2,FALSE),"")</f>
        <v/>
      </c>
    </row>
    <row r="1846" spans="2:4" s="230" customFormat="1">
      <c r="B1846" s="15" t="str">
        <f t="shared" si="55"/>
        <v/>
      </c>
      <c r="C1846" s="16" t="str">
        <f>IFERROR(VLOOKUP(DATA!#REF!,DATA!#REF!,1,FALSE),"")</f>
        <v/>
      </c>
      <c r="D1846" s="16" t="str">
        <f>IFERROR(VLOOKUP(C1846,DATA!#REF!,2,FALSE),"")</f>
        <v/>
      </c>
    </row>
    <row r="1847" spans="2:4" s="230" customFormat="1">
      <c r="B1847" s="15" t="str">
        <f t="shared" si="55"/>
        <v/>
      </c>
      <c r="C1847" s="16" t="str">
        <f>IFERROR(VLOOKUP(DATA!#REF!,DATA!#REF!,1,FALSE),"")</f>
        <v/>
      </c>
      <c r="D1847" s="16" t="str">
        <f>IFERROR(VLOOKUP(C1847,DATA!#REF!,2,FALSE),"")</f>
        <v/>
      </c>
    </row>
    <row r="1848" spans="2:4" s="230" customFormat="1">
      <c r="B1848" s="15" t="str">
        <f t="shared" si="55"/>
        <v/>
      </c>
      <c r="C1848" s="16" t="str">
        <f>IFERROR(VLOOKUP(DATA!#REF!,DATA!#REF!,1,FALSE),"")</f>
        <v/>
      </c>
      <c r="D1848" s="16" t="str">
        <f>IFERROR(VLOOKUP(C1848,DATA!#REF!,2,FALSE),"")</f>
        <v/>
      </c>
    </row>
    <row r="1849" spans="2:4" s="230" customFormat="1">
      <c r="B1849" s="15" t="str">
        <f t="shared" si="55"/>
        <v/>
      </c>
      <c r="C1849" s="16" t="str">
        <f>IFERROR(VLOOKUP(DATA!#REF!,DATA!#REF!,1,FALSE),"")</f>
        <v/>
      </c>
      <c r="D1849" s="16" t="str">
        <f>IFERROR(VLOOKUP(C1849,DATA!#REF!,2,FALSE),"")</f>
        <v/>
      </c>
    </row>
    <row r="1850" spans="2:4" s="230" customFormat="1">
      <c r="B1850" s="15" t="str">
        <f t="shared" si="55"/>
        <v/>
      </c>
      <c r="C1850" s="16" t="str">
        <f>IFERROR(VLOOKUP(DATA!#REF!,DATA!#REF!,1,FALSE),"")</f>
        <v/>
      </c>
      <c r="D1850" s="16" t="str">
        <f>IFERROR(VLOOKUP(C1850,DATA!#REF!,2,FALSE),"")</f>
        <v/>
      </c>
    </row>
    <row r="1851" spans="2:4" s="230" customFormat="1">
      <c r="B1851" s="15" t="str">
        <f t="shared" si="55"/>
        <v/>
      </c>
      <c r="C1851" s="16" t="str">
        <f>IFERROR(VLOOKUP(DATA!#REF!,DATA!#REF!,1,FALSE),"")</f>
        <v/>
      </c>
      <c r="D1851" s="16" t="str">
        <f>IFERROR(VLOOKUP(C1851,DATA!#REF!,2,FALSE),"")</f>
        <v/>
      </c>
    </row>
    <row r="1852" spans="2:4" s="230" customFormat="1">
      <c r="B1852" s="15" t="str">
        <f t="shared" si="55"/>
        <v/>
      </c>
      <c r="C1852" s="16" t="str">
        <f>IFERROR(VLOOKUP(DATA!#REF!,DATA!#REF!,1,FALSE),"")</f>
        <v/>
      </c>
      <c r="D1852" s="16" t="str">
        <f>IFERROR(VLOOKUP(C1852,DATA!#REF!,2,FALSE),"")</f>
        <v/>
      </c>
    </row>
    <row r="1853" spans="2:4" s="230" customFormat="1">
      <c r="B1853" s="15" t="str">
        <f t="shared" si="55"/>
        <v/>
      </c>
      <c r="C1853" s="16" t="str">
        <f>IFERROR(VLOOKUP(DATA!#REF!,DATA!#REF!,1,FALSE),"")</f>
        <v/>
      </c>
      <c r="D1853" s="16" t="str">
        <f>IFERROR(VLOOKUP(C1853,DATA!#REF!,2,FALSE),"")</f>
        <v/>
      </c>
    </row>
    <row r="1854" spans="2:4" s="230" customFormat="1">
      <c r="B1854" s="15" t="str">
        <f t="shared" si="55"/>
        <v/>
      </c>
      <c r="C1854" s="16" t="str">
        <f>IFERROR(VLOOKUP(DATA!#REF!,DATA!#REF!,1,FALSE),"")</f>
        <v/>
      </c>
      <c r="D1854" s="16" t="str">
        <f>IFERROR(VLOOKUP(C1854,DATA!#REF!,2,FALSE),"")</f>
        <v/>
      </c>
    </row>
    <row r="1855" spans="2:4" s="230" customFormat="1">
      <c r="B1855" s="15" t="str">
        <f t="shared" si="55"/>
        <v/>
      </c>
      <c r="C1855" s="16" t="str">
        <f>IFERROR(VLOOKUP(DATA!#REF!,DATA!#REF!,1,FALSE),"")</f>
        <v/>
      </c>
      <c r="D1855" s="16" t="str">
        <f>IFERROR(VLOOKUP(C1855,DATA!#REF!,2,FALSE),"")</f>
        <v/>
      </c>
    </row>
    <row r="1856" spans="2:4" s="230" customFormat="1">
      <c r="B1856" s="15" t="str">
        <f t="shared" si="55"/>
        <v/>
      </c>
      <c r="C1856" s="16" t="str">
        <f>IFERROR(VLOOKUP(DATA!#REF!,DATA!#REF!,1,FALSE),"")</f>
        <v/>
      </c>
      <c r="D1856" s="16" t="str">
        <f>IFERROR(VLOOKUP(C1856,DATA!#REF!,2,FALSE),"")</f>
        <v/>
      </c>
    </row>
    <row r="1857" spans="2:4" s="230" customFormat="1">
      <c r="B1857" s="15" t="str">
        <f t="shared" si="55"/>
        <v/>
      </c>
      <c r="C1857" s="16" t="str">
        <f>IFERROR(VLOOKUP(DATA!#REF!,DATA!#REF!,1,FALSE),"")</f>
        <v/>
      </c>
      <c r="D1857" s="16" t="str">
        <f>IFERROR(VLOOKUP(C1857,DATA!#REF!,2,FALSE),"")</f>
        <v/>
      </c>
    </row>
    <row r="1858" spans="2:4" s="230" customFormat="1">
      <c r="B1858" s="15" t="str">
        <f t="shared" si="55"/>
        <v/>
      </c>
      <c r="C1858" s="16" t="str">
        <f>IFERROR(VLOOKUP(DATA!#REF!,DATA!#REF!,1,FALSE),"")</f>
        <v/>
      </c>
      <c r="D1858" s="16" t="str">
        <f>IFERROR(VLOOKUP(C1858,DATA!#REF!,2,FALSE),"")</f>
        <v/>
      </c>
    </row>
    <row r="1859" spans="2:4" s="230" customFormat="1">
      <c r="B1859" s="15" t="str">
        <f t="shared" si="55"/>
        <v/>
      </c>
      <c r="C1859" s="16" t="str">
        <f>IFERROR(VLOOKUP(DATA!#REF!,DATA!#REF!,1,FALSE),"")</f>
        <v/>
      </c>
      <c r="D1859" s="16" t="str">
        <f>IFERROR(VLOOKUP(C1859,DATA!#REF!,2,FALSE),"")</f>
        <v/>
      </c>
    </row>
    <row r="1860" spans="2:4" s="230" customFormat="1">
      <c r="B1860" s="15" t="str">
        <f t="shared" si="55"/>
        <v/>
      </c>
      <c r="C1860" s="16" t="str">
        <f>IFERROR(VLOOKUP(DATA!#REF!,DATA!#REF!,1,FALSE),"")</f>
        <v/>
      </c>
      <c r="D1860" s="16" t="str">
        <f>IFERROR(VLOOKUP(C1860,DATA!#REF!,2,FALSE),"")</f>
        <v/>
      </c>
    </row>
    <row r="1861" spans="2:4" s="230" customFormat="1">
      <c r="B1861" s="15" t="str">
        <f t="shared" si="55"/>
        <v/>
      </c>
      <c r="C1861" s="16" t="str">
        <f>IFERROR(VLOOKUP(DATA!#REF!,DATA!#REF!,1,FALSE),"")</f>
        <v/>
      </c>
      <c r="D1861" s="16" t="str">
        <f>IFERROR(VLOOKUP(C1861,DATA!#REF!,2,FALSE),"")</f>
        <v/>
      </c>
    </row>
    <row r="1862" spans="2:4" s="230" customFormat="1">
      <c r="B1862" s="15" t="str">
        <f t="shared" ref="B1862:B1925" si="56">+IF(C1862="","",ROW()-5)</f>
        <v/>
      </c>
      <c r="C1862" s="16" t="str">
        <f>IFERROR(VLOOKUP(DATA!#REF!,DATA!#REF!,1,FALSE),"")</f>
        <v/>
      </c>
      <c r="D1862" s="16" t="str">
        <f>IFERROR(VLOOKUP(C1862,DATA!#REF!,2,FALSE),"")</f>
        <v/>
      </c>
    </row>
    <row r="1863" spans="2:4" s="230" customFormat="1">
      <c r="B1863" s="15" t="str">
        <f t="shared" si="56"/>
        <v/>
      </c>
      <c r="C1863" s="16" t="str">
        <f>IFERROR(VLOOKUP(DATA!#REF!,DATA!#REF!,1,FALSE),"")</f>
        <v/>
      </c>
      <c r="D1863" s="16" t="str">
        <f>IFERROR(VLOOKUP(C1863,DATA!#REF!,2,FALSE),"")</f>
        <v/>
      </c>
    </row>
    <row r="1864" spans="2:4" s="230" customFormat="1">
      <c r="B1864" s="15" t="str">
        <f t="shared" si="56"/>
        <v/>
      </c>
      <c r="C1864" s="16" t="str">
        <f>IFERROR(VLOOKUP(DATA!#REF!,DATA!#REF!,1,FALSE),"")</f>
        <v/>
      </c>
      <c r="D1864" s="16" t="str">
        <f>IFERROR(VLOOKUP(C1864,DATA!#REF!,2,FALSE),"")</f>
        <v/>
      </c>
    </row>
    <row r="1865" spans="2:4" s="230" customFormat="1">
      <c r="B1865" s="15" t="str">
        <f t="shared" si="56"/>
        <v/>
      </c>
      <c r="C1865" s="16" t="str">
        <f>IFERROR(VLOOKUP(DATA!#REF!,DATA!#REF!,1,FALSE),"")</f>
        <v/>
      </c>
      <c r="D1865" s="16" t="str">
        <f>IFERROR(VLOOKUP(C1865,DATA!#REF!,2,FALSE),"")</f>
        <v/>
      </c>
    </row>
    <row r="1866" spans="2:4" s="230" customFormat="1">
      <c r="B1866" s="15" t="str">
        <f t="shared" si="56"/>
        <v/>
      </c>
      <c r="C1866" s="16" t="str">
        <f>IFERROR(VLOOKUP(DATA!#REF!,DATA!#REF!,1,FALSE),"")</f>
        <v/>
      </c>
      <c r="D1866" s="16" t="str">
        <f>IFERROR(VLOOKUP(C1866,DATA!#REF!,2,FALSE),"")</f>
        <v/>
      </c>
    </row>
    <row r="1867" spans="2:4" s="230" customFormat="1">
      <c r="B1867" s="15" t="str">
        <f t="shared" si="56"/>
        <v/>
      </c>
      <c r="C1867" s="16" t="str">
        <f>IFERROR(VLOOKUP(DATA!#REF!,DATA!#REF!,1,FALSE),"")</f>
        <v/>
      </c>
      <c r="D1867" s="16" t="str">
        <f>IFERROR(VLOOKUP(C1867,DATA!#REF!,2,FALSE),"")</f>
        <v/>
      </c>
    </row>
    <row r="1868" spans="2:4" s="230" customFormat="1">
      <c r="B1868" s="15" t="str">
        <f t="shared" si="56"/>
        <v/>
      </c>
      <c r="C1868" s="16" t="str">
        <f>IFERROR(VLOOKUP(DATA!#REF!,DATA!#REF!,1,FALSE),"")</f>
        <v/>
      </c>
      <c r="D1868" s="16" t="str">
        <f>IFERROR(VLOOKUP(C1868,DATA!#REF!,2,FALSE),"")</f>
        <v/>
      </c>
    </row>
    <row r="1869" spans="2:4" s="230" customFormat="1">
      <c r="B1869" s="15" t="str">
        <f t="shared" si="56"/>
        <v/>
      </c>
      <c r="C1869" s="16" t="str">
        <f>IFERROR(VLOOKUP(DATA!#REF!,DATA!#REF!,1,FALSE),"")</f>
        <v/>
      </c>
      <c r="D1869" s="16" t="str">
        <f>IFERROR(VLOOKUP(C1869,DATA!#REF!,2,FALSE),"")</f>
        <v/>
      </c>
    </row>
    <row r="1870" spans="2:4" s="230" customFormat="1">
      <c r="B1870" s="15" t="str">
        <f t="shared" si="56"/>
        <v/>
      </c>
      <c r="C1870" s="16" t="str">
        <f>IFERROR(VLOOKUP(DATA!#REF!,DATA!#REF!,1,FALSE),"")</f>
        <v/>
      </c>
      <c r="D1870" s="16" t="str">
        <f>IFERROR(VLOOKUP(C1870,DATA!#REF!,2,FALSE),"")</f>
        <v/>
      </c>
    </row>
    <row r="1871" spans="2:4" s="230" customFormat="1">
      <c r="B1871" s="15" t="str">
        <f t="shared" si="56"/>
        <v/>
      </c>
      <c r="C1871" s="16" t="str">
        <f>IFERROR(VLOOKUP(DATA!#REF!,DATA!#REF!,1,FALSE),"")</f>
        <v/>
      </c>
      <c r="D1871" s="16" t="str">
        <f>IFERROR(VLOOKUP(C1871,DATA!#REF!,2,FALSE),"")</f>
        <v/>
      </c>
    </row>
    <row r="1872" spans="2:4" s="230" customFormat="1">
      <c r="B1872" s="15" t="str">
        <f t="shared" si="56"/>
        <v/>
      </c>
      <c r="C1872" s="16" t="str">
        <f>IFERROR(VLOOKUP(DATA!#REF!,DATA!#REF!,1,FALSE),"")</f>
        <v/>
      </c>
      <c r="D1872" s="16" t="str">
        <f>IFERROR(VLOOKUP(C1872,DATA!#REF!,2,FALSE),"")</f>
        <v/>
      </c>
    </row>
    <row r="1873" spans="2:4" s="230" customFormat="1">
      <c r="B1873" s="15" t="str">
        <f t="shared" si="56"/>
        <v/>
      </c>
      <c r="C1873" s="16" t="str">
        <f>IFERROR(VLOOKUP(DATA!#REF!,DATA!#REF!,1,FALSE),"")</f>
        <v/>
      </c>
      <c r="D1873" s="16" t="str">
        <f>IFERROR(VLOOKUP(C1873,DATA!#REF!,2,FALSE),"")</f>
        <v/>
      </c>
    </row>
    <row r="1874" spans="2:4" s="230" customFormat="1">
      <c r="B1874" s="15" t="str">
        <f t="shared" si="56"/>
        <v/>
      </c>
      <c r="C1874" s="16" t="str">
        <f>IFERROR(VLOOKUP(DATA!#REF!,DATA!#REF!,1,FALSE),"")</f>
        <v/>
      </c>
      <c r="D1874" s="16" t="str">
        <f>IFERROR(VLOOKUP(C1874,DATA!#REF!,2,FALSE),"")</f>
        <v/>
      </c>
    </row>
    <row r="1875" spans="2:4" s="230" customFormat="1">
      <c r="B1875" s="15" t="str">
        <f t="shared" si="56"/>
        <v/>
      </c>
      <c r="C1875" s="16" t="str">
        <f>IFERROR(VLOOKUP(DATA!#REF!,DATA!#REF!,1,FALSE),"")</f>
        <v/>
      </c>
      <c r="D1875" s="16" t="str">
        <f>IFERROR(VLOOKUP(C1875,DATA!#REF!,2,FALSE),"")</f>
        <v/>
      </c>
    </row>
    <row r="1876" spans="2:4" s="230" customFormat="1">
      <c r="B1876" s="15" t="str">
        <f t="shared" si="56"/>
        <v/>
      </c>
      <c r="C1876" s="16" t="str">
        <f>IFERROR(VLOOKUP(DATA!#REF!,DATA!#REF!,1,FALSE),"")</f>
        <v/>
      </c>
      <c r="D1876" s="16" t="str">
        <f>IFERROR(VLOOKUP(C1876,DATA!#REF!,2,FALSE),"")</f>
        <v/>
      </c>
    </row>
    <row r="1877" spans="2:4" s="230" customFormat="1">
      <c r="B1877" s="15" t="str">
        <f t="shared" si="56"/>
        <v/>
      </c>
      <c r="C1877" s="16" t="str">
        <f>IFERROR(VLOOKUP(DATA!#REF!,DATA!#REF!,1,FALSE),"")</f>
        <v/>
      </c>
      <c r="D1877" s="16" t="str">
        <f>IFERROR(VLOOKUP(C1877,DATA!#REF!,2,FALSE),"")</f>
        <v/>
      </c>
    </row>
    <row r="1878" spans="2:4" s="230" customFormat="1">
      <c r="B1878" s="15" t="str">
        <f t="shared" si="56"/>
        <v/>
      </c>
      <c r="C1878" s="16" t="str">
        <f>IFERROR(VLOOKUP(DATA!#REF!,DATA!#REF!,1,FALSE),"")</f>
        <v/>
      </c>
      <c r="D1878" s="16" t="str">
        <f>IFERROR(VLOOKUP(C1878,DATA!#REF!,2,FALSE),"")</f>
        <v/>
      </c>
    </row>
    <row r="1879" spans="2:4" s="230" customFormat="1">
      <c r="B1879" s="15" t="str">
        <f t="shared" si="56"/>
        <v/>
      </c>
      <c r="C1879" s="16" t="str">
        <f>IFERROR(VLOOKUP(DATA!#REF!,DATA!#REF!,1,FALSE),"")</f>
        <v/>
      </c>
      <c r="D1879" s="16" t="str">
        <f>IFERROR(VLOOKUP(C1879,DATA!#REF!,2,FALSE),"")</f>
        <v/>
      </c>
    </row>
    <row r="1880" spans="2:4" s="230" customFormat="1">
      <c r="B1880" s="15" t="str">
        <f t="shared" si="56"/>
        <v/>
      </c>
      <c r="C1880" s="16" t="str">
        <f>IFERROR(VLOOKUP(DATA!#REF!,DATA!#REF!,1,FALSE),"")</f>
        <v/>
      </c>
      <c r="D1880" s="16" t="str">
        <f>IFERROR(VLOOKUP(C1880,DATA!#REF!,2,FALSE),"")</f>
        <v/>
      </c>
    </row>
    <row r="1881" spans="2:4" s="230" customFormat="1">
      <c r="B1881" s="15" t="str">
        <f t="shared" si="56"/>
        <v/>
      </c>
      <c r="C1881" s="16" t="str">
        <f>IFERROR(VLOOKUP(DATA!#REF!,DATA!#REF!,1,FALSE),"")</f>
        <v/>
      </c>
      <c r="D1881" s="16" t="str">
        <f>IFERROR(VLOOKUP(C1881,DATA!#REF!,2,FALSE),"")</f>
        <v/>
      </c>
    </row>
    <row r="1882" spans="2:4" s="230" customFormat="1">
      <c r="B1882" s="15" t="str">
        <f t="shared" si="56"/>
        <v/>
      </c>
      <c r="C1882" s="16" t="str">
        <f>IFERROR(VLOOKUP(DATA!#REF!,DATA!#REF!,1,FALSE),"")</f>
        <v/>
      </c>
      <c r="D1882" s="16" t="str">
        <f>IFERROR(VLOOKUP(C1882,DATA!#REF!,2,FALSE),"")</f>
        <v/>
      </c>
    </row>
    <row r="1883" spans="2:4" s="230" customFormat="1">
      <c r="B1883" s="15" t="str">
        <f t="shared" si="56"/>
        <v/>
      </c>
      <c r="C1883" s="16" t="str">
        <f>IFERROR(VLOOKUP(DATA!#REF!,DATA!#REF!,1,FALSE),"")</f>
        <v/>
      </c>
      <c r="D1883" s="16" t="str">
        <f>IFERROR(VLOOKUP(C1883,DATA!#REF!,2,FALSE),"")</f>
        <v/>
      </c>
    </row>
    <row r="1884" spans="2:4" s="230" customFormat="1">
      <c r="B1884" s="15" t="str">
        <f t="shared" si="56"/>
        <v/>
      </c>
      <c r="C1884" s="16" t="str">
        <f>IFERROR(VLOOKUP(DATA!#REF!,DATA!#REF!,1,FALSE),"")</f>
        <v/>
      </c>
      <c r="D1884" s="16" t="str">
        <f>IFERROR(VLOOKUP(C1884,DATA!#REF!,2,FALSE),"")</f>
        <v/>
      </c>
    </row>
    <row r="1885" spans="2:4" s="230" customFormat="1">
      <c r="B1885" s="15" t="str">
        <f t="shared" si="56"/>
        <v/>
      </c>
      <c r="C1885" s="16" t="str">
        <f>IFERROR(VLOOKUP(DATA!#REF!,DATA!#REF!,1,FALSE),"")</f>
        <v/>
      </c>
      <c r="D1885" s="16" t="str">
        <f>IFERROR(VLOOKUP(C1885,DATA!#REF!,2,FALSE),"")</f>
        <v/>
      </c>
    </row>
    <row r="1886" spans="2:4" s="230" customFormat="1">
      <c r="B1886" s="15" t="str">
        <f t="shared" si="56"/>
        <v/>
      </c>
      <c r="C1886" s="16" t="str">
        <f>IFERROR(VLOOKUP(DATA!#REF!,DATA!#REF!,1,FALSE),"")</f>
        <v/>
      </c>
      <c r="D1886" s="16" t="str">
        <f>IFERROR(VLOOKUP(C1886,DATA!#REF!,2,FALSE),"")</f>
        <v/>
      </c>
    </row>
    <row r="1887" spans="2:4" s="230" customFormat="1">
      <c r="B1887" s="15" t="str">
        <f t="shared" si="56"/>
        <v/>
      </c>
      <c r="C1887" s="16" t="str">
        <f>IFERROR(VLOOKUP(DATA!#REF!,DATA!#REF!,1,FALSE),"")</f>
        <v/>
      </c>
      <c r="D1887" s="16" t="str">
        <f>IFERROR(VLOOKUP(C1887,DATA!#REF!,2,FALSE),"")</f>
        <v/>
      </c>
    </row>
    <row r="1888" spans="2:4" s="230" customFormat="1">
      <c r="B1888" s="15" t="str">
        <f t="shared" si="56"/>
        <v/>
      </c>
      <c r="C1888" s="16" t="str">
        <f>IFERROR(VLOOKUP(DATA!#REF!,DATA!#REF!,1,FALSE),"")</f>
        <v/>
      </c>
      <c r="D1888" s="16" t="str">
        <f>IFERROR(VLOOKUP(C1888,DATA!#REF!,2,FALSE),"")</f>
        <v/>
      </c>
    </row>
    <row r="1889" spans="2:4" s="230" customFormat="1">
      <c r="B1889" s="15" t="str">
        <f t="shared" si="56"/>
        <v/>
      </c>
      <c r="C1889" s="16" t="str">
        <f>IFERROR(VLOOKUP(DATA!#REF!,DATA!#REF!,1,FALSE),"")</f>
        <v/>
      </c>
      <c r="D1889" s="16" t="str">
        <f>IFERROR(VLOOKUP(C1889,DATA!#REF!,2,FALSE),"")</f>
        <v/>
      </c>
    </row>
    <row r="1890" spans="2:4" s="230" customFormat="1">
      <c r="B1890" s="15" t="str">
        <f t="shared" si="56"/>
        <v/>
      </c>
      <c r="C1890" s="16" t="str">
        <f>IFERROR(VLOOKUP(DATA!#REF!,DATA!#REF!,1,FALSE),"")</f>
        <v/>
      </c>
      <c r="D1890" s="16" t="str">
        <f>IFERROR(VLOOKUP(C1890,DATA!#REF!,2,FALSE),"")</f>
        <v/>
      </c>
    </row>
    <row r="1891" spans="2:4" s="230" customFormat="1">
      <c r="B1891" s="15" t="str">
        <f t="shared" si="56"/>
        <v/>
      </c>
      <c r="C1891" s="16" t="str">
        <f>IFERROR(VLOOKUP(DATA!#REF!,DATA!#REF!,1,FALSE),"")</f>
        <v/>
      </c>
      <c r="D1891" s="16" t="str">
        <f>IFERROR(VLOOKUP(C1891,DATA!#REF!,2,FALSE),"")</f>
        <v/>
      </c>
    </row>
    <row r="1892" spans="2:4" s="230" customFormat="1">
      <c r="B1892" s="15" t="str">
        <f t="shared" si="56"/>
        <v/>
      </c>
      <c r="C1892" s="16" t="str">
        <f>IFERROR(VLOOKUP(DATA!#REF!,DATA!#REF!,1,FALSE),"")</f>
        <v/>
      </c>
      <c r="D1892" s="16" t="str">
        <f>IFERROR(VLOOKUP(C1892,DATA!#REF!,2,FALSE),"")</f>
        <v/>
      </c>
    </row>
    <row r="1893" spans="2:4" s="230" customFormat="1">
      <c r="B1893" s="15" t="str">
        <f t="shared" si="56"/>
        <v/>
      </c>
      <c r="C1893" s="16" t="str">
        <f>IFERROR(VLOOKUP(DATA!#REF!,DATA!#REF!,1,FALSE),"")</f>
        <v/>
      </c>
      <c r="D1893" s="16" t="str">
        <f>IFERROR(VLOOKUP(C1893,DATA!#REF!,2,FALSE),"")</f>
        <v/>
      </c>
    </row>
    <row r="1894" spans="2:4" s="230" customFormat="1">
      <c r="B1894" s="15" t="str">
        <f t="shared" si="56"/>
        <v/>
      </c>
      <c r="C1894" s="16" t="str">
        <f>IFERROR(VLOOKUP(DATA!#REF!,DATA!#REF!,1,FALSE),"")</f>
        <v/>
      </c>
      <c r="D1894" s="16" t="str">
        <f>IFERROR(VLOOKUP(C1894,DATA!#REF!,2,FALSE),"")</f>
        <v/>
      </c>
    </row>
    <row r="1895" spans="2:4" s="230" customFormat="1">
      <c r="B1895" s="15" t="str">
        <f t="shared" si="56"/>
        <v/>
      </c>
      <c r="C1895" s="16" t="str">
        <f>IFERROR(VLOOKUP(DATA!#REF!,DATA!#REF!,1,FALSE),"")</f>
        <v/>
      </c>
      <c r="D1895" s="16" t="str">
        <f>IFERROR(VLOOKUP(C1895,DATA!#REF!,2,FALSE),"")</f>
        <v/>
      </c>
    </row>
    <row r="1896" spans="2:4" s="230" customFormat="1">
      <c r="B1896" s="15" t="str">
        <f t="shared" si="56"/>
        <v/>
      </c>
      <c r="C1896" s="16" t="str">
        <f>IFERROR(VLOOKUP(DATA!#REF!,DATA!#REF!,1,FALSE),"")</f>
        <v/>
      </c>
      <c r="D1896" s="16" t="str">
        <f>IFERROR(VLOOKUP(C1896,DATA!#REF!,2,FALSE),"")</f>
        <v/>
      </c>
    </row>
    <row r="1897" spans="2:4" s="230" customFormat="1">
      <c r="B1897" s="15" t="str">
        <f t="shared" si="56"/>
        <v/>
      </c>
      <c r="C1897" s="16" t="str">
        <f>IFERROR(VLOOKUP(DATA!#REF!,DATA!#REF!,1,FALSE),"")</f>
        <v/>
      </c>
      <c r="D1897" s="16" t="str">
        <f>IFERROR(VLOOKUP(C1897,DATA!#REF!,2,FALSE),"")</f>
        <v/>
      </c>
    </row>
    <row r="1898" spans="2:4" s="230" customFormat="1">
      <c r="B1898" s="15" t="str">
        <f t="shared" si="56"/>
        <v/>
      </c>
      <c r="C1898" s="16" t="str">
        <f>IFERROR(VLOOKUP(DATA!#REF!,DATA!#REF!,1,FALSE),"")</f>
        <v/>
      </c>
      <c r="D1898" s="16" t="str">
        <f>IFERROR(VLOOKUP(C1898,DATA!#REF!,2,FALSE),"")</f>
        <v/>
      </c>
    </row>
    <row r="1899" spans="2:4" s="230" customFormat="1">
      <c r="B1899" s="15" t="str">
        <f t="shared" si="56"/>
        <v/>
      </c>
      <c r="C1899" s="16" t="str">
        <f>IFERROR(VLOOKUP(DATA!#REF!,DATA!#REF!,1,FALSE),"")</f>
        <v/>
      </c>
      <c r="D1899" s="16" t="str">
        <f>IFERROR(VLOOKUP(C1899,DATA!#REF!,2,FALSE),"")</f>
        <v/>
      </c>
    </row>
    <row r="1900" spans="2:4" s="230" customFormat="1">
      <c r="B1900" s="15" t="str">
        <f t="shared" si="56"/>
        <v/>
      </c>
      <c r="C1900" s="16" t="str">
        <f>IFERROR(VLOOKUP(DATA!#REF!,DATA!#REF!,1,FALSE),"")</f>
        <v/>
      </c>
      <c r="D1900" s="16" t="str">
        <f>IFERROR(VLOOKUP(C1900,DATA!#REF!,2,FALSE),"")</f>
        <v/>
      </c>
    </row>
    <row r="1901" spans="2:4" s="230" customFormat="1">
      <c r="B1901" s="15" t="str">
        <f t="shared" si="56"/>
        <v/>
      </c>
      <c r="C1901" s="16" t="str">
        <f>IFERROR(VLOOKUP(DATA!#REF!,DATA!#REF!,1,FALSE),"")</f>
        <v/>
      </c>
      <c r="D1901" s="16" t="str">
        <f>IFERROR(VLOOKUP(C1901,DATA!#REF!,2,FALSE),"")</f>
        <v/>
      </c>
    </row>
    <row r="1902" spans="2:4" s="230" customFormat="1">
      <c r="B1902" s="15" t="str">
        <f t="shared" si="56"/>
        <v/>
      </c>
      <c r="C1902" s="16" t="str">
        <f>IFERROR(VLOOKUP(DATA!#REF!,DATA!#REF!,1,FALSE),"")</f>
        <v/>
      </c>
      <c r="D1902" s="16" t="str">
        <f>IFERROR(VLOOKUP(C1902,DATA!#REF!,2,FALSE),"")</f>
        <v/>
      </c>
    </row>
    <row r="1903" spans="2:4" s="230" customFormat="1">
      <c r="B1903" s="15" t="str">
        <f t="shared" si="56"/>
        <v/>
      </c>
      <c r="C1903" s="16" t="str">
        <f>IFERROR(VLOOKUP(DATA!#REF!,DATA!#REF!,1,FALSE),"")</f>
        <v/>
      </c>
      <c r="D1903" s="16" t="str">
        <f>IFERROR(VLOOKUP(C1903,DATA!#REF!,2,FALSE),"")</f>
        <v/>
      </c>
    </row>
    <row r="1904" spans="2:4" s="230" customFormat="1">
      <c r="B1904" s="15" t="str">
        <f t="shared" si="56"/>
        <v/>
      </c>
      <c r="C1904" s="16" t="str">
        <f>IFERROR(VLOOKUP(DATA!#REF!,DATA!#REF!,1,FALSE),"")</f>
        <v/>
      </c>
      <c r="D1904" s="16" t="str">
        <f>IFERROR(VLOOKUP(C1904,DATA!#REF!,2,FALSE),"")</f>
        <v/>
      </c>
    </row>
    <row r="1905" spans="2:4" s="230" customFormat="1">
      <c r="B1905" s="15" t="str">
        <f t="shared" si="56"/>
        <v/>
      </c>
      <c r="C1905" s="16" t="str">
        <f>IFERROR(VLOOKUP(DATA!#REF!,DATA!#REF!,1,FALSE),"")</f>
        <v/>
      </c>
      <c r="D1905" s="16" t="str">
        <f>IFERROR(VLOOKUP(C1905,DATA!#REF!,2,FALSE),"")</f>
        <v/>
      </c>
    </row>
    <row r="1906" spans="2:4" s="230" customFormat="1">
      <c r="B1906" s="15" t="str">
        <f t="shared" si="56"/>
        <v/>
      </c>
      <c r="C1906" s="16" t="str">
        <f>IFERROR(VLOOKUP(DATA!#REF!,DATA!#REF!,1,FALSE),"")</f>
        <v/>
      </c>
      <c r="D1906" s="16" t="str">
        <f>IFERROR(VLOOKUP(C1906,DATA!#REF!,2,FALSE),"")</f>
        <v/>
      </c>
    </row>
    <row r="1907" spans="2:4" s="230" customFormat="1">
      <c r="B1907" s="15" t="str">
        <f t="shared" si="56"/>
        <v/>
      </c>
      <c r="C1907" s="16" t="str">
        <f>IFERROR(VLOOKUP(DATA!#REF!,DATA!#REF!,1,FALSE),"")</f>
        <v/>
      </c>
      <c r="D1907" s="16" t="str">
        <f>IFERROR(VLOOKUP(C1907,DATA!#REF!,2,FALSE),"")</f>
        <v/>
      </c>
    </row>
    <row r="1908" spans="2:4" s="230" customFormat="1">
      <c r="B1908" s="15" t="str">
        <f t="shared" si="56"/>
        <v/>
      </c>
      <c r="C1908" s="16" t="str">
        <f>IFERROR(VLOOKUP(DATA!#REF!,DATA!#REF!,1,FALSE),"")</f>
        <v/>
      </c>
      <c r="D1908" s="16" t="str">
        <f>IFERROR(VLOOKUP(C1908,DATA!#REF!,2,FALSE),"")</f>
        <v/>
      </c>
    </row>
    <row r="1909" spans="2:4" s="230" customFormat="1">
      <c r="B1909" s="15" t="str">
        <f t="shared" si="56"/>
        <v/>
      </c>
      <c r="C1909" s="16" t="str">
        <f>IFERROR(VLOOKUP(DATA!#REF!,DATA!#REF!,1,FALSE),"")</f>
        <v/>
      </c>
      <c r="D1909" s="16" t="str">
        <f>IFERROR(VLOOKUP(C1909,DATA!#REF!,2,FALSE),"")</f>
        <v/>
      </c>
    </row>
    <row r="1910" spans="2:4" s="230" customFormat="1">
      <c r="B1910" s="15" t="str">
        <f t="shared" si="56"/>
        <v/>
      </c>
      <c r="C1910" s="16" t="str">
        <f>IFERROR(VLOOKUP(DATA!#REF!,DATA!#REF!,1,FALSE),"")</f>
        <v/>
      </c>
      <c r="D1910" s="16" t="str">
        <f>IFERROR(VLOOKUP(C1910,DATA!#REF!,2,FALSE),"")</f>
        <v/>
      </c>
    </row>
    <row r="1911" spans="2:4" s="230" customFormat="1">
      <c r="B1911" s="15" t="str">
        <f t="shared" si="56"/>
        <v/>
      </c>
      <c r="C1911" s="16" t="str">
        <f>IFERROR(VLOOKUP(DATA!#REF!,DATA!#REF!,1,FALSE),"")</f>
        <v/>
      </c>
      <c r="D1911" s="16" t="str">
        <f>IFERROR(VLOOKUP(C1911,DATA!#REF!,2,FALSE),"")</f>
        <v/>
      </c>
    </row>
    <row r="1912" spans="2:4" s="230" customFormat="1">
      <c r="B1912" s="15" t="str">
        <f t="shared" si="56"/>
        <v/>
      </c>
      <c r="C1912" s="16" t="str">
        <f>IFERROR(VLOOKUP(DATA!#REF!,DATA!#REF!,1,FALSE),"")</f>
        <v/>
      </c>
      <c r="D1912" s="16" t="str">
        <f>IFERROR(VLOOKUP(C1912,DATA!#REF!,2,FALSE),"")</f>
        <v/>
      </c>
    </row>
    <row r="1913" spans="2:4" s="230" customFormat="1">
      <c r="B1913" s="15" t="str">
        <f t="shared" si="56"/>
        <v/>
      </c>
      <c r="C1913" s="16" t="str">
        <f>IFERROR(VLOOKUP(DATA!#REF!,DATA!#REF!,1,FALSE),"")</f>
        <v/>
      </c>
      <c r="D1913" s="16" t="str">
        <f>IFERROR(VLOOKUP(C1913,DATA!#REF!,2,FALSE),"")</f>
        <v/>
      </c>
    </row>
    <row r="1914" spans="2:4" s="230" customFormat="1">
      <c r="B1914" s="15" t="str">
        <f t="shared" si="56"/>
        <v/>
      </c>
      <c r="C1914" s="16" t="str">
        <f>IFERROR(VLOOKUP(DATA!#REF!,DATA!#REF!,1,FALSE),"")</f>
        <v/>
      </c>
      <c r="D1914" s="16" t="str">
        <f>IFERROR(VLOOKUP(C1914,DATA!#REF!,2,FALSE),"")</f>
        <v/>
      </c>
    </row>
    <row r="1915" spans="2:4" s="230" customFormat="1">
      <c r="B1915" s="15" t="str">
        <f t="shared" si="56"/>
        <v/>
      </c>
      <c r="C1915" s="16" t="str">
        <f>IFERROR(VLOOKUP(DATA!#REF!,DATA!#REF!,1,FALSE),"")</f>
        <v/>
      </c>
      <c r="D1915" s="16" t="str">
        <f>IFERROR(VLOOKUP(C1915,DATA!#REF!,2,FALSE),"")</f>
        <v/>
      </c>
    </row>
    <row r="1916" spans="2:4" s="230" customFormat="1">
      <c r="B1916" s="15" t="str">
        <f t="shared" si="56"/>
        <v/>
      </c>
      <c r="C1916" s="16" t="str">
        <f>IFERROR(VLOOKUP(DATA!#REF!,DATA!#REF!,1,FALSE),"")</f>
        <v/>
      </c>
      <c r="D1916" s="16" t="str">
        <f>IFERROR(VLOOKUP(C1916,DATA!#REF!,2,FALSE),"")</f>
        <v/>
      </c>
    </row>
    <row r="1917" spans="2:4" s="230" customFormat="1">
      <c r="B1917" s="15" t="str">
        <f t="shared" si="56"/>
        <v/>
      </c>
      <c r="C1917" s="16" t="str">
        <f>IFERROR(VLOOKUP(DATA!#REF!,DATA!#REF!,1,FALSE),"")</f>
        <v/>
      </c>
      <c r="D1917" s="16" t="str">
        <f>IFERROR(VLOOKUP(C1917,DATA!#REF!,2,FALSE),"")</f>
        <v/>
      </c>
    </row>
    <row r="1918" spans="2:4" s="230" customFormat="1">
      <c r="B1918" s="15" t="str">
        <f t="shared" si="56"/>
        <v/>
      </c>
      <c r="C1918" s="16" t="str">
        <f>IFERROR(VLOOKUP(DATA!#REF!,DATA!#REF!,1,FALSE),"")</f>
        <v/>
      </c>
      <c r="D1918" s="16" t="str">
        <f>IFERROR(VLOOKUP(C1918,DATA!#REF!,2,FALSE),"")</f>
        <v/>
      </c>
    </row>
    <row r="1919" spans="2:4" s="230" customFormat="1">
      <c r="B1919" s="15" t="str">
        <f t="shared" si="56"/>
        <v/>
      </c>
      <c r="C1919" s="16" t="str">
        <f>IFERROR(VLOOKUP(DATA!#REF!,DATA!#REF!,1,FALSE),"")</f>
        <v/>
      </c>
      <c r="D1919" s="16" t="str">
        <f>IFERROR(VLOOKUP(C1919,DATA!#REF!,2,FALSE),"")</f>
        <v/>
      </c>
    </row>
    <row r="1920" spans="2:4" s="230" customFormat="1">
      <c r="B1920" s="15" t="str">
        <f t="shared" si="56"/>
        <v/>
      </c>
      <c r="C1920" s="16" t="str">
        <f>IFERROR(VLOOKUP(DATA!#REF!,DATA!#REF!,1,FALSE),"")</f>
        <v/>
      </c>
      <c r="D1920" s="16" t="str">
        <f>IFERROR(VLOOKUP(C1920,DATA!#REF!,2,FALSE),"")</f>
        <v/>
      </c>
    </row>
    <row r="1921" spans="2:4" s="230" customFormat="1">
      <c r="B1921" s="15" t="str">
        <f t="shared" si="56"/>
        <v/>
      </c>
      <c r="C1921" s="16" t="str">
        <f>IFERROR(VLOOKUP(DATA!#REF!,DATA!#REF!,1,FALSE),"")</f>
        <v/>
      </c>
      <c r="D1921" s="16" t="str">
        <f>IFERROR(VLOOKUP(C1921,DATA!#REF!,2,FALSE),"")</f>
        <v/>
      </c>
    </row>
    <row r="1922" spans="2:4" s="230" customFormat="1">
      <c r="B1922" s="15" t="str">
        <f t="shared" si="56"/>
        <v/>
      </c>
      <c r="C1922" s="16" t="str">
        <f>IFERROR(VLOOKUP(DATA!#REF!,DATA!#REF!,1,FALSE),"")</f>
        <v/>
      </c>
      <c r="D1922" s="16" t="str">
        <f>IFERROR(VLOOKUP(C1922,DATA!#REF!,2,FALSE),"")</f>
        <v/>
      </c>
    </row>
    <row r="1923" spans="2:4" s="230" customFormat="1">
      <c r="B1923" s="15" t="str">
        <f t="shared" si="56"/>
        <v/>
      </c>
      <c r="C1923" s="16" t="str">
        <f>IFERROR(VLOOKUP(DATA!#REF!,DATA!#REF!,1,FALSE),"")</f>
        <v/>
      </c>
      <c r="D1923" s="16" t="str">
        <f>IFERROR(VLOOKUP(C1923,DATA!#REF!,2,FALSE),"")</f>
        <v/>
      </c>
    </row>
    <row r="1924" spans="2:4" s="230" customFormat="1">
      <c r="B1924" s="15" t="str">
        <f t="shared" si="56"/>
        <v/>
      </c>
      <c r="C1924" s="16" t="str">
        <f>IFERROR(VLOOKUP(DATA!#REF!,DATA!#REF!,1,FALSE),"")</f>
        <v/>
      </c>
      <c r="D1924" s="16" t="str">
        <f>IFERROR(VLOOKUP(C1924,DATA!#REF!,2,FALSE),"")</f>
        <v/>
      </c>
    </row>
    <row r="1925" spans="2:4" s="230" customFormat="1">
      <c r="B1925" s="15" t="str">
        <f t="shared" si="56"/>
        <v/>
      </c>
      <c r="C1925" s="16" t="str">
        <f>IFERROR(VLOOKUP(DATA!#REF!,DATA!#REF!,1,FALSE),"")</f>
        <v/>
      </c>
      <c r="D1925" s="16" t="str">
        <f>IFERROR(VLOOKUP(C1925,DATA!#REF!,2,FALSE),"")</f>
        <v/>
      </c>
    </row>
    <row r="1926" spans="2:4" s="230" customFormat="1">
      <c r="B1926" s="15" t="str">
        <f t="shared" ref="B1926:B1989" si="57">+IF(C1926="","",ROW()-5)</f>
        <v/>
      </c>
      <c r="C1926" s="16" t="str">
        <f>IFERROR(VLOOKUP(DATA!#REF!,DATA!#REF!,1,FALSE),"")</f>
        <v/>
      </c>
      <c r="D1926" s="16" t="str">
        <f>IFERROR(VLOOKUP(C1926,DATA!#REF!,2,FALSE),"")</f>
        <v/>
      </c>
    </row>
    <row r="1927" spans="2:4" s="230" customFormat="1">
      <c r="B1927" s="15" t="str">
        <f t="shared" si="57"/>
        <v/>
      </c>
      <c r="C1927" s="16" t="str">
        <f>IFERROR(VLOOKUP(DATA!#REF!,DATA!#REF!,1,FALSE),"")</f>
        <v/>
      </c>
      <c r="D1927" s="16" t="str">
        <f>IFERROR(VLOOKUP(C1927,DATA!#REF!,2,FALSE),"")</f>
        <v/>
      </c>
    </row>
    <row r="1928" spans="2:4" s="230" customFormat="1">
      <c r="B1928" s="15" t="str">
        <f t="shared" si="57"/>
        <v/>
      </c>
      <c r="C1928" s="16" t="str">
        <f>IFERROR(VLOOKUP(DATA!#REF!,DATA!#REF!,1,FALSE),"")</f>
        <v/>
      </c>
      <c r="D1928" s="16" t="str">
        <f>IFERROR(VLOOKUP(C1928,DATA!#REF!,2,FALSE),"")</f>
        <v/>
      </c>
    </row>
    <row r="1929" spans="2:4" s="230" customFormat="1">
      <c r="B1929" s="15" t="str">
        <f t="shared" si="57"/>
        <v/>
      </c>
      <c r="C1929" s="16" t="str">
        <f>IFERROR(VLOOKUP(DATA!#REF!,DATA!#REF!,1,FALSE),"")</f>
        <v/>
      </c>
      <c r="D1929" s="16" t="str">
        <f>IFERROR(VLOOKUP(C1929,DATA!#REF!,2,FALSE),"")</f>
        <v/>
      </c>
    </row>
    <row r="1930" spans="2:4" s="230" customFormat="1">
      <c r="B1930" s="15" t="str">
        <f t="shared" si="57"/>
        <v/>
      </c>
      <c r="C1930" s="16" t="str">
        <f>IFERROR(VLOOKUP(DATA!#REF!,DATA!#REF!,1,FALSE),"")</f>
        <v/>
      </c>
      <c r="D1930" s="16" t="str">
        <f>IFERROR(VLOOKUP(C1930,DATA!#REF!,2,FALSE),"")</f>
        <v/>
      </c>
    </row>
    <row r="1931" spans="2:4" s="230" customFormat="1">
      <c r="B1931" s="15" t="str">
        <f t="shared" si="57"/>
        <v/>
      </c>
      <c r="C1931" s="16" t="str">
        <f>IFERROR(VLOOKUP(DATA!#REF!,DATA!#REF!,1,FALSE),"")</f>
        <v/>
      </c>
      <c r="D1931" s="16" t="str">
        <f>IFERROR(VLOOKUP(C1931,DATA!#REF!,2,FALSE),"")</f>
        <v/>
      </c>
    </row>
    <row r="1932" spans="2:4" s="230" customFormat="1">
      <c r="B1932" s="15" t="str">
        <f t="shared" si="57"/>
        <v/>
      </c>
      <c r="C1932" s="16" t="str">
        <f>IFERROR(VLOOKUP(DATA!#REF!,DATA!#REF!,1,FALSE),"")</f>
        <v/>
      </c>
      <c r="D1932" s="16" t="str">
        <f>IFERROR(VLOOKUP(C1932,DATA!#REF!,2,FALSE),"")</f>
        <v/>
      </c>
    </row>
    <row r="1933" spans="2:4" s="230" customFormat="1">
      <c r="B1933" s="15" t="str">
        <f t="shared" si="57"/>
        <v/>
      </c>
      <c r="C1933" s="16" t="str">
        <f>IFERROR(VLOOKUP(DATA!#REF!,DATA!#REF!,1,FALSE),"")</f>
        <v/>
      </c>
      <c r="D1933" s="16" t="str">
        <f>IFERROR(VLOOKUP(C1933,DATA!#REF!,2,FALSE),"")</f>
        <v/>
      </c>
    </row>
    <row r="1934" spans="2:4" s="230" customFormat="1">
      <c r="B1934" s="15" t="str">
        <f t="shared" si="57"/>
        <v/>
      </c>
      <c r="C1934" s="16" t="str">
        <f>IFERROR(VLOOKUP(DATA!#REF!,DATA!#REF!,1,FALSE),"")</f>
        <v/>
      </c>
      <c r="D1934" s="16" t="str">
        <f>IFERROR(VLOOKUP(C1934,DATA!#REF!,2,FALSE),"")</f>
        <v/>
      </c>
    </row>
    <row r="1935" spans="2:4" s="230" customFormat="1">
      <c r="B1935" s="15" t="str">
        <f t="shared" si="57"/>
        <v/>
      </c>
      <c r="C1935" s="16" t="str">
        <f>IFERROR(VLOOKUP(DATA!#REF!,DATA!#REF!,1,FALSE),"")</f>
        <v/>
      </c>
      <c r="D1935" s="16" t="str">
        <f>IFERROR(VLOOKUP(C1935,DATA!#REF!,2,FALSE),"")</f>
        <v/>
      </c>
    </row>
    <row r="1936" spans="2:4" s="230" customFormat="1">
      <c r="B1936" s="15" t="str">
        <f t="shared" si="57"/>
        <v/>
      </c>
      <c r="C1936" s="16" t="str">
        <f>IFERROR(VLOOKUP(DATA!#REF!,DATA!#REF!,1,FALSE),"")</f>
        <v/>
      </c>
      <c r="D1936" s="16" t="str">
        <f>IFERROR(VLOOKUP(C1936,DATA!#REF!,2,FALSE),"")</f>
        <v/>
      </c>
    </row>
    <row r="1937" spans="2:4" s="230" customFormat="1">
      <c r="B1937" s="15" t="str">
        <f t="shared" si="57"/>
        <v/>
      </c>
      <c r="C1937" s="16" t="str">
        <f>IFERROR(VLOOKUP(DATA!#REF!,DATA!#REF!,1,FALSE),"")</f>
        <v/>
      </c>
      <c r="D1937" s="16" t="str">
        <f>IFERROR(VLOOKUP(C1937,DATA!#REF!,2,FALSE),"")</f>
        <v/>
      </c>
    </row>
    <row r="1938" spans="2:4" s="230" customFormat="1">
      <c r="B1938" s="15" t="str">
        <f t="shared" si="57"/>
        <v/>
      </c>
      <c r="C1938" s="16" t="str">
        <f>IFERROR(VLOOKUP(DATA!#REF!,DATA!#REF!,1,FALSE),"")</f>
        <v/>
      </c>
      <c r="D1938" s="16" t="str">
        <f>IFERROR(VLOOKUP(C1938,DATA!#REF!,2,FALSE),"")</f>
        <v/>
      </c>
    </row>
    <row r="1939" spans="2:4" s="230" customFormat="1">
      <c r="B1939" s="15" t="str">
        <f t="shared" si="57"/>
        <v/>
      </c>
      <c r="C1939" s="16" t="str">
        <f>IFERROR(VLOOKUP(DATA!#REF!,DATA!#REF!,1,FALSE),"")</f>
        <v/>
      </c>
      <c r="D1939" s="16" t="str">
        <f>IFERROR(VLOOKUP(C1939,DATA!#REF!,2,FALSE),"")</f>
        <v/>
      </c>
    </row>
    <row r="1940" spans="2:4" s="230" customFormat="1">
      <c r="B1940" s="15" t="str">
        <f t="shared" si="57"/>
        <v/>
      </c>
      <c r="C1940" s="16" t="str">
        <f>IFERROR(VLOOKUP(DATA!#REF!,DATA!#REF!,1,FALSE),"")</f>
        <v/>
      </c>
      <c r="D1940" s="16" t="str">
        <f>IFERROR(VLOOKUP(C1940,DATA!#REF!,2,FALSE),"")</f>
        <v/>
      </c>
    </row>
    <row r="1941" spans="2:4" s="230" customFormat="1">
      <c r="B1941" s="15" t="str">
        <f t="shared" si="57"/>
        <v/>
      </c>
      <c r="C1941" s="16" t="str">
        <f>IFERROR(VLOOKUP(DATA!#REF!,DATA!#REF!,1,FALSE),"")</f>
        <v/>
      </c>
      <c r="D1941" s="16" t="str">
        <f>IFERROR(VLOOKUP(C1941,DATA!#REF!,2,FALSE),"")</f>
        <v/>
      </c>
    </row>
    <row r="1942" spans="2:4" s="230" customFormat="1">
      <c r="B1942" s="15" t="str">
        <f t="shared" si="57"/>
        <v/>
      </c>
      <c r="C1942" s="16" t="str">
        <f>IFERROR(VLOOKUP(DATA!#REF!,DATA!#REF!,1,FALSE),"")</f>
        <v/>
      </c>
      <c r="D1942" s="16" t="str">
        <f>IFERROR(VLOOKUP(C1942,DATA!#REF!,2,FALSE),"")</f>
        <v/>
      </c>
    </row>
    <row r="1943" spans="2:4" s="230" customFormat="1">
      <c r="B1943" s="15" t="str">
        <f t="shared" si="57"/>
        <v/>
      </c>
      <c r="C1943" s="16" t="str">
        <f>IFERROR(VLOOKUP(DATA!#REF!,DATA!#REF!,1,FALSE),"")</f>
        <v/>
      </c>
      <c r="D1943" s="16" t="str">
        <f>IFERROR(VLOOKUP(C1943,DATA!#REF!,2,FALSE),"")</f>
        <v/>
      </c>
    </row>
    <row r="1944" spans="2:4" s="230" customFormat="1">
      <c r="B1944" s="15" t="str">
        <f t="shared" si="57"/>
        <v/>
      </c>
      <c r="C1944" s="16" t="str">
        <f>IFERROR(VLOOKUP(DATA!#REF!,DATA!#REF!,1,FALSE),"")</f>
        <v/>
      </c>
      <c r="D1944" s="16" t="str">
        <f>IFERROR(VLOOKUP(C1944,DATA!#REF!,2,FALSE),"")</f>
        <v/>
      </c>
    </row>
    <row r="1945" spans="2:4" s="230" customFormat="1">
      <c r="B1945" s="15" t="str">
        <f t="shared" si="57"/>
        <v/>
      </c>
      <c r="C1945" s="16" t="str">
        <f>IFERROR(VLOOKUP(DATA!#REF!,DATA!#REF!,1,FALSE),"")</f>
        <v/>
      </c>
      <c r="D1945" s="16" t="str">
        <f>IFERROR(VLOOKUP(C1945,DATA!#REF!,2,FALSE),"")</f>
        <v/>
      </c>
    </row>
    <row r="1946" spans="2:4" s="230" customFormat="1">
      <c r="B1946" s="15" t="str">
        <f t="shared" si="57"/>
        <v/>
      </c>
      <c r="C1946" s="16" t="str">
        <f>IFERROR(VLOOKUP(DATA!#REF!,DATA!#REF!,1,FALSE),"")</f>
        <v/>
      </c>
      <c r="D1946" s="16" t="str">
        <f>IFERROR(VLOOKUP(C1946,DATA!#REF!,2,FALSE),"")</f>
        <v/>
      </c>
    </row>
    <row r="1947" spans="2:4" s="230" customFormat="1">
      <c r="B1947" s="15" t="str">
        <f t="shared" si="57"/>
        <v/>
      </c>
      <c r="C1947" s="16" t="str">
        <f>IFERROR(VLOOKUP(DATA!#REF!,DATA!#REF!,1,FALSE),"")</f>
        <v/>
      </c>
      <c r="D1947" s="16" t="str">
        <f>IFERROR(VLOOKUP(C1947,DATA!#REF!,2,FALSE),"")</f>
        <v/>
      </c>
    </row>
    <row r="1948" spans="2:4" s="230" customFormat="1">
      <c r="B1948" s="15" t="str">
        <f t="shared" si="57"/>
        <v/>
      </c>
      <c r="C1948" s="16" t="str">
        <f>IFERROR(VLOOKUP(DATA!#REF!,DATA!#REF!,1,FALSE),"")</f>
        <v/>
      </c>
      <c r="D1948" s="16" t="str">
        <f>IFERROR(VLOOKUP(C1948,DATA!#REF!,2,FALSE),"")</f>
        <v/>
      </c>
    </row>
    <row r="1949" spans="2:4" s="230" customFormat="1">
      <c r="B1949" s="15" t="str">
        <f t="shared" si="57"/>
        <v/>
      </c>
      <c r="C1949" s="16" t="str">
        <f>IFERROR(VLOOKUP(DATA!#REF!,DATA!#REF!,1,FALSE),"")</f>
        <v/>
      </c>
      <c r="D1949" s="16" t="str">
        <f>IFERROR(VLOOKUP(C1949,DATA!#REF!,2,FALSE),"")</f>
        <v/>
      </c>
    </row>
    <row r="1950" spans="2:4" s="230" customFormat="1">
      <c r="B1950" s="15" t="str">
        <f t="shared" si="57"/>
        <v/>
      </c>
      <c r="C1950" s="16" t="str">
        <f>IFERROR(VLOOKUP(DATA!#REF!,DATA!#REF!,1,FALSE),"")</f>
        <v/>
      </c>
      <c r="D1950" s="16" t="str">
        <f>IFERROR(VLOOKUP(C1950,DATA!#REF!,2,FALSE),"")</f>
        <v/>
      </c>
    </row>
    <row r="1951" spans="2:4" s="230" customFormat="1">
      <c r="B1951" s="15" t="str">
        <f t="shared" si="57"/>
        <v/>
      </c>
      <c r="C1951" s="16" t="str">
        <f>IFERROR(VLOOKUP(DATA!#REF!,DATA!#REF!,1,FALSE),"")</f>
        <v/>
      </c>
      <c r="D1951" s="16" t="str">
        <f>IFERROR(VLOOKUP(C1951,DATA!#REF!,2,FALSE),"")</f>
        <v/>
      </c>
    </row>
    <row r="1952" spans="2:4" s="230" customFormat="1">
      <c r="B1952" s="15" t="str">
        <f t="shared" si="57"/>
        <v/>
      </c>
      <c r="C1952" s="16" t="str">
        <f>IFERROR(VLOOKUP(DATA!#REF!,DATA!#REF!,1,FALSE),"")</f>
        <v/>
      </c>
      <c r="D1952" s="16" t="str">
        <f>IFERROR(VLOOKUP(C1952,DATA!#REF!,2,FALSE),"")</f>
        <v/>
      </c>
    </row>
    <row r="1953" spans="2:4" s="230" customFormat="1">
      <c r="B1953" s="15" t="str">
        <f t="shared" si="57"/>
        <v/>
      </c>
      <c r="C1953" s="16" t="str">
        <f>IFERROR(VLOOKUP(DATA!#REF!,DATA!#REF!,1,FALSE),"")</f>
        <v/>
      </c>
      <c r="D1953" s="16" t="str">
        <f>IFERROR(VLOOKUP(C1953,DATA!#REF!,2,FALSE),"")</f>
        <v/>
      </c>
    </row>
    <row r="1954" spans="2:4" s="230" customFormat="1">
      <c r="B1954" s="15" t="str">
        <f t="shared" si="57"/>
        <v/>
      </c>
      <c r="C1954" s="16" t="str">
        <f>IFERROR(VLOOKUP(DATA!#REF!,DATA!#REF!,1,FALSE),"")</f>
        <v/>
      </c>
      <c r="D1954" s="16" t="str">
        <f>IFERROR(VLOOKUP(C1954,DATA!#REF!,2,FALSE),"")</f>
        <v/>
      </c>
    </row>
    <row r="1955" spans="2:4" s="230" customFormat="1">
      <c r="B1955" s="15" t="str">
        <f t="shared" si="57"/>
        <v/>
      </c>
      <c r="C1955" s="16" t="str">
        <f>IFERROR(VLOOKUP(DATA!#REF!,DATA!#REF!,1,FALSE),"")</f>
        <v/>
      </c>
      <c r="D1955" s="16" t="str">
        <f>IFERROR(VLOOKUP(C1955,DATA!#REF!,2,FALSE),"")</f>
        <v/>
      </c>
    </row>
    <row r="1956" spans="2:4" s="230" customFormat="1">
      <c r="B1956" s="15" t="str">
        <f t="shared" si="57"/>
        <v/>
      </c>
      <c r="C1956" s="16" t="str">
        <f>IFERROR(VLOOKUP(DATA!#REF!,DATA!#REF!,1,FALSE),"")</f>
        <v/>
      </c>
      <c r="D1956" s="16" t="str">
        <f>IFERROR(VLOOKUP(C1956,DATA!#REF!,2,FALSE),"")</f>
        <v/>
      </c>
    </row>
    <row r="1957" spans="2:4" s="230" customFormat="1">
      <c r="B1957" s="15" t="str">
        <f t="shared" si="57"/>
        <v/>
      </c>
      <c r="C1957" s="16" t="str">
        <f>IFERROR(VLOOKUP(DATA!#REF!,DATA!#REF!,1,FALSE),"")</f>
        <v/>
      </c>
      <c r="D1957" s="16" t="str">
        <f>IFERROR(VLOOKUP(C1957,DATA!#REF!,2,FALSE),"")</f>
        <v/>
      </c>
    </row>
    <row r="1958" spans="2:4" s="230" customFormat="1">
      <c r="B1958" s="15" t="str">
        <f t="shared" si="57"/>
        <v/>
      </c>
      <c r="C1958" s="16" t="str">
        <f>IFERROR(VLOOKUP(DATA!#REF!,DATA!#REF!,1,FALSE),"")</f>
        <v/>
      </c>
      <c r="D1958" s="16" t="str">
        <f>IFERROR(VLOOKUP(C1958,DATA!#REF!,2,FALSE),"")</f>
        <v/>
      </c>
    </row>
    <row r="1959" spans="2:4" s="230" customFormat="1">
      <c r="B1959" s="15" t="str">
        <f t="shared" si="57"/>
        <v/>
      </c>
      <c r="C1959" s="16" t="str">
        <f>IFERROR(VLOOKUP(DATA!#REF!,DATA!#REF!,1,FALSE),"")</f>
        <v/>
      </c>
      <c r="D1959" s="16" t="str">
        <f>IFERROR(VLOOKUP(C1959,DATA!#REF!,2,FALSE),"")</f>
        <v/>
      </c>
    </row>
    <row r="1960" spans="2:4" s="230" customFormat="1">
      <c r="B1960" s="15" t="str">
        <f t="shared" si="57"/>
        <v/>
      </c>
      <c r="C1960" s="16" t="str">
        <f>IFERROR(VLOOKUP(DATA!#REF!,DATA!#REF!,1,FALSE),"")</f>
        <v/>
      </c>
      <c r="D1960" s="16" t="str">
        <f>IFERROR(VLOOKUP(C1960,DATA!#REF!,2,FALSE),"")</f>
        <v/>
      </c>
    </row>
    <row r="1961" spans="2:4" s="230" customFormat="1">
      <c r="B1961" s="15" t="str">
        <f t="shared" si="57"/>
        <v/>
      </c>
      <c r="C1961" s="16" t="str">
        <f>IFERROR(VLOOKUP(DATA!#REF!,DATA!#REF!,1,FALSE),"")</f>
        <v/>
      </c>
      <c r="D1961" s="16" t="str">
        <f>IFERROR(VLOOKUP(C1961,DATA!#REF!,2,FALSE),"")</f>
        <v/>
      </c>
    </row>
    <row r="1962" spans="2:4" s="230" customFormat="1">
      <c r="B1962" s="15" t="str">
        <f t="shared" si="57"/>
        <v/>
      </c>
      <c r="C1962" s="16" t="str">
        <f>IFERROR(VLOOKUP(DATA!#REF!,DATA!#REF!,1,FALSE),"")</f>
        <v/>
      </c>
      <c r="D1962" s="16" t="str">
        <f>IFERROR(VLOOKUP(C1962,DATA!#REF!,2,FALSE),"")</f>
        <v/>
      </c>
    </row>
    <row r="1963" spans="2:4" s="230" customFormat="1">
      <c r="B1963" s="15" t="str">
        <f t="shared" si="57"/>
        <v/>
      </c>
      <c r="C1963" s="16" t="str">
        <f>IFERROR(VLOOKUP(DATA!#REF!,DATA!#REF!,1,FALSE),"")</f>
        <v/>
      </c>
      <c r="D1963" s="16" t="str">
        <f>IFERROR(VLOOKUP(C1963,DATA!#REF!,2,FALSE),"")</f>
        <v/>
      </c>
    </row>
    <row r="1964" spans="2:4" s="230" customFormat="1">
      <c r="B1964" s="15" t="str">
        <f t="shared" si="57"/>
        <v/>
      </c>
      <c r="C1964" s="16" t="str">
        <f>IFERROR(VLOOKUP(DATA!#REF!,DATA!#REF!,1,FALSE),"")</f>
        <v/>
      </c>
      <c r="D1964" s="16" t="str">
        <f>IFERROR(VLOOKUP(C1964,DATA!#REF!,2,FALSE),"")</f>
        <v/>
      </c>
    </row>
    <row r="1965" spans="2:4" s="230" customFormat="1">
      <c r="B1965" s="15" t="str">
        <f t="shared" si="57"/>
        <v/>
      </c>
      <c r="C1965" s="16" t="str">
        <f>IFERROR(VLOOKUP(DATA!#REF!,DATA!#REF!,1,FALSE),"")</f>
        <v/>
      </c>
      <c r="D1965" s="16" t="str">
        <f>IFERROR(VLOOKUP(C1965,DATA!#REF!,2,FALSE),"")</f>
        <v/>
      </c>
    </row>
    <row r="1966" spans="2:4" s="230" customFormat="1">
      <c r="B1966" s="15" t="str">
        <f t="shared" si="57"/>
        <v/>
      </c>
      <c r="C1966" s="16" t="str">
        <f>IFERROR(VLOOKUP(DATA!#REF!,DATA!#REF!,1,FALSE),"")</f>
        <v/>
      </c>
      <c r="D1966" s="16" t="str">
        <f>IFERROR(VLOOKUP(C1966,DATA!#REF!,2,FALSE),"")</f>
        <v/>
      </c>
    </row>
    <row r="1967" spans="2:4" s="230" customFormat="1">
      <c r="B1967" s="15" t="str">
        <f t="shared" si="57"/>
        <v/>
      </c>
      <c r="C1967" s="16" t="str">
        <f>IFERROR(VLOOKUP(DATA!#REF!,DATA!#REF!,1,FALSE),"")</f>
        <v/>
      </c>
      <c r="D1967" s="16" t="str">
        <f>IFERROR(VLOOKUP(C1967,DATA!#REF!,2,FALSE),"")</f>
        <v/>
      </c>
    </row>
    <row r="1968" spans="2:4" s="230" customFormat="1">
      <c r="B1968" s="15" t="str">
        <f t="shared" si="57"/>
        <v/>
      </c>
      <c r="C1968" s="16" t="str">
        <f>IFERROR(VLOOKUP(DATA!#REF!,DATA!#REF!,1,FALSE),"")</f>
        <v/>
      </c>
      <c r="D1968" s="16" t="str">
        <f>IFERROR(VLOOKUP(C1968,DATA!#REF!,2,FALSE),"")</f>
        <v/>
      </c>
    </row>
    <row r="1969" spans="2:4" s="230" customFormat="1">
      <c r="B1969" s="15" t="str">
        <f t="shared" si="57"/>
        <v/>
      </c>
      <c r="C1969" s="16" t="str">
        <f>IFERROR(VLOOKUP(DATA!#REF!,DATA!#REF!,1,FALSE),"")</f>
        <v/>
      </c>
      <c r="D1969" s="16" t="str">
        <f>IFERROR(VLOOKUP(C1969,DATA!#REF!,2,FALSE),"")</f>
        <v/>
      </c>
    </row>
    <row r="1970" spans="2:4" s="230" customFormat="1">
      <c r="B1970" s="15" t="str">
        <f t="shared" si="57"/>
        <v/>
      </c>
      <c r="C1970" s="16" t="str">
        <f>IFERROR(VLOOKUP(DATA!#REF!,DATA!#REF!,1,FALSE),"")</f>
        <v/>
      </c>
      <c r="D1970" s="16" t="str">
        <f>IFERROR(VLOOKUP(C1970,DATA!#REF!,2,FALSE),"")</f>
        <v/>
      </c>
    </row>
    <row r="1971" spans="2:4" s="230" customFormat="1">
      <c r="B1971" s="15" t="str">
        <f t="shared" si="57"/>
        <v/>
      </c>
      <c r="C1971" s="16" t="str">
        <f>IFERROR(VLOOKUP(DATA!#REF!,DATA!#REF!,1,FALSE),"")</f>
        <v/>
      </c>
      <c r="D1971" s="16" t="str">
        <f>IFERROR(VLOOKUP(C1971,DATA!#REF!,2,FALSE),"")</f>
        <v/>
      </c>
    </row>
    <row r="1972" spans="2:4" s="230" customFormat="1">
      <c r="B1972" s="15" t="str">
        <f t="shared" si="57"/>
        <v/>
      </c>
      <c r="C1972" s="16" t="str">
        <f>IFERROR(VLOOKUP(DATA!#REF!,DATA!#REF!,1,FALSE),"")</f>
        <v/>
      </c>
      <c r="D1972" s="16" t="str">
        <f>IFERROR(VLOOKUP(C1972,DATA!#REF!,2,FALSE),"")</f>
        <v/>
      </c>
    </row>
    <row r="1973" spans="2:4" s="230" customFormat="1">
      <c r="B1973" s="15" t="str">
        <f t="shared" si="57"/>
        <v/>
      </c>
      <c r="C1973" s="16" t="str">
        <f>IFERROR(VLOOKUP(DATA!#REF!,DATA!#REF!,1,FALSE),"")</f>
        <v/>
      </c>
      <c r="D1973" s="16" t="str">
        <f>IFERROR(VLOOKUP(C1973,DATA!#REF!,2,FALSE),"")</f>
        <v/>
      </c>
    </row>
    <row r="1974" spans="2:4" s="230" customFormat="1">
      <c r="B1974" s="15" t="str">
        <f t="shared" si="57"/>
        <v/>
      </c>
      <c r="C1974" s="16" t="str">
        <f>IFERROR(VLOOKUP(DATA!#REF!,DATA!#REF!,1,FALSE),"")</f>
        <v/>
      </c>
      <c r="D1974" s="16" t="str">
        <f>IFERROR(VLOOKUP(C1974,DATA!#REF!,2,FALSE),"")</f>
        <v/>
      </c>
    </row>
    <row r="1975" spans="2:4" s="230" customFormat="1">
      <c r="B1975" s="15" t="str">
        <f t="shared" si="57"/>
        <v/>
      </c>
      <c r="C1975" s="16" t="str">
        <f>IFERROR(VLOOKUP(DATA!#REF!,DATA!#REF!,1,FALSE),"")</f>
        <v/>
      </c>
      <c r="D1975" s="16" t="str">
        <f>IFERROR(VLOOKUP(C1975,DATA!#REF!,2,FALSE),"")</f>
        <v/>
      </c>
    </row>
    <row r="1976" spans="2:4" s="230" customFormat="1">
      <c r="B1976" s="15" t="str">
        <f t="shared" si="57"/>
        <v/>
      </c>
      <c r="C1976" s="16" t="str">
        <f>IFERROR(VLOOKUP(DATA!#REF!,DATA!#REF!,1,FALSE),"")</f>
        <v/>
      </c>
      <c r="D1976" s="16" t="str">
        <f>IFERROR(VLOOKUP(C1976,DATA!#REF!,2,FALSE),"")</f>
        <v/>
      </c>
    </row>
    <row r="1977" spans="2:4" s="230" customFormat="1">
      <c r="B1977" s="15" t="str">
        <f t="shared" si="57"/>
        <v/>
      </c>
      <c r="C1977" s="16" t="str">
        <f>IFERROR(VLOOKUP(DATA!#REF!,DATA!#REF!,1,FALSE),"")</f>
        <v/>
      </c>
      <c r="D1977" s="16" t="str">
        <f>IFERROR(VLOOKUP(C1977,DATA!#REF!,2,FALSE),"")</f>
        <v/>
      </c>
    </row>
    <row r="1978" spans="2:4" s="230" customFormat="1">
      <c r="B1978" s="15" t="str">
        <f t="shared" si="57"/>
        <v/>
      </c>
      <c r="C1978" s="16" t="str">
        <f>IFERROR(VLOOKUP(DATA!#REF!,DATA!#REF!,1,FALSE),"")</f>
        <v/>
      </c>
      <c r="D1978" s="16" t="str">
        <f>IFERROR(VLOOKUP(C1978,DATA!#REF!,2,FALSE),"")</f>
        <v/>
      </c>
    </row>
    <row r="1979" spans="2:4" s="230" customFormat="1">
      <c r="B1979" s="15" t="str">
        <f t="shared" si="57"/>
        <v/>
      </c>
      <c r="C1979" s="16" t="str">
        <f>IFERROR(VLOOKUP(DATA!#REF!,DATA!#REF!,1,FALSE),"")</f>
        <v/>
      </c>
      <c r="D1979" s="16" t="str">
        <f>IFERROR(VLOOKUP(C1979,DATA!#REF!,2,FALSE),"")</f>
        <v/>
      </c>
    </row>
    <row r="1980" spans="2:4" s="230" customFormat="1">
      <c r="B1980" s="15" t="str">
        <f t="shared" si="57"/>
        <v/>
      </c>
      <c r="C1980" s="16" t="str">
        <f>IFERROR(VLOOKUP(DATA!#REF!,DATA!#REF!,1,FALSE),"")</f>
        <v/>
      </c>
      <c r="D1980" s="16" t="str">
        <f>IFERROR(VLOOKUP(C1980,DATA!#REF!,2,FALSE),"")</f>
        <v/>
      </c>
    </row>
    <row r="1981" spans="2:4" s="230" customFormat="1">
      <c r="B1981" s="15" t="str">
        <f t="shared" si="57"/>
        <v/>
      </c>
      <c r="C1981" s="16" t="str">
        <f>IFERROR(VLOOKUP(DATA!#REF!,DATA!#REF!,1,FALSE),"")</f>
        <v/>
      </c>
      <c r="D1981" s="16" t="str">
        <f>IFERROR(VLOOKUP(C1981,DATA!#REF!,2,FALSE),"")</f>
        <v/>
      </c>
    </row>
    <row r="1982" spans="2:4" s="230" customFormat="1">
      <c r="B1982" s="15" t="str">
        <f t="shared" si="57"/>
        <v/>
      </c>
      <c r="C1982" s="16" t="str">
        <f>IFERROR(VLOOKUP(DATA!#REF!,DATA!#REF!,1,FALSE),"")</f>
        <v/>
      </c>
      <c r="D1982" s="16" t="str">
        <f>IFERROR(VLOOKUP(C1982,DATA!#REF!,2,FALSE),"")</f>
        <v/>
      </c>
    </row>
    <row r="1983" spans="2:4" s="230" customFormat="1">
      <c r="B1983" s="15" t="str">
        <f t="shared" si="57"/>
        <v/>
      </c>
      <c r="C1983" s="16" t="str">
        <f>IFERROR(VLOOKUP(DATA!#REF!,DATA!#REF!,1,FALSE),"")</f>
        <v/>
      </c>
      <c r="D1983" s="16" t="str">
        <f>IFERROR(VLOOKUP(C1983,DATA!#REF!,2,FALSE),"")</f>
        <v/>
      </c>
    </row>
    <row r="1984" spans="2:4" s="230" customFormat="1">
      <c r="B1984" s="15" t="str">
        <f t="shared" si="57"/>
        <v/>
      </c>
      <c r="C1984" s="16" t="str">
        <f>IFERROR(VLOOKUP(DATA!#REF!,DATA!#REF!,1,FALSE),"")</f>
        <v/>
      </c>
      <c r="D1984" s="16" t="str">
        <f>IFERROR(VLOOKUP(C1984,DATA!#REF!,2,FALSE),"")</f>
        <v/>
      </c>
    </row>
    <row r="1985" spans="2:4" s="230" customFormat="1">
      <c r="B1985" s="15" t="str">
        <f t="shared" si="57"/>
        <v/>
      </c>
      <c r="C1985" s="16" t="str">
        <f>IFERROR(VLOOKUP(DATA!#REF!,DATA!#REF!,1,FALSE),"")</f>
        <v/>
      </c>
      <c r="D1985" s="16" t="str">
        <f>IFERROR(VLOOKUP(C1985,DATA!#REF!,2,FALSE),"")</f>
        <v/>
      </c>
    </row>
    <row r="1986" spans="2:4" s="230" customFormat="1">
      <c r="B1986" s="15" t="str">
        <f t="shared" si="57"/>
        <v/>
      </c>
      <c r="C1986" s="16" t="str">
        <f>IFERROR(VLOOKUP(DATA!#REF!,DATA!#REF!,1,FALSE),"")</f>
        <v/>
      </c>
      <c r="D1986" s="16" t="str">
        <f>IFERROR(VLOOKUP(C1986,DATA!#REF!,2,FALSE),"")</f>
        <v/>
      </c>
    </row>
    <row r="1987" spans="2:4" s="230" customFormat="1">
      <c r="B1987" s="15" t="str">
        <f t="shared" si="57"/>
        <v/>
      </c>
      <c r="C1987" s="16" t="str">
        <f>IFERROR(VLOOKUP(DATA!#REF!,DATA!#REF!,1,FALSE),"")</f>
        <v/>
      </c>
      <c r="D1987" s="16" t="str">
        <f>IFERROR(VLOOKUP(C1987,DATA!#REF!,2,FALSE),"")</f>
        <v/>
      </c>
    </row>
    <row r="1988" spans="2:4" s="230" customFormat="1">
      <c r="B1988" s="15" t="str">
        <f t="shared" si="57"/>
        <v/>
      </c>
      <c r="C1988" s="16" t="str">
        <f>IFERROR(VLOOKUP(DATA!#REF!,DATA!#REF!,1,FALSE),"")</f>
        <v/>
      </c>
      <c r="D1988" s="16" t="str">
        <f>IFERROR(VLOOKUP(C1988,DATA!#REF!,2,FALSE),"")</f>
        <v/>
      </c>
    </row>
    <row r="1989" spans="2:4" s="230" customFormat="1">
      <c r="B1989" s="15" t="str">
        <f t="shared" si="57"/>
        <v/>
      </c>
      <c r="C1989" s="16" t="str">
        <f>IFERROR(VLOOKUP(DATA!#REF!,DATA!#REF!,1,FALSE),"")</f>
        <v/>
      </c>
      <c r="D1989" s="16" t="str">
        <f>IFERROR(VLOOKUP(C1989,DATA!#REF!,2,FALSE),"")</f>
        <v/>
      </c>
    </row>
    <row r="1990" spans="2:4" s="230" customFormat="1">
      <c r="B1990" s="15" t="str">
        <f t="shared" ref="B1990:B2053" si="58">+IF(C1990="","",ROW()-5)</f>
        <v/>
      </c>
      <c r="C1990" s="16" t="str">
        <f>IFERROR(VLOOKUP(DATA!#REF!,DATA!#REF!,1,FALSE),"")</f>
        <v/>
      </c>
      <c r="D1990" s="16" t="str">
        <f>IFERROR(VLOOKUP(C1990,DATA!#REF!,2,FALSE),"")</f>
        <v/>
      </c>
    </row>
    <row r="1991" spans="2:4" s="230" customFormat="1">
      <c r="B1991" s="15" t="str">
        <f t="shared" si="58"/>
        <v/>
      </c>
      <c r="C1991" s="16" t="str">
        <f>IFERROR(VLOOKUP(DATA!#REF!,DATA!#REF!,1,FALSE),"")</f>
        <v/>
      </c>
      <c r="D1991" s="16" t="str">
        <f>IFERROR(VLOOKUP(C1991,DATA!#REF!,2,FALSE),"")</f>
        <v/>
      </c>
    </row>
    <row r="1992" spans="2:4" s="230" customFormat="1">
      <c r="B1992" s="15" t="str">
        <f t="shared" si="58"/>
        <v/>
      </c>
      <c r="C1992" s="16" t="str">
        <f>IFERROR(VLOOKUP(DATA!#REF!,DATA!#REF!,1,FALSE),"")</f>
        <v/>
      </c>
      <c r="D1992" s="16" t="str">
        <f>IFERROR(VLOOKUP(C1992,DATA!#REF!,2,FALSE),"")</f>
        <v/>
      </c>
    </row>
    <row r="1993" spans="2:4" s="230" customFormat="1">
      <c r="B1993" s="15" t="str">
        <f t="shared" si="58"/>
        <v/>
      </c>
      <c r="C1993" s="16" t="str">
        <f>IFERROR(VLOOKUP(DATA!#REF!,DATA!#REF!,1,FALSE),"")</f>
        <v/>
      </c>
      <c r="D1993" s="16" t="str">
        <f>IFERROR(VLOOKUP(C1993,DATA!#REF!,2,FALSE),"")</f>
        <v/>
      </c>
    </row>
    <row r="1994" spans="2:4" s="230" customFormat="1">
      <c r="B1994" s="15" t="str">
        <f t="shared" si="58"/>
        <v/>
      </c>
      <c r="C1994" s="16" t="str">
        <f>IFERROR(VLOOKUP(DATA!#REF!,DATA!#REF!,1,FALSE),"")</f>
        <v/>
      </c>
      <c r="D1994" s="16" t="str">
        <f>IFERROR(VLOOKUP(C1994,DATA!#REF!,2,FALSE),"")</f>
        <v/>
      </c>
    </row>
    <row r="1995" spans="2:4" s="230" customFormat="1">
      <c r="B1995" s="15" t="str">
        <f t="shared" si="58"/>
        <v/>
      </c>
      <c r="C1995" s="16" t="str">
        <f>IFERROR(VLOOKUP(DATA!#REF!,DATA!#REF!,1,FALSE),"")</f>
        <v/>
      </c>
      <c r="D1995" s="16" t="str">
        <f>IFERROR(VLOOKUP(C1995,DATA!#REF!,2,FALSE),"")</f>
        <v/>
      </c>
    </row>
    <row r="1996" spans="2:4" s="230" customFormat="1">
      <c r="B1996" s="15" t="str">
        <f t="shared" si="58"/>
        <v/>
      </c>
      <c r="C1996" s="16" t="str">
        <f>IFERROR(VLOOKUP(DATA!#REF!,DATA!#REF!,1,FALSE),"")</f>
        <v/>
      </c>
      <c r="D1996" s="16" t="str">
        <f>IFERROR(VLOOKUP(C1996,DATA!#REF!,2,FALSE),"")</f>
        <v/>
      </c>
    </row>
    <row r="1997" spans="2:4" s="230" customFormat="1">
      <c r="B1997" s="15" t="str">
        <f t="shared" si="58"/>
        <v/>
      </c>
      <c r="C1997" s="16" t="str">
        <f>IFERROR(VLOOKUP(DATA!#REF!,DATA!#REF!,1,FALSE),"")</f>
        <v/>
      </c>
      <c r="D1997" s="16" t="str">
        <f>IFERROR(VLOOKUP(C1997,DATA!#REF!,2,FALSE),"")</f>
        <v/>
      </c>
    </row>
    <row r="1998" spans="2:4" s="230" customFormat="1">
      <c r="B1998" s="15" t="str">
        <f t="shared" si="58"/>
        <v/>
      </c>
      <c r="C1998" s="16" t="str">
        <f>IFERROR(VLOOKUP(DATA!#REF!,DATA!#REF!,1,FALSE),"")</f>
        <v/>
      </c>
      <c r="D1998" s="16" t="str">
        <f>IFERROR(VLOOKUP(C1998,DATA!#REF!,2,FALSE),"")</f>
        <v/>
      </c>
    </row>
    <row r="1999" spans="2:4" s="230" customFormat="1">
      <c r="B1999" s="15" t="str">
        <f t="shared" si="58"/>
        <v/>
      </c>
      <c r="C1999" s="16" t="str">
        <f>IFERROR(VLOOKUP(DATA!#REF!,DATA!#REF!,1,FALSE),"")</f>
        <v/>
      </c>
      <c r="D1999" s="16" t="str">
        <f>IFERROR(VLOOKUP(C1999,DATA!#REF!,2,FALSE),"")</f>
        <v/>
      </c>
    </row>
    <row r="2000" spans="2:4" s="230" customFormat="1">
      <c r="B2000" s="15" t="str">
        <f t="shared" si="58"/>
        <v/>
      </c>
      <c r="C2000" s="16" t="str">
        <f>IFERROR(VLOOKUP(DATA!#REF!,DATA!#REF!,1,FALSE),"")</f>
        <v/>
      </c>
      <c r="D2000" s="16" t="str">
        <f>IFERROR(VLOOKUP(C2000,DATA!#REF!,2,FALSE),"")</f>
        <v/>
      </c>
    </row>
    <row r="2001" spans="2:4" s="230" customFormat="1">
      <c r="B2001" s="15" t="str">
        <f t="shared" si="58"/>
        <v/>
      </c>
      <c r="C2001" s="16" t="str">
        <f>IFERROR(VLOOKUP(DATA!#REF!,DATA!#REF!,1,FALSE),"")</f>
        <v/>
      </c>
      <c r="D2001" s="16" t="str">
        <f>IFERROR(VLOOKUP(C2001,DATA!#REF!,2,FALSE),"")</f>
        <v/>
      </c>
    </row>
    <row r="2002" spans="2:4" s="230" customFormat="1">
      <c r="B2002" s="15" t="str">
        <f t="shared" si="58"/>
        <v/>
      </c>
      <c r="C2002" s="16" t="str">
        <f>IFERROR(VLOOKUP(DATA!#REF!,DATA!#REF!,1,FALSE),"")</f>
        <v/>
      </c>
      <c r="D2002" s="16" t="str">
        <f>IFERROR(VLOOKUP(C2002,DATA!#REF!,2,FALSE),"")</f>
        <v/>
      </c>
    </row>
    <row r="2003" spans="2:4" s="230" customFormat="1">
      <c r="B2003" s="15" t="str">
        <f t="shared" si="58"/>
        <v/>
      </c>
      <c r="C2003" s="16" t="str">
        <f>IFERROR(VLOOKUP(DATA!#REF!,DATA!#REF!,1,FALSE),"")</f>
        <v/>
      </c>
      <c r="D2003" s="16" t="str">
        <f>IFERROR(VLOOKUP(C2003,DATA!#REF!,2,FALSE),"")</f>
        <v/>
      </c>
    </row>
    <row r="2004" spans="2:4" s="230" customFormat="1">
      <c r="B2004" s="15" t="str">
        <f t="shared" si="58"/>
        <v/>
      </c>
      <c r="C2004" s="16" t="str">
        <f>IFERROR(VLOOKUP(DATA!#REF!,DATA!#REF!,1,FALSE),"")</f>
        <v/>
      </c>
      <c r="D2004" s="16" t="str">
        <f>IFERROR(VLOOKUP(C2004,DATA!#REF!,2,FALSE),"")</f>
        <v/>
      </c>
    </row>
    <row r="2005" spans="2:4" s="230" customFormat="1">
      <c r="B2005" s="15" t="str">
        <f t="shared" si="58"/>
        <v/>
      </c>
      <c r="C2005" s="16" t="str">
        <f>IFERROR(VLOOKUP(DATA!#REF!,DATA!#REF!,1,FALSE),"")</f>
        <v/>
      </c>
      <c r="D2005" s="16" t="str">
        <f>IFERROR(VLOOKUP(C2005,DATA!#REF!,2,FALSE),"")</f>
        <v/>
      </c>
    </row>
    <row r="2006" spans="2:4" s="230" customFormat="1">
      <c r="B2006" s="15" t="str">
        <f t="shared" si="58"/>
        <v/>
      </c>
      <c r="C2006" s="16" t="str">
        <f>IFERROR(VLOOKUP(DATA!#REF!,DATA!#REF!,1,FALSE),"")</f>
        <v/>
      </c>
      <c r="D2006" s="16" t="str">
        <f>IFERROR(VLOOKUP(C2006,DATA!#REF!,2,FALSE),"")</f>
        <v/>
      </c>
    </row>
    <row r="2007" spans="2:4" s="230" customFormat="1">
      <c r="B2007" s="15" t="str">
        <f t="shared" si="58"/>
        <v/>
      </c>
      <c r="C2007" s="16" t="str">
        <f>IFERROR(VLOOKUP(DATA!#REF!,DATA!#REF!,1,FALSE),"")</f>
        <v/>
      </c>
      <c r="D2007" s="16" t="str">
        <f>IFERROR(VLOOKUP(C2007,DATA!#REF!,2,FALSE),"")</f>
        <v/>
      </c>
    </row>
    <row r="2008" spans="2:4" s="230" customFormat="1">
      <c r="B2008" s="15" t="str">
        <f t="shared" si="58"/>
        <v/>
      </c>
      <c r="C2008" s="16" t="str">
        <f>IFERROR(VLOOKUP(DATA!#REF!,DATA!#REF!,1,FALSE),"")</f>
        <v/>
      </c>
      <c r="D2008" s="16" t="str">
        <f>IFERROR(VLOOKUP(C2008,DATA!#REF!,2,FALSE),"")</f>
        <v/>
      </c>
    </row>
    <row r="2009" spans="2:4" s="230" customFormat="1">
      <c r="B2009" s="15" t="str">
        <f t="shared" si="58"/>
        <v/>
      </c>
      <c r="C2009" s="16" t="str">
        <f>IFERROR(VLOOKUP(DATA!#REF!,DATA!#REF!,1,FALSE),"")</f>
        <v/>
      </c>
      <c r="D2009" s="16" t="str">
        <f>IFERROR(VLOOKUP(C2009,DATA!#REF!,2,FALSE),"")</f>
        <v/>
      </c>
    </row>
    <row r="2010" spans="2:4" s="230" customFormat="1">
      <c r="B2010" s="15" t="str">
        <f t="shared" si="58"/>
        <v/>
      </c>
      <c r="C2010" s="16" t="str">
        <f>IFERROR(VLOOKUP(DATA!#REF!,DATA!#REF!,1,FALSE),"")</f>
        <v/>
      </c>
      <c r="D2010" s="16" t="str">
        <f>IFERROR(VLOOKUP(C2010,DATA!#REF!,2,FALSE),"")</f>
        <v/>
      </c>
    </row>
    <row r="2011" spans="2:4" s="230" customFormat="1">
      <c r="B2011" s="15" t="str">
        <f t="shared" si="58"/>
        <v/>
      </c>
      <c r="C2011" s="16" t="str">
        <f>IFERROR(VLOOKUP(DATA!#REF!,DATA!#REF!,1,FALSE),"")</f>
        <v/>
      </c>
      <c r="D2011" s="16" t="str">
        <f>IFERROR(VLOOKUP(C2011,DATA!#REF!,2,FALSE),"")</f>
        <v/>
      </c>
    </row>
    <row r="2012" spans="2:4" s="230" customFormat="1">
      <c r="B2012" s="15" t="str">
        <f t="shared" si="58"/>
        <v/>
      </c>
      <c r="C2012" s="16" t="str">
        <f>IFERROR(VLOOKUP(DATA!#REF!,DATA!#REF!,1,FALSE),"")</f>
        <v/>
      </c>
      <c r="D2012" s="16" t="str">
        <f>IFERROR(VLOOKUP(C2012,DATA!#REF!,2,FALSE),"")</f>
        <v/>
      </c>
    </row>
    <row r="2013" spans="2:4" s="230" customFormat="1">
      <c r="B2013" s="15" t="str">
        <f t="shared" si="58"/>
        <v/>
      </c>
      <c r="C2013" s="16" t="str">
        <f>IFERROR(VLOOKUP(DATA!#REF!,DATA!#REF!,1,FALSE),"")</f>
        <v/>
      </c>
      <c r="D2013" s="16" t="str">
        <f>IFERROR(VLOOKUP(C2013,DATA!#REF!,2,FALSE),"")</f>
        <v/>
      </c>
    </row>
    <row r="2014" spans="2:4" s="230" customFormat="1">
      <c r="B2014" s="15" t="str">
        <f t="shared" si="58"/>
        <v/>
      </c>
      <c r="C2014" s="16" t="str">
        <f>IFERROR(VLOOKUP(DATA!#REF!,DATA!#REF!,1,FALSE),"")</f>
        <v/>
      </c>
      <c r="D2014" s="16" t="str">
        <f>IFERROR(VLOOKUP(C2014,DATA!#REF!,2,FALSE),"")</f>
        <v/>
      </c>
    </row>
    <row r="2015" spans="2:4" s="230" customFormat="1">
      <c r="B2015" s="15" t="str">
        <f t="shared" si="58"/>
        <v/>
      </c>
      <c r="C2015" s="16" t="str">
        <f>IFERROR(VLOOKUP(DATA!#REF!,DATA!#REF!,1,FALSE),"")</f>
        <v/>
      </c>
      <c r="D2015" s="16" t="str">
        <f>IFERROR(VLOOKUP(C2015,DATA!#REF!,2,FALSE),"")</f>
        <v/>
      </c>
    </row>
    <row r="2016" spans="2:4" s="230" customFormat="1">
      <c r="B2016" s="15" t="str">
        <f t="shared" si="58"/>
        <v/>
      </c>
      <c r="C2016" s="16" t="str">
        <f>IFERROR(VLOOKUP(DATA!#REF!,DATA!#REF!,1,FALSE),"")</f>
        <v/>
      </c>
      <c r="D2016" s="16" t="str">
        <f>IFERROR(VLOOKUP(C2016,DATA!#REF!,2,FALSE),"")</f>
        <v/>
      </c>
    </row>
    <row r="2017" spans="2:4" s="230" customFormat="1">
      <c r="B2017" s="15" t="str">
        <f t="shared" si="58"/>
        <v/>
      </c>
      <c r="C2017" s="16" t="str">
        <f>IFERROR(VLOOKUP(DATA!#REF!,DATA!#REF!,1,FALSE),"")</f>
        <v/>
      </c>
      <c r="D2017" s="16" t="str">
        <f>IFERROR(VLOOKUP(C2017,DATA!#REF!,2,FALSE),"")</f>
        <v/>
      </c>
    </row>
    <row r="2018" spans="2:4" s="230" customFormat="1">
      <c r="B2018" s="15" t="str">
        <f t="shared" si="58"/>
        <v/>
      </c>
      <c r="C2018" s="16" t="str">
        <f>IFERROR(VLOOKUP(DATA!#REF!,DATA!#REF!,1,FALSE),"")</f>
        <v/>
      </c>
      <c r="D2018" s="16" t="str">
        <f>IFERROR(VLOOKUP(C2018,DATA!#REF!,2,FALSE),"")</f>
        <v/>
      </c>
    </row>
    <row r="2019" spans="2:4" s="230" customFormat="1">
      <c r="B2019" s="15" t="str">
        <f t="shared" si="58"/>
        <v/>
      </c>
      <c r="C2019" s="16" t="str">
        <f>IFERROR(VLOOKUP(DATA!#REF!,DATA!#REF!,1,FALSE),"")</f>
        <v/>
      </c>
      <c r="D2019" s="16" t="str">
        <f>IFERROR(VLOOKUP(C2019,DATA!#REF!,2,FALSE),"")</f>
        <v/>
      </c>
    </row>
    <row r="2020" spans="2:4" s="230" customFormat="1">
      <c r="B2020" s="15" t="str">
        <f t="shared" si="58"/>
        <v/>
      </c>
      <c r="C2020" s="16" t="str">
        <f>IFERROR(VLOOKUP(DATA!#REF!,DATA!#REF!,1,FALSE),"")</f>
        <v/>
      </c>
      <c r="D2020" s="16" t="str">
        <f>IFERROR(VLOOKUP(C2020,DATA!#REF!,2,FALSE),"")</f>
        <v/>
      </c>
    </row>
    <row r="2021" spans="2:4" s="230" customFormat="1">
      <c r="B2021" s="15" t="str">
        <f t="shared" si="58"/>
        <v/>
      </c>
      <c r="C2021" s="16" t="str">
        <f>IFERROR(VLOOKUP(DATA!#REF!,DATA!#REF!,1,FALSE),"")</f>
        <v/>
      </c>
      <c r="D2021" s="16" t="str">
        <f>IFERROR(VLOOKUP(C2021,DATA!#REF!,2,FALSE),"")</f>
        <v/>
      </c>
    </row>
    <row r="2022" spans="2:4" s="230" customFormat="1">
      <c r="B2022" s="15" t="str">
        <f t="shared" si="58"/>
        <v/>
      </c>
      <c r="C2022" s="16" t="str">
        <f>IFERROR(VLOOKUP(DATA!#REF!,DATA!#REF!,1,FALSE),"")</f>
        <v/>
      </c>
      <c r="D2022" s="16" t="str">
        <f>IFERROR(VLOOKUP(C2022,DATA!#REF!,2,FALSE),"")</f>
        <v/>
      </c>
    </row>
    <row r="2023" spans="2:4" s="230" customFormat="1">
      <c r="B2023" s="15" t="str">
        <f t="shared" si="58"/>
        <v/>
      </c>
      <c r="C2023" s="16" t="str">
        <f>IFERROR(VLOOKUP(DATA!#REF!,DATA!#REF!,1,FALSE),"")</f>
        <v/>
      </c>
      <c r="D2023" s="16" t="str">
        <f>IFERROR(VLOOKUP(C2023,DATA!#REF!,2,FALSE),"")</f>
        <v/>
      </c>
    </row>
    <row r="2024" spans="2:4" s="230" customFormat="1">
      <c r="B2024" s="15" t="str">
        <f t="shared" si="58"/>
        <v/>
      </c>
      <c r="C2024" s="16" t="str">
        <f>IFERROR(VLOOKUP(DATA!#REF!,DATA!#REF!,1,FALSE),"")</f>
        <v/>
      </c>
      <c r="D2024" s="16" t="str">
        <f>IFERROR(VLOOKUP(C2024,DATA!#REF!,2,FALSE),"")</f>
        <v/>
      </c>
    </row>
    <row r="2025" spans="2:4" s="230" customFormat="1">
      <c r="B2025" s="15" t="str">
        <f t="shared" si="58"/>
        <v/>
      </c>
      <c r="C2025" s="16" t="str">
        <f>IFERROR(VLOOKUP(DATA!#REF!,DATA!#REF!,1,FALSE),"")</f>
        <v/>
      </c>
      <c r="D2025" s="16" t="str">
        <f>IFERROR(VLOOKUP(C2025,DATA!#REF!,2,FALSE),"")</f>
        <v/>
      </c>
    </row>
    <row r="2026" spans="2:4" s="230" customFormat="1">
      <c r="B2026" s="15" t="str">
        <f t="shared" si="58"/>
        <v/>
      </c>
      <c r="C2026" s="16" t="str">
        <f>IFERROR(VLOOKUP(DATA!#REF!,DATA!#REF!,1,FALSE),"")</f>
        <v/>
      </c>
      <c r="D2026" s="16" t="str">
        <f>IFERROR(VLOOKUP(C2026,DATA!#REF!,2,FALSE),"")</f>
        <v/>
      </c>
    </row>
    <row r="2027" spans="2:4" s="230" customFormat="1">
      <c r="B2027" s="15" t="str">
        <f t="shared" si="58"/>
        <v/>
      </c>
      <c r="C2027" s="16" t="str">
        <f>IFERROR(VLOOKUP(DATA!#REF!,DATA!#REF!,1,FALSE),"")</f>
        <v/>
      </c>
      <c r="D2027" s="16" t="str">
        <f>IFERROR(VLOOKUP(C2027,DATA!#REF!,2,FALSE),"")</f>
        <v/>
      </c>
    </row>
    <row r="2028" spans="2:4" s="230" customFormat="1">
      <c r="B2028" s="15" t="str">
        <f t="shared" si="58"/>
        <v/>
      </c>
      <c r="C2028" s="16" t="str">
        <f>IFERROR(VLOOKUP(DATA!#REF!,DATA!#REF!,1,FALSE),"")</f>
        <v/>
      </c>
      <c r="D2028" s="16" t="str">
        <f>IFERROR(VLOOKUP(C2028,DATA!#REF!,2,FALSE),"")</f>
        <v/>
      </c>
    </row>
    <row r="2029" spans="2:4" s="230" customFormat="1">
      <c r="B2029" s="15" t="str">
        <f t="shared" si="58"/>
        <v/>
      </c>
      <c r="C2029" s="16" t="str">
        <f>IFERROR(VLOOKUP(DATA!#REF!,DATA!#REF!,1,FALSE),"")</f>
        <v/>
      </c>
      <c r="D2029" s="16" t="str">
        <f>IFERROR(VLOOKUP(C2029,DATA!#REF!,2,FALSE),"")</f>
        <v/>
      </c>
    </row>
    <row r="2030" spans="2:4" s="230" customFormat="1">
      <c r="B2030" s="15" t="str">
        <f t="shared" si="58"/>
        <v/>
      </c>
      <c r="C2030" s="16" t="str">
        <f>IFERROR(VLOOKUP(DATA!#REF!,DATA!#REF!,1,FALSE),"")</f>
        <v/>
      </c>
      <c r="D2030" s="16" t="str">
        <f>IFERROR(VLOOKUP(C2030,DATA!#REF!,2,FALSE),"")</f>
        <v/>
      </c>
    </row>
    <row r="2031" spans="2:4" s="230" customFormat="1">
      <c r="B2031" s="15" t="str">
        <f t="shared" si="58"/>
        <v/>
      </c>
      <c r="C2031" s="16" t="str">
        <f>IFERROR(VLOOKUP(DATA!#REF!,DATA!#REF!,1,FALSE),"")</f>
        <v/>
      </c>
      <c r="D2031" s="16" t="str">
        <f>IFERROR(VLOOKUP(C2031,DATA!#REF!,2,FALSE),"")</f>
        <v/>
      </c>
    </row>
    <row r="2032" spans="2:4" s="230" customFormat="1">
      <c r="B2032" s="15" t="str">
        <f t="shared" si="58"/>
        <v/>
      </c>
      <c r="C2032" s="16" t="str">
        <f>IFERROR(VLOOKUP(DATA!#REF!,DATA!#REF!,1,FALSE),"")</f>
        <v/>
      </c>
      <c r="D2032" s="16" t="str">
        <f>IFERROR(VLOOKUP(C2032,DATA!#REF!,2,FALSE),"")</f>
        <v/>
      </c>
    </row>
    <row r="2033" spans="2:4" s="230" customFormat="1">
      <c r="B2033" s="15" t="str">
        <f t="shared" si="58"/>
        <v/>
      </c>
      <c r="C2033" s="16" t="str">
        <f>IFERROR(VLOOKUP(DATA!#REF!,DATA!#REF!,1,FALSE),"")</f>
        <v/>
      </c>
      <c r="D2033" s="16" t="str">
        <f>IFERROR(VLOOKUP(C2033,DATA!#REF!,2,FALSE),"")</f>
        <v/>
      </c>
    </row>
    <row r="2034" spans="2:4" s="230" customFormat="1">
      <c r="B2034" s="15" t="str">
        <f t="shared" si="58"/>
        <v/>
      </c>
      <c r="C2034" s="16" t="str">
        <f>IFERROR(VLOOKUP(DATA!#REF!,DATA!#REF!,1,FALSE),"")</f>
        <v/>
      </c>
      <c r="D2034" s="16" t="str">
        <f>IFERROR(VLOOKUP(C2034,DATA!#REF!,2,FALSE),"")</f>
        <v/>
      </c>
    </row>
    <row r="2035" spans="2:4" s="230" customFormat="1">
      <c r="B2035" s="15" t="str">
        <f t="shared" si="58"/>
        <v/>
      </c>
      <c r="C2035" s="16" t="str">
        <f>IFERROR(VLOOKUP(DATA!#REF!,DATA!#REF!,1,FALSE),"")</f>
        <v/>
      </c>
      <c r="D2035" s="16" t="str">
        <f>IFERROR(VLOOKUP(C2035,DATA!#REF!,2,FALSE),"")</f>
        <v/>
      </c>
    </row>
    <row r="2036" spans="2:4" s="230" customFormat="1">
      <c r="B2036" s="15" t="str">
        <f t="shared" si="58"/>
        <v/>
      </c>
      <c r="C2036" s="16" t="str">
        <f>IFERROR(VLOOKUP(DATA!#REF!,DATA!#REF!,1,FALSE),"")</f>
        <v/>
      </c>
      <c r="D2036" s="16" t="str">
        <f>IFERROR(VLOOKUP(C2036,DATA!#REF!,2,FALSE),"")</f>
        <v/>
      </c>
    </row>
    <row r="2037" spans="2:4" s="230" customFormat="1">
      <c r="B2037" s="15" t="str">
        <f t="shared" si="58"/>
        <v/>
      </c>
      <c r="C2037" s="16" t="str">
        <f>IFERROR(VLOOKUP(DATA!#REF!,DATA!#REF!,1,FALSE),"")</f>
        <v/>
      </c>
      <c r="D2037" s="16" t="str">
        <f>IFERROR(VLOOKUP(C2037,DATA!#REF!,2,FALSE),"")</f>
        <v/>
      </c>
    </row>
    <row r="2038" spans="2:4" s="230" customFormat="1">
      <c r="B2038" s="15" t="str">
        <f t="shared" si="58"/>
        <v/>
      </c>
      <c r="C2038" s="16" t="str">
        <f>IFERROR(VLOOKUP(DATA!#REF!,DATA!#REF!,1,FALSE),"")</f>
        <v/>
      </c>
      <c r="D2038" s="16" t="str">
        <f>IFERROR(VLOOKUP(C2038,DATA!#REF!,2,FALSE),"")</f>
        <v/>
      </c>
    </row>
    <row r="2039" spans="2:4" s="230" customFormat="1">
      <c r="B2039" s="15" t="str">
        <f t="shared" si="58"/>
        <v/>
      </c>
      <c r="C2039" s="16" t="str">
        <f>IFERROR(VLOOKUP(DATA!#REF!,DATA!#REF!,1,FALSE),"")</f>
        <v/>
      </c>
      <c r="D2039" s="16" t="str">
        <f>IFERROR(VLOOKUP(C2039,DATA!#REF!,2,FALSE),"")</f>
        <v/>
      </c>
    </row>
    <row r="2040" spans="2:4" s="230" customFormat="1">
      <c r="B2040" s="15" t="str">
        <f t="shared" si="58"/>
        <v/>
      </c>
      <c r="C2040" s="16" t="str">
        <f>IFERROR(VLOOKUP(DATA!#REF!,DATA!#REF!,1,FALSE),"")</f>
        <v/>
      </c>
      <c r="D2040" s="16" t="str">
        <f>IFERROR(VLOOKUP(C2040,DATA!#REF!,2,FALSE),"")</f>
        <v/>
      </c>
    </row>
    <row r="2041" spans="2:4" s="230" customFormat="1">
      <c r="B2041" s="15" t="str">
        <f t="shared" si="58"/>
        <v/>
      </c>
      <c r="C2041" s="16" t="str">
        <f>IFERROR(VLOOKUP(DATA!#REF!,DATA!#REF!,1,FALSE),"")</f>
        <v/>
      </c>
      <c r="D2041" s="16" t="str">
        <f>IFERROR(VLOOKUP(C2041,DATA!#REF!,2,FALSE),"")</f>
        <v/>
      </c>
    </row>
    <row r="2042" spans="2:4" s="230" customFormat="1">
      <c r="B2042" s="15" t="str">
        <f t="shared" si="58"/>
        <v/>
      </c>
      <c r="C2042" s="16" t="str">
        <f>IFERROR(VLOOKUP(DATA!#REF!,DATA!#REF!,1,FALSE),"")</f>
        <v/>
      </c>
      <c r="D2042" s="16" t="str">
        <f>IFERROR(VLOOKUP(C2042,DATA!#REF!,2,FALSE),"")</f>
        <v/>
      </c>
    </row>
    <row r="2043" spans="2:4" s="230" customFormat="1">
      <c r="B2043" s="15" t="str">
        <f t="shared" si="58"/>
        <v/>
      </c>
      <c r="C2043" s="16" t="str">
        <f>IFERROR(VLOOKUP(DATA!#REF!,DATA!#REF!,1,FALSE),"")</f>
        <v/>
      </c>
      <c r="D2043" s="16" t="str">
        <f>IFERROR(VLOOKUP(C2043,DATA!#REF!,2,FALSE),"")</f>
        <v/>
      </c>
    </row>
    <row r="2044" spans="2:4" s="230" customFormat="1">
      <c r="B2044" s="15" t="str">
        <f t="shared" si="58"/>
        <v/>
      </c>
      <c r="C2044" s="16" t="str">
        <f>IFERROR(VLOOKUP(DATA!#REF!,DATA!#REF!,1,FALSE),"")</f>
        <v/>
      </c>
      <c r="D2044" s="16" t="str">
        <f>IFERROR(VLOOKUP(C2044,DATA!#REF!,2,FALSE),"")</f>
        <v/>
      </c>
    </row>
    <row r="2045" spans="2:4" s="230" customFormat="1">
      <c r="B2045" s="15" t="str">
        <f t="shared" si="58"/>
        <v/>
      </c>
      <c r="C2045" s="16" t="str">
        <f>IFERROR(VLOOKUP(DATA!#REF!,DATA!#REF!,1,FALSE),"")</f>
        <v/>
      </c>
      <c r="D2045" s="16" t="str">
        <f>IFERROR(VLOOKUP(C2045,DATA!#REF!,2,FALSE),"")</f>
        <v/>
      </c>
    </row>
    <row r="2046" spans="2:4" s="230" customFormat="1">
      <c r="B2046" s="15" t="str">
        <f t="shared" si="58"/>
        <v/>
      </c>
      <c r="C2046" s="16" t="str">
        <f>IFERROR(VLOOKUP(DATA!#REF!,DATA!#REF!,1,FALSE),"")</f>
        <v/>
      </c>
      <c r="D2046" s="16" t="str">
        <f>IFERROR(VLOOKUP(C2046,DATA!#REF!,2,FALSE),"")</f>
        <v/>
      </c>
    </row>
    <row r="2047" spans="2:4" s="230" customFormat="1">
      <c r="B2047" s="15" t="str">
        <f t="shared" si="58"/>
        <v/>
      </c>
      <c r="C2047" s="16" t="str">
        <f>IFERROR(VLOOKUP(DATA!#REF!,DATA!#REF!,1,FALSE),"")</f>
        <v/>
      </c>
      <c r="D2047" s="16" t="str">
        <f>IFERROR(VLOOKUP(C2047,DATA!#REF!,2,FALSE),"")</f>
        <v/>
      </c>
    </row>
    <row r="2048" spans="2:4" s="230" customFormat="1">
      <c r="B2048" s="15" t="str">
        <f t="shared" si="58"/>
        <v/>
      </c>
      <c r="C2048" s="16" t="str">
        <f>IFERROR(VLOOKUP(DATA!#REF!,DATA!#REF!,1,FALSE),"")</f>
        <v/>
      </c>
      <c r="D2048" s="16" t="str">
        <f>IFERROR(VLOOKUP(C2048,DATA!#REF!,2,FALSE),"")</f>
        <v/>
      </c>
    </row>
    <row r="2049" spans="2:4" s="230" customFormat="1">
      <c r="B2049" s="15" t="str">
        <f t="shared" si="58"/>
        <v/>
      </c>
      <c r="C2049" s="16" t="str">
        <f>IFERROR(VLOOKUP(DATA!#REF!,DATA!#REF!,1,FALSE),"")</f>
        <v/>
      </c>
      <c r="D2049" s="16" t="str">
        <f>IFERROR(VLOOKUP(C2049,DATA!#REF!,2,FALSE),"")</f>
        <v/>
      </c>
    </row>
    <row r="2050" spans="2:4" s="230" customFormat="1">
      <c r="B2050" s="15" t="str">
        <f t="shared" si="58"/>
        <v/>
      </c>
      <c r="C2050" s="16" t="str">
        <f>IFERROR(VLOOKUP(DATA!#REF!,DATA!#REF!,1,FALSE),"")</f>
        <v/>
      </c>
      <c r="D2050" s="16" t="str">
        <f>IFERROR(VLOOKUP(C2050,DATA!#REF!,2,FALSE),"")</f>
        <v/>
      </c>
    </row>
    <row r="2051" spans="2:4" s="230" customFormat="1">
      <c r="B2051" s="15" t="str">
        <f t="shared" si="58"/>
        <v/>
      </c>
      <c r="C2051" s="16" t="str">
        <f>IFERROR(VLOOKUP(DATA!#REF!,DATA!#REF!,1,FALSE),"")</f>
        <v/>
      </c>
      <c r="D2051" s="16" t="str">
        <f>IFERROR(VLOOKUP(C2051,DATA!#REF!,2,FALSE),"")</f>
        <v/>
      </c>
    </row>
    <row r="2052" spans="2:4" s="230" customFormat="1">
      <c r="B2052" s="15" t="str">
        <f t="shared" si="58"/>
        <v/>
      </c>
      <c r="C2052" s="16" t="str">
        <f>IFERROR(VLOOKUP(DATA!#REF!,DATA!#REF!,1,FALSE),"")</f>
        <v/>
      </c>
      <c r="D2052" s="16" t="str">
        <f>IFERROR(VLOOKUP(C2052,DATA!#REF!,2,FALSE),"")</f>
        <v/>
      </c>
    </row>
    <row r="2053" spans="2:4" s="230" customFormat="1">
      <c r="B2053" s="15" t="str">
        <f t="shared" si="58"/>
        <v/>
      </c>
      <c r="C2053" s="16" t="str">
        <f>IFERROR(VLOOKUP(DATA!#REF!,DATA!#REF!,1,FALSE),"")</f>
        <v/>
      </c>
      <c r="D2053" s="16" t="str">
        <f>IFERROR(VLOOKUP(C2053,DATA!#REF!,2,FALSE),"")</f>
        <v/>
      </c>
    </row>
    <row r="2054" spans="2:4" s="230" customFormat="1">
      <c r="B2054" s="15" t="str">
        <f t="shared" ref="B2054:B2117" si="59">+IF(C2054="","",ROW()-5)</f>
        <v/>
      </c>
      <c r="C2054" s="16" t="str">
        <f>IFERROR(VLOOKUP(DATA!#REF!,DATA!#REF!,1,FALSE),"")</f>
        <v/>
      </c>
      <c r="D2054" s="16" t="str">
        <f>IFERROR(VLOOKUP(C2054,DATA!#REF!,2,FALSE),"")</f>
        <v/>
      </c>
    </row>
    <row r="2055" spans="2:4" s="230" customFormat="1">
      <c r="B2055" s="15" t="str">
        <f t="shared" si="59"/>
        <v/>
      </c>
      <c r="C2055" s="16" t="str">
        <f>IFERROR(VLOOKUP(DATA!#REF!,DATA!#REF!,1,FALSE),"")</f>
        <v/>
      </c>
      <c r="D2055" s="16" t="str">
        <f>IFERROR(VLOOKUP(C2055,DATA!#REF!,2,FALSE),"")</f>
        <v/>
      </c>
    </row>
    <row r="2056" spans="2:4" s="230" customFormat="1">
      <c r="B2056" s="15" t="str">
        <f t="shared" si="59"/>
        <v/>
      </c>
      <c r="C2056" s="16" t="str">
        <f>IFERROR(VLOOKUP(DATA!#REF!,DATA!#REF!,1,FALSE),"")</f>
        <v/>
      </c>
      <c r="D2056" s="16" t="str">
        <f>IFERROR(VLOOKUP(C2056,DATA!#REF!,2,FALSE),"")</f>
        <v/>
      </c>
    </row>
    <row r="2057" spans="2:4" s="230" customFormat="1">
      <c r="B2057" s="15" t="str">
        <f t="shared" si="59"/>
        <v/>
      </c>
      <c r="C2057" s="16" t="str">
        <f>IFERROR(VLOOKUP(DATA!#REF!,DATA!#REF!,1,FALSE),"")</f>
        <v/>
      </c>
      <c r="D2057" s="16" t="str">
        <f>IFERROR(VLOOKUP(C2057,DATA!#REF!,2,FALSE),"")</f>
        <v/>
      </c>
    </row>
    <row r="2058" spans="2:4" s="230" customFormat="1">
      <c r="B2058" s="15" t="str">
        <f t="shared" si="59"/>
        <v/>
      </c>
      <c r="C2058" s="16" t="str">
        <f>IFERROR(VLOOKUP(DATA!#REF!,DATA!#REF!,1,FALSE),"")</f>
        <v/>
      </c>
      <c r="D2058" s="16" t="str">
        <f>IFERROR(VLOOKUP(C2058,DATA!#REF!,2,FALSE),"")</f>
        <v/>
      </c>
    </row>
    <row r="2059" spans="2:4" s="230" customFormat="1">
      <c r="B2059" s="15" t="str">
        <f t="shared" si="59"/>
        <v/>
      </c>
      <c r="C2059" s="16" t="str">
        <f>IFERROR(VLOOKUP(DATA!#REF!,DATA!#REF!,1,FALSE),"")</f>
        <v/>
      </c>
      <c r="D2059" s="16" t="str">
        <f>IFERROR(VLOOKUP(C2059,DATA!#REF!,2,FALSE),"")</f>
        <v/>
      </c>
    </row>
    <row r="2060" spans="2:4" s="230" customFormat="1">
      <c r="B2060" s="15" t="str">
        <f t="shared" si="59"/>
        <v/>
      </c>
      <c r="C2060" s="16" t="str">
        <f>IFERROR(VLOOKUP(DATA!#REF!,DATA!#REF!,1,FALSE),"")</f>
        <v/>
      </c>
      <c r="D2060" s="16" t="str">
        <f>IFERROR(VLOOKUP(C2060,DATA!#REF!,2,FALSE),"")</f>
        <v/>
      </c>
    </row>
    <row r="2061" spans="2:4" s="230" customFormat="1">
      <c r="B2061" s="15" t="str">
        <f t="shared" si="59"/>
        <v/>
      </c>
      <c r="C2061" s="16" t="str">
        <f>IFERROR(VLOOKUP(DATA!#REF!,DATA!#REF!,1,FALSE),"")</f>
        <v/>
      </c>
      <c r="D2061" s="16" t="str">
        <f>IFERROR(VLOOKUP(C2061,DATA!#REF!,2,FALSE),"")</f>
        <v/>
      </c>
    </row>
    <row r="2062" spans="2:4" s="230" customFormat="1">
      <c r="B2062" s="15" t="str">
        <f t="shared" si="59"/>
        <v/>
      </c>
      <c r="C2062" s="16" t="str">
        <f>IFERROR(VLOOKUP(DATA!#REF!,DATA!#REF!,1,FALSE),"")</f>
        <v/>
      </c>
      <c r="D2062" s="16" t="str">
        <f>IFERROR(VLOOKUP(C2062,DATA!#REF!,2,FALSE),"")</f>
        <v/>
      </c>
    </row>
    <row r="2063" spans="2:4" s="230" customFormat="1">
      <c r="B2063" s="15" t="str">
        <f t="shared" si="59"/>
        <v/>
      </c>
      <c r="C2063" s="16" t="str">
        <f>IFERROR(VLOOKUP(DATA!#REF!,DATA!#REF!,1,FALSE),"")</f>
        <v/>
      </c>
      <c r="D2063" s="16" t="str">
        <f>IFERROR(VLOOKUP(C2063,DATA!#REF!,2,FALSE),"")</f>
        <v/>
      </c>
    </row>
    <row r="2064" spans="2:4" s="230" customFormat="1">
      <c r="B2064" s="15" t="str">
        <f t="shared" si="59"/>
        <v/>
      </c>
      <c r="C2064" s="16" t="str">
        <f>IFERROR(VLOOKUP(DATA!#REF!,DATA!#REF!,1,FALSE),"")</f>
        <v/>
      </c>
      <c r="D2064" s="16" t="str">
        <f>IFERROR(VLOOKUP(C2064,DATA!#REF!,2,FALSE),"")</f>
        <v/>
      </c>
    </row>
    <row r="2065" spans="2:4" s="230" customFormat="1">
      <c r="B2065" s="15" t="str">
        <f t="shared" si="59"/>
        <v/>
      </c>
      <c r="C2065" s="16" t="str">
        <f>IFERROR(VLOOKUP(DATA!#REF!,DATA!#REF!,1,FALSE),"")</f>
        <v/>
      </c>
      <c r="D2065" s="16" t="str">
        <f>IFERROR(VLOOKUP(C2065,DATA!#REF!,2,FALSE),"")</f>
        <v/>
      </c>
    </row>
    <row r="2066" spans="2:4" s="230" customFormat="1">
      <c r="B2066" s="15" t="str">
        <f t="shared" si="59"/>
        <v/>
      </c>
      <c r="C2066" s="16" t="str">
        <f>IFERROR(VLOOKUP(DATA!#REF!,DATA!#REF!,1,FALSE),"")</f>
        <v/>
      </c>
      <c r="D2066" s="16" t="str">
        <f>IFERROR(VLOOKUP(C2066,DATA!#REF!,2,FALSE),"")</f>
        <v/>
      </c>
    </row>
    <row r="2067" spans="2:4" s="230" customFormat="1">
      <c r="B2067" s="15" t="str">
        <f t="shared" si="59"/>
        <v/>
      </c>
      <c r="C2067" s="16" t="str">
        <f>IFERROR(VLOOKUP(DATA!#REF!,DATA!#REF!,1,FALSE),"")</f>
        <v/>
      </c>
      <c r="D2067" s="16" t="str">
        <f>IFERROR(VLOOKUP(C2067,DATA!#REF!,2,FALSE),"")</f>
        <v/>
      </c>
    </row>
    <row r="2068" spans="2:4" s="230" customFormat="1">
      <c r="B2068" s="15" t="str">
        <f t="shared" si="59"/>
        <v/>
      </c>
      <c r="C2068" s="16" t="str">
        <f>IFERROR(VLOOKUP(DATA!#REF!,DATA!#REF!,1,FALSE),"")</f>
        <v/>
      </c>
      <c r="D2068" s="16" t="str">
        <f>IFERROR(VLOOKUP(C2068,DATA!#REF!,2,FALSE),"")</f>
        <v/>
      </c>
    </row>
    <row r="2069" spans="2:4" s="230" customFormat="1">
      <c r="B2069" s="15" t="str">
        <f t="shared" si="59"/>
        <v/>
      </c>
      <c r="C2069" s="16" t="str">
        <f>IFERROR(VLOOKUP(DATA!#REF!,DATA!#REF!,1,FALSE),"")</f>
        <v/>
      </c>
      <c r="D2069" s="16" t="str">
        <f>IFERROR(VLOOKUP(C2069,DATA!#REF!,2,FALSE),"")</f>
        <v/>
      </c>
    </row>
    <row r="2070" spans="2:4" s="230" customFormat="1">
      <c r="B2070" s="15" t="str">
        <f t="shared" si="59"/>
        <v/>
      </c>
      <c r="C2070" s="16" t="str">
        <f>IFERROR(VLOOKUP(DATA!#REF!,DATA!#REF!,1,FALSE),"")</f>
        <v/>
      </c>
      <c r="D2070" s="16" t="str">
        <f>IFERROR(VLOOKUP(C2070,DATA!#REF!,2,FALSE),"")</f>
        <v/>
      </c>
    </row>
    <row r="2071" spans="2:4" s="230" customFormat="1">
      <c r="B2071" s="15" t="str">
        <f t="shared" si="59"/>
        <v/>
      </c>
      <c r="C2071" s="16" t="str">
        <f>IFERROR(VLOOKUP(DATA!#REF!,DATA!#REF!,1,FALSE),"")</f>
        <v/>
      </c>
      <c r="D2071" s="16" t="str">
        <f>IFERROR(VLOOKUP(C2071,DATA!#REF!,2,FALSE),"")</f>
        <v/>
      </c>
    </row>
    <row r="2072" spans="2:4" s="230" customFormat="1">
      <c r="B2072" s="15" t="str">
        <f t="shared" si="59"/>
        <v/>
      </c>
      <c r="C2072" s="16" t="str">
        <f>IFERROR(VLOOKUP(DATA!#REF!,DATA!#REF!,1,FALSE),"")</f>
        <v/>
      </c>
      <c r="D2072" s="16" t="str">
        <f>IFERROR(VLOOKUP(C2072,DATA!#REF!,2,FALSE),"")</f>
        <v/>
      </c>
    </row>
    <row r="2073" spans="2:4" s="230" customFormat="1">
      <c r="B2073" s="15" t="str">
        <f t="shared" si="59"/>
        <v/>
      </c>
      <c r="C2073" s="16" t="str">
        <f>IFERROR(VLOOKUP(DATA!#REF!,DATA!#REF!,1,FALSE),"")</f>
        <v/>
      </c>
      <c r="D2073" s="16" t="str">
        <f>IFERROR(VLOOKUP(C2073,DATA!#REF!,2,FALSE),"")</f>
        <v/>
      </c>
    </row>
    <row r="2074" spans="2:4" s="230" customFormat="1">
      <c r="B2074" s="15" t="str">
        <f t="shared" si="59"/>
        <v/>
      </c>
      <c r="C2074" s="16" t="str">
        <f>IFERROR(VLOOKUP(DATA!#REF!,DATA!#REF!,1,FALSE),"")</f>
        <v/>
      </c>
      <c r="D2074" s="16" t="str">
        <f>IFERROR(VLOOKUP(C2074,DATA!#REF!,2,FALSE),"")</f>
        <v/>
      </c>
    </row>
    <row r="2075" spans="2:4" s="230" customFormat="1">
      <c r="B2075" s="15" t="str">
        <f t="shared" si="59"/>
        <v/>
      </c>
      <c r="C2075" s="16" t="str">
        <f>IFERROR(VLOOKUP(DATA!#REF!,DATA!#REF!,1,FALSE),"")</f>
        <v/>
      </c>
      <c r="D2075" s="16" t="str">
        <f>IFERROR(VLOOKUP(C2075,DATA!#REF!,2,FALSE),"")</f>
        <v/>
      </c>
    </row>
    <row r="2076" spans="2:4" s="230" customFormat="1">
      <c r="B2076" s="15" t="str">
        <f t="shared" si="59"/>
        <v/>
      </c>
      <c r="C2076" s="16" t="str">
        <f>IFERROR(VLOOKUP(DATA!#REF!,DATA!#REF!,1,FALSE),"")</f>
        <v/>
      </c>
      <c r="D2076" s="16" t="str">
        <f>IFERROR(VLOOKUP(C2076,DATA!#REF!,2,FALSE),"")</f>
        <v/>
      </c>
    </row>
    <row r="2077" spans="2:4" s="230" customFormat="1">
      <c r="B2077" s="15" t="str">
        <f t="shared" si="59"/>
        <v/>
      </c>
      <c r="C2077" s="16" t="str">
        <f>IFERROR(VLOOKUP(DATA!#REF!,DATA!#REF!,1,FALSE),"")</f>
        <v/>
      </c>
      <c r="D2077" s="16" t="str">
        <f>IFERROR(VLOOKUP(C2077,DATA!#REF!,2,FALSE),"")</f>
        <v/>
      </c>
    </row>
    <row r="2078" spans="2:4" s="230" customFormat="1">
      <c r="B2078" s="15" t="str">
        <f t="shared" si="59"/>
        <v/>
      </c>
      <c r="C2078" s="16" t="str">
        <f>IFERROR(VLOOKUP(DATA!#REF!,DATA!#REF!,1,FALSE),"")</f>
        <v/>
      </c>
      <c r="D2078" s="16" t="str">
        <f>IFERROR(VLOOKUP(C2078,DATA!#REF!,2,FALSE),"")</f>
        <v/>
      </c>
    </row>
    <row r="2079" spans="2:4" s="230" customFormat="1">
      <c r="B2079" s="15" t="str">
        <f t="shared" si="59"/>
        <v/>
      </c>
      <c r="C2079" s="16" t="str">
        <f>IFERROR(VLOOKUP(DATA!#REF!,DATA!#REF!,1,FALSE),"")</f>
        <v/>
      </c>
      <c r="D2079" s="16" t="str">
        <f>IFERROR(VLOOKUP(C2079,DATA!#REF!,2,FALSE),"")</f>
        <v/>
      </c>
    </row>
    <row r="2080" spans="2:4" s="230" customFormat="1">
      <c r="B2080" s="15" t="str">
        <f t="shared" si="59"/>
        <v/>
      </c>
      <c r="C2080" s="16" t="str">
        <f>IFERROR(VLOOKUP(DATA!#REF!,DATA!#REF!,1,FALSE),"")</f>
        <v/>
      </c>
      <c r="D2080" s="16" t="str">
        <f>IFERROR(VLOOKUP(C2080,DATA!#REF!,2,FALSE),"")</f>
        <v/>
      </c>
    </row>
    <row r="2081" spans="2:4" s="230" customFormat="1">
      <c r="B2081" s="15" t="str">
        <f t="shared" si="59"/>
        <v/>
      </c>
      <c r="C2081" s="16" t="str">
        <f>IFERROR(VLOOKUP(DATA!#REF!,DATA!#REF!,1,FALSE),"")</f>
        <v/>
      </c>
      <c r="D2081" s="16" t="str">
        <f>IFERROR(VLOOKUP(C2081,DATA!#REF!,2,FALSE),"")</f>
        <v/>
      </c>
    </row>
    <row r="2082" spans="2:4" s="230" customFormat="1">
      <c r="B2082" s="15" t="str">
        <f t="shared" si="59"/>
        <v/>
      </c>
      <c r="C2082" s="16" t="str">
        <f>IFERROR(VLOOKUP(DATA!#REF!,DATA!#REF!,1,FALSE),"")</f>
        <v/>
      </c>
      <c r="D2082" s="16" t="str">
        <f>IFERROR(VLOOKUP(C2082,DATA!#REF!,2,FALSE),"")</f>
        <v/>
      </c>
    </row>
    <row r="2083" spans="2:4" s="230" customFormat="1">
      <c r="B2083" s="15" t="str">
        <f t="shared" si="59"/>
        <v/>
      </c>
      <c r="C2083" s="16" t="str">
        <f>IFERROR(VLOOKUP(DATA!#REF!,DATA!#REF!,1,FALSE),"")</f>
        <v/>
      </c>
      <c r="D2083" s="16" t="str">
        <f>IFERROR(VLOOKUP(C2083,DATA!#REF!,2,FALSE),"")</f>
        <v/>
      </c>
    </row>
    <row r="2084" spans="2:4" s="230" customFormat="1">
      <c r="B2084" s="15" t="str">
        <f t="shared" si="59"/>
        <v/>
      </c>
      <c r="C2084" s="16" t="str">
        <f>IFERROR(VLOOKUP(DATA!#REF!,DATA!#REF!,1,FALSE),"")</f>
        <v/>
      </c>
      <c r="D2084" s="16" t="str">
        <f>IFERROR(VLOOKUP(C2084,DATA!#REF!,2,FALSE),"")</f>
        <v/>
      </c>
    </row>
    <row r="2085" spans="2:4" s="230" customFormat="1">
      <c r="B2085" s="15" t="str">
        <f t="shared" si="59"/>
        <v/>
      </c>
      <c r="C2085" s="16" t="str">
        <f>IFERROR(VLOOKUP(DATA!#REF!,DATA!#REF!,1,FALSE),"")</f>
        <v/>
      </c>
      <c r="D2085" s="16" t="str">
        <f>IFERROR(VLOOKUP(C2085,DATA!#REF!,2,FALSE),"")</f>
        <v/>
      </c>
    </row>
    <row r="2086" spans="2:4" s="230" customFormat="1">
      <c r="B2086" s="15" t="str">
        <f t="shared" si="59"/>
        <v/>
      </c>
      <c r="C2086" s="16" t="str">
        <f>IFERROR(VLOOKUP(DATA!#REF!,DATA!#REF!,1,FALSE),"")</f>
        <v/>
      </c>
      <c r="D2086" s="16" t="str">
        <f>IFERROR(VLOOKUP(C2086,DATA!#REF!,2,FALSE),"")</f>
        <v/>
      </c>
    </row>
    <row r="2087" spans="2:4" s="230" customFormat="1">
      <c r="B2087" s="15" t="str">
        <f t="shared" si="59"/>
        <v/>
      </c>
      <c r="C2087" s="16" t="str">
        <f>IFERROR(VLOOKUP(DATA!#REF!,DATA!#REF!,1,FALSE),"")</f>
        <v/>
      </c>
      <c r="D2087" s="16" t="str">
        <f>IFERROR(VLOOKUP(C2087,DATA!#REF!,2,FALSE),"")</f>
        <v/>
      </c>
    </row>
    <row r="2088" spans="2:4" s="230" customFormat="1">
      <c r="B2088" s="15" t="str">
        <f t="shared" si="59"/>
        <v/>
      </c>
      <c r="C2088" s="16" t="str">
        <f>IFERROR(VLOOKUP(DATA!#REF!,DATA!#REF!,1,FALSE),"")</f>
        <v/>
      </c>
      <c r="D2088" s="16" t="str">
        <f>IFERROR(VLOOKUP(C2088,DATA!#REF!,2,FALSE),"")</f>
        <v/>
      </c>
    </row>
    <row r="2089" spans="2:4" s="230" customFormat="1">
      <c r="B2089" s="15" t="str">
        <f t="shared" si="59"/>
        <v/>
      </c>
      <c r="C2089" s="16" t="str">
        <f>IFERROR(VLOOKUP(DATA!#REF!,DATA!#REF!,1,FALSE),"")</f>
        <v/>
      </c>
      <c r="D2089" s="16" t="str">
        <f>IFERROR(VLOOKUP(C2089,DATA!#REF!,2,FALSE),"")</f>
        <v/>
      </c>
    </row>
    <row r="2090" spans="2:4" s="230" customFormat="1">
      <c r="B2090" s="15" t="str">
        <f t="shared" si="59"/>
        <v/>
      </c>
      <c r="C2090" s="16" t="str">
        <f>IFERROR(VLOOKUP(DATA!#REF!,DATA!#REF!,1,FALSE),"")</f>
        <v/>
      </c>
      <c r="D2090" s="16" t="str">
        <f>IFERROR(VLOOKUP(C2090,DATA!#REF!,2,FALSE),"")</f>
        <v/>
      </c>
    </row>
    <row r="2091" spans="2:4" s="230" customFormat="1">
      <c r="B2091" s="15" t="str">
        <f t="shared" si="59"/>
        <v/>
      </c>
      <c r="C2091" s="16" t="str">
        <f>IFERROR(VLOOKUP(DATA!#REF!,DATA!#REF!,1,FALSE),"")</f>
        <v/>
      </c>
      <c r="D2091" s="16" t="str">
        <f>IFERROR(VLOOKUP(C2091,DATA!#REF!,2,FALSE),"")</f>
        <v/>
      </c>
    </row>
    <row r="2092" spans="2:4" s="230" customFormat="1">
      <c r="B2092" s="15" t="str">
        <f t="shared" si="59"/>
        <v/>
      </c>
      <c r="C2092" s="16" t="str">
        <f>IFERROR(VLOOKUP(DATA!#REF!,DATA!#REF!,1,FALSE),"")</f>
        <v/>
      </c>
      <c r="D2092" s="16" t="str">
        <f>IFERROR(VLOOKUP(C2092,DATA!#REF!,2,FALSE),"")</f>
        <v/>
      </c>
    </row>
    <row r="2093" spans="2:4" s="230" customFormat="1">
      <c r="B2093" s="15" t="str">
        <f t="shared" si="59"/>
        <v/>
      </c>
      <c r="C2093" s="16" t="str">
        <f>IFERROR(VLOOKUP(DATA!#REF!,DATA!#REF!,1,FALSE),"")</f>
        <v/>
      </c>
      <c r="D2093" s="16" t="str">
        <f>IFERROR(VLOOKUP(C2093,DATA!#REF!,2,FALSE),"")</f>
        <v/>
      </c>
    </row>
    <row r="2094" spans="2:4" s="230" customFormat="1">
      <c r="B2094" s="15" t="str">
        <f t="shared" si="59"/>
        <v/>
      </c>
      <c r="C2094" s="16" t="str">
        <f>IFERROR(VLOOKUP(DATA!#REF!,DATA!#REF!,1,FALSE),"")</f>
        <v/>
      </c>
      <c r="D2094" s="16" t="str">
        <f>IFERROR(VLOOKUP(C2094,DATA!#REF!,2,FALSE),"")</f>
        <v/>
      </c>
    </row>
    <row r="2095" spans="2:4" s="230" customFormat="1">
      <c r="B2095" s="15" t="str">
        <f t="shared" si="59"/>
        <v/>
      </c>
      <c r="C2095" s="16" t="str">
        <f>IFERROR(VLOOKUP(DATA!#REF!,DATA!#REF!,1,FALSE),"")</f>
        <v/>
      </c>
      <c r="D2095" s="16" t="str">
        <f>IFERROR(VLOOKUP(C2095,DATA!#REF!,2,FALSE),"")</f>
        <v/>
      </c>
    </row>
    <row r="2096" spans="2:4" s="230" customFormat="1">
      <c r="B2096" s="15" t="str">
        <f t="shared" si="59"/>
        <v/>
      </c>
      <c r="C2096" s="16" t="str">
        <f>IFERROR(VLOOKUP(DATA!#REF!,DATA!#REF!,1,FALSE),"")</f>
        <v/>
      </c>
      <c r="D2096" s="16" t="str">
        <f>IFERROR(VLOOKUP(C2096,DATA!#REF!,2,FALSE),"")</f>
        <v/>
      </c>
    </row>
    <row r="2097" spans="2:4" s="230" customFormat="1">
      <c r="B2097" s="15" t="str">
        <f t="shared" si="59"/>
        <v/>
      </c>
      <c r="C2097" s="16" t="str">
        <f>IFERROR(VLOOKUP(DATA!#REF!,DATA!#REF!,1,FALSE),"")</f>
        <v/>
      </c>
      <c r="D2097" s="16" t="str">
        <f>IFERROR(VLOOKUP(C2097,DATA!#REF!,2,FALSE),"")</f>
        <v/>
      </c>
    </row>
    <row r="2098" spans="2:4" s="230" customFormat="1">
      <c r="B2098" s="15" t="str">
        <f t="shared" si="59"/>
        <v/>
      </c>
      <c r="C2098" s="16" t="str">
        <f>IFERROR(VLOOKUP(DATA!#REF!,DATA!#REF!,1,FALSE),"")</f>
        <v/>
      </c>
      <c r="D2098" s="16" t="str">
        <f>IFERROR(VLOOKUP(C2098,DATA!#REF!,2,FALSE),"")</f>
        <v/>
      </c>
    </row>
    <row r="2099" spans="2:4" s="230" customFormat="1">
      <c r="B2099" s="15" t="str">
        <f t="shared" si="59"/>
        <v/>
      </c>
      <c r="C2099" s="16" t="str">
        <f>IFERROR(VLOOKUP(DATA!#REF!,DATA!#REF!,1,FALSE),"")</f>
        <v/>
      </c>
      <c r="D2099" s="16" t="str">
        <f>IFERROR(VLOOKUP(C2099,DATA!#REF!,2,FALSE),"")</f>
        <v/>
      </c>
    </row>
    <row r="2100" spans="2:4" s="230" customFormat="1">
      <c r="B2100" s="15" t="str">
        <f t="shared" si="59"/>
        <v/>
      </c>
      <c r="C2100" s="16" t="str">
        <f>IFERROR(VLOOKUP(DATA!#REF!,DATA!#REF!,1,FALSE),"")</f>
        <v/>
      </c>
      <c r="D2100" s="16" t="str">
        <f>IFERROR(VLOOKUP(C2100,DATA!#REF!,2,FALSE),"")</f>
        <v/>
      </c>
    </row>
    <row r="2101" spans="2:4" s="230" customFormat="1">
      <c r="B2101" s="15" t="str">
        <f t="shared" si="59"/>
        <v/>
      </c>
      <c r="C2101" s="16" t="str">
        <f>IFERROR(VLOOKUP(DATA!#REF!,DATA!#REF!,1,FALSE),"")</f>
        <v/>
      </c>
      <c r="D2101" s="16" t="str">
        <f>IFERROR(VLOOKUP(C2101,DATA!#REF!,2,FALSE),"")</f>
        <v/>
      </c>
    </row>
    <row r="2102" spans="2:4" s="230" customFormat="1">
      <c r="B2102" s="15" t="str">
        <f t="shared" si="59"/>
        <v/>
      </c>
      <c r="C2102" s="16" t="str">
        <f>IFERROR(VLOOKUP(DATA!#REF!,DATA!#REF!,1,FALSE),"")</f>
        <v/>
      </c>
      <c r="D2102" s="16" t="str">
        <f>IFERROR(VLOOKUP(C2102,DATA!#REF!,2,FALSE),"")</f>
        <v/>
      </c>
    </row>
    <row r="2103" spans="2:4" s="230" customFormat="1">
      <c r="B2103" s="15" t="str">
        <f t="shared" si="59"/>
        <v/>
      </c>
      <c r="C2103" s="16" t="str">
        <f>IFERROR(VLOOKUP(DATA!#REF!,DATA!#REF!,1,FALSE),"")</f>
        <v/>
      </c>
      <c r="D2103" s="16" t="str">
        <f>IFERROR(VLOOKUP(C2103,DATA!#REF!,2,FALSE),"")</f>
        <v/>
      </c>
    </row>
    <row r="2104" spans="2:4" s="230" customFormat="1">
      <c r="B2104" s="15" t="str">
        <f t="shared" si="59"/>
        <v/>
      </c>
      <c r="C2104" s="16" t="str">
        <f>IFERROR(VLOOKUP(DATA!#REF!,DATA!#REF!,1,FALSE),"")</f>
        <v/>
      </c>
      <c r="D2104" s="16" t="str">
        <f>IFERROR(VLOOKUP(C2104,DATA!#REF!,2,FALSE),"")</f>
        <v/>
      </c>
    </row>
    <row r="2105" spans="2:4" s="230" customFormat="1">
      <c r="B2105" s="15" t="str">
        <f t="shared" si="59"/>
        <v/>
      </c>
      <c r="C2105" s="16" t="str">
        <f>IFERROR(VLOOKUP(DATA!#REF!,DATA!#REF!,1,FALSE),"")</f>
        <v/>
      </c>
      <c r="D2105" s="16" t="str">
        <f>IFERROR(VLOOKUP(C2105,DATA!#REF!,2,FALSE),"")</f>
        <v/>
      </c>
    </row>
    <row r="2106" spans="2:4" s="230" customFormat="1">
      <c r="B2106" s="15" t="str">
        <f t="shared" si="59"/>
        <v/>
      </c>
      <c r="C2106" s="16" t="str">
        <f>IFERROR(VLOOKUP(DATA!#REF!,DATA!#REF!,1,FALSE),"")</f>
        <v/>
      </c>
      <c r="D2106" s="16" t="str">
        <f>IFERROR(VLOOKUP(C2106,DATA!#REF!,2,FALSE),"")</f>
        <v/>
      </c>
    </row>
    <row r="2107" spans="2:4" s="230" customFormat="1">
      <c r="B2107" s="15" t="str">
        <f t="shared" si="59"/>
        <v/>
      </c>
      <c r="C2107" s="16" t="str">
        <f>IFERROR(VLOOKUP(DATA!#REF!,DATA!#REF!,1,FALSE),"")</f>
        <v/>
      </c>
      <c r="D2107" s="16" t="str">
        <f>IFERROR(VLOOKUP(C2107,DATA!#REF!,2,FALSE),"")</f>
        <v/>
      </c>
    </row>
    <row r="2108" spans="2:4" s="230" customFormat="1">
      <c r="B2108" s="15" t="str">
        <f t="shared" si="59"/>
        <v/>
      </c>
      <c r="C2108" s="16" t="str">
        <f>IFERROR(VLOOKUP(DATA!#REF!,DATA!#REF!,1,FALSE),"")</f>
        <v/>
      </c>
      <c r="D2108" s="16" t="str">
        <f>IFERROR(VLOOKUP(C2108,DATA!#REF!,2,FALSE),"")</f>
        <v/>
      </c>
    </row>
    <row r="2109" spans="2:4" s="230" customFormat="1">
      <c r="B2109" s="15" t="str">
        <f t="shared" si="59"/>
        <v/>
      </c>
      <c r="C2109" s="16" t="str">
        <f>IFERROR(VLOOKUP(DATA!#REF!,DATA!#REF!,1,FALSE),"")</f>
        <v/>
      </c>
      <c r="D2109" s="16" t="str">
        <f>IFERROR(VLOOKUP(C2109,DATA!#REF!,2,FALSE),"")</f>
        <v/>
      </c>
    </row>
    <row r="2110" spans="2:4" s="230" customFormat="1">
      <c r="B2110" s="15" t="str">
        <f t="shared" si="59"/>
        <v/>
      </c>
      <c r="C2110" s="16" t="str">
        <f>IFERROR(VLOOKUP(DATA!#REF!,DATA!#REF!,1,FALSE),"")</f>
        <v/>
      </c>
      <c r="D2110" s="16" t="str">
        <f>IFERROR(VLOOKUP(C2110,DATA!#REF!,2,FALSE),"")</f>
        <v/>
      </c>
    </row>
    <row r="2111" spans="2:4" s="230" customFormat="1">
      <c r="B2111" s="15" t="str">
        <f t="shared" si="59"/>
        <v/>
      </c>
      <c r="C2111" s="16" t="str">
        <f>IFERROR(VLOOKUP(DATA!#REF!,DATA!#REF!,1,FALSE),"")</f>
        <v/>
      </c>
      <c r="D2111" s="16" t="str">
        <f>IFERROR(VLOOKUP(C2111,DATA!#REF!,2,FALSE),"")</f>
        <v/>
      </c>
    </row>
    <row r="2112" spans="2:4" s="230" customFormat="1">
      <c r="B2112" s="15" t="str">
        <f t="shared" si="59"/>
        <v/>
      </c>
      <c r="C2112" s="16" t="str">
        <f>IFERROR(VLOOKUP(DATA!#REF!,DATA!#REF!,1,FALSE),"")</f>
        <v/>
      </c>
      <c r="D2112" s="16" t="str">
        <f>IFERROR(VLOOKUP(C2112,DATA!#REF!,2,FALSE),"")</f>
        <v/>
      </c>
    </row>
    <row r="2113" spans="2:4" s="230" customFormat="1">
      <c r="B2113" s="15" t="str">
        <f t="shared" si="59"/>
        <v/>
      </c>
      <c r="C2113" s="16" t="str">
        <f>IFERROR(VLOOKUP(DATA!#REF!,DATA!#REF!,1,FALSE),"")</f>
        <v/>
      </c>
      <c r="D2113" s="16" t="str">
        <f>IFERROR(VLOOKUP(C2113,DATA!#REF!,2,FALSE),"")</f>
        <v/>
      </c>
    </row>
    <row r="2114" spans="2:4" s="230" customFormat="1">
      <c r="B2114" s="15" t="str">
        <f t="shared" si="59"/>
        <v/>
      </c>
      <c r="C2114" s="16" t="str">
        <f>IFERROR(VLOOKUP(DATA!#REF!,DATA!#REF!,1,FALSE),"")</f>
        <v/>
      </c>
      <c r="D2114" s="16" t="str">
        <f>IFERROR(VLOOKUP(C2114,DATA!#REF!,2,FALSE),"")</f>
        <v/>
      </c>
    </row>
    <row r="2115" spans="2:4" s="230" customFormat="1">
      <c r="B2115" s="15" t="str">
        <f t="shared" si="59"/>
        <v/>
      </c>
      <c r="C2115" s="16" t="str">
        <f>IFERROR(VLOOKUP(DATA!#REF!,DATA!#REF!,1,FALSE),"")</f>
        <v/>
      </c>
      <c r="D2115" s="16" t="str">
        <f>IFERROR(VLOOKUP(C2115,DATA!#REF!,2,FALSE),"")</f>
        <v/>
      </c>
    </row>
    <row r="2116" spans="2:4" s="230" customFormat="1">
      <c r="B2116" s="15" t="str">
        <f t="shared" si="59"/>
        <v/>
      </c>
      <c r="C2116" s="16" t="str">
        <f>IFERROR(VLOOKUP(DATA!#REF!,DATA!#REF!,1,FALSE),"")</f>
        <v/>
      </c>
      <c r="D2116" s="16" t="str">
        <f>IFERROR(VLOOKUP(C2116,DATA!#REF!,2,FALSE),"")</f>
        <v/>
      </c>
    </row>
    <row r="2117" spans="2:4" s="230" customFormat="1">
      <c r="B2117" s="15" t="str">
        <f t="shared" si="59"/>
        <v/>
      </c>
      <c r="C2117" s="16" t="str">
        <f>IFERROR(VLOOKUP(DATA!#REF!,DATA!#REF!,1,FALSE),"")</f>
        <v/>
      </c>
      <c r="D2117" s="16" t="str">
        <f>IFERROR(VLOOKUP(C2117,DATA!#REF!,2,FALSE),"")</f>
        <v/>
      </c>
    </row>
    <row r="2118" spans="2:4" s="230" customFormat="1">
      <c r="B2118" s="15" t="str">
        <f t="shared" ref="B2118:B2181" si="60">+IF(C2118="","",ROW()-5)</f>
        <v/>
      </c>
      <c r="C2118" s="16" t="str">
        <f>IFERROR(VLOOKUP(DATA!#REF!,DATA!#REF!,1,FALSE),"")</f>
        <v/>
      </c>
      <c r="D2118" s="16" t="str">
        <f>IFERROR(VLOOKUP(C2118,DATA!#REF!,2,FALSE),"")</f>
        <v/>
      </c>
    </row>
    <row r="2119" spans="2:4" s="230" customFormat="1">
      <c r="B2119" s="15" t="str">
        <f t="shared" si="60"/>
        <v/>
      </c>
      <c r="C2119" s="16" t="str">
        <f>IFERROR(VLOOKUP(DATA!#REF!,DATA!#REF!,1,FALSE),"")</f>
        <v/>
      </c>
      <c r="D2119" s="16" t="str">
        <f>IFERROR(VLOOKUP(C2119,DATA!#REF!,2,FALSE),"")</f>
        <v/>
      </c>
    </row>
    <row r="2120" spans="2:4" s="230" customFormat="1">
      <c r="B2120" s="15" t="str">
        <f t="shared" si="60"/>
        <v/>
      </c>
      <c r="C2120" s="16" t="str">
        <f>IFERROR(VLOOKUP(DATA!#REF!,DATA!#REF!,1,FALSE),"")</f>
        <v/>
      </c>
      <c r="D2120" s="16" t="str">
        <f>IFERROR(VLOOKUP(C2120,DATA!#REF!,2,FALSE),"")</f>
        <v/>
      </c>
    </row>
    <row r="2121" spans="2:4" s="230" customFormat="1">
      <c r="B2121" s="15" t="str">
        <f t="shared" si="60"/>
        <v/>
      </c>
      <c r="C2121" s="16" t="str">
        <f>IFERROR(VLOOKUP(DATA!#REF!,DATA!#REF!,1,FALSE),"")</f>
        <v/>
      </c>
      <c r="D2121" s="16" t="str">
        <f>IFERROR(VLOOKUP(C2121,DATA!#REF!,2,FALSE),"")</f>
        <v/>
      </c>
    </row>
    <row r="2122" spans="2:4" s="230" customFormat="1">
      <c r="B2122" s="15" t="str">
        <f t="shared" si="60"/>
        <v/>
      </c>
      <c r="C2122" s="16" t="str">
        <f>IFERROR(VLOOKUP(DATA!#REF!,DATA!#REF!,1,FALSE),"")</f>
        <v/>
      </c>
      <c r="D2122" s="16" t="str">
        <f>IFERROR(VLOOKUP(C2122,DATA!#REF!,2,FALSE),"")</f>
        <v/>
      </c>
    </row>
    <row r="2123" spans="2:4" s="230" customFormat="1">
      <c r="B2123" s="15" t="str">
        <f t="shared" si="60"/>
        <v/>
      </c>
      <c r="C2123" s="16" t="str">
        <f>IFERROR(VLOOKUP(DATA!#REF!,DATA!#REF!,1,FALSE),"")</f>
        <v/>
      </c>
      <c r="D2123" s="16" t="str">
        <f>IFERROR(VLOOKUP(C2123,DATA!#REF!,2,FALSE),"")</f>
        <v/>
      </c>
    </row>
    <row r="2124" spans="2:4" s="230" customFormat="1">
      <c r="B2124" s="15" t="str">
        <f t="shared" si="60"/>
        <v/>
      </c>
      <c r="C2124" s="16" t="str">
        <f>IFERROR(VLOOKUP(DATA!#REF!,DATA!#REF!,1,FALSE),"")</f>
        <v/>
      </c>
      <c r="D2124" s="16" t="str">
        <f>IFERROR(VLOOKUP(C2124,DATA!#REF!,2,FALSE),"")</f>
        <v/>
      </c>
    </row>
    <row r="2125" spans="2:4" s="230" customFormat="1">
      <c r="B2125" s="15" t="str">
        <f t="shared" si="60"/>
        <v/>
      </c>
      <c r="C2125" s="16" t="str">
        <f>IFERROR(VLOOKUP(DATA!#REF!,DATA!#REF!,1,FALSE),"")</f>
        <v/>
      </c>
      <c r="D2125" s="16" t="str">
        <f>IFERROR(VLOOKUP(C2125,DATA!#REF!,2,FALSE),"")</f>
        <v/>
      </c>
    </row>
    <row r="2126" spans="2:4" s="230" customFormat="1">
      <c r="B2126" s="15" t="str">
        <f t="shared" si="60"/>
        <v/>
      </c>
      <c r="C2126" s="16" t="str">
        <f>IFERROR(VLOOKUP(DATA!#REF!,DATA!#REF!,1,FALSE),"")</f>
        <v/>
      </c>
      <c r="D2126" s="16" t="str">
        <f>IFERROR(VLOOKUP(C2126,DATA!#REF!,2,FALSE),"")</f>
        <v/>
      </c>
    </row>
    <row r="2127" spans="2:4" s="230" customFormat="1">
      <c r="B2127" s="15" t="str">
        <f t="shared" si="60"/>
        <v/>
      </c>
      <c r="C2127" s="16" t="str">
        <f>IFERROR(VLOOKUP(DATA!#REF!,DATA!#REF!,1,FALSE),"")</f>
        <v/>
      </c>
      <c r="D2127" s="16" t="str">
        <f>IFERROR(VLOOKUP(C2127,DATA!#REF!,2,FALSE),"")</f>
        <v/>
      </c>
    </row>
    <row r="2128" spans="2:4" s="230" customFormat="1">
      <c r="B2128" s="15" t="str">
        <f t="shared" si="60"/>
        <v/>
      </c>
      <c r="C2128" s="16" t="str">
        <f>IFERROR(VLOOKUP(DATA!#REF!,DATA!#REF!,1,FALSE),"")</f>
        <v/>
      </c>
      <c r="D2128" s="16" t="str">
        <f>IFERROR(VLOOKUP(C2128,DATA!#REF!,2,FALSE),"")</f>
        <v/>
      </c>
    </row>
    <row r="2129" spans="2:4" s="230" customFormat="1">
      <c r="B2129" s="15" t="str">
        <f t="shared" si="60"/>
        <v/>
      </c>
      <c r="C2129" s="16" t="str">
        <f>IFERROR(VLOOKUP(DATA!#REF!,DATA!#REF!,1,FALSE),"")</f>
        <v/>
      </c>
      <c r="D2129" s="16" t="str">
        <f>IFERROR(VLOOKUP(C2129,DATA!#REF!,2,FALSE),"")</f>
        <v/>
      </c>
    </row>
    <row r="2130" spans="2:4" s="230" customFormat="1">
      <c r="B2130" s="15" t="str">
        <f t="shared" si="60"/>
        <v/>
      </c>
      <c r="C2130" s="16" t="str">
        <f>IFERROR(VLOOKUP(DATA!#REF!,DATA!#REF!,1,FALSE),"")</f>
        <v/>
      </c>
      <c r="D2130" s="16" t="str">
        <f>IFERROR(VLOOKUP(C2130,DATA!#REF!,2,FALSE),"")</f>
        <v/>
      </c>
    </row>
    <row r="2131" spans="2:4" s="230" customFormat="1">
      <c r="B2131" s="15" t="str">
        <f t="shared" si="60"/>
        <v/>
      </c>
      <c r="C2131" s="16" t="str">
        <f>IFERROR(VLOOKUP(DATA!#REF!,DATA!#REF!,1,FALSE),"")</f>
        <v/>
      </c>
      <c r="D2131" s="16" t="str">
        <f>IFERROR(VLOOKUP(C2131,DATA!#REF!,2,FALSE),"")</f>
        <v/>
      </c>
    </row>
    <row r="2132" spans="2:4" s="230" customFormat="1">
      <c r="B2132" s="15" t="str">
        <f t="shared" si="60"/>
        <v/>
      </c>
      <c r="C2132" s="16" t="str">
        <f>IFERROR(VLOOKUP(DATA!#REF!,DATA!#REF!,1,FALSE),"")</f>
        <v/>
      </c>
      <c r="D2132" s="16" t="str">
        <f>IFERROR(VLOOKUP(C2132,DATA!#REF!,2,FALSE),"")</f>
        <v/>
      </c>
    </row>
    <row r="2133" spans="2:4" s="230" customFormat="1">
      <c r="B2133" s="15" t="str">
        <f t="shared" si="60"/>
        <v/>
      </c>
      <c r="C2133" s="16" t="str">
        <f>IFERROR(VLOOKUP(DATA!#REF!,DATA!#REF!,1,FALSE),"")</f>
        <v/>
      </c>
      <c r="D2133" s="16" t="str">
        <f>IFERROR(VLOOKUP(C2133,DATA!#REF!,2,FALSE),"")</f>
        <v/>
      </c>
    </row>
    <row r="2134" spans="2:4" s="230" customFormat="1">
      <c r="B2134" s="15" t="str">
        <f t="shared" si="60"/>
        <v/>
      </c>
      <c r="C2134" s="16" t="str">
        <f>IFERROR(VLOOKUP(DATA!#REF!,DATA!#REF!,1,FALSE),"")</f>
        <v/>
      </c>
      <c r="D2134" s="16" t="str">
        <f>IFERROR(VLOOKUP(C2134,DATA!#REF!,2,FALSE),"")</f>
        <v/>
      </c>
    </row>
    <row r="2135" spans="2:4" s="230" customFormat="1">
      <c r="B2135" s="15" t="str">
        <f t="shared" si="60"/>
        <v/>
      </c>
      <c r="C2135" s="16" t="str">
        <f>IFERROR(VLOOKUP(DATA!#REF!,DATA!#REF!,1,FALSE),"")</f>
        <v/>
      </c>
      <c r="D2135" s="16" t="str">
        <f>IFERROR(VLOOKUP(C2135,DATA!#REF!,2,FALSE),"")</f>
        <v/>
      </c>
    </row>
    <row r="2136" spans="2:4" s="230" customFormat="1">
      <c r="B2136" s="15" t="str">
        <f t="shared" si="60"/>
        <v/>
      </c>
      <c r="C2136" s="16" t="str">
        <f>IFERROR(VLOOKUP(DATA!#REF!,DATA!#REF!,1,FALSE),"")</f>
        <v/>
      </c>
      <c r="D2136" s="16" t="str">
        <f>IFERROR(VLOOKUP(C2136,DATA!#REF!,2,FALSE),"")</f>
        <v/>
      </c>
    </row>
    <row r="2137" spans="2:4" s="230" customFormat="1">
      <c r="B2137" s="15" t="str">
        <f t="shared" si="60"/>
        <v/>
      </c>
      <c r="C2137" s="16" t="str">
        <f>IFERROR(VLOOKUP(DATA!#REF!,DATA!#REF!,1,FALSE),"")</f>
        <v/>
      </c>
      <c r="D2137" s="16" t="str">
        <f>IFERROR(VLOOKUP(C2137,DATA!#REF!,2,FALSE),"")</f>
        <v/>
      </c>
    </row>
    <row r="2138" spans="2:4" s="230" customFormat="1">
      <c r="B2138" s="15" t="str">
        <f t="shared" si="60"/>
        <v/>
      </c>
      <c r="C2138" s="16" t="str">
        <f>IFERROR(VLOOKUP(DATA!#REF!,DATA!#REF!,1,FALSE),"")</f>
        <v/>
      </c>
      <c r="D2138" s="16" t="str">
        <f>IFERROR(VLOOKUP(C2138,DATA!#REF!,2,FALSE),"")</f>
        <v/>
      </c>
    </row>
    <row r="2139" spans="2:4" s="230" customFormat="1">
      <c r="B2139" s="15" t="str">
        <f t="shared" si="60"/>
        <v/>
      </c>
      <c r="C2139" s="16" t="str">
        <f>IFERROR(VLOOKUP(DATA!#REF!,DATA!#REF!,1,FALSE),"")</f>
        <v/>
      </c>
      <c r="D2139" s="16" t="str">
        <f>IFERROR(VLOOKUP(C2139,DATA!#REF!,2,FALSE),"")</f>
        <v/>
      </c>
    </row>
    <row r="2140" spans="2:4" s="230" customFormat="1">
      <c r="B2140" s="15" t="str">
        <f t="shared" si="60"/>
        <v/>
      </c>
      <c r="C2140" s="16" t="str">
        <f>IFERROR(VLOOKUP(DATA!#REF!,DATA!#REF!,1,FALSE),"")</f>
        <v/>
      </c>
      <c r="D2140" s="16" t="str">
        <f>IFERROR(VLOOKUP(C2140,DATA!#REF!,2,FALSE),"")</f>
        <v/>
      </c>
    </row>
    <row r="2141" spans="2:4" s="230" customFormat="1">
      <c r="B2141" s="15" t="str">
        <f t="shared" si="60"/>
        <v/>
      </c>
      <c r="C2141" s="16" t="str">
        <f>IFERROR(VLOOKUP(DATA!#REF!,DATA!#REF!,1,FALSE),"")</f>
        <v/>
      </c>
      <c r="D2141" s="16" t="str">
        <f>IFERROR(VLOOKUP(C2141,DATA!#REF!,2,FALSE),"")</f>
        <v/>
      </c>
    </row>
    <row r="2142" spans="2:4" s="230" customFormat="1">
      <c r="B2142" s="15" t="str">
        <f t="shared" si="60"/>
        <v/>
      </c>
      <c r="C2142" s="16" t="str">
        <f>IFERROR(VLOOKUP(DATA!#REF!,DATA!#REF!,1,FALSE),"")</f>
        <v/>
      </c>
      <c r="D2142" s="16" t="str">
        <f>IFERROR(VLOOKUP(C2142,DATA!#REF!,2,FALSE),"")</f>
        <v/>
      </c>
    </row>
    <row r="2143" spans="2:4" s="230" customFormat="1">
      <c r="B2143" s="15" t="str">
        <f t="shared" si="60"/>
        <v/>
      </c>
      <c r="C2143" s="16" t="str">
        <f>IFERROR(VLOOKUP(DATA!#REF!,DATA!#REF!,1,FALSE),"")</f>
        <v/>
      </c>
      <c r="D2143" s="16" t="str">
        <f>IFERROR(VLOOKUP(C2143,DATA!#REF!,2,FALSE),"")</f>
        <v/>
      </c>
    </row>
    <row r="2144" spans="2:4" s="230" customFormat="1">
      <c r="B2144" s="15" t="str">
        <f t="shared" si="60"/>
        <v/>
      </c>
      <c r="C2144" s="16" t="str">
        <f>IFERROR(VLOOKUP(DATA!#REF!,DATA!#REF!,1,FALSE),"")</f>
        <v/>
      </c>
      <c r="D2144" s="16" t="str">
        <f>IFERROR(VLOOKUP(C2144,DATA!#REF!,2,FALSE),"")</f>
        <v/>
      </c>
    </row>
    <row r="2145" spans="2:4" s="230" customFormat="1">
      <c r="B2145" s="15" t="str">
        <f t="shared" si="60"/>
        <v/>
      </c>
      <c r="C2145" s="16" t="str">
        <f>IFERROR(VLOOKUP(DATA!#REF!,DATA!#REF!,1,FALSE),"")</f>
        <v/>
      </c>
      <c r="D2145" s="16" t="str">
        <f>IFERROR(VLOOKUP(C2145,DATA!#REF!,2,FALSE),"")</f>
        <v/>
      </c>
    </row>
    <row r="2146" spans="2:4" s="230" customFormat="1">
      <c r="B2146" s="15" t="str">
        <f t="shared" si="60"/>
        <v/>
      </c>
      <c r="C2146" s="16" t="str">
        <f>IFERROR(VLOOKUP(DATA!#REF!,DATA!#REF!,1,FALSE),"")</f>
        <v/>
      </c>
      <c r="D2146" s="16" t="str">
        <f>IFERROR(VLOOKUP(C2146,DATA!#REF!,2,FALSE),"")</f>
        <v/>
      </c>
    </row>
    <row r="2147" spans="2:4" s="230" customFormat="1">
      <c r="B2147" s="15" t="str">
        <f t="shared" si="60"/>
        <v/>
      </c>
      <c r="C2147" s="16" t="str">
        <f>IFERROR(VLOOKUP(DATA!#REF!,DATA!#REF!,1,FALSE),"")</f>
        <v/>
      </c>
      <c r="D2147" s="16" t="str">
        <f>IFERROR(VLOOKUP(C2147,DATA!#REF!,2,FALSE),"")</f>
        <v/>
      </c>
    </row>
    <row r="2148" spans="2:4" s="230" customFormat="1">
      <c r="B2148" s="15" t="str">
        <f t="shared" si="60"/>
        <v/>
      </c>
      <c r="C2148" s="16" t="str">
        <f>IFERROR(VLOOKUP(DATA!#REF!,DATA!#REF!,1,FALSE),"")</f>
        <v/>
      </c>
      <c r="D2148" s="16" t="str">
        <f>IFERROR(VLOOKUP(C2148,DATA!#REF!,2,FALSE),"")</f>
        <v/>
      </c>
    </row>
    <row r="2149" spans="2:4" s="230" customFormat="1">
      <c r="B2149" s="15" t="str">
        <f t="shared" si="60"/>
        <v/>
      </c>
      <c r="C2149" s="16" t="str">
        <f>IFERROR(VLOOKUP(DATA!#REF!,DATA!#REF!,1,FALSE),"")</f>
        <v/>
      </c>
      <c r="D2149" s="16" t="str">
        <f>IFERROR(VLOOKUP(C2149,DATA!#REF!,2,FALSE),"")</f>
        <v/>
      </c>
    </row>
    <row r="2150" spans="2:4" s="230" customFormat="1">
      <c r="B2150" s="15" t="str">
        <f t="shared" si="60"/>
        <v/>
      </c>
      <c r="C2150" s="16" t="str">
        <f>IFERROR(VLOOKUP(DATA!#REF!,DATA!#REF!,1,FALSE),"")</f>
        <v/>
      </c>
      <c r="D2150" s="16" t="str">
        <f>IFERROR(VLOOKUP(C2150,DATA!#REF!,2,FALSE),"")</f>
        <v/>
      </c>
    </row>
    <row r="2151" spans="2:4" s="230" customFormat="1">
      <c r="B2151" s="15" t="str">
        <f t="shared" si="60"/>
        <v/>
      </c>
      <c r="C2151" s="16" t="str">
        <f>IFERROR(VLOOKUP(DATA!#REF!,DATA!#REF!,1,FALSE),"")</f>
        <v/>
      </c>
      <c r="D2151" s="16" t="str">
        <f>IFERROR(VLOOKUP(C2151,DATA!#REF!,2,FALSE),"")</f>
        <v/>
      </c>
    </row>
    <row r="2152" spans="2:4" s="230" customFormat="1">
      <c r="B2152" s="15" t="str">
        <f t="shared" si="60"/>
        <v/>
      </c>
      <c r="C2152" s="16" t="str">
        <f>IFERROR(VLOOKUP(DATA!#REF!,DATA!#REF!,1,FALSE),"")</f>
        <v/>
      </c>
      <c r="D2152" s="16" t="str">
        <f>IFERROR(VLOOKUP(C2152,DATA!#REF!,2,FALSE),"")</f>
        <v/>
      </c>
    </row>
    <row r="2153" spans="2:4" s="230" customFormat="1">
      <c r="B2153" s="15" t="str">
        <f t="shared" si="60"/>
        <v/>
      </c>
      <c r="C2153" s="16" t="str">
        <f>IFERROR(VLOOKUP(DATA!#REF!,DATA!#REF!,1,FALSE),"")</f>
        <v/>
      </c>
      <c r="D2153" s="16" t="str">
        <f>IFERROR(VLOOKUP(C2153,DATA!#REF!,2,FALSE),"")</f>
        <v/>
      </c>
    </row>
    <row r="2154" spans="2:4" s="230" customFormat="1">
      <c r="B2154" s="15" t="str">
        <f t="shared" si="60"/>
        <v/>
      </c>
      <c r="C2154" s="16" t="str">
        <f>IFERROR(VLOOKUP(DATA!#REF!,DATA!#REF!,1,FALSE),"")</f>
        <v/>
      </c>
      <c r="D2154" s="16" t="str">
        <f>IFERROR(VLOOKUP(C2154,DATA!#REF!,2,FALSE),"")</f>
        <v/>
      </c>
    </row>
    <row r="2155" spans="2:4" s="230" customFormat="1">
      <c r="B2155" s="15" t="str">
        <f t="shared" si="60"/>
        <v/>
      </c>
      <c r="C2155" s="16" t="str">
        <f>IFERROR(VLOOKUP(DATA!#REF!,DATA!#REF!,1,FALSE),"")</f>
        <v/>
      </c>
      <c r="D2155" s="16" t="str">
        <f>IFERROR(VLOOKUP(C2155,DATA!#REF!,2,FALSE),"")</f>
        <v/>
      </c>
    </row>
    <row r="2156" spans="2:4" s="230" customFormat="1">
      <c r="B2156" s="15" t="str">
        <f t="shared" si="60"/>
        <v/>
      </c>
      <c r="C2156" s="16" t="str">
        <f>IFERROR(VLOOKUP(DATA!#REF!,DATA!#REF!,1,FALSE),"")</f>
        <v/>
      </c>
      <c r="D2156" s="16" t="str">
        <f>IFERROR(VLOOKUP(C2156,DATA!#REF!,2,FALSE),"")</f>
        <v/>
      </c>
    </row>
    <row r="2157" spans="2:4" s="230" customFormat="1">
      <c r="B2157" s="15" t="str">
        <f t="shared" si="60"/>
        <v/>
      </c>
      <c r="C2157" s="16" t="str">
        <f>IFERROR(VLOOKUP(DATA!#REF!,DATA!#REF!,1,FALSE),"")</f>
        <v/>
      </c>
      <c r="D2157" s="16" t="str">
        <f>IFERROR(VLOOKUP(C2157,DATA!#REF!,2,FALSE),"")</f>
        <v/>
      </c>
    </row>
    <row r="2158" spans="2:4" s="230" customFormat="1">
      <c r="B2158" s="15" t="str">
        <f t="shared" si="60"/>
        <v/>
      </c>
      <c r="C2158" s="16" t="str">
        <f>IFERROR(VLOOKUP(DATA!#REF!,DATA!#REF!,1,FALSE),"")</f>
        <v/>
      </c>
      <c r="D2158" s="16" t="str">
        <f>IFERROR(VLOOKUP(C2158,DATA!#REF!,2,FALSE),"")</f>
        <v/>
      </c>
    </row>
    <row r="2159" spans="2:4" s="230" customFormat="1">
      <c r="B2159" s="15" t="str">
        <f t="shared" si="60"/>
        <v/>
      </c>
      <c r="C2159" s="16" t="str">
        <f>IFERROR(VLOOKUP(DATA!#REF!,DATA!#REF!,1,FALSE),"")</f>
        <v/>
      </c>
      <c r="D2159" s="16" t="str">
        <f>IFERROR(VLOOKUP(C2159,DATA!#REF!,2,FALSE),"")</f>
        <v/>
      </c>
    </row>
    <row r="2160" spans="2:4" s="230" customFormat="1">
      <c r="B2160" s="15" t="str">
        <f t="shared" si="60"/>
        <v/>
      </c>
      <c r="C2160" s="16" t="str">
        <f>IFERROR(VLOOKUP(DATA!#REF!,DATA!#REF!,1,FALSE),"")</f>
        <v/>
      </c>
      <c r="D2160" s="16" t="str">
        <f>IFERROR(VLOOKUP(C2160,DATA!#REF!,2,FALSE),"")</f>
        <v/>
      </c>
    </row>
    <row r="2161" spans="2:4" s="230" customFormat="1">
      <c r="B2161" s="15" t="str">
        <f t="shared" si="60"/>
        <v/>
      </c>
      <c r="C2161" s="16" t="str">
        <f>IFERROR(VLOOKUP(DATA!#REF!,DATA!#REF!,1,FALSE),"")</f>
        <v/>
      </c>
      <c r="D2161" s="16" t="str">
        <f>IFERROR(VLOOKUP(C2161,DATA!#REF!,2,FALSE),"")</f>
        <v/>
      </c>
    </row>
    <row r="2162" spans="2:4" s="230" customFormat="1">
      <c r="B2162" s="15" t="str">
        <f t="shared" si="60"/>
        <v/>
      </c>
      <c r="C2162" s="16" t="str">
        <f>IFERROR(VLOOKUP(DATA!#REF!,DATA!#REF!,1,FALSE),"")</f>
        <v/>
      </c>
      <c r="D2162" s="16" t="str">
        <f>IFERROR(VLOOKUP(C2162,DATA!#REF!,2,FALSE),"")</f>
        <v/>
      </c>
    </row>
    <row r="2163" spans="2:4" s="230" customFormat="1">
      <c r="B2163" s="15" t="str">
        <f t="shared" si="60"/>
        <v/>
      </c>
      <c r="C2163" s="16" t="str">
        <f>IFERROR(VLOOKUP(DATA!#REF!,DATA!#REF!,1,FALSE),"")</f>
        <v/>
      </c>
      <c r="D2163" s="16" t="str">
        <f>IFERROR(VLOOKUP(C2163,DATA!#REF!,2,FALSE),"")</f>
        <v/>
      </c>
    </row>
    <row r="2164" spans="2:4" s="230" customFormat="1">
      <c r="B2164" s="15" t="str">
        <f t="shared" si="60"/>
        <v/>
      </c>
      <c r="C2164" s="16" t="str">
        <f>IFERROR(VLOOKUP(DATA!#REF!,DATA!#REF!,1,FALSE),"")</f>
        <v/>
      </c>
      <c r="D2164" s="16" t="str">
        <f>IFERROR(VLOOKUP(C2164,DATA!#REF!,2,FALSE),"")</f>
        <v/>
      </c>
    </row>
    <row r="2165" spans="2:4" s="230" customFormat="1">
      <c r="B2165" s="15" t="str">
        <f t="shared" si="60"/>
        <v/>
      </c>
      <c r="C2165" s="16" t="str">
        <f>IFERROR(VLOOKUP(DATA!#REF!,DATA!#REF!,1,FALSE),"")</f>
        <v/>
      </c>
      <c r="D2165" s="16" t="str">
        <f>IFERROR(VLOOKUP(C2165,DATA!#REF!,2,FALSE),"")</f>
        <v/>
      </c>
    </row>
    <row r="2166" spans="2:4" s="230" customFormat="1">
      <c r="B2166" s="15" t="str">
        <f t="shared" si="60"/>
        <v/>
      </c>
      <c r="C2166" s="16" t="str">
        <f>IFERROR(VLOOKUP(DATA!#REF!,DATA!#REF!,1,FALSE),"")</f>
        <v/>
      </c>
      <c r="D2166" s="16" t="str">
        <f>IFERROR(VLOOKUP(C2166,DATA!#REF!,2,FALSE),"")</f>
        <v/>
      </c>
    </row>
    <row r="2167" spans="2:4" s="230" customFormat="1">
      <c r="B2167" s="15" t="str">
        <f t="shared" si="60"/>
        <v/>
      </c>
      <c r="C2167" s="16" t="str">
        <f>IFERROR(VLOOKUP(DATA!#REF!,DATA!#REF!,1,FALSE),"")</f>
        <v/>
      </c>
      <c r="D2167" s="16" t="str">
        <f>IFERROR(VLOOKUP(C2167,DATA!#REF!,2,FALSE),"")</f>
        <v/>
      </c>
    </row>
    <row r="2168" spans="2:4" s="230" customFormat="1">
      <c r="B2168" s="15" t="str">
        <f t="shared" si="60"/>
        <v/>
      </c>
      <c r="C2168" s="16" t="str">
        <f>IFERROR(VLOOKUP(DATA!#REF!,DATA!#REF!,1,FALSE),"")</f>
        <v/>
      </c>
      <c r="D2168" s="16" t="str">
        <f>IFERROR(VLOOKUP(C2168,DATA!#REF!,2,FALSE),"")</f>
        <v/>
      </c>
    </row>
    <row r="2169" spans="2:4" s="230" customFormat="1">
      <c r="B2169" s="15" t="str">
        <f t="shared" si="60"/>
        <v/>
      </c>
      <c r="C2169" s="16" t="str">
        <f>IFERROR(VLOOKUP(DATA!#REF!,DATA!#REF!,1,FALSE),"")</f>
        <v/>
      </c>
      <c r="D2169" s="16" t="str">
        <f>IFERROR(VLOOKUP(C2169,DATA!#REF!,2,FALSE),"")</f>
        <v/>
      </c>
    </row>
    <row r="2170" spans="2:4" s="230" customFormat="1">
      <c r="B2170" s="15" t="str">
        <f t="shared" si="60"/>
        <v/>
      </c>
      <c r="C2170" s="16" t="str">
        <f>IFERROR(VLOOKUP(DATA!#REF!,DATA!#REF!,1,FALSE),"")</f>
        <v/>
      </c>
      <c r="D2170" s="16" t="str">
        <f>IFERROR(VLOOKUP(C2170,DATA!#REF!,2,FALSE),"")</f>
        <v/>
      </c>
    </row>
    <row r="2171" spans="2:4" s="230" customFormat="1">
      <c r="B2171" s="15" t="str">
        <f t="shared" si="60"/>
        <v/>
      </c>
      <c r="C2171" s="16" t="str">
        <f>IFERROR(VLOOKUP(DATA!#REF!,DATA!#REF!,1,FALSE),"")</f>
        <v/>
      </c>
      <c r="D2171" s="16" t="str">
        <f>IFERROR(VLOOKUP(C2171,DATA!#REF!,2,FALSE),"")</f>
        <v/>
      </c>
    </row>
    <row r="2172" spans="2:4" s="230" customFormat="1">
      <c r="B2172" s="15" t="str">
        <f t="shared" si="60"/>
        <v/>
      </c>
      <c r="C2172" s="16" t="str">
        <f>IFERROR(VLOOKUP(DATA!#REF!,DATA!#REF!,1,FALSE),"")</f>
        <v/>
      </c>
      <c r="D2172" s="16" t="str">
        <f>IFERROR(VLOOKUP(C2172,DATA!#REF!,2,FALSE),"")</f>
        <v/>
      </c>
    </row>
    <row r="2173" spans="2:4" s="230" customFormat="1">
      <c r="B2173" s="15" t="str">
        <f t="shared" si="60"/>
        <v/>
      </c>
      <c r="C2173" s="16" t="str">
        <f>IFERROR(VLOOKUP(DATA!#REF!,DATA!#REF!,1,FALSE),"")</f>
        <v/>
      </c>
      <c r="D2173" s="16" t="str">
        <f>IFERROR(VLOOKUP(C2173,DATA!#REF!,2,FALSE),"")</f>
        <v/>
      </c>
    </row>
    <row r="2174" spans="2:4" s="230" customFormat="1">
      <c r="B2174" s="15" t="str">
        <f t="shared" si="60"/>
        <v/>
      </c>
      <c r="C2174" s="16" t="str">
        <f>IFERROR(VLOOKUP(DATA!#REF!,DATA!#REF!,1,FALSE),"")</f>
        <v/>
      </c>
      <c r="D2174" s="16" t="str">
        <f>IFERROR(VLOOKUP(C2174,DATA!#REF!,2,FALSE),"")</f>
        <v/>
      </c>
    </row>
    <row r="2175" spans="2:4" s="230" customFormat="1">
      <c r="B2175" s="15" t="str">
        <f t="shared" si="60"/>
        <v/>
      </c>
      <c r="C2175" s="16" t="str">
        <f>IFERROR(VLOOKUP(DATA!#REF!,DATA!#REF!,1,FALSE),"")</f>
        <v/>
      </c>
      <c r="D2175" s="16" t="str">
        <f>IFERROR(VLOOKUP(C2175,DATA!#REF!,2,FALSE),"")</f>
        <v/>
      </c>
    </row>
    <row r="2176" spans="2:4" s="230" customFormat="1">
      <c r="B2176" s="15" t="str">
        <f t="shared" si="60"/>
        <v/>
      </c>
      <c r="C2176" s="16" t="str">
        <f>IFERROR(VLOOKUP(DATA!#REF!,DATA!#REF!,1,FALSE),"")</f>
        <v/>
      </c>
      <c r="D2176" s="16" t="str">
        <f>IFERROR(VLOOKUP(C2176,DATA!#REF!,2,FALSE),"")</f>
        <v/>
      </c>
    </row>
    <row r="2177" spans="2:4" s="230" customFormat="1">
      <c r="B2177" s="15" t="str">
        <f t="shared" si="60"/>
        <v/>
      </c>
      <c r="C2177" s="16" t="str">
        <f>IFERROR(VLOOKUP(DATA!#REF!,DATA!#REF!,1,FALSE),"")</f>
        <v/>
      </c>
      <c r="D2177" s="16" t="str">
        <f>IFERROR(VLOOKUP(C2177,DATA!#REF!,2,FALSE),"")</f>
        <v/>
      </c>
    </row>
    <row r="2178" spans="2:4" s="230" customFormat="1">
      <c r="B2178" s="15" t="str">
        <f t="shared" si="60"/>
        <v/>
      </c>
      <c r="C2178" s="16" t="str">
        <f>IFERROR(VLOOKUP(DATA!#REF!,DATA!#REF!,1,FALSE),"")</f>
        <v/>
      </c>
      <c r="D2178" s="16" t="str">
        <f>IFERROR(VLOOKUP(C2178,DATA!#REF!,2,FALSE),"")</f>
        <v/>
      </c>
    </row>
    <row r="2179" spans="2:4" s="230" customFormat="1">
      <c r="B2179" s="15" t="str">
        <f t="shared" si="60"/>
        <v/>
      </c>
      <c r="C2179" s="16" t="str">
        <f>IFERROR(VLOOKUP(DATA!#REF!,DATA!#REF!,1,FALSE),"")</f>
        <v/>
      </c>
      <c r="D2179" s="16" t="str">
        <f>IFERROR(VLOOKUP(C2179,DATA!#REF!,2,FALSE),"")</f>
        <v/>
      </c>
    </row>
    <row r="2180" spans="2:4" s="230" customFormat="1">
      <c r="B2180" s="15" t="str">
        <f t="shared" si="60"/>
        <v/>
      </c>
      <c r="C2180" s="16" t="str">
        <f>IFERROR(VLOOKUP(DATA!#REF!,DATA!#REF!,1,FALSE),"")</f>
        <v/>
      </c>
      <c r="D2180" s="16" t="str">
        <f>IFERROR(VLOOKUP(C2180,DATA!#REF!,2,FALSE),"")</f>
        <v/>
      </c>
    </row>
    <row r="2181" spans="2:4" s="230" customFormat="1">
      <c r="B2181" s="15" t="str">
        <f t="shared" si="60"/>
        <v/>
      </c>
      <c r="C2181" s="16" t="str">
        <f>IFERROR(VLOOKUP(DATA!#REF!,DATA!#REF!,1,FALSE),"")</f>
        <v/>
      </c>
      <c r="D2181" s="16" t="str">
        <f>IFERROR(VLOOKUP(C2181,DATA!#REF!,2,FALSE),"")</f>
        <v/>
      </c>
    </row>
    <row r="2182" spans="2:4" s="230" customFormat="1">
      <c r="B2182" s="15" t="str">
        <f t="shared" ref="B2182:B2197" si="61">+IF(C2182="","",ROW()-5)</f>
        <v/>
      </c>
      <c r="C2182" s="16" t="str">
        <f>IFERROR(VLOOKUP(DATA!#REF!,DATA!#REF!,1,FALSE),"")</f>
        <v/>
      </c>
      <c r="D2182" s="16" t="str">
        <f>IFERROR(VLOOKUP(C2182,DATA!#REF!,2,FALSE),"")</f>
        <v/>
      </c>
    </row>
    <row r="2183" spans="2:4" s="230" customFormat="1">
      <c r="B2183" s="15" t="str">
        <f t="shared" si="61"/>
        <v/>
      </c>
      <c r="C2183" s="16" t="str">
        <f>IFERROR(VLOOKUP(DATA!#REF!,DATA!#REF!,1,FALSE),"")</f>
        <v/>
      </c>
      <c r="D2183" s="16" t="str">
        <f>IFERROR(VLOOKUP(C2183,DATA!#REF!,2,FALSE),"")</f>
        <v/>
      </c>
    </row>
    <row r="2184" spans="2:4" s="230" customFormat="1">
      <c r="B2184" s="15" t="str">
        <f t="shared" si="61"/>
        <v/>
      </c>
      <c r="C2184" s="16" t="str">
        <f>IFERROR(VLOOKUP(DATA!#REF!,DATA!#REF!,1,FALSE),"")</f>
        <v/>
      </c>
      <c r="D2184" s="16" t="str">
        <f>IFERROR(VLOOKUP(C2184,DATA!#REF!,2,FALSE),"")</f>
        <v/>
      </c>
    </row>
    <row r="2185" spans="2:4" s="230" customFormat="1">
      <c r="B2185" s="15" t="str">
        <f t="shared" si="61"/>
        <v/>
      </c>
      <c r="C2185" s="16" t="str">
        <f>IFERROR(VLOOKUP(DATA!#REF!,DATA!#REF!,1,FALSE),"")</f>
        <v/>
      </c>
      <c r="D2185" s="16" t="str">
        <f>IFERROR(VLOOKUP(C2185,DATA!#REF!,2,FALSE),"")</f>
        <v/>
      </c>
    </row>
    <row r="2186" spans="2:4" s="230" customFormat="1">
      <c r="B2186" s="15" t="str">
        <f t="shared" si="61"/>
        <v/>
      </c>
      <c r="C2186" s="16" t="str">
        <f>IFERROR(VLOOKUP(DATA!#REF!,DATA!#REF!,1,FALSE),"")</f>
        <v/>
      </c>
      <c r="D2186" s="16" t="str">
        <f>IFERROR(VLOOKUP(C2186,DATA!#REF!,2,FALSE),"")</f>
        <v/>
      </c>
    </row>
    <row r="2187" spans="2:4" s="230" customFormat="1">
      <c r="B2187" s="15" t="str">
        <f t="shared" si="61"/>
        <v/>
      </c>
      <c r="C2187" s="16" t="str">
        <f>IFERROR(VLOOKUP(DATA!#REF!,DATA!#REF!,1,FALSE),"")</f>
        <v/>
      </c>
      <c r="D2187" s="16" t="str">
        <f>IFERROR(VLOOKUP(C2187,DATA!#REF!,2,FALSE),"")</f>
        <v/>
      </c>
    </row>
    <row r="2188" spans="2:4" s="230" customFormat="1">
      <c r="B2188" s="15" t="str">
        <f t="shared" si="61"/>
        <v/>
      </c>
      <c r="C2188" s="16" t="str">
        <f>IFERROR(VLOOKUP(DATA!#REF!,DATA!#REF!,1,FALSE),"")</f>
        <v/>
      </c>
      <c r="D2188" s="16" t="str">
        <f>IFERROR(VLOOKUP(C2188,DATA!#REF!,2,FALSE),"")</f>
        <v/>
      </c>
    </row>
    <row r="2189" spans="2:4" s="230" customFormat="1">
      <c r="B2189" s="15" t="str">
        <f t="shared" si="61"/>
        <v/>
      </c>
      <c r="C2189" s="16" t="str">
        <f>IFERROR(VLOOKUP(DATA!#REF!,DATA!#REF!,1,FALSE),"")</f>
        <v/>
      </c>
      <c r="D2189" s="16" t="str">
        <f>IFERROR(VLOOKUP(C2189,DATA!#REF!,2,FALSE),"")</f>
        <v/>
      </c>
    </row>
    <row r="2190" spans="2:4" s="230" customFormat="1">
      <c r="B2190" s="15" t="str">
        <f t="shared" si="61"/>
        <v/>
      </c>
      <c r="C2190" s="16" t="str">
        <f>IFERROR(VLOOKUP(DATA!#REF!,DATA!#REF!,1,FALSE),"")</f>
        <v/>
      </c>
      <c r="D2190" s="16" t="str">
        <f>IFERROR(VLOOKUP(C2190,DATA!#REF!,2,FALSE),"")</f>
        <v/>
      </c>
    </row>
    <row r="2191" spans="2:4" s="230" customFormat="1">
      <c r="B2191" s="15" t="str">
        <f t="shared" si="61"/>
        <v/>
      </c>
      <c r="C2191" s="16" t="str">
        <f>IFERROR(VLOOKUP(DATA!#REF!,DATA!#REF!,1,FALSE),"")</f>
        <v/>
      </c>
      <c r="D2191" s="16" t="str">
        <f>IFERROR(VLOOKUP(C2191,DATA!#REF!,2,FALSE),"")</f>
        <v/>
      </c>
    </row>
    <row r="2192" spans="2:4" s="230" customFormat="1">
      <c r="B2192" s="15" t="str">
        <f t="shared" si="61"/>
        <v/>
      </c>
      <c r="C2192" s="16" t="str">
        <f>IFERROR(VLOOKUP(DATA!#REF!,DATA!#REF!,1,FALSE),"")</f>
        <v/>
      </c>
      <c r="D2192" s="16" t="str">
        <f>IFERROR(VLOOKUP(C2192,DATA!#REF!,2,FALSE),"")</f>
        <v/>
      </c>
    </row>
    <row r="2193" spans="2:4" s="230" customFormat="1">
      <c r="B2193" s="15" t="str">
        <f t="shared" si="61"/>
        <v/>
      </c>
      <c r="C2193" s="16" t="str">
        <f>IFERROR(VLOOKUP(DATA!#REF!,DATA!#REF!,1,FALSE),"")</f>
        <v/>
      </c>
      <c r="D2193" s="16" t="str">
        <f>IFERROR(VLOOKUP(C2193,DATA!#REF!,2,FALSE),"")</f>
        <v/>
      </c>
    </row>
    <row r="2194" spans="2:4" s="230" customFormat="1">
      <c r="B2194" s="15" t="str">
        <f t="shared" si="61"/>
        <v/>
      </c>
      <c r="C2194" s="16" t="str">
        <f>IFERROR(VLOOKUP(DATA!#REF!,DATA!#REF!,1,FALSE),"")</f>
        <v/>
      </c>
      <c r="D2194" s="16" t="str">
        <f>IFERROR(VLOOKUP(C2194,DATA!#REF!,2,FALSE),"")</f>
        <v/>
      </c>
    </row>
    <row r="2195" spans="2:4" s="230" customFormat="1">
      <c r="B2195" s="15" t="str">
        <f t="shared" si="61"/>
        <v/>
      </c>
      <c r="C2195" s="16" t="str">
        <f>IFERROR(VLOOKUP(DATA!#REF!,DATA!#REF!,1,FALSE),"")</f>
        <v/>
      </c>
      <c r="D2195" s="16" t="str">
        <f>IFERROR(VLOOKUP(C2195,DATA!#REF!,2,FALSE),"")</f>
        <v/>
      </c>
    </row>
    <row r="2196" spans="2:4" s="230" customFormat="1">
      <c r="B2196" s="15" t="str">
        <f t="shared" si="61"/>
        <v/>
      </c>
      <c r="C2196" s="16" t="str">
        <f>IFERROR(VLOOKUP(DATA!#REF!,DATA!#REF!,1,FALSE),"")</f>
        <v/>
      </c>
      <c r="D2196" s="16" t="str">
        <f>IFERROR(VLOOKUP(C2196,DATA!#REF!,2,FALSE),"")</f>
        <v/>
      </c>
    </row>
    <row r="2197" spans="2:4" s="230" customFormat="1">
      <c r="B2197" s="15" t="str">
        <f t="shared" si="61"/>
        <v/>
      </c>
      <c r="C2197" s="16" t="str">
        <f>IFERROR(VLOOKUP(DATA!#REF!,DATA!#REF!,1,FALSE),"")</f>
        <v/>
      </c>
      <c r="D2197" s="16" t="str">
        <f>IFERROR(VLOOKUP(C2197,DATA!#REF!,2,FALSE),"")</f>
        <v/>
      </c>
    </row>
    <row r="2198" spans="2:4" s="230" customFormat="1">
      <c r="B2198" s="15"/>
      <c r="C2198" s="16" t="str">
        <f>IFERROR(VLOOKUP(DATA!#REF!,DATA!#REF!,1,FALSE),"")</f>
        <v/>
      </c>
      <c r="D2198" s="16" t="str">
        <f>IFERROR(VLOOKUP(C2198,DATA!#REF!,2,FALSE),"")</f>
        <v/>
      </c>
    </row>
    <row r="2199" spans="2:4" s="230" customFormat="1">
      <c r="B2199" s="15"/>
      <c r="C2199" s="16" t="str">
        <f>IFERROR(VLOOKUP(DATA!#REF!,DATA!#REF!,1,FALSE),"")</f>
        <v/>
      </c>
      <c r="D2199" s="16" t="str">
        <f>IFERROR(VLOOKUP(C2199,DATA!#REF!,2,FALSE),"")</f>
        <v/>
      </c>
    </row>
    <row r="2200" spans="2:4" s="230" customFormat="1">
      <c r="B2200" s="15"/>
      <c r="C2200" s="16" t="str">
        <f>IFERROR(VLOOKUP(DATA!#REF!,DATA!#REF!,1,FALSE),"")</f>
        <v/>
      </c>
      <c r="D2200" s="16" t="str">
        <f>IFERROR(VLOOKUP(C2200,DATA!#REF!,2,FALSE),"")</f>
        <v/>
      </c>
    </row>
    <row r="2201" spans="2:4" s="230" customFormat="1">
      <c r="B2201" s="15"/>
      <c r="C2201" s="16" t="str">
        <f>IFERROR(VLOOKUP(DATA!#REF!,DATA!#REF!,1,FALSE),"")</f>
        <v/>
      </c>
      <c r="D2201" s="16" t="str">
        <f>IFERROR(VLOOKUP(C2201,DATA!#REF!,2,FALSE),"")</f>
        <v/>
      </c>
    </row>
    <row r="2202" spans="2:4" s="230" customFormat="1">
      <c r="B2202" s="15"/>
      <c r="C2202" s="16" t="str">
        <f>IFERROR(VLOOKUP(DATA!#REF!,DATA!#REF!,1,FALSE),"")</f>
        <v/>
      </c>
      <c r="D2202" s="16" t="str">
        <f>IFERROR(VLOOKUP(C2202,DATA!#REF!,2,FALSE),"")</f>
        <v/>
      </c>
    </row>
    <row r="2203" spans="2:4" s="230" customFormat="1">
      <c r="B2203" s="15"/>
      <c r="C2203" s="16" t="str">
        <f>IFERROR(VLOOKUP(DATA!#REF!,DATA!#REF!,1,FALSE),"")</f>
        <v/>
      </c>
      <c r="D2203" s="16" t="str">
        <f>IFERROR(VLOOKUP(C2203,DATA!#REF!,2,FALSE),"")</f>
        <v/>
      </c>
    </row>
    <row r="2204" spans="2:4" s="230" customFormat="1">
      <c r="B2204" s="15"/>
      <c r="C2204" s="16" t="str">
        <f>IFERROR(VLOOKUP(DATA!#REF!,DATA!#REF!,1,FALSE),"")</f>
        <v/>
      </c>
      <c r="D2204" s="16" t="str">
        <f>IFERROR(VLOOKUP(C2204,DATA!#REF!,2,FALSE),"")</f>
        <v/>
      </c>
    </row>
    <row r="2205" spans="2:4" s="230" customFormat="1">
      <c r="B2205" s="15"/>
      <c r="C2205" s="16" t="str">
        <f>IFERROR(VLOOKUP(DATA!#REF!,DATA!#REF!,1,FALSE),"")</f>
        <v/>
      </c>
      <c r="D2205" s="16" t="str">
        <f>IFERROR(VLOOKUP(C2205,DATA!#REF!,2,FALSE),"")</f>
        <v/>
      </c>
    </row>
    <row r="2206" spans="2:4" s="230" customFormat="1">
      <c r="B2206" s="15"/>
      <c r="C2206" s="16" t="str">
        <f>IFERROR(VLOOKUP(DATA!#REF!,DATA!#REF!,1,FALSE),"")</f>
        <v/>
      </c>
      <c r="D2206" s="16" t="str">
        <f>IFERROR(VLOOKUP(C2206,DATA!#REF!,2,FALSE),"")</f>
        <v/>
      </c>
    </row>
    <row r="2207" spans="2:4" s="230" customFormat="1">
      <c r="B2207" s="15"/>
      <c r="C2207" s="16" t="str">
        <f>IFERROR(VLOOKUP(DATA!#REF!,DATA!#REF!,1,FALSE),"")</f>
        <v/>
      </c>
      <c r="D2207" s="16" t="str">
        <f>IFERROR(VLOOKUP(C2207,DATA!#REF!,2,FALSE),"")</f>
        <v/>
      </c>
    </row>
    <row r="2208" spans="2:4" s="230" customFormat="1">
      <c r="B2208" s="15"/>
      <c r="C2208" s="16" t="str">
        <f>IFERROR(VLOOKUP(DATA!#REF!,DATA!#REF!,1,FALSE),"")</f>
        <v/>
      </c>
      <c r="D2208" s="16" t="str">
        <f>IFERROR(VLOOKUP(C2208,DATA!#REF!,2,FALSE),"")</f>
        <v/>
      </c>
    </row>
    <row r="2209" spans="3:4" s="230" customFormat="1">
      <c r="C2209" s="16" t="str">
        <f>IFERROR(VLOOKUP(DATA!#REF!,DATA!#REF!,1,FALSE),"")</f>
        <v/>
      </c>
      <c r="D2209" s="16" t="str">
        <f>IFERROR(VLOOKUP(C2209,DATA!#REF!,2,FALSE),"")</f>
        <v/>
      </c>
    </row>
    <row r="2210" spans="3:4" s="230" customFormat="1">
      <c r="C2210" s="16" t="str">
        <f>IFERROR(VLOOKUP(DATA!#REF!,DATA!#REF!,1,FALSE),"")</f>
        <v/>
      </c>
      <c r="D2210" s="16" t="str">
        <f>IFERROR(VLOOKUP(C2210,DATA!#REF!,2,FALSE),"")</f>
        <v/>
      </c>
    </row>
    <row r="2211" spans="3:4" s="230" customFormat="1">
      <c r="C2211" s="16" t="str">
        <f>IFERROR(VLOOKUP(DATA!#REF!,DATA!#REF!,1,FALSE),"")</f>
        <v/>
      </c>
      <c r="D2211" s="16" t="str">
        <f>IFERROR(VLOOKUP(C2211,DATA!#REF!,2,FALSE),"")</f>
        <v/>
      </c>
    </row>
    <row r="2212" spans="3:4" s="230" customFormat="1">
      <c r="C2212" s="16" t="str">
        <f>IFERROR(VLOOKUP(DATA!#REF!,DATA!#REF!,1,FALSE),"")</f>
        <v/>
      </c>
      <c r="D2212" s="16" t="str">
        <f>IFERROR(VLOOKUP(C2212,DATA!#REF!,2,FALSE),"")</f>
        <v/>
      </c>
    </row>
    <row r="2213" spans="3:4" s="230" customFormat="1">
      <c r="C2213" s="16" t="str">
        <f>IFERROR(VLOOKUP(DATA!#REF!,DATA!#REF!,1,FALSE),"")</f>
        <v/>
      </c>
      <c r="D2213" s="16" t="str">
        <f>IFERROR(VLOOKUP(C2213,DATA!#REF!,2,FALSE),"")</f>
        <v/>
      </c>
    </row>
    <row r="2214" spans="3:4" s="230" customFormat="1">
      <c r="C2214" s="16" t="str">
        <f>IFERROR(VLOOKUP(DATA!#REF!,DATA!#REF!,1,FALSE),"")</f>
        <v/>
      </c>
      <c r="D2214" s="16" t="str">
        <f>IFERROR(VLOOKUP(C2214,DATA!#REF!,2,FALSE),"")</f>
        <v/>
      </c>
    </row>
    <row r="2215" spans="3:4" s="230" customFormat="1">
      <c r="C2215" s="16" t="str">
        <f>IFERROR(VLOOKUP(DATA!#REF!,DATA!#REF!,1,FALSE),"")</f>
        <v/>
      </c>
      <c r="D2215" s="16" t="str">
        <f>IFERROR(VLOOKUP(C2215,DATA!#REF!,2,FALSE),"")</f>
        <v/>
      </c>
    </row>
    <row r="2216" spans="3:4" s="230" customFormat="1">
      <c r="C2216" s="16" t="str">
        <f>IFERROR(VLOOKUP(DATA!#REF!,DATA!#REF!,1,FALSE),"")</f>
        <v/>
      </c>
      <c r="D2216" s="16" t="str">
        <f>IFERROR(VLOOKUP(C2216,DATA!#REF!,2,FALSE),"")</f>
        <v/>
      </c>
    </row>
    <row r="2217" spans="3:4" s="230" customFormat="1">
      <c r="C2217" s="16" t="str">
        <f>IFERROR(VLOOKUP(DATA!#REF!,DATA!#REF!,1,FALSE),"")</f>
        <v/>
      </c>
      <c r="D2217" s="16" t="str">
        <f>IFERROR(VLOOKUP(C2217,DATA!#REF!,2,FALSE),"")</f>
        <v/>
      </c>
    </row>
    <row r="2218" spans="3:4" s="230" customFormat="1">
      <c r="C2218" s="16" t="str">
        <f>IFERROR(VLOOKUP(DATA!#REF!,DATA!#REF!,1,FALSE),"")</f>
        <v/>
      </c>
      <c r="D2218" s="16" t="str">
        <f>IFERROR(VLOOKUP(C2218,DATA!#REF!,2,FALSE),"")</f>
        <v/>
      </c>
    </row>
    <row r="2219" spans="3:4" s="230" customFormat="1">
      <c r="C2219" s="16" t="str">
        <f>IFERROR(VLOOKUP(DATA!#REF!,DATA!#REF!,1,FALSE),"")</f>
        <v/>
      </c>
      <c r="D2219" s="16" t="str">
        <f>IFERROR(VLOOKUP(C2219,DATA!#REF!,2,FALSE),"")</f>
        <v/>
      </c>
    </row>
    <row r="2220" spans="3:4" s="230" customFormat="1">
      <c r="C2220" s="16" t="str">
        <f>IFERROR(VLOOKUP(DATA!#REF!,DATA!#REF!,1,FALSE),"")</f>
        <v/>
      </c>
      <c r="D2220" s="16" t="str">
        <f>IFERROR(VLOOKUP(C2220,DATA!#REF!,2,FALSE),"")</f>
        <v/>
      </c>
    </row>
    <row r="2221" spans="3:4" s="230" customFormat="1">
      <c r="C2221" s="16" t="str">
        <f>IFERROR(VLOOKUP(DATA!#REF!,DATA!#REF!,1,FALSE),"")</f>
        <v/>
      </c>
      <c r="D2221" s="16" t="str">
        <f>IFERROR(VLOOKUP(C2221,DATA!#REF!,2,FALSE),"")</f>
        <v/>
      </c>
    </row>
    <row r="2222" spans="3:4" s="230" customFormat="1">
      <c r="C2222" s="16" t="str">
        <f>IFERROR(VLOOKUP(DATA!#REF!,DATA!#REF!,1,FALSE),"")</f>
        <v/>
      </c>
      <c r="D2222" s="16" t="str">
        <f>IFERROR(VLOOKUP(C2222,DATA!#REF!,2,FALSE),"")</f>
        <v/>
      </c>
    </row>
    <row r="2223" spans="3:4" s="230" customFormat="1">
      <c r="C2223" s="16" t="str">
        <f>IFERROR(VLOOKUP(DATA!#REF!,DATA!#REF!,1,FALSE),"")</f>
        <v/>
      </c>
      <c r="D2223" s="16" t="str">
        <f>IFERROR(VLOOKUP(C2223,DATA!#REF!,2,FALSE),"")</f>
        <v/>
      </c>
    </row>
    <row r="2224" spans="3:4" s="230" customFormat="1">
      <c r="C2224" s="16" t="str">
        <f>IFERROR(VLOOKUP(DATA!#REF!,DATA!#REF!,1,FALSE),"")</f>
        <v/>
      </c>
      <c r="D2224" s="16" t="str">
        <f>IFERROR(VLOOKUP(C2224,DATA!#REF!,2,FALSE),"")</f>
        <v/>
      </c>
    </row>
    <row r="2225" spans="3:4" s="230" customFormat="1">
      <c r="C2225" s="16" t="str">
        <f>IFERROR(VLOOKUP(DATA!#REF!,DATA!#REF!,1,FALSE),"")</f>
        <v/>
      </c>
      <c r="D2225" s="16" t="str">
        <f>IFERROR(VLOOKUP(C2225,DATA!#REF!,2,FALSE),"")</f>
        <v/>
      </c>
    </row>
    <row r="2226" spans="3:4" s="230" customFormat="1">
      <c r="C2226" s="16" t="str">
        <f>IFERROR(VLOOKUP(DATA!#REF!,DATA!#REF!,1,FALSE),"")</f>
        <v/>
      </c>
      <c r="D2226" s="16" t="str">
        <f>IFERROR(VLOOKUP(C2226,DATA!#REF!,2,FALSE),"")</f>
        <v/>
      </c>
    </row>
    <row r="2227" spans="3:4" s="230" customFormat="1">
      <c r="C2227" s="16" t="str">
        <f>IFERROR(VLOOKUP(DATA!#REF!,DATA!#REF!,1,FALSE),"")</f>
        <v/>
      </c>
      <c r="D2227" s="16" t="str">
        <f>IFERROR(VLOOKUP(C2227,DATA!#REF!,2,FALSE),"")</f>
        <v/>
      </c>
    </row>
    <row r="2228" spans="3:4" s="230" customFormat="1">
      <c r="C2228" s="16" t="str">
        <f>IFERROR(VLOOKUP(DATA!#REF!,DATA!#REF!,1,FALSE),"")</f>
        <v/>
      </c>
      <c r="D2228" s="16" t="str">
        <f>IFERROR(VLOOKUP(C2228,DATA!#REF!,2,FALSE),"")</f>
        <v/>
      </c>
    </row>
    <row r="2229" spans="3:4" s="230" customFormat="1">
      <c r="C2229" s="16" t="str">
        <f>IFERROR(VLOOKUP(DATA!#REF!,DATA!#REF!,1,FALSE),"")</f>
        <v/>
      </c>
      <c r="D2229" s="16" t="str">
        <f>IFERROR(VLOOKUP(C2229,DATA!#REF!,2,FALSE),"")</f>
        <v/>
      </c>
    </row>
    <row r="2230" spans="3:4" s="230" customFormat="1">
      <c r="C2230" s="16" t="str">
        <f>IFERROR(VLOOKUP(DATA!#REF!,DATA!#REF!,1,FALSE),"")</f>
        <v/>
      </c>
      <c r="D2230" s="16" t="str">
        <f>IFERROR(VLOOKUP(C2230,DATA!#REF!,2,FALSE),"")</f>
        <v/>
      </c>
    </row>
    <row r="2231" spans="3:4" s="230" customFormat="1">
      <c r="C2231" s="16" t="str">
        <f>IFERROR(VLOOKUP(DATA!#REF!,DATA!#REF!,1,FALSE),"")</f>
        <v/>
      </c>
      <c r="D2231" s="16" t="str">
        <f>IFERROR(VLOOKUP(C2231,DATA!#REF!,2,FALSE),"")</f>
        <v/>
      </c>
    </row>
    <row r="2232" spans="3:4" s="230" customFormat="1">
      <c r="C2232" s="16" t="str">
        <f>IFERROR(VLOOKUP(DATA!#REF!,DATA!#REF!,1,FALSE),"")</f>
        <v/>
      </c>
      <c r="D2232" s="16" t="str">
        <f>IFERROR(VLOOKUP(C2232,DATA!#REF!,2,FALSE),"")</f>
        <v/>
      </c>
    </row>
    <row r="2233" spans="3:4" s="230" customFormat="1">
      <c r="C2233" s="16" t="str">
        <f>IFERROR(VLOOKUP(DATA!#REF!,DATA!#REF!,1,FALSE),"")</f>
        <v/>
      </c>
      <c r="D2233" s="16" t="str">
        <f>IFERROR(VLOOKUP(C2233,DATA!#REF!,2,FALSE),"")</f>
        <v/>
      </c>
    </row>
    <row r="2234" spans="3:4" s="230" customFormat="1">
      <c r="C2234" s="16" t="str">
        <f>IFERROR(VLOOKUP(DATA!#REF!,DATA!#REF!,1,FALSE),"")</f>
        <v/>
      </c>
      <c r="D2234" s="16" t="str">
        <f>IFERROR(VLOOKUP(C2234,DATA!#REF!,2,FALSE),"")</f>
        <v/>
      </c>
    </row>
    <row r="2235" spans="3:4" s="230" customFormat="1">
      <c r="C2235" s="16" t="str">
        <f>IFERROR(VLOOKUP(DATA!#REF!,DATA!#REF!,1,FALSE),"")</f>
        <v/>
      </c>
      <c r="D2235" s="16" t="str">
        <f>IFERROR(VLOOKUP(C2235,DATA!#REF!,2,FALSE),"")</f>
        <v/>
      </c>
    </row>
    <row r="2236" spans="3:4" s="230" customFormat="1">
      <c r="C2236" s="16" t="str">
        <f>IFERROR(VLOOKUP(DATA!#REF!,DATA!#REF!,1,FALSE),"")</f>
        <v/>
      </c>
      <c r="D2236" s="16" t="str">
        <f>IFERROR(VLOOKUP(C2236,DATA!#REF!,2,FALSE),"")</f>
        <v/>
      </c>
    </row>
    <row r="2237" spans="3:4" s="230" customFormat="1">
      <c r="C2237" s="16" t="str">
        <f>IFERROR(VLOOKUP(DATA!#REF!,DATA!#REF!,1,FALSE),"")</f>
        <v/>
      </c>
      <c r="D2237" s="16" t="str">
        <f>IFERROR(VLOOKUP(C2237,DATA!#REF!,2,FALSE),"")</f>
        <v/>
      </c>
    </row>
    <row r="2238" spans="3:4" s="230" customFormat="1">
      <c r="C2238" s="16" t="str">
        <f>IFERROR(VLOOKUP(DATA!#REF!,DATA!#REF!,1,FALSE),"")</f>
        <v/>
      </c>
      <c r="D2238" s="16" t="str">
        <f>IFERROR(VLOOKUP(C2238,DATA!#REF!,2,FALSE),"")</f>
        <v/>
      </c>
    </row>
    <row r="2239" spans="3:4" s="230" customFormat="1">
      <c r="C2239" s="16" t="str">
        <f>IFERROR(VLOOKUP(DATA!#REF!,DATA!#REF!,1,FALSE),"")</f>
        <v/>
      </c>
      <c r="D2239" s="16" t="str">
        <f>IFERROR(VLOOKUP(C2239,DATA!#REF!,2,FALSE),"")</f>
        <v/>
      </c>
    </row>
    <row r="2240" spans="3:4" s="230" customFormat="1">
      <c r="C2240" s="16" t="str">
        <f>IFERROR(VLOOKUP(DATA!#REF!,DATA!#REF!,1,FALSE),"")</f>
        <v/>
      </c>
      <c r="D2240" s="16" t="str">
        <f>IFERROR(VLOOKUP(C2240,DATA!#REF!,2,FALSE),"")</f>
        <v/>
      </c>
    </row>
    <row r="2241" spans="3:4" s="230" customFormat="1">
      <c r="C2241" s="16" t="str">
        <f>IFERROR(VLOOKUP(DATA!#REF!,DATA!#REF!,1,FALSE),"")</f>
        <v/>
      </c>
      <c r="D2241" s="16" t="str">
        <f>IFERROR(VLOOKUP(C2241,DATA!#REF!,2,FALSE),"")</f>
        <v/>
      </c>
    </row>
    <row r="2242" spans="3:4" s="230" customFormat="1">
      <c r="C2242" s="16" t="str">
        <f>IFERROR(VLOOKUP(DATA!#REF!,DATA!#REF!,1,FALSE),"")</f>
        <v/>
      </c>
      <c r="D2242" s="16" t="str">
        <f>IFERROR(VLOOKUP(C2242,DATA!#REF!,2,FALSE),"")</f>
        <v/>
      </c>
    </row>
    <row r="2243" spans="3:4" s="230" customFormat="1">
      <c r="C2243" s="16" t="str">
        <f>IFERROR(VLOOKUP(DATA!#REF!,DATA!#REF!,1,FALSE),"")</f>
        <v/>
      </c>
      <c r="D2243" s="16" t="str">
        <f>IFERROR(VLOOKUP(C2243,DATA!#REF!,2,FALSE),"")</f>
        <v/>
      </c>
    </row>
    <row r="2244" spans="3:4" s="230" customFormat="1">
      <c r="C2244" s="16" t="str">
        <f>IFERROR(VLOOKUP(DATA!#REF!,DATA!#REF!,1,FALSE),"")</f>
        <v/>
      </c>
      <c r="D2244" s="16" t="str">
        <f>IFERROR(VLOOKUP(C2244,DATA!#REF!,2,FALSE),"")</f>
        <v/>
      </c>
    </row>
    <row r="2245" spans="3:4" s="230" customFormat="1">
      <c r="C2245" s="16" t="str">
        <f>IFERROR(VLOOKUP(DATA!#REF!,DATA!#REF!,1,FALSE),"")</f>
        <v/>
      </c>
      <c r="D2245" s="16" t="str">
        <f>IFERROR(VLOOKUP(C2245,DATA!#REF!,2,FALSE),"")</f>
        <v/>
      </c>
    </row>
    <row r="2246" spans="3:4" s="230" customFormat="1">
      <c r="C2246" s="16" t="str">
        <f>IFERROR(VLOOKUP(DATA!#REF!,DATA!#REF!,1,FALSE),"")</f>
        <v/>
      </c>
      <c r="D2246" s="16" t="str">
        <f>IFERROR(VLOOKUP(C2246,DATA!#REF!,2,FALSE),"")</f>
        <v/>
      </c>
    </row>
    <row r="2247" spans="3:4" s="230" customFormat="1">
      <c r="C2247" s="16" t="str">
        <f>IFERROR(VLOOKUP(DATA!#REF!,DATA!#REF!,1,FALSE),"")</f>
        <v/>
      </c>
      <c r="D2247" s="16" t="str">
        <f>IFERROR(VLOOKUP(C2247,DATA!#REF!,2,FALSE),"")</f>
        <v/>
      </c>
    </row>
    <row r="2248" spans="3:4" s="230" customFormat="1">
      <c r="C2248" s="16" t="str">
        <f>IFERROR(VLOOKUP(DATA!#REF!,DATA!#REF!,1,FALSE),"")</f>
        <v/>
      </c>
      <c r="D2248" s="16" t="str">
        <f>IFERROR(VLOOKUP(C2248,DATA!#REF!,2,FALSE),"")</f>
        <v/>
      </c>
    </row>
    <row r="2249" spans="3:4" s="230" customFormat="1">
      <c r="C2249" s="16" t="str">
        <f>IFERROR(VLOOKUP(DATA!#REF!,DATA!#REF!,1,FALSE),"")</f>
        <v/>
      </c>
      <c r="D2249" s="16" t="str">
        <f>IFERROR(VLOOKUP(C2249,DATA!#REF!,2,FALSE),"")</f>
        <v/>
      </c>
    </row>
    <row r="2250" spans="3:4" s="230" customFormat="1">
      <c r="C2250" s="16" t="str">
        <f>IFERROR(VLOOKUP(DATA!#REF!,DATA!#REF!,1,FALSE),"")</f>
        <v/>
      </c>
      <c r="D2250" s="16" t="str">
        <f>IFERROR(VLOOKUP(C2250,DATA!#REF!,2,FALSE),"")</f>
        <v/>
      </c>
    </row>
    <row r="2251" spans="3:4" s="230" customFormat="1">
      <c r="C2251" s="16" t="str">
        <f>IFERROR(VLOOKUP(DATA!#REF!,DATA!#REF!,1,FALSE),"")</f>
        <v/>
      </c>
      <c r="D2251" s="16" t="str">
        <f>IFERROR(VLOOKUP(C2251,DATA!#REF!,2,FALSE),"")</f>
        <v/>
      </c>
    </row>
    <row r="2252" spans="3:4" s="230" customFormat="1">
      <c r="C2252" s="16" t="str">
        <f>IFERROR(VLOOKUP(DATA!#REF!,DATA!#REF!,1,FALSE),"")</f>
        <v/>
      </c>
      <c r="D2252" s="16" t="str">
        <f>IFERROR(VLOOKUP(C2252,DATA!#REF!,2,FALSE),"")</f>
        <v/>
      </c>
    </row>
    <row r="2253" spans="3:4" s="230" customFormat="1">
      <c r="C2253" s="16" t="str">
        <f>IFERROR(VLOOKUP(DATA!#REF!,DATA!#REF!,1,FALSE),"")</f>
        <v/>
      </c>
      <c r="D2253" s="16" t="str">
        <f>IFERROR(VLOOKUP(C2253,DATA!#REF!,2,FALSE),"")</f>
        <v/>
      </c>
    </row>
    <row r="2254" spans="3:4" s="230" customFormat="1">
      <c r="C2254" s="16" t="str">
        <f>IFERROR(VLOOKUP(DATA!#REF!,DATA!#REF!,1,FALSE),"")</f>
        <v/>
      </c>
      <c r="D2254" s="16" t="str">
        <f>IFERROR(VLOOKUP(C2254,DATA!#REF!,2,FALSE),"")</f>
        <v/>
      </c>
    </row>
    <row r="2255" spans="3:4" s="230" customFormat="1">
      <c r="C2255" s="16" t="str">
        <f>IFERROR(VLOOKUP(DATA!#REF!,DATA!#REF!,1,FALSE),"")</f>
        <v/>
      </c>
      <c r="D2255" s="16" t="str">
        <f>IFERROR(VLOOKUP(C2255,DATA!#REF!,2,FALSE),"")</f>
        <v/>
      </c>
    </row>
    <row r="2256" spans="3:4" s="230" customFormat="1">
      <c r="C2256" s="16" t="str">
        <f>IFERROR(VLOOKUP(DATA!#REF!,DATA!#REF!,1,FALSE),"")</f>
        <v/>
      </c>
      <c r="D2256" s="16" t="str">
        <f>IFERROR(VLOOKUP(C2256,DATA!#REF!,2,FALSE),"")</f>
        <v/>
      </c>
    </row>
    <row r="2257" spans="3:4" s="230" customFormat="1">
      <c r="C2257" s="16" t="str">
        <f>IFERROR(VLOOKUP(DATA!#REF!,DATA!#REF!,1,FALSE),"")</f>
        <v/>
      </c>
      <c r="D2257" s="16" t="str">
        <f>IFERROR(VLOOKUP(C2257,DATA!#REF!,2,FALSE),"")</f>
        <v/>
      </c>
    </row>
    <row r="2258" spans="3:4" s="230" customFormat="1">
      <c r="C2258" s="16" t="str">
        <f>IFERROR(VLOOKUP(DATA!#REF!,DATA!#REF!,1,FALSE),"")</f>
        <v/>
      </c>
      <c r="D2258" s="16" t="str">
        <f>IFERROR(VLOOKUP(C2258,DATA!#REF!,2,FALSE),"")</f>
        <v/>
      </c>
    </row>
    <row r="2259" spans="3:4" s="230" customFormat="1">
      <c r="C2259" s="16" t="str">
        <f>IFERROR(VLOOKUP(DATA!#REF!,DATA!#REF!,1,FALSE),"")</f>
        <v/>
      </c>
      <c r="D2259" s="16" t="str">
        <f>IFERROR(VLOOKUP(C2259,DATA!#REF!,2,FALSE),"")</f>
        <v/>
      </c>
    </row>
    <row r="2260" spans="3:4" s="230" customFormat="1">
      <c r="C2260" s="16" t="str">
        <f>IFERROR(VLOOKUP(DATA!#REF!,DATA!#REF!,1,FALSE),"")</f>
        <v/>
      </c>
      <c r="D2260" s="16" t="str">
        <f>IFERROR(VLOOKUP(C2260,DATA!#REF!,2,FALSE),"")</f>
        <v/>
      </c>
    </row>
    <row r="2261" spans="3:4" s="230" customFormat="1">
      <c r="C2261" s="16" t="str">
        <f>IFERROR(VLOOKUP(DATA!#REF!,DATA!#REF!,1,FALSE),"")</f>
        <v/>
      </c>
      <c r="D2261" s="16" t="str">
        <f>IFERROR(VLOOKUP(C2261,DATA!#REF!,2,FALSE),"")</f>
        <v/>
      </c>
    </row>
    <row r="2262" spans="3:4" s="230" customFormat="1">
      <c r="C2262" s="16" t="str">
        <f>IFERROR(VLOOKUP(DATA!#REF!,DATA!#REF!,1,FALSE),"")</f>
        <v/>
      </c>
      <c r="D2262" s="16" t="str">
        <f>IFERROR(VLOOKUP(C2262,DATA!#REF!,2,FALSE),"")</f>
        <v/>
      </c>
    </row>
    <row r="2263" spans="3:4" s="230" customFormat="1">
      <c r="C2263" s="16" t="str">
        <f>IFERROR(VLOOKUP(DATA!#REF!,DATA!#REF!,1,FALSE),"")</f>
        <v/>
      </c>
      <c r="D2263" s="16" t="str">
        <f>IFERROR(VLOOKUP(C2263,DATA!#REF!,2,FALSE),"")</f>
        <v/>
      </c>
    </row>
    <row r="2264" spans="3:4" s="230" customFormat="1">
      <c r="C2264" s="16" t="str">
        <f>IFERROR(VLOOKUP(DATA!#REF!,DATA!#REF!,1,FALSE),"")</f>
        <v/>
      </c>
      <c r="D2264" s="16" t="str">
        <f>IFERROR(VLOOKUP(C2264,DATA!#REF!,2,FALSE),"")</f>
        <v/>
      </c>
    </row>
    <row r="2265" spans="3:4" s="230" customFormat="1">
      <c r="C2265" s="16" t="str">
        <f>IFERROR(VLOOKUP(DATA!#REF!,DATA!#REF!,1,FALSE),"")</f>
        <v/>
      </c>
      <c r="D2265" s="16" t="str">
        <f>IFERROR(VLOOKUP(C2265,DATA!#REF!,2,FALSE),"")</f>
        <v/>
      </c>
    </row>
    <row r="2266" spans="3:4" s="230" customFormat="1">
      <c r="C2266" s="16" t="str">
        <f>IFERROR(VLOOKUP(DATA!#REF!,DATA!#REF!,1,FALSE),"")</f>
        <v/>
      </c>
      <c r="D2266" s="16" t="str">
        <f>IFERROR(VLOOKUP(C2266,DATA!#REF!,2,FALSE),"")</f>
        <v/>
      </c>
    </row>
    <row r="2267" spans="3:4" s="230" customFormat="1">
      <c r="C2267" s="16" t="str">
        <f>IFERROR(VLOOKUP(DATA!#REF!,DATA!#REF!,1,FALSE),"")</f>
        <v/>
      </c>
      <c r="D2267" s="16" t="str">
        <f>IFERROR(VLOOKUP(C2267,DATA!#REF!,2,FALSE),"")</f>
        <v/>
      </c>
    </row>
    <row r="2268" spans="3:4" s="230" customFormat="1">
      <c r="C2268" s="16" t="str">
        <f>IFERROR(VLOOKUP(DATA!#REF!,DATA!#REF!,1,FALSE),"")</f>
        <v/>
      </c>
      <c r="D2268" s="16" t="str">
        <f>IFERROR(VLOOKUP(C2268,DATA!#REF!,2,FALSE),"")</f>
        <v/>
      </c>
    </row>
    <row r="2269" spans="3:4" s="230" customFormat="1">
      <c r="C2269" s="16" t="str">
        <f>IFERROR(VLOOKUP(DATA!#REF!,DATA!#REF!,1,FALSE),"")</f>
        <v/>
      </c>
      <c r="D2269" s="16" t="str">
        <f>IFERROR(VLOOKUP(C2269,DATA!#REF!,2,FALSE),"")</f>
        <v/>
      </c>
    </row>
    <row r="2270" spans="3:4" s="230" customFormat="1">
      <c r="C2270" s="16" t="str">
        <f>IFERROR(VLOOKUP(DATA!#REF!,DATA!#REF!,1,FALSE),"")</f>
        <v/>
      </c>
      <c r="D2270" s="16" t="str">
        <f>IFERROR(VLOOKUP(C2270,DATA!#REF!,2,FALSE),"")</f>
        <v/>
      </c>
    </row>
    <row r="2271" spans="3:4" s="230" customFormat="1">
      <c r="C2271" s="16" t="str">
        <f>IFERROR(VLOOKUP(DATA!#REF!,DATA!#REF!,1,FALSE),"")</f>
        <v/>
      </c>
      <c r="D2271" s="16" t="str">
        <f>IFERROR(VLOOKUP(C2271,DATA!#REF!,2,FALSE),"")</f>
        <v/>
      </c>
    </row>
    <row r="2272" spans="3:4" s="230" customFormat="1">
      <c r="C2272" s="16" t="str">
        <f>IFERROR(VLOOKUP(DATA!#REF!,DATA!#REF!,1,FALSE),"")</f>
        <v/>
      </c>
      <c r="D2272" s="16" t="str">
        <f>IFERROR(VLOOKUP(C2272,DATA!#REF!,2,FALSE),"")</f>
        <v/>
      </c>
    </row>
    <row r="2273" spans="3:4" s="230" customFormat="1">
      <c r="C2273" s="16" t="str">
        <f>IFERROR(VLOOKUP(DATA!#REF!,DATA!#REF!,1,FALSE),"")</f>
        <v/>
      </c>
      <c r="D2273" s="16" t="str">
        <f>IFERROR(VLOOKUP(C2273,DATA!#REF!,2,FALSE),"")</f>
        <v/>
      </c>
    </row>
    <row r="2274" spans="3:4" s="230" customFormat="1">
      <c r="C2274" s="16" t="str">
        <f>IFERROR(VLOOKUP(DATA!#REF!,DATA!#REF!,1,FALSE),"")</f>
        <v/>
      </c>
      <c r="D2274" s="16" t="str">
        <f>IFERROR(VLOOKUP(C2274,DATA!#REF!,2,FALSE),"")</f>
        <v/>
      </c>
    </row>
    <row r="2275" spans="3:4" s="230" customFormat="1">
      <c r="C2275" s="16" t="str">
        <f>IFERROR(VLOOKUP(DATA!#REF!,DATA!#REF!,1,FALSE),"")</f>
        <v/>
      </c>
      <c r="D2275" s="16" t="str">
        <f>IFERROR(VLOOKUP(C2275,DATA!#REF!,2,FALSE),"")</f>
        <v/>
      </c>
    </row>
    <row r="2276" spans="3:4" s="230" customFormat="1">
      <c r="C2276" s="16" t="str">
        <f>IFERROR(VLOOKUP(DATA!#REF!,DATA!#REF!,1,FALSE),"")</f>
        <v/>
      </c>
      <c r="D2276" s="16" t="str">
        <f>IFERROR(VLOOKUP(C2276,DATA!#REF!,2,FALSE),"")</f>
        <v/>
      </c>
    </row>
    <row r="2277" spans="3:4" s="230" customFormat="1">
      <c r="C2277" s="16" t="str">
        <f>IFERROR(VLOOKUP(DATA!#REF!,DATA!#REF!,1,FALSE),"")</f>
        <v/>
      </c>
      <c r="D2277" s="16" t="str">
        <f>IFERROR(VLOOKUP(C2277,DATA!#REF!,2,FALSE),"")</f>
        <v/>
      </c>
    </row>
    <row r="2278" spans="3:4" s="230" customFormat="1">
      <c r="C2278" s="16" t="str">
        <f>IFERROR(VLOOKUP(DATA!#REF!,DATA!#REF!,1,FALSE),"")</f>
        <v/>
      </c>
      <c r="D2278" s="16" t="str">
        <f>IFERROR(VLOOKUP(C2278,DATA!#REF!,2,FALSE),"")</f>
        <v/>
      </c>
    </row>
    <row r="2279" spans="3:4" s="230" customFormat="1">
      <c r="C2279" s="16" t="str">
        <f>IFERROR(VLOOKUP(DATA!#REF!,DATA!#REF!,1,FALSE),"")</f>
        <v/>
      </c>
      <c r="D2279" s="16" t="str">
        <f>IFERROR(VLOOKUP(C2279,DATA!#REF!,2,FALSE),"")</f>
        <v/>
      </c>
    </row>
    <row r="2280" spans="3:4" s="230" customFormat="1">
      <c r="C2280" s="16" t="str">
        <f>IFERROR(VLOOKUP(DATA!#REF!,DATA!#REF!,1,FALSE),"")</f>
        <v/>
      </c>
      <c r="D2280" s="16" t="str">
        <f>IFERROR(VLOOKUP(C2280,DATA!#REF!,2,FALSE),"")</f>
        <v/>
      </c>
    </row>
    <row r="2281" spans="3:4" s="230" customFormat="1">
      <c r="C2281" s="16" t="str">
        <f>IFERROR(VLOOKUP(DATA!#REF!,DATA!#REF!,1,FALSE),"")</f>
        <v/>
      </c>
      <c r="D2281" s="16" t="str">
        <f>IFERROR(VLOOKUP(C2281,DATA!#REF!,2,FALSE),"")</f>
        <v/>
      </c>
    </row>
    <row r="2282" spans="3:4" s="230" customFormat="1">
      <c r="C2282" s="16" t="str">
        <f>IFERROR(VLOOKUP(DATA!#REF!,DATA!#REF!,1,FALSE),"")</f>
        <v/>
      </c>
      <c r="D2282" s="16" t="str">
        <f>IFERROR(VLOOKUP(C2282,DATA!#REF!,2,FALSE),"")</f>
        <v/>
      </c>
    </row>
    <row r="2283" spans="3:4" s="230" customFormat="1">
      <c r="C2283" s="16" t="str">
        <f>IFERROR(VLOOKUP(DATA!#REF!,DATA!#REF!,1,FALSE),"")</f>
        <v/>
      </c>
      <c r="D2283" s="16" t="str">
        <f>IFERROR(VLOOKUP(C2283,DATA!#REF!,2,FALSE),"")</f>
        <v/>
      </c>
    </row>
    <row r="2284" spans="3:4" s="230" customFormat="1">
      <c r="C2284" s="16" t="str">
        <f>IFERROR(VLOOKUP(DATA!#REF!,DATA!#REF!,1,FALSE),"")</f>
        <v/>
      </c>
      <c r="D2284" s="16" t="str">
        <f>IFERROR(VLOOKUP(C2284,DATA!#REF!,2,FALSE),"")</f>
        <v/>
      </c>
    </row>
    <row r="2285" spans="3:4" s="230" customFormat="1">
      <c r="C2285" s="16" t="str">
        <f>IFERROR(VLOOKUP(DATA!#REF!,DATA!#REF!,1,FALSE),"")</f>
        <v/>
      </c>
      <c r="D2285" s="16" t="str">
        <f>IFERROR(VLOOKUP(C2285,DATA!#REF!,2,FALSE),"")</f>
        <v/>
      </c>
    </row>
    <row r="2286" spans="3:4" s="230" customFormat="1">
      <c r="C2286" s="16" t="str">
        <f>IFERROR(VLOOKUP(DATA!#REF!,DATA!#REF!,1,FALSE),"")</f>
        <v/>
      </c>
      <c r="D2286" s="16" t="str">
        <f>IFERROR(VLOOKUP(C2286,DATA!#REF!,2,FALSE),"")</f>
        <v/>
      </c>
    </row>
    <row r="2287" spans="3:4" s="230" customFormat="1">
      <c r="C2287" s="16" t="str">
        <f>IFERROR(VLOOKUP(DATA!#REF!,DATA!#REF!,1,FALSE),"")</f>
        <v/>
      </c>
      <c r="D2287" s="16" t="str">
        <f>IFERROR(VLOOKUP(C2287,DATA!#REF!,2,FALSE),"")</f>
        <v/>
      </c>
    </row>
    <row r="2288" spans="3:4" s="230" customFormat="1">
      <c r="C2288" s="16" t="str">
        <f>IFERROR(VLOOKUP(DATA!#REF!,DATA!#REF!,1,FALSE),"")</f>
        <v/>
      </c>
      <c r="D2288" s="16" t="str">
        <f>IFERROR(VLOOKUP(C2288,DATA!#REF!,2,FALSE),"")</f>
        <v/>
      </c>
    </row>
    <row r="2289" spans="3:4" s="230" customFormat="1">
      <c r="C2289" s="16" t="str">
        <f>IFERROR(VLOOKUP(DATA!#REF!,DATA!#REF!,1,FALSE),"")</f>
        <v/>
      </c>
      <c r="D2289" s="16" t="str">
        <f>IFERROR(VLOOKUP(C2289,DATA!#REF!,2,FALSE),"")</f>
        <v/>
      </c>
    </row>
    <row r="2290" spans="3:4" s="230" customFormat="1">
      <c r="C2290" s="16" t="str">
        <f>IFERROR(VLOOKUP(DATA!#REF!,DATA!#REF!,1,FALSE),"")</f>
        <v/>
      </c>
      <c r="D2290" s="16" t="str">
        <f>IFERROR(VLOOKUP(C2290,DATA!#REF!,2,FALSE),"")</f>
        <v/>
      </c>
    </row>
    <row r="2291" spans="3:4" s="230" customFormat="1">
      <c r="C2291" s="16" t="str">
        <f>IFERROR(VLOOKUP(DATA!#REF!,DATA!#REF!,1,FALSE),"")</f>
        <v/>
      </c>
      <c r="D2291" s="16" t="str">
        <f>IFERROR(VLOOKUP(C2291,DATA!#REF!,2,FALSE),"")</f>
        <v/>
      </c>
    </row>
    <row r="2292" spans="3:4" s="230" customFormat="1">
      <c r="C2292" s="16" t="str">
        <f>IFERROR(VLOOKUP(DATA!#REF!,DATA!#REF!,1,FALSE),"")</f>
        <v/>
      </c>
      <c r="D2292" s="16" t="str">
        <f>IFERROR(VLOOKUP(C2292,DATA!#REF!,2,FALSE),"")</f>
        <v/>
      </c>
    </row>
    <row r="2293" spans="3:4" s="230" customFormat="1">
      <c r="C2293" s="16" t="str">
        <f>IFERROR(VLOOKUP(DATA!#REF!,DATA!#REF!,1,FALSE),"")</f>
        <v/>
      </c>
      <c r="D2293" s="16" t="str">
        <f>IFERROR(VLOOKUP(C2293,DATA!#REF!,2,FALSE),"")</f>
        <v/>
      </c>
    </row>
    <row r="2294" spans="3:4" s="230" customFormat="1">
      <c r="C2294" s="16" t="str">
        <f>IFERROR(VLOOKUP(DATA!#REF!,DATA!#REF!,1,FALSE),"")</f>
        <v/>
      </c>
      <c r="D2294" s="16" t="str">
        <f>IFERROR(VLOOKUP(C2294,DATA!#REF!,2,FALSE),"")</f>
        <v/>
      </c>
    </row>
    <row r="2295" spans="3:4" s="230" customFormat="1">
      <c r="C2295" s="16" t="str">
        <f>IFERROR(VLOOKUP(DATA!#REF!,DATA!#REF!,1,FALSE),"")</f>
        <v/>
      </c>
      <c r="D2295" s="16" t="str">
        <f>IFERROR(VLOOKUP(C2295,DATA!#REF!,2,FALSE),"")</f>
        <v/>
      </c>
    </row>
    <row r="2296" spans="3:4" s="230" customFormat="1">
      <c r="C2296" s="16" t="str">
        <f>IFERROR(VLOOKUP(DATA!#REF!,DATA!#REF!,1,FALSE),"")</f>
        <v/>
      </c>
      <c r="D2296" s="16" t="str">
        <f>IFERROR(VLOOKUP(C2296,DATA!#REF!,2,FALSE),"")</f>
        <v/>
      </c>
    </row>
    <row r="2297" spans="3:4" s="230" customFormat="1">
      <c r="C2297" s="16" t="str">
        <f>IFERROR(VLOOKUP(DATA!#REF!,DATA!#REF!,1,FALSE),"")</f>
        <v/>
      </c>
      <c r="D2297" s="16" t="str">
        <f>IFERROR(VLOOKUP(C2297,DATA!#REF!,2,FALSE),"")</f>
        <v/>
      </c>
    </row>
    <row r="2298" spans="3:4" s="230" customFormat="1">
      <c r="C2298" s="16" t="str">
        <f>IFERROR(VLOOKUP(DATA!#REF!,DATA!#REF!,1,FALSE),"")</f>
        <v/>
      </c>
      <c r="D2298" s="16" t="str">
        <f>IFERROR(VLOOKUP(C2298,DATA!#REF!,2,FALSE),"")</f>
        <v/>
      </c>
    </row>
    <row r="2299" spans="3:4" s="230" customFormat="1">
      <c r="C2299" s="16" t="str">
        <f>IFERROR(VLOOKUP(DATA!#REF!,DATA!#REF!,1,FALSE),"")</f>
        <v/>
      </c>
      <c r="D2299" s="16" t="str">
        <f>IFERROR(VLOOKUP(C2299,DATA!#REF!,2,FALSE),"")</f>
        <v/>
      </c>
    </row>
    <row r="2300" spans="3:4" s="230" customFormat="1">
      <c r="C2300" s="16" t="str">
        <f>IFERROR(VLOOKUP(DATA!#REF!,DATA!#REF!,1,FALSE),"")</f>
        <v/>
      </c>
      <c r="D2300" s="16" t="str">
        <f>IFERROR(VLOOKUP(C2300,DATA!#REF!,2,FALSE),"")</f>
        <v/>
      </c>
    </row>
    <row r="2301" spans="3:4" s="230" customFormat="1">
      <c r="C2301" s="16" t="str">
        <f>IFERROR(VLOOKUP(DATA!#REF!,DATA!#REF!,1,FALSE),"")</f>
        <v/>
      </c>
      <c r="D2301" s="16" t="str">
        <f>IFERROR(VLOOKUP(C2301,DATA!#REF!,2,FALSE),"")</f>
        <v/>
      </c>
    </row>
    <row r="2302" spans="3:4" s="230" customFormat="1">
      <c r="C2302" s="16" t="str">
        <f>IFERROR(VLOOKUP(DATA!#REF!,DATA!#REF!,1,FALSE),"")</f>
        <v/>
      </c>
      <c r="D2302" s="16" t="str">
        <f>IFERROR(VLOOKUP(C2302,DATA!#REF!,2,FALSE),"")</f>
        <v/>
      </c>
    </row>
    <row r="2303" spans="3:4" s="230" customFormat="1">
      <c r="C2303" s="16" t="str">
        <f>IFERROR(VLOOKUP(DATA!#REF!,DATA!#REF!,1,FALSE),"")</f>
        <v/>
      </c>
      <c r="D2303" s="16" t="str">
        <f>IFERROR(VLOOKUP(C2303,DATA!#REF!,2,FALSE),"")</f>
        <v/>
      </c>
    </row>
    <row r="2304" spans="3:4" s="230" customFormat="1">
      <c r="C2304" s="16" t="str">
        <f>IFERROR(VLOOKUP(DATA!#REF!,DATA!#REF!,1,FALSE),"")</f>
        <v/>
      </c>
      <c r="D2304" s="16" t="str">
        <f>IFERROR(VLOOKUP(C2304,DATA!#REF!,2,FALSE),"")</f>
        <v/>
      </c>
    </row>
    <row r="2305" spans="3:4" s="230" customFormat="1">
      <c r="C2305" s="16" t="str">
        <f>IFERROR(VLOOKUP(DATA!#REF!,DATA!#REF!,1,FALSE),"")</f>
        <v/>
      </c>
      <c r="D2305" s="16" t="str">
        <f>IFERROR(VLOOKUP(C2305,DATA!#REF!,2,FALSE),"")</f>
        <v/>
      </c>
    </row>
    <row r="2306" spans="3:4" s="230" customFormat="1">
      <c r="C2306" s="16" t="str">
        <f>IFERROR(VLOOKUP(DATA!#REF!,DATA!#REF!,1,FALSE),"")</f>
        <v/>
      </c>
      <c r="D2306" s="16" t="str">
        <f>IFERROR(VLOOKUP(C2306,DATA!#REF!,2,FALSE),"")</f>
        <v/>
      </c>
    </row>
    <row r="2307" spans="3:4" s="230" customFormat="1">
      <c r="C2307" s="16" t="str">
        <f>IFERROR(VLOOKUP(DATA!#REF!,DATA!#REF!,1,FALSE),"")</f>
        <v/>
      </c>
      <c r="D2307" s="16" t="str">
        <f>IFERROR(VLOOKUP(C2307,DATA!#REF!,2,FALSE),"")</f>
        <v/>
      </c>
    </row>
    <row r="2308" spans="3:4" s="230" customFormat="1">
      <c r="C2308" s="16" t="str">
        <f>IFERROR(VLOOKUP(DATA!#REF!,DATA!#REF!,1,FALSE),"")</f>
        <v/>
      </c>
      <c r="D2308" s="16" t="str">
        <f>IFERROR(VLOOKUP(C2308,DATA!#REF!,2,FALSE),"")</f>
        <v/>
      </c>
    </row>
    <row r="2309" spans="3:4" s="230" customFormat="1">
      <c r="C2309" s="16" t="str">
        <f>IFERROR(VLOOKUP(DATA!#REF!,DATA!#REF!,1,FALSE),"")</f>
        <v/>
      </c>
      <c r="D2309" s="16" t="str">
        <f>IFERROR(VLOOKUP(C2309,DATA!#REF!,2,FALSE),"")</f>
        <v/>
      </c>
    </row>
    <row r="2310" spans="3:4" s="230" customFormat="1">
      <c r="C2310" s="16" t="str">
        <f>IFERROR(VLOOKUP(DATA!#REF!,DATA!#REF!,1,FALSE),"")</f>
        <v/>
      </c>
      <c r="D2310" s="16" t="str">
        <f>IFERROR(VLOOKUP(C2310,DATA!#REF!,2,FALSE),"")</f>
        <v/>
      </c>
    </row>
    <row r="2311" spans="3:4" s="230" customFormat="1">
      <c r="C2311" s="16" t="str">
        <f>IFERROR(VLOOKUP(DATA!#REF!,DATA!#REF!,1,FALSE),"")</f>
        <v/>
      </c>
      <c r="D2311" s="16" t="str">
        <f>IFERROR(VLOOKUP(C2311,DATA!#REF!,2,FALSE),"")</f>
        <v/>
      </c>
    </row>
    <row r="2312" spans="3:4" s="230" customFormat="1">
      <c r="C2312" s="16" t="str">
        <f>IFERROR(VLOOKUP(DATA!#REF!,DATA!#REF!,1,FALSE),"")</f>
        <v/>
      </c>
      <c r="D2312" s="16" t="str">
        <f>IFERROR(VLOOKUP(C2312,DATA!#REF!,2,FALSE),"")</f>
        <v/>
      </c>
    </row>
    <row r="2313" spans="3:4" s="230" customFormat="1">
      <c r="C2313" s="16" t="str">
        <f>IFERROR(VLOOKUP(DATA!#REF!,DATA!#REF!,1,FALSE),"")</f>
        <v/>
      </c>
      <c r="D2313" s="16" t="str">
        <f>IFERROR(VLOOKUP(C2313,DATA!#REF!,2,FALSE),"")</f>
        <v/>
      </c>
    </row>
    <row r="2314" spans="3:4" s="230" customFormat="1">
      <c r="C2314" s="16" t="str">
        <f>IFERROR(VLOOKUP(DATA!#REF!,DATA!#REF!,1,FALSE),"")</f>
        <v/>
      </c>
      <c r="D2314" s="16" t="str">
        <f>IFERROR(VLOOKUP(C2314,DATA!#REF!,2,FALSE),"")</f>
        <v/>
      </c>
    </row>
    <row r="2315" spans="3:4" s="230" customFormat="1">
      <c r="C2315" s="16" t="str">
        <f>IFERROR(VLOOKUP(DATA!#REF!,DATA!#REF!,1,FALSE),"")</f>
        <v/>
      </c>
      <c r="D2315" s="16" t="str">
        <f>IFERROR(VLOOKUP(C2315,DATA!#REF!,2,FALSE),"")</f>
        <v/>
      </c>
    </row>
    <row r="2316" spans="3:4" s="230" customFormat="1">
      <c r="C2316" s="16" t="str">
        <f>IFERROR(VLOOKUP(DATA!#REF!,DATA!#REF!,1,FALSE),"")</f>
        <v/>
      </c>
      <c r="D2316" s="16" t="str">
        <f>IFERROR(VLOOKUP(C2316,DATA!#REF!,2,FALSE),"")</f>
        <v/>
      </c>
    </row>
    <row r="2317" spans="3:4" s="230" customFormat="1">
      <c r="C2317" s="16" t="str">
        <f>IFERROR(VLOOKUP(DATA!#REF!,DATA!#REF!,1,FALSE),"")</f>
        <v/>
      </c>
      <c r="D2317" s="16" t="str">
        <f>IFERROR(VLOOKUP(C2317,DATA!#REF!,2,FALSE),"")</f>
        <v/>
      </c>
    </row>
    <row r="2318" spans="3:4" s="230" customFormat="1">
      <c r="C2318" s="16" t="str">
        <f>IFERROR(VLOOKUP(DATA!#REF!,DATA!#REF!,1,FALSE),"")</f>
        <v/>
      </c>
      <c r="D2318" s="16" t="str">
        <f>IFERROR(VLOOKUP(C2318,DATA!#REF!,2,FALSE),"")</f>
        <v/>
      </c>
    </row>
    <row r="2319" spans="3:4" s="230" customFormat="1">
      <c r="C2319" s="16" t="str">
        <f>IFERROR(VLOOKUP(DATA!#REF!,DATA!#REF!,1,FALSE),"")</f>
        <v/>
      </c>
      <c r="D2319" s="16" t="str">
        <f>IFERROR(VLOOKUP(C2319,DATA!#REF!,2,FALSE),"")</f>
        <v/>
      </c>
    </row>
    <row r="2320" spans="3:4" s="230" customFormat="1">
      <c r="C2320" s="16" t="str">
        <f>IFERROR(VLOOKUP(DATA!#REF!,DATA!#REF!,1,FALSE),"")</f>
        <v/>
      </c>
      <c r="D2320" s="16" t="str">
        <f>IFERROR(VLOOKUP(C2320,DATA!#REF!,2,FALSE),"")</f>
        <v/>
      </c>
    </row>
    <row r="2321" spans="3:4" s="230" customFormat="1">
      <c r="C2321" s="16" t="str">
        <f>IFERROR(VLOOKUP(DATA!#REF!,DATA!#REF!,1,FALSE),"")</f>
        <v/>
      </c>
      <c r="D2321" s="16" t="str">
        <f>IFERROR(VLOOKUP(C2321,DATA!#REF!,2,FALSE),"")</f>
        <v/>
      </c>
    </row>
    <row r="2322" spans="3:4" s="230" customFormat="1">
      <c r="C2322" s="16" t="str">
        <f>IFERROR(VLOOKUP(DATA!#REF!,DATA!#REF!,1,FALSE),"")</f>
        <v/>
      </c>
      <c r="D2322" s="16" t="str">
        <f>IFERROR(VLOOKUP(C2322,DATA!#REF!,2,FALSE),"")</f>
        <v/>
      </c>
    </row>
    <row r="2323" spans="3:4" s="230" customFormat="1">
      <c r="C2323" s="16" t="str">
        <f>IFERROR(VLOOKUP(DATA!#REF!,DATA!#REF!,1,FALSE),"")</f>
        <v/>
      </c>
      <c r="D2323" s="16" t="str">
        <f>IFERROR(VLOOKUP(C2323,DATA!#REF!,2,FALSE),"")</f>
        <v/>
      </c>
    </row>
    <row r="2324" spans="3:4" s="230" customFormat="1">
      <c r="C2324" s="16" t="str">
        <f>IFERROR(VLOOKUP(DATA!#REF!,DATA!#REF!,1,FALSE),"")</f>
        <v/>
      </c>
      <c r="D2324" s="16" t="str">
        <f>IFERROR(VLOOKUP(C2324,DATA!#REF!,2,FALSE),"")</f>
        <v/>
      </c>
    </row>
    <row r="2325" spans="3:4" s="230" customFormat="1">
      <c r="C2325" s="16" t="str">
        <f>IFERROR(VLOOKUP(DATA!#REF!,DATA!#REF!,1,FALSE),"")</f>
        <v/>
      </c>
      <c r="D2325" s="16" t="str">
        <f>IFERROR(VLOOKUP(C2325,DATA!#REF!,2,FALSE),"")</f>
        <v/>
      </c>
    </row>
    <row r="2326" spans="3:4" s="230" customFormat="1">
      <c r="C2326" s="16" t="str">
        <f>IFERROR(VLOOKUP(DATA!#REF!,DATA!#REF!,1,FALSE),"")</f>
        <v/>
      </c>
      <c r="D2326" s="16" t="str">
        <f>IFERROR(VLOOKUP(C2326,DATA!#REF!,2,FALSE),"")</f>
        <v/>
      </c>
    </row>
    <row r="2327" spans="3:4" s="230" customFormat="1">
      <c r="C2327" s="16" t="str">
        <f>IFERROR(VLOOKUP(DATA!#REF!,DATA!#REF!,1,FALSE),"")</f>
        <v/>
      </c>
      <c r="D2327" s="16" t="str">
        <f>IFERROR(VLOOKUP(C2327,DATA!#REF!,2,FALSE),"")</f>
        <v/>
      </c>
    </row>
    <row r="2328" spans="3:4" s="230" customFormat="1">
      <c r="C2328" s="16" t="str">
        <f>IFERROR(VLOOKUP(DATA!#REF!,DATA!#REF!,1,FALSE),"")</f>
        <v/>
      </c>
      <c r="D2328" s="16" t="str">
        <f>IFERROR(VLOOKUP(C2328,DATA!#REF!,2,FALSE),"")</f>
        <v/>
      </c>
    </row>
    <row r="2329" spans="3:4" s="230" customFormat="1">
      <c r="C2329" s="16" t="str">
        <f>IFERROR(VLOOKUP(DATA!#REF!,DATA!#REF!,1,FALSE),"")</f>
        <v/>
      </c>
      <c r="D2329" s="16" t="str">
        <f>IFERROR(VLOOKUP(C2329,DATA!#REF!,2,FALSE),"")</f>
        <v/>
      </c>
    </row>
    <row r="2330" spans="3:4" s="230" customFormat="1">
      <c r="C2330" s="16" t="str">
        <f>IFERROR(VLOOKUP(DATA!#REF!,DATA!#REF!,1,FALSE),"")</f>
        <v/>
      </c>
      <c r="D2330" s="16" t="str">
        <f>IFERROR(VLOOKUP(C2330,DATA!#REF!,2,FALSE),"")</f>
        <v/>
      </c>
    </row>
    <row r="2331" spans="3:4" s="230" customFormat="1">
      <c r="C2331" s="16" t="str">
        <f>IFERROR(VLOOKUP(DATA!#REF!,DATA!#REF!,1,FALSE),"")</f>
        <v/>
      </c>
      <c r="D2331" s="16" t="str">
        <f>IFERROR(VLOOKUP(C2331,DATA!#REF!,2,FALSE),"")</f>
        <v/>
      </c>
    </row>
    <row r="2332" spans="3:4" s="230" customFormat="1">
      <c r="C2332" s="16" t="str">
        <f>IFERROR(VLOOKUP(DATA!#REF!,DATA!#REF!,1,FALSE),"")</f>
        <v/>
      </c>
      <c r="D2332" s="16" t="str">
        <f>IFERROR(VLOOKUP(C2332,DATA!#REF!,2,FALSE),"")</f>
        <v/>
      </c>
    </row>
    <row r="2333" spans="3:4" s="230" customFormat="1">
      <c r="C2333" s="16" t="str">
        <f>IFERROR(VLOOKUP(DATA!#REF!,DATA!#REF!,1,FALSE),"")</f>
        <v/>
      </c>
      <c r="D2333" s="16" t="str">
        <f>IFERROR(VLOOKUP(C2333,DATA!#REF!,2,FALSE),"")</f>
        <v/>
      </c>
    </row>
    <row r="2334" spans="3:4" s="230" customFormat="1">
      <c r="C2334" s="16" t="str">
        <f>IFERROR(VLOOKUP(DATA!#REF!,DATA!#REF!,1,FALSE),"")</f>
        <v/>
      </c>
      <c r="D2334" s="16" t="str">
        <f>IFERROR(VLOOKUP(C2334,DATA!#REF!,2,FALSE),"")</f>
        <v/>
      </c>
    </row>
    <row r="2335" spans="3:4" s="230" customFormat="1">
      <c r="C2335" s="16" t="str">
        <f>IFERROR(VLOOKUP(DATA!#REF!,DATA!#REF!,1,FALSE),"")</f>
        <v/>
      </c>
      <c r="D2335" s="16" t="str">
        <f>IFERROR(VLOOKUP(C2335,DATA!#REF!,2,FALSE),"")</f>
        <v/>
      </c>
    </row>
    <row r="2336" spans="3:4" s="230" customFormat="1">
      <c r="C2336" s="16" t="str">
        <f>IFERROR(VLOOKUP(DATA!#REF!,DATA!#REF!,1,FALSE),"")</f>
        <v/>
      </c>
      <c r="D2336" s="16" t="str">
        <f>IFERROR(VLOOKUP(C2336,DATA!#REF!,2,FALSE),"")</f>
        <v/>
      </c>
    </row>
    <row r="2337" spans="3:4" s="230" customFormat="1">
      <c r="C2337" s="16" t="str">
        <f>IFERROR(VLOOKUP(DATA!#REF!,DATA!#REF!,1,FALSE),"")</f>
        <v/>
      </c>
      <c r="D2337" s="16" t="str">
        <f>IFERROR(VLOOKUP(C2337,DATA!#REF!,2,FALSE),"")</f>
        <v/>
      </c>
    </row>
    <row r="2338" spans="3:4" s="230" customFormat="1">
      <c r="C2338" s="16" t="str">
        <f>IFERROR(VLOOKUP(DATA!#REF!,DATA!#REF!,1,FALSE),"")</f>
        <v/>
      </c>
      <c r="D2338" s="16" t="str">
        <f>IFERROR(VLOOKUP(C2338,DATA!#REF!,2,FALSE),"")</f>
        <v/>
      </c>
    </row>
    <row r="2339" spans="3:4" s="230" customFormat="1">
      <c r="C2339" s="16" t="str">
        <f>IFERROR(VLOOKUP(DATA!#REF!,DATA!#REF!,1,FALSE),"")</f>
        <v/>
      </c>
      <c r="D2339" s="16" t="str">
        <f>IFERROR(VLOOKUP(C2339,DATA!#REF!,2,FALSE),"")</f>
        <v/>
      </c>
    </row>
    <row r="2340" spans="3:4" s="230" customFormat="1">
      <c r="C2340" s="16" t="str">
        <f>IFERROR(VLOOKUP(DATA!#REF!,DATA!#REF!,1,FALSE),"")</f>
        <v/>
      </c>
      <c r="D2340" s="16" t="str">
        <f>IFERROR(VLOOKUP(C2340,DATA!#REF!,2,FALSE),"")</f>
        <v/>
      </c>
    </row>
    <row r="2341" spans="3:4" s="230" customFormat="1">
      <c r="C2341" s="16" t="str">
        <f>IFERROR(VLOOKUP(DATA!#REF!,DATA!#REF!,1,FALSE),"")</f>
        <v/>
      </c>
      <c r="D2341" s="16" t="str">
        <f>IFERROR(VLOOKUP(C2341,DATA!#REF!,2,FALSE),"")</f>
        <v/>
      </c>
    </row>
    <row r="2342" spans="3:4" s="230" customFormat="1">
      <c r="C2342" s="16" t="str">
        <f>IFERROR(VLOOKUP(DATA!#REF!,DATA!#REF!,1,FALSE),"")</f>
        <v/>
      </c>
      <c r="D2342" s="16" t="str">
        <f>IFERROR(VLOOKUP(C2342,DATA!#REF!,2,FALSE),"")</f>
        <v/>
      </c>
    </row>
    <row r="2343" spans="3:4" s="230" customFormat="1">
      <c r="C2343" s="16" t="str">
        <f>IFERROR(VLOOKUP(DATA!#REF!,DATA!#REF!,1,FALSE),"")</f>
        <v/>
      </c>
      <c r="D2343" s="16" t="str">
        <f>IFERROR(VLOOKUP(C2343,DATA!#REF!,2,FALSE),"")</f>
        <v/>
      </c>
    </row>
    <row r="2344" spans="3:4" s="230" customFormat="1">
      <c r="C2344" s="16" t="str">
        <f>IFERROR(VLOOKUP(DATA!#REF!,DATA!#REF!,1,FALSE),"")</f>
        <v/>
      </c>
      <c r="D2344" s="16" t="str">
        <f>IFERROR(VLOOKUP(C2344,DATA!#REF!,2,FALSE),"")</f>
        <v/>
      </c>
    </row>
    <row r="2345" spans="3:4" s="230" customFormat="1">
      <c r="C2345" s="16" t="str">
        <f>IFERROR(VLOOKUP(DATA!#REF!,DATA!#REF!,1,FALSE),"")</f>
        <v/>
      </c>
      <c r="D2345" s="16" t="str">
        <f>IFERROR(VLOOKUP(C2345,DATA!#REF!,2,FALSE),"")</f>
        <v/>
      </c>
    </row>
    <row r="2346" spans="3:4" s="230" customFormat="1">
      <c r="C2346" s="16" t="str">
        <f>IFERROR(VLOOKUP(DATA!#REF!,DATA!#REF!,1,FALSE),"")</f>
        <v/>
      </c>
      <c r="D2346" s="16" t="str">
        <f>IFERROR(VLOOKUP(C2346,DATA!#REF!,2,FALSE),"")</f>
        <v/>
      </c>
    </row>
    <row r="2347" spans="3:4" s="230" customFormat="1">
      <c r="C2347" s="16" t="str">
        <f>IFERROR(VLOOKUP(DATA!#REF!,DATA!#REF!,1,FALSE),"")</f>
        <v/>
      </c>
      <c r="D2347" s="16" t="str">
        <f>IFERROR(VLOOKUP(C2347,DATA!#REF!,2,FALSE),"")</f>
        <v/>
      </c>
    </row>
    <row r="2348" spans="3:4" s="230" customFormat="1">
      <c r="C2348" s="16" t="str">
        <f>IFERROR(VLOOKUP(DATA!#REF!,DATA!#REF!,1,FALSE),"")</f>
        <v/>
      </c>
      <c r="D2348" s="16" t="str">
        <f>IFERROR(VLOOKUP(C2348,DATA!#REF!,2,FALSE),"")</f>
        <v/>
      </c>
    </row>
    <row r="2349" spans="3:4" s="230" customFormat="1">
      <c r="C2349" s="16" t="str">
        <f>IFERROR(VLOOKUP(DATA!#REF!,DATA!#REF!,1,FALSE),"")</f>
        <v/>
      </c>
      <c r="D2349" s="16" t="str">
        <f>IFERROR(VLOOKUP(C2349,DATA!#REF!,2,FALSE),"")</f>
        <v/>
      </c>
    </row>
    <row r="2350" spans="3:4" s="230" customFormat="1">
      <c r="C2350" s="16" t="str">
        <f>IFERROR(VLOOKUP(DATA!#REF!,DATA!#REF!,1,FALSE),"")</f>
        <v/>
      </c>
      <c r="D2350" s="16" t="str">
        <f>IFERROR(VLOOKUP(C2350,DATA!#REF!,2,FALSE),"")</f>
        <v/>
      </c>
    </row>
    <row r="2351" spans="3:4" s="230" customFormat="1">
      <c r="C2351" s="16" t="str">
        <f>IFERROR(VLOOKUP(DATA!#REF!,DATA!#REF!,1,FALSE),"")</f>
        <v/>
      </c>
      <c r="D2351" s="16" t="str">
        <f>IFERROR(VLOOKUP(C2351,DATA!#REF!,2,FALSE),"")</f>
        <v/>
      </c>
    </row>
    <row r="2352" spans="3:4" s="230" customFormat="1">
      <c r="C2352" s="16" t="str">
        <f>IFERROR(VLOOKUP(DATA!#REF!,DATA!#REF!,1,FALSE),"")</f>
        <v/>
      </c>
      <c r="D2352" s="16" t="str">
        <f>IFERROR(VLOOKUP(C2352,DATA!#REF!,2,FALSE),"")</f>
        <v/>
      </c>
    </row>
    <row r="2353" spans="3:4" s="230" customFormat="1">
      <c r="C2353" s="16" t="str">
        <f>IFERROR(VLOOKUP(DATA!#REF!,DATA!#REF!,1,FALSE),"")</f>
        <v/>
      </c>
      <c r="D2353" s="16" t="str">
        <f>IFERROR(VLOOKUP(C2353,DATA!#REF!,2,FALSE),"")</f>
        <v/>
      </c>
    </row>
    <row r="2354" spans="3:4" s="230" customFormat="1">
      <c r="C2354" s="16" t="str">
        <f>IFERROR(VLOOKUP(DATA!#REF!,DATA!#REF!,1,FALSE),"")</f>
        <v/>
      </c>
      <c r="D2354" s="16" t="str">
        <f>IFERROR(VLOOKUP(C2354,DATA!#REF!,2,FALSE),"")</f>
        <v/>
      </c>
    </row>
    <row r="2355" spans="3:4" s="230" customFormat="1">
      <c r="C2355" s="16" t="str">
        <f>IFERROR(VLOOKUP(DATA!#REF!,DATA!#REF!,1,FALSE),"")</f>
        <v/>
      </c>
      <c r="D2355" s="16" t="str">
        <f>IFERROR(VLOOKUP(C2355,DATA!#REF!,2,FALSE),"")</f>
        <v/>
      </c>
    </row>
    <row r="2356" spans="3:4" s="230" customFormat="1">
      <c r="C2356" s="16" t="str">
        <f>IFERROR(VLOOKUP(DATA!#REF!,DATA!#REF!,1,FALSE),"")</f>
        <v/>
      </c>
      <c r="D2356" s="16" t="str">
        <f>IFERROR(VLOOKUP(C2356,DATA!#REF!,2,FALSE),"")</f>
        <v/>
      </c>
    </row>
    <row r="2357" spans="3:4" s="230" customFormat="1">
      <c r="C2357" s="16" t="str">
        <f>IFERROR(VLOOKUP(DATA!#REF!,DATA!#REF!,1,FALSE),"")</f>
        <v/>
      </c>
      <c r="D2357" s="16" t="str">
        <f>IFERROR(VLOOKUP(C2357,DATA!#REF!,2,FALSE),"")</f>
        <v/>
      </c>
    </row>
    <row r="2358" spans="3:4" s="230" customFormat="1">
      <c r="C2358" s="16" t="str">
        <f>IFERROR(VLOOKUP(DATA!#REF!,DATA!#REF!,1,FALSE),"")</f>
        <v/>
      </c>
      <c r="D2358" s="16" t="str">
        <f>IFERROR(VLOOKUP(C2358,DATA!#REF!,2,FALSE),"")</f>
        <v/>
      </c>
    </row>
    <row r="2359" spans="3:4" s="230" customFormat="1">
      <c r="C2359" s="16" t="str">
        <f>IFERROR(VLOOKUP(DATA!#REF!,DATA!#REF!,1,FALSE),"")</f>
        <v/>
      </c>
      <c r="D2359" s="16" t="str">
        <f>IFERROR(VLOOKUP(C2359,DATA!#REF!,2,FALSE),"")</f>
        <v/>
      </c>
    </row>
    <row r="2360" spans="3:4" s="230" customFormat="1">
      <c r="C2360" s="16" t="str">
        <f>IFERROR(VLOOKUP(DATA!#REF!,DATA!#REF!,1,FALSE),"")</f>
        <v/>
      </c>
      <c r="D2360" s="16" t="str">
        <f>IFERROR(VLOOKUP(C2360,DATA!#REF!,2,FALSE),"")</f>
        <v/>
      </c>
    </row>
    <row r="2361" spans="3:4" s="230" customFormat="1">
      <c r="C2361" s="16" t="str">
        <f>IFERROR(VLOOKUP(DATA!#REF!,DATA!#REF!,1,FALSE),"")</f>
        <v/>
      </c>
      <c r="D2361" s="16" t="str">
        <f>IFERROR(VLOOKUP(C2361,DATA!#REF!,2,FALSE),"")</f>
        <v/>
      </c>
    </row>
    <row r="2362" spans="3:4" s="230" customFormat="1">
      <c r="C2362" s="16" t="str">
        <f>IFERROR(VLOOKUP(DATA!#REF!,DATA!#REF!,1,FALSE),"")</f>
        <v/>
      </c>
      <c r="D2362" s="16" t="str">
        <f>IFERROR(VLOOKUP(C2362,DATA!#REF!,2,FALSE),"")</f>
        <v/>
      </c>
    </row>
    <row r="2363" spans="3:4" s="230" customFormat="1">
      <c r="C2363" s="16" t="str">
        <f>IFERROR(VLOOKUP(DATA!#REF!,DATA!#REF!,1,FALSE),"")</f>
        <v/>
      </c>
      <c r="D2363" s="16" t="str">
        <f>IFERROR(VLOOKUP(C2363,DATA!#REF!,2,FALSE),"")</f>
        <v/>
      </c>
    </row>
    <row r="2364" spans="3:4" s="230" customFormat="1">
      <c r="C2364" s="16" t="str">
        <f>IFERROR(VLOOKUP(DATA!#REF!,DATA!#REF!,1,FALSE),"")</f>
        <v/>
      </c>
      <c r="D2364" s="16" t="str">
        <f>IFERROR(VLOOKUP(C2364,DATA!#REF!,2,FALSE),"")</f>
        <v/>
      </c>
    </row>
    <row r="2365" spans="3:4" s="230" customFormat="1">
      <c r="C2365" s="16" t="str">
        <f>IFERROR(VLOOKUP(DATA!#REF!,DATA!#REF!,1,FALSE),"")</f>
        <v/>
      </c>
      <c r="D2365" s="16" t="str">
        <f>IFERROR(VLOOKUP(C2365,DATA!#REF!,2,FALSE),"")</f>
        <v/>
      </c>
    </row>
    <row r="2366" spans="3:4" s="230" customFormat="1">
      <c r="C2366" s="16" t="str">
        <f>IFERROR(VLOOKUP(DATA!#REF!,DATA!#REF!,1,FALSE),"")</f>
        <v/>
      </c>
      <c r="D2366" s="16" t="str">
        <f>IFERROR(VLOOKUP(C2366,DATA!#REF!,2,FALSE),"")</f>
        <v/>
      </c>
    </row>
    <row r="2367" spans="3:4" s="230" customFormat="1">
      <c r="C2367" s="16" t="str">
        <f>IFERROR(VLOOKUP(DATA!#REF!,DATA!#REF!,1,FALSE),"")</f>
        <v/>
      </c>
      <c r="D2367" s="16" t="str">
        <f>IFERROR(VLOOKUP(C2367,DATA!#REF!,2,FALSE),"")</f>
        <v/>
      </c>
    </row>
    <row r="2368" spans="3:4" s="230" customFormat="1">
      <c r="C2368" s="16" t="str">
        <f>IFERROR(VLOOKUP(DATA!#REF!,DATA!#REF!,1,FALSE),"")</f>
        <v/>
      </c>
      <c r="D2368" s="16" t="str">
        <f>IFERROR(VLOOKUP(C2368,DATA!#REF!,2,FALSE),"")</f>
        <v/>
      </c>
    </row>
    <row r="2369" spans="3:4" s="230" customFormat="1">
      <c r="C2369" s="16" t="str">
        <f>IFERROR(VLOOKUP(DATA!#REF!,DATA!#REF!,1,FALSE),"")</f>
        <v/>
      </c>
      <c r="D2369" s="16" t="str">
        <f>IFERROR(VLOOKUP(C2369,DATA!#REF!,2,FALSE),"")</f>
        <v/>
      </c>
    </row>
    <row r="2370" spans="3:4" s="230" customFormat="1">
      <c r="C2370" s="16" t="str">
        <f>IFERROR(VLOOKUP(DATA!#REF!,DATA!#REF!,1,FALSE),"")</f>
        <v/>
      </c>
      <c r="D2370" s="16" t="str">
        <f>IFERROR(VLOOKUP(C2370,DATA!#REF!,2,FALSE),"")</f>
        <v/>
      </c>
    </row>
    <row r="2371" spans="3:4" s="230" customFormat="1">
      <c r="C2371" s="16" t="str">
        <f>IFERROR(VLOOKUP(DATA!#REF!,DATA!#REF!,1,FALSE),"")</f>
        <v/>
      </c>
      <c r="D2371" s="16" t="str">
        <f>IFERROR(VLOOKUP(C2371,DATA!#REF!,2,FALSE),"")</f>
        <v/>
      </c>
    </row>
    <row r="2372" spans="3:4" s="230" customFormat="1">
      <c r="C2372" s="16" t="str">
        <f>IFERROR(VLOOKUP(DATA!#REF!,DATA!#REF!,1,FALSE),"")</f>
        <v/>
      </c>
      <c r="D2372" s="16" t="str">
        <f>IFERROR(VLOOKUP(C2372,DATA!#REF!,2,FALSE),"")</f>
        <v/>
      </c>
    </row>
    <row r="2373" spans="3:4" s="230" customFormat="1">
      <c r="C2373" s="16" t="str">
        <f>IFERROR(VLOOKUP(DATA!#REF!,DATA!#REF!,1,FALSE),"")</f>
        <v/>
      </c>
      <c r="D2373" s="16" t="str">
        <f>IFERROR(VLOOKUP(C2373,DATA!#REF!,2,FALSE),"")</f>
        <v/>
      </c>
    </row>
    <row r="2374" spans="3:4" s="230" customFormat="1">
      <c r="C2374" s="16" t="str">
        <f>IFERROR(VLOOKUP(DATA!#REF!,DATA!#REF!,1,FALSE),"")</f>
        <v/>
      </c>
      <c r="D2374" s="16" t="str">
        <f>IFERROR(VLOOKUP(C2374,DATA!#REF!,2,FALSE),"")</f>
        <v/>
      </c>
    </row>
    <row r="2375" spans="3:4" s="230" customFormat="1">
      <c r="C2375" s="16" t="str">
        <f>IFERROR(VLOOKUP(DATA!#REF!,DATA!#REF!,1,FALSE),"")</f>
        <v/>
      </c>
      <c r="D2375" s="16" t="str">
        <f>IFERROR(VLOOKUP(C2375,DATA!#REF!,2,FALSE),"")</f>
        <v/>
      </c>
    </row>
    <row r="2376" spans="3:4" s="230" customFormat="1">
      <c r="C2376" s="16" t="str">
        <f>IFERROR(VLOOKUP(DATA!#REF!,DATA!#REF!,1,FALSE),"")</f>
        <v/>
      </c>
      <c r="D2376" s="16" t="str">
        <f>IFERROR(VLOOKUP(C2376,DATA!#REF!,2,FALSE),"")</f>
        <v/>
      </c>
    </row>
    <row r="2377" spans="3:4" s="230" customFormat="1">
      <c r="C2377" s="16" t="str">
        <f>IFERROR(VLOOKUP(DATA!#REF!,DATA!#REF!,1,FALSE),"")</f>
        <v/>
      </c>
      <c r="D2377" s="16" t="str">
        <f>IFERROR(VLOOKUP(C2377,DATA!#REF!,2,FALSE),"")</f>
        <v/>
      </c>
    </row>
    <row r="2378" spans="3:4" s="230" customFormat="1">
      <c r="C2378" s="16" t="str">
        <f>IFERROR(VLOOKUP(DATA!#REF!,DATA!#REF!,1,FALSE),"")</f>
        <v/>
      </c>
      <c r="D2378" s="16" t="str">
        <f>IFERROR(VLOOKUP(C2378,DATA!#REF!,2,FALSE),"")</f>
        <v/>
      </c>
    </row>
    <row r="2379" spans="3:4" s="230" customFormat="1">
      <c r="C2379" s="16" t="str">
        <f>IFERROR(VLOOKUP(DATA!#REF!,DATA!#REF!,1,FALSE),"")</f>
        <v/>
      </c>
      <c r="D2379" s="16" t="str">
        <f>IFERROR(VLOOKUP(C2379,DATA!#REF!,2,FALSE),"")</f>
        <v/>
      </c>
    </row>
    <row r="2380" spans="3:4" s="230" customFormat="1">
      <c r="C2380" s="16" t="str">
        <f>IFERROR(VLOOKUP(DATA!#REF!,DATA!#REF!,1,FALSE),"")</f>
        <v/>
      </c>
      <c r="D2380" s="16" t="str">
        <f>IFERROR(VLOOKUP(C2380,DATA!#REF!,2,FALSE),"")</f>
        <v/>
      </c>
    </row>
    <row r="2381" spans="3:4" s="230" customFormat="1">
      <c r="C2381" s="16" t="str">
        <f>IFERROR(VLOOKUP(DATA!#REF!,DATA!#REF!,1,FALSE),"")</f>
        <v/>
      </c>
      <c r="D2381" s="16" t="str">
        <f>IFERROR(VLOOKUP(C2381,DATA!#REF!,2,FALSE),"")</f>
        <v/>
      </c>
    </row>
    <row r="2382" spans="3:4" s="230" customFormat="1">
      <c r="C2382" s="16" t="str">
        <f>IFERROR(VLOOKUP(DATA!#REF!,DATA!#REF!,1,FALSE),"")</f>
        <v/>
      </c>
      <c r="D2382" s="16" t="str">
        <f>IFERROR(VLOOKUP(C2382,DATA!#REF!,2,FALSE),"")</f>
        <v/>
      </c>
    </row>
    <row r="2383" spans="3:4" s="230" customFormat="1">
      <c r="C2383" s="16" t="str">
        <f>IFERROR(VLOOKUP(DATA!#REF!,DATA!#REF!,1,FALSE),"")</f>
        <v/>
      </c>
      <c r="D2383" s="16" t="str">
        <f>IFERROR(VLOOKUP(C2383,DATA!#REF!,2,FALSE),"")</f>
        <v/>
      </c>
    </row>
    <row r="2384" spans="3:4" s="230" customFormat="1">
      <c r="C2384" s="16" t="str">
        <f>IFERROR(VLOOKUP(DATA!#REF!,DATA!#REF!,1,FALSE),"")</f>
        <v/>
      </c>
      <c r="D2384" s="16" t="str">
        <f>IFERROR(VLOOKUP(C2384,DATA!#REF!,2,FALSE),"")</f>
        <v/>
      </c>
    </row>
    <row r="2385" spans="3:4" s="230" customFormat="1">
      <c r="C2385" s="16" t="str">
        <f>IFERROR(VLOOKUP(DATA!#REF!,DATA!#REF!,1,FALSE),"")</f>
        <v/>
      </c>
      <c r="D2385" s="16" t="str">
        <f>IFERROR(VLOOKUP(C2385,DATA!#REF!,2,FALSE),"")</f>
        <v/>
      </c>
    </row>
    <row r="2386" spans="3:4" s="230" customFormat="1">
      <c r="C2386" s="16" t="str">
        <f>IFERROR(VLOOKUP(DATA!#REF!,DATA!#REF!,1,FALSE),"")</f>
        <v/>
      </c>
      <c r="D2386" s="16" t="str">
        <f>IFERROR(VLOOKUP(C2386,DATA!#REF!,2,FALSE),"")</f>
        <v/>
      </c>
    </row>
    <row r="2387" spans="3:4" s="230" customFormat="1">
      <c r="C2387" s="16" t="str">
        <f>IFERROR(VLOOKUP(DATA!#REF!,DATA!#REF!,1,FALSE),"")</f>
        <v/>
      </c>
      <c r="D2387" s="16" t="str">
        <f>IFERROR(VLOOKUP(C2387,DATA!#REF!,2,FALSE),"")</f>
        <v/>
      </c>
    </row>
    <row r="2388" spans="3:4" s="230" customFormat="1">
      <c r="C2388" s="16" t="str">
        <f>IFERROR(VLOOKUP(DATA!#REF!,DATA!#REF!,1,FALSE),"")</f>
        <v/>
      </c>
      <c r="D2388" s="16" t="str">
        <f>IFERROR(VLOOKUP(C2388,DATA!#REF!,2,FALSE),"")</f>
        <v/>
      </c>
    </row>
    <row r="2389" spans="3:4" s="230" customFormat="1">
      <c r="C2389" s="16" t="str">
        <f>IFERROR(VLOOKUP(DATA!#REF!,DATA!#REF!,1,FALSE),"")</f>
        <v/>
      </c>
      <c r="D2389" s="16" t="str">
        <f>IFERROR(VLOOKUP(C2389,DATA!#REF!,2,FALSE),"")</f>
        <v/>
      </c>
    </row>
    <row r="2390" spans="3:4" s="230" customFormat="1">
      <c r="C2390" s="16" t="str">
        <f>IFERROR(VLOOKUP(DATA!#REF!,DATA!#REF!,1,FALSE),"")</f>
        <v/>
      </c>
      <c r="D2390" s="16" t="str">
        <f>IFERROR(VLOOKUP(C2390,DATA!#REF!,2,FALSE),"")</f>
        <v/>
      </c>
    </row>
    <row r="2391" spans="3:4" s="230" customFormat="1">
      <c r="C2391" s="16" t="str">
        <f>IFERROR(VLOOKUP(DATA!#REF!,DATA!#REF!,1,FALSE),"")</f>
        <v/>
      </c>
      <c r="D2391" s="16" t="str">
        <f>IFERROR(VLOOKUP(C2391,DATA!#REF!,2,FALSE),"")</f>
        <v/>
      </c>
    </row>
    <row r="2392" spans="3:4" s="230" customFormat="1">
      <c r="C2392" s="16" t="str">
        <f>IFERROR(VLOOKUP(DATA!#REF!,DATA!#REF!,1,FALSE),"")</f>
        <v/>
      </c>
      <c r="D2392" s="16" t="str">
        <f>IFERROR(VLOOKUP(C2392,DATA!#REF!,2,FALSE),"")</f>
        <v/>
      </c>
    </row>
    <row r="2393" spans="3:4" s="230" customFormat="1">
      <c r="C2393" s="16" t="str">
        <f>IFERROR(VLOOKUP(DATA!#REF!,DATA!#REF!,1,FALSE),"")</f>
        <v/>
      </c>
      <c r="D2393" s="16" t="str">
        <f>IFERROR(VLOOKUP(C2393,DATA!#REF!,2,FALSE),"")</f>
        <v/>
      </c>
    </row>
    <row r="2394" spans="3:4" s="230" customFormat="1">
      <c r="C2394" s="16" t="str">
        <f>IFERROR(VLOOKUP(DATA!#REF!,DATA!#REF!,1,FALSE),"")</f>
        <v/>
      </c>
      <c r="D2394" s="16" t="str">
        <f>IFERROR(VLOOKUP(C2394,DATA!#REF!,2,FALSE),"")</f>
        <v/>
      </c>
    </row>
    <row r="2395" spans="3:4" s="230" customFormat="1">
      <c r="C2395" s="16" t="str">
        <f>IFERROR(VLOOKUP(DATA!#REF!,DATA!#REF!,1,FALSE),"")</f>
        <v/>
      </c>
      <c r="D2395" s="16" t="str">
        <f>IFERROR(VLOOKUP(C2395,DATA!#REF!,2,FALSE),"")</f>
        <v/>
      </c>
    </row>
    <row r="2396" spans="3:4" s="230" customFormat="1">
      <c r="C2396" s="16" t="str">
        <f>IFERROR(VLOOKUP(DATA!#REF!,DATA!#REF!,1,FALSE),"")</f>
        <v/>
      </c>
      <c r="D2396" s="16" t="str">
        <f>IFERROR(VLOOKUP(C2396,DATA!#REF!,2,FALSE),"")</f>
        <v/>
      </c>
    </row>
    <row r="2397" spans="3:4" s="230" customFormat="1">
      <c r="C2397" s="16" t="str">
        <f>IFERROR(VLOOKUP(DATA!#REF!,DATA!#REF!,1,FALSE),"")</f>
        <v/>
      </c>
      <c r="D2397" s="16" t="str">
        <f>IFERROR(VLOOKUP(C2397,DATA!#REF!,2,FALSE),"")</f>
        <v/>
      </c>
    </row>
    <row r="2398" spans="3:4" s="230" customFormat="1">
      <c r="C2398" s="16" t="str">
        <f>IFERROR(VLOOKUP(DATA!#REF!,DATA!#REF!,1,FALSE),"")</f>
        <v/>
      </c>
      <c r="D2398" s="16" t="str">
        <f>IFERROR(VLOOKUP(C2398,DATA!#REF!,2,FALSE),"")</f>
        <v/>
      </c>
    </row>
    <row r="2399" spans="3:4" s="230" customFormat="1">
      <c r="C2399" s="16" t="str">
        <f>IFERROR(VLOOKUP(DATA!#REF!,DATA!#REF!,1,FALSE),"")</f>
        <v/>
      </c>
      <c r="D2399" s="16" t="str">
        <f>IFERROR(VLOOKUP(C2399,DATA!#REF!,2,FALSE),"")</f>
        <v/>
      </c>
    </row>
    <row r="2400" spans="3:4" s="230" customFormat="1">
      <c r="C2400" s="16" t="str">
        <f>IFERROR(VLOOKUP(DATA!#REF!,DATA!#REF!,1,FALSE),"")</f>
        <v/>
      </c>
      <c r="D2400" s="16" t="str">
        <f>IFERROR(VLOOKUP(C2400,DATA!#REF!,2,FALSE),"")</f>
        <v/>
      </c>
    </row>
    <row r="2401" spans="3:4" s="230" customFormat="1">
      <c r="C2401" s="16" t="str">
        <f>IFERROR(VLOOKUP(DATA!#REF!,DATA!#REF!,1,FALSE),"")</f>
        <v/>
      </c>
      <c r="D2401" s="16" t="str">
        <f>IFERROR(VLOOKUP(C2401,DATA!#REF!,2,FALSE),"")</f>
        <v/>
      </c>
    </row>
    <row r="2402" spans="3:4" s="230" customFormat="1">
      <c r="C2402" s="16" t="str">
        <f>IFERROR(VLOOKUP(DATA!#REF!,DATA!#REF!,1,FALSE),"")</f>
        <v/>
      </c>
      <c r="D2402" s="16" t="str">
        <f>IFERROR(VLOOKUP(C2402,DATA!#REF!,2,FALSE),"")</f>
        <v/>
      </c>
    </row>
    <row r="2403" spans="3:4" s="230" customFormat="1">
      <c r="C2403" s="16" t="str">
        <f>IFERROR(VLOOKUP(DATA!#REF!,DATA!#REF!,1,FALSE),"")</f>
        <v/>
      </c>
      <c r="D2403" s="16" t="str">
        <f>IFERROR(VLOOKUP(C2403,DATA!#REF!,2,FALSE),"")</f>
        <v/>
      </c>
    </row>
    <row r="2404" spans="3:4" s="230" customFormat="1">
      <c r="C2404" s="16" t="str">
        <f>IFERROR(VLOOKUP(DATA!#REF!,DATA!#REF!,1,FALSE),"")</f>
        <v/>
      </c>
      <c r="D2404" s="16" t="str">
        <f>IFERROR(VLOOKUP(C2404,DATA!#REF!,2,FALSE),"")</f>
        <v/>
      </c>
    </row>
    <row r="2405" spans="3:4" s="230" customFormat="1">
      <c r="C2405" s="16" t="str">
        <f>IFERROR(VLOOKUP(DATA!#REF!,DATA!#REF!,1,FALSE),"")</f>
        <v/>
      </c>
      <c r="D2405" s="16" t="str">
        <f>IFERROR(VLOOKUP(C2405,DATA!#REF!,2,FALSE),"")</f>
        <v/>
      </c>
    </row>
    <row r="2406" spans="3:4" s="230" customFormat="1">
      <c r="C2406" s="16" t="str">
        <f>IFERROR(VLOOKUP(DATA!#REF!,DATA!#REF!,1,FALSE),"")</f>
        <v/>
      </c>
      <c r="D2406" s="16" t="str">
        <f>IFERROR(VLOOKUP(C2406,DATA!#REF!,2,FALSE),"")</f>
        <v/>
      </c>
    </row>
    <row r="2407" spans="3:4" s="230" customFormat="1">
      <c r="C2407" s="16" t="str">
        <f>IFERROR(VLOOKUP(DATA!#REF!,DATA!#REF!,1,FALSE),"")</f>
        <v/>
      </c>
      <c r="D2407" s="16" t="str">
        <f>IFERROR(VLOOKUP(C2407,DATA!#REF!,2,FALSE),"")</f>
        <v/>
      </c>
    </row>
    <row r="2408" spans="3:4" s="230" customFormat="1">
      <c r="C2408" s="16" t="str">
        <f>IFERROR(VLOOKUP(DATA!#REF!,DATA!#REF!,1,FALSE),"")</f>
        <v/>
      </c>
      <c r="D2408" s="16" t="str">
        <f>IFERROR(VLOOKUP(C2408,DATA!#REF!,2,FALSE),"")</f>
        <v/>
      </c>
    </row>
    <row r="2409" spans="3:4" s="230" customFormat="1">
      <c r="C2409" s="16" t="str">
        <f>IFERROR(VLOOKUP(DATA!#REF!,DATA!#REF!,1,FALSE),"")</f>
        <v/>
      </c>
      <c r="D2409" s="16" t="str">
        <f>IFERROR(VLOOKUP(C2409,DATA!#REF!,2,FALSE),"")</f>
        <v/>
      </c>
    </row>
    <row r="2410" spans="3:4" s="230" customFormat="1">
      <c r="C2410" s="16" t="str">
        <f>IFERROR(VLOOKUP(DATA!#REF!,DATA!#REF!,1,FALSE),"")</f>
        <v/>
      </c>
      <c r="D2410" s="16" t="str">
        <f>IFERROR(VLOOKUP(C2410,DATA!#REF!,2,FALSE),"")</f>
        <v/>
      </c>
    </row>
    <row r="2411" spans="3:4" s="230" customFormat="1">
      <c r="C2411" s="16" t="str">
        <f>IFERROR(VLOOKUP(DATA!#REF!,DATA!#REF!,1,FALSE),"")</f>
        <v/>
      </c>
      <c r="D2411" s="16" t="str">
        <f>IFERROR(VLOOKUP(C2411,DATA!#REF!,2,FALSE),"")</f>
        <v/>
      </c>
    </row>
    <row r="2412" spans="3:4" s="230" customFormat="1">
      <c r="C2412" s="16" t="str">
        <f>IFERROR(VLOOKUP(DATA!#REF!,DATA!#REF!,1,FALSE),"")</f>
        <v/>
      </c>
      <c r="D2412" s="16" t="str">
        <f>IFERROR(VLOOKUP(C2412,DATA!#REF!,2,FALSE),"")</f>
        <v/>
      </c>
    </row>
    <row r="2413" spans="3:4" s="230" customFormat="1">
      <c r="C2413" s="16" t="str">
        <f>IFERROR(VLOOKUP(DATA!#REF!,DATA!#REF!,1,FALSE),"")</f>
        <v/>
      </c>
      <c r="D2413" s="16" t="str">
        <f>IFERROR(VLOOKUP(C2413,DATA!#REF!,2,FALSE),"")</f>
        <v/>
      </c>
    </row>
    <row r="2414" spans="3:4" s="230" customFormat="1">
      <c r="C2414" s="16" t="str">
        <f>IFERROR(VLOOKUP(DATA!#REF!,DATA!#REF!,1,FALSE),"")</f>
        <v/>
      </c>
      <c r="D2414" s="16" t="str">
        <f>IFERROR(VLOOKUP(C2414,DATA!#REF!,2,FALSE),"")</f>
        <v/>
      </c>
    </row>
    <row r="2415" spans="3:4" s="230" customFormat="1">
      <c r="C2415" s="16" t="str">
        <f>IFERROR(VLOOKUP(DATA!#REF!,DATA!#REF!,1,FALSE),"")</f>
        <v/>
      </c>
      <c r="D2415" s="16" t="str">
        <f>IFERROR(VLOOKUP(C2415,DATA!#REF!,2,FALSE),"")</f>
        <v/>
      </c>
    </row>
    <row r="2416" spans="3:4" s="230" customFormat="1">
      <c r="C2416" s="16" t="str">
        <f>IFERROR(VLOOKUP(DATA!#REF!,DATA!#REF!,1,FALSE),"")</f>
        <v/>
      </c>
      <c r="D2416" s="16" t="str">
        <f>IFERROR(VLOOKUP(C2416,DATA!#REF!,2,FALSE),"")</f>
        <v/>
      </c>
    </row>
    <row r="2417" spans="3:4" s="230" customFormat="1">
      <c r="C2417" s="16" t="str">
        <f>IFERROR(VLOOKUP(DATA!#REF!,DATA!#REF!,1,FALSE),"")</f>
        <v/>
      </c>
      <c r="D2417" s="16" t="str">
        <f>IFERROR(VLOOKUP(C2417,DATA!#REF!,2,FALSE),"")</f>
        <v/>
      </c>
    </row>
    <row r="2418" spans="3:4" s="230" customFormat="1">
      <c r="C2418" s="16" t="str">
        <f>IFERROR(VLOOKUP(DATA!#REF!,DATA!#REF!,1,FALSE),"")</f>
        <v/>
      </c>
      <c r="D2418" s="16" t="str">
        <f>IFERROR(VLOOKUP(C2418,DATA!#REF!,2,FALSE),"")</f>
        <v/>
      </c>
    </row>
    <row r="2419" spans="3:4" s="230" customFormat="1">
      <c r="C2419" s="16" t="str">
        <f>IFERROR(VLOOKUP(DATA!#REF!,DATA!#REF!,1,FALSE),"")</f>
        <v/>
      </c>
      <c r="D2419" s="16" t="str">
        <f>IFERROR(VLOOKUP(C2419,DATA!#REF!,2,FALSE),"")</f>
        <v/>
      </c>
    </row>
    <row r="2420" spans="3:4" s="230" customFormat="1">
      <c r="C2420" s="16" t="str">
        <f>IFERROR(VLOOKUP(DATA!#REF!,DATA!#REF!,1,FALSE),"")</f>
        <v/>
      </c>
      <c r="D2420" s="16" t="str">
        <f>IFERROR(VLOOKUP(C2420,DATA!#REF!,2,FALSE),"")</f>
        <v/>
      </c>
    </row>
    <row r="2421" spans="3:4" s="230" customFormat="1">
      <c r="C2421" s="16" t="str">
        <f>IFERROR(VLOOKUP(DATA!#REF!,DATA!#REF!,1,FALSE),"")</f>
        <v/>
      </c>
      <c r="D2421" s="16" t="str">
        <f>IFERROR(VLOOKUP(C2421,DATA!#REF!,2,FALSE),"")</f>
        <v/>
      </c>
    </row>
    <row r="2422" spans="3:4" s="230" customFormat="1">
      <c r="C2422" s="16" t="str">
        <f>IFERROR(VLOOKUP(DATA!#REF!,DATA!#REF!,1,FALSE),"")</f>
        <v/>
      </c>
      <c r="D2422" s="16" t="str">
        <f>IFERROR(VLOOKUP(C2422,DATA!#REF!,2,FALSE),"")</f>
        <v/>
      </c>
    </row>
    <row r="2423" spans="3:4" s="230" customFormat="1">
      <c r="C2423" s="16" t="str">
        <f>IFERROR(VLOOKUP(DATA!#REF!,DATA!#REF!,1,FALSE),"")</f>
        <v/>
      </c>
      <c r="D2423" s="16" t="str">
        <f>IFERROR(VLOOKUP(C2423,DATA!#REF!,2,FALSE),"")</f>
        <v/>
      </c>
    </row>
    <row r="2424" spans="3:4" s="230" customFormat="1">
      <c r="C2424" s="16" t="str">
        <f>IFERROR(VLOOKUP(DATA!#REF!,DATA!#REF!,1,FALSE),"")</f>
        <v/>
      </c>
      <c r="D2424" s="16" t="str">
        <f>IFERROR(VLOOKUP(C2424,DATA!#REF!,2,FALSE),"")</f>
        <v/>
      </c>
    </row>
    <row r="2425" spans="3:4" s="230" customFormat="1">
      <c r="C2425" s="16" t="str">
        <f>IFERROR(VLOOKUP(DATA!#REF!,DATA!#REF!,1,FALSE),"")</f>
        <v/>
      </c>
      <c r="D2425" s="16" t="str">
        <f>IFERROR(VLOOKUP(C2425,DATA!#REF!,2,FALSE),"")</f>
        <v/>
      </c>
    </row>
    <row r="2426" spans="3:4" s="230" customFormat="1">
      <c r="C2426" s="16" t="str">
        <f>IFERROR(VLOOKUP(DATA!#REF!,DATA!#REF!,1,FALSE),"")</f>
        <v/>
      </c>
      <c r="D2426" s="16" t="str">
        <f>IFERROR(VLOOKUP(C2426,DATA!#REF!,2,FALSE),"")</f>
        <v/>
      </c>
    </row>
    <row r="2427" spans="3:4" s="230" customFormat="1">
      <c r="C2427" s="16" t="str">
        <f>IFERROR(VLOOKUP(DATA!#REF!,DATA!#REF!,1,FALSE),"")</f>
        <v/>
      </c>
      <c r="D2427" s="16" t="str">
        <f>IFERROR(VLOOKUP(C2427,DATA!#REF!,2,FALSE),"")</f>
        <v/>
      </c>
    </row>
    <row r="2428" spans="3:4" s="230" customFormat="1">
      <c r="C2428" s="16" t="str">
        <f>IFERROR(VLOOKUP(DATA!#REF!,DATA!#REF!,1,FALSE),"")</f>
        <v/>
      </c>
      <c r="D2428" s="16" t="str">
        <f>IFERROR(VLOOKUP(C2428,DATA!#REF!,2,FALSE),"")</f>
        <v/>
      </c>
    </row>
    <row r="2429" spans="3:4" s="230" customFormat="1">
      <c r="C2429" s="16" t="str">
        <f>IFERROR(VLOOKUP(DATA!#REF!,DATA!#REF!,1,FALSE),"")</f>
        <v/>
      </c>
      <c r="D2429" s="16" t="str">
        <f>IFERROR(VLOOKUP(C2429,DATA!#REF!,2,FALSE),"")</f>
        <v/>
      </c>
    </row>
    <row r="2430" spans="3:4" s="230" customFormat="1">
      <c r="C2430" s="16" t="str">
        <f>IFERROR(VLOOKUP(DATA!#REF!,DATA!#REF!,1,FALSE),"")</f>
        <v/>
      </c>
      <c r="D2430" s="16" t="str">
        <f>IFERROR(VLOOKUP(C2430,DATA!#REF!,2,FALSE),"")</f>
        <v/>
      </c>
    </row>
    <row r="2431" spans="3:4" s="230" customFormat="1">
      <c r="C2431" s="16" t="str">
        <f>IFERROR(VLOOKUP(DATA!#REF!,DATA!#REF!,1,FALSE),"")</f>
        <v/>
      </c>
      <c r="D2431" s="16" t="str">
        <f>IFERROR(VLOOKUP(C2431,DATA!#REF!,2,FALSE),"")</f>
        <v/>
      </c>
    </row>
    <row r="2432" spans="3:4" s="230" customFormat="1">
      <c r="C2432" s="16" t="str">
        <f>IFERROR(VLOOKUP(DATA!#REF!,DATA!#REF!,1,FALSE),"")</f>
        <v/>
      </c>
      <c r="D2432" s="16" t="str">
        <f>IFERROR(VLOOKUP(C2432,DATA!#REF!,2,FALSE),"")</f>
        <v/>
      </c>
    </row>
    <row r="2433" spans="3:4" s="230" customFormat="1">
      <c r="C2433" s="16" t="str">
        <f>IFERROR(VLOOKUP(DATA!#REF!,DATA!#REF!,1,FALSE),"")</f>
        <v/>
      </c>
      <c r="D2433" s="16" t="str">
        <f>IFERROR(VLOOKUP(C2433,DATA!#REF!,2,FALSE),"")</f>
        <v/>
      </c>
    </row>
    <row r="2434" spans="3:4" s="230" customFormat="1">
      <c r="C2434" s="16" t="str">
        <f>IFERROR(VLOOKUP(DATA!#REF!,DATA!#REF!,1,FALSE),"")</f>
        <v/>
      </c>
      <c r="D2434" s="16" t="str">
        <f>IFERROR(VLOOKUP(C2434,DATA!#REF!,2,FALSE),"")</f>
        <v/>
      </c>
    </row>
    <row r="2435" spans="3:4" s="230" customFormat="1">
      <c r="C2435" s="16" t="str">
        <f>IFERROR(VLOOKUP(DATA!#REF!,DATA!#REF!,1,FALSE),"")</f>
        <v/>
      </c>
      <c r="D2435" s="16" t="str">
        <f>IFERROR(VLOOKUP(C2435,DATA!#REF!,2,FALSE),"")</f>
        <v/>
      </c>
    </row>
    <row r="2436" spans="3:4" s="230" customFormat="1">
      <c r="C2436" s="16" t="str">
        <f>IFERROR(VLOOKUP(DATA!#REF!,DATA!#REF!,1,FALSE),"")</f>
        <v/>
      </c>
      <c r="D2436" s="16" t="str">
        <f>IFERROR(VLOOKUP(C2436,DATA!#REF!,2,FALSE),"")</f>
        <v/>
      </c>
    </row>
    <row r="2437" spans="3:4" s="230" customFormat="1">
      <c r="C2437" s="16" t="str">
        <f>IFERROR(VLOOKUP(DATA!#REF!,DATA!#REF!,1,FALSE),"")</f>
        <v/>
      </c>
      <c r="D2437" s="16" t="str">
        <f>IFERROR(VLOOKUP(C2437,DATA!#REF!,2,FALSE),"")</f>
        <v/>
      </c>
    </row>
    <row r="2438" spans="3:4" s="230" customFormat="1">
      <c r="C2438" s="16" t="str">
        <f>IFERROR(VLOOKUP(DATA!#REF!,DATA!#REF!,1,FALSE),"")</f>
        <v/>
      </c>
      <c r="D2438" s="16" t="str">
        <f>IFERROR(VLOOKUP(C2438,DATA!#REF!,2,FALSE),"")</f>
        <v/>
      </c>
    </row>
    <row r="2439" spans="3:4" s="230" customFormat="1">
      <c r="C2439" s="16" t="str">
        <f>IFERROR(VLOOKUP(DATA!#REF!,DATA!#REF!,1,FALSE),"")</f>
        <v/>
      </c>
      <c r="D2439" s="16" t="str">
        <f>IFERROR(VLOOKUP(C2439,DATA!#REF!,2,FALSE),"")</f>
        <v/>
      </c>
    </row>
    <row r="2440" spans="3:4" s="230" customFormat="1">
      <c r="C2440" s="16" t="str">
        <f>IFERROR(VLOOKUP(DATA!#REF!,DATA!#REF!,1,FALSE),"")</f>
        <v/>
      </c>
      <c r="D2440" s="16" t="str">
        <f>IFERROR(VLOOKUP(C2440,DATA!#REF!,2,FALSE),"")</f>
        <v/>
      </c>
    </row>
    <row r="2441" spans="3:4" s="230" customFormat="1">
      <c r="C2441" s="16" t="str">
        <f>IFERROR(VLOOKUP(DATA!#REF!,DATA!#REF!,1,FALSE),"")</f>
        <v/>
      </c>
      <c r="D2441" s="16" t="str">
        <f>IFERROR(VLOOKUP(C2441,DATA!#REF!,2,FALSE),"")</f>
        <v/>
      </c>
    </row>
    <row r="2442" spans="3:4" s="230" customFormat="1">
      <c r="C2442" s="16" t="str">
        <f>IFERROR(VLOOKUP(DATA!#REF!,DATA!#REF!,1,FALSE),"")</f>
        <v/>
      </c>
      <c r="D2442" s="16" t="str">
        <f>IFERROR(VLOOKUP(C2442,DATA!#REF!,2,FALSE),"")</f>
        <v/>
      </c>
    </row>
    <row r="2443" spans="3:4" s="230" customFormat="1">
      <c r="C2443" s="16" t="str">
        <f>IFERROR(VLOOKUP(DATA!#REF!,DATA!#REF!,1,FALSE),"")</f>
        <v/>
      </c>
      <c r="D2443" s="16" t="str">
        <f>IFERROR(VLOOKUP(C2443,DATA!#REF!,2,FALSE),"")</f>
        <v/>
      </c>
    </row>
    <row r="2444" spans="3:4" s="230" customFormat="1">
      <c r="C2444" s="16" t="str">
        <f>IFERROR(VLOOKUP(DATA!#REF!,DATA!#REF!,1,FALSE),"")</f>
        <v/>
      </c>
      <c r="D2444" s="16" t="str">
        <f>IFERROR(VLOOKUP(C2444,DATA!#REF!,2,FALSE),"")</f>
        <v/>
      </c>
    </row>
    <row r="2445" spans="3:4" s="230" customFormat="1">
      <c r="C2445" s="16" t="str">
        <f>IFERROR(VLOOKUP(DATA!#REF!,DATA!#REF!,1,FALSE),"")</f>
        <v/>
      </c>
      <c r="D2445" s="16" t="str">
        <f>IFERROR(VLOOKUP(C2445,DATA!#REF!,2,FALSE),"")</f>
        <v/>
      </c>
    </row>
    <row r="2446" spans="3:4" s="230" customFormat="1">
      <c r="C2446" s="16" t="str">
        <f>IFERROR(VLOOKUP(DATA!#REF!,DATA!#REF!,1,FALSE),"")</f>
        <v/>
      </c>
      <c r="D2446" s="16" t="str">
        <f>IFERROR(VLOOKUP(C2446,DATA!#REF!,2,FALSE),"")</f>
        <v/>
      </c>
    </row>
    <row r="2447" spans="3:4" s="230" customFormat="1">
      <c r="C2447" s="16" t="str">
        <f>IFERROR(VLOOKUP(DATA!#REF!,DATA!#REF!,1,FALSE),"")</f>
        <v/>
      </c>
      <c r="D2447" s="16" t="str">
        <f>IFERROR(VLOOKUP(C2447,DATA!#REF!,2,FALSE),"")</f>
        <v/>
      </c>
    </row>
    <row r="2448" spans="3:4" s="230" customFormat="1">
      <c r="C2448" s="16" t="str">
        <f>IFERROR(VLOOKUP(DATA!#REF!,DATA!#REF!,1,FALSE),"")</f>
        <v/>
      </c>
      <c r="D2448" s="16" t="str">
        <f>IFERROR(VLOOKUP(C2448,DATA!#REF!,2,FALSE),"")</f>
        <v/>
      </c>
    </row>
    <row r="2449" spans="3:4" s="230" customFormat="1">
      <c r="C2449" s="16" t="str">
        <f>IFERROR(VLOOKUP(DATA!#REF!,DATA!#REF!,1,FALSE),"")</f>
        <v/>
      </c>
      <c r="D2449" s="16" t="str">
        <f>IFERROR(VLOOKUP(C2449,DATA!#REF!,2,FALSE),"")</f>
        <v/>
      </c>
    </row>
    <row r="2450" spans="3:4" s="230" customFormat="1">
      <c r="C2450" s="16" t="str">
        <f>IFERROR(VLOOKUP(DATA!#REF!,DATA!#REF!,1,FALSE),"")</f>
        <v/>
      </c>
      <c r="D2450" s="16" t="str">
        <f>IFERROR(VLOOKUP(C2450,DATA!#REF!,2,FALSE),"")</f>
        <v/>
      </c>
    </row>
    <row r="2451" spans="3:4" s="230" customFormat="1">
      <c r="C2451" s="16" t="str">
        <f>IFERROR(VLOOKUP(DATA!#REF!,DATA!#REF!,1,FALSE),"")</f>
        <v/>
      </c>
      <c r="D2451" s="16" t="str">
        <f>IFERROR(VLOOKUP(C2451,DATA!#REF!,2,FALSE),"")</f>
        <v/>
      </c>
    </row>
    <row r="2452" spans="3:4" s="230" customFormat="1">
      <c r="C2452" s="16" t="str">
        <f>IFERROR(VLOOKUP(DATA!#REF!,DATA!#REF!,1,FALSE),"")</f>
        <v/>
      </c>
      <c r="D2452" s="16" t="str">
        <f>IFERROR(VLOOKUP(C2452,DATA!#REF!,2,FALSE),"")</f>
        <v/>
      </c>
    </row>
    <row r="2453" spans="3:4" s="230" customFormat="1">
      <c r="C2453" s="16" t="str">
        <f>IFERROR(VLOOKUP(DATA!#REF!,DATA!#REF!,1,FALSE),"")</f>
        <v/>
      </c>
      <c r="D2453" s="16" t="str">
        <f>IFERROR(VLOOKUP(C2453,DATA!#REF!,2,FALSE),"")</f>
        <v/>
      </c>
    </row>
    <row r="2454" spans="3:4" s="230" customFormat="1">
      <c r="C2454" s="16" t="str">
        <f>IFERROR(VLOOKUP(DATA!#REF!,DATA!#REF!,1,FALSE),"")</f>
        <v/>
      </c>
      <c r="D2454" s="16" t="str">
        <f>IFERROR(VLOOKUP(C2454,DATA!#REF!,2,FALSE),"")</f>
        <v/>
      </c>
    </row>
    <row r="2455" spans="3:4" s="230" customFormat="1">
      <c r="C2455" s="16" t="str">
        <f>IFERROR(VLOOKUP(DATA!#REF!,DATA!#REF!,1,FALSE),"")</f>
        <v/>
      </c>
      <c r="D2455" s="16" t="str">
        <f>IFERROR(VLOOKUP(C2455,DATA!#REF!,2,FALSE),"")</f>
        <v/>
      </c>
    </row>
    <row r="2456" spans="3:4" s="230" customFormat="1">
      <c r="C2456" s="16" t="str">
        <f>IFERROR(VLOOKUP(DATA!#REF!,DATA!#REF!,1,FALSE),"")</f>
        <v/>
      </c>
      <c r="D2456" s="16" t="str">
        <f>IFERROR(VLOOKUP(C2456,DATA!#REF!,2,FALSE),"")</f>
        <v/>
      </c>
    </row>
    <row r="2457" spans="3:4" s="230" customFormat="1">
      <c r="C2457" s="16" t="str">
        <f>IFERROR(VLOOKUP(DATA!#REF!,DATA!#REF!,1,FALSE),"")</f>
        <v/>
      </c>
      <c r="D2457" s="16" t="str">
        <f>IFERROR(VLOOKUP(C2457,DATA!#REF!,2,FALSE),"")</f>
        <v/>
      </c>
    </row>
    <row r="2458" spans="3:4" s="230" customFormat="1">
      <c r="C2458" s="16" t="str">
        <f>IFERROR(VLOOKUP(DATA!#REF!,DATA!#REF!,1,FALSE),"")</f>
        <v/>
      </c>
      <c r="D2458" s="16" t="str">
        <f>IFERROR(VLOOKUP(C2458,DATA!#REF!,2,FALSE),"")</f>
        <v/>
      </c>
    </row>
    <row r="2459" spans="3:4" s="230" customFormat="1">
      <c r="C2459" s="16" t="str">
        <f>IFERROR(VLOOKUP(DATA!#REF!,DATA!#REF!,1,FALSE),"")</f>
        <v/>
      </c>
      <c r="D2459" s="16" t="str">
        <f>IFERROR(VLOOKUP(C2459,DATA!#REF!,2,FALSE),"")</f>
        <v/>
      </c>
    </row>
    <row r="2460" spans="3:4" s="230" customFormat="1">
      <c r="C2460" s="16" t="str">
        <f>IFERROR(VLOOKUP(DATA!#REF!,DATA!#REF!,1,FALSE),"")</f>
        <v/>
      </c>
      <c r="D2460" s="16" t="str">
        <f>IFERROR(VLOOKUP(C2460,DATA!#REF!,2,FALSE),"")</f>
        <v/>
      </c>
    </row>
    <row r="2461" spans="3:4" s="230" customFormat="1">
      <c r="C2461" s="16" t="str">
        <f>IFERROR(VLOOKUP(DATA!#REF!,DATA!#REF!,1,FALSE),"")</f>
        <v/>
      </c>
      <c r="D2461" s="16" t="str">
        <f>IFERROR(VLOOKUP(C2461,DATA!#REF!,2,FALSE),"")</f>
        <v/>
      </c>
    </row>
    <row r="2462" spans="3:4" s="230" customFormat="1">
      <c r="C2462" s="16" t="str">
        <f>IFERROR(VLOOKUP(DATA!#REF!,DATA!#REF!,1,FALSE),"")</f>
        <v/>
      </c>
      <c r="D2462" s="16" t="str">
        <f>IFERROR(VLOOKUP(C2462,DATA!#REF!,2,FALSE),"")</f>
        <v/>
      </c>
    </row>
    <row r="2463" spans="3:4" s="230" customFormat="1">
      <c r="C2463" s="16" t="str">
        <f>IFERROR(VLOOKUP(DATA!#REF!,DATA!#REF!,1,FALSE),"")</f>
        <v/>
      </c>
      <c r="D2463" s="16" t="str">
        <f>IFERROR(VLOOKUP(C2463,DATA!#REF!,2,FALSE),"")</f>
        <v/>
      </c>
    </row>
    <row r="2464" spans="3:4" s="230" customFormat="1">
      <c r="C2464" s="16" t="str">
        <f>IFERROR(VLOOKUP(DATA!#REF!,DATA!#REF!,1,FALSE),"")</f>
        <v/>
      </c>
      <c r="D2464" s="16" t="str">
        <f>IFERROR(VLOOKUP(C2464,DATA!#REF!,2,FALSE),"")</f>
        <v/>
      </c>
    </row>
    <row r="2465" spans="3:4" s="230" customFormat="1">
      <c r="C2465" s="16" t="str">
        <f>IFERROR(VLOOKUP(DATA!#REF!,DATA!#REF!,1,FALSE),"")</f>
        <v/>
      </c>
      <c r="D2465" s="16" t="str">
        <f>IFERROR(VLOOKUP(C2465,DATA!#REF!,2,FALSE),"")</f>
        <v/>
      </c>
    </row>
    <row r="2466" spans="3:4" s="230" customFormat="1">
      <c r="C2466" s="16" t="str">
        <f>IFERROR(VLOOKUP(DATA!#REF!,DATA!#REF!,1,FALSE),"")</f>
        <v/>
      </c>
      <c r="D2466" s="16" t="str">
        <f>IFERROR(VLOOKUP(C2466,DATA!#REF!,2,FALSE),"")</f>
        <v/>
      </c>
    </row>
    <row r="2467" spans="3:4" s="230" customFormat="1">
      <c r="C2467" s="16" t="str">
        <f>IFERROR(VLOOKUP(DATA!#REF!,DATA!#REF!,1,FALSE),"")</f>
        <v/>
      </c>
      <c r="D2467" s="16" t="str">
        <f>IFERROR(VLOOKUP(C2467,DATA!#REF!,2,FALSE),"")</f>
        <v/>
      </c>
    </row>
    <row r="2468" spans="3:4" s="230" customFormat="1">
      <c r="C2468" s="16" t="str">
        <f>IFERROR(VLOOKUP(DATA!#REF!,DATA!#REF!,1,FALSE),"")</f>
        <v/>
      </c>
      <c r="D2468" s="16" t="str">
        <f>IFERROR(VLOOKUP(C2468,DATA!#REF!,2,FALSE),"")</f>
        <v/>
      </c>
    </row>
    <row r="2469" spans="3:4" s="230" customFormat="1">
      <c r="C2469" s="16" t="str">
        <f>IFERROR(VLOOKUP(DATA!#REF!,DATA!#REF!,1,FALSE),"")</f>
        <v/>
      </c>
      <c r="D2469" s="16" t="str">
        <f>IFERROR(VLOOKUP(C2469,DATA!#REF!,2,FALSE),"")</f>
        <v/>
      </c>
    </row>
    <row r="2470" spans="3:4" s="230" customFormat="1">
      <c r="C2470" s="16" t="str">
        <f>IFERROR(VLOOKUP(DATA!#REF!,DATA!#REF!,1,FALSE),"")</f>
        <v/>
      </c>
      <c r="D2470" s="16" t="str">
        <f>IFERROR(VLOOKUP(C2470,DATA!#REF!,2,FALSE),"")</f>
        <v/>
      </c>
    </row>
    <row r="2471" spans="3:4" s="230" customFormat="1">
      <c r="C2471" s="16" t="str">
        <f>IFERROR(VLOOKUP(DATA!#REF!,DATA!#REF!,1,FALSE),"")</f>
        <v/>
      </c>
      <c r="D2471" s="16" t="str">
        <f>IFERROR(VLOOKUP(C2471,DATA!#REF!,2,FALSE),"")</f>
        <v/>
      </c>
    </row>
    <row r="2472" spans="3:4" s="230" customFormat="1">
      <c r="C2472" s="16" t="str">
        <f>IFERROR(VLOOKUP(DATA!#REF!,DATA!#REF!,1,FALSE),"")</f>
        <v/>
      </c>
      <c r="D2472" s="16" t="str">
        <f>IFERROR(VLOOKUP(C2472,DATA!#REF!,2,FALSE),"")</f>
        <v/>
      </c>
    </row>
    <row r="2473" spans="3:4" s="230" customFormat="1">
      <c r="C2473" s="16" t="str">
        <f>IFERROR(VLOOKUP(DATA!#REF!,DATA!#REF!,1,FALSE),"")</f>
        <v/>
      </c>
      <c r="D2473" s="16" t="str">
        <f>IFERROR(VLOOKUP(C2473,DATA!#REF!,2,FALSE),"")</f>
        <v/>
      </c>
    </row>
    <row r="2474" spans="3:4" s="230" customFormat="1">
      <c r="C2474" s="16" t="str">
        <f>IFERROR(VLOOKUP(DATA!#REF!,DATA!#REF!,1,FALSE),"")</f>
        <v/>
      </c>
      <c r="D2474" s="16" t="str">
        <f>IFERROR(VLOOKUP(C2474,DATA!#REF!,2,FALSE),"")</f>
        <v/>
      </c>
    </row>
    <row r="2475" spans="3:4" s="230" customFormat="1">
      <c r="C2475" s="16" t="str">
        <f>IFERROR(VLOOKUP(DATA!#REF!,DATA!#REF!,1,FALSE),"")</f>
        <v/>
      </c>
      <c r="D2475" s="16" t="str">
        <f>IFERROR(VLOOKUP(C2475,DATA!#REF!,2,FALSE),"")</f>
        <v/>
      </c>
    </row>
    <row r="2476" spans="3:4" s="230" customFormat="1">
      <c r="C2476" s="16" t="str">
        <f>IFERROR(VLOOKUP(DATA!#REF!,DATA!#REF!,1,FALSE),"")</f>
        <v/>
      </c>
      <c r="D2476" s="16" t="str">
        <f>IFERROR(VLOOKUP(C2476,DATA!#REF!,2,FALSE),"")</f>
        <v/>
      </c>
    </row>
    <row r="2477" spans="3:4" s="230" customFormat="1">
      <c r="C2477" s="16" t="str">
        <f>IFERROR(VLOOKUP(DATA!#REF!,DATA!#REF!,1,FALSE),"")</f>
        <v/>
      </c>
      <c r="D2477" s="16" t="str">
        <f>IFERROR(VLOOKUP(C2477,DATA!#REF!,2,FALSE),"")</f>
        <v/>
      </c>
    </row>
    <row r="2478" spans="3:4" s="230" customFormat="1">
      <c r="C2478" s="16" t="str">
        <f>IFERROR(VLOOKUP(DATA!#REF!,DATA!#REF!,1,FALSE),"")</f>
        <v/>
      </c>
      <c r="D2478" s="16" t="str">
        <f>IFERROR(VLOOKUP(C2478,DATA!#REF!,2,FALSE),"")</f>
        <v/>
      </c>
    </row>
    <row r="2479" spans="3:4" s="230" customFormat="1">
      <c r="C2479" s="16" t="str">
        <f>IFERROR(VLOOKUP(DATA!#REF!,DATA!#REF!,1,FALSE),"")</f>
        <v/>
      </c>
      <c r="D2479" s="16" t="str">
        <f>IFERROR(VLOOKUP(C2479,DATA!#REF!,2,FALSE),"")</f>
        <v/>
      </c>
    </row>
    <row r="2480" spans="3:4" s="230" customFormat="1">
      <c r="C2480" s="16" t="str">
        <f>IFERROR(VLOOKUP(DATA!#REF!,DATA!#REF!,1,FALSE),"")</f>
        <v/>
      </c>
      <c r="D2480" s="16" t="str">
        <f>IFERROR(VLOOKUP(C2480,DATA!#REF!,2,FALSE),"")</f>
        <v/>
      </c>
    </row>
    <row r="2481" spans="3:4" s="230" customFormat="1">
      <c r="C2481" s="16" t="str">
        <f>IFERROR(VLOOKUP(DATA!#REF!,DATA!#REF!,1,FALSE),"")</f>
        <v/>
      </c>
      <c r="D2481" s="16" t="str">
        <f>IFERROR(VLOOKUP(C2481,DATA!#REF!,2,FALSE),"")</f>
        <v/>
      </c>
    </row>
    <row r="2482" spans="3:4" s="230" customFormat="1">
      <c r="C2482" s="16" t="str">
        <f>IFERROR(VLOOKUP(DATA!#REF!,DATA!#REF!,1,FALSE),"")</f>
        <v/>
      </c>
      <c r="D2482" s="16" t="str">
        <f>IFERROR(VLOOKUP(C2482,DATA!#REF!,2,FALSE),"")</f>
        <v/>
      </c>
    </row>
    <row r="2483" spans="3:4" s="230" customFormat="1">
      <c r="C2483" s="16" t="str">
        <f>IFERROR(VLOOKUP(DATA!#REF!,DATA!#REF!,1,FALSE),"")</f>
        <v/>
      </c>
      <c r="D2483" s="16" t="str">
        <f>IFERROR(VLOOKUP(C2483,DATA!#REF!,2,FALSE),"")</f>
        <v/>
      </c>
    </row>
    <row r="2484" spans="3:4" s="230" customFormat="1">
      <c r="C2484" s="16" t="str">
        <f>IFERROR(VLOOKUP(DATA!#REF!,DATA!#REF!,1,FALSE),"")</f>
        <v/>
      </c>
      <c r="D2484" s="16" t="str">
        <f>IFERROR(VLOOKUP(C2484,DATA!#REF!,2,FALSE),"")</f>
        <v/>
      </c>
    </row>
    <row r="2485" spans="3:4" s="230" customFormat="1">
      <c r="C2485" s="16" t="str">
        <f>IFERROR(VLOOKUP(DATA!#REF!,DATA!#REF!,1,FALSE),"")</f>
        <v/>
      </c>
      <c r="D2485" s="16" t="str">
        <f>IFERROR(VLOOKUP(C2485,DATA!#REF!,2,FALSE),"")</f>
        <v/>
      </c>
    </row>
    <row r="2486" spans="3:4" s="230" customFormat="1">
      <c r="C2486" s="16" t="str">
        <f>IFERROR(VLOOKUP(DATA!#REF!,DATA!#REF!,1,FALSE),"")</f>
        <v/>
      </c>
      <c r="D2486" s="16" t="str">
        <f>IFERROR(VLOOKUP(C2486,DATA!#REF!,2,FALSE),"")</f>
        <v/>
      </c>
    </row>
    <row r="2487" spans="3:4" s="230" customFormat="1">
      <c r="C2487" s="16" t="str">
        <f>IFERROR(VLOOKUP(DATA!#REF!,DATA!#REF!,1,FALSE),"")</f>
        <v/>
      </c>
      <c r="D2487" s="16" t="str">
        <f>IFERROR(VLOOKUP(C2487,DATA!#REF!,2,FALSE),"")</f>
        <v/>
      </c>
    </row>
    <row r="2488" spans="3:4" s="230" customFormat="1">
      <c r="C2488" s="16" t="str">
        <f>IFERROR(VLOOKUP(DATA!#REF!,DATA!#REF!,1,FALSE),"")</f>
        <v/>
      </c>
      <c r="D2488" s="16" t="str">
        <f>IFERROR(VLOOKUP(C2488,DATA!#REF!,2,FALSE),"")</f>
        <v/>
      </c>
    </row>
    <row r="2489" spans="3:4" s="230" customFormat="1">
      <c r="C2489" s="16" t="str">
        <f>IFERROR(VLOOKUP(DATA!#REF!,DATA!#REF!,1,FALSE),"")</f>
        <v/>
      </c>
      <c r="D2489" s="16" t="str">
        <f>IFERROR(VLOOKUP(C2489,DATA!#REF!,2,FALSE),"")</f>
        <v/>
      </c>
    </row>
    <row r="2490" spans="3:4" s="230" customFormat="1">
      <c r="C2490" s="16" t="str">
        <f>IFERROR(VLOOKUP(DATA!#REF!,DATA!#REF!,1,FALSE),"")</f>
        <v/>
      </c>
      <c r="D2490" s="16" t="str">
        <f>IFERROR(VLOOKUP(C2490,DATA!#REF!,2,FALSE),"")</f>
        <v/>
      </c>
    </row>
    <row r="2491" spans="3:4" s="230" customFormat="1">
      <c r="C2491" s="16" t="str">
        <f>IFERROR(VLOOKUP(DATA!#REF!,DATA!#REF!,1,FALSE),"")</f>
        <v/>
      </c>
      <c r="D2491" s="16" t="str">
        <f>IFERROR(VLOOKUP(C2491,DATA!#REF!,2,FALSE),"")</f>
        <v/>
      </c>
    </row>
    <row r="2492" spans="3:4" s="230" customFormat="1">
      <c r="C2492" s="16" t="str">
        <f>IFERROR(VLOOKUP(DATA!#REF!,DATA!#REF!,1,FALSE),"")</f>
        <v/>
      </c>
      <c r="D2492" s="16" t="str">
        <f>IFERROR(VLOOKUP(C2492,DATA!#REF!,2,FALSE),"")</f>
        <v/>
      </c>
    </row>
    <row r="2493" spans="3:4" s="230" customFormat="1">
      <c r="C2493" s="16" t="str">
        <f>IFERROR(VLOOKUP(DATA!#REF!,DATA!#REF!,1,FALSE),"")</f>
        <v/>
      </c>
      <c r="D2493" s="16" t="str">
        <f>IFERROR(VLOOKUP(C2493,DATA!#REF!,2,FALSE),"")</f>
        <v/>
      </c>
    </row>
    <row r="2494" spans="3:4" s="230" customFormat="1">
      <c r="C2494" s="16" t="str">
        <f>IFERROR(VLOOKUP(DATA!#REF!,DATA!#REF!,1,FALSE),"")</f>
        <v/>
      </c>
      <c r="D2494" s="16" t="str">
        <f>IFERROR(VLOOKUP(C2494,DATA!#REF!,2,FALSE),"")</f>
        <v/>
      </c>
    </row>
    <row r="2495" spans="3:4" s="230" customFormat="1">
      <c r="C2495" s="16" t="str">
        <f>IFERROR(VLOOKUP(DATA!#REF!,DATA!#REF!,1,FALSE),"")</f>
        <v/>
      </c>
      <c r="D2495" s="16" t="str">
        <f>IFERROR(VLOOKUP(C2495,DATA!#REF!,2,FALSE),"")</f>
        <v/>
      </c>
    </row>
    <row r="2496" spans="3:4" s="230" customFormat="1">
      <c r="C2496" s="16" t="str">
        <f>IFERROR(VLOOKUP(DATA!#REF!,DATA!#REF!,1,FALSE),"")</f>
        <v/>
      </c>
      <c r="D2496" s="16" t="str">
        <f>IFERROR(VLOOKUP(C2496,DATA!#REF!,2,FALSE),"")</f>
        <v/>
      </c>
    </row>
    <row r="2497" spans="3:4" s="230" customFormat="1">
      <c r="C2497" s="16" t="str">
        <f>IFERROR(VLOOKUP(DATA!#REF!,DATA!#REF!,1,FALSE),"")</f>
        <v/>
      </c>
      <c r="D2497" s="16" t="str">
        <f>IFERROR(VLOOKUP(C2497,DATA!#REF!,2,FALSE),"")</f>
        <v/>
      </c>
    </row>
    <row r="2498" spans="3:4" s="230" customFormat="1">
      <c r="C2498" s="16" t="str">
        <f>IFERROR(VLOOKUP(DATA!#REF!,DATA!#REF!,1,FALSE),"")</f>
        <v/>
      </c>
      <c r="D2498" s="16" t="str">
        <f>IFERROR(VLOOKUP(C2498,DATA!#REF!,2,FALSE),"")</f>
        <v/>
      </c>
    </row>
    <row r="2499" spans="3:4" s="230" customFormat="1">
      <c r="C2499" s="16" t="str">
        <f>IFERROR(VLOOKUP(DATA!#REF!,DATA!#REF!,1,FALSE),"")</f>
        <v/>
      </c>
      <c r="D2499" s="16" t="str">
        <f>IFERROR(VLOOKUP(C2499,DATA!#REF!,2,FALSE),"")</f>
        <v/>
      </c>
    </row>
    <row r="2500" spans="3:4" s="230" customFormat="1">
      <c r="C2500" s="16" t="str">
        <f>IFERROR(VLOOKUP(DATA!#REF!,DATA!#REF!,1,FALSE),"")</f>
        <v/>
      </c>
      <c r="D2500" s="16" t="str">
        <f>IFERROR(VLOOKUP(C2500,DATA!#REF!,2,FALSE),"")</f>
        <v/>
      </c>
    </row>
    <row r="2501" spans="3:4" s="230" customFormat="1">
      <c r="C2501" s="16" t="str">
        <f>IFERROR(VLOOKUP(DATA!#REF!,DATA!#REF!,1,FALSE),"")</f>
        <v/>
      </c>
      <c r="D2501" s="16" t="str">
        <f>IFERROR(VLOOKUP(C2501,DATA!#REF!,2,FALSE),"")</f>
        <v/>
      </c>
    </row>
    <row r="2502" spans="3:4" s="230" customFormat="1">
      <c r="C2502" s="16" t="str">
        <f>IFERROR(VLOOKUP(DATA!#REF!,DATA!#REF!,1,FALSE),"")</f>
        <v/>
      </c>
      <c r="D2502" s="16" t="str">
        <f>IFERROR(VLOOKUP(C2502,DATA!#REF!,2,FALSE),"")</f>
        <v/>
      </c>
    </row>
    <row r="2503" spans="3:4" s="230" customFormat="1">
      <c r="C2503" s="16" t="str">
        <f>IFERROR(VLOOKUP(DATA!#REF!,DATA!#REF!,1,FALSE),"")</f>
        <v/>
      </c>
      <c r="D2503" s="16" t="str">
        <f>IFERROR(VLOOKUP(C2503,DATA!#REF!,2,FALSE),"")</f>
        <v/>
      </c>
    </row>
    <row r="2504" spans="3:4" s="230" customFormat="1">
      <c r="C2504" s="16" t="str">
        <f>IFERROR(VLOOKUP(DATA!#REF!,DATA!#REF!,1,FALSE),"")</f>
        <v/>
      </c>
      <c r="D2504" s="16" t="str">
        <f>IFERROR(VLOOKUP(C2504,DATA!#REF!,2,FALSE),"")</f>
        <v/>
      </c>
    </row>
    <row r="2505" spans="3:4" s="230" customFormat="1">
      <c r="C2505" s="16" t="str">
        <f>IFERROR(VLOOKUP(DATA!#REF!,DATA!#REF!,1,FALSE),"")</f>
        <v/>
      </c>
      <c r="D2505" s="16" t="str">
        <f>IFERROR(VLOOKUP(C2505,DATA!#REF!,2,FALSE),"")</f>
        <v/>
      </c>
    </row>
    <row r="2506" spans="3:4" s="230" customFormat="1">
      <c r="C2506" s="16" t="str">
        <f>IFERROR(VLOOKUP(DATA!#REF!,DATA!#REF!,1,FALSE),"")</f>
        <v/>
      </c>
      <c r="D2506" s="16" t="str">
        <f>IFERROR(VLOOKUP(C2506,DATA!#REF!,2,FALSE),"")</f>
        <v/>
      </c>
    </row>
    <row r="2507" spans="3:4" s="230" customFormat="1">
      <c r="C2507" s="16" t="str">
        <f>IFERROR(VLOOKUP(DATA!#REF!,DATA!#REF!,1,FALSE),"")</f>
        <v/>
      </c>
      <c r="D2507" s="16" t="str">
        <f>IFERROR(VLOOKUP(C2507,DATA!#REF!,2,FALSE),"")</f>
        <v/>
      </c>
    </row>
    <row r="2508" spans="3:4" s="230" customFormat="1">
      <c r="C2508" s="16" t="str">
        <f>IFERROR(VLOOKUP(DATA!#REF!,DATA!#REF!,1,FALSE),"")</f>
        <v/>
      </c>
      <c r="D2508" s="16" t="str">
        <f>IFERROR(VLOOKUP(C2508,DATA!#REF!,2,FALSE),"")</f>
        <v/>
      </c>
    </row>
    <row r="2509" spans="3:4" s="230" customFormat="1">
      <c r="C2509" s="16" t="str">
        <f>IFERROR(VLOOKUP(DATA!#REF!,DATA!#REF!,1,FALSE),"")</f>
        <v/>
      </c>
      <c r="D2509" s="16" t="str">
        <f>IFERROR(VLOOKUP(C2509,DATA!#REF!,2,FALSE),"")</f>
        <v/>
      </c>
    </row>
    <row r="2510" spans="3:4" s="230" customFormat="1">
      <c r="C2510" s="16" t="str">
        <f>IFERROR(VLOOKUP(DATA!#REF!,DATA!#REF!,1,FALSE),"")</f>
        <v/>
      </c>
      <c r="D2510" s="16" t="str">
        <f>IFERROR(VLOOKUP(C2510,DATA!#REF!,2,FALSE),"")</f>
        <v/>
      </c>
    </row>
    <row r="2511" spans="3:4" s="230" customFormat="1">
      <c r="C2511" s="16" t="str">
        <f>IFERROR(VLOOKUP(DATA!#REF!,DATA!#REF!,1,FALSE),"")</f>
        <v/>
      </c>
      <c r="D2511" s="16" t="str">
        <f>IFERROR(VLOOKUP(C2511,DATA!#REF!,2,FALSE),"")</f>
        <v/>
      </c>
    </row>
    <row r="2512" spans="3:4" s="230" customFormat="1">
      <c r="C2512" s="16" t="str">
        <f>IFERROR(VLOOKUP(DATA!#REF!,DATA!#REF!,1,FALSE),"")</f>
        <v/>
      </c>
      <c r="D2512" s="16" t="str">
        <f>IFERROR(VLOOKUP(C2512,DATA!#REF!,2,FALSE),"")</f>
        <v/>
      </c>
    </row>
    <row r="2513" spans="3:4" s="230" customFormat="1">
      <c r="C2513" s="16" t="str">
        <f>IFERROR(VLOOKUP(DATA!#REF!,DATA!#REF!,1,FALSE),"")</f>
        <v/>
      </c>
      <c r="D2513" s="16" t="str">
        <f>IFERROR(VLOOKUP(C2513,DATA!#REF!,2,FALSE),"")</f>
        <v/>
      </c>
    </row>
    <row r="2514" spans="3:4" s="230" customFormat="1">
      <c r="C2514" s="16" t="str">
        <f>IFERROR(VLOOKUP(DATA!#REF!,DATA!#REF!,1,FALSE),"")</f>
        <v/>
      </c>
      <c r="D2514" s="16" t="str">
        <f>IFERROR(VLOOKUP(C2514,DATA!#REF!,2,FALSE),"")</f>
        <v/>
      </c>
    </row>
    <row r="2515" spans="3:4" s="230" customFormat="1">
      <c r="C2515" s="16" t="str">
        <f>IFERROR(VLOOKUP(DATA!#REF!,DATA!#REF!,1,FALSE),"")</f>
        <v/>
      </c>
      <c r="D2515" s="16" t="str">
        <f>IFERROR(VLOOKUP(C2515,DATA!#REF!,2,FALSE),"")</f>
        <v/>
      </c>
    </row>
    <row r="2516" spans="3:4" s="230" customFormat="1">
      <c r="C2516" s="16" t="str">
        <f>IFERROR(VLOOKUP(DATA!#REF!,DATA!#REF!,1,FALSE),"")</f>
        <v/>
      </c>
      <c r="D2516" s="16" t="str">
        <f>IFERROR(VLOOKUP(C2516,DATA!#REF!,2,FALSE),"")</f>
        <v/>
      </c>
    </row>
    <row r="2517" spans="3:4" s="230" customFormat="1">
      <c r="C2517" s="16" t="str">
        <f>IFERROR(VLOOKUP(DATA!#REF!,DATA!#REF!,1,FALSE),"")</f>
        <v/>
      </c>
      <c r="D2517" s="16" t="str">
        <f>IFERROR(VLOOKUP(C2517,DATA!#REF!,2,FALSE),"")</f>
        <v/>
      </c>
    </row>
    <row r="2518" spans="3:4" s="230" customFormat="1">
      <c r="C2518" s="16" t="str">
        <f>IFERROR(VLOOKUP(DATA!#REF!,DATA!#REF!,1,FALSE),"")</f>
        <v/>
      </c>
      <c r="D2518" s="16" t="str">
        <f>IFERROR(VLOOKUP(C2518,DATA!#REF!,2,FALSE),"")</f>
        <v/>
      </c>
    </row>
    <row r="2519" spans="3:4" s="230" customFormat="1">
      <c r="C2519" s="16" t="str">
        <f>IFERROR(VLOOKUP(DATA!#REF!,DATA!#REF!,1,FALSE),"")</f>
        <v/>
      </c>
      <c r="D2519" s="16" t="str">
        <f>IFERROR(VLOOKUP(C2519,DATA!#REF!,2,FALSE),"")</f>
        <v/>
      </c>
    </row>
    <row r="2520" spans="3:4" s="230" customFormat="1">
      <c r="C2520" s="16" t="str">
        <f>IFERROR(VLOOKUP(DATA!#REF!,DATA!#REF!,1,FALSE),"")</f>
        <v/>
      </c>
      <c r="D2520" s="16" t="str">
        <f>IFERROR(VLOOKUP(C2520,DATA!#REF!,2,FALSE),"")</f>
        <v/>
      </c>
    </row>
    <row r="2521" spans="3:4" s="230" customFormat="1">
      <c r="C2521" s="16" t="str">
        <f>IFERROR(VLOOKUP(DATA!#REF!,DATA!#REF!,1,FALSE),"")</f>
        <v/>
      </c>
      <c r="D2521" s="16" t="str">
        <f>IFERROR(VLOOKUP(C2521,DATA!#REF!,2,FALSE),"")</f>
        <v/>
      </c>
    </row>
    <row r="2522" spans="3:4" s="230" customFormat="1">
      <c r="C2522" s="16" t="str">
        <f>IFERROR(VLOOKUP(DATA!#REF!,DATA!#REF!,1,FALSE),"")</f>
        <v/>
      </c>
      <c r="D2522" s="16" t="str">
        <f>IFERROR(VLOOKUP(C2522,DATA!#REF!,2,FALSE),"")</f>
        <v/>
      </c>
    </row>
    <row r="2523" spans="3:4" s="230" customFormat="1">
      <c r="C2523" s="16" t="str">
        <f>IFERROR(VLOOKUP(DATA!#REF!,DATA!#REF!,1,FALSE),"")</f>
        <v/>
      </c>
      <c r="D2523" s="16" t="str">
        <f>IFERROR(VLOOKUP(C2523,DATA!#REF!,2,FALSE),"")</f>
        <v/>
      </c>
    </row>
    <row r="2524" spans="3:4" s="230" customFormat="1">
      <c r="C2524" s="16" t="str">
        <f>IFERROR(VLOOKUP(DATA!#REF!,DATA!#REF!,1,FALSE),"")</f>
        <v/>
      </c>
      <c r="D2524" s="16" t="str">
        <f>IFERROR(VLOOKUP(C2524,DATA!#REF!,2,FALSE),"")</f>
        <v/>
      </c>
    </row>
    <row r="2525" spans="3:4" s="230" customFormat="1">
      <c r="C2525" s="16" t="str">
        <f>IFERROR(VLOOKUP(DATA!#REF!,DATA!#REF!,1,FALSE),"")</f>
        <v/>
      </c>
      <c r="D2525" s="16" t="str">
        <f>IFERROR(VLOOKUP(C2525,DATA!#REF!,2,FALSE),"")</f>
        <v/>
      </c>
    </row>
    <row r="2526" spans="3:4" s="230" customFormat="1">
      <c r="C2526" s="16" t="str">
        <f>IFERROR(VLOOKUP(DATA!#REF!,DATA!#REF!,1,FALSE),"")</f>
        <v/>
      </c>
      <c r="D2526" s="16" t="str">
        <f>IFERROR(VLOOKUP(C2526,DATA!#REF!,2,FALSE),"")</f>
        <v/>
      </c>
    </row>
    <row r="2527" spans="3:4" s="230" customFormat="1">
      <c r="C2527" s="16" t="str">
        <f>IFERROR(VLOOKUP(DATA!#REF!,DATA!#REF!,1,FALSE),"")</f>
        <v/>
      </c>
      <c r="D2527" s="16" t="str">
        <f>IFERROR(VLOOKUP(C2527,DATA!#REF!,2,FALSE),"")</f>
        <v/>
      </c>
    </row>
    <row r="2528" spans="3:4" s="230" customFormat="1">
      <c r="C2528" s="16" t="str">
        <f>IFERROR(VLOOKUP(DATA!#REF!,DATA!#REF!,1,FALSE),"")</f>
        <v/>
      </c>
      <c r="D2528" s="16" t="str">
        <f>IFERROR(VLOOKUP(C2528,DATA!#REF!,2,FALSE),"")</f>
        <v/>
      </c>
    </row>
    <row r="2529" spans="3:4" s="230" customFormat="1">
      <c r="C2529" s="16" t="str">
        <f>IFERROR(VLOOKUP(DATA!#REF!,DATA!#REF!,1,FALSE),"")</f>
        <v/>
      </c>
      <c r="D2529" s="16" t="str">
        <f>IFERROR(VLOOKUP(C2529,DATA!#REF!,2,FALSE),"")</f>
        <v/>
      </c>
    </row>
    <row r="2530" spans="3:4" s="230" customFormat="1">
      <c r="C2530" s="16" t="str">
        <f>IFERROR(VLOOKUP(DATA!#REF!,DATA!#REF!,1,FALSE),"")</f>
        <v/>
      </c>
      <c r="D2530" s="16" t="str">
        <f>IFERROR(VLOOKUP(C2530,DATA!#REF!,2,FALSE),"")</f>
        <v/>
      </c>
    </row>
    <row r="2531" spans="3:4" s="230" customFormat="1">
      <c r="C2531" s="16" t="str">
        <f>IFERROR(VLOOKUP(DATA!#REF!,DATA!#REF!,1,FALSE),"")</f>
        <v/>
      </c>
      <c r="D2531" s="16" t="str">
        <f>IFERROR(VLOOKUP(C2531,DATA!#REF!,2,FALSE),"")</f>
        <v/>
      </c>
    </row>
    <row r="2532" spans="3:4" s="230" customFormat="1">
      <c r="C2532" s="16" t="str">
        <f>IFERROR(VLOOKUP(DATA!#REF!,DATA!#REF!,1,FALSE),"")</f>
        <v/>
      </c>
      <c r="D2532" s="16" t="str">
        <f>IFERROR(VLOOKUP(C2532,DATA!#REF!,2,FALSE),"")</f>
        <v/>
      </c>
    </row>
    <row r="2533" spans="3:4" s="230" customFormat="1">
      <c r="C2533" s="16" t="str">
        <f>IFERROR(VLOOKUP(DATA!#REF!,DATA!#REF!,1,FALSE),"")</f>
        <v/>
      </c>
      <c r="D2533" s="16" t="str">
        <f>IFERROR(VLOOKUP(C2533,DATA!#REF!,2,FALSE),"")</f>
        <v/>
      </c>
    </row>
    <row r="2534" spans="3:4" s="230" customFormat="1">
      <c r="C2534" s="16" t="str">
        <f>IFERROR(VLOOKUP(DATA!#REF!,DATA!#REF!,1,FALSE),"")</f>
        <v/>
      </c>
      <c r="D2534" s="16" t="str">
        <f>IFERROR(VLOOKUP(C2534,DATA!#REF!,2,FALSE),"")</f>
        <v/>
      </c>
    </row>
    <row r="2535" spans="3:4" s="230" customFormat="1">
      <c r="C2535" s="16" t="str">
        <f>IFERROR(VLOOKUP(DATA!#REF!,DATA!#REF!,1,FALSE),"")</f>
        <v/>
      </c>
      <c r="D2535" s="16" t="str">
        <f>IFERROR(VLOOKUP(C2535,DATA!#REF!,2,FALSE),"")</f>
        <v/>
      </c>
    </row>
    <row r="2536" spans="3:4" s="230" customFormat="1">
      <c r="C2536" s="16" t="str">
        <f>IFERROR(VLOOKUP(DATA!#REF!,DATA!#REF!,1,FALSE),"")</f>
        <v/>
      </c>
      <c r="D2536" s="16" t="str">
        <f>IFERROR(VLOOKUP(C2536,DATA!#REF!,2,FALSE),"")</f>
        <v/>
      </c>
    </row>
    <row r="2537" spans="3:4" s="230" customFormat="1">
      <c r="C2537" s="16" t="str">
        <f>IFERROR(VLOOKUP(DATA!#REF!,DATA!#REF!,1,FALSE),"")</f>
        <v/>
      </c>
      <c r="D2537" s="16" t="str">
        <f>IFERROR(VLOOKUP(C2537,DATA!#REF!,2,FALSE),"")</f>
        <v/>
      </c>
    </row>
    <row r="2538" spans="3:4" s="230" customFormat="1">
      <c r="C2538" s="16" t="str">
        <f>IFERROR(VLOOKUP(DATA!#REF!,DATA!#REF!,1,FALSE),"")</f>
        <v/>
      </c>
      <c r="D2538" s="16" t="str">
        <f>IFERROR(VLOOKUP(C2538,DATA!#REF!,2,FALSE),"")</f>
        <v/>
      </c>
    </row>
    <row r="2539" spans="3:4" s="230" customFormat="1">
      <c r="C2539" s="16" t="str">
        <f>IFERROR(VLOOKUP(DATA!#REF!,DATA!#REF!,1,FALSE),"")</f>
        <v/>
      </c>
      <c r="D2539" s="16" t="str">
        <f>IFERROR(VLOOKUP(C2539,DATA!#REF!,2,FALSE),"")</f>
        <v/>
      </c>
    </row>
    <row r="2540" spans="3:4" s="230" customFormat="1">
      <c r="C2540" s="16" t="str">
        <f>IFERROR(VLOOKUP(DATA!#REF!,DATA!#REF!,1,FALSE),"")</f>
        <v/>
      </c>
      <c r="D2540" s="16" t="str">
        <f>IFERROR(VLOOKUP(C2540,DATA!#REF!,2,FALSE),"")</f>
        <v/>
      </c>
    </row>
    <row r="2541" spans="3:4" s="230" customFormat="1">
      <c r="C2541" s="16" t="str">
        <f>IFERROR(VLOOKUP(DATA!#REF!,DATA!#REF!,1,FALSE),"")</f>
        <v/>
      </c>
      <c r="D2541" s="16" t="str">
        <f>IFERROR(VLOOKUP(C2541,DATA!#REF!,2,FALSE),"")</f>
        <v/>
      </c>
    </row>
    <row r="2542" spans="3:4" s="230" customFormat="1">
      <c r="C2542" s="16" t="str">
        <f>IFERROR(VLOOKUP(DATA!#REF!,DATA!#REF!,1,FALSE),"")</f>
        <v/>
      </c>
      <c r="D2542" s="16" t="str">
        <f>IFERROR(VLOOKUP(C2542,DATA!#REF!,2,FALSE),"")</f>
        <v/>
      </c>
    </row>
    <row r="2543" spans="3:4" s="230" customFormat="1">
      <c r="C2543" s="16" t="str">
        <f>IFERROR(VLOOKUP(DATA!#REF!,DATA!#REF!,1,FALSE),"")</f>
        <v/>
      </c>
      <c r="D2543" s="16" t="str">
        <f>IFERROR(VLOOKUP(C2543,DATA!#REF!,2,FALSE),"")</f>
        <v/>
      </c>
    </row>
    <row r="2544" spans="3:4" s="230" customFormat="1">
      <c r="C2544" s="16" t="str">
        <f>IFERROR(VLOOKUP(DATA!#REF!,DATA!#REF!,1,FALSE),"")</f>
        <v/>
      </c>
      <c r="D2544" s="16" t="str">
        <f>IFERROR(VLOOKUP(C2544,DATA!#REF!,2,FALSE),"")</f>
        <v/>
      </c>
    </row>
    <row r="2545" spans="3:4" s="230" customFormat="1">
      <c r="C2545" s="16" t="str">
        <f>IFERROR(VLOOKUP(DATA!#REF!,DATA!#REF!,1,FALSE),"")</f>
        <v/>
      </c>
      <c r="D2545" s="16" t="str">
        <f>IFERROR(VLOOKUP(C2545,DATA!#REF!,2,FALSE),"")</f>
        <v/>
      </c>
    </row>
    <row r="2546" spans="3:4" s="230" customFormat="1">
      <c r="C2546" s="16" t="str">
        <f>IFERROR(VLOOKUP(DATA!#REF!,DATA!#REF!,1,FALSE),"")</f>
        <v/>
      </c>
      <c r="D2546" s="16" t="str">
        <f>IFERROR(VLOOKUP(C2546,DATA!#REF!,2,FALSE),"")</f>
        <v/>
      </c>
    </row>
    <row r="2547" spans="3:4" s="230" customFormat="1">
      <c r="C2547" s="16" t="str">
        <f>IFERROR(VLOOKUP(DATA!#REF!,DATA!#REF!,1,FALSE),"")</f>
        <v/>
      </c>
      <c r="D2547" s="16" t="str">
        <f>IFERROR(VLOOKUP(C2547,DATA!#REF!,2,FALSE),"")</f>
        <v/>
      </c>
    </row>
    <row r="2548" spans="3:4" s="230" customFormat="1">
      <c r="C2548" s="16" t="str">
        <f>IFERROR(VLOOKUP(DATA!#REF!,DATA!#REF!,1,FALSE),"")</f>
        <v/>
      </c>
      <c r="D2548" s="16" t="str">
        <f>IFERROR(VLOOKUP(C2548,DATA!#REF!,2,FALSE),"")</f>
        <v/>
      </c>
    </row>
    <row r="2549" spans="3:4" s="230" customFormat="1">
      <c r="C2549" s="16" t="str">
        <f>IFERROR(VLOOKUP(DATA!#REF!,DATA!#REF!,1,FALSE),"")</f>
        <v/>
      </c>
      <c r="D2549" s="16" t="str">
        <f>IFERROR(VLOOKUP(C2549,DATA!#REF!,2,FALSE),"")</f>
        <v/>
      </c>
    </row>
    <row r="2550" spans="3:4" s="230" customFormat="1">
      <c r="C2550" s="16" t="str">
        <f>IFERROR(VLOOKUP(DATA!#REF!,DATA!#REF!,1,FALSE),"")</f>
        <v/>
      </c>
      <c r="D2550" s="16" t="str">
        <f>IFERROR(VLOOKUP(C2550,DATA!#REF!,2,FALSE),"")</f>
        <v/>
      </c>
    </row>
    <row r="2551" spans="3:4" s="230" customFormat="1">
      <c r="C2551" s="16" t="str">
        <f>IFERROR(VLOOKUP(DATA!#REF!,DATA!#REF!,1,FALSE),"")</f>
        <v/>
      </c>
      <c r="D2551" s="16" t="str">
        <f>IFERROR(VLOOKUP(C2551,DATA!#REF!,2,FALSE),"")</f>
        <v/>
      </c>
    </row>
    <row r="2552" spans="3:4" s="230" customFormat="1">
      <c r="C2552" s="16" t="str">
        <f>IFERROR(VLOOKUP(DATA!#REF!,DATA!#REF!,1,FALSE),"")</f>
        <v/>
      </c>
      <c r="D2552" s="16" t="str">
        <f>IFERROR(VLOOKUP(C2552,DATA!#REF!,2,FALSE),"")</f>
        <v/>
      </c>
    </row>
    <row r="2553" spans="3:4" s="230" customFormat="1">
      <c r="C2553" s="16" t="str">
        <f>IFERROR(VLOOKUP(DATA!#REF!,DATA!#REF!,1,FALSE),"")</f>
        <v/>
      </c>
      <c r="D2553" s="16" t="str">
        <f>IFERROR(VLOOKUP(C2553,DATA!#REF!,2,FALSE),"")</f>
        <v/>
      </c>
    </row>
    <row r="2554" spans="3:4" s="230" customFormat="1">
      <c r="C2554" s="16" t="str">
        <f>IFERROR(VLOOKUP(DATA!#REF!,DATA!#REF!,1,FALSE),"")</f>
        <v/>
      </c>
      <c r="D2554" s="16" t="str">
        <f>IFERROR(VLOOKUP(C2554,DATA!#REF!,2,FALSE),"")</f>
        <v/>
      </c>
    </row>
    <row r="2555" spans="3:4" s="230" customFormat="1">
      <c r="C2555" s="16" t="str">
        <f>IFERROR(VLOOKUP(DATA!#REF!,DATA!#REF!,1,FALSE),"")</f>
        <v/>
      </c>
      <c r="D2555" s="16" t="str">
        <f>IFERROR(VLOOKUP(C2555,DATA!#REF!,2,FALSE),"")</f>
        <v/>
      </c>
    </row>
    <row r="2556" spans="3:4" s="230" customFormat="1">
      <c r="C2556" s="16" t="str">
        <f>IFERROR(VLOOKUP(DATA!#REF!,DATA!#REF!,1,FALSE),"")</f>
        <v/>
      </c>
      <c r="D2556" s="16" t="str">
        <f>IFERROR(VLOOKUP(C2556,DATA!#REF!,2,FALSE),"")</f>
        <v/>
      </c>
    </row>
    <row r="2557" spans="3:4" s="230" customFormat="1">
      <c r="C2557" s="16" t="str">
        <f>IFERROR(VLOOKUP(DATA!#REF!,DATA!#REF!,1,FALSE),"")</f>
        <v/>
      </c>
      <c r="D2557" s="16" t="str">
        <f>IFERROR(VLOOKUP(C2557,DATA!#REF!,2,FALSE),"")</f>
        <v/>
      </c>
    </row>
    <row r="2558" spans="3:4" s="230" customFormat="1">
      <c r="C2558" s="16" t="str">
        <f>IFERROR(VLOOKUP(DATA!#REF!,DATA!#REF!,1,FALSE),"")</f>
        <v/>
      </c>
      <c r="D2558" s="16" t="str">
        <f>IFERROR(VLOOKUP(C2558,DATA!#REF!,2,FALSE),"")</f>
        <v/>
      </c>
    </row>
    <row r="2559" spans="3:4" s="230" customFormat="1">
      <c r="C2559" s="16" t="str">
        <f>IFERROR(VLOOKUP(DATA!#REF!,DATA!#REF!,1,FALSE),"")</f>
        <v/>
      </c>
      <c r="D2559" s="16" t="str">
        <f>IFERROR(VLOOKUP(C2559,DATA!#REF!,2,FALSE),"")</f>
        <v/>
      </c>
    </row>
    <row r="2560" spans="3:4" s="230" customFormat="1">
      <c r="C2560" s="16" t="str">
        <f>IFERROR(VLOOKUP(DATA!#REF!,DATA!#REF!,1,FALSE),"")</f>
        <v/>
      </c>
      <c r="D2560" s="16" t="str">
        <f>IFERROR(VLOOKUP(C2560,DATA!#REF!,2,FALSE),"")</f>
        <v/>
      </c>
    </row>
    <row r="2561" spans="3:4" s="230" customFormat="1">
      <c r="C2561" s="16" t="str">
        <f>IFERROR(VLOOKUP(DATA!#REF!,DATA!#REF!,1,FALSE),"")</f>
        <v/>
      </c>
      <c r="D2561" s="16" t="str">
        <f>IFERROR(VLOOKUP(C2561,DATA!#REF!,2,FALSE),"")</f>
        <v/>
      </c>
    </row>
    <row r="2562" spans="3:4" s="230" customFormat="1">
      <c r="C2562" s="16" t="str">
        <f>IFERROR(VLOOKUP(DATA!#REF!,DATA!#REF!,1,FALSE),"")</f>
        <v/>
      </c>
      <c r="D2562" s="16" t="str">
        <f>IFERROR(VLOOKUP(C2562,DATA!#REF!,2,FALSE),"")</f>
        <v/>
      </c>
    </row>
    <row r="2563" spans="3:4" s="230" customFormat="1">
      <c r="C2563" s="16" t="str">
        <f>IFERROR(VLOOKUP(DATA!#REF!,DATA!#REF!,1,FALSE),"")</f>
        <v/>
      </c>
      <c r="D2563" s="16" t="str">
        <f>IFERROR(VLOOKUP(C2563,DATA!#REF!,2,FALSE),"")</f>
        <v/>
      </c>
    </row>
    <row r="2564" spans="3:4" s="230" customFormat="1">
      <c r="C2564" s="16" t="str">
        <f>IFERROR(VLOOKUP(DATA!#REF!,DATA!#REF!,1,FALSE),"")</f>
        <v/>
      </c>
      <c r="D2564" s="16" t="str">
        <f>IFERROR(VLOOKUP(C2564,DATA!#REF!,2,FALSE),"")</f>
        <v/>
      </c>
    </row>
    <row r="2565" spans="3:4" s="230" customFormat="1">
      <c r="C2565" s="16" t="str">
        <f>IFERROR(VLOOKUP(DATA!#REF!,DATA!#REF!,1,FALSE),"")</f>
        <v/>
      </c>
      <c r="D2565" s="16" t="str">
        <f>IFERROR(VLOOKUP(C2565,DATA!#REF!,2,FALSE),"")</f>
        <v/>
      </c>
    </row>
    <row r="2566" spans="3:4" s="230" customFormat="1">
      <c r="C2566" s="16" t="str">
        <f>IFERROR(VLOOKUP(DATA!#REF!,DATA!#REF!,1,FALSE),"")</f>
        <v/>
      </c>
      <c r="D2566" s="16" t="str">
        <f>IFERROR(VLOOKUP(C2566,DATA!#REF!,2,FALSE),"")</f>
        <v/>
      </c>
    </row>
    <row r="2567" spans="3:4" s="230" customFormat="1">
      <c r="C2567" s="16" t="str">
        <f>IFERROR(VLOOKUP(DATA!#REF!,DATA!#REF!,1,FALSE),"")</f>
        <v/>
      </c>
      <c r="D2567" s="16" t="str">
        <f>IFERROR(VLOOKUP(C2567,DATA!#REF!,2,FALSE),"")</f>
        <v/>
      </c>
    </row>
    <row r="2568" spans="3:4" s="230" customFormat="1">
      <c r="C2568" s="16" t="str">
        <f>IFERROR(VLOOKUP(DATA!#REF!,DATA!#REF!,1,FALSE),"")</f>
        <v/>
      </c>
      <c r="D2568" s="16" t="str">
        <f>IFERROR(VLOOKUP(C2568,DATA!#REF!,2,FALSE),"")</f>
        <v/>
      </c>
    </row>
    <row r="2569" spans="3:4" s="230" customFormat="1">
      <c r="C2569" s="16" t="str">
        <f>IFERROR(VLOOKUP(DATA!#REF!,DATA!#REF!,1,FALSE),"")</f>
        <v/>
      </c>
      <c r="D2569" s="16" t="str">
        <f>IFERROR(VLOOKUP(C2569,DATA!#REF!,2,FALSE),"")</f>
        <v/>
      </c>
    </row>
    <row r="2570" spans="3:4" s="230" customFormat="1">
      <c r="C2570" s="16" t="str">
        <f>IFERROR(VLOOKUP(DATA!#REF!,DATA!#REF!,1,FALSE),"")</f>
        <v/>
      </c>
      <c r="D2570" s="16" t="str">
        <f>IFERROR(VLOOKUP(C2570,DATA!#REF!,2,FALSE),"")</f>
        <v/>
      </c>
    </row>
    <row r="2571" spans="3:4" s="230" customFormat="1">
      <c r="C2571" s="16" t="str">
        <f>IFERROR(VLOOKUP(DATA!#REF!,DATA!#REF!,1,FALSE),"")</f>
        <v/>
      </c>
      <c r="D2571" s="16" t="str">
        <f>IFERROR(VLOOKUP(C2571,DATA!#REF!,2,FALSE),"")</f>
        <v/>
      </c>
    </row>
    <row r="2572" spans="3:4" s="230" customFormat="1">
      <c r="C2572" s="16" t="str">
        <f>IFERROR(VLOOKUP(DATA!#REF!,DATA!#REF!,1,FALSE),"")</f>
        <v/>
      </c>
      <c r="D2572" s="16" t="str">
        <f>IFERROR(VLOOKUP(C2572,DATA!#REF!,2,FALSE),"")</f>
        <v/>
      </c>
    </row>
    <row r="2573" spans="3:4" s="230" customFormat="1">
      <c r="C2573" s="16" t="str">
        <f>IFERROR(VLOOKUP(DATA!#REF!,DATA!#REF!,1,FALSE),"")</f>
        <v/>
      </c>
      <c r="D2573" s="16" t="str">
        <f>IFERROR(VLOOKUP(C2573,DATA!#REF!,2,FALSE),"")</f>
        <v/>
      </c>
    </row>
    <row r="2574" spans="3:4" s="230" customFormat="1">
      <c r="C2574" s="16" t="str">
        <f>IFERROR(VLOOKUP(DATA!#REF!,DATA!#REF!,1,FALSE),"")</f>
        <v/>
      </c>
      <c r="D2574" s="16" t="str">
        <f>IFERROR(VLOOKUP(C2574,DATA!#REF!,2,FALSE),"")</f>
        <v/>
      </c>
    </row>
    <row r="2575" spans="3:4" s="230" customFormat="1">
      <c r="C2575" s="16" t="str">
        <f>IFERROR(VLOOKUP(DATA!#REF!,DATA!#REF!,1,FALSE),"")</f>
        <v/>
      </c>
      <c r="D2575" s="16" t="str">
        <f>IFERROR(VLOOKUP(C2575,DATA!#REF!,2,FALSE),"")</f>
        <v/>
      </c>
    </row>
    <row r="2576" spans="3:4" s="230" customFormat="1">
      <c r="C2576" s="16" t="str">
        <f>IFERROR(VLOOKUP(DATA!#REF!,DATA!#REF!,1,FALSE),"")</f>
        <v/>
      </c>
      <c r="D2576" s="16" t="str">
        <f>IFERROR(VLOOKUP(C2576,DATA!#REF!,2,FALSE),"")</f>
        <v/>
      </c>
    </row>
    <row r="2577" spans="3:4" s="230" customFormat="1">
      <c r="C2577" s="16" t="str">
        <f>IFERROR(VLOOKUP(DATA!#REF!,DATA!#REF!,1,FALSE),"")</f>
        <v/>
      </c>
      <c r="D2577" s="16" t="str">
        <f>IFERROR(VLOOKUP(C2577,DATA!#REF!,2,FALSE),"")</f>
        <v/>
      </c>
    </row>
    <row r="2578" spans="3:4" s="230" customFormat="1">
      <c r="C2578" s="16" t="str">
        <f>IFERROR(VLOOKUP(DATA!#REF!,DATA!#REF!,1,FALSE),"")</f>
        <v/>
      </c>
      <c r="D2578" s="16" t="str">
        <f>IFERROR(VLOOKUP(C2578,DATA!#REF!,2,FALSE),"")</f>
        <v/>
      </c>
    </row>
    <row r="2579" spans="3:4" s="230" customFormat="1">
      <c r="C2579" s="16" t="str">
        <f>IFERROR(VLOOKUP(DATA!#REF!,DATA!#REF!,1,FALSE),"")</f>
        <v/>
      </c>
      <c r="D2579" s="16" t="str">
        <f>IFERROR(VLOOKUP(C2579,DATA!#REF!,2,FALSE),"")</f>
        <v/>
      </c>
    </row>
    <row r="2580" spans="3:4" s="230" customFormat="1">
      <c r="C2580" s="16" t="str">
        <f>IFERROR(VLOOKUP(DATA!#REF!,DATA!#REF!,1,FALSE),"")</f>
        <v/>
      </c>
      <c r="D2580" s="16" t="str">
        <f>IFERROR(VLOOKUP(C2580,DATA!#REF!,2,FALSE),"")</f>
        <v/>
      </c>
    </row>
    <row r="2581" spans="3:4" s="230" customFormat="1">
      <c r="C2581" s="16" t="str">
        <f>IFERROR(VLOOKUP(DATA!#REF!,DATA!#REF!,1,FALSE),"")</f>
        <v/>
      </c>
      <c r="D2581" s="16" t="str">
        <f>IFERROR(VLOOKUP(C2581,DATA!#REF!,2,FALSE),"")</f>
        <v/>
      </c>
    </row>
    <row r="2582" spans="3:4" s="230" customFormat="1">
      <c r="C2582" s="16" t="str">
        <f>IFERROR(VLOOKUP(DATA!#REF!,DATA!#REF!,1,FALSE),"")</f>
        <v/>
      </c>
      <c r="D2582" s="16" t="str">
        <f>IFERROR(VLOOKUP(C2582,DATA!#REF!,2,FALSE),"")</f>
        <v/>
      </c>
    </row>
    <row r="2583" spans="3:4" s="230" customFormat="1">
      <c r="C2583" s="16" t="str">
        <f>IFERROR(VLOOKUP(DATA!#REF!,DATA!#REF!,1,FALSE),"")</f>
        <v/>
      </c>
      <c r="D2583" s="16" t="str">
        <f>IFERROR(VLOOKUP(C2583,DATA!#REF!,2,FALSE),"")</f>
        <v/>
      </c>
    </row>
    <row r="2584" spans="3:4" s="230" customFormat="1">
      <c r="C2584" s="16" t="str">
        <f>IFERROR(VLOOKUP(DATA!#REF!,DATA!#REF!,1,FALSE),"")</f>
        <v/>
      </c>
      <c r="D2584" s="16" t="str">
        <f>IFERROR(VLOOKUP(C2584,DATA!#REF!,2,FALSE),"")</f>
        <v/>
      </c>
    </row>
    <row r="2585" spans="3:4" s="230" customFormat="1">
      <c r="C2585" s="16" t="str">
        <f>IFERROR(VLOOKUP(DATA!#REF!,DATA!#REF!,1,FALSE),"")</f>
        <v/>
      </c>
      <c r="D2585" s="16" t="str">
        <f>IFERROR(VLOOKUP(C2585,DATA!#REF!,2,FALSE),"")</f>
        <v/>
      </c>
    </row>
    <row r="2586" spans="3:4" s="230" customFormat="1">
      <c r="C2586" s="16" t="str">
        <f>IFERROR(VLOOKUP(DATA!#REF!,DATA!#REF!,1,FALSE),"")</f>
        <v/>
      </c>
      <c r="D2586" s="16" t="str">
        <f>IFERROR(VLOOKUP(C2586,DATA!#REF!,2,FALSE),"")</f>
        <v/>
      </c>
    </row>
    <row r="2587" spans="3:4" s="230" customFormat="1">
      <c r="C2587" s="16" t="str">
        <f>IFERROR(VLOOKUP(DATA!#REF!,DATA!#REF!,1,FALSE),"")</f>
        <v/>
      </c>
      <c r="D2587" s="16" t="str">
        <f>IFERROR(VLOOKUP(C2587,DATA!#REF!,2,FALSE),"")</f>
        <v/>
      </c>
    </row>
    <row r="2588" spans="3:4" s="230" customFormat="1">
      <c r="C2588" s="16" t="str">
        <f>IFERROR(VLOOKUP(DATA!#REF!,DATA!#REF!,1,FALSE),"")</f>
        <v/>
      </c>
      <c r="D2588" s="16" t="str">
        <f>IFERROR(VLOOKUP(C2588,DATA!#REF!,2,FALSE),"")</f>
        <v/>
      </c>
    </row>
    <row r="2589" spans="3:4" s="230" customFormat="1">
      <c r="C2589" s="16" t="str">
        <f>IFERROR(VLOOKUP(DATA!#REF!,DATA!#REF!,1,FALSE),"")</f>
        <v/>
      </c>
      <c r="D2589" s="16" t="str">
        <f>IFERROR(VLOOKUP(C2589,DATA!#REF!,2,FALSE),"")</f>
        <v/>
      </c>
    </row>
    <row r="2590" spans="3:4" s="230" customFormat="1">
      <c r="C2590" s="16" t="str">
        <f>IFERROR(VLOOKUP(DATA!#REF!,DATA!#REF!,1,FALSE),"")</f>
        <v/>
      </c>
      <c r="D2590" s="16" t="str">
        <f>IFERROR(VLOOKUP(C2590,DATA!#REF!,2,FALSE),"")</f>
        <v/>
      </c>
    </row>
    <row r="2591" spans="3:4" s="230" customFormat="1">
      <c r="C2591" s="16" t="str">
        <f>IFERROR(VLOOKUP(DATA!#REF!,DATA!#REF!,1,FALSE),"")</f>
        <v/>
      </c>
      <c r="D2591" s="16" t="str">
        <f>IFERROR(VLOOKUP(C2591,DATA!#REF!,2,FALSE),"")</f>
        <v/>
      </c>
    </row>
    <row r="2592" spans="3:4" s="230" customFormat="1">
      <c r="C2592" s="16" t="str">
        <f>IFERROR(VLOOKUP(DATA!#REF!,DATA!#REF!,1,FALSE),"")</f>
        <v/>
      </c>
      <c r="D2592" s="16" t="str">
        <f>IFERROR(VLOOKUP(C2592,DATA!#REF!,2,FALSE),"")</f>
        <v/>
      </c>
    </row>
    <row r="2593" spans="3:4" s="230" customFormat="1">
      <c r="C2593" s="16" t="str">
        <f>IFERROR(VLOOKUP(DATA!#REF!,DATA!#REF!,1,FALSE),"")</f>
        <v/>
      </c>
      <c r="D2593" s="16" t="str">
        <f>IFERROR(VLOOKUP(C2593,DATA!#REF!,2,FALSE),"")</f>
        <v/>
      </c>
    </row>
    <row r="2594" spans="3:4" s="230" customFormat="1">
      <c r="C2594" s="16" t="str">
        <f>IFERROR(VLOOKUP(DATA!#REF!,DATA!#REF!,1,FALSE),"")</f>
        <v/>
      </c>
      <c r="D2594" s="16" t="str">
        <f>IFERROR(VLOOKUP(C2594,DATA!#REF!,2,FALSE),"")</f>
        <v/>
      </c>
    </row>
    <row r="2595" spans="3:4" s="230" customFormat="1">
      <c r="C2595" s="16" t="str">
        <f>IFERROR(VLOOKUP(DATA!#REF!,DATA!#REF!,1,FALSE),"")</f>
        <v/>
      </c>
      <c r="D2595" s="16" t="str">
        <f>IFERROR(VLOOKUP(C2595,DATA!#REF!,2,FALSE),"")</f>
        <v/>
      </c>
    </row>
    <row r="2596" spans="3:4" s="230" customFormat="1">
      <c r="C2596" s="16" t="str">
        <f>IFERROR(VLOOKUP(DATA!#REF!,DATA!#REF!,1,FALSE),"")</f>
        <v/>
      </c>
      <c r="D2596" s="16" t="str">
        <f>IFERROR(VLOOKUP(C2596,DATA!#REF!,2,FALSE),"")</f>
        <v/>
      </c>
    </row>
    <row r="2597" spans="3:4" s="230" customFormat="1">
      <c r="C2597" s="16" t="str">
        <f>IFERROR(VLOOKUP(DATA!#REF!,DATA!#REF!,1,FALSE),"")</f>
        <v/>
      </c>
      <c r="D2597" s="16" t="str">
        <f>IFERROR(VLOOKUP(C2597,DATA!#REF!,2,FALSE),"")</f>
        <v/>
      </c>
    </row>
    <row r="2598" spans="3:4" s="230" customFormat="1">
      <c r="C2598" s="16" t="str">
        <f>IFERROR(VLOOKUP(DATA!#REF!,DATA!#REF!,1,FALSE),"")</f>
        <v/>
      </c>
      <c r="D2598" s="16" t="str">
        <f>IFERROR(VLOOKUP(C2598,DATA!#REF!,2,FALSE),"")</f>
        <v/>
      </c>
    </row>
    <row r="2599" spans="3:4" s="230" customFormat="1">
      <c r="C2599" s="16" t="str">
        <f>IFERROR(VLOOKUP(DATA!#REF!,DATA!#REF!,1,FALSE),"")</f>
        <v/>
      </c>
      <c r="D2599" s="16" t="str">
        <f>IFERROR(VLOOKUP(C2599,DATA!#REF!,2,FALSE),"")</f>
        <v/>
      </c>
    </row>
    <row r="2600" spans="3:4" s="230" customFormat="1">
      <c r="C2600" s="16" t="str">
        <f>IFERROR(VLOOKUP(DATA!#REF!,DATA!#REF!,1,FALSE),"")</f>
        <v/>
      </c>
      <c r="D2600" s="16" t="str">
        <f>IFERROR(VLOOKUP(C2600,DATA!#REF!,2,FALSE),"")</f>
        <v/>
      </c>
    </row>
    <row r="2601" spans="3:4" s="230" customFormat="1">
      <c r="C2601" s="16" t="str">
        <f>IFERROR(VLOOKUP(DATA!#REF!,DATA!#REF!,1,FALSE),"")</f>
        <v/>
      </c>
      <c r="D2601" s="16" t="str">
        <f>IFERROR(VLOOKUP(C2601,DATA!#REF!,2,FALSE),"")</f>
        <v/>
      </c>
    </row>
    <row r="2602" spans="3:4" s="230" customFormat="1">
      <c r="C2602" s="16" t="str">
        <f>IFERROR(VLOOKUP(DATA!#REF!,DATA!#REF!,1,FALSE),"")</f>
        <v/>
      </c>
      <c r="D2602" s="16" t="str">
        <f>IFERROR(VLOOKUP(C2602,DATA!#REF!,2,FALSE),"")</f>
        <v/>
      </c>
    </row>
    <row r="2603" spans="3:4" s="230" customFormat="1">
      <c r="C2603" s="16" t="str">
        <f>IFERROR(VLOOKUP(DATA!#REF!,DATA!#REF!,1,FALSE),"")</f>
        <v/>
      </c>
      <c r="D2603" s="16" t="str">
        <f>IFERROR(VLOOKUP(C2603,DATA!#REF!,2,FALSE),"")</f>
        <v/>
      </c>
    </row>
    <row r="2604" spans="3:4" s="230" customFormat="1">
      <c r="C2604" s="16" t="str">
        <f>IFERROR(VLOOKUP(DATA!#REF!,DATA!#REF!,1,FALSE),"")</f>
        <v/>
      </c>
      <c r="D2604" s="16" t="str">
        <f>IFERROR(VLOOKUP(C2604,DATA!#REF!,2,FALSE),"")</f>
        <v/>
      </c>
    </row>
    <row r="2605" spans="3:4" s="230" customFormat="1">
      <c r="C2605" s="16" t="str">
        <f>IFERROR(VLOOKUP(DATA!#REF!,DATA!#REF!,1,FALSE),"")</f>
        <v/>
      </c>
      <c r="D2605" s="16" t="str">
        <f>IFERROR(VLOOKUP(C2605,DATA!#REF!,2,FALSE),"")</f>
        <v/>
      </c>
    </row>
    <row r="2606" spans="3:4" s="230" customFormat="1">
      <c r="C2606" s="16" t="str">
        <f>IFERROR(VLOOKUP(DATA!#REF!,DATA!#REF!,1,FALSE),"")</f>
        <v/>
      </c>
      <c r="D2606" s="16" t="str">
        <f>IFERROR(VLOOKUP(C2606,DATA!#REF!,2,FALSE),"")</f>
        <v/>
      </c>
    </row>
    <row r="2607" spans="3:4" s="230" customFormat="1">
      <c r="C2607" s="16" t="str">
        <f>IFERROR(VLOOKUP(DATA!#REF!,DATA!#REF!,1,FALSE),"")</f>
        <v/>
      </c>
      <c r="D2607" s="16" t="str">
        <f>IFERROR(VLOOKUP(C2607,DATA!#REF!,2,FALSE),"")</f>
        <v/>
      </c>
    </row>
    <row r="2608" spans="3:4" s="230" customFormat="1">
      <c r="C2608" s="16" t="str">
        <f>IFERROR(VLOOKUP(DATA!#REF!,DATA!#REF!,1,FALSE),"")</f>
        <v/>
      </c>
      <c r="D2608" s="16" t="str">
        <f>IFERROR(VLOOKUP(C2608,DATA!#REF!,2,FALSE),"")</f>
        <v/>
      </c>
    </row>
    <row r="2609" spans="3:4" s="230" customFormat="1">
      <c r="C2609" s="16" t="str">
        <f>IFERROR(VLOOKUP(DATA!#REF!,DATA!#REF!,1,FALSE),"")</f>
        <v/>
      </c>
      <c r="D2609" s="16" t="str">
        <f>IFERROR(VLOOKUP(C2609,DATA!#REF!,2,FALSE),"")</f>
        <v/>
      </c>
    </row>
    <row r="2610" spans="3:4" s="230" customFormat="1">
      <c r="C2610" s="16" t="str">
        <f>IFERROR(VLOOKUP(DATA!#REF!,DATA!#REF!,1,FALSE),"")</f>
        <v/>
      </c>
      <c r="D2610" s="16" t="str">
        <f>IFERROR(VLOOKUP(C2610,DATA!#REF!,2,FALSE),"")</f>
        <v/>
      </c>
    </row>
    <row r="2611" spans="3:4" s="230" customFormat="1">
      <c r="C2611" s="16" t="str">
        <f>IFERROR(VLOOKUP(DATA!#REF!,DATA!#REF!,1,FALSE),"")</f>
        <v/>
      </c>
      <c r="D2611" s="16" t="str">
        <f>IFERROR(VLOOKUP(C2611,DATA!#REF!,2,FALSE),"")</f>
        <v/>
      </c>
    </row>
    <row r="2612" spans="3:4" s="230" customFormat="1">
      <c r="C2612" s="16" t="str">
        <f>IFERROR(VLOOKUP(DATA!#REF!,DATA!#REF!,1,FALSE),"")</f>
        <v/>
      </c>
      <c r="D2612" s="16" t="str">
        <f>IFERROR(VLOOKUP(C2612,DATA!#REF!,2,FALSE),"")</f>
        <v/>
      </c>
    </row>
    <row r="2613" spans="3:4" s="230" customFormat="1">
      <c r="C2613" s="16" t="str">
        <f>IFERROR(VLOOKUP(DATA!#REF!,DATA!#REF!,1,FALSE),"")</f>
        <v/>
      </c>
      <c r="D2613" s="16" t="str">
        <f>IFERROR(VLOOKUP(C2613,DATA!#REF!,2,FALSE),"")</f>
        <v/>
      </c>
    </row>
    <row r="2614" spans="3:4" s="230" customFormat="1">
      <c r="C2614" s="16" t="str">
        <f>IFERROR(VLOOKUP(DATA!#REF!,DATA!#REF!,1,FALSE),"")</f>
        <v/>
      </c>
      <c r="D2614" s="16" t="str">
        <f>IFERROR(VLOOKUP(C2614,DATA!#REF!,2,FALSE),"")</f>
        <v/>
      </c>
    </row>
    <row r="2615" spans="3:4" s="230" customFormat="1">
      <c r="C2615" s="16" t="str">
        <f>IFERROR(VLOOKUP(DATA!#REF!,DATA!#REF!,1,FALSE),"")</f>
        <v/>
      </c>
      <c r="D2615" s="16" t="str">
        <f>IFERROR(VLOOKUP(C2615,DATA!#REF!,2,FALSE),"")</f>
        <v/>
      </c>
    </row>
    <row r="2616" spans="3:4" s="230" customFormat="1">
      <c r="C2616" s="16" t="str">
        <f>IFERROR(VLOOKUP(DATA!#REF!,DATA!#REF!,1,FALSE),"")</f>
        <v/>
      </c>
      <c r="D2616" s="16" t="str">
        <f>IFERROR(VLOOKUP(C2616,DATA!#REF!,2,FALSE),"")</f>
        <v/>
      </c>
    </row>
    <row r="2617" spans="3:4" s="230" customFormat="1">
      <c r="C2617" s="16" t="str">
        <f>IFERROR(VLOOKUP(DATA!#REF!,DATA!#REF!,1,FALSE),"")</f>
        <v/>
      </c>
      <c r="D2617" s="16" t="str">
        <f>IFERROR(VLOOKUP(C2617,DATA!#REF!,2,FALSE),"")</f>
        <v/>
      </c>
    </row>
    <row r="2618" spans="3:4" s="230" customFormat="1">
      <c r="C2618" s="16" t="str">
        <f>IFERROR(VLOOKUP(DATA!#REF!,DATA!#REF!,1,FALSE),"")</f>
        <v/>
      </c>
      <c r="D2618" s="16" t="str">
        <f>IFERROR(VLOOKUP(C2618,DATA!#REF!,2,FALSE),"")</f>
        <v/>
      </c>
    </row>
    <row r="2619" spans="3:4" s="230" customFormat="1">
      <c r="C2619" s="16" t="str">
        <f>IFERROR(VLOOKUP(DATA!#REF!,DATA!#REF!,1,FALSE),"")</f>
        <v/>
      </c>
      <c r="D2619" s="16" t="str">
        <f>IFERROR(VLOOKUP(C2619,DATA!#REF!,2,FALSE),"")</f>
        <v/>
      </c>
    </row>
    <row r="2620" spans="3:4" s="230" customFormat="1">
      <c r="C2620" s="16" t="str">
        <f>IFERROR(VLOOKUP(DATA!#REF!,DATA!#REF!,1,FALSE),"")</f>
        <v/>
      </c>
      <c r="D2620" s="16" t="str">
        <f>IFERROR(VLOOKUP(C2620,DATA!#REF!,2,FALSE),"")</f>
        <v/>
      </c>
    </row>
    <row r="2621" spans="3:4" s="230" customFormat="1">
      <c r="C2621" s="16" t="str">
        <f>IFERROR(VLOOKUP(DATA!#REF!,DATA!#REF!,1,FALSE),"")</f>
        <v/>
      </c>
      <c r="D2621" s="16" t="str">
        <f>IFERROR(VLOOKUP(C2621,DATA!#REF!,2,FALSE),"")</f>
        <v/>
      </c>
    </row>
    <row r="2622" spans="3:4" s="230" customFormat="1">
      <c r="C2622" s="16" t="str">
        <f>IFERROR(VLOOKUP(DATA!#REF!,DATA!#REF!,1,FALSE),"")</f>
        <v/>
      </c>
      <c r="D2622" s="16" t="str">
        <f>IFERROR(VLOOKUP(C2622,DATA!#REF!,2,FALSE),"")</f>
        <v/>
      </c>
    </row>
    <row r="2623" spans="3:4" s="230" customFormat="1">
      <c r="C2623" s="16" t="str">
        <f>IFERROR(VLOOKUP(DATA!#REF!,DATA!#REF!,1,FALSE),"")</f>
        <v/>
      </c>
      <c r="D2623" s="16" t="str">
        <f>IFERROR(VLOOKUP(C2623,DATA!#REF!,2,FALSE),"")</f>
        <v/>
      </c>
    </row>
    <row r="2624" spans="3:4" s="230" customFormat="1">
      <c r="C2624" s="16" t="str">
        <f>IFERROR(VLOOKUP(DATA!#REF!,DATA!#REF!,1,FALSE),"")</f>
        <v/>
      </c>
      <c r="D2624" s="16" t="str">
        <f>IFERROR(VLOOKUP(C2624,DATA!#REF!,2,FALSE),"")</f>
        <v/>
      </c>
    </row>
    <row r="2625" spans="3:4" s="230" customFormat="1">
      <c r="C2625" s="16" t="str">
        <f>IFERROR(VLOOKUP(DATA!#REF!,DATA!#REF!,1,FALSE),"")</f>
        <v/>
      </c>
      <c r="D2625" s="16" t="str">
        <f>IFERROR(VLOOKUP(C2625,DATA!#REF!,2,FALSE),"")</f>
        <v/>
      </c>
    </row>
    <row r="2626" spans="3:4" s="230" customFormat="1">
      <c r="C2626" s="16" t="str">
        <f>IFERROR(VLOOKUP(DATA!#REF!,DATA!#REF!,1,FALSE),"")</f>
        <v/>
      </c>
      <c r="D2626" s="16" t="str">
        <f>IFERROR(VLOOKUP(C2626,DATA!#REF!,2,FALSE),"")</f>
        <v/>
      </c>
    </row>
    <row r="2627" spans="3:4" s="230" customFormat="1">
      <c r="C2627" s="16" t="str">
        <f>IFERROR(VLOOKUP(DATA!#REF!,DATA!#REF!,1,FALSE),"")</f>
        <v/>
      </c>
      <c r="D2627" s="16" t="str">
        <f>IFERROR(VLOOKUP(C2627,DATA!#REF!,2,FALSE),"")</f>
        <v/>
      </c>
    </row>
    <row r="2628" spans="3:4" s="230" customFormat="1">
      <c r="C2628" s="16" t="str">
        <f>IFERROR(VLOOKUP(DATA!#REF!,DATA!#REF!,1,FALSE),"")</f>
        <v/>
      </c>
      <c r="D2628" s="16" t="str">
        <f>IFERROR(VLOOKUP(C2628,DATA!#REF!,2,FALSE),"")</f>
        <v/>
      </c>
    </row>
    <row r="2629" spans="3:4" s="230" customFormat="1">
      <c r="C2629" s="16" t="str">
        <f>IFERROR(VLOOKUP(DATA!#REF!,DATA!#REF!,1,FALSE),"")</f>
        <v/>
      </c>
      <c r="D2629" s="16" t="str">
        <f>IFERROR(VLOOKUP(C2629,DATA!#REF!,2,FALSE),"")</f>
        <v/>
      </c>
    </row>
    <row r="2630" spans="3:4" s="230" customFormat="1">
      <c r="C2630" s="16" t="str">
        <f>IFERROR(VLOOKUP(DATA!#REF!,DATA!#REF!,1,FALSE),"")</f>
        <v/>
      </c>
      <c r="D2630" s="16" t="str">
        <f>IFERROR(VLOOKUP(C2630,DATA!#REF!,2,FALSE),"")</f>
        <v/>
      </c>
    </row>
    <row r="2631" spans="3:4" s="230" customFormat="1">
      <c r="C2631" s="16" t="str">
        <f>IFERROR(VLOOKUP(DATA!#REF!,DATA!#REF!,1,FALSE),"")</f>
        <v/>
      </c>
      <c r="D2631" s="16" t="str">
        <f>IFERROR(VLOOKUP(C2631,DATA!#REF!,2,FALSE),"")</f>
        <v/>
      </c>
    </row>
    <row r="2632" spans="3:4" s="230" customFormat="1">
      <c r="C2632" s="16" t="str">
        <f>IFERROR(VLOOKUP(DATA!#REF!,DATA!#REF!,1,FALSE),"")</f>
        <v/>
      </c>
      <c r="D2632" s="16" t="str">
        <f>IFERROR(VLOOKUP(C2632,DATA!#REF!,2,FALSE),"")</f>
        <v/>
      </c>
    </row>
    <row r="2633" spans="3:4" s="230" customFormat="1">
      <c r="C2633" s="16" t="str">
        <f>IFERROR(VLOOKUP(DATA!#REF!,DATA!#REF!,1,FALSE),"")</f>
        <v/>
      </c>
      <c r="D2633" s="16" t="str">
        <f>IFERROR(VLOOKUP(C2633,DATA!#REF!,2,FALSE),"")</f>
        <v/>
      </c>
    </row>
    <row r="2634" spans="3:4" s="230" customFormat="1">
      <c r="C2634" s="16" t="str">
        <f>IFERROR(VLOOKUP(DATA!#REF!,DATA!#REF!,1,FALSE),"")</f>
        <v/>
      </c>
      <c r="D2634" s="16" t="str">
        <f>IFERROR(VLOOKUP(C2634,DATA!#REF!,2,FALSE),"")</f>
        <v/>
      </c>
    </row>
    <row r="2635" spans="3:4" s="230" customFormat="1">
      <c r="C2635" s="16" t="str">
        <f>IFERROR(VLOOKUP(DATA!#REF!,DATA!#REF!,1,FALSE),"")</f>
        <v/>
      </c>
      <c r="D2635" s="16" t="str">
        <f>IFERROR(VLOOKUP(C2635,DATA!#REF!,2,FALSE),"")</f>
        <v/>
      </c>
    </row>
    <row r="2636" spans="3:4" s="230" customFormat="1">
      <c r="C2636" s="16" t="str">
        <f>IFERROR(VLOOKUP(DATA!#REF!,DATA!#REF!,1,FALSE),"")</f>
        <v/>
      </c>
      <c r="D2636" s="16" t="str">
        <f>IFERROR(VLOOKUP(C2636,DATA!#REF!,2,FALSE),"")</f>
        <v/>
      </c>
    </row>
    <row r="2637" spans="3:4" s="230" customFormat="1">
      <c r="C2637" s="16" t="str">
        <f>IFERROR(VLOOKUP(DATA!#REF!,DATA!#REF!,1,FALSE),"")</f>
        <v/>
      </c>
      <c r="D2637" s="16" t="str">
        <f>IFERROR(VLOOKUP(C2637,DATA!#REF!,2,FALSE),"")</f>
        <v/>
      </c>
    </row>
    <row r="2638" spans="3:4" s="230" customFormat="1">
      <c r="C2638" s="16" t="str">
        <f>IFERROR(VLOOKUP(DATA!#REF!,DATA!#REF!,1,FALSE),"")</f>
        <v/>
      </c>
      <c r="D2638" s="16" t="str">
        <f>IFERROR(VLOOKUP(C2638,DATA!#REF!,2,FALSE),"")</f>
        <v/>
      </c>
    </row>
    <row r="2639" spans="3:4" s="230" customFormat="1">
      <c r="C2639" s="16" t="str">
        <f>IFERROR(VLOOKUP(DATA!#REF!,DATA!#REF!,1,FALSE),"")</f>
        <v/>
      </c>
      <c r="D2639" s="16" t="str">
        <f>IFERROR(VLOOKUP(C2639,DATA!#REF!,2,FALSE),"")</f>
        <v/>
      </c>
    </row>
    <row r="2640" spans="3:4" s="230" customFormat="1">
      <c r="C2640" s="16" t="str">
        <f>IFERROR(VLOOKUP(DATA!#REF!,DATA!#REF!,1,FALSE),"")</f>
        <v/>
      </c>
      <c r="D2640" s="16" t="str">
        <f>IFERROR(VLOOKUP(C2640,DATA!#REF!,2,FALSE),"")</f>
        <v/>
      </c>
    </row>
    <row r="2641" spans="3:4" s="230" customFormat="1">
      <c r="C2641" s="16" t="str">
        <f>IFERROR(VLOOKUP(DATA!#REF!,DATA!#REF!,1,FALSE),"")</f>
        <v/>
      </c>
      <c r="D2641" s="16" t="str">
        <f>IFERROR(VLOOKUP(C2641,DATA!#REF!,2,FALSE),"")</f>
        <v/>
      </c>
    </row>
    <row r="2642" spans="3:4" s="230" customFormat="1">
      <c r="C2642" s="16" t="str">
        <f>IFERROR(VLOOKUP(DATA!#REF!,DATA!#REF!,1,FALSE),"")</f>
        <v/>
      </c>
      <c r="D2642" s="16" t="str">
        <f>IFERROR(VLOOKUP(C2642,DATA!#REF!,2,FALSE),"")</f>
        <v/>
      </c>
    </row>
    <row r="2643" spans="3:4" s="230" customFormat="1">
      <c r="C2643" s="16" t="str">
        <f>IFERROR(VLOOKUP(DATA!#REF!,DATA!#REF!,1,FALSE),"")</f>
        <v/>
      </c>
      <c r="D2643" s="16" t="str">
        <f>IFERROR(VLOOKUP(C2643,DATA!#REF!,2,FALSE),"")</f>
        <v/>
      </c>
    </row>
    <row r="2644" spans="3:4" s="230" customFormat="1">
      <c r="C2644" s="16" t="str">
        <f>IFERROR(VLOOKUP(DATA!#REF!,DATA!#REF!,1,FALSE),"")</f>
        <v/>
      </c>
      <c r="D2644" s="16" t="str">
        <f>IFERROR(VLOOKUP(C2644,DATA!#REF!,2,FALSE),"")</f>
        <v/>
      </c>
    </row>
    <row r="2645" spans="3:4" s="230" customFormat="1">
      <c r="C2645" s="16" t="str">
        <f>IFERROR(VLOOKUP(DATA!#REF!,DATA!#REF!,1,FALSE),"")</f>
        <v/>
      </c>
      <c r="D2645" s="16" t="str">
        <f>IFERROR(VLOOKUP(C2645,DATA!#REF!,2,FALSE),"")</f>
        <v/>
      </c>
    </row>
    <row r="2646" spans="3:4" s="230" customFormat="1">
      <c r="C2646" s="16" t="str">
        <f>IFERROR(VLOOKUP(DATA!#REF!,DATA!#REF!,1,FALSE),"")</f>
        <v/>
      </c>
      <c r="D2646" s="16" t="str">
        <f>IFERROR(VLOOKUP(C2646,DATA!#REF!,2,FALSE),"")</f>
        <v/>
      </c>
    </row>
    <row r="2647" spans="3:4" s="230" customFormat="1">
      <c r="C2647" s="16" t="str">
        <f>IFERROR(VLOOKUP(DATA!#REF!,DATA!#REF!,1,FALSE),"")</f>
        <v/>
      </c>
      <c r="D2647" s="16" t="str">
        <f>IFERROR(VLOOKUP(C2647,DATA!#REF!,2,FALSE),"")</f>
        <v/>
      </c>
    </row>
    <row r="2648" spans="3:4" s="230" customFormat="1">
      <c r="C2648" s="16" t="str">
        <f>IFERROR(VLOOKUP(DATA!#REF!,DATA!#REF!,1,FALSE),"")</f>
        <v/>
      </c>
      <c r="D2648" s="16" t="str">
        <f>IFERROR(VLOOKUP(C2648,DATA!#REF!,2,FALSE),"")</f>
        <v/>
      </c>
    </row>
    <row r="2649" spans="3:4" s="230" customFormat="1">
      <c r="C2649" s="16" t="str">
        <f>IFERROR(VLOOKUP(DATA!#REF!,DATA!#REF!,1,FALSE),"")</f>
        <v/>
      </c>
      <c r="D2649" s="16" t="str">
        <f>IFERROR(VLOOKUP(C2649,DATA!#REF!,2,FALSE),"")</f>
        <v/>
      </c>
    </row>
    <row r="2650" spans="3:4" s="230" customFormat="1">
      <c r="C2650" s="16" t="str">
        <f>IFERROR(VLOOKUP(DATA!#REF!,DATA!#REF!,1,FALSE),"")</f>
        <v/>
      </c>
      <c r="D2650" s="16" t="str">
        <f>IFERROR(VLOOKUP(C2650,DATA!#REF!,2,FALSE),"")</f>
        <v/>
      </c>
    </row>
    <row r="2651" spans="3:4" s="230" customFormat="1">
      <c r="C2651" s="16" t="str">
        <f>IFERROR(VLOOKUP(DATA!#REF!,DATA!#REF!,1,FALSE),"")</f>
        <v/>
      </c>
      <c r="D2651" s="16" t="str">
        <f>IFERROR(VLOOKUP(C2651,DATA!#REF!,2,FALSE),"")</f>
        <v/>
      </c>
    </row>
    <row r="2652" spans="3:4" s="230" customFormat="1">
      <c r="C2652" s="16" t="str">
        <f>IFERROR(VLOOKUP(DATA!#REF!,DATA!#REF!,1,FALSE),"")</f>
        <v/>
      </c>
      <c r="D2652" s="16" t="str">
        <f>IFERROR(VLOOKUP(C2652,DATA!#REF!,2,FALSE),"")</f>
        <v/>
      </c>
    </row>
    <row r="2653" spans="3:4" s="230" customFormat="1">
      <c r="C2653" s="16" t="str">
        <f>IFERROR(VLOOKUP(DATA!#REF!,DATA!#REF!,1,FALSE),"")</f>
        <v/>
      </c>
      <c r="D2653" s="16" t="str">
        <f>IFERROR(VLOOKUP(C2653,DATA!#REF!,2,FALSE),"")</f>
        <v/>
      </c>
    </row>
    <row r="2654" spans="3:4" s="230" customFormat="1">
      <c r="C2654" s="16" t="str">
        <f>IFERROR(VLOOKUP(DATA!#REF!,DATA!#REF!,1,FALSE),"")</f>
        <v/>
      </c>
      <c r="D2654" s="16" t="str">
        <f>IFERROR(VLOOKUP(C2654,DATA!#REF!,2,FALSE),"")</f>
        <v/>
      </c>
    </row>
    <row r="2655" spans="3:4" s="230" customFormat="1">
      <c r="C2655" s="16" t="str">
        <f>IFERROR(VLOOKUP(DATA!#REF!,DATA!#REF!,1,FALSE),"")</f>
        <v/>
      </c>
      <c r="D2655" s="16" t="str">
        <f>IFERROR(VLOOKUP(C2655,DATA!#REF!,2,FALSE),"")</f>
        <v/>
      </c>
    </row>
    <row r="2656" spans="3:4" s="230" customFormat="1">
      <c r="C2656" s="16" t="str">
        <f>IFERROR(VLOOKUP(DATA!#REF!,DATA!#REF!,1,FALSE),"")</f>
        <v/>
      </c>
      <c r="D2656" s="16" t="str">
        <f>IFERROR(VLOOKUP(C2656,DATA!#REF!,2,FALSE),"")</f>
        <v/>
      </c>
    </row>
    <row r="2657" spans="3:4" s="230" customFormat="1">
      <c r="C2657" s="16" t="str">
        <f>IFERROR(VLOOKUP(DATA!#REF!,DATA!#REF!,1,FALSE),"")</f>
        <v/>
      </c>
      <c r="D2657" s="16" t="str">
        <f>IFERROR(VLOOKUP(C2657,DATA!#REF!,2,FALSE),"")</f>
        <v/>
      </c>
    </row>
    <row r="2658" spans="3:4" s="230" customFormat="1">
      <c r="C2658" s="16" t="str">
        <f>IFERROR(VLOOKUP(DATA!#REF!,DATA!#REF!,1,FALSE),"")</f>
        <v/>
      </c>
      <c r="D2658" s="16" t="str">
        <f>IFERROR(VLOOKUP(C2658,DATA!#REF!,2,FALSE),"")</f>
        <v/>
      </c>
    </row>
    <row r="2659" spans="3:4" s="230" customFormat="1">
      <c r="C2659" s="16" t="str">
        <f>IFERROR(VLOOKUP(DATA!#REF!,DATA!#REF!,1,FALSE),"")</f>
        <v/>
      </c>
      <c r="D2659" s="16" t="str">
        <f>IFERROR(VLOOKUP(C2659,DATA!#REF!,2,FALSE),"")</f>
        <v/>
      </c>
    </row>
    <row r="2660" spans="3:4" s="230" customFormat="1">
      <c r="C2660" s="16" t="str">
        <f>IFERROR(VLOOKUP(DATA!#REF!,DATA!#REF!,1,FALSE),"")</f>
        <v/>
      </c>
      <c r="D2660" s="16" t="str">
        <f>IFERROR(VLOOKUP(C2660,DATA!#REF!,2,FALSE),"")</f>
        <v/>
      </c>
    </row>
    <row r="2661" spans="3:4" s="230" customFormat="1">
      <c r="C2661" s="16" t="str">
        <f>IFERROR(VLOOKUP(DATA!#REF!,DATA!#REF!,1,FALSE),"")</f>
        <v/>
      </c>
      <c r="D2661" s="16" t="str">
        <f>IFERROR(VLOOKUP(C2661,DATA!#REF!,2,FALSE),"")</f>
        <v/>
      </c>
    </row>
    <row r="2662" spans="3:4" s="230" customFormat="1">
      <c r="C2662" s="16" t="str">
        <f>IFERROR(VLOOKUP(DATA!#REF!,DATA!#REF!,1,FALSE),"")</f>
        <v/>
      </c>
      <c r="D2662" s="16" t="str">
        <f>IFERROR(VLOOKUP(C2662,DATA!#REF!,2,FALSE),"")</f>
        <v/>
      </c>
    </row>
    <row r="2663" spans="3:4" s="230" customFormat="1">
      <c r="C2663" s="16" t="str">
        <f>IFERROR(VLOOKUP(DATA!#REF!,DATA!#REF!,1,FALSE),"")</f>
        <v/>
      </c>
      <c r="D2663" s="16" t="str">
        <f>IFERROR(VLOOKUP(C2663,DATA!#REF!,2,FALSE),"")</f>
        <v/>
      </c>
    </row>
    <row r="2664" spans="3:4" s="230" customFormat="1">
      <c r="C2664" s="16" t="str">
        <f>IFERROR(VLOOKUP(DATA!#REF!,DATA!#REF!,1,FALSE),"")</f>
        <v/>
      </c>
      <c r="D2664" s="16" t="str">
        <f>IFERROR(VLOOKUP(C2664,DATA!#REF!,2,FALSE),"")</f>
        <v/>
      </c>
    </row>
    <row r="2665" spans="3:4" s="230" customFormat="1">
      <c r="C2665" s="16" t="str">
        <f>IFERROR(VLOOKUP(DATA!#REF!,DATA!#REF!,1,FALSE),"")</f>
        <v/>
      </c>
      <c r="D2665" s="16" t="str">
        <f>IFERROR(VLOOKUP(C2665,DATA!#REF!,2,FALSE),"")</f>
        <v/>
      </c>
    </row>
    <row r="2666" spans="3:4" s="230" customFormat="1">
      <c r="C2666" s="16" t="str">
        <f>IFERROR(VLOOKUP(DATA!#REF!,DATA!#REF!,1,FALSE),"")</f>
        <v/>
      </c>
      <c r="D2666" s="16" t="str">
        <f>IFERROR(VLOOKUP(C2666,DATA!#REF!,2,FALSE),"")</f>
        <v/>
      </c>
    </row>
    <row r="2667" spans="3:4" s="230" customFormat="1">
      <c r="C2667" s="16" t="str">
        <f>IFERROR(VLOOKUP(DATA!#REF!,DATA!#REF!,1,FALSE),"")</f>
        <v/>
      </c>
      <c r="D2667" s="16" t="str">
        <f>IFERROR(VLOOKUP(C2667,DATA!#REF!,2,FALSE),"")</f>
        <v/>
      </c>
    </row>
    <row r="2668" spans="3:4" s="230" customFormat="1">
      <c r="C2668" s="16" t="str">
        <f>IFERROR(VLOOKUP(DATA!#REF!,DATA!#REF!,1,FALSE),"")</f>
        <v/>
      </c>
      <c r="D2668" s="16" t="str">
        <f>IFERROR(VLOOKUP(C2668,DATA!#REF!,2,FALSE),"")</f>
        <v/>
      </c>
    </row>
    <row r="2669" spans="3:4" s="230" customFormat="1">
      <c r="C2669" s="16" t="str">
        <f>IFERROR(VLOOKUP(DATA!#REF!,DATA!#REF!,1,FALSE),"")</f>
        <v/>
      </c>
      <c r="D2669" s="16" t="str">
        <f>IFERROR(VLOOKUP(C2669,DATA!#REF!,2,FALSE),"")</f>
        <v/>
      </c>
    </row>
    <row r="2670" spans="3:4" s="230" customFormat="1">
      <c r="C2670" s="16" t="str">
        <f>IFERROR(VLOOKUP(DATA!#REF!,DATA!#REF!,1,FALSE),"")</f>
        <v/>
      </c>
      <c r="D2670" s="16" t="str">
        <f>IFERROR(VLOOKUP(C2670,DATA!#REF!,2,FALSE),"")</f>
        <v/>
      </c>
    </row>
    <row r="2671" spans="3:4" s="230" customFormat="1">
      <c r="C2671" s="16" t="str">
        <f>IFERROR(VLOOKUP(DATA!#REF!,DATA!#REF!,1,FALSE),"")</f>
        <v/>
      </c>
      <c r="D2671" s="16" t="str">
        <f>IFERROR(VLOOKUP(C2671,DATA!#REF!,2,FALSE),"")</f>
        <v/>
      </c>
    </row>
    <row r="2672" spans="3:4" s="230" customFormat="1">
      <c r="C2672" s="16" t="str">
        <f>IFERROR(VLOOKUP(DATA!#REF!,DATA!#REF!,1,FALSE),"")</f>
        <v/>
      </c>
      <c r="D2672" s="16" t="str">
        <f>IFERROR(VLOOKUP(C2672,DATA!#REF!,2,FALSE),"")</f>
        <v/>
      </c>
    </row>
    <row r="2673" spans="3:4" s="230" customFormat="1">
      <c r="C2673" s="16" t="str">
        <f>IFERROR(VLOOKUP(DATA!#REF!,DATA!#REF!,1,FALSE),"")</f>
        <v/>
      </c>
      <c r="D2673" s="16" t="str">
        <f>IFERROR(VLOOKUP(C2673,DATA!#REF!,2,FALSE),"")</f>
        <v/>
      </c>
    </row>
    <row r="2674" spans="3:4" s="230" customFormat="1">
      <c r="C2674" s="16" t="str">
        <f>IFERROR(VLOOKUP(DATA!#REF!,DATA!#REF!,1,FALSE),"")</f>
        <v/>
      </c>
      <c r="D2674" s="16" t="str">
        <f>IFERROR(VLOOKUP(C2674,DATA!#REF!,2,FALSE),"")</f>
        <v/>
      </c>
    </row>
    <row r="2675" spans="3:4" s="230" customFormat="1">
      <c r="C2675" s="16" t="str">
        <f>IFERROR(VLOOKUP(DATA!#REF!,DATA!#REF!,1,FALSE),"")</f>
        <v/>
      </c>
      <c r="D2675" s="16" t="str">
        <f>IFERROR(VLOOKUP(C2675,DATA!#REF!,2,FALSE),"")</f>
        <v/>
      </c>
    </row>
    <row r="2676" spans="3:4" s="230" customFormat="1">
      <c r="C2676" s="16" t="str">
        <f>IFERROR(VLOOKUP(DATA!#REF!,DATA!#REF!,1,FALSE),"")</f>
        <v/>
      </c>
      <c r="D2676" s="16" t="str">
        <f>IFERROR(VLOOKUP(C2676,DATA!#REF!,2,FALSE),"")</f>
        <v/>
      </c>
    </row>
    <row r="2677" spans="3:4" s="230" customFormat="1">
      <c r="C2677" s="16" t="str">
        <f>IFERROR(VLOOKUP(DATA!#REF!,DATA!#REF!,1,FALSE),"")</f>
        <v/>
      </c>
      <c r="D2677" s="16" t="str">
        <f>IFERROR(VLOOKUP(C2677,DATA!#REF!,2,FALSE),"")</f>
        <v/>
      </c>
    </row>
    <row r="2678" spans="3:4" s="230" customFormat="1">
      <c r="C2678" s="16" t="str">
        <f>IFERROR(VLOOKUP(DATA!#REF!,DATA!#REF!,1,FALSE),"")</f>
        <v/>
      </c>
      <c r="D2678" s="16" t="str">
        <f>IFERROR(VLOOKUP(C2678,DATA!#REF!,2,FALSE),"")</f>
        <v/>
      </c>
    </row>
    <row r="2679" spans="3:4" s="230" customFormat="1">
      <c r="C2679" s="16" t="str">
        <f>IFERROR(VLOOKUP(DATA!#REF!,DATA!#REF!,1,FALSE),"")</f>
        <v/>
      </c>
      <c r="D2679" s="16" t="str">
        <f>IFERROR(VLOOKUP(C2679,DATA!#REF!,2,FALSE),"")</f>
        <v/>
      </c>
    </row>
    <row r="2680" spans="3:4" s="230" customFormat="1">
      <c r="C2680" s="16" t="str">
        <f>IFERROR(VLOOKUP(DATA!#REF!,DATA!#REF!,1,FALSE),"")</f>
        <v/>
      </c>
      <c r="D2680" s="16" t="str">
        <f>IFERROR(VLOOKUP(C2680,DATA!#REF!,2,FALSE),"")</f>
        <v/>
      </c>
    </row>
    <row r="2681" spans="3:4" s="230" customFormat="1">
      <c r="C2681" s="16" t="str">
        <f>IFERROR(VLOOKUP(DATA!#REF!,DATA!#REF!,1,FALSE),"")</f>
        <v/>
      </c>
      <c r="D2681" s="16" t="str">
        <f>IFERROR(VLOOKUP(C2681,DATA!#REF!,2,FALSE),"")</f>
        <v/>
      </c>
    </row>
    <row r="2682" spans="3:4" s="230" customFormat="1">
      <c r="C2682" s="16" t="str">
        <f>IFERROR(VLOOKUP(DATA!#REF!,DATA!#REF!,1,FALSE),"")</f>
        <v/>
      </c>
      <c r="D2682" s="16" t="str">
        <f>IFERROR(VLOOKUP(C2682,DATA!#REF!,2,FALSE),"")</f>
        <v/>
      </c>
    </row>
    <row r="2683" spans="3:4" s="230" customFormat="1">
      <c r="C2683" s="16" t="str">
        <f>IFERROR(VLOOKUP(DATA!#REF!,DATA!#REF!,1,FALSE),"")</f>
        <v/>
      </c>
      <c r="D2683" s="16" t="str">
        <f>IFERROR(VLOOKUP(C2683,DATA!#REF!,2,FALSE),"")</f>
        <v/>
      </c>
    </row>
    <row r="2684" spans="3:4" s="230" customFormat="1">
      <c r="C2684" s="16" t="str">
        <f>IFERROR(VLOOKUP(DATA!#REF!,DATA!#REF!,1,FALSE),"")</f>
        <v/>
      </c>
      <c r="D2684" s="16" t="str">
        <f>IFERROR(VLOOKUP(C2684,DATA!#REF!,2,FALSE),"")</f>
        <v/>
      </c>
    </row>
    <row r="2685" spans="3:4" s="230" customFormat="1">
      <c r="C2685" s="16" t="str">
        <f>IFERROR(VLOOKUP(DATA!#REF!,DATA!#REF!,1,FALSE),"")</f>
        <v/>
      </c>
      <c r="D2685" s="16" t="str">
        <f>IFERROR(VLOOKUP(C2685,DATA!#REF!,2,FALSE),"")</f>
        <v/>
      </c>
    </row>
    <row r="2686" spans="3:4" s="230" customFormat="1">
      <c r="C2686" s="16" t="str">
        <f>IFERROR(VLOOKUP(DATA!#REF!,DATA!#REF!,1,FALSE),"")</f>
        <v/>
      </c>
      <c r="D2686" s="16" t="str">
        <f>IFERROR(VLOOKUP(C2686,DATA!#REF!,2,FALSE),"")</f>
        <v/>
      </c>
    </row>
    <row r="2687" spans="3:4" s="230" customFormat="1">
      <c r="C2687" s="16" t="str">
        <f>IFERROR(VLOOKUP(DATA!#REF!,DATA!#REF!,1,FALSE),"")</f>
        <v/>
      </c>
      <c r="D2687" s="16" t="str">
        <f>IFERROR(VLOOKUP(C2687,DATA!#REF!,2,FALSE),"")</f>
        <v/>
      </c>
    </row>
    <row r="2688" spans="3:4" s="230" customFormat="1">
      <c r="C2688" s="16" t="str">
        <f>IFERROR(VLOOKUP(DATA!#REF!,DATA!#REF!,1,FALSE),"")</f>
        <v/>
      </c>
      <c r="D2688" s="16" t="str">
        <f>IFERROR(VLOOKUP(C2688,DATA!#REF!,2,FALSE),"")</f>
        <v/>
      </c>
    </row>
    <row r="2689" spans="3:4" s="230" customFormat="1">
      <c r="C2689" s="16" t="str">
        <f>IFERROR(VLOOKUP(DATA!#REF!,DATA!#REF!,1,FALSE),"")</f>
        <v/>
      </c>
      <c r="D2689" s="16" t="str">
        <f>IFERROR(VLOOKUP(C2689,DATA!#REF!,2,FALSE),"")</f>
        <v/>
      </c>
    </row>
    <row r="2690" spans="3:4" s="230" customFormat="1">
      <c r="C2690" s="16" t="str">
        <f>IFERROR(VLOOKUP(DATA!#REF!,DATA!#REF!,1,FALSE),"")</f>
        <v/>
      </c>
      <c r="D2690" s="16" t="str">
        <f>IFERROR(VLOOKUP(C2690,DATA!#REF!,2,FALSE),"")</f>
        <v/>
      </c>
    </row>
    <row r="2691" spans="3:4" s="230" customFormat="1">
      <c r="C2691" s="16" t="str">
        <f>IFERROR(VLOOKUP(DATA!#REF!,DATA!#REF!,1,FALSE),"")</f>
        <v/>
      </c>
      <c r="D2691" s="16" t="str">
        <f>IFERROR(VLOOKUP(C2691,DATA!#REF!,2,FALSE),"")</f>
        <v/>
      </c>
    </row>
    <row r="2692" spans="3:4" s="230" customFormat="1">
      <c r="C2692" s="16" t="str">
        <f>IFERROR(VLOOKUP(DATA!#REF!,DATA!#REF!,1,FALSE),"")</f>
        <v/>
      </c>
      <c r="D2692" s="16" t="str">
        <f>IFERROR(VLOOKUP(C2692,DATA!#REF!,2,FALSE),"")</f>
        <v/>
      </c>
    </row>
    <row r="2693" spans="3:4" s="230" customFormat="1">
      <c r="C2693" s="16" t="str">
        <f>IFERROR(VLOOKUP(DATA!#REF!,DATA!#REF!,1,FALSE),"")</f>
        <v/>
      </c>
      <c r="D2693" s="16" t="str">
        <f>IFERROR(VLOOKUP(C2693,DATA!#REF!,2,FALSE),"")</f>
        <v/>
      </c>
    </row>
    <row r="2694" spans="3:4" s="230" customFormat="1">
      <c r="C2694" s="16" t="str">
        <f>IFERROR(VLOOKUP(DATA!#REF!,DATA!#REF!,1,FALSE),"")</f>
        <v/>
      </c>
      <c r="D2694" s="16" t="str">
        <f>IFERROR(VLOOKUP(C2694,DATA!#REF!,2,FALSE),"")</f>
        <v/>
      </c>
    </row>
    <row r="2695" spans="3:4" s="230" customFormat="1">
      <c r="C2695" s="16" t="str">
        <f>IFERROR(VLOOKUP(DATA!#REF!,DATA!#REF!,1,FALSE),"")</f>
        <v/>
      </c>
      <c r="D2695" s="16" t="str">
        <f>IFERROR(VLOOKUP(C2695,DATA!#REF!,2,FALSE),"")</f>
        <v/>
      </c>
    </row>
    <row r="2696" spans="3:4" s="230" customFormat="1">
      <c r="C2696" s="16" t="str">
        <f>IFERROR(VLOOKUP(DATA!#REF!,DATA!#REF!,1,FALSE),"")</f>
        <v/>
      </c>
      <c r="D2696" s="16" t="str">
        <f>IFERROR(VLOOKUP(C2696,DATA!#REF!,2,FALSE),"")</f>
        <v/>
      </c>
    </row>
    <row r="2697" spans="3:4" s="230" customFormat="1">
      <c r="C2697" s="16" t="str">
        <f>IFERROR(VLOOKUP(DATA!#REF!,DATA!#REF!,1,FALSE),"")</f>
        <v/>
      </c>
      <c r="D2697" s="16" t="str">
        <f>IFERROR(VLOOKUP(C2697,DATA!#REF!,2,FALSE),"")</f>
        <v/>
      </c>
    </row>
    <row r="2698" spans="3:4" s="230" customFormat="1">
      <c r="C2698" s="16" t="str">
        <f>IFERROR(VLOOKUP(DATA!#REF!,DATA!#REF!,1,FALSE),"")</f>
        <v/>
      </c>
      <c r="D2698" s="16" t="str">
        <f>IFERROR(VLOOKUP(C2698,DATA!#REF!,2,FALSE),"")</f>
        <v/>
      </c>
    </row>
    <row r="2699" spans="3:4" s="230" customFormat="1">
      <c r="C2699" s="16" t="str">
        <f>IFERROR(VLOOKUP(DATA!#REF!,DATA!#REF!,1,FALSE),"")</f>
        <v/>
      </c>
      <c r="D2699" s="16" t="str">
        <f>IFERROR(VLOOKUP(C2699,DATA!#REF!,2,FALSE),"")</f>
        <v/>
      </c>
    </row>
    <row r="2700" spans="3:4" s="230" customFormat="1">
      <c r="C2700" s="16" t="str">
        <f>IFERROR(VLOOKUP(DATA!#REF!,DATA!#REF!,1,FALSE),"")</f>
        <v/>
      </c>
      <c r="D2700" s="16" t="str">
        <f>IFERROR(VLOOKUP(C2700,DATA!#REF!,2,FALSE),"")</f>
        <v/>
      </c>
    </row>
    <row r="2701" spans="3:4" s="230" customFormat="1">
      <c r="C2701" s="16" t="str">
        <f>IFERROR(VLOOKUP(DATA!#REF!,DATA!#REF!,1,FALSE),"")</f>
        <v/>
      </c>
      <c r="D2701" s="16" t="str">
        <f>IFERROR(VLOOKUP(C2701,DATA!#REF!,2,FALSE),"")</f>
        <v/>
      </c>
    </row>
    <row r="2702" spans="3:4" s="230" customFormat="1">
      <c r="C2702" s="16" t="str">
        <f>IFERROR(VLOOKUP(DATA!#REF!,DATA!#REF!,1,FALSE),"")</f>
        <v/>
      </c>
      <c r="D2702" s="16" t="str">
        <f>IFERROR(VLOOKUP(C2702,DATA!#REF!,2,FALSE),"")</f>
        <v/>
      </c>
    </row>
    <row r="2703" spans="3:4" s="230" customFormat="1">
      <c r="C2703" s="16" t="str">
        <f>IFERROR(VLOOKUP(DATA!#REF!,DATA!#REF!,1,FALSE),"")</f>
        <v/>
      </c>
      <c r="D2703" s="16" t="str">
        <f>IFERROR(VLOOKUP(C2703,DATA!#REF!,2,FALSE),"")</f>
        <v/>
      </c>
    </row>
    <row r="2704" spans="3:4" s="230" customFormat="1">
      <c r="C2704" s="16" t="str">
        <f>IFERROR(VLOOKUP(DATA!#REF!,DATA!#REF!,1,FALSE),"")</f>
        <v/>
      </c>
      <c r="D2704" s="16" t="str">
        <f>IFERROR(VLOOKUP(C2704,DATA!#REF!,2,FALSE),"")</f>
        <v/>
      </c>
    </row>
    <row r="2705" spans="3:4" s="230" customFormat="1">
      <c r="C2705" s="16" t="str">
        <f>IFERROR(VLOOKUP(DATA!#REF!,DATA!#REF!,1,FALSE),"")</f>
        <v/>
      </c>
      <c r="D2705" s="16" t="str">
        <f>IFERROR(VLOOKUP(C2705,DATA!#REF!,2,FALSE),"")</f>
        <v/>
      </c>
    </row>
    <row r="2706" spans="3:4" s="230" customFormat="1">
      <c r="C2706" s="16" t="str">
        <f>IFERROR(VLOOKUP(DATA!#REF!,DATA!#REF!,1,FALSE),"")</f>
        <v/>
      </c>
      <c r="D2706" s="16" t="str">
        <f>IFERROR(VLOOKUP(C2706,DATA!#REF!,2,FALSE),"")</f>
        <v/>
      </c>
    </row>
    <row r="2707" spans="3:4" s="230" customFormat="1">
      <c r="C2707" s="16" t="str">
        <f>IFERROR(VLOOKUP(DATA!#REF!,DATA!#REF!,1,FALSE),"")</f>
        <v/>
      </c>
      <c r="D2707" s="16" t="str">
        <f>IFERROR(VLOOKUP(C2707,DATA!#REF!,2,FALSE),"")</f>
        <v/>
      </c>
    </row>
    <row r="2708" spans="3:4" s="230" customFormat="1">
      <c r="C2708" s="16" t="str">
        <f>IFERROR(VLOOKUP(DATA!#REF!,DATA!#REF!,1,FALSE),"")</f>
        <v/>
      </c>
      <c r="D2708" s="16" t="str">
        <f>IFERROR(VLOOKUP(C2708,DATA!#REF!,2,FALSE),"")</f>
        <v/>
      </c>
    </row>
    <row r="2709" spans="3:4" s="230" customFormat="1">
      <c r="C2709" s="16" t="str">
        <f>IFERROR(VLOOKUP(DATA!#REF!,DATA!#REF!,1,FALSE),"")</f>
        <v/>
      </c>
      <c r="D2709" s="16" t="str">
        <f>IFERROR(VLOOKUP(C2709,DATA!#REF!,2,FALSE),"")</f>
        <v/>
      </c>
    </row>
    <row r="2710" spans="3:4" s="230" customFormat="1">
      <c r="C2710" s="16" t="str">
        <f>IFERROR(VLOOKUP(DATA!#REF!,DATA!#REF!,1,FALSE),"")</f>
        <v/>
      </c>
      <c r="D2710" s="16" t="str">
        <f>IFERROR(VLOOKUP(C2710,DATA!#REF!,2,FALSE),"")</f>
        <v/>
      </c>
    </row>
    <row r="2711" spans="3:4" s="230" customFormat="1">
      <c r="C2711" s="16" t="str">
        <f>IFERROR(VLOOKUP(DATA!#REF!,DATA!#REF!,1,FALSE),"")</f>
        <v/>
      </c>
      <c r="D2711" s="16" t="str">
        <f>IFERROR(VLOOKUP(C2711,DATA!#REF!,2,FALSE),"")</f>
        <v/>
      </c>
    </row>
    <row r="2712" spans="3:4" s="230" customFormat="1">
      <c r="C2712" s="16" t="str">
        <f>IFERROR(VLOOKUP(DATA!#REF!,DATA!#REF!,1,FALSE),"")</f>
        <v/>
      </c>
      <c r="D2712" s="16" t="str">
        <f>IFERROR(VLOOKUP(C2712,DATA!#REF!,2,FALSE),"")</f>
        <v/>
      </c>
    </row>
    <row r="2713" spans="3:4" s="230" customFormat="1">
      <c r="C2713" s="16" t="str">
        <f>IFERROR(VLOOKUP(DATA!#REF!,DATA!#REF!,1,FALSE),"")</f>
        <v/>
      </c>
      <c r="D2713" s="16" t="str">
        <f>IFERROR(VLOOKUP(C2713,DATA!#REF!,2,FALSE),"")</f>
        <v/>
      </c>
    </row>
    <row r="2714" spans="3:4" s="230" customFormat="1">
      <c r="C2714" s="16" t="str">
        <f>IFERROR(VLOOKUP(DATA!#REF!,DATA!#REF!,1,FALSE),"")</f>
        <v/>
      </c>
      <c r="D2714" s="16" t="str">
        <f>IFERROR(VLOOKUP(C2714,DATA!#REF!,2,FALSE),"")</f>
        <v/>
      </c>
    </row>
    <row r="2715" spans="3:4" s="230" customFormat="1">
      <c r="C2715" s="16" t="str">
        <f>IFERROR(VLOOKUP(DATA!#REF!,DATA!#REF!,1,FALSE),"")</f>
        <v/>
      </c>
      <c r="D2715" s="16" t="str">
        <f>IFERROR(VLOOKUP(C2715,DATA!#REF!,2,FALSE),"")</f>
        <v/>
      </c>
    </row>
    <row r="2716" spans="3:4" s="230" customFormat="1">
      <c r="C2716" s="16" t="str">
        <f>IFERROR(VLOOKUP(DATA!#REF!,DATA!#REF!,1,FALSE),"")</f>
        <v/>
      </c>
      <c r="D2716" s="16" t="str">
        <f>IFERROR(VLOOKUP(C2716,DATA!#REF!,2,FALSE),"")</f>
        <v/>
      </c>
    </row>
    <row r="2717" spans="3:4" s="230" customFormat="1">
      <c r="C2717" s="16" t="str">
        <f>IFERROR(VLOOKUP(DATA!#REF!,DATA!#REF!,1,FALSE),"")</f>
        <v/>
      </c>
      <c r="D2717" s="16" t="str">
        <f>IFERROR(VLOOKUP(C2717,DATA!#REF!,2,FALSE),"")</f>
        <v/>
      </c>
    </row>
    <row r="2718" spans="3:4" s="230" customFormat="1">
      <c r="C2718" s="16" t="str">
        <f>IFERROR(VLOOKUP(DATA!#REF!,DATA!#REF!,1,FALSE),"")</f>
        <v/>
      </c>
      <c r="D2718" s="16" t="str">
        <f>IFERROR(VLOOKUP(C2718,DATA!#REF!,2,FALSE),"")</f>
        <v/>
      </c>
    </row>
    <row r="2719" spans="3:4" s="230" customFormat="1">
      <c r="C2719" s="16" t="str">
        <f>IFERROR(VLOOKUP(DATA!#REF!,DATA!#REF!,1,FALSE),"")</f>
        <v/>
      </c>
      <c r="D2719" s="16" t="str">
        <f>IFERROR(VLOOKUP(C2719,DATA!#REF!,2,FALSE),"")</f>
        <v/>
      </c>
    </row>
    <row r="2720" spans="3:4" s="230" customFormat="1">
      <c r="C2720" s="16" t="str">
        <f>IFERROR(VLOOKUP(DATA!#REF!,DATA!#REF!,1,FALSE),"")</f>
        <v/>
      </c>
      <c r="D2720" s="16" t="str">
        <f>IFERROR(VLOOKUP(C2720,DATA!#REF!,2,FALSE),"")</f>
        <v/>
      </c>
    </row>
    <row r="2721" spans="3:4" s="230" customFormat="1">
      <c r="C2721" s="16" t="str">
        <f>IFERROR(VLOOKUP(DATA!#REF!,DATA!#REF!,1,FALSE),"")</f>
        <v/>
      </c>
      <c r="D2721" s="16" t="str">
        <f>IFERROR(VLOOKUP(C2721,DATA!#REF!,2,FALSE),"")</f>
        <v/>
      </c>
    </row>
    <row r="2722" spans="3:4" s="230" customFormat="1">
      <c r="C2722" s="16" t="str">
        <f>IFERROR(VLOOKUP(DATA!#REF!,DATA!#REF!,1,FALSE),"")</f>
        <v/>
      </c>
      <c r="D2722" s="16" t="str">
        <f>IFERROR(VLOOKUP(C2722,DATA!#REF!,2,FALSE),"")</f>
        <v/>
      </c>
    </row>
    <row r="2723" spans="3:4" s="230" customFormat="1">
      <c r="C2723" s="16" t="str">
        <f>IFERROR(VLOOKUP(DATA!#REF!,DATA!#REF!,1,FALSE),"")</f>
        <v/>
      </c>
      <c r="D2723" s="16" t="str">
        <f>IFERROR(VLOOKUP(C2723,DATA!#REF!,2,FALSE),"")</f>
        <v/>
      </c>
    </row>
    <row r="2724" spans="3:4" s="230" customFormat="1">
      <c r="C2724" s="16" t="str">
        <f>IFERROR(VLOOKUP(DATA!#REF!,DATA!#REF!,1,FALSE),"")</f>
        <v/>
      </c>
      <c r="D2724" s="16" t="str">
        <f>IFERROR(VLOOKUP(C2724,DATA!#REF!,2,FALSE),"")</f>
        <v/>
      </c>
    </row>
    <row r="2725" spans="3:4" s="230" customFormat="1">
      <c r="C2725" s="16" t="str">
        <f>IFERROR(VLOOKUP(DATA!#REF!,DATA!#REF!,1,FALSE),"")</f>
        <v/>
      </c>
      <c r="D2725" s="16" t="str">
        <f>IFERROR(VLOOKUP(C2725,DATA!#REF!,2,FALSE),"")</f>
        <v/>
      </c>
    </row>
    <row r="2726" spans="3:4" s="230" customFormat="1">
      <c r="C2726" s="16" t="str">
        <f>IFERROR(VLOOKUP(DATA!#REF!,DATA!#REF!,1,FALSE),"")</f>
        <v/>
      </c>
      <c r="D2726" s="16" t="str">
        <f>IFERROR(VLOOKUP(C2726,DATA!#REF!,2,FALSE),"")</f>
        <v/>
      </c>
    </row>
    <row r="2727" spans="3:4" s="230" customFormat="1">
      <c r="C2727" s="16" t="str">
        <f>IFERROR(VLOOKUP(DATA!#REF!,DATA!#REF!,1,FALSE),"")</f>
        <v/>
      </c>
      <c r="D2727" s="16" t="str">
        <f>IFERROR(VLOOKUP(C2727,DATA!#REF!,2,FALSE),"")</f>
        <v/>
      </c>
    </row>
    <row r="2728" spans="3:4" s="230" customFormat="1">
      <c r="C2728" s="16" t="str">
        <f>IFERROR(VLOOKUP(DATA!#REF!,DATA!#REF!,1,FALSE),"")</f>
        <v/>
      </c>
      <c r="D2728" s="16" t="str">
        <f>IFERROR(VLOOKUP(C2728,DATA!#REF!,2,FALSE),"")</f>
        <v/>
      </c>
    </row>
    <row r="2729" spans="3:4" s="230" customFormat="1">
      <c r="C2729" s="16" t="str">
        <f>IFERROR(VLOOKUP(DATA!#REF!,DATA!#REF!,1,FALSE),"")</f>
        <v/>
      </c>
      <c r="D2729" s="16" t="str">
        <f>IFERROR(VLOOKUP(C2729,DATA!#REF!,2,FALSE),"")</f>
        <v/>
      </c>
    </row>
    <row r="2730" spans="3:4" s="230" customFormat="1">
      <c r="C2730" s="16" t="str">
        <f>IFERROR(VLOOKUP(DATA!#REF!,DATA!#REF!,1,FALSE),"")</f>
        <v/>
      </c>
      <c r="D2730" s="16" t="str">
        <f>IFERROR(VLOOKUP(C2730,DATA!#REF!,2,FALSE),"")</f>
        <v/>
      </c>
    </row>
    <row r="2731" spans="3:4" s="230" customFormat="1">
      <c r="C2731" s="16" t="str">
        <f>IFERROR(VLOOKUP(DATA!#REF!,DATA!#REF!,1,FALSE),"")</f>
        <v/>
      </c>
      <c r="D2731" s="16" t="str">
        <f>IFERROR(VLOOKUP(C2731,DATA!#REF!,2,FALSE),"")</f>
        <v/>
      </c>
    </row>
    <row r="2732" spans="3:4" s="230" customFormat="1">
      <c r="C2732" s="16" t="str">
        <f>IFERROR(VLOOKUP(DATA!#REF!,DATA!#REF!,1,FALSE),"")</f>
        <v/>
      </c>
      <c r="D2732" s="16" t="str">
        <f>IFERROR(VLOOKUP(C2732,DATA!#REF!,2,FALSE),"")</f>
        <v/>
      </c>
    </row>
    <row r="2733" spans="3:4" s="230" customFormat="1">
      <c r="C2733" s="16" t="str">
        <f>IFERROR(VLOOKUP(DATA!#REF!,DATA!#REF!,1,FALSE),"")</f>
        <v/>
      </c>
      <c r="D2733" s="16" t="str">
        <f>IFERROR(VLOOKUP(C2733,DATA!#REF!,2,FALSE),"")</f>
        <v/>
      </c>
    </row>
    <row r="2734" spans="3:4" s="230" customFormat="1">
      <c r="C2734" s="16" t="str">
        <f>IFERROR(VLOOKUP(DATA!#REF!,DATA!#REF!,1,FALSE),"")</f>
        <v/>
      </c>
      <c r="D2734" s="16" t="str">
        <f>IFERROR(VLOOKUP(C2734,DATA!#REF!,2,FALSE),"")</f>
        <v/>
      </c>
    </row>
    <row r="2735" spans="3:4" s="230" customFormat="1">
      <c r="C2735" s="16" t="str">
        <f>IFERROR(VLOOKUP(DATA!#REF!,DATA!#REF!,1,FALSE),"")</f>
        <v/>
      </c>
      <c r="D2735" s="16" t="str">
        <f>IFERROR(VLOOKUP(C2735,DATA!#REF!,2,FALSE),"")</f>
        <v/>
      </c>
    </row>
    <row r="2736" spans="3:4" s="230" customFormat="1">
      <c r="C2736" s="16" t="str">
        <f>IFERROR(VLOOKUP(DATA!#REF!,DATA!#REF!,1,FALSE),"")</f>
        <v/>
      </c>
      <c r="D2736" s="16" t="str">
        <f>IFERROR(VLOOKUP(C2736,DATA!#REF!,2,FALSE),"")</f>
        <v/>
      </c>
    </row>
    <row r="2737" spans="3:4" s="230" customFormat="1">
      <c r="C2737" s="16" t="str">
        <f>IFERROR(VLOOKUP(DATA!#REF!,DATA!#REF!,1,FALSE),"")</f>
        <v/>
      </c>
      <c r="D2737" s="16" t="str">
        <f>IFERROR(VLOOKUP(C2737,DATA!#REF!,2,FALSE),"")</f>
        <v/>
      </c>
    </row>
    <row r="2738" spans="3:4" s="230" customFormat="1">
      <c r="C2738" s="16" t="str">
        <f>IFERROR(VLOOKUP(DATA!#REF!,DATA!#REF!,1,FALSE),"")</f>
        <v/>
      </c>
      <c r="D2738" s="16" t="str">
        <f>IFERROR(VLOOKUP(C2738,DATA!#REF!,2,FALSE),"")</f>
        <v/>
      </c>
    </row>
    <row r="2739" spans="3:4" s="230" customFormat="1">
      <c r="C2739" s="16" t="str">
        <f>IFERROR(VLOOKUP(DATA!#REF!,DATA!#REF!,1,FALSE),"")</f>
        <v/>
      </c>
      <c r="D2739" s="16" t="str">
        <f>IFERROR(VLOOKUP(C2739,DATA!#REF!,2,FALSE),"")</f>
        <v/>
      </c>
    </row>
    <row r="2740" spans="3:4" s="230" customFormat="1">
      <c r="C2740" s="16" t="str">
        <f>IFERROR(VLOOKUP(DATA!#REF!,DATA!#REF!,1,FALSE),"")</f>
        <v/>
      </c>
      <c r="D2740" s="16" t="str">
        <f>IFERROR(VLOOKUP(C2740,DATA!#REF!,2,FALSE),"")</f>
        <v/>
      </c>
    </row>
    <row r="2741" spans="3:4" s="230" customFormat="1">
      <c r="C2741" s="16" t="str">
        <f>IFERROR(VLOOKUP(DATA!#REF!,DATA!#REF!,1,FALSE),"")</f>
        <v/>
      </c>
      <c r="D2741" s="16" t="str">
        <f>IFERROR(VLOOKUP(C2741,DATA!#REF!,2,FALSE),"")</f>
        <v/>
      </c>
    </row>
    <row r="2742" spans="3:4" s="230" customFormat="1">
      <c r="C2742" s="16" t="str">
        <f>IFERROR(VLOOKUP(DATA!#REF!,DATA!#REF!,1,FALSE),"")</f>
        <v/>
      </c>
      <c r="D2742" s="16" t="str">
        <f>IFERROR(VLOOKUP(C2742,DATA!#REF!,2,FALSE),"")</f>
        <v/>
      </c>
    </row>
    <row r="2743" spans="3:4" s="230" customFormat="1">
      <c r="C2743" s="16" t="str">
        <f>IFERROR(VLOOKUP(DATA!#REF!,DATA!#REF!,1,FALSE),"")</f>
        <v/>
      </c>
      <c r="D2743" s="16" t="str">
        <f>IFERROR(VLOOKUP(C2743,DATA!#REF!,2,FALSE),"")</f>
        <v/>
      </c>
    </row>
    <row r="2744" spans="3:4" s="230" customFormat="1">
      <c r="C2744" s="16" t="str">
        <f>IFERROR(VLOOKUP(DATA!#REF!,DATA!#REF!,1,FALSE),"")</f>
        <v/>
      </c>
      <c r="D2744" s="16" t="str">
        <f>IFERROR(VLOOKUP(C2744,DATA!#REF!,2,FALSE),"")</f>
        <v/>
      </c>
    </row>
    <row r="2745" spans="3:4" s="230" customFormat="1">
      <c r="C2745" s="16" t="str">
        <f>IFERROR(VLOOKUP(DATA!#REF!,DATA!#REF!,1,FALSE),"")</f>
        <v/>
      </c>
      <c r="D2745" s="16" t="str">
        <f>IFERROR(VLOOKUP(C2745,DATA!#REF!,2,FALSE),"")</f>
        <v/>
      </c>
    </row>
    <row r="2746" spans="3:4" s="230" customFormat="1">
      <c r="C2746" s="16" t="str">
        <f>IFERROR(VLOOKUP(DATA!#REF!,DATA!#REF!,1,FALSE),"")</f>
        <v/>
      </c>
      <c r="D2746" s="16" t="str">
        <f>IFERROR(VLOOKUP(C2746,DATA!#REF!,2,FALSE),"")</f>
        <v/>
      </c>
    </row>
    <row r="2747" spans="3:4" s="230" customFormat="1">
      <c r="C2747" s="16" t="str">
        <f>IFERROR(VLOOKUP(DATA!#REF!,DATA!#REF!,1,FALSE),"")</f>
        <v/>
      </c>
      <c r="D2747" s="16" t="str">
        <f>IFERROR(VLOOKUP(C2747,DATA!#REF!,2,FALSE),"")</f>
        <v/>
      </c>
    </row>
    <row r="2748" spans="3:4" s="230" customFormat="1">
      <c r="C2748" s="16" t="str">
        <f>IFERROR(VLOOKUP(DATA!#REF!,DATA!#REF!,1,FALSE),"")</f>
        <v/>
      </c>
      <c r="D2748" s="16" t="str">
        <f>IFERROR(VLOOKUP(C2748,DATA!#REF!,2,FALSE),"")</f>
        <v/>
      </c>
    </row>
    <row r="2749" spans="3:4" s="230" customFormat="1">
      <c r="C2749" s="16" t="str">
        <f>IFERROR(VLOOKUP(DATA!#REF!,DATA!#REF!,1,FALSE),"")</f>
        <v/>
      </c>
      <c r="D2749" s="16" t="str">
        <f>IFERROR(VLOOKUP(C2749,DATA!#REF!,2,FALSE),"")</f>
        <v/>
      </c>
    </row>
    <row r="2750" spans="3:4" s="230" customFormat="1">
      <c r="C2750" s="16" t="str">
        <f>IFERROR(VLOOKUP(DATA!#REF!,DATA!#REF!,1,FALSE),"")</f>
        <v/>
      </c>
      <c r="D2750" s="16" t="str">
        <f>IFERROR(VLOOKUP(C2750,DATA!#REF!,2,FALSE),"")</f>
        <v/>
      </c>
    </row>
    <row r="2751" spans="3:4" s="230" customFormat="1">
      <c r="C2751" s="16" t="str">
        <f>IFERROR(VLOOKUP(DATA!#REF!,DATA!#REF!,1,FALSE),"")</f>
        <v/>
      </c>
      <c r="D2751" s="16" t="str">
        <f>IFERROR(VLOOKUP(C2751,DATA!#REF!,2,FALSE),"")</f>
        <v/>
      </c>
    </row>
    <row r="2752" spans="3:4" s="230" customFormat="1">
      <c r="C2752" s="16" t="str">
        <f>IFERROR(VLOOKUP(DATA!#REF!,DATA!#REF!,1,FALSE),"")</f>
        <v/>
      </c>
      <c r="D2752" s="16" t="str">
        <f>IFERROR(VLOOKUP(C2752,DATA!#REF!,2,FALSE),"")</f>
        <v/>
      </c>
    </row>
    <row r="2753" spans="3:4" s="230" customFormat="1">
      <c r="C2753" s="16" t="str">
        <f>IFERROR(VLOOKUP(DATA!#REF!,DATA!#REF!,1,FALSE),"")</f>
        <v/>
      </c>
      <c r="D2753" s="16" t="str">
        <f>IFERROR(VLOOKUP(C2753,DATA!#REF!,2,FALSE),"")</f>
        <v/>
      </c>
    </row>
    <row r="2754" spans="3:4" s="230" customFormat="1">
      <c r="C2754" s="16" t="str">
        <f>IFERROR(VLOOKUP(DATA!#REF!,DATA!#REF!,1,FALSE),"")</f>
        <v/>
      </c>
      <c r="D2754" s="16" t="str">
        <f>IFERROR(VLOOKUP(C2754,DATA!#REF!,2,FALSE),"")</f>
        <v/>
      </c>
    </row>
    <row r="2755" spans="3:4" s="230" customFormat="1">
      <c r="C2755" s="16" t="str">
        <f>IFERROR(VLOOKUP(DATA!#REF!,DATA!#REF!,1,FALSE),"")</f>
        <v/>
      </c>
      <c r="D2755" s="16" t="str">
        <f>IFERROR(VLOOKUP(C2755,DATA!#REF!,2,FALSE),"")</f>
        <v/>
      </c>
    </row>
    <row r="2756" spans="3:4" s="230" customFormat="1">
      <c r="C2756" s="16" t="str">
        <f>IFERROR(VLOOKUP(DATA!#REF!,DATA!#REF!,1,FALSE),"")</f>
        <v/>
      </c>
      <c r="D2756" s="16" t="str">
        <f>IFERROR(VLOOKUP(C2756,DATA!#REF!,2,FALSE),"")</f>
        <v/>
      </c>
    </row>
    <row r="2757" spans="3:4" s="230" customFormat="1">
      <c r="C2757" s="16" t="str">
        <f>IFERROR(VLOOKUP(DATA!#REF!,DATA!#REF!,1,FALSE),"")</f>
        <v/>
      </c>
      <c r="D2757" s="16" t="str">
        <f>IFERROR(VLOOKUP(C2757,DATA!#REF!,2,FALSE),"")</f>
        <v/>
      </c>
    </row>
    <row r="2758" spans="3:4" s="230" customFormat="1">
      <c r="C2758" s="16" t="str">
        <f>IFERROR(VLOOKUP(DATA!#REF!,DATA!#REF!,1,FALSE),"")</f>
        <v/>
      </c>
      <c r="D2758" s="16" t="str">
        <f>IFERROR(VLOOKUP(C2758,DATA!#REF!,2,FALSE),"")</f>
        <v/>
      </c>
    </row>
    <row r="2759" spans="3:4" s="230" customFormat="1">
      <c r="C2759" s="16" t="str">
        <f>IFERROR(VLOOKUP(DATA!#REF!,DATA!#REF!,1,FALSE),"")</f>
        <v/>
      </c>
      <c r="D2759" s="16" t="str">
        <f>IFERROR(VLOOKUP(C2759,DATA!#REF!,2,FALSE),"")</f>
        <v/>
      </c>
    </row>
    <row r="2760" spans="3:4" s="230" customFormat="1">
      <c r="C2760" s="16" t="str">
        <f>IFERROR(VLOOKUP(DATA!#REF!,DATA!#REF!,1,FALSE),"")</f>
        <v/>
      </c>
      <c r="D2760" s="16" t="str">
        <f>IFERROR(VLOOKUP(C2760,DATA!#REF!,2,FALSE),"")</f>
        <v/>
      </c>
    </row>
    <row r="2761" spans="3:4" s="230" customFormat="1">
      <c r="C2761" s="16" t="str">
        <f>IFERROR(VLOOKUP(DATA!#REF!,DATA!#REF!,1,FALSE),"")</f>
        <v/>
      </c>
      <c r="D2761" s="16" t="str">
        <f>IFERROR(VLOOKUP(C2761,DATA!#REF!,2,FALSE),"")</f>
        <v/>
      </c>
    </row>
    <row r="2762" spans="3:4" s="230" customFormat="1">
      <c r="C2762" s="16" t="str">
        <f>IFERROR(VLOOKUP(DATA!#REF!,DATA!#REF!,1,FALSE),"")</f>
        <v/>
      </c>
      <c r="D2762" s="16" t="str">
        <f>IFERROR(VLOOKUP(C2762,DATA!#REF!,2,FALSE),"")</f>
        <v/>
      </c>
    </row>
    <row r="2763" spans="3:4" s="230" customFormat="1">
      <c r="C2763" s="16" t="str">
        <f>IFERROR(VLOOKUP(DATA!#REF!,DATA!#REF!,1,FALSE),"")</f>
        <v/>
      </c>
      <c r="D2763" s="16" t="str">
        <f>IFERROR(VLOOKUP(C2763,DATA!#REF!,2,FALSE),"")</f>
        <v/>
      </c>
    </row>
    <row r="2764" spans="3:4" s="230" customFormat="1">
      <c r="C2764" s="16" t="str">
        <f>IFERROR(VLOOKUP(DATA!#REF!,DATA!#REF!,1,FALSE),"")</f>
        <v/>
      </c>
      <c r="D2764" s="16" t="str">
        <f>IFERROR(VLOOKUP(C2764,DATA!#REF!,2,FALSE),"")</f>
        <v/>
      </c>
    </row>
    <row r="2765" spans="3:4" s="230" customFormat="1">
      <c r="C2765" s="16" t="str">
        <f>IFERROR(VLOOKUP(DATA!#REF!,DATA!#REF!,1,FALSE),"")</f>
        <v/>
      </c>
      <c r="D2765" s="16" t="str">
        <f>IFERROR(VLOOKUP(C2765,DATA!#REF!,2,FALSE),"")</f>
        <v/>
      </c>
    </row>
    <row r="2766" spans="3:4" s="230" customFormat="1">
      <c r="C2766" s="16" t="str">
        <f>IFERROR(VLOOKUP(DATA!#REF!,DATA!#REF!,1,FALSE),"")</f>
        <v/>
      </c>
      <c r="D2766" s="16" t="str">
        <f>IFERROR(VLOOKUP(C2766,DATA!#REF!,2,FALSE),"")</f>
        <v/>
      </c>
    </row>
    <row r="2767" spans="3:4" s="230" customFormat="1">
      <c r="C2767" s="16" t="str">
        <f>IFERROR(VLOOKUP(DATA!#REF!,DATA!#REF!,1,FALSE),"")</f>
        <v/>
      </c>
      <c r="D2767" s="16" t="str">
        <f>IFERROR(VLOOKUP(C2767,DATA!#REF!,2,FALSE),"")</f>
        <v/>
      </c>
    </row>
    <row r="2768" spans="3:4" s="230" customFormat="1">
      <c r="C2768" s="16" t="str">
        <f>IFERROR(VLOOKUP(DATA!#REF!,DATA!#REF!,1,FALSE),"")</f>
        <v/>
      </c>
      <c r="D2768" s="16" t="str">
        <f>IFERROR(VLOOKUP(C2768,DATA!#REF!,2,FALSE),"")</f>
        <v/>
      </c>
    </row>
    <row r="2769" spans="3:4" s="230" customFormat="1">
      <c r="C2769" s="16" t="str">
        <f>IFERROR(VLOOKUP(DATA!#REF!,DATA!#REF!,1,FALSE),"")</f>
        <v/>
      </c>
      <c r="D2769" s="16" t="str">
        <f>IFERROR(VLOOKUP(C2769,DATA!#REF!,2,FALSE),"")</f>
        <v/>
      </c>
    </row>
    <row r="2770" spans="3:4" s="230" customFormat="1">
      <c r="C2770" s="16" t="str">
        <f>IFERROR(VLOOKUP(DATA!#REF!,DATA!#REF!,1,FALSE),"")</f>
        <v/>
      </c>
      <c r="D2770" s="16" t="str">
        <f>IFERROR(VLOOKUP(C2770,DATA!#REF!,2,FALSE),"")</f>
        <v/>
      </c>
    </row>
    <row r="2771" spans="3:4" s="230" customFormat="1">
      <c r="C2771" s="16" t="str">
        <f>IFERROR(VLOOKUP(DATA!#REF!,DATA!#REF!,1,FALSE),"")</f>
        <v/>
      </c>
      <c r="D2771" s="16" t="str">
        <f>IFERROR(VLOOKUP(C2771,DATA!#REF!,2,FALSE),"")</f>
        <v/>
      </c>
    </row>
    <row r="2772" spans="3:4" s="230" customFormat="1">
      <c r="C2772" s="16" t="str">
        <f>IFERROR(VLOOKUP(DATA!#REF!,DATA!#REF!,1,FALSE),"")</f>
        <v/>
      </c>
      <c r="D2772" s="16" t="str">
        <f>IFERROR(VLOOKUP(C2772,DATA!#REF!,2,FALSE),"")</f>
        <v/>
      </c>
    </row>
    <row r="2773" spans="3:4" s="230" customFormat="1">
      <c r="C2773" s="16" t="str">
        <f>IFERROR(VLOOKUP(DATA!#REF!,DATA!#REF!,1,FALSE),"")</f>
        <v/>
      </c>
      <c r="D2773" s="16" t="str">
        <f>IFERROR(VLOOKUP(C2773,DATA!#REF!,2,FALSE),"")</f>
        <v/>
      </c>
    </row>
    <row r="2774" spans="3:4" s="230" customFormat="1">
      <c r="C2774" s="16" t="str">
        <f>IFERROR(VLOOKUP(DATA!#REF!,DATA!#REF!,1,FALSE),"")</f>
        <v/>
      </c>
      <c r="D2774" s="16" t="str">
        <f>IFERROR(VLOOKUP(C2774,DATA!#REF!,2,FALSE),"")</f>
        <v/>
      </c>
    </row>
    <row r="2775" spans="3:4" s="230" customFormat="1">
      <c r="C2775" s="16" t="str">
        <f>IFERROR(VLOOKUP(DATA!#REF!,DATA!#REF!,1,FALSE),"")</f>
        <v/>
      </c>
      <c r="D2775" s="16" t="str">
        <f>IFERROR(VLOOKUP(C2775,DATA!#REF!,2,FALSE),"")</f>
        <v/>
      </c>
    </row>
    <row r="2776" spans="3:4" s="230" customFormat="1">
      <c r="C2776" s="16" t="str">
        <f>IFERROR(VLOOKUP(DATA!#REF!,DATA!#REF!,1,FALSE),"")</f>
        <v/>
      </c>
      <c r="D2776" s="16" t="str">
        <f>IFERROR(VLOOKUP(C2776,DATA!#REF!,2,FALSE),"")</f>
        <v/>
      </c>
    </row>
    <row r="2777" spans="3:4" s="230" customFormat="1">
      <c r="C2777" s="16" t="str">
        <f>IFERROR(VLOOKUP(DATA!#REF!,DATA!#REF!,1,FALSE),"")</f>
        <v/>
      </c>
      <c r="D2777" s="16" t="str">
        <f>IFERROR(VLOOKUP(C2777,DATA!#REF!,2,FALSE),"")</f>
        <v/>
      </c>
    </row>
    <row r="2778" spans="3:4" s="230" customFormat="1">
      <c r="C2778" s="16" t="str">
        <f>IFERROR(VLOOKUP(DATA!#REF!,DATA!#REF!,1,FALSE),"")</f>
        <v/>
      </c>
      <c r="D2778" s="16" t="str">
        <f>IFERROR(VLOOKUP(C2778,DATA!#REF!,2,FALSE),"")</f>
        <v/>
      </c>
    </row>
    <row r="2779" spans="3:4" s="230" customFormat="1">
      <c r="C2779" s="16" t="str">
        <f>IFERROR(VLOOKUP(DATA!#REF!,DATA!#REF!,1,FALSE),"")</f>
        <v/>
      </c>
      <c r="D2779" s="16" t="str">
        <f>IFERROR(VLOOKUP(C2779,DATA!#REF!,2,FALSE),"")</f>
        <v/>
      </c>
    </row>
    <row r="2780" spans="3:4" s="230" customFormat="1">
      <c r="C2780" s="16" t="str">
        <f>IFERROR(VLOOKUP(DATA!#REF!,DATA!#REF!,1,FALSE),"")</f>
        <v/>
      </c>
      <c r="D2780" s="16" t="str">
        <f>IFERROR(VLOOKUP(C2780,DATA!#REF!,2,FALSE),"")</f>
        <v/>
      </c>
    </row>
    <row r="2781" spans="3:4" s="230" customFormat="1">
      <c r="C2781" s="16" t="str">
        <f>IFERROR(VLOOKUP(DATA!#REF!,DATA!#REF!,1,FALSE),"")</f>
        <v/>
      </c>
      <c r="D2781" s="16" t="str">
        <f>IFERROR(VLOOKUP(C2781,DATA!#REF!,2,FALSE),"")</f>
        <v/>
      </c>
    </row>
    <row r="2782" spans="3:4" s="230" customFormat="1">
      <c r="C2782" s="16" t="str">
        <f>IFERROR(VLOOKUP(DATA!#REF!,DATA!#REF!,1,FALSE),"")</f>
        <v/>
      </c>
      <c r="D2782" s="16" t="str">
        <f>IFERROR(VLOOKUP(C2782,DATA!#REF!,2,FALSE),"")</f>
        <v/>
      </c>
    </row>
    <row r="2783" spans="3:4" s="230" customFormat="1">
      <c r="C2783" s="16" t="str">
        <f>IFERROR(VLOOKUP(DATA!#REF!,DATA!#REF!,1,FALSE),"")</f>
        <v/>
      </c>
      <c r="D2783" s="16" t="str">
        <f>IFERROR(VLOOKUP(C2783,DATA!#REF!,2,FALSE),"")</f>
        <v/>
      </c>
    </row>
    <row r="2784" spans="3:4" s="230" customFormat="1">
      <c r="C2784" s="16" t="str">
        <f>IFERROR(VLOOKUP(DATA!#REF!,DATA!#REF!,1,FALSE),"")</f>
        <v/>
      </c>
      <c r="D2784" s="16" t="str">
        <f>IFERROR(VLOOKUP(C2784,DATA!#REF!,2,FALSE),"")</f>
        <v/>
      </c>
    </row>
    <row r="2785" spans="3:4" s="230" customFormat="1">
      <c r="C2785" s="16" t="str">
        <f>IFERROR(VLOOKUP(DATA!#REF!,DATA!#REF!,1,FALSE),"")</f>
        <v/>
      </c>
      <c r="D2785" s="16" t="str">
        <f>IFERROR(VLOOKUP(C2785,DATA!#REF!,2,FALSE),"")</f>
        <v/>
      </c>
    </row>
    <row r="2786" spans="3:4" s="230" customFormat="1">
      <c r="C2786" s="16" t="str">
        <f>IFERROR(VLOOKUP(DATA!#REF!,DATA!#REF!,1,FALSE),"")</f>
        <v/>
      </c>
      <c r="D2786" s="16" t="str">
        <f>IFERROR(VLOOKUP(C2786,DATA!#REF!,2,FALSE),"")</f>
        <v/>
      </c>
    </row>
    <row r="2787" spans="3:4" s="230" customFormat="1">
      <c r="C2787" s="16" t="str">
        <f>IFERROR(VLOOKUP(DATA!#REF!,DATA!#REF!,1,FALSE),"")</f>
        <v/>
      </c>
      <c r="D2787" s="16" t="str">
        <f>IFERROR(VLOOKUP(C2787,DATA!#REF!,2,FALSE),"")</f>
        <v/>
      </c>
    </row>
    <row r="2788" spans="3:4" s="230" customFormat="1">
      <c r="C2788" s="16" t="str">
        <f>IFERROR(VLOOKUP(DATA!#REF!,DATA!#REF!,1,FALSE),"")</f>
        <v/>
      </c>
      <c r="D2788" s="16" t="str">
        <f>IFERROR(VLOOKUP(C2788,DATA!#REF!,2,FALSE),"")</f>
        <v/>
      </c>
    </row>
    <row r="2789" spans="3:4" s="230" customFormat="1">
      <c r="C2789" s="16" t="str">
        <f>IFERROR(VLOOKUP(DATA!#REF!,DATA!#REF!,1,FALSE),"")</f>
        <v/>
      </c>
      <c r="D2789" s="16" t="str">
        <f>IFERROR(VLOOKUP(C2789,DATA!#REF!,2,FALSE),"")</f>
        <v/>
      </c>
    </row>
    <row r="2790" spans="3:4" s="230" customFormat="1">
      <c r="C2790" s="16" t="str">
        <f>IFERROR(VLOOKUP(DATA!#REF!,DATA!#REF!,1,FALSE),"")</f>
        <v/>
      </c>
      <c r="D2790" s="16" t="str">
        <f>IFERROR(VLOOKUP(C2790,DATA!#REF!,2,FALSE),"")</f>
        <v/>
      </c>
    </row>
    <row r="2791" spans="3:4" s="230" customFormat="1">
      <c r="C2791" s="16" t="str">
        <f>IFERROR(VLOOKUP(DATA!#REF!,DATA!#REF!,1,FALSE),"")</f>
        <v/>
      </c>
      <c r="D2791" s="16" t="str">
        <f>IFERROR(VLOOKUP(C2791,DATA!#REF!,2,FALSE),"")</f>
        <v/>
      </c>
    </row>
    <row r="2792" spans="3:4" s="230" customFormat="1">
      <c r="C2792" s="16" t="str">
        <f>IFERROR(VLOOKUP(DATA!#REF!,DATA!#REF!,1,FALSE),"")</f>
        <v/>
      </c>
      <c r="D2792" s="16" t="str">
        <f>IFERROR(VLOOKUP(C2792,DATA!#REF!,2,FALSE),"")</f>
        <v/>
      </c>
    </row>
    <row r="2793" spans="3:4" s="230" customFormat="1">
      <c r="C2793" s="16" t="str">
        <f>IFERROR(VLOOKUP(DATA!#REF!,DATA!#REF!,1,FALSE),"")</f>
        <v/>
      </c>
      <c r="D2793" s="16" t="str">
        <f>IFERROR(VLOOKUP(C2793,DATA!#REF!,2,FALSE),"")</f>
        <v/>
      </c>
    </row>
    <row r="2794" spans="3:4" s="230" customFormat="1">
      <c r="C2794" s="16" t="str">
        <f>IFERROR(VLOOKUP(DATA!#REF!,DATA!#REF!,1,FALSE),"")</f>
        <v/>
      </c>
      <c r="D2794" s="16" t="str">
        <f>IFERROR(VLOOKUP(C2794,DATA!#REF!,2,FALSE),"")</f>
        <v/>
      </c>
    </row>
    <row r="2795" spans="3:4" s="230" customFormat="1">
      <c r="C2795" s="16" t="str">
        <f>IFERROR(VLOOKUP(DATA!#REF!,DATA!#REF!,1,FALSE),"")</f>
        <v/>
      </c>
      <c r="D2795" s="16" t="str">
        <f>IFERROR(VLOOKUP(C2795,DATA!#REF!,2,FALSE),"")</f>
        <v/>
      </c>
    </row>
    <row r="2796" spans="3:4" s="230" customFormat="1">
      <c r="C2796" s="16" t="str">
        <f>IFERROR(VLOOKUP(DATA!#REF!,DATA!#REF!,1,FALSE),"")</f>
        <v/>
      </c>
      <c r="D2796" s="16" t="str">
        <f>IFERROR(VLOOKUP(C2796,DATA!#REF!,2,FALSE),"")</f>
        <v/>
      </c>
    </row>
    <row r="2797" spans="3:4" s="230" customFormat="1">
      <c r="C2797" s="16" t="str">
        <f>IFERROR(VLOOKUP(DATA!#REF!,DATA!#REF!,1,FALSE),"")</f>
        <v/>
      </c>
      <c r="D2797" s="16" t="str">
        <f>IFERROR(VLOOKUP(C2797,DATA!#REF!,2,FALSE),"")</f>
        <v/>
      </c>
    </row>
    <row r="2798" spans="3:4" s="230" customFormat="1">
      <c r="C2798" s="16" t="str">
        <f>IFERROR(VLOOKUP(DATA!#REF!,DATA!#REF!,1,FALSE),"")</f>
        <v/>
      </c>
      <c r="D2798" s="16" t="str">
        <f>IFERROR(VLOOKUP(C2798,DATA!#REF!,2,FALSE),"")</f>
        <v/>
      </c>
    </row>
    <row r="2799" spans="3:4" s="230" customFormat="1">
      <c r="C2799" s="16" t="str">
        <f>IFERROR(VLOOKUP(DATA!#REF!,DATA!#REF!,1,FALSE),"")</f>
        <v/>
      </c>
      <c r="D2799" s="16" t="str">
        <f>IFERROR(VLOOKUP(C2799,DATA!#REF!,2,FALSE),"")</f>
        <v/>
      </c>
    </row>
    <row r="2800" spans="3:4" s="230" customFormat="1">
      <c r="C2800" s="16" t="str">
        <f>IFERROR(VLOOKUP(DATA!#REF!,DATA!#REF!,1,FALSE),"")</f>
        <v/>
      </c>
      <c r="D2800" s="16" t="str">
        <f>IFERROR(VLOOKUP(C2800,DATA!#REF!,2,FALSE),"")</f>
        <v/>
      </c>
    </row>
    <row r="2801" spans="3:4" s="230" customFormat="1">
      <c r="C2801" s="16" t="str">
        <f>IFERROR(VLOOKUP(DATA!#REF!,DATA!#REF!,1,FALSE),"")</f>
        <v/>
      </c>
      <c r="D2801" s="16" t="str">
        <f>IFERROR(VLOOKUP(C2801,DATA!#REF!,2,FALSE),"")</f>
        <v/>
      </c>
    </row>
    <row r="2802" spans="3:4" s="230" customFormat="1">
      <c r="C2802" s="16" t="str">
        <f>IFERROR(VLOOKUP(DATA!#REF!,DATA!#REF!,1,FALSE),"")</f>
        <v/>
      </c>
      <c r="D2802" s="16" t="str">
        <f>IFERROR(VLOOKUP(C2802,DATA!#REF!,2,FALSE),"")</f>
        <v/>
      </c>
    </row>
    <row r="2803" spans="3:4" s="230" customFormat="1">
      <c r="C2803" s="16" t="str">
        <f>IFERROR(VLOOKUP(DATA!#REF!,DATA!#REF!,1,FALSE),"")</f>
        <v/>
      </c>
      <c r="D2803" s="16" t="str">
        <f>IFERROR(VLOOKUP(C2803,DATA!#REF!,2,FALSE),"")</f>
        <v/>
      </c>
    </row>
    <row r="2804" spans="3:4" s="230" customFormat="1">
      <c r="C2804" s="16" t="str">
        <f>IFERROR(VLOOKUP(DATA!#REF!,DATA!#REF!,1,FALSE),"")</f>
        <v/>
      </c>
      <c r="D2804" s="16" t="str">
        <f>IFERROR(VLOOKUP(C2804,DATA!#REF!,2,FALSE),"")</f>
        <v/>
      </c>
    </row>
    <row r="2805" spans="3:4" s="230" customFormat="1">
      <c r="C2805" s="16" t="str">
        <f>IFERROR(VLOOKUP(DATA!#REF!,DATA!#REF!,1,FALSE),"")</f>
        <v/>
      </c>
      <c r="D2805" s="16" t="str">
        <f>IFERROR(VLOOKUP(C2805,DATA!#REF!,2,FALSE),"")</f>
        <v/>
      </c>
    </row>
    <row r="2806" spans="3:4" s="230" customFormat="1">
      <c r="C2806" s="16" t="str">
        <f>IFERROR(VLOOKUP(DATA!#REF!,DATA!#REF!,1,FALSE),"")</f>
        <v/>
      </c>
      <c r="D2806" s="16" t="str">
        <f>IFERROR(VLOOKUP(C2806,DATA!#REF!,2,FALSE),"")</f>
        <v/>
      </c>
    </row>
    <row r="2807" spans="3:4" s="230" customFormat="1">
      <c r="C2807" s="16" t="str">
        <f>IFERROR(VLOOKUP(DATA!#REF!,DATA!#REF!,1,FALSE),"")</f>
        <v/>
      </c>
      <c r="D2807" s="16" t="str">
        <f>IFERROR(VLOOKUP(C2807,DATA!#REF!,2,FALSE),"")</f>
        <v/>
      </c>
    </row>
    <row r="2808" spans="3:4" s="230" customFormat="1">
      <c r="C2808" s="16" t="str">
        <f>IFERROR(VLOOKUP(DATA!#REF!,DATA!#REF!,1,FALSE),"")</f>
        <v/>
      </c>
      <c r="D2808" s="16" t="str">
        <f>IFERROR(VLOOKUP(C2808,DATA!#REF!,2,FALSE),"")</f>
        <v/>
      </c>
    </row>
    <row r="2809" spans="3:4" s="230" customFormat="1">
      <c r="C2809" s="16" t="str">
        <f>IFERROR(VLOOKUP(DATA!#REF!,DATA!#REF!,1,FALSE),"")</f>
        <v/>
      </c>
      <c r="D2809" s="16" t="str">
        <f>IFERROR(VLOOKUP(C2809,DATA!#REF!,2,FALSE),"")</f>
        <v/>
      </c>
    </row>
    <row r="2810" spans="3:4" s="230" customFormat="1">
      <c r="C2810" s="16" t="str">
        <f>IFERROR(VLOOKUP(DATA!#REF!,DATA!#REF!,1,FALSE),"")</f>
        <v/>
      </c>
      <c r="D2810" s="16" t="str">
        <f>IFERROR(VLOOKUP(C2810,DATA!#REF!,2,FALSE),"")</f>
        <v/>
      </c>
    </row>
    <row r="2811" spans="3:4" s="230" customFormat="1">
      <c r="C2811" s="16" t="str">
        <f>IFERROR(VLOOKUP(DATA!#REF!,DATA!#REF!,1,FALSE),"")</f>
        <v/>
      </c>
      <c r="D2811" s="16" t="str">
        <f>IFERROR(VLOOKUP(C2811,DATA!#REF!,2,FALSE),"")</f>
        <v/>
      </c>
    </row>
    <row r="2812" spans="3:4" s="230" customFormat="1">
      <c r="C2812" s="16" t="str">
        <f>IFERROR(VLOOKUP(DATA!#REF!,DATA!#REF!,1,FALSE),"")</f>
        <v/>
      </c>
      <c r="D2812" s="16" t="str">
        <f>IFERROR(VLOOKUP(C2812,DATA!#REF!,2,FALSE),"")</f>
        <v/>
      </c>
    </row>
    <row r="2813" spans="3:4" s="230" customFormat="1">
      <c r="C2813" s="16" t="str">
        <f>IFERROR(VLOOKUP(DATA!#REF!,DATA!#REF!,1,FALSE),"")</f>
        <v/>
      </c>
      <c r="D2813" s="16" t="str">
        <f>IFERROR(VLOOKUP(C2813,DATA!#REF!,2,FALSE),"")</f>
        <v/>
      </c>
    </row>
    <row r="2814" spans="3:4" s="230" customFormat="1">
      <c r="C2814" s="16" t="str">
        <f>IFERROR(VLOOKUP(DATA!#REF!,DATA!#REF!,1,FALSE),"")</f>
        <v/>
      </c>
      <c r="D2814" s="16" t="str">
        <f>IFERROR(VLOOKUP(C2814,DATA!#REF!,2,FALSE),"")</f>
        <v/>
      </c>
    </row>
    <row r="2815" spans="3:4" s="230" customFormat="1">
      <c r="C2815" s="16" t="str">
        <f>IFERROR(VLOOKUP(DATA!#REF!,DATA!#REF!,1,FALSE),"")</f>
        <v/>
      </c>
      <c r="D2815" s="16" t="str">
        <f>IFERROR(VLOOKUP(C2815,DATA!#REF!,2,FALSE),"")</f>
        <v/>
      </c>
    </row>
    <row r="2816" spans="3:4" s="230" customFormat="1">
      <c r="C2816" s="16" t="str">
        <f>IFERROR(VLOOKUP(DATA!#REF!,DATA!#REF!,1,FALSE),"")</f>
        <v/>
      </c>
      <c r="D2816" s="16" t="str">
        <f>IFERROR(VLOOKUP(C2816,DATA!#REF!,2,FALSE),"")</f>
        <v/>
      </c>
    </row>
    <row r="2817" spans="3:4" s="230" customFormat="1">
      <c r="C2817" s="16" t="str">
        <f>IFERROR(VLOOKUP(DATA!#REF!,DATA!#REF!,1,FALSE),"")</f>
        <v/>
      </c>
      <c r="D2817" s="16" t="str">
        <f>IFERROR(VLOOKUP(C2817,DATA!#REF!,2,FALSE),"")</f>
        <v/>
      </c>
    </row>
    <row r="2818" spans="3:4" s="230" customFormat="1">
      <c r="C2818" s="16" t="str">
        <f>IFERROR(VLOOKUP(DATA!#REF!,DATA!#REF!,1,FALSE),"")</f>
        <v/>
      </c>
      <c r="D2818" s="16" t="str">
        <f>IFERROR(VLOOKUP(C2818,DATA!#REF!,2,FALSE),"")</f>
        <v/>
      </c>
    </row>
    <row r="2819" spans="3:4" s="230" customFormat="1">
      <c r="C2819" s="16" t="str">
        <f>IFERROR(VLOOKUP(DATA!#REF!,DATA!#REF!,1,FALSE),"")</f>
        <v/>
      </c>
      <c r="D2819" s="16" t="str">
        <f>IFERROR(VLOOKUP(C2819,DATA!#REF!,2,FALSE),"")</f>
        <v/>
      </c>
    </row>
    <row r="2820" spans="3:4" s="230" customFormat="1">
      <c r="C2820" s="16" t="str">
        <f>IFERROR(VLOOKUP(DATA!#REF!,DATA!#REF!,1,FALSE),"")</f>
        <v/>
      </c>
      <c r="D2820" s="16" t="str">
        <f>IFERROR(VLOOKUP(C2820,DATA!#REF!,2,FALSE),"")</f>
        <v/>
      </c>
    </row>
    <row r="2821" spans="3:4" s="230" customFormat="1">
      <c r="C2821" s="16" t="str">
        <f>IFERROR(VLOOKUP(DATA!#REF!,DATA!#REF!,1,FALSE),"")</f>
        <v/>
      </c>
      <c r="D2821" s="16" t="str">
        <f>IFERROR(VLOOKUP(C2821,DATA!#REF!,2,FALSE),"")</f>
        <v/>
      </c>
    </row>
    <row r="2822" spans="3:4" s="230" customFormat="1">
      <c r="C2822" s="16" t="str">
        <f>IFERROR(VLOOKUP(DATA!#REF!,DATA!#REF!,1,FALSE),"")</f>
        <v/>
      </c>
      <c r="D2822" s="16" t="str">
        <f>IFERROR(VLOOKUP(C2822,DATA!#REF!,2,FALSE),"")</f>
        <v/>
      </c>
    </row>
    <row r="2823" spans="3:4" s="230" customFormat="1">
      <c r="C2823" s="16" t="str">
        <f>IFERROR(VLOOKUP(DATA!#REF!,DATA!#REF!,1,FALSE),"")</f>
        <v/>
      </c>
      <c r="D2823" s="16" t="str">
        <f>IFERROR(VLOOKUP(C2823,DATA!#REF!,2,FALSE),"")</f>
        <v/>
      </c>
    </row>
    <row r="2824" spans="3:4" s="230" customFormat="1">
      <c r="C2824" s="16" t="str">
        <f>IFERROR(VLOOKUP(DATA!#REF!,DATA!#REF!,1,FALSE),"")</f>
        <v/>
      </c>
      <c r="D2824" s="16" t="str">
        <f>IFERROR(VLOOKUP(C2824,DATA!#REF!,2,FALSE),"")</f>
        <v/>
      </c>
    </row>
    <row r="2825" spans="3:4" s="230" customFormat="1">
      <c r="C2825" s="16" t="str">
        <f>IFERROR(VLOOKUP(DATA!#REF!,DATA!#REF!,1,FALSE),"")</f>
        <v/>
      </c>
      <c r="D2825" s="16" t="str">
        <f>IFERROR(VLOOKUP(C2825,DATA!#REF!,2,FALSE),"")</f>
        <v/>
      </c>
    </row>
    <row r="2826" spans="3:4" s="230" customFormat="1">
      <c r="C2826" s="16" t="str">
        <f>IFERROR(VLOOKUP(DATA!#REF!,DATA!#REF!,1,FALSE),"")</f>
        <v/>
      </c>
      <c r="D2826" s="16" t="str">
        <f>IFERROR(VLOOKUP(C2826,DATA!#REF!,2,FALSE),"")</f>
        <v/>
      </c>
    </row>
    <row r="2827" spans="3:4" s="230" customFormat="1">
      <c r="C2827" s="16" t="str">
        <f>IFERROR(VLOOKUP(DATA!#REF!,DATA!#REF!,1,FALSE),"")</f>
        <v/>
      </c>
      <c r="D2827" s="16" t="str">
        <f>IFERROR(VLOOKUP(C2827,DATA!#REF!,2,FALSE),"")</f>
        <v/>
      </c>
    </row>
    <row r="2828" spans="3:4" s="230" customFormat="1">
      <c r="C2828" s="16" t="str">
        <f>IFERROR(VLOOKUP(DATA!#REF!,DATA!#REF!,1,FALSE),"")</f>
        <v/>
      </c>
      <c r="D2828" s="16" t="str">
        <f>IFERROR(VLOOKUP(C2828,DATA!#REF!,2,FALSE),"")</f>
        <v/>
      </c>
    </row>
    <row r="2829" spans="3:4" s="230" customFormat="1">
      <c r="C2829" s="16" t="str">
        <f>IFERROR(VLOOKUP(DATA!#REF!,DATA!#REF!,1,FALSE),"")</f>
        <v/>
      </c>
      <c r="D2829" s="16" t="str">
        <f>IFERROR(VLOOKUP(C2829,DATA!#REF!,2,FALSE),"")</f>
        <v/>
      </c>
    </row>
    <row r="2830" spans="3:4" s="230" customFormat="1">
      <c r="C2830" s="16" t="str">
        <f>IFERROR(VLOOKUP(DATA!#REF!,DATA!#REF!,1,FALSE),"")</f>
        <v/>
      </c>
      <c r="D2830" s="16" t="str">
        <f>IFERROR(VLOOKUP(C2830,DATA!#REF!,2,FALSE),"")</f>
        <v/>
      </c>
    </row>
    <row r="2831" spans="3:4" s="230" customFormat="1">
      <c r="C2831" s="16" t="str">
        <f>IFERROR(VLOOKUP(DATA!#REF!,DATA!#REF!,1,FALSE),"")</f>
        <v/>
      </c>
      <c r="D2831" s="16" t="str">
        <f>IFERROR(VLOOKUP(C2831,DATA!#REF!,2,FALSE),"")</f>
        <v/>
      </c>
    </row>
    <row r="2832" spans="3:4" s="230" customFormat="1">
      <c r="C2832" s="16" t="str">
        <f>IFERROR(VLOOKUP(DATA!#REF!,DATA!#REF!,1,FALSE),"")</f>
        <v/>
      </c>
      <c r="D2832" s="16" t="str">
        <f>IFERROR(VLOOKUP(C2832,DATA!#REF!,2,FALSE),"")</f>
        <v/>
      </c>
    </row>
    <row r="2833" spans="3:4" s="230" customFormat="1">
      <c r="C2833" s="16" t="str">
        <f>IFERROR(VLOOKUP(DATA!#REF!,DATA!#REF!,1,FALSE),"")</f>
        <v/>
      </c>
      <c r="D2833" s="16" t="str">
        <f>IFERROR(VLOOKUP(C2833,DATA!#REF!,2,FALSE),"")</f>
        <v/>
      </c>
    </row>
    <row r="2834" spans="3:4" s="230" customFormat="1">
      <c r="C2834" s="16" t="str">
        <f>IFERROR(VLOOKUP(DATA!#REF!,DATA!#REF!,1,FALSE),"")</f>
        <v/>
      </c>
      <c r="D2834" s="16" t="str">
        <f>IFERROR(VLOOKUP(C2834,DATA!#REF!,2,FALSE),"")</f>
        <v/>
      </c>
    </row>
    <row r="2835" spans="3:4" s="230" customFormat="1">
      <c r="C2835" s="16" t="str">
        <f>IFERROR(VLOOKUP(DATA!#REF!,DATA!#REF!,1,FALSE),"")</f>
        <v/>
      </c>
      <c r="D2835" s="16" t="str">
        <f>IFERROR(VLOOKUP(C2835,DATA!#REF!,2,FALSE),"")</f>
        <v/>
      </c>
    </row>
    <row r="2836" spans="3:4" s="230" customFormat="1">
      <c r="C2836" s="16" t="str">
        <f>IFERROR(VLOOKUP(DATA!#REF!,DATA!#REF!,1,FALSE),"")</f>
        <v/>
      </c>
      <c r="D2836" s="16" t="str">
        <f>IFERROR(VLOOKUP(C2836,DATA!#REF!,2,FALSE),"")</f>
        <v/>
      </c>
    </row>
    <row r="2837" spans="3:4" s="230" customFormat="1">
      <c r="C2837" s="16" t="str">
        <f>IFERROR(VLOOKUP(DATA!#REF!,DATA!#REF!,1,FALSE),"")</f>
        <v/>
      </c>
      <c r="D2837" s="16" t="str">
        <f>IFERROR(VLOOKUP(C2837,DATA!#REF!,2,FALSE),"")</f>
        <v/>
      </c>
    </row>
    <row r="2838" spans="3:4" s="230" customFormat="1">
      <c r="C2838" s="16" t="str">
        <f>IFERROR(VLOOKUP(DATA!#REF!,DATA!#REF!,1,FALSE),"")</f>
        <v/>
      </c>
      <c r="D2838" s="16" t="str">
        <f>IFERROR(VLOOKUP(C2838,DATA!#REF!,2,FALSE),"")</f>
        <v/>
      </c>
    </row>
    <row r="2839" spans="3:4" s="230" customFormat="1">
      <c r="C2839" s="16" t="str">
        <f>IFERROR(VLOOKUP(DATA!#REF!,DATA!#REF!,1,FALSE),"")</f>
        <v/>
      </c>
      <c r="D2839" s="16" t="str">
        <f>IFERROR(VLOOKUP(C2839,DATA!#REF!,2,FALSE),"")</f>
        <v/>
      </c>
    </row>
    <row r="2840" spans="3:4" s="230" customFormat="1">
      <c r="C2840" s="16" t="str">
        <f>IFERROR(VLOOKUP(DATA!#REF!,DATA!#REF!,1,FALSE),"")</f>
        <v/>
      </c>
      <c r="D2840" s="16" t="str">
        <f>IFERROR(VLOOKUP(C2840,DATA!#REF!,2,FALSE),"")</f>
        <v/>
      </c>
    </row>
    <row r="2841" spans="3:4" s="230" customFormat="1">
      <c r="C2841" s="16" t="str">
        <f>IFERROR(VLOOKUP(DATA!#REF!,DATA!#REF!,1,FALSE),"")</f>
        <v/>
      </c>
      <c r="D2841" s="16" t="str">
        <f>IFERROR(VLOOKUP(C2841,DATA!#REF!,2,FALSE),"")</f>
        <v/>
      </c>
    </row>
    <row r="2842" spans="3:4" s="230" customFormat="1">
      <c r="C2842" s="16" t="str">
        <f>IFERROR(VLOOKUP(DATA!#REF!,DATA!#REF!,1,FALSE),"")</f>
        <v/>
      </c>
      <c r="D2842" s="16" t="str">
        <f>IFERROR(VLOOKUP(C2842,DATA!#REF!,2,FALSE),"")</f>
        <v/>
      </c>
    </row>
    <row r="2843" spans="3:4" s="230" customFormat="1">
      <c r="C2843" s="16" t="str">
        <f>IFERROR(VLOOKUP(DATA!#REF!,DATA!#REF!,1,FALSE),"")</f>
        <v/>
      </c>
      <c r="D2843" s="16" t="str">
        <f>IFERROR(VLOOKUP(C2843,DATA!#REF!,2,FALSE),"")</f>
        <v/>
      </c>
    </row>
    <row r="2844" spans="3:4" s="230" customFormat="1">
      <c r="C2844" s="16" t="str">
        <f>IFERROR(VLOOKUP(DATA!#REF!,DATA!#REF!,1,FALSE),"")</f>
        <v/>
      </c>
      <c r="D2844" s="16" t="str">
        <f>IFERROR(VLOOKUP(C2844,DATA!#REF!,2,FALSE),"")</f>
        <v/>
      </c>
    </row>
    <row r="2845" spans="3:4" s="230" customFormat="1">
      <c r="C2845" s="16" t="str">
        <f>IFERROR(VLOOKUP(DATA!#REF!,DATA!#REF!,1,FALSE),"")</f>
        <v/>
      </c>
      <c r="D2845" s="16" t="str">
        <f>IFERROR(VLOOKUP(C2845,DATA!#REF!,2,FALSE),"")</f>
        <v/>
      </c>
    </row>
    <row r="2846" spans="3:4" s="230" customFormat="1">
      <c r="C2846" s="16" t="str">
        <f>IFERROR(VLOOKUP(DATA!#REF!,DATA!#REF!,1,FALSE),"")</f>
        <v/>
      </c>
      <c r="D2846" s="16" t="str">
        <f>IFERROR(VLOOKUP(C2846,DATA!#REF!,2,FALSE),"")</f>
        <v/>
      </c>
    </row>
    <row r="2847" spans="3:4" s="230" customFormat="1">
      <c r="C2847" s="16" t="str">
        <f>IFERROR(VLOOKUP(DATA!#REF!,DATA!#REF!,1,FALSE),"")</f>
        <v/>
      </c>
      <c r="D2847" s="16" t="str">
        <f>IFERROR(VLOOKUP(C2847,DATA!#REF!,2,FALSE),"")</f>
        <v/>
      </c>
    </row>
    <row r="2848" spans="3:4" s="230" customFormat="1">
      <c r="C2848" s="16" t="str">
        <f>IFERROR(VLOOKUP(DATA!#REF!,DATA!#REF!,1,FALSE),"")</f>
        <v/>
      </c>
      <c r="D2848" s="16" t="str">
        <f>IFERROR(VLOOKUP(C2848,DATA!#REF!,2,FALSE),"")</f>
        <v/>
      </c>
    </row>
    <row r="2849" spans="3:4" s="230" customFormat="1">
      <c r="C2849" s="16" t="str">
        <f>IFERROR(VLOOKUP(DATA!#REF!,DATA!#REF!,1,FALSE),"")</f>
        <v/>
      </c>
      <c r="D2849" s="16" t="str">
        <f>IFERROR(VLOOKUP(C2849,DATA!#REF!,2,FALSE),"")</f>
        <v/>
      </c>
    </row>
    <row r="2850" spans="3:4" s="230" customFormat="1">
      <c r="C2850" s="16" t="str">
        <f>IFERROR(VLOOKUP(DATA!#REF!,DATA!#REF!,1,FALSE),"")</f>
        <v/>
      </c>
      <c r="D2850" s="16" t="str">
        <f>IFERROR(VLOOKUP(C2850,DATA!#REF!,2,FALSE),"")</f>
        <v/>
      </c>
    </row>
    <row r="2851" spans="3:4" s="230" customFormat="1">
      <c r="C2851" s="16" t="str">
        <f>IFERROR(VLOOKUP(DATA!#REF!,DATA!#REF!,1,FALSE),"")</f>
        <v/>
      </c>
      <c r="D2851" s="16" t="str">
        <f>IFERROR(VLOOKUP(C2851,DATA!#REF!,2,FALSE),"")</f>
        <v/>
      </c>
    </row>
    <row r="2852" spans="3:4" s="230" customFormat="1">
      <c r="C2852" s="16" t="str">
        <f>IFERROR(VLOOKUP(DATA!#REF!,DATA!#REF!,1,FALSE),"")</f>
        <v/>
      </c>
      <c r="D2852" s="16" t="str">
        <f>IFERROR(VLOOKUP(C2852,DATA!#REF!,2,FALSE),"")</f>
        <v/>
      </c>
    </row>
    <row r="2853" spans="3:4" s="230" customFormat="1">
      <c r="C2853" s="16" t="str">
        <f>IFERROR(VLOOKUP(DATA!#REF!,DATA!#REF!,1,FALSE),"")</f>
        <v/>
      </c>
      <c r="D2853" s="16" t="str">
        <f>IFERROR(VLOOKUP(C2853,DATA!#REF!,2,FALSE),"")</f>
        <v/>
      </c>
    </row>
    <row r="2854" spans="3:4" s="230" customFormat="1">
      <c r="C2854" s="16" t="str">
        <f>IFERROR(VLOOKUP(DATA!#REF!,DATA!#REF!,1,FALSE),"")</f>
        <v/>
      </c>
      <c r="D2854" s="16" t="str">
        <f>IFERROR(VLOOKUP(C2854,DATA!#REF!,2,FALSE),"")</f>
        <v/>
      </c>
    </row>
    <row r="2855" spans="3:4" s="230" customFormat="1">
      <c r="C2855" s="16" t="str">
        <f>IFERROR(VLOOKUP(DATA!#REF!,DATA!#REF!,1,FALSE),"")</f>
        <v/>
      </c>
      <c r="D2855" s="16" t="str">
        <f>IFERROR(VLOOKUP(C2855,DATA!#REF!,2,FALSE),"")</f>
        <v/>
      </c>
    </row>
    <row r="2856" spans="3:4" s="230" customFormat="1">
      <c r="C2856" s="16" t="str">
        <f>IFERROR(VLOOKUP(DATA!#REF!,DATA!#REF!,1,FALSE),"")</f>
        <v/>
      </c>
      <c r="D2856" s="16" t="str">
        <f>IFERROR(VLOOKUP(C2856,DATA!#REF!,2,FALSE),"")</f>
        <v/>
      </c>
    </row>
    <row r="2857" spans="3:4" s="230" customFormat="1">
      <c r="C2857" s="16" t="str">
        <f>IFERROR(VLOOKUP(DATA!#REF!,DATA!#REF!,1,FALSE),"")</f>
        <v/>
      </c>
      <c r="D2857" s="16" t="str">
        <f>IFERROR(VLOOKUP(C2857,DATA!#REF!,2,FALSE),"")</f>
        <v/>
      </c>
    </row>
    <row r="2858" spans="3:4" s="230" customFormat="1">
      <c r="C2858" s="16" t="str">
        <f>IFERROR(VLOOKUP(DATA!#REF!,DATA!#REF!,1,FALSE),"")</f>
        <v/>
      </c>
      <c r="D2858" s="16" t="str">
        <f>IFERROR(VLOOKUP(C2858,DATA!#REF!,2,FALSE),"")</f>
        <v/>
      </c>
    </row>
    <row r="2859" spans="3:4" s="230" customFormat="1">
      <c r="C2859" s="16" t="str">
        <f>IFERROR(VLOOKUP(DATA!#REF!,DATA!#REF!,1,FALSE),"")</f>
        <v/>
      </c>
      <c r="D2859" s="16" t="str">
        <f>IFERROR(VLOOKUP(C2859,DATA!#REF!,2,FALSE),"")</f>
        <v/>
      </c>
    </row>
    <row r="2860" spans="3:4" s="230" customFormat="1">
      <c r="C2860" s="16" t="str">
        <f>IFERROR(VLOOKUP(DATA!#REF!,DATA!#REF!,1,FALSE),"")</f>
        <v/>
      </c>
      <c r="D2860" s="16" t="str">
        <f>IFERROR(VLOOKUP(C2860,DATA!#REF!,2,FALSE),"")</f>
        <v/>
      </c>
    </row>
    <row r="2861" spans="3:4" s="230" customFormat="1">
      <c r="C2861" s="16" t="str">
        <f>IFERROR(VLOOKUP(DATA!#REF!,DATA!#REF!,1,FALSE),"")</f>
        <v/>
      </c>
      <c r="D2861" s="16" t="str">
        <f>IFERROR(VLOOKUP(C2861,DATA!#REF!,2,FALSE),"")</f>
        <v/>
      </c>
    </row>
    <row r="2862" spans="3:4" s="230" customFormat="1">
      <c r="C2862" s="16" t="str">
        <f>IFERROR(VLOOKUP(DATA!#REF!,DATA!#REF!,1,FALSE),"")</f>
        <v/>
      </c>
      <c r="D2862" s="16" t="str">
        <f>IFERROR(VLOOKUP(C2862,DATA!#REF!,2,FALSE),"")</f>
        <v/>
      </c>
    </row>
    <row r="2863" spans="3:4" s="230" customFormat="1">
      <c r="C2863" s="16" t="str">
        <f>IFERROR(VLOOKUP(DATA!#REF!,DATA!#REF!,1,FALSE),"")</f>
        <v/>
      </c>
      <c r="D2863" s="16" t="str">
        <f>IFERROR(VLOOKUP(C2863,DATA!#REF!,2,FALSE),"")</f>
        <v/>
      </c>
    </row>
    <row r="2864" spans="3:4" s="230" customFormat="1">
      <c r="C2864" s="16" t="str">
        <f>IFERROR(VLOOKUP(DATA!#REF!,DATA!#REF!,1,FALSE),"")</f>
        <v/>
      </c>
      <c r="D2864" s="16" t="str">
        <f>IFERROR(VLOOKUP(C2864,DATA!#REF!,2,FALSE),"")</f>
        <v/>
      </c>
    </row>
    <row r="2865" spans="3:4" s="230" customFormat="1">
      <c r="C2865" s="16" t="str">
        <f>IFERROR(VLOOKUP(DATA!#REF!,DATA!#REF!,1,FALSE),"")</f>
        <v/>
      </c>
      <c r="D2865" s="16" t="str">
        <f>IFERROR(VLOOKUP(C2865,DATA!#REF!,2,FALSE),"")</f>
        <v/>
      </c>
    </row>
    <row r="2866" spans="3:4" s="230" customFormat="1">
      <c r="C2866" s="16" t="str">
        <f>IFERROR(VLOOKUP(DATA!#REF!,DATA!#REF!,1,FALSE),"")</f>
        <v/>
      </c>
      <c r="D2866" s="16" t="str">
        <f>IFERROR(VLOOKUP(C2866,DATA!#REF!,2,FALSE),"")</f>
        <v/>
      </c>
    </row>
    <row r="2867" spans="3:4" s="230" customFormat="1">
      <c r="C2867" s="16" t="str">
        <f>IFERROR(VLOOKUP(DATA!#REF!,DATA!#REF!,1,FALSE),"")</f>
        <v/>
      </c>
      <c r="D2867" s="16" t="str">
        <f>IFERROR(VLOOKUP(C2867,DATA!#REF!,2,FALSE),"")</f>
        <v/>
      </c>
    </row>
    <row r="2868" spans="3:4" s="230" customFormat="1">
      <c r="C2868" s="16" t="str">
        <f>IFERROR(VLOOKUP(DATA!#REF!,DATA!#REF!,1,FALSE),"")</f>
        <v/>
      </c>
      <c r="D2868" s="16" t="str">
        <f>IFERROR(VLOOKUP(C2868,DATA!#REF!,2,FALSE),"")</f>
        <v/>
      </c>
    </row>
    <row r="2869" spans="3:4" s="230" customFormat="1">
      <c r="C2869" s="16" t="str">
        <f>IFERROR(VLOOKUP(DATA!#REF!,DATA!#REF!,1,FALSE),"")</f>
        <v/>
      </c>
      <c r="D2869" s="16" t="str">
        <f>IFERROR(VLOOKUP(C2869,DATA!#REF!,2,FALSE),"")</f>
        <v/>
      </c>
    </row>
    <row r="2870" spans="3:4" s="230" customFormat="1">
      <c r="C2870" s="16" t="str">
        <f>IFERROR(VLOOKUP(DATA!#REF!,DATA!#REF!,1,FALSE),"")</f>
        <v/>
      </c>
      <c r="D2870" s="16" t="str">
        <f>IFERROR(VLOOKUP(C2870,DATA!#REF!,2,FALSE),"")</f>
        <v/>
      </c>
    </row>
    <row r="2871" spans="3:4" s="230" customFormat="1">
      <c r="C2871" s="16" t="str">
        <f>IFERROR(VLOOKUP(DATA!#REF!,DATA!#REF!,1,FALSE),"")</f>
        <v/>
      </c>
      <c r="D2871" s="16" t="str">
        <f>IFERROR(VLOOKUP(C2871,DATA!#REF!,2,FALSE),"")</f>
        <v/>
      </c>
    </row>
    <row r="2872" spans="3:4" s="230" customFormat="1">
      <c r="C2872" s="16" t="str">
        <f>IFERROR(VLOOKUP(DATA!#REF!,DATA!#REF!,1,FALSE),"")</f>
        <v/>
      </c>
      <c r="D2872" s="16" t="str">
        <f>IFERROR(VLOOKUP(C2872,DATA!#REF!,2,FALSE),"")</f>
        <v/>
      </c>
    </row>
    <row r="2873" spans="3:4" s="230" customFormat="1">
      <c r="C2873" s="16" t="str">
        <f>IFERROR(VLOOKUP(DATA!#REF!,DATA!#REF!,1,FALSE),"")</f>
        <v/>
      </c>
      <c r="D2873" s="16" t="str">
        <f>IFERROR(VLOOKUP(C2873,DATA!#REF!,2,FALSE),"")</f>
        <v/>
      </c>
    </row>
    <row r="2874" spans="3:4" s="230" customFormat="1">
      <c r="C2874" s="16" t="str">
        <f>IFERROR(VLOOKUP(DATA!#REF!,DATA!#REF!,1,FALSE),"")</f>
        <v/>
      </c>
      <c r="D2874" s="16" t="str">
        <f>IFERROR(VLOOKUP(C2874,DATA!#REF!,2,FALSE),"")</f>
        <v/>
      </c>
    </row>
    <row r="2875" spans="3:4" s="230" customFormat="1">
      <c r="C2875" s="16" t="str">
        <f>IFERROR(VLOOKUP(DATA!#REF!,DATA!#REF!,1,FALSE),"")</f>
        <v/>
      </c>
      <c r="D2875" s="16" t="str">
        <f>IFERROR(VLOOKUP(C2875,DATA!#REF!,2,FALSE),"")</f>
        <v/>
      </c>
    </row>
    <row r="2876" spans="3:4" s="230" customFormat="1">
      <c r="C2876" s="16" t="str">
        <f>IFERROR(VLOOKUP(DATA!#REF!,DATA!#REF!,1,FALSE),"")</f>
        <v/>
      </c>
      <c r="D2876" s="16" t="str">
        <f>IFERROR(VLOOKUP(C2876,DATA!#REF!,2,FALSE),"")</f>
        <v/>
      </c>
    </row>
    <row r="2877" spans="3:4" s="230" customFormat="1">
      <c r="C2877" s="16" t="str">
        <f>IFERROR(VLOOKUP(DATA!#REF!,DATA!#REF!,1,FALSE),"")</f>
        <v/>
      </c>
      <c r="D2877" s="16" t="str">
        <f>IFERROR(VLOOKUP(C2877,DATA!#REF!,2,FALSE),"")</f>
        <v/>
      </c>
    </row>
    <row r="2878" spans="3:4" s="230" customFormat="1">
      <c r="C2878" s="16" t="str">
        <f>IFERROR(VLOOKUP(DATA!#REF!,DATA!#REF!,1,FALSE),"")</f>
        <v/>
      </c>
      <c r="D2878" s="16" t="str">
        <f>IFERROR(VLOOKUP(C2878,DATA!#REF!,2,FALSE),"")</f>
        <v/>
      </c>
    </row>
    <row r="2879" spans="3:4" s="230" customFormat="1">
      <c r="C2879" s="16" t="str">
        <f>IFERROR(VLOOKUP(DATA!#REF!,DATA!#REF!,1,FALSE),"")</f>
        <v/>
      </c>
      <c r="D2879" s="16" t="str">
        <f>IFERROR(VLOOKUP(C2879,DATA!#REF!,2,FALSE),"")</f>
        <v/>
      </c>
    </row>
    <row r="2880" spans="3:4" s="230" customFormat="1">
      <c r="C2880" s="16" t="str">
        <f>IFERROR(VLOOKUP(DATA!#REF!,DATA!#REF!,1,FALSE),"")</f>
        <v/>
      </c>
      <c r="D2880" s="16" t="str">
        <f>IFERROR(VLOOKUP(C2880,DATA!#REF!,2,FALSE),"")</f>
        <v/>
      </c>
    </row>
    <row r="2881" spans="3:4" s="230" customFormat="1">
      <c r="C2881" s="16" t="str">
        <f>IFERROR(VLOOKUP(DATA!#REF!,DATA!#REF!,1,FALSE),"")</f>
        <v/>
      </c>
      <c r="D2881" s="16" t="str">
        <f>IFERROR(VLOOKUP(C2881,DATA!#REF!,2,FALSE),"")</f>
        <v/>
      </c>
    </row>
    <row r="2882" spans="3:4" s="230" customFormat="1">
      <c r="C2882" s="16" t="str">
        <f>IFERROR(VLOOKUP(DATA!#REF!,DATA!#REF!,1,FALSE),"")</f>
        <v/>
      </c>
      <c r="D2882" s="16" t="str">
        <f>IFERROR(VLOOKUP(C2882,DATA!#REF!,2,FALSE),"")</f>
        <v/>
      </c>
    </row>
    <row r="2883" spans="3:4" s="230" customFormat="1">
      <c r="C2883" s="16" t="str">
        <f>IFERROR(VLOOKUP(DATA!#REF!,DATA!#REF!,1,FALSE),"")</f>
        <v/>
      </c>
      <c r="D2883" s="16" t="str">
        <f>IFERROR(VLOOKUP(C2883,DATA!#REF!,2,FALSE),"")</f>
        <v/>
      </c>
    </row>
    <row r="2884" spans="3:4" s="230" customFormat="1">
      <c r="C2884" s="16" t="str">
        <f>IFERROR(VLOOKUP(DATA!#REF!,DATA!#REF!,1,FALSE),"")</f>
        <v/>
      </c>
      <c r="D2884" s="16" t="str">
        <f>IFERROR(VLOOKUP(C2884,DATA!#REF!,2,FALSE),"")</f>
        <v/>
      </c>
    </row>
    <row r="2885" spans="3:4" s="230" customFormat="1">
      <c r="C2885" s="16" t="str">
        <f>IFERROR(VLOOKUP(DATA!#REF!,DATA!#REF!,1,FALSE),"")</f>
        <v/>
      </c>
      <c r="D2885" s="16" t="str">
        <f>IFERROR(VLOOKUP(C2885,DATA!#REF!,2,FALSE),"")</f>
        <v/>
      </c>
    </row>
    <row r="2886" spans="3:4" s="230" customFormat="1">
      <c r="C2886" s="16" t="str">
        <f>IFERROR(VLOOKUP(DATA!#REF!,DATA!#REF!,1,FALSE),"")</f>
        <v/>
      </c>
      <c r="D2886" s="16" t="str">
        <f>IFERROR(VLOOKUP(C2886,DATA!#REF!,2,FALSE),"")</f>
        <v/>
      </c>
    </row>
    <row r="2887" spans="3:4" s="230" customFormat="1">
      <c r="C2887" s="16" t="str">
        <f>IFERROR(VLOOKUP(DATA!#REF!,DATA!#REF!,1,FALSE),"")</f>
        <v/>
      </c>
      <c r="D2887" s="16" t="str">
        <f>IFERROR(VLOOKUP(C2887,DATA!#REF!,2,FALSE),"")</f>
        <v/>
      </c>
    </row>
    <row r="2888" spans="3:4" s="230" customFormat="1">
      <c r="C2888" s="16" t="str">
        <f>IFERROR(VLOOKUP(DATA!#REF!,DATA!#REF!,1,FALSE),"")</f>
        <v/>
      </c>
      <c r="D2888" s="16" t="str">
        <f>IFERROR(VLOOKUP(C2888,DATA!#REF!,2,FALSE),"")</f>
        <v/>
      </c>
    </row>
    <row r="2889" spans="3:4" s="230" customFormat="1">
      <c r="C2889" s="16" t="str">
        <f>IFERROR(VLOOKUP(DATA!#REF!,DATA!#REF!,1,FALSE),"")</f>
        <v/>
      </c>
      <c r="D2889" s="16" t="str">
        <f>IFERROR(VLOOKUP(C2889,DATA!#REF!,2,FALSE),"")</f>
        <v/>
      </c>
    </row>
    <row r="2890" spans="3:4" s="230" customFormat="1">
      <c r="C2890" s="16" t="str">
        <f>IFERROR(VLOOKUP(DATA!#REF!,DATA!#REF!,1,FALSE),"")</f>
        <v/>
      </c>
      <c r="D2890" s="16" t="str">
        <f>IFERROR(VLOOKUP(C2890,DATA!#REF!,2,FALSE),"")</f>
        <v/>
      </c>
    </row>
    <row r="2891" spans="3:4" s="230" customFormat="1">
      <c r="C2891" s="16" t="str">
        <f>IFERROR(VLOOKUP(DATA!#REF!,DATA!#REF!,1,FALSE),"")</f>
        <v/>
      </c>
      <c r="D2891" s="16" t="str">
        <f>IFERROR(VLOOKUP(C2891,DATA!#REF!,2,FALSE),"")</f>
        <v/>
      </c>
    </row>
    <row r="2892" spans="3:4" s="230" customFormat="1">
      <c r="C2892" s="16" t="str">
        <f>IFERROR(VLOOKUP(DATA!#REF!,DATA!#REF!,1,FALSE),"")</f>
        <v/>
      </c>
      <c r="D2892" s="16" t="str">
        <f>IFERROR(VLOOKUP(C2892,DATA!#REF!,2,FALSE),"")</f>
        <v/>
      </c>
    </row>
    <row r="2893" spans="3:4" s="230" customFormat="1">
      <c r="C2893" s="16" t="str">
        <f>IFERROR(VLOOKUP(DATA!#REF!,DATA!#REF!,1,FALSE),"")</f>
        <v/>
      </c>
      <c r="D2893" s="16" t="str">
        <f>IFERROR(VLOOKUP(C2893,DATA!#REF!,2,FALSE),"")</f>
        <v/>
      </c>
    </row>
    <row r="2894" spans="3:4" s="230" customFormat="1">
      <c r="C2894" s="16" t="str">
        <f>IFERROR(VLOOKUP(DATA!#REF!,DATA!#REF!,1,FALSE),"")</f>
        <v/>
      </c>
      <c r="D2894" s="16" t="str">
        <f>IFERROR(VLOOKUP(C2894,DATA!#REF!,2,FALSE),"")</f>
        <v/>
      </c>
    </row>
    <row r="2895" spans="3:4" s="230" customFormat="1">
      <c r="C2895" s="16" t="str">
        <f>IFERROR(VLOOKUP(DATA!#REF!,DATA!#REF!,1,FALSE),"")</f>
        <v/>
      </c>
      <c r="D2895" s="16" t="str">
        <f>IFERROR(VLOOKUP(C2895,DATA!#REF!,2,FALSE),"")</f>
        <v/>
      </c>
    </row>
    <row r="2896" spans="3:4" s="230" customFormat="1">
      <c r="C2896" s="16" t="str">
        <f>IFERROR(VLOOKUP(DATA!#REF!,DATA!#REF!,1,FALSE),"")</f>
        <v/>
      </c>
      <c r="D2896" s="16" t="str">
        <f>IFERROR(VLOOKUP(C2896,DATA!#REF!,2,FALSE),"")</f>
        <v/>
      </c>
    </row>
    <row r="2897" spans="3:4" s="230" customFormat="1">
      <c r="C2897" s="16" t="str">
        <f>IFERROR(VLOOKUP(DATA!#REF!,DATA!#REF!,1,FALSE),"")</f>
        <v/>
      </c>
      <c r="D2897" s="16" t="str">
        <f>IFERROR(VLOOKUP(C2897,DATA!#REF!,2,FALSE),"")</f>
        <v/>
      </c>
    </row>
    <row r="2898" spans="3:4" s="230" customFormat="1">
      <c r="C2898" s="16" t="str">
        <f>IFERROR(VLOOKUP(DATA!#REF!,DATA!#REF!,1,FALSE),"")</f>
        <v/>
      </c>
      <c r="D2898" s="16" t="str">
        <f>IFERROR(VLOOKUP(C2898,DATA!#REF!,2,FALSE),"")</f>
        <v/>
      </c>
    </row>
    <row r="2899" spans="3:4" s="230" customFormat="1">
      <c r="C2899" s="16" t="str">
        <f>IFERROR(VLOOKUP(DATA!#REF!,DATA!#REF!,1,FALSE),"")</f>
        <v/>
      </c>
      <c r="D2899" s="16" t="str">
        <f>IFERROR(VLOOKUP(C2899,DATA!#REF!,2,FALSE),"")</f>
        <v/>
      </c>
    </row>
    <row r="2900" spans="3:4" s="230" customFormat="1">
      <c r="C2900" s="16" t="str">
        <f>IFERROR(VLOOKUP(DATA!#REF!,DATA!#REF!,1,FALSE),"")</f>
        <v/>
      </c>
      <c r="D2900" s="16" t="str">
        <f>IFERROR(VLOOKUP(C2900,DATA!#REF!,2,FALSE),"")</f>
        <v/>
      </c>
    </row>
    <row r="2901" spans="3:4" s="230" customFormat="1">
      <c r="C2901" s="16" t="str">
        <f>IFERROR(VLOOKUP(DATA!#REF!,DATA!#REF!,1,FALSE),"")</f>
        <v/>
      </c>
      <c r="D2901" s="16" t="str">
        <f>IFERROR(VLOOKUP(C2901,DATA!#REF!,2,FALSE),"")</f>
        <v/>
      </c>
    </row>
    <row r="2902" spans="3:4" s="230" customFormat="1">
      <c r="C2902" s="16" t="str">
        <f>IFERROR(VLOOKUP(DATA!#REF!,DATA!#REF!,1,FALSE),"")</f>
        <v/>
      </c>
      <c r="D2902" s="16" t="str">
        <f>IFERROR(VLOOKUP(C2902,DATA!#REF!,2,FALSE),"")</f>
        <v/>
      </c>
    </row>
    <row r="2903" spans="3:4" s="230" customFormat="1">
      <c r="C2903" s="16" t="str">
        <f>IFERROR(VLOOKUP(DATA!#REF!,DATA!#REF!,1,FALSE),"")</f>
        <v/>
      </c>
      <c r="D2903" s="16" t="str">
        <f>IFERROR(VLOOKUP(C2903,DATA!#REF!,2,FALSE),"")</f>
        <v/>
      </c>
    </row>
    <row r="2904" spans="3:4" s="230" customFormat="1">
      <c r="C2904" s="16" t="str">
        <f>IFERROR(VLOOKUP(DATA!#REF!,DATA!#REF!,1,FALSE),"")</f>
        <v/>
      </c>
      <c r="D2904" s="16" t="str">
        <f>IFERROR(VLOOKUP(C2904,DATA!#REF!,2,FALSE),"")</f>
        <v/>
      </c>
    </row>
    <row r="2905" spans="3:4" s="230" customFormat="1">
      <c r="C2905" s="16" t="str">
        <f>IFERROR(VLOOKUP(DATA!#REF!,DATA!#REF!,1,FALSE),"")</f>
        <v/>
      </c>
      <c r="D2905" s="16" t="str">
        <f>IFERROR(VLOOKUP(C2905,DATA!#REF!,2,FALSE),"")</f>
        <v/>
      </c>
    </row>
    <row r="2906" spans="3:4" s="230" customFormat="1">
      <c r="C2906" s="16" t="str">
        <f>IFERROR(VLOOKUP(DATA!#REF!,DATA!#REF!,1,FALSE),"")</f>
        <v/>
      </c>
      <c r="D2906" s="16" t="str">
        <f>IFERROR(VLOOKUP(C2906,DATA!#REF!,2,FALSE),"")</f>
        <v/>
      </c>
    </row>
    <row r="2907" spans="3:4" s="230" customFormat="1">
      <c r="C2907" s="16" t="str">
        <f>IFERROR(VLOOKUP(DATA!#REF!,DATA!#REF!,1,FALSE),"")</f>
        <v/>
      </c>
      <c r="D2907" s="16" t="str">
        <f>IFERROR(VLOOKUP(C2907,DATA!#REF!,2,FALSE),"")</f>
        <v/>
      </c>
    </row>
    <row r="2908" spans="3:4" s="230" customFormat="1">
      <c r="C2908" s="16" t="str">
        <f>IFERROR(VLOOKUP(DATA!#REF!,DATA!#REF!,1,FALSE),"")</f>
        <v/>
      </c>
      <c r="D2908" s="16" t="str">
        <f>IFERROR(VLOOKUP(C2908,DATA!#REF!,2,FALSE),"")</f>
        <v/>
      </c>
    </row>
    <row r="2909" spans="3:4" s="230" customFormat="1">
      <c r="C2909" s="16" t="str">
        <f>IFERROR(VLOOKUP(DATA!#REF!,DATA!#REF!,1,FALSE),"")</f>
        <v/>
      </c>
      <c r="D2909" s="16" t="str">
        <f>IFERROR(VLOOKUP(C2909,DATA!#REF!,2,FALSE),"")</f>
        <v/>
      </c>
    </row>
    <row r="2910" spans="3:4" s="230" customFormat="1">
      <c r="C2910" s="16" t="str">
        <f>IFERROR(VLOOKUP(DATA!#REF!,DATA!#REF!,1,FALSE),"")</f>
        <v/>
      </c>
      <c r="D2910" s="16" t="str">
        <f>IFERROR(VLOOKUP(C2910,DATA!#REF!,2,FALSE),"")</f>
        <v/>
      </c>
    </row>
    <row r="2911" spans="3:4" s="230" customFormat="1">
      <c r="C2911" s="16" t="str">
        <f>IFERROR(VLOOKUP(DATA!#REF!,DATA!#REF!,1,FALSE),"")</f>
        <v/>
      </c>
      <c r="D2911" s="16" t="str">
        <f>IFERROR(VLOOKUP(C2911,DATA!#REF!,2,FALSE),"")</f>
        <v/>
      </c>
    </row>
    <row r="2912" spans="3:4" s="230" customFormat="1">
      <c r="C2912" s="16" t="str">
        <f>IFERROR(VLOOKUP(DATA!#REF!,DATA!#REF!,1,FALSE),"")</f>
        <v/>
      </c>
      <c r="D2912" s="16" t="str">
        <f>IFERROR(VLOOKUP(C2912,DATA!#REF!,2,FALSE),"")</f>
        <v/>
      </c>
    </row>
    <row r="2913" spans="3:4" s="230" customFormat="1">
      <c r="C2913" s="16" t="str">
        <f>IFERROR(VLOOKUP(DATA!#REF!,DATA!#REF!,1,FALSE),"")</f>
        <v/>
      </c>
      <c r="D2913" s="16" t="str">
        <f>IFERROR(VLOOKUP(C2913,DATA!#REF!,2,FALSE),"")</f>
        <v/>
      </c>
    </row>
    <row r="2914" spans="3:4" s="230" customFormat="1">
      <c r="C2914" s="16" t="str">
        <f>IFERROR(VLOOKUP(DATA!#REF!,DATA!#REF!,1,FALSE),"")</f>
        <v/>
      </c>
      <c r="D2914" s="16" t="str">
        <f>IFERROR(VLOOKUP(C2914,DATA!#REF!,2,FALSE),"")</f>
        <v/>
      </c>
    </row>
    <row r="2915" spans="3:4" s="230" customFormat="1">
      <c r="C2915" s="16" t="str">
        <f>IFERROR(VLOOKUP(DATA!#REF!,DATA!#REF!,1,FALSE),"")</f>
        <v/>
      </c>
      <c r="D2915" s="16" t="str">
        <f>IFERROR(VLOOKUP(C2915,DATA!#REF!,2,FALSE),"")</f>
        <v/>
      </c>
    </row>
    <row r="2916" spans="3:4" s="230" customFormat="1">
      <c r="C2916" s="16" t="str">
        <f>IFERROR(VLOOKUP(DATA!#REF!,DATA!#REF!,1,FALSE),"")</f>
        <v/>
      </c>
      <c r="D2916" s="16" t="str">
        <f>IFERROR(VLOOKUP(C2916,DATA!#REF!,2,FALSE),"")</f>
        <v/>
      </c>
    </row>
    <row r="2917" spans="3:4" s="230" customFormat="1">
      <c r="C2917" s="16" t="str">
        <f>IFERROR(VLOOKUP(DATA!#REF!,DATA!#REF!,1,FALSE),"")</f>
        <v/>
      </c>
      <c r="D2917" s="16" t="str">
        <f>IFERROR(VLOOKUP(C2917,DATA!#REF!,2,FALSE),"")</f>
        <v/>
      </c>
    </row>
    <row r="2918" spans="3:4" s="230" customFormat="1">
      <c r="C2918" s="16" t="str">
        <f>IFERROR(VLOOKUP(DATA!#REF!,DATA!#REF!,1,FALSE),"")</f>
        <v/>
      </c>
      <c r="D2918" s="16" t="str">
        <f>IFERROR(VLOOKUP(C2918,DATA!#REF!,2,FALSE),"")</f>
        <v/>
      </c>
    </row>
    <row r="2919" spans="3:4" s="230" customFormat="1">
      <c r="C2919" s="16" t="str">
        <f>IFERROR(VLOOKUP(DATA!#REF!,DATA!#REF!,1,FALSE),"")</f>
        <v/>
      </c>
      <c r="D2919" s="16" t="str">
        <f>IFERROR(VLOOKUP(C2919,DATA!#REF!,2,FALSE),"")</f>
        <v/>
      </c>
    </row>
    <row r="2920" spans="3:4" s="230" customFormat="1">
      <c r="C2920" s="16" t="str">
        <f>IFERROR(VLOOKUP(DATA!#REF!,DATA!#REF!,1,FALSE),"")</f>
        <v/>
      </c>
      <c r="D2920" s="16" t="str">
        <f>IFERROR(VLOOKUP(C2920,DATA!#REF!,2,FALSE),"")</f>
        <v/>
      </c>
    </row>
    <row r="2921" spans="3:4" s="230" customFormat="1">
      <c r="C2921" s="16" t="str">
        <f>IFERROR(VLOOKUP(DATA!#REF!,DATA!#REF!,1,FALSE),"")</f>
        <v/>
      </c>
      <c r="D2921" s="16" t="str">
        <f>IFERROR(VLOOKUP(C2921,DATA!#REF!,2,FALSE),"")</f>
        <v/>
      </c>
    </row>
    <row r="2922" spans="3:4" s="230" customFormat="1">
      <c r="C2922" s="16" t="str">
        <f>IFERROR(VLOOKUP(DATA!#REF!,DATA!#REF!,1,FALSE),"")</f>
        <v/>
      </c>
      <c r="D2922" s="16" t="str">
        <f>IFERROR(VLOOKUP(C2922,DATA!#REF!,2,FALSE),"")</f>
        <v/>
      </c>
    </row>
    <row r="2923" spans="3:4" s="230" customFormat="1">
      <c r="C2923" s="16" t="str">
        <f>IFERROR(VLOOKUP(DATA!#REF!,DATA!#REF!,1,FALSE),"")</f>
        <v/>
      </c>
      <c r="D2923" s="16" t="str">
        <f>IFERROR(VLOOKUP(C2923,DATA!#REF!,2,FALSE),"")</f>
        <v/>
      </c>
    </row>
    <row r="2924" spans="3:4" s="230" customFormat="1">
      <c r="C2924" s="16" t="str">
        <f>IFERROR(VLOOKUP(DATA!#REF!,DATA!#REF!,1,FALSE),"")</f>
        <v/>
      </c>
      <c r="D2924" s="16" t="str">
        <f>IFERROR(VLOOKUP(C2924,DATA!#REF!,2,FALSE),"")</f>
        <v/>
      </c>
    </row>
    <row r="2925" spans="3:4" s="230" customFormat="1">
      <c r="C2925" s="16" t="str">
        <f>IFERROR(VLOOKUP(DATA!#REF!,DATA!#REF!,1,FALSE),"")</f>
        <v/>
      </c>
      <c r="D2925" s="16" t="str">
        <f>IFERROR(VLOOKUP(C2925,DATA!#REF!,2,FALSE),"")</f>
        <v/>
      </c>
    </row>
    <row r="2926" spans="3:4" s="230" customFormat="1">
      <c r="C2926" s="16" t="str">
        <f>IFERROR(VLOOKUP(DATA!#REF!,DATA!#REF!,1,FALSE),"")</f>
        <v/>
      </c>
      <c r="D2926" s="16" t="str">
        <f>IFERROR(VLOOKUP(C2926,DATA!#REF!,2,FALSE),"")</f>
        <v/>
      </c>
    </row>
    <row r="2927" spans="3:4" s="230" customFormat="1">
      <c r="C2927" s="16" t="str">
        <f>IFERROR(VLOOKUP(DATA!#REF!,DATA!#REF!,1,FALSE),"")</f>
        <v/>
      </c>
      <c r="D2927" s="16" t="str">
        <f>IFERROR(VLOOKUP(C2927,DATA!#REF!,2,FALSE),"")</f>
        <v/>
      </c>
    </row>
    <row r="2928" spans="3:4" s="230" customFormat="1">
      <c r="C2928" s="16" t="str">
        <f>IFERROR(VLOOKUP(DATA!#REF!,DATA!#REF!,1,FALSE),"")</f>
        <v/>
      </c>
      <c r="D2928" s="16" t="str">
        <f>IFERROR(VLOOKUP(C2928,DATA!#REF!,2,FALSE),"")</f>
        <v/>
      </c>
    </row>
    <row r="2929" spans="3:4" s="230" customFormat="1">
      <c r="C2929" s="16" t="str">
        <f>IFERROR(VLOOKUP(DATA!#REF!,DATA!#REF!,1,FALSE),"")</f>
        <v/>
      </c>
      <c r="D2929" s="16" t="str">
        <f>IFERROR(VLOOKUP(C2929,DATA!#REF!,2,FALSE),"")</f>
        <v/>
      </c>
    </row>
    <row r="2930" spans="3:4" s="230" customFormat="1">
      <c r="C2930" s="16" t="str">
        <f>IFERROR(VLOOKUP(DATA!#REF!,DATA!#REF!,1,FALSE),"")</f>
        <v/>
      </c>
      <c r="D2930" s="16" t="str">
        <f>IFERROR(VLOOKUP(C2930,DATA!#REF!,2,FALSE),"")</f>
        <v/>
      </c>
    </row>
    <row r="2931" spans="3:4" s="230" customFormat="1">
      <c r="C2931" s="16" t="str">
        <f>IFERROR(VLOOKUP(DATA!#REF!,DATA!#REF!,1,FALSE),"")</f>
        <v/>
      </c>
      <c r="D2931" s="16" t="str">
        <f>IFERROR(VLOOKUP(C2931,DATA!#REF!,2,FALSE),"")</f>
        <v/>
      </c>
    </row>
    <row r="2932" spans="3:4" s="230" customFormat="1">
      <c r="C2932" s="16" t="str">
        <f>IFERROR(VLOOKUP(DATA!#REF!,DATA!#REF!,1,FALSE),"")</f>
        <v/>
      </c>
      <c r="D2932" s="16" t="str">
        <f>IFERROR(VLOOKUP(C2932,DATA!#REF!,2,FALSE),"")</f>
        <v/>
      </c>
    </row>
    <row r="2933" spans="3:4" s="230" customFormat="1">
      <c r="C2933" s="16" t="str">
        <f>IFERROR(VLOOKUP(DATA!#REF!,DATA!#REF!,1,FALSE),"")</f>
        <v/>
      </c>
      <c r="D2933" s="16" t="str">
        <f>IFERROR(VLOOKUP(C2933,DATA!#REF!,2,FALSE),"")</f>
        <v/>
      </c>
    </row>
    <row r="2934" spans="3:4" s="230" customFormat="1">
      <c r="C2934" s="16" t="str">
        <f>IFERROR(VLOOKUP(DATA!#REF!,DATA!#REF!,1,FALSE),"")</f>
        <v/>
      </c>
      <c r="D2934" s="16" t="str">
        <f>IFERROR(VLOOKUP(C2934,DATA!#REF!,2,FALSE),"")</f>
        <v/>
      </c>
    </row>
    <row r="2935" spans="3:4" s="230" customFormat="1">
      <c r="C2935" s="16" t="str">
        <f>IFERROR(VLOOKUP(DATA!#REF!,DATA!#REF!,1,FALSE),"")</f>
        <v/>
      </c>
      <c r="D2935" s="16" t="str">
        <f>IFERROR(VLOOKUP(C2935,DATA!#REF!,2,FALSE),"")</f>
        <v/>
      </c>
    </row>
    <row r="2936" spans="3:4" s="230" customFormat="1">
      <c r="C2936" s="16" t="str">
        <f>IFERROR(VLOOKUP(DATA!#REF!,DATA!#REF!,1,FALSE),"")</f>
        <v/>
      </c>
      <c r="D2936" s="16" t="str">
        <f>IFERROR(VLOOKUP(C2936,DATA!#REF!,2,FALSE),"")</f>
        <v/>
      </c>
    </row>
    <row r="2937" spans="3:4" s="230" customFormat="1">
      <c r="C2937" s="16" t="str">
        <f>IFERROR(VLOOKUP(DATA!#REF!,DATA!#REF!,1,FALSE),"")</f>
        <v/>
      </c>
      <c r="D2937" s="16" t="str">
        <f>IFERROR(VLOOKUP(C2937,DATA!#REF!,2,FALSE),"")</f>
        <v/>
      </c>
    </row>
    <row r="2938" spans="3:4" s="230" customFormat="1">
      <c r="C2938" s="16" t="str">
        <f>IFERROR(VLOOKUP(DATA!#REF!,DATA!#REF!,1,FALSE),"")</f>
        <v/>
      </c>
      <c r="D2938" s="16" t="str">
        <f>IFERROR(VLOOKUP(C2938,DATA!#REF!,2,FALSE),"")</f>
        <v/>
      </c>
    </row>
    <row r="2939" spans="3:4" s="230" customFormat="1">
      <c r="C2939" s="16" t="str">
        <f>IFERROR(VLOOKUP(DATA!#REF!,DATA!#REF!,1,FALSE),"")</f>
        <v/>
      </c>
      <c r="D2939" s="16" t="str">
        <f>IFERROR(VLOOKUP(C2939,DATA!#REF!,2,FALSE),"")</f>
        <v/>
      </c>
    </row>
    <row r="2940" spans="3:4" s="230" customFormat="1">
      <c r="C2940" s="16" t="str">
        <f>IFERROR(VLOOKUP(DATA!#REF!,DATA!#REF!,1,FALSE),"")</f>
        <v/>
      </c>
      <c r="D2940" s="16" t="str">
        <f>IFERROR(VLOOKUP(C2940,DATA!#REF!,2,FALSE),"")</f>
        <v/>
      </c>
    </row>
    <row r="2941" spans="3:4" s="230" customFormat="1">
      <c r="C2941" s="16" t="str">
        <f>IFERROR(VLOOKUP(DATA!#REF!,DATA!#REF!,1,FALSE),"")</f>
        <v/>
      </c>
      <c r="D2941" s="16" t="str">
        <f>IFERROR(VLOOKUP(C2941,DATA!#REF!,2,FALSE),"")</f>
        <v/>
      </c>
    </row>
    <row r="2942" spans="3:4" s="230" customFormat="1">
      <c r="C2942" s="16" t="str">
        <f>IFERROR(VLOOKUP(DATA!#REF!,DATA!#REF!,1,FALSE),"")</f>
        <v/>
      </c>
      <c r="D2942" s="16" t="str">
        <f>IFERROR(VLOOKUP(C2942,DATA!#REF!,2,FALSE),"")</f>
        <v/>
      </c>
    </row>
    <row r="2943" spans="3:4" s="230" customFormat="1">
      <c r="C2943" s="16" t="str">
        <f>IFERROR(VLOOKUP(DATA!#REF!,DATA!#REF!,1,FALSE),"")</f>
        <v/>
      </c>
      <c r="D2943" s="16" t="str">
        <f>IFERROR(VLOOKUP(C2943,DATA!#REF!,2,FALSE),"")</f>
        <v/>
      </c>
    </row>
    <row r="2944" spans="3:4" s="230" customFormat="1">
      <c r="C2944" s="16" t="str">
        <f>IFERROR(VLOOKUP(DATA!#REF!,DATA!#REF!,1,FALSE),"")</f>
        <v/>
      </c>
      <c r="D2944" s="16" t="str">
        <f>IFERROR(VLOOKUP(C2944,DATA!#REF!,2,FALSE),"")</f>
        <v/>
      </c>
    </row>
    <row r="2945" spans="3:4" s="230" customFormat="1">
      <c r="C2945" s="16" t="str">
        <f>IFERROR(VLOOKUP(DATA!#REF!,DATA!#REF!,1,FALSE),"")</f>
        <v/>
      </c>
      <c r="D2945" s="16" t="str">
        <f>IFERROR(VLOOKUP(C2945,DATA!#REF!,2,FALSE),"")</f>
        <v/>
      </c>
    </row>
    <row r="2946" spans="3:4" s="230" customFormat="1">
      <c r="C2946" s="16" t="str">
        <f>IFERROR(VLOOKUP(DATA!#REF!,DATA!#REF!,1,FALSE),"")</f>
        <v/>
      </c>
      <c r="D2946" s="16" t="str">
        <f>IFERROR(VLOOKUP(C2946,DATA!#REF!,2,FALSE),"")</f>
        <v/>
      </c>
    </row>
    <row r="2947" spans="3:4" s="230" customFormat="1">
      <c r="C2947" s="16" t="str">
        <f>IFERROR(VLOOKUP(DATA!#REF!,DATA!#REF!,1,FALSE),"")</f>
        <v/>
      </c>
      <c r="D2947" s="16" t="str">
        <f>IFERROR(VLOOKUP(C2947,DATA!#REF!,2,FALSE),"")</f>
        <v/>
      </c>
    </row>
    <row r="2948" spans="3:4" s="230" customFormat="1">
      <c r="C2948" s="16" t="str">
        <f>IFERROR(VLOOKUP(DATA!#REF!,DATA!#REF!,1,FALSE),"")</f>
        <v/>
      </c>
      <c r="D2948" s="16" t="str">
        <f>IFERROR(VLOOKUP(C2948,DATA!#REF!,2,FALSE),"")</f>
        <v/>
      </c>
    </row>
    <row r="2949" spans="3:4" s="230" customFormat="1">
      <c r="C2949" s="16" t="str">
        <f>IFERROR(VLOOKUP(DATA!#REF!,DATA!#REF!,1,FALSE),"")</f>
        <v/>
      </c>
      <c r="D2949" s="16" t="str">
        <f>IFERROR(VLOOKUP(C2949,DATA!#REF!,2,FALSE),"")</f>
        <v/>
      </c>
    </row>
    <row r="2950" spans="3:4" s="230" customFormat="1">
      <c r="C2950" s="16" t="str">
        <f>IFERROR(VLOOKUP(DATA!#REF!,DATA!#REF!,1,FALSE),"")</f>
        <v/>
      </c>
      <c r="D2950" s="16" t="str">
        <f>IFERROR(VLOOKUP(C2950,DATA!#REF!,2,FALSE),"")</f>
        <v/>
      </c>
    </row>
    <row r="2951" spans="3:4" s="230" customFormat="1">
      <c r="C2951" s="16" t="str">
        <f>IFERROR(VLOOKUP(DATA!#REF!,DATA!#REF!,1,FALSE),"")</f>
        <v/>
      </c>
      <c r="D2951" s="16" t="str">
        <f>IFERROR(VLOOKUP(C2951,DATA!#REF!,2,FALSE),"")</f>
        <v/>
      </c>
    </row>
    <row r="2952" spans="3:4" s="230" customFormat="1">
      <c r="C2952" s="16" t="str">
        <f>IFERROR(VLOOKUP(DATA!#REF!,DATA!#REF!,1,FALSE),"")</f>
        <v/>
      </c>
      <c r="D2952" s="16" t="str">
        <f>IFERROR(VLOOKUP(C2952,DATA!#REF!,2,FALSE),"")</f>
        <v/>
      </c>
    </row>
    <row r="2953" spans="3:4" s="230" customFormat="1">
      <c r="C2953" s="16" t="str">
        <f>IFERROR(VLOOKUP(DATA!#REF!,DATA!#REF!,1,FALSE),"")</f>
        <v/>
      </c>
      <c r="D2953" s="16" t="str">
        <f>IFERROR(VLOOKUP(C2953,DATA!#REF!,2,FALSE),"")</f>
        <v/>
      </c>
    </row>
    <row r="2954" spans="3:4" s="230" customFormat="1">
      <c r="C2954" s="16" t="str">
        <f>IFERROR(VLOOKUP(DATA!#REF!,DATA!#REF!,1,FALSE),"")</f>
        <v/>
      </c>
      <c r="D2954" s="16" t="str">
        <f>IFERROR(VLOOKUP(C2954,DATA!#REF!,2,FALSE),"")</f>
        <v/>
      </c>
    </row>
    <row r="2955" spans="3:4" s="230" customFormat="1">
      <c r="C2955" s="16" t="str">
        <f>IFERROR(VLOOKUP(DATA!#REF!,DATA!#REF!,1,FALSE),"")</f>
        <v/>
      </c>
      <c r="D2955" s="16" t="str">
        <f>IFERROR(VLOOKUP(C2955,DATA!#REF!,2,FALSE),"")</f>
        <v/>
      </c>
    </row>
    <row r="2956" spans="3:4" s="230" customFormat="1">
      <c r="C2956" s="16" t="str">
        <f>IFERROR(VLOOKUP(DATA!#REF!,DATA!#REF!,1,FALSE),"")</f>
        <v/>
      </c>
      <c r="D2956" s="16" t="str">
        <f>IFERROR(VLOOKUP(C2956,DATA!#REF!,2,FALSE),"")</f>
        <v/>
      </c>
    </row>
    <row r="2957" spans="3:4" s="230" customFormat="1">
      <c r="C2957" s="16" t="str">
        <f>IFERROR(VLOOKUP(DATA!#REF!,DATA!#REF!,1,FALSE),"")</f>
        <v/>
      </c>
      <c r="D2957" s="16" t="str">
        <f>IFERROR(VLOOKUP(C2957,DATA!#REF!,2,FALSE),"")</f>
        <v/>
      </c>
    </row>
    <row r="2958" spans="3:4" s="230" customFormat="1">
      <c r="C2958" s="16" t="str">
        <f>IFERROR(VLOOKUP(DATA!#REF!,DATA!#REF!,1,FALSE),"")</f>
        <v/>
      </c>
      <c r="D2958" s="16" t="str">
        <f>IFERROR(VLOOKUP(C2958,DATA!#REF!,2,FALSE),"")</f>
        <v/>
      </c>
    </row>
    <row r="2959" spans="3:4" s="230" customFormat="1">
      <c r="C2959" s="16" t="str">
        <f>IFERROR(VLOOKUP(DATA!#REF!,DATA!#REF!,1,FALSE),"")</f>
        <v/>
      </c>
      <c r="D2959" s="16" t="str">
        <f>IFERROR(VLOOKUP(C2959,DATA!#REF!,2,FALSE),"")</f>
        <v/>
      </c>
    </row>
    <row r="2960" spans="3:4" s="230" customFormat="1">
      <c r="C2960" s="16" t="str">
        <f>IFERROR(VLOOKUP(DATA!#REF!,DATA!#REF!,1,FALSE),"")</f>
        <v/>
      </c>
      <c r="D2960" s="16" t="str">
        <f>IFERROR(VLOOKUP(C2960,DATA!#REF!,2,FALSE),"")</f>
        <v/>
      </c>
    </row>
    <row r="2961" spans="3:4" s="230" customFormat="1">
      <c r="C2961" s="16" t="str">
        <f>IFERROR(VLOOKUP(DATA!#REF!,DATA!#REF!,1,FALSE),"")</f>
        <v/>
      </c>
      <c r="D2961" s="16" t="str">
        <f>IFERROR(VLOOKUP(C2961,DATA!#REF!,2,FALSE),"")</f>
        <v/>
      </c>
    </row>
    <row r="2962" spans="3:4" s="230" customFormat="1">
      <c r="C2962" s="16" t="str">
        <f>IFERROR(VLOOKUP(DATA!#REF!,DATA!#REF!,1,FALSE),"")</f>
        <v/>
      </c>
      <c r="D2962" s="16" t="str">
        <f>IFERROR(VLOOKUP(C2962,DATA!#REF!,2,FALSE),"")</f>
        <v/>
      </c>
    </row>
    <row r="2963" spans="3:4" s="230" customFormat="1">
      <c r="C2963" s="16" t="str">
        <f>IFERROR(VLOOKUP(DATA!#REF!,DATA!#REF!,1,FALSE),"")</f>
        <v/>
      </c>
      <c r="D2963" s="16" t="str">
        <f>IFERROR(VLOOKUP(C2963,DATA!#REF!,2,FALSE),"")</f>
        <v/>
      </c>
    </row>
    <row r="2964" spans="3:4" s="230" customFormat="1">
      <c r="C2964" s="16" t="str">
        <f>IFERROR(VLOOKUP(DATA!#REF!,DATA!#REF!,1,FALSE),"")</f>
        <v/>
      </c>
      <c r="D2964" s="16" t="str">
        <f>IFERROR(VLOOKUP(C2964,DATA!#REF!,2,FALSE),"")</f>
        <v/>
      </c>
    </row>
    <row r="2965" spans="3:4" s="230" customFormat="1">
      <c r="C2965" s="16" t="str">
        <f>IFERROR(VLOOKUP(DATA!#REF!,DATA!#REF!,1,FALSE),"")</f>
        <v/>
      </c>
      <c r="D2965" s="16" t="str">
        <f>IFERROR(VLOOKUP(C2965,DATA!#REF!,2,FALSE),"")</f>
        <v/>
      </c>
    </row>
    <row r="2966" spans="3:4" s="230" customFormat="1">
      <c r="C2966" s="16" t="str">
        <f>IFERROR(VLOOKUP(DATA!#REF!,DATA!#REF!,1,FALSE),"")</f>
        <v/>
      </c>
      <c r="D2966" s="16" t="str">
        <f>IFERROR(VLOOKUP(C2966,DATA!#REF!,2,FALSE),"")</f>
        <v/>
      </c>
    </row>
    <row r="2967" spans="3:4" s="230" customFormat="1">
      <c r="C2967" s="16" t="str">
        <f>IFERROR(VLOOKUP(DATA!#REF!,DATA!#REF!,1,FALSE),"")</f>
        <v/>
      </c>
      <c r="D2967" s="16" t="str">
        <f>IFERROR(VLOOKUP(C2967,DATA!#REF!,2,FALSE),"")</f>
        <v/>
      </c>
    </row>
    <row r="2968" spans="3:4" s="230" customFormat="1">
      <c r="C2968" s="16" t="str">
        <f>IFERROR(VLOOKUP(DATA!#REF!,DATA!#REF!,1,FALSE),"")</f>
        <v/>
      </c>
      <c r="D2968" s="16" t="str">
        <f>IFERROR(VLOOKUP(C2968,DATA!#REF!,2,FALSE),"")</f>
        <v/>
      </c>
    </row>
    <row r="2969" spans="3:4" s="230" customFormat="1">
      <c r="C2969" s="16" t="str">
        <f>IFERROR(VLOOKUP(DATA!#REF!,DATA!#REF!,1,FALSE),"")</f>
        <v/>
      </c>
      <c r="D2969" s="16" t="str">
        <f>IFERROR(VLOOKUP(C2969,DATA!#REF!,2,FALSE),"")</f>
        <v/>
      </c>
    </row>
    <row r="2970" spans="3:4" s="230" customFormat="1">
      <c r="C2970" s="16" t="str">
        <f>IFERROR(VLOOKUP(DATA!#REF!,DATA!#REF!,1,FALSE),"")</f>
        <v/>
      </c>
      <c r="D2970" s="16" t="str">
        <f>IFERROR(VLOOKUP(C2970,DATA!#REF!,2,FALSE),"")</f>
        <v/>
      </c>
    </row>
    <row r="2971" spans="3:4" s="230" customFormat="1">
      <c r="C2971" s="16" t="str">
        <f>IFERROR(VLOOKUP(DATA!#REF!,DATA!#REF!,1,FALSE),"")</f>
        <v/>
      </c>
      <c r="D2971" s="16" t="str">
        <f>IFERROR(VLOOKUP(C2971,DATA!#REF!,2,FALSE),"")</f>
        <v/>
      </c>
    </row>
    <row r="2972" spans="3:4" s="230" customFormat="1">
      <c r="C2972" s="16" t="str">
        <f>IFERROR(VLOOKUP(DATA!#REF!,DATA!#REF!,1,FALSE),"")</f>
        <v/>
      </c>
      <c r="D2972" s="16" t="str">
        <f>IFERROR(VLOOKUP(C2972,DATA!#REF!,2,FALSE),"")</f>
        <v/>
      </c>
    </row>
    <row r="2973" spans="3:4" s="230" customFormat="1">
      <c r="C2973" s="16" t="str">
        <f>IFERROR(VLOOKUP(DATA!#REF!,DATA!#REF!,1,FALSE),"")</f>
        <v/>
      </c>
      <c r="D2973" s="16" t="str">
        <f>IFERROR(VLOOKUP(C2973,DATA!#REF!,2,FALSE),"")</f>
        <v/>
      </c>
    </row>
    <row r="2974" spans="3:4" s="230" customFormat="1">
      <c r="C2974" s="16" t="str">
        <f>IFERROR(VLOOKUP(DATA!#REF!,DATA!#REF!,1,FALSE),"")</f>
        <v/>
      </c>
      <c r="D2974" s="16" t="str">
        <f>IFERROR(VLOOKUP(C2974,DATA!#REF!,2,FALSE),"")</f>
        <v/>
      </c>
    </row>
    <row r="2975" spans="3:4" s="230" customFormat="1">
      <c r="C2975" s="16" t="str">
        <f>IFERROR(VLOOKUP(DATA!#REF!,DATA!#REF!,1,FALSE),"")</f>
        <v/>
      </c>
      <c r="D2975" s="16" t="str">
        <f>IFERROR(VLOOKUP(C2975,DATA!#REF!,2,FALSE),"")</f>
        <v/>
      </c>
    </row>
    <row r="2976" spans="3:4" s="230" customFormat="1">
      <c r="C2976" s="16" t="str">
        <f>IFERROR(VLOOKUP(DATA!#REF!,DATA!#REF!,1,FALSE),"")</f>
        <v/>
      </c>
      <c r="D2976" s="16" t="str">
        <f>IFERROR(VLOOKUP(C2976,DATA!#REF!,2,FALSE),"")</f>
        <v/>
      </c>
    </row>
    <row r="2977" spans="3:4" s="230" customFormat="1">
      <c r="C2977" s="16" t="str">
        <f>IFERROR(VLOOKUP(DATA!#REF!,DATA!#REF!,1,FALSE),"")</f>
        <v/>
      </c>
      <c r="D2977" s="16" t="str">
        <f>IFERROR(VLOOKUP(C2977,DATA!#REF!,2,FALSE),"")</f>
        <v/>
      </c>
    </row>
    <row r="2978" spans="3:4" s="230" customFormat="1">
      <c r="C2978" s="16" t="str">
        <f>IFERROR(VLOOKUP(DATA!#REF!,DATA!#REF!,1,FALSE),"")</f>
        <v/>
      </c>
      <c r="D2978" s="16" t="str">
        <f>IFERROR(VLOOKUP(C2978,DATA!#REF!,2,FALSE),"")</f>
        <v/>
      </c>
    </row>
    <row r="2979" spans="3:4" s="230" customFormat="1">
      <c r="C2979" s="16" t="str">
        <f>IFERROR(VLOOKUP(DATA!#REF!,DATA!#REF!,1,FALSE),"")</f>
        <v/>
      </c>
      <c r="D2979" s="16" t="str">
        <f>IFERROR(VLOOKUP(C2979,DATA!#REF!,2,FALSE),"")</f>
        <v/>
      </c>
    </row>
    <row r="2980" spans="3:4" s="230" customFormat="1">
      <c r="C2980" s="16" t="str">
        <f>IFERROR(VLOOKUP(DATA!#REF!,DATA!#REF!,1,FALSE),"")</f>
        <v/>
      </c>
      <c r="D2980" s="16" t="str">
        <f>IFERROR(VLOOKUP(C2980,DATA!#REF!,2,FALSE),"")</f>
        <v/>
      </c>
    </row>
    <row r="2981" spans="3:4" s="230" customFormat="1">
      <c r="C2981" s="16" t="str">
        <f>IFERROR(VLOOKUP(DATA!#REF!,DATA!#REF!,1,FALSE),"")</f>
        <v/>
      </c>
      <c r="D2981" s="16" t="str">
        <f>IFERROR(VLOOKUP(C2981,DATA!#REF!,2,FALSE),"")</f>
        <v/>
      </c>
    </row>
    <row r="2982" spans="3:4" s="230" customFormat="1">
      <c r="C2982" s="16" t="str">
        <f>IFERROR(VLOOKUP(DATA!#REF!,DATA!#REF!,1,FALSE),"")</f>
        <v/>
      </c>
      <c r="D2982" s="16" t="str">
        <f>IFERROR(VLOOKUP(C2982,DATA!#REF!,2,FALSE),"")</f>
        <v/>
      </c>
    </row>
    <row r="2983" spans="3:4" s="230" customFormat="1">
      <c r="C2983" s="16" t="str">
        <f>IFERROR(VLOOKUP(DATA!#REF!,DATA!#REF!,1,FALSE),"")</f>
        <v/>
      </c>
      <c r="D2983" s="16" t="str">
        <f>IFERROR(VLOOKUP(C2983,DATA!#REF!,2,FALSE),"")</f>
        <v/>
      </c>
    </row>
    <row r="2984" spans="3:4" s="230" customFormat="1">
      <c r="C2984" s="16" t="str">
        <f>IFERROR(VLOOKUP(DATA!#REF!,DATA!#REF!,1,FALSE),"")</f>
        <v/>
      </c>
      <c r="D2984" s="16" t="str">
        <f>IFERROR(VLOOKUP(C2984,DATA!#REF!,2,FALSE),"")</f>
        <v/>
      </c>
    </row>
    <row r="2985" spans="3:4" s="230" customFormat="1">
      <c r="C2985" s="16" t="str">
        <f>IFERROR(VLOOKUP(DATA!#REF!,DATA!#REF!,1,FALSE),"")</f>
        <v/>
      </c>
      <c r="D2985" s="16" t="str">
        <f>IFERROR(VLOOKUP(C2985,DATA!#REF!,2,FALSE),"")</f>
        <v/>
      </c>
    </row>
    <row r="2986" spans="3:4" s="230" customFormat="1">
      <c r="C2986" s="16" t="str">
        <f>IFERROR(VLOOKUP(DATA!#REF!,DATA!#REF!,1,FALSE),"")</f>
        <v/>
      </c>
      <c r="D2986" s="16" t="str">
        <f>IFERROR(VLOOKUP(C2986,DATA!#REF!,2,FALSE),"")</f>
        <v/>
      </c>
    </row>
    <row r="2987" spans="3:4" s="230" customFormat="1">
      <c r="C2987" s="16" t="str">
        <f>IFERROR(VLOOKUP(DATA!#REF!,DATA!#REF!,1,FALSE),"")</f>
        <v/>
      </c>
      <c r="D2987" s="16" t="str">
        <f>IFERROR(VLOOKUP(C2987,DATA!#REF!,2,FALSE),"")</f>
        <v/>
      </c>
    </row>
    <row r="2988" spans="3:4" s="230" customFormat="1">
      <c r="C2988" s="16" t="str">
        <f>IFERROR(VLOOKUP(DATA!#REF!,DATA!#REF!,1,FALSE),"")</f>
        <v/>
      </c>
      <c r="D2988" s="16" t="str">
        <f>IFERROR(VLOOKUP(C2988,DATA!#REF!,2,FALSE),"")</f>
        <v/>
      </c>
    </row>
    <row r="2989" spans="3:4" s="230" customFormat="1">
      <c r="C2989" s="16" t="str">
        <f>IFERROR(VLOOKUP(DATA!#REF!,DATA!#REF!,1,FALSE),"")</f>
        <v/>
      </c>
      <c r="D2989" s="16" t="str">
        <f>IFERROR(VLOOKUP(C2989,DATA!#REF!,2,FALSE),"")</f>
        <v/>
      </c>
    </row>
    <row r="2990" spans="3:4" s="230" customFormat="1">
      <c r="C2990" s="16" t="str">
        <f>IFERROR(VLOOKUP(DATA!#REF!,DATA!#REF!,1,FALSE),"")</f>
        <v/>
      </c>
      <c r="D2990" s="16" t="str">
        <f>IFERROR(VLOOKUP(C2990,DATA!#REF!,2,FALSE),"")</f>
        <v/>
      </c>
    </row>
    <row r="2991" spans="3:4" s="230" customFormat="1">
      <c r="C2991" s="16" t="str">
        <f>IFERROR(VLOOKUP(DATA!#REF!,DATA!#REF!,1,FALSE),"")</f>
        <v/>
      </c>
      <c r="D2991" s="16" t="str">
        <f>IFERROR(VLOOKUP(C2991,DATA!#REF!,2,FALSE),"")</f>
        <v/>
      </c>
    </row>
    <row r="2992" spans="3:4" s="230" customFormat="1">
      <c r="C2992" s="16" t="str">
        <f>IFERROR(VLOOKUP(DATA!#REF!,DATA!#REF!,1,FALSE),"")</f>
        <v/>
      </c>
      <c r="D2992" s="16" t="str">
        <f>IFERROR(VLOOKUP(C2992,DATA!#REF!,2,FALSE),"")</f>
        <v/>
      </c>
    </row>
    <row r="2993" spans="3:4" s="230" customFormat="1">
      <c r="C2993" s="16" t="str">
        <f>IFERROR(VLOOKUP(DATA!#REF!,DATA!#REF!,1,FALSE),"")</f>
        <v/>
      </c>
      <c r="D2993" s="16" t="str">
        <f>IFERROR(VLOOKUP(C2993,DATA!#REF!,2,FALSE),"")</f>
        <v/>
      </c>
    </row>
    <row r="2994" spans="3:4" s="230" customFormat="1">
      <c r="C2994" s="16" t="str">
        <f>IFERROR(VLOOKUP(DATA!#REF!,DATA!#REF!,1,FALSE),"")</f>
        <v/>
      </c>
      <c r="D2994" s="16" t="str">
        <f>IFERROR(VLOOKUP(C2994,DATA!#REF!,2,FALSE),"")</f>
        <v/>
      </c>
    </row>
    <row r="2995" spans="3:4" s="230" customFormat="1">
      <c r="C2995" s="16" t="str">
        <f>IFERROR(VLOOKUP(DATA!#REF!,DATA!#REF!,1,FALSE),"")</f>
        <v/>
      </c>
      <c r="D2995" s="16" t="str">
        <f>IFERROR(VLOOKUP(C2995,DATA!#REF!,2,FALSE),"")</f>
        <v/>
      </c>
    </row>
    <row r="2996" spans="3:4" s="230" customFormat="1">
      <c r="C2996" s="16" t="str">
        <f>IFERROR(VLOOKUP(DATA!#REF!,DATA!#REF!,1,FALSE),"")</f>
        <v/>
      </c>
      <c r="D2996" s="16" t="str">
        <f>IFERROR(VLOOKUP(C2996,DATA!#REF!,2,FALSE),"")</f>
        <v/>
      </c>
    </row>
    <row r="2997" spans="3:4" s="230" customFormat="1">
      <c r="C2997" s="16" t="str">
        <f>IFERROR(VLOOKUP(DATA!#REF!,DATA!#REF!,1,FALSE),"")</f>
        <v/>
      </c>
      <c r="D2997" s="16" t="str">
        <f>IFERROR(VLOOKUP(C2997,DATA!#REF!,2,FALSE),"")</f>
        <v/>
      </c>
    </row>
    <row r="2998" spans="3:4" s="230" customFormat="1">
      <c r="C2998" s="16" t="str">
        <f>IFERROR(VLOOKUP(DATA!#REF!,DATA!#REF!,1,FALSE),"")</f>
        <v/>
      </c>
      <c r="D2998" s="16" t="str">
        <f>IFERROR(VLOOKUP(C2998,DATA!#REF!,2,FALSE),"")</f>
        <v/>
      </c>
    </row>
    <row r="2999" spans="3:4" s="230" customFormat="1">
      <c r="C2999" s="16" t="str">
        <f>IFERROR(VLOOKUP(DATA!#REF!,DATA!#REF!,1,FALSE),"")</f>
        <v/>
      </c>
      <c r="D2999" s="16" t="str">
        <f>IFERROR(VLOOKUP(C2999,DATA!#REF!,2,FALSE),"")</f>
        <v/>
      </c>
    </row>
    <row r="3000" spans="3:4" s="230" customFormat="1">
      <c r="C3000" s="16" t="str">
        <f>IFERROR(VLOOKUP(DATA!#REF!,DATA!#REF!,1,FALSE),"")</f>
        <v/>
      </c>
      <c r="D3000" s="16" t="str">
        <f>IFERROR(VLOOKUP(C3000,DATA!#REF!,2,FALSE),"")</f>
        <v/>
      </c>
    </row>
    <row r="3001" spans="3:4" s="230" customFormat="1">
      <c r="C3001" s="16" t="str">
        <f>IFERROR(VLOOKUP(DATA!#REF!,DATA!#REF!,1,FALSE),"")</f>
        <v/>
      </c>
      <c r="D3001" s="16" t="str">
        <f>IFERROR(VLOOKUP(C3001,DATA!#REF!,2,FALSE),"")</f>
        <v/>
      </c>
    </row>
    <row r="3002" spans="3:4" s="230" customFormat="1">
      <c r="C3002" s="16" t="str">
        <f>IFERROR(VLOOKUP(DATA!#REF!,DATA!#REF!,1,FALSE),"")</f>
        <v/>
      </c>
      <c r="D3002" s="16" t="str">
        <f>IFERROR(VLOOKUP(C3002,DATA!#REF!,2,FALSE),"")</f>
        <v/>
      </c>
    </row>
    <row r="3003" spans="3:4" s="230" customFormat="1">
      <c r="C3003" s="16" t="str">
        <f>IFERROR(VLOOKUP(DATA!#REF!,DATA!#REF!,1,FALSE),"")</f>
        <v/>
      </c>
      <c r="D3003" s="16" t="str">
        <f>IFERROR(VLOOKUP(C3003,DATA!#REF!,2,FALSE),"")</f>
        <v/>
      </c>
    </row>
    <row r="3004" spans="3:4" s="230" customFormat="1">
      <c r="C3004" s="16" t="str">
        <f>IFERROR(VLOOKUP(DATA!#REF!,DATA!#REF!,1,FALSE),"")</f>
        <v/>
      </c>
      <c r="D3004" s="16" t="str">
        <f>IFERROR(VLOOKUP(C3004,DATA!#REF!,2,FALSE),"")</f>
        <v/>
      </c>
    </row>
    <row r="3005" spans="3:4" s="230" customFormat="1">
      <c r="C3005" s="16" t="str">
        <f>IFERROR(VLOOKUP(DATA!#REF!,DATA!#REF!,1,FALSE),"")</f>
        <v/>
      </c>
      <c r="D3005" s="16" t="str">
        <f>IFERROR(VLOOKUP(C3005,DATA!#REF!,2,FALSE),"")</f>
        <v/>
      </c>
    </row>
    <row r="3006" spans="3:4" s="230" customFormat="1">
      <c r="C3006" s="16" t="str">
        <f>IFERROR(VLOOKUP(DATA!#REF!,DATA!#REF!,1,FALSE),"")</f>
        <v/>
      </c>
      <c r="D3006" s="16" t="str">
        <f>IFERROR(VLOOKUP(C3006,DATA!#REF!,2,FALSE),"")</f>
        <v/>
      </c>
    </row>
    <row r="3007" spans="3:4" s="230" customFormat="1">
      <c r="C3007" s="16" t="str">
        <f>IFERROR(VLOOKUP(DATA!#REF!,DATA!#REF!,1,FALSE),"")</f>
        <v/>
      </c>
      <c r="D3007" s="16" t="str">
        <f>IFERROR(VLOOKUP(C3007,DATA!#REF!,2,FALSE),"")</f>
        <v/>
      </c>
    </row>
    <row r="3008" spans="3:4" s="230" customFormat="1">
      <c r="C3008" s="16" t="str">
        <f>IFERROR(VLOOKUP(DATA!#REF!,DATA!#REF!,1,FALSE),"")</f>
        <v/>
      </c>
      <c r="D3008" s="16" t="str">
        <f>IFERROR(VLOOKUP(C3008,DATA!#REF!,2,FALSE),"")</f>
        <v/>
      </c>
    </row>
    <row r="3009" spans="3:4" s="230" customFormat="1">
      <c r="C3009" s="16" t="str">
        <f>IFERROR(VLOOKUP(DATA!#REF!,DATA!#REF!,1,FALSE),"")</f>
        <v/>
      </c>
      <c r="D3009" s="16" t="str">
        <f>IFERROR(VLOOKUP(C3009,DATA!#REF!,2,FALSE),"")</f>
        <v/>
      </c>
    </row>
    <row r="3010" spans="3:4" s="230" customFormat="1">
      <c r="C3010" s="16" t="str">
        <f>IFERROR(VLOOKUP(DATA!#REF!,DATA!#REF!,1,FALSE),"")</f>
        <v/>
      </c>
      <c r="D3010" s="16" t="str">
        <f>IFERROR(VLOOKUP(C3010,DATA!#REF!,2,FALSE),"")</f>
        <v/>
      </c>
    </row>
    <row r="3011" spans="3:4" s="230" customFormat="1">
      <c r="C3011" s="16" t="str">
        <f>IFERROR(VLOOKUP(DATA!#REF!,DATA!#REF!,1,FALSE),"")</f>
        <v/>
      </c>
      <c r="D3011" s="16" t="str">
        <f>IFERROR(VLOOKUP(C3011,DATA!#REF!,2,FALSE),"")</f>
        <v/>
      </c>
    </row>
    <row r="3012" spans="3:4" s="230" customFormat="1">
      <c r="C3012" s="16" t="str">
        <f>IFERROR(VLOOKUP(DATA!#REF!,DATA!#REF!,1,FALSE),"")</f>
        <v/>
      </c>
      <c r="D3012" s="16" t="str">
        <f>IFERROR(VLOOKUP(C3012,DATA!#REF!,2,FALSE),"")</f>
        <v/>
      </c>
    </row>
    <row r="3013" spans="3:4" s="230" customFormat="1">
      <c r="C3013" s="16" t="str">
        <f>IFERROR(VLOOKUP(DATA!#REF!,DATA!#REF!,1,FALSE),"")</f>
        <v/>
      </c>
      <c r="D3013" s="16" t="str">
        <f>IFERROR(VLOOKUP(C3013,DATA!#REF!,2,FALSE),"")</f>
        <v/>
      </c>
    </row>
    <row r="3014" spans="3:4" s="230" customFormat="1">
      <c r="C3014" s="16" t="str">
        <f>IFERROR(VLOOKUP(DATA!#REF!,DATA!#REF!,1,FALSE),"")</f>
        <v/>
      </c>
      <c r="D3014" s="16" t="str">
        <f>IFERROR(VLOOKUP(C3014,DATA!#REF!,2,FALSE),"")</f>
        <v/>
      </c>
    </row>
    <row r="3015" spans="3:4" s="230" customFormat="1">
      <c r="C3015" s="16" t="str">
        <f>IFERROR(VLOOKUP(DATA!#REF!,DATA!#REF!,1,FALSE),"")</f>
        <v/>
      </c>
      <c r="D3015" s="16" t="str">
        <f>IFERROR(VLOOKUP(C3015,DATA!#REF!,2,FALSE),"")</f>
        <v/>
      </c>
    </row>
    <row r="3016" spans="3:4" s="230" customFormat="1">
      <c r="C3016" s="16" t="str">
        <f>IFERROR(VLOOKUP(DATA!#REF!,DATA!#REF!,1,FALSE),"")</f>
        <v/>
      </c>
      <c r="D3016" s="16" t="str">
        <f>IFERROR(VLOOKUP(C3016,DATA!#REF!,2,FALSE),"")</f>
        <v/>
      </c>
    </row>
    <row r="3017" spans="3:4" s="230" customFormat="1">
      <c r="C3017" s="16" t="str">
        <f>IFERROR(VLOOKUP(DATA!#REF!,DATA!#REF!,1,FALSE),"")</f>
        <v/>
      </c>
      <c r="D3017" s="16" t="str">
        <f>IFERROR(VLOOKUP(C3017,DATA!#REF!,2,FALSE),"")</f>
        <v/>
      </c>
    </row>
    <row r="3018" spans="3:4" s="230" customFormat="1">
      <c r="C3018" s="16" t="str">
        <f>IFERROR(VLOOKUP(DATA!#REF!,DATA!#REF!,1,FALSE),"")</f>
        <v/>
      </c>
      <c r="D3018" s="16" t="str">
        <f>IFERROR(VLOOKUP(C3018,DATA!#REF!,2,FALSE),"")</f>
        <v/>
      </c>
    </row>
    <row r="3019" spans="3:4" s="230" customFormat="1">
      <c r="C3019" s="16" t="str">
        <f>IFERROR(VLOOKUP(DATA!#REF!,DATA!#REF!,1,FALSE),"")</f>
        <v/>
      </c>
      <c r="D3019" s="16" t="str">
        <f>IFERROR(VLOOKUP(C3019,DATA!#REF!,2,FALSE),"")</f>
        <v/>
      </c>
    </row>
    <row r="3020" spans="3:4" s="230" customFormat="1">
      <c r="C3020" s="16" t="str">
        <f>IFERROR(VLOOKUP(DATA!#REF!,DATA!#REF!,1,FALSE),"")</f>
        <v/>
      </c>
      <c r="D3020" s="16" t="str">
        <f>IFERROR(VLOOKUP(C3020,DATA!#REF!,2,FALSE),"")</f>
        <v/>
      </c>
    </row>
    <row r="3021" spans="3:4" s="230" customFormat="1">
      <c r="C3021" s="16" t="str">
        <f>IFERROR(VLOOKUP(DATA!#REF!,DATA!#REF!,1,FALSE),"")</f>
        <v/>
      </c>
      <c r="D3021" s="16" t="str">
        <f>IFERROR(VLOOKUP(C3021,DATA!#REF!,2,FALSE),"")</f>
        <v/>
      </c>
    </row>
    <row r="3022" spans="3:4" s="230" customFormat="1">
      <c r="C3022" s="16" t="str">
        <f>IFERROR(VLOOKUP(DATA!#REF!,DATA!#REF!,1,FALSE),"")</f>
        <v/>
      </c>
      <c r="D3022" s="16" t="str">
        <f>IFERROR(VLOOKUP(C3022,DATA!#REF!,2,FALSE),"")</f>
        <v/>
      </c>
    </row>
    <row r="3023" spans="3:4" s="230" customFormat="1">
      <c r="C3023" s="16" t="str">
        <f>IFERROR(VLOOKUP(DATA!#REF!,DATA!#REF!,1,FALSE),"")</f>
        <v/>
      </c>
      <c r="D3023" s="16" t="str">
        <f>IFERROR(VLOOKUP(C3023,DATA!#REF!,2,FALSE),"")</f>
        <v/>
      </c>
    </row>
    <row r="3024" spans="3:4" s="230" customFormat="1">
      <c r="C3024" s="16" t="str">
        <f>IFERROR(VLOOKUP(DATA!#REF!,DATA!#REF!,1,FALSE),"")</f>
        <v/>
      </c>
      <c r="D3024" s="16" t="str">
        <f>IFERROR(VLOOKUP(C3024,DATA!#REF!,2,FALSE),"")</f>
        <v/>
      </c>
    </row>
    <row r="3025" spans="3:4" s="230" customFormat="1">
      <c r="C3025" s="16" t="str">
        <f>IFERROR(VLOOKUP(DATA!#REF!,DATA!#REF!,1,FALSE),"")</f>
        <v/>
      </c>
      <c r="D3025" s="16" t="str">
        <f>IFERROR(VLOOKUP(C3025,DATA!#REF!,2,FALSE),"")</f>
        <v/>
      </c>
    </row>
    <row r="3026" spans="3:4" s="230" customFormat="1">
      <c r="C3026" s="16" t="str">
        <f>IFERROR(VLOOKUP(DATA!#REF!,DATA!#REF!,1,FALSE),"")</f>
        <v/>
      </c>
      <c r="D3026" s="16" t="str">
        <f>IFERROR(VLOOKUP(C3026,DATA!#REF!,2,FALSE),"")</f>
        <v/>
      </c>
    </row>
    <row r="3027" spans="3:4" s="230" customFormat="1">
      <c r="C3027" s="16" t="str">
        <f>IFERROR(VLOOKUP(DATA!#REF!,DATA!#REF!,1,FALSE),"")</f>
        <v/>
      </c>
      <c r="D3027" s="16" t="str">
        <f>IFERROR(VLOOKUP(C3027,DATA!#REF!,2,FALSE),"")</f>
        <v/>
      </c>
    </row>
    <row r="3028" spans="3:4" s="230" customFormat="1">
      <c r="C3028" s="16" t="str">
        <f>IFERROR(VLOOKUP(DATA!#REF!,DATA!#REF!,1,FALSE),"")</f>
        <v/>
      </c>
      <c r="D3028" s="16" t="str">
        <f>IFERROR(VLOOKUP(C3028,DATA!#REF!,2,FALSE),"")</f>
        <v/>
      </c>
    </row>
    <row r="3029" spans="3:4" s="230" customFormat="1">
      <c r="C3029" s="16" t="str">
        <f>IFERROR(VLOOKUP(DATA!#REF!,DATA!#REF!,1,FALSE),"")</f>
        <v/>
      </c>
      <c r="D3029" s="16" t="str">
        <f>IFERROR(VLOOKUP(C3029,DATA!#REF!,2,FALSE),"")</f>
        <v/>
      </c>
    </row>
    <row r="3030" spans="3:4" s="230" customFormat="1">
      <c r="C3030" s="16" t="str">
        <f>IFERROR(VLOOKUP(DATA!#REF!,DATA!#REF!,1,FALSE),"")</f>
        <v/>
      </c>
      <c r="D3030" s="16" t="str">
        <f>IFERROR(VLOOKUP(C3030,DATA!#REF!,2,FALSE),"")</f>
        <v/>
      </c>
    </row>
    <row r="3031" spans="3:4" s="230" customFormat="1">
      <c r="C3031" s="16" t="str">
        <f>IFERROR(VLOOKUP(DATA!#REF!,DATA!#REF!,1,FALSE),"")</f>
        <v/>
      </c>
      <c r="D3031" s="16" t="str">
        <f>IFERROR(VLOOKUP(C3031,DATA!#REF!,2,FALSE),"")</f>
        <v/>
      </c>
    </row>
    <row r="3032" spans="3:4" s="230" customFormat="1">
      <c r="C3032" s="16" t="str">
        <f>IFERROR(VLOOKUP(DATA!#REF!,DATA!#REF!,1,FALSE),"")</f>
        <v/>
      </c>
      <c r="D3032" s="16" t="str">
        <f>IFERROR(VLOOKUP(C3032,DATA!#REF!,2,FALSE),"")</f>
        <v/>
      </c>
    </row>
    <row r="3033" spans="3:4" s="230" customFormat="1">
      <c r="C3033" s="16" t="str">
        <f>IFERROR(VLOOKUP(DATA!#REF!,DATA!#REF!,1,FALSE),"")</f>
        <v/>
      </c>
      <c r="D3033" s="16" t="str">
        <f>IFERROR(VLOOKUP(C3033,DATA!#REF!,2,FALSE),"")</f>
        <v/>
      </c>
    </row>
    <row r="3034" spans="3:4" s="230" customFormat="1">
      <c r="C3034" s="16" t="str">
        <f>IFERROR(VLOOKUP(DATA!#REF!,DATA!#REF!,1,FALSE),"")</f>
        <v/>
      </c>
      <c r="D3034" s="16" t="str">
        <f>IFERROR(VLOOKUP(C3034,DATA!#REF!,2,FALSE),"")</f>
        <v/>
      </c>
    </row>
    <row r="3035" spans="3:4" s="230" customFormat="1">
      <c r="C3035" s="16" t="str">
        <f>IFERROR(VLOOKUP(DATA!#REF!,DATA!#REF!,1,FALSE),"")</f>
        <v/>
      </c>
      <c r="D3035" s="16" t="str">
        <f>IFERROR(VLOOKUP(C3035,DATA!#REF!,2,FALSE),"")</f>
        <v/>
      </c>
    </row>
    <row r="3036" spans="3:4" s="230" customFormat="1">
      <c r="C3036" s="16" t="str">
        <f>IFERROR(VLOOKUP(DATA!#REF!,DATA!#REF!,1,FALSE),"")</f>
        <v/>
      </c>
      <c r="D3036" s="16" t="str">
        <f>IFERROR(VLOOKUP(C3036,DATA!#REF!,2,FALSE),"")</f>
        <v/>
      </c>
    </row>
    <row r="3037" spans="3:4" s="230" customFormat="1">
      <c r="C3037" s="16" t="str">
        <f>IFERROR(VLOOKUP(DATA!#REF!,DATA!#REF!,1,FALSE),"")</f>
        <v/>
      </c>
      <c r="D3037" s="16" t="str">
        <f>IFERROR(VLOOKUP(C3037,DATA!#REF!,2,FALSE),"")</f>
        <v/>
      </c>
    </row>
    <row r="3038" spans="3:4" s="230" customFormat="1">
      <c r="C3038" s="16" t="str">
        <f>IFERROR(VLOOKUP(DATA!#REF!,DATA!#REF!,1,FALSE),"")</f>
        <v/>
      </c>
      <c r="D3038" s="16" t="str">
        <f>IFERROR(VLOOKUP(C3038,DATA!#REF!,2,FALSE),"")</f>
        <v/>
      </c>
    </row>
    <row r="3039" spans="3:4" s="230" customFormat="1">
      <c r="C3039" s="16" t="str">
        <f>IFERROR(VLOOKUP(DATA!#REF!,DATA!#REF!,1,FALSE),"")</f>
        <v/>
      </c>
      <c r="D3039" s="16" t="str">
        <f>IFERROR(VLOOKUP(C3039,DATA!#REF!,2,FALSE),"")</f>
        <v/>
      </c>
    </row>
    <row r="3040" spans="3:4" s="230" customFormat="1">
      <c r="C3040" s="16" t="str">
        <f>IFERROR(VLOOKUP(DATA!#REF!,DATA!#REF!,1,FALSE),"")</f>
        <v/>
      </c>
      <c r="D3040" s="16" t="str">
        <f>IFERROR(VLOOKUP(C3040,DATA!#REF!,2,FALSE),"")</f>
        <v/>
      </c>
    </row>
    <row r="3041" spans="3:4" s="230" customFormat="1">
      <c r="C3041" s="16" t="str">
        <f>IFERROR(VLOOKUP(DATA!#REF!,DATA!#REF!,1,FALSE),"")</f>
        <v/>
      </c>
      <c r="D3041" s="16" t="str">
        <f>IFERROR(VLOOKUP(C3041,DATA!#REF!,2,FALSE),"")</f>
        <v/>
      </c>
    </row>
    <row r="3042" spans="3:4" s="230" customFormat="1">
      <c r="C3042" s="16" t="str">
        <f>IFERROR(VLOOKUP(DATA!#REF!,DATA!#REF!,1,FALSE),"")</f>
        <v/>
      </c>
      <c r="D3042" s="16" t="str">
        <f>IFERROR(VLOOKUP(C3042,DATA!#REF!,2,FALSE),"")</f>
        <v/>
      </c>
    </row>
    <row r="3043" spans="3:4" s="230" customFormat="1">
      <c r="C3043" s="16" t="str">
        <f>IFERROR(VLOOKUP(DATA!#REF!,DATA!#REF!,1,FALSE),"")</f>
        <v/>
      </c>
      <c r="D3043" s="16" t="str">
        <f>IFERROR(VLOOKUP(C3043,DATA!#REF!,2,FALSE),"")</f>
        <v/>
      </c>
    </row>
    <row r="3044" spans="3:4" s="230" customFormat="1">
      <c r="C3044" s="16" t="str">
        <f>IFERROR(VLOOKUP(DATA!#REF!,DATA!#REF!,1,FALSE),"")</f>
        <v/>
      </c>
      <c r="D3044" s="16" t="str">
        <f>IFERROR(VLOOKUP(C3044,DATA!#REF!,2,FALSE),"")</f>
        <v/>
      </c>
    </row>
    <row r="3045" spans="3:4" s="230" customFormat="1">
      <c r="C3045" s="16" t="str">
        <f>IFERROR(VLOOKUP(DATA!#REF!,DATA!#REF!,1,FALSE),"")</f>
        <v/>
      </c>
      <c r="D3045" s="16" t="str">
        <f>IFERROR(VLOOKUP(C3045,DATA!#REF!,2,FALSE),"")</f>
        <v/>
      </c>
    </row>
    <row r="3046" spans="3:4" s="230" customFormat="1">
      <c r="C3046" s="16" t="str">
        <f>IFERROR(VLOOKUP(DATA!#REF!,DATA!#REF!,1,FALSE),"")</f>
        <v/>
      </c>
      <c r="D3046" s="16" t="str">
        <f>IFERROR(VLOOKUP(C3046,DATA!#REF!,2,FALSE),"")</f>
        <v/>
      </c>
    </row>
    <row r="3047" spans="3:4" s="230" customFormat="1">
      <c r="C3047" s="16" t="str">
        <f>IFERROR(VLOOKUP(DATA!#REF!,DATA!#REF!,1,FALSE),"")</f>
        <v/>
      </c>
      <c r="D3047" s="16" t="str">
        <f>IFERROR(VLOOKUP(C3047,DATA!#REF!,2,FALSE),"")</f>
        <v/>
      </c>
    </row>
    <row r="3048" spans="3:4" s="230" customFormat="1">
      <c r="C3048" s="16" t="str">
        <f>IFERROR(VLOOKUP(DATA!#REF!,DATA!#REF!,1,FALSE),"")</f>
        <v/>
      </c>
      <c r="D3048" s="16" t="str">
        <f>IFERROR(VLOOKUP(C3048,DATA!#REF!,2,FALSE),"")</f>
        <v/>
      </c>
    </row>
    <row r="3049" spans="3:4" s="230" customFormat="1">
      <c r="C3049" s="16" t="str">
        <f>IFERROR(VLOOKUP(DATA!#REF!,DATA!#REF!,1,FALSE),"")</f>
        <v/>
      </c>
      <c r="D3049" s="16" t="str">
        <f>IFERROR(VLOOKUP(C3049,DATA!#REF!,2,FALSE),"")</f>
        <v/>
      </c>
    </row>
    <row r="3050" spans="3:4" s="230" customFormat="1">
      <c r="C3050" s="16" t="str">
        <f>IFERROR(VLOOKUP(DATA!#REF!,DATA!#REF!,1,FALSE),"")</f>
        <v/>
      </c>
      <c r="D3050" s="16" t="str">
        <f>IFERROR(VLOOKUP(C3050,DATA!#REF!,2,FALSE),"")</f>
        <v/>
      </c>
    </row>
    <row r="3051" spans="3:4" s="230" customFormat="1">
      <c r="C3051" s="16" t="str">
        <f>IFERROR(VLOOKUP(DATA!#REF!,DATA!#REF!,1,FALSE),"")</f>
        <v/>
      </c>
      <c r="D3051" s="16" t="str">
        <f>IFERROR(VLOOKUP(C3051,DATA!#REF!,2,FALSE),"")</f>
        <v/>
      </c>
    </row>
    <row r="3052" spans="3:4" s="230" customFormat="1">
      <c r="C3052" s="16" t="str">
        <f>IFERROR(VLOOKUP(DATA!#REF!,DATA!#REF!,1,FALSE),"")</f>
        <v/>
      </c>
      <c r="D3052" s="16" t="str">
        <f>IFERROR(VLOOKUP(C3052,DATA!#REF!,2,FALSE),"")</f>
        <v/>
      </c>
    </row>
    <row r="3053" spans="3:4" s="230" customFormat="1">
      <c r="C3053" s="16" t="str">
        <f>IFERROR(VLOOKUP(DATA!#REF!,DATA!#REF!,1,FALSE),"")</f>
        <v/>
      </c>
      <c r="D3053" s="16" t="str">
        <f>IFERROR(VLOOKUP(C3053,DATA!#REF!,2,FALSE),"")</f>
        <v/>
      </c>
    </row>
    <row r="3054" spans="3:4" s="230" customFormat="1">
      <c r="C3054" s="16" t="str">
        <f>IFERROR(VLOOKUP(DATA!#REF!,DATA!#REF!,1,FALSE),"")</f>
        <v/>
      </c>
      <c r="D3054" s="16" t="str">
        <f>IFERROR(VLOOKUP(C3054,DATA!#REF!,2,FALSE),"")</f>
        <v/>
      </c>
    </row>
    <row r="3055" spans="3:4" s="230" customFormat="1">
      <c r="C3055" s="16" t="str">
        <f>IFERROR(VLOOKUP(DATA!#REF!,DATA!#REF!,1,FALSE),"")</f>
        <v/>
      </c>
      <c r="D3055" s="16" t="str">
        <f>IFERROR(VLOOKUP(C3055,DATA!#REF!,2,FALSE),"")</f>
        <v/>
      </c>
    </row>
    <row r="3056" spans="3:4" s="230" customFormat="1">
      <c r="C3056" s="16" t="str">
        <f>IFERROR(VLOOKUP(DATA!#REF!,DATA!#REF!,1,FALSE),"")</f>
        <v/>
      </c>
      <c r="D3056" s="16" t="str">
        <f>IFERROR(VLOOKUP(C3056,DATA!#REF!,2,FALSE),"")</f>
        <v/>
      </c>
    </row>
    <row r="3057" spans="3:4" s="230" customFormat="1">
      <c r="C3057" s="16" t="str">
        <f>IFERROR(VLOOKUP(DATA!#REF!,DATA!#REF!,1,FALSE),"")</f>
        <v/>
      </c>
      <c r="D3057" s="16" t="str">
        <f>IFERROR(VLOOKUP(C3057,DATA!#REF!,2,FALSE),"")</f>
        <v/>
      </c>
    </row>
    <row r="3058" spans="3:4" s="230" customFormat="1">
      <c r="C3058" s="16" t="str">
        <f>IFERROR(VLOOKUP(DATA!#REF!,DATA!#REF!,1,FALSE),"")</f>
        <v/>
      </c>
      <c r="D3058" s="16" t="str">
        <f>IFERROR(VLOOKUP(C3058,DATA!#REF!,2,FALSE),"")</f>
        <v/>
      </c>
    </row>
    <row r="3059" spans="3:4" s="230" customFormat="1">
      <c r="C3059" s="16" t="str">
        <f>IFERROR(VLOOKUP(DATA!#REF!,DATA!#REF!,1,FALSE),"")</f>
        <v/>
      </c>
      <c r="D3059" s="16" t="str">
        <f>IFERROR(VLOOKUP(C3059,DATA!#REF!,2,FALSE),"")</f>
        <v/>
      </c>
    </row>
    <row r="3060" spans="3:4" s="230" customFormat="1">
      <c r="C3060" s="16" t="str">
        <f>IFERROR(VLOOKUP(DATA!#REF!,DATA!#REF!,1,FALSE),"")</f>
        <v/>
      </c>
      <c r="D3060" s="16" t="str">
        <f>IFERROR(VLOOKUP(C3060,DATA!#REF!,2,FALSE),"")</f>
        <v/>
      </c>
    </row>
    <row r="3061" spans="3:4" s="230" customFormat="1">
      <c r="C3061" s="16" t="str">
        <f>IFERROR(VLOOKUP(DATA!#REF!,DATA!#REF!,1,FALSE),"")</f>
        <v/>
      </c>
      <c r="D3061" s="16" t="str">
        <f>IFERROR(VLOOKUP(C3061,DATA!#REF!,2,FALSE),"")</f>
        <v/>
      </c>
    </row>
    <row r="3062" spans="3:4" s="230" customFormat="1">
      <c r="C3062" s="16" t="str">
        <f>IFERROR(VLOOKUP(DATA!#REF!,DATA!#REF!,1,FALSE),"")</f>
        <v/>
      </c>
      <c r="D3062" s="16" t="str">
        <f>IFERROR(VLOOKUP(C3062,DATA!#REF!,2,FALSE),"")</f>
        <v/>
      </c>
    </row>
    <row r="3063" spans="3:4" s="230" customFormat="1">
      <c r="C3063" s="16" t="str">
        <f>IFERROR(VLOOKUP(DATA!#REF!,DATA!#REF!,1,FALSE),"")</f>
        <v/>
      </c>
      <c r="D3063" s="16" t="str">
        <f>IFERROR(VLOOKUP(C3063,DATA!#REF!,2,FALSE),"")</f>
        <v/>
      </c>
    </row>
    <row r="3064" spans="3:4" s="230" customFormat="1">
      <c r="C3064" s="16" t="str">
        <f>IFERROR(VLOOKUP(DATA!#REF!,DATA!#REF!,1,FALSE),"")</f>
        <v/>
      </c>
      <c r="D3064" s="16" t="str">
        <f>IFERROR(VLOOKUP(C3064,DATA!#REF!,2,FALSE),"")</f>
        <v/>
      </c>
    </row>
    <row r="3065" spans="3:4" s="230" customFormat="1">
      <c r="C3065" s="16" t="str">
        <f>IFERROR(VLOOKUP(DATA!#REF!,DATA!#REF!,1,FALSE),"")</f>
        <v/>
      </c>
      <c r="D3065" s="16" t="str">
        <f>IFERROR(VLOOKUP(C3065,DATA!#REF!,2,FALSE),"")</f>
        <v/>
      </c>
    </row>
    <row r="3066" spans="3:4" s="230" customFormat="1">
      <c r="C3066" s="16" t="str">
        <f>IFERROR(VLOOKUP(DATA!#REF!,DATA!#REF!,1,FALSE),"")</f>
        <v/>
      </c>
      <c r="D3066" s="16" t="str">
        <f>IFERROR(VLOOKUP(C3066,DATA!#REF!,2,FALSE),"")</f>
        <v/>
      </c>
    </row>
    <row r="3067" spans="3:4" s="230" customFormat="1">
      <c r="C3067" s="16" t="str">
        <f>IFERROR(VLOOKUP(DATA!#REF!,DATA!#REF!,1,FALSE),"")</f>
        <v/>
      </c>
      <c r="D3067" s="16" t="str">
        <f>IFERROR(VLOOKUP(C3067,DATA!#REF!,2,FALSE),"")</f>
        <v/>
      </c>
    </row>
    <row r="3068" spans="3:4" s="230" customFormat="1">
      <c r="C3068" s="16" t="str">
        <f>IFERROR(VLOOKUP(DATA!#REF!,DATA!#REF!,1,FALSE),"")</f>
        <v/>
      </c>
      <c r="D3068" s="16" t="str">
        <f>IFERROR(VLOOKUP(C3068,DATA!#REF!,2,FALSE),"")</f>
        <v/>
      </c>
    </row>
    <row r="3069" spans="3:4" s="230" customFormat="1">
      <c r="C3069" s="16" t="str">
        <f>IFERROR(VLOOKUP(DATA!#REF!,DATA!#REF!,1,FALSE),"")</f>
        <v/>
      </c>
      <c r="D3069" s="16" t="str">
        <f>IFERROR(VLOOKUP(C3069,DATA!#REF!,2,FALSE),"")</f>
        <v/>
      </c>
    </row>
    <row r="3070" spans="3:4" s="230" customFormat="1">
      <c r="C3070" s="16" t="str">
        <f>IFERROR(VLOOKUP(DATA!#REF!,DATA!#REF!,1,FALSE),"")</f>
        <v/>
      </c>
      <c r="D3070" s="16" t="str">
        <f>IFERROR(VLOOKUP(C3070,DATA!#REF!,2,FALSE),"")</f>
        <v/>
      </c>
    </row>
    <row r="3071" spans="3:4" s="230" customFormat="1">
      <c r="C3071" s="16" t="str">
        <f>IFERROR(VLOOKUP(DATA!#REF!,DATA!#REF!,1,FALSE),"")</f>
        <v/>
      </c>
      <c r="D3071" s="16" t="str">
        <f>IFERROR(VLOOKUP(C3071,DATA!#REF!,2,FALSE),"")</f>
        <v/>
      </c>
    </row>
    <row r="3072" spans="3:4" s="230" customFormat="1">
      <c r="C3072" s="16" t="str">
        <f>IFERROR(VLOOKUP(DATA!#REF!,DATA!#REF!,1,FALSE),"")</f>
        <v/>
      </c>
      <c r="D3072" s="16" t="str">
        <f>IFERROR(VLOOKUP(C3072,DATA!#REF!,2,FALSE),"")</f>
        <v/>
      </c>
    </row>
    <row r="3073" spans="3:4" s="230" customFormat="1">
      <c r="C3073" s="16" t="str">
        <f>IFERROR(VLOOKUP(DATA!#REF!,DATA!#REF!,1,FALSE),"")</f>
        <v/>
      </c>
      <c r="D3073" s="16" t="str">
        <f>IFERROR(VLOOKUP(C3073,DATA!#REF!,2,FALSE),"")</f>
        <v/>
      </c>
    </row>
    <row r="3074" spans="3:4" s="230" customFormat="1">
      <c r="C3074" s="16" t="str">
        <f>IFERROR(VLOOKUP(DATA!#REF!,DATA!#REF!,1,FALSE),"")</f>
        <v/>
      </c>
      <c r="D3074" s="16" t="str">
        <f>IFERROR(VLOOKUP(C3074,DATA!#REF!,2,FALSE),"")</f>
        <v/>
      </c>
    </row>
    <row r="3075" spans="3:4" s="230" customFormat="1">
      <c r="C3075" s="16" t="str">
        <f>IFERROR(VLOOKUP(DATA!#REF!,DATA!#REF!,1,FALSE),"")</f>
        <v/>
      </c>
      <c r="D3075" s="16" t="str">
        <f>IFERROR(VLOOKUP(C3075,DATA!#REF!,2,FALSE),"")</f>
        <v/>
      </c>
    </row>
    <row r="3076" spans="3:4" s="230" customFormat="1">
      <c r="C3076" s="16" t="str">
        <f>IFERROR(VLOOKUP(DATA!#REF!,DATA!#REF!,1,FALSE),"")</f>
        <v/>
      </c>
      <c r="D3076" s="16" t="str">
        <f>IFERROR(VLOOKUP(C3076,DATA!#REF!,2,FALSE),"")</f>
        <v/>
      </c>
    </row>
    <row r="3077" spans="3:4" s="230" customFormat="1">
      <c r="C3077" s="16" t="str">
        <f>IFERROR(VLOOKUP(DATA!#REF!,DATA!#REF!,1,FALSE),"")</f>
        <v/>
      </c>
      <c r="D3077" s="16" t="str">
        <f>IFERROR(VLOOKUP(C3077,DATA!#REF!,2,FALSE),"")</f>
        <v/>
      </c>
    </row>
    <row r="3078" spans="3:4" s="230" customFormat="1">
      <c r="C3078" s="16" t="str">
        <f>IFERROR(VLOOKUP(DATA!#REF!,DATA!#REF!,1,FALSE),"")</f>
        <v/>
      </c>
      <c r="D3078" s="16" t="str">
        <f>IFERROR(VLOOKUP(C3078,DATA!#REF!,2,FALSE),"")</f>
        <v/>
      </c>
    </row>
    <row r="3079" spans="3:4" s="230" customFormat="1">
      <c r="C3079" s="16" t="str">
        <f>IFERROR(VLOOKUP(DATA!#REF!,DATA!#REF!,1,FALSE),"")</f>
        <v/>
      </c>
      <c r="D3079" s="16" t="str">
        <f>IFERROR(VLOOKUP(C3079,DATA!#REF!,2,FALSE),"")</f>
        <v/>
      </c>
    </row>
    <row r="3080" spans="3:4" s="230" customFormat="1">
      <c r="C3080" s="16" t="str">
        <f>IFERROR(VLOOKUP(DATA!#REF!,DATA!#REF!,1,FALSE),"")</f>
        <v/>
      </c>
      <c r="D3080" s="16" t="str">
        <f>IFERROR(VLOOKUP(C3080,DATA!#REF!,2,FALSE),"")</f>
        <v/>
      </c>
    </row>
    <row r="3081" spans="3:4" s="230" customFormat="1">
      <c r="C3081" s="16" t="str">
        <f>IFERROR(VLOOKUP(DATA!#REF!,DATA!#REF!,1,FALSE),"")</f>
        <v/>
      </c>
      <c r="D3081" s="16" t="str">
        <f>IFERROR(VLOOKUP(C3081,DATA!#REF!,2,FALSE),"")</f>
        <v/>
      </c>
    </row>
    <row r="3082" spans="3:4" s="230" customFormat="1">
      <c r="C3082" s="16" t="str">
        <f>IFERROR(VLOOKUP(DATA!#REF!,DATA!#REF!,1,FALSE),"")</f>
        <v/>
      </c>
      <c r="D3082" s="16" t="str">
        <f>IFERROR(VLOOKUP(C3082,DATA!#REF!,2,FALSE),"")</f>
        <v/>
      </c>
    </row>
    <row r="3083" spans="3:4" s="230" customFormat="1">
      <c r="C3083" s="16" t="str">
        <f>IFERROR(VLOOKUP(DATA!#REF!,DATA!#REF!,1,FALSE),"")</f>
        <v/>
      </c>
      <c r="D3083" s="16" t="str">
        <f>IFERROR(VLOOKUP(C3083,DATA!#REF!,2,FALSE),"")</f>
        <v/>
      </c>
    </row>
    <row r="3084" spans="3:4" s="230" customFormat="1">
      <c r="C3084" s="16" t="str">
        <f>IFERROR(VLOOKUP(DATA!#REF!,DATA!#REF!,1,FALSE),"")</f>
        <v/>
      </c>
      <c r="D3084" s="16" t="str">
        <f>IFERROR(VLOOKUP(C3084,DATA!#REF!,2,FALSE),"")</f>
        <v/>
      </c>
    </row>
    <row r="3085" spans="3:4" s="230" customFormat="1">
      <c r="C3085" s="16" t="str">
        <f>IFERROR(VLOOKUP(DATA!#REF!,DATA!#REF!,1,FALSE),"")</f>
        <v/>
      </c>
      <c r="D3085" s="16" t="str">
        <f>IFERROR(VLOOKUP(C3085,DATA!#REF!,2,FALSE),"")</f>
        <v/>
      </c>
    </row>
    <row r="3086" spans="3:4" s="230" customFormat="1">
      <c r="C3086" s="16" t="str">
        <f>IFERROR(VLOOKUP(DATA!#REF!,DATA!#REF!,1,FALSE),"")</f>
        <v/>
      </c>
      <c r="D3086" s="16" t="str">
        <f>IFERROR(VLOOKUP(C3086,DATA!#REF!,2,FALSE),"")</f>
        <v/>
      </c>
    </row>
    <row r="3087" spans="3:4" s="230" customFormat="1">
      <c r="C3087" s="16" t="str">
        <f>IFERROR(VLOOKUP(DATA!#REF!,DATA!#REF!,1,FALSE),"")</f>
        <v/>
      </c>
      <c r="D3087" s="16" t="str">
        <f>IFERROR(VLOOKUP(C3087,DATA!#REF!,2,FALSE),"")</f>
        <v/>
      </c>
    </row>
    <row r="3088" spans="3:4" s="230" customFormat="1">
      <c r="C3088" s="16" t="str">
        <f>IFERROR(VLOOKUP(DATA!#REF!,DATA!#REF!,1,FALSE),"")</f>
        <v/>
      </c>
      <c r="D3088" s="16" t="str">
        <f>IFERROR(VLOOKUP(C3088,DATA!#REF!,2,FALSE),"")</f>
        <v/>
      </c>
    </row>
    <row r="3089" spans="3:4" s="230" customFormat="1">
      <c r="C3089" s="16" t="str">
        <f>IFERROR(VLOOKUP(DATA!#REF!,DATA!#REF!,1,FALSE),"")</f>
        <v/>
      </c>
      <c r="D3089" s="16" t="str">
        <f>IFERROR(VLOOKUP(C3089,DATA!#REF!,2,FALSE),"")</f>
        <v/>
      </c>
    </row>
    <row r="3090" spans="3:4" s="230" customFormat="1">
      <c r="C3090" s="16" t="str">
        <f>IFERROR(VLOOKUP(DATA!#REF!,DATA!#REF!,1,FALSE),"")</f>
        <v/>
      </c>
      <c r="D3090" s="16" t="str">
        <f>IFERROR(VLOOKUP(C3090,DATA!#REF!,2,FALSE),"")</f>
        <v/>
      </c>
    </row>
    <row r="3091" spans="3:4" s="230" customFormat="1">
      <c r="C3091" s="16" t="str">
        <f>IFERROR(VLOOKUP(DATA!#REF!,DATA!#REF!,1,FALSE),"")</f>
        <v/>
      </c>
      <c r="D3091" s="16" t="str">
        <f>IFERROR(VLOOKUP(C3091,DATA!#REF!,2,FALSE),"")</f>
        <v/>
      </c>
    </row>
    <row r="3092" spans="3:4" s="230" customFormat="1">
      <c r="C3092" s="16" t="str">
        <f>IFERROR(VLOOKUP(DATA!#REF!,DATA!#REF!,1,FALSE),"")</f>
        <v/>
      </c>
      <c r="D3092" s="16" t="str">
        <f>IFERROR(VLOOKUP(C3092,DATA!#REF!,2,FALSE),"")</f>
        <v/>
      </c>
    </row>
    <row r="3093" spans="3:4" s="230" customFormat="1">
      <c r="C3093" s="16" t="str">
        <f>IFERROR(VLOOKUP(DATA!#REF!,DATA!#REF!,1,FALSE),"")</f>
        <v/>
      </c>
      <c r="D3093" s="16" t="str">
        <f>IFERROR(VLOOKUP(C3093,DATA!#REF!,2,FALSE),"")</f>
        <v/>
      </c>
    </row>
    <row r="3094" spans="3:4" s="230" customFormat="1">
      <c r="C3094" s="16" t="str">
        <f>IFERROR(VLOOKUP(DATA!#REF!,DATA!#REF!,1,FALSE),"")</f>
        <v/>
      </c>
      <c r="D3094" s="16" t="str">
        <f>IFERROR(VLOOKUP(C3094,DATA!#REF!,2,FALSE),"")</f>
        <v/>
      </c>
    </row>
    <row r="3095" spans="3:4" s="230" customFormat="1">
      <c r="C3095" s="16" t="str">
        <f>IFERROR(VLOOKUP(DATA!#REF!,DATA!#REF!,1,FALSE),"")</f>
        <v/>
      </c>
      <c r="D3095" s="16" t="str">
        <f>IFERROR(VLOOKUP(C3095,DATA!#REF!,2,FALSE),"")</f>
        <v/>
      </c>
    </row>
    <row r="3096" spans="3:4" s="230" customFormat="1">
      <c r="C3096" s="16" t="str">
        <f>IFERROR(VLOOKUP(DATA!#REF!,DATA!#REF!,1,FALSE),"")</f>
        <v/>
      </c>
      <c r="D3096" s="16" t="str">
        <f>IFERROR(VLOOKUP(C3096,DATA!#REF!,2,FALSE),"")</f>
        <v/>
      </c>
    </row>
    <row r="3097" spans="3:4" s="230" customFormat="1">
      <c r="C3097" s="16" t="str">
        <f>IFERROR(VLOOKUP(DATA!#REF!,DATA!#REF!,1,FALSE),"")</f>
        <v/>
      </c>
      <c r="D3097" s="16" t="str">
        <f>IFERROR(VLOOKUP(C3097,DATA!#REF!,2,FALSE),"")</f>
        <v/>
      </c>
    </row>
    <row r="3098" spans="3:4" s="230" customFormat="1">
      <c r="C3098" s="16" t="str">
        <f>IFERROR(VLOOKUP(DATA!#REF!,DATA!#REF!,1,FALSE),"")</f>
        <v/>
      </c>
      <c r="D3098" s="16" t="str">
        <f>IFERROR(VLOOKUP(C3098,DATA!#REF!,2,FALSE),"")</f>
        <v/>
      </c>
    </row>
    <row r="3099" spans="3:4" s="230" customFormat="1">
      <c r="C3099" s="16" t="str">
        <f>IFERROR(VLOOKUP(DATA!#REF!,DATA!#REF!,1,FALSE),"")</f>
        <v/>
      </c>
      <c r="D3099" s="16" t="str">
        <f>IFERROR(VLOOKUP(C3099,DATA!#REF!,2,FALSE),"")</f>
        <v/>
      </c>
    </row>
    <row r="3100" spans="3:4" s="230" customFormat="1">
      <c r="C3100" s="16" t="str">
        <f>IFERROR(VLOOKUP(DATA!#REF!,DATA!#REF!,1,FALSE),"")</f>
        <v/>
      </c>
      <c r="D3100" s="16" t="str">
        <f>IFERROR(VLOOKUP(C3100,DATA!#REF!,2,FALSE),"")</f>
        <v/>
      </c>
    </row>
    <row r="3101" spans="3:4" s="230" customFormat="1">
      <c r="C3101" s="16" t="str">
        <f>IFERROR(VLOOKUP(DATA!#REF!,DATA!#REF!,1,FALSE),"")</f>
        <v/>
      </c>
      <c r="D3101" s="16" t="str">
        <f>IFERROR(VLOOKUP(C3101,DATA!#REF!,2,FALSE),"")</f>
        <v/>
      </c>
    </row>
    <row r="3102" spans="3:4" s="230" customFormat="1">
      <c r="C3102" s="16" t="str">
        <f>IFERROR(VLOOKUP(DATA!#REF!,DATA!#REF!,1,FALSE),"")</f>
        <v/>
      </c>
      <c r="D3102" s="16" t="str">
        <f>IFERROR(VLOOKUP(C3102,DATA!#REF!,2,FALSE),"")</f>
        <v/>
      </c>
    </row>
    <row r="3103" spans="3:4" s="230" customFormat="1">
      <c r="C3103" s="16" t="str">
        <f>IFERROR(VLOOKUP(DATA!#REF!,DATA!#REF!,1,FALSE),"")</f>
        <v/>
      </c>
      <c r="D3103" s="16" t="str">
        <f>IFERROR(VLOOKUP(C3103,DATA!#REF!,2,FALSE),"")</f>
        <v/>
      </c>
    </row>
    <row r="3104" spans="3:4" s="230" customFormat="1">
      <c r="C3104" s="16" t="str">
        <f>IFERROR(VLOOKUP(DATA!#REF!,DATA!#REF!,1,FALSE),"")</f>
        <v/>
      </c>
      <c r="D3104" s="16" t="str">
        <f>IFERROR(VLOOKUP(C3104,DATA!#REF!,2,FALSE),"")</f>
        <v/>
      </c>
    </row>
    <row r="3105" spans="3:4" s="230" customFormat="1">
      <c r="C3105" s="16" t="str">
        <f>IFERROR(VLOOKUP(DATA!#REF!,DATA!#REF!,1,FALSE),"")</f>
        <v/>
      </c>
      <c r="D3105" s="16" t="str">
        <f>IFERROR(VLOOKUP(C3105,DATA!#REF!,2,FALSE),"")</f>
        <v/>
      </c>
    </row>
    <row r="3106" spans="3:4" s="230" customFormat="1">
      <c r="C3106" s="16" t="str">
        <f>IFERROR(VLOOKUP(DATA!#REF!,DATA!#REF!,1,FALSE),"")</f>
        <v/>
      </c>
      <c r="D3106" s="16" t="str">
        <f>IFERROR(VLOOKUP(C3106,DATA!#REF!,2,FALSE),"")</f>
        <v/>
      </c>
    </row>
    <row r="3107" spans="3:4" s="230" customFormat="1">
      <c r="C3107" s="16" t="str">
        <f>IFERROR(VLOOKUP(DATA!#REF!,DATA!#REF!,1,FALSE),"")</f>
        <v/>
      </c>
      <c r="D3107" s="16" t="str">
        <f>IFERROR(VLOOKUP(C3107,DATA!#REF!,2,FALSE),"")</f>
        <v/>
      </c>
    </row>
    <row r="3108" spans="3:4" s="230" customFormat="1">
      <c r="C3108" s="16" t="str">
        <f>IFERROR(VLOOKUP(DATA!#REF!,DATA!#REF!,1,FALSE),"")</f>
        <v/>
      </c>
      <c r="D3108" s="16" t="str">
        <f>IFERROR(VLOOKUP(C3108,DATA!#REF!,2,FALSE),"")</f>
        <v/>
      </c>
    </row>
    <row r="3109" spans="3:4" s="230" customFormat="1">
      <c r="C3109" s="16" t="str">
        <f>IFERROR(VLOOKUP(DATA!#REF!,DATA!#REF!,1,FALSE),"")</f>
        <v/>
      </c>
      <c r="D3109" s="16" t="str">
        <f>IFERROR(VLOOKUP(C3109,DATA!#REF!,2,FALSE),"")</f>
        <v/>
      </c>
    </row>
    <row r="3110" spans="3:4" s="230" customFormat="1">
      <c r="C3110" s="16" t="str">
        <f>IFERROR(VLOOKUP(DATA!#REF!,DATA!#REF!,1,FALSE),"")</f>
        <v/>
      </c>
      <c r="D3110" s="16" t="str">
        <f>IFERROR(VLOOKUP(C3110,DATA!#REF!,2,FALSE),"")</f>
        <v/>
      </c>
    </row>
    <row r="3111" spans="3:4" s="230" customFormat="1">
      <c r="C3111" s="16" t="str">
        <f>IFERROR(VLOOKUP(DATA!#REF!,DATA!#REF!,1,FALSE),"")</f>
        <v/>
      </c>
      <c r="D3111" s="16" t="str">
        <f>IFERROR(VLOOKUP(C3111,DATA!#REF!,2,FALSE),"")</f>
        <v/>
      </c>
    </row>
    <row r="3112" spans="3:4" s="230" customFormat="1">
      <c r="C3112" s="16" t="str">
        <f>IFERROR(VLOOKUP(DATA!#REF!,DATA!#REF!,1,FALSE),"")</f>
        <v/>
      </c>
      <c r="D3112" s="16" t="str">
        <f>IFERROR(VLOOKUP(C3112,DATA!#REF!,2,FALSE),"")</f>
        <v/>
      </c>
    </row>
    <row r="3113" spans="3:4" s="230" customFormat="1">
      <c r="C3113" s="16" t="str">
        <f>IFERROR(VLOOKUP(DATA!#REF!,DATA!#REF!,1,FALSE),"")</f>
        <v/>
      </c>
      <c r="D3113" s="16" t="str">
        <f>IFERROR(VLOOKUP(C3113,DATA!#REF!,2,FALSE),"")</f>
        <v/>
      </c>
    </row>
    <row r="3114" spans="3:4" s="230" customFormat="1">
      <c r="C3114" s="16" t="str">
        <f>IFERROR(VLOOKUP(DATA!#REF!,DATA!#REF!,1,FALSE),"")</f>
        <v/>
      </c>
      <c r="D3114" s="16" t="str">
        <f>IFERROR(VLOOKUP(C3114,DATA!#REF!,2,FALSE),"")</f>
        <v/>
      </c>
    </row>
    <row r="3115" spans="3:4" s="230" customFormat="1">
      <c r="C3115" s="16" t="str">
        <f>IFERROR(VLOOKUP(DATA!#REF!,DATA!#REF!,1,FALSE),"")</f>
        <v/>
      </c>
      <c r="D3115" s="16" t="str">
        <f>IFERROR(VLOOKUP(C3115,DATA!#REF!,2,FALSE),"")</f>
        <v/>
      </c>
    </row>
    <row r="3116" spans="3:4" s="230" customFormat="1">
      <c r="C3116" s="16" t="str">
        <f>IFERROR(VLOOKUP(DATA!#REF!,DATA!#REF!,1,FALSE),"")</f>
        <v/>
      </c>
      <c r="D3116" s="16" t="str">
        <f>IFERROR(VLOOKUP(C3116,DATA!#REF!,2,FALSE),"")</f>
        <v/>
      </c>
    </row>
    <row r="3117" spans="3:4" s="230" customFormat="1">
      <c r="C3117" s="16" t="str">
        <f>IFERROR(VLOOKUP(DATA!#REF!,DATA!#REF!,1,FALSE),"")</f>
        <v/>
      </c>
      <c r="D3117" s="16" t="str">
        <f>IFERROR(VLOOKUP(C3117,DATA!#REF!,2,FALSE),"")</f>
        <v/>
      </c>
    </row>
    <row r="3118" spans="3:4" s="230" customFormat="1">
      <c r="C3118" s="16" t="str">
        <f>IFERROR(VLOOKUP(DATA!#REF!,DATA!#REF!,1,FALSE),"")</f>
        <v/>
      </c>
      <c r="D3118" s="16" t="str">
        <f>IFERROR(VLOOKUP(C3118,DATA!#REF!,2,FALSE),"")</f>
        <v/>
      </c>
    </row>
    <row r="3119" spans="3:4" s="230" customFormat="1">
      <c r="C3119" s="16" t="str">
        <f>IFERROR(VLOOKUP(DATA!#REF!,DATA!#REF!,1,FALSE),"")</f>
        <v/>
      </c>
      <c r="D3119" s="16" t="str">
        <f>IFERROR(VLOOKUP(C3119,DATA!#REF!,2,FALSE),"")</f>
        <v/>
      </c>
    </row>
    <row r="3120" spans="3:4" s="230" customFormat="1">
      <c r="C3120" s="16" t="str">
        <f>IFERROR(VLOOKUP(DATA!#REF!,DATA!#REF!,1,FALSE),"")</f>
        <v/>
      </c>
      <c r="D3120" s="16" t="str">
        <f>IFERROR(VLOOKUP(C3120,DATA!#REF!,2,FALSE),"")</f>
        <v/>
      </c>
    </row>
    <row r="3121" spans="3:4" s="230" customFormat="1">
      <c r="C3121" s="16" t="str">
        <f>IFERROR(VLOOKUP(DATA!#REF!,DATA!#REF!,1,FALSE),"")</f>
        <v/>
      </c>
      <c r="D3121" s="16" t="str">
        <f>IFERROR(VLOOKUP(C3121,DATA!#REF!,2,FALSE),"")</f>
        <v/>
      </c>
    </row>
    <row r="3122" spans="3:4" s="230" customFormat="1">
      <c r="C3122" s="16" t="str">
        <f>IFERROR(VLOOKUP(DATA!#REF!,DATA!#REF!,1,FALSE),"")</f>
        <v/>
      </c>
      <c r="D3122" s="16" t="str">
        <f>IFERROR(VLOOKUP(C3122,DATA!#REF!,2,FALSE),"")</f>
        <v/>
      </c>
    </row>
    <row r="3123" spans="3:4" s="230" customFormat="1">
      <c r="C3123" s="16" t="str">
        <f>IFERROR(VLOOKUP(DATA!#REF!,DATA!#REF!,1,FALSE),"")</f>
        <v/>
      </c>
      <c r="D3123" s="16" t="str">
        <f>IFERROR(VLOOKUP(C3123,DATA!#REF!,2,FALSE),"")</f>
        <v/>
      </c>
    </row>
    <row r="3124" spans="3:4" s="230" customFormat="1">
      <c r="C3124" s="16" t="str">
        <f>IFERROR(VLOOKUP(DATA!#REF!,DATA!#REF!,1,FALSE),"")</f>
        <v/>
      </c>
      <c r="D3124" s="16" t="str">
        <f>IFERROR(VLOOKUP(C3124,DATA!#REF!,2,FALSE),"")</f>
        <v/>
      </c>
    </row>
    <row r="3125" spans="3:4" s="230" customFormat="1">
      <c r="C3125" s="16" t="str">
        <f>IFERROR(VLOOKUP(DATA!#REF!,DATA!#REF!,1,FALSE),"")</f>
        <v/>
      </c>
      <c r="D3125" s="16" t="str">
        <f>IFERROR(VLOOKUP(C3125,DATA!#REF!,2,FALSE),"")</f>
        <v/>
      </c>
    </row>
    <row r="3126" spans="3:4" s="230" customFormat="1">
      <c r="C3126" s="16" t="str">
        <f>IFERROR(VLOOKUP(DATA!#REF!,DATA!#REF!,1,FALSE),"")</f>
        <v/>
      </c>
      <c r="D3126" s="16" t="str">
        <f>IFERROR(VLOOKUP(C3126,DATA!#REF!,2,FALSE),"")</f>
        <v/>
      </c>
    </row>
    <row r="3127" spans="3:4" s="230" customFormat="1">
      <c r="C3127" s="16" t="str">
        <f>IFERROR(VLOOKUP(DATA!#REF!,DATA!#REF!,1,FALSE),"")</f>
        <v/>
      </c>
      <c r="D3127" s="16" t="str">
        <f>IFERROR(VLOOKUP(C3127,DATA!#REF!,2,FALSE),"")</f>
        <v/>
      </c>
    </row>
    <row r="3128" spans="3:4" s="230" customFormat="1">
      <c r="C3128" s="16" t="str">
        <f>IFERROR(VLOOKUP(DATA!#REF!,DATA!#REF!,1,FALSE),"")</f>
        <v/>
      </c>
      <c r="D3128" s="16" t="str">
        <f>IFERROR(VLOOKUP(C3128,DATA!#REF!,2,FALSE),"")</f>
        <v/>
      </c>
    </row>
    <row r="3129" spans="3:4" s="230" customFormat="1">
      <c r="C3129" s="16" t="str">
        <f>IFERROR(VLOOKUP(DATA!#REF!,DATA!#REF!,1,FALSE),"")</f>
        <v/>
      </c>
      <c r="D3129" s="16" t="str">
        <f>IFERROR(VLOOKUP(C3129,DATA!#REF!,2,FALSE),"")</f>
        <v/>
      </c>
    </row>
    <row r="3130" spans="3:4" s="230" customFormat="1">
      <c r="C3130" s="16" t="str">
        <f>IFERROR(VLOOKUP(DATA!#REF!,DATA!#REF!,1,FALSE),"")</f>
        <v/>
      </c>
      <c r="D3130" s="16" t="str">
        <f>IFERROR(VLOOKUP(C3130,DATA!#REF!,2,FALSE),"")</f>
        <v/>
      </c>
    </row>
    <row r="3131" spans="3:4" s="230" customFormat="1">
      <c r="C3131" s="16" t="str">
        <f>IFERROR(VLOOKUP(DATA!#REF!,DATA!#REF!,1,FALSE),"")</f>
        <v/>
      </c>
      <c r="D3131" s="16" t="str">
        <f>IFERROR(VLOOKUP(C3131,DATA!#REF!,2,FALSE),"")</f>
        <v/>
      </c>
    </row>
    <row r="3132" spans="3:4" s="230" customFormat="1">
      <c r="C3132" s="16" t="str">
        <f>IFERROR(VLOOKUP(DATA!#REF!,DATA!#REF!,1,FALSE),"")</f>
        <v/>
      </c>
      <c r="D3132" s="16" t="str">
        <f>IFERROR(VLOOKUP(C3132,DATA!#REF!,2,FALSE),"")</f>
        <v/>
      </c>
    </row>
    <row r="3133" spans="3:4" s="230" customFormat="1">
      <c r="C3133" s="16" t="str">
        <f>IFERROR(VLOOKUP(DATA!#REF!,DATA!#REF!,1,FALSE),"")</f>
        <v/>
      </c>
      <c r="D3133" s="16" t="str">
        <f>IFERROR(VLOOKUP(C3133,DATA!#REF!,2,FALSE),"")</f>
        <v/>
      </c>
    </row>
    <row r="3134" spans="3:4" s="230" customFormat="1">
      <c r="C3134" s="16" t="str">
        <f>IFERROR(VLOOKUP(DATA!#REF!,DATA!#REF!,1,FALSE),"")</f>
        <v/>
      </c>
      <c r="D3134" s="16" t="str">
        <f>IFERROR(VLOOKUP(C3134,DATA!#REF!,2,FALSE),"")</f>
        <v/>
      </c>
    </row>
    <row r="3135" spans="3:4" s="230" customFormat="1">
      <c r="C3135" s="16" t="str">
        <f>IFERROR(VLOOKUP(DATA!#REF!,DATA!#REF!,1,FALSE),"")</f>
        <v/>
      </c>
      <c r="D3135" s="16" t="str">
        <f>IFERROR(VLOOKUP(C3135,DATA!#REF!,2,FALSE),"")</f>
        <v/>
      </c>
    </row>
    <row r="3136" spans="3:4" s="230" customFormat="1">
      <c r="C3136" s="16" t="str">
        <f>IFERROR(VLOOKUP(DATA!#REF!,DATA!#REF!,1,FALSE),"")</f>
        <v/>
      </c>
      <c r="D3136" s="16" t="str">
        <f>IFERROR(VLOOKUP(C3136,DATA!#REF!,2,FALSE),"")</f>
        <v/>
      </c>
    </row>
    <row r="3137" spans="3:4" s="230" customFormat="1">
      <c r="C3137" s="16" t="str">
        <f>IFERROR(VLOOKUP(DATA!#REF!,DATA!#REF!,1,FALSE),"")</f>
        <v/>
      </c>
      <c r="D3137" s="16" t="str">
        <f>IFERROR(VLOOKUP(C3137,DATA!#REF!,2,FALSE),"")</f>
        <v/>
      </c>
    </row>
    <row r="3138" spans="3:4" s="230" customFormat="1">
      <c r="C3138" s="16" t="str">
        <f>IFERROR(VLOOKUP(DATA!#REF!,DATA!#REF!,1,FALSE),"")</f>
        <v/>
      </c>
      <c r="D3138" s="16" t="str">
        <f>IFERROR(VLOOKUP(C3138,DATA!#REF!,2,FALSE),"")</f>
        <v/>
      </c>
    </row>
    <row r="3139" spans="3:4" s="230" customFormat="1">
      <c r="C3139" s="16" t="str">
        <f>IFERROR(VLOOKUP(DATA!#REF!,DATA!#REF!,1,FALSE),"")</f>
        <v/>
      </c>
      <c r="D3139" s="16" t="str">
        <f>IFERROR(VLOOKUP(C3139,DATA!#REF!,2,FALSE),"")</f>
        <v/>
      </c>
    </row>
    <row r="3140" spans="3:4" s="230" customFormat="1">
      <c r="C3140" s="16" t="str">
        <f>IFERROR(VLOOKUP(DATA!#REF!,DATA!#REF!,1,FALSE),"")</f>
        <v/>
      </c>
      <c r="D3140" s="16" t="str">
        <f>IFERROR(VLOOKUP(C3140,DATA!#REF!,2,FALSE),"")</f>
        <v/>
      </c>
    </row>
    <row r="3141" spans="3:4" s="230" customFormat="1">
      <c r="C3141" s="16" t="str">
        <f>IFERROR(VLOOKUP(DATA!#REF!,DATA!#REF!,1,FALSE),"")</f>
        <v/>
      </c>
      <c r="D3141" s="16" t="str">
        <f>IFERROR(VLOOKUP(C3141,DATA!#REF!,2,FALSE),"")</f>
        <v/>
      </c>
    </row>
    <row r="3142" spans="3:4" s="230" customFormat="1">
      <c r="C3142" s="16" t="str">
        <f>IFERROR(VLOOKUP(DATA!#REF!,DATA!#REF!,1,FALSE),"")</f>
        <v/>
      </c>
      <c r="D3142" s="16" t="str">
        <f>IFERROR(VLOOKUP(C3142,DATA!#REF!,2,FALSE),"")</f>
        <v/>
      </c>
    </row>
    <row r="3143" spans="3:4" s="230" customFormat="1">
      <c r="C3143" s="16" t="str">
        <f>IFERROR(VLOOKUP(DATA!#REF!,DATA!#REF!,1,FALSE),"")</f>
        <v/>
      </c>
      <c r="D3143" s="16" t="str">
        <f>IFERROR(VLOOKUP(C3143,DATA!#REF!,2,FALSE),"")</f>
        <v/>
      </c>
    </row>
    <row r="3144" spans="3:4" s="230" customFormat="1">
      <c r="C3144" s="16" t="str">
        <f>IFERROR(VLOOKUP(DATA!#REF!,DATA!#REF!,1,FALSE),"")</f>
        <v/>
      </c>
      <c r="D3144" s="16" t="str">
        <f>IFERROR(VLOOKUP(C3144,DATA!#REF!,2,FALSE),"")</f>
        <v/>
      </c>
    </row>
    <row r="3145" spans="3:4" s="230" customFormat="1">
      <c r="C3145" s="16" t="str">
        <f>IFERROR(VLOOKUP(DATA!#REF!,DATA!#REF!,1,FALSE),"")</f>
        <v/>
      </c>
      <c r="D3145" s="16" t="str">
        <f>IFERROR(VLOOKUP(C3145,DATA!#REF!,2,FALSE),"")</f>
        <v/>
      </c>
    </row>
    <row r="3146" spans="3:4" s="230" customFormat="1">
      <c r="C3146" s="16" t="str">
        <f>IFERROR(VLOOKUP(DATA!#REF!,DATA!#REF!,1,FALSE),"")</f>
        <v/>
      </c>
      <c r="D3146" s="16" t="str">
        <f>IFERROR(VLOOKUP(C3146,DATA!#REF!,2,FALSE),"")</f>
        <v/>
      </c>
    </row>
    <row r="3147" spans="3:4" s="230" customFormat="1">
      <c r="C3147" s="16" t="str">
        <f>IFERROR(VLOOKUP(DATA!#REF!,DATA!#REF!,1,FALSE),"")</f>
        <v/>
      </c>
      <c r="D3147" s="16" t="str">
        <f>IFERROR(VLOOKUP(C3147,DATA!#REF!,2,FALSE),"")</f>
        <v/>
      </c>
    </row>
    <row r="3148" spans="3:4" s="230" customFormat="1">
      <c r="C3148" s="16" t="str">
        <f>IFERROR(VLOOKUP(DATA!#REF!,DATA!#REF!,1,FALSE),"")</f>
        <v/>
      </c>
      <c r="D3148" s="16" t="str">
        <f>IFERROR(VLOOKUP(C3148,DATA!#REF!,2,FALSE),"")</f>
        <v/>
      </c>
    </row>
    <row r="3149" spans="3:4" s="230" customFormat="1">
      <c r="C3149" s="16" t="str">
        <f>IFERROR(VLOOKUP(DATA!#REF!,DATA!#REF!,1,FALSE),"")</f>
        <v/>
      </c>
      <c r="D3149" s="16" t="str">
        <f>IFERROR(VLOOKUP(C3149,DATA!#REF!,2,FALSE),"")</f>
        <v/>
      </c>
    </row>
    <row r="3150" spans="3:4" s="230" customFormat="1">
      <c r="C3150" s="16" t="str">
        <f>IFERROR(VLOOKUP(DATA!#REF!,DATA!#REF!,1,FALSE),"")</f>
        <v/>
      </c>
      <c r="D3150" s="16" t="str">
        <f>IFERROR(VLOOKUP(C3150,DATA!#REF!,2,FALSE),"")</f>
        <v/>
      </c>
    </row>
    <row r="3151" spans="3:4" s="230" customFormat="1">
      <c r="C3151" s="16" t="str">
        <f>IFERROR(VLOOKUP(DATA!#REF!,DATA!#REF!,1,FALSE),"")</f>
        <v/>
      </c>
      <c r="D3151" s="16" t="str">
        <f>IFERROR(VLOOKUP(C3151,DATA!#REF!,2,FALSE),"")</f>
        <v/>
      </c>
    </row>
    <row r="3152" spans="3:4" s="230" customFormat="1">
      <c r="C3152" s="16" t="str">
        <f>IFERROR(VLOOKUP(DATA!#REF!,DATA!#REF!,1,FALSE),"")</f>
        <v/>
      </c>
      <c r="D3152" s="16" t="str">
        <f>IFERROR(VLOOKUP(C3152,DATA!#REF!,2,FALSE),"")</f>
        <v/>
      </c>
    </row>
    <row r="3153" spans="3:4" s="230" customFormat="1">
      <c r="C3153" s="16" t="str">
        <f>IFERROR(VLOOKUP(DATA!#REF!,DATA!#REF!,1,FALSE),"")</f>
        <v/>
      </c>
      <c r="D3153" s="16" t="str">
        <f>IFERROR(VLOOKUP(C3153,DATA!#REF!,2,FALSE),"")</f>
        <v/>
      </c>
    </row>
    <row r="3154" spans="3:4" s="230" customFormat="1">
      <c r="C3154" s="16" t="str">
        <f>IFERROR(VLOOKUP(DATA!#REF!,DATA!#REF!,1,FALSE),"")</f>
        <v/>
      </c>
      <c r="D3154" s="16" t="str">
        <f>IFERROR(VLOOKUP(C3154,DATA!#REF!,2,FALSE),"")</f>
        <v/>
      </c>
    </row>
    <row r="3155" spans="3:4" s="230" customFormat="1">
      <c r="C3155" s="16" t="str">
        <f>IFERROR(VLOOKUP(DATA!#REF!,DATA!#REF!,1,FALSE),"")</f>
        <v/>
      </c>
      <c r="D3155" s="16" t="str">
        <f>IFERROR(VLOOKUP(C3155,DATA!#REF!,2,FALSE),"")</f>
        <v/>
      </c>
    </row>
    <row r="3156" spans="3:4" s="230" customFormat="1">
      <c r="C3156" s="16" t="str">
        <f>IFERROR(VLOOKUP(DATA!#REF!,DATA!#REF!,1,FALSE),"")</f>
        <v/>
      </c>
      <c r="D3156" s="16" t="str">
        <f>IFERROR(VLOOKUP(C3156,DATA!#REF!,2,FALSE),"")</f>
        <v/>
      </c>
    </row>
    <row r="3157" spans="3:4" s="230" customFormat="1">
      <c r="C3157" s="16" t="str">
        <f>IFERROR(VLOOKUP(DATA!#REF!,DATA!#REF!,1,FALSE),"")</f>
        <v/>
      </c>
      <c r="D3157" s="16" t="str">
        <f>IFERROR(VLOOKUP(C3157,DATA!#REF!,2,FALSE),"")</f>
        <v/>
      </c>
    </row>
    <row r="3158" spans="3:4" s="230" customFormat="1">
      <c r="C3158" s="16" t="str">
        <f>IFERROR(VLOOKUP(DATA!#REF!,DATA!#REF!,1,FALSE),"")</f>
        <v/>
      </c>
      <c r="D3158" s="16" t="str">
        <f>IFERROR(VLOOKUP(C3158,DATA!#REF!,2,FALSE),"")</f>
        <v/>
      </c>
    </row>
    <row r="3159" spans="3:4" s="230" customFormat="1">
      <c r="C3159" s="16" t="str">
        <f>IFERROR(VLOOKUP(DATA!#REF!,DATA!#REF!,1,FALSE),"")</f>
        <v/>
      </c>
      <c r="D3159" s="16" t="str">
        <f>IFERROR(VLOOKUP(C3159,DATA!#REF!,2,FALSE),"")</f>
        <v/>
      </c>
    </row>
    <row r="3160" spans="3:4" s="230" customFormat="1">
      <c r="C3160" s="16" t="str">
        <f>IFERROR(VLOOKUP(DATA!#REF!,DATA!#REF!,1,FALSE),"")</f>
        <v/>
      </c>
      <c r="D3160" s="16" t="str">
        <f>IFERROR(VLOOKUP(C3160,DATA!#REF!,2,FALSE),"")</f>
        <v/>
      </c>
    </row>
    <row r="3161" spans="3:4" s="230" customFormat="1">
      <c r="C3161" s="16" t="str">
        <f>IFERROR(VLOOKUP(DATA!#REF!,DATA!#REF!,1,FALSE),"")</f>
        <v/>
      </c>
      <c r="D3161" s="16" t="str">
        <f>IFERROR(VLOOKUP(C3161,DATA!#REF!,2,FALSE),"")</f>
        <v/>
      </c>
    </row>
    <row r="3162" spans="3:4" s="230" customFormat="1">
      <c r="C3162" s="16" t="str">
        <f>IFERROR(VLOOKUP(DATA!#REF!,DATA!#REF!,1,FALSE),"")</f>
        <v/>
      </c>
      <c r="D3162" s="16" t="str">
        <f>IFERROR(VLOOKUP(C3162,DATA!#REF!,2,FALSE),"")</f>
        <v/>
      </c>
    </row>
    <row r="3163" spans="3:4" s="230" customFormat="1">
      <c r="C3163" s="16" t="str">
        <f>IFERROR(VLOOKUP(DATA!#REF!,DATA!#REF!,1,FALSE),"")</f>
        <v/>
      </c>
      <c r="D3163" s="16" t="str">
        <f>IFERROR(VLOOKUP(C3163,DATA!#REF!,2,FALSE),"")</f>
        <v/>
      </c>
    </row>
    <row r="3164" spans="3:4" s="230" customFormat="1">
      <c r="C3164" s="16" t="str">
        <f>IFERROR(VLOOKUP(DATA!#REF!,DATA!#REF!,1,FALSE),"")</f>
        <v/>
      </c>
      <c r="D3164" s="16" t="str">
        <f>IFERROR(VLOOKUP(C3164,DATA!#REF!,2,FALSE),"")</f>
        <v/>
      </c>
    </row>
    <row r="3165" spans="3:4" s="230" customFormat="1">
      <c r="C3165" s="16" t="str">
        <f>IFERROR(VLOOKUP(DATA!#REF!,DATA!#REF!,1,FALSE),"")</f>
        <v/>
      </c>
      <c r="D3165" s="16" t="str">
        <f>IFERROR(VLOOKUP(C3165,DATA!#REF!,2,FALSE),"")</f>
        <v/>
      </c>
    </row>
    <row r="3166" spans="3:4" s="230" customFormat="1">
      <c r="C3166" s="16" t="str">
        <f>IFERROR(VLOOKUP(DATA!#REF!,DATA!#REF!,1,FALSE),"")</f>
        <v/>
      </c>
      <c r="D3166" s="16" t="str">
        <f>IFERROR(VLOOKUP(C3166,DATA!#REF!,2,FALSE),"")</f>
        <v/>
      </c>
    </row>
    <row r="3167" spans="3:4" s="230" customFormat="1">
      <c r="C3167" s="16" t="str">
        <f>IFERROR(VLOOKUP(DATA!#REF!,DATA!#REF!,1,FALSE),"")</f>
        <v/>
      </c>
      <c r="D3167" s="16" t="str">
        <f>IFERROR(VLOOKUP(C3167,DATA!#REF!,2,FALSE),"")</f>
        <v/>
      </c>
    </row>
    <row r="3168" spans="3:4" s="230" customFormat="1">
      <c r="C3168" s="16" t="str">
        <f>IFERROR(VLOOKUP(DATA!#REF!,DATA!#REF!,1,FALSE),"")</f>
        <v/>
      </c>
      <c r="D3168" s="16" t="str">
        <f>IFERROR(VLOOKUP(C3168,DATA!#REF!,2,FALSE),"")</f>
        <v/>
      </c>
    </row>
    <row r="3169" spans="3:4" s="230" customFormat="1">
      <c r="C3169" s="16" t="str">
        <f>IFERROR(VLOOKUP(DATA!#REF!,DATA!#REF!,1,FALSE),"")</f>
        <v/>
      </c>
      <c r="D3169" s="16" t="str">
        <f>IFERROR(VLOOKUP(C3169,DATA!#REF!,2,FALSE),"")</f>
        <v/>
      </c>
    </row>
    <row r="3170" spans="3:4" s="230" customFormat="1">
      <c r="C3170" s="16" t="str">
        <f>IFERROR(VLOOKUP(DATA!#REF!,DATA!#REF!,1,FALSE),"")</f>
        <v/>
      </c>
      <c r="D3170" s="16" t="str">
        <f>IFERROR(VLOOKUP(C3170,DATA!#REF!,2,FALSE),"")</f>
        <v/>
      </c>
    </row>
    <row r="3171" spans="3:4" s="230" customFormat="1">
      <c r="C3171" s="16" t="str">
        <f>IFERROR(VLOOKUP(DATA!#REF!,DATA!#REF!,1,FALSE),"")</f>
        <v/>
      </c>
      <c r="D3171" s="16" t="str">
        <f>IFERROR(VLOOKUP(C3171,DATA!#REF!,2,FALSE),"")</f>
        <v/>
      </c>
    </row>
    <row r="3172" spans="3:4" s="230" customFormat="1">
      <c r="C3172" s="16" t="str">
        <f>IFERROR(VLOOKUP(DATA!#REF!,DATA!#REF!,1,FALSE),"")</f>
        <v/>
      </c>
      <c r="D3172" s="16" t="str">
        <f>IFERROR(VLOOKUP(C3172,DATA!#REF!,2,FALSE),"")</f>
        <v/>
      </c>
    </row>
    <row r="3173" spans="3:4" s="230" customFormat="1">
      <c r="C3173" s="16" t="str">
        <f>IFERROR(VLOOKUP(DATA!#REF!,DATA!#REF!,1,FALSE),"")</f>
        <v/>
      </c>
      <c r="D3173" s="16" t="str">
        <f>IFERROR(VLOOKUP(C3173,DATA!#REF!,2,FALSE),"")</f>
        <v/>
      </c>
    </row>
    <row r="3174" spans="3:4" s="230" customFormat="1">
      <c r="C3174" s="16" t="str">
        <f>IFERROR(VLOOKUP(DATA!#REF!,DATA!#REF!,1,FALSE),"")</f>
        <v/>
      </c>
      <c r="D3174" s="16" t="str">
        <f>IFERROR(VLOOKUP(C3174,DATA!#REF!,2,FALSE),"")</f>
        <v/>
      </c>
    </row>
    <row r="3175" spans="3:4" s="230" customFormat="1">
      <c r="C3175" s="16" t="str">
        <f>IFERROR(VLOOKUP(DATA!#REF!,DATA!#REF!,1,FALSE),"")</f>
        <v/>
      </c>
      <c r="D3175" s="16" t="str">
        <f>IFERROR(VLOOKUP(C3175,DATA!#REF!,2,FALSE),"")</f>
        <v/>
      </c>
    </row>
    <row r="3176" spans="3:4" s="230" customFormat="1">
      <c r="C3176" s="16" t="str">
        <f>IFERROR(VLOOKUP(DATA!#REF!,DATA!#REF!,1,FALSE),"")</f>
        <v/>
      </c>
      <c r="D3176" s="16" t="str">
        <f>IFERROR(VLOOKUP(C3176,DATA!#REF!,2,FALSE),"")</f>
        <v/>
      </c>
    </row>
    <row r="3177" spans="3:4" s="230" customFormat="1">
      <c r="C3177" s="16" t="str">
        <f>IFERROR(VLOOKUP(DATA!#REF!,DATA!#REF!,1,FALSE),"")</f>
        <v/>
      </c>
      <c r="D3177" s="16" t="str">
        <f>IFERROR(VLOOKUP(C3177,DATA!#REF!,2,FALSE),"")</f>
        <v/>
      </c>
    </row>
    <row r="3178" spans="3:4" s="230" customFormat="1">
      <c r="C3178" s="16" t="str">
        <f>IFERROR(VLOOKUP(DATA!#REF!,DATA!#REF!,1,FALSE),"")</f>
        <v/>
      </c>
      <c r="D3178" s="16" t="str">
        <f>IFERROR(VLOOKUP(C3178,DATA!#REF!,2,FALSE),"")</f>
        <v/>
      </c>
    </row>
    <row r="3179" spans="3:4" s="230" customFormat="1">
      <c r="C3179" s="16" t="str">
        <f>IFERROR(VLOOKUP(DATA!#REF!,DATA!#REF!,1,FALSE),"")</f>
        <v/>
      </c>
      <c r="D3179" s="16" t="str">
        <f>IFERROR(VLOOKUP(C3179,DATA!#REF!,2,FALSE),"")</f>
        <v/>
      </c>
    </row>
    <row r="3180" spans="3:4" s="230" customFormat="1">
      <c r="C3180" s="16" t="str">
        <f>IFERROR(VLOOKUP(DATA!#REF!,DATA!#REF!,1,FALSE),"")</f>
        <v/>
      </c>
      <c r="D3180" s="16" t="str">
        <f>IFERROR(VLOOKUP(C3180,DATA!#REF!,2,FALSE),"")</f>
        <v/>
      </c>
    </row>
    <row r="3181" spans="3:4" s="230" customFormat="1">
      <c r="C3181" s="16" t="str">
        <f>IFERROR(VLOOKUP(DATA!#REF!,DATA!#REF!,1,FALSE),"")</f>
        <v/>
      </c>
      <c r="D3181" s="16" t="str">
        <f>IFERROR(VLOOKUP(C3181,DATA!#REF!,2,FALSE),"")</f>
        <v/>
      </c>
    </row>
    <row r="3182" spans="3:4" s="230" customFormat="1">
      <c r="C3182" s="16" t="str">
        <f>IFERROR(VLOOKUP(DATA!#REF!,DATA!#REF!,1,FALSE),"")</f>
        <v/>
      </c>
      <c r="D3182" s="16" t="str">
        <f>IFERROR(VLOOKUP(C3182,DATA!#REF!,2,FALSE),"")</f>
        <v/>
      </c>
    </row>
    <row r="3183" spans="3:4" s="230" customFormat="1">
      <c r="C3183" s="16" t="str">
        <f>IFERROR(VLOOKUP(DATA!#REF!,DATA!#REF!,1,FALSE),"")</f>
        <v/>
      </c>
      <c r="D3183" s="16" t="str">
        <f>IFERROR(VLOOKUP(C3183,DATA!#REF!,2,FALSE),"")</f>
        <v/>
      </c>
    </row>
    <row r="3184" spans="3:4" s="230" customFormat="1">
      <c r="C3184" s="16" t="str">
        <f>IFERROR(VLOOKUP(DATA!#REF!,DATA!#REF!,1,FALSE),"")</f>
        <v/>
      </c>
      <c r="D3184" s="16" t="str">
        <f>IFERROR(VLOOKUP(C3184,DATA!#REF!,2,FALSE),"")</f>
        <v/>
      </c>
    </row>
    <row r="3185" spans="3:4" s="230" customFormat="1">
      <c r="C3185" s="16" t="str">
        <f>IFERROR(VLOOKUP(DATA!#REF!,DATA!#REF!,1,FALSE),"")</f>
        <v/>
      </c>
      <c r="D3185" s="16" t="str">
        <f>IFERROR(VLOOKUP(C3185,DATA!#REF!,2,FALSE),"")</f>
        <v/>
      </c>
    </row>
    <row r="3186" spans="3:4" s="230" customFormat="1">
      <c r="C3186" s="16" t="str">
        <f>IFERROR(VLOOKUP(DATA!#REF!,DATA!#REF!,1,FALSE),"")</f>
        <v/>
      </c>
      <c r="D3186" s="16" t="str">
        <f>IFERROR(VLOOKUP(C3186,DATA!#REF!,2,FALSE),"")</f>
        <v/>
      </c>
    </row>
    <row r="3187" spans="3:4" s="230" customFormat="1">
      <c r="C3187" s="16" t="str">
        <f>IFERROR(VLOOKUP(DATA!#REF!,DATA!#REF!,1,FALSE),"")</f>
        <v/>
      </c>
      <c r="D3187" s="16" t="str">
        <f>IFERROR(VLOOKUP(C3187,DATA!#REF!,2,FALSE),"")</f>
        <v/>
      </c>
    </row>
    <row r="3188" spans="3:4" s="230" customFormat="1">
      <c r="C3188" s="16" t="str">
        <f>IFERROR(VLOOKUP(DATA!#REF!,DATA!#REF!,1,FALSE),"")</f>
        <v/>
      </c>
      <c r="D3188" s="16" t="str">
        <f>IFERROR(VLOOKUP(C3188,DATA!#REF!,2,FALSE),"")</f>
        <v/>
      </c>
    </row>
    <row r="3189" spans="3:4" s="230" customFormat="1">
      <c r="C3189" s="16" t="str">
        <f>IFERROR(VLOOKUP(DATA!#REF!,DATA!#REF!,1,FALSE),"")</f>
        <v/>
      </c>
      <c r="D3189" s="16" t="str">
        <f>IFERROR(VLOOKUP(C3189,DATA!#REF!,2,FALSE),"")</f>
        <v/>
      </c>
    </row>
    <row r="3190" spans="3:4" s="230" customFormat="1">
      <c r="C3190" s="16" t="str">
        <f>IFERROR(VLOOKUP(DATA!#REF!,DATA!#REF!,1,FALSE),"")</f>
        <v/>
      </c>
      <c r="D3190" s="16" t="str">
        <f>IFERROR(VLOOKUP(C3190,DATA!#REF!,2,FALSE),"")</f>
        <v/>
      </c>
    </row>
    <row r="3191" spans="3:4" s="230" customFormat="1">
      <c r="C3191" s="16" t="str">
        <f>IFERROR(VLOOKUP(DATA!#REF!,DATA!#REF!,1,FALSE),"")</f>
        <v/>
      </c>
      <c r="D3191" s="16" t="str">
        <f>IFERROR(VLOOKUP(C3191,DATA!#REF!,2,FALSE),"")</f>
        <v/>
      </c>
    </row>
    <row r="3192" spans="3:4" s="230" customFormat="1">
      <c r="C3192" s="16" t="str">
        <f>IFERROR(VLOOKUP(DATA!#REF!,DATA!#REF!,1,FALSE),"")</f>
        <v/>
      </c>
      <c r="D3192" s="16" t="str">
        <f>IFERROR(VLOOKUP(C3192,DATA!#REF!,2,FALSE),"")</f>
        <v/>
      </c>
    </row>
    <row r="3193" spans="3:4" s="230" customFormat="1">
      <c r="C3193" s="16" t="str">
        <f>IFERROR(VLOOKUP(DATA!#REF!,DATA!#REF!,1,FALSE),"")</f>
        <v/>
      </c>
      <c r="D3193" s="16" t="str">
        <f>IFERROR(VLOOKUP(C3193,DATA!#REF!,2,FALSE),"")</f>
        <v/>
      </c>
    </row>
    <row r="3194" spans="3:4" s="230" customFormat="1">
      <c r="C3194" s="16" t="str">
        <f>IFERROR(VLOOKUP(DATA!#REF!,DATA!#REF!,1,FALSE),"")</f>
        <v/>
      </c>
      <c r="D3194" s="16" t="str">
        <f>IFERROR(VLOOKUP(C3194,DATA!#REF!,2,FALSE),"")</f>
        <v/>
      </c>
    </row>
    <row r="3195" spans="3:4" s="230" customFormat="1">
      <c r="C3195" s="16" t="str">
        <f>IFERROR(VLOOKUP(DATA!#REF!,DATA!#REF!,1,FALSE),"")</f>
        <v/>
      </c>
      <c r="D3195" s="16" t="str">
        <f>IFERROR(VLOOKUP(C3195,DATA!#REF!,2,FALSE),"")</f>
        <v/>
      </c>
    </row>
    <row r="3196" spans="3:4" s="230" customFormat="1">
      <c r="C3196" s="16" t="str">
        <f>IFERROR(VLOOKUP(DATA!#REF!,DATA!#REF!,1,FALSE),"")</f>
        <v/>
      </c>
      <c r="D3196" s="16" t="str">
        <f>IFERROR(VLOOKUP(C3196,DATA!#REF!,2,FALSE),"")</f>
        <v/>
      </c>
    </row>
    <row r="3197" spans="3:4" s="230" customFormat="1">
      <c r="C3197" s="16" t="str">
        <f>IFERROR(VLOOKUP(DATA!#REF!,DATA!#REF!,1,FALSE),"")</f>
        <v/>
      </c>
      <c r="D3197" s="16" t="str">
        <f>IFERROR(VLOOKUP(C3197,DATA!#REF!,2,FALSE),"")</f>
        <v/>
      </c>
    </row>
    <row r="3198" spans="3:4" s="230" customFormat="1">
      <c r="C3198" s="16" t="str">
        <f>IFERROR(VLOOKUP(DATA!#REF!,DATA!#REF!,1,FALSE),"")</f>
        <v/>
      </c>
      <c r="D3198" s="16" t="str">
        <f>IFERROR(VLOOKUP(C3198,DATA!#REF!,2,FALSE),"")</f>
        <v/>
      </c>
    </row>
    <row r="3199" spans="3:4" s="230" customFormat="1">
      <c r="C3199" s="16" t="str">
        <f>IFERROR(VLOOKUP(DATA!#REF!,DATA!#REF!,1,FALSE),"")</f>
        <v/>
      </c>
      <c r="D3199" s="16" t="str">
        <f>IFERROR(VLOOKUP(C3199,DATA!#REF!,2,FALSE),"")</f>
        <v/>
      </c>
    </row>
    <row r="3200" spans="3:4" s="230" customFormat="1">
      <c r="C3200" s="16" t="str">
        <f>IFERROR(VLOOKUP(DATA!#REF!,DATA!#REF!,1,FALSE),"")</f>
        <v/>
      </c>
      <c r="D3200" s="16" t="str">
        <f>IFERROR(VLOOKUP(C3200,DATA!#REF!,2,FALSE),"")</f>
        <v/>
      </c>
    </row>
    <row r="3201" spans="3:4" s="230" customFormat="1">
      <c r="C3201" s="16" t="str">
        <f>IFERROR(VLOOKUP(DATA!#REF!,DATA!#REF!,1,FALSE),"")</f>
        <v/>
      </c>
      <c r="D3201" s="16" t="str">
        <f>IFERROR(VLOOKUP(C3201,DATA!#REF!,2,FALSE),"")</f>
        <v/>
      </c>
    </row>
    <row r="3202" spans="3:4" s="230" customFormat="1">
      <c r="C3202" s="16" t="str">
        <f>IFERROR(VLOOKUP(DATA!#REF!,DATA!#REF!,1,FALSE),"")</f>
        <v/>
      </c>
      <c r="D3202" s="16" t="str">
        <f>IFERROR(VLOOKUP(C3202,DATA!#REF!,2,FALSE),"")</f>
        <v/>
      </c>
    </row>
    <row r="3203" spans="3:4" s="230" customFormat="1">
      <c r="C3203" s="16" t="str">
        <f>IFERROR(VLOOKUP(DATA!#REF!,DATA!#REF!,1,FALSE),"")</f>
        <v/>
      </c>
      <c r="D3203" s="16" t="str">
        <f>IFERROR(VLOOKUP(C3203,DATA!#REF!,2,FALSE),"")</f>
        <v/>
      </c>
    </row>
    <row r="3204" spans="3:4" s="230" customFormat="1">
      <c r="C3204" s="16" t="str">
        <f>IFERROR(VLOOKUP(DATA!#REF!,DATA!#REF!,1,FALSE),"")</f>
        <v/>
      </c>
      <c r="D3204" s="16" t="str">
        <f>IFERROR(VLOOKUP(C3204,DATA!#REF!,2,FALSE),"")</f>
        <v/>
      </c>
    </row>
    <row r="3205" spans="3:4" s="230" customFormat="1">
      <c r="C3205" s="16" t="str">
        <f>IFERROR(VLOOKUP(DATA!#REF!,DATA!#REF!,1,FALSE),"")</f>
        <v/>
      </c>
      <c r="D3205" s="16" t="str">
        <f>IFERROR(VLOOKUP(C3205,DATA!#REF!,2,FALSE),"")</f>
        <v/>
      </c>
    </row>
    <row r="3206" spans="3:4" s="230" customFormat="1">
      <c r="C3206" s="16" t="str">
        <f>IFERROR(VLOOKUP(DATA!#REF!,DATA!#REF!,1,FALSE),"")</f>
        <v/>
      </c>
      <c r="D3206" s="16" t="str">
        <f>IFERROR(VLOOKUP(C3206,DATA!#REF!,2,FALSE),"")</f>
        <v/>
      </c>
    </row>
    <row r="3207" spans="3:4" s="230" customFormat="1">
      <c r="C3207" s="16" t="str">
        <f>IFERROR(VLOOKUP(DATA!#REF!,DATA!#REF!,1,FALSE),"")</f>
        <v/>
      </c>
      <c r="D3207" s="16" t="str">
        <f>IFERROR(VLOOKUP(C3207,DATA!#REF!,2,FALSE),"")</f>
        <v/>
      </c>
    </row>
    <row r="3208" spans="3:4" s="230" customFormat="1">
      <c r="C3208" s="16" t="str">
        <f>IFERROR(VLOOKUP(DATA!#REF!,DATA!#REF!,1,FALSE),"")</f>
        <v/>
      </c>
      <c r="D3208" s="16" t="str">
        <f>IFERROR(VLOOKUP(C3208,DATA!#REF!,2,FALSE),"")</f>
        <v/>
      </c>
    </row>
    <row r="3209" spans="3:4" s="230" customFormat="1">
      <c r="C3209" s="16" t="str">
        <f>IFERROR(VLOOKUP(DATA!#REF!,DATA!#REF!,1,FALSE),"")</f>
        <v/>
      </c>
      <c r="D3209" s="16" t="str">
        <f>IFERROR(VLOOKUP(C3209,DATA!#REF!,2,FALSE),"")</f>
        <v/>
      </c>
    </row>
    <row r="3210" spans="3:4" s="230" customFormat="1">
      <c r="C3210" s="16" t="str">
        <f>IFERROR(VLOOKUP(DATA!#REF!,DATA!#REF!,1,FALSE),"")</f>
        <v/>
      </c>
      <c r="D3210" s="16" t="str">
        <f>IFERROR(VLOOKUP(C3210,DATA!#REF!,2,FALSE),"")</f>
        <v/>
      </c>
    </row>
    <row r="3211" spans="3:4" s="230" customFormat="1">
      <c r="C3211" s="16" t="str">
        <f>IFERROR(VLOOKUP(DATA!#REF!,DATA!#REF!,1,FALSE),"")</f>
        <v/>
      </c>
      <c r="D3211" s="16" t="str">
        <f>IFERROR(VLOOKUP(C3211,DATA!#REF!,2,FALSE),"")</f>
        <v/>
      </c>
    </row>
    <row r="3212" spans="3:4" s="230" customFormat="1">
      <c r="C3212" s="16" t="str">
        <f>IFERROR(VLOOKUP(DATA!#REF!,DATA!#REF!,1,FALSE),"")</f>
        <v/>
      </c>
      <c r="D3212" s="16" t="str">
        <f>IFERROR(VLOOKUP(C3212,DATA!#REF!,2,FALSE),"")</f>
        <v/>
      </c>
    </row>
    <row r="3213" spans="3:4" s="230" customFormat="1">
      <c r="C3213" s="16" t="str">
        <f>IFERROR(VLOOKUP(DATA!#REF!,DATA!#REF!,1,FALSE),"")</f>
        <v/>
      </c>
      <c r="D3213" s="16" t="str">
        <f>IFERROR(VLOOKUP(C3213,DATA!#REF!,2,FALSE),"")</f>
        <v/>
      </c>
    </row>
    <row r="3214" spans="3:4" s="230" customFormat="1">
      <c r="C3214" s="16" t="str">
        <f>IFERROR(VLOOKUP(DATA!#REF!,DATA!#REF!,1,FALSE),"")</f>
        <v/>
      </c>
      <c r="D3214" s="16" t="str">
        <f>IFERROR(VLOOKUP(C3214,DATA!#REF!,2,FALSE),"")</f>
        <v/>
      </c>
    </row>
    <row r="3215" spans="3:4" s="230" customFormat="1">
      <c r="C3215" s="16" t="str">
        <f>IFERROR(VLOOKUP(DATA!#REF!,DATA!#REF!,1,FALSE),"")</f>
        <v/>
      </c>
      <c r="D3215" s="16" t="str">
        <f>IFERROR(VLOOKUP(C3215,DATA!#REF!,2,FALSE),"")</f>
        <v/>
      </c>
    </row>
    <row r="3216" spans="3:4" s="230" customFormat="1">
      <c r="C3216" s="16" t="str">
        <f>IFERROR(VLOOKUP(DATA!#REF!,DATA!#REF!,1,FALSE),"")</f>
        <v/>
      </c>
      <c r="D3216" s="16" t="str">
        <f>IFERROR(VLOOKUP(C3216,DATA!#REF!,2,FALSE),"")</f>
        <v/>
      </c>
    </row>
    <row r="3217" spans="3:4" s="230" customFormat="1">
      <c r="C3217" s="16" t="str">
        <f>IFERROR(VLOOKUP(DATA!#REF!,DATA!#REF!,1,FALSE),"")</f>
        <v/>
      </c>
      <c r="D3217" s="16" t="str">
        <f>IFERROR(VLOOKUP(C3217,DATA!#REF!,2,FALSE),"")</f>
        <v/>
      </c>
    </row>
    <row r="3218" spans="3:4" s="230" customFormat="1">
      <c r="C3218" s="16" t="str">
        <f>IFERROR(VLOOKUP(DATA!#REF!,DATA!#REF!,1,FALSE),"")</f>
        <v/>
      </c>
      <c r="D3218" s="16" t="str">
        <f>IFERROR(VLOOKUP(C3218,DATA!#REF!,2,FALSE),"")</f>
        <v/>
      </c>
    </row>
    <row r="3219" spans="3:4" s="230" customFormat="1">
      <c r="C3219" s="16" t="str">
        <f>IFERROR(VLOOKUP(DATA!#REF!,DATA!#REF!,1,FALSE),"")</f>
        <v/>
      </c>
      <c r="D3219" s="16" t="str">
        <f>IFERROR(VLOOKUP(C3219,DATA!#REF!,2,FALSE),"")</f>
        <v/>
      </c>
    </row>
    <row r="3220" spans="3:4" s="230" customFormat="1">
      <c r="C3220" s="16" t="str">
        <f>IFERROR(VLOOKUP(DATA!#REF!,DATA!#REF!,1,FALSE),"")</f>
        <v/>
      </c>
      <c r="D3220" s="16" t="str">
        <f>IFERROR(VLOOKUP(C3220,DATA!#REF!,2,FALSE),"")</f>
        <v/>
      </c>
    </row>
    <row r="3221" spans="3:4" s="230" customFormat="1">
      <c r="C3221" s="16" t="str">
        <f>IFERROR(VLOOKUP(DATA!#REF!,DATA!#REF!,1,FALSE),"")</f>
        <v/>
      </c>
      <c r="D3221" s="16" t="str">
        <f>IFERROR(VLOOKUP(C3221,DATA!#REF!,2,FALSE),"")</f>
        <v/>
      </c>
    </row>
    <row r="3222" spans="3:4" s="230" customFormat="1">
      <c r="C3222" s="16" t="str">
        <f>IFERROR(VLOOKUP(DATA!#REF!,DATA!#REF!,1,FALSE),"")</f>
        <v/>
      </c>
      <c r="D3222" s="16" t="str">
        <f>IFERROR(VLOOKUP(C3222,DATA!#REF!,2,FALSE),"")</f>
        <v/>
      </c>
    </row>
    <row r="3223" spans="3:4" s="230" customFormat="1">
      <c r="C3223" s="16" t="str">
        <f>IFERROR(VLOOKUP(DATA!#REF!,DATA!#REF!,1,FALSE),"")</f>
        <v/>
      </c>
      <c r="D3223" s="16" t="str">
        <f>IFERROR(VLOOKUP(C3223,DATA!#REF!,2,FALSE),"")</f>
        <v/>
      </c>
    </row>
    <row r="3224" spans="3:4" s="230" customFormat="1">
      <c r="C3224" s="16" t="str">
        <f>IFERROR(VLOOKUP(DATA!#REF!,DATA!#REF!,1,FALSE),"")</f>
        <v/>
      </c>
      <c r="D3224" s="16" t="str">
        <f>IFERROR(VLOOKUP(C3224,DATA!#REF!,2,FALSE),"")</f>
        <v/>
      </c>
    </row>
    <row r="3225" spans="3:4" s="230" customFormat="1">
      <c r="C3225" s="16" t="str">
        <f>IFERROR(VLOOKUP(DATA!#REF!,DATA!#REF!,1,FALSE),"")</f>
        <v/>
      </c>
      <c r="D3225" s="16" t="str">
        <f>IFERROR(VLOOKUP(C3225,DATA!#REF!,2,FALSE),"")</f>
        <v/>
      </c>
    </row>
    <row r="3226" spans="3:4" s="230" customFormat="1">
      <c r="C3226" s="16" t="str">
        <f>IFERROR(VLOOKUP(DATA!#REF!,DATA!#REF!,1,FALSE),"")</f>
        <v/>
      </c>
      <c r="D3226" s="16" t="str">
        <f>IFERROR(VLOOKUP(C3226,DATA!#REF!,2,FALSE),"")</f>
        <v/>
      </c>
    </row>
    <row r="3227" spans="3:4" s="230" customFormat="1">
      <c r="C3227" s="16" t="str">
        <f>IFERROR(VLOOKUP(DATA!#REF!,DATA!#REF!,1,FALSE),"")</f>
        <v/>
      </c>
      <c r="D3227" s="16" t="str">
        <f>IFERROR(VLOOKUP(C3227,DATA!#REF!,2,FALSE),"")</f>
        <v/>
      </c>
    </row>
    <row r="3228" spans="3:4" s="230" customFormat="1">
      <c r="C3228" s="16" t="str">
        <f>IFERROR(VLOOKUP(DATA!#REF!,DATA!#REF!,1,FALSE),"")</f>
        <v/>
      </c>
      <c r="D3228" s="16" t="str">
        <f>IFERROR(VLOOKUP(C3228,DATA!#REF!,2,FALSE),"")</f>
        <v/>
      </c>
    </row>
    <row r="3229" spans="3:4" s="230" customFormat="1">
      <c r="C3229" s="16" t="str">
        <f>IFERROR(VLOOKUP(DATA!#REF!,DATA!#REF!,1,FALSE),"")</f>
        <v/>
      </c>
      <c r="D3229" s="16" t="str">
        <f>IFERROR(VLOOKUP(C3229,DATA!#REF!,2,FALSE),"")</f>
        <v/>
      </c>
    </row>
    <row r="3230" spans="3:4" s="230" customFormat="1">
      <c r="C3230" s="16" t="str">
        <f>IFERROR(VLOOKUP(DATA!#REF!,DATA!#REF!,1,FALSE),"")</f>
        <v/>
      </c>
      <c r="D3230" s="16" t="str">
        <f>IFERROR(VLOOKUP(C3230,DATA!#REF!,2,FALSE),"")</f>
        <v/>
      </c>
    </row>
    <row r="3231" spans="3:4" s="230" customFormat="1">
      <c r="C3231" s="16" t="str">
        <f>IFERROR(VLOOKUP(DATA!#REF!,DATA!#REF!,1,FALSE),"")</f>
        <v/>
      </c>
      <c r="D3231" s="16" t="str">
        <f>IFERROR(VLOOKUP(C3231,DATA!#REF!,2,FALSE),"")</f>
        <v/>
      </c>
    </row>
    <row r="3232" spans="3:4" s="230" customFormat="1">
      <c r="C3232" s="16" t="str">
        <f>IFERROR(VLOOKUP(DATA!#REF!,DATA!#REF!,1,FALSE),"")</f>
        <v/>
      </c>
      <c r="D3232" s="16" t="str">
        <f>IFERROR(VLOOKUP(C3232,DATA!#REF!,2,FALSE),"")</f>
        <v/>
      </c>
    </row>
    <row r="3233" spans="3:4" s="230" customFormat="1">
      <c r="C3233" s="16" t="str">
        <f>IFERROR(VLOOKUP(DATA!#REF!,DATA!#REF!,1,FALSE),"")</f>
        <v/>
      </c>
      <c r="D3233" s="16" t="str">
        <f>IFERROR(VLOOKUP(C3233,DATA!#REF!,2,FALSE),"")</f>
        <v/>
      </c>
    </row>
    <row r="3234" spans="3:4" s="230" customFormat="1">
      <c r="C3234" s="16" t="str">
        <f>IFERROR(VLOOKUP(DATA!#REF!,DATA!#REF!,1,FALSE),"")</f>
        <v/>
      </c>
      <c r="D3234" s="16" t="str">
        <f>IFERROR(VLOOKUP(C3234,DATA!#REF!,2,FALSE),"")</f>
        <v/>
      </c>
    </row>
    <row r="3235" spans="3:4" s="230" customFormat="1">
      <c r="C3235" s="16" t="str">
        <f>IFERROR(VLOOKUP(DATA!#REF!,DATA!#REF!,1,FALSE),"")</f>
        <v/>
      </c>
      <c r="D3235" s="16" t="str">
        <f>IFERROR(VLOOKUP(C3235,DATA!#REF!,2,FALSE),"")</f>
        <v/>
      </c>
    </row>
    <row r="3236" spans="3:4" s="230" customFormat="1">
      <c r="C3236" s="16" t="str">
        <f>IFERROR(VLOOKUP(DATA!#REF!,DATA!#REF!,1,FALSE),"")</f>
        <v/>
      </c>
      <c r="D3236" s="16" t="str">
        <f>IFERROR(VLOOKUP(C3236,DATA!#REF!,2,FALSE),"")</f>
        <v/>
      </c>
    </row>
    <row r="3237" spans="3:4" s="230" customFormat="1">
      <c r="C3237" s="16" t="str">
        <f>IFERROR(VLOOKUP(DATA!#REF!,DATA!#REF!,1,FALSE),"")</f>
        <v/>
      </c>
      <c r="D3237" s="16" t="str">
        <f>IFERROR(VLOOKUP(C3237,DATA!#REF!,2,FALSE),"")</f>
        <v/>
      </c>
    </row>
    <row r="3238" spans="3:4" s="230" customFormat="1">
      <c r="C3238" s="16" t="str">
        <f>IFERROR(VLOOKUP(DATA!#REF!,DATA!#REF!,1,FALSE),"")</f>
        <v/>
      </c>
      <c r="D3238" s="16" t="str">
        <f>IFERROR(VLOOKUP(C3238,DATA!#REF!,2,FALSE),"")</f>
        <v/>
      </c>
    </row>
    <row r="3239" spans="3:4" s="230" customFormat="1">
      <c r="C3239" s="16" t="str">
        <f>IFERROR(VLOOKUP(DATA!#REF!,DATA!#REF!,1,FALSE),"")</f>
        <v/>
      </c>
      <c r="D3239" s="16" t="str">
        <f>IFERROR(VLOOKUP(C3239,DATA!#REF!,2,FALSE),"")</f>
        <v/>
      </c>
    </row>
    <row r="3240" spans="3:4" s="230" customFormat="1">
      <c r="C3240" s="16" t="str">
        <f>IFERROR(VLOOKUP(DATA!#REF!,DATA!#REF!,1,FALSE),"")</f>
        <v/>
      </c>
      <c r="D3240" s="16" t="str">
        <f>IFERROR(VLOOKUP(C3240,DATA!#REF!,2,FALSE),"")</f>
        <v/>
      </c>
    </row>
    <row r="3241" spans="3:4" s="230" customFormat="1">
      <c r="C3241" s="16" t="str">
        <f>IFERROR(VLOOKUP(DATA!#REF!,DATA!#REF!,1,FALSE),"")</f>
        <v/>
      </c>
      <c r="D3241" s="16" t="str">
        <f>IFERROR(VLOOKUP(C3241,DATA!#REF!,2,FALSE),"")</f>
        <v/>
      </c>
    </row>
    <row r="3242" spans="3:4" s="230" customFormat="1">
      <c r="C3242" s="16" t="str">
        <f>IFERROR(VLOOKUP(DATA!#REF!,DATA!#REF!,1,FALSE),"")</f>
        <v/>
      </c>
      <c r="D3242" s="16" t="str">
        <f>IFERROR(VLOOKUP(C3242,DATA!#REF!,2,FALSE),"")</f>
        <v/>
      </c>
    </row>
    <row r="3243" spans="3:4" s="230" customFormat="1">
      <c r="C3243" s="16" t="str">
        <f>IFERROR(VLOOKUP(DATA!#REF!,DATA!#REF!,1,FALSE),"")</f>
        <v/>
      </c>
      <c r="D3243" s="16" t="str">
        <f>IFERROR(VLOOKUP(C3243,DATA!#REF!,2,FALSE),"")</f>
        <v/>
      </c>
    </row>
    <row r="3244" spans="3:4" s="230" customFormat="1">
      <c r="C3244" s="16" t="str">
        <f>IFERROR(VLOOKUP(DATA!#REF!,DATA!#REF!,1,FALSE),"")</f>
        <v/>
      </c>
      <c r="D3244" s="16" t="str">
        <f>IFERROR(VLOOKUP(C3244,DATA!#REF!,2,FALSE),"")</f>
        <v/>
      </c>
    </row>
    <row r="3245" spans="3:4" s="230" customFormat="1">
      <c r="C3245" s="16" t="str">
        <f>IFERROR(VLOOKUP(DATA!#REF!,DATA!#REF!,1,FALSE),"")</f>
        <v/>
      </c>
      <c r="D3245" s="16" t="str">
        <f>IFERROR(VLOOKUP(C3245,DATA!#REF!,2,FALSE),"")</f>
        <v/>
      </c>
    </row>
    <row r="3246" spans="3:4" s="230" customFormat="1">
      <c r="C3246" s="16" t="str">
        <f>IFERROR(VLOOKUP(DATA!#REF!,DATA!#REF!,1,FALSE),"")</f>
        <v/>
      </c>
      <c r="D3246" s="16" t="str">
        <f>IFERROR(VLOOKUP(C3246,DATA!#REF!,2,FALSE),"")</f>
        <v/>
      </c>
    </row>
    <row r="3247" spans="3:4" s="230" customFormat="1">
      <c r="C3247" s="16" t="str">
        <f>IFERROR(VLOOKUP(DATA!#REF!,DATA!#REF!,1,FALSE),"")</f>
        <v/>
      </c>
      <c r="D3247" s="16" t="str">
        <f>IFERROR(VLOOKUP(C3247,DATA!#REF!,2,FALSE),"")</f>
        <v/>
      </c>
    </row>
    <row r="3248" spans="3:4" s="230" customFormat="1">
      <c r="C3248" s="16" t="str">
        <f>IFERROR(VLOOKUP(DATA!#REF!,DATA!#REF!,1,FALSE),"")</f>
        <v/>
      </c>
      <c r="D3248" s="16" t="str">
        <f>IFERROR(VLOOKUP(C3248,DATA!#REF!,2,FALSE),"")</f>
        <v/>
      </c>
    </row>
    <row r="3249" spans="3:4" s="230" customFormat="1">
      <c r="C3249" s="16" t="str">
        <f>IFERROR(VLOOKUP(DATA!#REF!,DATA!#REF!,1,FALSE),"")</f>
        <v/>
      </c>
      <c r="D3249" s="16" t="str">
        <f>IFERROR(VLOOKUP(C3249,DATA!#REF!,2,FALSE),"")</f>
        <v/>
      </c>
    </row>
    <row r="3250" spans="3:4" s="230" customFormat="1">
      <c r="C3250" s="16" t="str">
        <f>IFERROR(VLOOKUP(DATA!#REF!,DATA!#REF!,1,FALSE),"")</f>
        <v/>
      </c>
      <c r="D3250" s="16" t="str">
        <f>IFERROR(VLOOKUP(C3250,DATA!#REF!,2,FALSE),"")</f>
        <v/>
      </c>
    </row>
    <row r="3251" spans="3:4" s="230" customFormat="1">
      <c r="C3251" s="16" t="str">
        <f>IFERROR(VLOOKUP(DATA!#REF!,DATA!#REF!,1,FALSE),"")</f>
        <v/>
      </c>
      <c r="D3251" s="16" t="str">
        <f>IFERROR(VLOOKUP(C3251,DATA!#REF!,2,FALSE),"")</f>
        <v/>
      </c>
    </row>
    <row r="3252" spans="3:4" s="230" customFormat="1">
      <c r="C3252" s="16" t="str">
        <f>IFERROR(VLOOKUP(DATA!#REF!,DATA!#REF!,1,FALSE),"")</f>
        <v/>
      </c>
      <c r="D3252" s="16" t="str">
        <f>IFERROR(VLOOKUP(C3252,DATA!#REF!,2,FALSE),"")</f>
        <v/>
      </c>
    </row>
    <row r="3253" spans="3:4" s="230" customFormat="1">
      <c r="C3253" s="16" t="str">
        <f>IFERROR(VLOOKUP(DATA!#REF!,DATA!#REF!,1,FALSE),"")</f>
        <v/>
      </c>
      <c r="D3253" s="16" t="str">
        <f>IFERROR(VLOOKUP(C3253,DATA!#REF!,2,FALSE),"")</f>
        <v/>
      </c>
    </row>
    <row r="3254" spans="3:4" s="230" customFormat="1">
      <c r="C3254" s="16" t="str">
        <f>IFERROR(VLOOKUP(DATA!#REF!,DATA!#REF!,1,FALSE),"")</f>
        <v/>
      </c>
      <c r="D3254" s="16" t="str">
        <f>IFERROR(VLOOKUP(C3254,DATA!#REF!,2,FALSE),"")</f>
        <v/>
      </c>
    </row>
    <row r="3255" spans="3:4" s="230" customFormat="1">
      <c r="C3255" s="16" t="str">
        <f>IFERROR(VLOOKUP(DATA!#REF!,DATA!#REF!,1,FALSE),"")</f>
        <v/>
      </c>
      <c r="D3255" s="16" t="str">
        <f>IFERROR(VLOOKUP(C3255,DATA!#REF!,2,FALSE),"")</f>
        <v/>
      </c>
    </row>
    <row r="3256" spans="3:4" s="230" customFormat="1">
      <c r="C3256" s="16" t="str">
        <f>IFERROR(VLOOKUP(DATA!#REF!,DATA!#REF!,1,FALSE),"")</f>
        <v/>
      </c>
      <c r="D3256" s="16" t="str">
        <f>IFERROR(VLOOKUP(C3256,DATA!#REF!,2,FALSE),"")</f>
        <v/>
      </c>
    </row>
    <row r="3257" spans="3:4" s="230" customFormat="1">
      <c r="C3257" s="16" t="str">
        <f>IFERROR(VLOOKUP(DATA!#REF!,DATA!#REF!,1,FALSE),"")</f>
        <v/>
      </c>
      <c r="D3257" s="16" t="str">
        <f>IFERROR(VLOOKUP(C3257,DATA!#REF!,2,FALSE),"")</f>
        <v/>
      </c>
    </row>
    <row r="3258" spans="3:4" s="230" customFormat="1">
      <c r="C3258" s="16" t="str">
        <f>IFERROR(VLOOKUP(DATA!#REF!,DATA!#REF!,1,FALSE),"")</f>
        <v/>
      </c>
      <c r="D3258" s="16" t="str">
        <f>IFERROR(VLOOKUP(C3258,DATA!#REF!,2,FALSE),"")</f>
        <v/>
      </c>
    </row>
    <row r="3259" spans="3:4" s="230" customFormat="1">
      <c r="C3259" s="16" t="str">
        <f>IFERROR(VLOOKUP(DATA!#REF!,DATA!#REF!,1,FALSE),"")</f>
        <v/>
      </c>
      <c r="D3259" s="16" t="str">
        <f>IFERROR(VLOOKUP(C3259,DATA!#REF!,2,FALSE),"")</f>
        <v/>
      </c>
    </row>
    <row r="3260" spans="3:4" s="230" customFormat="1">
      <c r="C3260" s="16" t="str">
        <f>IFERROR(VLOOKUP(DATA!#REF!,DATA!#REF!,1,FALSE),"")</f>
        <v/>
      </c>
      <c r="D3260" s="16" t="str">
        <f>IFERROR(VLOOKUP(C3260,DATA!#REF!,2,FALSE),"")</f>
        <v/>
      </c>
    </row>
    <row r="3261" spans="3:4" s="230" customFormat="1">
      <c r="C3261" s="16" t="str">
        <f>IFERROR(VLOOKUP(DATA!#REF!,DATA!#REF!,1,FALSE),"")</f>
        <v/>
      </c>
      <c r="D3261" s="16" t="str">
        <f>IFERROR(VLOOKUP(C3261,DATA!#REF!,2,FALSE),"")</f>
        <v/>
      </c>
    </row>
    <row r="3262" spans="3:4" s="230" customFormat="1">
      <c r="C3262" s="16" t="str">
        <f>IFERROR(VLOOKUP(DATA!#REF!,DATA!#REF!,1,FALSE),"")</f>
        <v/>
      </c>
      <c r="D3262" s="16" t="str">
        <f>IFERROR(VLOOKUP(C3262,DATA!#REF!,2,FALSE),"")</f>
        <v/>
      </c>
    </row>
    <row r="3263" spans="3:4" s="230" customFormat="1">
      <c r="C3263" s="16" t="str">
        <f>IFERROR(VLOOKUP(DATA!#REF!,DATA!#REF!,1,FALSE),"")</f>
        <v/>
      </c>
      <c r="D3263" s="16" t="str">
        <f>IFERROR(VLOOKUP(C3263,DATA!#REF!,2,FALSE),"")</f>
        <v/>
      </c>
    </row>
    <row r="3264" spans="3:4" s="230" customFormat="1">
      <c r="C3264" s="16" t="str">
        <f>IFERROR(VLOOKUP(DATA!#REF!,DATA!#REF!,1,FALSE),"")</f>
        <v/>
      </c>
      <c r="D3264" s="16" t="str">
        <f>IFERROR(VLOOKUP(C3264,DATA!#REF!,2,FALSE),"")</f>
        <v/>
      </c>
    </row>
    <row r="3265" spans="3:4" s="230" customFormat="1">
      <c r="C3265" s="16" t="str">
        <f>IFERROR(VLOOKUP(DATA!#REF!,DATA!#REF!,1,FALSE),"")</f>
        <v/>
      </c>
      <c r="D3265" s="16" t="str">
        <f>IFERROR(VLOOKUP(C3265,DATA!#REF!,2,FALSE),"")</f>
        <v/>
      </c>
    </row>
    <row r="3266" spans="3:4" s="230" customFormat="1">
      <c r="C3266" s="16" t="str">
        <f>IFERROR(VLOOKUP(DATA!#REF!,DATA!#REF!,1,FALSE),"")</f>
        <v/>
      </c>
      <c r="D3266" s="16" t="str">
        <f>IFERROR(VLOOKUP(C3266,DATA!#REF!,2,FALSE),"")</f>
        <v/>
      </c>
    </row>
    <row r="3267" spans="3:4" s="230" customFormat="1">
      <c r="C3267" s="16" t="str">
        <f>IFERROR(VLOOKUP(DATA!#REF!,DATA!#REF!,1,FALSE),"")</f>
        <v/>
      </c>
      <c r="D3267" s="16" t="str">
        <f>IFERROR(VLOOKUP(C3267,DATA!#REF!,2,FALSE),"")</f>
        <v/>
      </c>
    </row>
    <row r="3268" spans="3:4" s="230" customFormat="1">
      <c r="C3268" s="16" t="str">
        <f>IFERROR(VLOOKUP(DATA!#REF!,DATA!#REF!,1,FALSE),"")</f>
        <v/>
      </c>
      <c r="D3268" s="16" t="str">
        <f>IFERROR(VLOOKUP(C3268,DATA!#REF!,2,FALSE),"")</f>
        <v/>
      </c>
    </row>
    <row r="3269" spans="3:4" s="230" customFormat="1">
      <c r="C3269" s="16" t="str">
        <f>IFERROR(VLOOKUP(DATA!#REF!,DATA!#REF!,1,FALSE),"")</f>
        <v/>
      </c>
      <c r="D3269" s="16" t="str">
        <f>IFERROR(VLOOKUP(C3269,DATA!#REF!,2,FALSE),"")</f>
        <v/>
      </c>
    </row>
    <row r="3270" spans="3:4" s="230" customFormat="1">
      <c r="C3270" s="16" t="str">
        <f>IFERROR(VLOOKUP(DATA!#REF!,DATA!#REF!,1,FALSE),"")</f>
        <v/>
      </c>
      <c r="D3270" s="16" t="str">
        <f>IFERROR(VLOOKUP(C3270,DATA!#REF!,2,FALSE),"")</f>
        <v/>
      </c>
    </row>
    <row r="3271" spans="3:4" s="230" customFormat="1">
      <c r="C3271" s="16" t="str">
        <f>IFERROR(VLOOKUP(DATA!#REF!,DATA!#REF!,1,FALSE),"")</f>
        <v/>
      </c>
      <c r="D3271" s="16" t="str">
        <f>IFERROR(VLOOKUP(C3271,DATA!#REF!,2,FALSE),"")</f>
        <v/>
      </c>
    </row>
    <row r="3272" spans="3:4" s="230" customFormat="1">
      <c r="C3272" s="16" t="str">
        <f>IFERROR(VLOOKUP(DATA!#REF!,DATA!#REF!,1,FALSE),"")</f>
        <v/>
      </c>
      <c r="D3272" s="16" t="str">
        <f>IFERROR(VLOOKUP(C3272,DATA!#REF!,2,FALSE),"")</f>
        <v/>
      </c>
    </row>
    <row r="3273" spans="3:4" s="230" customFormat="1">
      <c r="C3273" s="16" t="str">
        <f>IFERROR(VLOOKUP(DATA!#REF!,DATA!#REF!,1,FALSE),"")</f>
        <v/>
      </c>
      <c r="D3273" s="16" t="str">
        <f>IFERROR(VLOOKUP(C3273,DATA!#REF!,2,FALSE),"")</f>
        <v/>
      </c>
    </row>
    <row r="3274" spans="3:4" s="230" customFormat="1">
      <c r="C3274" s="16" t="str">
        <f>IFERROR(VLOOKUP(DATA!#REF!,DATA!#REF!,1,FALSE),"")</f>
        <v/>
      </c>
      <c r="D3274" s="16" t="str">
        <f>IFERROR(VLOOKUP(C3274,DATA!#REF!,2,FALSE),"")</f>
        <v/>
      </c>
    </row>
    <row r="3275" spans="3:4" s="230" customFormat="1">
      <c r="C3275" s="16" t="str">
        <f>IFERROR(VLOOKUP(DATA!#REF!,DATA!#REF!,1,FALSE),"")</f>
        <v/>
      </c>
      <c r="D3275" s="16" t="str">
        <f>IFERROR(VLOOKUP(C3275,DATA!#REF!,2,FALSE),"")</f>
        <v/>
      </c>
    </row>
    <row r="3276" spans="3:4" s="230" customFormat="1">
      <c r="C3276" s="16" t="str">
        <f>IFERROR(VLOOKUP(DATA!#REF!,DATA!#REF!,1,FALSE),"")</f>
        <v/>
      </c>
      <c r="D3276" s="16" t="str">
        <f>IFERROR(VLOOKUP(C3276,DATA!#REF!,2,FALSE),"")</f>
        <v/>
      </c>
    </row>
    <row r="3277" spans="3:4" s="230" customFormat="1">
      <c r="C3277" s="16" t="str">
        <f>IFERROR(VLOOKUP(DATA!#REF!,DATA!#REF!,1,FALSE),"")</f>
        <v/>
      </c>
      <c r="D3277" s="16" t="str">
        <f>IFERROR(VLOOKUP(C3277,DATA!#REF!,2,FALSE),"")</f>
        <v/>
      </c>
    </row>
    <row r="3278" spans="3:4" s="230" customFormat="1">
      <c r="C3278" s="16" t="str">
        <f>IFERROR(VLOOKUP(DATA!#REF!,DATA!#REF!,1,FALSE),"")</f>
        <v/>
      </c>
      <c r="D3278" s="16" t="str">
        <f>IFERROR(VLOOKUP(C3278,DATA!#REF!,2,FALSE),"")</f>
        <v/>
      </c>
    </row>
    <row r="3279" spans="3:4" s="230" customFormat="1">
      <c r="C3279" s="16" t="str">
        <f>IFERROR(VLOOKUP(DATA!#REF!,DATA!#REF!,1,FALSE),"")</f>
        <v/>
      </c>
      <c r="D3279" s="16" t="str">
        <f>IFERROR(VLOOKUP(C3279,DATA!#REF!,2,FALSE),"")</f>
        <v/>
      </c>
    </row>
    <row r="3280" spans="3:4" s="230" customFormat="1">
      <c r="C3280" s="16" t="str">
        <f>IFERROR(VLOOKUP(DATA!#REF!,DATA!#REF!,1,FALSE),"")</f>
        <v/>
      </c>
      <c r="D3280" s="16" t="str">
        <f>IFERROR(VLOOKUP(C3280,DATA!#REF!,2,FALSE),"")</f>
        <v/>
      </c>
    </row>
    <row r="3281" spans="3:4" s="230" customFormat="1">
      <c r="C3281" s="16" t="str">
        <f>IFERROR(VLOOKUP(DATA!#REF!,DATA!#REF!,1,FALSE),"")</f>
        <v/>
      </c>
      <c r="D3281" s="16" t="str">
        <f>IFERROR(VLOOKUP(C3281,DATA!#REF!,2,FALSE),"")</f>
        <v/>
      </c>
    </row>
    <row r="3282" spans="3:4" s="230" customFormat="1">
      <c r="C3282" s="16" t="str">
        <f>IFERROR(VLOOKUP(DATA!#REF!,DATA!#REF!,1,FALSE),"")</f>
        <v/>
      </c>
      <c r="D3282" s="16" t="str">
        <f>IFERROR(VLOOKUP(C3282,DATA!#REF!,2,FALSE),"")</f>
        <v/>
      </c>
    </row>
    <row r="3283" spans="3:4" s="230" customFormat="1">
      <c r="C3283" s="16" t="str">
        <f>IFERROR(VLOOKUP(DATA!#REF!,DATA!#REF!,1,FALSE),"")</f>
        <v/>
      </c>
      <c r="D3283" s="16" t="str">
        <f>IFERROR(VLOOKUP(C3283,DATA!#REF!,2,FALSE),"")</f>
        <v/>
      </c>
    </row>
    <row r="3284" spans="3:4" s="230" customFormat="1">
      <c r="C3284" s="16" t="str">
        <f>IFERROR(VLOOKUP(DATA!#REF!,DATA!#REF!,1,FALSE),"")</f>
        <v/>
      </c>
      <c r="D3284" s="16" t="str">
        <f>IFERROR(VLOOKUP(C3284,DATA!#REF!,2,FALSE),"")</f>
        <v/>
      </c>
    </row>
    <row r="3285" spans="3:4" s="230" customFormat="1">
      <c r="C3285" s="16" t="str">
        <f>IFERROR(VLOOKUP(DATA!#REF!,DATA!#REF!,1,FALSE),"")</f>
        <v/>
      </c>
      <c r="D3285" s="16" t="str">
        <f>IFERROR(VLOOKUP(C3285,DATA!#REF!,2,FALSE),"")</f>
        <v/>
      </c>
    </row>
    <row r="3286" spans="3:4" s="230" customFormat="1">
      <c r="C3286" s="16" t="str">
        <f>IFERROR(VLOOKUP(DATA!#REF!,DATA!#REF!,1,FALSE),"")</f>
        <v/>
      </c>
      <c r="D3286" s="16" t="str">
        <f>IFERROR(VLOOKUP(C3286,DATA!#REF!,2,FALSE),"")</f>
        <v/>
      </c>
    </row>
    <row r="3287" spans="3:4" s="230" customFormat="1">
      <c r="C3287" s="16" t="str">
        <f>IFERROR(VLOOKUP(DATA!#REF!,DATA!#REF!,1,FALSE),"")</f>
        <v/>
      </c>
      <c r="D3287" s="16" t="str">
        <f>IFERROR(VLOOKUP(C3287,DATA!#REF!,2,FALSE),"")</f>
        <v/>
      </c>
    </row>
    <row r="3288" spans="3:4" s="230" customFormat="1">
      <c r="C3288" s="16" t="str">
        <f>IFERROR(VLOOKUP(DATA!#REF!,DATA!#REF!,1,FALSE),"")</f>
        <v/>
      </c>
      <c r="D3288" s="16" t="str">
        <f>IFERROR(VLOOKUP(C3288,DATA!#REF!,2,FALSE),"")</f>
        <v/>
      </c>
    </row>
    <row r="3289" spans="3:4" s="230" customFormat="1">
      <c r="C3289" s="16" t="str">
        <f>IFERROR(VLOOKUP(DATA!#REF!,DATA!#REF!,1,FALSE),"")</f>
        <v/>
      </c>
      <c r="D3289" s="16" t="str">
        <f>IFERROR(VLOOKUP(C3289,DATA!#REF!,2,FALSE),"")</f>
        <v/>
      </c>
    </row>
    <row r="3290" spans="3:4" s="230" customFormat="1">
      <c r="C3290" s="16" t="str">
        <f>IFERROR(VLOOKUP(DATA!#REF!,DATA!#REF!,1,FALSE),"")</f>
        <v/>
      </c>
      <c r="D3290" s="16" t="str">
        <f>IFERROR(VLOOKUP(C3290,DATA!#REF!,2,FALSE),"")</f>
        <v/>
      </c>
    </row>
    <row r="3291" spans="3:4" s="230" customFormat="1">
      <c r="C3291" s="16" t="str">
        <f>IFERROR(VLOOKUP(DATA!#REF!,DATA!#REF!,1,FALSE),"")</f>
        <v/>
      </c>
      <c r="D3291" s="16" t="str">
        <f>IFERROR(VLOOKUP(C3291,DATA!#REF!,2,FALSE),"")</f>
        <v/>
      </c>
    </row>
    <row r="3292" spans="3:4" s="230" customFormat="1">
      <c r="C3292" s="16" t="str">
        <f>IFERROR(VLOOKUP(DATA!#REF!,DATA!#REF!,1,FALSE),"")</f>
        <v/>
      </c>
      <c r="D3292" s="16" t="str">
        <f>IFERROR(VLOOKUP(C3292,DATA!#REF!,2,FALSE),"")</f>
        <v/>
      </c>
    </row>
    <row r="3293" spans="3:4" s="230" customFormat="1">
      <c r="C3293" s="16" t="str">
        <f>IFERROR(VLOOKUP(DATA!#REF!,DATA!#REF!,1,FALSE),"")</f>
        <v/>
      </c>
      <c r="D3293" s="16" t="str">
        <f>IFERROR(VLOOKUP(C3293,DATA!#REF!,2,FALSE),"")</f>
        <v/>
      </c>
    </row>
    <row r="3294" spans="3:4" s="230" customFormat="1">
      <c r="C3294" s="16" t="str">
        <f>IFERROR(VLOOKUP(DATA!#REF!,DATA!#REF!,1,FALSE),"")</f>
        <v/>
      </c>
      <c r="D3294" s="16" t="str">
        <f>IFERROR(VLOOKUP(C3294,DATA!#REF!,2,FALSE),"")</f>
        <v/>
      </c>
    </row>
    <row r="3295" spans="3:4" s="230" customFormat="1">
      <c r="C3295" s="16" t="str">
        <f>IFERROR(VLOOKUP(DATA!#REF!,DATA!#REF!,1,FALSE),"")</f>
        <v/>
      </c>
      <c r="D3295" s="16" t="str">
        <f>IFERROR(VLOOKUP(C3295,DATA!#REF!,2,FALSE),"")</f>
        <v/>
      </c>
    </row>
    <row r="3296" spans="3:4" s="230" customFormat="1">
      <c r="C3296" s="16" t="str">
        <f>IFERROR(VLOOKUP(DATA!#REF!,DATA!#REF!,1,FALSE),"")</f>
        <v/>
      </c>
      <c r="D3296" s="16" t="str">
        <f>IFERROR(VLOOKUP(C3296,DATA!#REF!,2,FALSE),"")</f>
        <v/>
      </c>
    </row>
    <row r="3297" spans="3:4" s="230" customFormat="1">
      <c r="C3297" s="16" t="str">
        <f>IFERROR(VLOOKUP(DATA!#REF!,DATA!#REF!,1,FALSE),"")</f>
        <v/>
      </c>
      <c r="D3297" s="16" t="str">
        <f>IFERROR(VLOOKUP(C3297,DATA!#REF!,2,FALSE),"")</f>
        <v/>
      </c>
    </row>
    <row r="3298" spans="3:4" s="230" customFormat="1">
      <c r="C3298" s="16" t="str">
        <f>IFERROR(VLOOKUP(DATA!#REF!,DATA!#REF!,1,FALSE),"")</f>
        <v/>
      </c>
      <c r="D3298" s="16" t="str">
        <f>IFERROR(VLOOKUP(C3298,DATA!#REF!,2,FALSE),"")</f>
        <v/>
      </c>
    </row>
    <row r="3299" spans="3:4" s="230" customFormat="1">
      <c r="C3299" s="16" t="str">
        <f>IFERROR(VLOOKUP(DATA!#REF!,DATA!#REF!,1,FALSE),"")</f>
        <v/>
      </c>
      <c r="D3299" s="16" t="str">
        <f>IFERROR(VLOOKUP(C3299,DATA!#REF!,2,FALSE),"")</f>
        <v/>
      </c>
    </row>
    <row r="3300" spans="3:4" s="230" customFormat="1">
      <c r="C3300" s="16" t="str">
        <f>IFERROR(VLOOKUP(DATA!#REF!,DATA!#REF!,1,FALSE),"")</f>
        <v/>
      </c>
      <c r="D3300" s="16" t="str">
        <f>IFERROR(VLOOKUP(C3300,DATA!#REF!,2,FALSE),"")</f>
        <v/>
      </c>
    </row>
    <row r="3301" spans="3:4" s="230" customFormat="1">
      <c r="C3301" s="16" t="str">
        <f>IFERROR(VLOOKUP(DATA!#REF!,DATA!#REF!,1,FALSE),"")</f>
        <v/>
      </c>
      <c r="D3301" s="16" t="str">
        <f>IFERROR(VLOOKUP(C3301,DATA!#REF!,2,FALSE),"")</f>
        <v/>
      </c>
    </row>
    <row r="3302" spans="3:4" s="230" customFormat="1">
      <c r="C3302" s="16" t="str">
        <f>IFERROR(VLOOKUP(DATA!#REF!,DATA!#REF!,1,FALSE),"")</f>
        <v/>
      </c>
      <c r="D3302" s="16" t="str">
        <f>IFERROR(VLOOKUP(C3302,DATA!#REF!,2,FALSE),"")</f>
        <v/>
      </c>
    </row>
    <row r="3303" spans="3:4" s="230" customFormat="1">
      <c r="C3303" s="16" t="str">
        <f>IFERROR(VLOOKUP(DATA!#REF!,DATA!#REF!,1,FALSE),"")</f>
        <v/>
      </c>
      <c r="D3303" s="16" t="str">
        <f>IFERROR(VLOOKUP(C3303,DATA!#REF!,2,FALSE),"")</f>
        <v/>
      </c>
    </row>
    <row r="3304" spans="3:4" s="230" customFormat="1">
      <c r="C3304" s="16" t="str">
        <f>IFERROR(VLOOKUP(DATA!#REF!,DATA!#REF!,1,FALSE),"")</f>
        <v/>
      </c>
      <c r="D3304" s="16" t="str">
        <f>IFERROR(VLOOKUP(C3304,DATA!#REF!,2,FALSE),"")</f>
        <v/>
      </c>
    </row>
    <row r="3305" spans="3:4" s="230" customFormat="1">
      <c r="C3305" s="16" t="str">
        <f>IFERROR(VLOOKUP(DATA!#REF!,DATA!#REF!,1,FALSE),"")</f>
        <v/>
      </c>
      <c r="D3305" s="16" t="str">
        <f>IFERROR(VLOOKUP(C3305,DATA!#REF!,2,FALSE),"")</f>
        <v/>
      </c>
    </row>
    <row r="3306" spans="3:4" s="230" customFormat="1">
      <c r="C3306" s="16" t="str">
        <f>IFERROR(VLOOKUP(DATA!#REF!,DATA!#REF!,1,FALSE),"")</f>
        <v/>
      </c>
      <c r="D3306" s="16" t="str">
        <f>IFERROR(VLOOKUP(C3306,DATA!#REF!,2,FALSE),"")</f>
        <v/>
      </c>
    </row>
    <row r="3307" spans="3:4" s="230" customFormat="1">
      <c r="C3307" s="16" t="str">
        <f>IFERROR(VLOOKUP(DATA!#REF!,DATA!#REF!,1,FALSE),"")</f>
        <v/>
      </c>
      <c r="D3307" s="16" t="str">
        <f>IFERROR(VLOOKUP(C3307,DATA!#REF!,2,FALSE),"")</f>
        <v/>
      </c>
    </row>
    <row r="3308" spans="3:4" s="230" customFormat="1">
      <c r="C3308" s="16" t="str">
        <f>IFERROR(VLOOKUP(DATA!#REF!,DATA!#REF!,1,FALSE),"")</f>
        <v/>
      </c>
      <c r="D3308" s="16" t="str">
        <f>IFERROR(VLOOKUP(C3308,DATA!#REF!,2,FALSE),"")</f>
        <v/>
      </c>
    </row>
    <row r="3309" spans="3:4" s="230" customFormat="1">
      <c r="C3309" s="16" t="str">
        <f>IFERROR(VLOOKUP(DATA!#REF!,DATA!#REF!,1,FALSE),"")</f>
        <v/>
      </c>
      <c r="D3309" s="16" t="str">
        <f>IFERROR(VLOOKUP(C3309,DATA!#REF!,2,FALSE),"")</f>
        <v/>
      </c>
    </row>
    <row r="3310" spans="3:4" s="230" customFormat="1">
      <c r="C3310" s="16" t="str">
        <f>IFERROR(VLOOKUP(DATA!#REF!,DATA!#REF!,1,FALSE),"")</f>
        <v/>
      </c>
      <c r="D3310" s="16" t="str">
        <f>IFERROR(VLOOKUP(C3310,DATA!#REF!,2,FALSE),"")</f>
        <v/>
      </c>
    </row>
    <row r="3311" spans="3:4" s="230" customFormat="1">
      <c r="C3311" s="16" t="str">
        <f>IFERROR(VLOOKUP(DATA!#REF!,DATA!#REF!,1,FALSE),"")</f>
        <v/>
      </c>
      <c r="D3311" s="16" t="str">
        <f>IFERROR(VLOOKUP(C3311,DATA!#REF!,2,FALSE),"")</f>
        <v/>
      </c>
    </row>
    <row r="3312" spans="3:4" s="230" customFormat="1">
      <c r="C3312" s="16" t="str">
        <f>IFERROR(VLOOKUP(DATA!#REF!,DATA!#REF!,1,FALSE),"")</f>
        <v/>
      </c>
      <c r="D3312" s="16" t="str">
        <f>IFERROR(VLOOKUP(C3312,DATA!#REF!,2,FALSE),"")</f>
        <v/>
      </c>
    </row>
    <row r="3313" spans="3:4" s="230" customFormat="1">
      <c r="C3313" s="16" t="str">
        <f>IFERROR(VLOOKUP(DATA!#REF!,DATA!#REF!,1,FALSE),"")</f>
        <v/>
      </c>
      <c r="D3313" s="16" t="str">
        <f>IFERROR(VLOOKUP(C3313,DATA!#REF!,2,FALSE),"")</f>
        <v/>
      </c>
    </row>
    <row r="3314" spans="3:4" s="230" customFormat="1">
      <c r="C3314" s="16" t="str">
        <f>IFERROR(VLOOKUP(DATA!#REF!,DATA!#REF!,1,FALSE),"")</f>
        <v/>
      </c>
      <c r="D3314" s="16" t="str">
        <f>IFERROR(VLOOKUP(C3314,DATA!#REF!,2,FALSE),"")</f>
        <v/>
      </c>
    </row>
    <row r="3315" spans="3:4" s="230" customFormat="1">
      <c r="C3315" s="16" t="str">
        <f>IFERROR(VLOOKUP(DATA!#REF!,DATA!#REF!,1,FALSE),"")</f>
        <v/>
      </c>
      <c r="D3315" s="16" t="str">
        <f>IFERROR(VLOOKUP(C3315,DATA!#REF!,2,FALSE),"")</f>
        <v/>
      </c>
    </row>
    <row r="3316" spans="3:4" s="230" customFormat="1">
      <c r="C3316" s="16" t="str">
        <f>IFERROR(VLOOKUP(DATA!#REF!,DATA!#REF!,1,FALSE),"")</f>
        <v/>
      </c>
      <c r="D3316" s="16" t="str">
        <f>IFERROR(VLOOKUP(C3316,DATA!#REF!,2,FALSE),"")</f>
        <v/>
      </c>
    </row>
    <row r="3317" spans="3:4" s="230" customFormat="1">
      <c r="C3317" s="16" t="str">
        <f>IFERROR(VLOOKUP(DATA!#REF!,DATA!#REF!,1,FALSE),"")</f>
        <v/>
      </c>
      <c r="D3317" s="16" t="str">
        <f>IFERROR(VLOOKUP(C3317,DATA!#REF!,2,FALSE),"")</f>
        <v/>
      </c>
    </row>
    <row r="3318" spans="3:4" s="230" customFormat="1">
      <c r="C3318" s="16" t="str">
        <f>IFERROR(VLOOKUP(DATA!#REF!,DATA!#REF!,1,FALSE),"")</f>
        <v/>
      </c>
      <c r="D3318" s="16" t="str">
        <f>IFERROR(VLOOKUP(C3318,DATA!#REF!,2,FALSE),"")</f>
        <v/>
      </c>
    </row>
    <row r="3319" spans="3:4" s="230" customFormat="1">
      <c r="C3319" s="16" t="str">
        <f>IFERROR(VLOOKUP(DATA!#REF!,DATA!#REF!,1,FALSE),"")</f>
        <v/>
      </c>
      <c r="D3319" s="16" t="str">
        <f>IFERROR(VLOOKUP(C3319,DATA!#REF!,2,FALSE),"")</f>
        <v/>
      </c>
    </row>
    <row r="3320" spans="3:4" s="230" customFormat="1">
      <c r="C3320" s="16" t="str">
        <f>IFERROR(VLOOKUP(DATA!#REF!,DATA!#REF!,1,FALSE),"")</f>
        <v/>
      </c>
      <c r="D3320" s="16" t="str">
        <f>IFERROR(VLOOKUP(C3320,DATA!#REF!,2,FALSE),"")</f>
        <v/>
      </c>
    </row>
    <row r="3321" spans="3:4" s="230" customFormat="1">
      <c r="C3321" s="16" t="str">
        <f>IFERROR(VLOOKUP(DATA!#REF!,DATA!#REF!,1,FALSE),"")</f>
        <v/>
      </c>
      <c r="D3321" s="16" t="str">
        <f>IFERROR(VLOOKUP(C3321,DATA!#REF!,2,FALSE),"")</f>
        <v/>
      </c>
    </row>
    <row r="3322" spans="3:4" s="230" customFormat="1">
      <c r="C3322" s="16" t="str">
        <f>IFERROR(VLOOKUP(DATA!#REF!,DATA!#REF!,1,FALSE),"")</f>
        <v/>
      </c>
      <c r="D3322" s="16" t="str">
        <f>IFERROR(VLOOKUP(C3322,DATA!#REF!,2,FALSE),"")</f>
        <v/>
      </c>
    </row>
    <row r="3323" spans="3:4" s="230" customFormat="1">
      <c r="C3323" s="16" t="str">
        <f>IFERROR(VLOOKUP(DATA!#REF!,DATA!#REF!,1,FALSE),"")</f>
        <v/>
      </c>
      <c r="D3323" s="16" t="str">
        <f>IFERROR(VLOOKUP(C3323,DATA!#REF!,2,FALSE),"")</f>
        <v/>
      </c>
    </row>
    <row r="3324" spans="3:4" s="230" customFormat="1">
      <c r="C3324" s="16" t="str">
        <f>IFERROR(VLOOKUP(DATA!#REF!,DATA!#REF!,1,FALSE),"")</f>
        <v/>
      </c>
      <c r="D3324" s="16" t="str">
        <f>IFERROR(VLOOKUP(C3324,DATA!#REF!,2,FALSE),"")</f>
        <v/>
      </c>
    </row>
    <row r="3325" spans="3:4" s="230" customFormat="1">
      <c r="C3325" s="16" t="str">
        <f>IFERROR(VLOOKUP(DATA!#REF!,DATA!#REF!,1,FALSE),"")</f>
        <v/>
      </c>
      <c r="D3325" s="16" t="str">
        <f>IFERROR(VLOOKUP(C3325,DATA!#REF!,2,FALSE),"")</f>
        <v/>
      </c>
    </row>
    <row r="3326" spans="3:4" s="230" customFormat="1">
      <c r="C3326" s="16" t="str">
        <f>IFERROR(VLOOKUP(DATA!#REF!,DATA!#REF!,1,FALSE),"")</f>
        <v/>
      </c>
      <c r="D3326" s="16" t="str">
        <f>IFERROR(VLOOKUP(C3326,DATA!#REF!,2,FALSE),"")</f>
        <v/>
      </c>
    </row>
    <row r="3327" spans="3:4" s="230" customFormat="1">
      <c r="C3327" s="16" t="str">
        <f>IFERROR(VLOOKUP(DATA!#REF!,DATA!#REF!,1,FALSE),"")</f>
        <v/>
      </c>
      <c r="D3327" s="16" t="str">
        <f>IFERROR(VLOOKUP(C3327,DATA!#REF!,2,FALSE),"")</f>
        <v/>
      </c>
    </row>
    <row r="3328" spans="3:4" s="230" customFormat="1">
      <c r="C3328" s="16" t="str">
        <f>IFERROR(VLOOKUP(DATA!#REF!,DATA!#REF!,1,FALSE),"")</f>
        <v/>
      </c>
      <c r="D3328" s="16" t="str">
        <f>IFERROR(VLOOKUP(C3328,DATA!#REF!,2,FALSE),"")</f>
        <v/>
      </c>
    </row>
    <row r="3329" spans="3:4" s="230" customFormat="1">
      <c r="C3329" s="16" t="str">
        <f>IFERROR(VLOOKUP(DATA!#REF!,DATA!#REF!,1,FALSE),"")</f>
        <v/>
      </c>
      <c r="D3329" s="16" t="str">
        <f>IFERROR(VLOOKUP(C3329,DATA!#REF!,2,FALSE),"")</f>
        <v/>
      </c>
    </row>
    <row r="3330" spans="3:4" s="230" customFormat="1">
      <c r="C3330" s="16" t="str">
        <f>IFERROR(VLOOKUP(DATA!#REF!,DATA!#REF!,1,FALSE),"")</f>
        <v/>
      </c>
      <c r="D3330" s="16" t="str">
        <f>IFERROR(VLOOKUP(C3330,DATA!#REF!,2,FALSE),"")</f>
        <v/>
      </c>
    </row>
    <row r="3331" spans="3:4" s="230" customFormat="1">
      <c r="C3331" s="16" t="str">
        <f>IFERROR(VLOOKUP(DATA!#REF!,DATA!#REF!,1,FALSE),"")</f>
        <v/>
      </c>
      <c r="D3331" s="16" t="str">
        <f>IFERROR(VLOOKUP(C3331,DATA!#REF!,2,FALSE),"")</f>
        <v/>
      </c>
    </row>
    <row r="3332" spans="3:4" s="230" customFormat="1">
      <c r="C3332" s="16" t="str">
        <f>IFERROR(VLOOKUP(DATA!#REF!,DATA!#REF!,1,FALSE),"")</f>
        <v/>
      </c>
      <c r="D3332" s="16" t="str">
        <f>IFERROR(VLOOKUP(C3332,DATA!#REF!,2,FALSE),"")</f>
        <v/>
      </c>
    </row>
    <row r="3333" spans="3:4" s="230" customFormat="1">
      <c r="C3333" s="16" t="str">
        <f>IFERROR(VLOOKUP(DATA!#REF!,DATA!#REF!,1,FALSE),"")</f>
        <v/>
      </c>
      <c r="D3333" s="16" t="str">
        <f>IFERROR(VLOOKUP(C3333,DATA!#REF!,2,FALSE),"")</f>
        <v/>
      </c>
    </row>
    <row r="3334" spans="3:4" s="230" customFormat="1">
      <c r="C3334" s="16" t="str">
        <f>IFERROR(VLOOKUP(DATA!#REF!,DATA!#REF!,1,FALSE),"")</f>
        <v/>
      </c>
      <c r="D3334" s="16" t="str">
        <f>IFERROR(VLOOKUP(C3334,DATA!#REF!,2,FALSE),"")</f>
        <v/>
      </c>
    </row>
    <row r="3335" spans="3:4" s="230" customFormat="1">
      <c r="C3335" s="16" t="str">
        <f>IFERROR(VLOOKUP(DATA!#REF!,DATA!#REF!,1,FALSE),"")</f>
        <v/>
      </c>
      <c r="D3335" s="16" t="str">
        <f>IFERROR(VLOOKUP(C3335,DATA!#REF!,2,FALSE),"")</f>
        <v/>
      </c>
    </row>
    <row r="3336" spans="3:4" s="230" customFormat="1">
      <c r="C3336" s="16" t="str">
        <f>IFERROR(VLOOKUP(DATA!#REF!,DATA!#REF!,1,FALSE),"")</f>
        <v/>
      </c>
      <c r="D3336" s="16" t="str">
        <f>IFERROR(VLOOKUP(C3336,DATA!#REF!,2,FALSE),"")</f>
        <v/>
      </c>
    </row>
    <row r="3337" spans="3:4" s="230" customFormat="1">
      <c r="C3337" s="16" t="str">
        <f>IFERROR(VLOOKUP(DATA!#REF!,DATA!#REF!,1,FALSE),"")</f>
        <v/>
      </c>
      <c r="D3337" s="16" t="str">
        <f>IFERROR(VLOOKUP(C3337,DATA!#REF!,2,FALSE),"")</f>
        <v/>
      </c>
    </row>
    <row r="3338" spans="3:4" s="230" customFormat="1">
      <c r="C3338" s="16" t="str">
        <f>IFERROR(VLOOKUP(DATA!#REF!,DATA!#REF!,1,FALSE),"")</f>
        <v/>
      </c>
      <c r="D3338" s="16" t="str">
        <f>IFERROR(VLOOKUP(C3338,DATA!#REF!,2,FALSE),"")</f>
        <v/>
      </c>
    </row>
    <row r="3339" spans="3:4" s="230" customFormat="1">
      <c r="C3339" s="16" t="str">
        <f>IFERROR(VLOOKUP(DATA!#REF!,DATA!#REF!,1,FALSE),"")</f>
        <v/>
      </c>
      <c r="D3339" s="16" t="str">
        <f>IFERROR(VLOOKUP(C3339,DATA!#REF!,2,FALSE),"")</f>
        <v/>
      </c>
    </row>
    <row r="3340" spans="3:4" s="230" customFormat="1">
      <c r="C3340" s="16" t="str">
        <f>IFERROR(VLOOKUP(DATA!#REF!,DATA!#REF!,1,FALSE),"")</f>
        <v/>
      </c>
      <c r="D3340" s="16" t="str">
        <f>IFERROR(VLOOKUP(C3340,DATA!#REF!,2,FALSE),"")</f>
        <v/>
      </c>
    </row>
    <row r="3341" spans="3:4" s="230" customFormat="1">
      <c r="C3341" s="16" t="str">
        <f>IFERROR(VLOOKUP(DATA!#REF!,DATA!#REF!,1,FALSE),"")</f>
        <v/>
      </c>
      <c r="D3341" s="16" t="str">
        <f>IFERROR(VLOOKUP(C3341,DATA!#REF!,2,FALSE),"")</f>
        <v/>
      </c>
    </row>
    <row r="3342" spans="3:4" s="230" customFormat="1">
      <c r="C3342" s="16" t="str">
        <f>IFERROR(VLOOKUP(DATA!#REF!,DATA!#REF!,1,FALSE),"")</f>
        <v/>
      </c>
      <c r="D3342" s="16" t="str">
        <f>IFERROR(VLOOKUP(C3342,DATA!#REF!,2,FALSE),"")</f>
        <v/>
      </c>
    </row>
    <row r="3343" spans="3:4" s="230" customFormat="1">
      <c r="C3343" s="16" t="str">
        <f>IFERROR(VLOOKUP(DATA!#REF!,DATA!#REF!,1,FALSE),"")</f>
        <v/>
      </c>
      <c r="D3343" s="16" t="str">
        <f>IFERROR(VLOOKUP(C3343,DATA!#REF!,2,FALSE),"")</f>
        <v/>
      </c>
    </row>
    <row r="3344" spans="3:4" s="230" customFormat="1">
      <c r="C3344" s="16" t="str">
        <f>IFERROR(VLOOKUP(DATA!#REF!,DATA!#REF!,1,FALSE),"")</f>
        <v/>
      </c>
      <c r="D3344" s="16" t="str">
        <f>IFERROR(VLOOKUP(C3344,DATA!#REF!,2,FALSE),"")</f>
        <v/>
      </c>
    </row>
    <row r="3345" spans="3:4" s="230" customFormat="1">
      <c r="C3345" s="16" t="str">
        <f>IFERROR(VLOOKUP(DATA!#REF!,DATA!#REF!,1,FALSE),"")</f>
        <v/>
      </c>
      <c r="D3345" s="16" t="str">
        <f>IFERROR(VLOOKUP(C3345,DATA!#REF!,2,FALSE),"")</f>
        <v/>
      </c>
    </row>
    <row r="3346" spans="3:4" s="230" customFormat="1">
      <c r="C3346" s="16" t="str">
        <f>IFERROR(VLOOKUP(DATA!#REF!,DATA!#REF!,1,FALSE),"")</f>
        <v/>
      </c>
      <c r="D3346" s="16" t="str">
        <f>IFERROR(VLOOKUP(C3346,DATA!#REF!,2,FALSE),"")</f>
        <v/>
      </c>
    </row>
    <row r="3347" spans="3:4" s="230" customFormat="1">
      <c r="C3347" s="16" t="str">
        <f>IFERROR(VLOOKUP(DATA!#REF!,DATA!#REF!,1,FALSE),"")</f>
        <v/>
      </c>
      <c r="D3347" s="16" t="str">
        <f>IFERROR(VLOOKUP(C3347,DATA!#REF!,2,FALSE),"")</f>
        <v/>
      </c>
    </row>
    <row r="3348" spans="3:4" s="230" customFormat="1">
      <c r="C3348" s="16" t="str">
        <f>IFERROR(VLOOKUP(DATA!#REF!,DATA!#REF!,1,FALSE),"")</f>
        <v/>
      </c>
      <c r="D3348" s="16" t="str">
        <f>IFERROR(VLOOKUP(C3348,DATA!#REF!,2,FALSE),"")</f>
        <v/>
      </c>
    </row>
    <row r="3349" spans="3:4" s="230" customFormat="1">
      <c r="C3349" s="16" t="str">
        <f>IFERROR(VLOOKUP(DATA!#REF!,DATA!#REF!,1,FALSE),"")</f>
        <v/>
      </c>
      <c r="D3349" s="16" t="str">
        <f>IFERROR(VLOOKUP(C3349,DATA!#REF!,2,FALSE),"")</f>
        <v/>
      </c>
    </row>
    <row r="3350" spans="3:4" s="230" customFormat="1">
      <c r="C3350" s="16" t="str">
        <f>IFERROR(VLOOKUP(DATA!#REF!,DATA!#REF!,1,FALSE),"")</f>
        <v/>
      </c>
      <c r="D3350" s="16" t="str">
        <f>IFERROR(VLOOKUP(C3350,DATA!#REF!,2,FALSE),"")</f>
        <v/>
      </c>
    </row>
    <row r="3351" spans="3:4" s="230" customFormat="1">
      <c r="C3351" s="16" t="str">
        <f>IFERROR(VLOOKUP(DATA!#REF!,DATA!#REF!,1,FALSE),"")</f>
        <v/>
      </c>
      <c r="D3351" s="16" t="str">
        <f>IFERROR(VLOOKUP(C3351,DATA!#REF!,2,FALSE),"")</f>
        <v/>
      </c>
    </row>
    <row r="3352" spans="3:4" s="230" customFormat="1">
      <c r="C3352" s="16" t="str">
        <f>IFERROR(VLOOKUP(DATA!#REF!,DATA!#REF!,1,FALSE),"")</f>
        <v/>
      </c>
      <c r="D3352" s="16" t="str">
        <f>IFERROR(VLOOKUP(C3352,DATA!#REF!,2,FALSE),"")</f>
        <v/>
      </c>
    </row>
    <row r="3353" spans="3:4" s="230" customFormat="1">
      <c r="C3353" s="16" t="str">
        <f>IFERROR(VLOOKUP(DATA!#REF!,DATA!#REF!,1,FALSE),"")</f>
        <v/>
      </c>
      <c r="D3353" s="16" t="str">
        <f>IFERROR(VLOOKUP(C3353,DATA!#REF!,2,FALSE),"")</f>
        <v/>
      </c>
    </row>
    <row r="3354" spans="3:4" s="230" customFormat="1">
      <c r="C3354" s="16" t="str">
        <f>IFERROR(VLOOKUP(DATA!#REF!,DATA!#REF!,1,FALSE),"")</f>
        <v/>
      </c>
      <c r="D3354" s="16" t="str">
        <f>IFERROR(VLOOKUP(C3354,DATA!#REF!,2,FALSE),"")</f>
        <v/>
      </c>
    </row>
    <row r="3355" spans="3:4" s="230" customFormat="1">
      <c r="C3355" s="16" t="str">
        <f>IFERROR(VLOOKUP(DATA!#REF!,DATA!#REF!,1,FALSE),"")</f>
        <v/>
      </c>
      <c r="D3355" s="16" t="str">
        <f>IFERROR(VLOOKUP(C3355,DATA!#REF!,2,FALSE),"")</f>
        <v/>
      </c>
    </row>
    <row r="3356" spans="3:4" s="230" customFormat="1">
      <c r="C3356" s="16" t="str">
        <f>IFERROR(VLOOKUP(DATA!#REF!,DATA!#REF!,1,FALSE),"")</f>
        <v/>
      </c>
      <c r="D3356" s="16" t="str">
        <f>IFERROR(VLOOKUP(C3356,DATA!#REF!,2,FALSE),"")</f>
        <v/>
      </c>
    </row>
    <row r="3357" spans="3:4" s="230" customFormat="1">
      <c r="C3357" s="16" t="str">
        <f>IFERROR(VLOOKUP(DATA!#REF!,DATA!#REF!,1,FALSE),"")</f>
        <v/>
      </c>
      <c r="D3357" s="16" t="str">
        <f>IFERROR(VLOOKUP(C3357,DATA!#REF!,2,FALSE),"")</f>
        <v/>
      </c>
    </row>
    <row r="3358" spans="3:4" s="230" customFormat="1">
      <c r="C3358" s="16" t="str">
        <f>IFERROR(VLOOKUP(DATA!#REF!,DATA!#REF!,1,FALSE),"")</f>
        <v/>
      </c>
      <c r="D3358" s="16" t="str">
        <f>IFERROR(VLOOKUP(C3358,DATA!#REF!,2,FALSE),"")</f>
        <v/>
      </c>
    </row>
    <row r="3359" spans="3:4" s="230" customFormat="1">
      <c r="C3359" s="16" t="str">
        <f>IFERROR(VLOOKUP(DATA!#REF!,DATA!#REF!,1,FALSE),"")</f>
        <v/>
      </c>
      <c r="D3359" s="16" t="str">
        <f>IFERROR(VLOOKUP(C3359,DATA!#REF!,2,FALSE),"")</f>
        <v/>
      </c>
    </row>
    <row r="3360" spans="3:4" s="230" customFormat="1">
      <c r="C3360" s="16" t="str">
        <f>IFERROR(VLOOKUP(DATA!#REF!,DATA!#REF!,1,FALSE),"")</f>
        <v/>
      </c>
      <c r="D3360" s="16" t="str">
        <f>IFERROR(VLOOKUP(C3360,DATA!#REF!,2,FALSE),"")</f>
        <v/>
      </c>
    </row>
    <row r="3361" spans="3:4" s="230" customFormat="1">
      <c r="C3361" s="16" t="str">
        <f>IFERROR(VLOOKUP(DATA!#REF!,DATA!#REF!,1,FALSE),"")</f>
        <v/>
      </c>
      <c r="D3361" s="16" t="str">
        <f>IFERROR(VLOOKUP(C3361,DATA!#REF!,2,FALSE),"")</f>
        <v/>
      </c>
    </row>
    <row r="3362" spans="3:4" s="230" customFormat="1">
      <c r="C3362" s="16" t="str">
        <f>IFERROR(VLOOKUP(DATA!#REF!,DATA!#REF!,1,FALSE),"")</f>
        <v/>
      </c>
      <c r="D3362" s="16" t="str">
        <f>IFERROR(VLOOKUP(C3362,DATA!#REF!,2,FALSE),"")</f>
        <v/>
      </c>
    </row>
    <row r="3363" spans="3:4" s="230" customFormat="1">
      <c r="C3363" s="16" t="str">
        <f>IFERROR(VLOOKUP(DATA!#REF!,DATA!#REF!,1,FALSE),"")</f>
        <v/>
      </c>
      <c r="D3363" s="16" t="str">
        <f>IFERROR(VLOOKUP(C3363,DATA!#REF!,2,FALSE),"")</f>
        <v/>
      </c>
    </row>
    <row r="3364" spans="3:4" s="230" customFormat="1">
      <c r="C3364" s="16" t="str">
        <f>IFERROR(VLOOKUP(DATA!#REF!,DATA!#REF!,1,FALSE),"")</f>
        <v/>
      </c>
      <c r="D3364" s="16" t="str">
        <f>IFERROR(VLOOKUP(C3364,DATA!#REF!,2,FALSE),"")</f>
        <v/>
      </c>
    </row>
    <row r="3365" spans="3:4" s="230" customFormat="1">
      <c r="C3365" s="16" t="str">
        <f>IFERROR(VLOOKUP(DATA!#REF!,DATA!#REF!,1,FALSE),"")</f>
        <v/>
      </c>
      <c r="D3365" s="16" t="str">
        <f>IFERROR(VLOOKUP(C3365,DATA!#REF!,2,FALSE),"")</f>
        <v/>
      </c>
    </row>
    <row r="3366" spans="3:4" s="230" customFormat="1">
      <c r="C3366" s="16" t="str">
        <f>IFERROR(VLOOKUP(DATA!#REF!,DATA!#REF!,1,FALSE),"")</f>
        <v/>
      </c>
      <c r="D3366" s="16" t="str">
        <f>IFERROR(VLOOKUP(C3366,DATA!#REF!,2,FALSE),"")</f>
        <v/>
      </c>
    </row>
    <row r="3367" spans="3:4" s="230" customFormat="1">
      <c r="C3367" s="16" t="str">
        <f>IFERROR(VLOOKUP(DATA!#REF!,DATA!#REF!,1,FALSE),"")</f>
        <v/>
      </c>
      <c r="D3367" s="16" t="str">
        <f>IFERROR(VLOOKUP(C3367,DATA!#REF!,2,FALSE),"")</f>
        <v/>
      </c>
    </row>
    <row r="3368" spans="3:4" s="230" customFormat="1">
      <c r="C3368" s="16" t="str">
        <f>IFERROR(VLOOKUP(DATA!#REF!,DATA!#REF!,1,FALSE),"")</f>
        <v/>
      </c>
      <c r="D3368" s="16" t="str">
        <f>IFERROR(VLOOKUP(C3368,DATA!#REF!,2,FALSE),"")</f>
        <v/>
      </c>
    </row>
    <row r="3369" spans="3:4" s="230" customFormat="1">
      <c r="C3369" s="16" t="str">
        <f>IFERROR(VLOOKUP(DATA!#REF!,DATA!#REF!,1,FALSE),"")</f>
        <v/>
      </c>
      <c r="D3369" s="16" t="str">
        <f>IFERROR(VLOOKUP(C3369,DATA!#REF!,2,FALSE),"")</f>
        <v/>
      </c>
    </row>
    <row r="3370" spans="3:4" s="230" customFormat="1">
      <c r="C3370" s="16" t="str">
        <f>IFERROR(VLOOKUP(DATA!#REF!,DATA!#REF!,1,FALSE),"")</f>
        <v/>
      </c>
      <c r="D3370" s="16" t="str">
        <f>IFERROR(VLOOKUP(C3370,DATA!#REF!,2,FALSE),"")</f>
        <v/>
      </c>
    </row>
    <row r="3371" spans="3:4" s="230" customFormat="1">
      <c r="C3371" s="16" t="str">
        <f>IFERROR(VLOOKUP(DATA!#REF!,DATA!#REF!,1,FALSE),"")</f>
        <v/>
      </c>
      <c r="D3371" s="16" t="str">
        <f>IFERROR(VLOOKUP(C3371,DATA!#REF!,2,FALSE),"")</f>
        <v/>
      </c>
    </row>
    <row r="3372" spans="3:4" s="230" customFormat="1">
      <c r="C3372" s="16" t="str">
        <f>IFERROR(VLOOKUP(DATA!#REF!,DATA!#REF!,1,FALSE),"")</f>
        <v/>
      </c>
      <c r="D3372" s="16" t="str">
        <f>IFERROR(VLOOKUP(C3372,DATA!#REF!,2,FALSE),"")</f>
        <v/>
      </c>
    </row>
    <row r="3373" spans="3:4" s="230" customFormat="1">
      <c r="C3373" s="16" t="str">
        <f>IFERROR(VLOOKUP(DATA!#REF!,DATA!#REF!,1,FALSE),"")</f>
        <v/>
      </c>
      <c r="D3373" s="16" t="str">
        <f>IFERROR(VLOOKUP(C3373,DATA!#REF!,2,FALSE),"")</f>
        <v/>
      </c>
    </row>
    <row r="3374" spans="3:4" s="230" customFormat="1">
      <c r="C3374" s="16" t="str">
        <f>IFERROR(VLOOKUP(DATA!#REF!,DATA!#REF!,1,FALSE),"")</f>
        <v/>
      </c>
      <c r="D3374" s="16" t="str">
        <f>IFERROR(VLOOKUP(C3374,DATA!#REF!,2,FALSE),"")</f>
        <v/>
      </c>
    </row>
    <row r="3375" spans="3:4" s="230" customFormat="1">
      <c r="C3375" s="16" t="str">
        <f>IFERROR(VLOOKUP(DATA!#REF!,DATA!#REF!,1,FALSE),"")</f>
        <v/>
      </c>
      <c r="D3375" s="16" t="str">
        <f>IFERROR(VLOOKUP(C3375,DATA!#REF!,2,FALSE),"")</f>
        <v/>
      </c>
    </row>
    <row r="3376" spans="3:4" s="230" customFormat="1">
      <c r="C3376" s="16" t="str">
        <f>IFERROR(VLOOKUP(DATA!#REF!,DATA!#REF!,1,FALSE),"")</f>
        <v/>
      </c>
      <c r="D3376" s="16" t="str">
        <f>IFERROR(VLOOKUP(C3376,DATA!#REF!,2,FALSE),"")</f>
        <v/>
      </c>
    </row>
    <row r="3377" spans="3:4" s="230" customFormat="1">
      <c r="C3377" s="16" t="str">
        <f>IFERROR(VLOOKUP(DATA!#REF!,DATA!#REF!,1,FALSE),"")</f>
        <v/>
      </c>
      <c r="D3377" s="16" t="str">
        <f>IFERROR(VLOOKUP(C3377,DATA!#REF!,2,FALSE),"")</f>
        <v/>
      </c>
    </row>
    <row r="3378" spans="3:4" s="230" customFormat="1">
      <c r="C3378" s="16" t="str">
        <f>IFERROR(VLOOKUP(DATA!#REF!,DATA!#REF!,1,FALSE),"")</f>
        <v/>
      </c>
      <c r="D3378" s="16" t="str">
        <f>IFERROR(VLOOKUP(C3378,DATA!#REF!,2,FALSE),"")</f>
        <v/>
      </c>
    </row>
    <row r="3379" spans="3:4" s="230" customFormat="1">
      <c r="C3379" s="16" t="str">
        <f>IFERROR(VLOOKUP(DATA!#REF!,DATA!#REF!,1,FALSE),"")</f>
        <v/>
      </c>
      <c r="D3379" s="16" t="str">
        <f>IFERROR(VLOOKUP(C3379,DATA!#REF!,2,FALSE),"")</f>
        <v/>
      </c>
    </row>
    <row r="3380" spans="3:4" s="230" customFormat="1">
      <c r="C3380" s="16" t="str">
        <f>IFERROR(VLOOKUP(DATA!#REF!,DATA!#REF!,1,FALSE),"")</f>
        <v/>
      </c>
      <c r="D3380" s="16" t="str">
        <f>IFERROR(VLOOKUP(C3380,DATA!#REF!,2,FALSE),"")</f>
        <v/>
      </c>
    </row>
    <row r="3381" spans="3:4" s="230" customFormat="1">
      <c r="C3381" s="16" t="str">
        <f>IFERROR(VLOOKUP(DATA!#REF!,DATA!#REF!,1,FALSE),"")</f>
        <v/>
      </c>
      <c r="D3381" s="16" t="str">
        <f>IFERROR(VLOOKUP(C3381,DATA!#REF!,2,FALSE),"")</f>
        <v/>
      </c>
    </row>
    <row r="3382" spans="3:4" s="230" customFormat="1">
      <c r="C3382" s="16" t="str">
        <f>IFERROR(VLOOKUP(DATA!#REF!,DATA!#REF!,1,FALSE),"")</f>
        <v/>
      </c>
      <c r="D3382" s="16" t="str">
        <f>IFERROR(VLOOKUP(C3382,DATA!#REF!,2,FALSE),"")</f>
        <v/>
      </c>
    </row>
    <row r="3383" spans="3:4" s="230" customFormat="1">
      <c r="C3383" s="16" t="str">
        <f>IFERROR(VLOOKUP(DATA!#REF!,DATA!#REF!,1,FALSE),"")</f>
        <v/>
      </c>
      <c r="D3383" s="16" t="str">
        <f>IFERROR(VLOOKUP(C3383,DATA!#REF!,2,FALSE),"")</f>
        <v/>
      </c>
    </row>
    <row r="3384" spans="3:4" s="230" customFormat="1">
      <c r="C3384" s="16" t="str">
        <f>IFERROR(VLOOKUP(DATA!#REF!,DATA!#REF!,1,FALSE),"")</f>
        <v/>
      </c>
      <c r="D3384" s="16" t="str">
        <f>IFERROR(VLOOKUP(C3384,DATA!#REF!,2,FALSE),"")</f>
        <v/>
      </c>
    </row>
    <row r="3385" spans="3:4" s="230" customFormat="1">
      <c r="C3385" s="16" t="str">
        <f>IFERROR(VLOOKUP(DATA!#REF!,DATA!#REF!,1,FALSE),"")</f>
        <v/>
      </c>
      <c r="D3385" s="16" t="str">
        <f>IFERROR(VLOOKUP(C3385,DATA!#REF!,2,FALSE),"")</f>
        <v/>
      </c>
    </row>
    <row r="3386" spans="3:4" s="230" customFormat="1">
      <c r="C3386" s="16" t="str">
        <f>IFERROR(VLOOKUP(DATA!#REF!,DATA!#REF!,1,FALSE),"")</f>
        <v/>
      </c>
      <c r="D3386" s="16" t="str">
        <f>IFERROR(VLOOKUP(C3386,DATA!#REF!,2,FALSE),"")</f>
        <v/>
      </c>
    </row>
    <row r="3387" spans="3:4" s="230" customFormat="1">
      <c r="C3387" s="16" t="str">
        <f>IFERROR(VLOOKUP(DATA!#REF!,DATA!#REF!,1,FALSE),"")</f>
        <v/>
      </c>
      <c r="D3387" s="16" t="str">
        <f>IFERROR(VLOOKUP(C3387,DATA!#REF!,2,FALSE),"")</f>
        <v/>
      </c>
    </row>
    <row r="3388" spans="3:4" s="230" customFormat="1">
      <c r="C3388" s="16" t="str">
        <f>IFERROR(VLOOKUP(DATA!#REF!,DATA!#REF!,1,FALSE),"")</f>
        <v/>
      </c>
      <c r="D3388" s="16" t="str">
        <f>IFERROR(VLOOKUP(C3388,DATA!#REF!,2,FALSE),"")</f>
        <v/>
      </c>
    </row>
    <row r="3389" spans="3:4" s="230" customFormat="1">
      <c r="C3389" s="16" t="str">
        <f>IFERROR(VLOOKUP(DATA!#REF!,DATA!#REF!,1,FALSE),"")</f>
        <v/>
      </c>
      <c r="D3389" s="16" t="str">
        <f>IFERROR(VLOOKUP(C3389,DATA!#REF!,2,FALSE),"")</f>
        <v/>
      </c>
    </row>
    <row r="3390" spans="3:4" s="230" customFormat="1">
      <c r="C3390" s="16" t="str">
        <f>IFERROR(VLOOKUP(DATA!#REF!,DATA!#REF!,1,FALSE),"")</f>
        <v/>
      </c>
      <c r="D3390" s="16" t="str">
        <f>IFERROR(VLOOKUP(C3390,DATA!#REF!,2,FALSE),"")</f>
        <v/>
      </c>
    </row>
    <row r="3391" spans="3:4" s="230" customFormat="1">
      <c r="C3391" s="16" t="str">
        <f>IFERROR(VLOOKUP(DATA!#REF!,DATA!#REF!,1,FALSE),"")</f>
        <v/>
      </c>
      <c r="D3391" s="16" t="str">
        <f>IFERROR(VLOOKUP(C3391,DATA!#REF!,2,FALSE),"")</f>
        <v/>
      </c>
    </row>
    <row r="3392" spans="3:4" s="230" customFormat="1">
      <c r="C3392" s="16" t="str">
        <f>IFERROR(VLOOKUP(DATA!#REF!,DATA!#REF!,1,FALSE),"")</f>
        <v/>
      </c>
      <c r="D3392" s="16" t="str">
        <f>IFERROR(VLOOKUP(C3392,DATA!#REF!,2,FALSE),"")</f>
        <v/>
      </c>
    </row>
    <row r="3393" spans="3:4" s="230" customFormat="1">
      <c r="C3393" s="16" t="str">
        <f>IFERROR(VLOOKUP(DATA!#REF!,DATA!#REF!,1,FALSE),"")</f>
        <v/>
      </c>
      <c r="D3393" s="16" t="str">
        <f>IFERROR(VLOOKUP(C3393,DATA!#REF!,2,FALSE),"")</f>
        <v/>
      </c>
    </row>
    <row r="3394" spans="3:4" s="230" customFormat="1">
      <c r="C3394" s="16" t="str">
        <f>IFERROR(VLOOKUP(DATA!#REF!,DATA!#REF!,1,FALSE),"")</f>
        <v/>
      </c>
      <c r="D3394" s="16" t="str">
        <f>IFERROR(VLOOKUP(C3394,DATA!#REF!,2,FALSE),"")</f>
        <v/>
      </c>
    </row>
    <row r="3395" spans="3:4" s="230" customFormat="1">
      <c r="C3395" s="16" t="str">
        <f>IFERROR(VLOOKUP(DATA!#REF!,DATA!#REF!,1,FALSE),"")</f>
        <v/>
      </c>
      <c r="D3395" s="16" t="str">
        <f>IFERROR(VLOOKUP(C3395,DATA!#REF!,2,FALSE),"")</f>
        <v/>
      </c>
    </row>
    <row r="3396" spans="3:4" s="230" customFormat="1">
      <c r="C3396" s="16" t="str">
        <f>IFERROR(VLOOKUP(DATA!#REF!,DATA!#REF!,1,FALSE),"")</f>
        <v/>
      </c>
      <c r="D3396" s="16" t="str">
        <f>IFERROR(VLOOKUP(C3396,DATA!#REF!,2,FALSE),"")</f>
        <v/>
      </c>
    </row>
    <row r="3397" spans="3:4" s="230" customFormat="1">
      <c r="C3397" s="16" t="str">
        <f>IFERROR(VLOOKUP(DATA!#REF!,DATA!#REF!,1,FALSE),"")</f>
        <v/>
      </c>
      <c r="D3397" s="16" t="str">
        <f>IFERROR(VLOOKUP(C3397,DATA!#REF!,2,FALSE),"")</f>
        <v/>
      </c>
    </row>
    <row r="3398" spans="3:4" s="230" customFormat="1">
      <c r="C3398" s="16" t="str">
        <f>IFERROR(VLOOKUP(DATA!#REF!,DATA!#REF!,1,FALSE),"")</f>
        <v/>
      </c>
      <c r="D3398" s="16" t="str">
        <f>IFERROR(VLOOKUP(C3398,DATA!#REF!,2,FALSE),"")</f>
        <v/>
      </c>
    </row>
    <row r="3399" spans="3:4" s="230" customFormat="1">
      <c r="C3399" s="16" t="str">
        <f>IFERROR(VLOOKUP(DATA!#REF!,DATA!#REF!,1,FALSE),"")</f>
        <v/>
      </c>
      <c r="D3399" s="16" t="str">
        <f>IFERROR(VLOOKUP(C3399,DATA!#REF!,2,FALSE),"")</f>
        <v/>
      </c>
    </row>
    <row r="3400" spans="3:4" s="230" customFormat="1">
      <c r="C3400" s="16" t="str">
        <f>IFERROR(VLOOKUP(DATA!#REF!,DATA!#REF!,1,FALSE),"")</f>
        <v/>
      </c>
      <c r="D3400" s="16" t="str">
        <f>IFERROR(VLOOKUP(C3400,DATA!#REF!,2,FALSE),"")</f>
        <v/>
      </c>
    </row>
    <row r="3401" spans="3:4" s="230" customFormat="1">
      <c r="C3401" s="16" t="str">
        <f>IFERROR(VLOOKUP(DATA!#REF!,DATA!#REF!,1,FALSE),"")</f>
        <v/>
      </c>
      <c r="D3401" s="16" t="str">
        <f>IFERROR(VLOOKUP(C3401,DATA!#REF!,2,FALSE),"")</f>
        <v/>
      </c>
    </row>
    <row r="3402" spans="3:4" s="230" customFormat="1">
      <c r="C3402" s="16" t="str">
        <f>IFERROR(VLOOKUP(DATA!#REF!,DATA!#REF!,1,FALSE),"")</f>
        <v/>
      </c>
      <c r="D3402" s="16" t="str">
        <f>IFERROR(VLOOKUP(C3402,DATA!#REF!,2,FALSE),"")</f>
        <v/>
      </c>
    </row>
    <row r="3403" spans="3:4" s="230" customFormat="1">
      <c r="C3403" s="16" t="str">
        <f>IFERROR(VLOOKUP(DATA!#REF!,DATA!#REF!,1,FALSE),"")</f>
        <v/>
      </c>
      <c r="D3403" s="16" t="str">
        <f>IFERROR(VLOOKUP(C3403,DATA!#REF!,2,FALSE),"")</f>
        <v/>
      </c>
    </row>
    <row r="3404" spans="3:4" s="230" customFormat="1">
      <c r="C3404" s="16" t="str">
        <f>IFERROR(VLOOKUP(DATA!#REF!,DATA!#REF!,1,FALSE),"")</f>
        <v/>
      </c>
      <c r="D3404" s="16" t="str">
        <f>IFERROR(VLOOKUP(C3404,DATA!#REF!,2,FALSE),"")</f>
        <v/>
      </c>
    </row>
    <row r="3405" spans="3:4" s="230" customFormat="1">
      <c r="C3405" s="16" t="str">
        <f>IFERROR(VLOOKUP(DATA!#REF!,DATA!#REF!,1,FALSE),"")</f>
        <v/>
      </c>
      <c r="D3405" s="16" t="str">
        <f>IFERROR(VLOOKUP(C3405,DATA!#REF!,2,FALSE),"")</f>
        <v/>
      </c>
    </row>
    <row r="3406" spans="3:4" s="230" customFormat="1">
      <c r="C3406" s="16" t="str">
        <f>IFERROR(VLOOKUP(DATA!#REF!,DATA!#REF!,1,FALSE),"")</f>
        <v/>
      </c>
      <c r="D3406" s="16" t="str">
        <f>IFERROR(VLOOKUP(C3406,DATA!#REF!,2,FALSE),"")</f>
        <v/>
      </c>
    </row>
    <row r="3407" spans="3:4" s="230" customFormat="1">
      <c r="C3407" s="16" t="str">
        <f>IFERROR(VLOOKUP(DATA!#REF!,DATA!#REF!,1,FALSE),"")</f>
        <v/>
      </c>
      <c r="D3407" s="16" t="str">
        <f>IFERROR(VLOOKUP(C3407,DATA!#REF!,2,FALSE),"")</f>
        <v/>
      </c>
    </row>
    <row r="3408" spans="3:4" s="230" customFormat="1">
      <c r="C3408" s="16" t="str">
        <f>IFERROR(VLOOKUP(DATA!#REF!,DATA!#REF!,1,FALSE),"")</f>
        <v/>
      </c>
      <c r="D3408" s="16" t="str">
        <f>IFERROR(VLOOKUP(C3408,DATA!#REF!,2,FALSE),"")</f>
        <v/>
      </c>
    </row>
    <row r="3409" spans="3:4" s="230" customFormat="1">
      <c r="C3409" s="16" t="str">
        <f>IFERROR(VLOOKUP(DATA!#REF!,DATA!#REF!,1,FALSE),"")</f>
        <v/>
      </c>
      <c r="D3409" s="16" t="str">
        <f>IFERROR(VLOOKUP(C3409,DATA!#REF!,2,FALSE),"")</f>
        <v/>
      </c>
    </row>
    <row r="3410" spans="3:4" s="230" customFormat="1">
      <c r="C3410" s="16" t="str">
        <f>IFERROR(VLOOKUP(DATA!#REF!,DATA!#REF!,1,FALSE),"")</f>
        <v/>
      </c>
      <c r="D3410" s="16" t="str">
        <f>IFERROR(VLOOKUP(C3410,DATA!#REF!,2,FALSE),"")</f>
        <v/>
      </c>
    </row>
    <row r="3411" spans="3:4" s="230" customFormat="1">
      <c r="C3411" s="16" t="str">
        <f>IFERROR(VLOOKUP(DATA!#REF!,DATA!#REF!,1,FALSE),"")</f>
        <v/>
      </c>
      <c r="D3411" s="16" t="str">
        <f>IFERROR(VLOOKUP(C3411,DATA!#REF!,2,FALSE),"")</f>
        <v/>
      </c>
    </row>
    <row r="3412" spans="3:4" s="230" customFormat="1">
      <c r="C3412" s="16" t="str">
        <f>IFERROR(VLOOKUP(DATA!#REF!,DATA!#REF!,1,FALSE),"")</f>
        <v/>
      </c>
      <c r="D3412" s="16" t="str">
        <f>IFERROR(VLOOKUP(C3412,DATA!#REF!,2,FALSE),"")</f>
        <v/>
      </c>
    </row>
    <row r="3413" spans="3:4" s="230" customFormat="1">
      <c r="C3413" s="16" t="str">
        <f>IFERROR(VLOOKUP(DATA!#REF!,DATA!#REF!,1,FALSE),"")</f>
        <v/>
      </c>
      <c r="D3413" s="16" t="str">
        <f>IFERROR(VLOOKUP(C3413,DATA!#REF!,2,FALSE),"")</f>
        <v/>
      </c>
    </row>
    <row r="3414" spans="3:4" s="230" customFormat="1">
      <c r="C3414" s="16" t="str">
        <f>IFERROR(VLOOKUP(DATA!#REF!,DATA!#REF!,1,FALSE),"")</f>
        <v/>
      </c>
      <c r="D3414" s="16" t="str">
        <f>IFERROR(VLOOKUP(C3414,DATA!#REF!,2,FALSE),"")</f>
        <v/>
      </c>
    </row>
    <row r="3415" spans="3:4" s="230" customFormat="1">
      <c r="C3415" s="16" t="str">
        <f>IFERROR(VLOOKUP(DATA!#REF!,DATA!#REF!,1,FALSE),"")</f>
        <v/>
      </c>
      <c r="D3415" s="16" t="str">
        <f>IFERROR(VLOOKUP(C3415,DATA!#REF!,2,FALSE),"")</f>
        <v/>
      </c>
    </row>
    <row r="3416" spans="3:4" s="230" customFormat="1">
      <c r="C3416" s="16" t="str">
        <f>IFERROR(VLOOKUP(DATA!#REF!,DATA!#REF!,1,FALSE),"")</f>
        <v/>
      </c>
      <c r="D3416" s="16" t="str">
        <f>IFERROR(VLOOKUP(C3416,DATA!#REF!,2,FALSE),"")</f>
        <v/>
      </c>
    </row>
    <row r="3417" spans="3:4" s="230" customFormat="1">
      <c r="C3417" s="16" t="str">
        <f>IFERROR(VLOOKUP(DATA!#REF!,DATA!#REF!,1,FALSE),"")</f>
        <v/>
      </c>
      <c r="D3417" s="16" t="str">
        <f>IFERROR(VLOOKUP(C3417,DATA!#REF!,2,FALSE),"")</f>
        <v/>
      </c>
    </row>
    <row r="3418" spans="3:4" s="230" customFormat="1">
      <c r="C3418" s="16" t="str">
        <f>IFERROR(VLOOKUP(DATA!#REF!,DATA!#REF!,1,FALSE),"")</f>
        <v/>
      </c>
      <c r="D3418" s="16" t="str">
        <f>IFERROR(VLOOKUP(C3418,DATA!#REF!,2,FALSE),"")</f>
        <v/>
      </c>
    </row>
    <row r="3419" spans="3:4" s="230" customFormat="1">
      <c r="C3419" s="16" t="str">
        <f>IFERROR(VLOOKUP(DATA!#REF!,DATA!#REF!,1,FALSE),"")</f>
        <v/>
      </c>
      <c r="D3419" s="16" t="str">
        <f>IFERROR(VLOOKUP(C3419,DATA!#REF!,2,FALSE),"")</f>
        <v/>
      </c>
    </row>
    <row r="3420" spans="3:4" s="230" customFormat="1">
      <c r="C3420" s="16" t="str">
        <f>IFERROR(VLOOKUP(DATA!#REF!,DATA!#REF!,1,FALSE),"")</f>
        <v/>
      </c>
      <c r="D3420" s="16" t="str">
        <f>IFERROR(VLOOKUP(C3420,DATA!#REF!,2,FALSE),"")</f>
        <v/>
      </c>
    </row>
    <row r="3421" spans="3:4" s="230" customFormat="1">
      <c r="C3421" s="16" t="str">
        <f>IFERROR(VLOOKUP(DATA!#REF!,DATA!#REF!,1,FALSE),"")</f>
        <v/>
      </c>
      <c r="D3421" s="16" t="str">
        <f>IFERROR(VLOOKUP(C3421,DATA!#REF!,2,FALSE),"")</f>
        <v/>
      </c>
    </row>
    <row r="3422" spans="3:4" s="230" customFormat="1">
      <c r="C3422" s="16" t="str">
        <f>IFERROR(VLOOKUP(DATA!#REF!,DATA!#REF!,1,FALSE),"")</f>
        <v/>
      </c>
      <c r="D3422" s="16" t="str">
        <f>IFERROR(VLOOKUP(C3422,DATA!#REF!,2,FALSE),"")</f>
        <v/>
      </c>
    </row>
    <row r="3423" spans="3:4" s="230" customFormat="1">
      <c r="C3423" s="16" t="str">
        <f>IFERROR(VLOOKUP(DATA!#REF!,DATA!#REF!,1,FALSE),"")</f>
        <v/>
      </c>
      <c r="D3423" s="16" t="str">
        <f>IFERROR(VLOOKUP(C3423,DATA!#REF!,2,FALSE),"")</f>
        <v/>
      </c>
    </row>
    <row r="3424" spans="3:4" s="230" customFormat="1">
      <c r="C3424" s="16" t="str">
        <f>IFERROR(VLOOKUP(DATA!#REF!,DATA!#REF!,1,FALSE),"")</f>
        <v/>
      </c>
      <c r="D3424" s="16" t="str">
        <f>IFERROR(VLOOKUP(C3424,DATA!#REF!,2,FALSE),"")</f>
        <v/>
      </c>
    </row>
    <row r="3425" spans="3:4" s="230" customFormat="1">
      <c r="C3425" s="16" t="str">
        <f>IFERROR(VLOOKUP(DATA!#REF!,DATA!#REF!,1,FALSE),"")</f>
        <v/>
      </c>
      <c r="D3425" s="16" t="str">
        <f>IFERROR(VLOOKUP(C3425,DATA!#REF!,2,FALSE),"")</f>
        <v/>
      </c>
    </row>
    <row r="3426" spans="3:4" s="230" customFormat="1">
      <c r="C3426" s="16" t="str">
        <f>IFERROR(VLOOKUP(DATA!#REF!,DATA!#REF!,1,FALSE),"")</f>
        <v/>
      </c>
      <c r="D3426" s="16" t="str">
        <f>IFERROR(VLOOKUP(C3426,DATA!#REF!,2,FALSE),"")</f>
        <v/>
      </c>
    </row>
    <row r="3427" spans="3:4" s="230" customFormat="1">
      <c r="C3427" s="16" t="str">
        <f>IFERROR(VLOOKUP(DATA!#REF!,DATA!#REF!,1,FALSE),"")</f>
        <v/>
      </c>
      <c r="D3427" s="16" t="str">
        <f>IFERROR(VLOOKUP(C3427,DATA!#REF!,2,FALSE),"")</f>
        <v/>
      </c>
    </row>
    <row r="3428" spans="3:4" s="230" customFormat="1">
      <c r="C3428" s="16" t="str">
        <f>IFERROR(VLOOKUP(DATA!#REF!,DATA!#REF!,1,FALSE),"")</f>
        <v/>
      </c>
      <c r="D3428" s="16" t="str">
        <f>IFERROR(VLOOKUP(C3428,DATA!#REF!,2,FALSE),"")</f>
        <v/>
      </c>
    </row>
    <row r="3429" spans="3:4" s="230" customFormat="1">
      <c r="C3429" s="16" t="str">
        <f>IFERROR(VLOOKUP(DATA!#REF!,DATA!#REF!,1,FALSE),"")</f>
        <v/>
      </c>
      <c r="D3429" s="16" t="str">
        <f>IFERROR(VLOOKUP(C3429,DATA!#REF!,2,FALSE),"")</f>
        <v/>
      </c>
    </row>
    <row r="3430" spans="3:4" s="230" customFormat="1">
      <c r="C3430" s="16" t="str">
        <f>IFERROR(VLOOKUP(DATA!#REF!,DATA!#REF!,1,FALSE),"")</f>
        <v/>
      </c>
      <c r="D3430" s="16" t="str">
        <f>IFERROR(VLOOKUP(C3430,DATA!#REF!,2,FALSE),"")</f>
        <v/>
      </c>
    </row>
    <row r="3431" spans="3:4" s="230" customFormat="1">
      <c r="C3431" s="16" t="str">
        <f>IFERROR(VLOOKUP(DATA!#REF!,DATA!#REF!,1,FALSE),"")</f>
        <v/>
      </c>
      <c r="D3431" s="16" t="str">
        <f>IFERROR(VLOOKUP(C3431,DATA!#REF!,2,FALSE),"")</f>
        <v/>
      </c>
    </row>
    <row r="3432" spans="3:4" s="230" customFormat="1">
      <c r="C3432" s="16" t="str">
        <f>IFERROR(VLOOKUP(DATA!#REF!,DATA!#REF!,1,FALSE),"")</f>
        <v/>
      </c>
      <c r="D3432" s="16" t="str">
        <f>IFERROR(VLOOKUP(C3432,DATA!#REF!,2,FALSE),"")</f>
        <v/>
      </c>
    </row>
    <row r="3433" spans="3:4" s="230" customFormat="1">
      <c r="C3433" s="16" t="str">
        <f>IFERROR(VLOOKUP(DATA!#REF!,DATA!#REF!,1,FALSE),"")</f>
        <v/>
      </c>
      <c r="D3433" s="16" t="str">
        <f>IFERROR(VLOOKUP(C3433,DATA!#REF!,2,FALSE),"")</f>
        <v/>
      </c>
    </row>
    <row r="3434" spans="3:4" s="230" customFormat="1">
      <c r="C3434" s="16" t="str">
        <f>IFERROR(VLOOKUP(DATA!#REF!,DATA!#REF!,1,FALSE),"")</f>
        <v/>
      </c>
      <c r="D3434" s="16" t="str">
        <f>IFERROR(VLOOKUP(C3434,DATA!#REF!,2,FALSE),"")</f>
        <v/>
      </c>
    </row>
    <row r="3435" spans="3:4" s="230" customFormat="1">
      <c r="C3435" s="16" t="str">
        <f>IFERROR(VLOOKUP(DATA!#REF!,DATA!#REF!,1,FALSE),"")</f>
        <v/>
      </c>
      <c r="D3435" s="16" t="str">
        <f>IFERROR(VLOOKUP(C3435,DATA!#REF!,2,FALSE),"")</f>
        <v/>
      </c>
    </row>
    <row r="3436" spans="3:4" s="230" customFormat="1">
      <c r="C3436" s="16" t="str">
        <f>IFERROR(VLOOKUP(DATA!#REF!,DATA!#REF!,1,FALSE),"")</f>
        <v/>
      </c>
      <c r="D3436" s="16" t="str">
        <f>IFERROR(VLOOKUP(C3436,DATA!#REF!,2,FALSE),"")</f>
        <v/>
      </c>
    </row>
    <row r="3437" spans="3:4" s="230" customFormat="1">
      <c r="C3437" s="16" t="str">
        <f>IFERROR(VLOOKUP(DATA!#REF!,DATA!#REF!,1,FALSE),"")</f>
        <v/>
      </c>
      <c r="D3437" s="16" t="str">
        <f>IFERROR(VLOOKUP(C3437,DATA!#REF!,2,FALSE),"")</f>
        <v/>
      </c>
    </row>
    <row r="3438" spans="3:4" s="230" customFormat="1">
      <c r="C3438" s="16" t="str">
        <f>IFERROR(VLOOKUP(DATA!#REF!,DATA!#REF!,1,FALSE),"")</f>
        <v/>
      </c>
      <c r="D3438" s="16" t="str">
        <f>IFERROR(VLOOKUP(C3438,DATA!#REF!,2,FALSE),"")</f>
        <v/>
      </c>
    </row>
    <row r="3439" spans="3:4" s="230" customFormat="1">
      <c r="C3439" s="16" t="str">
        <f>IFERROR(VLOOKUP(DATA!#REF!,DATA!#REF!,1,FALSE),"")</f>
        <v/>
      </c>
      <c r="D3439" s="16" t="str">
        <f>IFERROR(VLOOKUP(C3439,DATA!#REF!,2,FALSE),"")</f>
        <v/>
      </c>
    </row>
    <row r="3440" spans="3:4" s="230" customFormat="1">
      <c r="C3440" s="16" t="str">
        <f>IFERROR(VLOOKUP(DATA!#REF!,DATA!#REF!,1,FALSE),"")</f>
        <v/>
      </c>
      <c r="D3440" s="16" t="str">
        <f>IFERROR(VLOOKUP(C3440,DATA!#REF!,2,FALSE),"")</f>
        <v/>
      </c>
    </row>
    <row r="3441" spans="3:4" s="230" customFormat="1">
      <c r="C3441" s="16" t="str">
        <f>IFERROR(VLOOKUP(DATA!#REF!,DATA!#REF!,1,FALSE),"")</f>
        <v/>
      </c>
      <c r="D3441" s="16" t="str">
        <f>IFERROR(VLOOKUP(C3441,DATA!#REF!,2,FALSE),"")</f>
        <v/>
      </c>
    </row>
    <row r="3442" spans="3:4" s="230" customFormat="1">
      <c r="C3442" s="16" t="str">
        <f>IFERROR(VLOOKUP(DATA!#REF!,DATA!#REF!,1,FALSE),"")</f>
        <v/>
      </c>
      <c r="D3442" s="16" t="str">
        <f>IFERROR(VLOOKUP(C3442,DATA!#REF!,2,FALSE),"")</f>
        <v/>
      </c>
    </row>
    <row r="3443" spans="3:4" s="230" customFormat="1">
      <c r="C3443" s="16" t="str">
        <f>IFERROR(VLOOKUP(DATA!#REF!,DATA!#REF!,1,FALSE),"")</f>
        <v/>
      </c>
      <c r="D3443" s="16" t="str">
        <f>IFERROR(VLOOKUP(C3443,DATA!#REF!,2,FALSE),"")</f>
        <v/>
      </c>
    </row>
    <row r="3444" spans="3:4" s="230" customFormat="1">
      <c r="C3444" s="16" t="str">
        <f>IFERROR(VLOOKUP(DATA!#REF!,DATA!#REF!,1,FALSE),"")</f>
        <v/>
      </c>
      <c r="D3444" s="16" t="str">
        <f>IFERROR(VLOOKUP(C3444,DATA!#REF!,2,FALSE),"")</f>
        <v/>
      </c>
    </row>
    <row r="3445" spans="3:4" s="230" customFormat="1">
      <c r="C3445" s="16" t="str">
        <f>IFERROR(VLOOKUP(DATA!#REF!,DATA!#REF!,1,FALSE),"")</f>
        <v/>
      </c>
      <c r="D3445" s="16" t="str">
        <f>IFERROR(VLOOKUP(C3445,DATA!#REF!,2,FALSE),"")</f>
        <v/>
      </c>
    </row>
    <row r="3446" spans="3:4" s="230" customFormat="1">
      <c r="C3446" s="16" t="str">
        <f>IFERROR(VLOOKUP(DATA!#REF!,DATA!#REF!,1,FALSE),"")</f>
        <v/>
      </c>
      <c r="D3446" s="16" t="str">
        <f>IFERROR(VLOOKUP(C3446,DATA!#REF!,2,FALSE),"")</f>
        <v/>
      </c>
    </row>
    <row r="3447" spans="3:4" s="230" customFormat="1">
      <c r="C3447" s="16" t="str">
        <f>IFERROR(VLOOKUP(DATA!#REF!,DATA!#REF!,1,FALSE),"")</f>
        <v/>
      </c>
      <c r="D3447" s="16" t="str">
        <f>IFERROR(VLOOKUP(C3447,DATA!#REF!,2,FALSE),"")</f>
        <v/>
      </c>
    </row>
    <row r="3448" spans="3:4" s="230" customFormat="1">
      <c r="C3448" s="16" t="str">
        <f>IFERROR(VLOOKUP(DATA!#REF!,DATA!#REF!,1,FALSE),"")</f>
        <v/>
      </c>
      <c r="D3448" s="16" t="str">
        <f>IFERROR(VLOOKUP(C3448,DATA!#REF!,2,FALSE),"")</f>
        <v/>
      </c>
    </row>
    <row r="3449" spans="3:4" s="230" customFormat="1">
      <c r="C3449" s="16" t="str">
        <f>IFERROR(VLOOKUP(DATA!#REF!,DATA!#REF!,1,FALSE),"")</f>
        <v/>
      </c>
      <c r="D3449" s="16" t="str">
        <f>IFERROR(VLOOKUP(C3449,DATA!#REF!,2,FALSE),"")</f>
        <v/>
      </c>
    </row>
    <row r="3450" spans="3:4" s="230" customFormat="1">
      <c r="C3450" s="16" t="str">
        <f>IFERROR(VLOOKUP(DATA!#REF!,DATA!#REF!,1,FALSE),"")</f>
        <v/>
      </c>
      <c r="D3450" s="16" t="str">
        <f>IFERROR(VLOOKUP(C3450,DATA!#REF!,2,FALSE),"")</f>
        <v/>
      </c>
    </row>
    <row r="3451" spans="3:4" s="230" customFormat="1">
      <c r="C3451" s="16" t="str">
        <f>IFERROR(VLOOKUP(DATA!#REF!,DATA!#REF!,1,FALSE),"")</f>
        <v/>
      </c>
      <c r="D3451" s="16" t="str">
        <f>IFERROR(VLOOKUP(C3451,DATA!#REF!,2,FALSE),"")</f>
        <v/>
      </c>
    </row>
    <row r="3452" spans="3:4" s="230" customFormat="1">
      <c r="C3452" s="16" t="str">
        <f>IFERROR(VLOOKUP(DATA!#REF!,DATA!#REF!,1,FALSE),"")</f>
        <v/>
      </c>
      <c r="D3452" s="16" t="str">
        <f>IFERROR(VLOOKUP(C3452,DATA!#REF!,2,FALSE),"")</f>
        <v/>
      </c>
    </row>
    <row r="3453" spans="3:4" s="230" customFormat="1">
      <c r="C3453" s="16" t="str">
        <f>IFERROR(VLOOKUP(DATA!#REF!,DATA!#REF!,1,FALSE),"")</f>
        <v/>
      </c>
      <c r="D3453" s="16" t="str">
        <f>IFERROR(VLOOKUP(C3453,DATA!#REF!,2,FALSE),"")</f>
        <v/>
      </c>
    </row>
    <row r="3454" spans="3:4" s="230" customFormat="1">
      <c r="C3454" s="16" t="str">
        <f>IFERROR(VLOOKUP(DATA!#REF!,DATA!#REF!,1,FALSE),"")</f>
        <v/>
      </c>
      <c r="D3454" s="16" t="str">
        <f>IFERROR(VLOOKUP(C3454,DATA!#REF!,2,FALSE),"")</f>
        <v/>
      </c>
    </row>
    <row r="3455" spans="3:4" s="230" customFormat="1">
      <c r="C3455" s="16" t="str">
        <f>IFERROR(VLOOKUP(DATA!#REF!,DATA!#REF!,1,FALSE),"")</f>
        <v/>
      </c>
      <c r="D3455" s="16" t="str">
        <f>IFERROR(VLOOKUP(C3455,DATA!#REF!,2,FALSE),"")</f>
        <v/>
      </c>
    </row>
    <row r="3456" spans="3:4" s="230" customFormat="1">
      <c r="C3456" s="16" t="str">
        <f>IFERROR(VLOOKUP(DATA!#REF!,DATA!#REF!,1,FALSE),"")</f>
        <v/>
      </c>
      <c r="D3456" s="16" t="str">
        <f>IFERROR(VLOOKUP(C3456,DATA!#REF!,2,FALSE),"")</f>
        <v/>
      </c>
    </row>
    <row r="3457" spans="3:4" s="230" customFormat="1">
      <c r="C3457" s="16" t="str">
        <f>IFERROR(VLOOKUP(DATA!#REF!,DATA!#REF!,1,FALSE),"")</f>
        <v/>
      </c>
      <c r="D3457" s="16" t="str">
        <f>IFERROR(VLOOKUP(C3457,DATA!#REF!,2,FALSE),"")</f>
        <v/>
      </c>
    </row>
    <row r="3458" spans="3:4" s="230" customFormat="1">
      <c r="C3458" s="16" t="str">
        <f>IFERROR(VLOOKUP(DATA!#REF!,DATA!#REF!,1,FALSE),"")</f>
        <v/>
      </c>
      <c r="D3458" s="16" t="str">
        <f>IFERROR(VLOOKUP(C3458,DATA!#REF!,2,FALSE),"")</f>
        <v/>
      </c>
    </row>
    <row r="3459" spans="3:4" s="230" customFormat="1">
      <c r="C3459" s="16" t="str">
        <f>IFERROR(VLOOKUP(DATA!#REF!,DATA!#REF!,1,FALSE),"")</f>
        <v/>
      </c>
      <c r="D3459" s="16" t="str">
        <f>IFERROR(VLOOKUP(C3459,DATA!#REF!,2,FALSE),"")</f>
        <v/>
      </c>
    </row>
    <row r="3460" spans="3:4" s="230" customFormat="1">
      <c r="C3460" s="16" t="str">
        <f>IFERROR(VLOOKUP(DATA!#REF!,DATA!#REF!,1,FALSE),"")</f>
        <v/>
      </c>
      <c r="D3460" s="16" t="str">
        <f>IFERROR(VLOOKUP(C3460,DATA!#REF!,2,FALSE),"")</f>
        <v/>
      </c>
    </row>
    <row r="3461" spans="3:4" s="230" customFormat="1">
      <c r="C3461" s="16" t="str">
        <f>IFERROR(VLOOKUP(DATA!#REF!,DATA!#REF!,1,FALSE),"")</f>
        <v/>
      </c>
      <c r="D3461" s="16" t="str">
        <f>IFERROR(VLOOKUP(C3461,DATA!#REF!,2,FALSE),"")</f>
        <v/>
      </c>
    </row>
    <row r="3462" spans="3:4" s="230" customFormat="1">
      <c r="C3462" s="16" t="str">
        <f>IFERROR(VLOOKUP(DATA!#REF!,DATA!#REF!,1,FALSE),"")</f>
        <v/>
      </c>
      <c r="D3462" s="16" t="str">
        <f>IFERROR(VLOOKUP(C3462,DATA!#REF!,2,FALSE),"")</f>
        <v/>
      </c>
    </row>
    <row r="3463" spans="3:4" s="230" customFormat="1">
      <c r="C3463" s="16" t="str">
        <f>IFERROR(VLOOKUP(DATA!#REF!,DATA!#REF!,1,FALSE),"")</f>
        <v/>
      </c>
      <c r="D3463" s="16" t="str">
        <f>IFERROR(VLOOKUP(C3463,DATA!#REF!,2,FALSE),"")</f>
        <v/>
      </c>
    </row>
    <row r="3464" spans="3:4" s="230" customFormat="1">
      <c r="C3464" s="16" t="str">
        <f>IFERROR(VLOOKUP(DATA!#REF!,DATA!#REF!,1,FALSE),"")</f>
        <v/>
      </c>
      <c r="D3464" s="16" t="str">
        <f>IFERROR(VLOOKUP(C3464,DATA!#REF!,2,FALSE),"")</f>
        <v/>
      </c>
    </row>
    <row r="3465" spans="3:4" s="230" customFormat="1">
      <c r="C3465" s="16" t="str">
        <f>IFERROR(VLOOKUP(DATA!#REF!,DATA!#REF!,1,FALSE),"")</f>
        <v/>
      </c>
      <c r="D3465" s="16" t="str">
        <f>IFERROR(VLOOKUP(C3465,DATA!#REF!,2,FALSE),"")</f>
        <v/>
      </c>
    </row>
    <row r="3466" spans="3:4" s="230" customFormat="1">
      <c r="C3466" s="16" t="str">
        <f>IFERROR(VLOOKUP(DATA!#REF!,DATA!#REF!,1,FALSE),"")</f>
        <v/>
      </c>
      <c r="D3466" s="16" t="str">
        <f>IFERROR(VLOOKUP(C3466,DATA!#REF!,2,FALSE),"")</f>
        <v/>
      </c>
    </row>
    <row r="3467" spans="3:4" s="230" customFormat="1">
      <c r="C3467" s="16" t="str">
        <f>IFERROR(VLOOKUP(DATA!#REF!,DATA!#REF!,1,FALSE),"")</f>
        <v/>
      </c>
      <c r="D3467" s="16" t="str">
        <f>IFERROR(VLOOKUP(C3467,DATA!#REF!,2,FALSE),"")</f>
        <v/>
      </c>
    </row>
    <row r="3468" spans="3:4" s="230" customFormat="1">
      <c r="C3468" s="16" t="str">
        <f>IFERROR(VLOOKUP(DATA!#REF!,DATA!#REF!,1,FALSE),"")</f>
        <v/>
      </c>
      <c r="D3468" s="16" t="str">
        <f>IFERROR(VLOOKUP(C3468,DATA!#REF!,2,FALSE),"")</f>
        <v/>
      </c>
    </row>
    <row r="3469" spans="3:4" s="230" customFormat="1">
      <c r="C3469" s="16" t="str">
        <f>IFERROR(VLOOKUP(DATA!#REF!,DATA!#REF!,1,FALSE),"")</f>
        <v/>
      </c>
      <c r="D3469" s="16" t="str">
        <f>IFERROR(VLOOKUP(C3469,DATA!#REF!,2,FALSE),"")</f>
        <v/>
      </c>
    </row>
    <row r="3470" spans="3:4" s="230" customFormat="1">
      <c r="C3470" s="16" t="str">
        <f>IFERROR(VLOOKUP(DATA!#REF!,DATA!#REF!,1,FALSE),"")</f>
        <v/>
      </c>
      <c r="D3470" s="16" t="str">
        <f>IFERROR(VLOOKUP(C3470,DATA!#REF!,2,FALSE),"")</f>
        <v/>
      </c>
    </row>
    <row r="3471" spans="3:4" s="230" customFormat="1">
      <c r="C3471" s="16" t="str">
        <f>IFERROR(VLOOKUP(DATA!#REF!,DATA!#REF!,1,FALSE),"")</f>
        <v/>
      </c>
      <c r="D3471" s="16" t="str">
        <f>IFERROR(VLOOKUP(C3471,DATA!#REF!,2,FALSE),"")</f>
        <v/>
      </c>
    </row>
    <row r="3472" spans="3:4" s="230" customFormat="1">
      <c r="C3472" s="16" t="str">
        <f>IFERROR(VLOOKUP(DATA!#REF!,DATA!#REF!,1,FALSE),"")</f>
        <v/>
      </c>
      <c r="D3472" s="16" t="str">
        <f>IFERROR(VLOOKUP(C3472,DATA!#REF!,2,FALSE),"")</f>
        <v/>
      </c>
    </row>
    <row r="3473" spans="3:4" s="230" customFormat="1">
      <c r="C3473" s="16" t="str">
        <f>IFERROR(VLOOKUP(DATA!#REF!,DATA!#REF!,1,FALSE),"")</f>
        <v/>
      </c>
      <c r="D3473" s="16" t="str">
        <f>IFERROR(VLOOKUP(C3473,DATA!#REF!,2,FALSE),"")</f>
        <v/>
      </c>
    </row>
    <row r="3474" spans="3:4" s="230" customFormat="1">
      <c r="C3474" s="16" t="str">
        <f>IFERROR(VLOOKUP(DATA!#REF!,DATA!#REF!,1,FALSE),"")</f>
        <v/>
      </c>
      <c r="D3474" s="16" t="str">
        <f>IFERROR(VLOOKUP(C3474,DATA!#REF!,2,FALSE),"")</f>
        <v/>
      </c>
    </row>
    <row r="3475" spans="3:4" s="230" customFormat="1">
      <c r="C3475" s="16" t="str">
        <f>IFERROR(VLOOKUP(DATA!#REF!,DATA!#REF!,1,FALSE),"")</f>
        <v/>
      </c>
      <c r="D3475" s="16" t="str">
        <f>IFERROR(VLOOKUP(C3475,DATA!#REF!,2,FALSE),"")</f>
        <v/>
      </c>
    </row>
    <row r="3476" spans="3:4" s="230" customFormat="1">
      <c r="C3476" s="16" t="str">
        <f>IFERROR(VLOOKUP(DATA!#REF!,DATA!#REF!,1,FALSE),"")</f>
        <v/>
      </c>
      <c r="D3476" s="16" t="str">
        <f>IFERROR(VLOOKUP(C3476,DATA!#REF!,2,FALSE),"")</f>
        <v/>
      </c>
    </row>
    <row r="3477" spans="3:4" s="230" customFormat="1">
      <c r="C3477" s="16" t="str">
        <f>IFERROR(VLOOKUP(DATA!#REF!,DATA!#REF!,1,FALSE),"")</f>
        <v/>
      </c>
      <c r="D3477" s="16" t="str">
        <f>IFERROR(VLOOKUP(C3477,DATA!#REF!,2,FALSE),"")</f>
        <v/>
      </c>
    </row>
    <row r="3478" spans="3:4" s="230" customFormat="1">
      <c r="C3478" s="16" t="str">
        <f>IFERROR(VLOOKUP(DATA!#REF!,DATA!#REF!,1,FALSE),"")</f>
        <v/>
      </c>
      <c r="D3478" s="16" t="str">
        <f>IFERROR(VLOOKUP(C3478,DATA!#REF!,2,FALSE),"")</f>
        <v/>
      </c>
    </row>
    <row r="3479" spans="3:4" s="230" customFormat="1">
      <c r="C3479" s="16" t="str">
        <f>IFERROR(VLOOKUP(DATA!#REF!,DATA!#REF!,1,FALSE),"")</f>
        <v/>
      </c>
      <c r="D3479" s="16" t="str">
        <f>IFERROR(VLOOKUP(C3479,DATA!#REF!,2,FALSE),"")</f>
        <v/>
      </c>
    </row>
    <row r="3480" spans="3:4" s="230" customFormat="1">
      <c r="C3480" s="16" t="str">
        <f>IFERROR(VLOOKUP(DATA!#REF!,DATA!#REF!,1,FALSE),"")</f>
        <v/>
      </c>
      <c r="D3480" s="16" t="str">
        <f>IFERROR(VLOOKUP(C3480,DATA!#REF!,2,FALSE),"")</f>
        <v/>
      </c>
    </row>
    <row r="3481" spans="3:4" s="230" customFormat="1">
      <c r="C3481" s="16" t="str">
        <f>IFERROR(VLOOKUP(DATA!#REF!,DATA!#REF!,1,FALSE),"")</f>
        <v/>
      </c>
      <c r="D3481" s="16" t="str">
        <f>IFERROR(VLOOKUP(C3481,DATA!#REF!,2,FALSE),"")</f>
        <v/>
      </c>
    </row>
    <row r="3482" spans="3:4" s="230" customFormat="1">
      <c r="C3482" s="16" t="str">
        <f>IFERROR(VLOOKUP(DATA!#REF!,DATA!#REF!,1,FALSE),"")</f>
        <v/>
      </c>
      <c r="D3482" s="16" t="str">
        <f>IFERROR(VLOOKUP(C3482,DATA!#REF!,2,FALSE),"")</f>
        <v/>
      </c>
    </row>
    <row r="3483" spans="3:4" s="230" customFormat="1">
      <c r="C3483" s="16" t="str">
        <f>IFERROR(VLOOKUP(DATA!#REF!,DATA!#REF!,1,FALSE),"")</f>
        <v/>
      </c>
      <c r="D3483" s="16" t="str">
        <f>IFERROR(VLOOKUP(C3483,DATA!#REF!,2,FALSE),"")</f>
        <v/>
      </c>
    </row>
    <row r="3484" spans="3:4" s="230" customFormat="1">
      <c r="C3484" s="16" t="str">
        <f>IFERROR(VLOOKUP(DATA!#REF!,DATA!#REF!,1,FALSE),"")</f>
        <v/>
      </c>
      <c r="D3484" s="16" t="str">
        <f>IFERROR(VLOOKUP(C3484,DATA!#REF!,2,FALSE),"")</f>
        <v/>
      </c>
    </row>
    <row r="3485" spans="3:4" s="230" customFormat="1">
      <c r="C3485" s="16" t="str">
        <f>IFERROR(VLOOKUP(DATA!#REF!,DATA!#REF!,1,FALSE),"")</f>
        <v/>
      </c>
      <c r="D3485" s="16" t="str">
        <f>IFERROR(VLOOKUP(C3485,DATA!#REF!,2,FALSE),"")</f>
        <v/>
      </c>
    </row>
    <row r="3486" spans="3:4" s="230" customFormat="1">
      <c r="C3486" s="16" t="str">
        <f>IFERROR(VLOOKUP(DATA!#REF!,DATA!#REF!,1,FALSE),"")</f>
        <v/>
      </c>
      <c r="D3486" s="16" t="str">
        <f>IFERROR(VLOOKUP(C3486,DATA!#REF!,2,FALSE),"")</f>
        <v/>
      </c>
    </row>
    <row r="3487" spans="3:4" s="230" customFormat="1">
      <c r="C3487" s="16" t="str">
        <f>IFERROR(VLOOKUP(DATA!#REF!,DATA!#REF!,1,FALSE),"")</f>
        <v/>
      </c>
      <c r="D3487" s="16" t="str">
        <f>IFERROR(VLOOKUP(C3487,DATA!#REF!,2,FALSE),"")</f>
        <v/>
      </c>
    </row>
    <row r="3488" spans="3:4" s="230" customFormat="1">
      <c r="C3488" s="16" t="str">
        <f>IFERROR(VLOOKUP(DATA!#REF!,DATA!#REF!,1,FALSE),"")</f>
        <v/>
      </c>
      <c r="D3488" s="16" t="str">
        <f>IFERROR(VLOOKUP(C3488,DATA!#REF!,2,FALSE),"")</f>
        <v/>
      </c>
    </row>
    <row r="3489" spans="3:4" s="230" customFormat="1">
      <c r="C3489" s="16" t="str">
        <f>IFERROR(VLOOKUP(DATA!#REF!,DATA!#REF!,1,FALSE),"")</f>
        <v/>
      </c>
      <c r="D3489" s="16" t="str">
        <f>IFERROR(VLOOKUP(C3489,DATA!#REF!,2,FALSE),"")</f>
        <v/>
      </c>
    </row>
    <row r="3490" spans="3:4" s="230" customFormat="1">
      <c r="C3490" s="16" t="str">
        <f>IFERROR(VLOOKUP(DATA!#REF!,DATA!#REF!,1,FALSE),"")</f>
        <v/>
      </c>
      <c r="D3490" s="16" t="str">
        <f>IFERROR(VLOOKUP(C3490,DATA!#REF!,2,FALSE),"")</f>
        <v/>
      </c>
    </row>
    <row r="3491" spans="3:4" s="230" customFormat="1">
      <c r="C3491" s="16" t="str">
        <f>IFERROR(VLOOKUP(DATA!#REF!,DATA!#REF!,1,FALSE),"")</f>
        <v/>
      </c>
      <c r="D3491" s="16" t="str">
        <f>IFERROR(VLOOKUP(C3491,DATA!#REF!,2,FALSE),"")</f>
        <v/>
      </c>
    </row>
    <row r="3492" spans="3:4" s="230" customFormat="1">
      <c r="C3492" s="16" t="str">
        <f>IFERROR(VLOOKUP(DATA!#REF!,DATA!#REF!,1,FALSE),"")</f>
        <v/>
      </c>
      <c r="D3492" s="16" t="str">
        <f>IFERROR(VLOOKUP(C3492,DATA!#REF!,2,FALSE),"")</f>
        <v/>
      </c>
    </row>
    <row r="3493" spans="3:4" s="230" customFormat="1">
      <c r="C3493" s="16" t="str">
        <f>IFERROR(VLOOKUP(DATA!#REF!,DATA!#REF!,1,FALSE),"")</f>
        <v/>
      </c>
      <c r="D3493" s="16" t="str">
        <f>IFERROR(VLOOKUP(C3493,DATA!#REF!,2,FALSE),"")</f>
        <v/>
      </c>
    </row>
    <row r="3494" spans="3:4" s="230" customFormat="1">
      <c r="C3494" s="16" t="str">
        <f>IFERROR(VLOOKUP(DATA!#REF!,DATA!#REF!,1,FALSE),"")</f>
        <v/>
      </c>
      <c r="D3494" s="16" t="str">
        <f>IFERROR(VLOOKUP(C3494,DATA!#REF!,2,FALSE),"")</f>
        <v/>
      </c>
    </row>
    <row r="3495" spans="3:4" s="230" customFormat="1">
      <c r="C3495" s="16" t="str">
        <f>IFERROR(VLOOKUP(DATA!#REF!,DATA!#REF!,1,FALSE),"")</f>
        <v/>
      </c>
      <c r="D3495" s="16" t="str">
        <f>IFERROR(VLOOKUP(C3495,DATA!#REF!,2,FALSE),"")</f>
        <v/>
      </c>
    </row>
    <row r="3496" spans="3:4" s="230" customFormat="1">
      <c r="C3496" s="16" t="str">
        <f>IFERROR(VLOOKUP(DATA!#REF!,DATA!#REF!,1,FALSE),"")</f>
        <v/>
      </c>
      <c r="D3496" s="16" t="str">
        <f>IFERROR(VLOOKUP(C3496,DATA!#REF!,2,FALSE),"")</f>
        <v/>
      </c>
    </row>
    <row r="3497" spans="3:4" s="230" customFormat="1">
      <c r="C3497" s="16" t="str">
        <f>IFERROR(VLOOKUP(DATA!#REF!,DATA!#REF!,1,FALSE),"")</f>
        <v/>
      </c>
      <c r="D3497" s="16" t="str">
        <f>IFERROR(VLOOKUP(C3497,DATA!#REF!,2,FALSE),"")</f>
        <v/>
      </c>
    </row>
    <row r="3498" spans="3:4" s="230" customFormat="1">
      <c r="C3498" s="16" t="str">
        <f>IFERROR(VLOOKUP(DATA!#REF!,DATA!#REF!,1,FALSE),"")</f>
        <v/>
      </c>
      <c r="D3498" s="16" t="str">
        <f>IFERROR(VLOOKUP(C3498,DATA!#REF!,2,FALSE),"")</f>
        <v/>
      </c>
    </row>
    <row r="3499" spans="3:4" s="230" customFormat="1">
      <c r="C3499" s="16" t="str">
        <f>IFERROR(VLOOKUP(DATA!#REF!,DATA!#REF!,1,FALSE),"")</f>
        <v/>
      </c>
      <c r="D3499" s="16" t="str">
        <f>IFERROR(VLOOKUP(C3499,DATA!#REF!,2,FALSE),"")</f>
        <v/>
      </c>
    </row>
    <row r="3500" spans="3:4" s="230" customFormat="1">
      <c r="C3500" s="16" t="str">
        <f>IFERROR(VLOOKUP(DATA!#REF!,DATA!#REF!,1,FALSE),"")</f>
        <v/>
      </c>
      <c r="D3500" s="16" t="str">
        <f>IFERROR(VLOOKUP(C3500,DATA!#REF!,2,FALSE),"")</f>
        <v/>
      </c>
    </row>
    <row r="3501" spans="3:4" s="230" customFormat="1">
      <c r="C3501" s="16" t="str">
        <f>IFERROR(VLOOKUP(DATA!#REF!,DATA!#REF!,1,FALSE),"")</f>
        <v/>
      </c>
      <c r="D3501" s="16" t="str">
        <f>IFERROR(VLOOKUP(C3501,DATA!#REF!,2,FALSE),"")</f>
        <v/>
      </c>
    </row>
    <row r="3502" spans="3:4" s="230" customFormat="1">
      <c r="C3502" s="16" t="str">
        <f>IFERROR(VLOOKUP(DATA!#REF!,DATA!#REF!,1,FALSE),"")</f>
        <v/>
      </c>
      <c r="D3502" s="16" t="str">
        <f>IFERROR(VLOOKUP(C3502,DATA!#REF!,2,FALSE),"")</f>
        <v/>
      </c>
    </row>
    <row r="3503" spans="3:4" s="230" customFormat="1">
      <c r="C3503" s="16" t="str">
        <f>IFERROR(VLOOKUP(DATA!#REF!,DATA!#REF!,1,FALSE),"")</f>
        <v/>
      </c>
      <c r="D3503" s="16" t="str">
        <f>IFERROR(VLOOKUP(C3503,DATA!#REF!,2,FALSE),"")</f>
        <v/>
      </c>
    </row>
    <row r="3504" spans="3:4" s="230" customFormat="1">
      <c r="C3504" s="16" t="str">
        <f>IFERROR(VLOOKUP(DATA!#REF!,DATA!#REF!,1,FALSE),"")</f>
        <v/>
      </c>
      <c r="D3504" s="16" t="str">
        <f>IFERROR(VLOOKUP(C3504,DATA!#REF!,2,FALSE),"")</f>
        <v/>
      </c>
    </row>
    <row r="3505" spans="3:4" s="230" customFormat="1">
      <c r="C3505" s="16" t="str">
        <f>IFERROR(VLOOKUP(DATA!#REF!,DATA!#REF!,1,FALSE),"")</f>
        <v/>
      </c>
      <c r="D3505" s="16" t="str">
        <f>IFERROR(VLOOKUP(C3505,DATA!#REF!,2,FALSE),"")</f>
        <v/>
      </c>
    </row>
    <row r="3506" spans="3:4" s="230" customFormat="1">
      <c r="C3506" s="16" t="str">
        <f>IFERROR(VLOOKUP(DATA!#REF!,DATA!#REF!,1,FALSE),"")</f>
        <v/>
      </c>
      <c r="D3506" s="16" t="str">
        <f>IFERROR(VLOOKUP(C3506,DATA!#REF!,2,FALSE),"")</f>
        <v/>
      </c>
    </row>
    <row r="3507" spans="3:4" s="230" customFormat="1">
      <c r="C3507" s="16" t="str">
        <f>IFERROR(VLOOKUP(DATA!#REF!,DATA!#REF!,1,FALSE),"")</f>
        <v/>
      </c>
      <c r="D3507" s="16" t="str">
        <f>IFERROR(VLOOKUP(C3507,DATA!#REF!,2,FALSE),"")</f>
        <v/>
      </c>
    </row>
    <row r="3508" spans="3:4" s="230" customFormat="1">
      <c r="C3508" s="16" t="str">
        <f>IFERROR(VLOOKUP(DATA!#REF!,DATA!#REF!,1,FALSE),"")</f>
        <v/>
      </c>
      <c r="D3508" s="16" t="str">
        <f>IFERROR(VLOOKUP(C3508,DATA!#REF!,2,FALSE),"")</f>
        <v/>
      </c>
    </row>
    <row r="3509" spans="3:4" s="230" customFormat="1">
      <c r="C3509" s="16" t="str">
        <f>IFERROR(VLOOKUP(DATA!#REF!,DATA!#REF!,1,FALSE),"")</f>
        <v/>
      </c>
      <c r="D3509" s="16" t="str">
        <f>IFERROR(VLOOKUP(C3509,DATA!#REF!,2,FALSE),"")</f>
        <v/>
      </c>
    </row>
    <row r="3510" spans="3:4" s="230" customFormat="1">
      <c r="C3510" s="16" t="str">
        <f>IFERROR(VLOOKUP(DATA!#REF!,DATA!#REF!,1,FALSE),"")</f>
        <v/>
      </c>
      <c r="D3510" s="16" t="str">
        <f>IFERROR(VLOOKUP(C3510,DATA!#REF!,2,FALSE),"")</f>
        <v/>
      </c>
    </row>
    <row r="3511" spans="3:4" s="230" customFormat="1">
      <c r="C3511" s="16" t="str">
        <f>IFERROR(VLOOKUP(DATA!#REF!,DATA!#REF!,1,FALSE),"")</f>
        <v/>
      </c>
      <c r="D3511" s="16" t="str">
        <f>IFERROR(VLOOKUP(C3511,DATA!#REF!,2,FALSE),"")</f>
        <v/>
      </c>
    </row>
    <row r="3512" spans="3:4" s="230" customFormat="1">
      <c r="C3512" s="16" t="str">
        <f>IFERROR(VLOOKUP(DATA!#REF!,DATA!#REF!,1,FALSE),"")</f>
        <v/>
      </c>
      <c r="D3512" s="16" t="str">
        <f>IFERROR(VLOOKUP(C3512,DATA!#REF!,2,FALSE),"")</f>
        <v/>
      </c>
    </row>
    <row r="3513" spans="3:4" s="230" customFormat="1">
      <c r="C3513" s="16" t="str">
        <f>IFERROR(VLOOKUP(DATA!#REF!,DATA!#REF!,1,FALSE),"")</f>
        <v/>
      </c>
      <c r="D3513" s="16" t="str">
        <f>IFERROR(VLOOKUP(C3513,DATA!#REF!,2,FALSE),"")</f>
        <v/>
      </c>
    </row>
    <row r="3514" spans="3:4" s="230" customFormat="1">
      <c r="C3514" s="16" t="str">
        <f>IFERROR(VLOOKUP(DATA!#REF!,DATA!#REF!,1,FALSE),"")</f>
        <v/>
      </c>
      <c r="D3514" s="16" t="str">
        <f>IFERROR(VLOOKUP(C3514,DATA!#REF!,2,FALSE),"")</f>
        <v/>
      </c>
    </row>
    <row r="3515" spans="3:4" s="230" customFormat="1">
      <c r="C3515" s="16" t="str">
        <f>IFERROR(VLOOKUP(DATA!#REF!,DATA!#REF!,1,FALSE),"")</f>
        <v/>
      </c>
      <c r="D3515" s="16" t="str">
        <f>IFERROR(VLOOKUP(C3515,DATA!#REF!,2,FALSE),"")</f>
        <v/>
      </c>
    </row>
    <row r="3516" spans="3:4" s="230" customFormat="1">
      <c r="C3516" s="16" t="str">
        <f>IFERROR(VLOOKUP(DATA!#REF!,DATA!#REF!,1,FALSE),"")</f>
        <v/>
      </c>
      <c r="D3516" s="16" t="str">
        <f>IFERROR(VLOOKUP(C3516,DATA!#REF!,2,FALSE),"")</f>
        <v/>
      </c>
    </row>
    <row r="3517" spans="3:4" s="230" customFormat="1">
      <c r="C3517" s="16" t="str">
        <f>IFERROR(VLOOKUP(DATA!#REF!,DATA!#REF!,1,FALSE),"")</f>
        <v/>
      </c>
      <c r="D3517" s="16" t="str">
        <f>IFERROR(VLOOKUP(C3517,DATA!#REF!,2,FALSE),"")</f>
        <v/>
      </c>
    </row>
    <row r="3518" spans="3:4" s="230" customFormat="1">
      <c r="C3518" s="16" t="str">
        <f>IFERROR(VLOOKUP(DATA!#REF!,DATA!#REF!,1,FALSE),"")</f>
        <v/>
      </c>
      <c r="D3518" s="16" t="str">
        <f>IFERROR(VLOOKUP(C3518,DATA!#REF!,2,FALSE),"")</f>
        <v/>
      </c>
    </row>
    <row r="3519" spans="3:4" s="230" customFormat="1">
      <c r="C3519" s="16" t="str">
        <f>IFERROR(VLOOKUP(DATA!#REF!,DATA!#REF!,1,FALSE),"")</f>
        <v/>
      </c>
      <c r="D3519" s="16" t="str">
        <f>IFERROR(VLOOKUP(C3519,DATA!#REF!,2,FALSE),"")</f>
        <v/>
      </c>
    </row>
    <row r="3520" spans="3:4" s="230" customFormat="1">
      <c r="C3520" s="16" t="str">
        <f>IFERROR(VLOOKUP(DATA!#REF!,DATA!#REF!,1,FALSE),"")</f>
        <v/>
      </c>
      <c r="D3520" s="16" t="str">
        <f>IFERROR(VLOOKUP(C3520,DATA!#REF!,2,FALSE),"")</f>
        <v/>
      </c>
    </row>
    <row r="3521" spans="3:4" s="230" customFormat="1">
      <c r="C3521" s="16" t="str">
        <f>IFERROR(VLOOKUP(DATA!#REF!,DATA!#REF!,1,FALSE),"")</f>
        <v/>
      </c>
      <c r="D3521" s="16" t="str">
        <f>IFERROR(VLOOKUP(C3521,DATA!#REF!,2,FALSE),"")</f>
        <v/>
      </c>
    </row>
    <row r="3522" spans="3:4" s="230" customFormat="1">
      <c r="C3522" s="16" t="str">
        <f>IFERROR(VLOOKUP(DATA!#REF!,DATA!#REF!,1,FALSE),"")</f>
        <v/>
      </c>
      <c r="D3522" s="16" t="str">
        <f>IFERROR(VLOOKUP(C3522,DATA!#REF!,2,FALSE),"")</f>
        <v/>
      </c>
    </row>
    <row r="3523" spans="3:4" s="230" customFormat="1">
      <c r="C3523" s="16" t="str">
        <f>IFERROR(VLOOKUP(DATA!#REF!,DATA!#REF!,1,FALSE),"")</f>
        <v/>
      </c>
      <c r="D3523" s="16" t="str">
        <f>IFERROR(VLOOKUP(C3523,DATA!#REF!,2,FALSE),"")</f>
        <v/>
      </c>
    </row>
    <row r="3524" spans="3:4" s="230" customFormat="1">
      <c r="C3524" s="16" t="str">
        <f>IFERROR(VLOOKUP(DATA!#REF!,DATA!#REF!,1,FALSE),"")</f>
        <v/>
      </c>
      <c r="D3524" s="16" t="str">
        <f>IFERROR(VLOOKUP(C3524,DATA!#REF!,2,FALSE),"")</f>
        <v/>
      </c>
    </row>
    <row r="3525" spans="3:4" s="230" customFormat="1">
      <c r="C3525" s="16" t="str">
        <f>IFERROR(VLOOKUP(DATA!#REF!,DATA!#REF!,1,FALSE),"")</f>
        <v/>
      </c>
      <c r="D3525" s="16" t="str">
        <f>IFERROR(VLOOKUP(C3525,DATA!#REF!,2,FALSE),"")</f>
        <v/>
      </c>
    </row>
    <row r="3526" spans="3:4" s="230" customFormat="1">
      <c r="C3526" s="16" t="str">
        <f>IFERROR(VLOOKUP(DATA!#REF!,DATA!#REF!,1,FALSE),"")</f>
        <v/>
      </c>
      <c r="D3526" s="16" t="str">
        <f>IFERROR(VLOOKUP(C3526,DATA!#REF!,2,FALSE),"")</f>
        <v/>
      </c>
    </row>
    <row r="3527" spans="3:4" s="230" customFormat="1">
      <c r="C3527" s="16" t="str">
        <f>IFERROR(VLOOKUP(DATA!#REF!,DATA!#REF!,1,FALSE),"")</f>
        <v/>
      </c>
      <c r="D3527" s="16" t="str">
        <f>IFERROR(VLOOKUP(C3527,DATA!#REF!,2,FALSE),"")</f>
        <v/>
      </c>
    </row>
    <row r="3528" spans="3:4" s="230" customFormat="1">
      <c r="C3528" s="16" t="str">
        <f>IFERROR(VLOOKUP(DATA!#REF!,DATA!#REF!,1,FALSE),"")</f>
        <v/>
      </c>
      <c r="D3528" s="16" t="str">
        <f>IFERROR(VLOOKUP(C3528,DATA!#REF!,2,FALSE),"")</f>
        <v/>
      </c>
    </row>
    <row r="3529" spans="3:4" s="230" customFormat="1">
      <c r="C3529" s="16" t="str">
        <f>IFERROR(VLOOKUP(DATA!#REF!,DATA!#REF!,1,FALSE),"")</f>
        <v/>
      </c>
      <c r="D3529" s="16" t="str">
        <f>IFERROR(VLOOKUP(C3529,DATA!#REF!,2,FALSE),"")</f>
        <v/>
      </c>
    </row>
    <row r="3530" spans="3:4" s="230" customFormat="1">
      <c r="C3530" s="16" t="str">
        <f>IFERROR(VLOOKUP(DATA!#REF!,DATA!#REF!,1,FALSE),"")</f>
        <v/>
      </c>
      <c r="D3530" s="16" t="str">
        <f>IFERROR(VLOOKUP(C3530,DATA!#REF!,2,FALSE),"")</f>
        <v/>
      </c>
    </row>
    <row r="3531" spans="3:4" s="230" customFormat="1">
      <c r="C3531" s="16" t="str">
        <f>IFERROR(VLOOKUP(DATA!#REF!,DATA!#REF!,1,FALSE),"")</f>
        <v/>
      </c>
      <c r="D3531" s="16" t="str">
        <f>IFERROR(VLOOKUP(C3531,DATA!#REF!,2,FALSE),"")</f>
        <v/>
      </c>
    </row>
    <row r="3532" spans="3:4" s="230" customFormat="1">
      <c r="C3532" s="16" t="str">
        <f>IFERROR(VLOOKUP(DATA!#REF!,DATA!#REF!,1,FALSE),"")</f>
        <v/>
      </c>
      <c r="D3532" s="16" t="str">
        <f>IFERROR(VLOOKUP(C3532,DATA!#REF!,2,FALSE),"")</f>
        <v/>
      </c>
    </row>
    <row r="3533" spans="3:4" s="230" customFormat="1">
      <c r="C3533" s="16" t="str">
        <f>IFERROR(VLOOKUP(DATA!#REF!,DATA!#REF!,1,FALSE),"")</f>
        <v/>
      </c>
      <c r="D3533" s="16" t="str">
        <f>IFERROR(VLOOKUP(C3533,DATA!#REF!,2,FALSE),"")</f>
        <v/>
      </c>
    </row>
    <row r="3534" spans="3:4" s="230" customFormat="1">
      <c r="C3534" s="16" t="str">
        <f>IFERROR(VLOOKUP(DATA!#REF!,DATA!#REF!,1,FALSE),"")</f>
        <v/>
      </c>
      <c r="D3534" s="16" t="str">
        <f>IFERROR(VLOOKUP(C3534,DATA!#REF!,2,FALSE),"")</f>
        <v/>
      </c>
    </row>
    <row r="3535" spans="3:4" s="230" customFormat="1">
      <c r="C3535" s="16" t="str">
        <f>IFERROR(VLOOKUP(DATA!#REF!,DATA!#REF!,1,FALSE),"")</f>
        <v/>
      </c>
      <c r="D3535" s="16" t="str">
        <f>IFERROR(VLOOKUP(C3535,DATA!#REF!,2,FALSE),"")</f>
        <v/>
      </c>
    </row>
    <row r="3536" spans="3:4" s="230" customFormat="1">
      <c r="C3536" s="16" t="str">
        <f>IFERROR(VLOOKUP(DATA!#REF!,DATA!#REF!,1,FALSE),"")</f>
        <v/>
      </c>
      <c r="D3536" s="16" t="str">
        <f>IFERROR(VLOOKUP(C3536,DATA!#REF!,2,FALSE),"")</f>
        <v/>
      </c>
    </row>
    <row r="3537" spans="3:4" s="230" customFormat="1">
      <c r="C3537" s="16" t="str">
        <f>IFERROR(VLOOKUP(DATA!#REF!,DATA!#REF!,1,FALSE),"")</f>
        <v/>
      </c>
      <c r="D3537" s="16" t="str">
        <f>IFERROR(VLOOKUP(C3537,DATA!#REF!,2,FALSE),"")</f>
        <v/>
      </c>
    </row>
    <row r="3538" spans="3:4" s="230" customFormat="1">
      <c r="C3538" s="16" t="str">
        <f>IFERROR(VLOOKUP(DATA!#REF!,DATA!#REF!,1,FALSE),"")</f>
        <v/>
      </c>
      <c r="D3538" s="16" t="str">
        <f>IFERROR(VLOOKUP(C3538,DATA!#REF!,2,FALSE),"")</f>
        <v/>
      </c>
    </row>
    <row r="3539" spans="3:4" s="230" customFormat="1">
      <c r="C3539" s="16" t="str">
        <f>IFERROR(VLOOKUP(DATA!#REF!,DATA!#REF!,1,FALSE),"")</f>
        <v/>
      </c>
      <c r="D3539" s="16" t="str">
        <f>IFERROR(VLOOKUP(C3539,DATA!#REF!,2,FALSE),"")</f>
        <v/>
      </c>
    </row>
    <row r="3540" spans="3:4" s="230" customFormat="1">
      <c r="C3540" s="16" t="str">
        <f>IFERROR(VLOOKUP(DATA!#REF!,DATA!#REF!,1,FALSE),"")</f>
        <v/>
      </c>
      <c r="D3540" s="16" t="str">
        <f>IFERROR(VLOOKUP(C3540,DATA!#REF!,2,FALSE),"")</f>
        <v/>
      </c>
    </row>
    <row r="3541" spans="3:4" s="230" customFormat="1">
      <c r="C3541" s="16" t="str">
        <f>IFERROR(VLOOKUP(DATA!#REF!,DATA!#REF!,1,FALSE),"")</f>
        <v/>
      </c>
      <c r="D3541" s="16" t="str">
        <f>IFERROR(VLOOKUP(C3541,DATA!#REF!,2,FALSE),"")</f>
        <v/>
      </c>
    </row>
    <row r="3542" spans="3:4" s="230" customFormat="1">
      <c r="C3542" s="16" t="str">
        <f>IFERROR(VLOOKUP(DATA!#REF!,DATA!#REF!,1,FALSE),"")</f>
        <v/>
      </c>
      <c r="D3542" s="16" t="str">
        <f>IFERROR(VLOOKUP(C3542,DATA!#REF!,2,FALSE),"")</f>
        <v/>
      </c>
    </row>
    <row r="3543" spans="3:4" s="230" customFormat="1">
      <c r="C3543" s="16" t="str">
        <f>IFERROR(VLOOKUP(DATA!#REF!,DATA!#REF!,1,FALSE),"")</f>
        <v/>
      </c>
      <c r="D3543" s="16" t="str">
        <f>IFERROR(VLOOKUP(C3543,DATA!#REF!,2,FALSE),"")</f>
        <v/>
      </c>
    </row>
    <row r="3544" spans="3:4" s="230" customFormat="1">
      <c r="C3544" s="16" t="str">
        <f>IFERROR(VLOOKUP(DATA!#REF!,DATA!#REF!,1,FALSE),"")</f>
        <v/>
      </c>
      <c r="D3544" s="16" t="str">
        <f>IFERROR(VLOOKUP(C3544,DATA!#REF!,2,FALSE),"")</f>
        <v/>
      </c>
    </row>
    <row r="3545" spans="3:4" s="230" customFormat="1">
      <c r="C3545" s="16" t="str">
        <f>IFERROR(VLOOKUP(DATA!#REF!,DATA!#REF!,1,FALSE),"")</f>
        <v/>
      </c>
      <c r="D3545" s="16" t="str">
        <f>IFERROR(VLOOKUP(C3545,DATA!#REF!,2,FALSE),"")</f>
        <v/>
      </c>
    </row>
    <row r="3546" spans="3:4" s="230" customFormat="1">
      <c r="C3546" s="16" t="str">
        <f>IFERROR(VLOOKUP(DATA!#REF!,DATA!#REF!,1,FALSE),"")</f>
        <v/>
      </c>
      <c r="D3546" s="16" t="str">
        <f>IFERROR(VLOOKUP(C3546,DATA!#REF!,2,FALSE),"")</f>
        <v/>
      </c>
    </row>
    <row r="3547" spans="3:4" s="230" customFormat="1">
      <c r="C3547" s="16" t="str">
        <f>IFERROR(VLOOKUP(DATA!#REF!,DATA!#REF!,1,FALSE),"")</f>
        <v/>
      </c>
      <c r="D3547" s="16" t="str">
        <f>IFERROR(VLOOKUP(C3547,DATA!#REF!,2,FALSE),"")</f>
        <v/>
      </c>
    </row>
    <row r="3548" spans="3:4" s="230" customFormat="1">
      <c r="C3548" s="16" t="str">
        <f>IFERROR(VLOOKUP(DATA!#REF!,DATA!#REF!,1,FALSE),"")</f>
        <v/>
      </c>
      <c r="D3548" s="16" t="str">
        <f>IFERROR(VLOOKUP(C3548,DATA!#REF!,2,FALSE),"")</f>
        <v/>
      </c>
    </row>
    <row r="3549" spans="3:4" s="230" customFormat="1">
      <c r="C3549" s="16" t="str">
        <f>IFERROR(VLOOKUP(DATA!#REF!,DATA!#REF!,1,FALSE),"")</f>
        <v/>
      </c>
      <c r="D3549" s="16" t="str">
        <f>IFERROR(VLOOKUP(C3549,DATA!#REF!,2,FALSE),"")</f>
        <v/>
      </c>
    </row>
    <row r="3550" spans="3:4" s="230" customFormat="1">
      <c r="C3550" s="16" t="str">
        <f>IFERROR(VLOOKUP(DATA!#REF!,DATA!#REF!,1,FALSE),"")</f>
        <v/>
      </c>
      <c r="D3550" s="16" t="str">
        <f>IFERROR(VLOOKUP(C3550,DATA!#REF!,2,FALSE),"")</f>
        <v/>
      </c>
    </row>
    <row r="3551" spans="3:4" s="230" customFormat="1">
      <c r="C3551" s="16" t="str">
        <f>IFERROR(VLOOKUP(DATA!#REF!,DATA!#REF!,1,FALSE),"")</f>
        <v/>
      </c>
      <c r="D3551" s="16" t="str">
        <f>IFERROR(VLOOKUP(C3551,DATA!#REF!,2,FALSE),"")</f>
        <v/>
      </c>
    </row>
    <row r="3552" spans="3:4" s="230" customFormat="1">
      <c r="C3552" s="16" t="str">
        <f>IFERROR(VLOOKUP(DATA!#REF!,DATA!#REF!,1,FALSE),"")</f>
        <v/>
      </c>
      <c r="D3552" s="16" t="str">
        <f>IFERROR(VLOOKUP(C3552,DATA!#REF!,2,FALSE),"")</f>
        <v/>
      </c>
    </row>
    <row r="3553" spans="3:4" s="230" customFormat="1">
      <c r="C3553" s="16" t="str">
        <f>IFERROR(VLOOKUP(DATA!#REF!,DATA!#REF!,1,FALSE),"")</f>
        <v/>
      </c>
      <c r="D3553" s="16" t="str">
        <f>IFERROR(VLOOKUP(C3553,DATA!#REF!,2,FALSE),"")</f>
        <v/>
      </c>
    </row>
    <row r="3554" spans="3:4" s="230" customFormat="1">
      <c r="C3554" s="16" t="str">
        <f>IFERROR(VLOOKUP(DATA!#REF!,DATA!#REF!,1,FALSE),"")</f>
        <v/>
      </c>
      <c r="D3554" s="16" t="str">
        <f>IFERROR(VLOOKUP(C3554,DATA!#REF!,2,FALSE),"")</f>
        <v/>
      </c>
    </row>
    <row r="3555" spans="3:4" s="230" customFormat="1">
      <c r="C3555" s="16" t="str">
        <f>IFERROR(VLOOKUP(DATA!#REF!,DATA!#REF!,1,FALSE),"")</f>
        <v/>
      </c>
      <c r="D3555" s="16" t="str">
        <f>IFERROR(VLOOKUP(C3555,DATA!#REF!,2,FALSE),"")</f>
        <v/>
      </c>
    </row>
    <row r="3556" spans="3:4" s="230" customFormat="1">
      <c r="C3556" s="16" t="str">
        <f>IFERROR(VLOOKUP(DATA!#REF!,DATA!#REF!,1,FALSE),"")</f>
        <v/>
      </c>
      <c r="D3556" s="16" t="str">
        <f>IFERROR(VLOOKUP(C3556,DATA!#REF!,2,FALSE),"")</f>
        <v/>
      </c>
    </row>
    <row r="3557" spans="3:4" s="230" customFormat="1">
      <c r="C3557" s="16" t="str">
        <f>IFERROR(VLOOKUP(DATA!#REF!,DATA!#REF!,1,FALSE),"")</f>
        <v/>
      </c>
      <c r="D3557" s="16" t="str">
        <f>IFERROR(VLOOKUP(C3557,DATA!#REF!,2,FALSE),"")</f>
        <v/>
      </c>
    </row>
    <row r="3558" spans="3:4" s="230" customFormat="1">
      <c r="C3558" s="16" t="str">
        <f>IFERROR(VLOOKUP(DATA!#REF!,DATA!#REF!,1,FALSE),"")</f>
        <v/>
      </c>
      <c r="D3558" s="16" t="str">
        <f>IFERROR(VLOOKUP(C3558,DATA!#REF!,2,FALSE),"")</f>
        <v/>
      </c>
    </row>
    <row r="3559" spans="3:4" s="230" customFormat="1">
      <c r="C3559" s="16" t="str">
        <f>IFERROR(VLOOKUP(DATA!#REF!,DATA!#REF!,1,FALSE),"")</f>
        <v/>
      </c>
      <c r="D3559" s="16" t="str">
        <f>IFERROR(VLOOKUP(C3559,DATA!#REF!,2,FALSE),"")</f>
        <v/>
      </c>
    </row>
    <row r="3560" spans="3:4" s="230" customFormat="1">
      <c r="C3560" s="16" t="str">
        <f>IFERROR(VLOOKUP(DATA!#REF!,DATA!#REF!,1,FALSE),"")</f>
        <v/>
      </c>
      <c r="D3560" s="16" t="str">
        <f>IFERROR(VLOOKUP(C3560,DATA!#REF!,2,FALSE),"")</f>
        <v/>
      </c>
    </row>
    <row r="3561" spans="3:4" s="230" customFormat="1">
      <c r="C3561" s="16" t="str">
        <f>IFERROR(VLOOKUP(DATA!#REF!,DATA!#REF!,1,FALSE),"")</f>
        <v/>
      </c>
      <c r="D3561" s="16" t="str">
        <f>IFERROR(VLOOKUP(C3561,DATA!#REF!,2,FALSE),"")</f>
        <v/>
      </c>
    </row>
    <row r="3562" spans="3:4" s="230" customFormat="1">
      <c r="C3562" s="16" t="str">
        <f>IFERROR(VLOOKUP(DATA!#REF!,DATA!#REF!,1,FALSE),"")</f>
        <v/>
      </c>
      <c r="D3562" s="16" t="str">
        <f>IFERROR(VLOOKUP(C3562,DATA!#REF!,2,FALSE),"")</f>
        <v/>
      </c>
    </row>
    <row r="3563" spans="3:4" s="230" customFormat="1">
      <c r="C3563" s="16" t="str">
        <f>IFERROR(VLOOKUP(DATA!#REF!,DATA!#REF!,1,FALSE),"")</f>
        <v/>
      </c>
      <c r="D3563" s="16" t="str">
        <f>IFERROR(VLOOKUP(C3563,DATA!#REF!,2,FALSE),"")</f>
        <v/>
      </c>
    </row>
    <row r="3564" spans="3:4" s="230" customFormat="1">
      <c r="C3564" s="16" t="str">
        <f>IFERROR(VLOOKUP(DATA!#REF!,DATA!#REF!,1,FALSE),"")</f>
        <v/>
      </c>
      <c r="D3564" s="16" t="str">
        <f>IFERROR(VLOOKUP(C3564,DATA!#REF!,2,FALSE),"")</f>
        <v/>
      </c>
    </row>
    <row r="3565" spans="3:4" s="230" customFormat="1">
      <c r="C3565" s="16" t="str">
        <f>IFERROR(VLOOKUP(DATA!#REF!,DATA!#REF!,1,FALSE),"")</f>
        <v/>
      </c>
      <c r="D3565" s="16" t="str">
        <f>IFERROR(VLOOKUP(C3565,DATA!#REF!,2,FALSE),"")</f>
        <v/>
      </c>
    </row>
    <row r="3566" spans="3:4" s="230" customFormat="1">
      <c r="C3566" s="16" t="str">
        <f>IFERROR(VLOOKUP(DATA!#REF!,DATA!#REF!,1,FALSE),"")</f>
        <v/>
      </c>
      <c r="D3566" s="16" t="str">
        <f>IFERROR(VLOOKUP(C3566,DATA!#REF!,2,FALSE),"")</f>
        <v/>
      </c>
    </row>
    <row r="3567" spans="3:4" s="230" customFormat="1">
      <c r="C3567" s="16" t="str">
        <f>IFERROR(VLOOKUP(DATA!#REF!,DATA!#REF!,1,FALSE),"")</f>
        <v/>
      </c>
      <c r="D3567" s="16" t="str">
        <f>IFERROR(VLOOKUP(C3567,DATA!#REF!,2,FALSE),"")</f>
        <v/>
      </c>
    </row>
    <row r="3568" spans="3:4" s="230" customFormat="1">
      <c r="C3568" s="16" t="str">
        <f>IFERROR(VLOOKUP(DATA!#REF!,DATA!#REF!,1,FALSE),"")</f>
        <v/>
      </c>
      <c r="D3568" s="16" t="str">
        <f>IFERROR(VLOOKUP(C3568,DATA!#REF!,2,FALSE),"")</f>
        <v/>
      </c>
    </row>
    <row r="3569" spans="3:4" s="230" customFormat="1">
      <c r="C3569" s="16" t="str">
        <f>IFERROR(VLOOKUP(DATA!#REF!,DATA!#REF!,1,FALSE),"")</f>
        <v/>
      </c>
      <c r="D3569" s="16" t="str">
        <f>IFERROR(VLOOKUP(C3569,DATA!#REF!,2,FALSE),"")</f>
        <v/>
      </c>
    </row>
    <row r="3570" spans="3:4" s="230" customFormat="1">
      <c r="C3570" s="16" t="str">
        <f>IFERROR(VLOOKUP(DATA!#REF!,DATA!#REF!,1,FALSE),"")</f>
        <v/>
      </c>
      <c r="D3570" s="16" t="str">
        <f>IFERROR(VLOOKUP(C3570,DATA!#REF!,2,FALSE),"")</f>
        <v/>
      </c>
    </row>
    <row r="3571" spans="3:4" s="230" customFormat="1">
      <c r="C3571" s="16" t="str">
        <f>IFERROR(VLOOKUP(DATA!#REF!,DATA!#REF!,1,FALSE),"")</f>
        <v/>
      </c>
      <c r="D3571" s="16" t="str">
        <f>IFERROR(VLOOKUP(C3571,DATA!#REF!,2,FALSE),"")</f>
        <v/>
      </c>
    </row>
    <row r="3572" spans="3:4" s="230" customFormat="1">
      <c r="C3572" s="16" t="str">
        <f>IFERROR(VLOOKUP(DATA!#REF!,DATA!#REF!,1,FALSE),"")</f>
        <v/>
      </c>
      <c r="D3572" s="16" t="str">
        <f>IFERROR(VLOOKUP(C3572,DATA!#REF!,2,FALSE),"")</f>
        <v/>
      </c>
    </row>
    <row r="3573" spans="3:4" s="230" customFormat="1">
      <c r="C3573" s="16" t="str">
        <f>IFERROR(VLOOKUP(DATA!#REF!,DATA!#REF!,1,FALSE),"")</f>
        <v/>
      </c>
      <c r="D3573" s="16" t="str">
        <f>IFERROR(VLOOKUP(C3573,DATA!#REF!,2,FALSE),"")</f>
        <v/>
      </c>
    </row>
    <row r="3574" spans="3:4" s="230" customFormat="1">
      <c r="C3574" s="16" t="str">
        <f>IFERROR(VLOOKUP(DATA!#REF!,DATA!#REF!,1,FALSE),"")</f>
        <v/>
      </c>
      <c r="D3574" s="16" t="str">
        <f>IFERROR(VLOOKUP(C3574,DATA!#REF!,2,FALSE),"")</f>
        <v/>
      </c>
    </row>
    <row r="3575" spans="3:4" s="230" customFormat="1">
      <c r="C3575" s="16" t="str">
        <f>IFERROR(VLOOKUP(DATA!#REF!,DATA!#REF!,1,FALSE),"")</f>
        <v/>
      </c>
      <c r="D3575" s="16" t="str">
        <f>IFERROR(VLOOKUP(C3575,DATA!#REF!,2,FALSE),"")</f>
        <v/>
      </c>
    </row>
    <row r="3576" spans="3:4" s="230" customFormat="1">
      <c r="C3576" s="16" t="str">
        <f>IFERROR(VLOOKUP(DATA!#REF!,DATA!#REF!,1,FALSE),"")</f>
        <v/>
      </c>
      <c r="D3576" s="16" t="str">
        <f>IFERROR(VLOOKUP(C3576,DATA!#REF!,2,FALSE),"")</f>
        <v/>
      </c>
    </row>
    <row r="3577" spans="3:4" s="230" customFormat="1">
      <c r="C3577" s="16" t="str">
        <f>IFERROR(VLOOKUP(DATA!#REF!,DATA!#REF!,1,FALSE),"")</f>
        <v/>
      </c>
      <c r="D3577" s="16" t="str">
        <f>IFERROR(VLOOKUP(C3577,DATA!#REF!,2,FALSE),"")</f>
        <v/>
      </c>
    </row>
    <row r="3578" spans="3:4" s="230" customFormat="1">
      <c r="C3578" s="16" t="str">
        <f>IFERROR(VLOOKUP(DATA!#REF!,DATA!#REF!,1,FALSE),"")</f>
        <v/>
      </c>
      <c r="D3578" s="16" t="str">
        <f>IFERROR(VLOOKUP(C3578,DATA!#REF!,2,FALSE),"")</f>
        <v/>
      </c>
    </row>
    <row r="3579" spans="3:4" s="230" customFormat="1">
      <c r="C3579" s="16" t="str">
        <f>IFERROR(VLOOKUP(DATA!#REF!,DATA!#REF!,1,FALSE),"")</f>
        <v/>
      </c>
      <c r="D3579" s="16" t="str">
        <f>IFERROR(VLOOKUP(C3579,DATA!#REF!,2,FALSE),"")</f>
        <v/>
      </c>
    </row>
    <row r="3580" spans="3:4" s="230" customFormat="1">
      <c r="C3580" s="16" t="str">
        <f>IFERROR(VLOOKUP(DATA!#REF!,DATA!#REF!,1,FALSE),"")</f>
        <v/>
      </c>
      <c r="D3580" s="16" t="str">
        <f>IFERROR(VLOOKUP(C3580,DATA!#REF!,2,FALSE),"")</f>
        <v/>
      </c>
    </row>
    <row r="3581" spans="3:4" s="230" customFormat="1">
      <c r="C3581" s="16" t="str">
        <f>IFERROR(VLOOKUP(DATA!#REF!,DATA!#REF!,1,FALSE),"")</f>
        <v/>
      </c>
      <c r="D3581" s="16" t="str">
        <f>IFERROR(VLOOKUP(C3581,DATA!#REF!,2,FALSE),"")</f>
        <v/>
      </c>
    </row>
    <row r="3582" spans="3:4" s="230" customFormat="1">
      <c r="C3582" s="16" t="str">
        <f>IFERROR(VLOOKUP(DATA!#REF!,DATA!#REF!,1,FALSE),"")</f>
        <v/>
      </c>
      <c r="D3582" s="16" t="str">
        <f>IFERROR(VLOOKUP(C3582,DATA!#REF!,2,FALSE),"")</f>
        <v/>
      </c>
    </row>
    <row r="3583" spans="3:4" s="230" customFormat="1">
      <c r="C3583" s="16" t="str">
        <f>IFERROR(VLOOKUP(DATA!#REF!,DATA!#REF!,1,FALSE),"")</f>
        <v/>
      </c>
      <c r="D3583" s="16" t="str">
        <f>IFERROR(VLOOKUP(C3583,DATA!#REF!,2,FALSE),"")</f>
        <v/>
      </c>
    </row>
    <row r="3584" spans="3:4" s="230" customFormat="1">
      <c r="C3584" s="16" t="str">
        <f>IFERROR(VLOOKUP(DATA!#REF!,DATA!#REF!,1,FALSE),"")</f>
        <v/>
      </c>
      <c r="D3584" s="16" t="str">
        <f>IFERROR(VLOOKUP(C3584,DATA!#REF!,2,FALSE),"")</f>
        <v/>
      </c>
    </row>
    <row r="3585" spans="3:4" s="230" customFormat="1">
      <c r="C3585" s="16" t="str">
        <f>IFERROR(VLOOKUP(DATA!#REF!,DATA!#REF!,1,FALSE),"")</f>
        <v/>
      </c>
      <c r="D3585" s="16" t="str">
        <f>IFERROR(VLOOKUP(C3585,DATA!#REF!,2,FALSE),"")</f>
        <v/>
      </c>
    </row>
    <row r="3586" spans="3:4" s="230" customFormat="1">
      <c r="C3586" s="16" t="str">
        <f>IFERROR(VLOOKUP(DATA!#REF!,DATA!#REF!,1,FALSE),"")</f>
        <v/>
      </c>
      <c r="D3586" s="16" t="str">
        <f>IFERROR(VLOOKUP(C3586,DATA!#REF!,2,FALSE),"")</f>
        <v/>
      </c>
    </row>
    <row r="3587" spans="3:4" s="230" customFormat="1">
      <c r="C3587" s="16" t="str">
        <f>IFERROR(VLOOKUP(DATA!#REF!,DATA!#REF!,1,FALSE),"")</f>
        <v/>
      </c>
      <c r="D3587" s="16" t="str">
        <f>IFERROR(VLOOKUP(C3587,DATA!#REF!,2,FALSE),"")</f>
        <v/>
      </c>
    </row>
    <row r="3588" spans="3:4" s="230" customFormat="1">
      <c r="C3588" s="16" t="str">
        <f>IFERROR(VLOOKUP(DATA!#REF!,DATA!#REF!,1,FALSE),"")</f>
        <v/>
      </c>
      <c r="D3588" s="16" t="str">
        <f>IFERROR(VLOOKUP(C3588,DATA!#REF!,2,FALSE),"")</f>
        <v/>
      </c>
    </row>
    <row r="3589" spans="3:4" s="230" customFormat="1">
      <c r="C3589" s="16" t="str">
        <f>IFERROR(VLOOKUP(DATA!#REF!,DATA!#REF!,1,FALSE),"")</f>
        <v/>
      </c>
      <c r="D3589" s="16" t="str">
        <f>IFERROR(VLOOKUP(C3589,DATA!#REF!,2,FALSE),"")</f>
        <v/>
      </c>
    </row>
    <row r="3590" spans="3:4" s="230" customFormat="1">
      <c r="C3590" s="16" t="str">
        <f>IFERROR(VLOOKUP(DATA!#REF!,DATA!#REF!,1,FALSE),"")</f>
        <v/>
      </c>
      <c r="D3590" s="16" t="str">
        <f>IFERROR(VLOOKUP(C3590,DATA!#REF!,2,FALSE),"")</f>
        <v/>
      </c>
    </row>
    <row r="3591" spans="3:4" s="230" customFormat="1">
      <c r="C3591" s="16" t="str">
        <f>IFERROR(VLOOKUP(DATA!#REF!,DATA!#REF!,1,FALSE),"")</f>
        <v/>
      </c>
      <c r="D3591" s="16" t="str">
        <f>IFERROR(VLOOKUP(C3591,DATA!#REF!,2,FALSE),"")</f>
        <v/>
      </c>
    </row>
    <row r="3592" spans="3:4" s="230" customFormat="1">
      <c r="C3592" s="16" t="str">
        <f>IFERROR(VLOOKUP(DATA!#REF!,DATA!#REF!,1,FALSE),"")</f>
        <v/>
      </c>
      <c r="D3592" s="16" t="str">
        <f>IFERROR(VLOOKUP(C3592,DATA!#REF!,2,FALSE),"")</f>
        <v/>
      </c>
    </row>
    <row r="3593" spans="3:4" s="230" customFormat="1">
      <c r="C3593" s="16" t="str">
        <f>IFERROR(VLOOKUP(DATA!#REF!,DATA!#REF!,1,FALSE),"")</f>
        <v/>
      </c>
      <c r="D3593" s="16" t="str">
        <f>IFERROR(VLOOKUP(C3593,DATA!#REF!,2,FALSE),"")</f>
        <v/>
      </c>
    </row>
    <row r="3594" spans="3:4" s="230" customFormat="1">
      <c r="C3594" s="16" t="str">
        <f>IFERROR(VLOOKUP(DATA!#REF!,DATA!#REF!,1,FALSE),"")</f>
        <v/>
      </c>
      <c r="D3594" s="16" t="str">
        <f>IFERROR(VLOOKUP(C3594,DATA!#REF!,2,FALSE),"")</f>
        <v/>
      </c>
    </row>
    <row r="3595" spans="3:4" s="230" customFormat="1">
      <c r="C3595" s="16" t="str">
        <f>IFERROR(VLOOKUP(DATA!#REF!,DATA!#REF!,1,FALSE),"")</f>
        <v/>
      </c>
      <c r="D3595" s="16" t="str">
        <f>IFERROR(VLOOKUP(C3595,DATA!#REF!,2,FALSE),"")</f>
        <v/>
      </c>
    </row>
    <row r="3596" spans="3:4" s="230" customFormat="1">
      <c r="C3596" s="16" t="str">
        <f>IFERROR(VLOOKUP(DATA!#REF!,DATA!#REF!,1,FALSE),"")</f>
        <v/>
      </c>
      <c r="D3596" s="16" t="str">
        <f>IFERROR(VLOOKUP(C3596,DATA!#REF!,2,FALSE),"")</f>
        <v/>
      </c>
    </row>
    <row r="3597" spans="3:4" s="230" customFormat="1">
      <c r="C3597" s="16" t="str">
        <f>IFERROR(VLOOKUP(DATA!#REF!,DATA!#REF!,1,FALSE),"")</f>
        <v/>
      </c>
      <c r="D3597" s="16" t="str">
        <f>IFERROR(VLOOKUP(C3597,DATA!#REF!,2,FALSE),"")</f>
        <v/>
      </c>
    </row>
    <row r="3598" spans="3:4" s="230" customFormat="1">
      <c r="C3598" s="16" t="str">
        <f>IFERROR(VLOOKUP(DATA!#REF!,DATA!#REF!,1,FALSE),"")</f>
        <v/>
      </c>
      <c r="D3598" s="16" t="str">
        <f>IFERROR(VLOOKUP(C3598,DATA!#REF!,2,FALSE),"")</f>
        <v/>
      </c>
    </row>
    <row r="3599" spans="3:4" s="230" customFormat="1">
      <c r="C3599" s="16" t="str">
        <f>IFERROR(VLOOKUP(DATA!#REF!,DATA!#REF!,1,FALSE),"")</f>
        <v/>
      </c>
      <c r="D3599" s="16" t="str">
        <f>IFERROR(VLOOKUP(C3599,DATA!#REF!,2,FALSE),"")</f>
        <v/>
      </c>
    </row>
    <row r="3600" spans="3:4" s="230" customFormat="1">
      <c r="C3600" s="16" t="str">
        <f>IFERROR(VLOOKUP(DATA!#REF!,DATA!#REF!,1,FALSE),"")</f>
        <v/>
      </c>
      <c r="D3600" s="16" t="str">
        <f>IFERROR(VLOOKUP(C3600,DATA!#REF!,2,FALSE),"")</f>
        <v/>
      </c>
    </row>
    <row r="3601" spans="3:4" s="230" customFormat="1">
      <c r="C3601" s="16" t="str">
        <f>IFERROR(VLOOKUP(DATA!#REF!,DATA!#REF!,1,FALSE),"")</f>
        <v/>
      </c>
      <c r="D3601" s="16" t="str">
        <f>IFERROR(VLOOKUP(C3601,DATA!#REF!,2,FALSE),"")</f>
        <v/>
      </c>
    </row>
    <row r="3602" spans="3:4" s="230" customFormat="1">
      <c r="C3602" s="16" t="str">
        <f>IFERROR(VLOOKUP(DATA!#REF!,DATA!#REF!,1,FALSE),"")</f>
        <v/>
      </c>
      <c r="D3602" s="16" t="str">
        <f>IFERROR(VLOOKUP(C3602,DATA!#REF!,2,FALSE),"")</f>
        <v/>
      </c>
    </row>
    <row r="3603" spans="3:4" s="230" customFormat="1">
      <c r="C3603" s="16" t="str">
        <f>IFERROR(VLOOKUP(DATA!#REF!,DATA!#REF!,1,FALSE),"")</f>
        <v/>
      </c>
      <c r="D3603" s="16" t="str">
        <f>IFERROR(VLOOKUP(C3603,DATA!#REF!,2,FALSE),"")</f>
        <v/>
      </c>
    </row>
    <row r="3604" spans="3:4" s="230" customFormat="1">
      <c r="C3604" s="16" t="str">
        <f>IFERROR(VLOOKUP(DATA!#REF!,DATA!#REF!,1,FALSE),"")</f>
        <v/>
      </c>
      <c r="D3604" s="16" t="str">
        <f>IFERROR(VLOOKUP(C3604,DATA!#REF!,2,FALSE),"")</f>
        <v/>
      </c>
    </row>
    <row r="3605" spans="3:4" s="230" customFormat="1">
      <c r="C3605" s="16" t="str">
        <f>IFERROR(VLOOKUP(DATA!#REF!,DATA!#REF!,1,FALSE),"")</f>
        <v/>
      </c>
      <c r="D3605" s="16" t="str">
        <f>IFERROR(VLOOKUP(C3605,DATA!#REF!,2,FALSE),"")</f>
        <v/>
      </c>
    </row>
    <row r="3606" spans="3:4" s="230" customFormat="1">
      <c r="C3606" s="16" t="str">
        <f>IFERROR(VLOOKUP(DATA!#REF!,DATA!#REF!,1,FALSE),"")</f>
        <v/>
      </c>
      <c r="D3606" s="16" t="str">
        <f>IFERROR(VLOOKUP(C3606,DATA!#REF!,2,FALSE),"")</f>
        <v/>
      </c>
    </row>
    <row r="3607" spans="3:4" s="230" customFormat="1">
      <c r="C3607" s="16" t="str">
        <f>IFERROR(VLOOKUP(DATA!#REF!,DATA!#REF!,1,FALSE),"")</f>
        <v/>
      </c>
      <c r="D3607" s="16" t="str">
        <f>IFERROR(VLOOKUP(C3607,DATA!#REF!,2,FALSE),"")</f>
        <v/>
      </c>
    </row>
    <row r="3608" spans="3:4" s="230" customFormat="1">
      <c r="C3608" s="16" t="str">
        <f>IFERROR(VLOOKUP(DATA!#REF!,DATA!#REF!,1,FALSE),"")</f>
        <v/>
      </c>
      <c r="D3608" s="16" t="str">
        <f>IFERROR(VLOOKUP(C3608,DATA!#REF!,2,FALSE),"")</f>
        <v/>
      </c>
    </row>
    <row r="3609" spans="3:4" s="230" customFormat="1">
      <c r="C3609" s="16" t="str">
        <f>IFERROR(VLOOKUP(DATA!#REF!,DATA!#REF!,1,FALSE),"")</f>
        <v/>
      </c>
      <c r="D3609" s="16" t="str">
        <f>IFERROR(VLOOKUP(C3609,DATA!#REF!,2,FALSE),"")</f>
        <v/>
      </c>
    </row>
    <row r="3610" spans="3:4" s="230" customFormat="1">
      <c r="C3610" s="16" t="str">
        <f>IFERROR(VLOOKUP(DATA!#REF!,DATA!#REF!,1,FALSE),"")</f>
        <v/>
      </c>
      <c r="D3610" s="16" t="str">
        <f>IFERROR(VLOOKUP(C3610,DATA!#REF!,2,FALSE),"")</f>
        <v/>
      </c>
    </row>
    <row r="3611" spans="3:4" s="230" customFormat="1">
      <c r="C3611" s="16" t="str">
        <f>IFERROR(VLOOKUP(DATA!#REF!,DATA!#REF!,1,FALSE),"")</f>
        <v/>
      </c>
      <c r="D3611" s="16" t="str">
        <f>IFERROR(VLOOKUP(C3611,DATA!#REF!,2,FALSE),"")</f>
        <v/>
      </c>
    </row>
    <row r="3612" spans="3:4" s="230" customFormat="1">
      <c r="C3612" s="16" t="str">
        <f>IFERROR(VLOOKUP(DATA!#REF!,DATA!#REF!,1,FALSE),"")</f>
        <v/>
      </c>
      <c r="D3612" s="16" t="str">
        <f>IFERROR(VLOOKUP(C3612,DATA!#REF!,2,FALSE),"")</f>
        <v/>
      </c>
    </row>
    <row r="3613" spans="3:4" s="230" customFormat="1">
      <c r="C3613" s="16" t="str">
        <f>IFERROR(VLOOKUP(DATA!#REF!,DATA!#REF!,1,FALSE),"")</f>
        <v/>
      </c>
      <c r="D3613" s="16" t="str">
        <f>IFERROR(VLOOKUP(C3613,DATA!#REF!,2,FALSE),"")</f>
        <v/>
      </c>
    </row>
    <row r="3614" spans="3:4" s="230" customFormat="1">
      <c r="C3614" s="16" t="str">
        <f>IFERROR(VLOOKUP(DATA!#REF!,DATA!#REF!,1,FALSE),"")</f>
        <v/>
      </c>
      <c r="D3614" s="16" t="str">
        <f>IFERROR(VLOOKUP(C3614,DATA!#REF!,2,FALSE),"")</f>
        <v/>
      </c>
    </row>
    <row r="3615" spans="3:4" s="230" customFormat="1">
      <c r="C3615" s="16" t="str">
        <f>IFERROR(VLOOKUP(DATA!#REF!,DATA!#REF!,1,FALSE),"")</f>
        <v/>
      </c>
      <c r="D3615" s="16" t="str">
        <f>IFERROR(VLOOKUP(C3615,DATA!#REF!,2,FALSE),"")</f>
        <v/>
      </c>
    </row>
    <row r="3616" spans="3:4" s="230" customFormat="1">
      <c r="C3616" s="16" t="str">
        <f>IFERROR(VLOOKUP(DATA!#REF!,DATA!#REF!,1,FALSE),"")</f>
        <v/>
      </c>
      <c r="D3616" s="16" t="str">
        <f>IFERROR(VLOOKUP(C3616,DATA!#REF!,2,FALSE),"")</f>
        <v/>
      </c>
    </row>
    <row r="3617" spans="3:4" s="230" customFormat="1">
      <c r="C3617" s="16" t="str">
        <f>IFERROR(VLOOKUP(DATA!#REF!,DATA!#REF!,1,FALSE),"")</f>
        <v/>
      </c>
      <c r="D3617" s="16" t="str">
        <f>IFERROR(VLOOKUP(C3617,DATA!#REF!,2,FALSE),"")</f>
        <v/>
      </c>
    </row>
    <row r="3618" spans="3:4" s="230" customFormat="1">
      <c r="C3618" s="16" t="str">
        <f>IFERROR(VLOOKUP(DATA!#REF!,DATA!#REF!,1,FALSE),"")</f>
        <v/>
      </c>
      <c r="D3618" s="16" t="str">
        <f>IFERROR(VLOOKUP(C3618,DATA!#REF!,2,FALSE),"")</f>
        <v/>
      </c>
    </row>
    <row r="3619" spans="3:4" s="230" customFormat="1">
      <c r="C3619" s="16" t="str">
        <f>IFERROR(VLOOKUP(DATA!#REF!,DATA!#REF!,1,FALSE),"")</f>
        <v/>
      </c>
      <c r="D3619" s="16" t="str">
        <f>IFERROR(VLOOKUP(C3619,DATA!#REF!,2,FALSE),"")</f>
        <v/>
      </c>
    </row>
    <row r="3620" spans="3:4" s="230" customFormat="1">
      <c r="C3620" s="16" t="str">
        <f>IFERROR(VLOOKUP(DATA!#REF!,DATA!#REF!,1,FALSE),"")</f>
        <v/>
      </c>
      <c r="D3620" s="16" t="str">
        <f>IFERROR(VLOOKUP(C3620,DATA!#REF!,2,FALSE),"")</f>
        <v/>
      </c>
    </row>
    <row r="3621" spans="3:4" s="230" customFormat="1">
      <c r="C3621" s="16" t="str">
        <f>IFERROR(VLOOKUP(DATA!#REF!,DATA!#REF!,1,FALSE),"")</f>
        <v/>
      </c>
      <c r="D3621" s="16" t="str">
        <f>IFERROR(VLOOKUP(C3621,DATA!#REF!,2,FALSE),"")</f>
        <v/>
      </c>
    </row>
    <row r="3622" spans="3:4" s="230" customFormat="1">
      <c r="C3622" s="16" t="str">
        <f>IFERROR(VLOOKUP(DATA!#REF!,DATA!#REF!,1,FALSE),"")</f>
        <v/>
      </c>
      <c r="D3622" s="16" t="str">
        <f>IFERROR(VLOOKUP(C3622,DATA!#REF!,2,FALSE),"")</f>
        <v/>
      </c>
    </row>
    <row r="3623" spans="3:4" s="230" customFormat="1">
      <c r="C3623" s="16" t="str">
        <f>IFERROR(VLOOKUP(DATA!#REF!,DATA!#REF!,1,FALSE),"")</f>
        <v/>
      </c>
      <c r="D3623" s="16" t="str">
        <f>IFERROR(VLOOKUP(C3623,DATA!#REF!,2,FALSE),"")</f>
        <v/>
      </c>
    </row>
    <row r="3624" spans="3:4" s="230" customFormat="1">
      <c r="C3624" s="16" t="str">
        <f>IFERROR(VLOOKUP(DATA!#REF!,DATA!#REF!,1,FALSE),"")</f>
        <v/>
      </c>
      <c r="D3624" s="16" t="str">
        <f>IFERROR(VLOOKUP(C3624,DATA!#REF!,2,FALSE),"")</f>
        <v/>
      </c>
    </row>
    <row r="3625" spans="3:4" s="230" customFormat="1">
      <c r="C3625" s="16" t="str">
        <f>IFERROR(VLOOKUP(DATA!#REF!,DATA!#REF!,1,FALSE),"")</f>
        <v/>
      </c>
      <c r="D3625" s="16" t="str">
        <f>IFERROR(VLOOKUP(C3625,DATA!#REF!,2,FALSE),"")</f>
        <v/>
      </c>
    </row>
    <row r="3626" spans="3:4" s="230" customFormat="1">
      <c r="C3626" s="16" t="str">
        <f>IFERROR(VLOOKUP(DATA!#REF!,DATA!#REF!,1,FALSE),"")</f>
        <v/>
      </c>
      <c r="D3626" s="16" t="str">
        <f>IFERROR(VLOOKUP(C3626,DATA!#REF!,2,FALSE),"")</f>
        <v/>
      </c>
    </row>
    <row r="3627" spans="3:4" s="230" customFormat="1">
      <c r="C3627" s="16" t="str">
        <f>IFERROR(VLOOKUP(DATA!#REF!,DATA!#REF!,1,FALSE),"")</f>
        <v/>
      </c>
      <c r="D3627" s="16" t="str">
        <f>IFERROR(VLOOKUP(C3627,DATA!#REF!,2,FALSE),"")</f>
        <v/>
      </c>
    </row>
    <row r="3628" spans="3:4" s="230" customFormat="1">
      <c r="C3628" s="16" t="str">
        <f>IFERROR(VLOOKUP(DATA!#REF!,DATA!#REF!,1,FALSE),"")</f>
        <v/>
      </c>
      <c r="D3628" s="16" t="str">
        <f>IFERROR(VLOOKUP(C3628,DATA!#REF!,2,FALSE),"")</f>
        <v/>
      </c>
    </row>
    <row r="3629" spans="3:4" s="230" customFormat="1">
      <c r="C3629" s="16" t="str">
        <f>IFERROR(VLOOKUP(DATA!#REF!,DATA!#REF!,1,FALSE),"")</f>
        <v/>
      </c>
      <c r="D3629" s="16" t="str">
        <f>IFERROR(VLOOKUP(C3629,DATA!#REF!,2,FALSE),"")</f>
        <v/>
      </c>
    </row>
    <row r="3630" spans="3:4" s="230" customFormat="1">
      <c r="C3630" s="16" t="str">
        <f>IFERROR(VLOOKUP(DATA!#REF!,DATA!#REF!,1,FALSE),"")</f>
        <v/>
      </c>
      <c r="D3630" s="16" t="str">
        <f>IFERROR(VLOOKUP(C3630,DATA!#REF!,2,FALSE),"")</f>
        <v/>
      </c>
    </row>
    <row r="3631" spans="3:4" s="230" customFormat="1">
      <c r="C3631" s="16" t="str">
        <f>IFERROR(VLOOKUP(DATA!#REF!,DATA!#REF!,1,FALSE),"")</f>
        <v/>
      </c>
      <c r="D3631" s="16" t="str">
        <f>IFERROR(VLOOKUP(C3631,DATA!#REF!,2,FALSE),"")</f>
        <v/>
      </c>
    </row>
    <row r="3632" spans="3:4" s="230" customFormat="1">
      <c r="C3632" s="16" t="str">
        <f>IFERROR(VLOOKUP(DATA!#REF!,DATA!#REF!,1,FALSE),"")</f>
        <v/>
      </c>
      <c r="D3632" s="16" t="str">
        <f>IFERROR(VLOOKUP(C3632,DATA!#REF!,2,FALSE),"")</f>
        <v/>
      </c>
    </row>
    <row r="3633" spans="3:4" s="230" customFormat="1">
      <c r="C3633" s="16" t="str">
        <f>IFERROR(VLOOKUP(DATA!#REF!,DATA!#REF!,1,FALSE),"")</f>
        <v/>
      </c>
      <c r="D3633" s="16" t="str">
        <f>IFERROR(VLOOKUP(C3633,DATA!#REF!,2,FALSE),"")</f>
        <v/>
      </c>
    </row>
    <row r="3634" spans="3:4" s="230" customFormat="1">
      <c r="C3634" s="16" t="str">
        <f>IFERROR(VLOOKUP(DATA!#REF!,DATA!#REF!,1,FALSE),"")</f>
        <v/>
      </c>
      <c r="D3634" s="16" t="str">
        <f>IFERROR(VLOOKUP(C3634,DATA!#REF!,2,FALSE),"")</f>
        <v/>
      </c>
    </row>
    <row r="3635" spans="3:4" s="230" customFormat="1">
      <c r="C3635" s="16" t="str">
        <f>IFERROR(VLOOKUP(DATA!#REF!,DATA!#REF!,1,FALSE),"")</f>
        <v/>
      </c>
      <c r="D3635" s="16" t="str">
        <f>IFERROR(VLOOKUP(C3635,DATA!#REF!,2,FALSE),"")</f>
        <v/>
      </c>
    </row>
    <row r="3636" spans="3:4" s="230" customFormat="1">
      <c r="C3636" s="16" t="str">
        <f>IFERROR(VLOOKUP(DATA!#REF!,DATA!#REF!,1,FALSE),"")</f>
        <v/>
      </c>
      <c r="D3636" s="16" t="str">
        <f>IFERROR(VLOOKUP(C3636,DATA!#REF!,2,FALSE),"")</f>
        <v/>
      </c>
    </row>
    <row r="3637" spans="3:4" s="230" customFormat="1">
      <c r="C3637" s="16" t="str">
        <f>IFERROR(VLOOKUP(DATA!#REF!,DATA!#REF!,1,FALSE),"")</f>
        <v/>
      </c>
      <c r="D3637" s="16" t="str">
        <f>IFERROR(VLOOKUP(C3637,DATA!#REF!,2,FALSE),"")</f>
        <v/>
      </c>
    </row>
    <row r="3638" spans="3:4" s="230" customFormat="1">
      <c r="C3638" s="16" t="str">
        <f>IFERROR(VLOOKUP(DATA!#REF!,DATA!#REF!,1,FALSE),"")</f>
        <v/>
      </c>
      <c r="D3638" s="16" t="str">
        <f>IFERROR(VLOOKUP(C3638,DATA!#REF!,2,FALSE),"")</f>
        <v/>
      </c>
    </row>
    <row r="3639" spans="3:4" s="230" customFormat="1">
      <c r="C3639" s="16" t="str">
        <f>IFERROR(VLOOKUP(DATA!#REF!,DATA!#REF!,1,FALSE),"")</f>
        <v/>
      </c>
      <c r="D3639" s="16" t="str">
        <f>IFERROR(VLOOKUP(C3639,DATA!#REF!,2,FALSE),"")</f>
        <v/>
      </c>
    </row>
    <row r="3640" spans="3:4" s="230" customFormat="1">
      <c r="C3640" s="16" t="str">
        <f>IFERROR(VLOOKUP(DATA!#REF!,DATA!#REF!,1,FALSE),"")</f>
        <v/>
      </c>
      <c r="D3640" s="16" t="str">
        <f>IFERROR(VLOOKUP(C3640,DATA!#REF!,2,FALSE),"")</f>
        <v/>
      </c>
    </row>
    <row r="3641" spans="3:4" s="230" customFormat="1">
      <c r="C3641" s="16" t="str">
        <f>IFERROR(VLOOKUP(DATA!#REF!,DATA!#REF!,1,FALSE),"")</f>
        <v/>
      </c>
      <c r="D3641" s="16" t="str">
        <f>IFERROR(VLOOKUP(C3641,DATA!#REF!,2,FALSE),"")</f>
        <v/>
      </c>
    </row>
    <row r="3642" spans="3:4" s="230" customFormat="1">
      <c r="C3642" s="16" t="str">
        <f>IFERROR(VLOOKUP(DATA!#REF!,DATA!#REF!,1,FALSE),"")</f>
        <v/>
      </c>
      <c r="D3642" s="16" t="str">
        <f>IFERROR(VLOOKUP(C3642,DATA!#REF!,2,FALSE),"")</f>
        <v/>
      </c>
    </row>
    <row r="3643" spans="3:4" s="230" customFormat="1">
      <c r="C3643" s="16" t="str">
        <f>IFERROR(VLOOKUP(DATA!#REF!,DATA!#REF!,1,FALSE),"")</f>
        <v/>
      </c>
      <c r="D3643" s="16" t="str">
        <f>IFERROR(VLOOKUP(C3643,DATA!#REF!,2,FALSE),"")</f>
        <v/>
      </c>
    </row>
    <row r="3644" spans="3:4" s="230" customFormat="1">
      <c r="C3644" s="16" t="str">
        <f>IFERROR(VLOOKUP(DATA!#REF!,DATA!#REF!,1,FALSE),"")</f>
        <v/>
      </c>
      <c r="D3644" s="16" t="str">
        <f>IFERROR(VLOOKUP(C3644,DATA!#REF!,2,FALSE),"")</f>
        <v/>
      </c>
    </row>
    <row r="3645" spans="3:4" s="230" customFormat="1">
      <c r="C3645" s="16" t="str">
        <f>IFERROR(VLOOKUP(DATA!#REF!,DATA!#REF!,1,FALSE),"")</f>
        <v/>
      </c>
      <c r="D3645" s="16" t="str">
        <f>IFERROR(VLOOKUP(C3645,DATA!#REF!,2,FALSE),"")</f>
        <v/>
      </c>
    </row>
    <row r="3646" spans="3:4" s="230" customFormat="1">
      <c r="C3646" s="16" t="str">
        <f>IFERROR(VLOOKUP(DATA!#REF!,DATA!#REF!,1,FALSE),"")</f>
        <v/>
      </c>
      <c r="D3646" s="16" t="str">
        <f>IFERROR(VLOOKUP(C3646,DATA!#REF!,2,FALSE),"")</f>
        <v/>
      </c>
    </row>
    <row r="3647" spans="3:4" s="230" customFormat="1">
      <c r="C3647" s="16" t="str">
        <f>IFERROR(VLOOKUP(DATA!#REF!,DATA!#REF!,1,FALSE),"")</f>
        <v/>
      </c>
      <c r="D3647" s="16" t="str">
        <f>IFERROR(VLOOKUP(C3647,DATA!#REF!,2,FALSE),"")</f>
        <v/>
      </c>
    </row>
    <row r="3648" spans="3:4" s="230" customFormat="1">
      <c r="C3648" s="16" t="str">
        <f>IFERROR(VLOOKUP(DATA!#REF!,DATA!#REF!,1,FALSE),"")</f>
        <v/>
      </c>
      <c r="D3648" s="16" t="str">
        <f>IFERROR(VLOOKUP(C3648,DATA!#REF!,2,FALSE),"")</f>
        <v/>
      </c>
    </row>
    <row r="3649" spans="3:4" s="230" customFormat="1">
      <c r="C3649" s="16" t="str">
        <f>IFERROR(VLOOKUP(DATA!#REF!,DATA!#REF!,1,FALSE),"")</f>
        <v/>
      </c>
      <c r="D3649" s="16" t="str">
        <f>IFERROR(VLOOKUP(C3649,DATA!#REF!,2,FALSE),"")</f>
        <v/>
      </c>
    </row>
    <row r="3650" spans="3:4" s="230" customFormat="1">
      <c r="C3650" s="16" t="str">
        <f>IFERROR(VLOOKUP(DATA!#REF!,DATA!#REF!,1,FALSE),"")</f>
        <v/>
      </c>
      <c r="D3650" s="16" t="str">
        <f>IFERROR(VLOOKUP(C3650,DATA!#REF!,2,FALSE),"")</f>
        <v/>
      </c>
    </row>
    <row r="3651" spans="3:4" s="230" customFormat="1">
      <c r="C3651" s="16" t="str">
        <f>IFERROR(VLOOKUP(DATA!#REF!,DATA!#REF!,1,FALSE),"")</f>
        <v/>
      </c>
      <c r="D3651" s="16" t="str">
        <f>IFERROR(VLOOKUP(C3651,DATA!#REF!,2,FALSE),"")</f>
        <v/>
      </c>
    </row>
    <row r="3652" spans="3:4" s="230" customFormat="1">
      <c r="C3652" s="16" t="str">
        <f>IFERROR(VLOOKUP(DATA!#REF!,DATA!#REF!,1,FALSE),"")</f>
        <v/>
      </c>
      <c r="D3652" s="16" t="str">
        <f>IFERROR(VLOOKUP(C3652,DATA!#REF!,2,FALSE),"")</f>
        <v/>
      </c>
    </row>
    <row r="3653" spans="3:4" s="230" customFormat="1">
      <c r="C3653" s="16" t="str">
        <f>IFERROR(VLOOKUP(DATA!#REF!,DATA!#REF!,1,FALSE),"")</f>
        <v/>
      </c>
      <c r="D3653" s="16" t="str">
        <f>IFERROR(VLOOKUP(C3653,DATA!#REF!,2,FALSE),"")</f>
        <v/>
      </c>
    </row>
    <row r="3654" spans="3:4" s="230" customFormat="1">
      <c r="C3654" s="16" t="str">
        <f>IFERROR(VLOOKUP(DATA!#REF!,DATA!#REF!,1,FALSE),"")</f>
        <v/>
      </c>
      <c r="D3654" s="16" t="str">
        <f>IFERROR(VLOOKUP(C3654,DATA!#REF!,2,FALSE),"")</f>
        <v/>
      </c>
    </row>
    <row r="3655" spans="3:4" s="230" customFormat="1">
      <c r="C3655" s="16" t="str">
        <f>IFERROR(VLOOKUP(DATA!#REF!,DATA!#REF!,1,FALSE),"")</f>
        <v/>
      </c>
      <c r="D3655" s="16" t="str">
        <f>IFERROR(VLOOKUP(C3655,DATA!#REF!,2,FALSE),"")</f>
        <v/>
      </c>
    </row>
    <row r="3656" spans="3:4" s="230" customFormat="1">
      <c r="C3656" s="16" t="str">
        <f>IFERROR(VLOOKUP(DATA!#REF!,DATA!#REF!,1,FALSE),"")</f>
        <v/>
      </c>
      <c r="D3656" s="16" t="str">
        <f>IFERROR(VLOOKUP(C3656,DATA!#REF!,2,FALSE),"")</f>
        <v/>
      </c>
    </row>
    <row r="3657" spans="3:4" s="230" customFormat="1">
      <c r="C3657" s="16" t="str">
        <f>IFERROR(VLOOKUP(DATA!#REF!,DATA!#REF!,1,FALSE),"")</f>
        <v/>
      </c>
      <c r="D3657" s="16" t="str">
        <f>IFERROR(VLOOKUP(C3657,DATA!#REF!,2,FALSE),"")</f>
        <v/>
      </c>
    </row>
    <row r="3658" spans="3:4" s="230" customFormat="1">
      <c r="C3658" s="16" t="str">
        <f>IFERROR(VLOOKUP(DATA!#REF!,DATA!#REF!,1,FALSE),"")</f>
        <v/>
      </c>
      <c r="D3658" s="16" t="str">
        <f>IFERROR(VLOOKUP(C3658,DATA!#REF!,2,FALSE),"")</f>
        <v/>
      </c>
    </row>
    <row r="3659" spans="3:4" s="230" customFormat="1">
      <c r="C3659" s="16" t="str">
        <f>IFERROR(VLOOKUP(DATA!#REF!,DATA!#REF!,1,FALSE),"")</f>
        <v/>
      </c>
      <c r="D3659" s="16" t="str">
        <f>IFERROR(VLOOKUP(C3659,DATA!#REF!,2,FALSE),"")</f>
        <v/>
      </c>
    </row>
    <row r="3660" spans="3:4" s="230" customFormat="1">
      <c r="C3660" s="16" t="str">
        <f>IFERROR(VLOOKUP(DATA!#REF!,DATA!#REF!,1,FALSE),"")</f>
        <v/>
      </c>
      <c r="D3660" s="16" t="str">
        <f>IFERROR(VLOOKUP(C3660,DATA!#REF!,2,FALSE),"")</f>
        <v/>
      </c>
    </row>
    <row r="3661" spans="3:4" s="230" customFormat="1">
      <c r="C3661" s="16" t="str">
        <f>IFERROR(VLOOKUP(DATA!#REF!,DATA!#REF!,1,FALSE),"")</f>
        <v/>
      </c>
      <c r="D3661" s="16" t="str">
        <f>IFERROR(VLOOKUP(C3661,DATA!#REF!,2,FALSE),"")</f>
        <v/>
      </c>
    </row>
    <row r="3662" spans="3:4" s="230" customFormat="1">
      <c r="C3662" s="16" t="str">
        <f>IFERROR(VLOOKUP(DATA!#REF!,DATA!#REF!,1,FALSE),"")</f>
        <v/>
      </c>
      <c r="D3662" s="16" t="str">
        <f>IFERROR(VLOOKUP(C3662,DATA!#REF!,2,FALSE),"")</f>
        <v/>
      </c>
    </row>
    <row r="3663" spans="3:4" s="230" customFormat="1">
      <c r="C3663" s="16" t="str">
        <f>IFERROR(VLOOKUP(DATA!#REF!,DATA!#REF!,1,FALSE),"")</f>
        <v/>
      </c>
      <c r="D3663" s="16" t="str">
        <f>IFERROR(VLOOKUP(C3663,DATA!#REF!,2,FALSE),"")</f>
        <v/>
      </c>
    </row>
    <row r="3664" spans="3:4" s="230" customFormat="1">
      <c r="C3664" s="16" t="str">
        <f>IFERROR(VLOOKUP(DATA!#REF!,DATA!#REF!,1,FALSE),"")</f>
        <v/>
      </c>
      <c r="D3664" s="16" t="str">
        <f>IFERROR(VLOOKUP(C3664,DATA!#REF!,2,FALSE),"")</f>
        <v/>
      </c>
    </row>
    <row r="3665" spans="3:4" s="230" customFormat="1">
      <c r="C3665" s="16" t="str">
        <f>IFERROR(VLOOKUP(DATA!#REF!,DATA!#REF!,1,FALSE),"")</f>
        <v/>
      </c>
      <c r="D3665" s="16" t="str">
        <f>IFERROR(VLOOKUP(C3665,DATA!#REF!,2,FALSE),"")</f>
        <v/>
      </c>
    </row>
    <row r="3666" spans="3:4" s="230" customFormat="1">
      <c r="C3666" s="16" t="str">
        <f>IFERROR(VLOOKUP(DATA!#REF!,DATA!#REF!,1,FALSE),"")</f>
        <v/>
      </c>
      <c r="D3666" s="16" t="str">
        <f>IFERROR(VLOOKUP(C3666,DATA!#REF!,2,FALSE),"")</f>
        <v/>
      </c>
    </row>
    <row r="3667" spans="3:4" s="230" customFormat="1">
      <c r="C3667" s="16" t="str">
        <f>IFERROR(VLOOKUP(DATA!#REF!,DATA!#REF!,1,FALSE),"")</f>
        <v/>
      </c>
      <c r="D3667" s="16" t="str">
        <f>IFERROR(VLOOKUP(C3667,DATA!#REF!,2,FALSE),"")</f>
        <v/>
      </c>
    </row>
    <row r="3668" spans="3:4" s="230" customFormat="1">
      <c r="C3668" s="16" t="str">
        <f>IFERROR(VLOOKUP(DATA!#REF!,DATA!#REF!,1,FALSE),"")</f>
        <v/>
      </c>
      <c r="D3668" s="16" t="str">
        <f>IFERROR(VLOOKUP(C3668,DATA!#REF!,2,FALSE),"")</f>
        <v/>
      </c>
    </row>
    <row r="3669" spans="3:4" s="230" customFormat="1">
      <c r="C3669" s="16" t="str">
        <f>IFERROR(VLOOKUP(DATA!#REF!,DATA!#REF!,1,FALSE),"")</f>
        <v/>
      </c>
      <c r="D3669" s="16" t="str">
        <f>IFERROR(VLOOKUP(C3669,DATA!#REF!,2,FALSE),"")</f>
        <v/>
      </c>
    </row>
    <row r="3670" spans="3:4" s="230" customFormat="1">
      <c r="C3670" s="16" t="str">
        <f>IFERROR(VLOOKUP(DATA!#REF!,DATA!#REF!,1,FALSE),"")</f>
        <v/>
      </c>
      <c r="D3670" s="16" t="str">
        <f>IFERROR(VLOOKUP(C3670,DATA!#REF!,2,FALSE),"")</f>
        <v/>
      </c>
    </row>
    <row r="3671" spans="3:4" s="230" customFormat="1">
      <c r="C3671" s="16" t="str">
        <f>IFERROR(VLOOKUP(DATA!#REF!,DATA!#REF!,1,FALSE),"")</f>
        <v/>
      </c>
      <c r="D3671" s="16" t="str">
        <f>IFERROR(VLOOKUP(C3671,DATA!#REF!,2,FALSE),"")</f>
        <v/>
      </c>
    </row>
    <row r="3672" spans="3:4" s="230" customFormat="1">
      <c r="C3672" s="16" t="str">
        <f>IFERROR(VLOOKUP(DATA!#REF!,DATA!#REF!,1,FALSE),"")</f>
        <v/>
      </c>
      <c r="D3672" s="16" t="str">
        <f>IFERROR(VLOOKUP(C3672,DATA!#REF!,2,FALSE),"")</f>
        <v/>
      </c>
    </row>
    <row r="3673" spans="3:4" s="230" customFormat="1">
      <c r="C3673" s="16" t="str">
        <f>IFERROR(VLOOKUP(DATA!#REF!,DATA!#REF!,1,FALSE),"")</f>
        <v/>
      </c>
      <c r="D3673" s="16" t="str">
        <f>IFERROR(VLOOKUP(C3673,DATA!#REF!,2,FALSE),"")</f>
        <v/>
      </c>
    </row>
    <row r="3674" spans="3:4" s="230" customFormat="1">
      <c r="C3674" s="16" t="str">
        <f>IFERROR(VLOOKUP(DATA!#REF!,DATA!#REF!,1,FALSE),"")</f>
        <v/>
      </c>
      <c r="D3674" s="16" t="str">
        <f>IFERROR(VLOOKUP(C3674,DATA!#REF!,2,FALSE),"")</f>
        <v/>
      </c>
    </row>
    <row r="3675" spans="3:4" s="230" customFormat="1">
      <c r="C3675" s="16" t="str">
        <f>IFERROR(VLOOKUP(DATA!#REF!,DATA!#REF!,1,FALSE),"")</f>
        <v/>
      </c>
      <c r="D3675" s="16" t="str">
        <f>IFERROR(VLOOKUP(C3675,DATA!#REF!,2,FALSE),"")</f>
        <v/>
      </c>
    </row>
    <row r="3676" spans="3:4" s="230" customFormat="1">
      <c r="C3676" s="16" t="str">
        <f>IFERROR(VLOOKUP(DATA!#REF!,DATA!#REF!,1,FALSE),"")</f>
        <v/>
      </c>
      <c r="D3676" s="16" t="str">
        <f>IFERROR(VLOOKUP(C3676,DATA!#REF!,2,FALSE),"")</f>
        <v/>
      </c>
    </row>
    <row r="3677" spans="3:4" s="230" customFormat="1">
      <c r="C3677" s="16" t="str">
        <f>IFERROR(VLOOKUP(DATA!#REF!,DATA!#REF!,1,FALSE),"")</f>
        <v/>
      </c>
      <c r="D3677" s="16" t="str">
        <f>IFERROR(VLOOKUP(C3677,DATA!#REF!,2,FALSE),"")</f>
        <v/>
      </c>
    </row>
    <row r="3678" spans="3:4" s="230" customFormat="1">
      <c r="C3678" s="16" t="str">
        <f>IFERROR(VLOOKUP(DATA!#REF!,DATA!#REF!,1,FALSE),"")</f>
        <v/>
      </c>
      <c r="D3678" s="16" t="str">
        <f>IFERROR(VLOOKUP(C3678,DATA!#REF!,2,FALSE),"")</f>
        <v/>
      </c>
    </row>
    <row r="3679" spans="3:4" s="230" customFormat="1">
      <c r="C3679" s="16" t="str">
        <f>IFERROR(VLOOKUP(DATA!#REF!,DATA!#REF!,1,FALSE),"")</f>
        <v/>
      </c>
      <c r="D3679" s="16" t="str">
        <f>IFERROR(VLOOKUP(C3679,DATA!#REF!,2,FALSE),"")</f>
        <v/>
      </c>
    </row>
    <row r="3680" spans="3:4" s="230" customFormat="1">
      <c r="C3680" s="16" t="str">
        <f>IFERROR(VLOOKUP(DATA!#REF!,DATA!#REF!,1,FALSE),"")</f>
        <v/>
      </c>
      <c r="D3680" s="16" t="str">
        <f>IFERROR(VLOOKUP(C3680,DATA!#REF!,2,FALSE),"")</f>
        <v/>
      </c>
    </row>
    <row r="3681" spans="3:4" s="230" customFormat="1">
      <c r="C3681" s="16" t="str">
        <f>IFERROR(VLOOKUP(DATA!#REF!,DATA!#REF!,1,FALSE),"")</f>
        <v/>
      </c>
      <c r="D3681" s="16" t="str">
        <f>IFERROR(VLOOKUP(C3681,DATA!#REF!,2,FALSE),"")</f>
        <v/>
      </c>
    </row>
    <row r="3682" spans="3:4" s="230" customFormat="1">
      <c r="C3682" s="16" t="str">
        <f>IFERROR(VLOOKUP(DATA!#REF!,DATA!#REF!,1,FALSE),"")</f>
        <v/>
      </c>
      <c r="D3682" s="16" t="str">
        <f>IFERROR(VLOOKUP(C3682,DATA!#REF!,2,FALSE),"")</f>
        <v/>
      </c>
    </row>
    <row r="3683" spans="3:4" s="230" customFormat="1">
      <c r="C3683" s="16" t="str">
        <f>IFERROR(VLOOKUP(DATA!#REF!,DATA!#REF!,1,FALSE),"")</f>
        <v/>
      </c>
      <c r="D3683" s="16" t="str">
        <f>IFERROR(VLOOKUP(C3683,DATA!#REF!,2,FALSE),"")</f>
        <v/>
      </c>
    </row>
    <row r="3684" spans="3:4" s="230" customFormat="1">
      <c r="C3684" s="16" t="str">
        <f>IFERROR(VLOOKUP(DATA!#REF!,DATA!#REF!,1,FALSE),"")</f>
        <v/>
      </c>
      <c r="D3684" s="16" t="str">
        <f>IFERROR(VLOOKUP(C3684,DATA!#REF!,2,FALSE),"")</f>
        <v/>
      </c>
    </row>
    <row r="3685" spans="3:4" s="230" customFormat="1">
      <c r="C3685" s="16" t="str">
        <f>IFERROR(VLOOKUP(DATA!#REF!,DATA!#REF!,1,FALSE),"")</f>
        <v/>
      </c>
      <c r="D3685" s="16" t="str">
        <f>IFERROR(VLOOKUP(C3685,DATA!#REF!,2,FALSE),"")</f>
        <v/>
      </c>
    </row>
    <row r="3686" spans="3:4" s="230" customFormat="1">
      <c r="C3686" s="16" t="str">
        <f>IFERROR(VLOOKUP(DATA!#REF!,DATA!#REF!,1,FALSE),"")</f>
        <v/>
      </c>
      <c r="D3686" s="16" t="str">
        <f>IFERROR(VLOOKUP(C3686,DATA!#REF!,2,FALSE),"")</f>
        <v/>
      </c>
    </row>
    <row r="3687" spans="3:4" s="230" customFormat="1">
      <c r="C3687" s="16" t="str">
        <f>IFERROR(VLOOKUP(DATA!#REF!,DATA!#REF!,1,FALSE),"")</f>
        <v/>
      </c>
      <c r="D3687" s="16" t="str">
        <f>IFERROR(VLOOKUP(C3687,DATA!#REF!,2,FALSE),"")</f>
        <v/>
      </c>
    </row>
    <row r="3688" spans="3:4" s="230" customFormat="1">
      <c r="C3688" s="16" t="str">
        <f>IFERROR(VLOOKUP(DATA!#REF!,DATA!#REF!,1,FALSE),"")</f>
        <v/>
      </c>
      <c r="D3688" s="16" t="str">
        <f>IFERROR(VLOOKUP(C3688,DATA!#REF!,2,FALSE),"")</f>
        <v/>
      </c>
    </row>
    <row r="3689" spans="3:4" s="230" customFormat="1">
      <c r="C3689" s="16" t="str">
        <f>IFERROR(VLOOKUP(DATA!#REF!,DATA!#REF!,1,FALSE),"")</f>
        <v/>
      </c>
      <c r="D3689" s="16" t="str">
        <f>IFERROR(VLOOKUP(C3689,DATA!#REF!,2,FALSE),"")</f>
        <v/>
      </c>
    </row>
    <row r="3690" spans="3:4" s="230" customFormat="1">
      <c r="C3690" s="16" t="str">
        <f>IFERROR(VLOOKUP(DATA!#REF!,DATA!#REF!,1,FALSE),"")</f>
        <v/>
      </c>
      <c r="D3690" s="16" t="str">
        <f>IFERROR(VLOOKUP(C3690,DATA!#REF!,2,FALSE),"")</f>
        <v/>
      </c>
    </row>
    <row r="3691" spans="3:4" s="230" customFormat="1">
      <c r="C3691" s="16" t="str">
        <f>IFERROR(VLOOKUP(DATA!#REF!,DATA!#REF!,1,FALSE),"")</f>
        <v/>
      </c>
      <c r="D3691" s="16" t="str">
        <f>IFERROR(VLOOKUP(C3691,DATA!#REF!,2,FALSE),"")</f>
        <v/>
      </c>
    </row>
    <row r="3692" spans="3:4" s="230" customFormat="1">
      <c r="C3692" s="16" t="str">
        <f>IFERROR(VLOOKUP(DATA!#REF!,DATA!#REF!,1,FALSE),"")</f>
        <v/>
      </c>
      <c r="D3692" s="16" t="str">
        <f>IFERROR(VLOOKUP(C3692,DATA!#REF!,2,FALSE),"")</f>
        <v/>
      </c>
    </row>
    <row r="3693" spans="3:4" s="230" customFormat="1">
      <c r="C3693" s="16" t="str">
        <f>IFERROR(VLOOKUP(DATA!#REF!,DATA!#REF!,1,FALSE),"")</f>
        <v/>
      </c>
      <c r="D3693" s="16" t="str">
        <f>IFERROR(VLOOKUP(C3693,DATA!#REF!,2,FALSE),"")</f>
        <v/>
      </c>
    </row>
    <row r="3694" spans="3:4" s="230" customFormat="1">
      <c r="C3694" s="16" t="str">
        <f>IFERROR(VLOOKUP(DATA!#REF!,DATA!#REF!,1,FALSE),"")</f>
        <v/>
      </c>
      <c r="D3694" s="16" t="str">
        <f>IFERROR(VLOOKUP(C3694,DATA!#REF!,2,FALSE),"")</f>
        <v/>
      </c>
    </row>
    <row r="3695" spans="3:4" s="230" customFormat="1">
      <c r="C3695" s="16" t="str">
        <f>IFERROR(VLOOKUP(DATA!#REF!,DATA!#REF!,1,FALSE),"")</f>
        <v/>
      </c>
      <c r="D3695" s="16" t="str">
        <f>IFERROR(VLOOKUP(C3695,DATA!#REF!,2,FALSE),"")</f>
        <v/>
      </c>
    </row>
    <row r="3696" spans="3:4" s="230" customFormat="1">
      <c r="C3696" s="16" t="str">
        <f>IFERROR(VLOOKUP(DATA!#REF!,DATA!#REF!,1,FALSE),"")</f>
        <v/>
      </c>
      <c r="D3696" s="16" t="str">
        <f>IFERROR(VLOOKUP(C3696,DATA!#REF!,2,FALSE),"")</f>
        <v/>
      </c>
    </row>
    <row r="3697" spans="3:4" s="230" customFormat="1">
      <c r="C3697" s="16" t="str">
        <f>IFERROR(VLOOKUP(DATA!#REF!,DATA!#REF!,1,FALSE),"")</f>
        <v/>
      </c>
      <c r="D3697" s="16" t="str">
        <f>IFERROR(VLOOKUP(C3697,DATA!#REF!,2,FALSE),"")</f>
        <v/>
      </c>
    </row>
    <row r="3698" spans="3:4" s="230" customFormat="1">
      <c r="C3698" s="16" t="str">
        <f>IFERROR(VLOOKUP(DATA!#REF!,DATA!#REF!,1,FALSE),"")</f>
        <v/>
      </c>
      <c r="D3698" s="16" t="str">
        <f>IFERROR(VLOOKUP(C3698,DATA!#REF!,2,FALSE),"")</f>
        <v/>
      </c>
    </row>
    <row r="3699" spans="3:4" s="230" customFormat="1">
      <c r="C3699" s="16" t="str">
        <f>IFERROR(VLOOKUP(DATA!#REF!,DATA!#REF!,1,FALSE),"")</f>
        <v/>
      </c>
      <c r="D3699" s="16" t="str">
        <f>IFERROR(VLOOKUP(C3699,DATA!#REF!,2,FALSE),"")</f>
        <v/>
      </c>
    </row>
    <row r="3700" spans="3:4" s="230" customFormat="1">
      <c r="C3700" s="16" t="str">
        <f>IFERROR(VLOOKUP(DATA!#REF!,DATA!#REF!,1,FALSE),"")</f>
        <v/>
      </c>
      <c r="D3700" s="16" t="str">
        <f>IFERROR(VLOOKUP(C3700,DATA!#REF!,2,FALSE),"")</f>
        <v/>
      </c>
    </row>
    <row r="3701" spans="3:4" s="230" customFormat="1">
      <c r="C3701" s="16" t="str">
        <f>IFERROR(VLOOKUP(DATA!#REF!,DATA!#REF!,1,FALSE),"")</f>
        <v/>
      </c>
      <c r="D3701" s="16" t="str">
        <f>IFERROR(VLOOKUP(C3701,DATA!#REF!,2,FALSE),"")</f>
        <v/>
      </c>
    </row>
    <row r="3702" spans="3:4" s="230" customFormat="1">
      <c r="C3702" s="16" t="str">
        <f>IFERROR(VLOOKUP(DATA!#REF!,DATA!#REF!,1,FALSE),"")</f>
        <v/>
      </c>
      <c r="D3702" s="16" t="str">
        <f>IFERROR(VLOOKUP(C3702,DATA!#REF!,2,FALSE),"")</f>
        <v/>
      </c>
    </row>
    <row r="3703" spans="3:4" s="230" customFormat="1">
      <c r="C3703" s="16" t="str">
        <f>IFERROR(VLOOKUP(DATA!#REF!,DATA!#REF!,1,FALSE),"")</f>
        <v/>
      </c>
      <c r="D3703" s="16" t="str">
        <f>IFERROR(VLOOKUP(C3703,DATA!#REF!,2,FALSE),"")</f>
        <v/>
      </c>
    </row>
    <row r="3704" spans="3:4" s="230" customFormat="1">
      <c r="C3704" s="16" t="str">
        <f>IFERROR(VLOOKUP(DATA!#REF!,DATA!#REF!,1,FALSE),"")</f>
        <v/>
      </c>
      <c r="D3704" s="16" t="str">
        <f>IFERROR(VLOOKUP(C3704,DATA!#REF!,2,FALSE),"")</f>
        <v/>
      </c>
    </row>
    <row r="3705" spans="3:4" s="230" customFormat="1">
      <c r="C3705" s="16" t="str">
        <f>IFERROR(VLOOKUP(DATA!#REF!,DATA!#REF!,1,FALSE),"")</f>
        <v/>
      </c>
      <c r="D3705" s="16" t="str">
        <f>IFERROR(VLOOKUP(C3705,DATA!#REF!,2,FALSE),"")</f>
        <v/>
      </c>
    </row>
    <row r="3706" spans="3:4" s="230" customFormat="1">
      <c r="C3706" s="16" t="str">
        <f>IFERROR(VLOOKUP(DATA!#REF!,DATA!#REF!,1,FALSE),"")</f>
        <v/>
      </c>
      <c r="D3706" s="16" t="str">
        <f>IFERROR(VLOOKUP(C3706,DATA!#REF!,2,FALSE),"")</f>
        <v/>
      </c>
    </row>
    <row r="3707" spans="3:4" s="230" customFormat="1">
      <c r="C3707" s="16" t="str">
        <f>IFERROR(VLOOKUP(DATA!#REF!,DATA!#REF!,1,FALSE),"")</f>
        <v/>
      </c>
      <c r="D3707" s="16" t="str">
        <f>IFERROR(VLOOKUP(C3707,DATA!#REF!,2,FALSE),"")</f>
        <v/>
      </c>
    </row>
    <row r="3708" spans="3:4" s="230" customFormat="1">
      <c r="C3708" s="16" t="str">
        <f>IFERROR(VLOOKUP(DATA!#REF!,DATA!#REF!,1,FALSE),"")</f>
        <v/>
      </c>
      <c r="D3708" s="16" t="str">
        <f>IFERROR(VLOOKUP(C3708,DATA!#REF!,2,FALSE),"")</f>
        <v/>
      </c>
    </row>
    <row r="3709" spans="3:4" s="230" customFormat="1">
      <c r="C3709" s="16" t="str">
        <f>IFERROR(VLOOKUP(DATA!#REF!,DATA!#REF!,1,FALSE),"")</f>
        <v/>
      </c>
      <c r="D3709" s="16" t="str">
        <f>IFERROR(VLOOKUP(C3709,DATA!#REF!,2,FALSE),"")</f>
        <v/>
      </c>
    </row>
    <row r="3710" spans="3:4" s="230" customFormat="1">
      <c r="C3710" s="16" t="str">
        <f>IFERROR(VLOOKUP(DATA!#REF!,DATA!#REF!,1,FALSE),"")</f>
        <v/>
      </c>
      <c r="D3710" s="16" t="str">
        <f>IFERROR(VLOOKUP(C3710,DATA!#REF!,2,FALSE),"")</f>
        <v/>
      </c>
    </row>
    <row r="3711" spans="3:4" s="230" customFormat="1">
      <c r="C3711" s="16" t="str">
        <f>IFERROR(VLOOKUP(DATA!#REF!,DATA!#REF!,1,FALSE),"")</f>
        <v/>
      </c>
      <c r="D3711" s="16" t="str">
        <f>IFERROR(VLOOKUP(C3711,DATA!#REF!,2,FALSE),"")</f>
        <v/>
      </c>
    </row>
    <row r="3712" spans="3:4" s="230" customFormat="1">
      <c r="C3712" s="16" t="str">
        <f>IFERROR(VLOOKUP(DATA!#REF!,DATA!#REF!,1,FALSE),"")</f>
        <v/>
      </c>
      <c r="D3712" s="16" t="str">
        <f>IFERROR(VLOOKUP(C3712,DATA!#REF!,2,FALSE),"")</f>
        <v/>
      </c>
    </row>
    <row r="3713" spans="3:4" s="230" customFormat="1">
      <c r="C3713" s="16" t="str">
        <f>IFERROR(VLOOKUP(DATA!#REF!,DATA!#REF!,1,FALSE),"")</f>
        <v/>
      </c>
      <c r="D3713" s="16" t="str">
        <f>IFERROR(VLOOKUP(C3713,DATA!#REF!,2,FALSE),"")</f>
        <v/>
      </c>
    </row>
    <row r="3714" spans="3:4" s="230" customFormat="1">
      <c r="C3714" s="16" t="str">
        <f>IFERROR(VLOOKUP(DATA!#REF!,DATA!#REF!,1,FALSE),"")</f>
        <v/>
      </c>
      <c r="D3714" s="16" t="str">
        <f>IFERROR(VLOOKUP(C3714,DATA!#REF!,2,FALSE),"")</f>
        <v/>
      </c>
    </row>
    <row r="3715" spans="3:4" s="230" customFormat="1">
      <c r="C3715" s="16" t="str">
        <f>IFERROR(VLOOKUP(DATA!#REF!,DATA!#REF!,1,FALSE),"")</f>
        <v/>
      </c>
      <c r="D3715" s="16" t="str">
        <f>IFERROR(VLOOKUP(C3715,DATA!#REF!,2,FALSE),"")</f>
        <v/>
      </c>
    </row>
    <row r="3716" spans="3:4" s="230" customFormat="1">
      <c r="C3716" s="16" t="str">
        <f>IFERROR(VLOOKUP(DATA!#REF!,DATA!#REF!,1,FALSE),"")</f>
        <v/>
      </c>
      <c r="D3716" s="16" t="str">
        <f>IFERROR(VLOOKUP(C3716,DATA!#REF!,2,FALSE),"")</f>
        <v/>
      </c>
    </row>
    <row r="3717" spans="3:4" s="230" customFormat="1">
      <c r="C3717" s="16" t="str">
        <f>IFERROR(VLOOKUP(DATA!#REF!,DATA!#REF!,1,FALSE),"")</f>
        <v/>
      </c>
      <c r="D3717" s="16" t="str">
        <f>IFERROR(VLOOKUP(C3717,DATA!#REF!,2,FALSE),"")</f>
        <v/>
      </c>
    </row>
    <row r="3718" spans="3:4" s="230" customFormat="1">
      <c r="C3718" s="16" t="str">
        <f>IFERROR(VLOOKUP(DATA!#REF!,DATA!#REF!,1,FALSE),"")</f>
        <v/>
      </c>
      <c r="D3718" s="16" t="str">
        <f>IFERROR(VLOOKUP(C3718,DATA!#REF!,2,FALSE),"")</f>
        <v/>
      </c>
    </row>
    <row r="3719" spans="3:4" s="230" customFormat="1">
      <c r="C3719" s="16" t="str">
        <f>IFERROR(VLOOKUP(DATA!#REF!,DATA!#REF!,1,FALSE),"")</f>
        <v/>
      </c>
      <c r="D3719" s="16" t="str">
        <f>IFERROR(VLOOKUP(C3719,DATA!#REF!,2,FALSE),"")</f>
        <v/>
      </c>
    </row>
    <row r="3720" spans="3:4" s="230" customFormat="1">
      <c r="C3720" s="16" t="str">
        <f>IFERROR(VLOOKUP(DATA!#REF!,DATA!#REF!,1,FALSE),"")</f>
        <v/>
      </c>
      <c r="D3720" s="16" t="str">
        <f>IFERROR(VLOOKUP(C3720,DATA!#REF!,2,FALSE),"")</f>
        <v/>
      </c>
    </row>
    <row r="3721" spans="3:4" s="230" customFormat="1">
      <c r="C3721" s="16" t="str">
        <f>IFERROR(VLOOKUP(DATA!#REF!,DATA!#REF!,1,FALSE),"")</f>
        <v/>
      </c>
      <c r="D3721" s="16" t="str">
        <f>IFERROR(VLOOKUP(C3721,DATA!#REF!,2,FALSE),"")</f>
        <v/>
      </c>
    </row>
    <row r="3722" spans="3:4" s="230" customFormat="1">
      <c r="C3722" s="16" t="str">
        <f>IFERROR(VLOOKUP(DATA!#REF!,DATA!#REF!,1,FALSE),"")</f>
        <v/>
      </c>
      <c r="D3722" s="16" t="str">
        <f>IFERROR(VLOOKUP(C3722,DATA!#REF!,2,FALSE),"")</f>
        <v/>
      </c>
    </row>
    <row r="3723" spans="3:4" s="230" customFormat="1">
      <c r="C3723" s="16" t="str">
        <f>IFERROR(VLOOKUP(DATA!#REF!,DATA!#REF!,1,FALSE),"")</f>
        <v/>
      </c>
      <c r="D3723" s="16" t="str">
        <f>IFERROR(VLOOKUP(C3723,DATA!#REF!,2,FALSE),"")</f>
        <v/>
      </c>
    </row>
    <row r="3724" spans="3:4" s="230" customFormat="1">
      <c r="C3724" s="16" t="str">
        <f>IFERROR(VLOOKUP(DATA!#REF!,DATA!#REF!,1,FALSE),"")</f>
        <v/>
      </c>
      <c r="D3724" s="16" t="str">
        <f>IFERROR(VLOOKUP(C3724,DATA!#REF!,2,FALSE),"")</f>
        <v/>
      </c>
    </row>
    <row r="3725" spans="3:4" s="230" customFormat="1">
      <c r="C3725" s="16" t="str">
        <f>IFERROR(VLOOKUP(DATA!#REF!,DATA!#REF!,1,FALSE),"")</f>
        <v/>
      </c>
      <c r="D3725" s="16" t="str">
        <f>IFERROR(VLOOKUP(C3725,DATA!#REF!,2,FALSE),"")</f>
        <v/>
      </c>
    </row>
    <row r="3726" spans="3:4" s="230" customFormat="1">
      <c r="C3726" s="16" t="str">
        <f>IFERROR(VLOOKUP(DATA!#REF!,DATA!#REF!,1,FALSE),"")</f>
        <v/>
      </c>
      <c r="D3726" s="16" t="str">
        <f>IFERROR(VLOOKUP(C3726,DATA!#REF!,2,FALSE),"")</f>
        <v/>
      </c>
    </row>
    <row r="3727" spans="3:4" s="230" customFormat="1">
      <c r="C3727" s="16" t="str">
        <f>IFERROR(VLOOKUP(DATA!#REF!,DATA!#REF!,1,FALSE),"")</f>
        <v/>
      </c>
      <c r="D3727" s="16" t="str">
        <f>IFERROR(VLOOKUP(C3727,DATA!#REF!,2,FALSE),"")</f>
        <v/>
      </c>
    </row>
    <row r="3728" spans="3:4" s="230" customFormat="1">
      <c r="C3728" s="16" t="str">
        <f>IFERROR(VLOOKUP(DATA!#REF!,DATA!#REF!,1,FALSE),"")</f>
        <v/>
      </c>
      <c r="D3728" s="16" t="str">
        <f>IFERROR(VLOOKUP(C3728,DATA!#REF!,2,FALSE),"")</f>
        <v/>
      </c>
    </row>
    <row r="3729" spans="3:4" s="230" customFormat="1">
      <c r="C3729" s="16" t="str">
        <f>IFERROR(VLOOKUP(DATA!#REF!,DATA!#REF!,1,FALSE),"")</f>
        <v/>
      </c>
      <c r="D3729" s="16" t="str">
        <f>IFERROR(VLOOKUP(C3729,DATA!#REF!,2,FALSE),"")</f>
        <v/>
      </c>
    </row>
    <row r="3730" spans="3:4" s="230" customFormat="1">
      <c r="C3730" s="16" t="str">
        <f>IFERROR(VLOOKUP(DATA!#REF!,DATA!#REF!,1,FALSE),"")</f>
        <v/>
      </c>
      <c r="D3730" s="16" t="str">
        <f>IFERROR(VLOOKUP(C3730,DATA!#REF!,2,FALSE),"")</f>
        <v/>
      </c>
    </row>
    <row r="3731" spans="3:4" s="230" customFormat="1">
      <c r="C3731" s="16" t="str">
        <f>IFERROR(VLOOKUP(DATA!#REF!,DATA!#REF!,1,FALSE),"")</f>
        <v/>
      </c>
      <c r="D3731" s="16" t="str">
        <f>IFERROR(VLOOKUP(C3731,DATA!#REF!,2,FALSE),"")</f>
        <v/>
      </c>
    </row>
    <row r="3732" spans="3:4" s="230" customFormat="1">
      <c r="C3732" s="16" t="str">
        <f>IFERROR(VLOOKUP(DATA!#REF!,DATA!#REF!,1,FALSE),"")</f>
        <v/>
      </c>
      <c r="D3732" s="16" t="str">
        <f>IFERROR(VLOOKUP(C3732,DATA!#REF!,2,FALSE),"")</f>
        <v/>
      </c>
    </row>
    <row r="3733" spans="3:4" s="230" customFormat="1">
      <c r="C3733" s="16" t="str">
        <f>IFERROR(VLOOKUP(DATA!#REF!,DATA!#REF!,1,FALSE),"")</f>
        <v/>
      </c>
      <c r="D3733" s="16" t="str">
        <f>IFERROR(VLOOKUP(C3733,DATA!#REF!,2,FALSE),"")</f>
        <v/>
      </c>
    </row>
    <row r="3734" spans="3:4" s="230" customFormat="1">
      <c r="C3734" s="16" t="str">
        <f>IFERROR(VLOOKUP(DATA!#REF!,DATA!#REF!,1,FALSE),"")</f>
        <v/>
      </c>
      <c r="D3734" s="16" t="str">
        <f>IFERROR(VLOOKUP(C3734,DATA!#REF!,2,FALSE),"")</f>
        <v/>
      </c>
    </row>
    <row r="3735" spans="3:4" s="230" customFormat="1">
      <c r="C3735" s="16" t="str">
        <f>IFERROR(VLOOKUP(DATA!#REF!,DATA!#REF!,1,FALSE),"")</f>
        <v/>
      </c>
      <c r="D3735" s="16" t="str">
        <f>IFERROR(VLOOKUP(C3735,DATA!#REF!,2,FALSE),"")</f>
        <v/>
      </c>
    </row>
    <row r="3736" spans="3:4" s="230" customFormat="1">
      <c r="C3736" s="16" t="str">
        <f>IFERROR(VLOOKUP(DATA!#REF!,DATA!#REF!,1,FALSE),"")</f>
        <v/>
      </c>
      <c r="D3736" s="16" t="str">
        <f>IFERROR(VLOOKUP(C3736,DATA!#REF!,2,FALSE),"")</f>
        <v/>
      </c>
    </row>
    <row r="3737" spans="3:4" s="230" customFormat="1">
      <c r="C3737" s="16" t="str">
        <f>IFERROR(VLOOKUP(DATA!#REF!,DATA!#REF!,1,FALSE),"")</f>
        <v/>
      </c>
      <c r="D3737" s="16" t="str">
        <f>IFERROR(VLOOKUP(C3737,DATA!#REF!,2,FALSE),"")</f>
        <v/>
      </c>
    </row>
    <row r="3738" spans="3:4" s="230" customFormat="1">
      <c r="C3738" s="16" t="str">
        <f>IFERROR(VLOOKUP(DATA!#REF!,DATA!#REF!,1,FALSE),"")</f>
        <v/>
      </c>
      <c r="D3738" s="16" t="str">
        <f>IFERROR(VLOOKUP(C3738,DATA!#REF!,2,FALSE),"")</f>
        <v/>
      </c>
    </row>
    <row r="3739" spans="3:4" s="230" customFormat="1">
      <c r="C3739" s="16" t="str">
        <f>IFERROR(VLOOKUP(DATA!#REF!,DATA!#REF!,1,FALSE),"")</f>
        <v/>
      </c>
      <c r="D3739" s="16" t="str">
        <f>IFERROR(VLOOKUP(C3739,DATA!#REF!,2,FALSE),"")</f>
        <v/>
      </c>
    </row>
    <row r="3740" spans="3:4" s="230" customFormat="1">
      <c r="C3740" s="16" t="str">
        <f>IFERROR(VLOOKUP(DATA!#REF!,DATA!#REF!,1,FALSE),"")</f>
        <v/>
      </c>
      <c r="D3740" s="16" t="str">
        <f>IFERROR(VLOOKUP(C3740,DATA!#REF!,2,FALSE),"")</f>
        <v/>
      </c>
    </row>
    <row r="3741" spans="3:4" s="230" customFormat="1">
      <c r="C3741" s="16" t="str">
        <f>IFERROR(VLOOKUP(DATA!#REF!,DATA!#REF!,1,FALSE),"")</f>
        <v/>
      </c>
      <c r="D3741" s="16" t="str">
        <f>IFERROR(VLOOKUP(C3741,DATA!#REF!,2,FALSE),"")</f>
        <v/>
      </c>
    </row>
    <row r="3742" spans="3:4" s="230" customFormat="1">
      <c r="C3742" s="16" t="str">
        <f>IFERROR(VLOOKUP(DATA!#REF!,DATA!#REF!,1,FALSE),"")</f>
        <v/>
      </c>
      <c r="D3742" s="16" t="str">
        <f>IFERROR(VLOOKUP(C3742,DATA!#REF!,2,FALSE),"")</f>
        <v/>
      </c>
    </row>
    <row r="3743" spans="3:4" s="230" customFormat="1">
      <c r="C3743" s="16" t="str">
        <f>IFERROR(VLOOKUP(DATA!#REF!,DATA!#REF!,1,FALSE),"")</f>
        <v/>
      </c>
      <c r="D3743" s="16" t="str">
        <f>IFERROR(VLOOKUP(C3743,DATA!#REF!,2,FALSE),"")</f>
        <v/>
      </c>
    </row>
    <row r="3744" spans="3:4" s="230" customFormat="1">
      <c r="C3744" s="16" t="str">
        <f>IFERROR(VLOOKUP(DATA!#REF!,DATA!#REF!,1,FALSE),"")</f>
        <v/>
      </c>
      <c r="D3744" s="16" t="str">
        <f>IFERROR(VLOOKUP(C3744,DATA!#REF!,2,FALSE),"")</f>
        <v/>
      </c>
    </row>
    <row r="3745" spans="3:4" s="230" customFormat="1">
      <c r="C3745" s="16" t="str">
        <f>IFERROR(VLOOKUP(DATA!#REF!,DATA!#REF!,1,FALSE),"")</f>
        <v/>
      </c>
      <c r="D3745" s="16" t="str">
        <f>IFERROR(VLOOKUP(C3745,DATA!#REF!,2,FALSE),"")</f>
        <v/>
      </c>
    </row>
    <row r="3746" spans="3:4" s="230" customFormat="1">
      <c r="C3746" s="16" t="str">
        <f>IFERROR(VLOOKUP(DATA!#REF!,DATA!#REF!,1,FALSE),"")</f>
        <v/>
      </c>
      <c r="D3746" s="16" t="str">
        <f>IFERROR(VLOOKUP(C3746,DATA!#REF!,2,FALSE),"")</f>
        <v/>
      </c>
    </row>
    <row r="3747" spans="3:4" s="230" customFormat="1">
      <c r="C3747" s="16" t="str">
        <f>IFERROR(VLOOKUP(DATA!#REF!,DATA!#REF!,1,FALSE),"")</f>
        <v/>
      </c>
      <c r="D3747" s="16" t="str">
        <f>IFERROR(VLOOKUP(C3747,DATA!#REF!,2,FALSE),"")</f>
        <v/>
      </c>
    </row>
    <row r="3748" spans="3:4" s="230" customFormat="1">
      <c r="C3748" s="16" t="str">
        <f>IFERROR(VLOOKUP(DATA!#REF!,DATA!#REF!,1,FALSE),"")</f>
        <v/>
      </c>
      <c r="D3748" s="16" t="str">
        <f>IFERROR(VLOOKUP(C3748,DATA!#REF!,2,FALSE),"")</f>
        <v/>
      </c>
    </row>
    <row r="3749" spans="3:4" s="230" customFormat="1">
      <c r="C3749" s="16" t="str">
        <f>IFERROR(VLOOKUP(DATA!#REF!,DATA!#REF!,1,FALSE),"")</f>
        <v/>
      </c>
      <c r="D3749" s="16" t="str">
        <f>IFERROR(VLOOKUP(C3749,DATA!#REF!,2,FALSE),"")</f>
        <v/>
      </c>
    </row>
    <row r="3750" spans="3:4" s="230" customFormat="1">
      <c r="C3750" s="16" t="str">
        <f>IFERROR(VLOOKUP(DATA!#REF!,DATA!#REF!,1,FALSE),"")</f>
        <v/>
      </c>
      <c r="D3750" s="16" t="str">
        <f>IFERROR(VLOOKUP(C3750,DATA!#REF!,2,FALSE),"")</f>
        <v/>
      </c>
    </row>
    <row r="3751" spans="3:4" s="230" customFormat="1">
      <c r="C3751" s="16" t="str">
        <f>IFERROR(VLOOKUP(DATA!#REF!,DATA!#REF!,1,FALSE),"")</f>
        <v/>
      </c>
      <c r="D3751" s="16" t="str">
        <f>IFERROR(VLOOKUP(C3751,DATA!#REF!,2,FALSE),"")</f>
        <v/>
      </c>
    </row>
    <row r="3752" spans="3:4" s="230" customFormat="1">
      <c r="C3752" s="16" t="str">
        <f>IFERROR(VLOOKUP(DATA!#REF!,DATA!#REF!,1,FALSE),"")</f>
        <v/>
      </c>
      <c r="D3752" s="16" t="str">
        <f>IFERROR(VLOOKUP(C3752,DATA!#REF!,2,FALSE),"")</f>
        <v/>
      </c>
    </row>
    <row r="3753" spans="3:4" s="230" customFormat="1">
      <c r="C3753" s="16" t="str">
        <f>IFERROR(VLOOKUP(DATA!#REF!,DATA!#REF!,1,FALSE),"")</f>
        <v/>
      </c>
      <c r="D3753" s="16" t="str">
        <f>IFERROR(VLOOKUP(C3753,DATA!#REF!,2,FALSE),"")</f>
        <v/>
      </c>
    </row>
    <row r="3754" spans="3:4" s="230" customFormat="1">
      <c r="C3754" s="16" t="str">
        <f>IFERROR(VLOOKUP(DATA!#REF!,DATA!#REF!,1,FALSE),"")</f>
        <v/>
      </c>
      <c r="D3754" s="16" t="str">
        <f>IFERROR(VLOOKUP(C3754,DATA!#REF!,2,FALSE),"")</f>
        <v/>
      </c>
    </row>
    <row r="3755" spans="3:4" s="230" customFormat="1">
      <c r="C3755" s="16" t="str">
        <f>IFERROR(VLOOKUP(DATA!#REF!,DATA!#REF!,1,FALSE),"")</f>
        <v/>
      </c>
      <c r="D3755" s="16" t="str">
        <f>IFERROR(VLOOKUP(C3755,DATA!#REF!,2,FALSE),"")</f>
        <v/>
      </c>
    </row>
    <row r="3756" spans="3:4" s="230" customFormat="1">
      <c r="C3756" s="16" t="str">
        <f>IFERROR(VLOOKUP(DATA!#REF!,DATA!#REF!,1,FALSE),"")</f>
        <v/>
      </c>
      <c r="D3756" s="16" t="str">
        <f>IFERROR(VLOOKUP(C3756,DATA!#REF!,2,FALSE),"")</f>
        <v/>
      </c>
    </row>
    <row r="3757" spans="3:4" s="230" customFormat="1">
      <c r="C3757" s="16" t="str">
        <f>IFERROR(VLOOKUP(DATA!#REF!,DATA!#REF!,1,FALSE),"")</f>
        <v/>
      </c>
      <c r="D3757" s="16" t="str">
        <f>IFERROR(VLOOKUP(C3757,DATA!#REF!,2,FALSE),"")</f>
        <v/>
      </c>
    </row>
    <row r="3758" spans="3:4" s="230" customFormat="1">
      <c r="C3758" s="16" t="str">
        <f>IFERROR(VLOOKUP(DATA!#REF!,DATA!#REF!,1,FALSE),"")</f>
        <v/>
      </c>
      <c r="D3758" s="16" t="str">
        <f>IFERROR(VLOOKUP(C3758,DATA!#REF!,2,FALSE),"")</f>
        <v/>
      </c>
    </row>
    <row r="3759" spans="3:4" s="230" customFormat="1">
      <c r="C3759" s="16" t="str">
        <f>IFERROR(VLOOKUP(DATA!#REF!,DATA!#REF!,1,FALSE),"")</f>
        <v/>
      </c>
      <c r="D3759" s="16" t="str">
        <f>IFERROR(VLOOKUP(C3759,DATA!#REF!,2,FALSE),"")</f>
        <v/>
      </c>
    </row>
    <row r="3760" spans="3:4" s="230" customFormat="1">
      <c r="C3760" s="16" t="str">
        <f>IFERROR(VLOOKUP(DATA!#REF!,DATA!#REF!,1,FALSE),"")</f>
        <v/>
      </c>
      <c r="D3760" s="16" t="str">
        <f>IFERROR(VLOOKUP(C3760,DATA!#REF!,2,FALSE),"")</f>
        <v/>
      </c>
    </row>
    <row r="3761" spans="3:4" s="230" customFormat="1">
      <c r="C3761" s="16" t="str">
        <f>IFERROR(VLOOKUP(DATA!#REF!,DATA!#REF!,1,FALSE),"")</f>
        <v/>
      </c>
      <c r="D3761" s="16" t="str">
        <f>IFERROR(VLOOKUP(C3761,DATA!#REF!,2,FALSE),"")</f>
        <v/>
      </c>
    </row>
    <row r="3762" spans="3:4" s="230" customFormat="1">
      <c r="C3762" s="16" t="str">
        <f>IFERROR(VLOOKUP(DATA!#REF!,DATA!#REF!,1,FALSE),"")</f>
        <v/>
      </c>
      <c r="D3762" s="16" t="str">
        <f>IFERROR(VLOOKUP(C3762,DATA!#REF!,2,FALSE),"")</f>
        <v/>
      </c>
    </row>
    <row r="3763" spans="3:4" s="230" customFormat="1">
      <c r="C3763" s="16" t="str">
        <f>IFERROR(VLOOKUP(DATA!#REF!,DATA!#REF!,1,FALSE),"")</f>
        <v/>
      </c>
      <c r="D3763" s="16" t="str">
        <f>IFERROR(VLOOKUP(C3763,DATA!#REF!,2,FALSE),"")</f>
        <v/>
      </c>
    </row>
    <row r="3764" spans="3:4" s="230" customFormat="1">
      <c r="C3764" s="16" t="str">
        <f>IFERROR(VLOOKUP(DATA!#REF!,DATA!#REF!,1,FALSE),"")</f>
        <v/>
      </c>
      <c r="D3764" s="16" t="str">
        <f>IFERROR(VLOOKUP(C3764,DATA!#REF!,2,FALSE),"")</f>
        <v/>
      </c>
    </row>
    <row r="3765" spans="3:4" s="230" customFormat="1">
      <c r="C3765" s="16" t="str">
        <f>IFERROR(VLOOKUP(DATA!#REF!,DATA!#REF!,1,FALSE),"")</f>
        <v/>
      </c>
      <c r="D3765" s="16" t="str">
        <f>IFERROR(VLOOKUP(C3765,DATA!#REF!,2,FALSE),"")</f>
        <v/>
      </c>
    </row>
    <row r="3766" spans="3:4" s="230" customFormat="1">
      <c r="C3766" s="16" t="str">
        <f>IFERROR(VLOOKUP(DATA!#REF!,DATA!#REF!,1,FALSE),"")</f>
        <v/>
      </c>
      <c r="D3766" s="16" t="str">
        <f>IFERROR(VLOOKUP(C3766,DATA!#REF!,2,FALSE),"")</f>
        <v/>
      </c>
    </row>
    <row r="3767" spans="3:4" s="230" customFormat="1">
      <c r="C3767" s="16" t="str">
        <f>IFERROR(VLOOKUP(DATA!#REF!,DATA!#REF!,1,FALSE),"")</f>
        <v/>
      </c>
      <c r="D3767" s="16" t="str">
        <f>IFERROR(VLOOKUP(C3767,DATA!#REF!,2,FALSE),"")</f>
        <v/>
      </c>
    </row>
    <row r="3768" spans="3:4" s="230" customFormat="1">
      <c r="C3768" s="16" t="str">
        <f>IFERROR(VLOOKUP(DATA!#REF!,DATA!#REF!,1,FALSE),"")</f>
        <v/>
      </c>
      <c r="D3768" s="16" t="str">
        <f>IFERROR(VLOOKUP(C3768,DATA!#REF!,2,FALSE),"")</f>
        <v/>
      </c>
    </row>
    <row r="3769" spans="3:4" s="230" customFormat="1">
      <c r="C3769" s="16" t="str">
        <f>IFERROR(VLOOKUP(DATA!#REF!,DATA!#REF!,1,FALSE),"")</f>
        <v/>
      </c>
      <c r="D3769" s="16" t="str">
        <f>IFERROR(VLOOKUP(C3769,DATA!#REF!,2,FALSE),"")</f>
        <v/>
      </c>
    </row>
    <row r="3770" spans="3:4" s="230" customFormat="1">
      <c r="C3770" s="16" t="str">
        <f>IFERROR(VLOOKUP(DATA!#REF!,DATA!#REF!,1,FALSE),"")</f>
        <v/>
      </c>
      <c r="D3770" s="16" t="str">
        <f>IFERROR(VLOOKUP(C3770,DATA!#REF!,2,FALSE),"")</f>
        <v/>
      </c>
    </row>
    <row r="3771" spans="3:4" s="230" customFormat="1">
      <c r="C3771" s="16" t="str">
        <f>IFERROR(VLOOKUP(DATA!#REF!,DATA!#REF!,1,FALSE),"")</f>
        <v/>
      </c>
      <c r="D3771" s="16" t="str">
        <f>IFERROR(VLOOKUP(C3771,DATA!#REF!,2,FALSE),"")</f>
        <v/>
      </c>
    </row>
    <row r="3772" spans="3:4" s="230" customFormat="1">
      <c r="C3772" s="16" t="str">
        <f>IFERROR(VLOOKUP(DATA!#REF!,DATA!#REF!,1,FALSE),"")</f>
        <v/>
      </c>
      <c r="D3772" s="16" t="str">
        <f>IFERROR(VLOOKUP(C3772,DATA!#REF!,2,FALSE),"")</f>
        <v/>
      </c>
    </row>
    <row r="3773" spans="3:4" s="230" customFormat="1">
      <c r="C3773" s="16" t="str">
        <f>IFERROR(VLOOKUP(DATA!#REF!,DATA!#REF!,1,FALSE),"")</f>
        <v/>
      </c>
      <c r="D3773" s="16" t="str">
        <f>IFERROR(VLOOKUP(C3773,DATA!#REF!,2,FALSE),"")</f>
        <v/>
      </c>
    </row>
    <row r="3774" spans="3:4" s="230" customFormat="1">
      <c r="C3774" s="16" t="str">
        <f>IFERROR(VLOOKUP(DATA!#REF!,DATA!#REF!,1,FALSE),"")</f>
        <v/>
      </c>
      <c r="D3774" s="16" t="str">
        <f>IFERROR(VLOOKUP(C3774,DATA!#REF!,2,FALSE),"")</f>
        <v/>
      </c>
    </row>
    <row r="3775" spans="3:4" s="230" customFormat="1">
      <c r="C3775" s="16" t="str">
        <f>IFERROR(VLOOKUP(DATA!#REF!,DATA!#REF!,1,FALSE),"")</f>
        <v/>
      </c>
      <c r="D3775" s="16" t="str">
        <f>IFERROR(VLOOKUP(C3775,DATA!#REF!,2,FALSE),"")</f>
        <v/>
      </c>
    </row>
    <row r="3776" spans="3:4" s="230" customFormat="1">
      <c r="C3776" s="16" t="str">
        <f>IFERROR(VLOOKUP(DATA!#REF!,DATA!#REF!,1,FALSE),"")</f>
        <v/>
      </c>
      <c r="D3776" s="16" t="str">
        <f>IFERROR(VLOOKUP(C3776,DATA!#REF!,2,FALSE),"")</f>
        <v/>
      </c>
    </row>
    <row r="3777" spans="3:4" s="230" customFormat="1">
      <c r="C3777" s="16" t="str">
        <f>IFERROR(VLOOKUP(DATA!#REF!,DATA!#REF!,1,FALSE),"")</f>
        <v/>
      </c>
      <c r="D3777" s="16" t="str">
        <f>IFERROR(VLOOKUP(C3777,DATA!#REF!,2,FALSE),"")</f>
        <v/>
      </c>
    </row>
    <row r="3778" spans="3:4" s="230" customFormat="1">
      <c r="C3778" s="16" t="str">
        <f>IFERROR(VLOOKUP(DATA!#REF!,DATA!#REF!,1,FALSE),"")</f>
        <v/>
      </c>
      <c r="D3778" s="16" t="str">
        <f>IFERROR(VLOOKUP(C3778,DATA!#REF!,2,FALSE),"")</f>
        <v/>
      </c>
    </row>
    <row r="3779" spans="3:4" s="230" customFormat="1">
      <c r="C3779" s="16" t="str">
        <f>IFERROR(VLOOKUP(DATA!#REF!,DATA!#REF!,1,FALSE),"")</f>
        <v/>
      </c>
      <c r="D3779" s="16" t="str">
        <f>IFERROR(VLOOKUP(C3779,DATA!#REF!,2,FALSE),"")</f>
        <v/>
      </c>
    </row>
    <row r="3780" spans="3:4" s="230" customFormat="1">
      <c r="C3780" s="16" t="str">
        <f>IFERROR(VLOOKUP(DATA!#REF!,DATA!#REF!,1,FALSE),"")</f>
        <v/>
      </c>
      <c r="D3780" s="16" t="str">
        <f>IFERROR(VLOOKUP(C3780,DATA!#REF!,2,FALSE),"")</f>
        <v/>
      </c>
    </row>
    <row r="3781" spans="3:4" s="230" customFormat="1">
      <c r="C3781" s="16" t="str">
        <f>IFERROR(VLOOKUP(DATA!#REF!,DATA!#REF!,1,FALSE),"")</f>
        <v/>
      </c>
      <c r="D3781" s="16" t="str">
        <f>IFERROR(VLOOKUP(C3781,DATA!#REF!,2,FALSE),"")</f>
        <v/>
      </c>
    </row>
    <row r="3782" spans="3:4" s="230" customFormat="1">
      <c r="C3782" s="16" t="str">
        <f>IFERROR(VLOOKUP(DATA!#REF!,DATA!#REF!,1,FALSE),"")</f>
        <v/>
      </c>
      <c r="D3782" s="16" t="str">
        <f>IFERROR(VLOOKUP(C3782,DATA!#REF!,2,FALSE),"")</f>
        <v/>
      </c>
    </row>
    <row r="3783" spans="3:4" s="230" customFormat="1">
      <c r="C3783" s="16" t="str">
        <f>IFERROR(VLOOKUP(DATA!#REF!,DATA!#REF!,1,FALSE),"")</f>
        <v/>
      </c>
      <c r="D3783" s="16" t="str">
        <f>IFERROR(VLOOKUP(C3783,DATA!#REF!,2,FALSE),"")</f>
        <v/>
      </c>
    </row>
    <row r="3784" spans="3:4" s="230" customFormat="1">
      <c r="C3784" s="16" t="str">
        <f>IFERROR(VLOOKUP(DATA!#REF!,DATA!#REF!,1,FALSE),"")</f>
        <v/>
      </c>
      <c r="D3784" s="16" t="str">
        <f>IFERROR(VLOOKUP(C3784,DATA!#REF!,2,FALSE),"")</f>
        <v/>
      </c>
    </row>
    <row r="3785" spans="3:4" s="230" customFormat="1">
      <c r="C3785" s="16" t="str">
        <f>IFERROR(VLOOKUP(DATA!#REF!,DATA!#REF!,1,FALSE),"")</f>
        <v/>
      </c>
      <c r="D3785" s="16" t="str">
        <f>IFERROR(VLOOKUP(C3785,DATA!#REF!,2,FALSE),"")</f>
        <v/>
      </c>
    </row>
    <row r="3786" spans="3:4" s="230" customFormat="1">
      <c r="C3786" s="16" t="str">
        <f>IFERROR(VLOOKUP(DATA!#REF!,DATA!#REF!,1,FALSE),"")</f>
        <v/>
      </c>
      <c r="D3786" s="16" t="str">
        <f>IFERROR(VLOOKUP(C3786,DATA!#REF!,2,FALSE),"")</f>
        <v/>
      </c>
    </row>
    <row r="3787" spans="3:4" s="230" customFormat="1">
      <c r="C3787" s="16" t="str">
        <f>IFERROR(VLOOKUP(DATA!#REF!,DATA!#REF!,1,FALSE),"")</f>
        <v/>
      </c>
      <c r="D3787" s="16" t="str">
        <f>IFERROR(VLOOKUP(C3787,DATA!#REF!,2,FALSE),"")</f>
        <v/>
      </c>
    </row>
    <row r="3788" spans="3:4" s="230" customFormat="1">
      <c r="C3788" s="16" t="str">
        <f>IFERROR(VLOOKUP(DATA!#REF!,DATA!#REF!,1,FALSE),"")</f>
        <v/>
      </c>
      <c r="D3788" s="16" t="str">
        <f>IFERROR(VLOOKUP(C3788,DATA!#REF!,2,FALSE),"")</f>
        <v/>
      </c>
    </row>
    <row r="3789" spans="3:4" s="230" customFormat="1">
      <c r="C3789" s="16" t="str">
        <f>IFERROR(VLOOKUP(DATA!#REF!,DATA!#REF!,1,FALSE),"")</f>
        <v/>
      </c>
      <c r="D3789" s="16" t="str">
        <f>IFERROR(VLOOKUP(C3789,DATA!#REF!,2,FALSE),"")</f>
        <v/>
      </c>
    </row>
    <row r="3790" spans="3:4" s="230" customFormat="1">
      <c r="C3790" s="16" t="str">
        <f>IFERROR(VLOOKUP(DATA!#REF!,DATA!#REF!,1,FALSE),"")</f>
        <v/>
      </c>
      <c r="D3790" s="16" t="str">
        <f>IFERROR(VLOOKUP(C3790,DATA!#REF!,2,FALSE),"")</f>
        <v/>
      </c>
    </row>
    <row r="3791" spans="3:4" s="230" customFormat="1">
      <c r="C3791" s="16" t="str">
        <f>IFERROR(VLOOKUP(DATA!#REF!,DATA!#REF!,1,FALSE),"")</f>
        <v/>
      </c>
      <c r="D3791" s="16" t="str">
        <f>IFERROR(VLOOKUP(C3791,DATA!#REF!,2,FALSE),"")</f>
        <v/>
      </c>
    </row>
    <row r="3792" spans="3:4" s="230" customFormat="1">
      <c r="C3792" s="16" t="str">
        <f>IFERROR(VLOOKUP(DATA!#REF!,DATA!#REF!,1,FALSE),"")</f>
        <v/>
      </c>
      <c r="D3792" s="16" t="str">
        <f>IFERROR(VLOOKUP(C3792,DATA!#REF!,2,FALSE),"")</f>
        <v/>
      </c>
    </row>
    <row r="3793" spans="3:4" s="230" customFormat="1">
      <c r="C3793" s="16" t="str">
        <f>IFERROR(VLOOKUP(DATA!#REF!,DATA!#REF!,1,FALSE),"")</f>
        <v/>
      </c>
      <c r="D3793" s="16" t="str">
        <f>IFERROR(VLOOKUP(C3793,DATA!#REF!,2,FALSE),"")</f>
        <v/>
      </c>
    </row>
    <row r="3794" spans="3:4" s="230" customFormat="1">
      <c r="C3794" s="16" t="str">
        <f>IFERROR(VLOOKUP(DATA!#REF!,DATA!#REF!,1,FALSE),"")</f>
        <v/>
      </c>
      <c r="D3794" s="16" t="str">
        <f>IFERROR(VLOOKUP(C3794,DATA!#REF!,2,FALSE),"")</f>
        <v/>
      </c>
    </row>
    <row r="3795" spans="3:4" s="230" customFormat="1">
      <c r="C3795" s="16" t="str">
        <f>IFERROR(VLOOKUP(DATA!#REF!,DATA!#REF!,1,FALSE),"")</f>
        <v/>
      </c>
      <c r="D3795" s="16" t="str">
        <f>IFERROR(VLOOKUP(C3795,DATA!#REF!,2,FALSE),"")</f>
        <v/>
      </c>
    </row>
    <row r="3796" spans="3:4" s="230" customFormat="1">
      <c r="C3796" s="16" t="str">
        <f>IFERROR(VLOOKUP(DATA!#REF!,DATA!#REF!,1,FALSE),"")</f>
        <v/>
      </c>
      <c r="D3796" s="16" t="str">
        <f>IFERROR(VLOOKUP(C3796,DATA!#REF!,2,FALSE),"")</f>
        <v/>
      </c>
    </row>
    <row r="3797" spans="3:4" s="230" customFormat="1">
      <c r="C3797" s="16" t="str">
        <f>IFERROR(VLOOKUP(DATA!#REF!,DATA!#REF!,1,FALSE),"")</f>
        <v/>
      </c>
      <c r="D3797" s="16" t="str">
        <f>IFERROR(VLOOKUP(C3797,DATA!#REF!,2,FALSE),"")</f>
        <v/>
      </c>
    </row>
    <row r="3798" spans="3:4" s="230" customFormat="1">
      <c r="C3798" s="16" t="str">
        <f>IFERROR(VLOOKUP(DATA!#REF!,DATA!#REF!,1,FALSE),"")</f>
        <v/>
      </c>
      <c r="D3798" s="16" t="str">
        <f>IFERROR(VLOOKUP(C3798,DATA!#REF!,2,FALSE),"")</f>
        <v/>
      </c>
    </row>
    <row r="3799" spans="3:4" s="230" customFormat="1">
      <c r="C3799" s="16" t="str">
        <f>IFERROR(VLOOKUP(DATA!#REF!,DATA!#REF!,1,FALSE),"")</f>
        <v/>
      </c>
      <c r="D3799" s="16" t="str">
        <f>IFERROR(VLOOKUP(C3799,DATA!#REF!,2,FALSE),"")</f>
        <v/>
      </c>
    </row>
    <row r="3800" spans="3:4" s="230" customFormat="1">
      <c r="C3800" s="16" t="str">
        <f>IFERROR(VLOOKUP(DATA!#REF!,DATA!#REF!,1,FALSE),"")</f>
        <v/>
      </c>
      <c r="D3800" s="16" t="str">
        <f>IFERROR(VLOOKUP(C3800,DATA!#REF!,2,FALSE),"")</f>
        <v/>
      </c>
    </row>
    <row r="3801" spans="3:4" s="230" customFormat="1">
      <c r="C3801" s="16" t="str">
        <f>IFERROR(VLOOKUP(DATA!#REF!,DATA!#REF!,1,FALSE),"")</f>
        <v/>
      </c>
      <c r="D3801" s="16" t="str">
        <f>IFERROR(VLOOKUP(C3801,DATA!#REF!,2,FALSE),"")</f>
        <v/>
      </c>
    </row>
    <row r="3802" spans="3:4" s="230" customFormat="1">
      <c r="C3802" s="16" t="str">
        <f>IFERROR(VLOOKUP(DATA!#REF!,DATA!#REF!,1,FALSE),"")</f>
        <v/>
      </c>
      <c r="D3802" s="16" t="str">
        <f>IFERROR(VLOOKUP(C3802,DATA!#REF!,2,FALSE),"")</f>
        <v/>
      </c>
    </row>
    <row r="3803" spans="3:4" s="230" customFormat="1">
      <c r="C3803" s="16" t="str">
        <f>IFERROR(VLOOKUP(DATA!#REF!,DATA!#REF!,1,FALSE),"")</f>
        <v/>
      </c>
      <c r="D3803" s="16" t="str">
        <f>IFERROR(VLOOKUP(C3803,DATA!#REF!,2,FALSE),"")</f>
        <v/>
      </c>
    </row>
    <row r="3804" spans="3:4" s="230" customFormat="1">
      <c r="C3804" s="16" t="str">
        <f>IFERROR(VLOOKUP(DATA!#REF!,DATA!#REF!,1,FALSE),"")</f>
        <v/>
      </c>
      <c r="D3804" s="16" t="str">
        <f>IFERROR(VLOOKUP(C3804,DATA!#REF!,2,FALSE),"")</f>
        <v/>
      </c>
    </row>
    <row r="3805" spans="3:4" s="230" customFormat="1">
      <c r="C3805" s="16" t="str">
        <f>IFERROR(VLOOKUP(DATA!#REF!,DATA!#REF!,1,FALSE),"")</f>
        <v/>
      </c>
      <c r="D3805" s="16" t="str">
        <f>IFERROR(VLOOKUP(C3805,DATA!#REF!,2,FALSE),"")</f>
        <v/>
      </c>
    </row>
    <row r="3806" spans="3:4" s="230" customFormat="1">
      <c r="C3806" s="16" t="str">
        <f>IFERROR(VLOOKUP(DATA!#REF!,DATA!#REF!,1,FALSE),"")</f>
        <v/>
      </c>
      <c r="D3806" s="16" t="str">
        <f>IFERROR(VLOOKUP(C3806,DATA!#REF!,2,FALSE),"")</f>
        <v/>
      </c>
    </row>
    <row r="3807" spans="3:4" s="230" customFormat="1">
      <c r="C3807" s="16" t="str">
        <f>IFERROR(VLOOKUP(DATA!#REF!,DATA!#REF!,1,FALSE),"")</f>
        <v/>
      </c>
      <c r="D3807" s="16" t="str">
        <f>IFERROR(VLOOKUP(C3807,DATA!#REF!,2,FALSE),"")</f>
        <v/>
      </c>
    </row>
    <row r="3808" spans="3:4" s="230" customFormat="1">
      <c r="C3808" s="16" t="str">
        <f>IFERROR(VLOOKUP(DATA!#REF!,DATA!#REF!,1,FALSE),"")</f>
        <v/>
      </c>
      <c r="D3808" s="16" t="str">
        <f>IFERROR(VLOOKUP(C3808,DATA!#REF!,2,FALSE),"")</f>
        <v/>
      </c>
    </row>
    <row r="3809" spans="3:4" s="230" customFormat="1">
      <c r="C3809" s="16" t="str">
        <f>IFERROR(VLOOKUP(DATA!#REF!,DATA!#REF!,1,FALSE),"")</f>
        <v/>
      </c>
      <c r="D3809" s="16" t="str">
        <f>IFERROR(VLOOKUP(C3809,DATA!#REF!,2,FALSE),"")</f>
        <v/>
      </c>
    </row>
    <row r="3810" spans="3:4" s="230" customFormat="1">
      <c r="C3810" s="16" t="str">
        <f>IFERROR(VLOOKUP(DATA!#REF!,DATA!#REF!,1,FALSE),"")</f>
        <v/>
      </c>
      <c r="D3810" s="16" t="str">
        <f>IFERROR(VLOOKUP(C3810,DATA!#REF!,2,FALSE),"")</f>
        <v/>
      </c>
    </row>
    <row r="3811" spans="3:4" s="230" customFormat="1">
      <c r="C3811" s="16" t="str">
        <f>IFERROR(VLOOKUP(DATA!#REF!,DATA!#REF!,1,FALSE),"")</f>
        <v/>
      </c>
      <c r="D3811" s="16" t="str">
        <f>IFERROR(VLOOKUP(C3811,DATA!#REF!,2,FALSE),"")</f>
        <v/>
      </c>
    </row>
    <row r="3812" spans="3:4" s="230" customFormat="1">
      <c r="C3812" s="16" t="str">
        <f>IFERROR(VLOOKUP(DATA!#REF!,DATA!#REF!,1,FALSE),"")</f>
        <v/>
      </c>
      <c r="D3812" s="16" t="str">
        <f>IFERROR(VLOOKUP(C3812,DATA!#REF!,2,FALSE),"")</f>
        <v/>
      </c>
    </row>
    <row r="3813" spans="3:4" s="230" customFormat="1">
      <c r="C3813" s="16" t="str">
        <f>IFERROR(VLOOKUP(DATA!#REF!,DATA!#REF!,1,FALSE),"")</f>
        <v/>
      </c>
      <c r="D3813" s="16" t="str">
        <f>IFERROR(VLOOKUP(C3813,DATA!#REF!,2,FALSE),"")</f>
        <v/>
      </c>
    </row>
    <row r="3814" spans="3:4" s="230" customFormat="1">
      <c r="C3814" s="16" t="str">
        <f>IFERROR(VLOOKUP(DATA!#REF!,DATA!#REF!,1,FALSE),"")</f>
        <v/>
      </c>
      <c r="D3814" s="16" t="str">
        <f>IFERROR(VLOOKUP(C3814,DATA!#REF!,2,FALSE),"")</f>
        <v/>
      </c>
    </row>
    <row r="3815" spans="3:4" s="230" customFormat="1">
      <c r="C3815" s="16" t="str">
        <f>IFERROR(VLOOKUP(DATA!#REF!,DATA!#REF!,1,FALSE),"")</f>
        <v/>
      </c>
      <c r="D3815" s="16" t="str">
        <f>IFERROR(VLOOKUP(C3815,DATA!#REF!,2,FALSE),"")</f>
        <v/>
      </c>
    </row>
    <row r="3816" spans="3:4" s="230" customFormat="1">
      <c r="C3816" s="16" t="str">
        <f>IFERROR(VLOOKUP(DATA!#REF!,DATA!#REF!,1,FALSE),"")</f>
        <v/>
      </c>
      <c r="D3816" s="16" t="str">
        <f>IFERROR(VLOOKUP(C3816,DATA!#REF!,2,FALSE),"")</f>
        <v/>
      </c>
    </row>
    <row r="3817" spans="3:4" s="230" customFormat="1">
      <c r="C3817" s="16" t="str">
        <f>IFERROR(VLOOKUP(DATA!#REF!,DATA!#REF!,1,FALSE),"")</f>
        <v/>
      </c>
      <c r="D3817" s="16" t="str">
        <f>IFERROR(VLOOKUP(C3817,DATA!#REF!,2,FALSE),"")</f>
        <v/>
      </c>
    </row>
    <row r="3818" spans="3:4" s="230" customFormat="1">
      <c r="C3818" s="16" t="str">
        <f>IFERROR(VLOOKUP(DATA!#REF!,DATA!#REF!,1,FALSE),"")</f>
        <v/>
      </c>
      <c r="D3818" s="16" t="str">
        <f>IFERROR(VLOOKUP(C3818,DATA!#REF!,2,FALSE),"")</f>
        <v/>
      </c>
    </row>
    <row r="3819" spans="3:4" s="230" customFormat="1">
      <c r="C3819" s="16" t="str">
        <f>IFERROR(VLOOKUP(DATA!#REF!,DATA!#REF!,1,FALSE),"")</f>
        <v/>
      </c>
      <c r="D3819" s="16" t="str">
        <f>IFERROR(VLOOKUP(C3819,DATA!#REF!,2,FALSE),"")</f>
        <v/>
      </c>
    </row>
    <row r="3820" spans="3:4" s="230" customFormat="1">
      <c r="C3820" s="16" t="str">
        <f>IFERROR(VLOOKUP(DATA!#REF!,DATA!#REF!,1,FALSE),"")</f>
        <v/>
      </c>
      <c r="D3820" s="16" t="str">
        <f>IFERROR(VLOOKUP(C3820,DATA!#REF!,2,FALSE),"")</f>
        <v/>
      </c>
    </row>
    <row r="3821" spans="3:4" s="230" customFormat="1">
      <c r="C3821" s="16" t="str">
        <f>IFERROR(VLOOKUP(DATA!#REF!,DATA!#REF!,1,FALSE),"")</f>
        <v/>
      </c>
      <c r="D3821" s="16" t="str">
        <f>IFERROR(VLOOKUP(C3821,DATA!#REF!,2,FALSE),"")</f>
        <v/>
      </c>
    </row>
    <row r="3822" spans="3:4" s="230" customFormat="1">
      <c r="C3822" s="16" t="str">
        <f>IFERROR(VLOOKUP(DATA!#REF!,DATA!#REF!,1,FALSE),"")</f>
        <v/>
      </c>
      <c r="D3822" s="16" t="str">
        <f>IFERROR(VLOOKUP(C3822,DATA!#REF!,2,FALSE),"")</f>
        <v/>
      </c>
    </row>
    <row r="3823" spans="3:4" s="230" customFormat="1">
      <c r="C3823" s="16" t="str">
        <f>IFERROR(VLOOKUP(DATA!#REF!,DATA!#REF!,1,FALSE),"")</f>
        <v/>
      </c>
      <c r="D3823" s="16" t="str">
        <f>IFERROR(VLOOKUP(C3823,DATA!#REF!,2,FALSE),"")</f>
        <v/>
      </c>
    </row>
    <row r="3824" spans="3:4" s="230" customFormat="1">
      <c r="C3824" s="16" t="str">
        <f>IFERROR(VLOOKUP(DATA!#REF!,DATA!#REF!,1,FALSE),"")</f>
        <v/>
      </c>
      <c r="D3824" s="16" t="str">
        <f>IFERROR(VLOOKUP(C3824,DATA!#REF!,2,FALSE),"")</f>
        <v/>
      </c>
    </row>
    <row r="3825" spans="3:4" s="230" customFormat="1">
      <c r="C3825" s="16" t="str">
        <f>IFERROR(VLOOKUP(DATA!#REF!,DATA!#REF!,1,FALSE),"")</f>
        <v/>
      </c>
      <c r="D3825" s="16" t="str">
        <f>IFERROR(VLOOKUP(C3825,DATA!#REF!,2,FALSE),"")</f>
        <v/>
      </c>
    </row>
    <row r="3826" spans="3:4" s="230" customFormat="1">
      <c r="C3826" s="16" t="str">
        <f>IFERROR(VLOOKUP(DATA!#REF!,DATA!#REF!,1,FALSE),"")</f>
        <v/>
      </c>
      <c r="D3826" s="16" t="str">
        <f>IFERROR(VLOOKUP(C3826,DATA!#REF!,2,FALSE),"")</f>
        <v/>
      </c>
    </row>
    <row r="3827" spans="3:4" s="230" customFormat="1">
      <c r="C3827" s="16" t="str">
        <f>IFERROR(VLOOKUP(DATA!#REF!,DATA!#REF!,1,FALSE),"")</f>
        <v/>
      </c>
      <c r="D3827" s="16" t="str">
        <f>IFERROR(VLOOKUP(C3827,DATA!#REF!,2,FALSE),"")</f>
        <v/>
      </c>
    </row>
    <row r="3828" spans="3:4" s="230" customFormat="1">
      <c r="C3828" s="16" t="str">
        <f>IFERROR(VLOOKUP(DATA!#REF!,DATA!#REF!,1,FALSE),"")</f>
        <v/>
      </c>
      <c r="D3828" s="16" t="str">
        <f>IFERROR(VLOOKUP(C3828,DATA!#REF!,2,FALSE),"")</f>
        <v/>
      </c>
    </row>
    <row r="3829" spans="3:4" s="230" customFormat="1">
      <c r="C3829" s="16" t="str">
        <f>IFERROR(VLOOKUP(DATA!#REF!,DATA!#REF!,1,FALSE),"")</f>
        <v/>
      </c>
      <c r="D3829" s="16" t="str">
        <f>IFERROR(VLOOKUP(C3829,DATA!#REF!,2,FALSE),"")</f>
        <v/>
      </c>
    </row>
    <row r="3830" spans="3:4" s="230" customFormat="1">
      <c r="C3830" s="16" t="str">
        <f>IFERROR(VLOOKUP(DATA!#REF!,DATA!#REF!,1,FALSE),"")</f>
        <v/>
      </c>
      <c r="D3830" s="16" t="str">
        <f>IFERROR(VLOOKUP(C3830,DATA!#REF!,2,FALSE),"")</f>
        <v/>
      </c>
    </row>
    <row r="3831" spans="3:4" s="230" customFormat="1">
      <c r="C3831" s="16" t="str">
        <f>IFERROR(VLOOKUP(DATA!#REF!,DATA!#REF!,1,FALSE),"")</f>
        <v/>
      </c>
      <c r="D3831" s="16" t="str">
        <f>IFERROR(VLOOKUP(C3831,DATA!#REF!,2,FALSE),"")</f>
        <v/>
      </c>
    </row>
    <row r="3832" spans="3:4" s="230" customFormat="1">
      <c r="C3832" s="16" t="str">
        <f>IFERROR(VLOOKUP(DATA!#REF!,DATA!#REF!,1,FALSE),"")</f>
        <v/>
      </c>
      <c r="D3832" s="16" t="str">
        <f>IFERROR(VLOOKUP(C3832,DATA!#REF!,2,FALSE),"")</f>
        <v/>
      </c>
    </row>
    <row r="3833" spans="3:4" s="230" customFormat="1">
      <c r="C3833" s="16" t="str">
        <f>IFERROR(VLOOKUP(DATA!#REF!,DATA!#REF!,1,FALSE),"")</f>
        <v/>
      </c>
      <c r="D3833" s="16" t="str">
        <f>IFERROR(VLOOKUP(C3833,DATA!#REF!,2,FALSE),"")</f>
        <v/>
      </c>
    </row>
    <row r="3834" spans="3:4" s="230" customFormat="1">
      <c r="C3834" s="16" t="str">
        <f>IFERROR(VLOOKUP(DATA!#REF!,DATA!#REF!,1,FALSE),"")</f>
        <v/>
      </c>
      <c r="D3834" s="16" t="str">
        <f>IFERROR(VLOOKUP(C3834,DATA!#REF!,2,FALSE),"")</f>
        <v/>
      </c>
    </row>
    <row r="3835" spans="3:4" s="230" customFormat="1">
      <c r="C3835" s="16" t="str">
        <f>IFERROR(VLOOKUP(DATA!#REF!,DATA!#REF!,1,FALSE),"")</f>
        <v/>
      </c>
      <c r="D3835" s="16" t="str">
        <f>IFERROR(VLOOKUP(C3835,DATA!#REF!,2,FALSE),"")</f>
        <v/>
      </c>
    </row>
    <row r="3836" spans="3:4" s="230" customFormat="1">
      <c r="C3836" s="16" t="str">
        <f>IFERROR(VLOOKUP(DATA!#REF!,DATA!#REF!,1,FALSE),"")</f>
        <v/>
      </c>
      <c r="D3836" s="16" t="str">
        <f>IFERROR(VLOOKUP(C3836,DATA!#REF!,2,FALSE),"")</f>
        <v/>
      </c>
    </row>
    <row r="3837" spans="3:4" s="230" customFormat="1">
      <c r="C3837" s="16" t="str">
        <f>IFERROR(VLOOKUP(DATA!#REF!,DATA!#REF!,1,FALSE),"")</f>
        <v/>
      </c>
      <c r="D3837" s="16" t="str">
        <f>IFERROR(VLOOKUP(C3837,DATA!#REF!,2,FALSE),"")</f>
        <v/>
      </c>
    </row>
    <row r="3838" spans="3:4" s="230" customFormat="1">
      <c r="C3838" s="16" t="str">
        <f>IFERROR(VLOOKUP(DATA!#REF!,DATA!#REF!,1,FALSE),"")</f>
        <v/>
      </c>
      <c r="D3838" s="16" t="str">
        <f>IFERROR(VLOOKUP(C3838,DATA!#REF!,2,FALSE),"")</f>
        <v/>
      </c>
    </row>
    <row r="3839" spans="3:4" s="230" customFormat="1">
      <c r="C3839" s="16" t="str">
        <f>IFERROR(VLOOKUP(DATA!#REF!,DATA!#REF!,1,FALSE),"")</f>
        <v/>
      </c>
      <c r="D3839" s="16" t="str">
        <f>IFERROR(VLOOKUP(C3839,DATA!#REF!,2,FALSE),"")</f>
        <v/>
      </c>
    </row>
    <row r="3840" spans="3:4" s="230" customFormat="1">
      <c r="C3840" s="16" t="str">
        <f>IFERROR(VLOOKUP(DATA!#REF!,DATA!#REF!,1,FALSE),"")</f>
        <v/>
      </c>
      <c r="D3840" s="16" t="str">
        <f>IFERROR(VLOOKUP(C3840,DATA!#REF!,2,FALSE),"")</f>
        <v/>
      </c>
    </row>
    <row r="3841" spans="3:4" s="230" customFormat="1">
      <c r="C3841" s="16" t="str">
        <f>IFERROR(VLOOKUP(DATA!#REF!,DATA!#REF!,1,FALSE),"")</f>
        <v/>
      </c>
      <c r="D3841" s="16" t="str">
        <f>IFERROR(VLOOKUP(C3841,DATA!#REF!,2,FALSE),"")</f>
        <v/>
      </c>
    </row>
    <row r="3842" spans="3:4" s="230" customFormat="1">
      <c r="C3842" s="16" t="str">
        <f>IFERROR(VLOOKUP(DATA!#REF!,DATA!#REF!,1,FALSE),"")</f>
        <v/>
      </c>
      <c r="D3842" s="16" t="str">
        <f>IFERROR(VLOOKUP(C3842,DATA!#REF!,2,FALSE),"")</f>
        <v/>
      </c>
    </row>
    <row r="3843" spans="3:4" s="230" customFormat="1">
      <c r="C3843" s="16" t="str">
        <f>IFERROR(VLOOKUP(DATA!#REF!,DATA!#REF!,1,FALSE),"")</f>
        <v/>
      </c>
      <c r="D3843" s="16" t="str">
        <f>IFERROR(VLOOKUP(C3843,DATA!#REF!,2,FALSE),"")</f>
        <v/>
      </c>
    </row>
    <row r="3844" spans="3:4" s="230" customFormat="1">
      <c r="C3844" s="16" t="str">
        <f>IFERROR(VLOOKUP(DATA!#REF!,DATA!#REF!,1,FALSE),"")</f>
        <v/>
      </c>
      <c r="D3844" s="16" t="str">
        <f>IFERROR(VLOOKUP(C3844,DATA!#REF!,2,FALSE),"")</f>
        <v/>
      </c>
    </row>
    <row r="3845" spans="3:4" s="230" customFormat="1">
      <c r="C3845" s="16" t="str">
        <f>IFERROR(VLOOKUP(DATA!#REF!,DATA!#REF!,1,FALSE),"")</f>
        <v/>
      </c>
      <c r="D3845" s="16" t="str">
        <f>IFERROR(VLOOKUP(C3845,DATA!#REF!,2,FALSE),"")</f>
        <v/>
      </c>
    </row>
    <row r="3846" spans="3:4" s="230" customFormat="1">
      <c r="C3846" s="16" t="str">
        <f>IFERROR(VLOOKUP(DATA!#REF!,DATA!#REF!,1,FALSE),"")</f>
        <v/>
      </c>
      <c r="D3846" s="16" t="str">
        <f>IFERROR(VLOOKUP(C3846,DATA!#REF!,2,FALSE),"")</f>
        <v/>
      </c>
    </row>
    <row r="3847" spans="3:4" s="230" customFormat="1">
      <c r="C3847" s="16" t="str">
        <f>IFERROR(VLOOKUP(DATA!#REF!,DATA!#REF!,1,FALSE),"")</f>
        <v/>
      </c>
      <c r="D3847" s="16" t="str">
        <f>IFERROR(VLOOKUP(C3847,DATA!#REF!,2,FALSE),"")</f>
        <v/>
      </c>
    </row>
    <row r="3848" spans="3:4" s="230" customFormat="1">
      <c r="C3848" s="16" t="str">
        <f>IFERROR(VLOOKUP(DATA!#REF!,DATA!#REF!,1,FALSE),"")</f>
        <v/>
      </c>
      <c r="D3848" s="16" t="str">
        <f>IFERROR(VLOOKUP(C3848,DATA!#REF!,2,FALSE),"")</f>
        <v/>
      </c>
    </row>
    <row r="3849" spans="3:4" s="230" customFormat="1">
      <c r="C3849" s="16" t="str">
        <f>IFERROR(VLOOKUP(DATA!#REF!,DATA!#REF!,1,FALSE),"")</f>
        <v/>
      </c>
      <c r="D3849" s="16" t="str">
        <f>IFERROR(VLOOKUP(C3849,DATA!#REF!,2,FALSE),"")</f>
        <v/>
      </c>
    </row>
    <row r="3850" spans="3:4" s="230" customFormat="1">
      <c r="C3850" s="16" t="str">
        <f>IFERROR(VLOOKUP(DATA!#REF!,DATA!#REF!,1,FALSE),"")</f>
        <v/>
      </c>
      <c r="D3850" s="16" t="str">
        <f>IFERROR(VLOOKUP(C3850,DATA!#REF!,2,FALSE),"")</f>
        <v/>
      </c>
    </row>
    <row r="3851" spans="3:4" s="230" customFormat="1">
      <c r="C3851" s="16" t="str">
        <f>IFERROR(VLOOKUP(DATA!#REF!,DATA!#REF!,1,FALSE),"")</f>
        <v/>
      </c>
      <c r="D3851" s="16" t="str">
        <f>IFERROR(VLOOKUP(C3851,DATA!#REF!,2,FALSE),"")</f>
        <v/>
      </c>
    </row>
    <row r="3852" spans="3:4" s="230" customFormat="1">
      <c r="C3852" s="16" t="str">
        <f>IFERROR(VLOOKUP(DATA!#REF!,DATA!#REF!,1,FALSE),"")</f>
        <v/>
      </c>
      <c r="D3852" s="16" t="str">
        <f>IFERROR(VLOOKUP(C3852,DATA!#REF!,2,FALSE),"")</f>
        <v/>
      </c>
    </row>
    <row r="3853" spans="3:4" s="230" customFormat="1">
      <c r="C3853" s="16" t="str">
        <f>IFERROR(VLOOKUP(DATA!#REF!,DATA!#REF!,1,FALSE),"")</f>
        <v/>
      </c>
      <c r="D3853" s="16" t="str">
        <f>IFERROR(VLOOKUP(C3853,DATA!#REF!,2,FALSE),"")</f>
        <v/>
      </c>
    </row>
    <row r="3854" spans="3:4" s="230" customFormat="1">
      <c r="C3854" s="16" t="str">
        <f>IFERROR(VLOOKUP(DATA!#REF!,DATA!#REF!,1,FALSE),"")</f>
        <v/>
      </c>
      <c r="D3854" s="16" t="str">
        <f>IFERROR(VLOOKUP(C3854,DATA!#REF!,2,FALSE),"")</f>
        <v/>
      </c>
    </row>
    <row r="3855" spans="3:4" s="230" customFormat="1">
      <c r="C3855" s="16" t="str">
        <f>IFERROR(VLOOKUP(DATA!#REF!,DATA!#REF!,1,FALSE),"")</f>
        <v/>
      </c>
      <c r="D3855" s="16" t="str">
        <f>IFERROR(VLOOKUP(C3855,DATA!#REF!,2,FALSE),"")</f>
        <v/>
      </c>
    </row>
    <row r="3856" spans="3:4" s="230" customFormat="1">
      <c r="C3856" s="16" t="str">
        <f>IFERROR(VLOOKUP(DATA!#REF!,DATA!#REF!,1,FALSE),"")</f>
        <v/>
      </c>
      <c r="D3856" s="16" t="str">
        <f>IFERROR(VLOOKUP(C3856,DATA!#REF!,2,FALSE),"")</f>
        <v/>
      </c>
    </row>
    <row r="3857" spans="3:4" s="230" customFormat="1">
      <c r="C3857" s="16" t="str">
        <f>IFERROR(VLOOKUP(DATA!#REF!,DATA!#REF!,1,FALSE),"")</f>
        <v/>
      </c>
      <c r="D3857" s="16" t="str">
        <f>IFERROR(VLOOKUP(C3857,DATA!#REF!,2,FALSE),"")</f>
        <v/>
      </c>
    </row>
    <row r="3858" spans="3:4" s="230" customFormat="1">
      <c r="C3858" s="16" t="str">
        <f>IFERROR(VLOOKUP(DATA!#REF!,DATA!#REF!,1,FALSE),"")</f>
        <v/>
      </c>
      <c r="D3858" s="16" t="str">
        <f>IFERROR(VLOOKUP(C3858,DATA!#REF!,2,FALSE),"")</f>
        <v/>
      </c>
    </row>
    <row r="3859" spans="3:4" s="230" customFormat="1">
      <c r="C3859" s="16" t="str">
        <f>IFERROR(VLOOKUP(DATA!#REF!,DATA!#REF!,1,FALSE),"")</f>
        <v/>
      </c>
      <c r="D3859" s="16" t="str">
        <f>IFERROR(VLOOKUP(C3859,DATA!#REF!,2,FALSE),"")</f>
        <v/>
      </c>
    </row>
    <row r="3860" spans="3:4" s="230" customFormat="1">
      <c r="C3860" s="16" t="str">
        <f>IFERROR(VLOOKUP(DATA!#REF!,DATA!#REF!,1,FALSE),"")</f>
        <v/>
      </c>
      <c r="D3860" s="16" t="str">
        <f>IFERROR(VLOOKUP(C3860,DATA!#REF!,2,FALSE),"")</f>
        <v/>
      </c>
    </row>
    <row r="3861" spans="3:4" s="230" customFormat="1">
      <c r="C3861" s="16" t="str">
        <f>IFERROR(VLOOKUP(DATA!#REF!,DATA!#REF!,1,FALSE),"")</f>
        <v/>
      </c>
      <c r="D3861" s="16" t="str">
        <f>IFERROR(VLOOKUP(C3861,DATA!#REF!,2,FALSE),"")</f>
        <v/>
      </c>
    </row>
    <row r="3862" spans="3:4" s="230" customFormat="1">
      <c r="C3862" s="16" t="str">
        <f>IFERROR(VLOOKUP(DATA!#REF!,DATA!#REF!,1,FALSE),"")</f>
        <v/>
      </c>
      <c r="D3862" s="16" t="str">
        <f>IFERROR(VLOOKUP(C3862,DATA!#REF!,2,FALSE),"")</f>
        <v/>
      </c>
    </row>
    <row r="3863" spans="3:4" s="230" customFormat="1">
      <c r="C3863" s="16" t="str">
        <f>IFERROR(VLOOKUP(DATA!#REF!,DATA!#REF!,1,FALSE),"")</f>
        <v/>
      </c>
      <c r="D3863" s="16" t="str">
        <f>IFERROR(VLOOKUP(C3863,DATA!#REF!,2,FALSE),"")</f>
        <v/>
      </c>
    </row>
    <row r="3864" spans="3:4" s="230" customFormat="1">
      <c r="C3864" s="16" t="str">
        <f>IFERROR(VLOOKUP(DATA!#REF!,DATA!#REF!,1,FALSE),"")</f>
        <v/>
      </c>
      <c r="D3864" s="16" t="str">
        <f>IFERROR(VLOOKUP(C3864,DATA!#REF!,2,FALSE),"")</f>
        <v/>
      </c>
    </row>
    <row r="3865" spans="3:4" s="230" customFormat="1">
      <c r="C3865" s="16" t="str">
        <f>IFERROR(VLOOKUP(DATA!#REF!,DATA!#REF!,1,FALSE),"")</f>
        <v/>
      </c>
      <c r="D3865" s="16" t="str">
        <f>IFERROR(VLOOKUP(C3865,DATA!#REF!,2,FALSE),"")</f>
        <v/>
      </c>
    </row>
    <row r="3866" spans="3:4" s="230" customFormat="1">
      <c r="C3866" s="16" t="str">
        <f>IFERROR(VLOOKUP(DATA!#REF!,DATA!#REF!,1,FALSE),"")</f>
        <v/>
      </c>
      <c r="D3866" s="16" t="str">
        <f>IFERROR(VLOOKUP(C3866,DATA!#REF!,2,FALSE),"")</f>
        <v/>
      </c>
    </row>
    <row r="3867" spans="3:4" s="230" customFormat="1">
      <c r="C3867" s="16" t="str">
        <f>IFERROR(VLOOKUP(DATA!#REF!,DATA!#REF!,1,FALSE),"")</f>
        <v/>
      </c>
      <c r="D3867" s="16" t="str">
        <f>IFERROR(VLOOKUP(C3867,DATA!#REF!,2,FALSE),"")</f>
        <v/>
      </c>
    </row>
    <row r="3868" spans="3:4" s="230" customFormat="1">
      <c r="C3868" s="16" t="str">
        <f>IFERROR(VLOOKUP(DATA!#REF!,DATA!#REF!,1,FALSE),"")</f>
        <v/>
      </c>
      <c r="D3868" s="16" t="str">
        <f>IFERROR(VLOOKUP(C3868,DATA!#REF!,2,FALSE),"")</f>
        <v/>
      </c>
    </row>
    <row r="3869" spans="3:4" s="230" customFormat="1">
      <c r="C3869" s="16" t="str">
        <f>IFERROR(VLOOKUP(DATA!#REF!,DATA!#REF!,1,FALSE),"")</f>
        <v/>
      </c>
      <c r="D3869" s="16" t="str">
        <f>IFERROR(VLOOKUP(C3869,DATA!#REF!,2,FALSE),"")</f>
        <v/>
      </c>
    </row>
    <row r="3870" spans="3:4" s="230" customFormat="1">
      <c r="C3870" s="16" t="str">
        <f>IFERROR(VLOOKUP(DATA!#REF!,DATA!#REF!,1,FALSE),"")</f>
        <v/>
      </c>
      <c r="D3870" s="16" t="str">
        <f>IFERROR(VLOOKUP(C3870,DATA!#REF!,2,FALSE),"")</f>
        <v/>
      </c>
    </row>
    <row r="3871" spans="3:4" s="230" customFormat="1">
      <c r="C3871" s="16" t="str">
        <f>IFERROR(VLOOKUP(DATA!#REF!,DATA!#REF!,1,FALSE),"")</f>
        <v/>
      </c>
      <c r="D3871" s="16" t="str">
        <f>IFERROR(VLOOKUP(C3871,DATA!#REF!,2,FALSE),"")</f>
        <v/>
      </c>
    </row>
    <row r="3872" spans="3:4" s="230" customFormat="1">
      <c r="C3872" s="16" t="str">
        <f>IFERROR(VLOOKUP(DATA!#REF!,DATA!#REF!,1,FALSE),"")</f>
        <v/>
      </c>
      <c r="D3872" s="16" t="str">
        <f>IFERROR(VLOOKUP(C3872,DATA!#REF!,2,FALSE),"")</f>
        <v/>
      </c>
    </row>
    <row r="3873" spans="3:4" s="230" customFormat="1">
      <c r="C3873" s="16" t="str">
        <f>IFERROR(VLOOKUP(DATA!#REF!,DATA!#REF!,1,FALSE),"")</f>
        <v/>
      </c>
      <c r="D3873" s="16" t="str">
        <f>IFERROR(VLOOKUP(C3873,DATA!#REF!,2,FALSE),"")</f>
        <v/>
      </c>
    </row>
    <row r="3874" spans="3:4" s="230" customFormat="1">
      <c r="C3874" s="16" t="str">
        <f>IFERROR(VLOOKUP(DATA!#REF!,DATA!#REF!,1,FALSE),"")</f>
        <v/>
      </c>
      <c r="D3874" s="16" t="str">
        <f>IFERROR(VLOOKUP(C3874,DATA!#REF!,2,FALSE),"")</f>
        <v/>
      </c>
    </row>
    <row r="3875" spans="3:4" s="230" customFormat="1">
      <c r="C3875" s="16" t="str">
        <f>IFERROR(VLOOKUP(DATA!#REF!,DATA!#REF!,1,FALSE),"")</f>
        <v/>
      </c>
      <c r="D3875" s="16" t="str">
        <f>IFERROR(VLOOKUP(C3875,DATA!#REF!,2,FALSE),"")</f>
        <v/>
      </c>
    </row>
    <row r="3876" spans="3:4" s="230" customFormat="1">
      <c r="C3876" s="16" t="str">
        <f>IFERROR(VLOOKUP(DATA!#REF!,DATA!#REF!,1,FALSE),"")</f>
        <v/>
      </c>
      <c r="D3876" s="16" t="str">
        <f>IFERROR(VLOOKUP(C3876,DATA!#REF!,2,FALSE),"")</f>
        <v/>
      </c>
    </row>
    <row r="3877" spans="3:4" s="230" customFormat="1">
      <c r="C3877" s="16" t="str">
        <f>IFERROR(VLOOKUP(DATA!#REF!,DATA!#REF!,1,FALSE),"")</f>
        <v/>
      </c>
      <c r="D3877" s="16" t="str">
        <f>IFERROR(VLOOKUP(C3877,DATA!#REF!,2,FALSE),"")</f>
        <v/>
      </c>
    </row>
    <row r="3878" spans="3:4" s="230" customFormat="1">
      <c r="C3878" s="16" t="str">
        <f>IFERROR(VLOOKUP(DATA!#REF!,DATA!#REF!,1,FALSE),"")</f>
        <v/>
      </c>
      <c r="D3878" s="16" t="str">
        <f>IFERROR(VLOOKUP(C3878,DATA!#REF!,2,FALSE),"")</f>
        <v/>
      </c>
    </row>
    <row r="3879" spans="3:4" s="230" customFormat="1">
      <c r="C3879" s="16" t="str">
        <f>IFERROR(VLOOKUP(DATA!#REF!,DATA!#REF!,1,FALSE),"")</f>
        <v/>
      </c>
      <c r="D3879" s="16" t="str">
        <f>IFERROR(VLOOKUP(C3879,DATA!#REF!,2,FALSE),"")</f>
        <v/>
      </c>
    </row>
    <row r="3880" spans="3:4" s="230" customFormat="1">
      <c r="C3880" s="16" t="str">
        <f>IFERROR(VLOOKUP(DATA!#REF!,DATA!#REF!,1,FALSE),"")</f>
        <v/>
      </c>
      <c r="D3880" s="16" t="str">
        <f>IFERROR(VLOOKUP(C3880,DATA!#REF!,2,FALSE),"")</f>
        <v/>
      </c>
    </row>
    <row r="3881" spans="3:4" s="230" customFormat="1">
      <c r="C3881" s="16" t="str">
        <f>IFERROR(VLOOKUP(DATA!#REF!,DATA!#REF!,1,FALSE),"")</f>
        <v/>
      </c>
      <c r="D3881" s="16" t="str">
        <f>IFERROR(VLOOKUP(C3881,DATA!#REF!,2,FALSE),"")</f>
        <v/>
      </c>
    </row>
    <row r="3882" spans="3:4" s="230" customFormat="1">
      <c r="C3882" s="16" t="str">
        <f>IFERROR(VLOOKUP(DATA!#REF!,DATA!#REF!,1,FALSE),"")</f>
        <v/>
      </c>
      <c r="D3882" s="16" t="str">
        <f>IFERROR(VLOOKUP(C3882,DATA!#REF!,2,FALSE),"")</f>
        <v/>
      </c>
    </row>
    <row r="3883" spans="3:4" s="230" customFormat="1">
      <c r="C3883" s="16" t="str">
        <f>IFERROR(VLOOKUP(DATA!#REF!,DATA!#REF!,1,FALSE),"")</f>
        <v/>
      </c>
      <c r="D3883" s="16" t="str">
        <f>IFERROR(VLOOKUP(C3883,DATA!#REF!,2,FALSE),"")</f>
        <v/>
      </c>
    </row>
    <row r="3884" spans="3:4" s="230" customFormat="1">
      <c r="C3884" s="16" t="str">
        <f>IFERROR(VLOOKUP(DATA!#REF!,DATA!#REF!,1,FALSE),"")</f>
        <v/>
      </c>
      <c r="D3884" s="16" t="str">
        <f>IFERROR(VLOOKUP(C3884,DATA!#REF!,2,FALSE),"")</f>
        <v/>
      </c>
    </row>
    <row r="3885" spans="3:4" s="230" customFormat="1">
      <c r="C3885" s="16" t="str">
        <f>IFERROR(VLOOKUP(DATA!#REF!,DATA!#REF!,1,FALSE),"")</f>
        <v/>
      </c>
      <c r="D3885" s="16" t="str">
        <f>IFERROR(VLOOKUP(C3885,DATA!#REF!,2,FALSE),"")</f>
        <v/>
      </c>
    </row>
    <row r="3886" spans="3:4" s="230" customFormat="1">
      <c r="C3886" s="16" t="str">
        <f>IFERROR(VLOOKUP(DATA!#REF!,DATA!#REF!,1,FALSE),"")</f>
        <v/>
      </c>
      <c r="D3886" s="16" t="str">
        <f>IFERROR(VLOOKUP(C3886,DATA!#REF!,2,FALSE),"")</f>
        <v/>
      </c>
    </row>
    <row r="3887" spans="3:4" s="230" customFormat="1">
      <c r="C3887" s="16" t="str">
        <f>IFERROR(VLOOKUP(DATA!#REF!,DATA!#REF!,1,FALSE),"")</f>
        <v/>
      </c>
      <c r="D3887" s="16" t="str">
        <f>IFERROR(VLOOKUP(C3887,DATA!#REF!,2,FALSE),"")</f>
        <v/>
      </c>
    </row>
    <row r="3888" spans="3:4" s="230" customFormat="1">
      <c r="C3888" s="16" t="str">
        <f>IFERROR(VLOOKUP(DATA!#REF!,DATA!#REF!,1,FALSE),"")</f>
        <v/>
      </c>
      <c r="D3888" s="16" t="str">
        <f>IFERROR(VLOOKUP(C3888,DATA!#REF!,2,FALSE),"")</f>
        <v/>
      </c>
    </row>
    <row r="3889" spans="3:4" s="230" customFormat="1">
      <c r="C3889" s="16" t="str">
        <f>IFERROR(VLOOKUP(DATA!#REF!,DATA!#REF!,1,FALSE),"")</f>
        <v/>
      </c>
      <c r="D3889" s="16" t="str">
        <f>IFERROR(VLOOKUP(C3889,DATA!#REF!,2,FALSE),"")</f>
        <v/>
      </c>
    </row>
    <row r="3890" spans="3:4" s="230" customFormat="1">
      <c r="C3890" s="16" t="str">
        <f>IFERROR(VLOOKUP(DATA!#REF!,DATA!#REF!,1,FALSE),"")</f>
        <v/>
      </c>
      <c r="D3890" s="16" t="str">
        <f>IFERROR(VLOOKUP(C3890,DATA!#REF!,2,FALSE),"")</f>
        <v/>
      </c>
    </row>
    <row r="3891" spans="3:4" s="230" customFormat="1">
      <c r="C3891" s="16" t="str">
        <f>IFERROR(VLOOKUP(DATA!#REF!,DATA!#REF!,1,FALSE),"")</f>
        <v/>
      </c>
      <c r="D3891" s="16" t="str">
        <f>IFERROR(VLOOKUP(C3891,DATA!#REF!,2,FALSE),"")</f>
        <v/>
      </c>
    </row>
    <row r="3892" spans="3:4" s="230" customFormat="1">
      <c r="C3892" s="16" t="str">
        <f>IFERROR(VLOOKUP(DATA!#REF!,DATA!#REF!,1,FALSE),"")</f>
        <v/>
      </c>
      <c r="D3892" s="16" t="str">
        <f>IFERROR(VLOOKUP(C3892,DATA!#REF!,2,FALSE),"")</f>
        <v/>
      </c>
    </row>
    <row r="3893" spans="3:4" s="230" customFormat="1">
      <c r="C3893" s="16" t="str">
        <f>IFERROR(VLOOKUP(DATA!#REF!,DATA!#REF!,1,FALSE),"")</f>
        <v/>
      </c>
      <c r="D3893" s="16" t="str">
        <f>IFERROR(VLOOKUP(C3893,DATA!#REF!,2,FALSE),"")</f>
        <v/>
      </c>
    </row>
    <row r="3894" spans="3:4" s="230" customFormat="1">
      <c r="C3894" s="16" t="str">
        <f>IFERROR(VLOOKUP(DATA!#REF!,DATA!#REF!,1,FALSE),"")</f>
        <v/>
      </c>
      <c r="D3894" s="16" t="str">
        <f>IFERROR(VLOOKUP(C3894,DATA!#REF!,2,FALSE),"")</f>
        <v/>
      </c>
    </row>
    <row r="3895" spans="3:4" s="230" customFormat="1">
      <c r="C3895" s="16" t="str">
        <f>IFERROR(VLOOKUP(DATA!#REF!,DATA!#REF!,1,FALSE),"")</f>
        <v/>
      </c>
      <c r="D3895" s="16" t="str">
        <f>IFERROR(VLOOKUP(C3895,DATA!#REF!,2,FALSE),"")</f>
        <v/>
      </c>
    </row>
    <row r="3896" spans="3:4" s="230" customFormat="1">
      <c r="C3896" s="16" t="str">
        <f>IFERROR(VLOOKUP(DATA!#REF!,DATA!#REF!,1,FALSE),"")</f>
        <v/>
      </c>
      <c r="D3896" s="16" t="str">
        <f>IFERROR(VLOOKUP(C3896,DATA!#REF!,2,FALSE),"")</f>
        <v/>
      </c>
    </row>
    <row r="3897" spans="3:4" s="230" customFormat="1">
      <c r="C3897" s="16" t="str">
        <f>IFERROR(VLOOKUP(DATA!#REF!,DATA!#REF!,1,FALSE),"")</f>
        <v/>
      </c>
      <c r="D3897" s="16" t="str">
        <f>IFERROR(VLOOKUP(C3897,DATA!#REF!,2,FALSE),"")</f>
        <v/>
      </c>
    </row>
    <row r="3898" spans="3:4" s="230" customFormat="1">
      <c r="C3898" s="16" t="str">
        <f>IFERROR(VLOOKUP(DATA!#REF!,DATA!#REF!,1,FALSE),"")</f>
        <v/>
      </c>
      <c r="D3898" s="16" t="str">
        <f>IFERROR(VLOOKUP(C3898,DATA!#REF!,2,FALSE),"")</f>
        <v/>
      </c>
    </row>
    <row r="3899" spans="3:4" s="230" customFormat="1">
      <c r="C3899" s="16" t="str">
        <f>IFERROR(VLOOKUP(DATA!#REF!,DATA!#REF!,1,FALSE),"")</f>
        <v/>
      </c>
      <c r="D3899" s="16" t="str">
        <f>IFERROR(VLOOKUP(C3899,DATA!#REF!,2,FALSE),"")</f>
        <v/>
      </c>
    </row>
    <row r="3900" spans="3:4" s="230" customFormat="1">
      <c r="C3900" s="16" t="str">
        <f>IFERROR(VLOOKUP(DATA!#REF!,DATA!#REF!,1,FALSE),"")</f>
        <v/>
      </c>
      <c r="D3900" s="16" t="str">
        <f>IFERROR(VLOOKUP(C3900,DATA!#REF!,2,FALSE),"")</f>
        <v/>
      </c>
    </row>
    <row r="3901" spans="3:4" s="230" customFormat="1">
      <c r="C3901" s="16" t="str">
        <f>IFERROR(VLOOKUP(DATA!#REF!,DATA!#REF!,1,FALSE),"")</f>
        <v/>
      </c>
      <c r="D3901" s="16" t="str">
        <f>IFERROR(VLOOKUP(C3901,DATA!#REF!,2,FALSE),"")</f>
        <v/>
      </c>
    </row>
    <row r="3902" spans="3:4" s="230" customFormat="1">
      <c r="C3902" s="16" t="str">
        <f>IFERROR(VLOOKUP(DATA!#REF!,DATA!#REF!,1,FALSE),"")</f>
        <v/>
      </c>
      <c r="D3902" s="16" t="str">
        <f>IFERROR(VLOOKUP(C3902,DATA!#REF!,2,FALSE),"")</f>
        <v/>
      </c>
    </row>
    <row r="3903" spans="3:4" s="230" customFormat="1">
      <c r="C3903" s="16" t="str">
        <f>IFERROR(VLOOKUP(DATA!#REF!,DATA!#REF!,1,FALSE),"")</f>
        <v/>
      </c>
      <c r="D3903" s="16" t="str">
        <f>IFERROR(VLOOKUP(C3903,DATA!#REF!,2,FALSE),"")</f>
        <v/>
      </c>
    </row>
    <row r="3904" spans="3:4" s="230" customFormat="1">
      <c r="C3904" s="16" t="str">
        <f>IFERROR(VLOOKUP(DATA!#REF!,DATA!#REF!,1,FALSE),"")</f>
        <v/>
      </c>
      <c r="D3904" s="16" t="str">
        <f>IFERROR(VLOOKUP(C3904,DATA!#REF!,2,FALSE),"")</f>
        <v/>
      </c>
    </row>
    <row r="3905" spans="3:4" s="230" customFormat="1">
      <c r="C3905" s="16" t="str">
        <f>IFERROR(VLOOKUP(DATA!#REF!,DATA!#REF!,1,FALSE),"")</f>
        <v/>
      </c>
      <c r="D3905" s="16" t="str">
        <f>IFERROR(VLOOKUP(C3905,DATA!#REF!,2,FALSE),"")</f>
        <v/>
      </c>
    </row>
    <row r="3906" spans="3:4" s="230" customFormat="1">
      <c r="C3906" s="16" t="str">
        <f>IFERROR(VLOOKUP(DATA!#REF!,DATA!#REF!,1,FALSE),"")</f>
        <v/>
      </c>
      <c r="D3906" s="16" t="str">
        <f>IFERROR(VLOOKUP(C3906,DATA!#REF!,2,FALSE),"")</f>
        <v/>
      </c>
    </row>
    <row r="3907" spans="3:4" s="230" customFormat="1">
      <c r="C3907" s="16" t="str">
        <f>IFERROR(VLOOKUP(DATA!#REF!,DATA!#REF!,1,FALSE),"")</f>
        <v/>
      </c>
      <c r="D3907" s="16" t="str">
        <f>IFERROR(VLOOKUP(C3907,DATA!#REF!,2,FALSE),"")</f>
        <v/>
      </c>
    </row>
    <row r="3908" spans="3:4" s="230" customFormat="1">
      <c r="C3908" s="16" t="str">
        <f>IFERROR(VLOOKUP(DATA!#REF!,DATA!#REF!,1,FALSE),"")</f>
        <v/>
      </c>
      <c r="D3908" s="16" t="str">
        <f>IFERROR(VLOOKUP(C3908,DATA!#REF!,2,FALSE),"")</f>
        <v/>
      </c>
    </row>
    <row r="3909" spans="3:4" s="230" customFormat="1">
      <c r="C3909" s="16" t="str">
        <f>IFERROR(VLOOKUP(DATA!#REF!,DATA!#REF!,1,FALSE),"")</f>
        <v/>
      </c>
      <c r="D3909" s="16" t="str">
        <f>IFERROR(VLOOKUP(C3909,DATA!#REF!,2,FALSE),"")</f>
        <v/>
      </c>
    </row>
    <row r="3910" spans="3:4" s="230" customFormat="1">
      <c r="C3910" s="16" t="str">
        <f>IFERROR(VLOOKUP(DATA!#REF!,DATA!#REF!,1,FALSE),"")</f>
        <v/>
      </c>
      <c r="D3910" s="16" t="str">
        <f>IFERROR(VLOOKUP(C3910,DATA!#REF!,2,FALSE),"")</f>
        <v/>
      </c>
    </row>
    <row r="3911" spans="3:4" s="230" customFormat="1">
      <c r="C3911" s="16" t="str">
        <f>IFERROR(VLOOKUP(DATA!#REF!,DATA!#REF!,1,FALSE),"")</f>
        <v/>
      </c>
      <c r="D3911" s="16" t="str">
        <f>IFERROR(VLOOKUP(C3911,DATA!#REF!,2,FALSE),"")</f>
        <v/>
      </c>
    </row>
    <row r="3912" spans="3:4" s="230" customFormat="1">
      <c r="C3912" s="16" t="str">
        <f>IFERROR(VLOOKUP(DATA!#REF!,DATA!#REF!,1,FALSE),"")</f>
        <v/>
      </c>
      <c r="D3912" s="16" t="str">
        <f>IFERROR(VLOOKUP(C3912,DATA!#REF!,2,FALSE),"")</f>
        <v/>
      </c>
    </row>
    <row r="3913" spans="3:4" s="230" customFormat="1">
      <c r="C3913" s="16" t="str">
        <f>IFERROR(VLOOKUP(DATA!#REF!,DATA!#REF!,1,FALSE),"")</f>
        <v/>
      </c>
      <c r="D3913" s="16" t="str">
        <f>IFERROR(VLOOKUP(C3913,DATA!#REF!,2,FALSE),"")</f>
        <v/>
      </c>
    </row>
    <row r="3914" spans="3:4" s="230" customFormat="1">
      <c r="C3914" s="16" t="str">
        <f>IFERROR(VLOOKUP(DATA!#REF!,DATA!#REF!,1,FALSE),"")</f>
        <v/>
      </c>
      <c r="D3914" s="16" t="str">
        <f>IFERROR(VLOOKUP(C3914,DATA!#REF!,2,FALSE),"")</f>
        <v/>
      </c>
    </row>
    <row r="3915" spans="3:4" s="230" customFormat="1">
      <c r="C3915" s="16" t="str">
        <f>IFERROR(VLOOKUP(DATA!#REF!,DATA!#REF!,1,FALSE),"")</f>
        <v/>
      </c>
      <c r="D3915" s="16" t="str">
        <f>IFERROR(VLOOKUP(C3915,DATA!#REF!,2,FALSE),"")</f>
        <v/>
      </c>
    </row>
    <row r="3916" spans="3:4" s="230" customFormat="1">
      <c r="C3916" s="16" t="str">
        <f>IFERROR(VLOOKUP(DATA!#REF!,DATA!#REF!,1,FALSE),"")</f>
        <v/>
      </c>
      <c r="D3916" s="16" t="str">
        <f>IFERROR(VLOOKUP(C3916,DATA!#REF!,2,FALSE),"")</f>
        <v/>
      </c>
    </row>
    <row r="3917" spans="3:4" s="230" customFormat="1">
      <c r="C3917" s="16" t="str">
        <f>IFERROR(VLOOKUP(DATA!#REF!,DATA!#REF!,1,FALSE),"")</f>
        <v/>
      </c>
      <c r="D3917" s="16" t="str">
        <f>IFERROR(VLOOKUP(C3917,DATA!#REF!,2,FALSE),"")</f>
        <v/>
      </c>
    </row>
    <row r="3918" spans="3:4" s="230" customFormat="1">
      <c r="C3918" s="16" t="str">
        <f>IFERROR(VLOOKUP(DATA!#REF!,DATA!#REF!,1,FALSE),"")</f>
        <v/>
      </c>
      <c r="D3918" s="16" t="str">
        <f>IFERROR(VLOOKUP(C3918,DATA!#REF!,2,FALSE),"")</f>
        <v/>
      </c>
    </row>
    <row r="3919" spans="3:4" s="230" customFormat="1">
      <c r="C3919" s="16" t="str">
        <f>IFERROR(VLOOKUP(DATA!#REF!,DATA!#REF!,1,FALSE),"")</f>
        <v/>
      </c>
      <c r="D3919" s="16" t="str">
        <f>IFERROR(VLOOKUP(C3919,DATA!#REF!,2,FALSE),"")</f>
        <v/>
      </c>
    </row>
    <row r="3920" spans="3:4" s="230" customFormat="1">
      <c r="C3920" s="16" t="str">
        <f>IFERROR(VLOOKUP(DATA!#REF!,DATA!#REF!,1,FALSE),"")</f>
        <v/>
      </c>
      <c r="D3920" s="16" t="str">
        <f>IFERROR(VLOOKUP(C3920,DATA!#REF!,2,FALSE),"")</f>
        <v/>
      </c>
    </row>
    <row r="3921" spans="3:4" s="230" customFormat="1">
      <c r="C3921" s="16" t="str">
        <f>IFERROR(VLOOKUP(DATA!#REF!,DATA!#REF!,1,FALSE),"")</f>
        <v/>
      </c>
      <c r="D3921" s="16" t="str">
        <f>IFERROR(VLOOKUP(C3921,DATA!#REF!,2,FALSE),"")</f>
        <v/>
      </c>
    </row>
    <row r="3922" spans="3:4" s="230" customFormat="1">
      <c r="C3922" s="16" t="str">
        <f>IFERROR(VLOOKUP(DATA!#REF!,DATA!#REF!,1,FALSE),"")</f>
        <v/>
      </c>
      <c r="D3922" s="16" t="str">
        <f>IFERROR(VLOOKUP(C3922,DATA!#REF!,2,FALSE),"")</f>
        <v/>
      </c>
    </row>
    <row r="3923" spans="3:4" s="230" customFormat="1">
      <c r="C3923" s="16" t="str">
        <f>IFERROR(VLOOKUP(DATA!#REF!,DATA!#REF!,1,FALSE),"")</f>
        <v/>
      </c>
      <c r="D3923" s="16" t="str">
        <f>IFERROR(VLOOKUP(C3923,DATA!#REF!,2,FALSE),"")</f>
        <v/>
      </c>
    </row>
    <row r="3924" spans="3:4" s="230" customFormat="1">
      <c r="C3924" s="16" t="str">
        <f>IFERROR(VLOOKUP(DATA!#REF!,DATA!#REF!,1,FALSE),"")</f>
        <v/>
      </c>
      <c r="D3924" s="16" t="str">
        <f>IFERROR(VLOOKUP(C3924,DATA!#REF!,2,FALSE),"")</f>
        <v/>
      </c>
    </row>
    <row r="3925" spans="3:4" s="230" customFormat="1">
      <c r="C3925" s="16" t="str">
        <f>IFERROR(VLOOKUP(DATA!#REF!,DATA!#REF!,1,FALSE),"")</f>
        <v/>
      </c>
      <c r="D3925" s="16" t="str">
        <f>IFERROR(VLOOKUP(C3925,DATA!#REF!,2,FALSE),"")</f>
        <v/>
      </c>
    </row>
    <row r="3926" spans="3:4" s="230" customFormat="1">
      <c r="C3926" s="16" t="str">
        <f>IFERROR(VLOOKUP(DATA!#REF!,DATA!#REF!,1,FALSE),"")</f>
        <v/>
      </c>
      <c r="D3926" s="16" t="str">
        <f>IFERROR(VLOOKUP(C3926,DATA!#REF!,2,FALSE),"")</f>
        <v/>
      </c>
    </row>
    <row r="3927" spans="3:4" s="230" customFormat="1">
      <c r="C3927" s="16" t="str">
        <f>IFERROR(VLOOKUP(DATA!#REF!,DATA!#REF!,1,FALSE),"")</f>
        <v/>
      </c>
      <c r="D3927" s="16" t="str">
        <f>IFERROR(VLOOKUP(C3927,DATA!#REF!,2,FALSE),"")</f>
        <v/>
      </c>
    </row>
    <row r="3928" spans="3:4" s="230" customFormat="1">
      <c r="C3928" s="16" t="str">
        <f>IFERROR(VLOOKUP(DATA!#REF!,DATA!#REF!,1,FALSE),"")</f>
        <v/>
      </c>
      <c r="D3928" s="16" t="str">
        <f>IFERROR(VLOOKUP(C3928,DATA!#REF!,2,FALSE),"")</f>
        <v/>
      </c>
    </row>
    <row r="3929" spans="3:4" s="230" customFormat="1">
      <c r="C3929" s="16" t="str">
        <f>IFERROR(VLOOKUP(DATA!#REF!,DATA!#REF!,1,FALSE),"")</f>
        <v/>
      </c>
      <c r="D3929" s="16" t="str">
        <f>IFERROR(VLOOKUP(C3929,DATA!#REF!,2,FALSE),"")</f>
        <v/>
      </c>
    </row>
    <row r="3930" spans="3:4" s="230" customFormat="1">
      <c r="C3930" s="16" t="str">
        <f>IFERROR(VLOOKUP(DATA!#REF!,DATA!#REF!,1,FALSE),"")</f>
        <v/>
      </c>
      <c r="D3930" s="16" t="str">
        <f>IFERROR(VLOOKUP(C3930,DATA!#REF!,2,FALSE),"")</f>
        <v/>
      </c>
    </row>
    <row r="3931" spans="3:4" s="230" customFormat="1">
      <c r="C3931" s="16" t="str">
        <f>IFERROR(VLOOKUP(DATA!#REF!,DATA!#REF!,1,FALSE),"")</f>
        <v/>
      </c>
      <c r="D3931" s="16" t="str">
        <f>IFERROR(VLOOKUP(C3931,DATA!#REF!,2,FALSE),"")</f>
        <v/>
      </c>
    </row>
    <row r="3932" spans="3:4" s="230" customFormat="1">
      <c r="C3932" s="16" t="str">
        <f>IFERROR(VLOOKUP(DATA!#REF!,DATA!#REF!,1,FALSE),"")</f>
        <v/>
      </c>
      <c r="D3932" s="16" t="str">
        <f>IFERROR(VLOOKUP(C3932,DATA!#REF!,2,FALSE),"")</f>
        <v/>
      </c>
    </row>
    <row r="3933" spans="3:4" s="230" customFormat="1">
      <c r="C3933" s="16" t="str">
        <f>IFERROR(VLOOKUP(DATA!#REF!,DATA!#REF!,1,FALSE),"")</f>
        <v/>
      </c>
      <c r="D3933" s="16" t="str">
        <f>IFERROR(VLOOKUP(C3933,DATA!#REF!,2,FALSE),"")</f>
        <v/>
      </c>
    </row>
    <row r="3934" spans="3:4" s="230" customFormat="1">
      <c r="C3934" s="16" t="str">
        <f>IFERROR(VLOOKUP(DATA!#REF!,DATA!#REF!,1,FALSE),"")</f>
        <v/>
      </c>
      <c r="D3934" s="16" t="str">
        <f>IFERROR(VLOOKUP(C3934,DATA!#REF!,2,FALSE),"")</f>
        <v/>
      </c>
    </row>
    <row r="3935" spans="3:4" s="230" customFormat="1">
      <c r="C3935" s="16" t="str">
        <f>IFERROR(VLOOKUP(DATA!#REF!,DATA!#REF!,1,FALSE),"")</f>
        <v/>
      </c>
      <c r="D3935" s="16" t="str">
        <f>IFERROR(VLOOKUP(C3935,DATA!#REF!,2,FALSE),"")</f>
        <v/>
      </c>
    </row>
    <row r="3936" spans="3:4" s="230" customFormat="1">
      <c r="C3936" s="16" t="str">
        <f>IFERROR(VLOOKUP(DATA!#REF!,DATA!#REF!,1,FALSE),"")</f>
        <v/>
      </c>
      <c r="D3936" s="16" t="str">
        <f>IFERROR(VLOOKUP(C3936,DATA!#REF!,2,FALSE),"")</f>
        <v/>
      </c>
    </row>
    <row r="3937" spans="3:4" s="230" customFormat="1">
      <c r="C3937" s="16" t="str">
        <f>IFERROR(VLOOKUP(DATA!#REF!,DATA!#REF!,1,FALSE),"")</f>
        <v/>
      </c>
      <c r="D3937" s="16" t="str">
        <f>IFERROR(VLOOKUP(C3937,DATA!#REF!,2,FALSE),"")</f>
        <v/>
      </c>
    </row>
    <row r="3938" spans="3:4" s="230" customFormat="1">
      <c r="C3938" s="16" t="str">
        <f>IFERROR(VLOOKUP(DATA!#REF!,DATA!#REF!,1,FALSE),"")</f>
        <v/>
      </c>
      <c r="D3938" s="16" t="str">
        <f>IFERROR(VLOOKUP(C3938,DATA!#REF!,2,FALSE),"")</f>
        <v/>
      </c>
    </row>
    <row r="3939" spans="3:4" s="230" customFormat="1">
      <c r="C3939" s="16" t="str">
        <f>IFERROR(VLOOKUP(DATA!#REF!,DATA!#REF!,1,FALSE),"")</f>
        <v/>
      </c>
      <c r="D3939" s="16" t="str">
        <f>IFERROR(VLOOKUP(C3939,DATA!#REF!,2,FALSE),"")</f>
        <v/>
      </c>
    </row>
    <row r="3940" spans="3:4" s="230" customFormat="1">
      <c r="C3940" s="16" t="str">
        <f>IFERROR(VLOOKUP(DATA!#REF!,DATA!#REF!,1,FALSE),"")</f>
        <v/>
      </c>
      <c r="D3940" s="16" t="str">
        <f>IFERROR(VLOOKUP(C3940,DATA!#REF!,2,FALSE),"")</f>
        <v/>
      </c>
    </row>
    <row r="3941" spans="3:4" s="230" customFormat="1">
      <c r="C3941" s="16" t="str">
        <f>IFERROR(VLOOKUP(DATA!#REF!,DATA!#REF!,1,FALSE),"")</f>
        <v/>
      </c>
      <c r="D3941" s="16" t="str">
        <f>IFERROR(VLOOKUP(C3941,DATA!#REF!,2,FALSE),"")</f>
        <v/>
      </c>
    </row>
    <row r="3942" spans="3:4" s="230" customFormat="1">
      <c r="C3942" s="16" t="str">
        <f>IFERROR(VLOOKUP(DATA!#REF!,DATA!#REF!,1,FALSE),"")</f>
        <v/>
      </c>
      <c r="D3942" s="16" t="str">
        <f>IFERROR(VLOOKUP(C3942,DATA!#REF!,2,FALSE),"")</f>
        <v/>
      </c>
    </row>
    <row r="3943" spans="3:4" s="230" customFormat="1">
      <c r="C3943" s="16" t="str">
        <f>IFERROR(VLOOKUP(DATA!#REF!,DATA!#REF!,1,FALSE),"")</f>
        <v/>
      </c>
      <c r="D3943" s="16" t="str">
        <f>IFERROR(VLOOKUP(C3943,DATA!#REF!,2,FALSE),"")</f>
        <v/>
      </c>
    </row>
    <row r="3944" spans="3:4" s="230" customFormat="1">
      <c r="C3944" s="16" t="str">
        <f>IFERROR(VLOOKUP(DATA!#REF!,DATA!#REF!,1,FALSE),"")</f>
        <v/>
      </c>
      <c r="D3944" s="16" t="str">
        <f>IFERROR(VLOOKUP(C3944,DATA!#REF!,2,FALSE),"")</f>
        <v/>
      </c>
    </row>
    <row r="3945" spans="3:4" s="230" customFormat="1">
      <c r="C3945" s="16" t="str">
        <f>IFERROR(VLOOKUP(DATA!#REF!,DATA!#REF!,1,FALSE),"")</f>
        <v/>
      </c>
      <c r="D3945" s="16" t="str">
        <f>IFERROR(VLOOKUP(C3945,DATA!#REF!,2,FALSE),"")</f>
        <v/>
      </c>
    </row>
    <row r="3946" spans="3:4" s="230" customFormat="1">
      <c r="C3946" s="16" t="str">
        <f>IFERROR(VLOOKUP(DATA!#REF!,DATA!#REF!,1,FALSE),"")</f>
        <v/>
      </c>
      <c r="D3946" s="16" t="str">
        <f>IFERROR(VLOOKUP(C3946,DATA!#REF!,2,FALSE),"")</f>
        <v/>
      </c>
    </row>
    <row r="3947" spans="3:4" s="230" customFormat="1">
      <c r="C3947" s="16" t="str">
        <f>IFERROR(VLOOKUP(DATA!#REF!,DATA!#REF!,1,FALSE),"")</f>
        <v/>
      </c>
      <c r="D3947" s="16" t="str">
        <f>IFERROR(VLOOKUP(C3947,DATA!#REF!,2,FALSE),"")</f>
        <v/>
      </c>
    </row>
    <row r="3948" spans="3:4" s="230" customFormat="1">
      <c r="C3948" s="16" t="str">
        <f>IFERROR(VLOOKUP(DATA!#REF!,DATA!#REF!,1,FALSE),"")</f>
        <v/>
      </c>
      <c r="D3948" s="16" t="str">
        <f>IFERROR(VLOOKUP(C3948,DATA!#REF!,2,FALSE),"")</f>
        <v/>
      </c>
    </row>
    <row r="3949" spans="3:4" s="230" customFormat="1">
      <c r="C3949" s="16" t="str">
        <f>IFERROR(VLOOKUP(DATA!#REF!,DATA!#REF!,1,FALSE),"")</f>
        <v/>
      </c>
      <c r="D3949" s="16" t="str">
        <f>IFERROR(VLOOKUP(C3949,DATA!#REF!,2,FALSE),"")</f>
        <v/>
      </c>
    </row>
    <row r="3950" spans="3:4" s="230" customFormat="1">
      <c r="C3950" s="16" t="str">
        <f>IFERROR(VLOOKUP(DATA!#REF!,DATA!#REF!,1,FALSE),"")</f>
        <v/>
      </c>
      <c r="D3950" s="16" t="str">
        <f>IFERROR(VLOOKUP(C3950,DATA!#REF!,2,FALSE),"")</f>
        <v/>
      </c>
    </row>
    <row r="3951" spans="3:4" s="230" customFormat="1">
      <c r="C3951" s="16" t="str">
        <f>IFERROR(VLOOKUP(DATA!#REF!,DATA!#REF!,1,FALSE),"")</f>
        <v/>
      </c>
      <c r="D3951" s="16" t="str">
        <f>IFERROR(VLOOKUP(C3951,DATA!#REF!,2,FALSE),"")</f>
        <v/>
      </c>
    </row>
    <row r="3952" spans="3:4" s="230" customFormat="1">
      <c r="C3952" s="16" t="str">
        <f>IFERROR(VLOOKUP(DATA!#REF!,DATA!#REF!,1,FALSE),"")</f>
        <v/>
      </c>
      <c r="D3952" s="16" t="str">
        <f>IFERROR(VLOOKUP(C3952,DATA!#REF!,2,FALSE),"")</f>
        <v/>
      </c>
    </row>
    <row r="3953" spans="3:4" s="230" customFormat="1">
      <c r="C3953" s="16" t="str">
        <f>IFERROR(VLOOKUP(DATA!#REF!,DATA!#REF!,1,FALSE),"")</f>
        <v/>
      </c>
      <c r="D3953" s="16" t="str">
        <f>IFERROR(VLOOKUP(C3953,DATA!#REF!,2,FALSE),"")</f>
        <v/>
      </c>
    </row>
    <row r="3954" spans="3:4" s="230" customFormat="1">
      <c r="C3954" s="16" t="str">
        <f>IFERROR(VLOOKUP(DATA!#REF!,DATA!#REF!,1,FALSE),"")</f>
        <v/>
      </c>
      <c r="D3954" s="16" t="str">
        <f>IFERROR(VLOOKUP(C3954,DATA!#REF!,2,FALSE),"")</f>
        <v/>
      </c>
    </row>
    <row r="3955" spans="3:4" s="230" customFormat="1">
      <c r="C3955" s="16" t="str">
        <f>IFERROR(VLOOKUP(DATA!#REF!,DATA!#REF!,1,FALSE),"")</f>
        <v/>
      </c>
      <c r="D3955" s="16" t="str">
        <f>IFERROR(VLOOKUP(C3955,DATA!#REF!,2,FALSE),"")</f>
        <v/>
      </c>
    </row>
    <row r="3956" spans="3:4" s="230" customFormat="1">
      <c r="C3956" s="16" t="str">
        <f>IFERROR(VLOOKUP(DATA!#REF!,DATA!#REF!,1,FALSE),"")</f>
        <v/>
      </c>
      <c r="D3956" s="16" t="str">
        <f>IFERROR(VLOOKUP(C3956,DATA!#REF!,2,FALSE),"")</f>
        <v/>
      </c>
    </row>
    <row r="3957" spans="3:4" s="230" customFormat="1">
      <c r="C3957" s="16" t="str">
        <f>IFERROR(VLOOKUP(DATA!#REF!,DATA!#REF!,1,FALSE),"")</f>
        <v/>
      </c>
      <c r="D3957" s="16" t="str">
        <f>IFERROR(VLOOKUP(C3957,DATA!#REF!,2,FALSE),"")</f>
        <v/>
      </c>
    </row>
    <row r="3958" spans="3:4" s="230" customFormat="1">
      <c r="C3958" s="16" t="str">
        <f>IFERROR(VLOOKUP(DATA!#REF!,DATA!#REF!,1,FALSE),"")</f>
        <v/>
      </c>
      <c r="D3958" s="16" t="str">
        <f>IFERROR(VLOOKUP(C3958,DATA!#REF!,2,FALSE),"")</f>
        <v/>
      </c>
    </row>
    <row r="3959" spans="3:4" s="230" customFormat="1">
      <c r="C3959" s="16" t="str">
        <f>IFERROR(VLOOKUP(DATA!#REF!,DATA!#REF!,1,FALSE),"")</f>
        <v/>
      </c>
      <c r="D3959" s="16" t="str">
        <f>IFERROR(VLOOKUP(C3959,DATA!#REF!,2,FALSE),"")</f>
        <v/>
      </c>
    </row>
    <row r="3960" spans="3:4" s="230" customFormat="1">
      <c r="C3960" s="16" t="str">
        <f>IFERROR(VLOOKUP(DATA!#REF!,DATA!#REF!,1,FALSE),"")</f>
        <v/>
      </c>
      <c r="D3960" s="16" t="str">
        <f>IFERROR(VLOOKUP(C3960,DATA!#REF!,2,FALSE),"")</f>
        <v/>
      </c>
    </row>
    <row r="3961" spans="3:4" s="230" customFormat="1">
      <c r="C3961" s="16" t="str">
        <f>IFERROR(VLOOKUP(DATA!#REF!,DATA!#REF!,1,FALSE),"")</f>
        <v/>
      </c>
      <c r="D3961" s="16" t="str">
        <f>IFERROR(VLOOKUP(C3961,DATA!#REF!,2,FALSE),"")</f>
        <v/>
      </c>
    </row>
    <row r="3962" spans="3:4" s="230" customFormat="1">
      <c r="C3962" s="16" t="str">
        <f>IFERROR(VLOOKUP(DATA!#REF!,DATA!#REF!,1,FALSE),"")</f>
        <v/>
      </c>
      <c r="D3962" s="16" t="str">
        <f>IFERROR(VLOOKUP(C3962,DATA!#REF!,2,FALSE),"")</f>
        <v/>
      </c>
    </row>
    <row r="3963" spans="3:4" s="230" customFormat="1">
      <c r="C3963" s="16" t="str">
        <f>IFERROR(VLOOKUP(DATA!#REF!,DATA!#REF!,1,FALSE),"")</f>
        <v/>
      </c>
      <c r="D3963" s="16" t="str">
        <f>IFERROR(VLOOKUP(C3963,DATA!#REF!,2,FALSE),"")</f>
        <v/>
      </c>
    </row>
    <row r="3964" spans="3:4" s="230" customFormat="1">
      <c r="C3964" s="16" t="str">
        <f>IFERROR(VLOOKUP(DATA!#REF!,DATA!#REF!,1,FALSE),"")</f>
        <v/>
      </c>
      <c r="D3964" s="16" t="str">
        <f>IFERROR(VLOOKUP(C3964,DATA!#REF!,2,FALSE),"")</f>
        <v/>
      </c>
    </row>
    <row r="3965" spans="3:4" s="230" customFormat="1">
      <c r="C3965" s="16" t="str">
        <f>IFERROR(VLOOKUP(DATA!#REF!,DATA!#REF!,1,FALSE),"")</f>
        <v/>
      </c>
      <c r="D3965" s="16" t="str">
        <f>IFERROR(VLOOKUP(C3965,DATA!#REF!,2,FALSE),"")</f>
        <v/>
      </c>
    </row>
    <row r="3966" spans="3:4" s="230" customFormat="1">
      <c r="C3966" s="16" t="str">
        <f>IFERROR(VLOOKUP(DATA!#REF!,DATA!#REF!,1,FALSE),"")</f>
        <v/>
      </c>
      <c r="D3966" s="16" t="str">
        <f>IFERROR(VLOOKUP(C3966,DATA!#REF!,2,FALSE),"")</f>
        <v/>
      </c>
    </row>
    <row r="3967" spans="3:4" s="230" customFormat="1">
      <c r="C3967" s="16" t="str">
        <f>IFERROR(VLOOKUP(DATA!#REF!,DATA!#REF!,1,FALSE),"")</f>
        <v/>
      </c>
      <c r="D3967" s="16" t="str">
        <f>IFERROR(VLOOKUP(C3967,DATA!#REF!,2,FALSE),"")</f>
        <v/>
      </c>
    </row>
    <row r="3968" spans="3:4" s="230" customFormat="1">
      <c r="C3968" s="16" t="str">
        <f>IFERROR(VLOOKUP(DATA!#REF!,DATA!#REF!,1,FALSE),"")</f>
        <v/>
      </c>
      <c r="D3968" s="16" t="str">
        <f>IFERROR(VLOOKUP(C3968,DATA!#REF!,2,FALSE),"")</f>
        <v/>
      </c>
    </row>
    <row r="3969" spans="3:4" s="230" customFormat="1">
      <c r="C3969" s="16" t="str">
        <f>IFERROR(VLOOKUP(DATA!#REF!,DATA!#REF!,1,FALSE),"")</f>
        <v/>
      </c>
      <c r="D3969" s="16" t="str">
        <f>IFERROR(VLOOKUP(C3969,DATA!#REF!,2,FALSE),"")</f>
        <v/>
      </c>
    </row>
    <row r="3970" spans="3:4" s="230" customFormat="1">
      <c r="C3970" s="16" t="str">
        <f>IFERROR(VLOOKUP(DATA!#REF!,DATA!#REF!,1,FALSE),"")</f>
        <v/>
      </c>
      <c r="D3970" s="16" t="str">
        <f>IFERROR(VLOOKUP(C3970,DATA!#REF!,2,FALSE),"")</f>
        <v/>
      </c>
    </row>
    <row r="3971" spans="3:4" s="230" customFormat="1">
      <c r="C3971" s="16" t="str">
        <f>IFERROR(VLOOKUP(DATA!#REF!,DATA!#REF!,1,FALSE),"")</f>
        <v/>
      </c>
      <c r="D3971" s="16" t="str">
        <f>IFERROR(VLOOKUP(C3971,DATA!#REF!,2,FALSE),"")</f>
        <v/>
      </c>
    </row>
    <row r="3972" spans="3:4" s="230" customFormat="1">
      <c r="C3972" s="16" t="str">
        <f>IFERROR(VLOOKUP(DATA!#REF!,DATA!#REF!,1,FALSE),"")</f>
        <v/>
      </c>
      <c r="D3972" s="16" t="str">
        <f>IFERROR(VLOOKUP(C3972,DATA!#REF!,2,FALSE),"")</f>
        <v/>
      </c>
    </row>
    <row r="3973" spans="3:4" s="230" customFormat="1">
      <c r="C3973" s="16" t="str">
        <f>IFERROR(VLOOKUP(DATA!#REF!,DATA!#REF!,1,FALSE),"")</f>
        <v/>
      </c>
      <c r="D3973" s="16" t="str">
        <f>IFERROR(VLOOKUP(C3973,DATA!#REF!,2,FALSE),"")</f>
        <v/>
      </c>
    </row>
    <row r="3974" spans="3:4" s="230" customFormat="1">
      <c r="C3974" s="16" t="str">
        <f>IFERROR(VLOOKUP(DATA!#REF!,DATA!#REF!,1,FALSE),"")</f>
        <v/>
      </c>
      <c r="D3974" s="16" t="str">
        <f>IFERROR(VLOOKUP(C3974,DATA!#REF!,2,FALSE),"")</f>
        <v/>
      </c>
    </row>
    <row r="3975" spans="3:4" s="230" customFormat="1">
      <c r="C3975" s="16" t="str">
        <f>IFERROR(VLOOKUP(DATA!#REF!,DATA!#REF!,1,FALSE),"")</f>
        <v/>
      </c>
      <c r="D3975" s="16" t="str">
        <f>IFERROR(VLOOKUP(C3975,DATA!#REF!,2,FALSE),"")</f>
        <v/>
      </c>
    </row>
    <row r="3976" spans="3:4" s="230" customFormat="1">
      <c r="C3976" s="16" t="str">
        <f>IFERROR(VLOOKUP(DATA!#REF!,DATA!#REF!,1,FALSE),"")</f>
        <v/>
      </c>
      <c r="D3976" s="16" t="str">
        <f>IFERROR(VLOOKUP(C3976,DATA!#REF!,2,FALSE),"")</f>
        <v/>
      </c>
    </row>
    <row r="3977" spans="3:4" s="230" customFormat="1">
      <c r="C3977" s="16" t="str">
        <f>IFERROR(VLOOKUP(DATA!#REF!,DATA!#REF!,1,FALSE),"")</f>
        <v/>
      </c>
      <c r="D3977" s="16" t="str">
        <f>IFERROR(VLOOKUP(C3977,DATA!#REF!,2,FALSE),"")</f>
        <v/>
      </c>
    </row>
    <row r="3978" spans="3:4" s="230" customFormat="1">
      <c r="C3978" s="16" t="str">
        <f>IFERROR(VLOOKUP(DATA!#REF!,DATA!#REF!,1,FALSE),"")</f>
        <v/>
      </c>
      <c r="D3978" s="16" t="str">
        <f>IFERROR(VLOOKUP(C3978,DATA!#REF!,2,FALSE),"")</f>
        <v/>
      </c>
    </row>
    <row r="3979" spans="3:4" s="230" customFormat="1">
      <c r="C3979" s="16" t="str">
        <f>IFERROR(VLOOKUP(DATA!#REF!,DATA!#REF!,1,FALSE),"")</f>
        <v/>
      </c>
      <c r="D3979" s="16" t="str">
        <f>IFERROR(VLOOKUP(C3979,DATA!#REF!,2,FALSE),"")</f>
        <v/>
      </c>
    </row>
    <row r="3980" spans="3:4" s="230" customFormat="1">
      <c r="C3980" s="16" t="str">
        <f>IFERROR(VLOOKUP(DATA!#REF!,DATA!#REF!,1,FALSE),"")</f>
        <v/>
      </c>
      <c r="D3980" s="16" t="str">
        <f>IFERROR(VLOOKUP(C3980,DATA!#REF!,2,FALSE),"")</f>
        <v/>
      </c>
    </row>
    <row r="3981" spans="3:4" s="230" customFormat="1">
      <c r="C3981" s="16" t="str">
        <f>IFERROR(VLOOKUP(DATA!#REF!,DATA!#REF!,1,FALSE),"")</f>
        <v/>
      </c>
      <c r="D3981" s="16" t="str">
        <f>IFERROR(VLOOKUP(C3981,DATA!#REF!,2,FALSE),"")</f>
        <v/>
      </c>
    </row>
    <row r="3982" spans="3:4" s="230" customFormat="1">
      <c r="C3982" s="16" t="str">
        <f>IFERROR(VLOOKUP(DATA!#REF!,DATA!#REF!,1,FALSE),"")</f>
        <v/>
      </c>
      <c r="D3982" s="16" t="str">
        <f>IFERROR(VLOOKUP(C3982,DATA!#REF!,2,FALSE),"")</f>
        <v/>
      </c>
    </row>
    <row r="3983" spans="3:4" s="230" customFormat="1">
      <c r="C3983" s="16" t="str">
        <f>IFERROR(VLOOKUP(DATA!#REF!,DATA!#REF!,1,FALSE),"")</f>
        <v/>
      </c>
      <c r="D3983" s="16" t="str">
        <f>IFERROR(VLOOKUP(C3983,DATA!#REF!,2,FALSE),"")</f>
        <v/>
      </c>
    </row>
    <row r="3984" spans="3:4" s="230" customFormat="1">
      <c r="C3984" s="16" t="str">
        <f>IFERROR(VLOOKUP(DATA!#REF!,DATA!#REF!,1,FALSE),"")</f>
        <v/>
      </c>
      <c r="D3984" s="16" t="str">
        <f>IFERROR(VLOOKUP(C3984,DATA!#REF!,2,FALSE),"")</f>
        <v/>
      </c>
    </row>
    <row r="3985" spans="3:4" s="230" customFormat="1">
      <c r="C3985" s="16" t="str">
        <f>IFERROR(VLOOKUP(DATA!#REF!,DATA!#REF!,1,FALSE),"")</f>
        <v/>
      </c>
      <c r="D3985" s="16" t="str">
        <f>IFERROR(VLOOKUP(C3985,DATA!#REF!,2,FALSE),"")</f>
        <v/>
      </c>
    </row>
    <row r="3986" spans="3:4" s="230" customFormat="1">
      <c r="C3986" s="16" t="str">
        <f>IFERROR(VLOOKUP(DATA!#REF!,DATA!#REF!,1,FALSE),"")</f>
        <v/>
      </c>
      <c r="D3986" s="16" t="str">
        <f>IFERROR(VLOOKUP(C3986,DATA!#REF!,2,FALSE),"")</f>
        <v/>
      </c>
    </row>
    <row r="3987" spans="3:4" s="230" customFormat="1">
      <c r="C3987" s="16" t="str">
        <f>IFERROR(VLOOKUP(DATA!#REF!,DATA!#REF!,1,FALSE),"")</f>
        <v/>
      </c>
      <c r="D3987" s="16" t="str">
        <f>IFERROR(VLOOKUP(C3987,DATA!#REF!,2,FALSE),"")</f>
        <v/>
      </c>
    </row>
    <row r="3988" spans="3:4" s="230" customFormat="1">
      <c r="C3988" s="16" t="str">
        <f>IFERROR(VLOOKUP(DATA!#REF!,DATA!#REF!,1,FALSE),"")</f>
        <v/>
      </c>
      <c r="D3988" s="16" t="str">
        <f>IFERROR(VLOOKUP(C3988,DATA!#REF!,2,FALSE),"")</f>
        <v/>
      </c>
    </row>
    <row r="3989" spans="3:4" s="230" customFormat="1">
      <c r="C3989" s="16" t="str">
        <f>IFERROR(VLOOKUP(DATA!#REF!,DATA!#REF!,1,FALSE),"")</f>
        <v/>
      </c>
      <c r="D3989" s="16" t="str">
        <f>IFERROR(VLOOKUP(C3989,DATA!#REF!,2,FALSE),"")</f>
        <v/>
      </c>
    </row>
    <row r="3990" spans="3:4" s="230" customFormat="1">
      <c r="C3990" s="16" t="str">
        <f>IFERROR(VLOOKUP(DATA!#REF!,DATA!#REF!,1,FALSE),"")</f>
        <v/>
      </c>
      <c r="D3990" s="16" t="str">
        <f>IFERROR(VLOOKUP(C3990,DATA!#REF!,2,FALSE),"")</f>
        <v/>
      </c>
    </row>
    <row r="3991" spans="3:4" s="230" customFormat="1">
      <c r="C3991" s="16" t="str">
        <f>IFERROR(VLOOKUP(DATA!#REF!,DATA!#REF!,1,FALSE),"")</f>
        <v/>
      </c>
      <c r="D3991" s="16" t="str">
        <f>IFERROR(VLOOKUP(C3991,DATA!#REF!,2,FALSE),"")</f>
        <v/>
      </c>
    </row>
    <row r="3992" spans="3:4" s="230" customFormat="1">
      <c r="C3992" s="16" t="str">
        <f>IFERROR(VLOOKUP(DATA!#REF!,DATA!#REF!,1,FALSE),"")</f>
        <v/>
      </c>
      <c r="D3992" s="16" t="str">
        <f>IFERROR(VLOOKUP(C3992,DATA!#REF!,2,FALSE),"")</f>
        <v/>
      </c>
    </row>
    <row r="3993" spans="3:4" s="230" customFormat="1">
      <c r="C3993" s="16" t="str">
        <f>IFERROR(VLOOKUP(DATA!#REF!,DATA!#REF!,1,FALSE),"")</f>
        <v/>
      </c>
      <c r="D3993" s="16" t="str">
        <f>IFERROR(VLOOKUP(C3993,DATA!#REF!,2,FALSE),"")</f>
        <v/>
      </c>
    </row>
    <row r="3994" spans="3:4" s="230" customFormat="1">
      <c r="C3994" s="16" t="str">
        <f>IFERROR(VLOOKUP(DATA!#REF!,DATA!#REF!,1,FALSE),"")</f>
        <v/>
      </c>
      <c r="D3994" s="16" t="str">
        <f>IFERROR(VLOOKUP(C3994,DATA!#REF!,2,FALSE),"")</f>
        <v/>
      </c>
    </row>
    <row r="3995" spans="3:4" s="230" customFormat="1">
      <c r="C3995" s="16" t="str">
        <f>IFERROR(VLOOKUP(DATA!#REF!,DATA!#REF!,1,FALSE),"")</f>
        <v/>
      </c>
      <c r="D3995" s="16" t="str">
        <f>IFERROR(VLOOKUP(C3995,DATA!#REF!,2,FALSE),"")</f>
        <v/>
      </c>
    </row>
    <row r="3996" spans="3:4" s="230" customFormat="1">
      <c r="C3996" s="16" t="str">
        <f>IFERROR(VLOOKUP(DATA!#REF!,DATA!#REF!,1,FALSE),"")</f>
        <v/>
      </c>
      <c r="D3996" s="16" t="str">
        <f>IFERROR(VLOOKUP(C3996,DATA!#REF!,2,FALSE),"")</f>
        <v/>
      </c>
    </row>
    <row r="3997" spans="3:4" s="230" customFormat="1">
      <c r="C3997" s="16" t="str">
        <f>IFERROR(VLOOKUP(DATA!#REF!,DATA!#REF!,1,FALSE),"")</f>
        <v/>
      </c>
      <c r="D3997" s="16" t="str">
        <f>IFERROR(VLOOKUP(C3997,DATA!#REF!,2,FALSE),"")</f>
        <v/>
      </c>
    </row>
    <row r="3998" spans="3:4" s="230" customFormat="1">
      <c r="C3998" s="16" t="str">
        <f>IFERROR(VLOOKUP(DATA!#REF!,DATA!#REF!,1,FALSE),"")</f>
        <v/>
      </c>
      <c r="D3998" s="16" t="str">
        <f>IFERROR(VLOOKUP(C3998,DATA!#REF!,2,FALSE),"")</f>
        <v/>
      </c>
    </row>
    <row r="3999" spans="3:4" s="230" customFormat="1">
      <c r="C3999" s="16" t="str">
        <f>IFERROR(VLOOKUP(DATA!#REF!,DATA!#REF!,1,FALSE),"")</f>
        <v/>
      </c>
      <c r="D3999" s="16" t="str">
        <f>IFERROR(VLOOKUP(C3999,DATA!#REF!,2,FALSE),"")</f>
        <v/>
      </c>
    </row>
    <row r="4000" spans="3:4" s="230" customFormat="1">
      <c r="C4000" s="16" t="str">
        <f>IFERROR(VLOOKUP(DATA!#REF!,DATA!#REF!,1,FALSE),"")</f>
        <v/>
      </c>
      <c r="D4000" s="16" t="str">
        <f>IFERROR(VLOOKUP(C4000,DATA!#REF!,2,FALSE),"")</f>
        <v/>
      </c>
    </row>
    <row r="4001" spans="3:4" s="230" customFormat="1">
      <c r="C4001" s="16" t="str">
        <f>IFERROR(VLOOKUP(DATA!#REF!,DATA!#REF!,1,FALSE),"")</f>
        <v/>
      </c>
      <c r="D4001" s="16" t="str">
        <f>IFERROR(VLOOKUP(C4001,DATA!#REF!,2,FALSE),"")</f>
        <v/>
      </c>
    </row>
    <row r="4002" spans="3:4" s="230" customFormat="1">
      <c r="C4002" s="16" t="str">
        <f>IFERROR(VLOOKUP(DATA!#REF!,DATA!#REF!,1,FALSE),"")</f>
        <v/>
      </c>
      <c r="D4002" s="16" t="str">
        <f>IFERROR(VLOOKUP(C4002,DATA!#REF!,2,FALSE),"")</f>
        <v/>
      </c>
    </row>
    <row r="4003" spans="3:4" s="230" customFormat="1">
      <c r="C4003" s="16" t="str">
        <f>IFERROR(VLOOKUP(DATA!#REF!,DATA!#REF!,1,FALSE),"")</f>
        <v/>
      </c>
      <c r="D4003" s="16" t="str">
        <f>IFERROR(VLOOKUP(C4003,DATA!#REF!,2,FALSE),"")</f>
        <v/>
      </c>
    </row>
    <row r="4004" spans="3:4" s="230" customFormat="1">
      <c r="C4004" s="16" t="str">
        <f>IFERROR(VLOOKUP(DATA!#REF!,DATA!#REF!,1,FALSE),"")</f>
        <v/>
      </c>
      <c r="D4004" s="16" t="str">
        <f>IFERROR(VLOOKUP(C4004,DATA!#REF!,2,FALSE),"")</f>
        <v/>
      </c>
    </row>
    <row r="4005" spans="3:4" s="230" customFormat="1">
      <c r="C4005" s="16" t="str">
        <f>IFERROR(VLOOKUP(DATA!#REF!,DATA!#REF!,1,FALSE),"")</f>
        <v/>
      </c>
      <c r="D4005" s="16" t="str">
        <f>IFERROR(VLOOKUP(C4005,DATA!#REF!,2,FALSE),"")</f>
        <v/>
      </c>
    </row>
    <row r="4006" spans="3:4" s="230" customFormat="1">
      <c r="C4006" s="16" t="str">
        <f>IFERROR(VLOOKUP(DATA!#REF!,DATA!#REF!,1,FALSE),"")</f>
        <v/>
      </c>
      <c r="D4006" s="16" t="str">
        <f>IFERROR(VLOOKUP(C4006,DATA!#REF!,2,FALSE),"")</f>
        <v/>
      </c>
    </row>
    <row r="4007" spans="3:4" s="230" customFormat="1">
      <c r="C4007" s="16" t="str">
        <f>IFERROR(VLOOKUP(DATA!#REF!,DATA!#REF!,1,FALSE),"")</f>
        <v/>
      </c>
      <c r="D4007" s="16" t="str">
        <f>IFERROR(VLOOKUP(C4007,DATA!#REF!,2,FALSE),"")</f>
        <v/>
      </c>
    </row>
    <row r="4008" spans="3:4" s="230" customFormat="1">
      <c r="C4008" s="16" t="str">
        <f>IFERROR(VLOOKUP(DATA!#REF!,DATA!#REF!,1,FALSE),"")</f>
        <v/>
      </c>
      <c r="D4008" s="16" t="str">
        <f>IFERROR(VLOOKUP(C4008,DATA!#REF!,2,FALSE),"")</f>
        <v/>
      </c>
    </row>
    <row r="4009" spans="3:4" s="230" customFormat="1">
      <c r="C4009" s="16" t="str">
        <f>IFERROR(VLOOKUP(DATA!#REF!,DATA!#REF!,1,FALSE),"")</f>
        <v/>
      </c>
      <c r="D4009" s="16" t="str">
        <f>IFERROR(VLOOKUP(C4009,DATA!#REF!,2,FALSE),"")</f>
        <v/>
      </c>
    </row>
    <row r="4010" spans="3:4" s="230" customFormat="1">
      <c r="C4010" s="16" t="str">
        <f>IFERROR(VLOOKUP(DATA!#REF!,DATA!#REF!,1,FALSE),"")</f>
        <v/>
      </c>
      <c r="D4010" s="16" t="str">
        <f>IFERROR(VLOOKUP(C4010,DATA!#REF!,2,FALSE),"")</f>
        <v/>
      </c>
    </row>
    <row r="4011" spans="3:4" s="230" customFormat="1">
      <c r="C4011" s="16" t="str">
        <f>IFERROR(VLOOKUP(DATA!#REF!,DATA!#REF!,1,FALSE),"")</f>
        <v/>
      </c>
      <c r="D4011" s="16" t="str">
        <f>IFERROR(VLOOKUP(C4011,DATA!#REF!,2,FALSE),"")</f>
        <v/>
      </c>
    </row>
    <row r="4012" spans="3:4" s="230" customFormat="1">
      <c r="C4012" s="16" t="str">
        <f>IFERROR(VLOOKUP(DATA!#REF!,DATA!#REF!,1,FALSE),"")</f>
        <v/>
      </c>
      <c r="D4012" s="16" t="str">
        <f>IFERROR(VLOOKUP(C4012,DATA!#REF!,2,FALSE),"")</f>
        <v/>
      </c>
    </row>
    <row r="4013" spans="3:4" s="230" customFormat="1">
      <c r="C4013" s="16" t="str">
        <f>IFERROR(VLOOKUP(DATA!#REF!,DATA!#REF!,1,FALSE),"")</f>
        <v/>
      </c>
      <c r="D4013" s="16" t="str">
        <f>IFERROR(VLOOKUP(C4013,DATA!#REF!,2,FALSE),"")</f>
        <v/>
      </c>
    </row>
    <row r="4014" spans="3:4" s="230" customFormat="1">
      <c r="C4014" s="16" t="str">
        <f>IFERROR(VLOOKUP(DATA!#REF!,DATA!#REF!,1,FALSE),"")</f>
        <v/>
      </c>
      <c r="D4014" s="16" t="str">
        <f>IFERROR(VLOOKUP(C4014,DATA!#REF!,2,FALSE),"")</f>
        <v/>
      </c>
    </row>
    <row r="4015" spans="3:4" s="230" customFormat="1">
      <c r="C4015" s="16" t="str">
        <f>IFERROR(VLOOKUP(DATA!#REF!,DATA!#REF!,1,FALSE),"")</f>
        <v/>
      </c>
      <c r="D4015" s="16" t="str">
        <f>IFERROR(VLOOKUP(C4015,DATA!#REF!,2,FALSE),"")</f>
        <v/>
      </c>
    </row>
    <row r="4016" spans="3:4" s="230" customFormat="1">
      <c r="C4016" s="16" t="str">
        <f>IFERROR(VLOOKUP(DATA!#REF!,DATA!#REF!,1,FALSE),"")</f>
        <v/>
      </c>
      <c r="D4016" s="16" t="str">
        <f>IFERROR(VLOOKUP(C4016,DATA!#REF!,2,FALSE),"")</f>
        <v/>
      </c>
    </row>
    <row r="4017" spans="3:4" s="230" customFormat="1">
      <c r="C4017" s="16" t="str">
        <f>IFERROR(VLOOKUP(DATA!#REF!,DATA!#REF!,1,FALSE),"")</f>
        <v/>
      </c>
      <c r="D4017" s="16" t="str">
        <f>IFERROR(VLOOKUP(C4017,DATA!#REF!,2,FALSE),"")</f>
        <v/>
      </c>
    </row>
    <row r="4018" spans="3:4" s="230" customFormat="1">
      <c r="C4018" s="16" t="str">
        <f>IFERROR(VLOOKUP(DATA!#REF!,DATA!#REF!,1,FALSE),"")</f>
        <v/>
      </c>
      <c r="D4018" s="16" t="str">
        <f>IFERROR(VLOOKUP(C4018,DATA!#REF!,2,FALSE),"")</f>
        <v/>
      </c>
    </row>
    <row r="4019" spans="3:4" s="230" customFormat="1">
      <c r="C4019" s="16" t="str">
        <f>IFERROR(VLOOKUP(DATA!#REF!,DATA!#REF!,1,FALSE),"")</f>
        <v/>
      </c>
      <c r="D4019" s="16" t="str">
        <f>IFERROR(VLOOKUP(C4019,DATA!#REF!,2,FALSE),"")</f>
        <v/>
      </c>
    </row>
    <row r="4020" spans="3:4" s="230" customFormat="1">
      <c r="C4020" s="16" t="str">
        <f>IFERROR(VLOOKUP(DATA!#REF!,DATA!#REF!,1,FALSE),"")</f>
        <v/>
      </c>
      <c r="D4020" s="16" t="str">
        <f>IFERROR(VLOOKUP(C4020,DATA!#REF!,2,FALSE),"")</f>
        <v/>
      </c>
    </row>
    <row r="4021" spans="3:4" s="230" customFormat="1">
      <c r="C4021" s="16" t="str">
        <f>IFERROR(VLOOKUP(DATA!#REF!,DATA!#REF!,1,FALSE),"")</f>
        <v/>
      </c>
      <c r="D4021" s="16" t="str">
        <f>IFERROR(VLOOKUP(C4021,DATA!#REF!,2,FALSE),"")</f>
        <v/>
      </c>
    </row>
    <row r="4022" spans="3:4" s="230" customFormat="1">
      <c r="C4022" s="16" t="str">
        <f>IFERROR(VLOOKUP(DATA!#REF!,DATA!#REF!,1,FALSE),"")</f>
        <v/>
      </c>
      <c r="D4022" s="16" t="str">
        <f>IFERROR(VLOOKUP(C4022,DATA!#REF!,2,FALSE),"")</f>
        <v/>
      </c>
    </row>
    <row r="4023" spans="3:4" s="230" customFormat="1">
      <c r="C4023" s="16" t="str">
        <f>IFERROR(VLOOKUP(DATA!#REF!,DATA!#REF!,1,FALSE),"")</f>
        <v/>
      </c>
      <c r="D4023" s="16" t="str">
        <f>IFERROR(VLOOKUP(C4023,DATA!#REF!,2,FALSE),"")</f>
        <v/>
      </c>
    </row>
    <row r="4024" spans="3:4" s="230" customFormat="1">
      <c r="C4024" s="16" t="str">
        <f>IFERROR(VLOOKUP(DATA!#REF!,DATA!#REF!,1,FALSE),"")</f>
        <v/>
      </c>
      <c r="D4024" s="16" t="str">
        <f>IFERROR(VLOOKUP(C4024,DATA!#REF!,2,FALSE),"")</f>
        <v/>
      </c>
    </row>
    <row r="4025" spans="3:4" s="230" customFormat="1">
      <c r="C4025" s="16" t="str">
        <f>IFERROR(VLOOKUP(DATA!#REF!,DATA!#REF!,1,FALSE),"")</f>
        <v/>
      </c>
      <c r="D4025" s="16" t="str">
        <f>IFERROR(VLOOKUP(C4025,DATA!#REF!,2,FALSE),"")</f>
        <v/>
      </c>
    </row>
    <row r="4026" spans="3:4" s="230" customFormat="1">
      <c r="C4026" s="16" t="str">
        <f>IFERROR(VLOOKUP(DATA!#REF!,DATA!#REF!,1,FALSE),"")</f>
        <v/>
      </c>
      <c r="D4026" s="16" t="str">
        <f>IFERROR(VLOOKUP(C4026,DATA!#REF!,2,FALSE),"")</f>
        <v/>
      </c>
    </row>
    <row r="4027" spans="3:4" s="230" customFormat="1">
      <c r="C4027" s="16" t="str">
        <f>IFERROR(VLOOKUP(DATA!#REF!,DATA!#REF!,1,FALSE),"")</f>
        <v/>
      </c>
      <c r="D4027" s="16" t="str">
        <f>IFERROR(VLOOKUP(C4027,DATA!#REF!,2,FALSE),"")</f>
        <v/>
      </c>
    </row>
    <row r="4028" spans="3:4" s="230" customFormat="1">
      <c r="C4028" s="16" t="str">
        <f>IFERROR(VLOOKUP(DATA!#REF!,DATA!#REF!,1,FALSE),"")</f>
        <v/>
      </c>
      <c r="D4028" s="16" t="str">
        <f>IFERROR(VLOOKUP(C4028,DATA!#REF!,2,FALSE),"")</f>
        <v/>
      </c>
    </row>
    <row r="4029" spans="3:4" s="230" customFormat="1">
      <c r="C4029" s="16" t="str">
        <f>IFERROR(VLOOKUP(DATA!#REF!,DATA!#REF!,1,FALSE),"")</f>
        <v/>
      </c>
      <c r="D4029" s="16" t="str">
        <f>IFERROR(VLOOKUP(C4029,DATA!#REF!,2,FALSE),"")</f>
        <v/>
      </c>
    </row>
    <row r="4030" spans="3:4" s="230" customFormat="1">
      <c r="C4030" s="16" t="str">
        <f>IFERROR(VLOOKUP(DATA!#REF!,DATA!#REF!,1,FALSE),"")</f>
        <v/>
      </c>
      <c r="D4030" s="16" t="str">
        <f>IFERROR(VLOOKUP(C4030,DATA!#REF!,2,FALSE),"")</f>
        <v/>
      </c>
    </row>
    <row r="4031" spans="3:4" s="230" customFormat="1">
      <c r="C4031" s="16" t="str">
        <f>IFERROR(VLOOKUP(DATA!#REF!,DATA!#REF!,1,FALSE),"")</f>
        <v/>
      </c>
      <c r="D4031" s="16" t="str">
        <f>IFERROR(VLOOKUP(C4031,DATA!#REF!,2,FALSE),"")</f>
        <v/>
      </c>
    </row>
    <row r="4032" spans="3:4" s="230" customFormat="1">
      <c r="C4032" s="16" t="str">
        <f>IFERROR(VLOOKUP(DATA!#REF!,DATA!#REF!,1,FALSE),"")</f>
        <v/>
      </c>
      <c r="D4032" s="16" t="str">
        <f>IFERROR(VLOOKUP(C4032,DATA!#REF!,2,FALSE),"")</f>
        <v/>
      </c>
    </row>
    <row r="4033" spans="3:4" s="230" customFormat="1">
      <c r="C4033" s="16" t="str">
        <f>IFERROR(VLOOKUP(DATA!#REF!,DATA!#REF!,1,FALSE),"")</f>
        <v/>
      </c>
      <c r="D4033" s="16" t="str">
        <f>IFERROR(VLOOKUP(C4033,DATA!#REF!,2,FALSE),"")</f>
        <v/>
      </c>
    </row>
    <row r="4034" spans="3:4" s="230" customFormat="1">
      <c r="C4034" s="16" t="str">
        <f>IFERROR(VLOOKUP(DATA!#REF!,DATA!#REF!,1,FALSE),"")</f>
        <v/>
      </c>
      <c r="D4034" s="16" t="str">
        <f>IFERROR(VLOOKUP(C4034,DATA!#REF!,2,FALSE),"")</f>
        <v/>
      </c>
    </row>
    <row r="4035" spans="3:4" s="230" customFormat="1">
      <c r="C4035" s="16" t="str">
        <f>IFERROR(VLOOKUP(DATA!#REF!,DATA!#REF!,1,FALSE),"")</f>
        <v/>
      </c>
      <c r="D4035" s="16" t="str">
        <f>IFERROR(VLOOKUP(C4035,DATA!#REF!,2,FALSE),"")</f>
        <v/>
      </c>
    </row>
    <row r="4036" spans="3:4" s="230" customFormat="1">
      <c r="C4036" s="16" t="str">
        <f>IFERROR(VLOOKUP(DATA!#REF!,DATA!#REF!,1,FALSE),"")</f>
        <v/>
      </c>
      <c r="D4036" s="16" t="str">
        <f>IFERROR(VLOOKUP(C4036,DATA!#REF!,2,FALSE),"")</f>
        <v/>
      </c>
    </row>
    <row r="4037" spans="3:4" s="230" customFormat="1">
      <c r="C4037" s="16" t="str">
        <f>IFERROR(VLOOKUP(DATA!#REF!,DATA!#REF!,1,FALSE),"")</f>
        <v/>
      </c>
      <c r="D4037" s="16" t="str">
        <f>IFERROR(VLOOKUP(C4037,DATA!#REF!,2,FALSE),"")</f>
        <v/>
      </c>
    </row>
    <row r="4038" spans="3:4" s="230" customFormat="1">
      <c r="C4038" s="16" t="str">
        <f>IFERROR(VLOOKUP(DATA!#REF!,DATA!#REF!,1,FALSE),"")</f>
        <v/>
      </c>
      <c r="D4038" s="16" t="str">
        <f>IFERROR(VLOOKUP(C4038,DATA!#REF!,2,FALSE),"")</f>
        <v/>
      </c>
    </row>
    <row r="4039" spans="3:4" s="230" customFormat="1">
      <c r="C4039" s="16" t="str">
        <f>IFERROR(VLOOKUP(DATA!#REF!,DATA!#REF!,1,FALSE),"")</f>
        <v/>
      </c>
      <c r="D4039" s="16" t="str">
        <f>IFERROR(VLOOKUP(C4039,DATA!#REF!,2,FALSE),"")</f>
        <v/>
      </c>
    </row>
    <row r="4040" spans="3:4" s="230" customFormat="1">
      <c r="C4040" s="16" t="str">
        <f>IFERROR(VLOOKUP(DATA!#REF!,DATA!#REF!,1,FALSE),"")</f>
        <v/>
      </c>
      <c r="D4040" s="16" t="str">
        <f>IFERROR(VLOOKUP(C4040,DATA!#REF!,2,FALSE),"")</f>
        <v/>
      </c>
    </row>
    <row r="4041" spans="3:4" s="230" customFormat="1">
      <c r="C4041" s="16" t="str">
        <f>IFERROR(VLOOKUP(DATA!#REF!,DATA!#REF!,1,FALSE),"")</f>
        <v/>
      </c>
      <c r="D4041" s="16" t="str">
        <f>IFERROR(VLOOKUP(C4041,DATA!#REF!,2,FALSE),"")</f>
        <v/>
      </c>
    </row>
    <row r="4042" spans="3:4" s="230" customFormat="1">
      <c r="C4042" s="16" t="str">
        <f>IFERROR(VLOOKUP(DATA!#REF!,DATA!#REF!,1,FALSE),"")</f>
        <v/>
      </c>
      <c r="D4042" s="16" t="str">
        <f>IFERROR(VLOOKUP(C4042,DATA!#REF!,2,FALSE),"")</f>
        <v/>
      </c>
    </row>
    <row r="4043" spans="3:4" s="230" customFormat="1">
      <c r="C4043" s="16" t="str">
        <f>IFERROR(VLOOKUP(DATA!#REF!,DATA!#REF!,1,FALSE),"")</f>
        <v/>
      </c>
      <c r="D4043" s="16" t="str">
        <f>IFERROR(VLOOKUP(C4043,DATA!#REF!,2,FALSE),"")</f>
        <v/>
      </c>
    </row>
    <row r="4044" spans="3:4" s="230" customFormat="1">
      <c r="C4044" s="16" t="str">
        <f>IFERROR(VLOOKUP(DATA!#REF!,DATA!#REF!,1,FALSE),"")</f>
        <v/>
      </c>
      <c r="D4044" s="16" t="str">
        <f>IFERROR(VLOOKUP(C4044,DATA!#REF!,2,FALSE),"")</f>
        <v/>
      </c>
    </row>
    <row r="4045" spans="3:4" s="230" customFormat="1">
      <c r="C4045" s="16" t="str">
        <f>IFERROR(VLOOKUP(DATA!#REF!,DATA!#REF!,1,FALSE),"")</f>
        <v/>
      </c>
      <c r="D4045" s="16" t="str">
        <f>IFERROR(VLOOKUP(C4045,DATA!#REF!,2,FALSE),"")</f>
        <v/>
      </c>
    </row>
    <row r="4046" spans="3:4" s="230" customFormat="1">
      <c r="C4046" s="16" t="str">
        <f>IFERROR(VLOOKUP(DATA!#REF!,DATA!#REF!,1,FALSE),"")</f>
        <v/>
      </c>
      <c r="D4046" s="16" t="str">
        <f>IFERROR(VLOOKUP(C4046,DATA!#REF!,2,FALSE),"")</f>
        <v/>
      </c>
    </row>
    <row r="4047" spans="3:4" s="230" customFormat="1">
      <c r="C4047" s="16" t="str">
        <f>IFERROR(VLOOKUP(DATA!#REF!,DATA!#REF!,1,FALSE),"")</f>
        <v/>
      </c>
      <c r="D4047" s="16" t="str">
        <f>IFERROR(VLOOKUP(C4047,DATA!#REF!,2,FALSE),"")</f>
        <v/>
      </c>
    </row>
    <row r="4048" spans="3:4" s="230" customFormat="1">
      <c r="C4048" s="16" t="str">
        <f>IFERROR(VLOOKUP(DATA!#REF!,DATA!#REF!,1,FALSE),"")</f>
        <v/>
      </c>
      <c r="D4048" s="16" t="str">
        <f>IFERROR(VLOOKUP(C4048,DATA!#REF!,2,FALSE),"")</f>
        <v/>
      </c>
    </row>
    <row r="4049" spans="3:4" s="230" customFormat="1">
      <c r="C4049" s="16" t="str">
        <f>IFERROR(VLOOKUP(DATA!#REF!,DATA!#REF!,1,FALSE),"")</f>
        <v/>
      </c>
      <c r="D4049" s="16" t="str">
        <f>IFERROR(VLOOKUP(C4049,DATA!#REF!,2,FALSE),"")</f>
        <v/>
      </c>
    </row>
    <row r="4050" spans="3:4" s="230" customFormat="1">
      <c r="C4050" s="16" t="str">
        <f>IFERROR(VLOOKUP(DATA!#REF!,DATA!#REF!,1,FALSE),"")</f>
        <v/>
      </c>
      <c r="D4050" s="16" t="str">
        <f>IFERROR(VLOOKUP(C4050,DATA!#REF!,2,FALSE),"")</f>
        <v/>
      </c>
    </row>
    <row r="4051" spans="3:4" s="230" customFormat="1">
      <c r="C4051" s="16" t="str">
        <f>IFERROR(VLOOKUP(DATA!#REF!,DATA!#REF!,1,FALSE),"")</f>
        <v/>
      </c>
      <c r="D4051" s="16" t="str">
        <f>IFERROR(VLOOKUP(C4051,DATA!#REF!,2,FALSE),"")</f>
        <v/>
      </c>
    </row>
    <row r="4052" spans="3:4" s="230" customFormat="1">
      <c r="C4052" s="16" t="str">
        <f>IFERROR(VLOOKUP(DATA!#REF!,DATA!#REF!,1,FALSE),"")</f>
        <v/>
      </c>
      <c r="D4052" s="16" t="str">
        <f>IFERROR(VLOOKUP(C4052,DATA!#REF!,2,FALSE),"")</f>
        <v/>
      </c>
    </row>
    <row r="4053" spans="3:4" s="230" customFormat="1">
      <c r="C4053" s="16" t="str">
        <f>IFERROR(VLOOKUP(DATA!#REF!,DATA!#REF!,1,FALSE),"")</f>
        <v/>
      </c>
      <c r="D4053" s="16" t="str">
        <f>IFERROR(VLOOKUP(C4053,DATA!#REF!,2,FALSE),"")</f>
        <v/>
      </c>
    </row>
    <row r="4054" spans="3:4" s="230" customFormat="1">
      <c r="C4054" s="16" t="str">
        <f>IFERROR(VLOOKUP(DATA!#REF!,DATA!#REF!,1,FALSE),"")</f>
        <v/>
      </c>
      <c r="D4054" s="16" t="str">
        <f>IFERROR(VLOOKUP(C4054,DATA!#REF!,2,FALSE),"")</f>
        <v/>
      </c>
    </row>
    <row r="4055" spans="3:4" s="230" customFormat="1">
      <c r="C4055" s="16" t="str">
        <f>IFERROR(VLOOKUP(DATA!#REF!,DATA!#REF!,1,FALSE),"")</f>
        <v/>
      </c>
      <c r="D4055" s="16" t="str">
        <f>IFERROR(VLOOKUP(C4055,DATA!#REF!,2,FALSE),"")</f>
        <v/>
      </c>
    </row>
    <row r="4056" spans="3:4" s="230" customFormat="1">
      <c r="C4056" s="16" t="str">
        <f>IFERROR(VLOOKUP(DATA!#REF!,DATA!#REF!,1,FALSE),"")</f>
        <v/>
      </c>
      <c r="D4056" s="16" t="str">
        <f>IFERROR(VLOOKUP(C4056,DATA!#REF!,2,FALSE),"")</f>
        <v/>
      </c>
    </row>
    <row r="4057" spans="3:4" s="230" customFormat="1">
      <c r="C4057" s="16" t="str">
        <f>IFERROR(VLOOKUP(DATA!#REF!,DATA!#REF!,1,FALSE),"")</f>
        <v/>
      </c>
      <c r="D4057" s="16" t="str">
        <f>IFERROR(VLOOKUP(C4057,DATA!#REF!,2,FALSE),"")</f>
        <v/>
      </c>
    </row>
    <row r="4058" spans="3:4" s="230" customFormat="1">
      <c r="C4058" s="16" t="str">
        <f>IFERROR(VLOOKUP(DATA!#REF!,DATA!#REF!,1,FALSE),"")</f>
        <v/>
      </c>
      <c r="D4058" s="16" t="str">
        <f>IFERROR(VLOOKUP(C4058,DATA!#REF!,2,FALSE),"")</f>
        <v/>
      </c>
    </row>
    <row r="4059" spans="3:4" s="230" customFormat="1">
      <c r="C4059" s="16" t="str">
        <f>IFERROR(VLOOKUP(DATA!#REF!,DATA!#REF!,1,FALSE),"")</f>
        <v/>
      </c>
      <c r="D4059" s="16" t="str">
        <f>IFERROR(VLOOKUP(C4059,DATA!#REF!,2,FALSE),"")</f>
        <v/>
      </c>
    </row>
    <row r="4060" spans="3:4" s="230" customFormat="1">
      <c r="C4060" s="16" t="str">
        <f>IFERROR(VLOOKUP(DATA!#REF!,DATA!#REF!,1,FALSE),"")</f>
        <v/>
      </c>
      <c r="D4060" s="16" t="str">
        <f>IFERROR(VLOOKUP(C4060,DATA!#REF!,2,FALSE),"")</f>
        <v/>
      </c>
    </row>
    <row r="4061" spans="3:4" s="230" customFormat="1">
      <c r="C4061" s="16" t="str">
        <f>IFERROR(VLOOKUP(DATA!#REF!,DATA!#REF!,1,FALSE),"")</f>
        <v/>
      </c>
      <c r="D4061" s="16" t="str">
        <f>IFERROR(VLOOKUP(C4061,DATA!#REF!,2,FALSE),"")</f>
        <v/>
      </c>
    </row>
    <row r="4062" spans="3:4" s="230" customFormat="1">
      <c r="C4062" s="16" t="str">
        <f>IFERROR(VLOOKUP(DATA!#REF!,DATA!#REF!,1,FALSE),"")</f>
        <v/>
      </c>
      <c r="D4062" s="16" t="str">
        <f>IFERROR(VLOOKUP(C4062,DATA!#REF!,2,FALSE),"")</f>
        <v/>
      </c>
    </row>
    <row r="4063" spans="3:4" s="230" customFormat="1">
      <c r="C4063" s="16" t="str">
        <f>IFERROR(VLOOKUP(DATA!#REF!,DATA!#REF!,1,FALSE),"")</f>
        <v/>
      </c>
      <c r="D4063" s="16" t="str">
        <f>IFERROR(VLOOKUP(C4063,DATA!#REF!,2,FALSE),"")</f>
        <v/>
      </c>
    </row>
    <row r="4064" spans="3:4" s="230" customFormat="1">
      <c r="C4064" s="16" t="str">
        <f>IFERROR(VLOOKUP(DATA!#REF!,DATA!#REF!,1,FALSE),"")</f>
        <v/>
      </c>
      <c r="D4064" s="16" t="str">
        <f>IFERROR(VLOOKUP(C4064,DATA!#REF!,2,FALSE),"")</f>
        <v/>
      </c>
    </row>
    <row r="4065" spans="3:4" s="230" customFormat="1">
      <c r="C4065" s="16" t="str">
        <f>IFERROR(VLOOKUP(DATA!#REF!,DATA!#REF!,1,FALSE),"")</f>
        <v/>
      </c>
      <c r="D4065" s="16" t="str">
        <f>IFERROR(VLOOKUP(C4065,DATA!#REF!,2,FALSE),"")</f>
        <v/>
      </c>
    </row>
    <row r="4066" spans="3:4" s="230" customFormat="1">
      <c r="C4066" s="16" t="str">
        <f>IFERROR(VLOOKUP(DATA!#REF!,DATA!#REF!,1,FALSE),"")</f>
        <v/>
      </c>
      <c r="D4066" s="16" t="str">
        <f>IFERROR(VLOOKUP(C4066,DATA!#REF!,2,FALSE),"")</f>
        <v/>
      </c>
    </row>
    <row r="4067" spans="3:4" s="230" customFormat="1">
      <c r="C4067" s="16" t="str">
        <f>IFERROR(VLOOKUP(DATA!#REF!,DATA!#REF!,1,FALSE),"")</f>
        <v/>
      </c>
      <c r="D4067" s="16" t="str">
        <f>IFERROR(VLOOKUP(C4067,DATA!#REF!,2,FALSE),"")</f>
        <v/>
      </c>
    </row>
    <row r="4068" spans="3:4" s="230" customFormat="1">
      <c r="C4068" s="16" t="str">
        <f>IFERROR(VLOOKUP(DATA!#REF!,DATA!#REF!,1,FALSE),"")</f>
        <v/>
      </c>
      <c r="D4068" s="16" t="str">
        <f>IFERROR(VLOOKUP(C4068,DATA!#REF!,2,FALSE),"")</f>
        <v/>
      </c>
    </row>
    <row r="4069" spans="3:4" s="230" customFormat="1">
      <c r="C4069" s="16" t="str">
        <f>IFERROR(VLOOKUP(DATA!#REF!,DATA!#REF!,1,FALSE),"")</f>
        <v/>
      </c>
      <c r="D4069" s="16" t="str">
        <f>IFERROR(VLOOKUP(C4069,DATA!#REF!,2,FALSE),"")</f>
        <v/>
      </c>
    </row>
    <row r="4070" spans="3:4" s="230" customFormat="1">
      <c r="C4070" s="16" t="str">
        <f>IFERROR(VLOOKUP(DATA!#REF!,DATA!#REF!,1,FALSE),"")</f>
        <v/>
      </c>
      <c r="D4070" s="16" t="str">
        <f>IFERROR(VLOOKUP(C4070,DATA!#REF!,2,FALSE),"")</f>
        <v/>
      </c>
    </row>
    <row r="4071" spans="3:4" s="230" customFormat="1">
      <c r="C4071" s="16" t="str">
        <f>IFERROR(VLOOKUP(DATA!#REF!,DATA!#REF!,1,FALSE),"")</f>
        <v/>
      </c>
      <c r="D4071" s="16" t="str">
        <f>IFERROR(VLOOKUP(C4071,DATA!#REF!,2,FALSE),"")</f>
        <v/>
      </c>
    </row>
    <row r="4072" spans="3:4" s="230" customFormat="1">
      <c r="C4072" s="16" t="str">
        <f>IFERROR(VLOOKUP(DATA!#REF!,DATA!#REF!,1,FALSE),"")</f>
        <v/>
      </c>
      <c r="D4072" s="16" t="str">
        <f>IFERROR(VLOOKUP(C4072,DATA!#REF!,2,FALSE),"")</f>
        <v/>
      </c>
    </row>
    <row r="4073" spans="3:4" s="230" customFormat="1">
      <c r="C4073" s="16" t="str">
        <f>IFERROR(VLOOKUP(DATA!#REF!,DATA!#REF!,1,FALSE),"")</f>
        <v/>
      </c>
      <c r="D4073" s="16" t="str">
        <f>IFERROR(VLOOKUP(C4073,DATA!#REF!,2,FALSE),"")</f>
        <v/>
      </c>
    </row>
    <row r="4074" spans="3:4" s="230" customFormat="1">
      <c r="C4074" s="16" t="str">
        <f>IFERROR(VLOOKUP(DATA!#REF!,DATA!#REF!,1,FALSE),"")</f>
        <v/>
      </c>
      <c r="D4074" s="16" t="str">
        <f>IFERROR(VLOOKUP(C4074,DATA!#REF!,2,FALSE),"")</f>
        <v/>
      </c>
    </row>
    <row r="4075" spans="3:4" s="230" customFormat="1">
      <c r="C4075" s="16" t="str">
        <f>IFERROR(VLOOKUP(DATA!#REF!,DATA!#REF!,1,FALSE),"")</f>
        <v/>
      </c>
      <c r="D4075" s="16" t="str">
        <f>IFERROR(VLOOKUP(C4075,DATA!#REF!,2,FALSE),"")</f>
        <v/>
      </c>
    </row>
    <row r="4076" spans="3:4" s="230" customFormat="1">
      <c r="C4076" s="16" t="str">
        <f>IFERROR(VLOOKUP(DATA!#REF!,DATA!#REF!,1,FALSE),"")</f>
        <v/>
      </c>
      <c r="D4076" s="16" t="str">
        <f>IFERROR(VLOOKUP(C4076,DATA!#REF!,2,FALSE),"")</f>
        <v/>
      </c>
    </row>
    <row r="4077" spans="3:4" s="230" customFormat="1">
      <c r="C4077" s="16" t="str">
        <f>IFERROR(VLOOKUP(DATA!#REF!,DATA!#REF!,1,FALSE),"")</f>
        <v/>
      </c>
      <c r="D4077" s="16" t="str">
        <f>IFERROR(VLOOKUP(C4077,DATA!#REF!,2,FALSE),"")</f>
        <v/>
      </c>
    </row>
    <row r="4078" spans="3:4" s="230" customFormat="1">
      <c r="C4078" s="16" t="str">
        <f>IFERROR(VLOOKUP(DATA!#REF!,DATA!#REF!,1,FALSE),"")</f>
        <v/>
      </c>
      <c r="D4078" s="16" t="str">
        <f>IFERROR(VLOOKUP(C4078,DATA!#REF!,2,FALSE),"")</f>
        <v/>
      </c>
    </row>
    <row r="4079" spans="3:4" s="230" customFormat="1">
      <c r="C4079" s="16" t="str">
        <f>IFERROR(VLOOKUP(DATA!#REF!,DATA!#REF!,1,FALSE),"")</f>
        <v/>
      </c>
      <c r="D4079" s="16" t="str">
        <f>IFERROR(VLOOKUP(C4079,DATA!#REF!,2,FALSE),"")</f>
        <v/>
      </c>
    </row>
    <row r="4080" spans="3:4" s="230" customFormat="1">
      <c r="C4080" s="16" t="str">
        <f>IFERROR(VLOOKUP(DATA!#REF!,DATA!#REF!,1,FALSE),"")</f>
        <v/>
      </c>
      <c r="D4080" s="16" t="str">
        <f>IFERROR(VLOOKUP(C4080,DATA!#REF!,2,FALSE),"")</f>
        <v/>
      </c>
    </row>
    <row r="4081" spans="3:4" s="230" customFormat="1">
      <c r="C4081" s="16" t="str">
        <f>IFERROR(VLOOKUP(DATA!#REF!,DATA!#REF!,1,FALSE),"")</f>
        <v/>
      </c>
      <c r="D4081" s="16" t="str">
        <f>IFERROR(VLOOKUP(C4081,DATA!#REF!,2,FALSE),"")</f>
        <v/>
      </c>
    </row>
    <row r="4082" spans="3:4" s="230" customFormat="1">
      <c r="C4082" s="16" t="str">
        <f>IFERROR(VLOOKUP(DATA!#REF!,DATA!#REF!,1,FALSE),"")</f>
        <v/>
      </c>
      <c r="D4082" s="16" t="str">
        <f>IFERROR(VLOOKUP(C4082,DATA!#REF!,2,FALSE),"")</f>
        <v/>
      </c>
    </row>
    <row r="4083" spans="3:4" s="230" customFormat="1">
      <c r="C4083" s="16" t="str">
        <f>IFERROR(VLOOKUP(DATA!#REF!,DATA!#REF!,1,FALSE),"")</f>
        <v/>
      </c>
      <c r="D4083" s="16" t="str">
        <f>IFERROR(VLOOKUP(C4083,DATA!#REF!,2,FALSE),"")</f>
        <v/>
      </c>
    </row>
    <row r="4084" spans="3:4" s="230" customFormat="1">
      <c r="C4084" s="16" t="str">
        <f>IFERROR(VLOOKUP(DATA!#REF!,DATA!#REF!,1,FALSE),"")</f>
        <v/>
      </c>
      <c r="D4084" s="16" t="str">
        <f>IFERROR(VLOOKUP(C4084,DATA!#REF!,2,FALSE),"")</f>
        <v/>
      </c>
    </row>
    <row r="4085" spans="3:4" s="230" customFormat="1">
      <c r="C4085" s="16" t="str">
        <f>IFERROR(VLOOKUP(DATA!#REF!,DATA!#REF!,1,FALSE),"")</f>
        <v/>
      </c>
      <c r="D4085" s="16" t="str">
        <f>IFERROR(VLOOKUP(C4085,DATA!#REF!,2,FALSE),"")</f>
        <v/>
      </c>
    </row>
    <row r="4086" spans="3:4" s="230" customFormat="1">
      <c r="C4086" s="16" t="str">
        <f>IFERROR(VLOOKUP(DATA!#REF!,DATA!#REF!,1,FALSE),"")</f>
        <v/>
      </c>
      <c r="D4086" s="16" t="str">
        <f>IFERROR(VLOOKUP(C4086,DATA!#REF!,2,FALSE),"")</f>
        <v/>
      </c>
    </row>
    <row r="4087" spans="3:4" s="230" customFormat="1">
      <c r="C4087" s="16" t="str">
        <f>IFERROR(VLOOKUP(DATA!#REF!,DATA!#REF!,1,FALSE),"")</f>
        <v/>
      </c>
      <c r="D4087" s="16" t="str">
        <f>IFERROR(VLOOKUP(C4087,DATA!#REF!,2,FALSE),"")</f>
        <v/>
      </c>
    </row>
    <row r="4088" spans="3:4" s="230" customFormat="1">
      <c r="C4088" s="16" t="str">
        <f>IFERROR(VLOOKUP(DATA!#REF!,DATA!#REF!,1,FALSE),"")</f>
        <v/>
      </c>
      <c r="D4088" s="16" t="str">
        <f>IFERROR(VLOOKUP(C4088,DATA!#REF!,2,FALSE),"")</f>
        <v/>
      </c>
    </row>
    <row r="4089" spans="3:4" s="230" customFormat="1">
      <c r="C4089" s="16" t="str">
        <f>IFERROR(VLOOKUP(DATA!#REF!,DATA!#REF!,1,FALSE),"")</f>
        <v/>
      </c>
      <c r="D4089" s="16" t="str">
        <f>IFERROR(VLOOKUP(C4089,DATA!#REF!,2,FALSE),"")</f>
        <v/>
      </c>
    </row>
    <row r="4090" spans="3:4" s="230" customFormat="1">
      <c r="C4090" s="16" t="str">
        <f>IFERROR(VLOOKUP(DATA!#REF!,DATA!#REF!,1,FALSE),"")</f>
        <v/>
      </c>
      <c r="D4090" s="16" t="str">
        <f>IFERROR(VLOOKUP(C4090,DATA!#REF!,2,FALSE),"")</f>
        <v/>
      </c>
    </row>
    <row r="4091" spans="3:4" s="230" customFormat="1">
      <c r="C4091" s="16" t="str">
        <f>IFERROR(VLOOKUP(DATA!#REF!,DATA!#REF!,1,FALSE),"")</f>
        <v/>
      </c>
      <c r="D4091" s="16" t="str">
        <f>IFERROR(VLOOKUP(C4091,DATA!#REF!,2,FALSE),"")</f>
        <v/>
      </c>
    </row>
    <row r="4092" spans="3:4" s="230" customFormat="1">
      <c r="C4092" s="16" t="str">
        <f>IFERROR(VLOOKUP(DATA!#REF!,DATA!#REF!,1,FALSE),"")</f>
        <v/>
      </c>
      <c r="D4092" s="16" t="str">
        <f>IFERROR(VLOOKUP(C4092,DATA!#REF!,2,FALSE),"")</f>
        <v/>
      </c>
    </row>
    <row r="4093" spans="3:4" s="230" customFormat="1">
      <c r="C4093" s="16" t="str">
        <f>IFERROR(VLOOKUP(DATA!#REF!,DATA!#REF!,1,FALSE),"")</f>
        <v/>
      </c>
      <c r="D4093" s="16" t="str">
        <f>IFERROR(VLOOKUP(C4093,DATA!#REF!,2,FALSE),"")</f>
        <v/>
      </c>
    </row>
    <row r="4094" spans="3:4" s="230" customFormat="1">
      <c r="C4094" s="16" t="str">
        <f>IFERROR(VLOOKUP(DATA!#REF!,DATA!#REF!,1,FALSE),"")</f>
        <v/>
      </c>
      <c r="D4094" s="16" t="str">
        <f>IFERROR(VLOOKUP(C4094,DATA!#REF!,2,FALSE),"")</f>
        <v/>
      </c>
    </row>
    <row r="4095" spans="3:4" s="230" customFormat="1">
      <c r="C4095" s="16" t="str">
        <f>IFERROR(VLOOKUP(DATA!#REF!,DATA!#REF!,1,FALSE),"")</f>
        <v/>
      </c>
      <c r="D4095" s="16" t="str">
        <f>IFERROR(VLOOKUP(C4095,DATA!#REF!,2,FALSE),"")</f>
        <v/>
      </c>
    </row>
    <row r="4096" spans="3:4" s="230" customFormat="1">
      <c r="C4096" s="16" t="str">
        <f>IFERROR(VLOOKUP(DATA!#REF!,DATA!#REF!,1,FALSE),"")</f>
        <v/>
      </c>
      <c r="D4096" s="16" t="str">
        <f>IFERROR(VLOOKUP(C4096,DATA!#REF!,2,FALSE),"")</f>
        <v/>
      </c>
    </row>
    <row r="4097" spans="3:4" s="230" customFormat="1">
      <c r="C4097" s="16" t="str">
        <f>IFERROR(VLOOKUP(DATA!#REF!,DATA!#REF!,1,FALSE),"")</f>
        <v/>
      </c>
      <c r="D4097" s="16" t="str">
        <f>IFERROR(VLOOKUP(C4097,DATA!#REF!,2,FALSE),"")</f>
        <v/>
      </c>
    </row>
    <row r="4098" spans="3:4" s="230" customFormat="1">
      <c r="C4098" s="16" t="str">
        <f>IFERROR(VLOOKUP(DATA!#REF!,DATA!#REF!,1,FALSE),"")</f>
        <v/>
      </c>
      <c r="D4098" s="16" t="str">
        <f>IFERROR(VLOOKUP(C4098,DATA!#REF!,2,FALSE),"")</f>
        <v/>
      </c>
    </row>
    <row r="4099" spans="3:4" s="230" customFormat="1">
      <c r="C4099" s="16" t="str">
        <f>IFERROR(VLOOKUP(DATA!#REF!,DATA!#REF!,1,FALSE),"")</f>
        <v/>
      </c>
      <c r="D4099" s="16" t="str">
        <f>IFERROR(VLOOKUP(C4099,DATA!#REF!,2,FALSE),"")</f>
        <v/>
      </c>
    </row>
    <row r="4100" spans="3:4" s="230" customFormat="1">
      <c r="C4100" s="16" t="str">
        <f>IFERROR(VLOOKUP(DATA!#REF!,DATA!#REF!,1,FALSE),"")</f>
        <v/>
      </c>
      <c r="D4100" s="16" t="str">
        <f>IFERROR(VLOOKUP(C4100,DATA!#REF!,2,FALSE),"")</f>
        <v/>
      </c>
    </row>
    <row r="4101" spans="3:4" s="230" customFormat="1">
      <c r="C4101" s="16" t="str">
        <f>IFERROR(VLOOKUP(DATA!#REF!,DATA!#REF!,1,FALSE),"")</f>
        <v/>
      </c>
      <c r="D4101" s="16" t="str">
        <f>IFERROR(VLOOKUP(C4101,DATA!#REF!,2,FALSE),"")</f>
        <v/>
      </c>
    </row>
    <row r="4102" spans="3:4" s="230" customFormat="1">
      <c r="C4102" s="16" t="str">
        <f>IFERROR(VLOOKUP(DATA!#REF!,DATA!#REF!,1,FALSE),"")</f>
        <v/>
      </c>
      <c r="D4102" s="16" t="str">
        <f>IFERROR(VLOOKUP(C4102,DATA!#REF!,2,FALSE),"")</f>
        <v/>
      </c>
    </row>
    <row r="4103" spans="3:4" s="230" customFormat="1">
      <c r="C4103" s="16" t="str">
        <f>IFERROR(VLOOKUP(DATA!#REF!,DATA!#REF!,1,FALSE),"")</f>
        <v/>
      </c>
      <c r="D4103" s="16" t="str">
        <f>IFERROR(VLOOKUP(C4103,DATA!#REF!,2,FALSE),"")</f>
        <v/>
      </c>
    </row>
    <row r="4104" spans="3:4" s="230" customFormat="1">
      <c r="C4104" s="16" t="str">
        <f>IFERROR(VLOOKUP(DATA!#REF!,DATA!#REF!,1,FALSE),"")</f>
        <v/>
      </c>
      <c r="D4104" s="16" t="str">
        <f>IFERROR(VLOOKUP(C4104,DATA!#REF!,2,FALSE),"")</f>
        <v/>
      </c>
    </row>
    <row r="4105" spans="3:4" s="230" customFormat="1">
      <c r="C4105" s="16" t="str">
        <f>IFERROR(VLOOKUP(DATA!#REF!,DATA!#REF!,1,FALSE),"")</f>
        <v/>
      </c>
      <c r="D4105" s="16" t="str">
        <f>IFERROR(VLOOKUP(C4105,DATA!#REF!,2,FALSE),"")</f>
        <v/>
      </c>
    </row>
    <row r="4106" spans="3:4" s="230" customFormat="1">
      <c r="C4106" s="16" t="str">
        <f>IFERROR(VLOOKUP(DATA!#REF!,DATA!#REF!,1,FALSE),"")</f>
        <v/>
      </c>
      <c r="D4106" s="16" t="str">
        <f>IFERROR(VLOOKUP(C4106,DATA!#REF!,2,FALSE),"")</f>
        <v/>
      </c>
    </row>
    <row r="4107" spans="3:4" s="230" customFormat="1">
      <c r="C4107" s="16" t="str">
        <f>IFERROR(VLOOKUP(DATA!#REF!,DATA!#REF!,1,FALSE),"")</f>
        <v/>
      </c>
      <c r="D4107" s="16" t="str">
        <f>IFERROR(VLOOKUP(C4107,DATA!#REF!,2,FALSE),"")</f>
        <v/>
      </c>
    </row>
    <row r="4108" spans="3:4" s="230" customFormat="1">
      <c r="C4108" s="16" t="str">
        <f>IFERROR(VLOOKUP(DATA!#REF!,DATA!#REF!,1,FALSE),"")</f>
        <v/>
      </c>
      <c r="D4108" s="16" t="str">
        <f>IFERROR(VLOOKUP(C4108,DATA!#REF!,2,FALSE),"")</f>
        <v/>
      </c>
    </row>
    <row r="4109" spans="3:4" s="230" customFormat="1">
      <c r="C4109" s="16" t="str">
        <f>IFERROR(VLOOKUP(DATA!#REF!,DATA!#REF!,1,FALSE),"")</f>
        <v/>
      </c>
      <c r="D4109" s="16" t="str">
        <f>IFERROR(VLOOKUP(C4109,DATA!#REF!,2,FALSE),"")</f>
        <v/>
      </c>
    </row>
    <row r="4110" spans="3:4" s="230" customFormat="1">
      <c r="C4110" s="16" t="str">
        <f>IFERROR(VLOOKUP(DATA!#REF!,DATA!#REF!,1,FALSE),"")</f>
        <v/>
      </c>
      <c r="D4110" s="16" t="str">
        <f>IFERROR(VLOOKUP(C4110,DATA!#REF!,2,FALSE),"")</f>
        <v/>
      </c>
    </row>
    <row r="4111" spans="3:4" s="230" customFormat="1">
      <c r="C4111" s="16" t="str">
        <f>IFERROR(VLOOKUP(DATA!#REF!,DATA!#REF!,1,FALSE),"")</f>
        <v/>
      </c>
      <c r="D4111" s="16" t="str">
        <f>IFERROR(VLOOKUP(C4111,DATA!#REF!,2,FALSE),"")</f>
        <v/>
      </c>
    </row>
    <row r="4112" spans="3:4" s="230" customFormat="1">
      <c r="C4112" s="16" t="str">
        <f>IFERROR(VLOOKUP(DATA!#REF!,DATA!#REF!,1,FALSE),"")</f>
        <v/>
      </c>
      <c r="D4112" s="16" t="str">
        <f>IFERROR(VLOOKUP(C4112,DATA!#REF!,2,FALSE),"")</f>
        <v/>
      </c>
    </row>
    <row r="4113" spans="3:4" s="230" customFormat="1">
      <c r="C4113" s="16" t="str">
        <f>IFERROR(VLOOKUP(DATA!#REF!,DATA!#REF!,1,FALSE),"")</f>
        <v/>
      </c>
      <c r="D4113" s="16" t="str">
        <f>IFERROR(VLOOKUP(C4113,DATA!#REF!,2,FALSE),"")</f>
        <v/>
      </c>
    </row>
    <row r="4114" spans="3:4" s="230" customFormat="1">
      <c r="C4114" s="16" t="str">
        <f>IFERROR(VLOOKUP(DATA!#REF!,DATA!#REF!,1,FALSE),"")</f>
        <v/>
      </c>
      <c r="D4114" s="16" t="str">
        <f>IFERROR(VLOOKUP(C4114,DATA!#REF!,2,FALSE),"")</f>
        <v/>
      </c>
    </row>
    <row r="4115" spans="3:4" s="230" customFormat="1">
      <c r="C4115" s="16" t="str">
        <f>IFERROR(VLOOKUP(DATA!#REF!,DATA!#REF!,1,FALSE),"")</f>
        <v/>
      </c>
      <c r="D4115" s="16" t="str">
        <f>IFERROR(VLOOKUP(C4115,DATA!#REF!,2,FALSE),"")</f>
        <v/>
      </c>
    </row>
    <row r="4116" spans="3:4" s="230" customFormat="1">
      <c r="C4116" s="16" t="str">
        <f>IFERROR(VLOOKUP(DATA!#REF!,DATA!#REF!,1,FALSE),"")</f>
        <v/>
      </c>
      <c r="D4116" s="16" t="str">
        <f>IFERROR(VLOOKUP(C4116,DATA!#REF!,2,FALSE),"")</f>
        <v/>
      </c>
    </row>
    <row r="4117" spans="3:4" s="230" customFormat="1">
      <c r="C4117" s="16" t="str">
        <f>IFERROR(VLOOKUP(DATA!#REF!,DATA!#REF!,1,FALSE),"")</f>
        <v/>
      </c>
      <c r="D4117" s="16" t="str">
        <f>IFERROR(VLOOKUP(C4117,DATA!#REF!,2,FALSE),"")</f>
        <v/>
      </c>
    </row>
    <row r="4118" spans="3:4" s="230" customFormat="1">
      <c r="C4118" s="16" t="str">
        <f>IFERROR(VLOOKUP(DATA!#REF!,DATA!#REF!,1,FALSE),"")</f>
        <v/>
      </c>
      <c r="D4118" s="16" t="str">
        <f>IFERROR(VLOOKUP(C4118,DATA!#REF!,2,FALSE),"")</f>
        <v/>
      </c>
    </row>
    <row r="4119" spans="3:4" s="230" customFormat="1">
      <c r="C4119" s="16" t="str">
        <f>IFERROR(VLOOKUP(DATA!#REF!,DATA!#REF!,1,FALSE),"")</f>
        <v/>
      </c>
      <c r="D4119" s="16" t="str">
        <f>IFERROR(VLOOKUP(C4119,DATA!#REF!,2,FALSE),"")</f>
        <v/>
      </c>
    </row>
    <row r="4120" spans="3:4" s="230" customFormat="1">
      <c r="C4120" s="16" t="str">
        <f>IFERROR(VLOOKUP(DATA!#REF!,DATA!#REF!,1,FALSE),"")</f>
        <v/>
      </c>
      <c r="D4120" s="16" t="str">
        <f>IFERROR(VLOOKUP(C4120,DATA!#REF!,2,FALSE),"")</f>
        <v/>
      </c>
    </row>
    <row r="4121" spans="3:4" s="230" customFormat="1">
      <c r="C4121" s="16" t="str">
        <f>IFERROR(VLOOKUP(DATA!#REF!,DATA!#REF!,1,FALSE),"")</f>
        <v/>
      </c>
      <c r="D4121" s="16" t="str">
        <f>IFERROR(VLOOKUP(C4121,DATA!#REF!,2,FALSE),"")</f>
        <v/>
      </c>
    </row>
    <row r="4122" spans="3:4" s="230" customFormat="1">
      <c r="C4122" s="16" t="str">
        <f>IFERROR(VLOOKUP(DATA!#REF!,DATA!#REF!,1,FALSE),"")</f>
        <v/>
      </c>
      <c r="D4122" s="16" t="str">
        <f>IFERROR(VLOOKUP(C4122,DATA!#REF!,2,FALSE),"")</f>
        <v/>
      </c>
    </row>
    <row r="4123" spans="3:4" s="230" customFormat="1">
      <c r="C4123" s="16" t="str">
        <f>IFERROR(VLOOKUP(DATA!#REF!,DATA!#REF!,1,FALSE),"")</f>
        <v/>
      </c>
      <c r="D4123" s="16" t="str">
        <f>IFERROR(VLOOKUP(C4123,DATA!#REF!,2,FALSE),"")</f>
        <v/>
      </c>
    </row>
    <row r="4124" spans="3:4" s="230" customFormat="1">
      <c r="C4124" s="16" t="str">
        <f>IFERROR(VLOOKUP(DATA!#REF!,DATA!#REF!,1,FALSE),"")</f>
        <v/>
      </c>
      <c r="D4124" s="16" t="str">
        <f>IFERROR(VLOOKUP(C4124,DATA!#REF!,2,FALSE),"")</f>
        <v/>
      </c>
    </row>
    <row r="4125" spans="3:4" s="230" customFormat="1">
      <c r="C4125" s="16" t="str">
        <f>IFERROR(VLOOKUP(DATA!#REF!,DATA!#REF!,1,FALSE),"")</f>
        <v/>
      </c>
      <c r="D4125" s="16" t="str">
        <f>IFERROR(VLOOKUP(C4125,DATA!#REF!,2,FALSE),"")</f>
        <v/>
      </c>
    </row>
    <row r="4126" spans="3:4" s="230" customFormat="1">
      <c r="C4126" s="16" t="str">
        <f>IFERROR(VLOOKUP(DATA!#REF!,DATA!#REF!,1,FALSE),"")</f>
        <v/>
      </c>
      <c r="D4126" s="16" t="str">
        <f>IFERROR(VLOOKUP(C4126,DATA!#REF!,2,FALSE),"")</f>
        <v/>
      </c>
    </row>
    <row r="4127" spans="3:4" s="230" customFormat="1">
      <c r="C4127" s="16" t="str">
        <f>IFERROR(VLOOKUP(DATA!#REF!,DATA!#REF!,1,FALSE),"")</f>
        <v/>
      </c>
      <c r="D4127" s="16" t="str">
        <f>IFERROR(VLOOKUP(C4127,DATA!#REF!,2,FALSE),"")</f>
        <v/>
      </c>
    </row>
    <row r="4128" spans="3:4" s="230" customFormat="1">
      <c r="C4128" s="16" t="str">
        <f>IFERROR(VLOOKUP(DATA!#REF!,DATA!#REF!,1,FALSE),"")</f>
        <v/>
      </c>
      <c r="D4128" s="16" t="str">
        <f>IFERROR(VLOOKUP(C4128,DATA!#REF!,2,FALSE),"")</f>
        <v/>
      </c>
    </row>
    <row r="4129" spans="3:4" s="230" customFormat="1">
      <c r="C4129" s="16" t="str">
        <f>IFERROR(VLOOKUP(DATA!#REF!,DATA!#REF!,1,FALSE),"")</f>
        <v/>
      </c>
      <c r="D4129" s="16" t="str">
        <f>IFERROR(VLOOKUP(C4129,DATA!#REF!,2,FALSE),"")</f>
        <v/>
      </c>
    </row>
    <row r="4130" spans="3:4" s="230" customFormat="1">
      <c r="C4130" s="16" t="str">
        <f>IFERROR(VLOOKUP(DATA!#REF!,DATA!#REF!,1,FALSE),"")</f>
        <v/>
      </c>
      <c r="D4130" s="16" t="str">
        <f>IFERROR(VLOOKUP(C4130,DATA!#REF!,2,FALSE),"")</f>
        <v/>
      </c>
    </row>
    <row r="4131" spans="3:4" s="230" customFormat="1">
      <c r="C4131" s="16" t="str">
        <f>IFERROR(VLOOKUP(DATA!#REF!,DATA!#REF!,1,FALSE),"")</f>
        <v/>
      </c>
      <c r="D4131" s="16" t="str">
        <f>IFERROR(VLOOKUP(C4131,DATA!#REF!,2,FALSE),"")</f>
        <v/>
      </c>
    </row>
    <row r="4132" spans="3:4" s="230" customFormat="1">
      <c r="C4132" s="16" t="str">
        <f>IFERROR(VLOOKUP(DATA!#REF!,DATA!#REF!,1,FALSE),"")</f>
        <v/>
      </c>
      <c r="D4132" s="16" t="str">
        <f>IFERROR(VLOOKUP(C4132,DATA!#REF!,2,FALSE),"")</f>
        <v/>
      </c>
    </row>
    <row r="4133" spans="3:4" s="230" customFormat="1">
      <c r="C4133" s="16" t="str">
        <f>IFERROR(VLOOKUP(DATA!#REF!,DATA!#REF!,1,FALSE),"")</f>
        <v/>
      </c>
      <c r="D4133" s="16" t="str">
        <f>IFERROR(VLOOKUP(C4133,DATA!#REF!,2,FALSE),"")</f>
        <v/>
      </c>
    </row>
    <row r="4134" spans="3:4" s="230" customFormat="1">
      <c r="C4134" s="16" t="str">
        <f>IFERROR(VLOOKUP(DATA!#REF!,DATA!#REF!,1,FALSE),"")</f>
        <v/>
      </c>
      <c r="D4134" s="16" t="str">
        <f>IFERROR(VLOOKUP(C4134,DATA!#REF!,2,FALSE),"")</f>
        <v/>
      </c>
    </row>
    <row r="4135" spans="3:4" s="230" customFormat="1">
      <c r="C4135" s="16" t="str">
        <f>IFERROR(VLOOKUP(DATA!#REF!,DATA!#REF!,1,FALSE),"")</f>
        <v/>
      </c>
      <c r="D4135" s="16" t="str">
        <f>IFERROR(VLOOKUP(C4135,DATA!#REF!,2,FALSE),"")</f>
        <v/>
      </c>
    </row>
    <row r="4136" spans="3:4" s="230" customFormat="1">
      <c r="C4136" s="16" t="str">
        <f>IFERROR(VLOOKUP(DATA!#REF!,DATA!#REF!,1,FALSE),"")</f>
        <v/>
      </c>
      <c r="D4136" s="16" t="str">
        <f>IFERROR(VLOOKUP(C4136,DATA!#REF!,2,FALSE),"")</f>
        <v/>
      </c>
    </row>
    <row r="4137" spans="3:4" s="230" customFormat="1">
      <c r="C4137" s="16" t="str">
        <f>IFERROR(VLOOKUP(DATA!#REF!,DATA!#REF!,1,FALSE),"")</f>
        <v/>
      </c>
      <c r="D4137" s="16" t="str">
        <f>IFERROR(VLOOKUP(C4137,DATA!#REF!,2,FALSE),"")</f>
        <v/>
      </c>
    </row>
    <row r="4138" spans="3:4" s="230" customFormat="1">
      <c r="C4138" s="16" t="str">
        <f>IFERROR(VLOOKUP(DATA!#REF!,DATA!#REF!,1,FALSE),"")</f>
        <v/>
      </c>
      <c r="D4138" s="16" t="str">
        <f>IFERROR(VLOOKUP(C4138,DATA!#REF!,2,FALSE),"")</f>
        <v/>
      </c>
    </row>
    <row r="4139" spans="3:4" s="230" customFormat="1">
      <c r="C4139" s="16" t="str">
        <f>IFERROR(VLOOKUP(DATA!#REF!,DATA!#REF!,1,FALSE),"")</f>
        <v/>
      </c>
      <c r="D4139" s="16" t="str">
        <f>IFERROR(VLOOKUP(C4139,DATA!#REF!,2,FALSE),"")</f>
        <v/>
      </c>
    </row>
    <row r="4140" spans="3:4" s="230" customFormat="1">
      <c r="C4140" s="16" t="str">
        <f>IFERROR(VLOOKUP(DATA!#REF!,DATA!#REF!,1,FALSE),"")</f>
        <v/>
      </c>
      <c r="D4140" s="16" t="str">
        <f>IFERROR(VLOOKUP(C4140,DATA!#REF!,2,FALSE),"")</f>
        <v/>
      </c>
    </row>
    <row r="4141" spans="3:4" s="230" customFormat="1">
      <c r="C4141" s="16" t="str">
        <f>IFERROR(VLOOKUP(DATA!#REF!,DATA!#REF!,1,FALSE),"")</f>
        <v/>
      </c>
      <c r="D4141" s="16" t="str">
        <f>IFERROR(VLOOKUP(C4141,DATA!#REF!,2,FALSE),"")</f>
        <v/>
      </c>
    </row>
    <row r="4142" spans="3:4" s="230" customFormat="1">
      <c r="C4142" s="16" t="str">
        <f>IFERROR(VLOOKUP(DATA!#REF!,DATA!#REF!,1,FALSE),"")</f>
        <v/>
      </c>
      <c r="D4142" s="16" t="str">
        <f>IFERROR(VLOOKUP(C4142,DATA!#REF!,2,FALSE),"")</f>
        <v/>
      </c>
    </row>
    <row r="4143" spans="3:4" s="230" customFormat="1">
      <c r="C4143" s="16" t="str">
        <f>IFERROR(VLOOKUP(DATA!#REF!,DATA!#REF!,1,FALSE),"")</f>
        <v/>
      </c>
      <c r="D4143" s="16" t="str">
        <f>IFERROR(VLOOKUP(C4143,DATA!#REF!,2,FALSE),"")</f>
        <v/>
      </c>
    </row>
    <row r="4144" spans="3:4" s="230" customFormat="1">
      <c r="C4144" s="16" t="str">
        <f>IFERROR(VLOOKUP(DATA!#REF!,DATA!#REF!,1,FALSE),"")</f>
        <v/>
      </c>
      <c r="D4144" s="16" t="str">
        <f>IFERROR(VLOOKUP(C4144,DATA!#REF!,2,FALSE),"")</f>
        <v/>
      </c>
    </row>
    <row r="4145" spans="3:4" s="230" customFormat="1">
      <c r="C4145" s="16" t="str">
        <f>IFERROR(VLOOKUP(DATA!#REF!,DATA!#REF!,1,FALSE),"")</f>
        <v/>
      </c>
      <c r="D4145" s="16" t="str">
        <f>IFERROR(VLOOKUP(C4145,DATA!#REF!,2,FALSE),"")</f>
        <v/>
      </c>
    </row>
    <row r="4146" spans="3:4" s="230" customFormat="1">
      <c r="C4146" s="16" t="str">
        <f>IFERROR(VLOOKUP(DATA!#REF!,DATA!#REF!,1,FALSE),"")</f>
        <v/>
      </c>
      <c r="D4146" s="16" t="str">
        <f>IFERROR(VLOOKUP(C4146,DATA!#REF!,2,FALSE),"")</f>
        <v/>
      </c>
    </row>
    <row r="4147" spans="3:4" s="230" customFormat="1">
      <c r="C4147" s="16" t="str">
        <f>IFERROR(VLOOKUP(DATA!#REF!,DATA!#REF!,1,FALSE),"")</f>
        <v/>
      </c>
      <c r="D4147" s="16" t="str">
        <f>IFERROR(VLOOKUP(C4147,DATA!#REF!,2,FALSE),"")</f>
        <v/>
      </c>
    </row>
    <row r="4148" spans="3:4" s="230" customFormat="1">
      <c r="C4148" s="16" t="str">
        <f>IFERROR(VLOOKUP(DATA!#REF!,DATA!#REF!,1,FALSE),"")</f>
        <v/>
      </c>
      <c r="D4148" s="16" t="str">
        <f>IFERROR(VLOOKUP(C4148,DATA!#REF!,2,FALSE),"")</f>
        <v/>
      </c>
    </row>
    <row r="4149" spans="3:4" s="230" customFormat="1">
      <c r="C4149" s="16" t="str">
        <f>IFERROR(VLOOKUP(DATA!#REF!,DATA!#REF!,1,FALSE),"")</f>
        <v/>
      </c>
      <c r="D4149" s="16" t="str">
        <f>IFERROR(VLOOKUP(C4149,DATA!#REF!,2,FALSE),"")</f>
        <v/>
      </c>
    </row>
    <row r="4150" spans="3:4" s="230" customFormat="1">
      <c r="C4150" s="16" t="str">
        <f>IFERROR(VLOOKUP(DATA!#REF!,DATA!#REF!,1,FALSE),"")</f>
        <v/>
      </c>
      <c r="D4150" s="16" t="str">
        <f>IFERROR(VLOOKUP(C4150,DATA!#REF!,2,FALSE),"")</f>
        <v/>
      </c>
    </row>
    <row r="4151" spans="3:4" s="230" customFormat="1">
      <c r="C4151" s="16" t="str">
        <f>IFERROR(VLOOKUP(DATA!#REF!,DATA!#REF!,1,FALSE),"")</f>
        <v/>
      </c>
      <c r="D4151" s="16" t="str">
        <f>IFERROR(VLOOKUP(C4151,DATA!#REF!,2,FALSE),"")</f>
        <v/>
      </c>
    </row>
    <row r="4152" spans="3:4" s="230" customFormat="1">
      <c r="C4152" s="16" t="str">
        <f>IFERROR(VLOOKUP(DATA!#REF!,DATA!#REF!,1,FALSE),"")</f>
        <v/>
      </c>
      <c r="D4152" s="16" t="str">
        <f>IFERROR(VLOOKUP(C4152,DATA!#REF!,2,FALSE),"")</f>
        <v/>
      </c>
    </row>
    <row r="4153" spans="3:4" s="230" customFormat="1">
      <c r="C4153" s="16" t="str">
        <f>IFERROR(VLOOKUP(DATA!#REF!,DATA!#REF!,1,FALSE),"")</f>
        <v/>
      </c>
      <c r="D4153" s="16" t="str">
        <f>IFERROR(VLOOKUP(C4153,DATA!#REF!,2,FALSE),"")</f>
        <v/>
      </c>
    </row>
    <row r="4154" spans="3:4" s="230" customFormat="1">
      <c r="C4154" s="16" t="str">
        <f>IFERROR(VLOOKUP(DATA!#REF!,DATA!#REF!,1,FALSE),"")</f>
        <v/>
      </c>
      <c r="D4154" s="16" t="str">
        <f>IFERROR(VLOOKUP(C4154,DATA!#REF!,2,FALSE),"")</f>
        <v/>
      </c>
    </row>
    <row r="4155" spans="3:4" s="230" customFormat="1">
      <c r="C4155" s="16" t="str">
        <f>IFERROR(VLOOKUP(DATA!#REF!,DATA!#REF!,1,FALSE),"")</f>
        <v/>
      </c>
      <c r="D4155" s="16" t="str">
        <f>IFERROR(VLOOKUP(C4155,DATA!#REF!,2,FALSE),"")</f>
        <v/>
      </c>
    </row>
    <row r="4156" spans="3:4" s="230" customFormat="1">
      <c r="C4156" s="16" t="str">
        <f>IFERROR(VLOOKUP(DATA!#REF!,DATA!#REF!,1,FALSE),"")</f>
        <v/>
      </c>
      <c r="D4156" s="16" t="str">
        <f>IFERROR(VLOOKUP(C4156,DATA!#REF!,2,FALSE),"")</f>
        <v/>
      </c>
    </row>
    <row r="4157" spans="3:4" s="230" customFormat="1">
      <c r="C4157" s="16" t="str">
        <f>IFERROR(VLOOKUP(DATA!#REF!,DATA!#REF!,1,FALSE),"")</f>
        <v/>
      </c>
      <c r="D4157" s="16" t="str">
        <f>IFERROR(VLOOKUP(C4157,DATA!#REF!,2,FALSE),"")</f>
        <v/>
      </c>
    </row>
    <row r="4158" spans="3:4" s="230" customFormat="1">
      <c r="C4158" s="16" t="str">
        <f>IFERROR(VLOOKUP(DATA!#REF!,DATA!#REF!,1,FALSE),"")</f>
        <v/>
      </c>
      <c r="D4158" s="16" t="str">
        <f>IFERROR(VLOOKUP(C4158,DATA!#REF!,2,FALSE),"")</f>
        <v/>
      </c>
    </row>
    <row r="4159" spans="3:4" s="230" customFormat="1">
      <c r="C4159" s="16" t="str">
        <f>IFERROR(VLOOKUP(DATA!#REF!,DATA!#REF!,1,FALSE),"")</f>
        <v/>
      </c>
      <c r="D4159" s="16" t="str">
        <f>IFERROR(VLOOKUP(C4159,DATA!#REF!,2,FALSE),"")</f>
        <v/>
      </c>
    </row>
    <row r="4160" spans="3:4" s="230" customFormat="1">
      <c r="C4160" s="16" t="str">
        <f>IFERROR(VLOOKUP(DATA!#REF!,DATA!#REF!,1,FALSE),"")</f>
        <v/>
      </c>
      <c r="D4160" s="16" t="str">
        <f>IFERROR(VLOOKUP(C4160,DATA!#REF!,2,FALSE),"")</f>
        <v/>
      </c>
    </row>
    <row r="4161" spans="3:4" s="230" customFormat="1">
      <c r="C4161" s="16" t="str">
        <f>IFERROR(VLOOKUP(DATA!#REF!,DATA!#REF!,1,FALSE),"")</f>
        <v/>
      </c>
      <c r="D4161" s="16" t="str">
        <f>IFERROR(VLOOKUP(C4161,DATA!#REF!,2,FALSE),"")</f>
        <v/>
      </c>
    </row>
    <row r="4162" spans="3:4" s="230" customFormat="1">
      <c r="C4162" s="16" t="str">
        <f>IFERROR(VLOOKUP(DATA!#REF!,DATA!#REF!,1,FALSE),"")</f>
        <v/>
      </c>
      <c r="D4162" s="16" t="str">
        <f>IFERROR(VLOOKUP(C4162,DATA!#REF!,2,FALSE),"")</f>
        <v/>
      </c>
    </row>
    <row r="4163" spans="3:4" s="230" customFormat="1">
      <c r="C4163" s="16" t="str">
        <f>IFERROR(VLOOKUP(DATA!#REF!,DATA!#REF!,1,FALSE),"")</f>
        <v/>
      </c>
      <c r="D4163" s="16" t="str">
        <f>IFERROR(VLOOKUP(C4163,DATA!#REF!,2,FALSE),"")</f>
        <v/>
      </c>
    </row>
    <row r="4164" spans="3:4" s="230" customFormat="1">
      <c r="C4164" s="16" t="str">
        <f>IFERROR(VLOOKUP(DATA!#REF!,DATA!#REF!,1,FALSE),"")</f>
        <v/>
      </c>
      <c r="D4164" s="16" t="str">
        <f>IFERROR(VLOOKUP(C4164,DATA!#REF!,2,FALSE),"")</f>
        <v/>
      </c>
    </row>
    <row r="4165" spans="3:4" s="230" customFormat="1">
      <c r="C4165" s="16" t="str">
        <f>IFERROR(VLOOKUP(DATA!#REF!,DATA!#REF!,1,FALSE),"")</f>
        <v/>
      </c>
      <c r="D4165" s="16" t="str">
        <f>IFERROR(VLOOKUP(C4165,DATA!#REF!,2,FALSE),"")</f>
        <v/>
      </c>
    </row>
    <row r="4166" spans="3:4" s="230" customFormat="1">
      <c r="C4166" s="16" t="str">
        <f>IFERROR(VLOOKUP(DATA!#REF!,DATA!#REF!,1,FALSE),"")</f>
        <v/>
      </c>
      <c r="D4166" s="16" t="str">
        <f>IFERROR(VLOOKUP(C4166,DATA!#REF!,2,FALSE),"")</f>
        <v/>
      </c>
    </row>
    <row r="4167" spans="3:4" s="230" customFormat="1">
      <c r="C4167" s="16" t="str">
        <f>IFERROR(VLOOKUP(DATA!#REF!,DATA!#REF!,1,FALSE),"")</f>
        <v/>
      </c>
      <c r="D4167" s="16" t="str">
        <f>IFERROR(VLOOKUP(C4167,DATA!#REF!,2,FALSE),"")</f>
        <v/>
      </c>
    </row>
    <row r="4168" spans="3:4" s="230" customFormat="1">
      <c r="C4168" s="16" t="str">
        <f>IFERROR(VLOOKUP(DATA!#REF!,DATA!#REF!,1,FALSE),"")</f>
        <v/>
      </c>
      <c r="D4168" s="16" t="str">
        <f>IFERROR(VLOOKUP(C4168,DATA!#REF!,2,FALSE),"")</f>
        <v/>
      </c>
    </row>
    <row r="4169" spans="3:4" s="230" customFormat="1">
      <c r="C4169" s="16" t="str">
        <f>IFERROR(VLOOKUP(DATA!#REF!,DATA!#REF!,1,FALSE),"")</f>
        <v/>
      </c>
      <c r="D4169" s="16" t="str">
        <f>IFERROR(VLOOKUP(C4169,DATA!#REF!,2,FALSE),"")</f>
        <v/>
      </c>
    </row>
    <row r="4170" spans="3:4" s="230" customFormat="1">
      <c r="C4170" s="16" t="str">
        <f>IFERROR(VLOOKUP(DATA!#REF!,DATA!#REF!,1,FALSE),"")</f>
        <v/>
      </c>
      <c r="D4170" s="16" t="str">
        <f>IFERROR(VLOOKUP(C4170,DATA!#REF!,2,FALSE),"")</f>
        <v/>
      </c>
    </row>
    <row r="4171" spans="3:4" s="230" customFormat="1">
      <c r="C4171" s="16" t="str">
        <f>IFERROR(VLOOKUP(DATA!#REF!,DATA!#REF!,1,FALSE),"")</f>
        <v/>
      </c>
      <c r="D4171" s="16" t="str">
        <f>IFERROR(VLOOKUP(C4171,DATA!#REF!,2,FALSE),"")</f>
        <v/>
      </c>
    </row>
    <row r="4172" spans="3:4" s="230" customFormat="1">
      <c r="C4172" s="16" t="str">
        <f>IFERROR(VLOOKUP(DATA!#REF!,DATA!#REF!,1,FALSE),"")</f>
        <v/>
      </c>
      <c r="D4172" s="16" t="str">
        <f>IFERROR(VLOOKUP(C4172,DATA!#REF!,2,FALSE),"")</f>
        <v/>
      </c>
    </row>
    <row r="4173" spans="3:4" s="230" customFormat="1">
      <c r="C4173" s="16" t="str">
        <f>IFERROR(VLOOKUP(DATA!#REF!,DATA!#REF!,1,FALSE),"")</f>
        <v/>
      </c>
      <c r="D4173" s="16" t="str">
        <f>IFERROR(VLOOKUP(C4173,DATA!#REF!,2,FALSE),"")</f>
        <v/>
      </c>
    </row>
    <row r="4174" spans="3:4" s="230" customFormat="1">
      <c r="C4174" s="16" t="str">
        <f>IFERROR(VLOOKUP(DATA!#REF!,DATA!#REF!,1,FALSE),"")</f>
        <v/>
      </c>
      <c r="D4174" s="16" t="str">
        <f>IFERROR(VLOOKUP(C4174,DATA!#REF!,2,FALSE),"")</f>
        <v/>
      </c>
    </row>
    <row r="4175" spans="3:4" s="230" customFormat="1">
      <c r="C4175" s="16" t="str">
        <f>IFERROR(VLOOKUP(DATA!#REF!,DATA!#REF!,1,FALSE),"")</f>
        <v/>
      </c>
      <c r="D4175" s="16" t="str">
        <f>IFERROR(VLOOKUP(C4175,DATA!#REF!,2,FALSE),"")</f>
        <v/>
      </c>
    </row>
    <row r="4176" spans="3:4" s="230" customFormat="1">
      <c r="C4176" s="16" t="str">
        <f>IFERROR(VLOOKUP(DATA!#REF!,DATA!#REF!,1,FALSE),"")</f>
        <v/>
      </c>
      <c r="D4176" s="16" t="str">
        <f>IFERROR(VLOOKUP(C4176,DATA!#REF!,2,FALSE),"")</f>
        <v/>
      </c>
    </row>
    <row r="4177" spans="3:4" s="230" customFormat="1">
      <c r="C4177" s="16" t="str">
        <f>IFERROR(VLOOKUP(DATA!#REF!,DATA!#REF!,1,FALSE),"")</f>
        <v/>
      </c>
      <c r="D4177" s="16" t="str">
        <f>IFERROR(VLOOKUP(C4177,DATA!#REF!,2,FALSE),"")</f>
        <v/>
      </c>
    </row>
    <row r="4178" spans="3:4" s="230" customFormat="1">
      <c r="C4178" s="16" t="str">
        <f>IFERROR(VLOOKUP(DATA!#REF!,DATA!#REF!,1,FALSE),"")</f>
        <v/>
      </c>
      <c r="D4178" s="16" t="str">
        <f>IFERROR(VLOOKUP(C4178,DATA!#REF!,2,FALSE),"")</f>
        <v/>
      </c>
    </row>
    <row r="4179" spans="3:4" s="230" customFormat="1">
      <c r="C4179" s="16" t="str">
        <f>IFERROR(VLOOKUP(DATA!#REF!,DATA!#REF!,1,FALSE),"")</f>
        <v/>
      </c>
      <c r="D4179" s="16" t="str">
        <f>IFERROR(VLOOKUP(C4179,DATA!#REF!,2,FALSE),"")</f>
        <v/>
      </c>
    </row>
    <row r="4180" spans="3:4" s="230" customFormat="1">
      <c r="C4180" s="16" t="str">
        <f>IFERROR(VLOOKUP(DATA!#REF!,DATA!#REF!,1,FALSE),"")</f>
        <v/>
      </c>
      <c r="D4180" s="16" t="str">
        <f>IFERROR(VLOOKUP(C4180,DATA!#REF!,2,FALSE),"")</f>
        <v/>
      </c>
    </row>
    <row r="4181" spans="3:4" s="230" customFormat="1">
      <c r="C4181" s="16" t="str">
        <f>IFERROR(VLOOKUP(DATA!#REF!,DATA!#REF!,1,FALSE),"")</f>
        <v/>
      </c>
      <c r="D4181" s="16" t="str">
        <f>IFERROR(VLOOKUP(C4181,DATA!#REF!,2,FALSE),"")</f>
        <v/>
      </c>
    </row>
    <row r="4182" spans="3:4" s="230" customFormat="1">
      <c r="C4182" s="16" t="str">
        <f>IFERROR(VLOOKUP(DATA!#REF!,DATA!#REF!,1,FALSE),"")</f>
        <v/>
      </c>
      <c r="D4182" s="16" t="str">
        <f>IFERROR(VLOOKUP(C4182,DATA!#REF!,2,FALSE),"")</f>
        <v/>
      </c>
    </row>
    <row r="4183" spans="3:4" s="230" customFormat="1">
      <c r="C4183" s="16" t="str">
        <f>IFERROR(VLOOKUP(DATA!#REF!,DATA!#REF!,1,FALSE),"")</f>
        <v/>
      </c>
      <c r="D4183" s="16" t="str">
        <f>IFERROR(VLOOKUP(C4183,DATA!#REF!,2,FALSE),"")</f>
        <v/>
      </c>
    </row>
    <row r="4184" spans="3:4" s="230" customFormat="1">
      <c r="C4184" s="16" t="str">
        <f>IFERROR(VLOOKUP(DATA!#REF!,DATA!#REF!,1,FALSE),"")</f>
        <v/>
      </c>
      <c r="D4184" s="16" t="str">
        <f>IFERROR(VLOOKUP(C4184,DATA!#REF!,2,FALSE),"")</f>
        <v/>
      </c>
    </row>
    <row r="4185" spans="3:4" s="230" customFormat="1">
      <c r="C4185" s="16" t="str">
        <f>IFERROR(VLOOKUP(DATA!#REF!,DATA!#REF!,1,FALSE),"")</f>
        <v/>
      </c>
      <c r="D4185" s="16" t="str">
        <f>IFERROR(VLOOKUP(C4185,DATA!#REF!,2,FALSE),"")</f>
        <v/>
      </c>
    </row>
    <row r="4186" spans="3:4" s="230" customFormat="1">
      <c r="C4186" s="16" t="str">
        <f>IFERROR(VLOOKUP(DATA!#REF!,DATA!#REF!,1,FALSE),"")</f>
        <v/>
      </c>
      <c r="D4186" s="16" t="str">
        <f>IFERROR(VLOOKUP(C4186,DATA!#REF!,2,FALSE),"")</f>
        <v/>
      </c>
    </row>
    <row r="4187" spans="3:4" s="230" customFormat="1">
      <c r="C4187" s="16" t="str">
        <f>IFERROR(VLOOKUP(DATA!#REF!,DATA!#REF!,1,FALSE),"")</f>
        <v/>
      </c>
      <c r="D4187" s="16" t="str">
        <f>IFERROR(VLOOKUP(C4187,DATA!#REF!,2,FALSE),"")</f>
        <v/>
      </c>
    </row>
    <row r="4188" spans="3:4" s="230" customFormat="1">
      <c r="C4188" s="16" t="str">
        <f>IFERROR(VLOOKUP(DATA!#REF!,DATA!#REF!,1,FALSE),"")</f>
        <v/>
      </c>
      <c r="D4188" s="16" t="str">
        <f>IFERROR(VLOOKUP(C4188,DATA!#REF!,2,FALSE),"")</f>
        <v/>
      </c>
    </row>
    <row r="4189" spans="3:4" s="230" customFormat="1">
      <c r="C4189" s="16" t="str">
        <f>IFERROR(VLOOKUP(DATA!#REF!,DATA!#REF!,1,FALSE),"")</f>
        <v/>
      </c>
      <c r="D4189" s="16" t="str">
        <f>IFERROR(VLOOKUP(C4189,DATA!#REF!,2,FALSE),"")</f>
        <v/>
      </c>
    </row>
    <row r="4190" spans="3:4" s="230" customFormat="1">
      <c r="C4190" s="16" t="str">
        <f>IFERROR(VLOOKUP(DATA!#REF!,DATA!#REF!,1,FALSE),"")</f>
        <v/>
      </c>
      <c r="D4190" s="16" t="str">
        <f>IFERROR(VLOOKUP(C4190,DATA!#REF!,2,FALSE),"")</f>
        <v/>
      </c>
    </row>
    <row r="4191" spans="3:4" s="230" customFormat="1">
      <c r="C4191" s="16" t="str">
        <f>IFERROR(VLOOKUP(DATA!#REF!,DATA!#REF!,1,FALSE),"")</f>
        <v/>
      </c>
      <c r="D4191" s="16" t="str">
        <f>IFERROR(VLOOKUP(C4191,DATA!#REF!,2,FALSE),"")</f>
        <v/>
      </c>
    </row>
    <row r="4192" spans="3:4" s="230" customFormat="1">
      <c r="C4192" s="16" t="str">
        <f>IFERROR(VLOOKUP(DATA!#REF!,DATA!#REF!,1,FALSE),"")</f>
        <v/>
      </c>
      <c r="D4192" s="16" t="str">
        <f>IFERROR(VLOOKUP(C4192,DATA!#REF!,2,FALSE),"")</f>
        <v/>
      </c>
    </row>
    <row r="4193" spans="3:4" s="230" customFormat="1">
      <c r="C4193" s="16" t="str">
        <f>IFERROR(VLOOKUP(DATA!#REF!,DATA!#REF!,1,FALSE),"")</f>
        <v/>
      </c>
      <c r="D4193" s="16" t="str">
        <f>IFERROR(VLOOKUP(C4193,DATA!#REF!,2,FALSE),"")</f>
        <v/>
      </c>
    </row>
    <row r="4194" spans="3:4" s="230" customFormat="1">
      <c r="C4194" s="16" t="str">
        <f>IFERROR(VLOOKUP(DATA!#REF!,DATA!#REF!,1,FALSE),"")</f>
        <v/>
      </c>
      <c r="D4194" s="16" t="str">
        <f>IFERROR(VLOOKUP(C4194,DATA!#REF!,2,FALSE),"")</f>
        <v/>
      </c>
    </row>
    <row r="4195" spans="3:4" s="230" customFormat="1">
      <c r="C4195" s="16" t="str">
        <f>IFERROR(VLOOKUP(DATA!#REF!,DATA!#REF!,1,FALSE),"")</f>
        <v/>
      </c>
      <c r="D4195" s="16" t="str">
        <f>IFERROR(VLOOKUP(C4195,DATA!#REF!,2,FALSE),"")</f>
        <v/>
      </c>
    </row>
    <row r="4196" spans="3:4" s="230" customFormat="1">
      <c r="C4196" s="16" t="str">
        <f>IFERROR(VLOOKUP(DATA!#REF!,DATA!#REF!,1,FALSE),"")</f>
        <v/>
      </c>
      <c r="D4196" s="16" t="str">
        <f>IFERROR(VLOOKUP(C4196,DATA!#REF!,2,FALSE),"")</f>
        <v/>
      </c>
    </row>
    <row r="4197" spans="3:4" s="230" customFormat="1">
      <c r="C4197" s="16" t="str">
        <f>IFERROR(VLOOKUP(DATA!#REF!,DATA!#REF!,1,FALSE),"")</f>
        <v/>
      </c>
      <c r="D4197" s="16" t="str">
        <f>IFERROR(VLOOKUP(C4197,DATA!#REF!,2,FALSE),"")</f>
        <v/>
      </c>
    </row>
    <row r="4198" spans="3:4" s="230" customFormat="1">
      <c r="C4198" s="16" t="str">
        <f>IFERROR(VLOOKUP(DATA!#REF!,DATA!#REF!,1,FALSE),"")</f>
        <v/>
      </c>
      <c r="D4198" s="16" t="str">
        <f>IFERROR(VLOOKUP(C4198,DATA!#REF!,2,FALSE),"")</f>
        <v/>
      </c>
    </row>
    <row r="4199" spans="3:4" s="230" customFormat="1">
      <c r="C4199" s="16" t="str">
        <f>IFERROR(VLOOKUP(DATA!#REF!,DATA!#REF!,1,FALSE),"")</f>
        <v/>
      </c>
      <c r="D4199" s="16" t="str">
        <f>IFERROR(VLOOKUP(C4199,DATA!#REF!,2,FALSE),"")</f>
        <v/>
      </c>
    </row>
    <row r="4200" spans="3:4" s="230" customFormat="1">
      <c r="C4200" s="16" t="str">
        <f>IFERROR(VLOOKUP(DATA!#REF!,DATA!#REF!,1,FALSE),"")</f>
        <v/>
      </c>
      <c r="D4200" s="16" t="str">
        <f>IFERROR(VLOOKUP(C4200,DATA!#REF!,2,FALSE),"")</f>
        <v/>
      </c>
    </row>
    <row r="4201" spans="3:4" s="230" customFormat="1">
      <c r="C4201" s="16" t="str">
        <f>IFERROR(VLOOKUP(DATA!#REF!,DATA!#REF!,1,FALSE),"")</f>
        <v/>
      </c>
      <c r="D4201" s="16" t="str">
        <f>IFERROR(VLOOKUP(C4201,DATA!#REF!,2,FALSE),"")</f>
        <v/>
      </c>
    </row>
    <row r="4202" spans="3:4" s="230" customFormat="1">
      <c r="C4202" s="16" t="str">
        <f>IFERROR(VLOOKUP(DATA!#REF!,DATA!#REF!,1,FALSE),"")</f>
        <v/>
      </c>
      <c r="D4202" s="16" t="str">
        <f>IFERROR(VLOOKUP(C4202,DATA!#REF!,2,FALSE),"")</f>
        <v/>
      </c>
    </row>
    <row r="4203" spans="3:4" s="230" customFormat="1">
      <c r="C4203" s="16" t="str">
        <f>IFERROR(VLOOKUP(DATA!#REF!,DATA!#REF!,1,FALSE),"")</f>
        <v/>
      </c>
      <c r="D4203" s="16" t="str">
        <f>IFERROR(VLOOKUP(C4203,DATA!#REF!,2,FALSE),"")</f>
        <v/>
      </c>
    </row>
    <row r="4204" spans="3:4" s="230" customFormat="1">
      <c r="C4204" s="16" t="str">
        <f>IFERROR(VLOOKUP(DATA!#REF!,DATA!#REF!,1,FALSE),"")</f>
        <v/>
      </c>
      <c r="D4204" s="16" t="str">
        <f>IFERROR(VLOOKUP(C4204,DATA!#REF!,2,FALSE),"")</f>
        <v/>
      </c>
    </row>
    <row r="4205" spans="3:4" s="230" customFormat="1">
      <c r="C4205" s="16" t="str">
        <f>IFERROR(VLOOKUP(DATA!#REF!,DATA!#REF!,1,FALSE),"")</f>
        <v/>
      </c>
      <c r="D4205" s="16" t="str">
        <f>IFERROR(VLOOKUP(C4205,DATA!#REF!,2,FALSE),"")</f>
        <v/>
      </c>
    </row>
    <row r="4206" spans="3:4" s="230" customFormat="1">
      <c r="C4206" s="16" t="str">
        <f>IFERROR(VLOOKUP(DATA!#REF!,DATA!#REF!,1,FALSE),"")</f>
        <v/>
      </c>
      <c r="D4206" s="16" t="str">
        <f>IFERROR(VLOOKUP(C4206,DATA!#REF!,2,FALSE),"")</f>
        <v/>
      </c>
    </row>
    <row r="4207" spans="3:4" s="230" customFormat="1">
      <c r="C4207" s="16" t="str">
        <f>IFERROR(VLOOKUP(DATA!#REF!,DATA!#REF!,1,FALSE),"")</f>
        <v/>
      </c>
      <c r="D4207" s="16" t="str">
        <f>IFERROR(VLOOKUP(C4207,DATA!#REF!,2,FALSE),"")</f>
        <v/>
      </c>
    </row>
    <row r="4208" spans="3:4" s="230" customFormat="1">
      <c r="C4208" s="16" t="str">
        <f>IFERROR(VLOOKUP(DATA!#REF!,DATA!#REF!,1,FALSE),"")</f>
        <v/>
      </c>
      <c r="D4208" s="16" t="str">
        <f>IFERROR(VLOOKUP(C4208,DATA!#REF!,2,FALSE),"")</f>
        <v/>
      </c>
    </row>
    <row r="4209" spans="3:4" s="230" customFormat="1">
      <c r="C4209" s="16" t="str">
        <f>IFERROR(VLOOKUP(DATA!#REF!,DATA!#REF!,1,FALSE),"")</f>
        <v/>
      </c>
      <c r="D4209" s="16" t="str">
        <f>IFERROR(VLOOKUP(C4209,DATA!#REF!,2,FALSE),"")</f>
        <v/>
      </c>
    </row>
    <row r="4210" spans="3:4" s="230" customFormat="1">
      <c r="C4210" s="16" t="str">
        <f>IFERROR(VLOOKUP(DATA!#REF!,DATA!#REF!,1,FALSE),"")</f>
        <v/>
      </c>
      <c r="D4210" s="16" t="str">
        <f>IFERROR(VLOOKUP(C4210,DATA!#REF!,2,FALSE),"")</f>
        <v/>
      </c>
    </row>
    <row r="4211" spans="3:4" s="230" customFormat="1">
      <c r="C4211" s="16" t="str">
        <f>IFERROR(VLOOKUP(DATA!#REF!,DATA!#REF!,1,FALSE),"")</f>
        <v/>
      </c>
      <c r="D4211" s="16" t="str">
        <f>IFERROR(VLOOKUP(C4211,DATA!#REF!,2,FALSE),"")</f>
        <v/>
      </c>
    </row>
    <row r="4212" spans="3:4" s="230" customFormat="1">
      <c r="C4212" s="16" t="str">
        <f>IFERROR(VLOOKUP(DATA!#REF!,DATA!#REF!,1,FALSE),"")</f>
        <v/>
      </c>
      <c r="D4212" s="16" t="str">
        <f>IFERROR(VLOOKUP(C4212,DATA!#REF!,2,FALSE),"")</f>
        <v/>
      </c>
    </row>
    <row r="4213" spans="3:4" s="230" customFormat="1">
      <c r="C4213" s="16" t="str">
        <f>IFERROR(VLOOKUP(DATA!#REF!,DATA!#REF!,1,FALSE),"")</f>
        <v/>
      </c>
      <c r="D4213" s="16" t="str">
        <f>IFERROR(VLOOKUP(C4213,DATA!#REF!,2,FALSE),"")</f>
        <v/>
      </c>
    </row>
    <row r="4214" spans="3:4" s="230" customFormat="1">
      <c r="C4214" s="16" t="str">
        <f>IFERROR(VLOOKUP(DATA!#REF!,DATA!#REF!,1,FALSE),"")</f>
        <v/>
      </c>
      <c r="D4214" s="16" t="str">
        <f>IFERROR(VLOOKUP(C4214,DATA!#REF!,2,FALSE),"")</f>
        <v/>
      </c>
    </row>
    <row r="4215" spans="3:4" s="230" customFormat="1">
      <c r="C4215" s="16" t="str">
        <f>IFERROR(VLOOKUP(DATA!#REF!,DATA!#REF!,1,FALSE),"")</f>
        <v/>
      </c>
      <c r="D4215" s="16" t="str">
        <f>IFERROR(VLOOKUP(C4215,DATA!#REF!,2,FALSE),"")</f>
        <v/>
      </c>
    </row>
    <row r="4216" spans="3:4" s="230" customFormat="1">
      <c r="C4216" s="16" t="str">
        <f>IFERROR(VLOOKUP(DATA!#REF!,DATA!#REF!,1,FALSE),"")</f>
        <v/>
      </c>
      <c r="D4216" s="16" t="str">
        <f>IFERROR(VLOOKUP(C4216,DATA!#REF!,2,FALSE),"")</f>
        <v/>
      </c>
    </row>
    <row r="4217" spans="3:4" s="230" customFormat="1">
      <c r="C4217" s="16" t="str">
        <f>IFERROR(VLOOKUP(DATA!#REF!,DATA!#REF!,1,FALSE),"")</f>
        <v/>
      </c>
      <c r="D4217" s="16" t="str">
        <f>IFERROR(VLOOKUP(C4217,DATA!#REF!,2,FALSE),"")</f>
        <v/>
      </c>
    </row>
    <row r="4218" spans="3:4" s="230" customFormat="1">
      <c r="C4218" s="16" t="str">
        <f>IFERROR(VLOOKUP(DATA!#REF!,DATA!#REF!,1,FALSE),"")</f>
        <v/>
      </c>
      <c r="D4218" s="16" t="str">
        <f>IFERROR(VLOOKUP(C4218,DATA!#REF!,2,FALSE),"")</f>
        <v/>
      </c>
    </row>
    <row r="4219" spans="3:4" s="230" customFormat="1">
      <c r="C4219" s="16" t="str">
        <f>IFERROR(VLOOKUP(DATA!#REF!,DATA!#REF!,1,FALSE),"")</f>
        <v/>
      </c>
      <c r="D4219" s="16" t="str">
        <f>IFERROR(VLOOKUP(C4219,DATA!#REF!,2,FALSE),"")</f>
        <v/>
      </c>
    </row>
    <row r="4220" spans="3:4" s="230" customFormat="1">
      <c r="C4220" s="16" t="str">
        <f>IFERROR(VLOOKUP(DATA!#REF!,DATA!#REF!,1,FALSE),"")</f>
        <v/>
      </c>
      <c r="D4220" s="16" t="str">
        <f>IFERROR(VLOOKUP(C4220,DATA!#REF!,2,FALSE),"")</f>
        <v/>
      </c>
    </row>
    <row r="4221" spans="3:4" s="230" customFormat="1">
      <c r="C4221" s="16" t="str">
        <f>IFERROR(VLOOKUP(DATA!#REF!,DATA!#REF!,1,FALSE),"")</f>
        <v/>
      </c>
      <c r="D4221" s="16" t="str">
        <f>IFERROR(VLOOKUP(C4221,DATA!#REF!,2,FALSE),"")</f>
        <v/>
      </c>
    </row>
    <row r="4222" spans="3:4" s="230" customFormat="1">
      <c r="C4222" s="16" t="str">
        <f>IFERROR(VLOOKUP(DATA!#REF!,DATA!#REF!,1,FALSE),"")</f>
        <v/>
      </c>
      <c r="D4222" s="16" t="str">
        <f>IFERROR(VLOOKUP(C4222,DATA!#REF!,2,FALSE),"")</f>
        <v/>
      </c>
    </row>
    <row r="4223" spans="3:4" s="230" customFormat="1">
      <c r="C4223" s="16" t="str">
        <f>IFERROR(VLOOKUP(DATA!#REF!,DATA!#REF!,1,FALSE),"")</f>
        <v/>
      </c>
      <c r="D4223" s="16" t="str">
        <f>IFERROR(VLOOKUP(C4223,DATA!#REF!,2,FALSE),"")</f>
        <v/>
      </c>
    </row>
    <row r="4224" spans="3:4" s="230" customFormat="1">
      <c r="C4224" s="16" t="str">
        <f>IFERROR(VLOOKUP(DATA!#REF!,DATA!#REF!,1,FALSE),"")</f>
        <v/>
      </c>
      <c r="D4224" s="16" t="str">
        <f>IFERROR(VLOOKUP(C4224,DATA!#REF!,2,FALSE),"")</f>
        <v/>
      </c>
    </row>
    <row r="4225" spans="3:4" s="230" customFormat="1">
      <c r="C4225" s="16" t="str">
        <f>IFERROR(VLOOKUP(DATA!#REF!,DATA!#REF!,1,FALSE),"")</f>
        <v/>
      </c>
      <c r="D4225" s="16" t="str">
        <f>IFERROR(VLOOKUP(C4225,DATA!#REF!,2,FALSE),"")</f>
        <v/>
      </c>
    </row>
    <row r="4226" spans="3:4" s="230" customFormat="1">
      <c r="C4226" s="16" t="str">
        <f>IFERROR(VLOOKUP(DATA!#REF!,DATA!#REF!,1,FALSE),"")</f>
        <v/>
      </c>
      <c r="D4226" s="16" t="str">
        <f>IFERROR(VLOOKUP(C4226,DATA!#REF!,2,FALSE),"")</f>
        <v/>
      </c>
    </row>
    <row r="4227" spans="3:4" s="230" customFormat="1">
      <c r="C4227" s="16" t="str">
        <f>IFERROR(VLOOKUP(DATA!#REF!,DATA!#REF!,1,FALSE),"")</f>
        <v/>
      </c>
      <c r="D4227" s="16" t="str">
        <f>IFERROR(VLOOKUP(C4227,DATA!#REF!,2,FALSE),"")</f>
        <v/>
      </c>
    </row>
    <row r="4228" spans="3:4" s="230" customFormat="1">
      <c r="C4228" s="16" t="str">
        <f>IFERROR(VLOOKUP(DATA!#REF!,DATA!#REF!,1,FALSE),"")</f>
        <v/>
      </c>
      <c r="D4228" s="16" t="str">
        <f>IFERROR(VLOOKUP(C4228,DATA!#REF!,2,FALSE),"")</f>
        <v/>
      </c>
    </row>
    <row r="4229" spans="3:4" s="230" customFormat="1">
      <c r="C4229" s="16" t="str">
        <f>IFERROR(VLOOKUP(DATA!#REF!,DATA!#REF!,1,FALSE),"")</f>
        <v/>
      </c>
      <c r="D4229" s="16" t="str">
        <f>IFERROR(VLOOKUP(C4229,DATA!#REF!,2,FALSE),"")</f>
        <v/>
      </c>
    </row>
    <row r="4230" spans="3:4" s="230" customFormat="1">
      <c r="C4230" s="16" t="str">
        <f>IFERROR(VLOOKUP(DATA!#REF!,DATA!#REF!,1,FALSE),"")</f>
        <v/>
      </c>
      <c r="D4230" s="16" t="str">
        <f>IFERROR(VLOOKUP(C4230,DATA!#REF!,2,FALSE),"")</f>
        <v/>
      </c>
    </row>
    <row r="4231" spans="3:4" s="230" customFormat="1">
      <c r="C4231" s="16" t="str">
        <f>IFERROR(VLOOKUP(DATA!#REF!,DATA!#REF!,1,FALSE),"")</f>
        <v/>
      </c>
      <c r="D4231" s="16" t="str">
        <f>IFERROR(VLOOKUP(C4231,DATA!#REF!,2,FALSE),"")</f>
        <v/>
      </c>
    </row>
    <row r="4232" spans="3:4" s="230" customFormat="1">
      <c r="C4232" s="16" t="str">
        <f>IFERROR(VLOOKUP(DATA!#REF!,DATA!#REF!,1,FALSE),"")</f>
        <v/>
      </c>
      <c r="D4232" s="16" t="str">
        <f>IFERROR(VLOOKUP(C4232,DATA!#REF!,2,FALSE),"")</f>
        <v/>
      </c>
    </row>
    <row r="4233" spans="3:4" s="230" customFormat="1">
      <c r="C4233" s="16" t="str">
        <f>IFERROR(VLOOKUP(DATA!#REF!,DATA!#REF!,1,FALSE),"")</f>
        <v/>
      </c>
      <c r="D4233" s="16" t="str">
        <f>IFERROR(VLOOKUP(C4233,DATA!#REF!,2,FALSE),"")</f>
        <v/>
      </c>
    </row>
    <row r="4234" spans="3:4" s="230" customFormat="1">
      <c r="C4234" s="16" t="str">
        <f>IFERROR(VLOOKUP(DATA!#REF!,DATA!#REF!,1,FALSE),"")</f>
        <v/>
      </c>
      <c r="D4234" s="16" t="str">
        <f>IFERROR(VLOOKUP(C4234,DATA!#REF!,2,FALSE),"")</f>
        <v/>
      </c>
    </row>
    <row r="4235" spans="3:4" s="230" customFormat="1">
      <c r="C4235" s="16" t="str">
        <f>IFERROR(VLOOKUP(DATA!#REF!,DATA!#REF!,1,FALSE),"")</f>
        <v/>
      </c>
      <c r="D4235" s="16" t="str">
        <f>IFERROR(VLOOKUP(C4235,DATA!#REF!,2,FALSE),"")</f>
        <v/>
      </c>
    </row>
    <row r="4236" spans="3:4" s="230" customFormat="1">
      <c r="C4236" s="16" t="str">
        <f>IFERROR(VLOOKUP(DATA!#REF!,DATA!#REF!,1,FALSE),"")</f>
        <v/>
      </c>
      <c r="D4236" s="16" t="str">
        <f>IFERROR(VLOOKUP(C4236,DATA!#REF!,2,FALSE),"")</f>
        <v/>
      </c>
    </row>
    <row r="4237" spans="3:4" s="230" customFormat="1">
      <c r="C4237" s="16" t="str">
        <f>IFERROR(VLOOKUP(DATA!#REF!,DATA!#REF!,1,FALSE),"")</f>
        <v/>
      </c>
      <c r="D4237" s="16" t="str">
        <f>IFERROR(VLOOKUP(C4237,DATA!#REF!,2,FALSE),"")</f>
        <v/>
      </c>
    </row>
    <row r="4238" spans="3:4" s="230" customFormat="1">
      <c r="C4238" s="16" t="str">
        <f>IFERROR(VLOOKUP(DATA!#REF!,DATA!#REF!,1,FALSE),"")</f>
        <v/>
      </c>
      <c r="D4238" s="16" t="str">
        <f>IFERROR(VLOOKUP(C4238,DATA!#REF!,2,FALSE),"")</f>
        <v/>
      </c>
    </row>
    <row r="4239" spans="3:4" s="230" customFormat="1">
      <c r="C4239" s="16" t="str">
        <f>IFERROR(VLOOKUP(DATA!#REF!,DATA!#REF!,1,FALSE),"")</f>
        <v/>
      </c>
      <c r="D4239" s="16" t="str">
        <f>IFERROR(VLOOKUP(C4239,DATA!#REF!,2,FALSE),"")</f>
        <v/>
      </c>
    </row>
    <row r="4240" spans="3:4" s="230" customFormat="1">
      <c r="C4240" s="16" t="str">
        <f>IFERROR(VLOOKUP(DATA!#REF!,DATA!#REF!,1,FALSE),"")</f>
        <v/>
      </c>
      <c r="D4240" s="16" t="str">
        <f>IFERROR(VLOOKUP(C4240,DATA!#REF!,2,FALSE),"")</f>
        <v/>
      </c>
    </row>
    <row r="4241" spans="3:4" s="230" customFormat="1">
      <c r="C4241" s="16" t="str">
        <f>IFERROR(VLOOKUP(DATA!#REF!,DATA!#REF!,1,FALSE),"")</f>
        <v/>
      </c>
      <c r="D4241" s="16" t="str">
        <f>IFERROR(VLOOKUP(C4241,DATA!#REF!,2,FALSE),"")</f>
        <v/>
      </c>
    </row>
    <row r="4242" spans="3:4" s="230" customFormat="1">
      <c r="C4242" s="16" t="str">
        <f>IFERROR(VLOOKUP(DATA!#REF!,DATA!#REF!,1,FALSE),"")</f>
        <v/>
      </c>
      <c r="D4242" s="16" t="str">
        <f>IFERROR(VLOOKUP(C4242,DATA!#REF!,2,FALSE),"")</f>
        <v/>
      </c>
    </row>
    <row r="4243" spans="3:4" s="230" customFormat="1">
      <c r="C4243" s="16" t="str">
        <f>IFERROR(VLOOKUP(DATA!#REF!,DATA!#REF!,1,FALSE),"")</f>
        <v/>
      </c>
      <c r="D4243" s="16" t="str">
        <f>IFERROR(VLOOKUP(C4243,DATA!#REF!,2,FALSE),"")</f>
        <v/>
      </c>
    </row>
    <row r="4244" spans="3:4" s="230" customFormat="1">
      <c r="C4244" s="16" t="str">
        <f>IFERROR(VLOOKUP(DATA!#REF!,DATA!#REF!,1,FALSE),"")</f>
        <v/>
      </c>
      <c r="D4244" s="16" t="str">
        <f>IFERROR(VLOOKUP(C4244,DATA!#REF!,2,FALSE),"")</f>
        <v/>
      </c>
    </row>
    <row r="4245" spans="3:4" s="230" customFormat="1">
      <c r="C4245" s="16" t="str">
        <f>IFERROR(VLOOKUP(DATA!#REF!,DATA!#REF!,1,FALSE),"")</f>
        <v/>
      </c>
      <c r="D4245" s="16" t="str">
        <f>IFERROR(VLOOKUP(C4245,DATA!#REF!,2,FALSE),"")</f>
        <v/>
      </c>
    </row>
    <row r="4246" spans="3:4" s="230" customFormat="1">
      <c r="C4246" s="16" t="str">
        <f>IFERROR(VLOOKUP(DATA!#REF!,DATA!#REF!,1,FALSE),"")</f>
        <v/>
      </c>
      <c r="D4246" s="16" t="str">
        <f>IFERROR(VLOOKUP(C4246,DATA!#REF!,2,FALSE),"")</f>
        <v/>
      </c>
    </row>
    <row r="4247" spans="3:4" s="230" customFormat="1">
      <c r="C4247" s="16" t="str">
        <f>IFERROR(VLOOKUP(DATA!#REF!,DATA!#REF!,1,FALSE),"")</f>
        <v/>
      </c>
      <c r="D4247" s="16" t="str">
        <f>IFERROR(VLOOKUP(C4247,DATA!#REF!,2,FALSE),"")</f>
        <v/>
      </c>
    </row>
    <row r="4248" spans="3:4" s="230" customFormat="1">
      <c r="C4248" s="16" t="str">
        <f>IFERROR(VLOOKUP(DATA!#REF!,DATA!#REF!,1,FALSE),"")</f>
        <v/>
      </c>
      <c r="D4248" s="16" t="str">
        <f>IFERROR(VLOOKUP(C4248,DATA!#REF!,2,FALSE),"")</f>
        <v/>
      </c>
    </row>
    <row r="4249" spans="3:4" s="230" customFormat="1">
      <c r="C4249" s="16" t="str">
        <f>IFERROR(VLOOKUP(DATA!#REF!,DATA!#REF!,1,FALSE),"")</f>
        <v/>
      </c>
      <c r="D4249" s="16" t="str">
        <f>IFERROR(VLOOKUP(C4249,DATA!#REF!,2,FALSE),"")</f>
        <v/>
      </c>
    </row>
    <row r="4250" spans="3:4" s="230" customFormat="1">
      <c r="C4250" s="16" t="str">
        <f>IFERROR(VLOOKUP(DATA!#REF!,DATA!#REF!,1,FALSE),"")</f>
        <v/>
      </c>
      <c r="D4250" s="16" t="str">
        <f>IFERROR(VLOOKUP(C4250,DATA!#REF!,2,FALSE),"")</f>
        <v/>
      </c>
    </row>
    <row r="4251" spans="3:4" s="230" customFormat="1">
      <c r="C4251" s="16" t="str">
        <f>IFERROR(VLOOKUP(DATA!#REF!,DATA!#REF!,1,FALSE),"")</f>
        <v/>
      </c>
      <c r="D4251" s="16" t="str">
        <f>IFERROR(VLOOKUP(C4251,DATA!#REF!,2,FALSE),"")</f>
        <v/>
      </c>
    </row>
    <row r="4252" spans="3:4" s="230" customFormat="1">
      <c r="C4252" s="16" t="str">
        <f>IFERROR(VLOOKUP(DATA!#REF!,DATA!#REF!,1,FALSE),"")</f>
        <v/>
      </c>
      <c r="D4252" s="16" t="str">
        <f>IFERROR(VLOOKUP(C4252,DATA!#REF!,2,FALSE),"")</f>
        <v/>
      </c>
    </row>
    <row r="4253" spans="3:4" s="230" customFormat="1">
      <c r="C4253" s="16" t="str">
        <f>IFERROR(VLOOKUP(DATA!#REF!,DATA!#REF!,1,FALSE),"")</f>
        <v/>
      </c>
      <c r="D4253" s="16" t="str">
        <f>IFERROR(VLOOKUP(C4253,DATA!#REF!,2,FALSE),"")</f>
        <v/>
      </c>
    </row>
    <row r="4254" spans="3:4" s="230" customFormat="1">
      <c r="C4254" s="16" t="str">
        <f>IFERROR(VLOOKUP(DATA!#REF!,DATA!#REF!,1,FALSE),"")</f>
        <v/>
      </c>
      <c r="D4254" s="16" t="str">
        <f>IFERROR(VLOOKUP(C4254,DATA!#REF!,2,FALSE),"")</f>
        <v/>
      </c>
    </row>
    <row r="4255" spans="3:4" s="230" customFormat="1">
      <c r="C4255" s="16" t="str">
        <f>IFERROR(VLOOKUP(DATA!#REF!,DATA!#REF!,1,FALSE),"")</f>
        <v/>
      </c>
      <c r="D4255" s="16" t="str">
        <f>IFERROR(VLOOKUP(C4255,DATA!#REF!,2,FALSE),"")</f>
        <v/>
      </c>
    </row>
    <row r="4256" spans="3:4" s="230" customFormat="1">
      <c r="C4256" s="16" t="str">
        <f>IFERROR(VLOOKUP(DATA!#REF!,DATA!#REF!,1,FALSE),"")</f>
        <v/>
      </c>
      <c r="D4256" s="16" t="str">
        <f>IFERROR(VLOOKUP(C4256,DATA!#REF!,2,FALSE),"")</f>
        <v/>
      </c>
    </row>
    <row r="4257" spans="3:4" s="230" customFormat="1">
      <c r="C4257" s="16" t="str">
        <f>IFERROR(VLOOKUP(DATA!#REF!,DATA!#REF!,1,FALSE),"")</f>
        <v/>
      </c>
      <c r="D4257" s="16" t="str">
        <f>IFERROR(VLOOKUP(C4257,DATA!#REF!,2,FALSE),"")</f>
        <v/>
      </c>
    </row>
    <row r="4258" spans="3:4" s="230" customFormat="1">
      <c r="C4258" s="16" t="str">
        <f>IFERROR(VLOOKUP(DATA!#REF!,DATA!#REF!,1,FALSE),"")</f>
        <v/>
      </c>
      <c r="D4258" s="16" t="str">
        <f>IFERROR(VLOOKUP(C4258,DATA!#REF!,2,FALSE),"")</f>
        <v/>
      </c>
    </row>
    <row r="4259" spans="3:4" s="230" customFormat="1">
      <c r="C4259" s="16" t="str">
        <f>IFERROR(VLOOKUP(DATA!#REF!,DATA!#REF!,1,FALSE),"")</f>
        <v/>
      </c>
      <c r="D4259" s="16" t="str">
        <f>IFERROR(VLOOKUP(C4259,DATA!#REF!,2,FALSE),"")</f>
        <v/>
      </c>
    </row>
    <row r="4260" spans="3:4" s="230" customFormat="1">
      <c r="C4260" s="16" t="str">
        <f>IFERROR(VLOOKUP(DATA!#REF!,DATA!#REF!,1,FALSE),"")</f>
        <v/>
      </c>
      <c r="D4260" s="16" t="str">
        <f>IFERROR(VLOOKUP(C4260,DATA!#REF!,2,FALSE),"")</f>
        <v/>
      </c>
    </row>
    <row r="4261" spans="3:4" s="230" customFormat="1">
      <c r="C4261" s="16" t="str">
        <f>IFERROR(VLOOKUP(DATA!#REF!,DATA!#REF!,1,FALSE),"")</f>
        <v/>
      </c>
      <c r="D4261" s="16" t="str">
        <f>IFERROR(VLOOKUP(C4261,DATA!#REF!,2,FALSE),"")</f>
        <v/>
      </c>
    </row>
    <row r="4262" spans="3:4" s="230" customFormat="1">
      <c r="C4262" s="16" t="str">
        <f>IFERROR(VLOOKUP(DATA!#REF!,DATA!#REF!,1,FALSE),"")</f>
        <v/>
      </c>
      <c r="D4262" s="16" t="str">
        <f>IFERROR(VLOOKUP(C4262,DATA!#REF!,2,FALSE),"")</f>
        <v/>
      </c>
    </row>
    <row r="4263" spans="3:4" s="230" customFormat="1">
      <c r="C4263" s="16" t="str">
        <f>IFERROR(VLOOKUP(DATA!#REF!,DATA!#REF!,1,FALSE),"")</f>
        <v/>
      </c>
      <c r="D4263" s="16" t="str">
        <f>IFERROR(VLOOKUP(C4263,DATA!#REF!,2,FALSE),"")</f>
        <v/>
      </c>
    </row>
    <row r="4264" spans="3:4" s="230" customFormat="1">
      <c r="C4264" s="16" t="str">
        <f>IFERROR(VLOOKUP(DATA!#REF!,DATA!#REF!,1,FALSE),"")</f>
        <v/>
      </c>
      <c r="D4264" s="16" t="str">
        <f>IFERROR(VLOOKUP(C4264,DATA!#REF!,2,FALSE),"")</f>
        <v/>
      </c>
    </row>
    <row r="4265" spans="3:4" s="230" customFormat="1">
      <c r="C4265" s="16" t="str">
        <f>IFERROR(VLOOKUP(DATA!#REF!,DATA!#REF!,1,FALSE),"")</f>
        <v/>
      </c>
      <c r="D4265" s="16" t="str">
        <f>IFERROR(VLOOKUP(C4265,DATA!#REF!,2,FALSE),"")</f>
        <v/>
      </c>
    </row>
    <row r="4266" spans="3:4" s="230" customFormat="1">
      <c r="C4266" s="16" t="str">
        <f>IFERROR(VLOOKUP(DATA!#REF!,DATA!#REF!,1,FALSE),"")</f>
        <v/>
      </c>
      <c r="D4266" s="16" t="str">
        <f>IFERROR(VLOOKUP(C4266,DATA!#REF!,2,FALSE),"")</f>
        <v/>
      </c>
    </row>
    <row r="4267" spans="3:4" s="230" customFormat="1">
      <c r="C4267" s="16" t="str">
        <f>IFERROR(VLOOKUP(DATA!#REF!,DATA!#REF!,1,FALSE),"")</f>
        <v/>
      </c>
      <c r="D4267" s="16" t="str">
        <f>IFERROR(VLOOKUP(C4267,DATA!#REF!,2,FALSE),"")</f>
        <v/>
      </c>
    </row>
    <row r="4268" spans="3:4" s="230" customFormat="1">
      <c r="C4268" s="16" t="str">
        <f>IFERROR(VLOOKUP(DATA!#REF!,DATA!#REF!,1,FALSE),"")</f>
        <v/>
      </c>
      <c r="D4268" s="16" t="str">
        <f>IFERROR(VLOOKUP(C4268,DATA!#REF!,2,FALSE),"")</f>
        <v/>
      </c>
    </row>
    <row r="4269" spans="3:4" s="230" customFormat="1">
      <c r="C4269" s="16" t="str">
        <f>IFERROR(VLOOKUP(DATA!#REF!,DATA!#REF!,1,FALSE),"")</f>
        <v/>
      </c>
      <c r="D4269" s="16" t="str">
        <f>IFERROR(VLOOKUP(C4269,DATA!#REF!,2,FALSE),"")</f>
        <v/>
      </c>
    </row>
    <row r="4270" spans="3:4" s="230" customFormat="1">
      <c r="C4270" s="16" t="str">
        <f>IFERROR(VLOOKUP(DATA!#REF!,DATA!#REF!,1,FALSE),"")</f>
        <v/>
      </c>
      <c r="D4270" s="16" t="str">
        <f>IFERROR(VLOOKUP(C4270,DATA!#REF!,2,FALSE),"")</f>
        <v/>
      </c>
    </row>
    <row r="4271" spans="3:4" s="230" customFormat="1">
      <c r="C4271" s="16" t="str">
        <f>IFERROR(VLOOKUP(DATA!#REF!,DATA!#REF!,1,FALSE),"")</f>
        <v/>
      </c>
      <c r="D4271" s="16" t="str">
        <f>IFERROR(VLOOKUP(C4271,DATA!#REF!,2,FALSE),"")</f>
        <v/>
      </c>
    </row>
    <row r="4272" spans="3:4" s="230" customFormat="1">
      <c r="C4272" s="16" t="str">
        <f>IFERROR(VLOOKUP(DATA!#REF!,DATA!#REF!,1,FALSE),"")</f>
        <v/>
      </c>
      <c r="D4272" s="16" t="str">
        <f>IFERROR(VLOOKUP(C4272,DATA!#REF!,2,FALSE),"")</f>
        <v/>
      </c>
    </row>
    <row r="4273" spans="3:4" s="230" customFormat="1">
      <c r="C4273" s="16" t="str">
        <f>IFERROR(VLOOKUP(DATA!#REF!,DATA!#REF!,1,FALSE),"")</f>
        <v/>
      </c>
      <c r="D4273" s="16" t="str">
        <f>IFERROR(VLOOKUP(C4273,DATA!#REF!,2,FALSE),"")</f>
        <v/>
      </c>
    </row>
    <row r="4274" spans="3:4" s="230" customFormat="1">
      <c r="C4274" s="16" t="str">
        <f>IFERROR(VLOOKUP(DATA!#REF!,DATA!#REF!,1,FALSE),"")</f>
        <v/>
      </c>
      <c r="D4274" s="16" t="str">
        <f>IFERROR(VLOOKUP(C4274,DATA!#REF!,2,FALSE),"")</f>
        <v/>
      </c>
    </row>
    <row r="4275" spans="3:4" s="230" customFormat="1">
      <c r="C4275" s="16" t="str">
        <f>IFERROR(VLOOKUP(DATA!#REF!,DATA!#REF!,1,FALSE),"")</f>
        <v/>
      </c>
      <c r="D4275" s="16" t="str">
        <f>IFERROR(VLOOKUP(C4275,DATA!#REF!,2,FALSE),"")</f>
        <v/>
      </c>
    </row>
    <row r="4276" spans="3:4" s="230" customFormat="1">
      <c r="C4276" s="16" t="str">
        <f>IFERROR(VLOOKUP(DATA!#REF!,DATA!#REF!,1,FALSE),"")</f>
        <v/>
      </c>
      <c r="D4276" s="16" t="str">
        <f>IFERROR(VLOOKUP(C4276,DATA!#REF!,2,FALSE),"")</f>
        <v/>
      </c>
    </row>
    <row r="4277" spans="3:4" s="230" customFormat="1">
      <c r="C4277" s="16" t="str">
        <f>IFERROR(VLOOKUP(DATA!#REF!,DATA!#REF!,1,FALSE),"")</f>
        <v/>
      </c>
      <c r="D4277" s="16" t="str">
        <f>IFERROR(VLOOKUP(C4277,DATA!#REF!,2,FALSE),"")</f>
        <v/>
      </c>
    </row>
    <row r="4278" spans="3:4" s="230" customFormat="1">
      <c r="C4278" s="16" t="str">
        <f>IFERROR(VLOOKUP(DATA!#REF!,DATA!#REF!,1,FALSE),"")</f>
        <v/>
      </c>
      <c r="D4278" s="16" t="str">
        <f>IFERROR(VLOOKUP(C4278,DATA!#REF!,2,FALSE),"")</f>
        <v/>
      </c>
    </row>
    <row r="4279" spans="3:4" s="230" customFormat="1">
      <c r="C4279" s="16" t="str">
        <f>IFERROR(VLOOKUP(DATA!#REF!,DATA!#REF!,1,FALSE),"")</f>
        <v/>
      </c>
      <c r="D4279" s="16" t="str">
        <f>IFERROR(VLOOKUP(C4279,DATA!#REF!,2,FALSE),"")</f>
        <v/>
      </c>
    </row>
    <row r="4280" spans="3:4" s="230" customFormat="1">
      <c r="C4280" s="16" t="str">
        <f>IFERROR(VLOOKUP(DATA!#REF!,DATA!#REF!,1,FALSE),"")</f>
        <v/>
      </c>
      <c r="D4280" s="16" t="str">
        <f>IFERROR(VLOOKUP(C4280,DATA!#REF!,2,FALSE),"")</f>
        <v/>
      </c>
    </row>
    <row r="4281" spans="3:4" s="230" customFormat="1">
      <c r="C4281" s="16" t="str">
        <f>IFERROR(VLOOKUP(DATA!#REF!,DATA!#REF!,1,FALSE),"")</f>
        <v/>
      </c>
      <c r="D4281" s="16" t="str">
        <f>IFERROR(VLOOKUP(C4281,DATA!#REF!,2,FALSE),"")</f>
        <v/>
      </c>
    </row>
    <row r="4282" spans="3:4" s="230" customFormat="1">
      <c r="C4282" s="16" t="str">
        <f>IFERROR(VLOOKUP(DATA!#REF!,DATA!#REF!,1,FALSE),"")</f>
        <v/>
      </c>
      <c r="D4282" s="16" t="str">
        <f>IFERROR(VLOOKUP(C4282,DATA!#REF!,2,FALSE),"")</f>
        <v/>
      </c>
    </row>
    <row r="4283" spans="3:4" s="230" customFormat="1">
      <c r="C4283" s="16" t="str">
        <f>IFERROR(VLOOKUP(DATA!#REF!,DATA!#REF!,1,FALSE),"")</f>
        <v/>
      </c>
      <c r="D4283" s="16" t="str">
        <f>IFERROR(VLOOKUP(C4283,DATA!#REF!,2,FALSE),"")</f>
        <v/>
      </c>
    </row>
    <row r="4284" spans="3:4" s="230" customFormat="1">
      <c r="C4284" s="16" t="str">
        <f>IFERROR(VLOOKUP(DATA!#REF!,DATA!#REF!,1,FALSE),"")</f>
        <v/>
      </c>
      <c r="D4284" s="16" t="str">
        <f>IFERROR(VLOOKUP(C4284,DATA!#REF!,2,FALSE),"")</f>
        <v/>
      </c>
    </row>
    <row r="4285" spans="3:4" s="230" customFormat="1">
      <c r="C4285" s="16" t="str">
        <f>IFERROR(VLOOKUP(DATA!#REF!,DATA!#REF!,1,FALSE),"")</f>
        <v/>
      </c>
      <c r="D4285" s="16" t="str">
        <f>IFERROR(VLOOKUP(C4285,DATA!#REF!,2,FALSE),"")</f>
        <v/>
      </c>
    </row>
    <row r="4286" spans="3:4" s="230" customFormat="1">
      <c r="C4286" s="16" t="str">
        <f>IFERROR(VLOOKUP(DATA!#REF!,DATA!#REF!,1,FALSE),"")</f>
        <v/>
      </c>
      <c r="D4286" s="16" t="str">
        <f>IFERROR(VLOOKUP(C4286,DATA!#REF!,2,FALSE),"")</f>
        <v/>
      </c>
    </row>
    <row r="4287" spans="3:4" s="230" customFormat="1">
      <c r="C4287" s="16" t="str">
        <f>IFERROR(VLOOKUP(DATA!#REF!,DATA!#REF!,1,FALSE),"")</f>
        <v/>
      </c>
      <c r="D4287" s="16" t="str">
        <f>IFERROR(VLOOKUP(C4287,DATA!#REF!,2,FALSE),"")</f>
        <v/>
      </c>
    </row>
    <row r="4288" spans="3:4" s="230" customFormat="1">
      <c r="C4288" s="16" t="str">
        <f>IFERROR(VLOOKUP(DATA!#REF!,DATA!#REF!,1,FALSE),"")</f>
        <v/>
      </c>
      <c r="D4288" s="16" t="str">
        <f>IFERROR(VLOOKUP(C4288,DATA!#REF!,2,FALSE),"")</f>
        <v/>
      </c>
    </row>
    <row r="4289" spans="3:4" s="230" customFormat="1">
      <c r="C4289" s="16" t="str">
        <f>IFERROR(VLOOKUP(DATA!#REF!,DATA!#REF!,1,FALSE),"")</f>
        <v/>
      </c>
      <c r="D4289" s="16" t="str">
        <f>IFERROR(VLOOKUP(C4289,DATA!#REF!,2,FALSE),"")</f>
        <v/>
      </c>
    </row>
    <row r="4290" spans="3:4" s="230" customFormat="1">
      <c r="C4290" s="16" t="str">
        <f>IFERROR(VLOOKUP(DATA!#REF!,DATA!#REF!,1,FALSE),"")</f>
        <v/>
      </c>
      <c r="D4290" s="16" t="str">
        <f>IFERROR(VLOOKUP(C4290,DATA!#REF!,2,FALSE),"")</f>
        <v/>
      </c>
    </row>
    <row r="4291" spans="3:4" s="230" customFormat="1">
      <c r="C4291" s="16" t="str">
        <f>IFERROR(VLOOKUP(DATA!#REF!,DATA!#REF!,1,FALSE),"")</f>
        <v/>
      </c>
      <c r="D4291" s="16" t="str">
        <f>IFERROR(VLOOKUP(C4291,DATA!#REF!,2,FALSE),"")</f>
        <v/>
      </c>
    </row>
    <row r="4292" spans="3:4" s="230" customFormat="1">
      <c r="C4292" s="16" t="str">
        <f>IFERROR(VLOOKUP(DATA!#REF!,DATA!#REF!,1,FALSE),"")</f>
        <v/>
      </c>
      <c r="D4292" s="16" t="str">
        <f>IFERROR(VLOOKUP(C4292,DATA!#REF!,2,FALSE),"")</f>
        <v/>
      </c>
    </row>
    <row r="4293" spans="3:4" s="230" customFormat="1">
      <c r="C4293" s="16" t="str">
        <f>IFERROR(VLOOKUP(DATA!#REF!,DATA!#REF!,1,FALSE),"")</f>
        <v/>
      </c>
      <c r="D4293" s="16" t="str">
        <f>IFERROR(VLOOKUP(C4293,DATA!#REF!,2,FALSE),"")</f>
        <v/>
      </c>
    </row>
    <row r="4294" spans="3:4" s="230" customFormat="1">
      <c r="C4294" s="16" t="str">
        <f>IFERROR(VLOOKUP(DATA!#REF!,DATA!#REF!,1,FALSE),"")</f>
        <v/>
      </c>
      <c r="D4294" s="16" t="str">
        <f>IFERROR(VLOOKUP(C4294,DATA!#REF!,2,FALSE),"")</f>
        <v/>
      </c>
    </row>
    <row r="4295" spans="3:4" s="230" customFormat="1">
      <c r="C4295" s="16" t="str">
        <f>IFERROR(VLOOKUP(DATA!#REF!,DATA!#REF!,1,FALSE),"")</f>
        <v/>
      </c>
      <c r="D4295" s="16" t="str">
        <f>IFERROR(VLOOKUP(C4295,DATA!#REF!,2,FALSE),"")</f>
        <v/>
      </c>
    </row>
    <row r="4296" spans="3:4" s="230" customFormat="1">
      <c r="C4296" s="16" t="str">
        <f>IFERROR(VLOOKUP(DATA!#REF!,DATA!#REF!,1,FALSE),"")</f>
        <v/>
      </c>
      <c r="D4296" s="16" t="str">
        <f>IFERROR(VLOOKUP(C4296,DATA!#REF!,2,FALSE),"")</f>
        <v/>
      </c>
    </row>
    <row r="4297" spans="3:4" s="230" customFormat="1">
      <c r="C4297" s="16" t="str">
        <f>IFERROR(VLOOKUP(DATA!#REF!,DATA!#REF!,1,FALSE),"")</f>
        <v/>
      </c>
      <c r="D4297" s="16" t="str">
        <f>IFERROR(VLOOKUP(C4297,DATA!#REF!,2,FALSE),"")</f>
        <v/>
      </c>
    </row>
    <row r="4298" spans="3:4" s="230" customFormat="1">
      <c r="C4298" s="16" t="str">
        <f>IFERROR(VLOOKUP(DATA!#REF!,DATA!#REF!,1,FALSE),"")</f>
        <v/>
      </c>
      <c r="D4298" s="16" t="str">
        <f>IFERROR(VLOOKUP(C4298,DATA!#REF!,2,FALSE),"")</f>
        <v/>
      </c>
    </row>
    <row r="4299" spans="3:4" s="230" customFormat="1">
      <c r="C4299" s="16" t="str">
        <f>IFERROR(VLOOKUP(DATA!#REF!,DATA!#REF!,1,FALSE),"")</f>
        <v/>
      </c>
      <c r="D4299" s="16" t="str">
        <f>IFERROR(VLOOKUP(C4299,DATA!#REF!,2,FALSE),"")</f>
        <v/>
      </c>
    </row>
    <row r="4300" spans="3:4" s="230" customFormat="1">
      <c r="C4300" s="16" t="str">
        <f>IFERROR(VLOOKUP(DATA!#REF!,DATA!#REF!,1,FALSE),"")</f>
        <v/>
      </c>
      <c r="D4300" s="16" t="str">
        <f>IFERROR(VLOOKUP(C4300,DATA!#REF!,2,FALSE),"")</f>
        <v/>
      </c>
    </row>
    <row r="4301" spans="3:4" s="230" customFormat="1">
      <c r="C4301" s="16" t="str">
        <f>IFERROR(VLOOKUP(DATA!#REF!,DATA!#REF!,1,FALSE),"")</f>
        <v/>
      </c>
      <c r="D4301" s="16" t="str">
        <f>IFERROR(VLOOKUP(C4301,DATA!#REF!,2,FALSE),"")</f>
        <v/>
      </c>
    </row>
    <row r="4302" spans="3:4" s="230" customFormat="1">
      <c r="C4302" s="16" t="str">
        <f>IFERROR(VLOOKUP(DATA!#REF!,DATA!#REF!,1,FALSE),"")</f>
        <v/>
      </c>
      <c r="D4302" s="16" t="str">
        <f>IFERROR(VLOOKUP(C4302,DATA!#REF!,2,FALSE),"")</f>
        <v/>
      </c>
    </row>
    <row r="4303" spans="3:4" s="230" customFormat="1">
      <c r="C4303" s="16" t="str">
        <f>IFERROR(VLOOKUP(DATA!#REF!,DATA!#REF!,1,FALSE),"")</f>
        <v/>
      </c>
      <c r="D4303" s="16" t="str">
        <f>IFERROR(VLOOKUP(C4303,DATA!#REF!,2,FALSE),"")</f>
        <v/>
      </c>
    </row>
    <row r="4304" spans="3:4" s="230" customFormat="1">
      <c r="C4304" s="16" t="str">
        <f>IFERROR(VLOOKUP(DATA!#REF!,DATA!#REF!,1,FALSE),"")</f>
        <v/>
      </c>
      <c r="D4304" s="16" t="str">
        <f>IFERROR(VLOOKUP(C4304,DATA!#REF!,2,FALSE),"")</f>
        <v/>
      </c>
    </row>
    <row r="4305" spans="3:4" s="230" customFormat="1">
      <c r="C4305" s="16" t="str">
        <f>IFERROR(VLOOKUP(DATA!#REF!,DATA!#REF!,1,FALSE),"")</f>
        <v/>
      </c>
      <c r="D4305" s="16" t="str">
        <f>IFERROR(VLOOKUP(C4305,DATA!#REF!,2,FALSE),"")</f>
        <v/>
      </c>
    </row>
    <row r="4306" spans="3:4" s="230" customFormat="1">
      <c r="C4306" s="16" t="str">
        <f>IFERROR(VLOOKUP(DATA!#REF!,DATA!#REF!,1,FALSE),"")</f>
        <v/>
      </c>
      <c r="D4306" s="16" t="str">
        <f>IFERROR(VLOOKUP(C4306,DATA!#REF!,2,FALSE),"")</f>
        <v/>
      </c>
    </row>
    <row r="4307" spans="3:4" s="230" customFormat="1">
      <c r="C4307" s="16" t="str">
        <f>IFERROR(VLOOKUP(DATA!#REF!,DATA!#REF!,1,FALSE),"")</f>
        <v/>
      </c>
      <c r="D4307" s="16" t="str">
        <f>IFERROR(VLOOKUP(C4307,DATA!#REF!,2,FALSE),"")</f>
        <v/>
      </c>
    </row>
    <row r="4308" spans="3:4" s="230" customFormat="1">
      <c r="C4308" s="16" t="str">
        <f>IFERROR(VLOOKUP(DATA!#REF!,DATA!#REF!,1,FALSE),"")</f>
        <v/>
      </c>
      <c r="D4308" s="16" t="str">
        <f>IFERROR(VLOOKUP(C4308,DATA!#REF!,2,FALSE),"")</f>
        <v/>
      </c>
    </row>
    <row r="4309" spans="3:4" s="230" customFormat="1">
      <c r="C4309" s="16" t="str">
        <f>IFERROR(VLOOKUP(DATA!#REF!,DATA!#REF!,1,FALSE),"")</f>
        <v/>
      </c>
      <c r="D4309" s="16" t="str">
        <f>IFERROR(VLOOKUP(C4309,DATA!#REF!,2,FALSE),"")</f>
        <v/>
      </c>
    </row>
    <row r="4310" spans="3:4" s="230" customFormat="1">
      <c r="C4310" s="16" t="str">
        <f>IFERROR(VLOOKUP(DATA!#REF!,DATA!#REF!,1,FALSE),"")</f>
        <v/>
      </c>
      <c r="D4310" s="16" t="str">
        <f>IFERROR(VLOOKUP(C4310,DATA!#REF!,2,FALSE),"")</f>
        <v/>
      </c>
    </row>
    <row r="4311" spans="3:4" s="230" customFormat="1">
      <c r="C4311" s="16" t="str">
        <f>IFERROR(VLOOKUP(DATA!#REF!,DATA!#REF!,1,FALSE),"")</f>
        <v/>
      </c>
      <c r="D4311" s="16" t="str">
        <f>IFERROR(VLOOKUP(C4311,DATA!#REF!,2,FALSE),"")</f>
        <v/>
      </c>
    </row>
    <row r="4312" spans="3:4" s="230" customFormat="1">
      <c r="C4312" s="16" t="str">
        <f>IFERROR(VLOOKUP(DATA!#REF!,DATA!#REF!,1,FALSE),"")</f>
        <v/>
      </c>
      <c r="D4312" s="16" t="str">
        <f>IFERROR(VLOOKUP(C4312,DATA!#REF!,2,FALSE),"")</f>
        <v/>
      </c>
    </row>
    <row r="4313" spans="3:4" s="230" customFormat="1">
      <c r="C4313" s="16" t="str">
        <f>IFERROR(VLOOKUP(DATA!#REF!,DATA!#REF!,1,FALSE),"")</f>
        <v/>
      </c>
      <c r="D4313" s="16" t="str">
        <f>IFERROR(VLOOKUP(C4313,DATA!#REF!,2,FALSE),"")</f>
        <v/>
      </c>
    </row>
    <row r="4314" spans="3:4" s="230" customFormat="1">
      <c r="C4314" s="16" t="str">
        <f>IFERROR(VLOOKUP(DATA!#REF!,DATA!#REF!,1,FALSE),"")</f>
        <v/>
      </c>
      <c r="D4314" s="16" t="str">
        <f>IFERROR(VLOOKUP(C4314,DATA!#REF!,2,FALSE),"")</f>
        <v/>
      </c>
    </row>
    <row r="4315" spans="3:4" s="230" customFormat="1">
      <c r="C4315" s="16" t="str">
        <f>IFERROR(VLOOKUP(DATA!#REF!,DATA!#REF!,1,FALSE),"")</f>
        <v/>
      </c>
      <c r="D4315" s="16" t="str">
        <f>IFERROR(VLOOKUP(C4315,DATA!#REF!,2,FALSE),"")</f>
        <v/>
      </c>
    </row>
    <row r="4316" spans="3:4" s="230" customFormat="1">
      <c r="C4316" s="16" t="str">
        <f>IFERROR(VLOOKUP(DATA!#REF!,DATA!#REF!,1,FALSE),"")</f>
        <v/>
      </c>
      <c r="D4316" s="16" t="str">
        <f>IFERROR(VLOOKUP(C4316,DATA!#REF!,2,FALSE),"")</f>
        <v/>
      </c>
    </row>
    <row r="4317" spans="3:4" s="230" customFormat="1">
      <c r="C4317" s="16" t="str">
        <f>IFERROR(VLOOKUP(DATA!#REF!,DATA!#REF!,1,FALSE),"")</f>
        <v/>
      </c>
      <c r="D4317" s="16" t="str">
        <f>IFERROR(VLOOKUP(C4317,DATA!#REF!,2,FALSE),"")</f>
        <v/>
      </c>
    </row>
    <row r="4318" spans="3:4" s="230" customFormat="1">
      <c r="C4318" s="16" t="str">
        <f>IFERROR(VLOOKUP(DATA!#REF!,DATA!#REF!,1,FALSE),"")</f>
        <v/>
      </c>
      <c r="D4318" s="16" t="str">
        <f>IFERROR(VLOOKUP(C4318,DATA!#REF!,2,FALSE),"")</f>
        <v/>
      </c>
    </row>
    <row r="4319" spans="3:4" s="230" customFormat="1">
      <c r="C4319" s="16" t="str">
        <f>IFERROR(VLOOKUP(DATA!#REF!,DATA!#REF!,1,FALSE),"")</f>
        <v/>
      </c>
      <c r="D4319" s="16" t="str">
        <f>IFERROR(VLOOKUP(C4319,DATA!#REF!,2,FALSE),"")</f>
        <v/>
      </c>
    </row>
    <row r="4320" spans="3:4" s="230" customFormat="1">
      <c r="C4320" s="16" t="str">
        <f>IFERROR(VLOOKUP(DATA!#REF!,DATA!#REF!,1,FALSE),"")</f>
        <v/>
      </c>
      <c r="D4320" s="16" t="str">
        <f>IFERROR(VLOOKUP(C4320,DATA!#REF!,2,FALSE),"")</f>
        <v/>
      </c>
    </row>
    <row r="4321" spans="3:4" s="230" customFormat="1">
      <c r="C4321" s="16" t="str">
        <f>IFERROR(VLOOKUP(DATA!#REF!,DATA!#REF!,1,FALSE),"")</f>
        <v/>
      </c>
      <c r="D4321" s="16" t="str">
        <f>IFERROR(VLOOKUP(C4321,DATA!#REF!,2,FALSE),"")</f>
        <v/>
      </c>
    </row>
    <row r="4322" spans="3:4" s="230" customFormat="1">
      <c r="C4322" s="16" t="str">
        <f>IFERROR(VLOOKUP(DATA!#REF!,DATA!#REF!,1,FALSE),"")</f>
        <v/>
      </c>
      <c r="D4322" s="16" t="str">
        <f>IFERROR(VLOOKUP(C4322,DATA!#REF!,2,FALSE),"")</f>
        <v/>
      </c>
    </row>
    <row r="4323" spans="3:4" s="230" customFormat="1">
      <c r="C4323" s="16" t="str">
        <f>IFERROR(VLOOKUP(DATA!#REF!,DATA!#REF!,1,FALSE),"")</f>
        <v/>
      </c>
      <c r="D4323" s="16" t="str">
        <f>IFERROR(VLOOKUP(C4323,DATA!#REF!,2,FALSE),"")</f>
        <v/>
      </c>
    </row>
    <row r="4324" spans="3:4" s="230" customFormat="1">
      <c r="C4324" s="16" t="str">
        <f>IFERROR(VLOOKUP(DATA!#REF!,DATA!#REF!,1,FALSE),"")</f>
        <v/>
      </c>
      <c r="D4324" s="16" t="str">
        <f>IFERROR(VLOOKUP(C4324,DATA!#REF!,2,FALSE),"")</f>
        <v/>
      </c>
    </row>
    <row r="4325" spans="3:4" s="230" customFormat="1">
      <c r="C4325" s="16" t="str">
        <f>IFERROR(VLOOKUP(DATA!#REF!,DATA!#REF!,1,FALSE),"")</f>
        <v/>
      </c>
      <c r="D4325" s="16" t="str">
        <f>IFERROR(VLOOKUP(C4325,DATA!#REF!,2,FALSE),"")</f>
        <v/>
      </c>
    </row>
    <row r="4326" spans="3:4" s="230" customFormat="1">
      <c r="C4326" s="16" t="str">
        <f>IFERROR(VLOOKUP(DATA!#REF!,DATA!#REF!,1,FALSE),"")</f>
        <v/>
      </c>
      <c r="D4326" s="16" t="str">
        <f>IFERROR(VLOOKUP(C4326,DATA!#REF!,2,FALSE),"")</f>
        <v/>
      </c>
    </row>
    <row r="4327" spans="3:4" s="230" customFormat="1">
      <c r="C4327" s="16" t="str">
        <f>IFERROR(VLOOKUP(DATA!#REF!,DATA!#REF!,1,FALSE),"")</f>
        <v/>
      </c>
      <c r="D4327" s="16" t="str">
        <f>IFERROR(VLOOKUP(C4327,DATA!#REF!,2,FALSE),"")</f>
        <v/>
      </c>
    </row>
    <row r="4328" spans="3:4" s="230" customFormat="1">
      <c r="C4328" s="16" t="str">
        <f>IFERROR(VLOOKUP(DATA!#REF!,DATA!#REF!,1,FALSE),"")</f>
        <v/>
      </c>
      <c r="D4328" s="16" t="str">
        <f>IFERROR(VLOOKUP(C4328,DATA!#REF!,2,FALSE),"")</f>
        <v/>
      </c>
    </row>
    <row r="4329" spans="3:4" s="230" customFormat="1">
      <c r="C4329" s="16" t="str">
        <f>IFERROR(VLOOKUP(DATA!#REF!,DATA!#REF!,1,FALSE),"")</f>
        <v/>
      </c>
      <c r="D4329" s="16" t="str">
        <f>IFERROR(VLOOKUP(C4329,DATA!#REF!,2,FALSE),"")</f>
        <v/>
      </c>
    </row>
    <row r="4330" spans="3:4" s="230" customFormat="1">
      <c r="C4330" s="16" t="str">
        <f>IFERROR(VLOOKUP(DATA!#REF!,DATA!#REF!,1,FALSE),"")</f>
        <v/>
      </c>
      <c r="D4330" s="16" t="str">
        <f>IFERROR(VLOOKUP(C4330,DATA!#REF!,2,FALSE),"")</f>
        <v/>
      </c>
    </row>
    <row r="4331" spans="3:4" s="230" customFormat="1">
      <c r="C4331" s="16" t="str">
        <f>IFERROR(VLOOKUP(DATA!#REF!,DATA!#REF!,1,FALSE),"")</f>
        <v/>
      </c>
      <c r="D4331" s="16" t="str">
        <f>IFERROR(VLOOKUP(C4331,DATA!#REF!,2,FALSE),"")</f>
        <v/>
      </c>
    </row>
    <row r="4332" spans="3:4" s="230" customFormat="1">
      <c r="C4332" s="16" t="str">
        <f>IFERROR(VLOOKUP(DATA!#REF!,DATA!#REF!,1,FALSE),"")</f>
        <v/>
      </c>
      <c r="D4332" s="16" t="str">
        <f>IFERROR(VLOOKUP(C4332,DATA!#REF!,2,FALSE),"")</f>
        <v/>
      </c>
    </row>
    <row r="4333" spans="3:4" s="230" customFormat="1">
      <c r="C4333" s="16" t="str">
        <f>IFERROR(VLOOKUP(DATA!#REF!,DATA!#REF!,1,FALSE),"")</f>
        <v/>
      </c>
      <c r="D4333" s="16" t="str">
        <f>IFERROR(VLOOKUP(C4333,DATA!#REF!,2,FALSE),"")</f>
        <v/>
      </c>
    </row>
    <row r="4334" spans="3:4" s="230" customFormat="1">
      <c r="C4334" s="16" t="str">
        <f>IFERROR(VLOOKUP(DATA!#REF!,DATA!#REF!,1,FALSE),"")</f>
        <v/>
      </c>
      <c r="D4334" s="16" t="str">
        <f>IFERROR(VLOOKUP(C4334,DATA!#REF!,2,FALSE),"")</f>
        <v/>
      </c>
    </row>
    <row r="4335" spans="3:4" s="230" customFormat="1">
      <c r="C4335" s="16" t="str">
        <f>IFERROR(VLOOKUP(DATA!#REF!,DATA!#REF!,1,FALSE),"")</f>
        <v/>
      </c>
      <c r="D4335" s="16" t="str">
        <f>IFERROR(VLOOKUP(C4335,DATA!#REF!,2,FALSE),"")</f>
        <v/>
      </c>
    </row>
    <row r="4336" spans="3:4" s="230" customFormat="1">
      <c r="C4336" s="16" t="str">
        <f>IFERROR(VLOOKUP(DATA!#REF!,DATA!#REF!,1,FALSE),"")</f>
        <v/>
      </c>
      <c r="D4336" s="16" t="str">
        <f>IFERROR(VLOOKUP(C4336,DATA!#REF!,2,FALSE),"")</f>
        <v/>
      </c>
    </row>
    <row r="4337" spans="3:4" s="230" customFormat="1">
      <c r="C4337" s="16" t="str">
        <f>IFERROR(VLOOKUP(DATA!#REF!,DATA!#REF!,1,FALSE),"")</f>
        <v/>
      </c>
      <c r="D4337" s="16" t="str">
        <f>IFERROR(VLOOKUP(C4337,DATA!#REF!,2,FALSE),"")</f>
        <v/>
      </c>
    </row>
    <row r="4338" spans="3:4" s="230" customFormat="1">
      <c r="C4338" s="16" t="str">
        <f>IFERROR(VLOOKUP(DATA!#REF!,DATA!#REF!,1,FALSE),"")</f>
        <v/>
      </c>
      <c r="D4338" s="16" t="str">
        <f>IFERROR(VLOOKUP(C4338,DATA!#REF!,2,FALSE),"")</f>
        <v/>
      </c>
    </row>
    <row r="4339" spans="3:4" s="230" customFormat="1">
      <c r="C4339" s="16" t="str">
        <f>IFERROR(VLOOKUP(DATA!#REF!,DATA!#REF!,1,FALSE),"")</f>
        <v/>
      </c>
      <c r="D4339" s="16" t="str">
        <f>IFERROR(VLOOKUP(C4339,DATA!#REF!,2,FALSE),"")</f>
        <v/>
      </c>
    </row>
    <row r="4340" spans="3:4" s="230" customFormat="1">
      <c r="C4340" s="16" t="str">
        <f>IFERROR(VLOOKUP(DATA!#REF!,DATA!#REF!,1,FALSE),"")</f>
        <v/>
      </c>
      <c r="D4340" s="16" t="str">
        <f>IFERROR(VLOOKUP(C4340,DATA!#REF!,2,FALSE),"")</f>
        <v/>
      </c>
    </row>
    <row r="4341" spans="3:4" s="230" customFormat="1">
      <c r="C4341" s="16" t="str">
        <f>IFERROR(VLOOKUP(DATA!#REF!,DATA!#REF!,1,FALSE),"")</f>
        <v/>
      </c>
      <c r="D4341" s="16" t="str">
        <f>IFERROR(VLOOKUP(C4341,DATA!#REF!,2,FALSE),"")</f>
        <v/>
      </c>
    </row>
    <row r="4342" spans="3:4" s="230" customFormat="1">
      <c r="C4342" s="16" t="str">
        <f>IFERROR(VLOOKUP(DATA!#REF!,DATA!#REF!,1,FALSE),"")</f>
        <v/>
      </c>
      <c r="D4342" s="16" t="str">
        <f>IFERROR(VLOOKUP(C4342,DATA!#REF!,2,FALSE),"")</f>
        <v/>
      </c>
    </row>
    <row r="4343" spans="3:4" s="230" customFormat="1">
      <c r="C4343" s="16" t="str">
        <f>IFERROR(VLOOKUP(DATA!#REF!,DATA!#REF!,1,FALSE),"")</f>
        <v/>
      </c>
      <c r="D4343" s="16" t="str">
        <f>IFERROR(VLOOKUP(C4343,DATA!#REF!,2,FALSE),"")</f>
        <v/>
      </c>
    </row>
    <row r="4344" spans="3:4" s="230" customFormat="1">
      <c r="C4344" s="16" t="str">
        <f>IFERROR(VLOOKUP(DATA!#REF!,DATA!#REF!,1,FALSE),"")</f>
        <v/>
      </c>
      <c r="D4344" s="16" t="str">
        <f>IFERROR(VLOOKUP(C4344,DATA!#REF!,2,FALSE),"")</f>
        <v/>
      </c>
    </row>
    <row r="4345" spans="3:4" s="230" customFormat="1">
      <c r="C4345" s="16" t="str">
        <f>IFERROR(VLOOKUP(DATA!#REF!,DATA!#REF!,1,FALSE),"")</f>
        <v/>
      </c>
      <c r="D4345" s="16" t="str">
        <f>IFERROR(VLOOKUP(C4345,DATA!#REF!,2,FALSE),"")</f>
        <v/>
      </c>
    </row>
    <row r="4346" spans="3:4" s="230" customFormat="1">
      <c r="C4346" s="16" t="str">
        <f>IFERROR(VLOOKUP(DATA!#REF!,DATA!#REF!,1,FALSE),"")</f>
        <v/>
      </c>
      <c r="D4346" s="16" t="str">
        <f>IFERROR(VLOOKUP(C4346,DATA!#REF!,2,FALSE),"")</f>
        <v/>
      </c>
    </row>
    <row r="4347" spans="3:4" s="230" customFormat="1">
      <c r="C4347" s="16" t="str">
        <f>IFERROR(VLOOKUP(DATA!#REF!,DATA!#REF!,1,FALSE),"")</f>
        <v/>
      </c>
      <c r="D4347" s="16" t="str">
        <f>IFERROR(VLOOKUP(C4347,DATA!#REF!,2,FALSE),"")</f>
        <v/>
      </c>
    </row>
    <row r="4348" spans="3:4" s="230" customFormat="1">
      <c r="C4348" s="16" t="str">
        <f>IFERROR(VLOOKUP(DATA!#REF!,DATA!#REF!,1,FALSE),"")</f>
        <v/>
      </c>
      <c r="D4348" s="16" t="str">
        <f>IFERROR(VLOOKUP(C4348,DATA!#REF!,2,FALSE),"")</f>
        <v/>
      </c>
    </row>
    <row r="4349" spans="3:4" s="230" customFormat="1">
      <c r="C4349" s="16" t="str">
        <f>IFERROR(VLOOKUP(DATA!#REF!,DATA!#REF!,1,FALSE),"")</f>
        <v/>
      </c>
      <c r="D4349" s="16" t="str">
        <f>IFERROR(VLOOKUP(C4349,DATA!#REF!,2,FALSE),"")</f>
        <v/>
      </c>
    </row>
    <row r="4350" spans="3:4" s="230" customFormat="1">
      <c r="C4350" s="16" t="str">
        <f>IFERROR(VLOOKUP(DATA!#REF!,DATA!#REF!,1,FALSE),"")</f>
        <v/>
      </c>
      <c r="D4350" s="16" t="str">
        <f>IFERROR(VLOOKUP(C4350,DATA!#REF!,2,FALSE),"")</f>
        <v/>
      </c>
    </row>
    <row r="4351" spans="3:4" s="230" customFormat="1">
      <c r="C4351" s="16" t="str">
        <f>IFERROR(VLOOKUP(DATA!#REF!,DATA!#REF!,1,FALSE),"")</f>
        <v/>
      </c>
      <c r="D4351" s="16" t="str">
        <f>IFERROR(VLOOKUP(C4351,DATA!#REF!,2,FALSE),"")</f>
        <v/>
      </c>
    </row>
    <row r="4352" spans="3:4" s="230" customFormat="1">
      <c r="C4352" s="16" t="str">
        <f>IFERROR(VLOOKUP(DATA!#REF!,DATA!#REF!,1,FALSE),"")</f>
        <v/>
      </c>
      <c r="D4352" s="16" t="str">
        <f>IFERROR(VLOOKUP(C4352,DATA!#REF!,2,FALSE),"")</f>
        <v/>
      </c>
    </row>
    <row r="4353" spans="3:4" s="230" customFormat="1">
      <c r="C4353" s="16" t="str">
        <f>IFERROR(VLOOKUP(DATA!#REF!,DATA!#REF!,1,FALSE),"")</f>
        <v/>
      </c>
      <c r="D4353" s="16" t="str">
        <f>IFERROR(VLOOKUP(C4353,DATA!#REF!,2,FALSE),"")</f>
        <v/>
      </c>
    </row>
    <row r="4354" spans="3:4" s="230" customFormat="1">
      <c r="C4354" s="16" t="str">
        <f>IFERROR(VLOOKUP(DATA!#REF!,DATA!#REF!,1,FALSE),"")</f>
        <v/>
      </c>
      <c r="D4354" s="16" t="str">
        <f>IFERROR(VLOOKUP(C4354,DATA!#REF!,2,FALSE),"")</f>
        <v/>
      </c>
    </row>
    <row r="4355" spans="3:4" s="230" customFormat="1">
      <c r="C4355" s="16" t="str">
        <f>IFERROR(VLOOKUP(DATA!#REF!,DATA!#REF!,1,FALSE),"")</f>
        <v/>
      </c>
      <c r="D4355" s="16" t="str">
        <f>IFERROR(VLOOKUP(C4355,DATA!#REF!,2,FALSE),"")</f>
        <v/>
      </c>
    </row>
    <row r="4356" spans="3:4" s="230" customFormat="1">
      <c r="C4356" s="16" t="str">
        <f>IFERROR(VLOOKUP(DATA!#REF!,DATA!#REF!,1,FALSE),"")</f>
        <v/>
      </c>
      <c r="D4356" s="16" t="str">
        <f>IFERROR(VLOOKUP(C4356,DATA!#REF!,2,FALSE),"")</f>
        <v/>
      </c>
    </row>
    <row r="4357" spans="3:4" s="230" customFormat="1">
      <c r="C4357" s="16" t="str">
        <f>IFERROR(VLOOKUP(DATA!#REF!,DATA!#REF!,1,FALSE),"")</f>
        <v/>
      </c>
      <c r="D4357" s="16" t="str">
        <f>IFERROR(VLOOKUP(C4357,DATA!#REF!,2,FALSE),"")</f>
        <v/>
      </c>
    </row>
    <row r="4358" spans="3:4" s="230" customFormat="1">
      <c r="C4358" s="16" t="str">
        <f>IFERROR(VLOOKUP(DATA!#REF!,DATA!#REF!,1,FALSE),"")</f>
        <v/>
      </c>
      <c r="D4358" s="16" t="str">
        <f>IFERROR(VLOOKUP(C4358,DATA!#REF!,2,FALSE),"")</f>
        <v/>
      </c>
    </row>
    <row r="4359" spans="3:4" s="230" customFormat="1">
      <c r="C4359" s="16" t="str">
        <f>IFERROR(VLOOKUP(DATA!#REF!,DATA!#REF!,1,FALSE),"")</f>
        <v/>
      </c>
      <c r="D4359" s="16" t="str">
        <f>IFERROR(VLOOKUP(C4359,DATA!#REF!,2,FALSE),"")</f>
        <v/>
      </c>
    </row>
    <row r="4360" spans="3:4" s="230" customFormat="1">
      <c r="C4360" s="16" t="str">
        <f>IFERROR(VLOOKUP(DATA!#REF!,DATA!#REF!,1,FALSE),"")</f>
        <v/>
      </c>
      <c r="D4360" s="16" t="str">
        <f>IFERROR(VLOOKUP(C4360,DATA!#REF!,2,FALSE),"")</f>
        <v/>
      </c>
    </row>
    <row r="4361" spans="3:4" s="230" customFormat="1">
      <c r="C4361" s="16" t="str">
        <f>IFERROR(VLOOKUP(DATA!#REF!,DATA!#REF!,1,FALSE),"")</f>
        <v/>
      </c>
      <c r="D4361" s="16" t="str">
        <f>IFERROR(VLOOKUP(C4361,DATA!#REF!,2,FALSE),"")</f>
        <v/>
      </c>
    </row>
    <row r="4362" spans="3:4" s="230" customFormat="1">
      <c r="C4362" s="16" t="str">
        <f>IFERROR(VLOOKUP(DATA!#REF!,DATA!#REF!,1,FALSE),"")</f>
        <v/>
      </c>
      <c r="D4362" s="16" t="str">
        <f>IFERROR(VLOOKUP(C4362,DATA!#REF!,2,FALSE),"")</f>
        <v/>
      </c>
    </row>
    <row r="4363" spans="3:4" s="230" customFormat="1">
      <c r="C4363" s="16" t="str">
        <f>IFERROR(VLOOKUP(DATA!#REF!,DATA!#REF!,1,FALSE),"")</f>
        <v/>
      </c>
      <c r="D4363" s="16" t="str">
        <f>IFERROR(VLOOKUP(C4363,DATA!#REF!,2,FALSE),"")</f>
        <v/>
      </c>
    </row>
    <row r="4364" spans="3:4" s="230" customFormat="1">
      <c r="C4364" s="16" t="str">
        <f>IFERROR(VLOOKUP(DATA!#REF!,DATA!#REF!,1,FALSE),"")</f>
        <v/>
      </c>
      <c r="D4364" s="16" t="str">
        <f>IFERROR(VLOOKUP(C4364,DATA!#REF!,2,FALSE),"")</f>
        <v/>
      </c>
    </row>
    <row r="4365" spans="3:4" s="230" customFormat="1">
      <c r="C4365" s="16" t="str">
        <f>IFERROR(VLOOKUP(DATA!#REF!,DATA!#REF!,1,FALSE),"")</f>
        <v/>
      </c>
      <c r="D4365" s="16" t="str">
        <f>IFERROR(VLOOKUP(C4365,DATA!#REF!,2,FALSE),"")</f>
        <v/>
      </c>
    </row>
    <row r="4366" spans="3:4" s="230" customFormat="1">
      <c r="C4366" s="16" t="str">
        <f>IFERROR(VLOOKUP(DATA!#REF!,DATA!#REF!,1,FALSE),"")</f>
        <v/>
      </c>
      <c r="D4366" s="16" t="str">
        <f>IFERROR(VLOOKUP(C4366,DATA!#REF!,2,FALSE),"")</f>
        <v/>
      </c>
    </row>
    <row r="4367" spans="3:4" s="230" customFormat="1">
      <c r="C4367" s="16" t="str">
        <f>IFERROR(VLOOKUP(DATA!#REF!,DATA!#REF!,1,FALSE),"")</f>
        <v/>
      </c>
      <c r="D4367" s="16" t="str">
        <f>IFERROR(VLOOKUP(C4367,DATA!#REF!,2,FALSE),"")</f>
        <v/>
      </c>
    </row>
    <row r="4368" spans="3:4" s="230" customFormat="1">
      <c r="C4368" s="16" t="str">
        <f>IFERROR(VLOOKUP(DATA!#REF!,DATA!#REF!,1,FALSE),"")</f>
        <v/>
      </c>
      <c r="D4368" s="16" t="str">
        <f>IFERROR(VLOOKUP(C4368,DATA!#REF!,2,FALSE),"")</f>
        <v/>
      </c>
    </row>
    <row r="4369" spans="3:4" s="230" customFormat="1">
      <c r="C4369" s="16" t="str">
        <f>IFERROR(VLOOKUP(DATA!#REF!,DATA!#REF!,1,FALSE),"")</f>
        <v/>
      </c>
      <c r="D4369" s="16" t="str">
        <f>IFERROR(VLOOKUP(C4369,DATA!#REF!,2,FALSE),"")</f>
        <v/>
      </c>
    </row>
    <row r="4370" spans="3:4" s="230" customFormat="1">
      <c r="C4370" s="16" t="str">
        <f>IFERROR(VLOOKUP(DATA!#REF!,DATA!#REF!,1,FALSE),"")</f>
        <v/>
      </c>
      <c r="D4370" s="16" t="str">
        <f>IFERROR(VLOOKUP(C4370,DATA!#REF!,2,FALSE),"")</f>
        <v/>
      </c>
    </row>
    <row r="4371" spans="3:4" s="230" customFormat="1">
      <c r="C4371" s="16" t="str">
        <f>IFERROR(VLOOKUP(DATA!#REF!,DATA!#REF!,1,FALSE),"")</f>
        <v/>
      </c>
      <c r="D4371" s="16" t="str">
        <f>IFERROR(VLOOKUP(C4371,DATA!#REF!,2,FALSE),"")</f>
        <v/>
      </c>
    </row>
    <row r="4372" spans="3:4" s="230" customFormat="1">
      <c r="C4372" s="16" t="str">
        <f>IFERROR(VLOOKUP(DATA!#REF!,DATA!#REF!,1,FALSE),"")</f>
        <v/>
      </c>
      <c r="D4372" s="16" t="str">
        <f>IFERROR(VLOOKUP(C4372,DATA!#REF!,2,FALSE),"")</f>
        <v/>
      </c>
    </row>
    <row r="4373" spans="3:4" s="230" customFormat="1">
      <c r="C4373" s="16" t="str">
        <f>IFERROR(VLOOKUP(DATA!#REF!,DATA!#REF!,1,FALSE),"")</f>
        <v/>
      </c>
      <c r="D4373" s="16" t="str">
        <f>IFERROR(VLOOKUP(C4373,DATA!#REF!,2,FALSE),"")</f>
        <v/>
      </c>
    </row>
    <row r="4374" spans="3:4" s="230" customFormat="1">
      <c r="C4374" s="16" t="str">
        <f>IFERROR(VLOOKUP(DATA!#REF!,DATA!#REF!,1,FALSE),"")</f>
        <v/>
      </c>
      <c r="D4374" s="16" t="str">
        <f>IFERROR(VLOOKUP(C4374,DATA!#REF!,2,FALSE),"")</f>
        <v/>
      </c>
    </row>
    <row r="4375" spans="3:4" s="230" customFormat="1">
      <c r="C4375" s="16" t="str">
        <f>IFERROR(VLOOKUP(DATA!#REF!,DATA!#REF!,1,FALSE),"")</f>
        <v/>
      </c>
      <c r="D4375" s="16" t="str">
        <f>IFERROR(VLOOKUP(C4375,DATA!#REF!,2,FALSE),"")</f>
        <v/>
      </c>
    </row>
    <row r="4376" spans="3:4" s="230" customFormat="1">
      <c r="C4376" s="16" t="str">
        <f>IFERROR(VLOOKUP(DATA!#REF!,DATA!#REF!,1,FALSE),"")</f>
        <v/>
      </c>
      <c r="D4376" s="16" t="str">
        <f>IFERROR(VLOOKUP(C4376,DATA!#REF!,2,FALSE),"")</f>
        <v/>
      </c>
    </row>
    <row r="4377" spans="3:4" s="230" customFormat="1">
      <c r="C4377" s="16" t="str">
        <f>IFERROR(VLOOKUP(DATA!#REF!,DATA!#REF!,1,FALSE),"")</f>
        <v/>
      </c>
      <c r="D4377" s="16" t="str">
        <f>IFERROR(VLOOKUP(C4377,DATA!#REF!,2,FALSE),"")</f>
        <v/>
      </c>
    </row>
    <row r="4378" spans="3:4" s="230" customFormat="1">
      <c r="C4378" s="16" t="str">
        <f>IFERROR(VLOOKUP(DATA!#REF!,DATA!#REF!,1,FALSE),"")</f>
        <v/>
      </c>
      <c r="D4378" s="16" t="str">
        <f>IFERROR(VLOOKUP(C4378,DATA!#REF!,2,FALSE),"")</f>
        <v/>
      </c>
    </row>
    <row r="4379" spans="3:4" s="230" customFormat="1">
      <c r="C4379" s="16" t="str">
        <f>IFERROR(VLOOKUP(DATA!#REF!,DATA!#REF!,1,FALSE),"")</f>
        <v/>
      </c>
      <c r="D4379" s="16" t="str">
        <f>IFERROR(VLOOKUP(C4379,DATA!#REF!,2,FALSE),"")</f>
        <v/>
      </c>
    </row>
    <row r="4380" spans="3:4" s="230" customFormat="1">
      <c r="C4380" s="16" t="str">
        <f>IFERROR(VLOOKUP(DATA!#REF!,DATA!#REF!,1,FALSE),"")</f>
        <v/>
      </c>
      <c r="D4380" s="16" t="str">
        <f>IFERROR(VLOOKUP(C4380,DATA!#REF!,2,FALSE),"")</f>
        <v/>
      </c>
    </row>
    <row r="4381" spans="3:4" s="230" customFormat="1">
      <c r="C4381" s="16" t="str">
        <f>IFERROR(VLOOKUP(DATA!#REF!,DATA!#REF!,1,FALSE),"")</f>
        <v/>
      </c>
      <c r="D4381" s="16" t="str">
        <f>IFERROR(VLOOKUP(C4381,DATA!#REF!,2,FALSE),"")</f>
        <v/>
      </c>
    </row>
    <row r="4382" spans="3:4" s="230" customFormat="1">
      <c r="C4382" s="16" t="str">
        <f>IFERROR(VLOOKUP(DATA!#REF!,DATA!#REF!,1,FALSE),"")</f>
        <v/>
      </c>
      <c r="D4382" s="16" t="str">
        <f>IFERROR(VLOOKUP(C4382,DATA!#REF!,2,FALSE),"")</f>
        <v/>
      </c>
    </row>
    <row r="4383" spans="3:4" s="230" customFormat="1">
      <c r="C4383" s="16" t="str">
        <f>IFERROR(VLOOKUP(DATA!#REF!,DATA!#REF!,1,FALSE),"")</f>
        <v/>
      </c>
      <c r="D4383" s="16" t="str">
        <f>IFERROR(VLOOKUP(C4383,DATA!#REF!,2,FALSE),"")</f>
        <v/>
      </c>
    </row>
    <row r="4384" spans="3:4" s="230" customFormat="1">
      <c r="C4384" s="16" t="str">
        <f>IFERROR(VLOOKUP(DATA!#REF!,DATA!#REF!,1,FALSE),"")</f>
        <v/>
      </c>
      <c r="D4384" s="16" t="str">
        <f>IFERROR(VLOOKUP(C4384,DATA!#REF!,2,FALSE),"")</f>
        <v/>
      </c>
    </row>
    <row r="4385" spans="3:4" s="230" customFormat="1">
      <c r="C4385" s="16" t="str">
        <f>IFERROR(VLOOKUP(DATA!#REF!,DATA!#REF!,1,FALSE),"")</f>
        <v/>
      </c>
      <c r="D4385" s="16" t="str">
        <f>IFERROR(VLOOKUP(C4385,DATA!#REF!,2,FALSE),"")</f>
        <v/>
      </c>
    </row>
    <row r="4386" spans="3:4" s="230" customFormat="1">
      <c r="C4386" s="16" t="str">
        <f>IFERROR(VLOOKUP(DATA!#REF!,DATA!#REF!,1,FALSE),"")</f>
        <v/>
      </c>
      <c r="D4386" s="16" t="str">
        <f>IFERROR(VLOOKUP(C4386,DATA!#REF!,2,FALSE),"")</f>
        <v/>
      </c>
    </row>
    <row r="4387" spans="3:4" s="230" customFormat="1">
      <c r="C4387" s="16" t="str">
        <f>IFERROR(VLOOKUP(DATA!#REF!,DATA!#REF!,1,FALSE),"")</f>
        <v/>
      </c>
      <c r="D4387" s="16" t="str">
        <f>IFERROR(VLOOKUP(C4387,DATA!#REF!,2,FALSE),"")</f>
        <v/>
      </c>
    </row>
    <row r="4388" spans="3:4" s="230" customFormat="1">
      <c r="C4388" s="16" t="str">
        <f>IFERROR(VLOOKUP(DATA!#REF!,DATA!#REF!,1,FALSE),"")</f>
        <v/>
      </c>
      <c r="D4388" s="16" t="str">
        <f>IFERROR(VLOOKUP(C4388,DATA!#REF!,2,FALSE),"")</f>
        <v/>
      </c>
    </row>
    <row r="4389" spans="3:4" s="230" customFormat="1">
      <c r="C4389" s="16" t="str">
        <f>IFERROR(VLOOKUP(DATA!#REF!,DATA!#REF!,1,FALSE),"")</f>
        <v/>
      </c>
      <c r="D4389" s="16" t="str">
        <f>IFERROR(VLOOKUP(C4389,DATA!#REF!,2,FALSE),"")</f>
        <v/>
      </c>
    </row>
    <row r="4390" spans="3:4" s="230" customFormat="1">
      <c r="C4390" s="16" t="str">
        <f>IFERROR(VLOOKUP(DATA!#REF!,DATA!#REF!,1,FALSE),"")</f>
        <v/>
      </c>
      <c r="D4390" s="16" t="str">
        <f>IFERROR(VLOOKUP(C4390,DATA!#REF!,2,FALSE),"")</f>
        <v/>
      </c>
    </row>
    <row r="4391" spans="3:4" s="230" customFormat="1">
      <c r="C4391" s="16" t="str">
        <f>IFERROR(VLOOKUP(DATA!#REF!,DATA!#REF!,1,FALSE),"")</f>
        <v/>
      </c>
      <c r="D4391" s="16" t="str">
        <f>IFERROR(VLOOKUP(C4391,DATA!#REF!,2,FALSE),"")</f>
        <v/>
      </c>
    </row>
    <row r="4392" spans="3:4" s="230" customFormat="1">
      <c r="C4392" s="16" t="str">
        <f>IFERROR(VLOOKUP(DATA!#REF!,DATA!#REF!,1,FALSE),"")</f>
        <v/>
      </c>
      <c r="D4392" s="16" t="str">
        <f>IFERROR(VLOOKUP(C4392,DATA!#REF!,2,FALSE),"")</f>
        <v/>
      </c>
    </row>
    <row r="4393" spans="3:4" s="230" customFormat="1">
      <c r="C4393" s="16" t="str">
        <f>IFERROR(VLOOKUP(DATA!#REF!,DATA!#REF!,1,FALSE),"")</f>
        <v/>
      </c>
      <c r="D4393" s="16" t="str">
        <f>IFERROR(VLOOKUP(C4393,DATA!#REF!,2,FALSE),"")</f>
        <v/>
      </c>
    </row>
    <row r="4394" spans="3:4" s="230" customFormat="1">
      <c r="C4394" s="16" t="str">
        <f>IFERROR(VLOOKUP(DATA!#REF!,DATA!#REF!,1,FALSE),"")</f>
        <v/>
      </c>
      <c r="D4394" s="16" t="str">
        <f>IFERROR(VLOOKUP(C4394,DATA!#REF!,2,FALSE),"")</f>
        <v/>
      </c>
    </row>
    <row r="4395" spans="3:4" s="230" customFormat="1">
      <c r="C4395" s="16" t="str">
        <f>IFERROR(VLOOKUP(DATA!#REF!,DATA!#REF!,1,FALSE),"")</f>
        <v/>
      </c>
      <c r="D4395" s="16" t="str">
        <f>IFERROR(VLOOKUP(C4395,DATA!#REF!,2,FALSE),"")</f>
        <v/>
      </c>
    </row>
    <row r="4396" spans="3:4" s="230" customFormat="1">
      <c r="C4396" s="16" t="str">
        <f>IFERROR(VLOOKUP(DATA!#REF!,DATA!#REF!,1,FALSE),"")</f>
        <v/>
      </c>
      <c r="D4396" s="16" t="str">
        <f>IFERROR(VLOOKUP(C4396,DATA!#REF!,2,FALSE),"")</f>
        <v/>
      </c>
    </row>
    <row r="4397" spans="3:4" s="230" customFormat="1">
      <c r="C4397" s="16" t="str">
        <f>IFERROR(VLOOKUP(DATA!#REF!,DATA!#REF!,1,FALSE),"")</f>
        <v/>
      </c>
      <c r="D4397" s="16" t="str">
        <f>IFERROR(VLOOKUP(C4397,DATA!#REF!,2,FALSE),"")</f>
        <v/>
      </c>
    </row>
    <row r="4398" spans="3:4" s="230" customFormat="1">
      <c r="C4398" s="16" t="str">
        <f>IFERROR(VLOOKUP(DATA!#REF!,DATA!#REF!,1,FALSE),"")</f>
        <v/>
      </c>
      <c r="D4398" s="16" t="str">
        <f>IFERROR(VLOOKUP(C4398,DATA!#REF!,2,FALSE),"")</f>
        <v/>
      </c>
    </row>
    <row r="4399" spans="3:4" s="230" customFormat="1">
      <c r="C4399" s="16" t="str">
        <f>IFERROR(VLOOKUP(DATA!#REF!,DATA!#REF!,1,FALSE),"")</f>
        <v/>
      </c>
      <c r="D4399" s="16" t="str">
        <f>IFERROR(VLOOKUP(C4399,DATA!#REF!,2,FALSE),"")</f>
        <v/>
      </c>
    </row>
    <row r="4400" spans="3:4" s="230" customFormat="1">
      <c r="C4400" s="16" t="str">
        <f>IFERROR(VLOOKUP(DATA!#REF!,DATA!#REF!,1,FALSE),"")</f>
        <v/>
      </c>
      <c r="D4400" s="16" t="str">
        <f>IFERROR(VLOOKUP(C4400,DATA!#REF!,2,FALSE),"")</f>
        <v/>
      </c>
    </row>
    <row r="4401" spans="3:4" s="230" customFormat="1">
      <c r="C4401" s="16" t="str">
        <f>IFERROR(VLOOKUP(DATA!#REF!,DATA!#REF!,1,FALSE),"")</f>
        <v/>
      </c>
      <c r="D4401" s="16" t="str">
        <f>IFERROR(VLOOKUP(C4401,DATA!#REF!,2,FALSE),"")</f>
        <v/>
      </c>
    </row>
    <row r="4402" spans="3:4" s="230" customFormat="1">
      <c r="C4402" s="16" t="str">
        <f>IFERROR(VLOOKUP(DATA!#REF!,DATA!#REF!,1,FALSE),"")</f>
        <v/>
      </c>
      <c r="D4402" s="16" t="str">
        <f>IFERROR(VLOOKUP(C4402,DATA!#REF!,2,FALSE),"")</f>
        <v/>
      </c>
    </row>
    <row r="4403" spans="3:4" s="230" customFormat="1">
      <c r="C4403" s="16" t="str">
        <f>IFERROR(VLOOKUP(DATA!#REF!,DATA!#REF!,1,FALSE),"")</f>
        <v/>
      </c>
      <c r="D4403" s="16" t="str">
        <f>IFERROR(VLOOKUP(C4403,DATA!#REF!,2,FALSE),"")</f>
        <v/>
      </c>
    </row>
    <row r="4404" spans="3:4" s="230" customFormat="1">
      <c r="C4404" s="16" t="str">
        <f>IFERROR(VLOOKUP(DATA!#REF!,DATA!#REF!,1,FALSE),"")</f>
        <v/>
      </c>
      <c r="D4404" s="16" t="str">
        <f>IFERROR(VLOOKUP(C4404,DATA!#REF!,2,FALSE),"")</f>
        <v/>
      </c>
    </row>
    <row r="4405" spans="3:4" s="230" customFormat="1">
      <c r="C4405" s="16" t="str">
        <f>IFERROR(VLOOKUP(DATA!#REF!,DATA!#REF!,1,FALSE),"")</f>
        <v/>
      </c>
      <c r="D4405" s="16" t="str">
        <f>IFERROR(VLOOKUP(C4405,DATA!#REF!,2,FALSE),"")</f>
        <v/>
      </c>
    </row>
    <row r="4406" spans="3:4" s="230" customFormat="1">
      <c r="C4406" s="16" t="str">
        <f>IFERROR(VLOOKUP(DATA!#REF!,DATA!#REF!,1,FALSE),"")</f>
        <v/>
      </c>
      <c r="D4406" s="16" t="str">
        <f>IFERROR(VLOOKUP(C4406,DATA!#REF!,2,FALSE),"")</f>
        <v/>
      </c>
    </row>
    <row r="4407" spans="3:4" s="230" customFormat="1">
      <c r="C4407" s="16" t="str">
        <f>IFERROR(VLOOKUP(DATA!#REF!,DATA!#REF!,1,FALSE),"")</f>
        <v/>
      </c>
      <c r="D4407" s="16" t="str">
        <f>IFERROR(VLOOKUP(C4407,DATA!#REF!,2,FALSE),"")</f>
        <v/>
      </c>
    </row>
    <row r="4408" spans="3:4" s="230" customFormat="1">
      <c r="C4408" s="16" t="str">
        <f>IFERROR(VLOOKUP(DATA!#REF!,DATA!#REF!,1,FALSE),"")</f>
        <v/>
      </c>
      <c r="D4408" s="16" t="str">
        <f>IFERROR(VLOOKUP(C4408,DATA!#REF!,2,FALSE),"")</f>
        <v/>
      </c>
    </row>
    <row r="4409" spans="3:4" s="230" customFormat="1">
      <c r="C4409" s="16" t="str">
        <f>IFERROR(VLOOKUP(DATA!#REF!,DATA!#REF!,1,FALSE),"")</f>
        <v/>
      </c>
      <c r="D4409" s="16" t="str">
        <f>IFERROR(VLOOKUP(C4409,DATA!#REF!,2,FALSE),"")</f>
        <v/>
      </c>
    </row>
    <row r="4410" spans="3:4" s="230" customFormat="1">
      <c r="C4410" s="16" t="str">
        <f>IFERROR(VLOOKUP(DATA!#REF!,DATA!#REF!,1,FALSE),"")</f>
        <v/>
      </c>
      <c r="D4410" s="16" t="str">
        <f>IFERROR(VLOOKUP(C4410,DATA!#REF!,2,FALSE),"")</f>
        <v/>
      </c>
    </row>
    <row r="4411" spans="3:4" s="230" customFormat="1">
      <c r="C4411" s="16" t="str">
        <f>IFERROR(VLOOKUP(DATA!#REF!,DATA!#REF!,1,FALSE),"")</f>
        <v/>
      </c>
      <c r="D4411" s="16" t="str">
        <f>IFERROR(VLOOKUP(C4411,DATA!#REF!,2,FALSE),"")</f>
        <v/>
      </c>
    </row>
    <row r="4412" spans="3:4" s="230" customFormat="1">
      <c r="C4412" s="16" t="str">
        <f>IFERROR(VLOOKUP(DATA!#REF!,DATA!#REF!,1,FALSE),"")</f>
        <v/>
      </c>
      <c r="D4412" s="16" t="str">
        <f>IFERROR(VLOOKUP(C4412,DATA!#REF!,2,FALSE),"")</f>
        <v/>
      </c>
    </row>
    <row r="4413" spans="3:4" s="230" customFormat="1">
      <c r="C4413" s="16" t="str">
        <f>IFERROR(VLOOKUP(DATA!#REF!,DATA!#REF!,1,FALSE),"")</f>
        <v/>
      </c>
      <c r="D4413" s="16" t="str">
        <f>IFERROR(VLOOKUP(C4413,DATA!#REF!,2,FALSE),"")</f>
        <v/>
      </c>
    </row>
    <row r="4414" spans="3:4" s="230" customFormat="1">
      <c r="C4414" s="16" t="str">
        <f>IFERROR(VLOOKUP(DATA!#REF!,DATA!#REF!,1,FALSE),"")</f>
        <v/>
      </c>
      <c r="D4414" s="16" t="str">
        <f>IFERROR(VLOOKUP(C4414,DATA!#REF!,2,FALSE),"")</f>
        <v/>
      </c>
    </row>
    <row r="4415" spans="3:4" s="230" customFormat="1">
      <c r="C4415" s="16" t="str">
        <f>IFERROR(VLOOKUP(DATA!#REF!,DATA!#REF!,1,FALSE),"")</f>
        <v/>
      </c>
      <c r="D4415" s="16" t="str">
        <f>IFERROR(VLOOKUP(C4415,DATA!#REF!,2,FALSE),"")</f>
        <v/>
      </c>
    </row>
    <row r="4416" spans="3:4" s="230" customFormat="1">
      <c r="C4416" s="16" t="str">
        <f>IFERROR(VLOOKUP(DATA!#REF!,DATA!#REF!,1,FALSE),"")</f>
        <v/>
      </c>
      <c r="D4416" s="16" t="str">
        <f>IFERROR(VLOOKUP(C4416,DATA!#REF!,2,FALSE),"")</f>
        <v/>
      </c>
    </row>
    <row r="4417" spans="3:4" s="230" customFormat="1">
      <c r="C4417" s="16" t="str">
        <f>IFERROR(VLOOKUP(DATA!#REF!,DATA!#REF!,1,FALSE),"")</f>
        <v/>
      </c>
      <c r="D4417" s="16" t="str">
        <f>IFERROR(VLOOKUP(C4417,DATA!#REF!,2,FALSE),"")</f>
        <v/>
      </c>
    </row>
    <row r="4418" spans="3:4" s="230" customFormat="1">
      <c r="C4418" s="16" t="str">
        <f>IFERROR(VLOOKUP(DATA!#REF!,DATA!#REF!,1,FALSE),"")</f>
        <v/>
      </c>
      <c r="D4418" s="16" t="str">
        <f>IFERROR(VLOOKUP(C4418,DATA!#REF!,2,FALSE),"")</f>
        <v/>
      </c>
    </row>
    <row r="4419" spans="3:4" s="230" customFormat="1">
      <c r="C4419" s="16" t="str">
        <f>IFERROR(VLOOKUP(DATA!#REF!,DATA!#REF!,1,FALSE),"")</f>
        <v/>
      </c>
      <c r="D4419" s="16" t="str">
        <f>IFERROR(VLOOKUP(C4419,DATA!#REF!,2,FALSE),"")</f>
        <v/>
      </c>
    </row>
    <row r="4420" spans="3:4" s="230" customFormat="1">
      <c r="C4420" s="16" t="str">
        <f>IFERROR(VLOOKUP(DATA!#REF!,DATA!#REF!,1,FALSE),"")</f>
        <v/>
      </c>
      <c r="D4420" s="16" t="str">
        <f>IFERROR(VLOOKUP(C4420,DATA!#REF!,2,FALSE),"")</f>
        <v/>
      </c>
    </row>
    <row r="4421" spans="3:4" s="230" customFormat="1">
      <c r="C4421" s="16" t="str">
        <f>IFERROR(VLOOKUP(DATA!#REF!,DATA!#REF!,1,FALSE),"")</f>
        <v/>
      </c>
      <c r="D4421" s="16" t="str">
        <f>IFERROR(VLOOKUP(C4421,DATA!#REF!,2,FALSE),"")</f>
        <v/>
      </c>
    </row>
    <row r="4422" spans="3:4" s="230" customFormat="1">
      <c r="C4422" s="16" t="str">
        <f>IFERROR(VLOOKUP(DATA!#REF!,DATA!#REF!,1,FALSE),"")</f>
        <v/>
      </c>
      <c r="D4422" s="16" t="str">
        <f>IFERROR(VLOOKUP(C4422,DATA!#REF!,2,FALSE),"")</f>
        <v/>
      </c>
    </row>
    <row r="4423" spans="3:4" s="230" customFormat="1">
      <c r="C4423" s="16" t="str">
        <f>IFERROR(VLOOKUP(DATA!#REF!,DATA!#REF!,1,FALSE),"")</f>
        <v/>
      </c>
      <c r="D4423" s="16" t="str">
        <f>IFERROR(VLOOKUP(C4423,DATA!#REF!,2,FALSE),"")</f>
        <v/>
      </c>
    </row>
    <row r="4424" spans="3:4" s="230" customFormat="1">
      <c r="C4424" s="16" t="str">
        <f>IFERROR(VLOOKUP(DATA!#REF!,DATA!#REF!,1,FALSE),"")</f>
        <v/>
      </c>
      <c r="D4424" s="16" t="str">
        <f>IFERROR(VLOOKUP(C4424,DATA!#REF!,2,FALSE),"")</f>
        <v/>
      </c>
    </row>
    <row r="4425" spans="3:4" s="230" customFormat="1">
      <c r="C4425" s="16" t="str">
        <f>IFERROR(VLOOKUP(DATA!#REF!,DATA!#REF!,1,FALSE),"")</f>
        <v/>
      </c>
      <c r="D4425" s="16" t="str">
        <f>IFERROR(VLOOKUP(C4425,DATA!#REF!,2,FALSE),"")</f>
        <v/>
      </c>
    </row>
    <row r="4426" spans="3:4" s="230" customFormat="1">
      <c r="C4426" s="16" t="str">
        <f>IFERROR(VLOOKUP(DATA!#REF!,DATA!#REF!,1,FALSE),"")</f>
        <v/>
      </c>
      <c r="D4426" s="16" t="str">
        <f>IFERROR(VLOOKUP(C4426,DATA!#REF!,2,FALSE),"")</f>
        <v/>
      </c>
    </row>
    <row r="4427" spans="3:4" s="230" customFormat="1">
      <c r="C4427" s="16" t="str">
        <f>IFERROR(VLOOKUP(DATA!#REF!,DATA!#REF!,1,FALSE),"")</f>
        <v/>
      </c>
      <c r="D4427" s="16" t="str">
        <f>IFERROR(VLOOKUP(C4427,DATA!#REF!,2,FALSE),"")</f>
        <v/>
      </c>
    </row>
    <row r="4428" spans="3:4" s="230" customFormat="1">
      <c r="C4428" s="16" t="str">
        <f>IFERROR(VLOOKUP(DATA!#REF!,DATA!#REF!,1,FALSE),"")</f>
        <v/>
      </c>
      <c r="D4428" s="16" t="str">
        <f>IFERROR(VLOOKUP(C4428,DATA!#REF!,2,FALSE),"")</f>
        <v/>
      </c>
    </row>
    <row r="4429" spans="3:4" s="230" customFormat="1">
      <c r="C4429" s="16" t="str">
        <f>IFERROR(VLOOKUP(DATA!#REF!,DATA!#REF!,1,FALSE),"")</f>
        <v/>
      </c>
      <c r="D4429" s="16" t="str">
        <f>IFERROR(VLOOKUP(C4429,DATA!#REF!,2,FALSE),"")</f>
        <v/>
      </c>
    </row>
    <row r="4430" spans="3:4" s="230" customFormat="1">
      <c r="C4430" s="16" t="str">
        <f>IFERROR(VLOOKUP(DATA!#REF!,DATA!#REF!,1,FALSE),"")</f>
        <v/>
      </c>
      <c r="D4430" s="16" t="str">
        <f>IFERROR(VLOOKUP(C4430,DATA!#REF!,2,FALSE),"")</f>
        <v/>
      </c>
    </row>
    <row r="4431" spans="3:4" s="230" customFormat="1">
      <c r="C4431" s="16" t="str">
        <f>IFERROR(VLOOKUP(DATA!#REF!,DATA!#REF!,1,FALSE),"")</f>
        <v/>
      </c>
      <c r="D4431" s="16" t="str">
        <f>IFERROR(VLOOKUP(C4431,DATA!#REF!,2,FALSE),"")</f>
        <v/>
      </c>
    </row>
    <row r="4432" spans="3:4" s="230" customFormat="1">
      <c r="C4432" s="16" t="str">
        <f>IFERROR(VLOOKUP(DATA!#REF!,DATA!#REF!,1,FALSE),"")</f>
        <v/>
      </c>
      <c r="D4432" s="16" t="str">
        <f>IFERROR(VLOOKUP(C4432,DATA!#REF!,2,FALSE),"")</f>
        <v/>
      </c>
    </row>
    <row r="4433" spans="3:4" s="230" customFormat="1">
      <c r="C4433" s="16" t="str">
        <f>IFERROR(VLOOKUP(DATA!#REF!,DATA!#REF!,1,FALSE),"")</f>
        <v/>
      </c>
      <c r="D4433" s="16" t="str">
        <f>IFERROR(VLOOKUP(C4433,DATA!#REF!,2,FALSE),"")</f>
        <v/>
      </c>
    </row>
    <row r="4434" spans="3:4" s="230" customFormat="1">
      <c r="C4434" s="16" t="str">
        <f>IFERROR(VLOOKUP(DATA!#REF!,DATA!#REF!,1,FALSE),"")</f>
        <v/>
      </c>
      <c r="D4434" s="16" t="str">
        <f>IFERROR(VLOOKUP(C4434,DATA!#REF!,2,FALSE),"")</f>
        <v/>
      </c>
    </row>
    <row r="4435" spans="3:4" s="230" customFormat="1">
      <c r="C4435" s="16" t="str">
        <f>IFERROR(VLOOKUP(DATA!#REF!,DATA!#REF!,1,FALSE),"")</f>
        <v/>
      </c>
      <c r="D4435" s="16" t="str">
        <f>IFERROR(VLOOKUP(C4435,DATA!#REF!,2,FALSE),"")</f>
        <v/>
      </c>
    </row>
    <row r="4436" spans="3:4" s="230" customFormat="1">
      <c r="C4436" s="16" t="str">
        <f>IFERROR(VLOOKUP(DATA!#REF!,DATA!#REF!,1,FALSE),"")</f>
        <v/>
      </c>
      <c r="D4436" s="16" t="str">
        <f>IFERROR(VLOOKUP(C4436,DATA!#REF!,2,FALSE),"")</f>
        <v/>
      </c>
    </row>
    <row r="4437" spans="3:4" s="230" customFormat="1">
      <c r="C4437" s="16" t="str">
        <f>IFERROR(VLOOKUP(DATA!#REF!,DATA!#REF!,1,FALSE),"")</f>
        <v/>
      </c>
      <c r="D4437" s="16" t="str">
        <f>IFERROR(VLOOKUP(C4437,DATA!#REF!,2,FALSE),"")</f>
        <v/>
      </c>
    </row>
    <row r="4438" spans="3:4" s="230" customFormat="1">
      <c r="C4438" s="16" t="str">
        <f>IFERROR(VLOOKUP(DATA!#REF!,DATA!#REF!,1,FALSE),"")</f>
        <v/>
      </c>
      <c r="D4438" s="16" t="str">
        <f>IFERROR(VLOOKUP(C4438,DATA!#REF!,2,FALSE),"")</f>
        <v/>
      </c>
    </row>
    <row r="4439" spans="3:4" s="230" customFormat="1">
      <c r="C4439" s="16" t="str">
        <f>IFERROR(VLOOKUP(DATA!#REF!,DATA!#REF!,1,FALSE),"")</f>
        <v/>
      </c>
      <c r="D4439" s="16" t="str">
        <f>IFERROR(VLOOKUP(C4439,DATA!#REF!,2,FALSE),"")</f>
        <v/>
      </c>
    </row>
    <row r="4440" spans="3:4" s="230" customFormat="1">
      <c r="C4440" s="16" t="str">
        <f>IFERROR(VLOOKUP(DATA!#REF!,DATA!#REF!,1,FALSE),"")</f>
        <v/>
      </c>
      <c r="D4440" s="16" t="str">
        <f>IFERROR(VLOOKUP(C4440,DATA!#REF!,2,FALSE),"")</f>
        <v/>
      </c>
    </row>
    <row r="4441" spans="3:4" s="230" customFormat="1">
      <c r="C4441" s="16" t="str">
        <f>IFERROR(VLOOKUP(DATA!#REF!,DATA!#REF!,1,FALSE),"")</f>
        <v/>
      </c>
      <c r="D4441" s="16" t="str">
        <f>IFERROR(VLOOKUP(C4441,DATA!#REF!,2,FALSE),"")</f>
        <v/>
      </c>
    </row>
    <row r="4442" spans="3:4" s="230" customFormat="1">
      <c r="C4442" s="16" t="str">
        <f>IFERROR(VLOOKUP(DATA!#REF!,DATA!#REF!,1,FALSE),"")</f>
        <v/>
      </c>
      <c r="D4442" s="16" t="str">
        <f>IFERROR(VLOOKUP(C4442,DATA!#REF!,2,FALSE),"")</f>
        <v/>
      </c>
    </row>
    <row r="4443" spans="3:4" s="230" customFormat="1">
      <c r="C4443" s="16" t="str">
        <f>IFERROR(VLOOKUP(DATA!#REF!,DATA!#REF!,1,FALSE),"")</f>
        <v/>
      </c>
      <c r="D4443" s="16" t="str">
        <f>IFERROR(VLOOKUP(C4443,DATA!#REF!,2,FALSE),"")</f>
        <v/>
      </c>
    </row>
    <row r="4444" spans="3:4" s="230" customFormat="1">
      <c r="C4444" s="16" t="str">
        <f>IFERROR(VLOOKUP(DATA!#REF!,DATA!#REF!,1,FALSE),"")</f>
        <v/>
      </c>
      <c r="D4444" s="16" t="str">
        <f>IFERROR(VLOOKUP(C4444,DATA!#REF!,2,FALSE),"")</f>
        <v/>
      </c>
    </row>
    <row r="4445" spans="3:4" s="230" customFormat="1">
      <c r="C4445" s="16" t="str">
        <f>IFERROR(VLOOKUP(DATA!#REF!,DATA!#REF!,1,FALSE),"")</f>
        <v/>
      </c>
      <c r="D4445" s="16" t="str">
        <f>IFERROR(VLOOKUP(C4445,DATA!#REF!,2,FALSE),"")</f>
        <v/>
      </c>
    </row>
    <row r="4446" spans="3:4" s="230" customFormat="1">
      <c r="C4446" s="16" t="str">
        <f>IFERROR(VLOOKUP(DATA!#REF!,DATA!#REF!,1,FALSE),"")</f>
        <v/>
      </c>
      <c r="D4446" s="16" t="str">
        <f>IFERROR(VLOOKUP(C4446,DATA!#REF!,2,FALSE),"")</f>
        <v/>
      </c>
    </row>
    <row r="4447" spans="3:4" s="230" customFormat="1">
      <c r="C4447" s="16" t="str">
        <f>IFERROR(VLOOKUP(DATA!#REF!,DATA!#REF!,1,FALSE),"")</f>
        <v/>
      </c>
      <c r="D4447" s="16" t="str">
        <f>IFERROR(VLOOKUP(C4447,DATA!#REF!,2,FALSE),"")</f>
        <v/>
      </c>
    </row>
    <row r="4448" spans="3:4" s="230" customFormat="1">
      <c r="C4448" s="16" t="str">
        <f>IFERROR(VLOOKUP(DATA!#REF!,DATA!#REF!,1,FALSE),"")</f>
        <v/>
      </c>
      <c r="D4448" s="16" t="str">
        <f>IFERROR(VLOOKUP(C4448,DATA!#REF!,2,FALSE),"")</f>
        <v/>
      </c>
    </row>
    <row r="4449" spans="3:4" s="230" customFormat="1">
      <c r="C4449" s="16" t="str">
        <f>IFERROR(VLOOKUP(DATA!#REF!,DATA!#REF!,1,FALSE),"")</f>
        <v/>
      </c>
      <c r="D4449" s="16" t="str">
        <f>IFERROR(VLOOKUP(C4449,DATA!#REF!,2,FALSE),"")</f>
        <v/>
      </c>
    </row>
    <row r="4450" spans="3:4" s="230" customFormat="1">
      <c r="C4450" s="16" t="str">
        <f>IFERROR(VLOOKUP(DATA!#REF!,DATA!#REF!,1,FALSE),"")</f>
        <v/>
      </c>
      <c r="D4450" s="16" t="str">
        <f>IFERROR(VLOOKUP(C4450,DATA!#REF!,2,FALSE),"")</f>
        <v/>
      </c>
    </row>
    <row r="4451" spans="3:4" s="230" customFormat="1">
      <c r="C4451" s="16" t="str">
        <f>IFERROR(VLOOKUP(DATA!#REF!,DATA!#REF!,1,FALSE),"")</f>
        <v/>
      </c>
      <c r="D4451" s="16" t="str">
        <f>IFERROR(VLOOKUP(C4451,DATA!#REF!,2,FALSE),"")</f>
        <v/>
      </c>
    </row>
    <row r="4452" spans="3:4" s="230" customFormat="1">
      <c r="C4452" s="16" t="str">
        <f>IFERROR(VLOOKUP(DATA!#REF!,DATA!#REF!,1,FALSE),"")</f>
        <v/>
      </c>
      <c r="D4452" s="16" t="str">
        <f>IFERROR(VLOOKUP(C4452,DATA!#REF!,2,FALSE),"")</f>
        <v/>
      </c>
    </row>
    <row r="4453" spans="3:4" s="230" customFormat="1">
      <c r="C4453" s="16" t="str">
        <f>IFERROR(VLOOKUP(DATA!#REF!,DATA!#REF!,1,FALSE),"")</f>
        <v/>
      </c>
      <c r="D4453" s="16" t="str">
        <f>IFERROR(VLOOKUP(C4453,DATA!#REF!,2,FALSE),"")</f>
        <v/>
      </c>
    </row>
    <row r="4454" spans="3:4" s="230" customFormat="1">
      <c r="C4454" s="16" t="str">
        <f>IFERROR(VLOOKUP(DATA!#REF!,DATA!#REF!,1,FALSE),"")</f>
        <v/>
      </c>
      <c r="D4454" s="16" t="str">
        <f>IFERROR(VLOOKUP(C4454,DATA!#REF!,2,FALSE),"")</f>
        <v/>
      </c>
    </row>
    <row r="4455" spans="3:4" s="230" customFormat="1">
      <c r="C4455" s="16" t="str">
        <f>IFERROR(VLOOKUP(DATA!#REF!,DATA!#REF!,1,FALSE),"")</f>
        <v/>
      </c>
      <c r="D4455" s="16" t="str">
        <f>IFERROR(VLOOKUP(C4455,DATA!#REF!,2,FALSE),"")</f>
        <v/>
      </c>
    </row>
    <row r="4456" spans="3:4" s="230" customFormat="1">
      <c r="C4456" s="16" t="str">
        <f>IFERROR(VLOOKUP(DATA!#REF!,DATA!#REF!,1,FALSE),"")</f>
        <v/>
      </c>
      <c r="D4456" s="16" t="str">
        <f>IFERROR(VLOOKUP(C4456,DATA!#REF!,2,FALSE),"")</f>
        <v/>
      </c>
    </row>
    <row r="4457" spans="3:4" s="230" customFormat="1">
      <c r="C4457" s="16" t="str">
        <f>IFERROR(VLOOKUP(DATA!#REF!,DATA!#REF!,1,FALSE),"")</f>
        <v/>
      </c>
      <c r="D4457" s="16" t="str">
        <f>IFERROR(VLOOKUP(C4457,DATA!#REF!,2,FALSE),"")</f>
        <v/>
      </c>
    </row>
    <row r="4458" spans="3:4" s="230" customFormat="1">
      <c r="C4458" s="16" t="str">
        <f>IFERROR(VLOOKUP(DATA!#REF!,DATA!#REF!,1,FALSE),"")</f>
        <v/>
      </c>
      <c r="D4458" s="16" t="str">
        <f>IFERROR(VLOOKUP(C4458,DATA!#REF!,2,FALSE),"")</f>
        <v/>
      </c>
    </row>
    <row r="4459" spans="3:4" s="230" customFormat="1">
      <c r="C4459" s="16" t="str">
        <f>IFERROR(VLOOKUP(DATA!#REF!,DATA!#REF!,1,FALSE),"")</f>
        <v/>
      </c>
      <c r="D4459" s="16" t="str">
        <f>IFERROR(VLOOKUP(C4459,DATA!#REF!,2,FALSE),"")</f>
        <v/>
      </c>
    </row>
    <row r="4460" spans="3:4" s="230" customFormat="1">
      <c r="C4460" s="16" t="str">
        <f>IFERROR(VLOOKUP(DATA!#REF!,DATA!#REF!,1,FALSE),"")</f>
        <v/>
      </c>
      <c r="D4460" s="16" t="str">
        <f>IFERROR(VLOOKUP(C4460,DATA!#REF!,2,FALSE),"")</f>
        <v/>
      </c>
    </row>
    <row r="4461" spans="3:4" s="230" customFormat="1">
      <c r="C4461" s="16" t="str">
        <f>IFERROR(VLOOKUP(DATA!#REF!,DATA!#REF!,1,FALSE),"")</f>
        <v/>
      </c>
      <c r="D4461" s="16" t="str">
        <f>IFERROR(VLOOKUP(C4461,DATA!#REF!,2,FALSE),"")</f>
        <v/>
      </c>
    </row>
    <row r="4462" spans="3:4" s="230" customFormat="1">
      <c r="C4462" s="16" t="str">
        <f>IFERROR(VLOOKUP(DATA!#REF!,DATA!#REF!,1,FALSE),"")</f>
        <v/>
      </c>
      <c r="D4462" s="16" t="str">
        <f>IFERROR(VLOOKUP(C4462,DATA!#REF!,2,FALSE),"")</f>
        <v/>
      </c>
    </row>
    <row r="4463" spans="3:4" s="230" customFormat="1">
      <c r="C4463" s="16" t="str">
        <f>IFERROR(VLOOKUP(DATA!#REF!,DATA!#REF!,1,FALSE),"")</f>
        <v/>
      </c>
      <c r="D4463" s="16" t="str">
        <f>IFERROR(VLOOKUP(C4463,DATA!#REF!,2,FALSE),"")</f>
        <v/>
      </c>
    </row>
    <row r="4464" spans="3:4" s="230" customFormat="1">
      <c r="C4464" s="16" t="str">
        <f>IFERROR(VLOOKUP(DATA!#REF!,DATA!#REF!,1,FALSE),"")</f>
        <v/>
      </c>
      <c r="D4464" s="16" t="str">
        <f>IFERROR(VLOOKUP(C4464,DATA!#REF!,2,FALSE),"")</f>
        <v/>
      </c>
    </row>
    <row r="4465" spans="3:4" s="230" customFormat="1">
      <c r="C4465" s="16" t="str">
        <f>IFERROR(VLOOKUP(DATA!#REF!,DATA!#REF!,1,FALSE),"")</f>
        <v/>
      </c>
      <c r="D4465" s="16" t="str">
        <f>IFERROR(VLOOKUP(C4465,DATA!#REF!,2,FALSE),"")</f>
        <v/>
      </c>
    </row>
    <row r="4466" spans="3:4" s="230" customFormat="1">
      <c r="C4466" s="16" t="str">
        <f>IFERROR(VLOOKUP(DATA!#REF!,DATA!#REF!,1,FALSE),"")</f>
        <v/>
      </c>
      <c r="D4466" s="16" t="str">
        <f>IFERROR(VLOOKUP(C4466,DATA!#REF!,2,FALSE),"")</f>
        <v/>
      </c>
    </row>
    <row r="4467" spans="3:4" s="230" customFormat="1">
      <c r="C4467" s="16" t="str">
        <f>IFERROR(VLOOKUP(DATA!#REF!,DATA!#REF!,1,FALSE),"")</f>
        <v/>
      </c>
      <c r="D4467" s="16" t="str">
        <f>IFERROR(VLOOKUP(C4467,DATA!#REF!,2,FALSE),"")</f>
        <v/>
      </c>
    </row>
    <row r="4468" spans="3:4" s="230" customFormat="1">
      <c r="C4468" s="16" t="str">
        <f>IFERROR(VLOOKUP(DATA!#REF!,DATA!#REF!,1,FALSE),"")</f>
        <v/>
      </c>
      <c r="D4468" s="16" t="str">
        <f>IFERROR(VLOOKUP(C4468,DATA!#REF!,2,FALSE),"")</f>
        <v/>
      </c>
    </row>
    <row r="4469" spans="3:4" s="230" customFormat="1">
      <c r="C4469" s="16" t="str">
        <f>IFERROR(VLOOKUP(DATA!#REF!,DATA!#REF!,1,FALSE),"")</f>
        <v/>
      </c>
      <c r="D4469" s="16" t="str">
        <f>IFERROR(VLOOKUP(C4469,DATA!#REF!,2,FALSE),"")</f>
        <v/>
      </c>
    </row>
    <row r="4470" spans="3:4" s="230" customFormat="1">
      <c r="C4470" s="16" t="str">
        <f>IFERROR(VLOOKUP(DATA!#REF!,DATA!#REF!,1,FALSE),"")</f>
        <v/>
      </c>
      <c r="D4470" s="16" t="str">
        <f>IFERROR(VLOOKUP(C4470,DATA!#REF!,2,FALSE),"")</f>
        <v/>
      </c>
    </row>
    <row r="4471" spans="3:4" s="230" customFormat="1">
      <c r="C4471" s="16" t="str">
        <f>IFERROR(VLOOKUP(DATA!#REF!,DATA!#REF!,1,FALSE),"")</f>
        <v/>
      </c>
      <c r="D4471" s="16" t="str">
        <f>IFERROR(VLOOKUP(C4471,DATA!#REF!,2,FALSE),"")</f>
        <v/>
      </c>
    </row>
    <row r="4472" spans="3:4" s="230" customFormat="1">
      <c r="C4472" s="16" t="str">
        <f>IFERROR(VLOOKUP(DATA!#REF!,DATA!#REF!,1,FALSE),"")</f>
        <v/>
      </c>
      <c r="D4472" s="16" t="str">
        <f>IFERROR(VLOOKUP(C4472,DATA!#REF!,2,FALSE),"")</f>
        <v/>
      </c>
    </row>
    <row r="4473" spans="3:4" s="230" customFormat="1">
      <c r="C4473" s="16" t="str">
        <f>IFERROR(VLOOKUP(DATA!#REF!,DATA!#REF!,1,FALSE),"")</f>
        <v/>
      </c>
      <c r="D4473" s="16" t="str">
        <f>IFERROR(VLOOKUP(C4473,DATA!#REF!,2,FALSE),"")</f>
        <v/>
      </c>
    </row>
    <row r="4474" spans="3:4" s="230" customFormat="1">
      <c r="C4474" s="16" t="str">
        <f>IFERROR(VLOOKUP(DATA!#REF!,DATA!#REF!,1,FALSE),"")</f>
        <v/>
      </c>
      <c r="D4474" s="16" t="str">
        <f>IFERROR(VLOOKUP(C4474,DATA!#REF!,2,FALSE),"")</f>
        <v/>
      </c>
    </row>
    <row r="4475" spans="3:4" s="230" customFormat="1">
      <c r="C4475" s="16" t="str">
        <f>IFERROR(VLOOKUP(DATA!#REF!,DATA!#REF!,1,FALSE),"")</f>
        <v/>
      </c>
      <c r="D4475" s="16" t="str">
        <f>IFERROR(VLOOKUP(C4475,DATA!#REF!,2,FALSE),"")</f>
        <v/>
      </c>
    </row>
    <row r="4476" spans="3:4" s="230" customFormat="1">
      <c r="C4476" s="16" t="str">
        <f>IFERROR(VLOOKUP(DATA!#REF!,DATA!#REF!,1,FALSE),"")</f>
        <v/>
      </c>
      <c r="D4476" s="16" t="str">
        <f>IFERROR(VLOOKUP(C4476,DATA!#REF!,2,FALSE),"")</f>
        <v/>
      </c>
    </row>
    <row r="4477" spans="3:4" s="230" customFormat="1">
      <c r="C4477" s="16" t="str">
        <f>IFERROR(VLOOKUP(DATA!#REF!,DATA!#REF!,1,FALSE),"")</f>
        <v/>
      </c>
      <c r="D4477" s="16" t="str">
        <f>IFERROR(VLOOKUP(C4477,DATA!#REF!,2,FALSE),"")</f>
        <v/>
      </c>
    </row>
    <row r="4478" spans="3:4" s="230" customFormat="1">
      <c r="C4478" s="16" t="str">
        <f>IFERROR(VLOOKUP(DATA!#REF!,DATA!#REF!,1,FALSE),"")</f>
        <v/>
      </c>
      <c r="D4478" s="16" t="str">
        <f>IFERROR(VLOOKUP(C4478,DATA!#REF!,2,FALSE),"")</f>
        <v/>
      </c>
    </row>
    <row r="4479" spans="3:4" s="230" customFormat="1">
      <c r="C4479" s="16" t="str">
        <f>IFERROR(VLOOKUP(DATA!#REF!,DATA!#REF!,1,FALSE),"")</f>
        <v/>
      </c>
      <c r="D4479" s="16" t="str">
        <f>IFERROR(VLOOKUP(C4479,DATA!#REF!,2,FALSE),"")</f>
        <v/>
      </c>
    </row>
    <row r="4480" spans="3:4" s="230" customFormat="1">
      <c r="C4480" s="16" t="str">
        <f>IFERROR(VLOOKUP(DATA!#REF!,DATA!#REF!,1,FALSE),"")</f>
        <v/>
      </c>
      <c r="D4480" s="16" t="str">
        <f>IFERROR(VLOOKUP(C4480,DATA!#REF!,2,FALSE),"")</f>
        <v/>
      </c>
    </row>
    <row r="4481" spans="3:4" s="230" customFormat="1">
      <c r="C4481" s="16" t="str">
        <f>IFERROR(VLOOKUP(DATA!#REF!,DATA!#REF!,1,FALSE),"")</f>
        <v/>
      </c>
      <c r="D4481" s="16" t="str">
        <f>IFERROR(VLOOKUP(C4481,DATA!#REF!,2,FALSE),"")</f>
        <v/>
      </c>
    </row>
    <row r="4482" spans="3:4" s="230" customFormat="1">
      <c r="C4482" s="16" t="str">
        <f>IFERROR(VLOOKUP(DATA!#REF!,DATA!#REF!,1,FALSE),"")</f>
        <v/>
      </c>
      <c r="D4482" s="16" t="str">
        <f>IFERROR(VLOOKUP(C4482,DATA!#REF!,2,FALSE),"")</f>
        <v/>
      </c>
    </row>
    <row r="4483" spans="3:4" s="230" customFormat="1">
      <c r="C4483" s="16" t="str">
        <f>IFERROR(VLOOKUP(DATA!#REF!,DATA!#REF!,1,FALSE),"")</f>
        <v/>
      </c>
      <c r="D4483" s="16" t="str">
        <f>IFERROR(VLOOKUP(C4483,DATA!#REF!,2,FALSE),"")</f>
        <v/>
      </c>
    </row>
    <row r="4484" spans="3:4" s="230" customFormat="1">
      <c r="C4484" s="16" t="str">
        <f>IFERROR(VLOOKUP(DATA!#REF!,DATA!#REF!,1,FALSE),"")</f>
        <v/>
      </c>
      <c r="D4484" s="16" t="str">
        <f>IFERROR(VLOOKUP(C4484,DATA!#REF!,2,FALSE),"")</f>
        <v/>
      </c>
    </row>
    <row r="4485" spans="3:4" s="230" customFormat="1">
      <c r="C4485" s="16" t="str">
        <f>IFERROR(VLOOKUP(DATA!#REF!,DATA!#REF!,1,FALSE),"")</f>
        <v/>
      </c>
      <c r="D4485" s="16" t="str">
        <f>IFERROR(VLOOKUP(C4485,DATA!#REF!,2,FALSE),"")</f>
        <v/>
      </c>
    </row>
    <row r="4486" spans="3:4" s="230" customFormat="1">
      <c r="C4486" s="16" t="str">
        <f>IFERROR(VLOOKUP(DATA!#REF!,DATA!#REF!,1,FALSE),"")</f>
        <v/>
      </c>
      <c r="D4486" s="16" t="str">
        <f>IFERROR(VLOOKUP(C4486,DATA!#REF!,2,FALSE),"")</f>
        <v/>
      </c>
    </row>
    <row r="4487" spans="3:4" s="230" customFormat="1">
      <c r="C4487" s="16" t="str">
        <f>IFERROR(VLOOKUP(DATA!#REF!,DATA!#REF!,1,FALSE),"")</f>
        <v/>
      </c>
      <c r="D4487" s="16" t="str">
        <f>IFERROR(VLOOKUP(C4487,DATA!#REF!,2,FALSE),"")</f>
        <v/>
      </c>
    </row>
    <row r="4488" spans="3:4" s="230" customFormat="1">
      <c r="C4488" s="16" t="str">
        <f>IFERROR(VLOOKUP(DATA!#REF!,DATA!#REF!,1,FALSE),"")</f>
        <v/>
      </c>
      <c r="D4488" s="16" t="str">
        <f>IFERROR(VLOOKUP(C4488,DATA!#REF!,2,FALSE),"")</f>
        <v/>
      </c>
    </row>
    <row r="4489" spans="3:4" s="230" customFormat="1">
      <c r="C4489" s="16" t="str">
        <f>IFERROR(VLOOKUP(DATA!#REF!,DATA!#REF!,1,FALSE),"")</f>
        <v/>
      </c>
      <c r="D4489" s="16" t="str">
        <f>IFERROR(VLOOKUP(C4489,DATA!#REF!,2,FALSE),"")</f>
        <v/>
      </c>
    </row>
    <row r="4490" spans="3:4" s="230" customFormat="1">
      <c r="C4490" s="16" t="str">
        <f>IFERROR(VLOOKUP(DATA!#REF!,DATA!#REF!,1,FALSE),"")</f>
        <v/>
      </c>
      <c r="D4490" s="16" t="str">
        <f>IFERROR(VLOOKUP(C4490,DATA!#REF!,2,FALSE),"")</f>
        <v/>
      </c>
    </row>
    <row r="4491" spans="3:4" s="230" customFormat="1">
      <c r="C4491" s="16" t="str">
        <f>IFERROR(VLOOKUP(DATA!#REF!,DATA!#REF!,1,FALSE),"")</f>
        <v/>
      </c>
      <c r="D4491" s="16" t="str">
        <f>IFERROR(VLOOKUP(C4491,DATA!#REF!,2,FALSE),"")</f>
        <v/>
      </c>
    </row>
    <row r="4492" spans="3:4" s="230" customFormat="1">
      <c r="C4492" s="16" t="str">
        <f>IFERROR(VLOOKUP(DATA!#REF!,DATA!#REF!,1,FALSE),"")</f>
        <v/>
      </c>
      <c r="D4492" s="16" t="str">
        <f>IFERROR(VLOOKUP(C4492,DATA!#REF!,2,FALSE),"")</f>
        <v/>
      </c>
    </row>
    <row r="4493" spans="3:4" s="230" customFormat="1">
      <c r="C4493" s="16" t="str">
        <f>IFERROR(VLOOKUP(DATA!#REF!,DATA!#REF!,1,FALSE),"")</f>
        <v/>
      </c>
      <c r="D4493" s="16" t="str">
        <f>IFERROR(VLOOKUP(C4493,DATA!#REF!,2,FALSE),"")</f>
        <v/>
      </c>
    </row>
    <row r="4494" spans="3:4" s="230" customFormat="1">
      <c r="C4494" s="16" t="str">
        <f>IFERROR(VLOOKUP(DATA!#REF!,DATA!#REF!,1,FALSE),"")</f>
        <v/>
      </c>
      <c r="D4494" s="16" t="str">
        <f>IFERROR(VLOOKUP(C4494,DATA!#REF!,2,FALSE),"")</f>
        <v/>
      </c>
    </row>
    <row r="4495" spans="3:4" s="230" customFormat="1">
      <c r="C4495" s="16" t="str">
        <f>IFERROR(VLOOKUP(DATA!#REF!,DATA!#REF!,1,FALSE),"")</f>
        <v/>
      </c>
      <c r="D4495" s="16" t="str">
        <f>IFERROR(VLOOKUP(C4495,DATA!#REF!,2,FALSE),"")</f>
        <v/>
      </c>
    </row>
    <row r="4496" spans="3:4" s="230" customFormat="1">
      <c r="C4496" s="16" t="str">
        <f>IFERROR(VLOOKUP(DATA!#REF!,DATA!#REF!,1,FALSE),"")</f>
        <v/>
      </c>
      <c r="D4496" s="16" t="str">
        <f>IFERROR(VLOOKUP(C4496,DATA!#REF!,2,FALSE),"")</f>
        <v/>
      </c>
    </row>
    <row r="4497" spans="3:4" s="230" customFormat="1">
      <c r="C4497" s="16" t="str">
        <f>IFERROR(VLOOKUP(DATA!#REF!,DATA!#REF!,1,FALSE),"")</f>
        <v/>
      </c>
      <c r="D4497" s="16" t="str">
        <f>IFERROR(VLOOKUP(C4497,DATA!#REF!,2,FALSE),"")</f>
        <v/>
      </c>
    </row>
    <row r="4498" spans="3:4" s="230" customFormat="1">
      <c r="C4498" s="16" t="str">
        <f>IFERROR(VLOOKUP(DATA!#REF!,DATA!#REF!,1,FALSE),"")</f>
        <v/>
      </c>
      <c r="D4498" s="16" t="str">
        <f>IFERROR(VLOOKUP(C4498,DATA!#REF!,2,FALSE),"")</f>
        <v/>
      </c>
    </row>
    <row r="4499" spans="3:4" s="230" customFormat="1">
      <c r="C4499" s="16" t="str">
        <f>IFERROR(VLOOKUP(DATA!#REF!,DATA!#REF!,1,FALSE),"")</f>
        <v/>
      </c>
      <c r="D4499" s="16" t="str">
        <f>IFERROR(VLOOKUP(C4499,DATA!#REF!,2,FALSE),"")</f>
        <v/>
      </c>
    </row>
    <row r="4500" spans="3:4" s="230" customFormat="1">
      <c r="C4500" s="16" t="str">
        <f>IFERROR(VLOOKUP(DATA!#REF!,DATA!#REF!,1,FALSE),"")</f>
        <v/>
      </c>
      <c r="D4500" s="16" t="str">
        <f>IFERROR(VLOOKUP(C4500,DATA!#REF!,2,FALSE),"")</f>
        <v/>
      </c>
    </row>
    <row r="4501" spans="3:4" s="230" customFormat="1">
      <c r="C4501" s="16" t="str">
        <f>IFERROR(VLOOKUP(DATA!#REF!,DATA!#REF!,1,FALSE),"")</f>
        <v/>
      </c>
      <c r="D4501" s="16" t="str">
        <f>IFERROR(VLOOKUP(C4501,DATA!#REF!,2,FALSE),"")</f>
        <v/>
      </c>
    </row>
    <row r="4502" spans="3:4" s="230" customFormat="1">
      <c r="C4502" s="16" t="str">
        <f>IFERROR(VLOOKUP(DATA!#REF!,DATA!#REF!,1,FALSE),"")</f>
        <v/>
      </c>
      <c r="D4502" s="16" t="str">
        <f>IFERROR(VLOOKUP(C4502,DATA!#REF!,2,FALSE),"")</f>
        <v/>
      </c>
    </row>
    <row r="4503" spans="3:4" s="230" customFormat="1">
      <c r="C4503" s="16" t="str">
        <f>IFERROR(VLOOKUP(DATA!#REF!,DATA!#REF!,1,FALSE),"")</f>
        <v/>
      </c>
      <c r="D4503" s="16" t="str">
        <f>IFERROR(VLOOKUP(C4503,DATA!#REF!,2,FALSE),"")</f>
        <v/>
      </c>
    </row>
    <row r="4504" spans="3:4" s="230" customFormat="1">
      <c r="C4504" s="16" t="str">
        <f>IFERROR(VLOOKUP(DATA!#REF!,DATA!#REF!,1,FALSE),"")</f>
        <v/>
      </c>
      <c r="D4504" s="16" t="str">
        <f>IFERROR(VLOOKUP(C4504,DATA!#REF!,2,FALSE),"")</f>
        <v/>
      </c>
    </row>
    <row r="4505" spans="3:4" s="230" customFormat="1">
      <c r="C4505" s="16" t="str">
        <f>IFERROR(VLOOKUP(DATA!#REF!,DATA!#REF!,1,FALSE),"")</f>
        <v/>
      </c>
      <c r="D4505" s="16" t="str">
        <f>IFERROR(VLOOKUP(C4505,DATA!#REF!,2,FALSE),"")</f>
        <v/>
      </c>
    </row>
    <row r="4506" spans="3:4" s="230" customFormat="1">
      <c r="C4506" s="16" t="str">
        <f>IFERROR(VLOOKUP(DATA!#REF!,DATA!#REF!,1,FALSE),"")</f>
        <v/>
      </c>
      <c r="D4506" s="16" t="str">
        <f>IFERROR(VLOOKUP(C4506,DATA!#REF!,2,FALSE),"")</f>
        <v/>
      </c>
    </row>
    <row r="4507" spans="3:4" s="230" customFormat="1">
      <c r="C4507" s="16" t="str">
        <f>IFERROR(VLOOKUP(DATA!#REF!,DATA!#REF!,1,FALSE),"")</f>
        <v/>
      </c>
      <c r="D4507" s="16" t="str">
        <f>IFERROR(VLOOKUP(C4507,DATA!#REF!,2,FALSE),"")</f>
        <v/>
      </c>
    </row>
    <row r="4508" spans="3:4" s="230" customFormat="1">
      <c r="C4508" s="16" t="str">
        <f>IFERROR(VLOOKUP(DATA!#REF!,DATA!#REF!,1,FALSE),"")</f>
        <v/>
      </c>
      <c r="D4508" s="16" t="str">
        <f>IFERROR(VLOOKUP(C4508,DATA!#REF!,2,FALSE),"")</f>
        <v/>
      </c>
    </row>
    <row r="4509" spans="3:4" s="230" customFormat="1">
      <c r="C4509" s="16" t="str">
        <f>IFERROR(VLOOKUP(DATA!#REF!,DATA!#REF!,1,FALSE),"")</f>
        <v/>
      </c>
      <c r="D4509" s="16" t="str">
        <f>IFERROR(VLOOKUP(C4509,DATA!#REF!,2,FALSE),"")</f>
        <v/>
      </c>
    </row>
    <row r="4510" spans="3:4" s="230" customFormat="1">
      <c r="C4510" s="16" t="str">
        <f>IFERROR(VLOOKUP(DATA!#REF!,DATA!#REF!,1,FALSE),"")</f>
        <v/>
      </c>
      <c r="D4510" s="16" t="str">
        <f>IFERROR(VLOOKUP(C4510,DATA!#REF!,2,FALSE),"")</f>
        <v/>
      </c>
    </row>
    <row r="4511" spans="3:4" s="230" customFormat="1">
      <c r="C4511" s="16" t="str">
        <f>IFERROR(VLOOKUP(DATA!#REF!,DATA!#REF!,1,FALSE),"")</f>
        <v/>
      </c>
      <c r="D4511" s="16" t="str">
        <f>IFERROR(VLOOKUP(C4511,DATA!#REF!,2,FALSE),"")</f>
        <v/>
      </c>
    </row>
    <row r="4512" spans="3:4" s="230" customFormat="1">
      <c r="C4512" s="16" t="str">
        <f>IFERROR(VLOOKUP(DATA!#REF!,DATA!#REF!,1,FALSE),"")</f>
        <v/>
      </c>
      <c r="D4512" s="16" t="str">
        <f>IFERROR(VLOOKUP(C4512,DATA!#REF!,2,FALSE),"")</f>
        <v/>
      </c>
    </row>
    <row r="4513" spans="3:4" s="230" customFormat="1">
      <c r="C4513" s="16" t="str">
        <f>IFERROR(VLOOKUP(DATA!#REF!,DATA!#REF!,1,FALSE),"")</f>
        <v/>
      </c>
      <c r="D4513" s="16" t="str">
        <f>IFERROR(VLOOKUP(C4513,DATA!#REF!,2,FALSE),"")</f>
        <v/>
      </c>
    </row>
    <row r="4514" spans="3:4" s="230" customFormat="1">
      <c r="C4514" s="16" t="str">
        <f>IFERROR(VLOOKUP(DATA!#REF!,DATA!#REF!,1,FALSE),"")</f>
        <v/>
      </c>
      <c r="D4514" s="16" t="str">
        <f>IFERROR(VLOOKUP(C4514,DATA!#REF!,2,FALSE),"")</f>
        <v/>
      </c>
    </row>
    <row r="4515" spans="3:4" s="230" customFormat="1">
      <c r="C4515" s="16" t="str">
        <f>IFERROR(VLOOKUP(DATA!#REF!,DATA!#REF!,1,FALSE),"")</f>
        <v/>
      </c>
      <c r="D4515" s="16" t="str">
        <f>IFERROR(VLOOKUP(C4515,DATA!#REF!,2,FALSE),"")</f>
        <v/>
      </c>
    </row>
    <row r="4516" spans="3:4" s="230" customFormat="1">
      <c r="C4516" s="16" t="str">
        <f>IFERROR(VLOOKUP(DATA!#REF!,DATA!#REF!,1,FALSE),"")</f>
        <v/>
      </c>
      <c r="D4516" s="16" t="str">
        <f>IFERROR(VLOOKUP(C4516,DATA!#REF!,2,FALSE),"")</f>
        <v/>
      </c>
    </row>
    <row r="4517" spans="3:4" s="230" customFormat="1">
      <c r="C4517" s="16" t="str">
        <f>IFERROR(VLOOKUP(DATA!#REF!,DATA!#REF!,1,FALSE),"")</f>
        <v/>
      </c>
      <c r="D4517" s="16" t="str">
        <f>IFERROR(VLOOKUP(C4517,DATA!#REF!,2,FALSE),"")</f>
        <v/>
      </c>
    </row>
    <row r="4518" spans="3:4" s="230" customFormat="1">
      <c r="C4518" s="16" t="str">
        <f>IFERROR(VLOOKUP(DATA!#REF!,DATA!#REF!,1,FALSE),"")</f>
        <v/>
      </c>
      <c r="D4518" s="16" t="str">
        <f>IFERROR(VLOOKUP(C4518,DATA!#REF!,2,FALSE),"")</f>
        <v/>
      </c>
    </row>
    <row r="4519" spans="3:4" s="230" customFormat="1">
      <c r="C4519" s="16" t="str">
        <f>IFERROR(VLOOKUP(DATA!#REF!,DATA!#REF!,1,FALSE),"")</f>
        <v/>
      </c>
      <c r="D4519" s="16" t="str">
        <f>IFERROR(VLOOKUP(C4519,DATA!#REF!,2,FALSE),"")</f>
        <v/>
      </c>
    </row>
    <row r="4520" spans="3:4" s="230" customFormat="1">
      <c r="C4520" s="16" t="str">
        <f>IFERROR(VLOOKUP(DATA!#REF!,DATA!#REF!,1,FALSE),"")</f>
        <v/>
      </c>
      <c r="D4520" s="16" t="str">
        <f>IFERROR(VLOOKUP(C4520,DATA!#REF!,2,FALSE),"")</f>
        <v/>
      </c>
    </row>
    <row r="4521" spans="3:4" s="230" customFormat="1">
      <c r="C4521" s="16" t="str">
        <f>IFERROR(VLOOKUP(DATA!#REF!,DATA!#REF!,1,FALSE),"")</f>
        <v/>
      </c>
      <c r="D4521" s="16" t="str">
        <f>IFERROR(VLOOKUP(C4521,DATA!#REF!,2,FALSE),"")</f>
        <v/>
      </c>
    </row>
    <row r="4522" spans="3:4" s="230" customFormat="1">
      <c r="C4522" s="16" t="str">
        <f>IFERROR(VLOOKUP(DATA!#REF!,DATA!#REF!,1,FALSE),"")</f>
        <v/>
      </c>
      <c r="D4522" s="16" t="str">
        <f>IFERROR(VLOOKUP(C4522,DATA!#REF!,2,FALSE),"")</f>
        <v/>
      </c>
    </row>
    <row r="4523" spans="3:4" s="230" customFormat="1">
      <c r="C4523" s="16" t="str">
        <f>IFERROR(VLOOKUP(DATA!#REF!,DATA!#REF!,1,FALSE),"")</f>
        <v/>
      </c>
      <c r="D4523" s="16" t="str">
        <f>IFERROR(VLOOKUP(C4523,DATA!#REF!,2,FALSE),"")</f>
        <v/>
      </c>
    </row>
    <row r="4524" spans="3:4" s="230" customFormat="1">
      <c r="C4524" s="16" t="str">
        <f>IFERROR(VLOOKUP(DATA!#REF!,DATA!#REF!,1,FALSE),"")</f>
        <v/>
      </c>
      <c r="D4524" s="16" t="str">
        <f>IFERROR(VLOOKUP(C4524,DATA!#REF!,2,FALSE),"")</f>
        <v/>
      </c>
    </row>
    <row r="4525" spans="3:4" s="230" customFormat="1">
      <c r="C4525" s="16" t="str">
        <f>IFERROR(VLOOKUP(DATA!#REF!,DATA!#REF!,1,FALSE),"")</f>
        <v/>
      </c>
      <c r="D4525" s="16" t="str">
        <f>IFERROR(VLOOKUP(C4525,DATA!#REF!,2,FALSE),"")</f>
        <v/>
      </c>
    </row>
    <row r="4526" spans="3:4" s="230" customFormat="1">
      <c r="C4526" s="16" t="str">
        <f>IFERROR(VLOOKUP(DATA!#REF!,DATA!#REF!,1,FALSE),"")</f>
        <v/>
      </c>
      <c r="D4526" s="16" t="str">
        <f>IFERROR(VLOOKUP(C4526,DATA!#REF!,2,FALSE),"")</f>
        <v/>
      </c>
    </row>
    <row r="4527" spans="3:4" s="230" customFormat="1">
      <c r="C4527" s="16" t="str">
        <f>IFERROR(VLOOKUP(DATA!#REF!,DATA!#REF!,1,FALSE),"")</f>
        <v/>
      </c>
      <c r="D4527" s="16" t="str">
        <f>IFERROR(VLOOKUP(C4527,DATA!#REF!,2,FALSE),"")</f>
        <v/>
      </c>
    </row>
    <row r="4528" spans="3:4" s="230" customFormat="1">
      <c r="C4528" s="16" t="str">
        <f>IFERROR(VLOOKUP(DATA!#REF!,DATA!#REF!,1,FALSE),"")</f>
        <v/>
      </c>
      <c r="D4528" s="16" t="str">
        <f>IFERROR(VLOOKUP(C4528,DATA!#REF!,2,FALSE),"")</f>
        <v/>
      </c>
    </row>
    <row r="4529" spans="3:4" s="230" customFormat="1">
      <c r="C4529" s="16" t="str">
        <f>IFERROR(VLOOKUP(DATA!#REF!,DATA!#REF!,1,FALSE),"")</f>
        <v/>
      </c>
      <c r="D4529" s="16" t="str">
        <f>IFERROR(VLOOKUP(C4529,DATA!#REF!,2,FALSE),"")</f>
        <v/>
      </c>
    </row>
    <row r="4530" spans="3:4" s="230" customFormat="1">
      <c r="C4530" s="16" t="str">
        <f>IFERROR(VLOOKUP(DATA!#REF!,DATA!#REF!,1,FALSE),"")</f>
        <v/>
      </c>
      <c r="D4530" s="16" t="str">
        <f>IFERROR(VLOOKUP(C4530,DATA!#REF!,2,FALSE),"")</f>
        <v/>
      </c>
    </row>
    <row r="4531" spans="3:4" s="230" customFormat="1">
      <c r="C4531" s="16" t="str">
        <f>IFERROR(VLOOKUP(DATA!#REF!,DATA!#REF!,1,FALSE),"")</f>
        <v/>
      </c>
      <c r="D4531" s="16" t="str">
        <f>IFERROR(VLOOKUP(C4531,DATA!#REF!,2,FALSE),"")</f>
        <v/>
      </c>
    </row>
    <row r="4532" spans="3:4" s="230" customFormat="1">
      <c r="C4532" s="16" t="str">
        <f>IFERROR(VLOOKUP(DATA!#REF!,DATA!#REF!,1,FALSE),"")</f>
        <v/>
      </c>
      <c r="D4532" s="16" t="str">
        <f>IFERROR(VLOOKUP(C4532,DATA!#REF!,2,FALSE),"")</f>
        <v/>
      </c>
    </row>
    <row r="4533" spans="3:4" s="230" customFormat="1">
      <c r="C4533" s="16" t="str">
        <f>IFERROR(VLOOKUP(DATA!#REF!,DATA!#REF!,1,FALSE),"")</f>
        <v/>
      </c>
      <c r="D4533" s="16" t="str">
        <f>IFERROR(VLOOKUP(C4533,DATA!#REF!,2,FALSE),"")</f>
        <v/>
      </c>
    </row>
    <row r="4534" spans="3:4" s="230" customFormat="1">
      <c r="C4534" s="16" t="str">
        <f>IFERROR(VLOOKUP(DATA!#REF!,DATA!#REF!,1,FALSE),"")</f>
        <v/>
      </c>
      <c r="D4534" s="16" t="str">
        <f>IFERROR(VLOOKUP(C4534,DATA!#REF!,2,FALSE),"")</f>
        <v/>
      </c>
    </row>
    <row r="4535" spans="3:4" s="230" customFormat="1">
      <c r="C4535" s="16" t="str">
        <f>IFERROR(VLOOKUP(DATA!#REF!,DATA!#REF!,1,FALSE),"")</f>
        <v/>
      </c>
      <c r="D4535" s="16" t="str">
        <f>IFERROR(VLOOKUP(C4535,DATA!#REF!,2,FALSE),"")</f>
        <v/>
      </c>
    </row>
    <row r="4536" spans="3:4" s="230" customFormat="1">
      <c r="C4536" s="16" t="str">
        <f>IFERROR(VLOOKUP(DATA!#REF!,DATA!#REF!,1,FALSE),"")</f>
        <v/>
      </c>
      <c r="D4536" s="16" t="str">
        <f>IFERROR(VLOOKUP(C4536,DATA!#REF!,2,FALSE),"")</f>
        <v/>
      </c>
    </row>
    <row r="4537" spans="3:4" s="230" customFormat="1">
      <c r="C4537" s="16" t="str">
        <f>IFERROR(VLOOKUP(DATA!#REF!,DATA!#REF!,1,FALSE),"")</f>
        <v/>
      </c>
      <c r="D4537" s="16" t="str">
        <f>IFERROR(VLOOKUP(C4537,DATA!#REF!,2,FALSE),"")</f>
        <v/>
      </c>
    </row>
    <row r="4538" spans="3:4" s="230" customFormat="1">
      <c r="C4538" s="16" t="str">
        <f>IFERROR(VLOOKUP(DATA!#REF!,DATA!#REF!,1,FALSE),"")</f>
        <v/>
      </c>
      <c r="D4538" s="16" t="str">
        <f>IFERROR(VLOOKUP(C4538,DATA!#REF!,2,FALSE),"")</f>
        <v/>
      </c>
    </row>
    <row r="4539" spans="3:4" s="230" customFormat="1">
      <c r="C4539" s="16" t="str">
        <f>IFERROR(VLOOKUP(DATA!#REF!,DATA!#REF!,1,FALSE),"")</f>
        <v/>
      </c>
      <c r="D4539" s="16" t="str">
        <f>IFERROR(VLOOKUP(C4539,DATA!#REF!,2,FALSE),"")</f>
        <v/>
      </c>
    </row>
    <row r="4540" spans="3:4" s="230" customFormat="1">
      <c r="C4540" s="16" t="str">
        <f>IFERROR(VLOOKUP(DATA!#REF!,DATA!#REF!,1,FALSE),"")</f>
        <v/>
      </c>
      <c r="D4540" s="16" t="str">
        <f>IFERROR(VLOOKUP(C4540,DATA!#REF!,2,FALSE),"")</f>
        <v/>
      </c>
    </row>
    <row r="4541" spans="3:4" s="230" customFormat="1">
      <c r="C4541" s="16" t="str">
        <f>IFERROR(VLOOKUP(DATA!#REF!,DATA!#REF!,1,FALSE),"")</f>
        <v/>
      </c>
      <c r="D4541" s="16" t="str">
        <f>IFERROR(VLOOKUP(C4541,DATA!#REF!,2,FALSE),"")</f>
        <v/>
      </c>
    </row>
    <row r="4542" spans="3:4" s="230" customFormat="1">
      <c r="C4542" s="16" t="str">
        <f>IFERROR(VLOOKUP(DATA!#REF!,DATA!#REF!,1,FALSE),"")</f>
        <v/>
      </c>
      <c r="D4542" s="16" t="str">
        <f>IFERROR(VLOOKUP(C4542,DATA!#REF!,2,FALSE),"")</f>
        <v/>
      </c>
    </row>
    <row r="4543" spans="3:4" s="230" customFormat="1">
      <c r="C4543" s="16" t="str">
        <f>IFERROR(VLOOKUP(DATA!#REF!,DATA!#REF!,1,FALSE),"")</f>
        <v/>
      </c>
      <c r="D4543" s="16" t="str">
        <f>IFERROR(VLOOKUP(C4543,DATA!#REF!,2,FALSE),"")</f>
        <v/>
      </c>
    </row>
    <row r="4544" spans="3:4" s="230" customFormat="1">
      <c r="C4544" s="16" t="str">
        <f>IFERROR(VLOOKUP(DATA!#REF!,DATA!#REF!,1,FALSE),"")</f>
        <v/>
      </c>
      <c r="D4544" s="16" t="str">
        <f>IFERROR(VLOOKUP(C4544,DATA!#REF!,2,FALSE),"")</f>
        <v/>
      </c>
    </row>
    <row r="4545" spans="3:4" s="230" customFormat="1">
      <c r="C4545" s="16" t="str">
        <f>IFERROR(VLOOKUP(DATA!#REF!,DATA!#REF!,1,FALSE),"")</f>
        <v/>
      </c>
      <c r="D4545" s="16" t="str">
        <f>IFERROR(VLOOKUP(C4545,DATA!#REF!,2,FALSE),"")</f>
        <v/>
      </c>
    </row>
    <row r="4546" spans="3:4" s="230" customFormat="1">
      <c r="C4546" s="16" t="str">
        <f>IFERROR(VLOOKUP(DATA!#REF!,DATA!#REF!,1,FALSE),"")</f>
        <v/>
      </c>
      <c r="D4546" s="16" t="str">
        <f>IFERROR(VLOOKUP(C4546,DATA!#REF!,2,FALSE),"")</f>
        <v/>
      </c>
    </row>
    <row r="4547" spans="3:4" s="230" customFormat="1">
      <c r="C4547" s="16" t="str">
        <f>IFERROR(VLOOKUP(DATA!#REF!,DATA!#REF!,1,FALSE),"")</f>
        <v/>
      </c>
      <c r="D4547" s="16" t="str">
        <f>IFERROR(VLOOKUP(C4547,DATA!#REF!,2,FALSE),"")</f>
        <v/>
      </c>
    </row>
    <row r="4548" spans="3:4" s="230" customFormat="1">
      <c r="C4548" s="16" t="str">
        <f>IFERROR(VLOOKUP(DATA!#REF!,DATA!#REF!,1,FALSE),"")</f>
        <v/>
      </c>
      <c r="D4548" s="16" t="str">
        <f>IFERROR(VLOOKUP(C4548,DATA!#REF!,2,FALSE),"")</f>
        <v/>
      </c>
    </row>
    <row r="4549" spans="3:4" s="230" customFormat="1">
      <c r="C4549" s="16" t="str">
        <f>IFERROR(VLOOKUP(DATA!#REF!,DATA!#REF!,1,FALSE),"")</f>
        <v/>
      </c>
      <c r="D4549" s="16" t="str">
        <f>IFERROR(VLOOKUP(C4549,DATA!#REF!,2,FALSE),"")</f>
        <v/>
      </c>
    </row>
    <row r="4550" spans="3:4" s="230" customFormat="1">
      <c r="C4550" s="16" t="str">
        <f>IFERROR(VLOOKUP(DATA!#REF!,DATA!#REF!,1,FALSE),"")</f>
        <v/>
      </c>
      <c r="D4550" s="16" t="str">
        <f>IFERROR(VLOOKUP(C4550,DATA!#REF!,2,FALSE),"")</f>
        <v/>
      </c>
    </row>
    <row r="4551" spans="3:4" s="230" customFormat="1">
      <c r="C4551" s="16" t="str">
        <f>IFERROR(VLOOKUP(DATA!#REF!,DATA!#REF!,1,FALSE),"")</f>
        <v/>
      </c>
      <c r="D4551" s="16" t="str">
        <f>IFERROR(VLOOKUP(C4551,DATA!#REF!,2,FALSE),"")</f>
        <v/>
      </c>
    </row>
    <row r="4552" spans="3:4" s="230" customFormat="1">
      <c r="C4552" s="16" t="str">
        <f>IFERROR(VLOOKUP(DATA!#REF!,DATA!#REF!,1,FALSE),"")</f>
        <v/>
      </c>
      <c r="D4552" s="16" t="str">
        <f>IFERROR(VLOOKUP(C4552,DATA!#REF!,2,FALSE),"")</f>
        <v/>
      </c>
    </row>
    <row r="4553" spans="3:4" s="230" customFormat="1">
      <c r="C4553" s="16" t="str">
        <f>IFERROR(VLOOKUP(DATA!#REF!,DATA!#REF!,1,FALSE),"")</f>
        <v/>
      </c>
      <c r="D4553" s="16" t="str">
        <f>IFERROR(VLOOKUP(C4553,DATA!#REF!,2,FALSE),"")</f>
        <v/>
      </c>
    </row>
    <row r="4554" spans="3:4" s="230" customFormat="1">
      <c r="C4554" s="16" t="str">
        <f>IFERROR(VLOOKUP(DATA!#REF!,DATA!#REF!,1,FALSE),"")</f>
        <v/>
      </c>
      <c r="D4554" s="16" t="str">
        <f>IFERROR(VLOOKUP(C4554,DATA!#REF!,2,FALSE),"")</f>
        <v/>
      </c>
    </row>
    <row r="4555" spans="3:4" s="230" customFormat="1">
      <c r="C4555" s="16" t="str">
        <f>IFERROR(VLOOKUP(DATA!#REF!,DATA!#REF!,1,FALSE),"")</f>
        <v/>
      </c>
      <c r="D4555" s="16" t="str">
        <f>IFERROR(VLOOKUP(C4555,DATA!#REF!,2,FALSE),"")</f>
        <v/>
      </c>
    </row>
    <row r="4556" spans="3:4" s="230" customFormat="1">
      <c r="C4556" s="16" t="str">
        <f>IFERROR(VLOOKUP(DATA!#REF!,DATA!#REF!,1,FALSE),"")</f>
        <v/>
      </c>
      <c r="D4556" s="16" t="str">
        <f>IFERROR(VLOOKUP(C4556,DATA!#REF!,2,FALSE),"")</f>
        <v/>
      </c>
    </row>
    <row r="4557" spans="3:4" s="230" customFormat="1">
      <c r="C4557" s="16" t="str">
        <f>IFERROR(VLOOKUP(DATA!#REF!,DATA!#REF!,1,FALSE),"")</f>
        <v/>
      </c>
      <c r="D4557" s="16" t="str">
        <f>IFERROR(VLOOKUP(C4557,DATA!#REF!,2,FALSE),"")</f>
        <v/>
      </c>
    </row>
    <row r="4558" spans="3:4" s="230" customFormat="1">
      <c r="C4558" s="16" t="str">
        <f>IFERROR(VLOOKUP(DATA!#REF!,DATA!#REF!,1,FALSE),"")</f>
        <v/>
      </c>
      <c r="D4558" s="16" t="str">
        <f>IFERROR(VLOOKUP(C4558,DATA!#REF!,2,FALSE),"")</f>
        <v/>
      </c>
    </row>
    <row r="4559" spans="3:4" s="230" customFormat="1">
      <c r="C4559" s="16" t="str">
        <f>IFERROR(VLOOKUP(DATA!#REF!,DATA!#REF!,1,FALSE),"")</f>
        <v/>
      </c>
      <c r="D4559" s="16" t="str">
        <f>IFERROR(VLOOKUP(C4559,DATA!#REF!,2,FALSE),"")</f>
        <v/>
      </c>
    </row>
    <row r="4560" spans="3:4" s="230" customFormat="1">
      <c r="C4560" s="16" t="str">
        <f>IFERROR(VLOOKUP(DATA!#REF!,DATA!#REF!,1,FALSE),"")</f>
        <v/>
      </c>
      <c r="D4560" s="16" t="str">
        <f>IFERROR(VLOOKUP(C4560,DATA!#REF!,2,FALSE),"")</f>
        <v/>
      </c>
    </row>
    <row r="4561" spans="3:4" s="230" customFormat="1">
      <c r="C4561" s="16" t="str">
        <f>IFERROR(VLOOKUP(DATA!#REF!,DATA!#REF!,1,FALSE),"")</f>
        <v/>
      </c>
      <c r="D4561" s="16" t="str">
        <f>IFERROR(VLOOKUP(C4561,DATA!#REF!,2,FALSE),"")</f>
        <v/>
      </c>
    </row>
    <row r="4562" spans="3:4" s="230" customFormat="1">
      <c r="C4562" s="16" t="str">
        <f>IFERROR(VLOOKUP(DATA!#REF!,DATA!#REF!,1,FALSE),"")</f>
        <v/>
      </c>
      <c r="D4562" s="16" t="str">
        <f>IFERROR(VLOOKUP(C4562,DATA!#REF!,2,FALSE),"")</f>
        <v/>
      </c>
    </row>
    <row r="4563" spans="3:4" s="230" customFormat="1">
      <c r="C4563" s="16" t="str">
        <f>IFERROR(VLOOKUP(DATA!#REF!,DATA!#REF!,1,FALSE),"")</f>
        <v/>
      </c>
      <c r="D4563" s="16" t="str">
        <f>IFERROR(VLOOKUP(C4563,DATA!#REF!,2,FALSE),"")</f>
        <v/>
      </c>
    </row>
    <row r="4564" spans="3:4" s="230" customFormat="1">
      <c r="C4564" s="16" t="str">
        <f>IFERROR(VLOOKUP(DATA!#REF!,DATA!#REF!,1,FALSE),"")</f>
        <v/>
      </c>
      <c r="D4564" s="16" t="str">
        <f>IFERROR(VLOOKUP(C4564,DATA!#REF!,2,FALSE),"")</f>
        <v/>
      </c>
    </row>
    <row r="4565" spans="3:4" s="230" customFormat="1">
      <c r="C4565" s="16" t="str">
        <f>IFERROR(VLOOKUP(DATA!#REF!,DATA!#REF!,1,FALSE),"")</f>
        <v/>
      </c>
      <c r="D4565" s="16" t="str">
        <f>IFERROR(VLOOKUP(C4565,DATA!#REF!,2,FALSE),"")</f>
        <v/>
      </c>
    </row>
    <row r="4566" spans="3:4" s="230" customFormat="1">
      <c r="C4566" s="16" t="str">
        <f>IFERROR(VLOOKUP(DATA!#REF!,DATA!#REF!,1,FALSE),"")</f>
        <v/>
      </c>
      <c r="D4566" s="16" t="str">
        <f>IFERROR(VLOOKUP(C4566,DATA!#REF!,2,FALSE),"")</f>
        <v/>
      </c>
    </row>
    <row r="4567" spans="3:4" s="230" customFormat="1">
      <c r="C4567" s="16" t="str">
        <f>IFERROR(VLOOKUP(DATA!#REF!,DATA!#REF!,1,FALSE),"")</f>
        <v/>
      </c>
      <c r="D4567" s="16" t="str">
        <f>IFERROR(VLOOKUP(C4567,DATA!#REF!,2,FALSE),"")</f>
        <v/>
      </c>
    </row>
    <row r="4568" spans="3:4" s="230" customFormat="1">
      <c r="C4568" s="16" t="str">
        <f>IFERROR(VLOOKUP(DATA!#REF!,DATA!#REF!,1,FALSE),"")</f>
        <v/>
      </c>
      <c r="D4568" s="16" t="str">
        <f>IFERROR(VLOOKUP(C4568,DATA!#REF!,2,FALSE),"")</f>
        <v/>
      </c>
    </row>
    <row r="4569" spans="3:4" s="230" customFormat="1">
      <c r="C4569" s="16" t="str">
        <f>IFERROR(VLOOKUP(DATA!#REF!,DATA!#REF!,1,FALSE),"")</f>
        <v/>
      </c>
      <c r="D4569" s="16" t="str">
        <f>IFERROR(VLOOKUP(C4569,DATA!#REF!,2,FALSE),"")</f>
        <v/>
      </c>
    </row>
    <row r="4570" spans="3:4" s="230" customFormat="1">
      <c r="C4570" s="16" t="str">
        <f>IFERROR(VLOOKUP(DATA!#REF!,DATA!#REF!,1,FALSE),"")</f>
        <v/>
      </c>
      <c r="D4570" s="16" t="str">
        <f>IFERROR(VLOOKUP(C4570,DATA!#REF!,2,FALSE),"")</f>
        <v/>
      </c>
    </row>
    <row r="4571" spans="3:4" s="230" customFormat="1">
      <c r="C4571" s="16" t="str">
        <f>IFERROR(VLOOKUP(DATA!#REF!,DATA!#REF!,1,FALSE),"")</f>
        <v/>
      </c>
      <c r="D4571" s="16" t="str">
        <f>IFERROR(VLOOKUP(C4571,DATA!#REF!,2,FALSE),"")</f>
        <v/>
      </c>
    </row>
    <row r="4572" spans="3:4" s="230" customFormat="1">
      <c r="C4572" s="16" t="str">
        <f>IFERROR(VLOOKUP(DATA!#REF!,DATA!#REF!,1,FALSE),"")</f>
        <v/>
      </c>
      <c r="D4572" s="16" t="str">
        <f>IFERROR(VLOOKUP(C4572,DATA!#REF!,2,FALSE),"")</f>
        <v/>
      </c>
    </row>
    <row r="4573" spans="3:4" s="230" customFormat="1">
      <c r="C4573" s="16" t="str">
        <f>IFERROR(VLOOKUP(DATA!#REF!,DATA!#REF!,1,FALSE),"")</f>
        <v/>
      </c>
      <c r="D4573" s="16" t="str">
        <f>IFERROR(VLOOKUP(C4573,DATA!#REF!,2,FALSE),"")</f>
        <v/>
      </c>
    </row>
    <row r="4574" spans="3:4" s="230" customFormat="1">
      <c r="C4574" s="16" t="str">
        <f>IFERROR(VLOOKUP(DATA!#REF!,DATA!#REF!,1,FALSE),"")</f>
        <v/>
      </c>
      <c r="D4574" s="16" t="str">
        <f>IFERROR(VLOOKUP(C4574,DATA!#REF!,2,FALSE),"")</f>
        <v/>
      </c>
    </row>
    <row r="4575" spans="3:4" s="230" customFormat="1">
      <c r="C4575" s="16" t="str">
        <f>IFERROR(VLOOKUP(DATA!#REF!,DATA!#REF!,1,FALSE),"")</f>
        <v/>
      </c>
      <c r="D4575" s="16" t="str">
        <f>IFERROR(VLOOKUP(C4575,DATA!#REF!,2,FALSE),"")</f>
        <v/>
      </c>
    </row>
    <row r="4576" spans="3:4" s="230" customFormat="1">
      <c r="C4576" s="16" t="str">
        <f>IFERROR(VLOOKUP(DATA!#REF!,DATA!#REF!,1,FALSE),"")</f>
        <v/>
      </c>
      <c r="D4576" s="16" t="str">
        <f>IFERROR(VLOOKUP(C4576,DATA!#REF!,2,FALSE),"")</f>
        <v/>
      </c>
    </row>
    <row r="4577" spans="3:4" s="230" customFormat="1">
      <c r="C4577" s="16" t="str">
        <f>IFERROR(VLOOKUP(DATA!#REF!,DATA!#REF!,1,FALSE),"")</f>
        <v/>
      </c>
      <c r="D4577" s="16" t="str">
        <f>IFERROR(VLOOKUP(C4577,DATA!#REF!,2,FALSE),"")</f>
        <v/>
      </c>
    </row>
    <row r="4578" spans="3:4" s="230" customFormat="1">
      <c r="C4578" s="16" t="str">
        <f>IFERROR(VLOOKUP(DATA!#REF!,DATA!#REF!,1,FALSE),"")</f>
        <v/>
      </c>
      <c r="D4578" s="16" t="str">
        <f>IFERROR(VLOOKUP(C4578,DATA!#REF!,2,FALSE),"")</f>
        <v/>
      </c>
    </row>
    <row r="4579" spans="3:4" s="230" customFormat="1">
      <c r="C4579" s="16" t="str">
        <f>IFERROR(VLOOKUP(DATA!#REF!,DATA!#REF!,1,FALSE),"")</f>
        <v/>
      </c>
      <c r="D4579" s="16" t="str">
        <f>IFERROR(VLOOKUP(C4579,DATA!#REF!,2,FALSE),"")</f>
        <v/>
      </c>
    </row>
    <row r="4580" spans="3:4" s="230" customFormat="1">
      <c r="C4580" s="16" t="str">
        <f>IFERROR(VLOOKUP(DATA!#REF!,DATA!#REF!,1,FALSE),"")</f>
        <v/>
      </c>
      <c r="D4580" s="16" t="str">
        <f>IFERROR(VLOOKUP(C4580,DATA!#REF!,2,FALSE),"")</f>
        <v/>
      </c>
    </row>
    <row r="4581" spans="3:4" s="230" customFormat="1">
      <c r="C4581" s="16" t="str">
        <f>IFERROR(VLOOKUP(DATA!#REF!,DATA!#REF!,1,FALSE),"")</f>
        <v/>
      </c>
      <c r="D4581" s="16" t="str">
        <f>IFERROR(VLOOKUP(C4581,DATA!#REF!,2,FALSE),"")</f>
        <v/>
      </c>
    </row>
    <row r="4582" spans="3:4" s="230" customFormat="1">
      <c r="C4582" s="16" t="str">
        <f>IFERROR(VLOOKUP(DATA!#REF!,DATA!#REF!,1,FALSE),"")</f>
        <v/>
      </c>
      <c r="D4582" s="16" t="str">
        <f>IFERROR(VLOOKUP(C4582,DATA!#REF!,2,FALSE),"")</f>
        <v/>
      </c>
    </row>
    <row r="4583" spans="3:4" s="230" customFormat="1">
      <c r="C4583" s="16" t="str">
        <f>IFERROR(VLOOKUP(DATA!#REF!,DATA!#REF!,1,FALSE),"")</f>
        <v/>
      </c>
      <c r="D4583" s="16" t="str">
        <f>IFERROR(VLOOKUP(C4583,DATA!#REF!,2,FALSE),"")</f>
        <v/>
      </c>
    </row>
    <row r="4584" spans="3:4" s="230" customFormat="1">
      <c r="C4584" s="16" t="str">
        <f>IFERROR(VLOOKUP(DATA!#REF!,DATA!#REF!,1,FALSE),"")</f>
        <v/>
      </c>
      <c r="D4584" s="16" t="str">
        <f>IFERROR(VLOOKUP(C4584,DATA!#REF!,2,FALSE),"")</f>
        <v/>
      </c>
    </row>
    <row r="4585" spans="3:4" s="230" customFormat="1">
      <c r="C4585" s="16" t="str">
        <f>IFERROR(VLOOKUP(DATA!#REF!,DATA!#REF!,1,FALSE),"")</f>
        <v/>
      </c>
      <c r="D4585" s="16" t="str">
        <f>IFERROR(VLOOKUP(C4585,DATA!#REF!,2,FALSE),"")</f>
        <v/>
      </c>
    </row>
    <row r="4586" spans="3:4" s="230" customFormat="1">
      <c r="C4586" s="16" t="str">
        <f>IFERROR(VLOOKUP(DATA!#REF!,DATA!#REF!,1,FALSE),"")</f>
        <v/>
      </c>
      <c r="D4586" s="16" t="str">
        <f>IFERROR(VLOOKUP(C4586,DATA!#REF!,2,FALSE),"")</f>
        <v/>
      </c>
    </row>
    <row r="4587" spans="3:4" s="230" customFormat="1">
      <c r="C4587" s="16" t="str">
        <f>IFERROR(VLOOKUP(DATA!#REF!,DATA!#REF!,1,FALSE),"")</f>
        <v/>
      </c>
      <c r="D4587" s="16" t="str">
        <f>IFERROR(VLOOKUP(C4587,DATA!#REF!,2,FALSE),"")</f>
        <v/>
      </c>
    </row>
    <row r="4588" spans="3:4" s="230" customFormat="1">
      <c r="C4588" s="16" t="str">
        <f>IFERROR(VLOOKUP(DATA!#REF!,DATA!#REF!,1,FALSE),"")</f>
        <v/>
      </c>
      <c r="D4588" s="16" t="str">
        <f>IFERROR(VLOOKUP(C4588,DATA!#REF!,2,FALSE),"")</f>
        <v/>
      </c>
    </row>
    <row r="4589" spans="3:4" s="230" customFormat="1">
      <c r="C4589" s="16" t="str">
        <f>IFERROR(VLOOKUP(DATA!#REF!,DATA!#REF!,1,FALSE),"")</f>
        <v/>
      </c>
      <c r="D4589" s="16" t="str">
        <f>IFERROR(VLOOKUP(C4589,DATA!#REF!,2,FALSE),"")</f>
        <v/>
      </c>
    </row>
    <row r="4590" spans="3:4" s="230" customFormat="1">
      <c r="C4590" s="16" t="str">
        <f>IFERROR(VLOOKUP(DATA!#REF!,DATA!#REF!,1,FALSE),"")</f>
        <v/>
      </c>
      <c r="D4590" s="16" t="str">
        <f>IFERROR(VLOOKUP(C4590,DATA!#REF!,2,FALSE),"")</f>
        <v/>
      </c>
    </row>
    <row r="4591" spans="3:4" s="230" customFormat="1">
      <c r="C4591" s="16" t="str">
        <f>IFERROR(VLOOKUP(DATA!#REF!,DATA!#REF!,1,FALSE),"")</f>
        <v/>
      </c>
      <c r="D4591" s="16" t="str">
        <f>IFERROR(VLOOKUP(C4591,DATA!#REF!,2,FALSE),"")</f>
        <v/>
      </c>
    </row>
    <row r="4592" spans="3:4" s="230" customFormat="1">
      <c r="C4592" s="16" t="str">
        <f>IFERROR(VLOOKUP(DATA!#REF!,DATA!#REF!,1,FALSE),"")</f>
        <v/>
      </c>
      <c r="D4592" s="16" t="str">
        <f>IFERROR(VLOOKUP(C4592,DATA!#REF!,2,FALSE),"")</f>
        <v/>
      </c>
    </row>
    <row r="4593" spans="3:4" s="230" customFormat="1">
      <c r="C4593" s="16" t="str">
        <f>IFERROR(VLOOKUP(DATA!#REF!,DATA!#REF!,1,FALSE),"")</f>
        <v/>
      </c>
      <c r="D4593" s="16" t="str">
        <f>IFERROR(VLOOKUP(C4593,DATA!#REF!,2,FALSE),"")</f>
        <v/>
      </c>
    </row>
    <row r="4594" spans="3:4" s="230" customFormat="1">
      <c r="C4594" s="16" t="str">
        <f>IFERROR(VLOOKUP(DATA!#REF!,DATA!#REF!,1,FALSE),"")</f>
        <v/>
      </c>
      <c r="D4594" s="16" t="str">
        <f>IFERROR(VLOOKUP(C4594,DATA!#REF!,2,FALSE),"")</f>
        <v/>
      </c>
    </row>
    <row r="4595" spans="3:4" s="230" customFormat="1">
      <c r="C4595" s="16" t="str">
        <f>IFERROR(VLOOKUP(DATA!#REF!,DATA!#REF!,1,FALSE),"")</f>
        <v/>
      </c>
      <c r="D4595" s="16" t="str">
        <f>IFERROR(VLOOKUP(C4595,DATA!#REF!,2,FALSE),"")</f>
        <v/>
      </c>
    </row>
    <row r="4596" spans="3:4" s="230" customFormat="1">
      <c r="C4596" s="16" t="str">
        <f>IFERROR(VLOOKUP(DATA!#REF!,DATA!#REF!,1,FALSE),"")</f>
        <v/>
      </c>
      <c r="D4596" s="16" t="str">
        <f>IFERROR(VLOOKUP(C4596,DATA!#REF!,2,FALSE),"")</f>
        <v/>
      </c>
    </row>
    <row r="4597" spans="3:4" s="230" customFormat="1">
      <c r="C4597" s="16" t="str">
        <f>IFERROR(VLOOKUP(DATA!#REF!,DATA!#REF!,1,FALSE),"")</f>
        <v/>
      </c>
      <c r="D4597" s="16" t="str">
        <f>IFERROR(VLOOKUP(C4597,DATA!#REF!,2,FALSE),"")</f>
        <v/>
      </c>
    </row>
    <row r="4598" spans="3:4" s="230" customFormat="1">
      <c r="C4598" s="16" t="str">
        <f>IFERROR(VLOOKUP(DATA!#REF!,DATA!#REF!,1,FALSE),"")</f>
        <v/>
      </c>
      <c r="D4598" s="16" t="str">
        <f>IFERROR(VLOOKUP(C4598,DATA!#REF!,2,FALSE),"")</f>
        <v/>
      </c>
    </row>
    <row r="4599" spans="3:4" s="230" customFormat="1">
      <c r="C4599" s="16" t="str">
        <f>IFERROR(VLOOKUP(DATA!#REF!,DATA!#REF!,1,FALSE),"")</f>
        <v/>
      </c>
      <c r="D4599" s="16" t="str">
        <f>IFERROR(VLOOKUP(C4599,DATA!#REF!,2,FALSE),"")</f>
        <v/>
      </c>
    </row>
    <row r="4600" spans="3:4" s="230" customFormat="1">
      <c r="C4600" s="16" t="str">
        <f>IFERROR(VLOOKUP(DATA!#REF!,DATA!#REF!,1,FALSE),"")</f>
        <v/>
      </c>
      <c r="D4600" s="16" t="str">
        <f>IFERROR(VLOOKUP(C4600,DATA!#REF!,2,FALSE),"")</f>
        <v/>
      </c>
    </row>
    <row r="4601" spans="3:4" s="230" customFormat="1">
      <c r="C4601" s="16" t="str">
        <f>IFERROR(VLOOKUP(DATA!#REF!,DATA!#REF!,1,FALSE),"")</f>
        <v/>
      </c>
      <c r="D4601" s="16" t="str">
        <f>IFERROR(VLOOKUP(C4601,DATA!#REF!,2,FALSE),"")</f>
        <v/>
      </c>
    </row>
    <row r="4602" spans="3:4" s="230" customFormat="1">
      <c r="C4602" s="16" t="str">
        <f>IFERROR(VLOOKUP(DATA!#REF!,DATA!#REF!,1,FALSE),"")</f>
        <v/>
      </c>
      <c r="D4602" s="16" t="str">
        <f>IFERROR(VLOOKUP(C4602,DATA!#REF!,2,FALSE),"")</f>
        <v/>
      </c>
    </row>
    <row r="4603" spans="3:4" s="230" customFormat="1">
      <c r="C4603" s="16" t="str">
        <f>IFERROR(VLOOKUP(DATA!#REF!,DATA!#REF!,1,FALSE),"")</f>
        <v/>
      </c>
      <c r="D4603" s="16" t="str">
        <f>IFERROR(VLOOKUP(C4603,DATA!#REF!,2,FALSE),"")</f>
        <v/>
      </c>
    </row>
    <row r="4604" spans="3:4" s="230" customFormat="1">
      <c r="C4604" s="16" t="str">
        <f>IFERROR(VLOOKUP(DATA!#REF!,DATA!#REF!,1,FALSE),"")</f>
        <v/>
      </c>
      <c r="D4604" s="16" t="str">
        <f>IFERROR(VLOOKUP(C4604,DATA!#REF!,2,FALSE),"")</f>
        <v/>
      </c>
    </row>
    <row r="4605" spans="3:4" s="230" customFormat="1">
      <c r="C4605" s="16" t="str">
        <f>IFERROR(VLOOKUP(DATA!#REF!,DATA!#REF!,1,FALSE),"")</f>
        <v/>
      </c>
      <c r="D4605" s="16" t="str">
        <f>IFERROR(VLOOKUP(C4605,DATA!#REF!,2,FALSE),"")</f>
        <v/>
      </c>
    </row>
    <row r="4606" spans="3:4" s="230" customFormat="1">
      <c r="C4606" s="16" t="str">
        <f>IFERROR(VLOOKUP(DATA!#REF!,DATA!#REF!,1,FALSE),"")</f>
        <v/>
      </c>
      <c r="D4606" s="16" t="str">
        <f>IFERROR(VLOOKUP(C4606,DATA!#REF!,2,FALSE),"")</f>
        <v/>
      </c>
    </row>
    <row r="4607" spans="3:4" s="230" customFormat="1">
      <c r="C4607" s="16" t="str">
        <f>IFERROR(VLOOKUP(DATA!#REF!,DATA!#REF!,1,FALSE),"")</f>
        <v/>
      </c>
      <c r="D4607" s="16" t="str">
        <f>IFERROR(VLOOKUP(C4607,DATA!#REF!,2,FALSE),"")</f>
        <v/>
      </c>
    </row>
    <row r="4608" spans="3:4" s="230" customFormat="1">
      <c r="C4608" s="16" t="str">
        <f>IFERROR(VLOOKUP(DATA!#REF!,DATA!#REF!,1,FALSE),"")</f>
        <v/>
      </c>
      <c r="D4608" s="16" t="str">
        <f>IFERROR(VLOOKUP(C4608,DATA!#REF!,2,FALSE),"")</f>
        <v/>
      </c>
    </row>
    <row r="4609" spans="3:4" s="230" customFormat="1">
      <c r="C4609" s="16" t="str">
        <f>IFERROR(VLOOKUP(DATA!#REF!,DATA!#REF!,1,FALSE),"")</f>
        <v/>
      </c>
      <c r="D4609" s="16" t="str">
        <f>IFERROR(VLOOKUP(C4609,DATA!#REF!,2,FALSE),"")</f>
        <v/>
      </c>
    </row>
    <row r="4610" spans="3:4" s="230" customFormat="1">
      <c r="C4610" s="16" t="str">
        <f>IFERROR(VLOOKUP(DATA!#REF!,DATA!#REF!,1,FALSE),"")</f>
        <v/>
      </c>
      <c r="D4610" s="16" t="str">
        <f>IFERROR(VLOOKUP(C4610,DATA!#REF!,2,FALSE),"")</f>
        <v/>
      </c>
    </row>
    <row r="4611" spans="3:4" s="230" customFormat="1">
      <c r="C4611" s="16" t="str">
        <f>IFERROR(VLOOKUP(DATA!#REF!,DATA!#REF!,1,FALSE),"")</f>
        <v/>
      </c>
      <c r="D4611" s="16" t="str">
        <f>IFERROR(VLOOKUP(C4611,DATA!#REF!,2,FALSE),"")</f>
        <v/>
      </c>
    </row>
    <row r="4612" spans="3:4" s="230" customFormat="1">
      <c r="C4612" s="16" t="str">
        <f>IFERROR(VLOOKUP(DATA!#REF!,DATA!#REF!,1,FALSE),"")</f>
        <v/>
      </c>
      <c r="D4612" s="16" t="str">
        <f>IFERROR(VLOOKUP(C4612,DATA!#REF!,2,FALSE),"")</f>
        <v/>
      </c>
    </row>
    <row r="4613" spans="3:4" s="230" customFormat="1">
      <c r="C4613" s="16" t="str">
        <f>IFERROR(VLOOKUP(DATA!#REF!,DATA!#REF!,1,FALSE),"")</f>
        <v/>
      </c>
      <c r="D4613" s="16" t="str">
        <f>IFERROR(VLOOKUP(C4613,DATA!#REF!,2,FALSE),"")</f>
        <v/>
      </c>
    </row>
    <row r="4614" spans="3:4" s="230" customFormat="1">
      <c r="C4614" s="16" t="str">
        <f>IFERROR(VLOOKUP(DATA!#REF!,DATA!#REF!,1,FALSE),"")</f>
        <v/>
      </c>
      <c r="D4614" s="16" t="str">
        <f>IFERROR(VLOOKUP(C4614,DATA!#REF!,2,FALSE),"")</f>
        <v/>
      </c>
    </row>
    <row r="4615" spans="3:4" s="230" customFormat="1">
      <c r="C4615" s="16" t="str">
        <f>IFERROR(VLOOKUP(DATA!#REF!,DATA!#REF!,1,FALSE),"")</f>
        <v/>
      </c>
      <c r="D4615" s="16" t="str">
        <f>IFERROR(VLOOKUP(C4615,DATA!#REF!,2,FALSE),"")</f>
        <v/>
      </c>
    </row>
    <row r="4616" spans="3:4" s="230" customFormat="1">
      <c r="C4616" s="16" t="str">
        <f>IFERROR(VLOOKUP(DATA!#REF!,DATA!#REF!,1,FALSE),"")</f>
        <v/>
      </c>
      <c r="D4616" s="16" t="str">
        <f>IFERROR(VLOOKUP(C4616,DATA!#REF!,2,FALSE),"")</f>
        <v/>
      </c>
    </row>
    <row r="4617" spans="3:4" s="230" customFormat="1">
      <c r="C4617" s="16" t="str">
        <f>IFERROR(VLOOKUP(DATA!#REF!,DATA!#REF!,1,FALSE),"")</f>
        <v/>
      </c>
      <c r="D4617" s="16" t="str">
        <f>IFERROR(VLOOKUP(C4617,DATA!#REF!,2,FALSE),"")</f>
        <v/>
      </c>
    </row>
    <row r="4618" spans="3:4" s="230" customFormat="1">
      <c r="C4618" s="16" t="str">
        <f>IFERROR(VLOOKUP(DATA!#REF!,DATA!#REF!,1,FALSE),"")</f>
        <v/>
      </c>
      <c r="D4618" s="16" t="str">
        <f>IFERROR(VLOOKUP(C4618,DATA!#REF!,2,FALSE),"")</f>
        <v/>
      </c>
    </row>
    <row r="4619" spans="3:4" s="230" customFormat="1">
      <c r="C4619" s="16" t="str">
        <f>IFERROR(VLOOKUP(DATA!#REF!,DATA!#REF!,1,FALSE),"")</f>
        <v/>
      </c>
      <c r="D4619" s="16" t="str">
        <f>IFERROR(VLOOKUP(C4619,DATA!#REF!,2,FALSE),"")</f>
        <v/>
      </c>
    </row>
    <row r="4620" spans="3:4" s="230" customFormat="1">
      <c r="C4620" s="16" t="str">
        <f>IFERROR(VLOOKUP(DATA!#REF!,DATA!#REF!,1,FALSE),"")</f>
        <v/>
      </c>
      <c r="D4620" s="16" t="str">
        <f>IFERROR(VLOOKUP(C4620,DATA!#REF!,2,FALSE),"")</f>
        <v/>
      </c>
    </row>
    <row r="4621" spans="3:4" s="230" customFormat="1">
      <c r="C4621" s="16" t="str">
        <f>IFERROR(VLOOKUP(DATA!#REF!,DATA!#REF!,1,FALSE),"")</f>
        <v/>
      </c>
      <c r="D4621" s="16" t="str">
        <f>IFERROR(VLOOKUP(C4621,DATA!#REF!,2,FALSE),"")</f>
        <v/>
      </c>
    </row>
    <row r="4622" spans="3:4" s="230" customFormat="1">
      <c r="C4622" s="16" t="str">
        <f>IFERROR(VLOOKUP(DATA!#REF!,DATA!#REF!,1,FALSE),"")</f>
        <v/>
      </c>
      <c r="D4622" s="16" t="str">
        <f>IFERROR(VLOOKUP(C4622,DATA!#REF!,2,FALSE),"")</f>
        <v/>
      </c>
    </row>
    <row r="4623" spans="3:4" s="230" customFormat="1">
      <c r="C4623" s="16" t="str">
        <f>IFERROR(VLOOKUP(DATA!#REF!,DATA!#REF!,1,FALSE),"")</f>
        <v/>
      </c>
      <c r="D4623" s="16" t="str">
        <f>IFERROR(VLOOKUP(C4623,DATA!#REF!,2,FALSE),"")</f>
        <v/>
      </c>
    </row>
    <row r="4624" spans="3:4" s="230" customFormat="1">
      <c r="C4624" s="16" t="str">
        <f>IFERROR(VLOOKUP(DATA!#REF!,DATA!#REF!,1,FALSE),"")</f>
        <v/>
      </c>
      <c r="D4624" s="16" t="str">
        <f>IFERROR(VLOOKUP(C4624,DATA!#REF!,2,FALSE),"")</f>
        <v/>
      </c>
    </row>
    <row r="4625" spans="3:4" s="230" customFormat="1">
      <c r="C4625" s="16" t="str">
        <f>IFERROR(VLOOKUP(DATA!#REF!,DATA!#REF!,1,FALSE),"")</f>
        <v/>
      </c>
      <c r="D4625" s="16" t="str">
        <f>IFERROR(VLOOKUP(C4625,DATA!#REF!,2,FALSE),"")</f>
        <v/>
      </c>
    </row>
    <row r="4626" spans="3:4" s="230" customFormat="1">
      <c r="C4626" s="16" t="str">
        <f>IFERROR(VLOOKUP(DATA!#REF!,DATA!#REF!,1,FALSE),"")</f>
        <v/>
      </c>
      <c r="D4626" s="16" t="str">
        <f>IFERROR(VLOOKUP(C4626,DATA!#REF!,2,FALSE),"")</f>
        <v/>
      </c>
    </row>
    <row r="4627" spans="3:4" s="230" customFormat="1">
      <c r="C4627" s="16" t="str">
        <f>IFERROR(VLOOKUP(DATA!#REF!,DATA!#REF!,1,FALSE),"")</f>
        <v/>
      </c>
      <c r="D4627" s="16" t="str">
        <f>IFERROR(VLOOKUP(C4627,DATA!#REF!,2,FALSE),"")</f>
        <v/>
      </c>
    </row>
    <row r="4628" spans="3:4" s="230" customFormat="1">
      <c r="C4628" s="16" t="str">
        <f>IFERROR(VLOOKUP(DATA!#REF!,DATA!#REF!,1,FALSE),"")</f>
        <v/>
      </c>
      <c r="D4628" s="16" t="str">
        <f>IFERROR(VLOOKUP(C4628,DATA!#REF!,2,FALSE),"")</f>
        <v/>
      </c>
    </row>
    <row r="4629" spans="3:4" s="230" customFormat="1">
      <c r="C4629" s="16" t="str">
        <f>IFERROR(VLOOKUP(DATA!#REF!,DATA!#REF!,1,FALSE),"")</f>
        <v/>
      </c>
      <c r="D4629" s="16" t="str">
        <f>IFERROR(VLOOKUP(C4629,DATA!#REF!,2,FALSE),"")</f>
        <v/>
      </c>
    </row>
    <row r="4630" spans="3:4" s="230" customFormat="1">
      <c r="C4630" s="16" t="str">
        <f>IFERROR(VLOOKUP(DATA!#REF!,DATA!#REF!,1,FALSE),"")</f>
        <v/>
      </c>
      <c r="D4630" s="16" t="str">
        <f>IFERROR(VLOOKUP(C4630,DATA!#REF!,2,FALSE),"")</f>
        <v/>
      </c>
    </row>
    <row r="4631" spans="3:4" s="230" customFormat="1">
      <c r="C4631" s="16" t="str">
        <f>IFERROR(VLOOKUP(DATA!#REF!,DATA!#REF!,1,FALSE),"")</f>
        <v/>
      </c>
      <c r="D4631" s="16" t="str">
        <f>IFERROR(VLOOKUP(C4631,DATA!#REF!,2,FALSE),"")</f>
        <v/>
      </c>
    </row>
    <row r="4632" spans="3:4" s="230" customFormat="1">
      <c r="C4632" s="16" t="str">
        <f>IFERROR(VLOOKUP(DATA!#REF!,DATA!#REF!,1,FALSE),"")</f>
        <v/>
      </c>
      <c r="D4632" s="16" t="str">
        <f>IFERROR(VLOOKUP(C4632,DATA!#REF!,2,FALSE),"")</f>
        <v/>
      </c>
    </row>
    <row r="4633" spans="3:4" s="230" customFormat="1">
      <c r="C4633" s="16" t="str">
        <f>IFERROR(VLOOKUP(DATA!#REF!,DATA!#REF!,1,FALSE),"")</f>
        <v/>
      </c>
      <c r="D4633" s="16" t="str">
        <f>IFERROR(VLOOKUP(C4633,DATA!#REF!,2,FALSE),"")</f>
        <v/>
      </c>
    </row>
    <row r="4634" spans="3:4" s="230" customFormat="1">
      <c r="C4634" s="16" t="str">
        <f>IFERROR(VLOOKUP(DATA!#REF!,DATA!#REF!,1,FALSE),"")</f>
        <v/>
      </c>
      <c r="D4634" s="16" t="str">
        <f>IFERROR(VLOOKUP(C4634,DATA!#REF!,2,FALSE),"")</f>
        <v/>
      </c>
    </row>
    <row r="4635" spans="3:4" s="230" customFormat="1">
      <c r="C4635" s="16" t="str">
        <f>IFERROR(VLOOKUP(DATA!#REF!,DATA!#REF!,1,FALSE),"")</f>
        <v/>
      </c>
      <c r="D4635" s="16" t="str">
        <f>IFERROR(VLOOKUP(C4635,DATA!#REF!,2,FALSE),"")</f>
        <v/>
      </c>
    </row>
    <row r="4636" spans="3:4" s="230" customFormat="1">
      <c r="C4636" s="16" t="str">
        <f>IFERROR(VLOOKUP(DATA!#REF!,DATA!#REF!,1,FALSE),"")</f>
        <v/>
      </c>
      <c r="D4636" s="16" t="str">
        <f>IFERROR(VLOOKUP(C4636,DATA!#REF!,2,FALSE),"")</f>
        <v/>
      </c>
    </row>
    <row r="4637" spans="3:4" s="230" customFormat="1">
      <c r="C4637" s="16" t="str">
        <f>IFERROR(VLOOKUP(DATA!#REF!,DATA!#REF!,1,FALSE),"")</f>
        <v/>
      </c>
      <c r="D4637" s="16" t="str">
        <f>IFERROR(VLOOKUP(C4637,DATA!#REF!,2,FALSE),"")</f>
        <v/>
      </c>
    </row>
    <row r="4638" spans="3:4" s="230" customFormat="1">
      <c r="C4638" s="16" t="str">
        <f>IFERROR(VLOOKUP(DATA!#REF!,DATA!#REF!,1,FALSE),"")</f>
        <v/>
      </c>
      <c r="D4638" s="16" t="str">
        <f>IFERROR(VLOOKUP(C4638,DATA!#REF!,2,FALSE),"")</f>
        <v/>
      </c>
    </row>
    <row r="4639" spans="3:4" s="230" customFormat="1">
      <c r="C4639" s="16" t="str">
        <f>IFERROR(VLOOKUP(DATA!#REF!,DATA!#REF!,1,FALSE),"")</f>
        <v/>
      </c>
      <c r="D4639" s="16" t="str">
        <f>IFERROR(VLOOKUP(C4639,DATA!#REF!,2,FALSE),"")</f>
        <v/>
      </c>
    </row>
    <row r="4640" spans="3:4" s="230" customFormat="1">
      <c r="C4640" s="16" t="str">
        <f>IFERROR(VLOOKUP(DATA!#REF!,DATA!#REF!,1,FALSE),"")</f>
        <v/>
      </c>
      <c r="D4640" s="16" t="str">
        <f>IFERROR(VLOOKUP(C4640,DATA!#REF!,2,FALSE),"")</f>
        <v/>
      </c>
    </row>
    <row r="4641" spans="3:4" s="230" customFormat="1">
      <c r="C4641" s="16" t="str">
        <f>IFERROR(VLOOKUP(DATA!#REF!,DATA!#REF!,1,FALSE),"")</f>
        <v/>
      </c>
      <c r="D4641" s="16" t="str">
        <f>IFERROR(VLOOKUP(C4641,DATA!#REF!,2,FALSE),"")</f>
        <v/>
      </c>
    </row>
    <row r="4642" spans="3:4" s="230" customFormat="1">
      <c r="C4642" s="16" t="str">
        <f>IFERROR(VLOOKUP(DATA!#REF!,DATA!#REF!,1,FALSE),"")</f>
        <v/>
      </c>
      <c r="D4642" s="16" t="str">
        <f>IFERROR(VLOOKUP(C4642,DATA!#REF!,2,FALSE),"")</f>
        <v/>
      </c>
    </row>
    <row r="4643" spans="3:4" s="230" customFormat="1">
      <c r="C4643" s="16" t="str">
        <f>IFERROR(VLOOKUP(DATA!#REF!,DATA!#REF!,1,FALSE),"")</f>
        <v/>
      </c>
      <c r="D4643" s="16" t="str">
        <f>IFERROR(VLOOKUP(C4643,DATA!#REF!,2,FALSE),"")</f>
        <v/>
      </c>
    </row>
    <row r="4644" spans="3:4" s="230" customFormat="1">
      <c r="C4644" s="16" t="str">
        <f>IFERROR(VLOOKUP(DATA!#REF!,DATA!#REF!,1,FALSE),"")</f>
        <v/>
      </c>
      <c r="D4644" s="16" t="str">
        <f>IFERROR(VLOOKUP(C4644,DATA!#REF!,2,FALSE),"")</f>
        <v/>
      </c>
    </row>
    <row r="4645" spans="3:4" s="230" customFormat="1">
      <c r="C4645" s="16" t="str">
        <f>IFERROR(VLOOKUP(DATA!#REF!,DATA!#REF!,1,FALSE),"")</f>
        <v/>
      </c>
      <c r="D4645" s="16" t="str">
        <f>IFERROR(VLOOKUP(C4645,DATA!#REF!,2,FALSE),"")</f>
        <v/>
      </c>
    </row>
    <row r="4646" spans="3:4" s="230" customFormat="1">
      <c r="C4646" s="16" t="str">
        <f>IFERROR(VLOOKUP(DATA!#REF!,DATA!#REF!,1,FALSE),"")</f>
        <v/>
      </c>
      <c r="D4646" s="16" t="str">
        <f>IFERROR(VLOOKUP(C4646,DATA!#REF!,2,FALSE),"")</f>
        <v/>
      </c>
    </row>
    <row r="4647" spans="3:4" s="230" customFormat="1">
      <c r="C4647" s="16" t="str">
        <f>IFERROR(VLOOKUP(DATA!#REF!,DATA!#REF!,1,FALSE),"")</f>
        <v/>
      </c>
      <c r="D4647" s="16" t="str">
        <f>IFERROR(VLOOKUP(C4647,DATA!#REF!,2,FALSE),"")</f>
        <v/>
      </c>
    </row>
    <row r="4648" spans="3:4" s="230" customFormat="1">
      <c r="C4648" s="16" t="str">
        <f>IFERROR(VLOOKUP(DATA!#REF!,DATA!#REF!,1,FALSE),"")</f>
        <v/>
      </c>
      <c r="D4648" s="16" t="str">
        <f>IFERROR(VLOOKUP(C4648,DATA!#REF!,2,FALSE),"")</f>
        <v/>
      </c>
    </row>
    <row r="4649" spans="3:4" s="230" customFormat="1">
      <c r="C4649" s="16" t="str">
        <f>IFERROR(VLOOKUP(DATA!#REF!,DATA!#REF!,1,FALSE),"")</f>
        <v/>
      </c>
      <c r="D4649" s="16" t="str">
        <f>IFERROR(VLOOKUP(C4649,DATA!#REF!,2,FALSE),"")</f>
        <v/>
      </c>
    </row>
    <row r="4650" spans="3:4" s="230" customFormat="1">
      <c r="C4650" s="16" t="str">
        <f>IFERROR(VLOOKUP(DATA!#REF!,DATA!#REF!,1,FALSE),"")</f>
        <v/>
      </c>
      <c r="D4650" s="16" t="str">
        <f>IFERROR(VLOOKUP(C4650,DATA!#REF!,2,FALSE),"")</f>
        <v/>
      </c>
    </row>
    <row r="4651" spans="3:4" s="230" customFormat="1">
      <c r="C4651" s="16" t="str">
        <f>IFERROR(VLOOKUP(DATA!#REF!,DATA!#REF!,1,FALSE),"")</f>
        <v/>
      </c>
      <c r="D4651" s="16" t="str">
        <f>IFERROR(VLOOKUP(C4651,DATA!#REF!,2,FALSE),"")</f>
        <v/>
      </c>
    </row>
    <row r="4652" spans="3:4" s="230" customFormat="1">
      <c r="C4652" s="16" t="str">
        <f>IFERROR(VLOOKUP(DATA!#REF!,DATA!#REF!,1,FALSE),"")</f>
        <v/>
      </c>
      <c r="D4652" s="16" t="str">
        <f>IFERROR(VLOOKUP(C4652,DATA!#REF!,2,FALSE),"")</f>
        <v/>
      </c>
    </row>
    <row r="4653" spans="3:4" s="230" customFormat="1">
      <c r="C4653" s="16" t="str">
        <f>IFERROR(VLOOKUP(DATA!#REF!,DATA!#REF!,1,FALSE),"")</f>
        <v/>
      </c>
      <c r="D4653" s="16" t="str">
        <f>IFERROR(VLOOKUP(C4653,DATA!#REF!,2,FALSE),"")</f>
        <v/>
      </c>
    </row>
    <row r="4654" spans="3:4" s="230" customFormat="1">
      <c r="C4654" s="16" t="str">
        <f>IFERROR(VLOOKUP(DATA!#REF!,DATA!#REF!,1,FALSE),"")</f>
        <v/>
      </c>
      <c r="D4654" s="16" t="str">
        <f>IFERROR(VLOOKUP(C4654,DATA!#REF!,2,FALSE),"")</f>
        <v/>
      </c>
    </row>
    <row r="4655" spans="3:4" s="230" customFormat="1">
      <c r="C4655" s="16" t="str">
        <f>IFERROR(VLOOKUP(DATA!#REF!,DATA!#REF!,1,FALSE),"")</f>
        <v/>
      </c>
      <c r="D4655" s="16" t="str">
        <f>IFERROR(VLOOKUP(C4655,DATA!#REF!,2,FALSE),"")</f>
        <v/>
      </c>
    </row>
    <row r="4656" spans="3:4" s="230" customFormat="1">
      <c r="C4656" s="16" t="str">
        <f>IFERROR(VLOOKUP(DATA!#REF!,DATA!#REF!,1,FALSE),"")</f>
        <v/>
      </c>
      <c r="D4656" s="16" t="str">
        <f>IFERROR(VLOOKUP(C4656,DATA!#REF!,2,FALSE),"")</f>
        <v/>
      </c>
    </row>
    <row r="4657" spans="3:4" s="230" customFormat="1">
      <c r="C4657" s="16" t="str">
        <f>IFERROR(VLOOKUP(DATA!#REF!,DATA!#REF!,1,FALSE),"")</f>
        <v/>
      </c>
      <c r="D4657" s="16" t="str">
        <f>IFERROR(VLOOKUP(C4657,DATA!#REF!,2,FALSE),"")</f>
        <v/>
      </c>
    </row>
    <row r="4658" spans="3:4" s="230" customFormat="1">
      <c r="C4658" s="16" t="str">
        <f>IFERROR(VLOOKUP(DATA!#REF!,DATA!#REF!,1,FALSE),"")</f>
        <v/>
      </c>
      <c r="D4658" s="16" t="str">
        <f>IFERROR(VLOOKUP(C4658,DATA!#REF!,2,FALSE),"")</f>
        <v/>
      </c>
    </row>
    <row r="4659" spans="3:4" s="230" customFormat="1">
      <c r="C4659" s="16" t="str">
        <f>IFERROR(VLOOKUP(DATA!#REF!,DATA!#REF!,1,FALSE),"")</f>
        <v/>
      </c>
      <c r="D4659" s="16" t="str">
        <f>IFERROR(VLOOKUP(C4659,DATA!#REF!,2,FALSE),"")</f>
        <v/>
      </c>
    </row>
    <row r="4660" spans="3:4" s="230" customFormat="1">
      <c r="C4660" s="16" t="str">
        <f>IFERROR(VLOOKUP(DATA!#REF!,DATA!#REF!,1,FALSE),"")</f>
        <v/>
      </c>
      <c r="D4660" s="16" t="str">
        <f>IFERROR(VLOOKUP(C4660,DATA!#REF!,2,FALSE),"")</f>
        <v/>
      </c>
    </row>
    <row r="4661" spans="3:4" s="230" customFormat="1">
      <c r="C4661" s="16" t="str">
        <f>IFERROR(VLOOKUP(DATA!#REF!,DATA!#REF!,1,FALSE),"")</f>
        <v/>
      </c>
      <c r="D4661" s="16" t="str">
        <f>IFERROR(VLOOKUP(C4661,DATA!#REF!,2,FALSE),"")</f>
        <v/>
      </c>
    </row>
    <row r="4662" spans="3:4" s="230" customFormat="1">
      <c r="C4662" s="16" t="str">
        <f>IFERROR(VLOOKUP(DATA!#REF!,DATA!#REF!,1,FALSE),"")</f>
        <v/>
      </c>
      <c r="D4662" s="16" t="str">
        <f>IFERROR(VLOOKUP(C4662,DATA!#REF!,2,FALSE),"")</f>
        <v/>
      </c>
    </row>
    <row r="4663" spans="3:4" s="230" customFormat="1">
      <c r="C4663" s="16" t="str">
        <f>IFERROR(VLOOKUP(DATA!#REF!,DATA!#REF!,1,FALSE),"")</f>
        <v/>
      </c>
      <c r="D4663" s="16" t="str">
        <f>IFERROR(VLOOKUP(C4663,DATA!#REF!,2,FALSE),"")</f>
        <v/>
      </c>
    </row>
    <row r="4664" spans="3:4" s="230" customFormat="1">
      <c r="C4664" s="16" t="str">
        <f>IFERROR(VLOOKUP(DATA!#REF!,DATA!#REF!,1,FALSE),"")</f>
        <v/>
      </c>
      <c r="D4664" s="16" t="str">
        <f>IFERROR(VLOOKUP(C4664,DATA!#REF!,2,FALSE),"")</f>
        <v/>
      </c>
    </row>
    <row r="4665" spans="3:4" s="230" customFormat="1">
      <c r="C4665" s="16" t="str">
        <f>IFERROR(VLOOKUP(DATA!#REF!,DATA!#REF!,1,FALSE),"")</f>
        <v/>
      </c>
      <c r="D4665" s="16" t="str">
        <f>IFERROR(VLOOKUP(C4665,DATA!#REF!,2,FALSE),"")</f>
        <v/>
      </c>
    </row>
    <row r="4666" spans="3:4" s="230" customFormat="1">
      <c r="C4666" s="16" t="str">
        <f>IFERROR(VLOOKUP(DATA!#REF!,DATA!#REF!,1,FALSE),"")</f>
        <v/>
      </c>
      <c r="D4666" s="16" t="str">
        <f>IFERROR(VLOOKUP(C4666,DATA!#REF!,2,FALSE),"")</f>
        <v/>
      </c>
    </row>
    <row r="4667" spans="3:4" s="230" customFormat="1">
      <c r="C4667" s="16" t="str">
        <f>IFERROR(VLOOKUP(DATA!#REF!,DATA!#REF!,1,FALSE),"")</f>
        <v/>
      </c>
      <c r="D4667" s="16" t="str">
        <f>IFERROR(VLOOKUP(C4667,DATA!#REF!,2,FALSE),"")</f>
        <v/>
      </c>
    </row>
    <row r="4668" spans="3:4" s="230" customFormat="1">
      <c r="C4668" s="16" t="str">
        <f>IFERROR(VLOOKUP(DATA!#REF!,DATA!#REF!,1,FALSE),"")</f>
        <v/>
      </c>
      <c r="D4668" s="16" t="str">
        <f>IFERROR(VLOOKUP(C4668,DATA!#REF!,2,FALSE),"")</f>
        <v/>
      </c>
    </row>
    <row r="4669" spans="3:4" s="230" customFormat="1">
      <c r="C4669" s="16" t="str">
        <f>IFERROR(VLOOKUP(DATA!#REF!,DATA!#REF!,1,FALSE),"")</f>
        <v/>
      </c>
      <c r="D4669" s="16" t="str">
        <f>IFERROR(VLOOKUP(C4669,DATA!#REF!,2,FALSE),"")</f>
        <v/>
      </c>
    </row>
    <row r="4670" spans="3:4" s="230" customFormat="1">
      <c r="C4670" s="16" t="str">
        <f>IFERROR(VLOOKUP(DATA!#REF!,DATA!#REF!,1,FALSE),"")</f>
        <v/>
      </c>
      <c r="D4670" s="16" t="str">
        <f>IFERROR(VLOOKUP(C4670,DATA!#REF!,2,FALSE),"")</f>
        <v/>
      </c>
    </row>
    <row r="4671" spans="3:4" s="230" customFormat="1">
      <c r="C4671" s="16" t="str">
        <f>IFERROR(VLOOKUP(DATA!#REF!,DATA!#REF!,1,FALSE),"")</f>
        <v/>
      </c>
      <c r="D4671" s="16" t="str">
        <f>IFERROR(VLOOKUP(C4671,DATA!#REF!,2,FALSE),"")</f>
        <v/>
      </c>
    </row>
    <row r="4672" spans="3:4" s="230" customFormat="1">
      <c r="C4672" s="16" t="str">
        <f>IFERROR(VLOOKUP(DATA!#REF!,DATA!#REF!,1,FALSE),"")</f>
        <v/>
      </c>
      <c r="D4672" s="16" t="str">
        <f>IFERROR(VLOOKUP(C4672,DATA!#REF!,2,FALSE),"")</f>
        <v/>
      </c>
    </row>
    <row r="4673" spans="3:4" s="230" customFormat="1">
      <c r="C4673" s="16" t="str">
        <f>IFERROR(VLOOKUP(DATA!#REF!,DATA!#REF!,1,FALSE),"")</f>
        <v/>
      </c>
      <c r="D4673" s="16" t="str">
        <f>IFERROR(VLOOKUP(C4673,DATA!#REF!,2,FALSE),"")</f>
        <v/>
      </c>
    </row>
    <row r="4674" spans="3:4" s="230" customFormat="1">
      <c r="C4674" s="16" t="str">
        <f>IFERROR(VLOOKUP(DATA!#REF!,DATA!#REF!,1,FALSE),"")</f>
        <v/>
      </c>
      <c r="D4674" s="16" t="str">
        <f>IFERROR(VLOOKUP(C4674,DATA!#REF!,2,FALSE),"")</f>
        <v/>
      </c>
    </row>
    <row r="4675" spans="3:4" s="230" customFormat="1">
      <c r="C4675" s="16" t="str">
        <f>IFERROR(VLOOKUP(DATA!#REF!,DATA!#REF!,1,FALSE),"")</f>
        <v/>
      </c>
      <c r="D4675" s="16" t="str">
        <f>IFERROR(VLOOKUP(C4675,DATA!#REF!,2,FALSE),"")</f>
        <v/>
      </c>
    </row>
    <row r="4676" spans="3:4" s="230" customFormat="1">
      <c r="C4676" s="16" t="str">
        <f>IFERROR(VLOOKUP(DATA!#REF!,DATA!#REF!,1,FALSE),"")</f>
        <v/>
      </c>
      <c r="D4676" s="16" t="str">
        <f>IFERROR(VLOOKUP(C4676,DATA!#REF!,2,FALSE),"")</f>
        <v/>
      </c>
    </row>
    <row r="4677" spans="3:4" s="230" customFormat="1">
      <c r="C4677" s="16" t="str">
        <f>IFERROR(VLOOKUP(DATA!#REF!,DATA!#REF!,1,FALSE),"")</f>
        <v/>
      </c>
      <c r="D4677" s="16" t="str">
        <f>IFERROR(VLOOKUP(C4677,DATA!#REF!,2,FALSE),"")</f>
        <v/>
      </c>
    </row>
    <row r="4678" spans="3:4" s="230" customFormat="1">
      <c r="C4678" s="16" t="str">
        <f>IFERROR(VLOOKUP(DATA!#REF!,DATA!#REF!,1,FALSE),"")</f>
        <v/>
      </c>
      <c r="D4678" s="16" t="str">
        <f>IFERROR(VLOOKUP(C4678,DATA!#REF!,2,FALSE),"")</f>
        <v/>
      </c>
    </row>
    <row r="4679" spans="3:4" s="230" customFormat="1">
      <c r="C4679" s="16" t="str">
        <f>IFERROR(VLOOKUP(DATA!#REF!,DATA!#REF!,1,FALSE),"")</f>
        <v/>
      </c>
      <c r="D4679" s="16" t="str">
        <f>IFERROR(VLOOKUP(C4679,DATA!#REF!,2,FALSE),"")</f>
        <v/>
      </c>
    </row>
    <row r="4680" spans="3:4" s="230" customFormat="1">
      <c r="C4680" s="16" t="str">
        <f>IFERROR(VLOOKUP(DATA!#REF!,DATA!#REF!,1,FALSE),"")</f>
        <v/>
      </c>
      <c r="D4680" s="16" t="str">
        <f>IFERROR(VLOOKUP(C4680,DATA!#REF!,2,FALSE),"")</f>
        <v/>
      </c>
    </row>
    <row r="4681" spans="3:4" s="230" customFormat="1">
      <c r="C4681" s="16" t="str">
        <f>IFERROR(VLOOKUP(DATA!#REF!,DATA!#REF!,1,FALSE),"")</f>
        <v/>
      </c>
      <c r="D4681" s="16" t="str">
        <f>IFERROR(VLOOKUP(C4681,DATA!#REF!,2,FALSE),"")</f>
        <v/>
      </c>
    </row>
    <row r="4682" spans="3:4" s="230" customFormat="1">
      <c r="C4682" s="16" t="str">
        <f>IFERROR(VLOOKUP(DATA!#REF!,DATA!#REF!,1,FALSE),"")</f>
        <v/>
      </c>
      <c r="D4682" s="16" t="str">
        <f>IFERROR(VLOOKUP(C4682,DATA!#REF!,2,FALSE),"")</f>
        <v/>
      </c>
    </row>
    <row r="4683" spans="3:4" s="230" customFormat="1">
      <c r="C4683" s="16" t="str">
        <f>IFERROR(VLOOKUP(DATA!#REF!,DATA!#REF!,1,FALSE),"")</f>
        <v/>
      </c>
      <c r="D4683" s="16" t="str">
        <f>IFERROR(VLOOKUP(C4683,DATA!#REF!,2,FALSE),"")</f>
        <v/>
      </c>
    </row>
    <row r="4684" spans="3:4" s="230" customFormat="1">
      <c r="C4684" s="16" t="str">
        <f>IFERROR(VLOOKUP(DATA!#REF!,DATA!#REF!,1,FALSE),"")</f>
        <v/>
      </c>
      <c r="D4684" s="16" t="str">
        <f>IFERROR(VLOOKUP(C4684,DATA!#REF!,2,FALSE),"")</f>
        <v/>
      </c>
    </row>
    <row r="4685" spans="3:4" s="230" customFormat="1">
      <c r="C4685" s="16" t="str">
        <f>IFERROR(VLOOKUP(DATA!#REF!,DATA!#REF!,1,FALSE),"")</f>
        <v/>
      </c>
      <c r="D4685" s="16" t="str">
        <f>IFERROR(VLOOKUP(C4685,DATA!#REF!,2,FALSE),"")</f>
        <v/>
      </c>
    </row>
    <row r="4686" spans="3:4" s="230" customFormat="1">
      <c r="C4686" s="16" t="str">
        <f>IFERROR(VLOOKUP(DATA!#REF!,DATA!#REF!,1,FALSE),"")</f>
        <v/>
      </c>
      <c r="D4686" s="16" t="str">
        <f>IFERROR(VLOOKUP(C4686,DATA!#REF!,2,FALSE),"")</f>
        <v/>
      </c>
    </row>
    <row r="4687" spans="3:4" s="230" customFormat="1">
      <c r="C4687" s="16" t="str">
        <f>IFERROR(VLOOKUP(DATA!#REF!,DATA!#REF!,1,FALSE),"")</f>
        <v/>
      </c>
      <c r="D4687" s="16" t="str">
        <f>IFERROR(VLOOKUP(C4687,DATA!#REF!,2,FALSE),"")</f>
        <v/>
      </c>
    </row>
    <row r="4688" spans="3:4" s="230" customFormat="1">
      <c r="C4688" s="16" t="str">
        <f>IFERROR(VLOOKUP(DATA!#REF!,DATA!#REF!,1,FALSE),"")</f>
        <v/>
      </c>
      <c r="D4688" s="16" t="str">
        <f>IFERROR(VLOOKUP(C4688,DATA!#REF!,2,FALSE),"")</f>
        <v/>
      </c>
    </row>
    <row r="4689" spans="3:4" s="230" customFormat="1">
      <c r="C4689" s="16" t="str">
        <f>IFERROR(VLOOKUP(DATA!#REF!,DATA!#REF!,1,FALSE),"")</f>
        <v/>
      </c>
      <c r="D4689" s="16" t="str">
        <f>IFERROR(VLOOKUP(C4689,DATA!#REF!,2,FALSE),"")</f>
        <v/>
      </c>
    </row>
    <row r="4690" spans="3:4" s="230" customFormat="1">
      <c r="C4690" s="16" t="str">
        <f>IFERROR(VLOOKUP(DATA!#REF!,DATA!#REF!,1,FALSE),"")</f>
        <v/>
      </c>
      <c r="D4690" s="16" t="str">
        <f>IFERROR(VLOOKUP(C4690,DATA!#REF!,2,FALSE),"")</f>
        <v/>
      </c>
    </row>
    <row r="4691" spans="3:4" s="230" customFormat="1">
      <c r="C4691" s="16" t="str">
        <f>IFERROR(VLOOKUP(DATA!#REF!,DATA!#REF!,1,FALSE),"")</f>
        <v/>
      </c>
      <c r="D4691" s="16" t="str">
        <f>IFERROR(VLOOKUP(C4691,DATA!#REF!,2,FALSE),"")</f>
        <v/>
      </c>
    </row>
    <row r="4692" spans="3:4" s="230" customFormat="1">
      <c r="C4692" s="16" t="str">
        <f>IFERROR(VLOOKUP(DATA!#REF!,DATA!#REF!,1,FALSE),"")</f>
        <v/>
      </c>
      <c r="D4692" s="16" t="str">
        <f>IFERROR(VLOOKUP(C4692,DATA!#REF!,2,FALSE),"")</f>
        <v/>
      </c>
    </row>
    <row r="4693" spans="3:4" s="230" customFormat="1">
      <c r="C4693" s="16" t="str">
        <f>IFERROR(VLOOKUP(DATA!#REF!,DATA!#REF!,1,FALSE),"")</f>
        <v/>
      </c>
      <c r="D4693" s="16" t="str">
        <f>IFERROR(VLOOKUP(C4693,DATA!#REF!,2,FALSE),"")</f>
        <v/>
      </c>
    </row>
    <row r="4694" spans="3:4" s="230" customFormat="1">
      <c r="C4694" s="16" t="str">
        <f>IFERROR(VLOOKUP(DATA!#REF!,DATA!#REF!,1,FALSE),"")</f>
        <v/>
      </c>
      <c r="D4694" s="16" t="str">
        <f>IFERROR(VLOOKUP(C4694,DATA!#REF!,2,FALSE),"")</f>
        <v/>
      </c>
    </row>
    <row r="4695" spans="3:4" s="230" customFormat="1">
      <c r="C4695" s="16" t="str">
        <f>IFERROR(VLOOKUP(DATA!#REF!,DATA!#REF!,1,FALSE),"")</f>
        <v/>
      </c>
      <c r="D4695" s="16" t="str">
        <f>IFERROR(VLOOKUP(C4695,DATA!#REF!,2,FALSE),"")</f>
        <v/>
      </c>
    </row>
    <row r="4696" spans="3:4" s="230" customFormat="1">
      <c r="C4696" s="16" t="str">
        <f>IFERROR(VLOOKUP(DATA!#REF!,DATA!#REF!,1,FALSE),"")</f>
        <v/>
      </c>
      <c r="D4696" s="16" t="str">
        <f>IFERROR(VLOOKUP(C4696,DATA!#REF!,2,FALSE),"")</f>
        <v/>
      </c>
    </row>
    <row r="4697" spans="3:4" s="230" customFormat="1">
      <c r="C4697" s="16" t="str">
        <f>IFERROR(VLOOKUP(DATA!#REF!,DATA!#REF!,1,FALSE),"")</f>
        <v/>
      </c>
      <c r="D4697" s="16" t="str">
        <f>IFERROR(VLOOKUP(C4697,DATA!#REF!,2,FALSE),"")</f>
        <v/>
      </c>
    </row>
    <row r="4698" spans="3:4" s="230" customFormat="1">
      <c r="C4698" s="16" t="str">
        <f>IFERROR(VLOOKUP(DATA!#REF!,DATA!#REF!,1,FALSE),"")</f>
        <v/>
      </c>
      <c r="D4698" s="16" t="str">
        <f>IFERROR(VLOOKUP(C4698,DATA!#REF!,2,FALSE),"")</f>
        <v/>
      </c>
    </row>
    <row r="4699" spans="3:4" s="230" customFormat="1">
      <c r="C4699" s="16" t="str">
        <f>IFERROR(VLOOKUP(DATA!#REF!,DATA!#REF!,1,FALSE),"")</f>
        <v/>
      </c>
      <c r="D4699" s="16" t="str">
        <f>IFERROR(VLOOKUP(C4699,DATA!#REF!,2,FALSE),"")</f>
        <v/>
      </c>
    </row>
    <row r="4700" spans="3:4" s="230" customFormat="1">
      <c r="C4700" s="16" t="str">
        <f>IFERROR(VLOOKUP(DATA!#REF!,DATA!#REF!,1,FALSE),"")</f>
        <v/>
      </c>
      <c r="D4700" s="16" t="str">
        <f>IFERROR(VLOOKUP(C4700,DATA!#REF!,2,FALSE),"")</f>
        <v/>
      </c>
    </row>
    <row r="4701" spans="3:4" s="230" customFormat="1">
      <c r="C4701" s="16" t="str">
        <f>IFERROR(VLOOKUP(DATA!#REF!,DATA!#REF!,1,FALSE),"")</f>
        <v/>
      </c>
      <c r="D4701" s="16" t="str">
        <f>IFERROR(VLOOKUP(C4701,DATA!#REF!,2,FALSE),"")</f>
        <v/>
      </c>
    </row>
    <row r="4702" spans="3:4" s="230" customFormat="1">
      <c r="C4702" s="16" t="str">
        <f>IFERROR(VLOOKUP(DATA!#REF!,DATA!#REF!,1,FALSE),"")</f>
        <v/>
      </c>
      <c r="D4702" s="16" t="str">
        <f>IFERROR(VLOOKUP(C4702,DATA!#REF!,2,FALSE),"")</f>
        <v/>
      </c>
    </row>
    <row r="4703" spans="3:4" s="230" customFormat="1">
      <c r="C4703" s="16" t="str">
        <f>IFERROR(VLOOKUP(DATA!#REF!,DATA!#REF!,1,FALSE),"")</f>
        <v/>
      </c>
      <c r="D4703" s="16" t="str">
        <f>IFERROR(VLOOKUP(C4703,DATA!#REF!,2,FALSE),"")</f>
        <v/>
      </c>
    </row>
    <row r="4704" spans="3:4" s="230" customFormat="1">
      <c r="C4704" s="16" t="str">
        <f>IFERROR(VLOOKUP(DATA!#REF!,DATA!#REF!,1,FALSE),"")</f>
        <v/>
      </c>
      <c r="D4704" s="16" t="str">
        <f>IFERROR(VLOOKUP(C4704,DATA!#REF!,2,FALSE),"")</f>
        <v/>
      </c>
    </row>
    <row r="4705" spans="3:4" s="230" customFormat="1">
      <c r="C4705" s="16" t="str">
        <f>IFERROR(VLOOKUP(DATA!#REF!,DATA!#REF!,1,FALSE),"")</f>
        <v/>
      </c>
      <c r="D4705" s="16" t="str">
        <f>IFERROR(VLOOKUP(C4705,DATA!#REF!,2,FALSE),"")</f>
        <v/>
      </c>
    </row>
    <row r="4706" spans="3:4" s="230" customFormat="1">
      <c r="C4706" s="16" t="str">
        <f>IFERROR(VLOOKUP(DATA!#REF!,DATA!#REF!,1,FALSE),"")</f>
        <v/>
      </c>
      <c r="D4706" s="16" t="str">
        <f>IFERROR(VLOOKUP(C4706,DATA!#REF!,2,FALSE),"")</f>
        <v/>
      </c>
    </row>
    <row r="4707" spans="3:4" s="230" customFormat="1">
      <c r="C4707" s="16" t="str">
        <f>IFERROR(VLOOKUP(DATA!#REF!,DATA!#REF!,1,FALSE),"")</f>
        <v/>
      </c>
      <c r="D4707" s="16" t="str">
        <f>IFERROR(VLOOKUP(C4707,DATA!#REF!,2,FALSE),"")</f>
        <v/>
      </c>
    </row>
    <row r="4708" spans="3:4" s="230" customFormat="1">
      <c r="C4708" s="16" t="str">
        <f>IFERROR(VLOOKUP(DATA!#REF!,DATA!#REF!,1,FALSE),"")</f>
        <v/>
      </c>
      <c r="D4708" s="16" t="str">
        <f>IFERROR(VLOOKUP(C4708,DATA!#REF!,2,FALSE),"")</f>
        <v/>
      </c>
    </row>
    <row r="4709" spans="3:4" s="230" customFormat="1">
      <c r="C4709" s="16" t="str">
        <f>IFERROR(VLOOKUP(DATA!#REF!,DATA!#REF!,1,FALSE),"")</f>
        <v/>
      </c>
      <c r="D4709" s="16" t="str">
        <f>IFERROR(VLOOKUP(C4709,DATA!#REF!,2,FALSE),"")</f>
        <v/>
      </c>
    </row>
    <row r="4710" spans="3:4" s="230" customFormat="1">
      <c r="C4710" s="16" t="str">
        <f>IFERROR(VLOOKUP(DATA!#REF!,DATA!#REF!,1,FALSE),"")</f>
        <v/>
      </c>
      <c r="D4710" s="16" t="str">
        <f>IFERROR(VLOOKUP(C4710,DATA!#REF!,2,FALSE),"")</f>
        <v/>
      </c>
    </row>
    <row r="4711" spans="3:4" s="230" customFormat="1">
      <c r="C4711" s="16" t="str">
        <f>IFERROR(VLOOKUP(DATA!#REF!,DATA!#REF!,1,FALSE),"")</f>
        <v/>
      </c>
      <c r="D4711" s="16" t="str">
        <f>IFERROR(VLOOKUP(C4711,DATA!#REF!,2,FALSE),"")</f>
        <v/>
      </c>
    </row>
    <row r="4712" spans="3:4" s="230" customFormat="1">
      <c r="C4712" s="16" t="str">
        <f>IFERROR(VLOOKUP(DATA!#REF!,DATA!#REF!,1,FALSE),"")</f>
        <v/>
      </c>
      <c r="D4712" s="16" t="str">
        <f>IFERROR(VLOOKUP(C4712,DATA!#REF!,2,FALSE),"")</f>
        <v/>
      </c>
    </row>
    <row r="4713" spans="3:4" s="230" customFormat="1">
      <c r="C4713" s="16" t="str">
        <f>IFERROR(VLOOKUP(DATA!#REF!,DATA!#REF!,1,FALSE),"")</f>
        <v/>
      </c>
      <c r="D4713" s="16" t="str">
        <f>IFERROR(VLOOKUP(C4713,DATA!#REF!,2,FALSE),"")</f>
        <v/>
      </c>
    </row>
    <row r="4714" spans="3:4" s="230" customFormat="1">
      <c r="C4714" s="16" t="str">
        <f>IFERROR(VLOOKUP(DATA!#REF!,DATA!#REF!,1,FALSE),"")</f>
        <v/>
      </c>
      <c r="D4714" s="16" t="str">
        <f>IFERROR(VLOOKUP(C4714,DATA!#REF!,2,FALSE),"")</f>
        <v/>
      </c>
    </row>
    <row r="4715" spans="3:4" s="230" customFormat="1">
      <c r="C4715" s="16" t="str">
        <f>IFERROR(VLOOKUP(DATA!#REF!,DATA!#REF!,1,FALSE),"")</f>
        <v/>
      </c>
      <c r="D4715" s="16" t="str">
        <f>IFERROR(VLOOKUP(C4715,DATA!#REF!,2,FALSE),"")</f>
        <v/>
      </c>
    </row>
    <row r="4716" spans="3:4" s="230" customFormat="1">
      <c r="C4716" s="16" t="str">
        <f>IFERROR(VLOOKUP(DATA!#REF!,DATA!#REF!,1,FALSE),"")</f>
        <v/>
      </c>
      <c r="D4716" s="16" t="str">
        <f>IFERROR(VLOOKUP(C4716,DATA!#REF!,2,FALSE),"")</f>
        <v/>
      </c>
    </row>
    <row r="4717" spans="3:4" s="230" customFormat="1">
      <c r="C4717" s="16" t="str">
        <f>IFERROR(VLOOKUP(DATA!#REF!,DATA!#REF!,1,FALSE),"")</f>
        <v/>
      </c>
      <c r="D4717" s="16" t="str">
        <f>IFERROR(VLOOKUP(C4717,DATA!#REF!,2,FALSE),"")</f>
        <v/>
      </c>
    </row>
    <row r="4718" spans="3:4" s="230" customFormat="1">
      <c r="C4718" s="16" t="str">
        <f>IFERROR(VLOOKUP(DATA!#REF!,DATA!#REF!,1,FALSE),"")</f>
        <v/>
      </c>
      <c r="D4718" s="16" t="str">
        <f>IFERROR(VLOOKUP(C4718,DATA!#REF!,2,FALSE),"")</f>
        <v/>
      </c>
    </row>
    <row r="4719" spans="3:4" s="230" customFormat="1">
      <c r="C4719" s="16" t="str">
        <f>IFERROR(VLOOKUP(DATA!#REF!,DATA!#REF!,1,FALSE),"")</f>
        <v/>
      </c>
      <c r="D4719" s="16" t="str">
        <f>IFERROR(VLOOKUP(C4719,DATA!#REF!,2,FALSE),"")</f>
        <v/>
      </c>
    </row>
    <row r="4720" spans="3:4" s="230" customFormat="1">
      <c r="C4720" s="16" t="str">
        <f>IFERROR(VLOOKUP(DATA!#REF!,DATA!#REF!,1,FALSE),"")</f>
        <v/>
      </c>
      <c r="D4720" s="16" t="str">
        <f>IFERROR(VLOOKUP(C4720,DATA!#REF!,2,FALSE),"")</f>
        <v/>
      </c>
    </row>
    <row r="4721" spans="3:4" s="230" customFormat="1">
      <c r="C4721" s="16" t="str">
        <f>IFERROR(VLOOKUP(DATA!#REF!,DATA!#REF!,1,FALSE),"")</f>
        <v/>
      </c>
      <c r="D4721" s="16" t="str">
        <f>IFERROR(VLOOKUP(C4721,DATA!#REF!,2,FALSE),"")</f>
        <v/>
      </c>
    </row>
    <row r="4722" spans="3:4" s="230" customFormat="1">
      <c r="C4722" s="16" t="str">
        <f>IFERROR(VLOOKUP(DATA!#REF!,DATA!#REF!,1,FALSE),"")</f>
        <v/>
      </c>
      <c r="D4722" s="16" t="str">
        <f>IFERROR(VLOOKUP(C4722,DATA!#REF!,2,FALSE),"")</f>
        <v/>
      </c>
    </row>
    <row r="4723" spans="3:4" s="230" customFormat="1">
      <c r="C4723" s="16" t="str">
        <f>IFERROR(VLOOKUP(DATA!#REF!,DATA!#REF!,1,FALSE),"")</f>
        <v/>
      </c>
      <c r="D4723" s="16" t="str">
        <f>IFERROR(VLOOKUP(C4723,DATA!#REF!,2,FALSE),"")</f>
        <v/>
      </c>
    </row>
    <row r="4724" spans="3:4" s="230" customFormat="1">
      <c r="C4724" s="16" t="str">
        <f>IFERROR(VLOOKUP(DATA!#REF!,DATA!#REF!,1,FALSE),"")</f>
        <v/>
      </c>
      <c r="D4724" s="16" t="str">
        <f>IFERROR(VLOOKUP(C4724,DATA!#REF!,2,FALSE),"")</f>
        <v/>
      </c>
    </row>
    <row r="4725" spans="3:4" s="230" customFormat="1">
      <c r="C4725" s="16" t="str">
        <f>IFERROR(VLOOKUP(DATA!#REF!,DATA!#REF!,1,FALSE),"")</f>
        <v/>
      </c>
      <c r="D4725" s="16" t="str">
        <f>IFERROR(VLOOKUP(C4725,DATA!#REF!,2,FALSE),"")</f>
        <v/>
      </c>
    </row>
    <row r="4726" spans="3:4" s="230" customFormat="1">
      <c r="C4726" s="16" t="str">
        <f>IFERROR(VLOOKUP(DATA!#REF!,DATA!#REF!,1,FALSE),"")</f>
        <v/>
      </c>
      <c r="D4726" s="16" t="str">
        <f>IFERROR(VLOOKUP(C4726,DATA!#REF!,2,FALSE),"")</f>
        <v/>
      </c>
    </row>
    <row r="4727" spans="3:4" s="230" customFormat="1">
      <c r="C4727" s="16" t="str">
        <f>IFERROR(VLOOKUP(DATA!#REF!,DATA!#REF!,1,FALSE),"")</f>
        <v/>
      </c>
      <c r="D4727" s="16" t="str">
        <f>IFERROR(VLOOKUP(C4727,DATA!#REF!,2,FALSE),"")</f>
        <v/>
      </c>
    </row>
    <row r="4728" spans="3:4" s="230" customFormat="1">
      <c r="C4728" s="16" t="str">
        <f>IFERROR(VLOOKUP(DATA!#REF!,DATA!#REF!,1,FALSE),"")</f>
        <v/>
      </c>
      <c r="D4728" s="16" t="str">
        <f>IFERROR(VLOOKUP(C4728,DATA!#REF!,2,FALSE),"")</f>
        <v/>
      </c>
    </row>
    <row r="4729" spans="3:4" s="230" customFormat="1">
      <c r="C4729" s="16" t="str">
        <f>IFERROR(VLOOKUP(DATA!#REF!,DATA!#REF!,1,FALSE),"")</f>
        <v/>
      </c>
      <c r="D4729" s="16" t="str">
        <f>IFERROR(VLOOKUP(C4729,DATA!#REF!,2,FALSE),"")</f>
        <v/>
      </c>
    </row>
    <row r="4730" spans="3:4" s="230" customFormat="1">
      <c r="C4730" s="16" t="str">
        <f>IFERROR(VLOOKUP(DATA!#REF!,DATA!#REF!,1,FALSE),"")</f>
        <v/>
      </c>
      <c r="D4730" s="16" t="str">
        <f>IFERROR(VLOOKUP(C4730,DATA!#REF!,2,FALSE),"")</f>
        <v/>
      </c>
    </row>
    <row r="4731" spans="3:4" s="230" customFormat="1">
      <c r="C4731" s="16" t="str">
        <f>IFERROR(VLOOKUP(DATA!#REF!,DATA!#REF!,1,FALSE),"")</f>
        <v/>
      </c>
      <c r="D4731" s="16" t="str">
        <f>IFERROR(VLOOKUP(C4731,DATA!#REF!,2,FALSE),"")</f>
        <v/>
      </c>
    </row>
    <row r="4732" spans="3:4" s="230" customFormat="1">
      <c r="C4732" s="16" t="str">
        <f>IFERROR(VLOOKUP(DATA!#REF!,DATA!#REF!,1,FALSE),"")</f>
        <v/>
      </c>
      <c r="D4732" s="16" t="str">
        <f>IFERROR(VLOOKUP(C4732,DATA!#REF!,2,FALSE),"")</f>
        <v/>
      </c>
    </row>
    <row r="4733" spans="3:4" s="230" customFormat="1">
      <c r="C4733" s="16" t="str">
        <f>IFERROR(VLOOKUP(DATA!#REF!,DATA!#REF!,1,FALSE),"")</f>
        <v/>
      </c>
      <c r="D4733" s="16" t="str">
        <f>IFERROR(VLOOKUP(C4733,DATA!#REF!,2,FALSE),"")</f>
        <v/>
      </c>
    </row>
    <row r="4734" spans="3:4" s="230" customFormat="1">
      <c r="C4734" s="16" t="str">
        <f>IFERROR(VLOOKUP(DATA!#REF!,DATA!#REF!,1,FALSE),"")</f>
        <v/>
      </c>
      <c r="D4734" s="16" t="str">
        <f>IFERROR(VLOOKUP(C4734,DATA!#REF!,2,FALSE),"")</f>
        <v/>
      </c>
    </row>
    <row r="4735" spans="3:4" s="230" customFormat="1">
      <c r="C4735" s="16" t="str">
        <f>IFERROR(VLOOKUP(DATA!#REF!,DATA!#REF!,1,FALSE),"")</f>
        <v/>
      </c>
      <c r="D4735" s="16" t="str">
        <f>IFERROR(VLOOKUP(C4735,DATA!#REF!,2,FALSE),"")</f>
        <v/>
      </c>
    </row>
    <row r="4736" spans="3:4" s="230" customFormat="1">
      <c r="C4736" s="16" t="str">
        <f>IFERROR(VLOOKUP(DATA!#REF!,DATA!#REF!,1,FALSE),"")</f>
        <v/>
      </c>
      <c r="D4736" s="16" t="str">
        <f>IFERROR(VLOOKUP(C4736,DATA!#REF!,2,FALSE),"")</f>
        <v/>
      </c>
    </row>
    <row r="4737" spans="3:4" s="230" customFormat="1">
      <c r="C4737" s="16" t="str">
        <f>IFERROR(VLOOKUP(DATA!#REF!,DATA!#REF!,1,FALSE),"")</f>
        <v/>
      </c>
      <c r="D4737" s="16" t="str">
        <f>IFERROR(VLOOKUP(C4737,DATA!#REF!,2,FALSE),"")</f>
        <v/>
      </c>
    </row>
    <row r="4738" spans="3:4" s="230" customFormat="1">
      <c r="C4738" s="16" t="str">
        <f>IFERROR(VLOOKUP(DATA!#REF!,DATA!#REF!,1,FALSE),"")</f>
        <v/>
      </c>
      <c r="D4738" s="16" t="str">
        <f>IFERROR(VLOOKUP(C4738,DATA!#REF!,2,FALSE),"")</f>
        <v/>
      </c>
    </row>
    <row r="4739" spans="3:4" s="230" customFormat="1">
      <c r="C4739" s="16" t="str">
        <f>IFERROR(VLOOKUP(DATA!#REF!,DATA!#REF!,1,FALSE),"")</f>
        <v/>
      </c>
      <c r="D4739" s="16" t="str">
        <f>IFERROR(VLOOKUP(C4739,DATA!#REF!,2,FALSE),"")</f>
        <v/>
      </c>
    </row>
    <row r="4740" spans="3:4" s="230" customFormat="1">
      <c r="C4740" s="16" t="str">
        <f>IFERROR(VLOOKUP(DATA!#REF!,DATA!#REF!,1,FALSE),"")</f>
        <v/>
      </c>
      <c r="D4740" s="16" t="str">
        <f>IFERROR(VLOOKUP(C4740,DATA!#REF!,2,FALSE),"")</f>
        <v/>
      </c>
    </row>
    <row r="4741" spans="3:4" s="230" customFormat="1">
      <c r="C4741" s="16" t="str">
        <f>IFERROR(VLOOKUP(DATA!#REF!,DATA!#REF!,1,FALSE),"")</f>
        <v/>
      </c>
      <c r="D4741" s="16" t="str">
        <f>IFERROR(VLOOKUP(C4741,DATA!#REF!,2,FALSE),"")</f>
        <v/>
      </c>
    </row>
    <row r="4742" spans="3:4" s="230" customFormat="1">
      <c r="C4742" s="16" t="str">
        <f>IFERROR(VLOOKUP(DATA!#REF!,DATA!#REF!,1,FALSE),"")</f>
        <v/>
      </c>
      <c r="D4742" s="16" t="str">
        <f>IFERROR(VLOOKUP(C4742,DATA!#REF!,2,FALSE),"")</f>
        <v/>
      </c>
    </row>
    <row r="4743" spans="3:4" s="230" customFormat="1">
      <c r="C4743" s="16" t="str">
        <f>IFERROR(VLOOKUP(DATA!#REF!,DATA!#REF!,1,FALSE),"")</f>
        <v/>
      </c>
      <c r="D4743" s="16" t="str">
        <f>IFERROR(VLOOKUP(C4743,DATA!#REF!,2,FALSE),"")</f>
        <v/>
      </c>
    </row>
    <row r="4744" spans="3:4" s="230" customFormat="1">
      <c r="C4744" s="16" t="str">
        <f>IFERROR(VLOOKUP(DATA!#REF!,DATA!#REF!,1,FALSE),"")</f>
        <v/>
      </c>
      <c r="D4744" s="16" t="str">
        <f>IFERROR(VLOOKUP(C4744,DATA!#REF!,2,FALSE),"")</f>
        <v/>
      </c>
    </row>
    <row r="4745" spans="3:4" s="230" customFormat="1">
      <c r="C4745" s="16" t="str">
        <f>IFERROR(VLOOKUP(DATA!#REF!,DATA!#REF!,1,FALSE),"")</f>
        <v/>
      </c>
      <c r="D4745" s="16" t="str">
        <f>IFERROR(VLOOKUP(C4745,DATA!#REF!,2,FALSE),"")</f>
        <v/>
      </c>
    </row>
    <row r="4746" spans="3:4" s="230" customFormat="1">
      <c r="C4746" s="16" t="str">
        <f>IFERROR(VLOOKUP(DATA!#REF!,DATA!#REF!,1,FALSE),"")</f>
        <v/>
      </c>
      <c r="D4746" s="16" t="str">
        <f>IFERROR(VLOOKUP(C4746,DATA!#REF!,2,FALSE),"")</f>
        <v/>
      </c>
    </row>
    <row r="4747" spans="3:4" s="230" customFormat="1">
      <c r="C4747" s="16" t="str">
        <f>IFERROR(VLOOKUP(DATA!#REF!,DATA!#REF!,1,FALSE),"")</f>
        <v/>
      </c>
      <c r="D4747" s="16" t="str">
        <f>IFERROR(VLOOKUP(C4747,DATA!#REF!,2,FALSE),"")</f>
        <v/>
      </c>
    </row>
    <row r="4748" spans="3:4" s="230" customFormat="1">
      <c r="C4748" s="16" t="str">
        <f>IFERROR(VLOOKUP(DATA!#REF!,DATA!#REF!,1,FALSE),"")</f>
        <v/>
      </c>
      <c r="D4748" s="16" t="str">
        <f>IFERROR(VLOOKUP(C4748,DATA!#REF!,2,FALSE),"")</f>
        <v/>
      </c>
    </row>
    <row r="4749" spans="3:4" s="230" customFormat="1">
      <c r="C4749" s="16" t="str">
        <f>IFERROR(VLOOKUP(DATA!#REF!,DATA!#REF!,1,FALSE),"")</f>
        <v/>
      </c>
      <c r="D4749" s="16" t="str">
        <f>IFERROR(VLOOKUP(C4749,DATA!#REF!,2,FALSE),"")</f>
        <v/>
      </c>
    </row>
    <row r="4750" spans="3:4" s="230" customFormat="1">
      <c r="C4750" s="16" t="str">
        <f>IFERROR(VLOOKUP(DATA!#REF!,DATA!#REF!,1,FALSE),"")</f>
        <v/>
      </c>
      <c r="D4750" s="16" t="str">
        <f>IFERROR(VLOOKUP(C4750,DATA!#REF!,2,FALSE),"")</f>
        <v/>
      </c>
    </row>
    <row r="4751" spans="3:4" s="230" customFormat="1">
      <c r="C4751" s="16" t="str">
        <f>IFERROR(VLOOKUP(DATA!#REF!,DATA!#REF!,1,FALSE),"")</f>
        <v/>
      </c>
      <c r="D4751" s="16" t="str">
        <f>IFERROR(VLOOKUP(C4751,DATA!#REF!,2,FALSE),"")</f>
        <v/>
      </c>
    </row>
    <row r="4752" spans="3:4" s="230" customFormat="1">
      <c r="C4752" s="16" t="str">
        <f>IFERROR(VLOOKUP(DATA!#REF!,DATA!#REF!,1,FALSE),"")</f>
        <v/>
      </c>
      <c r="D4752" s="16" t="str">
        <f>IFERROR(VLOOKUP(C4752,DATA!#REF!,2,FALSE),"")</f>
        <v/>
      </c>
    </row>
    <row r="4753" spans="3:4" s="230" customFormat="1">
      <c r="C4753" s="16" t="str">
        <f>IFERROR(VLOOKUP(DATA!#REF!,DATA!#REF!,1,FALSE),"")</f>
        <v/>
      </c>
      <c r="D4753" s="16" t="str">
        <f>IFERROR(VLOOKUP(C4753,DATA!#REF!,2,FALSE),"")</f>
        <v/>
      </c>
    </row>
    <row r="4754" spans="3:4" s="230" customFormat="1">
      <c r="C4754" s="16" t="str">
        <f>IFERROR(VLOOKUP(DATA!#REF!,DATA!#REF!,1,FALSE),"")</f>
        <v/>
      </c>
      <c r="D4754" s="16" t="str">
        <f>IFERROR(VLOOKUP(C4754,DATA!#REF!,2,FALSE),"")</f>
        <v/>
      </c>
    </row>
    <row r="4755" spans="3:4" s="230" customFormat="1">
      <c r="C4755" s="16" t="str">
        <f>IFERROR(VLOOKUP(DATA!#REF!,DATA!#REF!,1,FALSE),"")</f>
        <v/>
      </c>
      <c r="D4755" s="16" t="str">
        <f>IFERROR(VLOOKUP(C4755,DATA!#REF!,2,FALSE),"")</f>
        <v/>
      </c>
    </row>
    <row r="4756" spans="3:4" s="230" customFormat="1">
      <c r="C4756" s="16" t="str">
        <f>IFERROR(VLOOKUP(DATA!#REF!,DATA!#REF!,1,FALSE),"")</f>
        <v/>
      </c>
      <c r="D4756" s="16" t="str">
        <f>IFERROR(VLOOKUP(C4756,DATA!#REF!,2,FALSE),"")</f>
        <v/>
      </c>
    </row>
    <row r="4757" spans="3:4" s="230" customFormat="1">
      <c r="C4757" s="16" t="str">
        <f>IFERROR(VLOOKUP(DATA!#REF!,DATA!#REF!,1,FALSE),"")</f>
        <v/>
      </c>
      <c r="D4757" s="16" t="str">
        <f>IFERROR(VLOOKUP(C4757,DATA!#REF!,2,FALSE),"")</f>
        <v/>
      </c>
    </row>
    <row r="4758" spans="3:4" s="230" customFormat="1">
      <c r="C4758" s="16" t="str">
        <f>IFERROR(VLOOKUP(DATA!#REF!,DATA!#REF!,1,FALSE),"")</f>
        <v/>
      </c>
      <c r="D4758" s="16" t="str">
        <f>IFERROR(VLOOKUP(C4758,DATA!#REF!,2,FALSE),"")</f>
        <v/>
      </c>
    </row>
    <row r="4759" spans="3:4" s="230" customFormat="1">
      <c r="C4759" s="16" t="str">
        <f>IFERROR(VLOOKUP(DATA!#REF!,DATA!#REF!,1,FALSE),"")</f>
        <v/>
      </c>
      <c r="D4759" s="16" t="str">
        <f>IFERROR(VLOOKUP(C4759,DATA!#REF!,2,FALSE),"")</f>
        <v/>
      </c>
    </row>
    <row r="4760" spans="3:4" s="230" customFormat="1">
      <c r="C4760" s="16" t="str">
        <f>IFERROR(VLOOKUP(DATA!#REF!,DATA!#REF!,1,FALSE),"")</f>
        <v/>
      </c>
      <c r="D4760" s="16" t="str">
        <f>IFERROR(VLOOKUP(C4760,DATA!#REF!,2,FALSE),"")</f>
        <v/>
      </c>
    </row>
    <row r="4761" spans="3:4" s="230" customFormat="1">
      <c r="C4761" s="16" t="str">
        <f>IFERROR(VLOOKUP(DATA!#REF!,DATA!#REF!,1,FALSE),"")</f>
        <v/>
      </c>
      <c r="D4761" s="16" t="str">
        <f>IFERROR(VLOOKUP(C4761,DATA!#REF!,2,FALSE),"")</f>
        <v/>
      </c>
    </row>
    <row r="4762" spans="3:4" s="230" customFormat="1">
      <c r="C4762" s="16" t="str">
        <f>IFERROR(VLOOKUP(DATA!#REF!,DATA!#REF!,1,FALSE),"")</f>
        <v/>
      </c>
      <c r="D4762" s="16" t="str">
        <f>IFERROR(VLOOKUP(C4762,DATA!#REF!,2,FALSE),"")</f>
        <v/>
      </c>
    </row>
    <row r="4763" spans="3:4" s="230" customFormat="1">
      <c r="C4763" s="16" t="str">
        <f>IFERROR(VLOOKUP(DATA!#REF!,DATA!#REF!,1,FALSE),"")</f>
        <v/>
      </c>
      <c r="D4763" s="16" t="str">
        <f>IFERROR(VLOOKUP(C4763,DATA!#REF!,2,FALSE),"")</f>
        <v/>
      </c>
    </row>
    <row r="4764" spans="3:4" s="230" customFormat="1">
      <c r="C4764" s="16" t="str">
        <f>IFERROR(VLOOKUP(DATA!#REF!,DATA!#REF!,1,FALSE),"")</f>
        <v/>
      </c>
      <c r="D4764" s="16" t="str">
        <f>IFERROR(VLOOKUP(C4764,DATA!#REF!,2,FALSE),"")</f>
        <v/>
      </c>
    </row>
    <row r="4765" spans="3:4" s="230" customFormat="1">
      <c r="C4765" s="16" t="str">
        <f>IFERROR(VLOOKUP(DATA!#REF!,DATA!#REF!,1,FALSE),"")</f>
        <v/>
      </c>
      <c r="D4765" s="16" t="str">
        <f>IFERROR(VLOOKUP(C4765,DATA!#REF!,2,FALSE),"")</f>
        <v/>
      </c>
    </row>
    <row r="4766" spans="3:4" s="230" customFormat="1">
      <c r="C4766" s="16" t="str">
        <f>IFERROR(VLOOKUP(DATA!#REF!,DATA!#REF!,1,FALSE),"")</f>
        <v/>
      </c>
      <c r="D4766" s="16" t="str">
        <f>IFERROR(VLOOKUP(C4766,DATA!#REF!,2,FALSE),"")</f>
        <v/>
      </c>
    </row>
    <row r="4767" spans="3:4" s="230" customFormat="1">
      <c r="C4767" s="16" t="str">
        <f>IFERROR(VLOOKUP(DATA!#REF!,DATA!#REF!,1,FALSE),"")</f>
        <v/>
      </c>
      <c r="D4767" s="16" t="str">
        <f>IFERROR(VLOOKUP(C4767,DATA!#REF!,2,FALSE),"")</f>
        <v/>
      </c>
    </row>
    <row r="4768" spans="3:4" s="230" customFormat="1">
      <c r="C4768" s="16" t="str">
        <f>IFERROR(VLOOKUP(DATA!#REF!,DATA!#REF!,1,FALSE),"")</f>
        <v/>
      </c>
      <c r="D4768" s="16" t="str">
        <f>IFERROR(VLOOKUP(C4768,DATA!#REF!,2,FALSE),"")</f>
        <v/>
      </c>
    </row>
    <row r="4769" spans="3:4" s="230" customFormat="1">
      <c r="C4769" s="16" t="str">
        <f>IFERROR(VLOOKUP(DATA!#REF!,DATA!#REF!,1,FALSE),"")</f>
        <v/>
      </c>
      <c r="D4769" s="16" t="str">
        <f>IFERROR(VLOOKUP(C4769,DATA!#REF!,2,FALSE),"")</f>
        <v/>
      </c>
    </row>
    <row r="4770" spans="3:4" s="230" customFormat="1">
      <c r="C4770" s="16" t="str">
        <f>IFERROR(VLOOKUP(DATA!#REF!,DATA!#REF!,1,FALSE),"")</f>
        <v/>
      </c>
      <c r="D4770" s="16" t="str">
        <f>IFERROR(VLOOKUP(C4770,DATA!#REF!,2,FALSE),"")</f>
        <v/>
      </c>
    </row>
    <row r="4771" spans="3:4" s="230" customFormat="1">
      <c r="C4771" s="16" t="str">
        <f>IFERROR(VLOOKUP(DATA!#REF!,DATA!#REF!,1,FALSE),"")</f>
        <v/>
      </c>
      <c r="D4771" s="16" t="str">
        <f>IFERROR(VLOOKUP(C4771,DATA!#REF!,2,FALSE),"")</f>
        <v/>
      </c>
    </row>
    <row r="4772" spans="3:4" s="230" customFormat="1">
      <c r="C4772" s="16" t="str">
        <f>IFERROR(VLOOKUP(DATA!#REF!,DATA!#REF!,1,FALSE),"")</f>
        <v/>
      </c>
      <c r="D4772" s="16" t="str">
        <f>IFERROR(VLOOKUP(C4772,DATA!#REF!,2,FALSE),"")</f>
        <v/>
      </c>
    </row>
    <row r="4773" spans="3:4" s="230" customFormat="1">
      <c r="C4773" s="16" t="str">
        <f>IFERROR(VLOOKUP(DATA!#REF!,DATA!#REF!,1,FALSE),"")</f>
        <v/>
      </c>
      <c r="D4773" s="16" t="str">
        <f>IFERROR(VLOOKUP(C4773,DATA!#REF!,2,FALSE),"")</f>
        <v/>
      </c>
    </row>
    <row r="4774" spans="3:4" s="230" customFormat="1">
      <c r="C4774" s="16" t="str">
        <f>IFERROR(VLOOKUP(DATA!#REF!,DATA!#REF!,1,FALSE),"")</f>
        <v/>
      </c>
      <c r="D4774" s="16" t="str">
        <f>IFERROR(VLOOKUP(C4774,DATA!#REF!,2,FALSE),"")</f>
        <v/>
      </c>
    </row>
    <row r="4775" spans="3:4" s="230" customFormat="1">
      <c r="C4775" s="16" t="str">
        <f>IFERROR(VLOOKUP(DATA!#REF!,DATA!#REF!,1,FALSE),"")</f>
        <v/>
      </c>
      <c r="D4775" s="16" t="str">
        <f>IFERROR(VLOOKUP(C4775,DATA!#REF!,2,FALSE),"")</f>
        <v/>
      </c>
    </row>
    <row r="4776" spans="3:4" s="230" customFormat="1">
      <c r="C4776" s="16" t="str">
        <f>IFERROR(VLOOKUP(DATA!#REF!,DATA!#REF!,1,FALSE),"")</f>
        <v/>
      </c>
      <c r="D4776" s="16" t="str">
        <f>IFERROR(VLOOKUP(C4776,DATA!#REF!,2,FALSE),"")</f>
        <v/>
      </c>
    </row>
    <row r="4777" spans="3:4" s="230" customFormat="1">
      <c r="C4777" s="16" t="str">
        <f>IFERROR(VLOOKUP(DATA!#REF!,DATA!#REF!,1,FALSE),"")</f>
        <v/>
      </c>
      <c r="D4777" s="16" t="str">
        <f>IFERROR(VLOOKUP(C4777,DATA!#REF!,2,FALSE),"")</f>
        <v/>
      </c>
    </row>
    <row r="4778" spans="3:4" s="230" customFormat="1">
      <c r="C4778" s="16" t="str">
        <f>IFERROR(VLOOKUP(DATA!#REF!,DATA!#REF!,1,FALSE),"")</f>
        <v/>
      </c>
      <c r="D4778" s="16" t="str">
        <f>IFERROR(VLOOKUP(C4778,DATA!#REF!,2,FALSE),"")</f>
        <v/>
      </c>
    </row>
    <row r="4779" spans="3:4" s="230" customFormat="1">
      <c r="C4779" s="16" t="str">
        <f>IFERROR(VLOOKUP(DATA!#REF!,DATA!#REF!,1,FALSE),"")</f>
        <v/>
      </c>
      <c r="D4779" s="16" t="str">
        <f>IFERROR(VLOOKUP(C4779,DATA!#REF!,2,FALSE),"")</f>
        <v/>
      </c>
    </row>
    <row r="4780" spans="3:4" s="230" customFormat="1">
      <c r="C4780" s="16" t="str">
        <f>IFERROR(VLOOKUP(DATA!#REF!,DATA!#REF!,1,FALSE),"")</f>
        <v/>
      </c>
      <c r="D4780" s="16" t="str">
        <f>IFERROR(VLOOKUP(C4780,DATA!#REF!,2,FALSE),"")</f>
        <v/>
      </c>
    </row>
    <row r="4781" spans="3:4" s="230" customFormat="1">
      <c r="C4781" s="16" t="str">
        <f>IFERROR(VLOOKUP(DATA!#REF!,DATA!#REF!,1,FALSE),"")</f>
        <v/>
      </c>
      <c r="D4781" s="16" t="str">
        <f>IFERROR(VLOOKUP(C4781,DATA!#REF!,2,FALSE),"")</f>
        <v/>
      </c>
    </row>
    <row r="4782" spans="3:4" s="230" customFormat="1">
      <c r="C4782" s="16" t="str">
        <f>IFERROR(VLOOKUP(DATA!#REF!,DATA!#REF!,1,FALSE),"")</f>
        <v/>
      </c>
      <c r="D4782" s="16" t="str">
        <f>IFERROR(VLOOKUP(C4782,DATA!#REF!,2,FALSE),"")</f>
        <v/>
      </c>
    </row>
    <row r="4783" spans="3:4" s="230" customFormat="1">
      <c r="C4783" s="16" t="str">
        <f>IFERROR(VLOOKUP(DATA!#REF!,DATA!#REF!,1,FALSE),"")</f>
        <v/>
      </c>
      <c r="D4783" s="16" t="str">
        <f>IFERROR(VLOOKUP(C4783,DATA!#REF!,2,FALSE),"")</f>
        <v/>
      </c>
    </row>
    <row r="4784" spans="3:4" s="230" customFormat="1">
      <c r="C4784" s="16" t="str">
        <f>IFERROR(VLOOKUP(DATA!#REF!,DATA!#REF!,1,FALSE),"")</f>
        <v/>
      </c>
      <c r="D4784" s="16" t="str">
        <f>IFERROR(VLOOKUP(C4784,DATA!#REF!,2,FALSE),"")</f>
        <v/>
      </c>
    </row>
    <row r="4785" spans="3:4" s="230" customFormat="1">
      <c r="C4785" s="16" t="str">
        <f>IFERROR(VLOOKUP(DATA!#REF!,DATA!#REF!,1,FALSE),"")</f>
        <v/>
      </c>
      <c r="D4785" s="16" t="str">
        <f>IFERROR(VLOOKUP(C4785,DATA!#REF!,2,FALSE),"")</f>
        <v/>
      </c>
    </row>
    <row r="4786" spans="3:4" s="230" customFormat="1">
      <c r="C4786" s="16" t="str">
        <f>IFERROR(VLOOKUP(DATA!#REF!,DATA!#REF!,1,FALSE),"")</f>
        <v/>
      </c>
      <c r="D4786" s="16" t="str">
        <f>IFERROR(VLOOKUP(C4786,DATA!#REF!,2,FALSE),"")</f>
        <v/>
      </c>
    </row>
    <row r="4787" spans="3:4" s="230" customFormat="1">
      <c r="C4787" s="16" t="str">
        <f>IFERROR(VLOOKUP(DATA!#REF!,DATA!#REF!,1,FALSE),"")</f>
        <v/>
      </c>
      <c r="D4787" s="16" t="str">
        <f>IFERROR(VLOOKUP(C4787,DATA!#REF!,2,FALSE),"")</f>
        <v/>
      </c>
    </row>
    <row r="4788" spans="3:4" s="230" customFormat="1">
      <c r="C4788" s="16" t="str">
        <f>IFERROR(VLOOKUP(DATA!#REF!,DATA!#REF!,1,FALSE),"")</f>
        <v/>
      </c>
      <c r="D4788" s="16" t="str">
        <f>IFERROR(VLOOKUP(C4788,DATA!#REF!,2,FALSE),"")</f>
        <v/>
      </c>
    </row>
    <row r="4789" spans="3:4" s="230" customFormat="1">
      <c r="C4789" s="16" t="str">
        <f>IFERROR(VLOOKUP(DATA!#REF!,DATA!#REF!,1,FALSE),"")</f>
        <v/>
      </c>
      <c r="D4789" s="16" t="str">
        <f>IFERROR(VLOOKUP(C4789,DATA!#REF!,2,FALSE),"")</f>
        <v/>
      </c>
    </row>
    <row r="4790" spans="3:4" s="230" customFormat="1">
      <c r="C4790" s="16" t="str">
        <f>IFERROR(VLOOKUP(DATA!#REF!,DATA!#REF!,1,FALSE),"")</f>
        <v/>
      </c>
      <c r="D4790" s="16" t="str">
        <f>IFERROR(VLOOKUP(C4790,DATA!#REF!,2,FALSE),"")</f>
        <v/>
      </c>
    </row>
    <row r="4791" spans="3:4" s="230" customFormat="1">
      <c r="C4791" s="16" t="str">
        <f>IFERROR(VLOOKUP(DATA!#REF!,DATA!#REF!,1,FALSE),"")</f>
        <v/>
      </c>
      <c r="D4791" s="16" t="str">
        <f>IFERROR(VLOOKUP(C4791,DATA!#REF!,2,FALSE),"")</f>
        <v/>
      </c>
    </row>
    <row r="4792" spans="3:4" s="230" customFormat="1">
      <c r="C4792" s="16" t="str">
        <f>IFERROR(VLOOKUP(DATA!#REF!,DATA!#REF!,1,FALSE),"")</f>
        <v/>
      </c>
      <c r="D4792" s="16" t="str">
        <f>IFERROR(VLOOKUP(C4792,DATA!#REF!,2,FALSE),"")</f>
        <v/>
      </c>
    </row>
    <row r="4793" spans="3:4" s="230" customFormat="1">
      <c r="C4793" s="16" t="str">
        <f>IFERROR(VLOOKUP(DATA!#REF!,DATA!#REF!,1,FALSE),"")</f>
        <v/>
      </c>
      <c r="D4793" s="16" t="str">
        <f>IFERROR(VLOOKUP(C4793,DATA!#REF!,2,FALSE),"")</f>
        <v/>
      </c>
    </row>
    <row r="4794" spans="3:4" s="230" customFormat="1">
      <c r="C4794" s="16" t="str">
        <f>IFERROR(VLOOKUP(DATA!#REF!,DATA!#REF!,1,FALSE),"")</f>
        <v/>
      </c>
      <c r="D4794" s="16" t="str">
        <f>IFERROR(VLOOKUP(C4794,DATA!#REF!,2,FALSE),"")</f>
        <v/>
      </c>
    </row>
    <row r="4795" spans="3:4" s="230" customFormat="1">
      <c r="C4795" s="16" t="str">
        <f>IFERROR(VLOOKUP(DATA!#REF!,DATA!#REF!,1,FALSE),"")</f>
        <v/>
      </c>
      <c r="D4795" s="16" t="str">
        <f>IFERROR(VLOOKUP(C4795,DATA!#REF!,2,FALSE),"")</f>
        <v/>
      </c>
    </row>
    <row r="4796" spans="3:4" s="230" customFormat="1">
      <c r="C4796" s="16" t="str">
        <f>IFERROR(VLOOKUP(DATA!#REF!,DATA!#REF!,1,FALSE),"")</f>
        <v/>
      </c>
      <c r="D4796" s="16" t="str">
        <f>IFERROR(VLOOKUP(C4796,DATA!#REF!,2,FALSE),"")</f>
        <v/>
      </c>
    </row>
    <row r="4797" spans="3:4" s="230" customFormat="1">
      <c r="C4797" s="16" t="str">
        <f>IFERROR(VLOOKUP(DATA!#REF!,DATA!#REF!,1,FALSE),"")</f>
        <v/>
      </c>
      <c r="D4797" s="16" t="str">
        <f>IFERROR(VLOOKUP(C4797,DATA!#REF!,2,FALSE),"")</f>
        <v/>
      </c>
    </row>
    <row r="4798" spans="3:4" s="230" customFormat="1">
      <c r="C4798" s="16" t="str">
        <f>IFERROR(VLOOKUP(DATA!#REF!,DATA!#REF!,1,FALSE),"")</f>
        <v/>
      </c>
      <c r="D4798" s="16" t="str">
        <f>IFERROR(VLOOKUP(C4798,DATA!#REF!,2,FALSE),"")</f>
        <v/>
      </c>
    </row>
    <row r="4799" spans="3:4" s="230" customFormat="1">
      <c r="C4799" s="16" t="str">
        <f>IFERROR(VLOOKUP(DATA!#REF!,DATA!#REF!,1,FALSE),"")</f>
        <v/>
      </c>
      <c r="D4799" s="16" t="str">
        <f>IFERROR(VLOOKUP(C4799,DATA!#REF!,2,FALSE),"")</f>
        <v/>
      </c>
    </row>
    <row r="4800" spans="3:4" s="230" customFormat="1">
      <c r="C4800" s="16" t="str">
        <f>IFERROR(VLOOKUP(DATA!#REF!,DATA!#REF!,1,FALSE),"")</f>
        <v/>
      </c>
      <c r="D4800" s="16" t="str">
        <f>IFERROR(VLOOKUP(C4800,DATA!#REF!,2,FALSE),"")</f>
        <v/>
      </c>
    </row>
    <row r="4801" spans="3:4" s="230" customFormat="1">
      <c r="C4801" s="16" t="str">
        <f>IFERROR(VLOOKUP(DATA!#REF!,DATA!#REF!,1,FALSE),"")</f>
        <v/>
      </c>
      <c r="D4801" s="16" t="str">
        <f>IFERROR(VLOOKUP(C4801,DATA!#REF!,2,FALSE),"")</f>
        <v/>
      </c>
    </row>
    <row r="4802" spans="3:4" s="230" customFormat="1">
      <c r="C4802" s="16" t="str">
        <f>IFERROR(VLOOKUP(DATA!#REF!,DATA!#REF!,1,FALSE),"")</f>
        <v/>
      </c>
      <c r="D4802" s="16" t="str">
        <f>IFERROR(VLOOKUP(C4802,DATA!#REF!,2,FALSE),"")</f>
        <v/>
      </c>
    </row>
    <row r="4803" spans="3:4" s="230" customFormat="1">
      <c r="C4803" s="16" t="str">
        <f>IFERROR(VLOOKUP(DATA!#REF!,DATA!#REF!,1,FALSE),"")</f>
        <v/>
      </c>
      <c r="D4803" s="16" t="str">
        <f>IFERROR(VLOOKUP(C4803,DATA!#REF!,2,FALSE),"")</f>
        <v/>
      </c>
    </row>
    <row r="4804" spans="3:4" s="230" customFormat="1">
      <c r="C4804" s="16" t="str">
        <f>IFERROR(VLOOKUP(DATA!#REF!,DATA!#REF!,1,FALSE),"")</f>
        <v/>
      </c>
      <c r="D4804" s="16" t="str">
        <f>IFERROR(VLOOKUP(C4804,DATA!#REF!,2,FALSE),"")</f>
        <v/>
      </c>
    </row>
    <row r="4805" spans="3:4" s="230" customFormat="1">
      <c r="C4805" s="16" t="str">
        <f>IFERROR(VLOOKUP(DATA!#REF!,DATA!#REF!,1,FALSE),"")</f>
        <v/>
      </c>
      <c r="D4805" s="16" t="str">
        <f>IFERROR(VLOOKUP(C4805,DATA!#REF!,2,FALSE),"")</f>
        <v/>
      </c>
    </row>
    <row r="4806" spans="3:4" s="230" customFormat="1">
      <c r="C4806" s="16" t="str">
        <f>IFERROR(VLOOKUP(DATA!#REF!,DATA!#REF!,1,FALSE),"")</f>
        <v/>
      </c>
      <c r="D4806" s="16" t="str">
        <f>IFERROR(VLOOKUP(C4806,DATA!#REF!,2,FALSE),"")</f>
        <v/>
      </c>
    </row>
    <row r="4807" spans="3:4" s="230" customFormat="1">
      <c r="C4807" s="16" t="str">
        <f>IFERROR(VLOOKUP(DATA!#REF!,DATA!#REF!,1,FALSE),"")</f>
        <v/>
      </c>
      <c r="D4807" s="16" t="str">
        <f>IFERROR(VLOOKUP(C4807,DATA!#REF!,2,FALSE),"")</f>
        <v/>
      </c>
    </row>
    <row r="4808" spans="3:4" s="230" customFormat="1">
      <c r="C4808" s="16" t="str">
        <f>IFERROR(VLOOKUP(DATA!#REF!,DATA!#REF!,1,FALSE),"")</f>
        <v/>
      </c>
      <c r="D4808" s="16" t="str">
        <f>IFERROR(VLOOKUP(C4808,DATA!#REF!,2,FALSE),"")</f>
        <v/>
      </c>
    </row>
    <row r="4809" spans="3:4" s="230" customFormat="1">
      <c r="C4809" s="16" t="str">
        <f>IFERROR(VLOOKUP(DATA!#REF!,DATA!#REF!,1,FALSE),"")</f>
        <v/>
      </c>
      <c r="D4809" s="16" t="str">
        <f>IFERROR(VLOOKUP(C4809,DATA!#REF!,2,FALSE),"")</f>
        <v/>
      </c>
    </row>
    <row r="4810" spans="3:4" s="230" customFormat="1">
      <c r="C4810" s="16" t="str">
        <f>IFERROR(VLOOKUP(DATA!#REF!,DATA!#REF!,1,FALSE),"")</f>
        <v/>
      </c>
      <c r="D4810" s="16" t="str">
        <f>IFERROR(VLOOKUP(C4810,DATA!#REF!,2,FALSE),"")</f>
        <v/>
      </c>
    </row>
    <row r="4811" spans="3:4" s="230" customFormat="1">
      <c r="C4811" s="16" t="str">
        <f>IFERROR(VLOOKUP(DATA!#REF!,DATA!#REF!,1,FALSE),"")</f>
        <v/>
      </c>
      <c r="D4811" s="16" t="str">
        <f>IFERROR(VLOOKUP(C4811,DATA!#REF!,2,FALSE),"")</f>
        <v/>
      </c>
    </row>
    <row r="4812" spans="3:4" s="230" customFormat="1">
      <c r="C4812" s="16" t="str">
        <f>IFERROR(VLOOKUP(DATA!#REF!,DATA!#REF!,1,FALSE),"")</f>
        <v/>
      </c>
      <c r="D4812" s="16" t="str">
        <f>IFERROR(VLOOKUP(C4812,DATA!#REF!,2,FALSE),"")</f>
        <v/>
      </c>
    </row>
    <row r="4813" spans="3:4" s="230" customFormat="1">
      <c r="C4813" s="16" t="str">
        <f>IFERROR(VLOOKUP(DATA!#REF!,DATA!#REF!,1,FALSE),"")</f>
        <v/>
      </c>
      <c r="D4813" s="16" t="str">
        <f>IFERROR(VLOOKUP(C4813,DATA!#REF!,2,FALSE),"")</f>
        <v/>
      </c>
    </row>
    <row r="4814" spans="3:4" s="230" customFormat="1">
      <c r="C4814" s="16" t="str">
        <f>IFERROR(VLOOKUP(DATA!#REF!,DATA!#REF!,1,FALSE),"")</f>
        <v/>
      </c>
      <c r="D4814" s="16" t="str">
        <f>IFERROR(VLOOKUP(C4814,DATA!#REF!,2,FALSE),"")</f>
        <v/>
      </c>
    </row>
    <row r="4815" spans="3:4" s="230" customFormat="1">
      <c r="C4815" s="16" t="str">
        <f>IFERROR(VLOOKUP(DATA!#REF!,DATA!#REF!,1,FALSE),"")</f>
        <v/>
      </c>
      <c r="D4815" s="16" t="str">
        <f>IFERROR(VLOOKUP(C4815,DATA!#REF!,2,FALSE),"")</f>
        <v/>
      </c>
    </row>
    <row r="4816" spans="3:4" s="230" customFormat="1">
      <c r="C4816" s="16" t="str">
        <f>IFERROR(VLOOKUP(DATA!#REF!,DATA!#REF!,1,FALSE),"")</f>
        <v/>
      </c>
      <c r="D4816" s="16" t="str">
        <f>IFERROR(VLOOKUP(C4816,DATA!#REF!,2,FALSE),"")</f>
        <v/>
      </c>
    </row>
    <row r="4817" spans="3:4" s="230" customFormat="1">
      <c r="C4817" s="16" t="str">
        <f>IFERROR(VLOOKUP(DATA!#REF!,DATA!#REF!,1,FALSE),"")</f>
        <v/>
      </c>
      <c r="D4817" s="16" t="str">
        <f>IFERROR(VLOOKUP(C4817,DATA!#REF!,2,FALSE),"")</f>
        <v/>
      </c>
    </row>
    <row r="4818" spans="3:4" s="230" customFormat="1">
      <c r="C4818" s="16" t="str">
        <f>IFERROR(VLOOKUP(DATA!#REF!,DATA!#REF!,1,FALSE),"")</f>
        <v/>
      </c>
      <c r="D4818" s="16" t="str">
        <f>IFERROR(VLOOKUP(C4818,DATA!#REF!,2,FALSE),"")</f>
        <v/>
      </c>
    </row>
    <row r="4819" spans="3:4" s="230" customFormat="1">
      <c r="C4819" s="16" t="str">
        <f>IFERROR(VLOOKUP(DATA!#REF!,DATA!#REF!,1,FALSE),"")</f>
        <v/>
      </c>
      <c r="D4819" s="16" t="str">
        <f>IFERROR(VLOOKUP(C4819,DATA!#REF!,2,FALSE),"")</f>
        <v/>
      </c>
    </row>
    <row r="4820" spans="3:4" s="230" customFormat="1">
      <c r="C4820" s="16" t="str">
        <f>IFERROR(VLOOKUP(DATA!#REF!,DATA!#REF!,1,FALSE),"")</f>
        <v/>
      </c>
      <c r="D4820" s="16" t="str">
        <f>IFERROR(VLOOKUP(C4820,DATA!#REF!,2,FALSE),"")</f>
        <v/>
      </c>
    </row>
    <row r="4821" spans="3:4" s="230" customFormat="1">
      <c r="C4821" s="16" t="str">
        <f>IFERROR(VLOOKUP(DATA!#REF!,DATA!#REF!,1,FALSE),"")</f>
        <v/>
      </c>
      <c r="D4821" s="16" t="str">
        <f>IFERROR(VLOOKUP(C4821,DATA!#REF!,2,FALSE),"")</f>
        <v/>
      </c>
    </row>
    <row r="4822" spans="3:4" s="230" customFormat="1">
      <c r="C4822" s="16" t="str">
        <f>IFERROR(VLOOKUP(DATA!#REF!,DATA!#REF!,1,FALSE),"")</f>
        <v/>
      </c>
      <c r="D4822" s="16" t="str">
        <f>IFERROR(VLOOKUP(C4822,DATA!#REF!,2,FALSE),"")</f>
        <v/>
      </c>
    </row>
    <row r="4823" spans="3:4" s="230" customFormat="1">
      <c r="C4823" s="16" t="str">
        <f>IFERROR(VLOOKUP(DATA!#REF!,DATA!#REF!,1,FALSE),"")</f>
        <v/>
      </c>
      <c r="D4823" s="16" t="str">
        <f>IFERROR(VLOOKUP(C4823,DATA!#REF!,2,FALSE),"")</f>
        <v/>
      </c>
    </row>
    <row r="4824" spans="3:4" s="230" customFormat="1">
      <c r="C4824" s="16" t="str">
        <f>IFERROR(VLOOKUP(DATA!#REF!,DATA!#REF!,1,FALSE),"")</f>
        <v/>
      </c>
      <c r="D4824" s="16" t="str">
        <f>IFERROR(VLOOKUP(C4824,DATA!#REF!,2,FALSE),"")</f>
        <v/>
      </c>
    </row>
    <row r="4825" spans="3:4" s="230" customFormat="1">
      <c r="C4825" s="16" t="str">
        <f>IFERROR(VLOOKUP(DATA!#REF!,DATA!#REF!,1,FALSE),"")</f>
        <v/>
      </c>
      <c r="D4825" s="16" t="str">
        <f>IFERROR(VLOOKUP(C4825,DATA!#REF!,2,FALSE),"")</f>
        <v/>
      </c>
    </row>
    <row r="4826" spans="3:4" s="230" customFormat="1">
      <c r="C4826" s="16" t="str">
        <f>IFERROR(VLOOKUP(DATA!#REF!,DATA!#REF!,1,FALSE),"")</f>
        <v/>
      </c>
      <c r="D4826" s="16" t="str">
        <f>IFERROR(VLOOKUP(C4826,DATA!#REF!,2,FALSE),"")</f>
        <v/>
      </c>
    </row>
    <row r="4827" spans="3:4" s="230" customFormat="1">
      <c r="C4827" s="16" t="str">
        <f>IFERROR(VLOOKUP(DATA!#REF!,DATA!#REF!,1,FALSE),"")</f>
        <v/>
      </c>
      <c r="D4827" s="16" t="str">
        <f>IFERROR(VLOOKUP(C4827,DATA!#REF!,2,FALSE),"")</f>
        <v/>
      </c>
    </row>
    <row r="4828" spans="3:4" s="230" customFormat="1">
      <c r="C4828" s="16" t="str">
        <f>IFERROR(VLOOKUP(DATA!#REF!,DATA!#REF!,1,FALSE),"")</f>
        <v/>
      </c>
      <c r="D4828" s="16" t="str">
        <f>IFERROR(VLOOKUP(C4828,DATA!#REF!,2,FALSE),"")</f>
        <v/>
      </c>
    </row>
    <row r="4829" spans="3:4" s="230" customFormat="1">
      <c r="C4829" s="16" t="str">
        <f>IFERROR(VLOOKUP(DATA!#REF!,DATA!#REF!,1,FALSE),"")</f>
        <v/>
      </c>
      <c r="D4829" s="16" t="str">
        <f>IFERROR(VLOOKUP(C4829,DATA!#REF!,2,FALSE),"")</f>
        <v/>
      </c>
    </row>
    <row r="4830" spans="3:4" s="230" customFormat="1">
      <c r="C4830" s="16" t="str">
        <f>IFERROR(VLOOKUP(DATA!#REF!,DATA!#REF!,1,FALSE),"")</f>
        <v/>
      </c>
      <c r="D4830" s="16" t="str">
        <f>IFERROR(VLOOKUP(C4830,DATA!#REF!,2,FALSE),"")</f>
        <v/>
      </c>
    </row>
    <row r="4831" spans="3:4" s="230" customFormat="1">
      <c r="C4831" s="16" t="str">
        <f>IFERROR(VLOOKUP(DATA!#REF!,DATA!#REF!,1,FALSE),"")</f>
        <v/>
      </c>
      <c r="D4831" s="16" t="str">
        <f>IFERROR(VLOOKUP(C4831,DATA!#REF!,2,FALSE),"")</f>
        <v/>
      </c>
    </row>
    <row r="4832" spans="3:4" s="230" customFormat="1">
      <c r="C4832" s="16" t="str">
        <f>IFERROR(VLOOKUP(DATA!#REF!,DATA!#REF!,1,FALSE),"")</f>
        <v/>
      </c>
      <c r="D4832" s="16" t="str">
        <f>IFERROR(VLOOKUP(C4832,DATA!#REF!,2,FALSE),"")</f>
        <v/>
      </c>
    </row>
    <row r="4833" spans="3:4" s="230" customFormat="1">
      <c r="C4833" s="16" t="str">
        <f>IFERROR(VLOOKUP(DATA!#REF!,DATA!#REF!,1,FALSE),"")</f>
        <v/>
      </c>
      <c r="D4833" s="16" t="str">
        <f>IFERROR(VLOOKUP(C4833,DATA!#REF!,2,FALSE),"")</f>
        <v/>
      </c>
    </row>
    <row r="4834" spans="3:4" s="230" customFormat="1">
      <c r="C4834" s="16" t="str">
        <f>IFERROR(VLOOKUP(DATA!#REF!,DATA!#REF!,1,FALSE),"")</f>
        <v/>
      </c>
      <c r="D4834" s="16" t="str">
        <f>IFERROR(VLOOKUP(C4834,DATA!#REF!,2,FALSE),"")</f>
        <v/>
      </c>
    </row>
    <row r="4835" spans="3:4" s="230" customFormat="1">
      <c r="C4835" s="16" t="str">
        <f>IFERROR(VLOOKUP(DATA!#REF!,DATA!#REF!,1,FALSE),"")</f>
        <v/>
      </c>
      <c r="D4835" s="16" t="str">
        <f>IFERROR(VLOOKUP(C4835,DATA!#REF!,2,FALSE),"")</f>
        <v/>
      </c>
    </row>
    <row r="4836" spans="3:4" s="230" customFormat="1">
      <c r="C4836" s="16" t="str">
        <f>IFERROR(VLOOKUP(DATA!#REF!,DATA!#REF!,1,FALSE),"")</f>
        <v/>
      </c>
      <c r="D4836" s="16" t="str">
        <f>IFERROR(VLOOKUP(C4836,DATA!#REF!,2,FALSE),"")</f>
        <v/>
      </c>
    </row>
    <row r="4837" spans="3:4" s="230" customFormat="1">
      <c r="C4837" s="16" t="str">
        <f>IFERROR(VLOOKUP(DATA!#REF!,DATA!#REF!,1,FALSE),"")</f>
        <v/>
      </c>
      <c r="D4837" s="16" t="str">
        <f>IFERROR(VLOOKUP(C4837,DATA!#REF!,2,FALSE),"")</f>
        <v/>
      </c>
    </row>
    <row r="4838" spans="3:4" s="230" customFormat="1">
      <c r="C4838" s="16" t="str">
        <f>IFERROR(VLOOKUP(DATA!#REF!,DATA!#REF!,1,FALSE),"")</f>
        <v/>
      </c>
      <c r="D4838" s="16" t="str">
        <f>IFERROR(VLOOKUP(C4838,DATA!#REF!,2,FALSE),"")</f>
        <v/>
      </c>
    </row>
    <row r="4839" spans="3:4" s="230" customFormat="1">
      <c r="C4839" s="16" t="str">
        <f>IFERROR(VLOOKUP(DATA!#REF!,DATA!#REF!,1,FALSE),"")</f>
        <v/>
      </c>
      <c r="D4839" s="16" t="str">
        <f>IFERROR(VLOOKUP(C4839,DATA!#REF!,2,FALSE),"")</f>
        <v/>
      </c>
    </row>
    <row r="4840" spans="3:4" s="230" customFormat="1">
      <c r="C4840" s="16" t="str">
        <f>IFERROR(VLOOKUP(DATA!#REF!,DATA!#REF!,1,FALSE),"")</f>
        <v/>
      </c>
      <c r="D4840" s="16" t="str">
        <f>IFERROR(VLOOKUP(C4840,DATA!#REF!,2,FALSE),"")</f>
        <v/>
      </c>
    </row>
    <row r="4841" spans="3:4" s="230" customFormat="1">
      <c r="C4841" s="16" t="str">
        <f>IFERROR(VLOOKUP(DATA!#REF!,DATA!#REF!,1,FALSE),"")</f>
        <v/>
      </c>
      <c r="D4841" s="16" t="str">
        <f>IFERROR(VLOOKUP(C4841,DATA!#REF!,2,FALSE),"")</f>
        <v/>
      </c>
    </row>
    <row r="4842" spans="3:4" s="230" customFormat="1">
      <c r="C4842" s="16" t="str">
        <f>IFERROR(VLOOKUP(DATA!#REF!,DATA!#REF!,1,FALSE),"")</f>
        <v/>
      </c>
      <c r="D4842" s="16" t="str">
        <f>IFERROR(VLOOKUP(C4842,DATA!#REF!,2,FALSE),"")</f>
        <v/>
      </c>
    </row>
    <row r="4843" spans="3:4" s="230" customFormat="1">
      <c r="C4843" s="16" t="str">
        <f>IFERROR(VLOOKUP(DATA!#REF!,DATA!#REF!,1,FALSE),"")</f>
        <v/>
      </c>
      <c r="D4843" s="16" t="str">
        <f>IFERROR(VLOOKUP(C4843,DATA!#REF!,2,FALSE),"")</f>
        <v/>
      </c>
    </row>
    <row r="4844" spans="3:4" s="230" customFormat="1">
      <c r="C4844" s="16" t="str">
        <f>IFERROR(VLOOKUP(DATA!#REF!,DATA!#REF!,1,FALSE),"")</f>
        <v/>
      </c>
      <c r="D4844" s="16" t="str">
        <f>IFERROR(VLOOKUP(C4844,DATA!#REF!,2,FALSE),"")</f>
        <v/>
      </c>
    </row>
    <row r="4845" spans="3:4" s="230" customFormat="1">
      <c r="C4845" s="16" t="str">
        <f>IFERROR(VLOOKUP(DATA!#REF!,DATA!#REF!,1,FALSE),"")</f>
        <v/>
      </c>
      <c r="D4845" s="16" t="str">
        <f>IFERROR(VLOOKUP(C4845,DATA!#REF!,2,FALSE),"")</f>
        <v/>
      </c>
    </row>
    <row r="4846" spans="3:4" s="230" customFormat="1">
      <c r="C4846" s="16" t="str">
        <f>IFERROR(VLOOKUP(DATA!#REF!,DATA!#REF!,1,FALSE),"")</f>
        <v/>
      </c>
      <c r="D4846" s="16" t="str">
        <f>IFERROR(VLOOKUP(C4846,DATA!#REF!,2,FALSE),"")</f>
        <v/>
      </c>
    </row>
    <row r="4847" spans="3:4" s="230" customFormat="1">
      <c r="C4847" s="16" t="str">
        <f>IFERROR(VLOOKUP(DATA!#REF!,DATA!#REF!,1,FALSE),"")</f>
        <v/>
      </c>
      <c r="D4847" s="16" t="str">
        <f>IFERROR(VLOOKUP(C4847,DATA!#REF!,2,FALSE),"")</f>
        <v/>
      </c>
    </row>
    <row r="4848" spans="3:4" s="230" customFormat="1">
      <c r="C4848" s="16" t="str">
        <f>IFERROR(VLOOKUP(DATA!#REF!,DATA!#REF!,1,FALSE),"")</f>
        <v/>
      </c>
      <c r="D4848" s="16" t="str">
        <f>IFERROR(VLOOKUP(C4848,DATA!#REF!,2,FALSE),"")</f>
        <v/>
      </c>
    </row>
    <row r="4849" spans="3:4" s="230" customFormat="1">
      <c r="C4849" s="16" t="str">
        <f>IFERROR(VLOOKUP(DATA!#REF!,DATA!#REF!,1,FALSE),"")</f>
        <v/>
      </c>
      <c r="D4849" s="16" t="str">
        <f>IFERROR(VLOOKUP(C4849,DATA!#REF!,2,FALSE),"")</f>
        <v/>
      </c>
    </row>
    <row r="4850" spans="3:4" s="230" customFormat="1">
      <c r="C4850" s="16" t="str">
        <f>IFERROR(VLOOKUP(DATA!#REF!,DATA!#REF!,1,FALSE),"")</f>
        <v/>
      </c>
      <c r="D4850" s="16" t="str">
        <f>IFERROR(VLOOKUP(C4850,DATA!#REF!,2,FALSE),"")</f>
        <v/>
      </c>
    </row>
    <row r="4851" spans="3:4" s="230" customFormat="1">
      <c r="C4851" s="16" t="str">
        <f>IFERROR(VLOOKUP(DATA!#REF!,DATA!#REF!,1,FALSE),"")</f>
        <v/>
      </c>
      <c r="D4851" s="16" t="str">
        <f>IFERROR(VLOOKUP(C4851,DATA!#REF!,2,FALSE),"")</f>
        <v/>
      </c>
    </row>
    <row r="4852" spans="3:4" s="230" customFormat="1">
      <c r="C4852" s="16" t="str">
        <f>IFERROR(VLOOKUP(DATA!#REF!,DATA!#REF!,1,FALSE),"")</f>
        <v/>
      </c>
      <c r="D4852" s="16" t="str">
        <f>IFERROR(VLOOKUP(C4852,DATA!#REF!,2,FALSE),"")</f>
        <v/>
      </c>
    </row>
    <row r="4853" spans="3:4" s="230" customFormat="1">
      <c r="C4853" s="16" t="str">
        <f>IFERROR(VLOOKUP(DATA!#REF!,DATA!#REF!,1,FALSE),"")</f>
        <v/>
      </c>
      <c r="D4853" s="16" t="str">
        <f>IFERROR(VLOOKUP(C4853,DATA!#REF!,2,FALSE),"")</f>
        <v/>
      </c>
    </row>
    <row r="4854" spans="3:4" s="230" customFormat="1">
      <c r="C4854" s="16" t="str">
        <f>IFERROR(VLOOKUP(DATA!#REF!,DATA!#REF!,1,FALSE),"")</f>
        <v/>
      </c>
      <c r="D4854" s="16" t="str">
        <f>IFERROR(VLOOKUP(C4854,DATA!#REF!,2,FALSE),"")</f>
        <v/>
      </c>
    </row>
    <row r="4855" spans="3:4" s="230" customFormat="1">
      <c r="C4855" s="16" t="str">
        <f>IFERROR(VLOOKUP(DATA!#REF!,DATA!#REF!,1,FALSE),"")</f>
        <v/>
      </c>
      <c r="D4855" s="16" t="str">
        <f>IFERROR(VLOOKUP(C4855,DATA!#REF!,2,FALSE),"")</f>
        <v/>
      </c>
    </row>
    <row r="4856" spans="3:4" s="230" customFormat="1">
      <c r="C4856" s="16" t="str">
        <f>IFERROR(VLOOKUP(DATA!#REF!,DATA!#REF!,1,FALSE),"")</f>
        <v/>
      </c>
      <c r="D4856" s="16" t="str">
        <f>IFERROR(VLOOKUP(C4856,DATA!#REF!,2,FALSE),"")</f>
        <v/>
      </c>
    </row>
    <row r="4857" spans="3:4" s="230" customFormat="1">
      <c r="C4857" s="16" t="str">
        <f>IFERROR(VLOOKUP(DATA!#REF!,DATA!#REF!,1,FALSE),"")</f>
        <v/>
      </c>
      <c r="D4857" s="16" t="str">
        <f>IFERROR(VLOOKUP(C4857,DATA!#REF!,2,FALSE),"")</f>
        <v/>
      </c>
    </row>
    <row r="4858" spans="3:4" s="230" customFormat="1">
      <c r="C4858" s="16" t="str">
        <f>IFERROR(VLOOKUP(DATA!#REF!,DATA!#REF!,1,FALSE),"")</f>
        <v/>
      </c>
      <c r="D4858" s="16" t="str">
        <f>IFERROR(VLOOKUP(C4858,DATA!#REF!,2,FALSE),"")</f>
        <v/>
      </c>
    </row>
    <row r="4859" spans="3:4" s="230" customFormat="1">
      <c r="C4859" s="16" t="str">
        <f>IFERROR(VLOOKUP(DATA!#REF!,DATA!#REF!,1,FALSE),"")</f>
        <v/>
      </c>
      <c r="D4859" s="16" t="str">
        <f>IFERROR(VLOOKUP(C4859,DATA!#REF!,2,FALSE),"")</f>
        <v/>
      </c>
    </row>
    <row r="4860" spans="3:4" s="230" customFormat="1">
      <c r="C4860" s="16" t="str">
        <f>IFERROR(VLOOKUP(DATA!#REF!,DATA!#REF!,1,FALSE),"")</f>
        <v/>
      </c>
      <c r="D4860" s="16" t="str">
        <f>IFERROR(VLOOKUP(C4860,DATA!#REF!,2,FALSE),"")</f>
        <v/>
      </c>
    </row>
    <row r="4861" spans="3:4" s="230" customFormat="1">
      <c r="C4861" s="16" t="str">
        <f>IFERROR(VLOOKUP(DATA!#REF!,DATA!#REF!,1,FALSE),"")</f>
        <v/>
      </c>
      <c r="D4861" s="16" t="str">
        <f>IFERROR(VLOOKUP(C4861,DATA!#REF!,2,FALSE),"")</f>
        <v/>
      </c>
    </row>
    <row r="4862" spans="3:4" s="230" customFormat="1">
      <c r="C4862" s="16" t="str">
        <f>IFERROR(VLOOKUP(DATA!#REF!,DATA!#REF!,1,FALSE),"")</f>
        <v/>
      </c>
      <c r="D4862" s="16" t="str">
        <f>IFERROR(VLOOKUP(C4862,DATA!#REF!,2,FALSE),"")</f>
        <v/>
      </c>
    </row>
    <row r="4863" spans="3:4" s="230" customFormat="1">
      <c r="C4863" s="16" t="str">
        <f>IFERROR(VLOOKUP(DATA!#REF!,DATA!#REF!,1,FALSE),"")</f>
        <v/>
      </c>
      <c r="D4863" s="16" t="str">
        <f>IFERROR(VLOOKUP(C4863,DATA!#REF!,2,FALSE),"")</f>
        <v/>
      </c>
    </row>
    <row r="4864" spans="3:4" s="230" customFormat="1">
      <c r="C4864" s="16" t="str">
        <f>IFERROR(VLOOKUP(DATA!#REF!,DATA!#REF!,1,FALSE),"")</f>
        <v/>
      </c>
      <c r="D4864" s="16" t="str">
        <f>IFERROR(VLOOKUP(C4864,DATA!#REF!,2,FALSE),"")</f>
        <v/>
      </c>
    </row>
    <row r="4865" spans="3:4" s="230" customFormat="1">
      <c r="C4865" s="16" t="str">
        <f>IFERROR(VLOOKUP(DATA!#REF!,DATA!#REF!,1,FALSE),"")</f>
        <v/>
      </c>
      <c r="D4865" s="16" t="str">
        <f>IFERROR(VLOOKUP(C4865,DATA!#REF!,2,FALSE),"")</f>
        <v/>
      </c>
    </row>
    <row r="4866" spans="3:4" s="230" customFormat="1">
      <c r="C4866" s="16" t="str">
        <f>IFERROR(VLOOKUP(DATA!#REF!,DATA!#REF!,1,FALSE),"")</f>
        <v/>
      </c>
      <c r="D4866" s="16" t="str">
        <f>IFERROR(VLOOKUP(C4866,DATA!#REF!,2,FALSE),"")</f>
        <v/>
      </c>
    </row>
    <row r="4867" spans="3:4" s="230" customFormat="1">
      <c r="C4867" s="16" t="str">
        <f>IFERROR(VLOOKUP(DATA!#REF!,DATA!#REF!,1,FALSE),"")</f>
        <v/>
      </c>
      <c r="D4867" s="16" t="str">
        <f>IFERROR(VLOOKUP(C4867,DATA!#REF!,2,FALSE),"")</f>
        <v/>
      </c>
    </row>
    <row r="4868" spans="3:4" s="230" customFormat="1">
      <c r="C4868" s="16" t="str">
        <f>IFERROR(VLOOKUP(DATA!#REF!,DATA!#REF!,1,FALSE),"")</f>
        <v/>
      </c>
      <c r="D4868" s="16" t="str">
        <f>IFERROR(VLOOKUP(C4868,DATA!#REF!,2,FALSE),"")</f>
        <v/>
      </c>
    </row>
    <row r="4869" spans="3:4" s="230" customFormat="1">
      <c r="C4869" s="16" t="str">
        <f>IFERROR(VLOOKUP(DATA!#REF!,DATA!#REF!,1,FALSE),"")</f>
        <v/>
      </c>
      <c r="D4869" s="16" t="str">
        <f>IFERROR(VLOOKUP(C4869,DATA!#REF!,2,FALSE),"")</f>
        <v/>
      </c>
    </row>
    <row r="4870" spans="3:4" s="230" customFormat="1">
      <c r="C4870" s="16" t="str">
        <f>IFERROR(VLOOKUP(DATA!#REF!,DATA!#REF!,1,FALSE),"")</f>
        <v/>
      </c>
      <c r="D4870" s="16" t="str">
        <f>IFERROR(VLOOKUP(C4870,DATA!#REF!,2,FALSE),"")</f>
        <v/>
      </c>
    </row>
    <row r="4871" spans="3:4" s="230" customFormat="1">
      <c r="C4871" s="16" t="str">
        <f>IFERROR(VLOOKUP(DATA!#REF!,DATA!#REF!,1,FALSE),"")</f>
        <v/>
      </c>
      <c r="D4871" s="16" t="str">
        <f>IFERROR(VLOOKUP(C4871,DATA!#REF!,2,FALSE),"")</f>
        <v/>
      </c>
    </row>
    <row r="4872" spans="3:4" s="230" customFormat="1">
      <c r="C4872" s="16" t="str">
        <f>IFERROR(VLOOKUP(DATA!#REF!,DATA!#REF!,1,FALSE),"")</f>
        <v/>
      </c>
      <c r="D4872" s="16" t="str">
        <f>IFERROR(VLOOKUP(C4872,DATA!#REF!,2,FALSE),"")</f>
        <v/>
      </c>
    </row>
    <row r="4873" spans="3:4" s="230" customFormat="1">
      <c r="C4873" s="16" t="str">
        <f>IFERROR(VLOOKUP(DATA!#REF!,DATA!#REF!,1,FALSE),"")</f>
        <v/>
      </c>
      <c r="D4873" s="16" t="str">
        <f>IFERROR(VLOOKUP(C4873,DATA!#REF!,2,FALSE),"")</f>
        <v/>
      </c>
    </row>
    <row r="4874" spans="3:4" s="230" customFormat="1">
      <c r="C4874" s="16" t="str">
        <f>IFERROR(VLOOKUP(DATA!#REF!,DATA!#REF!,1,FALSE),"")</f>
        <v/>
      </c>
      <c r="D4874" s="16" t="str">
        <f>IFERROR(VLOOKUP(C4874,DATA!#REF!,2,FALSE),"")</f>
        <v/>
      </c>
    </row>
    <row r="4875" spans="3:4" s="230" customFormat="1">
      <c r="C4875" s="16" t="str">
        <f>IFERROR(VLOOKUP(DATA!#REF!,DATA!#REF!,1,FALSE),"")</f>
        <v/>
      </c>
      <c r="D4875" s="16" t="str">
        <f>IFERROR(VLOOKUP(C4875,DATA!#REF!,2,FALSE),"")</f>
        <v/>
      </c>
    </row>
    <row r="4876" spans="3:4" s="230" customFormat="1">
      <c r="C4876" s="16" t="str">
        <f>IFERROR(VLOOKUP(DATA!#REF!,DATA!#REF!,1,FALSE),"")</f>
        <v/>
      </c>
      <c r="D4876" s="16" t="str">
        <f>IFERROR(VLOOKUP(C4876,DATA!#REF!,2,FALSE),"")</f>
        <v/>
      </c>
    </row>
    <row r="4877" spans="3:4" s="230" customFormat="1">
      <c r="C4877" s="16" t="str">
        <f>IFERROR(VLOOKUP(DATA!#REF!,DATA!#REF!,1,FALSE),"")</f>
        <v/>
      </c>
      <c r="D4877" s="16" t="str">
        <f>IFERROR(VLOOKUP(C4877,DATA!#REF!,2,FALSE),"")</f>
        <v/>
      </c>
    </row>
    <row r="4878" spans="3:4" s="230" customFormat="1">
      <c r="C4878" s="16" t="str">
        <f>IFERROR(VLOOKUP(DATA!#REF!,DATA!#REF!,1,FALSE),"")</f>
        <v/>
      </c>
      <c r="D4878" s="16" t="str">
        <f>IFERROR(VLOOKUP(C4878,DATA!#REF!,2,FALSE),"")</f>
        <v/>
      </c>
    </row>
    <row r="4879" spans="3:4" s="230" customFormat="1">
      <c r="C4879" s="16" t="str">
        <f>IFERROR(VLOOKUP(DATA!#REF!,DATA!#REF!,1,FALSE),"")</f>
        <v/>
      </c>
      <c r="D4879" s="16" t="str">
        <f>IFERROR(VLOOKUP(C4879,DATA!#REF!,2,FALSE),"")</f>
        <v/>
      </c>
    </row>
    <row r="4880" spans="3:4" s="230" customFormat="1">
      <c r="C4880" s="16" t="str">
        <f>IFERROR(VLOOKUP(DATA!#REF!,DATA!#REF!,1,FALSE),"")</f>
        <v/>
      </c>
      <c r="D4880" s="16" t="str">
        <f>IFERROR(VLOOKUP(C4880,DATA!#REF!,2,FALSE),"")</f>
        <v/>
      </c>
    </row>
    <row r="4881" spans="3:4" s="230" customFormat="1">
      <c r="C4881" s="16" t="str">
        <f>IFERROR(VLOOKUP(DATA!#REF!,DATA!#REF!,1,FALSE),"")</f>
        <v/>
      </c>
      <c r="D4881" s="16" t="str">
        <f>IFERROR(VLOOKUP(C4881,DATA!#REF!,2,FALSE),"")</f>
        <v/>
      </c>
    </row>
    <row r="4882" spans="3:4" s="230" customFormat="1">
      <c r="C4882" s="16" t="str">
        <f>IFERROR(VLOOKUP(DATA!#REF!,DATA!#REF!,1,FALSE),"")</f>
        <v/>
      </c>
      <c r="D4882" s="16" t="str">
        <f>IFERROR(VLOOKUP(C4882,DATA!#REF!,2,FALSE),"")</f>
        <v/>
      </c>
    </row>
    <row r="4883" spans="3:4" s="230" customFormat="1">
      <c r="C4883" s="16" t="str">
        <f>IFERROR(VLOOKUP(DATA!#REF!,DATA!#REF!,1,FALSE),"")</f>
        <v/>
      </c>
      <c r="D4883" s="16" t="str">
        <f>IFERROR(VLOOKUP(C4883,DATA!#REF!,2,FALSE),"")</f>
        <v/>
      </c>
    </row>
    <row r="4884" spans="3:4" s="230" customFormat="1">
      <c r="C4884" s="16" t="str">
        <f>IFERROR(VLOOKUP(DATA!#REF!,DATA!#REF!,1,FALSE),"")</f>
        <v/>
      </c>
      <c r="D4884" s="16" t="str">
        <f>IFERROR(VLOOKUP(C4884,DATA!#REF!,2,FALSE),"")</f>
        <v/>
      </c>
    </row>
    <row r="4885" spans="3:4" s="230" customFormat="1">
      <c r="C4885" s="16" t="str">
        <f>IFERROR(VLOOKUP(DATA!#REF!,DATA!#REF!,1,FALSE),"")</f>
        <v/>
      </c>
      <c r="D4885" s="16" t="str">
        <f>IFERROR(VLOOKUP(C4885,DATA!#REF!,2,FALSE),"")</f>
        <v/>
      </c>
    </row>
    <row r="4886" spans="3:4" s="230" customFormat="1">
      <c r="C4886" s="16" t="str">
        <f>IFERROR(VLOOKUP(DATA!#REF!,DATA!#REF!,1,FALSE),"")</f>
        <v/>
      </c>
      <c r="D4886" s="16" t="str">
        <f>IFERROR(VLOOKUP(C4886,DATA!#REF!,2,FALSE),"")</f>
        <v/>
      </c>
    </row>
    <row r="4887" spans="3:4" s="230" customFormat="1">
      <c r="C4887" s="16" t="str">
        <f>IFERROR(VLOOKUP(DATA!#REF!,DATA!#REF!,1,FALSE),"")</f>
        <v/>
      </c>
      <c r="D4887" s="16" t="str">
        <f>IFERROR(VLOOKUP(C4887,DATA!#REF!,2,FALSE),"")</f>
        <v/>
      </c>
    </row>
    <row r="4888" spans="3:4" s="230" customFormat="1">
      <c r="C4888" s="16" t="str">
        <f>IFERROR(VLOOKUP(DATA!#REF!,DATA!#REF!,1,FALSE),"")</f>
        <v/>
      </c>
      <c r="D4888" s="16" t="str">
        <f>IFERROR(VLOOKUP(C4888,DATA!#REF!,2,FALSE),"")</f>
        <v/>
      </c>
    </row>
    <row r="4889" spans="3:4" s="230" customFormat="1">
      <c r="C4889" s="16" t="str">
        <f>IFERROR(VLOOKUP(DATA!#REF!,DATA!#REF!,1,FALSE),"")</f>
        <v/>
      </c>
      <c r="D4889" s="16" t="str">
        <f>IFERROR(VLOOKUP(C4889,DATA!#REF!,2,FALSE),"")</f>
        <v/>
      </c>
    </row>
    <row r="4890" spans="3:4" s="230" customFormat="1">
      <c r="C4890" s="16" t="str">
        <f>IFERROR(VLOOKUP(DATA!#REF!,DATA!#REF!,1,FALSE),"")</f>
        <v/>
      </c>
      <c r="D4890" s="16" t="str">
        <f>IFERROR(VLOOKUP(C4890,DATA!#REF!,2,FALSE),"")</f>
        <v/>
      </c>
    </row>
    <row r="4891" spans="3:4" s="230" customFormat="1">
      <c r="C4891" s="16" t="str">
        <f>IFERROR(VLOOKUP(DATA!#REF!,DATA!#REF!,1,FALSE),"")</f>
        <v/>
      </c>
      <c r="D4891" s="16" t="str">
        <f>IFERROR(VLOOKUP(C4891,DATA!#REF!,2,FALSE),"")</f>
        <v/>
      </c>
    </row>
    <row r="4892" spans="3:4" s="230" customFormat="1">
      <c r="C4892" s="16" t="str">
        <f>IFERROR(VLOOKUP(DATA!#REF!,DATA!#REF!,1,FALSE),"")</f>
        <v/>
      </c>
      <c r="D4892" s="16" t="str">
        <f>IFERROR(VLOOKUP(C4892,DATA!#REF!,2,FALSE),"")</f>
        <v/>
      </c>
    </row>
    <row r="4893" spans="3:4" s="230" customFormat="1">
      <c r="C4893" s="16" t="str">
        <f>IFERROR(VLOOKUP(DATA!#REF!,DATA!#REF!,1,FALSE),"")</f>
        <v/>
      </c>
      <c r="D4893" s="16" t="str">
        <f>IFERROR(VLOOKUP(C4893,DATA!#REF!,2,FALSE),"")</f>
        <v/>
      </c>
    </row>
    <row r="4894" spans="3:4" s="230" customFormat="1">
      <c r="C4894" s="16" t="str">
        <f>IFERROR(VLOOKUP(DATA!#REF!,DATA!#REF!,1,FALSE),"")</f>
        <v/>
      </c>
      <c r="D4894" s="16" t="str">
        <f>IFERROR(VLOOKUP(C4894,DATA!#REF!,2,FALSE),"")</f>
        <v/>
      </c>
    </row>
    <row r="4895" spans="3:4" s="230" customFormat="1">
      <c r="C4895" s="16" t="str">
        <f>IFERROR(VLOOKUP(DATA!#REF!,DATA!#REF!,1,FALSE),"")</f>
        <v/>
      </c>
      <c r="D4895" s="16" t="str">
        <f>IFERROR(VLOOKUP(C4895,DATA!#REF!,2,FALSE),"")</f>
        <v/>
      </c>
    </row>
    <row r="4896" spans="3:4" s="230" customFormat="1">
      <c r="C4896" s="16" t="str">
        <f>IFERROR(VLOOKUP(DATA!#REF!,DATA!#REF!,1,FALSE),"")</f>
        <v/>
      </c>
      <c r="D4896" s="16" t="str">
        <f>IFERROR(VLOOKUP(C4896,DATA!#REF!,2,FALSE),"")</f>
        <v/>
      </c>
    </row>
    <row r="4897" spans="3:4" s="230" customFormat="1">
      <c r="C4897" s="16" t="str">
        <f>IFERROR(VLOOKUP(DATA!#REF!,DATA!#REF!,1,FALSE),"")</f>
        <v/>
      </c>
      <c r="D4897" s="16" t="str">
        <f>IFERROR(VLOOKUP(C4897,DATA!#REF!,2,FALSE),"")</f>
        <v/>
      </c>
    </row>
    <row r="4898" spans="3:4" s="230" customFormat="1">
      <c r="C4898" s="16" t="str">
        <f>IFERROR(VLOOKUP(DATA!#REF!,DATA!#REF!,1,FALSE),"")</f>
        <v/>
      </c>
      <c r="D4898" s="16" t="str">
        <f>IFERROR(VLOOKUP(C4898,DATA!#REF!,2,FALSE),"")</f>
        <v/>
      </c>
    </row>
    <row r="4899" spans="3:4" s="230" customFormat="1">
      <c r="C4899" s="16" t="str">
        <f>IFERROR(VLOOKUP(DATA!#REF!,DATA!#REF!,1,FALSE),"")</f>
        <v/>
      </c>
      <c r="D4899" s="16" t="str">
        <f>IFERROR(VLOOKUP(C4899,DATA!#REF!,2,FALSE),"")</f>
        <v/>
      </c>
    </row>
    <row r="4900" spans="3:4" s="230" customFormat="1">
      <c r="C4900" s="16" t="str">
        <f>IFERROR(VLOOKUP(DATA!#REF!,DATA!#REF!,1,FALSE),"")</f>
        <v/>
      </c>
      <c r="D4900" s="16" t="str">
        <f>IFERROR(VLOOKUP(C4900,DATA!#REF!,2,FALSE),"")</f>
        <v/>
      </c>
    </row>
    <row r="4901" spans="3:4" s="230" customFormat="1">
      <c r="C4901" s="16" t="str">
        <f>IFERROR(VLOOKUP(DATA!#REF!,DATA!#REF!,1,FALSE),"")</f>
        <v/>
      </c>
      <c r="D4901" s="16" t="str">
        <f>IFERROR(VLOOKUP(C4901,DATA!#REF!,2,FALSE),"")</f>
        <v/>
      </c>
    </row>
    <row r="4902" spans="3:4" s="230" customFormat="1">
      <c r="C4902" s="16" t="str">
        <f>IFERROR(VLOOKUP(DATA!#REF!,DATA!#REF!,1,FALSE),"")</f>
        <v/>
      </c>
      <c r="D4902" s="16" t="str">
        <f>IFERROR(VLOOKUP(C4902,DATA!#REF!,2,FALSE),"")</f>
        <v/>
      </c>
    </row>
    <row r="4903" spans="3:4" s="230" customFormat="1">
      <c r="C4903" s="16" t="str">
        <f>IFERROR(VLOOKUP(DATA!#REF!,DATA!#REF!,1,FALSE),"")</f>
        <v/>
      </c>
      <c r="D4903" s="16" t="str">
        <f>IFERROR(VLOOKUP(C4903,DATA!#REF!,2,FALSE),"")</f>
        <v/>
      </c>
    </row>
    <row r="4904" spans="3:4" s="230" customFormat="1">
      <c r="C4904" s="16" t="str">
        <f>IFERROR(VLOOKUP(DATA!#REF!,DATA!#REF!,1,FALSE),"")</f>
        <v/>
      </c>
      <c r="D4904" s="16" t="str">
        <f>IFERROR(VLOOKUP(C4904,DATA!#REF!,2,FALSE),"")</f>
        <v/>
      </c>
    </row>
    <row r="4905" spans="3:4" s="230" customFormat="1">
      <c r="C4905" s="16" t="str">
        <f>IFERROR(VLOOKUP(DATA!#REF!,DATA!#REF!,1,FALSE),"")</f>
        <v/>
      </c>
      <c r="D4905" s="16" t="str">
        <f>IFERROR(VLOOKUP(C4905,DATA!#REF!,2,FALSE),"")</f>
        <v/>
      </c>
    </row>
    <row r="4906" spans="3:4" s="230" customFormat="1">
      <c r="C4906" s="16" t="str">
        <f>IFERROR(VLOOKUP(DATA!#REF!,DATA!#REF!,1,FALSE),"")</f>
        <v/>
      </c>
      <c r="D4906" s="16" t="str">
        <f>IFERROR(VLOOKUP(C4906,DATA!#REF!,2,FALSE),"")</f>
        <v/>
      </c>
    </row>
    <row r="4907" spans="3:4" s="230" customFormat="1">
      <c r="C4907" s="16" t="str">
        <f>IFERROR(VLOOKUP(DATA!#REF!,DATA!#REF!,1,FALSE),"")</f>
        <v/>
      </c>
      <c r="D4907" s="16" t="str">
        <f>IFERROR(VLOOKUP(C4907,DATA!#REF!,2,FALSE),"")</f>
        <v/>
      </c>
    </row>
    <row r="4908" spans="3:4" s="230" customFormat="1">
      <c r="C4908" s="16" t="str">
        <f>IFERROR(VLOOKUP(DATA!#REF!,DATA!#REF!,1,FALSE),"")</f>
        <v/>
      </c>
      <c r="D4908" s="16" t="str">
        <f>IFERROR(VLOOKUP(C4908,DATA!#REF!,2,FALSE),"")</f>
        <v/>
      </c>
    </row>
    <row r="4909" spans="3:4" s="230" customFormat="1">
      <c r="C4909" s="16" t="str">
        <f>IFERROR(VLOOKUP(DATA!#REF!,DATA!#REF!,1,FALSE),"")</f>
        <v/>
      </c>
      <c r="D4909" s="16" t="str">
        <f>IFERROR(VLOOKUP(C4909,DATA!#REF!,2,FALSE),"")</f>
        <v/>
      </c>
    </row>
    <row r="4910" spans="3:4" s="230" customFormat="1">
      <c r="C4910" s="16" t="str">
        <f>IFERROR(VLOOKUP(DATA!#REF!,DATA!#REF!,1,FALSE),"")</f>
        <v/>
      </c>
      <c r="D4910" s="16" t="str">
        <f>IFERROR(VLOOKUP(C4910,DATA!#REF!,2,FALSE),"")</f>
        <v/>
      </c>
    </row>
    <row r="4911" spans="3:4" s="230" customFormat="1">
      <c r="C4911" s="16" t="str">
        <f>IFERROR(VLOOKUP(DATA!#REF!,DATA!#REF!,1,FALSE),"")</f>
        <v/>
      </c>
      <c r="D4911" s="16" t="str">
        <f>IFERROR(VLOOKUP(C4911,DATA!#REF!,2,FALSE),"")</f>
        <v/>
      </c>
    </row>
    <row r="4912" spans="3:4" s="230" customFormat="1">
      <c r="C4912" s="16" t="str">
        <f>IFERROR(VLOOKUP(DATA!#REF!,DATA!#REF!,1,FALSE),"")</f>
        <v/>
      </c>
      <c r="D4912" s="16" t="str">
        <f>IFERROR(VLOOKUP(C4912,DATA!#REF!,2,FALSE),"")</f>
        <v/>
      </c>
    </row>
    <row r="4913" spans="3:4" s="230" customFormat="1">
      <c r="C4913" s="16" t="str">
        <f>IFERROR(VLOOKUP(DATA!#REF!,DATA!#REF!,1,FALSE),"")</f>
        <v/>
      </c>
      <c r="D4913" s="16" t="str">
        <f>IFERROR(VLOOKUP(C4913,DATA!#REF!,2,FALSE),"")</f>
        <v/>
      </c>
    </row>
    <row r="4914" spans="3:4" s="230" customFormat="1">
      <c r="C4914" s="16" t="str">
        <f>IFERROR(VLOOKUP(DATA!#REF!,DATA!#REF!,1,FALSE),"")</f>
        <v/>
      </c>
      <c r="D4914" s="16" t="str">
        <f>IFERROR(VLOOKUP(C4914,DATA!#REF!,2,FALSE),"")</f>
        <v/>
      </c>
    </row>
    <row r="4915" spans="3:4" s="230" customFormat="1">
      <c r="C4915" s="16" t="str">
        <f>IFERROR(VLOOKUP(DATA!#REF!,DATA!#REF!,1,FALSE),"")</f>
        <v/>
      </c>
      <c r="D4915" s="16" t="str">
        <f>IFERROR(VLOOKUP(C4915,DATA!#REF!,2,FALSE),"")</f>
        <v/>
      </c>
    </row>
    <row r="4916" spans="3:4" s="230" customFormat="1">
      <c r="C4916" s="16" t="str">
        <f>IFERROR(VLOOKUP(DATA!#REF!,DATA!#REF!,1,FALSE),"")</f>
        <v/>
      </c>
      <c r="D4916" s="16" t="str">
        <f>IFERROR(VLOOKUP(C4916,DATA!#REF!,2,FALSE),"")</f>
        <v/>
      </c>
    </row>
    <row r="4917" spans="3:4" s="230" customFormat="1">
      <c r="C4917" s="16" t="str">
        <f>IFERROR(VLOOKUP(DATA!#REF!,DATA!#REF!,1,FALSE),"")</f>
        <v/>
      </c>
      <c r="D4917" s="16" t="str">
        <f>IFERROR(VLOOKUP(C4917,DATA!#REF!,2,FALSE),"")</f>
        <v/>
      </c>
    </row>
    <row r="4918" spans="3:4" s="230" customFormat="1">
      <c r="C4918" s="16" t="str">
        <f>IFERROR(VLOOKUP(DATA!#REF!,DATA!#REF!,1,FALSE),"")</f>
        <v/>
      </c>
      <c r="D4918" s="16" t="str">
        <f>IFERROR(VLOOKUP(C4918,DATA!#REF!,2,FALSE),"")</f>
        <v/>
      </c>
    </row>
    <row r="4919" spans="3:4" s="230" customFormat="1">
      <c r="C4919" s="16" t="str">
        <f>IFERROR(VLOOKUP(DATA!#REF!,DATA!#REF!,1,FALSE),"")</f>
        <v/>
      </c>
      <c r="D4919" s="16" t="str">
        <f>IFERROR(VLOOKUP(C4919,DATA!#REF!,2,FALSE),"")</f>
        <v/>
      </c>
    </row>
    <row r="4920" spans="3:4" s="230" customFormat="1">
      <c r="C4920" s="16" t="str">
        <f>IFERROR(VLOOKUP(DATA!#REF!,DATA!#REF!,1,FALSE),"")</f>
        <v/>
      </c>
      <c r="D4920" s="16" t="str">
        <f>IFERROR(VLOOKUP(C4920,DATA!#REF!,2,FALSE),"")</f>
        <v/>
      </c>
    </row>
    <row r="4921" spans="3:4" s="230" customFormat="1">
      <c r="C4921" s="16" t="str">
        <f>IFERROR(VLOOKUP(DATA!#REF!,DATA!#REF!,1,FALSE),"")</f>
        <v/>
      </c>
      <c r="D4921" s="16" t="str">
        <f>IFERROR(VLOOKUP(C4921,DATA!#REF!,2,FALSE),"")</f>
        <v/>
      </c>
    </row>
    <row r="4922" spans="3:4" s="230" customFormat="1">
      <c r="C4922" s="16" t="str">
        <f>IFERROR(VLOOKUP(DATA!#REF!,DATA!#REF!,1,FALSE),"")</f>
        <v/>
      </c>
      <c r="D4922" s="16" t="str">
        <f>IFERROR(VLOOKUP(C4922,DATA!#REF!,2,FALSE),"")</f>
        <v/>
      </c>
    </row>
    <row r="4923" spans="3:4" s="230" customFormat="1">
      <c r="C4923" s="16" t="str">
        <f>IFERROR(VLOOKUP(DATA!#REF!,DATA!#REF!,1,FALSE),"")</f>
        <v/>
      </c>
      <c r="D4923" s="16" t="str">
        <f>IFERROR(VLOOKUP(C4923,DATA!#REF!,2,FALSE),"")</f>
        <v/>
      </c>
    </row>
    <row r="4924" spans="3:4" s="230" customFormat="1">
      <c r="C4924" s="16" t="str">
        <f>IFERROR(VLOOKUP(DATA!#REF!,DATA!#REF!,1,FALSE),"")</f>
        <v/>
      </c>
      <c r="D4924" s="16" t="str">
        <f>IFERROR(VLOOKUP(C4924,DATA!#REF!,2,FALSE),"")</f>
        <v/>
      </c>
    </row>
    <row r="4925" spans="3:4" s="230" customFormat="1">
      <c r="C4925" s="16" t="str">
        <f>IFERROR(VLOOKUP(DATA!#REF!,DATA!#REF!,1,FALSE),"")</f>
        <v/>
      </c>
      <c r="D4925" s="16" t="str">
        <f>IFERROR(VLOOKUP(C4925,DATA!#REF!,2,FALSE),"")</f>
        <v/>
      </c>
    </row>
    <row r="4926" spans="3:4" s="230" customFormat="1">
      <c r="C4926" s="16" t="str">
        <f>IFERROR(VLOOKUP(DATA!#REF!,DATA!#REF!,1,FALSE),"")</f>
        <v/>
      </c>
      <c r="D4926" s="16" t="str">
        <f>IFERROR(VLOOKUP(C4926,DATA!#REF!,2,FALSE),"")</f>
        <v/>
      </c>
    </row>
    <row r="4927" spans="3:4" s="230" customFormat="1">
      <c r="C4927" s="16" t="str">
        <f>IFERROR(VLOOKUP(DATA!#REF!,DATA!#REF!,1,FALSE),"")</f>
        <v/>
      </c>
      <c r="D4927" s="16" t="str">
        <f>IFERROR(VLOOKUP(C4927,DATA!#REF!,2,FALSE),"")</f>
        <v/>
      </c>
    </row>
    <row r="4928" spans="3:4" s="230" customFormat="1">
      <c r="C4928" s="16" t="str">
        <f>IFERROR(VLOOKUP(DATA!#REF!,DATA!#REF!,1,FALSE),"")</f>
        <v/>
      </c>
      <c r="D4928" s="16" t="str">
        <f>IFERROR(VLOOKUP(C4928,DATA!#REF!,2,FALSE),"")</f>
        <v/>
      </c>
    </row>
    <row r="4929" spans="3:4" s="230" customFormat="1">
      <c r="C4929" s="16" t="str">
        <f>IFERROR(VLOOKUP(DATA!#REF!,DATA!#REF!,1,FALSE),"")</f>
        <v/>
      </c>
      <c r="D4929" s="16" t="str">
        <f>IFERROR(VLOOKUP(C4929,DATA!#REF!,2,FALSE),"")</f>
        <v/>
      </c>
    </row>
    <row r="4930" spans="3:4" s="230" customFormat="1">
      <c r="C4930" s="16" t="str">
        <f>IFERROR(VLOOKUP(DATA!#REF!,DATA!#REF!,1,FALSE),"")</f>
        <v/>
      </c>
      <c r="D4930" s="16" t="str">
        <f>IFERROR(VLOOKUP(C4930,DATA!#REF!,2,FALSE),"")</f>
        <v/>
      </c>
    </row>
    <row r="4931" spans="3:4" s="230" customFormat="1">
      <c r="C4931" s="16" t="str">
        <f>IFERROR(VLOOKUP(DATA!#REF!,DATA!#REF!,1,FALSE),"")</f>
        <v/>
      </c>
      <c r="D4931" s="16" t="str">
        <f>IFERROR(VLOOKUP(C4931,DATA!#REF!,2,FALSE),"")</f>
        <v/>
      </c>
    </row>
    <row r="4932" spans="3:4" s="230" customFormat="1">
      <c r="C4932" s="16" t="str">
        <f>IFERROR(VLOOKUP(DATA!#REF!,DATA!#REF!,1,FALSE),"")</f>
        <v/>
      </c>
      <c r="D4932" s="16" t="str">
        <f>IFERROR(VLOOKUP(C4932,DATA!#REF!,2,FALSE),"")</f>
        <v/>
      </c>
    </row>
    <row r="4933" spans="3:4" s="230" customFormat="1">
      <c r="C4933" s="16" t="str">
        <f>IFERROR(VLOOKUP(DATA!#REF!,DATA!#REF!,1,FALSE),"")</f>
        <v/>
      </c>
      <c r="D4933" s="16" t="str">
        <f>IFERROR(VLOOKUP(C4933,DATA!#REF!,2,FALSE),"")</f>
        <v/>
      </c>
    </row>
    <row r="4934" spans="3:4" s="230" customFormat="1">
      <c r="C4934" s="16" t="str">
        <f>IFERROR(VLOOKUP(DATA!#REF!,DATA!#REF!,1,FALSE),"")</f>
        <v/>
      </c>
      <c r="D4934" s="16" t="str">
        <f>IFERROR(VLOOKUP(C4934,DATA!#REF!,2,FALSE),"")</f>
        <v/>
      </c>
    </row>
    <row r="4935" spans="3:4" s="230" customFormat="1">
      <c r="C4935" s="16" t="str">
        <f>IFERROR(VLOOKUP(DATA!#REF!,DATA!#REF!,1,FALSE),"")</f>
        <v/>
      </c>
      <c r="D4935" s="16" t="str">
        <f>IFERROR(VLOOKUP(C4935,DATA!#REF!,2,FALSE),"")</f>
        <v/>
      </c>
    </row>
    <row r="4936" spans="3:4" s="230" customFormat="1">
      <c r="C4936" s="16" t="str">
        <f>IFERROR(VLOOKUP(DATA!#REF!,DATA!#REF!,1,FALSE),"")</f>
        <v/>
      </c>
      <c r="D4936" s="16" t="str">
        <f>IFERROR(VLOOKUP(C4936,DATA!#REF!,2,FALSE),"")</f>
        <v/>
      </c>
    </row>
    <row r="4937" spans="3:4" s="230" customFormat="1">
      <c r="C4937" s="16" t="str">
        <f>IFERROR(VLOOKUP(DATA!#REF!,DATA!#REF!,1,FALSE),"")</f>
        <v/>
      </c>
      <c r="D4937" s="16" t="str">
        <f>IFERROR(VLOOKUP(C4937,DATA!#REF!,2,FALSE),"")</f>
        <v/>
      </c>
    </row>
    <row r="4938" spans="3:4" s="230" customFormat="1">
      <c r="C4938" s="16" t="str">
        <f>IFERROR(VLOOKUP(DATA!#REF!,DATA!#REF!,1,FALSE),"")</f>
        <v/>
      </c>
      <c r="D4938" s="16" t="str">
        <f>IFERROR(VLOOKUP(C4938,DATA!#REF!,2,FALSE),"")</f>
        <v/>
      </c>
    </row>
    <row r="4939" spans="3:4" s="230" customFormat="1">
      <c r="C4939" s="16" t="str">
        <f>IFERROR(VLOOKUP(DATA!#REF!,DATA!#REF!,1,FALSE),"")</f>
        <v/>
      </c>
      <c r="D4939" s="16" t="str">
        <f>IFERROR(VLOOKUP(C4939,DATA!#REF!,2,FALSE),"")</f>
        <v/>
      </c>
    </row>
    <row r="4940" spans="3:4" s="230" customFormat="1">
      <c r="C4940" s="16" t="str">
        <f>IFERROR(VLOOKUP(DATA!#REF!,DATA!#REF!,1,FALSE),"")</f>
        <v/>
      </c>
      <c r="D4940" s="16" t="str">
        <f>IFERROR(VLOOKUP(C4940,DATA!#REF!,2,FALSE),"")</f>
        <v/>
      </c>
    </row>
    <row r="4941" spans="3:4" s="230" customFormat="1">
      <c r="C4941" s="16" t="str">
        <f>IFERROR(VLOOKUP(DATA!#REF!,DATA!#REF!,1,FALSE),"")</f>
        <v/>
      </c>
      <c r="D4941" s="16" t="str">
        <f>IFERROR(VLOOKUP(C4941,DATA!#REF!,2,FALSE),"")</f>
        <v/>
      </c>
    </row>
    <row r="4942" spans="3:4" s="230" customFormat="1">
      <c r="C4942" s="16" t="str">
        <f>IFERROR(VLOOKUP(DATA!#REF!,DATA!#REF!,1,FALSE),"")</f>
        <v/>
      </c>
      <c r="D4942" s="16" t="str">
        <f>IFERROR(VLOOKUP(C4942,DATA!#REF!,2,FALSE),"")</f>
        <v/>
      </c>
    </row>
    <row r="4943" spans="3:4" s="230" customFormat="1">
      <c r="C4943" s="16" t="str">
        <f>IFERROR(VLOOKUP(DATA!#REF!,DATA!#REF!,1,FALSE),"")</f>
        <v/>
      </c>
      <c r="D4943" s="16" t="str">
        <f>IFERROR(VLOOKUP(C4943,DATA!#REF!,2,FALSE),"")</f>
        <v/>
      </c>
    </row>
    <row r="4944" spans="3:4" s="230" customFormat="1">
      <c r="C4944" s="16" t="str">
        <f>IFERROR(VLOOKUP(DATA!#REF!,DATA!#REF!,1,FALSE),"")</f>
        <v/>
      </c>
      <c r="D4944" s="16" t="str">
        <f>IFERROR(VLOOKUP(C4944,DATA!#REF!,2,FALSE),"")</f>
        <v/>
      </c>
    </row>
    <row r="4945" spans="3:4" s="230" customFormat="1">
      <c r="C4945" s="16" t="str">
        <f>IFERROR(VLOOKUP(DATA!#REF!,DATA!#REF!,1,FALSE),"")</f>
        <v/>
      </c>
      <c r="D4945" s="16" t="str">
        <f>IFERROR(VLOOKUP(C4945,DATA!#REF!,2,FALSE),"")</f>
        <v/>
      </c>
    </row>
    <row r="4946" spans="3:4" s="230" customFormat="1">
      <c r="C4946" s="16" t="str">
        <f>IFERROR(VLOOKUP(DATA!#REF!,DATA!#REF!,1,FALSE),"")</f>
        <v/>
      </c>
      <c r="D4946" s="16" t="str">
        <f>IFERROR(VLOOKUP(C4946,DATA!#REF!,2,FALSE),"")</f>
        <v/>
      </c>
    </row>
    <row r="4947" spans="3:4" s="230" customFormat="1">
      <c r="C4947" s="16" t="str">
        <f>IFERROR(VLOOKUP(DATA!#REF!,DATA!#REF!,1,FALSE),"")</f>
        <v/>
      </c>
      <c r="D4947" s="16" t="str">
        <f>IFERROR(VLOOKUP(C4947,DATA!#REF!,2,FALSE),"")</f>
        <v/>
      </c>
    </row>
    <row r="4948" spans="3:4" s="230" customFormat="1">
      <c r="C4948" s="16" t="str">
        <f>IFERROR(VLOOKUP(DATA!#REF!,DATA!#REF!,1,FALSE),"")</f>
        <v/>
      </c>
      <c r="D4948" s="16" t="str">
        <f>IFERROR(VLOOKUP(C4948,DATA!#REF!,2,FALSE),"")</f>
        <v/>
      </c>
    </row>
    <row r="4949" spans="3:4" s="230" customFormat="1">
      <c r="C4949" s="16" t="str">
        <f>IFERROR(VLOOKUP(DATA!#REF!,DATA!#REF!,1,FALSE),"")</f>
        <v/>
      </c>
      <c r="D4949" s="16" t="str">
        <f>IFERROR(VLOOKUP(C4949,DATA!#REF!,2,FALSE),"")</f>
        <v/>
      </c>
    </row>
    <row r="4950" spans="3:4" s="230" customFormat="1">
      <c r="C4950" s="16" t="str">
        <f>IFERROR(VLOOKUP(DATA!#REF!,DATA!#REF!,1,FALSE),"")</f>
        <v/>
      </c>
      <c r="D4950" s="16" t="str">
        <f>IFERROR(VLOOKUP(C4950,DATA!#REF!,2,FALSE),"")</f>
        <v/>
      </c>
    </row>
    <row r="4951" spans="3:4" s="230" customFormat="1">
      <c r="C4951" s="16" t="str">
        <f>IFERROR(VLOOKUP(DATA!#REF!,DATA!#REF!,1,FALSE),"")</f>
        <v/>
      </c>
      <c r="D4951" s="16" t="str">
        <f>IFERROR(VLOOKUP(C4951,DATA!#REF!,2,FALSE),"")</f>
        <v/>
      </c>
    </row>
    <row r="4952" spans="3:4" s="230" customFormat="1">
      <c r="C4952" s="16" t="str">
        <f>IFERROR(VLOOKUP(DATA!#REF!,DATA!#REF!,1,FALSE),"")</f>
        <v/>
      </c>
      <c r="D4952" s="16" t="str">
        <f>IFERROR(VLOOKUP(C4952,DATA!#REF!,2,FALSE),"")</f>
        <v/>
      </c>
    </row>
    <row r="4953" spans="3:4" s="230" customFormat="1">
      <c r="C4953" s="16" t="str">
        <f>IFERROR(VLOOKUP(DATA!#REF!,DATA!#REF!,1,FALSE),"")</f>
        <v/>
      </c>
      <c r="D4953" s="16" t="str">
        <f>IFERROR(VLOOKUP(C4953,DATA!#REF!,2,FALSE),"")</f>
        <v/>
      </c>
    </row>
    <row r="4954" spans="3:4" s="230" customFormat="1">
      <c r="C4954" s="16" t="str">
        <f>IFERROR(VLOOKUP(DATA!#REF!,DATA!#REF!,1,FALSE),"")</f>
        <v/>
      </c>
      <c r="D4954" s="16" t="str">
        <f>IFERROR(VLOOKUP(C4954,DATA!#REF!,2,FALSE),"")</f>
        <v/>
      </c>
    </row>
    <row r="4955" spans="3:4" s="230" customFormat="1">
      <c r="C4955" s="16" t="str">
        <f>IFERROR(VLOOKUP(DATA!#REF!,DATA!#REF!,1,FALSE),"")</f>
        <v/>
      </c>
      <c r="D4955" s="16" t="str">
        <f>IFERROR(VLOOKUP(C4955,DATA!#REF!,2,FALSE),"")</f>
        <v/>
      </c>
    </row>
    <row r="4956" spans="3:4" s="230" customFormat="1">
      <c r="C4956" s="16" t="str">
        <f>IFERROR(VLOOKUP(DATA!#REF!,DATA!#REF!,1,FALSE),"")</f>
        <v/>
      </c>
      <c r="D4956" s="16" t="str">
        <f>IFERROR(VLOOKUP(C4956,DATA!#REF!,2,FALSE),"")</f>
        <v/>
      </c>
    </row>
    <row r="4957" spans="3:4" s="230" customFormat="1">
      <c r="C4957" s="16" t="str">
        <f>IFERROR(VLOOKUP(DATA!#REF!,DATA!#REF!,1,FALSE),"")</f>
        <v/>
      </c>
      <c r="D4957" s="16" t="str">
        <f>IFERROR(VLOOKUP(C4957,DATA!#REF!,2,FALSE),"")</f>
        <v/>
      </c>
    </row>
    <row r="4958" spans="3:4" s="230" customFormat="1">
      <c r="C4958" s="16" t="str">
        <f>IFERROR(VLOOKUP(DATA!#REF!,DATA!#REF!,1,FALSE),"")</f>
        <v/>
      </c>
      <c r="D4958" s="16" t="str">
        <f>IFERROR(VLOOKUP(C4958,DATA!#REF!,2,FALSE),"")</f>
        <v/>
      </c>
    </row>
    <row r="4959" spans="3:4" s="230" customFormat="1">
      <c r="C4959" s="16" t="str">
        <f>IFERROR(VLOOKUP(DATA!#REF!,DATA!#REF!,1,FALSE),"")</f>
        <v/>
      </c>
      <c r="D4959" s="16" t="str">
        <f>IFERROR(VLOOKUP(C4959,DATA!#REF!,2,FALSE),"")</f>
        <v/>
      </c>
    </row>
    <row r="4960" spans="3:4" s="230" customFormat="1">
      <c r="C4960" s="16" t="str">
        <f>IFERROR(VLOOKUP(DATA!#REF!,DATA!#REF!,1,FALSE),"")</f>
        <v/>
      </c>
      <c r="D4960" s="16" t="str">
        <f>IFERROR(VLOOKUP(C4960,DATA!#REF!,2,FALSE),"")</f>
        <v/>
      </c>
    </row>
    <row r="4961" spans="3:4" s="230" customFormat="1">
      <c r="C4961" s="16" t="str">
        <f>IFERROR(VLOOKUP(DATA!#REF!,DATA!#REF!,1,FALSE),"")</f>
        <v/>
      </c>
      <c r="D4961" s="16" t="str">
        <f>IFERROR(VLOOKUP(C4961,DATA!#REF!,2,FALSE),"")</f>
        <v/>
      </c>
    </row>
    <row r="4962" spans="3:4" s="230" customFormat="1">
      <c r="C4962" s="16" t="str">
        <f>IFERROR(VLOOKUP(DATA!#REF!,DATA!#REF!,1,FALSE),"")</f>
        <v/>
      </c>
      <c r="D4962" s="16" t="str">
        <f>IFERROR(VLOOKUP(C4962,DATA!#REF!,2,FALSE),"")</f>
        <v/>
      </c>
    </row>
    <row r="4963" spans="3:4" s="230" customFormat="1">
      <c r="C4963" s="16" t="str">
        <f>IFERROR(VLOOKUP(DATA!#REF!,DATA!#REF!,1,FALSE),"")</f>
        <v/>
      </c>
      <c r="D4963" s="16" t="str">
        <f>IFERROR(VLOOKUP(C4963,DATA!#REF!,2,FALSE),"")</f>
        <v/>
      </c>
    </row>
    <row r="4964" spans="3:4" s="230" customFormat="1">
      <c r="C4964" s="16" t="str">
        <f>IFERROR(VLOOKUP(DATA!#REF!,DATA!#REF!,1,FALSE),"")</f>
        <v/>
      </c>
      <c r="D4964" s="16" t="str">
        <f>IFERROR(VLOOKUP(C4964,DATA!#REF!,2,FALSE),"")</f>
        <v/>
      </c>
    </row>
    <row r="4965" spans="3:4" s="230" customFormat="1">
      <c r="C4965" s="16" t="str">
        <f>IFERROR(VLOOKUP(DATA!#REF!,DATA!#REF!,1,FALSE),"")</f>
        <v/>
      </c>
      <c r="D4965" s="16" t="str">
        <f>IFERROR(VLOOKUP(C4965,DATA!#REF!,2,FALSE),"")</f>
        <v/>
      </c>
    </row>
    <row r="4966" spans="3:4" s="230" customFormat="1">
      <c r="C4966" s="16" t="str">
        <f>IFERROR(VLOOKUP(DATA!#REF!,DATA!#REF!,1,FALSE),"")</f>
        <v/>
      </c>
      <c r="D4966" s="16" t="str">
        <f>IFERROR(VLOOKUP(C4966,DATA!#REF!,2,FALSE),"")</f>
        <v/>
      </c>
    </row>
    <row r="4967" spans="3:4" s="230" customFormat="1">
      <c r="C4967" s="16" t="str">
        <f>IFERROR(VLOOKUP(DATA!#REF!,DATA!#REF!,1,FALSE),"")</f>
        <v/>
      </c>
      <c r="D4967" s="16" t="str">
        <f>IFERROR(VLOOKUP(C4967,DATA!#REF!,2,FALSE),"")</f>
        <v/>
      </c>
    </row>
    <row r="4968" spans="3:4" s="230" customFormat="1">
      <c r="C4968" s="16" t="str">
        <f>IFERROR(VLOOKUP(DATA!#REF!,DATA!#REF!,1,FALSE),"")</f>
        <v/>
      </c>
      <c r="D4968" s="16" t="str">
        <f>IFERROR(VLOOKUP(C4968,DATA!#REF!,2,FALSE),"")</f>
        <v/>
      </c>
    </row>
    <row r="4969" spans="3:4" s="230" customFormat="1">
      <c r="C4969" s="16" t="str">
        <f>IFERROR(VLOOKUP(DATA!#REF!,DATA!#REF!,1,FALSE),"")</f>
        <v/>
      </c>
      <c r="D4969" s="16" t="str">
        <f>IFERROR(VLOOKUP(C4969,DATA!#REF!,2,FALSE),"")</f>
        <v/>
      </c>
    </row>
    <row r="4970" spans="3:4" s="230" customFormat="1">
      <c r="C4970" s="16" t="str">
        <f>IFERROR(VLOOKUP(DATA!#REF!,DATA!#REF!,1,FALSE),"")</f>
        <v/>
      </c>
      <c r="D4970" s="16" t="str">
        <f>IFERROR(VLOOKUP(C4970,DATA!#REF!,2,FALSE),"")</f>
        <v/>
      </c>
    </row>
    <row r="4971" spans="3:4" s="230" customFormat="1">
      <c r="C4971" s="16" t="str">
        <f>IFERROR(VLOOKUP(DATA!#REF!,DATA!#REF!,1,FALSE),"")</f>
        <v/>
      </c>
      <c r="D4971" s="16" t="str">
        <f>IFERROR(VLOOKUP(C4971,DATA!#REF!,2,FALSE),"")</f>
        <v/>
      </c>
    </row>
    <row r="4972" spans="3:4" s="230" customFormat="1">
      <c r="C4972" s="16" t="str">
        <f>IFERROR(VLOOKUP(DATA!#REF!,DATA!#REF!,1,FALSE),"")</f>
        <v/>
      </c>
      <c r="D4972" s="16" t="str">
        <f>IFERROR(VLOOKUP(C4972,DATA!#REF!,2,FALSE),"")</f>
        <v/>
      </c>
    </row>
    <row r="4973" spans="3:4" s="230" customFormat="1">
      <c r="C4973" s="16" t="str">
        <f>IFERROR(VLOOKUP(DATA!#REF!,DATA!#REF!,1,FALSE),"")</f>
        <v/>
      </c>
      <c r="D4973" s="16" t="str">
        <f>IFERROR(VLOOKUP(C4973,DATA!#REF!,2,FALSE),"")</f>
        <v/>
      </c>
    </row>
    <row r="4974" spans="3:4" s="230" customFormat="1">
      <c r="C4974" s="16" t="str">
        <f>IFERROR(VLOOKUP(DATA!#REF!,DATA!#REF!,1,FALSE),"")</f>
        <v/>
      </c>
      <c r="D4974" s="16" t="str">
        <f>IFERROR(VLOOKUP(C4974,DATA!#REF!,2,FALSE),"")</f>
        <v/>
      </c>
    </row>
    <row r="4975" spans="3:4" s="230" customFormat="1">
      <c r="C4975" s="16" t="str">
        <f>IFERROR(VLOOKUP(DATA!#REF!,DATA!#REF!,1,FALSE),"")</f>
        <v/>
      </c>
      <c r="D4975" s="16" t="str">
        <f>IFERROR(VLOOKUP(C4975,DATA!#REF!,2,FALSE),"")</f>
        <v/>
      </c>
    </row>
    <row r="4976" spans="3:4" s="230" customFormat="1">
      <c r="C4976" s="16" t="str">
        <f>IFERROR(VLOOKUP(DATA!#REF!,DATA!#REF!,1,FALSE),"")</f>
        <v/>
      </c>
      <c r="D4976" s="16" t="str">
        <f>IFERROR(VLOOKUP(C4976,DATA!#REF!,2,FALSE),"")</f>
        <v/>
      </c>
    </row>
    <row r="4977" spans="3:4" s="230" customFormat="1">
      <c r="C4977" s="16" t="str">
        <f>IFERROR(VLOOKUP(DATA!#REF!,DATA!#REF!,1,FALSE),"")</f>
        <v/>
      </c>
      <c r="D4977" s="16" t="str">
        <f>IFERROR(VLOOKUP(C4977,DATA!#REF!,2,FALSE),"")</f>
        <v/>
      </c>
    </row>
    <row r="4978" spans="3:4" s="230" customFormat="1">
      <c r="C4978" s="16" t="str">
        <f>IFERROR(VLOOKUP(DATA!#REF!,DATA!#REF!,1,FALSE),"")</f>
        <v/>
      </c>
      <c r="D4978" s="16" t="str">
        <f>IFERROR(VLOOKUP(C4978,DATA!#REF!,2,FALSE),"")</f>
        <v/>
      </c>
    </row>
    <row r="4979" spans="3:4" s="230" customFormat="1">
      <c r="C4979" s="16" t="str">
        <f>IFERROR(VLOOKUP(DATA!#REF!,DATA!#REF!,1,FALSE),"")</f>
        <v/>
      </c>
      <c r="D4979" s="16" t="str">
        <f>IFERROR(VLOOKUP(C4979,DATA!#REF!,2,FALSE),"")</f>
        <v/>
      </c>
    </row>
    <row r="4980" spans="3:4" s="230" customFormat="1">
      <c r="C4980" s="16" t="str">
        <f>IFERROR(VLOOKUP(DATA!#REF!,DATA!#REF!,1,FALSE),"")</f>
        <v/>
      </c>
      <c r="D4980" s="16" t="str">
        <f>IFERROR(VLOOKUP(C4980,DATA!#REF!,2,FALSE),"")</f>
        <v/>
      </c>
    </row>
    <row r="4981" spans="3:4" s="230" customFormat="1">
      <c r="C4981" s="16" t="str">
        <f>IFERROR(VLOOKUP(DATA!#REF!,DATA!#REF!,1,FALSE),"")</f>
        <v/>
      </c>
      <c r="D4981" s="16" t="str">
        <f>IFERROR(VLOOKUP(C4981,DATA!#REF!,2,FALSE),"")</f>
        <v/>
      </c>
    </row>
    <row r="4982" spans="3:4" s="230" customFormat="1">
      <c r="C4982" s="16" t="str">
        <f>IFERROR(VLOOKUP(DATA!#REF!,DATA!#REF!,1,FALSE),"")</f>
        <v/>
      </c>
      <c r="D4982" s="16" t="str">
        <f>IFERROR(VLOOKUP(C4982,DATA!#REF!,2,FALSE),"")</f>
        <v/>
      </c>
    </row>
    <row r="4983" spans="3:4" s="230" customFormat="1">
      <c r="C4983" s="16" t="str">
        <f>IFERROR(VLOOKUP(DATA!#REF!,DATA!#REF!,1,FALSE),"")</f>
        <v/>
      </c>
      <c r="D4983" s="16" t="str">
        <f>IFERROR(VLOOKUP(C4983,DATA!#REF!,2,FALSE),"")</f>
        <v/>
      </c>
    </row>
    <row r="4984" spans="3:4" s="230" customFormat="1">
      <c r="C4984" s="16" t="str">
        <f>IFERROR(VLOOKUP(DATA!#REF!,DATA!#REF!,1,FALSE),"")</f>
        <v/>
      </c>
      <c r="D4984" s="16" t="str">
        <f>IFERROR(VLOOKUP(C4984,DATA!#REF!,2,FALSE),"")</f>
        <v/>
      </c>
    </row>
    <row r="4985" spans="3:4" s="230" customFormat="1">
      <c r="C4985" s="16" t="str">
        <f>IFERROR(VLOOKUP(DATA!#REF!,DATA!#REF!,1,FALSE),"")</f>
        <v/>
      </c>
      <c r="D4985" s="16" t="str">
        <f>IFERROR(VLOOKUP(C4985,DATA!#REF!,2,FALSE),"")</f>
        <v/>
      </c>
    </row>
    <row r="4986" spans="3:4" s="230" customFormat="1">
      <c r="C4986" s="16" t="str">
        <f>IFERROR(VLOOKUP(DATA!#REF!,DATA!#REF!,1,FALSE),"")</f>
        <v/>
      </c>
      <c r="D4986" s="16" t="str">
        <f>IFERROR(VLOOKUP(C4986,DATA!#REF!,2,FALSE),"")</f>
        <v/>
      </c>
    </row>
    <row r="4987" spans="3:4" s="230" customFormat="1">
      <c r="C4987" s="16" t="str">
        <f>IFERROR(VLOOKUP(DATA!#REF!,DATA!#REF!,1,FALSE),"")</f>
        <v/>
      </c>
      <c r="D4987" s="16" t="str">
        <f>IFERROR(VLOOKUP(C4987,DATA!#REF!,2,FALSE),"")</f>
        <v/>
      </c>
    </row>
    <row r="4988" spans="3:4" s="230" customFormat="1">
      <c r="C4988" s="16" t="str">
        <f>IFERROR(VLOOKUP(DATA!#REF!,DATA!#REF!,1,FALSE),"")</f>
        <v/>
      </c>
      <c r="D4988" s="16" t="str">
        <f>IFERROR(VLOOKUP(C4988,DATA!#REF!,2,FALSE),"")</f>
        <v/>
      </c>
    </row>
    <row r="4989" spans="3:4" s="230" customFormat="1">
      <c r="C4989" s="16" t="str">
        <f>IFERROR(VLOOKUP(DATA!#REF!,DATA!#REF!,1,FALSE),"")</f>
        <v/>
      </c>
      <c r="D4989" s="16" t="str">
        <f>IFERROR(VLOOKUP(C4989,DATA!#REF!,2,FALSE),"")</f>
        <v/>
      </c>
    </row>
    <row r="4990" spans="3:4" s="230" customFormat="1">
      <c r="C4990" s="16" t="str">
        <f>IFERROR(VLOOKUP(DATA!#REF!,DATA!#REF!,1,FALSE),"")</f>
        <v/>
      </c>
      <c r="D4990" s="16" t="str">
        <f>IFERROR(VLOOKUP(C4990,DATA!#REF!,2,FALSE),"")</f>
        <v/>
      </c>
    </row>
    <row r="4991" spans="3:4" s="230" customFormat="1">
      <c r="C4991" s="16" t="str">
        <f>IFERROR(VLOOKUP(DATA!#REF!,DATA!#REF!,1,FALSE),"")</f>
        <v/>
      </c>
      <c r="D4991" s="16" t="str">
        <f>IFERROR(VLOOKUP(C4991,DATA!#REF!,2,FALSE),"")</f>
        <v/>
      </c>
    </row>
    <row r="4992" spans="3:4" s="230" customFormat="1">
      <c r="C4992" s="16" t="str">
        <f>IFERROR(VLOOKUP(DATA!#REF!,DATA!#REF!,1,FALSE),"")</f>
        <v/>
      </c>
      <c r="D4992" s="16" t="str">
        <f>IFERROR(VLOOKUP(C4992,DATA!#REF!,2,FALSE),"")</f>
        <v/>
      </c>
    </row>
    <row r="4993" spans="3:4" s="230" customFormat="1">
      <c r="C4993" s="16" t="str">
        <f>IFERROR(VLOOKUP(DATA!#REF!,DATA!#REF!,1,FALSE),"")</f>
        <v/>
      </c>
      <c r="D4993" s="16" t="str">
        <f>IFERROR(VLOOKUP(C4993,DATA!#REF!,2,FALSE),"")</f>
        <v/>
      </c>
    </row>
    <row r="4994" spans="3:4" s="230" customFormat="1">
      <c r="C4994" s="16" t="str">
        <f>IFERROR(VLOOKUP(DATA!#REF!,DATA!#REF!,1,FALSE),"")</f>
        <v/>
      </c>
      <c r="D4994" s="16" t="str">
        <f>IFERROR(VLOOKUP(C4994,DATA!#REF!,2,FALSE),"")</f>
        <v/>
      </c>
    </row>
    <row r="4995" spans="3:4" s="230" customFormat="1">
      <c r="C4995" s="16" t="str">
        <f>IFERROR(VLOOKUP(DATA!#REF!,DATA!#REF!,1,FALSE),"")</f>
        <v/>
      </c>
      <c r="D4995" s="16" t="str">
        <f>IFERROR(VLOOKUP(C4995,DATA!#REF!,2,FALSE),"")</f>
        <v/>
      </c>
    </row>
    <row r="4996" spans="3:4" s="230" customFormat="1">
      <c r="C4996" s="16" t="str">
        <f>IFERROR(VLOOKUP(DATA!#REF!,DATA!#REF!,1,FALSE),"")</f>
        <v/>
      </c>
      <c r="D4996" s="16" t="str">
        <f>IFERROR(VLOOKUP(C4996,DATA!#REF!,2,FALSE),"")</f>
        <v/>
      </c>
    </row>
    <row r="4997" spans="3:4" s="230" customFormat="1">
      <c r="C4997" s="16" t="str">
        <f>IFERROR(VLOOKUP(DATA!#REF!,DATA!#REF!,1,FALSE),"")</f>
        <v/>
      </c>
      <c r="D4997" s="16" t="str">
        <f>IFERROR(VLOOKUP(C4997,DATA!#REF!,2,FALSE),"")</f>
        <v/>
      </c>
    </row>
    <row r="4998" spans="3:4" s="230" customFormat="1">
      <c r="C4998" s="16" t="str">
        <f>IFERROR(VLOOKUP(DATA!#REF!,DATA!#REF!,1,FALSE),"")</f>
        <v/>
      </c>
      <c r="D4998" s="16" t="str">
        <f>IFERROR(VLOOKUP(C4998,DATA!#REF!,2,FALSE),"")</f>
        <v/>
      </c>
    </row>
    <row r="4999" spans="3:4" s="230" customFormat="1">
      <c r="C4999" s="16" t="str">
        <f>IFERROR(VLOOKUP(DATA!#REF!,DATA!#REF!,1,FALSE),"")</f>
        <v/>
      </c>
      <c r="D4999" s="16" t="str">
        <f>IFERROR(VLOOKUP(C4999,DATA!#REF!,2,FALSE),"")</f>
        <v/>
      </c>
    </row>
    <row r="5000" spans="3:4" s="230" customFormat="1">
      <c r="C5000" s="16" t="str">
        <f>IFERROR(VLOOKUP(DATA!#REF!,DATA!#REF!,1,FALSE),"")</f>
        <v/>
      </c>
      <c r="D5000" s="16" t="str">
        <f>IFERROR(VLOOKUP(C5000,DATA!#REF!,2,FALSE),"")</f>
        <v/>
      </c>
    </row>
    <row r="5001" spans="3:4" s="230" customFormat="1">
      <c r="C5001" s="16" t="str">
        <f>IFERROR(VLOOKUP(DATA!#REF!,DATA!#REF!,1,FALSE),"")</f>
        <v/>
      </c>
      <c r="D5001" s="16" t="str">
        <f>IFERROR(VLOOKUP(C5001,DATA!#REF!,2,FALSE),"")</f>
        <v/>
      </c>
    </row>
    <row r="5002" spans="3:4" s="230" customFormat="1">
      <c r="C5002" s="16" t="str">
        <f>IFERROR(VLOOKUP(DATA!#REF!,DATA!#REF!,1,FALSE),"")</f>
        <v/>
      </c>
      <c r="D5002" s="16" t="str">
        <f>IFERROR(VLOOKUP(C5002,DATA!#REF!,2,FALSE),"")</f>
        <v/>
      </c>
    </row>
    <row r="5003" spans="3:4" s="230" customFormat="1">
      <c r="C5003" s="16" t="str">
        <f>IFERROR(VLOOKUP(DATA!#REF!,DATA!#REF!,1,FALSE),"")</f>
        <v/>
      </c>
      <c r="D5003" s="16" t="str">
        <f>IFERROR(VLOOKUP(C5003,DATA!#REF!,2,FALSE),"")</f>
        <v/>
      </c>
    </row>
    <row r="5004" spans="3:4" s="230" customFormat="1">
      <c r="C5004" s="16" t="str">
        <f>IFERROR(VLOOKUP(DATA!#REF!,DATA!#REF!,1,FALSE),"")</f>
        <v/>
      </c>
      <c r="D5004" s="16" t="str">
        <f>IFERROR(VLOOKUP(C5004,DATA!#REF!,2,FALSE),"")</f>
        <v/>
      </c>
    </row>
    <row r="5005" spans="3:4" s="230" customFormat="1">
      <c r="C5005" s="16" t="str">
        <f>IFERROR(VLOOKUP(DATA!#REF!,DATA!#REF!,1,FALSE),"")</f>
        <v/>
      </c>
      <c r="D5005" s="16" t="str">
        <f>IFERROR(VLOOKUP(C5005,DATA!#REF!,2,FALSE),"")</f>
        <v/>
      </c>
    </row>
    <row r="5006" spans="3:4" s="230" customFormat="1">
      <c r="C5006" s="16" t="str">
        <f>IFERROR(VLOOKUP(DATA!#REF!,DATA!#REF!,1,FALSE),"")</f>
        <v/>
      </c>
      <c r="D5006" s="16" t="str">
        <f>IFERROR(VLOOKUP(C5006,DATA!#REF!,2,FALSE),"")</f>
        <v/>
      </c>
    </row>
    <row r="5007" spans="3:4" s="230" customFormat="1">
      <c r="C5007" s="16" t="str">
        <f>IFERROR(VLOOKUP(DATA!#REF!,DATA!#REF!,1,FALSE),"")</f>
        <v/>
      </c>
      <c r="D5007" s="16" t="str">
        <f>IFERROR(VLOOKUP(C5007,DATA!#REF!,2,FALSE),"")</f>
        <v/>
      </c>
    </row>
    <row r="5008" spans="3:4" s="230" customFormat="1">
      <c r="C5008" s="16" t="str">
        <f>IFERROR(VLOOKUP(DATA!#REF!,DATA!#REF!,1,FALSE),"")</f>
        <v/>
      </c>
      <c r="D5008" s="16" t="str">
        <f>IFERROR(VLOOKUP(C5008,DATA!#REF!,2,FALSE),"")</f>
        <v/>
      </c>
    </row>
    <row r="5009" spans="3:4" s="230" customFormat="1">
      <c r="C5009" s="16" t="str">
        <f>IFERROR(VLOOKUP(DATA!#REF!,DATA!#REF!,1,FALSE),"")</f>
        <v/>
      </c>
      <c r="D5009" s="16" t="str">
        <f>IFERROR(VLOOKUP(C5009,DATA!#REF!,2,FALSE),"")</f>
        <v/>
      </c>
    </row>
    <row r="5010" spans="3:4" s="230" customFormat="1">
      <c r="C5010" s="16" t="str">
        <f>IFERROR(VLOOKUP(DATA!#REF!,DATA!#REF!,1,FALSE),"")</f>
        <v/>
      </c>
      <c r="D5010" s="16" t="str">
        <f>IFERROR(VLOOKUP(C5010,DATA!#REF!,2,FALSE),"")</f>
        <v/>
      </c>
    </row>
    <row r="5011" spans="3:4" s="230" customFormat="1">
      <c r="C5011" s="16" t="str">
        <f>IFERROR(VLOOKUP(DATA!#REF!,DATA!#REF!,1,FALSE),"")</f>
        <v/>
      </c>
      <c r="D5011" s="16" t="str">
        <f>IFERROR(VLOOKUP(C5011,DATA!#REF!,2,FALSE),"")</f>
        <v/>
      </c>
    </row>
    <row r="5012" spans="3:4" s="230" customFormat="1">
      <c r="C5012" s="16" t="str">
        <f>IFERROR(VLOOKUP(DATA!#REF!,DATA!#REF!,1,FALSE),"")</f>
        <v/>
      </c>
      <c r="D5012" s="16" t="str">
        <f>IFERROR(VLOOKUP(C5012,DATA!#REF!,2,FALSE),"")</f>
        <v/>
      </c>
    </row>
    <row r="5013" spans="3:4" s="230" customFormat="1">
      <c r="C5013" s="16" t="str">
        <f>IFERROR(VLOOKUP(DATA!#REF!,DATA!#REF!,1,FALSE),"")</f>
        <v/>
      </c>
      <c r="D5013" s="16" t="str">
        <f>IFERROR(VLOOKUP(C5013,DATA!#REF!,2,FALSE),"")</f>
        <v/>
      </c>
    </row>
    <row r="5014" spans="3:4" s="230" customFormat="1">
      <c r="C5014" s="16" t="str">
        <f>IFERROR(VLOOKUP(DATA!#REF!,DATA!#REF!,1,FALSE),"")</f>
        <v/>
      </c>
      <c r="D5014" s="16" t="str">
        <f>IFERROR(VLOOKUP(C5014,DATA!#REF!,2,FALSE),"")</f>
        <v/>
      </c>
    </row>
    <row r="5015" spans="3:4" s="230" customFormat="1">
      <c r="C5015" s="16" t="str">
        <f>IFERROR(VLOOKUP(DATA!#REF!,DATA!#REF!,1,FALSE),"")</f>
        <v/>
      </c>
      <c r="D5015" s="16" t="str">
        <f>IFERROR(VLOOKUP(C5015,DATA!#REF!,2,FALSE),"")</f>
        <v/>
      </c>
    </row>
    <row r="5016" spans="3:4" s="230" customFormat="1">
      <c r="C5016" s="16" t="str">
        <f>IFERROR(VLOOKUP(DATA!#REF!,DATA!#REF!,1,FALSE),"")</f>
        <v/>
      </c>
      <c r="D5016" s="16" t="str">
        <f>IFERROR(VLOOKUP(C5016,DATA!#REF!,2,FALSE),"")</f>
        <v/>
      </c>
    </row>
    <row r="5017" spans="3:4" s="230" customFormat="1">
      <c r="C5017" s="16" t="str">
        <f>IFERROR(VLOOKUP(DATA!#REF!,DATA!#REF!,1,FALSE),"")</f>
        <v/>
      </c>
      <c r="D5017" s="16" t="str">
        <f>IFERROR(VLOOKUP(C5017,DATA!#REF!,2,FALSE),"")</f>
        <v/>
      </c>
    </row>
    <row r="5018" spans="3:4" s="230" customFormat="1">
      <c r="C5018" s="16" t="str">
        <f>IFERROR(VLOOKUP(DATA!#REF!,DATA!#REF!,1,FALSE),"")</f>
        <v/>
      </c>
      <c r="D5018" s="16" t="str">
        <f>IFERROR(VLOOKUP(C5018,DATA!#REF!,2,FALSE),"")</f>
        <v/>
      </c>
    </row>
    <row r="5019" spans="3:4" s="230" customFormat="1">
      <c r="C5019" s="16" t="str">
        <f>IFERROR(VLOOKUP(DATA!#REF!,DATA!#REF!,1,FALSE),"")</f>
        <v/>
      </c>
      <c r="D5019" s="16" t="str">
        <f>IFERROR(VLOOKUP(C5019,DATA!#REF!,2,FALSE),"")</f>
        <v/>
      </c>
    </row>
    <row r="5020" spans="3:4" s="230" customFormat="1">
      <c r="C5020" s="16" t="str">
        <f>IFERROR(VLOOKUP(DATA!#REF!,DATA!#REF!,1,FALSE),"")</f>
        <v/>
      </c>
      <c r="D5020" s="16" t="str">
        <f>IFERROR(VLOOKUP(C5020,DATA!#REF!,2,FALSE),"")</f>
        <v/>
      </c>
    </row>
    <row r="5021" spans="3:4" s="230" customFormat="1">
      <c r="C5021" s="16" t="str">
        <f>IFERROR(VLOOKUP(DATA!#REF!,DATA!#REF!,1,FALSE),"")</f>
        <v/>
      </c>
      <c r="D5021" s="16" t="str">
        <f>IFERROR(VLOOKUP(C5021,DATA!#REF!,2,FALSE),"")</f>
        <v/>
      </c>
    </row>
    <row r="5022" spans="3:4" s="230" customFormat="1">
      <c r="C5022" s="16" t="str">
        <f>IFERROR(VLOOKUP(DATA!#REF!,DATA!#REF!,1,FALSE),"")</f>
        <v/>
      </c>
      <c r="D5022" s="16" t="str">
        <f>IFERROR(VLOOKUP(C5022,DATA!#REF!,2,FALSE),"")</f>
        <v/>
      </c>
    </row>
    <row r="5023" spans="3:4" s="230" customFormat="1">
      <c r="C5023" s="16" t="str">
        <f>IFERROR(VLOOKUP(DATA!#REF!,DATA!#REF!,1,FALSE),"")</f>
        <v/>
      </c>
      <c r="D5023" s="16" t="str">
        <f>IFERROR(VLOOKUP(C5023,DATA!#REF!,2,FALSE),"")</f>
        <v/>
      </c>
    </row>
    <row r="5024" spans="3:4" s="230" customFormat="1">
      <c r="C5024" s="16" t="str">
        <f>IFERROR(VLOOKUP(DATA!#REF!,DATA!#REF!,1,FALSE),"")</f>
        <v/>
      </c>
      <c r="D5024" s="16" t="str">
        <f>IFERROR(VLOOKUP(C5024,DATA!#REF!,2,FALSE),"")</f>
        <v/>
      </c>
    </row>
    <row r="5025" spans="3:4" s="230" customFormat="1">
      <c r="C5025" s="16" t="str">
        <f>IFERROR(VLOOKUP(DATA!#REF!,DATA!#REF!,1,FALSE),"")</f>
        <v/>
      </c>
      <c r="D5025" s="16" t="str">
        <f>IFERROR(VLOOKUP(C5025,DATA!#REF!,2,FALSE),"")</f>
        <v/>
      </c>
    </row>
    <row r="5026" spans="3:4" s="230" customFormat="1">
      <c r="C5026" s="16" t="str">
        <f>IFERROR(VLOOKUP(DATA!#REF!,DATA!#REF!,1,FALSE),"")</f>
        <v/>
      </c>
      <c r="D5026" s="16" t="str">
        <f>IFERROR(VLOOKUP(C5026,DATA!#REF!,2,FALSE),"")</f>
        <v/>
      </c>
    </row>
    <row r="5027" spans="3:4" s="230" customFormat="1">
      <c r="C5027" s="16" t="str">
        <f>IFERROR(VLOOKUP(DATA!#REF!,DATA!#REF!,1,FALSE),"")</f>
        <v/>
      </c>
      <c r="D5027" s="16" t="str">
        <f>IFERROR(VLOOKUP(C5027,DATA!#REF!,2,FALSE),"")</f>
        <v/>
      </c>
    </row>
    <row r="5028" spans="3:4" s="230" customFormat="1">
      <c r="C5028" s="16" t="str">
        <f>IFERROR(VLOOKUP(DATA!#REF!,DATA!#REF!,1,FALSE),"")</f>
        <v/>
      </c>
      <c r="D5028" s="16" t="str">
        <f>IFERROR(VLOOKUP(C5028,DATA!#REF!,2,FALSE),"")</f>
        <v/>
      </c>
    </row>
    <row r="5029" spans="3:4" s="230" customFormat="1">
      <c r="C5029" s="16" t="str">
        <f>IFERROR(VLOOKUP(DATA!#REF!,DATA!#REF!,1,FALSE),"")</f>
        <v/>
      </c>
      <c r="D5029" s="16" t="str">
        <f>IFERROR(VLOOKUP(C5029,DATA!#REF!,2,FALSE),"")</f>
        <v/>
      </c>
    </row>
    <row r="5030" spans="3:4" s="230" customFormat="1">
      <c r="C5030" s="16" t="str">
        <f>IFERROR(VLOOKUP(DATA!#REF!,DATA!#REF!,1,FALSE),"")</f>
        <v/>
      </c>
      <c r="D5030" s="16" t="str">
        <f>IFERROR(VLOOKUP(C5030,DATA!#REF!,2,FALSE),"")</f>
        <v/>
      </c>
    </row>
    <row r="5031" spans="3:4" s="230" customFormat="1">
      <c r="C5031" s="16" t="str">
        <f>IFERROR(VLOOKUP(DATA!#REF!,DATA!#REF!,1,FALSE),"")</f>
        <v/>
      </c>
      <c r="D5031" s="16" t="str">
        <f>IFERROR(VLOOKUP(C5031,DATA!#REF!,2,FALSE),"")</f>
        <v/>
      </c>
    </row>
    <row r="5032" spans="3:4" s="230" customFormat="1">
      <c r="C5032" s="16" t="str">
        <f>IFERROR(VLOOKUP(DATA!#REF!,DATA!#REF!,1,FALSE),"")</f>
        <v/>
      </c>
      <c r="D5032" s="16" t="str">
        <f>IFERROR(VLOOKUP(C5032,DATA!#REF!,2,FALSE),"")</f>
        <v/>
      </c>
    </row>
    <row r="5033" spans="3:4" s="230" customFormat="1">
      <c r="C5033" s="16" t="str">
        <f>IFERROR(VLOOKUP(DATA!#REF!,DATA!#REF!,1,FALSE),"")</f>
        <v/>
      </c>
      <c r="D5033" s="16" t="str">
        <f>IFERROR(VLOOKUP(C5033,DATA!#REF!,2,FALSE),"")</f>
        <v/>
      </c>
    </row>
    <row r="5034" spans="3:4" s="230" customFormat="1">
      <c r="C5034" s="16" t="str">
        <f>IFERROR(VLOOKUP(DATA!#REF!,DATA!#REF!,1,FALSE),"")</f>
        <v/>
      </c>
      <c r="D5034" s="16" t="str">
        <f>IFERROR(VLOOKUP(C5034,DATA!#REF!,2,FALSE),"")</f>
        <v/>
      </c>
    </row>
    <row r="5035" spans="3:4" s="230" customFormat="1">
      <c r="C5035" s="16" t="str">
        <f>IFERROR(VLOOKUP(DATA!#REF!,DATA!#REF!,1,FALSE),"")</f>
        <v/>
      </c>
      <c r="D5035" s="16" t="str">
        <f>IFERROR(VLOOKUP(C5035,DATA!#REF!,2,FALSE),"")</f>
        <v/>
      </c>
    </row>
    <row r="5036" spans="3:4" s="230" customFormat="1">
      <c r="C5036" s="16" t="str">
        <f>IFERROR(VLOOKUP(DATA!#REF!,DATA!#REF!,1,FALSE),"")</f>
        <v/>
      </c>
      <c r="D5036" s="16" t="str">
        <f>IFERROR(VLOOKUP(C5036,DATA!#REF!,2,FALSE),"")</f>
        <v/>
      </c>
    </row>
    <row r="5037" spans="3:4" s="230" customFormat="1">
      <c r="C5037" s="16" t="str">
        <f>IFERROR(VLOOKUP(DATA!#REF!,DATA!#REF!,1,FALSE),"")</f>
        <v/>
      </c>
      <c r="D5037" s="16" t="str">
        <f>IFERROR(VLOOKUP(C5037,DATA!#REF!,2,FALSE),"")</f>
        <v/>
      </c>
    </row>
    <row r="5038" spans="3:4" s="230" customFormat="1">
      <c r="C5038" s="16" t="str">
        <f>IFERROR(VLOOKUP(DATA!#REF!,DATA!#REF!,1,FALSE),"")</f>
        <v/>
      </c>
      <c r="D5038" s="16" t="str">
        <f>IFERROR(VLOOKUP(C5038,DATA!#REF!,2,FALSE),"")</f>
        <v/>
      </c>
    </row>
    <row r="5039" spans="3:4" s="230" customFormat="1">
      <c r="C5039" s="16" t="str">
        <f>IFERROR(VLOOKUP(DATA!#REF!,DATA!#REF!,1,FALSE),"")</f>
        <v/>
      </c>
      <c r="D5039" s="16" t="str">
        <f>IFERROR(VLOOKUP(C5039,DATA!#REF!,2,FALSE),"")</f>
        <v/>
      </c>
    </row>
    <row r="5040" spans="3:4" s="230" customFormat="1">
      <c r="C5040" s="16" t="str">
        <f>IFERROR(VLOOKUP(DATA!#REF!,DATA!#REF!,1,FALSE),"")</f>
        <v/>
      </c>
      <c r="D5040" s="16" t="str">
        <f>IFERROR(VLOOKUP(C5040,DATA!#REF!,2,FALSE),"")</f>
        <v/>
      </c>
    </row>
    <row r="5041" spans="3:4" s="230" customFormat="1">
      <c r="C5041" s="16" t="str">
        <f>IFERROR(VLOOKUP(DATA!#REF!,DATA!#REF!,1,FALSE),"")</f>
        <v/>
      </c>
      <c r="D5041" s="16" t="str">
        <f>IFERROR(VLOOKUP(C5041,DATA!#REF!,2,FALSE),"")</f>
        <v/>
      </c>
    </row>
    <row r="5042" spans="3:4" s="230" customFormat="1">
      <c r="C5042" s="16" t="str">
        <f>IFERROR(VLOOKUP(DATA!#REF!,DATA!#REF!,1,FALSE),"")</f>
        <v/>
      </c>
      <c r="D5042" s="16" t="str">
        <f>IFERROR(VLOOKUP(C5042,DATA!#REF!,2,FALSE),"")</f>
        <v/>
      </c>
    </row>
    <row r="5043" spans="3:4" s="230" customFormat="1">
      <c r="C5043" s="16" t="str">
        <f>IFERROR(VLOOKUP(DATA!#REF!,DATA!#REF!,1,FALSE),"")</f>
        <v/>
      </c>
      <c r="D5043" s="16" t="str">
        <f>IFERROR(VLOOKUP(C5043,DATA!#REF!,2,FALSE),"")</f>
        <v/>
      </c>
    </row>
    <row r="5044" spans="3:4" s="230" customFormat="1">
      <c r="C5044" s="16" t="str">
        <f>IFERROR(VLOOKUP(DATA!#REF!,DATA!#REF!,1,FALSE),"")</f>
        <v/>
      </c>
      <c r="D5044" s="16" t="str">
        <f>IFERROR(VLOOKUP(C5044,DATA!#REF!,2,FALSE),"")</f>
        <v/>
      </c>
    </row>
    <row r="5045" spans="3:4" s="230" customFormat="1">
      <c r="C5045" s="16" t="str">
        <f>IFERROR(VLOOKUP(DATA!#REF!,DATA!#REF!,1,FALSE),"")</f>
        <v/>
      </c>
      <c r="D5045" s="16" t="str">
        <f>IFERROR(VLOOKUP(C5045,DATA!#REF!,2,FALSE),"")</f>
        <v/>
      </c>
    </row>
    <row r="5046" spans="3:4" s="230" customFormat="1">
      <c r="C5046" s="16" t="str">
        <f>IFERROR(VLOOKUP(DATA!#REF!,DATA!#REF!,1,FALSE),"")</f>
        <v/>
      </c>
      <c r="D5046" s="16" t="str">
        <f>IFERROR(VLOOKUP(C5046,DATA!#REF!,2,FALSE),"")</f>
        <v/>
      </c>
    </row>
    <row r="5047" spans="3:4" s="230" customFormat="1">
      <c r="C5047" s="16" t="str">
        <f>IFERROR(VLOOKUP(DATA!#REF!,DATA!#REF!,1,FALSE),"")</f>
        <v/>
      </c>
      <c r="D5047" s="16" t="str">
        <f>IFERROR(VLOOKUP(C5047,DATA!#REF!,2,FALSE),"")</f>
        <v/>
      </c>
    </row>
    <row r="5048" spans="3:4" s="230" customFormat="1">
      <c r="C5048" s="16" t="str">
        <f>IFERROR(VLOOKUP(DATA!#REF!,DATA!#REF!,1,FALSE),"")</f>
        <v/>
      </c>
      <c r="D5048" s="16" t="str">
        <f>IFERROR(VLOOKUP(C5048,DATA!#REF!,2,FALSE),"")</f>
        <v/>
      </c>
    </row>
    <row r="5049" spans="3:4" s="230" customFormat="1">
      <c r="C5049" s="16" t="str">
        <f>IFERROR(VLOOKUP(DATA!#REF!,DATA!#REF!,1,FALSE),"")</f>
        <v/>
      </c>
      <c r="D5049" s="16" t="str">
        <f>IFERROR(VLOOKUP(C5049,DATA!#REF!,2,FALSE),"")</f>
        <v/>
      </c>
    </row>
    <row r="5050" spans="3:4" s="230" customFormat="1">
      <c r="C5050" s="16" t="str">
        <f>IFERROR(VLOOKUP(DATA!#REF!,DATA!#REF!,1,FALSE),"")</f>
        <v/>
      </c>
      <c r="D5050" s="16" t="str">
        <f>IFERROR(VLOOKUP(C5050,DATA!#REF!,2,FALSE),"")</f>
        <v/>
      </c>
    </row>
    <row r="5051" spans="3:4" s="230" customFormat="1">
      <c r="C5051" s="16" t="str">
        <f>IFERROR(VLOOKUP(DATA!#REF!,DATA!#REF!,1,FALSE),"")</f>
        <v/>
      </c>
      <c r="D5051" s="16" t="str">
        <f>IFERROR(VLOOKUP(C5051,DATA!#REF!,2,FALSE),"")</f>
        <v/>
      </c>
    </row>
    <row r="5052" spans="3:4" s="230" customFormat="1">
      <c r="C5052" s="16" t="str">
        <f>IFERROR(VLOOKUP(DATA!#REF!,DATA!#REF!,1,FALSE),"")</f>
        <v/>
      </c>
      <c r="D5052" s="16" t="str">
        <f>IFERROR(VLOOKUP(C5052,DATA!#REF!,2,FALSE),"")</f>
        <v/>
      </c>
    </row>
    <row r="5053" spans="3:4" s="230" customFormat="1">
      <c r="C5053" s="16" t="str">
        <f>IFERROR(VLOOKUP(DATA!#REF!,DATA!#REF!,1,FALSE),"")</f>
        <v/>
      </c>
      <c r="D5053" s="16" t="str">
        <f>IFERROR(VLOOKUP(C5053,DATA!#REF!,2,FALSE),"")</f>
        <v/>
      </c>
    </row>
    <row r="5054" spans="3:4" s="230" customFormat="1">
      <c r="C5054" s="16" t="str">
        <f>IFERROR(VLOOKUP(DATA!#REF!,DATA!#REF!,1,FALSE),"")</f>
        <v/>
      </c>
      <c r="D5054" s="16" t="str">
        <f>IFERROR(VLOOKUP(C5054,DATA!#REF!,2,FALSE),"")</f>
        <v/>
      </c>
    </row>
    <row r="5055" spans="3:4" s="230" customFormat="1">
      <c r="C5055" s="16" t="str">
        <f>IFERROR(VLOOKUP(DATA!#REF!,DATA!#REF!,1,FALSE),"")</f>
        <v/>
      </c>
      <c r="D5055" s="16" t="str">
        <f>IFERROR(VLOOKUP(C5055,DATA!#REF!,2,FALSE),"")</f>
        <v/>
      </c>
    </row>
    <row r="5056" spans="3:4" s="230" customFormat="1">
      <c r="C5056" s="16" t="str">
        <f>IFERROR(VLOOKUP(DATA!#REF!,DATA!#REF!,1,FALSE),"")</f>
        <v/>
      </c>
      <c r="D5056" s="16" t="str">
        <f>IFERROR(VLOOKUP(C5056,DATA!#REF!,2,FALSE),"")</f>
        <v/>
      </c>
    </row>
    <row r="5057" spans="3:4" s="230" customFormat="1">
      <c r="C5057" s="16" t="str">
        <f>IFERROR(VLOOKUP(DATA!#REF!,DATA!#REF!,1,FALSE),"")</f>
        <v/>
      </c>
      <c r="D5057" s="16" t="str">
        <f>IFERROR(VLOOKUP(C5057,DATA!#REF!,2,FALSE),"")</f>
        <v/>
      </c>
    </row>
    <row r="5058" spans="3:4" s="230" customFormat="1">
      <c r="C5058" s="16" t="str">
        <f>IFERROR(VLOOKUP(DATA!#REF!,DATA!#REF!,1,FALSE),"")</f>
        <v/>
      </c>
      <c r="D5058" s="16" t="str">
        <f>IFERROR(VLOOKUP(C5058,DATA!#REF!,2,FALSE),"")</f>
        <v/>
      </c>
    </row>
    <row r="5059" spans="3:4" s="230" customFormat="1">
      <c r="C5059" s="16" t="str">
        <f>IFERROR(VLOOKUP(DATA!#REF!,DATA!#REF!,1,FALSE),"")</f>
        <v/>
      </c>
      <c r="D5059" s="16" t="str">
        <f>IFERROR(VLOOKUP(C5059,DATA!#REF!,2,FALSE),"")</f>
        <v/>
      </c>
    </row>
    <row r="5060" spans="3:4" s="230" customFormat="1">
      <c r="C5060" s="16" t="str">
        <f>IFERROR(VLOOKUP(DATA!#REF!,DATA!#REF!,1,FALSE),"")</f>
        <v/>
      </c>
      <c r="D5060" s="16" t="str">
        <f>IFERROR(VLOOKUP(C5060,DATA!#REF!,2,FALSE),"")</f>
        <v/>
      </c>
    </row>
    <row r="5061" spans="3:4" s="230" customFormat="1">
      <c r="C5061" s="16" t="str">
        <f>IFERROR(VLOOKUP(DATA!#REF!,DATA!#REF!,1,FALSE),"")</f>
        <v/>
      </c>
      <c r="D5061" s="16" t="str">
        <f>IFERROR(VLOOKUP(C5061,DATA!#REF!,2,FALSE),"")</f>
        <v/>
      </c>
    </row>
    <row r="5062" spans="3:4" s="230" customFormat="1">
      <c r="C5062" s="16" t="str">
        <f>IFERROR(VLOOKUP(DATA!#REF!,DATA!#REF!,1,FALSE),"")</f>
        <v/>
      </c>
      <c r="D5062" s="16" t="str">
        <f>IFERROR(VLOOKUP(C5062,DATA!#REF!,2,FALSE),"")</f>
        <v/>
      </c>
    </row>
    <row r="5063" spans="3:4" s="230" customFormat="1">
      <c r="C5063" s="16" t="str">
        <f>IFERROR(VLOOKUP(DATA!#REF!,DATA!#REF!,1,FALSE),"")</f>
        <v/>
      </c>
      <c r="D5063" s="16" t="str">
        <f>IFERROR(VLOOKUP(C5063,DATA!#REF!,2,FALSE),"")</f>
        <v/>
      </c>
    </row>
    <row r="5064" spans="3:4" s="230" customFormat="1">
      <c r="C5064" s="16" t="str">
        <f>IFERROR(VLOOKUP(DATA!#REF!,DATA!#REF!,1,FALSE),"")</f>
        <v/>
      </c>
      <c r="D5064" s="16" t="str">
        <f>IFERROR(VLOOKUP(C5064,DATA!#REF!,2,FALSE),"")</f>
        <v/>
      </c>
    </row>
    <row r="5065" spans="3:4" s="230" customFormat="1">
      <c r="C5065" s="16" t="str">
        <f>IFERROR(VLOOKUP(DATA!#REF!,DATA!#REF!,1,FALSE),"")</f>
        <v/>
      </c>
      <c r="D5065" s="16" t="str">
        <f>IFERROR(VLOOKUP(C5065,DATA!#REF!,2,FALSE),"")</f>
        <v/>
      </c>
    </row>
    <row r="5066" spans="3:4" s="230" customFormat="1">
      <c r="C5066" s="16" t="str">
        <f>IFERROR(VLOOKUP(DATA!#REF!,DATA!#REF!,1,FALSE),"")</f>
        <v/>
      </c>
      <c r="D5066" s="16" t="str">
        <f>IFERROR(VLOOKUP(C5066,DATA!#REF!,2,FALSE),"")</f>
        <v/>
      </c>
    </row>
    <row r="5067" spans="3:4" s="230" customFormat="1">
      <c r="C5067" s="16" t="str">
        <f>IFERROR(VLOOKUP(DATA!#REF!,DATA!#REF!,1,FALSE),"")</f>
        <v/>
      </c>
      <c r="D5067" s="16" t="str">
        <f>IFERROR(VLOOKUP(C5067,DATA!#REF!,2,FALSE),"")</f>
        <v/>
      </c>
    </row>
    <row r="5068" spans="3:4" s="230" customFormat="1">
      <c r="C5068" s="16" t="str">
        <f>IFERROR(VLOOKUP(DATA!#REF!,DATA!#REF!,1,FALSE),"")</f>
        <v/>
      </c>
      <c r="D5068" s="16" t="str">
        <f>IFERROR(VLOOKUP(C5068,DATA!#REF!,2,FALSE),"")</f>
        <v/>
      </c>
    </row>
    <row r="5069" spans="3:4" s="230" customFormat="1">
      <c r="C5069" s="16" t="str">
        <f>IFERROR(VLOOKUP(DATA!#REF!,DATA!#REF!,1,FALSE),"")</f>
        <v/>
      </c>
      <c r="D5069" s="16" t="str">
        <f>IFERROR(VLOOKUP(C5069,DATA!#REF!,2,FALSE),"")</f>
        <v/>
      </c>
    </row>
    <row r="5070" spans="3:4" s="230" customFormat="1">
      <c r="C5070" s="16" t="str">
        <f>IFERROR(VLOOKUP(DATA!#REF!,DATA!#REF!,1,FALSE),"")</f>
        <v/>
      </c>
      <c r="D5070" s="16" t="str">
        <f>IFERROR(VLOOKUP(C5070,DATA!#REF!,2,FALSE),"")</f>
        <v/>
      </c>
    </row>
    <row r="5071" spans="3:4" s="230" customFormat="1">
      <c r="C5071" s="16" t="str">
        <f>IFERROR(VLOOKUP(DATA!#REF!,DATA!#REF!,1,FALSE),"")</f>
        <v/>
      </c>
      <c r="D5071" s="16" t="str">
        <f>IFERROR(VLOOKUP(C5071,DATA!#REF!,2,FALSE),"")</f>
        <v/>
      </c>
    </row>
    <row r="5072" spans="3:4" s="230" customFormat="1">
      <c r="C5072" s="16" t="str">
        <f>IFERROR(VLOOKUP(DATA!#REF!,DATA!#REF!,1,FALSE),"")</f>
        <v/>
      </c>
      <c r="D5072" s="16" t="str">
        <f>IFERROR(VLOOKUP(C5072,DATA!#REF!,2,FALSE),"")</f>
        <v/>
      </c>
    </row>
    <row r="5073" spans="3:4" s="230" customFormat="1">
      <c r="C5073" s="16" t="str">
        <f>IFERROR(VLOOKUP(DATA!#REF!,DATA!#REF!,1,FALSE),"")</f>
        <v/>
      </c>
      <c r="D5073" s="16" t="str">
        <f>IFERROR(VLOOKUP(C5073,DATA!#REF!,2,FALSE),"")</f>
        <v/>
      </c>
    </row>
    <row r="5074" spans="3:4" s="230" customFormat="1">
      <c r="C5074" s="16" t="str">
        <f>IFERROR(VLOOKUP(DATA!#REF!,DATA!#REF!,1,FALSE),"")</f>
        <v/>
      </c>
      <c r="D5074" s="16" t="str">
        <f>IFERROR(VLOOKUP(C5074,DATA!#REF!,2,FALSE),"")</f>
        <v/>
      </c>
    </row>
    <row r="5075" spans="3:4" s="230" customFormat="1">
      <c r="C5075" s="16" t="str">
        <f>IFERROR(VLOOKUP(DATA!#REF!,DATA!#REF!,1,FALSE),"")</f>
        <v/>
      </c>
      <c r="D5075" s="16" t="str">
        <f>IFERROR(VLOOKUP(C5075,DATA!#REF!,2,FALSE),"")</f>
        <v/>
      </c>
    </row>
    <row r="5076" spans="3:4" s="230" customFormat="1">
      <c r="C5076" s="16" t="str">
        <f>IFERROR(VLOOKUP(DATA!#REF!,DATA!#REF!,1,FALSE),"")</f>
        <v/>
      </c>
      <c r="D5076" s="16" t="str">
        <f>IFERROR(VLOOKUP(C5076,DATA!#REF!,2,FALSE),"")</f>
        <v/>
      </c>
    </row>
    <row r="5077" spans="3:4" s="230" customFormat="1">
      <c r="C5077" s="16" t="str">
        <f>IFERROR(VLOOKUP(DATA!#REF!,DATA!#REF!,1,FALSE),"")</f>
        <v/>
      </c>
      <c r="D5077" s="16" t="str">
        <f>IFERROR(VLOOKUP(C5077,DATA!#REF!,2,FALSE),"")</f>
        <v/>
      </c>
    </row>
    <row r="5078" spans="3:4" s="230" customFormat="1">
      <c r="C5078" s="16" t="str">
        <f>IFERROR(VLOOKUP(DATA!#REF!,DATA!#REF!,1,FALSE),"")</f>
        <v/>
      </c>
      <c r="D5078" s="16" t="str">
        <f>IFERROR(VLOOKUP(C5078,DATA!#REF!,2,FALSE),"")</f>
        <v/>
      </c>
    </row>
    <row r="5079" spans="3:4" s="230" customFormat="1">
      <c r="C5079" s="16" t="str">
        <f>IFERROR(VLOOKUP(DATA!#REF!,DATA!#REF!,1,FALSE),"")</f>
        <v/>
      </c>
      <c r="D5079" s="16" t="str">
        <f>IFERROR(VLOOKUP(C5079,DATA!#REF!,2,FALSE),"")</f>
        <v/>
      </c>
    </row>
    <row r="5080" spans="3:4" s="230" customFormat="1">
      <c r="C5080" s="16" t="str">
        <f>IFERROR(VLOOKUP(DATA!#REF!,DATA!#REF!,1,FALSE),"")</f>
        <v/>
      </c>
      <c r="D5080" s="16" t="str">
        <f>IFERROR(VLOOKUP(C5080,DATA!#REF!,2,FALSE),"")</f>
        <v/>
      </c>
    </row>
    <row r="5081" spans="3:4" s="230" customFormat="1">
      <c r="C5081" s="16" t="str">
        <f>IFERROR(VLOOKUP(DATA!#REF!,DATA!#REF!,1,FALSE),"")</f>
        <v/>
      </c>
      <c r="D5081" s="16" t="str">
        <f>IFERROR(VLOOKUP(C5081,DATA!#REF!,2,FALSE),"")</f>
        <v/>
      </c>
    </row>
    <row r="5082" spans="3:4" s="230" customFormat="1">
      <c r="C5082" s="16" t="str">
        <f>IFERROR(VLOOKUP(DATA!#REF!,DATA!#REF!,1,FALSE),"")</f>
        <v/>
      </c>
      <c r="D5082" s="16" t="str">
        <f>IFERROR(VLOOKUP(C5082,DATA!#REF!,2,FALSE),"")</f>
        <v/>
      </c>
    </row>
    <row r="5083" spans="3:4" s="230" customFormat="1">
      <c r="C5083" s="16" t="str">
        <f>IFERROR(VLOOKUP(DATA!#REF!,DATA!#REF!,1,FALSE),"")</f>
        <v/>
      </c>
      <c r="D5083" s="16" t="str">
        <f>IFERROR(VLOOKUP(C5083,DATA!#REF!,2,FALSE),"")</f>
        <v/>
      </c>
    </row>
    <row r="5084" spans="3:4" s="230" customFormat="1">
      <c r="C5084" s="16" t="str">
        <f>IFERROR(VLOOKUP(DATA!#REF!,DATA!#REF!,1,FALSE),"")</f>
        <v/>
      </c>
      <c r="D5084" s="16" t="str">
        <f>IFERROR(VLOOKUP(C5084,DATA!#REF!,2,FALSE),"")</f>
        <v/>
      </c>
    </row>
    <row r="5085" spans="3:4" s="230" customFormat="1">
      <c r="C5085" s="16" t="str">
        <f>IFERROR(VLOOKUP(DATA!#REF!,DATA!#REF!,1,FALSE),"")</f>
        <v/>
      </c>
      <c r="D5085" s="16" t="str">
        <f>IFERROR(VLOOKUP(C5085,DATA!#REF!,2,FALSE),"")</f>
        <v/>
      </c>
    </row>
    <row r="5086" spans="3:4" s="230" customFormat="1">
      <c r="C5086" s="16" t="str">
        <f>IFERROR(VLOOKUP(DATA!#REF!,DATA!#REF!,1,FALSE),"")</f>
        <v/>
      </c>
      <c r="D5086" s="16" t="str">
        <f>IFERROR(VLOOKUP(C5086,DATA!#REF!,2,FALSE),"")</f>
        <v/>
      </c>
    </row>
    <row r="5087" spans="3:4" s="230" customFormat="1">
      <c r="C5087" s="16" t="str">
        <f>IFERROR(VLOOKUP(DATA!#REF!,DATA!#REF!,1,FALSE),"")</f>
        <v/>
      </c>
      <c r="D5087" s="16" t="str">
        <f>IFERROR(VLOOKUP(C5087,DATA!#REF!,2,FALSE),"")</f>
        <v/>
      </c>
    </row>
    <row r="5088" spans="3:4" s="230" customFormat="1">
      <c r="C5088" s="16" t="str">
        <f>IFERROR(VLOOKUP(DATA!#REF!,DATA!#REF!,1,FALSE),"")</f>
        <v/>
      </c>
      <c r="D5088" s="16" t="str">
        <f>IFERROR(VLOOKUP(C5088,DATA!#REF!,2,FALSE),"")</f>
        <v/>
      </c>
    </row>
    <row r="5089" spans="3:4" s="230" customFormat="1">
      <c r="C5089" s="16" t="str">
        <f>IFERROR(VLOOKUP(DATA!#REF!,DATA!#REF!,1,FALSE),"")</f>
        <v/>
      </c>
      <c r="D5089" s="16" t="str">
        <f>IFERROR(VLOOKUP(C5089,DATA!#REF!,2,FALSE),"")</f>
        <v/>
      </c>
    </row>
    <row r="5090" spans="3:4" s="230" customFormat="1">
      <c r="C5090" s="16" t="str">
        <f>IFERROR(VLOOKUP(DATA!#REF!,DATA!#REF!,1,FALSE),"")</f>
        <v/>
      </c>
      <c r="D5090" s="16" t="str">
        <f>IFERROR(VLOOKUP(C5090,DATA!#REF!,2,FALSE),"")</f>
        <v/>
      </c>
    </row>
    <row r="5091" spans="3:4" s="230" customFormat="1">
      <c r="C5091" s="16" t="str">
        <f>IFERROR(VLOOKUP(DATA!#REF!,DATA!#REF!,1,FALSE),"")</f>
        <v/>
      </c>
      <c r="D5091" s="16" t="str">
        <f>IFERROR(VLOOKUP(C5091,DATA!#REF!,2,FALSE),"")</f>
        <v/>
      </c>
    </row>
    <row r="5092" spans="3:4" s="230" customFormat="1">
      <c r="C5092" s="16" t="str">
        <f>IFERROR(VLOOKUP(DATA!#REF!,DATA!#REF!,1,FALSE),"")</f>
        <v/>
      </c>
      <c r="D5092" s="16" t="str">
        <f>IFERROR(VLOOKUP(C5092,DATA!#REF!,2,FALSE),"")</f>
        <v/>
      </c>
    </row>
    <row r="5093" spans="3:4" s="230" customFormat="1">
      <c r="C5093" s="16" t="str">
        <f>IFERROR(VLOOKUP(DATA!#REF!,DATA!#REF!,1,FALSE),"")</f>
        <v/>
      </c>
      <c r="D5093" s="16" t="str">
        <f>IFERROR(VLOOKUP(C5093,DATA!#REF!,2,FALSE),"")</f>
        <v/>
      </c>
    </row>
    <row r="5094" spans="3:4" s="230" customFormat="1">
      <c r="C5094" s="16" t="str">
        <f>IFERROR(VLOOKUP(DATA!#REF!,DATA!#REF!,1,FALSE),"")</f>
        <v/>
      </c>
      <c r="D5094" s="16" t="str">
        <f>IFERROR(VLOOKUP(C5094,DATA!#REF!,2,FALSE),"")</f>
        <v/>
      </c>
    </row>
    <row r="5095" spans="3:4" s="230" customFormat="1">
      <c r="C5095" s="16" t="str">
        <f>IFERROR(VLOOKUP(DATA!#REF!,DATA!#REF!,1,FALSE),"")</f>
        <v/>
      </c>
      <c r="D5095" s="16" t="str">
        <f>IFERROR(VLOOKUP(C5095,DATA!#REF!,2,FALSE),"")</f>
        <v/>
      </c>
    </row>
    <row r="5096" spans="3:4" s="230" customFormat="1">
      <c r="C5096" s="16" t="str">
        <f>IFERROR(VLOOKUP(DATA!#REF!,DATA!#REF!,1,FALSE),"")</f>
        <v/>
      </c>
      <c r="D5096" s="16" t="str">
        <f>IFERROR(VLOOKUP(C5096,DATA!#REF!,2,FALSE),"")</f>
        <v/>
      </c>
    </row>
    <row r="5097" spans="3:4" s="230" customFormat="1">
      <c r="C5097" s="16" t="str">
        <f>IFERROR(VLOOKUP(DATA!#REF!,DATA!#REF!,1,FALSE),"")</f>
        <v/>
      </c>
      <c r="D5097" s="16" t="str">
        <f>IFERROR(VLOOKUP(C5097,DATA!#REF!,2,FALSE),"")</f>
        <v/>
      </c>
    </row>
    <row r="5098" spans="3:4" s="230" customFormat="1">
      <c r="C5098" s="16" t="str">
        <f>IFERROR(VLOOKUP(DATA!#REF!,DATA!#REF!,1,FALSE),"")</f>
        <v/>
      </c>
      <c r="D5098" s="16" t="str">
        <f>IFERROR(VLOOKUP(C5098,DATA!#REF!,2,FALSE),"")</f>
        <v/>
      </c>
    </row>
    <row r="5099" spans="3:4" s="230" customFormat="1">
      <c r="C5099" s="16" t="str">
        <f>IFERROR(VLOOKUP(DATA!#REF!,DATA!#REF!,1,FALSE),"")</f>
        <v/>
      </c>
      <c r="D5099" s="16" t="str">
        <f>IFERROR(VLOOKUP(C5099,DATA!#REF!,2,FALSE),"")</f>
        <v/>
      </c>
    </row>
    <row r="5100" spans="3:4" s="230" customFormat="1">
      <c r="C5100" s="16" t="str">
        <f>IFERROR(VLOOKUP(DATA!#REF!,DATA!#REF!,1,FALSE),"")</f>
        <v/>
      </c>
      <c r="D5100" s="16" t="str">
        <f>IFERROR(VLOOKUP(C5100,DATA!#REF!,2,FALSE),"")</f>
        <v/>
      </c>
    </row>
    <row r="5101" spans="3:4" s="230" customFormat="1">
      <c r="C5101" s="16" t="str">
        <f>IFERROR(VLOOKUP(DATA!#REF!,DATA!#REF!,1,FALSE),"")</f>
        <v/>
      </c>
      <c r="D5101" s="16" t="str">
        <f>IFERROR(VLOOKUP(C5101,DATA!#REF!,2,FALSE),"")</f>
        <v/>
      </c>
    </row>
    <row r="5102" spans="3:4" s="230" customFormat="1">
      <c r="C5102" s="16" t="str">
        <f>IFERROR(VLOOKUP(DATA!#REF!,DATA!#REF!,1,FALSE),"")</f>
        <v/>
      </c>
      <c r="D5102" s="16" t="str">
        <f>IFERROR(VLOOKUP(C5102,DATA!#REF!,2,FALSE),"")</f>
        <v/>
      </c>
    </row>
    <row r="5103" spans="3:4" s="230" customFormat="1">
      <c r="C5103" s="16" t="str">
        <f>IFERROR(VLOOKUP(DATA!#REF!,DATA!#REF!,1,FALSE),"")</f>
        <v/>
      </c>
      <c r="D5103" s="16" t="str">
        <f>IFERROR(VLOOKUP(C5103,DATA!#REF!,2,FALSE),"")</f>
        <v/>
      </c>
    </row>
    <row r="5104" spans="3:4" s="230" customFormat="1">
      <c r="C5104" s="16" t="str">
        <f>IFERROR(VLOOKUP(DATA!#REF!,DATA!#REF!,1,FALSE),"")</f>
        <v/>
      </c>
      <c r="D5104" s="16" t="str">
        <f>IFERROR(VLOOKUP(C5104,DATA!#REF!,2,FALSE),"")</f>
        <v/>
      </c>
    </row>
    <row r="5105" spans="3:4" s="230" customFormat="1">
      <c r="C5105" s="16" t="str">
        <f>IFERROR(VLOOKUP(DATA!#REF!,DATA!#REF!,1,FALSE),"")</f>
        <v/>
      </c>
      <c r="D5105" s="16" t="str">
        <f>IFERROR(VLOOKUP(C5105,DATA!#REF!,2,FALSE),"")</f>
        <v/>
      </c>
    </row>
    <row r="5106" spans="3:4" s="230" customFormat="1">
      <c r="C5106" s="16" t="str">
        <f>IFERROR(VLOOKUP(DATA!#REF!,DATA!#REF!,1,FALSE),"")</f>
        <v/>
      </c>
      <c r="D5106" s="16" t="str">
        <f>IFERROR(VLOOKUP(C5106,DATA!#REF!,2,FALSE),"")</f>
        <v/>
      </c>
    </row>
    <row r="5107" spans="3:4" s="230" customFormat="1">
      <c r="C5107" s="16" t="str">
        <f>IFERROR(VLOOKUP(DATA!#REF!,DATA!#REF!,1,FALSE),"")</f>
        <v/>
      </c>
      <c r="D5107" s="16" t="str">
        <f>IFERROR(VLOOKUP(C5107,DATA!#REF!,2,FALSE),"")</f>
        <v/>
      </c>
    </row>
    <row r="5108" spans="3:4" s="230" customFormat="1">
      <c r="C5108" s="16" t="str">
        <f>IFERROR(VLOOKUP(DATA!#REF!,DATA!#REF!,1,FALSE),"")</f>
        <v/>
      </c>
      <c r="D5108" s="16" t="str">
        <f>IFERROR(VLOOKUP(C5108,DATA!#REF!,2,FALSE),"")</f>
        <v/>
      </c>
    </row>
    <row r="5109" spans="3:4" s="230" customFormat="1">
      <c r="C5109" s="16" t="str">
        <f>IFERROR(VLOOKUP(DATA!#REF!,DATA!#REF!,1,FALSE),"")</f>
        <v/>
      </c>
      <c r="D5109" s="16" t="str">
        <f>IFERROR(VLOOKUP(C5109,DATA!#REF!,2,FALSE),"")</f>
        <v/>
      </c>
    </row>
    <row r="5110" spans="3:4" s="230" customFormat="1">
      <c r="C5110" s="16" t="str">
        <f>IFERROR(VLOOKUP(DATA!#REF!,DATA!#REF!,1,FALSE),"")</f>
        <v/>
      </c>
      <c r="D5110" s="16" t="str">
        <f>IFERROR(VLOOKUP(C5110,DATA!#REF!,2,FALSE),"")</f>
        <v/>
      </c>
    </row>
    <row r="5111" spans="3:4" s="230" customFormat="1">
      <c r="C5111" s="16" t="str">
        <f>IFERROR(VLOOKUP(DATA!#REF!,DATA!#REF!,1,FALSE),"")</f>
        <v/>
      </c>
      <c r="D5111" s="16" t="str">
        <f>IFERROR(VLOOKUP(C5111,DATA!#REF!,2,FALSE),"")</f>
        <v/>
      </c>
    </row>
    <row r="5112" spans="3:4" s="230" customFormat="1">
      <c r="C5112" s="16" t="str">
        <f>IFERROR(VLOOKUP(DATA!#REF!,DATA!#REF!,1,FALSE),"")</f>
        <v/>
      </c>
      <c r="D5112" s="16" t="str">
        <f>IFERROR(VLOOKUP(C5112,DATA!#REF!,2,FALSE),"")</f>
        <v/>
      </c>
    </row>
    <row r="5113" spans="3:4" s="230" customFormat="1">
      <c r="C5113" s="16" t="str">
        <f>IFERROR(VLOOKUP(DATA!#REF!,DATA!#REF!,1,FALSE),"")</f>
        <v/>
      </c>
      <c r="D5113" s="16" t="str">
        <f>IFERROR(VLOOKUP(C5113,DATA!#REF!,2,FALSE),"")</f>
        <v/>
      </c>
    </row>
    <row r="5114" spans="3:4" s="230" customFormat="1">
      <c r="C5114" s="16" t="str">
        <f>IFERROR(VLOOKUP(DATA!#REF!,DATA!#REF!,1,FALSE),"")</f>
        <v/>
      </c>
      <c r="D5114" s="16" t="str">
        <f>IFERROR(VLOOKUP(C5114,DATA!#REF!,2,FALSE),"")</f>
        <v/>
      </c>
    </row>
    <row r="5115" spans="3:4" s="230" customFormat="1">
      <c r="C5115" s="16" t="str">
        <f>IFERROR(VLOOKUP(DATA!#REF!,DATA!#REF!,1,FALSE),"")</f>
        <v/>
      </c>
      <c r="D5115" s="16" t="str">
        <f>IFERROR(VLOOKUP(C5115,DATA!#REF!,2,FALSE),"")</f>
        <v/>
      </c>
    </row>
    <row r="5116" spans="3:4" s="230" customFormat="1">
      <c r="C5116" s="16" t="str">
        <f>IFERROR(VLOOKUP(DATA!#REF!,DATA!#REF!,1,FALSE),"")</f>
        <v/>
      </c>
      <c r="D5116" s="16" t="str">
        <f>IFERROR(VLOOKUP(C5116,DATA!#REF!,2,FALSE),"")</f>
        <v/>
      </c>
    </row>
    <row r="5117" spans="3:4" s="230" customFormat="1">
      <c r="C5117" s="16" t="str">
        <f>IFERROR(VLOOKUP(DATA!#REF!,DATA!#REF!,1,FALSE),"")</f>
        <v/>
      </c>
      <c r="D5117" s="16" t="str">
        <f>IFERROR(VLOOKUP(C5117,DATA!#REF!,2,FALSE),"")</f>
        <v/>
      </c>
    </row>
    <row r="5118" spans="3:4" s="230" customFormat="1">
      <c r="C5118" s="16" t="str">
        <f>IFERROR(VLOOKUP(DATA!#REF!,DATA!#REF!,1,FALSE),"")</f>
        <v/>
      </c>
      <c r="D5118" s="16" t="str">
        <f>IFERROR(VLOOKUP(C5118,DATA!#REF!,2,FALSE),"")</f>
        <v/>
      </c>
    </row>
    <row r="5119" spans="3:4" s="230" customFormat="1">
      <c r="C5119" s="16" t="str">
        <f>IFERROR(VLOOKUP(DATA!#REF!,DATA!#REF!,1,FALSE),"")</f>
        <v/>
      </c>
      <c r="D5119" s="16" t="str">
        <f>IFERROR(VLOOKUP(C5119,DATA!#REF!,2,FALSE),"")</f>
        <v/>
      </c>
    </row>
    <row r="5120" spans="3:4" s="230" customFormat="1">
      <c r="C5120" s="16" t="str">
        <f>IFERROR(VLOOKUP(DATA!#REF!,DATA!#REF!,1,FALSE),"")</f>
        <v/>
      </c>
      <c r="D5120" s="16" t="str">
        <f>IFERROR(VLOOKUP(C5120,DATA!#REF!,2,FALSE),"")</f>
        <v/>
      </c>
    </row>
    <row r="5121" spans="3:4" s="230" customFormat="1">
      <c r="C5121" s="16" t="str">
        <f>IFERROR(VLOOKUP(DATA!#REF!,DATA!#REF!,1,FALSE),"")</f>
        <v/>
      </c>
      <c r="D5121" s="16" t="str">
        <f>IFERROR(VLOOKUP(C5121,DATA!#REF!,2,FALSE),"")</f>
        <v/>
      </c>
    </row>
    <row r="5122" spans="3:4" s="230" customFormat="1">
      <c r="C5122" s="16" t="str">
        <f>IFERROR(VLOOKUP(DATA!#REF!,DATA!#REF!,1,FALSE),"")</f>
        <v/>
      </c>
      <c r="D5122" s="16" t="str">
        <f>IFERROR(VLOOKUP(C5122,DATA!#REF!,2,FALSE),"")</f>
        <v/>
      </c>
    </row>
    <row r="5123" spans="3:4" s="230" customFormat="1">
      <c r="C5123" s="16" t="str">
        <f>IFERROR(VLOOKUP(DATA!#REF!,DATA!#REF!,1,FALSE),"")</f>
        <v/>
      </c>
      <c r="D5123" s="16" t="str">
        <f>IFERROR(VLOOKUP(C5123,DATA!#REF!,2,FALSE),"")</f>
        <v/>
      </c>
    </row>
    <row r="5124" spans="3:4" s="230" customFormat="1">
      <c r="C5124" s="16" t="str">
        <f>IFERROR(VLOOKUP(DATA!#REF!,DATA!#REF!,1,FALSE),"")</f>
        <v/>
      </c>
      <c r="D5124" s="16" t="str">
        <f>IFERROR(VLOOKUP(C5124,DATA!#REF!,2,FALSE),"")</f>
        <v/>
      </c>
    </row>
    <row r="5125" spans="3:4" s="230" customFormat="1">
      <c r="C5125" s="16" t="str">
        <f>IFERROR(VLOOKUP(DATA!#REF!,DATA!#REF!,1,FALSE),"")</f>
        <v/>
      </c>
      <c r="D5125" s="16" t="str">
        <f>IFERROR(VLOOKUP(C5125,DATA!#REF!,2,FALSE),"")</f>
        <v/>
      </c>
    </row>
    <row r="5126" spans="3:4" s="230" customFormat="1">
      <c r="C5126" s="16" t="str">
        <f>IFERROR(VLOOKUP(DATA!#REF!,DATA!#REF!,1,FALSE),"")</f>
        <v/>
      </c>
      <c r="D5126" s="16" t="str">
        <f>IFERROR(VLOOKUP(C5126,DATA!#REF!,2,FALSE),"")</f>
        <v/>
      </c>
    </row>
    <row r="5127" spans="3:4" s="230" customFormat="1">
      <c r="C5127" s="16" t="str">
        <f>IFERROR(VLOOKUP(DATA!#REF!,DATA!#REF!,1,FALSE),"")</f>
        <v/>
      </c>
      <c r="D5127" s="16" t="str">
        <f>IFERROR(VLOOKUP(C5127,DATA!#REF!,2,FALSE),"")</f>
        <v/>
      </c>
    </row>
    <row r="5128" spans="3:4" s="230" customFormat="1">
      <c r="C5128" s="16" t="str">
        <f>IFERROR(VLOOKUP(DATA!#REF!,DATA!#REF!,1,FALSE),"")</f>
        <v/>
      </c>
      <c r="D5128" s="16" t="str">
        <f>IFERROR(VLOOKUP(C5128,DATA!#REF!,2,FALSE),"")</f>
        <v/>
      </c>
    </row>
    <row r="5129" spans="3:4" s="230" customFormat="1">
      <c r="C5129" s="16" t="str">
        <f>IFERROR(VLOOKUP(DATA!#REF!,DATA!#REF!,1,FALSE),"")</f>
        <v/>
      </c>
      <c r="D5129" s="16" t="str">
        <f>IFERROR(VLOOKUP(C5129,DATA!#REF!,2,FALSE),"")</f>
        <v/>
      </c>
    </row>
    <row r="5130" spans="3:4" s="230" customFormat="1">
      <c r="C5130" s="16" t="str">
        <f>IFERROR(VLOOKUP(DATA!#REF!,DATA!#REF!,1,FALSE),"")</f>
        <v/>
      </c>
      <c r="D5130" s="16" t="str">
        <f>IFERROR(VLOOKUP(C5130,DATA!#REF!,2,FALSE),"")</f>
        <v/>
      </c>
    </row>
    <row r="5131" spans="3:4" s="230" customFormat="1">
      <c r="C5131" s="16" t="str">
        <f>IFERROR(VLOOKUP(DATA!#REF!,DATA!#REF!,1,FALSE),"")</f>
        <v/>
      </c>
      <c r="D5131" s="16" t="str">
        <f>IFERROR(VLOOKUP(C5131,DATA!#REF!,2,FALSE),"")</f>
        <v/>
      </c>
    </row>
    <row r="5132" spans="3:4" s="230" customFormat="1">
      <c r="C5132" s="16" t="str">
        <f>IFERROR(VLOOKUP(DATA!#REF!,DATA!#REF!,1,FALSE),"")</f>
        <v/>
      </c>
      <c r="D5132" s="16" t="str">
        <f>IFERROR(VLOOKUP(C5132,DATA!#REF!,2,FALSE),"")</f>
        <v/>
      </c>
    </row>
    <row r="5133" spans="3:4" s="230" customFormat="1">
      <c r="C5133" s="16" t="str">
        <f>IFERROR(VLOOKUP(DATA!#REF!,DATA!#REF!,1,FALSE),"")</f>
        <v/>
      </c>
      <c r="D5133" s="16" t="str">
        <f>IFERROR(VLOOKUP(C5133,DATA!#REF!,2,FALSE),"")</f>
        <v/>
      </c>
    </row>
    <row r="5134" spans="3:4" s="230" customFormat="1">
      <c r="C5134" s="16" t="str">
        <f>IFERROR(VLOOKUP(DATA!#REF!,DATA!#REF!,1,FALSE),"")</f>
        <v/>
      </c>
      <c r="D5134" s="16" t="str">
        <f>IFERROR(VLOOKUP(C5134,DATA!#REF!,2,FALSE),"")</f>
        <v/>
      </c>
    </row>
    <row r="5135" spans="3:4" s="230" customFormat="1">
      <c r="C5135" s="16" t="str">
        <f>IFERROR(VLOOKUP(DATA!#REF!,DATA!#REF!,1,FALSE),"")</f>
        <v/>
      </c>
      <c r="D5135" s="16" t="str">
        <f>IFERROR(VLOOKUP(C5135,DATA!#REF!,2,FALSE),"")</f>
        <v/>
      </c>
    </row>
    <row r="5136" spans="3:4" s="230" customFormat="1">
      <c r="C5136" s="16" t="str">
        <f>IFERROR(VLOOKUP(DATA!#REF!,DATA!#REF!,1,FALSE),"")</f>
        <v/>
      </c>
      <c r="D5136" s="16" t="str">
        <f>IFERROR(VLOOKUP(C5136,DATA!#REF!,2,FALSE),"")</f>
        <v/>
      </c>
    </row>
    <row r="5137" spans="3:4" s="230" customFormat="1">
      <c r="C5137" s="16" t="str">
        <f>IFERROR(VLOOKUP(DATA!#REF!,DATA!#REF!,1,FALSE),"")</f>
        <v/>
      </c>
      <c r="D5137" s="16" t="str">
        <f>IFERROR(VLOOKUP(C5137,DATA!#REF!,2,FALSE),"")</f>
        <v/>
      </c>
    </row>
    <row r="5138" spans="3:4" s="230" customFormat="1">
      <c r="C5138" s="16" t="str">
        <f>IFERROR(VLOOKUP(DATA!#REF!,DATA!#REF!,1,FALSE),"")</f>
        <v/>
      </c>
      <c r="D5138" s="16" t="str">
        <f>IFERROR(VLOOKUP(C5138,DATA!#REF!,2,FALSE),"")</f>
        <v/>
      </c>
    </row>
    <row r="5139" spans="3:4" s="230" customFormat="1">
      <c r="C5139" s="16" t="str">
        <f>IFERROR(VLOOKUP(DATA!#REF!,DATA!#REF!,1,FALSE),"")</f>
        <v/>
      </c>
      <c r="D5139" s="16" t="str">
        <f>IFERROR(VLOOKUP(C5139,DATA!#REF!,2,FALSE),"")</f>
        <v/>
      </c>
    </row>
    <row r="5140" spans="3:4" s="230" customFormat="1">
      <c r="C5140" s="16" t="str">
        <f>IFERROR(VLOOKUP(DATA!#REF!,DATA!#REF!,1,FALSE),"")</f>
        <v/>
      </c>
      <c r="D5140" s="16" t="str">
        <f>IFERROR(VLOOKUP(C5140,DATA!#REF!,2,FALSE),"")</f>
        <v/>
      </c>
    </row>
    <row r="5141" spans="3:4" s="230" customFormat="1">
      <c r="C5141" s="16" t="str">
        <f>IFERROR(VLOOKUP(DATA!#REF!,DATA!#REF!,1,FALSE),"")</f>
        <v/>
      </c>
      <c r="D5141" s="16" t="str">
        <f>IFERROR(VLOOKUP(C5141,DATA!#REF!,2,FALSE),"")</f>
        <v/>
      </c>
    </row>
    <row r="5142" spans="3:4" s="230" customFormat="1">
      <c r="C5142" s="16" t="str">
        <f>IFERROR(VLOOKUP(DATA!#REF!,DATA!#REF!,1,FALSE),"")</f>
        <v/>
      </c>
      <c r="D5142" s="16" t="str">
        <f>IFERROR(VLOOKUP(C5142,DATA!#REF!,2,FALSE),"")</f>
        <v/>
      </c>
    </row>
    <row r="5143" spans="3:4" s="230" customFormat="1">
      <c r="C5143" s="16" t="str">
        <f>IFERROR(VLOOKUP(DATA!#REF!,DATA!#REF!,1,FALSE),"")</f>
        <v/>
      </c>
      <c r="D5143" s="16" t="str">
        <f>IFERROR(VLOOKUP(C5143,DATA!#REF!,2,FALSE),"")</f>
        <v/>
      </c>
    </row>
    <row r="5144" spans="3:4" s="230" customFormat="1">
      <c r="C5144" s="16" t="str">
        <f>IFERROR(VLOOKUP(DATA!#REF!,DATA!#REF!,1,FALSE),"")</f>
        <v/>
      </c>
      <c r="D5144" s="16" t="str">
        <f>IFERROR(VLOOKUP(C5144,DATA!#REF!,2,FALSE),"")</f>
        <v/>
      </c>
    </row>
    <row r="5145" spans="3:4" s="230" customFormat="1">
      <c r="C5145" s="16" t="str">
        <f>IFERROR(VLOOKUP(DATA!#REF!,DATA!#REF!,1,FALSE),"")</f>
        <v/>
      </c>
      <c r="D5145" s="16" t="str">
        <f>IFERROR(VLOOKUP(C5145,DATA!#REF!,2,FALSE),"")</f>
        <v/>
      </c>
    </row>
    <row r="5146" spans="3:4" s="230" customFormat="1">
      <c r="C5146" s="16" t="str">
        <f>IFERROR(VLOOKUP(DATA!#REF!,DATA!#REF!,1,FALSE),"")</f>
        <v/>
      </c>
      <c r="D5146" s="16" t="str">
        <f>IFERROR(VLOOKUP(C5146,DATA!#REF!,2,FALSE),"")</f>
        <v/>
      </c>
    </row>
    <row r="5147" spans="3:4" s="230" customFormat="1">
      <c r="C5147" s="16" t="str">
        <f>IFERROR(VLOOKUP(DATA!#REF!,DATA!#REF!,1,FALSE),"")</f>
        <v/>
      </c>
      <c r="D5147" s="16" t="str">
        <f>IFERROR(VLOOKUP(C5147,DATA!#REF!,2,FALSE),"")</f>
        <v/>
      </c>
    </row>
    <row r="5148" spans="3:4" s="230" customFormat="1">
      <c r="C5148" s="16" t="str">
        <f>IFERROR(VLOOKUP(DATA!#REF!,DATA!#REF!,1,FALSE),"")</f>
        <v/>
      </c>
      <c r="D5148" s="16" t="str">
        <f>IFERROR(VLOOKUP(C5148,DATA!#REF!,2,FALSE),"")</f>
        <v/>
      </c>
    </row>
    <row r="5149" spans="3:4" s="230" customFormat="1">
      <c r="C5149" s="16" t="str">
        <f>IFERROR(VLOOKUP(DATA!#REF!,DATA!#REF!,1,FALSE),"")</f>
        <v/>
      </c>
      <c r="D5149" s="16" t="str">
        <f>IFERROR(VLOOKUP(C5149,DATA!#REF!,2,FALSE),"")</f>
        <v/>
      </c>
    </row>
    <row r="5150" spans="3:4" s="230" customFormat="1">
      <c r="C5150" s="16" t="str">
        <f>IFERROR(VLOOKUP(DATA!#REF!,DATA!#REF!,1,FALSE),"")</f>
        <v/>
      </c>
      <c r="D5150" s="16" t="str">
        <f>IFERROR(VLOOKUP(C5150,DATA!#REF!,2,FALSE),"")</f>
        <v/>
      </c>
    </row>
    <row r="5151" spans="3:4" s="230" customFormat="1">
      <c r="C5151" s="16" t="str">
        <f>IFERROR(VLOOKUP(DATA!#REF!,DATA!#REF!,1,FALSE),"")</f>
        <v/>
      </c>
      <c r="D5151" s="16" t="str">
        <f>IFERROR(VLOOKUP(C5151,DATA!#REF!,2,FALSE),"")</f>
        <v/>
      </c>
    </row>
    <row r="5152" spans="3:4" s="230" customFormat="1">
      <c r="C5152" s="16" t="str">
        <f>IFERROR(VLOOKUP(DATA!#REF!,DATA!#REF!,1,FALSE),"")</f>
        <v/>
      </c>
      <c r="D5152" s="16" t="str">
        <f>IFERROR(VLOOKUP(C5152,DATA!#REF!,2,FALSE),"")</f>
        <v/>
      </c>
    </row>
    <row r="5153" spans="3:4" s="230" customFormat="1">
      <c r="C5153" s="16" t="str">
        <f>IFERROR(VLOOKUP(DATA!#REF!,DATA!#REF!,1,FALSE),"")</f>
        <v/>
      </c>
      <c r="D5153" s="16" t="str">
        <f>IFERROR(VLOOKUP(C5153,DATA!#REF!,2,FALSE),"")</f>
        <v/>
      </c>
    </row>
    <row r="5154" spans="3:4" s="230" customFormat="1">
      <c r="C5154" s="16" t="str">
        <f>IFERROR(VLOOKUP(DATA!#REF!,DATA!#REF!,1,FALSE),"")</f>
        <v/>
      </c>
      <c r="D5154" s="16" t="str">
        <f>IFERROR(VLOOKUP(C5154,DATA!#REF!,2,FALSE),"")</f>
        <v/>
      </c>
    </row>
    <row r="5155" spans="3:4" s="230" customFormat="1">
      <c r="C5155" s="16" t="str">
        <f>IFERROR(VLOOKUP(DATA!#REF!,DATA!#REF!,1,FALSE),"")</f>
        <v/>
      </c>
      <c r="D5155" s="16" t="str">
        <f>IFERROR(VLOOKUP(C5155,DATA!#REF!,2,FALSE),"")</f>
        <v/>
      </c>
    </row>
    <row r="5156" spans="3:4" s="230" customFormat="1">
      <c r="C5156" s="16" t="str">
        <f>IFERROR(VLOOKUP(DATA!#REF!,DATA!#REF!,1,FALSE),"")</f>
        <v/>
      </c>
      <c r="D5156" s="16" t="str">
        <f>IFERROR(VLOOKUP(C5156,DATA!#REF!,2,FALSE),"")</f>
        <v/>
      </c>
    </row>
    <row r="5157" spans="3:4" s="230" customFormat="1">
      <c r="C5157" s="16" t="str">
        <f>IFERROR(VLOOKUP(DATA!#REF!,DATA!#REF!,1,FALSE),"")</f>
        <v/>
      </c>
      <c r="D5157" s="16" t="str">
        <f>IFERROR(VLOOKUP(C5157,DATA!#REF!,2,FALSE),"")</f>
        <v/>
      </c>
    </row>
    <row r="5158" spans="3:4" s="230" customFormat="1">
      <c r="C5158" s="16" t="str">
        <f>IFERROR(VLOOKUP(DATA!#REF!,DATA!#REF!,1,FALSE),"")</f>
        <v/>
      </c>
      <c r="D5158" s="16" t="str">
        <f>IFERROR(VLOOKUP(C5158,DATA!#REF!,2,FALSE),"")</f>
        <v/>
      </c>
    </row>
    <row r="5159" spans="3:4" s="230" customFormat="1">
      <c r="C5159" s="16" t="str">
        <f>IFERROR(VLOOKUP(DATA!#REF!,DATA!#REF!,1,FALSE),"")</f>
        <v/>
      </c>
      <c r="D5159" s="16" t="str">
        <f>IFERROR(VLOOKUP(C5159,DATA!#REF!,2,FALSE),"")</f>
        <v/>
      </c>
    </row>
    <row r="5160" spans="3:4" s="230" customFormat="1">
      <c r="C5160" s="16" t="str">
        <f>IFERROR(VLOOKUP(DATA!#REF!,DATA!#REF!,1,FALSE),"")</f>
        <v/>
      </c>
      <c r="D5160" s="16" t="str">
        <f>IFERROR(VLOOKUP(C5160,DATA!#REF!,2,FALSE),"")</f>
        <v/>
      </c>
    </row>
    <row r="5161" spans="3:4" s="230" customFormat="1">
      <c r="C5161" s="16" t="str">
        <f>IFERROR(VLOOKUP(DATA!#REF!,DATA!#REF!,1,FALSE),"")</f>
        <v/>
      </c>
      <c r="D5161" s="16" t="str">
        <f>IFERROR(VLOOKUP(C5161,DATA!#REF!,2,FALSE),"")</f>
        <v/>
      </c>
    </row>
    <row r="5162" spans="3:4" s="230" customFormat="1">
      <c r="C5162" s="16" t="str">
        <f>IFERROR(VLOOKUP(DATA!#REF!,DATA!#REF!,1,FALSE),"")</f>
        <v/>
      </c>
      <c r="D5162" s="16" t="str">
        <f>IFERROR(VLOOKUP(C5162,DATA!#REF!,2,FALSE),"")</f>
        <v/>
      </c>
    </row>
    <row r="5163" spans="3:4" s="230" customFormat="1">
      <c r="C5163" s="16" t="str">
        <f>IFERROR(VLOOKUP(DATA!#REF!,DATA!#REF!,1,FALSE),"")</f>
        <v/>
      </c>
      <c r="D5163" s="16" t="str">
        <f>IFERROR(VLOOKUP(C5163,DATA!#REF!,2,FALSE),"")</f>
        <v/>
      </c>
    </row>
    <row r="5164" spans="3:4" s="230" customFormat="1">
      <c r="C5164" s="16" t="str">
        <f>IFERROR(VLOOKUP(DATA!#REF!,DATA!#REF!,1,FALSE),"")</f>
        <v/>
      </c>
      <c r="D5164" s="16" t="str">
        <f>IFERROR(VLOOKUP(C5164,DATA!#REF!,2,FALSE),"")</f>
        <v/>
      </c>
    </row>
    <row r="5165" spans="3:4" s="230" customFormat="1">
      <c r="C5165" s="16" t="str">
        <f>IFERROR(VLOOKUP(DATA!#REF!,DATA!#REF!,1,FALSE),"")</f>
        <v/>
      </c>
      <c r="D5165" s="16" t="str">
        <f>IFERROR(VLOOKUP(C5165,DATA!#REF!,2,FALSE),"")</f>
        <v/>
      </c>
    </row>
    <row r="5166" spans="3:4" s="230" customFormat="1">
      <c r="C5166" s="16" t="str">
        <f>IFERROR(VLOOKUP(DATA!#REF!,DATA!#REF!,1,FALSE),"")</f>
        <v/>
      </c>
      <c r="D5166" s="16" t="str">
        <f>IFERROR(VLOOKUP(C5166,DATA!#REF!,2,FALSE),"")</f>
        <v/>
      </c>
    </row>
    <row r="5167" spans="3:4" s="230" customFormat="1">
      <c r="C5167" s="16" t="str">
        <f>IFERROR(VLOOKUP(DATA!#REF!,DATA!#REF!,1,FALSE),"")</f>
        <v/>
      </c>
      <c r="D5167" s="16" t="str">
        <f>IFERROR(VLOOKUP(C5167,DATA!#REF!,2,FALSE),"")</f>
        <v/>
      </c>
    </row>
    <row r="5168" spans="3:4" s="230" customFormat="1">
      <c r="C5168" s="16" t="str">
        <f>IFERROR(VLOOKUP(DATA!#REF!,DATA!#REF!,1,FALSE),"")</f>
        <v/>
      </c>
      <c r="D5168" s="16" t="str">
        <f>IFERROR(VLOOKUP(C5168,DATA!#REF!,2,FALSE),"")</f>
        <v/>
      </c>
    </row>
    <row r="5169" spans="3:4" s="230" customFormat="1">
      <c r="C5169" s="16" t="str">
        <f>IFERROR(VLOOKUP(DATA!#REF!,DATA!#REF!,1,FALSE),"")</f>
        <v/>
      </c>
      <c r="D5169" s="16" t="str">
        <f>IFERROR(VLOOKUP(C5169,DATA!#REF!,2,FALSE),"")</f>
        <v/>
      </c>
    </row>
    <row r="5170" spans="3:4" s="230" customFormat="1">
      <c r="C5170" s="16" t="str">
        <f>IFERROR(VLOOKUP(DATA!#REF!,DATA!#REF!,1,FALSE),"")</f>
        <v/>
      </c>
      <c r="D5170" s="16" t="str">
        <f>IFERROR(VLOOKUP(C5170,DATA!#REF!,2,FALSE),"")</f>
        <v/>
      </c>
    </row>
    <row r="5171" spans="3:4" s="230" customFormat="1">
      <c r="C5171" s="16" t="str">
        <f>IFERROR(VLOOKUP(DATA!#REF!,DATA!#REF!,1,FALSE),"")</f>
        <v/>
      </c>
      <c r="D5171" s="16" t="str">
        <f>IFERROR(VLOOKUP(C5171,DATA!#REF!,2,FALSE),"")</f>
        <v/>
      </c>
    </row>
    <row r="5172" spans="3:4" s="230" customFormat="1">
      <c r="C5172" s="16" t="str">
        <f>IFERROR(VLOOKUP(DATA!#REF!,DATA!#REF!,1,FALSE),"")</f>
        <v/>
      </c>
      <c r="D5172" s="16" t="str">
        <f>IFERROR(VLOOKUP(C5172,DATA!#REF!,2,FALSE),"")</f>
        <v/>
      </c>
    </row>
    <row r="5173" spans="3:4" s="230" customFormat="1">
      <c r="C5173" s="16" t="str">
        <f>IFERROR(VLOOKUP(DATA!#REF!,DATA!#REF!,1,FALSE),"")</f>
        <v/>
      </c>
      <c r="D5173" s="16" t="str">
        <f>IFERROR(VLOOKUP(C5173,DATA!#REF!,2,FALSE),"")</f>
        <v/>
      </c>
    </row>
    <row r="5174" spans="3:4" s="230" customFormat="1">
      <c r="C5174" s="16" t="str">
        <f>IFERROR(VLOOKUP(DATA!#REF!,DATA!#REF!,1,FALSE),"")</f>
        <v/>
      </c>
      <c r="D5174" s="16" t="str">
        <f>IFERROR(VLOOKUP(C5174,DATA!#REF!,2,FALSE),"")</f>
        <v/>
      </c>
    </row>
    <row r="5175" spans="3:4" s="230" customFormat="1">
      <c r="C5175" s="16" t="str">
        <f>IFERROR(VLOOKUP(DATA!#REF!,DATA!#REF!,1,FALSE),"")</f>
        <v/>
      </c>
      <c r="D5175" s="16" t="str">
        <f>IFERROR(VLOOKUP(C5175,DATA!#REF!,2,FALSE),"")</f>
        <v/>
      </c>
    </row>
    <row r="5176" spans="3:4" s="230" customFormat="1">
      <c r="C5176" s="16" t="str">
        <f>IFERROR(VLOOKUP(DATA!#REF!,DATA!#REF!,1,FALSE),"")</f>
        <v/>
      </c>
      <c r="D5176" s="16" t="str">
        <f>IFERROR(VLOOKUP(C5176,DATA!#REF!,2,FALSE),"")</f>
        <v/>
      </c>
    </row>
    <row r="5177" spans="3:4" s="230" customFormat="1">
      <c r="C5177" s="16" t="str">
        <f>IFERROR(VLOOKUP(DATA!#REF!,DATA!#REF!,1,FALSE),"")</f>
        <v/>
      </c>
      <c r="D5177" s="16" t="str">
        <f>IFERROR(VLOOKUP(C5177,DATA!#REF!,2,FALSE),"")</f>
        <v/>
      </c>
    </row>
    <row r="5178" spans="3:4" s="230" customFormat="1">
      <c r="C5178" s="16" t="str">
        <f>IFERROR(VLOOKUP(DATA!#REF!,DATA!#REF!,1,FALSE),"")</f>
        <v/>
      </c>
      <c r="D5178" s="16" t="str">
        <f>IFERROR(VLOOKUP(C5178,DATA!#REF!,2,FALSE),"")</f>
        <v/>
      </c>
    </row>
    <row r="5179" spans="3:4" s="230" customFormat="1">
      <c r="C5179" s="16" t="str">
        <f>IFERROR(VLOOKUP(DATA!#REF!,DATA!#REF!,1,FALSE),"")</f>
        <v/>
      </c>
      <c r="D5179" s="16" t="str">
        <f>IFERROR(VLOOKUP(C5179,DATA!#REF!,2,FALSE),"")</f>
        <v/>
      </c>
    </row>
    <row r="5180" spans="3:4" s="230" customFormat="1">
      <c r="C5180" s="16" t="str">
        <f>IFERROR(VLOOKUP(DATA!#REF!,DATA!#REF!,1,FALSE),"")</f>
        <v/>
      </c>
      <c r="D5180" s="16" t="str">
        <f>IFERROR(VLOOKUP(C5180,DATA!#REF!,2,FALSE),"")</f>
        <v/>
      </c>
    </row>
    <row r="5181" spans="3:4" s="230" customFormat="1">
      <c r="C5181" s="16" t="str">
        <f>IFERROR(VLOOKUP(DATA!#REF!,DATA!#REF!,1,FALSE),"")</f>
        <v/>
      </c>
      <c r="D5181" s="16" t="str">
        <f>IFERROR(VLOOKUP(C5181,DATA!#REF!,2,FALSE),"")</f>
        <v/>
      </c>
    </row>
    <row r="5182" spans="3:4" s="230" customFormat="1">
      <c r="C5182" s="16" t="str">
        <f>IFERROR(VLOOKUP(DATA!#REF!,DATA!#REF!,1,FALSE),"")</f>
        <v/>
      </c>
      <c r="D5182" s="16" t="str">
        <f>IFERROR(VLOOKUP(C5182,DATA!#REF!,2,FALSE),"")</f>
        <v/>
      </c>
    </row>
    <row r="5183" spans="3:4" s="230" customFormat="1">
      <c r="C5183" s="16" t="str">
        <f>IFERROR(VLOOKUP(DATA!#REF!,DATA!#REF!,1,FALSE),"")</f>
        <v/>
      </c>
      <c r="D5183" s="16" t="str">
        <f>IFERROR(VLOOKUP(C5183,DATA!#REF!,2,FALSE),"")</f>
        <v/>
      </c>
    </row>
    <row r="5184" spans="3:4" s="230" customFormat="1">
      <c r="C5184" s="16" t="str">
        <f>IFERROR(VLOOKUP(DATA!#REF!,DATA!#REF!,1,FALSE),"")</f>
        <v/>
      </c>
      <c r="D5184" s="16" t="str">
        <f>IFERROR(VLOOKUP(C5184,DATA!#REF!,2,FALSE),"")</f>
        <v/>
      </c>
    </row>
    <row r="5185" spans="3:4" s="230" customFormat="1">
      <c r="C5185" s="16" t="str">
        <f>IFERROR(VLOOKUP(DATA!#REF!,DATA!#REF!,1,FALSE),"")</f>
        <v/>
      </c>
      <c r="D5185" s="16" t="str">
        <f>IFERROR(VLOOKUP(C5185,DATA!#REF!,2,FALSE),"")</f>
        <v/>
      </c>
    </row>
    <row r="5186" spans="3:4" s="230" customFormat="1">
      <c r="C5186" s="16" t="str">
        <f>IFERROR(VLOOKUP(DATA!#REF!,DATA!#REF!,1,FALSE),"")</f>
        <v/>
      </c>
      <c r="D5186" s="16" t="str">
        <f>IFERROR(VLOOKUP(C5186,DATA!#REF!,2,FALSE),"")</f>
        <v/>
      </c>
    </row>
    <row r="5187" spans="3:4" s="230" customFormat="1">
      <c r="C5187" s="16" t="str">
        <f>IFERROR(VLOOKUP(DATA!#REF!,DATA!#REF!,1,FALSE),"")</f>
        <v/>
      </c>
      <c r="D5187" s="16" t="str">
        <f>IFERROR(VLOOKUP(C5187,DATA!#REF!,2,FALSE),"")</f>
        <v/>
      </c>
    </row>
    <row r="5188" spans="3:4" s="230" customFormat="1">
      <c r="C5188" s="16" t="str">
        <f>IFERROR(VLOOKUP(DATA!#REF!,DATA!#REF!,1,FALSE),"")</f>
        <v/>
      </c>
      <c r="D5188" s="16" t="str">
        <f>IFERROR(VLOOKUP(C5188,DATA!#REF!,2,FALSE),"")</f>
        <v/>
      </c>
    </row>
    <row r="5189" spans="3:4" s="230" customFormat="1">
      <c r="C5189" s="16" t="str">
        <f>IFERROR(VLOOKUP(DATA!#REF!,DATA!#REF!,1,FALSE),"")</f>
        <v/>
      </c>
      <c r="D5189" s="16" t="str">
        <f>IFERROR(VLOOKUP(C5189,DATA!#REF!,2,FALSE),"")</f>
        <v/>
      </c>
    </row>
    <row r="5190" spans="3:4" s="230" customFormat="1">
      <c r="C5190" s="16" t="str">
        <f>IFERROR(VLOOKUP(DATA!#REF!,DATA!#REF!,1,FALSE),"")</f>
        <v/>
      </c>
      <c r="D5190" s="16" t="str">
        <f>IFERROR(VLOOKUP(C5190,DATA!#REF!,2,FALSE),"")</f>
        <v/>
      </c>
    </row>
    <row r="5191" spans="3:4" s="230" customFormat="1">
      <c r="C5191" s="16" t="str">
        <f>IFERROR(VLOOKUP(DATA!#REF!,DATA!#REF!,1,FALSE),"")</f>
        <v/>
      </c>
      <c r="D5191" s="16" t="str">
        <f>IFERROR(VLOOKUP(C5191,DATA!#REF!,2,FALSE),"")</f>
        <v/>
      </c>
    </row>
    <row r="5192" spans="3:4" s="230" customFormat="1">
      <c r="C5192" s="16" t="str">
        <f>IFERROR(VLOOKUP(DATA!#REF!,DATA!#REF!,1,FALSE),"")</f>
        <v/>
      </c>
      <c r="D5192" s="16" t="str">
        <f>IFERROR(VLOOKUP(C5192,DATA!#REF!,2,FALSE),"")</f>
        <v/>
      </c>
    </row>
    <row r="5193" spans="3:4" s="230" customFormat="1">
      <c r="C5193" s="16" t="str">
        <f>IFERROR(VLOOKUP(DATA!#REF!,DATA!#REF!,1,FALSE),"")</f>
        <v/>
      </c>
      <c r="D5193" s="16" t="str">
        <f>IFERROR(VLOOKUP(C5193,DATA!#REF!,2,FALSE),"")</f>
        <v/>
      </c>
    </row>
    <row r="5194" spans="3:4" s="230" customFormat="1">
      <c r="C5194" s="16" t="str">
        <f>IFERROR(VLOOKUP(DATA!#REF!,DATA!#REF!,1,FALSE),"")</f>
        <v/>
      </c>
      <c r="D5194" s="16" t="str">
        <f>IFERROR(VLOOKUP(C5194,DATA!#REF!,2,FALSE),"")</f>
        <v/>
      </c>
    </row>
    <row r="5195" spans="3:4" s="230" customFormat="1">
      <c r="C5195" s="16" t="str">
        <f>IFERROR(VLOOKUP(DATA!#REF!,DATA!#REF!,1,FALSE),"")</f>
        <v/>
      </c>
      <c r="D5195" s="16" t="str">
        <f>IFERROR(VLOOKUP(C5195,DATA!#REF!,2,FALSE),"")</f>
        <v/>
      </c>
    </row>
    <row r="5196" spans="3:4" s="230" customFormat="1">
      <c r="C5196" s="16" t="str">
        <f>IFERROR(VLOOKUP(DATA!#REF!,DATA!#REF!,1,FALSE),"")</f>
        <v/>
      </c>
      <c r="D5196" s="16" t="str">
        <f>IFERROR(VLOOKUP(C5196,DATA!#REF!,2,FALSE),"")</f>
        <v/>
      </c>
    </row>
    <row r="5197" spans="3:4" s="230" customFormat="1">
      <c r="C5197" s="16" t="str">
        <f>IFERROR(VLOOKUP(DATA!#REF!,DATA!#REF!,1,FALSE),"")</f>
        <v/>
      </c>
      <c r="D5197" s="16" t="str">
        <f>IFERROR(VLOOKUP(C5197,DATA!#REF!,2,FALSE),"")</f>
        <v/>
      </c>
    </row>
    <row r="5198" spans="3:4" s="230" customFormat="1">
      <c r="C5198" s="16" t="str">
        <f>IFERROR(VLOOKUP(DATA!#REF!,DATA!#REF!,1,FALSE),"")</f>
        <v/>
      </c>
      <c r="D5198" s="16" t="str">
        <f>IFERROR(VLOOKUP(C5198,DATA!#REF!,2,FALSE),"")</f>
        <v/>
      </c>
    </row>
    <row r="5199" spans="3:4" s="230" customFormat="1">
      <c r="C5199" s="16" t="str">
        <f>IFERROR(VLOOKUP(DATA!#REF!,DATA!#REF!,1,FALSE),"")</f>
        <v/>
      </c>
      <c r="D5199" s="16" t="str">
        <f>IFERROR(VLOOKUP(C5199,DATA!#REF!,2,FALSE),"")</f>
        <v/>
      </c>
    </row>
    <row r="5200" spans="3:4" s="230" customFormat="1">
      <c r="C5200" s="16" t="str">
        <f>IFERROR(VLOOKUP(DATA!#REF!,DATA!#REF!,1,FALSE),"")</f>
        <v/>
      </c>
      <c r="D5200" s="16" t="str">
        <f>IFERROR(VLOOKUP(C5200,DATA!#REF!,2,FALSE),"")</f>
        <v/>
      </c>
    </row>
    <row r="5201" spans="3:4" s="230" customFormat="1">
      <c r="C5201" s="16" t="str">
        <f>IFERROR(VLOOKUP(DATA!#REF!,DATA!#REF!,1,FALSE),"")</f>
        <v/>
      </c>
      <c r="D5201" s="16" t="str">
        <f>IFERROR(VLOOKUP(C5201,DATA!#REF!,2,FALSE),"")</f>
        <v/>
      </c>
    </row>
    <row r="5202" spans="3:4" s="230" customFormat="1">
      <c r="C5202" s="16" t="str">
        <f>IFERROR(VLOOKUP(DATA!#REF!,DATA!#REF!,1,FALSE),"")</f>
        <v/>
      </c>
      <c r="D5202" s="16" t="str">
        <f>IFERROR(VLOOKUP(C5202,DATA!#REF!,2,FALSE),"")</f>
        <v/>
      </c>
    </row>
    <row r="5203" spans="3:4" s="230" customFormat="1">
      <c r="C5203" s="16" t="str">
        <f>IFERROR(VLOOKUP(DATA!#REF!,DATA!#REF!,1,FALSE),"")</f>
        <v/>
      </c>
      <c r="D5203" s="16" t="str">
        <f>IFERROR(VLOOKUP(C5203,DATA!#REF!,2,FALSE),"")</f>
        <v/>
      </c>
    </row>
    <row r="5204" spans="3:4" s="230" customFormat="1">
      <c r="C5204" s="16" t="str">
        <f>IFERROR(VLOOKUP(DATA!#REF!,DATA!#REF!,1,FALSE),"")</f>
        <v/>
      </c>
      <c r="D5204" s="16" t="str">
        <f>IFERROR(VLOOKUP(C5204,DATA!#REF!,2,FALSE),"")</f>
        <v/>
      </c>
    </row>
    <row r="5205" spans="3:4" s="230" customFormat="1">
      <c r="C5205" s="16" t="str">
        <f>IFERROR(VLOOKUP(DATA!#REF!,DATA!#REF!,1,FALSE),"")</f>
        <v/>
      </c>
      <c r="D5205" s="16" t="str">
        <f>IFERROR(VLOOKUP(C5205,DATA!#REF!,2,FALSE),"")</f>
        <v/>
      </c>
    </row>
    <row r="5206" spans="3:4" s="230" customFormat="1">
      <c r="C5206" s="16" t="str">
        <f>IFERROR(VLOOKUP(DATA!#REF!,DATA!#REF!,1,FALSE),"")</f>
        <v/>
      </c>
      <c r="D5206" s="16" t="str">
        <f>IFERROR(VLOOKUP(C5206,DATA!#REF!,2,FALSE),"")</f>
        <v/>
      </c>
    </row>
    <row r="5207" spans="3:4" s="230" customFormat="1">
      <c r="C5207" s="16" t="str">
        <f>IFERROR(VLOOKUP(DATA!#REF!,DATA!#REF!,1,FALSE),"")</f>
        <v/>
      </c>
      <c r="D5207" s="16" t="str">
        <f>IFERROR(VLOOKUP(C5207,DATA!#REF!,2,FALSE),"")</f>
        <v/>
      </c>
    </row>
    <row r="5208" spans="3:4" s="230" customFormat="1">
      <c r="C5208" s="16" t="str">
        <f>IFERROR(VLOOKUP(DATA!#REF!,DATA!#REF!,1,FALSE),"")</f>
        <v/>
      </c>
      <c r="D5208" s="16" t="str">
        <f>IFERROR(VLOOKUP(C5208,DATA!#REF!,2,FALSE),"")</f>
        <v/>
      </c>
    </row>
    <row r="5209" spans="3:4" s="230" customFormat="1">
      <c r="C5209" s="16" t="str">
        <f>IFERROR(VLOOKUP(DATA!#REF!,DATA!#REF!,1,FALSE),"")</f>
        <v/>
      </c>
      <c r="D5209" s="16" t="str">
        <f>IFERROR(VLOOKUP(C5209,DATA!#REF!,2,FALSE),"")</f>
        <v/>
      </c>
    </row>
    <row r="5210" spans="3:4" s="230" customFormat="1">
      <c r="C5210" s="16" t="str">
        <f>IFERROR(VLOOKUP(DATA!#REF!,DATA!#REF!,1,FALSE),"")</f>
        <v/>
      </c>
      <c r="D5210" s="16" t="str">
        <f>IFERROR(VLOOKUP(C5210,DATA!#REF!,2,FALSE),"")</f>
        <v/>
      </c>
    </row>
    <row r="5211" spans="3:4" s="230" customFormat="1">
      <c r="C5211" s="16" t="str">
        <f>IFERROR(VLOOKUP(DATA!#REF!,DATA!#REF!,1,FALSE),"")</f>
        <v/>
      </c>
      <c r="D5211" s="16" t="str">
        <f>IFERROR(VLOOKUP(C5211,DATA!#REF!,2,FALSE),"")</f>
        <v/>
      </c>
    </row>
    <row r="5212" spans="3:4" s="230" customFormat="1">
      <c r="C5212" s="16" t="str">
        <f>IFERROR(VLOOKUP(DATA!#REF!,DATA!#REF!,1,FALSE),"")</f>
        <v/>
      </c>
      <c r="D5212" s="16" t="str">
        <f>IFERROR(VLOOKUP(C5212,DATA!#REF!,2,FALSE),"")</f>
        <v/>
      </c>
    </row>
    <row r="5213" spans="3:4" s="230" customFormat="1">
      <c r="C5213" s="16" t="str">
        <f>IFERROR(VLOOKUP(DATA!#REF!,DATA!#REF!,1,FALSE),"")</f>
        <v/>
      </c>
      <c r="D5213" s="16" t="str">
        <f>IFERROR(VLOOKUP(C5213,DATA!#REF!,2,FALSE),"")</f>
        <v/>
      </c>
    </row>
    <row r="5214" spans="3:4" s="230" customFormat="1">
      <c r="C5214" s="16" t="str">
        <f>IFERROR(VLOOKUP(DATA!#REF!,DATA!#REF!,1,FALSE),"")</f>
        <v/>
      </c>
      <c r="D5214" s="16" t="str">
        <f>IFERROR(VLOOKUP(C5214,DATA!#REF!,2,FALSE),"")</f>
        <v/>
      </c>
    </row>
    <row r="5215" spans="3:4" s="230" customFormat="1">
      <c r="C5215" s="16" t="str">
        <f>IFERROR(VLOOKUP(DATA!#REF!,DATA!#REF!,1,FALSE),"")</f>
        <v/>
      </c>
      <c r="D5215" s="16" t="str">
        <f>IFERROR(VLOOKUP(C5215,DATA!#REF!,2,FALSE),"")</f>
        <v/>
      </c>
    </row>
    <row r="5216" spans="3:4" s="230" customFormat="1">
      <c r="C5216" s="16" t="str">
        <f>IFERROR(VLOOKUP(DATA!#REF!,DATA!#REF!,1,FALSE),"")</f>
        <v/>
      </c>
      <c r="D5216" s="16" t="str">
        <f>IFERROR(VLOOKUP(C5216,DATA!#REF!,2,FALSE),"")</f>
        <v/>
      </c>
    </row>
    <row r="5217" spans="3:4" s="230" customFormat="1">
      <c r="C5217" s="16" t="str">
        <f>IFERROR(VLOOKUP(DATA!#REF!,DATA!#REF!,1,FALSE),"")</f>
        <v/>
      </c>
      <c r="D5217" s="16" t="str">
        <f>IFERROR(VLOOKUP(C5217,DATA!#REF!,2,FALSE),"")</f>
        <v/>
      </c>
    </row>
    <row r="5218" spans="3:4" s="230" customFormat="1">
      <c r="C5218" s="16" t="str">
        <f>IFERROR(VLOOKUP(DATA!#REF!,DATA!#REF!,1,FALSE),"")</f>
        <v/>
      </c>
      <c r="D5218" s="16" t="str">
        <f>IFERROR(VLOOKUP(C5218,DATA!#REF!,2,FALSE),"")</f>
        <v/>
      </c>
    </row>
    <row r="5219" spans="3:4" s="230" customFormat="1">
      <c r="C5219" s="16" t="str">
        <f>IFERROR(VLOOKUP(DATA!#REF!,DATA!#REF!,1,FALSE),"")</f>
        <v/>
      </c>
      <c r="D5219" s="16" t="str">
        <f>IFERROR(VLOOKUP(C5219,DATA!#REF!,2,FALSE),"")</f>
        <v/>
      </c>
    </row>
    <row r="5220" spans="3:4" s="230" customFormat="1">
      <c r="C5220" s="16" t="str">
        <f>IFERROR(VLOOKUP(DATA!#REF!,DATA!#REF!,1,FALSE),"")</f>
        <v/>
      </c>
      <c r="D5220" s="16" t="str">
        <f>IFERROR(VLOOKUP(C5220,DATA!#REF!,2,FALSE),"")</f>
        <v/>
      </c>
    </row>
    <row r="5221" spans="3:4" s="230" customFormat="1">
      <c r="C5221" s="16" t="str">
        <f>IFERROR(VLOOKUP(DATA!#REF!,DATA!#REF!,1,FALSE),"")</f>
        <v/>
      </c>
      <c r="D5221" s="16" t="str">
        <f>IFERROR(VLOOKUP(C5221,DATA!#REF!,2,FALSE),"")</f>
        <v/>
      </c>
    </row>
    <row r="5222" spans="3:4" s="230" customFormat="1">
      <c r="C5222" s="16" t="str">
        <f>IFERROR(VLOOKUP(DATA!#REF!,DATA!#REF!,1,FALSE),"")</f>
        <v/>
      </c>
      <c r="D5222" s="16" t="str">
        <f>IFERROR(VLOOKUP(C5222,DATA!#REF!,2,FALSE),"")</f>
        <v/>
      </c>
    </row>
    <row r="5223" spans="3:4" s="230" customFormat="1">
      <c r="C5223" s="16" t="str">
        <f>IFERROR(VLOOKUP(DATA!#REF!,DATA!#REF!,1,FALSE),"")</f>
        <v/>
      </c>
      <c r="D5223" s="16" t="str">
        <f>IFERROR(VLOOKUP(C5223,DATA!#REF!,2,FALSE),"")</f>
        <v/>
      </c>
    </row>
    <row r="5224" spans="3:4" s="230" customFormat="1">
      <c r="C5224" s="16" t="str">
        <f>IFERROR(VLOOKUP(DATA!#REF!,DATA!#REF!,1,FALSE),"")</f>
        <v/>
      </c>
      <c r="D5224" s="16" t="str">
        <f>IFERROR(VLOOKUP(C5224,DATA!#REF!,2,FALSE),"")</f>
        <v/>
      </c>
    </row>
    <row r="5225" spans="3:4" s="230" customFormat="1">
      <c r="C5225" s="16" t="str">
        <f>IFERROR(VLOOKUP(DATA!#REF!,DATA!#REF!,1,FALSE),"")</f>
        <v/>
      </c>
      <c r="D5225" s="16" t="str">
        <f>IFERROR(VLOOKUP(C5225,DATA!#REF!,2,FALSE),"")</f>
        <v/>
      </c>
    </row>
    <row r="5226" spans="3:4" s="230" customFormat="1">
      <c r="C5226" s="16" t="str">
        <f>IFERROR(VLOOKUP(DATA!#REF!,DATA!#REF!,1,FALSE),"")</f>
        <v/>
      </c>
      <c r="D5226" s="16" t="str">
        <f>IFERROR(VLOOKUP(C5226,DATA!#REF!,2,FALSE),"")</f>
        <v/>
      </c>
    </row>
    <row r="5227" spans="3:4" s="230" customFormat="1">
      <c r="C5227" s="16" t="str">
        <f>IFERROR(VLOOKUP(DATA!#REF!,DATA!#REF!,1,FALSE),"")</f>
        <v/>
      </c>
      <c r="D5227" s="16" t="str">
        <f>IFERROR(VLOOKUP(C5227,DATA!#REF!,2,FALSE),"")</f>
        <v/>
      </c>
    </row>
    <row r="5228" spans="3:4" s="230" customFormat="1">
      <c r="C5228" s="16" t="str">
        <f>IFERROR(VLOOKUP(DATA!#REF!,DATA!#REF!,1,FALSE),"")</f>
        <v/>
      </c>
      <c r="D5228" s="16" t="str">
        <f>IFERROR(VLOOKUP(C5228,DATA!#REF!,2,FALSE),"")</f>
        <v/>
      </c>
    </row>
    <row r="5229" spans="3:4" s="230" customFormat="1">
      <c r="C5229" s="16" t="str">
        <f>IFERROR(VLOOKUP(DATA!#REF!,DATA!#REF!,1,FALSE),"")</f>
        <v/>
      </c>
      <c r="D5229" s="16" t="str">
        <f>IFERROR(VLOOKUP(C5229,DATA!#REF!,2,FALSE),"")</f>
        <v/>
      </c>
    </row>
    <row r="5230" spans="3:4" s="230" customFormat="1">
      <c r="C5230" s="16" t="str">
        <f>IFERROR(VLOOKUP(DATA!#REF!,DATA!#REF!,1,FALSE),"")</f>
        <v/>
      </c>
      <c r="D5230" s="16" t="str">
        <f>IFERROR(VLOOKUP(C5230,DATA!#REF!,2,FALSE),"")</f>
        <v/>
      </c>
    </row>
    <row r="5231" spans="3:4" s="230" customFormat="1">
      <c r="C5231" s="16" t="str">
        <f>IFERROR(VLOOKUP(DATA!#REF!,DATA!#REF!,1,FALSE),"")</f>
        <v/>
      </c>
      <c r="D5231" s="16" t="str">
        <f>IFERROR(VLOOKUP(C5231,DATA!#REF!,2,FALSE),"")</f>
        <v/>
      </c>
    </row>
    <row r="5232" spans="3:4" s="230" customFormat="1">
      <c r="C5232" s="16" t="str">
        <f>IFERROR(VLOOKUP(DATA!#REF!,DATA!#REF!,1,FALSE),"")</f>
        <v/>
      </c>
      <c r="D5232" s="16" t="str">
        <f>IFERROR(VLOOKUP(C5232,DATA!#REF!,2,FALSE),"")</f>
        <v/>
      </c>
    </row>
    <row r="5233" spans="3:4" s="230" customFormat="1">
      <c r="C5233" s="16" t="str">
        <f>IFERROR(VLOOKUP(DATA!#REF!,DATA!#REF!,1,FALSE),"")</f>
        <v/>
      </c>
      <c r="D5233" s="16" t="str">
        <f>IFERROR(VLOOKUP(C5233,DATA!#REF!,2,FALSE),"")</f>
        <v/>
      </c>
    </row>
    <row r="5234" spans="3:4" s="230" customFormat="1">
      <c r="C5234" s="16" t="str">
        <f>IFERROR(VLOOKUP(DATA!#REF!,DATA!#REF!,1,FALSE),"")</f>
        <v/>
      </c>
      <c r="D5234" s="16" t="str">
        <f>IFERROR(VLOOKUP(C5234,DATA!#REF!,2,FALSE),"")</f>
        <v/>
      </c>
    </row>
    <row r="5235" spans="3:4" s="230" customFormat="1">
      <c r="C5235" s="16" t="str">
        <f>IFERROR(VLOOKUP(DATA!#REF!,DATA!#REF!,1,FALSE),"")</f>
        <v/>
      </c>
      <c r="D5235" s="16" t="str">
        <f>IFERROR(VLOOKUP(C5235,DATA!#REF!,2,FALSE),"")</f>
        <v/>
      </c>
    </row>
    <row r="5236" spans="3:4" s="230" customFormat="1">
      <c r="C5236" s="16" t="str">
        <f>IFERROR(VLOOKUP(DATA!#REF!,DATA!#REF!,1,FALSE),"")</f>
        <v/>
      </c>
      <c r="D5236" s="16" t="str">
        <f>IFERROR(VLOOKUP(C5236,DATA!#REF!,2,FALSE),"")</f>
        <v/>
      </c>
    </row>
    <row r="5237" spans="3:4" s="230" customFormat="1">
      <c r="C5237" s="16" t="str">
        <f>IFERROR(VLOOKUP(DATA!#REF!,DATA!#REF!,1,FALSE),"")</f>
        <v/>
      </c>
      <c r="D5237" s="16" t="str">
        <f>IFERROR(VLOOKUP(C5237,DATA!#REF!,2,FALSE),"")</f>
        <v/>
      </c>
    </row>
    <row r="5238" spans="3:4" s="230" customFormat="1">
      <c r="C5238" s="16" t="str">
        <f>IFERROR(VLOOKUP(DATA!#REF!,DATA!#REF!,1,FALSE),"")</f>
        <v/>
      </c>
      <c r="D5238" s="16" t="str">
        <f>IFERROR(VLOOKUP(C5238,DATA!#REF!,2,FALSE),"")</f>
        <v/>
      </c>
    </row>
    <row r="5239" spans="3:4" s="230" customFormat="1">
      <c r="C5239" s="16" t="str">
        <f>IFERROR(VLOOKUP(DATA!#REF!,DATA!#REF!,1,FALSE),"")</f>
        <v/>
      </c>
      <c r="D5239" s="16" t="str">
        <f>IFERROR(VLOOKUP(C5239,DATA!#REF!,2,FALSE),"")</f>
        <v/>
      </c>
    </row>
    <row r="5240" spans="3:4" s="230" customFormat="1">
      <c r="C5240" s="16" t="str">
        <f>IFERROR(VLOOKUP(DATA!#REF!,DATA!#REF!,1,FALSE),"")</f>
        <v/>
      </c>
      <c r="D5240" s="16" t="str">
        <f>IFERROR(VLOOKUP(C5240,DATA!#REF!,2,FALSE),"")</f>
        <v/>
      </c>
    </row>
    <row r="5241" spans="3:4" s="230" customFormat="1">
      <c r="C5241" s="16" t="str">
        <f>IFERROR(VLOOKUP(DATA!#REF!,DATA!#REF!,1,FALSE),"")</f>
        <v/>
      </c>
      <c r="D5241" s="16" t="str">
        <f>IFERROR(VLOOKUP(C5241,DATA!#REF!,2,FALSE),"")</f>
        <v/>
      </c>
    </row>
    <row r="5242" spans="3:4" s="230" customFormat="1">
      <c r="C5242" s="16" t="str">
        <f>IFERROR(VLOOKUP(DATA!#REF!,DATA!#REF!,1,FALSE),"")</f>
        <v/>
      </c>
      <c r="D5242" s="16" t="str">
        <f>IFERROR(VLOOKUP(C5242,DATA!#REF!,2,FALSE),"")</f>
        <v/>
      </c>
    </row>
    <row r="5243" spans="3:4" s="230" customFormat="1">
      <c r="C5243" s="16" t="str">
        <f>IFERROR(VLOOKUP(DATA!#REF!,DATA!#REF!,1,FALSE),"")</f>
        <v/>
      </c>
      <c r="D5243" s="16" t="str">
        <f>IFERROR(VLOOKUP(C5243,DATA!#REF!,2,FALSE),"")</f>
        <v/>
      </c>
    </row>
    <row r="5244" spans="3:4" s="230" customFormat="1">
      <c r="C5244" s="16" t="str">
        <f>IFERROR(VLOOKUP(DATA!#REF!,DATA!#REF!,1,FALSE),"")</f>
        <v/>
      </c>
      <c r="D5244" s="16" t="str">
        <f>IFERROR(VLOOKUP(C5244,DATA!#REF!,2,FALSE),"")</f>
        <v/>
      </c>
    </row>
    <row r="5245" spans="3:4" s="230" customFormat="1">
      <c r="C5245" s="16" t="str">
        <f>IFERROR(VLOOKUP(DATA!#REF!,DATA!#REF!,1,FALSE),"")</f>
        <v/>
      </c>
      <c r="D5245" s="16" t="str">
        <f>IFERROR(VLOOKUP(C5245,DATA!#REF!,2,FALSE),"")</f>
        <v/>
      </c>
    </row>
    <row r="5246" spans="3:4" s="230" customFormat="1">
      <c r="C5246" s="16" t="str">
        <f>IFERROR(VLOOKUP(DATA!#REF!,DATA!#REF!,1,FALSE),"")</f>
        <v/>
      </c>
      <c r="D5246" s="16" t="str">
        <f>IFERROR(VLOOKUP(C5246,DATA!#REF!,2,FALSE),"")</f>
        <v/>
      </c>
    </row>
    <row r="5247" spans="3:4" s="230" customFormat="1">
      <c r="C5247" s="16" t="str">
        <f>IFERROR(VLOOKUP(DATA!#REF!,DATA!#REF!,1,FALSE),"")</f>
        <v/>
      </c>
      <c r="D5247" s="16" t="str">
        <f>IFERROR(VLOOKUP(C5247,DATA!#REF!,2,FALSE),"")</f>
        <v/>
      </c>
    </row>
    <row r="5248" spans="3:4" s="230" customFormat="1">
      <c r="C5248" s="16" t="str">
        <f>IFERROR(VLOOKUP(DATA!#REF!,DATA!#REF!,1,FALSE),"")</f>
        <v/>
      </c>
      <c r="D5248" s="16" t="str">
        <f>IFERROR(VLOOKUP(C5248,DATA!#REF!,2,FALSE),"")</f>
        <v/>
      </c>
    </row>
    <row r="5249" spans="3:4" s="230" customFormat="1">
      <c r="C5249" s="16" t="str">
        <f>IFERROR(VLOOKUP(DATA!#REF!,DATA!#REF!,1,FALSE),"")</f>
        <v/>
      </c>
      <c r="D5249" s="16" t="str">
        <f>IFERROR(VLOOKUP(C5249,DATA!#REF!,2,FALSE),"")</f>
        <v/>
      </c>
    </row>
    <row r="5250" spans="3:4" s="230" customFormat="1">
      <c r="C5250" s="16" t="str">
        <f>IFERROR(VLOOKUP(DATA!#REF!,DATA!#REF!,1,FALSE),"")</f>
        <v/>
      </c>
      <c r="D5250" s="16" t="str">
        <f>IFERROR(VLOOKUP(C5250,DATA!#REF!,2,FALSE),"")</f>
        <v/>
      </c>
    </row>
    <row r="5251" spans="3:4" s="230" customFormat="1">
      <c r="C5251" s="16" t="str">
        <f>IFERROR(VLOOKUP(DATA!#REF!,DATA!#REF!,1,FALSE),"")</f>
        <v/>
      </c>
      <c r="D5251" s="16" t="str">
        <f>IFERROR(VLOOKUP(C5251,DATA!#REF!,2,FALSE),"")</f>
        <v/>
      </c>
    </row>
    <row r="5252" spans="3:4" s="230" customFormat="1">
      <c r="C5252" s="16" t="str">
        <f>IFERROR(VLOOKUP(DATA!#REF!,DATA!#REF!,1,FALSE),"")</f>
        <v/>
      </c>
      <c r="D5252" s="16" t="str">
        <f>IFERROR(VLOOKUP(C5252,DATA!#REF!,2,FALSE),"")</f>
        <v/>
      </c>
    </row>
    <row r="5253" spans="3:4" s="230" customFormat="1">
      <c r="C5253" s="16" t="str">
        <f>IFERROR(VLOOKUP(DATA!#REF!,DATA!#REF!,1,FALSE),"")</f>
        <v/>
      </c>
      <c r="D5253" s="16" t="str">
        <f>IFERROR(VLOOKUP(C5253,DATA!#REF!,2,FALSE),"")</f>
        <v/>
      </c>
    </row>
    <row r="5254" spans="3:4" s="230" customFormat="1">
      <c r="C5254" s="16" t="str">
        <f>IFERROR(VLOOKUP(DATA!#REF!,DATA!#REF!,1,FALSE),"")</f>
        <v/>
      </c>
      <c r="D5254" s="16" t="str">
        <f>IFERROR(VLOOKUP(C5254,DATA!#REF!,2,FALSE),"")</f>
        <v/>
      </c>
    </row>
    <row r="5255" spans="3:4" s="230" customFormat="1">
      <c r="C5255" s="16" t="str">
        <f>IFERROR(VLOOKUP(DATA!#REF!,DATA!#REF!,1,FALSE),"")</f>
        <v/>
      </c>
      <c r="D5255" s="16" t="str">
        <f>IFERROR(VLOOKUP(C5255,DATA!#REF!,2,FALSE),"")</f>
        <v/>
      </c>
    </row>
    <row r="5256" spans="3:4" s="230" customFormat="1">
      <c r="C5256" s="16" t="str">
        <f>IFERROR(VLOOKUP(DATA!#REF!,DATA!#REF!,1,FALSE),"")</f>
        <v/>
      </c>
      <c r="D5256" s="16" t="str">
        <f>IFERROR(VLOOKUP(C5256,DATA!#REF!,2,FALSE),"")</f>
        <v/>
      </c>
    </row>
    <row r="5257" spans="3:4" s="230" customFormat="1">
      <c r="C5257" s="16" t="str">
        <f>IFERROR(VLOOKUP(DATA!#REF!,DATA!#REF!,1,FALSE),"")</f>
        <v/>
      </c>
      <c r="D5257" s="16" t="str">
        <f>IFERROR(VLOOKUP(C5257,DATA!#REF!,2,FALSE),"")</f>
        <v/>
      </c>
    </row>
    <row r="5258" spans="3:4" s="230" customFormat="1">
      <c r="C5258" s="16" t="str">
        <f>IFERROR(VLOOKUP(DATA!#REF!,DATA!#REF!,1,FALSE),"")</f>
        <v/>
      </c>
      <c r="D5258" s="16" t="str">
        <f>IFERROR(VLOOKUP(C5258,DATA!#REF!,2,FALSE),"")</f>
        <v/>
      </c>
    </row>
    <row r="5259" spans="3:4" s="230" customFormat="1">
      <c r="C5259" s="16" t="str">
        <f>IFERROR(VLOOKUP(DATA!#REF!,DATA!#REF!,1,FALSE),"")</f>
        <v/>
      </c>
      <c r="D5259" s="16" t="str">
        <f>IFERROR(VLOOKUP(C5259,DATA!#REF!,2,FALSE),"")</f>
        <v/>
      </c>
    </row>
    <row r="5260" spans="3:4" s="230" customFormat="1">
      <c r="C5260" s="16" t="str">
        <f>IFERROR(VLOOKUP(DATA!#REF!,DATA!#REF!,1,FALSE),"")</f>
        <v/>
      </c>
      <c r="D5260" s="16" t="str">
        <f>IFERROR(VLOOKUP(C5260,DATA!#REF!,2,FALSE),"")</f>
        <v/>
      </c>
    </row>
    <row r="5261" spans="3:4" s="230" customFormat="1">
      <c r="C5261" s="16" t="str">
        <f>IFERROR(VLOOKUP(DATA!#REF!,DATA!#REF!,1,FALSE),"")</f>
        <v/>
      </c>
      <c r="D5261" s="16" t="str">
        <f>IFERROR(VLOOKUP(C5261,DATA!#REF!,2,FALSE),"")</f>
        <v/>
      </c>
    </row>
    <row r="5262" spans="3:4" s="230" customFormat="1">
      <c r="C5262" s="16" t="str">
        <f>IFERROR(VLOOKUP(DATA!#REF!,DATA!#REF!,1,FALSE),"")</f>
        <v/>
      </c>
      <c r="D5262" s="16" t="str">
        <f>IFERROR(VLOOKUP(C5262,DATA!#REF!,2,FALSE),"")</f>
        <v/>
      </c>
    </row>
    <row r="5263" spans="3:4" s="230" customFormat="1">
      <c r="C5263" s="16" t="str">
        <f>IFERROR(VLOOKUP(DATA!#REF!,DATA!#REF!,1,FALSE),"")</f>
        <v/>
      </c>
      <c r="D5263" s="16" t="str">
        <f>IFERROR(VLOOKUP(C5263,DATA!#REF!,2,FALSE),"")</f>
        <v/>
      </c>
    </row>
    <row r="5264" spans="3:4" s="230" customFormat="1">
      <c r="C5264" s="16" t="str">
        <f>IFERROR(VLOOKUP(DATA!#REF!,DATA!#REF!,1,FALSE),"")</f>
        <v/>
      </c>
      <c r="D5264" s="16" t="str">
        <f>IFERROR(VLOOKUP(C5264,DATA!#REF!,2,FALSE),"")</f>
        <v/>
      </c>
    </row>
    <row r="5265" spans="3:4" s="230" customFormat="1">
      <c r="C5265" s="16" t="str">
        <f>IFERROR(VLOOKUP(DATA!#REF!,DATA!#REF!,1,FALSE),"")</f>
        <v/>
      </c>
      <c r="D5265" s="16" t="str">
        <f>IFERROR(VLOOKUP(C5265,DATA!#REF!,2,FALSE),"")</f>
        <v/>
      </c>
    </row>
    <row r="5266" spans="3:4" s="230" customFormat="1">
      <c r="C5266" s="16" t="str">
        <f>IFERROR(VLOOKUP(DATA!#REF!,DATA!#REF!,1,FALSE),"")</f>
        <v/>
      </c>
      <c r="D5266" s="16" t="str">
        <f>IFERROR(VLOOKUP(C5266,DATA!#REF!,2,FALSE),"")</f>
        <v/>
      </c>
    </row>
    <row r="5267" spans="3:4" s="230" customFormat="1">
      <c r="C5267" s="16" t="str">
        <f>IFERROR(VLOOKUP(DATA!#REF!,DATA!#REF!,1,FALSE),"")</f>
        <v/>
      </c>
      <c r="D5267" s="16" t="str">
        <f>IFERROR(VLOOKUP(C5267,DATA!#REF!,2,FALSE),"")</f>
        <v/>
      </c>
    </row>
    <row r="5268" spans="3:4" s="230" customFormat="1">
      <c r="C5268" s="16" t="str">
        <f>IFERROR(VLOOKUP(DATA!#REF!,DATA!#REF!,1,FALSE),"")</f>
        <v/>
      </c>
      <c r="D5268" s="16" t="str">
        <f>IFERROR(VLOOKUP(C5268,DATA!#REF!,2,FALSE),"")</f>
        <v/>
      </c>
    </row>
    <row r="5269" spans="3:4" s="230" customFormat="1">
      <c r="C5269" s="16" t="str">
        <f>IFERROR(VLOOKUP(DATA!#REF!,DATA!#REF!,1,FALSE),"")</f>
        <v/>
      </c>
      <c r="D5269" s="16" t="str">
        <f>IFERROR(VLOOKUP(C5269,DATA!#REF!,2,FALSE),"")</f>
        <v/>
      </c>
    </row>
    <row r="5270" spans="3:4" s="230" customFormat="1">
      <c r="C5270" s="16" t="str">
        <f>IFERROR(VLOOKUP(DATA!#REF!,DATA!#REF!,1,FALSE),"")</f>
        <v/>
      </c>
      <c r="D5270" s="16" t="str">
        <f>IFERROR(VLOOKUP(C5270,DATA!#REF!,2,FALSE),"")</f>
        <v/>
      </c>
    </row>
    <row r="5271" spans="3:4" s="230" customFormat="1">
      <c r="C5271" s="16" t="str">
        <f>IFERROR(VLOOKUP(DATA!#REF!,DATA!#REF!,1,FALSE),"")</f>
        <v/>
      </c>
      <c r="D5271" s="16" t="str">
        <f>IFERROR(VLOOKUP(C5271,DATA!#REF!,2,FALSE),"")</f>
        <v/>
      </c>
    </row>
    <row r="5272" spans="3:4" s="230" customFormat="1">
      <c r="C5272" s="16" t="str">
        <f>IFERROR(VLOOKUP(DATA!#REF!,DATA!#REF!,1,FALSE),"")</f>
        <v/>
      </c>
      <c r="D5272" s="16" t="str">
        <f>IFERROR(VLOOKUP(C5272,DATA!#REF!,2,FALSE),"")</f>
        <v/>
      </c>
    </row>
    <row r="5273" spans="3:4" s="230" customFormat="1">
      <c r="C5273" s="16" t="str">
        <f>IFERROR(VLOOKUP(DATA!#REF!,DATA!#REF!,1,FALSE),"")</f>
        <v/>
      </c>
      <c r="D5273" s="16" t="str">
        <f>IFERROR(VLOOKUP(C5273,DATA!#REF!,2,FALSE),"")</f>
        <v/>
      </c>
    </row>
    <row r="5274" spans="3:4" s="230" customFormat="1">
      <c r="C5274" s="16" t="str">
        <f>IFERROR(VLOOKUP(DATA!#REF!,DATA!#REF!,1,FALSE),"")</f>
        <v/>
      </c>
      <c r="D5274" s="16" t="str">
        <f>IFERROR(VLOOKUP(C5274,DATA!#REF!,2,FALSE),"")</f>
        <v/>
      </c>
    </row>
    <row r="5275" spans="3:4" s="230" customFormat="1">
      <c r="C5275" s="16" t="str">
        <f>IFERROR(VLOOKUP(DATA!#REF!,DATA!#REF!,1,FALSE),"")</f>
        <v/>
      </c>
      <c r="D5275" s="16" t="str">
        <f>IFERROR(VLOOKUP(C5275,DATA!#REF!,2,FALSE),"")</f>
        <v/>
      </c>
    </row>
    <row r="5276" spans="3:4" s="230" customFormat="1">
      <c r="C5276" s="16" t="str">
        <f>IFERROR(VLOOKUP(DATA!#REF!,DATA!#REF!,1,FALSE),"")</f>
        <v/>
      </c>
      <c r="D5276" s="16" t="str">
        <f>IFERROR(VLOOKUP(C5276,DATA!#REF!,2,FALSE),"")</f>
        <v/>
      </c>
    </row>
    <row r="5277" spans="3:4" s="230" customFormat="1">
      <c r="C5277" s="16" t="str">
        <f>IFERROR(VLOOKUP(DATA!#REF!,DATA!#REF!,1,FALSE),"")</f>
        <v/>
      </c>
      <c r="D5277" s="16" t="str">
        <f>IFERROR(VLOOKUP(C5277,DATA!#REF!,2,FALSE),"")</f>
        <v/>
      </c>
    </row>
    <row r="5278" spans="3:4" s="230" customFormat="1">
      <c r="C5278" s="16" t="str">
        <f>IFERROR(VLOOKUP(DATA!#REF!,DATA!#REF!,1,FALSE),"")</f>
        <v/>
      </c>
      <c r="D5278" s="16" t="str">
        <f>IFERROR(VLOOKUP(C5278,DATA!#REF!,2,FALSE),"")</f>
        <v/>
      </c>
    </row>
    <row r="5279" spans="3:4" s="230" customFormat="1">
      <c r="C5279" s="16" t="str">
        <f>IFERROR(VLOOKUP(DATA!#REF!,DATA!#REF!,1,FALSE),"")</f>
        <v/>
      </c>
      <c r="D5279" s="16" t="str">
        <f>IFERROR(VLOOKUP(C5279,DATA!#REF!,2,FALSE),"")</f>
        <v/>
      </c>
    </row>
    <row r="5280" spans="3:4" s="230" customFormat="1">
      <c r="C5280" s="16" t="str">
        <f>IFERROR(VLOOKUP(DATA!#REF!,DATA!#REF!,1,FALSE),"")</f>
        <v/>
      </c>
      <c r="D5280" s="16" t="str">
        <f>IFERROR(VLOOKUP(C5280,DATA!#REF!,2,FALSE),"")</f>
        <v/>
      </c>
    </row>
    <row r="5281" spans="3:4" s="230" customFormat="1">
      <c r="C5281" s="16" t="str">
        <f>IFERROR(VLOOKUP(DATA!#REF!,DATA!#REF!,1,FALSE),"")</f>
        <v/>
      </c>
      <c r="D5281" s="16" t="str">
        <f>IFERROR(VLOOKUP(C5281,DATA!#REF!,2,FALSE),"")</f>
        <v/>
      </c>
    </row>
    <row r="5282" spans="3:4" s="230" customFormat="1">
      <c r="C5282" s="16" t="str">
        <f>IFERROR(VLOOKUP(DATA!#REF!,DATA!#REF!,1,FALSE),"")</f>
        <v/>
      </c>
      <c r="D5282" s="16" t="str">
        <f>IFERROR(VLOOKUP(C5282,DATA!#REF!,2,FALSE),"")</f>
        <v/>
      </c>
    </row>
    <row r="5283" spans="3:4" s="230" customFormat="1">
      <c r="C5283" s="16" t="str">
        <f>IFERROR(VLOOKUP(DATA!#REF!,DATA!#REF!,1,FALSE),"")</f>
        <v/>
      </c>
      <c r="D5283" s="16" t="str">
        <f>IFERROR(VLOOKUP(C5283,DATA!#REF!,2,FALSE),"")</f>
        <v/>
      </c>
    </row>
    <row r="5284" spans="3:4" s="230" customFormat="1">
      <c r="C5284" s="16" t="str">
        <f>IFERROR(VLOOKUP(DATA!#REF!,DATA!#REF!,1,FALSE),"")</f>
        <v/>
      </c>
      <c r="D5284" s="16" t="str">
        <f>IFERROR(VLOOKUP(C5284,DATA!#REF!,2,FALSE),"")</f>
        <v/>
      </c>
    </row>
    <row r="5285" spans="3:4" s="230" customFormat="1">
      <c r="C5285" s="16" t="str">
        <f>IFERROR(VLOOKUP(DATA!#REF!,DATA!#REF!,1,FALSE),"")</f>
        <v/>
      </c>
      <c r="D5285" s="16" t="str">
        <f>IFERROR(VLOOKUP(C5285,DATA!#REF!,2,FALSE),"")</f>
        <v/>
      </c>
    </row>
    <row r="5286" spans="3:4" s="230" customFormat="1">
      <c r="C5286" s="16" t="str">
        <f>IFERROR(VLOOKUP(DATA!#REF!,DATA!#REF!,1,FALSE),"")</f>
        <v/>
      </c>
      <c r="D5286" s="16" t="str">
        <f>IFERROR(VLOOKUP(C5286,DATA!#REF!,2,FALSE),"")</f>
        <v/>
      </c>
    </row>
    <row r="5287" spans="3:4" s="230" customFormat="1">
      <c r="C5287" s="16" t="str">
        <f>IFERROR(VLOOKUP(DATA!#REF!,DATA!#REF!,1,FALSE),"")</f>
        <v/>
      </c>
      <c r="D5287" s="16" t="str">
        <f>IFERROR(VLOOKUP(C5287,DATA!#REF!,2,FALSE),"")</f>
        <v/>
      </c>
    </row>
    <row r="5288" spans="3:4" s="230" customFormat="1">
      <c r="C5288" s="16" t="str">
        <f>IFERROR(VLOOKUP(DATA!#REF!,DATA!#REF!,1,FALSE),"")</f>
        <v/>
      </c>
      <c r="D5288" s="16" t="str">
        <f>IFERROR(VLOOKUP(C5288,DATA!#REF!,2,FALSE),"")</f>
        <v/>
      </c>
    </row>
    <row r="5289" spans="3:4" s="230" customFormat="1">
      <c r="C5289" s="16" t="str">
        <f>IFERROR(VLOOKUP(DATA!#REF!,DATA!#REF!,1,FALSE),"")</f>
        <v/>
      </c>
      <c r="D5289" s="16" t="str">
        <f>IFERROR(VLOOKUP(C5289,DATA!#REF!,2,FALSE),"")</f>
        <v/>
      </c>
    </row>
    <row r="5290" spans="3:4" s="230" customFormat="1">
      <c r="C5290" s="16" t="str">
        <f>IFERROR(VLOOKUP(DATA!#REF!,DATA!#REF!,1,FALSE),"")</f>
        <v/>
      </c>
      <c r="D5290" s="16" t="str">
        <f>IFERROR(VLOOKUP(C5290,DATA!#REF!,2,FALSE),"")</f>
        <v/>
      </c>
    </row>
    <row r="5291" spans="3:4" s="230" customFormat="1">
      <c r="C5291" s="16" t="str">
        <f>IFERROR(VLOOKUP(DATA!#REF!,DATA!#REF!,1,FALSE),"")</f>
        <v/>
      </c>
      <c r="D5291" s="16" t="str">
        <f>IFERROR(VLOOKUP(C5291,DATA!#REF!,2,FALSE),"")</f>
        <v/>
      </c>
    </row>
    <row r="5292" spans="3:4" s="230" customFormat="1">
      <c r="C5292" s="16" t="str">
        <f>IFERROR(VLOOKUP(DATA!#REF!,DATA!#REF!,1,FALSE),"")</f>
        <v/>
      </c>
      <c r="D5292" s="16" t="str">
        <f>IFERROR(VLOOKUP(C5292,DATA!#REF!,2,FALSE),"")</f>
        <v/>
      </c>
    </row>
    <row r="5293" spans="3:4" s="230" customFormat="1">
      <c r="C5293" s="16" t="str">
        <f>IFERROR(VLOOKUP(DATA!#REF!,DATA!#REF!,1,FALSE),"")</f>
        <v/>
      </c>
      <c r="D5293" s="16" t="str">
        <f>IFERROR(VLOOKUP(C5293,DATA!#REF!,2,FALSE),"")</f>
        <v/>
      </c>
    </row>
    <row r="5294" spans="3:4" s="230" customFormat="1">
      <c r="C5294" s="16" t="str">
        <f>IFERROR(VLOOKUP(DATA!#REF!,DATA!#REF!,1,FALSE),"")</f>
        <v/>
      </c>
      <c r="D5294" s="16" t="str">
        <f>IFERROR(VLOOKUP(C5294,DATA!#REF!,2,FALSE),"")</f>
        <v/>
      </c>
    </row>
    <row r="5295" spans="3:4" s="230" customFormat="1">
      <c r="C5295" s="16" t="str">
        <f>IFERROR(VLOOKUP(DATA!#REF!,DATA!#REF!,1,FALSE),"")</f>
        <v/>
      </c>
      <c r="D5295" s="16" t="str">
        <f>IFERROR(VLOOKUP(C5295,DATA!#REF!,2,FALSE),"")</f>
        <v/>
      </c>
    </row>
    <row r="5296" spans="3:4" s="230" customFormat="1">
      <c r="C5296" s="16" t="str">
        <f>IFERROR(VLOOKUP(DATA!#REF!,DATA!#REF!,1,FALSE),"")</f>
        <v/>
      </c>
      <c r="D5296" s="16" t="str">
        <f>IFERROR(VLOOKUP(C5296,DATA!#REF!,2,FALSE),"")</f>
        <v/>
      </c>
    </row>
    <row r="5297" spans="3:4" s="230" customFormat="1">
      <c r="C5297" s="16" t="str">
        <f>IFERROR(VLOOKUP(DATA!#REF!,DATA!#REF!,1,FALSE),"")</f>
        <v/>
      </c>
      <c r="D5297" s="16" t="str">
        <f>IFERROR(VLOOKUP(C5297,DATA!#REF!,2,FALSE),"")</f>
        <v/>
      </c>
    </row>
    <row r="5298" spans="3:4" s="230" customFormat="1">
      <c r="C5298" s="16" t="str">
        <f>IFERROR(VLOOKUP(DATA!#REF!,DATA!#REF!,1,FALSE),"")</f>
        <v/>
      </c>
      <c r="D5298" s="16" t="str">
        <f>IFERROR(VLOOKUP(C5298,DATA!#REF!,2,FALSE),"")</f>
        <v/>
      </c>
    </row>
    <row r="5299" spans="3:4" s="230" customFormat="1">
      <c r="C5299" s="16" t="str">
        <f>IFERROR(VLOOKUP(DATA!#REF!,DATA!#REF!,1,FALSE),"")</f>
        <v/>
      </c>
      <c r="D5299" s="16" t="str">
        <f>IFERROR(VLOOKUP(C5299,DATA!#REF!,2,FALSE),"")</f>
        <v/>
      </c>
    </row>
    <row r="5300" spans="3:4" s="230" customFormat="1">
      <c r="C5300" s="16" t="str">
        <f>IFERROR(VLOOKUP(DATA!#REF!,DATA!#REF!,1,FALSE),"")</f>
        <v/>
      </c>
      <c r="D5300" s="16" t="str">
        <f>IFERROR(VLOOKUP(C5300,DATA!#REF!,2,FALSE),"")</f>
        <v/>
      </c>
    </row>
    <row r="5301" spans="3:4" s="230" customFormat="1">
      <c r="C5301" s="16" t="str">
        <f>IFERROR(VLOOKUP(DATA!#REF!,DATA!#REF!,1,FALSE),"")</f>
        <v/>
      </c>
      <c r="D5301" s="16" t="str">
        <f>IFERROR(VLOOKUP(C5301,DATA!#REF!,2,FALSE),"")</f>
        <v/>
      </c>
    </row>
    <row r="5302" spans="3:4" s="230" customFormat="1">
      <c r="C5302" s="16" t="str">
        <f>IFERROR(VLOOKUP(DATA!#REF!,DATA!#REF!,1,FALSE),"")</f>
        <v/>
      </c>
      <c r="D5302" s="16" t="str">
        <f>IFERROR(VLOOKUP(C5302,DATA!#REF!,2,FALSE),"")</f>
        <v/>
      </c>
    </row>
    <row r="5303" spans="3:4" s="230" customFormat="1">
      <c r="C5303" s="16" t="str">
        <f>IFERROR(VLOOKUP(DATA!#REF!,DATA!#REF!,1,FALSE),"")</f>
        <v/>
      </c>
      <c r="D5303" s="16" t="str">
        <f>IFERROR(VLOOKUP(C5303,DATA!#REF!,2,FALSE),"")</f>
        <v/>
      </c>
    </row>
    <row r="5304" spans="3:4" s="230" customFormat="1">
      <c r="C5304" s="16" t="str">
        <f>IFERROR(VLOOKUP(DATA!#REF!,DATA!#REF!,1,FALSE),"")</f>
        <v/>
      </c>
      <c r="D5304" s="16" t="str">
        <f>IFERROR(VLOOKUP(C5304,DATA!#REF!,2,FALSE),"")</f>
        <v/>
      </c>
    </row>
    <row r="5305" spans="3:4" s="230" customFormat="1">
      <c r="C5305" s="16" t="str">
        <f>IFERROR(VLOOKUP(DATA!#REF!,DATA!#REF!,1,FALSE),"")</f>
        <v/>
      </c>
      <c r="D5305" s="16" t="str">
        <f>IFERROR(VLOOKUP(C5305,DATA!#REF!,2,FALSE),"")</f>
        <v/>
      </c>
    </row>
    <row r="5306" spans="3:4" s="230" customFormat="1">
      <c r="C5306" s="16" t="str">
        <f>IFERROR(VLOOKUP(DATA!#REF!,DATA!#REF!,1,FALSE),"")</f>
        <v/>
      </c>
      <c r="D5306" s="16" t="str">
        <f>IFERROR(VLOOKUP(C5306,DATA!#REF!,2,FALSE),"")</f>
        <v/>
      </c>
    </row>
    <row r="5307" spans="3:4" s="230" customFormat="1">
      <c r="C5307" s="16" t="str">
        <f>IFERROR(VLOOKUP(DATA!#REF!,DATA!#REF!,1,FALSE),"")</f>
        <v/>
      </c>
      <c r="D5307" s="16" t="str">
        <f>IFERROR(VLOOKUP(C5307,DATA!#REF!,2,FALSE),"")</f>
        <v/>
      </c>
    </row>
    <row r="5308" spans="3:4" s="230" customFormat="1">
      <c r="C5308" s="16" t="str">
        <f>IFERROR(VLOOKUP(DATA!#REF!,DATA!#REF!,1,FALSE),"")</f>
        <v/>
      </c>
      <c r="D5308" s="16" t="str">
        <f>IFERROR(VLOOKUP(C5308,DATA!#REF!,2,FALSE),"")</f>
        <v/>
      </c>
    </row>
    <row r="5309" spans="3:4" s="230" customFormat="1">
      <c r="C5309" s="16" t="str">
        <f>IFERROR(VLOOKUP(DATA!#REF!,DATA!#REF!,1,FALSE),"")</f>
        <v/>
      </c>
      <c r="D5309" s="16" t="str">
        <f>IFERROR(VLOOKUP(C5309,DATA!#REF!,2,FALSE),"")</f>
        <v/>
      </c>
    </row>
    <row r="5310" spans="3:4" s="230" customFormat="1">
      <c r="C5310" s="16" t="str">
        <f>IFERROR(VLOOKUP(DATA!#REF!,DATA!#REF!,1,FALSE),"")</f>
        <v/>
      </c>
      <c r="D5310" s="16" t="str">
        <f>IFERROR(VLOOKUP(C5310,DATA!#REF!,2,FALSE),"")</f>
        <v/>
      </c>
    </row>
    <row r="5311" spans="3:4" s="230" customFormat="1">
      <c r="C5311" s="16" t="str">
        <f>IFERROR(VLOOKUP(DATA!#REF!,DATA!#REF!,1,FALSE),"")</f>
        <v/>
      </c>
      <c r="D5311" s="16" t="str">
        <f>IFERROR(VLOOKUP(C5311,DATA!#REF!,2,FALSE),"")</f>
        <v/>
      </c>
    </row>
    <row r="5312" spans="3:4" s="230" customFormat="1">
      <c r="C5312" s="16" t="str">
        <f>IFERROR(VLOOKUP(DATA!#REF!,DATA!#REF!,1,FALSE),"")</f>
        <v/>
      </c>
      <c r="D5312" s="16" t="str">
        <f>IFERROR(VLOOKUP(C5312,DATA!#REF!,2,FALSE),"")</f>
        <v/>
      </c>
    </row>
    <row r="5313" spans="3:4" s="230" customFormat="1">
      <c r="C5313" s="16" t="str">
        <f>IFERROR(VLOOKUP(DATA!#REF!,DATA!#REF!,1,FALSE),"")</f>
        <v/>
      </c>
      <c r="D5313" s="16" t="str">
        <f>IFERROR(VLOOKUP(C5313,DATA!#REF!,2,FALSE),"")</f>
        <v/>
      </c>
    </row>
    <row r="5314" spans="3:4" s="230" customFormat="1">
      <c r="C5314" s="16" t="str">
        <f>IFERROR(VLOOKUP(DATA!#REF!,DATA!#REF!,1,FALSE),"")</f>
        <v/>
      </c>
      <c r="D5314" s="16" t="str">
        <f>IFERROR(VLOOKUP(C5314,DATA!#REF!,2,FALSE),"")</f>
        <v/>
      </c>
    </row>
    <row r="5315" spans="3:4" s="230" customFormat="1">
      <c r="C5315" s="16" t="str">
        <f>IFERROR(VLOOKUP(DATA!#REF!,DATA!#REF!,1,FALSE),"")</f>
        <v/>
      </c>
      <c r="D5315" s="16" t="str">
        <f>IFERROR(VLOOKUP(C5315,DATA!#REF!,2,FALSE),"")</f>
        <v/>
      </c>
    </row>
    <row r="5316" spans="3:4" s="230" customFormat="1">
      <c r="C5316" s="16" t="str">
        <f>IFERROR(VLOOKUP(DATA!#REF!,DATA!#REF!,1,FALSE),"")</f>
        <v/>
      </c>
      <c r="D5316" s="16" t="str">
        <f>IFERROR(VLOOKUP(C5316,DATA!#REF!,2,FALSE),"")</f>
        <v/>
      </c>
    </row>
    <row r="5317" spans="3:4" s="230" customFormat="1">
      <c r="C5317" s="16" t="str">
        <f>IFERROR(VLOOKUP(DATA!#REF!,DATA!#REF!,1,FALSE),"")</f>
        <v/>
      </c>
      <c r="D5317" s="16" t="str">
        <f>IFERROR(VLOOKUP(C5317,DATA!#REF!,2,FALSE),"")</f>
        <v/>
      </c>
    </row>
    <row r="5318" spans="3:4" s="230" customFormat="1">
      <c r="C5318" s="16" t="str">
        <f>IFERROR(VLOOKUP(DATA!#REF!,DATA!#REF!,1,FALSE),"")</f>
        <v/>
      </c>
      <c r="D5318" s="16" t="str">
        <f>IFERROR(VLOOKUP(C5318,DATA!#REF!,2,FALSE),"")</f>
        <v/>
      </c>
    </row>
    <row r="5319" spans="3:4" s="230" customFormat="1">
      <c r="C5319" s="16" t="str">
        <f>IFERROR(VLOOKUP(DATA!#REF!,DATA!#REF!,1,FALSE),"")</f>
        <v/>
      </c>
      <c r="D5319" s="16" t="str">
        <f>IFERROR(VLOOKUP(C5319,DATA!#REF!,2,FALSE),"")</f>
        <v/>
      </c>
    </row>
    <row r="5320" spans="3:4" s="230" customFormat="1">
      <c r="C5320" s="16" t="str">
        <f>IFERROR(VLOOKUP(DATA!#REF!,DATA!#REF!,1,FALSE),"")</f>
        <v/>
      </c>
      <c r="D5320" s="16" t="str">
        <f>IFERROR(VLOOKUP(C5320,DATA!#REF!,2,FALSE),"")</f>
        <v/>
      </c>
    </row>
    <row r="5321" spans="3:4" s="230" customFormat="1">
      <c r="C5321" s="16" t="str">
        <f>IFERROR(VLOOKUP(DATA!#REF!,DATA!#REF!,1,FALSE),"")</f>
        <v/>
      </c>
      <c r="D5321" s="16" t="str">
        <f>IFERROR(VLOOKUP(C5321,DATA!#REF!,2,FALSE),"")</f>
        <v/>
      </c>
    </row>
    <row r="5322" spans="3:4" s="230" customFormat="1">
      <c r="C5322" s="16" t="str">
        <f>IFERROR(VLOOKUP(DATA!#REF!,DATA!#REF!,1,FALSE),"")</f>
        <v/>
      </c>
      <c r="D5322" s="16" t="str">
        <f>IFERROR(VLOOKUP(C5322,DATA!#REF!,2,FALSE),"")</f>
        <v/>
      </c>
    </row>
    <row r="5323" spans="3:4" s="230" customFormat="1">
      <c r="C5323" s="16" t="str">
        <f>IFERROR(VLOOKUP(DATA!#REF!,DATA!#REF!,1,FALSE),"")</f>
        <v/>
      </c>
      <c r="D5323" s="16" t="str">
        <f>IFERROR(VLOOKUP(C5323,DATA!#REF!,2,FALSE),"")</f>
        <v/>
      </c>
    </row>
    <row r="5324" spans="3:4" s="230" customFormat="1">
      <c r="C5324" s="16" t="str">
        <f>IFERROR(VLOOKUP(DATA!#REF!,DATA!#REF!,1,FALSE),"")</f>
        <v/>
      </c>
      <c r="D5324" s="16" t="str">
        <f>IFERROR(VLOOKUP(C5324,DATA!#REF!,2,FALSE),"")</f>
        <v/>
      </c>
    </row>
    <row r="5325" spans="3:4" s="230" customFormat="1">
      <c r="C5325" s="16" t="str">
        <f>IFERROR(VLOOKUP(DATA!#REF!,DATA!#REF!,1,FALSE),"")</f>
        <v/>
      </c>
      <c r="D5325" s="16" t="str">
        <f>IFERROR(VLOOKUP(C5325,DATA!#REF!,2,FALSE),"")</f>
        <v/>
      </c>
    </row>
    <row r="5326" spans="3:4" s="230" customFormat="1">
      <c r="C5326" s="16" t="str">
        <f>IFERROR(VLOOKUP(DATA!#REF!,DATA!#REF!,1,FALSE),"")</f>
        <v/>
      </c>
      <c r="D5326" s="16" t="str">
        <f>IFERROR(VLOOKUP(C5326,DATA!#REF!,2,FALSE),"")</f>
        <v/>
      </c>
    </row>
    <row r="5327" spans="3:4" s="230" customFormat="1">
      <c r="C5327" s="16" t="str">
        <f>IFERROR(VLOOKUP(DATA!#REF!,DATA!#REF!,1,FALSE),"")</f>
        <v/>
      </c>
      <c r="D5327" s="16" t="str">
        <f>IFERROR(VLOOKUP(C5327,DATA!#REF!,2,FALSE),"")</f>
        <v/>
      </c>
    </row>
    <row r="5328" spans="3:4" s="230" customFormat="1">
      <c r="C5328" s="16" t="str">
        <f>IFERROR(VLOOKUP(DATA!#REF!,DATA!#REF!,1,FALSE),"")</f>
        <v/>
      </c>
      <c r="D5328" s="16" t="str">
        <f>IFERROR(VLOOKUP(C5328,DATA!#REF!,2,FALSE),"")</f>
        <v/>
      </c>
    </row>
    <row r="5329" spans="3:4" s="230" customFormat="1">
      <c r="C5329" s="16" t="str">
        <f>IFERROR(VLOOKUP(DATA!#REF!,DATA!#REF!,1,FALSE),"")</f>
        <v/>
      </c>
      <c r="D5329" s="16" t="str">
        <f>IFERROR(VLOOKUP(C5329,DATA!#REF!,2,FALSE),"")</f>
        <v/>
      </c>
    </row>
    <row r="5330" spans="3:4" s="230" customFormat="1">
      <c r="C5330" s="16" t="str">
        <f>IFERROR(VLOOKUP(DATA!#REF!,DATA!#REF!,1,FALSE),"")</f>
        <v/>
      </c>
      <c r="D5330" s="16" t="str">
        <f>IFERROR(VLOOKUP(C5330,DATA!#REF!,2,FALSE),"")</f>
        <v/>
      </c>
    </row>
    <row r="5331" spans="3:4" s="230" customFormat="1">
      <c r="C5331" s="16" t="str">
        <f>IFERROR(VLOOKUP(DATA!#REF!,DATA!#REF!,1,FALSE),"")</f>
        <v/>
      </c>
      <c r="D5331" s="16" t="str">
        <f>IFERROR(VLOOKUP(C5331,DATA!#REF!,2,FALSE),"")</f>
        <v/>
      </c>
    </row>
    <row r="5332" spans="3:4" s="230" customFormat="1">
      <c r="C5332" s="16" t="str">
        <f>IFERROR(VLOOKUP(DATA!#REF!,DATA!#REF!,1,FALSE),"")</f>
        <v/>
      </c>
      <c r="D5332" s="16" t="str">
        <f>IFERROR(VLOOKUP(C5332,DATA!#REF!,2,FALSE),"")</f>
        <v/>
      </c>
    </row>
    <row r="5333" spans="3:4" s="230" customFormat="1">
      <c r="C5333" s="16" t="str">
        <f>IFERROR(VLOOKUP(DATA!#REF!,DATA!#REF!,1,FALSE),"")</f>
        <v/>
      </c>
      <c r="D5333" s="16" t="str">
        <f>IFERROR(VLOOKUP(C5333,DATA!#REF!,2,FALSE),"")</f>
        <v/>
      </c>
    </row>
    <row r="5334" spans="3:4" s="230" customFormat="1">
      <c r="C5334" s="16" t="str">
        <f>IFERROR(VLOOKUP(DATA!#REF!,DATA!#REF!,1,FALSE),"")</f>
        <v/>
      </c>
      <c r="D5334" s="16" t="str">
        <f>IFERROR(VLOOKUP(C5334,DATA!#REF!,2,FALSE),"")</f>
        <v/>
      </c>
    </row>
    <row r="5335" spans="3:4" s="230" customFormat="1">
      <c r="C5335" s="16" t="str">
        <f>IFERROR(VLOOKUP(DATA!#REF!,DATA!#REF!,1,FALSE),"")</f>
        <v/>
      </c>
      <c r="D5335" s="16" t="str">
        <f>IFERROR(VLOOKUP(C5335,DATA!#REF!,2,FALSE),"")</f>
        <v/>
      </c>
    </row>
    <row r="5336" spans="3:4" s="230" customFormat="1">
      <c r="C5336" s="16" t="str">
        <f>IFERROR(VLOOKUP(DATA!#REF!,DATA!#REF!,1,FALSE),"")</f>
        <v/>
      </c>
      <c r="D5336" s="16" t="str">
        <f>IFERROR(VLOOKUP(C5336,DATA!#REF!,2,FALSE),"")</f>
        <v/>
      </c>
    </row>
    <row r="5337" spans="3:4" s="230" customFormat="1">
      <c r="C5337" s="16" t="str">
        <f>IFERROR(VLOOKUP(DATA!#REF!,DATA!#REF!,1,FALSE),"")</f>
        <v/>
      </c>
      <c r="D5337" s="16" t="str">
        <f>IFERROR(VLOOKUP(C5337,DATA!#REF!,2,FALSE),"")</f>
        <v/>
      </c>
    </row>
    <row r="5338" spans="3:4" s="230" customFormat="1">
      <c r="C5338" s="16" t="str">
        <f>IFERROR(VLOOKUP(DATA!#REF!,DATA!#REF!,1,FALSE),"")</f>
        <v/>
      </c>
      <c r="D5338" s="16" t="str">
        <f>IFERROR(VLOOKUP(C5338,DATA!#REF!,2,FALSE),"")</f>
        <v/>
      </c>
    </row>
    <row r="5339" spans="3:4" s="230" customFormat="1">
      <c r="C5339" s="16" t="str">
        <f>IFERROR(VLOOKUP(DATA!#REF!,DATA!#REF!,1,FALSE),"")</f>
        <v/>
      </c>
      <c r="D5339" s="16" t="str">
        <f>IFERROR(VLOOKUP(C5339,DATA!#REF!,2,FALSE),"")</f>
        <v/>
      </c>
    </row>
    <row r="5340" spans="3:4" s="230" customFormat="1">
      <c r="C5340" s="16" t="str">
        <f>IFERROR(VLOOKUP(DATA!#REF!,DATA!#REF!,1,FALSE),"")</f>
        <v/>
      </c>
      <c r="D5340" s="16" t="str">
        <f>IFERROR(VLOOKUP(C5340,DATA!#REF!,2,FALSE),"")</f>
        <v/>
      </c>
    </row>
    <row r="5341" spans="3:4" s="230" customFormat="1">
      <c r="C5341" s="16" t="str">
        <f>IFERROR(VLOOKUP(DATA!#REF!,DATA!#REF!,1,FALSE),"")</f>
        <v/>
      </c>
      <c r="D5341" s="16" t="str">
        <f>IFERROR(VLOOKUP(C5341,DATA!#REF!,2,FALSE),"")</f>
        <v/>
      </c>
    </row>
    <row r="5342" spans="3:4" s="230" customFormat="1">
      <c r="C5342" s="16" t="str">
        <f>IFERROR(VLOOKUP(DATA!#REF!,DATA!#REF!,1,FALSE),"")</f>
        <v/>
      </c>
      <c r="D5342" s="16" t="str">
        <f>IFERROR(VLOOKUP(C5342,DATA!#REF!,2,FALSE),"")</f>
        <v/>
      </c>
    </row>
    <row r="5343" spans="3:4" s="230" customFormat="1">
      <c r="C5343" s="16" t="str">
        <f>IFERROR(VLOOKUP(DATA!#REF!,DATA!#REF!,1,FALSE),"")</f>
        <v/>
      </c>
      <c r="D5343" s="16" t="str">
        <f>IFERROR(VLOOKUP(C5343,DATA!#REF!,2,FALSE),"")</f>
        <v/>
      </c>
    </row>
    <row r="5344" spans="3:4" s="230" customFormat="1">
      <c r="C5344" s="16" t="str">
        <f>IFERROR(VLOOKUP(DATA!#REF!,DATA!#REF!,1,FALSE),"")</f>
        <v/>
      </c>
      <c r="D5344" s="16" t="str">
        <f>IFERROR(VLOOKUP(C5344,DATA!#REF!,2,FALSE),"")</f>
        <v/>
      </c>
    </row>
    <row r="5345" spans="3:4" s="230" customFormat="1">
      <c r="C5345" s="16" t="str">
        <f>IFERROR(VLOOKUP(DATA!#REF!,DATA!#REF!,1,FALSE),"")</f>
        <v/>
      </c>
      <c r="D5345" s="16" t="str">
        <f>IFERROR(VLOOKUP(C5345,DATA!#REF!,2,FALSE),"")</f>
        <v/>
      </c>
    </row>
    <row r="5346" spans="3:4" s="230" customFormat="1">
      <c r="C5346" s="16" t="str">
        <f>IFERROR(VLOOKUP(DATA!#REF!,DATA!#REF!,1,FALSE),"")</f>
        <v/>
      </c>
      <c r="D5346" s="16" t="str">
        <f>IFERROR(VLOOKUP(C5346,DATA!#REF!,2,FALSE),"")</f>
        <v/>
      </c>
    </row>
    <row r="5347" spans="3:4" s="230" customFormat="1">
      <c r="C5347" s="16" t="str">
        <f>IFERROR(VLOOKUP(DATA!#REF!,DATA!#REF!,1,FALSE),"")</f>
        <v/>
      </c>
      <c r="D5347" s="16" t="str">
        <f>IFERROR(VLOOKUP(C5347,DATA!#REF!,2,FALSE),"")</f>
        <v/>
      </c>
    </row>
    <row r="5348" spans="3:4" s="230" customFormat="1">
      <c r="C5348" s="16" t="str">
        <f>IFERROR(VLOOKUP(DATA!#REF!,DATA!#REF!,1,FALSE),"")</f>
        <v/>
      </c>
      <c r="D5348" s="16" t="str">
        <f>IFERROR(VLOOKUP(C5348,DATA!#REF!,2,FALSE),"")</f>
        <v/>
      </c>
    </row>
    <row r="5349" spans="3:4" s="230" customFormat="1">
      <c r="C5349" s="16" t="str">
        <f>IFERROR(VLOOKUP(DATA!#REF!,DATA!#REF!,1,FALSE),"")</f>
        <v/>
      </c>
      <c r="D5349" s="16" t="str">
        <f>IFERROR(VLOOKUP(C5349,DATA!#REF!,2,FALSE),"")</f>
        <v/>
      </c>
    </row>
    <row r="5350" spans="3:4" s="230" customFormat="1">
      <c r="C5350" s="16" t="str">
        <f>IFERROR(VLOOKUP(DATA!#REF!,DATA!#REF!,1,FALSE),"")</f>
        <v/>
      </c>
      <c r="D5350" s="16" t="str">
        <f>IFERROR(VLOOKUP(C5350,DATA!#REF!,2,FALSE),"")</f>
        <v/>
      </c>
    </row>
    <row r="5351" spans="3:4" s="230" customFormat="1">
      <c r="C5351" s="16" t="str">
        <f>IFERROR(VLOOKUP(DATA!#REF!,DATA!#REF!,1,FALSE),"")</f>
        <v/>
      </c>
      <c r="D5351" s="16" t="str">
        <f>IFERROR(VLOOKUP(C5351,DATA!#REF!,2,FALSE),"")</f>
        <v/>
      </c>
    </row>
    <row r="5352" spans="3:4" s="230" customFormat="1">
      <c r="C5352" s="16" t="str">
        <f>IFERROR(VLOOKUP(DATA!#REF!,DATA!#REF!,1,FALSE),"")</f>
        <v/>
      </c>
      <c r="D5352" s="16" t="str">
        <f>IFERROR(VLOOKUP(C5352,DATA!#REF!,2,FALSE),"")</f>
        <v/>
      </c>
    </row>
    <row r="5353" spans="3:4" s="230" customFormat="1">
      <c r="C5353" s="16" t="str">
        <f>IFERROR(VLOOKUP(DATA!#REF!,DATA!#REF!,1,FALSE),"")</f>
        <v/>
      </c>
      <c r="D5353" s="16" t="str">
        <f>IFERROR(VLOOKUP(C5353,DATA!#REF!,2,FALSE),"")</f>
        <v/>
      </c>
    </row>
    <row r="5354" spans="3:4" s="230" customFormat="1">
      <c r="C5354" s="16" t="str">
        <f>IFERROR(VLOOKUP(DATA!#REF!,DATA!#REF!,1,FALSE),"")</f>
        <v/>
      </c>
      <c r="D5354" s="16" t="str">
        <f>IFERROR(VLOOKUP(C5354,DATA!#REF!,2,FALSE),"")</f>
        <v/>
      </c>
    </row>
    <row r="5355" spans="3:4" s="230" customFormat="1">
      <c r="C5355" s="16" t="str">
        <f>IFERROR(VLOOKUP(DATA!#REF!,DATA!#REF!,1,FALSE),"")</f>
        <v/>
      </c>
      <c r="D5355" s="16" t="str">
        <f>IFERROR(VLOOKUP(C5355,DATA!#REF!,2,FALSE),"")</f>
        <v/>
      </c>
    </row>
    <row r="5356" spans="3:4" s="230" customFormat="1">
      <c r="C5356" s="16" t="str">
        <f>IFERROR(VLOOKUP(DATA!#REF!,DATA!#REF!,1,FALSE),"")</f>
        <v/>
      </c>
      <c r="D5356" s="16" t="str">
        <f>IFERROR(VLOOKUP(C5356,DATA!#REF!,2,FALSE),"")</f>
        <v/>
      </c>
    </row>
    <row r="5357" spans="3:4" s="230" customFormat="1">
      <c r="C5357" s="16" t="str">
        <f>IFERROR(VLOOKUP(DATA!#REF!,DATA!#REF!,1,FALSE),"")</f>
        <v/>
      </c>
      <c r="D5357" s="16" t="str">
        <f>IFERROR(VLOOKUP(C5357,DATA!#REF!,2,FALSE),"")</f>
        <v/>
      </c>
    </row>
    <row r="5358" spans="3:4" s="230" customFormat="1">
      <c r="C5358" s="16" t="str">
        <f>IFERROR(VLOOKUP(DATA!#REF!,DATA!#REF!,1,FALSE),"")</f>
        <v/>
      </c>
      <c r="D5358" s="16" t="str">
        <f>IFERROR(VLOOKUP(C5358,DATA!#REF!,2,FALSE),"")</f>
        <v/>
      </c>
    </row>
    <row r="5359" spans="3:4" s="230" customFormat="1">
      <c r="C5359" s="16" t="str">
        <f>IFERROR(VLOOKUP(DATA!#REF!,DATA!#REF!,1,FALSE),"")</f>
        <v/>
      </c>
      <c r="D5359" s="16" t="str">
        <f>IFERROR(VLOOKUP(C5359,DATA!#REF!,2,FALSE),"")</f>
        <v/>
      </c>
    </row>
    <row r="5360" spans="3:4" s="230" customFormat="1">
      <c r="C5360" s="16" t="str">
        <f>IFERROR(VLOOKUP(DATA!#REF!,DATA!#REF!,1,FALSE),"")</f>
        <v/>
      </c>
      <c r="D5360" s="16" t="str">
        <f>IFERROR(VLOOKUP(C5360,DATA!#REF!,2,FALSE),"")</f>
        <v/>
      </c>
    </row>
    <row r="5361" spans="3:4" s="230" customFormat="1">
      <c r="C5361" s="16" t="str">
        <f>IFERROR(VLOOKUP(DATA!#REF!,DATA!#REF!,1,FALSE),"")</f>
        <v/>
      </c>
      <c r="D5361" s="16" t="str">
        <f>IFERROR(VLOOKUP(C5361,DATA!#REF!,2,FALSE),"")</f>
        <v/>
      </c>
    </row>
    <row r="5362" spans="3:4" s="230" customFormat="1">
      <c r="C5362" s="16" t="str">
        <f>IFERROR(VLOOKUP(DATA!#REF!,DATA!#REF!,1,FALSE),"")</f>
        <v/>
      </c>
      <c r="D5362" s="16" t="str">
        <f>IFERROR(VLOOKUP(C5362,DATA!#REF!,2,FALSE),"")</f>
        <v/>
      </c>
    </row>
    <row r="5363" spans="3:4" s="230" customFormat="1">
      <c r="C5363" s="16" t="str">
        <f>IFERROR(VLOOKUP(DATA!#REF!,DATA!#REF!,1,FALSE),"")</f>
        <v/>
      </c>
      <c r="D5363" s="16" t="str">
        <f>IFERROR(VLOOKUP(C5363,DATA!#REF!,2,FALSE),"")</f>
        <v/>
      </c>
    </row>
    <row r="5364" spans="3:4" s="230" customFormat="1">
      <c r="C5364" s="16" t="str">
        <f>IFERROR(VLOOKUP(DATA!#REF!,DATA!#REF!,1,FALSE),"")</f>
        <v/>
      </c>
      <c r="D5364" s="16" t="str">
        <f>IFERROR(VLOOKUP(C5364,DATA!#REF!,2,FALSE),"")</f>
        <v/>
      </c>
    </row>
    <row r="5365" spans="3:4" s="230" customFormat="1">
      <c r="C5365" s="16" t="str">
        <f>IFERROR(VLOOKUP(DATA!#REF!,DATA!#REF!,1,FALSE),"")</f>
        <v/>
      </c>
      <c r="D5365" s="16" t="str">
        <f>IFERROR(VLOOKUP(C5365,DATA!#REF!,2,FALSE),"")</f>
        <v/>
      </c>
    </row>
    <row r="5366" spans="3:4" s="230" customFormat="1">
      <c r="C5366" s="16" t="str">
        <f>IFERROR(VLOOKUP(DATA!#REF!,DATA!#REF!,1,FALSE),"")</f>
        <v/>
      </c>
      <c r="D5366" s="16" t="str">
        <f>IFERROR(VLOOKUP(C5366,DATA!#REF!,2,FALSE),"")</f>
        <v/>
      </c>
    </row>
    <row r="5367" spans="3:4" s="230" customFormat="1">
      <c r="C5367" s="16" t="str">
        <f>IFERROR(VLOOKUP(DATA!#REF!,DATA!#REF!,1,FALSE),"")</f>
        <v/>
      </c>
      <c r="D5367" s="16" t="str">
        <f>IFERROR(VLOOKUP(C5367,DATA!#REF!,2,FALSE),"")</f>
        <v/>
      </c>
    </row>
    <row r="5368" spans="3:4" s="230" customFormat="1">
      <c r="C5368" s="16" t="str">
        <f>IFERROR(VLOOKUP(DATA!#REF!,DATA!#REF!,1,FALSE),"")</f>
        <v/>
      </c>
      <c r="D5368" s="16" t="str">
        <f>IFERROR(VLOOKUP(C5368,DATA!#REF!,2,FALSE),"")</f>
        <v/>
      </c>
    </row>
    <row r="5369" spans="3:4" s="230" customFormat="1">
      <c r="C5369" s="16" t="str">
        <f>IFERROR(VLOOKUP(DATA!#REF!,DATA!#REF!,1,FALSE),"")</f>
        <v/>
      </c>
      <c r="D5369" s="16" t="str">
        <f>IFERROR(VLOOKUP(C5369,DATA!#REF!,2,FALSE),"")</f>
        <v/>
      </c>
    </row>
    <row r="5370" spans="3:4" s="230" customFormat="1">
      <c r="C5370" s="16" t="str">
        <f>IFERROR(VLOOKUP(DATA!#REF!,DATA!#REF!,1,FALSE),"")</f>
        <v/>
      </c>
      <c r="D5370" s="16" t="str">
        <f>IFERROR(VLOOKUP(C5370,DATA!#REF!,2,FALSE),"")</f>
        <v/>
      </c>
    </row>
    <row r="5371" spans="3:4" s="230" customFormat="1">
      <c r="C5371" s="16" t="str">
        <f>IFERROR(VLOOKUP(DATA!#REF!,DATA!#REF!,1,FALSE),"")</f>
        <v/>
      </c>
      <c r="D5371" s="16" t="str">
        <f>IFERROR(VLOOKUP(C5371,DATA!#REF!,2,FALSE),"")</f>
        <v/>
      </c>
    </row>
    <row r="5372" spans="3:4" s="230" customFormat="1">
      <c r="C5372" s="16" t="str">
        <f>IFERROR(VLOOKUP(DATA!#REF!,DATA!#REF!,1,FALSE),"")</f>
        <v/>
      </c>
      <c r="D5372" s="16" t="str">
        <f>IFERROR(VLOOKUP(C5372,DATA!#REF!,2,FALSE),"")</f>
        <v/>
      </c>
    </row>
    <row r="5373" spans="3:4" s="230" customFormat="1">
      <c r="C5373" s="16" t="str">
        <f>IFERROR(VLOOKUP(DATA!#REF!,DATA!#REF!,1,FALSE),"")</f>
        <v/>
      </c>
      <c r="D5373" s="16" t="str">
        <f>IFERROR(VLOOKUP(C5373,DATA!#REF!,2,FALSE),"")</f>
        <v/>
      </c>
    </row>
    <row r="5374" spans="3:4" s="230" customFormat="1">
      <c r="C5374" s="16" t="str">
        <f>IFERROR(VLOOKUP(DATA!#REF!,DATA!#REF!,1,FALSE),"")</f>
        <v/>
      </c>
      <c r="D5374" s="16" t="str">
        <f>IFERROR(VLOOKUP(C5374,DATA!#REF!,2,FALSE),"")</f>
        <v/>
      </c>
    </row>
    <row r="5375" spans="3:4" s="230" customFormat="1">
      <c r="C5375" s="16" t="str">
        <f>IFERROR(VLOOKUP(DATA!#REF!,DATA!#REF!,1,FALSE),"")</f>
        <v/>
      </c>
      <c r="D5375" s="16" t="str">
        <f>IFERROR(VLOOKUP(C5375,DATA!#REF!,2,FALSE),"")</f>
        <v/>
      </c>
    </row>
    <row r="5376" spans="3:4" s="230" customFormat="1">
      <c r="C5376" s="16" t="str">
        <f>IFERROR(VLOOKUP(DATA!#REF!,DATA!#REF!,1,FALSE),"")</f>
        <v/>
      </c>
      <c r="D5376" s="16" t="str">
        <f>IFERROR(VLOOKUP(C5376,DATA!#REF!,2,FALSE),"")</f>
        <v/>
      </c>
    </row>
    <row r="5377" spans="3:4" s="230" customFormat="1">
      <c r="C5377" s="16" t="str">
        <f>IFERROR(VLOOKUP(DATA!#REF!,DATA!#REF!,1,FALSE),"")</f>
        <v/>
      </c>
      <c r="D5377" s="16" t="str">
        <f>IFERROR(VLOOKUP(C5377,DATA!#REF!,2,FALSE),"")</f>
        <v/>
      </c>
    </row>
    <row r="5378" spans="3:4" s="230" customFormat="1">
      <c r="C5378" s="16" t="str">
        <f>IFERROR(VLOOKUP(DATA!#REF!,DATA!#REF!,1,FALSE),"")</f>
        <v/>
      </c>
      <c r="D5378" s="16" t="str">
        <f>IFERROR(VLOOKUP(C5378,DATA!#REF!,2,FALSE),"")</f>
        <v/>
      </c>
    </row>
    <row r="5379" spans="3:4" s="230" customFormat="1">
      <c r="C5379" s="16" t="str">
        <f>IFERROR(VLOOKUP(DATA!#REF!,DATA!#REF!,1,FALSE),"")</f>
        <v/>
      </c>
      <c r="D5379" s="16" t="str">
        <f>IFERROR(VLOOKUP(C5379,DATA!#REF!,2,FALSE),"")</f>
        <v/>
      </c>
    </row>
    <row r="5380" spans="3:4" s="230" customFormat="1">
      <c r="C5380" s="16" t="str">
        <f>IFERROR(VLOOKUP(DATA!#REF!,DATA!#REF!,1,FALSE),"")</f>
        <v/>
      </c>
      <c r="D5380" s="16" t="str">
        <f>IFERROR(VLOOKUP(C5380,DATA!#REF!,2,FALSE),"")</f>
        <v/>
      </c>
    </row>
    <row r="5381" spans="3:4" s="230" customFormat="1">
      <c r="C5381" s="16" t="str">
        <f>IFERROR(VLOOKUP(DATA!#REF!,DATA!#REF!,1,FALSE),"")</f>
        <v/>
      </c>
      <c r="D5381" s="16" t="str">
        <f>IFERROR(VLOOKUP(C5381,DATA!#REF!,2,FALSE),"")</f>
        <v/>
      </c>
    </row>
    <row r="5382" spans="3:4" s="230" customFormat="1">
      <c r="C5382" s="16" t="str">
        <f>IFERROR(VLOOKUP(DATA!#REF!,DATA!#REF!,1,FALSE),"")</f>
        <v/>
      </c>
      <c r="D5382" s="16" t="str">
        <f>IFERROR(VLOOKUP(C5382,DATA!#REF!,2,FALSE),"")</f>
        <v/>
      </c>
    </row>
    <row r="5383" spans="3:4" s="230" customFormat="1">
      <c r="C5383" s="16" t="str">
        <f>IFERROR(VLOOKUP(DATA!#REF!,DATA!#REF!,1,FALSE),"")</f>
        <v/>
      </c>
      <c r="D5383" s="16" t="str">
        <f>IFERROR(VLOOKUP(C5383,DATA!#REF!,2,FALSE),"")</f>
        <v/>
      </c>
    </row>
    <row r="5384" spans="3:4" s="230" customFormat="1">
      <c r="C5384" s="16" t="str">
        <f>IFERROR(VLOOKUP(DATA!#REF!,DATA!#REF!,1,FALSE),"")</f>
        <v/>
      </c>
      <c r="D5384" s="16" t="str">
        <f>IFERROR(VLOOKUP(C5384,DATA!#REF!,2,FALSE),"")</f>
        <v/>
      </c>
    </row>
    <row r="5385" spans="3:4" s="230" customFormat="1">
      <c r="C5385" s="16" t="str">
        <f>IFERROR(VLOOKUP(DATA!#REF!,DATA!#REF!,1,FALSE),"")</f>
        <v/>
      </c>
      <c r="D5385" s="16" t="str">
        <f>IFERROR(VLOOKUP(C5385,DATA!#REF!,2,FALSE),"")</f>
        <v/>
      </c>
    </row>
    <row r="5386" spans="3:4" s="230" customFormat="1">
      <c r="C5386" s="16" t="str">
        <f>IFERROR(VLOOKUP(DATA!#REF!,DATA!#REF!,1,FALSE),"")</f>
        <v/>
      </c>
      <c r="D5386" s="16" t="str">
        <f>IFERROR(VLOOKUP(C5386,DATA!#REF!,2,FALSE),"")</f>
        <v/>
      </c>
    </row>
    <row r="5387" spans="3:4" s="230" customFormat="1">
      <c r="C5387" s="16" t="str">
        <f>IFERROR(VLOOKUP(DATA!#REF!,DATA!#REF!,1,FALSE),"")</f>
        <v/>
      </c>
      <c r="D5387" s="16" t="str">
        <f>IFERROR(VLOOKUP(C5387,DATA!#REF!,2,FALSE),"")</f>
        <v/>
      </c>
    </row>
    <row r="5388" spans="3:4" s="230" customFormat="1">
      <c r="C5388" s="16" t="str">
        <f>IFERROR(VLOOKUP(DATA!#REF!,DATA!#REF!,1,FALSE),"")</f>
        <v/>
      </c>
      <c r="D5388" s="16" t="str">
        <f>IFERROR(VLOOKUP(C5388,DATA!#REF!,2,FALSE),"")</f>
        <v/>
      </c>
    </row>
    <row r="5389" spans="3:4" s="230" customFormat="1">
      <c r="C5389" s="16" t="str">
        <f>IFERROR(VLOOKUP(DATA!#REF!,DATA!#REF!,1,FALSE),"")</f>
        <v/>
      </c>
      <c r="D5389" s="16" t="str">
        <f>IFERROR(VLOOKUP(C5389,DATA!#REF!,2,FALSE),"")</f>
        <v/>
      </c>
    </row>
    <row r="5390" spans="3:4" s="230" customFormat="1">
      <c r="C5390" s="16" t="str">
        <f>IFERROR(VLOOKUP(DATA!#REF!,DATA!#REF!,1,FALSE),"")</f>
        <v/>
      </c>
      <c r="D5390" s="16" t="str">
        <f>IFERROR(VLOOKUP(C5390,DATA!#REF!,2,FALSE),"")</f>
        <v/>
      </c>
    </row>
    <row r="5391" spans="3:4" s="230" customFormat="1">
      <c r="C5391" s="16" t="str">
        <f>IFERROR(VLOOKUP(DATA!#REF!,DATA!#REF!,1,FALSE),"")</f>
        <v/>
      </c>
      <c r="D5391" s="16" t="str">
        <f>IFERROR(VLOOKUP(C5391,DATA!#REF!,2,FALSE),"")</f>
        <v/>
      </c>
    </row>
    <row r="5392" spans="3:4" s="230" customFormat="1">
      <c r="C5392" s="16" t="str">
        <f>IFERROR(VLOOKUP(DATA!#REF!,DATA!#REF!,1,FALSE),"")</f>
        <v/>
      </c>
      <c r="D5392" s="16" t="str">
        <f>IFERROR(VLOOKUP(C5392,DATA!#REF!,2,FALSE),"")</f>
        <v/>
      </c>
    </row>
    <row r="5393" spans="3:4" s="230" customFormat="1">
      <c r="C5393" s="16" t="str">
        <f>IFERROR(VLOOKUP(DATA!#REF!,DATA!#REF!,1,FALSE),"")</f>
        <v/>
      </c>
      <c r="D5393" s="16" t="str">
        <f>IFERROR(VLOOKUP(C5393,DATA!#REF!,2,FALSE),"")</f>
        <v/>
      </c>
    </row>
    <row r="5394" spans="3:4" s="230" customFormat="1">
      <c r="C5394" s="16" t="str">
        <f>IFERROR(VLOOKUP(DATA!#REF!,DATA!#REF!,1,FALSE),"")</f>
        <v/>
      </c>
      <c r="D5394" s="16" t="str">
        <f>IFERROR(VLOOKUP(C5394,DATA!#REF!,2,FALSE),"")</f>
        <v/>
      </c>
    </row>
    <row r="5395" spans="3:4" s="230" customFormat="1">
      <c r="C5395" s="16" t="str">
        <f>IFERROR(VLOOKUP(DATA!#REF!,DATA!#REF!,1,FALSE),"")</f>
        <v/>
      </c>
      <c r="D5395" s="16" t="str">
        <f>IFERROR(VLOOKUP(C5395,DATA!#REF!,2,FALSE),"")</f>
        <v/>
      </c>
    </row>
    <row r="5396" spans="3:4" s="230" customFormat="1">
      <c r="C5396" s="16" t="str">
        <f>IFERROR(VLOOKUP(DATA!#REF!,DATA!#REF!,1,FALSE),"")</f>
        <v/>
      </c>
      <c r="D5396" s="16" t="str">
        <f>IFERROR(VLOOKUP(C5396,DATA!#REF!,2,FALSE),"")</f>
        <v/>
      </c>
    </row>
    <row r="5397" spans="3:4" s="230" customFormat="1">
      <c r="C5397" s="16" t="str">
        <f>IFERROR(VLOOKUP(DATA!#REF!,DATA!#REF!,1,FALSE),"")</f>
        <v/>
      </c>
      <c r="D5397" s="16" t="str">
        <f>IFERROR(VLOOKUP(C5397,DATA!#REF!,2,FALSE),"")</f>
        <v/>
      </c>
    </row>
    <row r="5398" spans="3:4" s="230" customFormat="1">
      <c r="C5398" s="16" t="str">
        <f>IFERROR(VLOOKUP(DATA!#REF!,DATA!#REF!,1,FALSE),"")</f>
        <v/>
      </c>
      <c r="D5398" s="16" t="str">
        <f>IFERROR(VLOOKUP(C5398,DATA!#REF!,2,FALSE),"")</f>
        <v/>
      </c>
    </row>
    <row r="5399" spans="3:4" s="230" customFormat="1">
      <c r="C5399" s="16" t="str">
        <f>IFERROR(VLOOKUP(DATA!#REF!,DATA!#REF!,1,FALSE),"")</f>
        <v/>
      </c>
      <c r="D5399" s="16" t="str">
        <f>IFERROR(VLOOKUP(C5399,DATA!#REF!,2,FALSE),"")</f>
        <v/>
      </c>
    </row>
    <row r="5400" spans="3:4" s="230" customFormat="1">
      <c r="C5400" s="16" t="str">
        <f>IFERROR(VLOOKUP(DATA!#REF!,DATA!#REF!,1,FALSE),"")</f>
        <v/>
      </c>
      <c r="D5400" s="16" t="str">
        <f>IFERROR(VLOOKUP(C5400,DATA!#REF!,2,FALSE),"")</f>
        <v/>
      </c>
    </row>
    <row r="5401" spans="3:4" s="230" customFormat="1">
      <c r="C5401" s="16" t="str">
        <f>IFERROR(VLOOKUP(DATA!#REF!,DATA!#REF!,1,FALSE),"")</f>
        <v/>
      </c>
      <c r="D5401" s="16" t="str">
        <f>IFERROR(VLOOKUP(C5401,DATA!#REF!,2,FALSE),"")</f>
        <v/>
      </c>
    </row>
    <row r="5402" spans="3:4" s="230" customFormat="1">
      <c r="C5402" s="16" t="str">
        <f>IFERROR(VLOOKUP(DATA!#REF!,DATA!#REF!,1,FALSE),"")</f>
        <v/>
      </c>
      <c r="D5402" s="16" t="str">
        <f>IFERROR(VLOOKUP(C5402,DATA!#REF!,2,FALSE),"")</f>
        <v/>
      </c>
    </row>
    <row r="5403" spans="3:4" s="230" customFormat="1">
      <c r="C5403" s="16" t="str">
        <f>IFERROR(VLOOKUP(DATA!#REF!,DATA!#REF!,1,FALSE),"")</f>
        <v/>
      </c>
      <c r="D5403" s="16" t="str">
        <f>IFERROR(VLOOKUP(C5403,DATA!#REF!,2,FALSE),"")</f>
        <v/>
      </c>
    </row>
    <row r="5404" spans="3:4" s="230" customFormat="1">
      <c r="C5404" s="16" t="str">
        <f>IFERROR(VLOOKUP(DATA!#REF!,DATA!#REF!,1,FALSE),"")</f>
        <v/>
      </c>
      <c r="D5404" s="16" t="str">
        <f>IFERROR(VLOOKUP(C5404,DATA!#REF!,2,FALSE),"")</f>
        <v/>
      </c>
    </row>
    <row r="5405" spans="3:4" s="230" customFormat="1">
      <c r="C5405" s="16" t="str">
        <f>IFERROR(VLOOKUP(DATA!#REF!,DATA!#REF!,1,FALSE),"")</f>
        <v/>
      </c>
      <c r="D5405" s="16" t="str">
        <f>IFERROR(VLOOKUP(C5405,DATA!#REF!,2,FALSE),"")</f>
        <v/>
      </c>
    </row>
    <row r="5406" spans="3:4" s="230" customFormat="1">
      <c r="C5406" s="16" t="str">
        <f>IFERROR(VLOOKUP(DATA!#REF!,DATA!#REF!,1,FALSE),"")</f>
        <v/>
      </c>
      <c r="D5406" s="16" t="str">
        <f>IFERROR(VLOOKUP(C5406,DATA!#REF!,2,FALSE),"")</f>
        <v/>
      </c>
    </row>
    <row r="5407" spans="3:4" s="230" customFormat="1">
      <c r="C5407" s="16" t="str">
        <f>IFERROR(VLOOKUP(DATA!#REF!,DATA!#REF!,1,FALSE),"")</f>
        <v/>
      </c>
      <c r="D5407" s="16" t="str">
        <f>IFERROR(VLOOKUP(C5407,DATA!#REF!,2,FALSE),"")</f>
        <v/>
      </c>
    </row>
    <row r="5408" spans="3:4" s="230" customFormat="1">
      <c r="C5408" s="16" t="str">
        <f>IFERROR(VLOOKUP(DATA!#REF!,DATA!#REF!,1,FALSE),"")</f>
        <v/>
      </c>
      <c r="D5408" s="16" t="str">
        <f>IFERROR(VLOOKUP(C5408,DATA!#REF!,2,FALSE),"")</f>
        <v/>
      </c>
    </row>
    <row r="5409" spans="3:4" s="230" customFormat="1">
      <c r="C5409" s="16" t="str">
        <f>IFERROR(VLOOKUP(DATA!#REF!,DATA!#REF!,1,FALSE),"")</f>
        <v/>
      </c>
      <c r="D5409" s="16" t="str">
        <f>IFERROR(VLOOKUP(C5409,DATA!#REF!,2,FALSE),"")</f>
        <v/>
      </c>
    </row>
    <row r="5410" spans="3:4" s="230" customFormat="1">
      <c r="C5410" s="16" t="str">
        <f>IFERROR(VLOOKUP(DATA!#REF!,DATA!#REF!,1,FALSE),"")</f>
        <v/>
      </c>
      <c r="D5410" s="16" t="str">
        <f>IFERROR(VLOOKUP(C5410,DATA!#REF!,2,FALSE),"")</f>
        <v/>
      </c>
    </row>
    <row r="5411" spans="3:4" s="230" customFormat="1">
      <c r="C5411" s="16" t="str">
        <f>IFERROR(VLOOKUP(DATA!#REF!,DATA!#REF!,1,FALSE),"")</f>
        <v/>
      </c>
      <c r="D5411" s="16" t="str">
        <f>IFERROR(VLOOKUP(C5411,DATA!#REF!,2,FALSE),"")</f>
        <v/>
      </c>
    </row>
    <row r="5412" spans="3:4" s="230" customFormat="1">
      <c r="C5412" s="16" t="str">
        <f>IFERROR(VLOOKUP(DATA!#REF!,DATA!#REF!,1,FALSE),"")</f>
        <v/>
      </c>
      <c r="D5412" s="16" t="str">
        <f>IFERROR(VLOOKUP(C5412,DATA!#REF!,2,FALSE),"")</f>
        <v/>
      </c>
    </row>
    <row r="5413" spans="3:4" s="230" customFormat="1">
      <c r="C5413" s="16" t="str">
        <f>IFERROR(VLOOKUP(DATA!#REF!,DATA!#REF!,1,FALSE),"")</f>
        <v/>
      </c>
      <c r="D5413" s="16" t="str">
        <f>IFERROR(VLOOKUP(C5413,DATA!#REF!,2,FALSE),"")</f>
        <v/>
      </c>
    </row>
    <row r="5414" spans="3:4" s="230" customFormat="1">
      <c r="C5414" s="16" t="str">
        <f>IFERROR(VLOOKUP(DATA!#REF!,DATA!#REF!,1,FALSE),"")</f>
        <v/>
      </c>
      <c r="D5414" s="16" t="str">
        <f>IFERROR(VLOOKUP(C5414,DATA!#REF!,2,FALSE),"")</f>
        <v/>
      </c>
    </row>
    <row r="5415" spans="3:4" s="230" customFormat="1">
      <c r="C5415" s="16" t="str">
        <f>IFERROR(VLOOKUP(DATA!#REF!,DATA!#REF!,1,FALSE),"")</f>
        <v/>
      </c>
      <c r="D5415" s="16" t="str">
        <f>IFERROR(VLOOKUP(C5415,DATA!#REF!,2,FALSE),"")</f>
        <v/>
      </c>
    </row>
    <row r="5416" spans="3:4" s="230" customFormat="1">
      <c r="C5416" s="16" t="str">
        <f>IFERROR(VLOOKUP(DATA!#REF!,DATA!#REF!,1,FALSE),"")</f>
        <v/>
      </c>
      <c r="D5416" s="16" t="str">
        <f>IFERROR(VLOOKUP(C5416,DATA!#REF!,2,FALSE),"")</f>
        <v/>
      </c>
    </row>
    <row r="5417" spans="3:4" s="230" customFormat="1">
      <c r="C5417" s="16" t="str">
        <f>IFERROR(VLOOKUP(DATA!#REF!,DATA!#REF!,1,FALSE),"")</f>
        <v/>
      </c>
      <c r="D5417" s="16" t="str">
        <f>IFERROR(VLOOKUP(C5417,DATA!#REF!,2,FALSE),"")</f>
        <v/>
      </c>
    </row>
    <row r="5418" spans="3:4" s="230" customFormat="1">
      <c r="C5418" s="16" t="str">
        <f>IFERROR(VLOOKUP(DATA!#REF!,DATA!#REF!,1,FALSE),"")</f>
        <v/>
      </c>
      <c r="D5418" s="16" t="str">
        <f>IFERROR(VLOOKUP(C5418,DATA!#REF!,2,FALSE),"")</f>
        <v/>
      </c>
    </row>
    <row r="5419" spans="3:4" s="230" customFormat="1">
      <c r="C5419" s="16" t="str">
        <f>IFERROR(VLOOKUP(DATA!#REF!,DATA!#REF!,1,FALSE),"")</f>
        <v/>
      </c>
      <c r="D5419" s="16" t="str">
        <f>IFERROR(VLOOKUP(C5419,DATA!#REF!,2,FALSE),"")</f>
        <v/>
      </c>
    </row>
    <row r="5420" spans="3:4" s="230" customFormat="1">
      <c r="C5420" s="16" t="str">
        <f>IFERROR(VLOOKUP(DATA!#REF!,DATA!#REF!,1,FALSE),"")</f>
        <v/>
      </c>
      <c r="D5420" s="16" t="str">
        <f>IFERROR(VLOOKUP(C5420,DATA!#REF!,2,FALSE),"")</f>
        <v/>
      </c>
    </row>
    <row r="5421" spans="3:4" s="230" customFormat="1">
      <c r="C5421" s="16" t="str">
        <f>IFERROR(VLOOKUP(DATA!#REF!,DATA!#REF!,1,FALSE),"")</f>
        <v/>
      </c>
      <c r="D5421" s="16" t="str">
        <f>IFERROR(VLOOKUP(C5421,DATA!#REF!,2,FALSE),"")</f>
        <v/>
      </c>
    </row>
    <row r="5422" spans="3:4" s="230" customFormat="1">
      <c r="C5422" s="16" t="str">
        <f>IFERROR(VLOOKUP(DATA!#REF!,DATA!#REF!,1,FALSE),"")</f>
        <v/>
      </c>
      <c r="D5422" s="16" t="str">
        <f>IFERROR(VLOOKUP(C5422,DATA!#REF!,2,FALSE),"")</f>
        <v/>
      </c>
    </row>
    <row r="5423" spans="3:4" s="230" customFormat="1">
      <c r="C5423" s="16" t="str">
        <f>IFERROR(VLOOKUP(DATA!#REF!,DATA!#REF!,1,FALSE),"")</f>
        <v/>
      </c>
      <c r="D5423" s="16" t="str">
        <f>IFERROR(VLOOKUP(C5423,DATA!#REF!,2,FALSE),"")</f>
        <v/>
      </c>
    </row>
    <row r="5424" spans="3:4" s="230" customFormat="1">
      <c r="C5424" s="16" t="str">
        <f>IFERROR(VLOOKUP(DATA!#REF!,DATA!#REF!,1,FALSE),"")</f>
        <v/>
      </c>
      <c r="D5424" s="16" t="str">
        <f>IFERROR(VLOOKUP(C5424,DATA!#REF!,2,FALSE),"")</f>
        <v/>
      </c>
    </row>
    <row r="5425" spans="3:4" s="230" customFormat="1">
      <c r="C5425" s="16" t="str">
        <f>IFERROR(VLOOKUP(DATA!#REF!,DATA!#REF!,1,FALSE),"")</f>
        <v/>
      </c>
      <c r="D5425" s="16" t="str">
        <f>IFERROR(VLOOKUP(C5425,DATA!#REF!,2,FALSE),"")</f>
        <v/>
      </c>
    </row>
    <row r="5426" spans="3:4" s="230" customFormat="1">
      <c r="C5426" s="16" t="str">
        <f>IFERROR(VLOOKUP(DATA!#REF!,DATA!#REF!,1,FALSE),"")</f>
        <v/>
      </c>
      <c r="D5426" s="16" t="str">
        <f>IFERROR(VLOOKUP(C5426,DATA!#REF!,2,FALSE),"")</f>
        <v/>
      </c>
    </row>
    <row r="5427" spans="3:4" s="230" customFormat="1">
      <c r="C5427" s="16" t="str">
        <f>IFERROR(VLOOKUP(DATA!#REF!,DATA!#REF!,1,FALSE),"")</f>
        <v/>
      </c>
      <c r="D5427" s="16" t="str">
        <f>IFERROR(VLOOKUP(C5427,DATA!#REF!,2,FALSE),"")</f>
        <v/>
      </c>
    </row>
    <row r="5428" spans="3:4" s="230" customFormat="1">
      <c r="C5428" s="16" t="str">
        <f>IFERROR(VLOOKUP(DATA!#REF!,DATA!#REF!,1,FALSE),"")</f>
        <v/>
      </c>
      <c r="D5428" s="16" t="str">
        <f>IFERROR(VLOOKUP(C5428,DATA!#REF!,2,FALSE),"")</f>
        <v/>
      </c>
    </row>
    <row r="5429" spans="3:4" s="230" customFormat="1">
      <c r="C5429" s="16" t="str">
        <f>IFERROR(VLOOKUP(DATA!#REF!,DATA!#REF!,1,FALSE),"")</f>
        <v/>
      </c>
      <c r="D5429" s="16" t="str">
        <f>IFERROR(VLOOKUP(C5429,DATA!#REF!,2,FALSE),"")</f>
        <v/>
      </c>
    </row>
    <row r="5430" spans="3:4" s="230" customFormat="1">
      <c r="C5430" s="16" t="str">
        <f>IFERROR(VLOOKUP(DATA!#REF!,DATA!#REF!,1,FALSE),"")</f>
        <v/>
      </c>
      <c r="D5430" s="16" t="str">
        <f>IFERROR(VLOOKUP(C5430,DATA!#REF!,2,FALSE),"")</f>
        <v/>
      </c>
    </row>
    <row r="5431" spans="3:4" s="230" customFormat="1">
      <c r="C5431" s="16" t="str">
        <f>IFERROR(VLOOKUP(DATA!#REF!,DATA!#REF!,1,FALSE),"")</f>
        <v/>
      </c>
      <c r="D5431" s="16" t="str">
        <f>IFERROR(VLOOKUP(C5431,DATA!#REF!,2,FALSE),"")</f>
        <v/>
      </c>
    </row>
    <row r="5432" spans="3:4" s="230" customFormat="1">
      <c r="C5432" s="16" t="str">
        <f>IFERROR(VLOOKUP(DATA!#REF!,DATA!#REF!,1,FALSE),"")</f>
        <v/>
      </c>
      <c r="D5432" s="16" t="str">
        <f>IFERROR(VLOOKUP(C5432,DATA!#REF!,2,FALSE),"")</f>
        <v/>
      </c>
    </row>
    <row r="5433" spans="3:4" s="230" customFormat="1">
      <c r="C5433" s="16" t="str">
        <f>IFERROR(VLOOKUP(DATA!#REF!,DATA!#REF!,1,FALSE),"")</f>
        <v/>
      </c>
      <c r="D5433" s="16" t="str">
        <f>IFERROR(VLOOKUP(C5433,DATA!#REF!,2,FALSE),"")</f>
        <v/>
      </c>
    </row>
    <row r="5434" spans="3:4" s="230" customFormat="1">
      <c r="C5434" s="16" t="str">
        <f>IFERROR(VLOOKUP(DATA!#REF!,DATA!#REF!,1,FALSE),"")</f>
        <v/>
      </c>
      <c r="D5434" s="16" t="str">
        <f>IFERROR(VLOOKUP(C5434,DATA!#REF!,2,FALSE),"")</f>
        <v/>
      </c>
    </row>
    <row r="5435" spans="3:4" s="230" customFormat="1">
      <c r="C5435" s="16" t="str">
        <f>IFERROR(VLOOKUP(DATA!#REF!,DATA!#REF!,1,FALSE),"")</f>
        <v/>
      </c>
      <c r="D5435" s="16" t="str">
        <f>IFERROR(VLOOKUP(C5435,DATA!#REF!,2,FALSE),"")</f>
        <v/>
      </c>
    </row>
    <row r="5436" spans="3:4" s="230" customFormat="1">
      <c r="C5436" s="16" t="str">
        <f>IFERROR(VLOOKUP(DATA!#REF!,DATA!#REF!,1,FALSE),"")</f>
        <v/>
      </c>
      <c r="D5436" s="16" t="str">
        <f>IFERROR(VLOOKUP(C5436,DATA!#REF!,2,FALSE),"")</f>
        <v/>
      </c>
    </row>
    <row r="5437" spans="3:4" s="230" customFormat="1">
      <c r="C5437" s="16" t="str">
        <f>IFERROR(VLOOKUP(DATA!#REF!,DATA!#REF!,1,FALSE),"")</f>
        <v/>
      </c>
      <c r="D5437" s="16" t="str">
        <f>IFERROR(VLOOKUP(C5437,DATA!#REF!,2,FALSE),"")</f>
        <v/>
      </c>
    </row>
    <row r="5438" spans="3:4" s="230" customFormat="1">
      <c r="C5438" s="16" t="str">
        <f>IFERROR(VLOOKUP(DATA!#REF!,DATA!#REF!,1,FALSE),"")</f>
        <v/>
      </c>
      <c r="D5438" s="16" t="str">
        <f>IFERROR(VLOOKUP(C5438,DATA!#REF!,2,FALSE),"")</f>
        <v/>
      </c>
    </row>
    <row r="5439" spans="3:4" s="230" customFormat="1">
      <c r="C5439" s="16" t="str">
        <f>IFERROR(VLOOKUP(DATA!#REF!,DATA!#REF!,1,FALSE),"")</f>
        <v/>
      </c>
      <c r="D5439" s="16" t="str">
        <f>IFERROR(VLOOKUP(C5439,DATA!#REF!,2,FALSE),"")</f>
        <v/>
      </c>
    </row>
    <row r="5440" spans="3:4" s="230" customFormat="1">
      <c r="C5440" s="16" t="str">
        <f>IFERROR(VLOOKUP(DATA!#REF!,DATA!#REF!,1,FALSE),"")</f>
        <v/>
      </c>
      <c r="D5440" s="16" t="str">
        <f>IFERROR(VLOOKUP(C5440,DATA!#REF!,2,FALSE),"")</f>
        <v/>
      </c>
    </row>
    <row r="5441" spans="3:4" s="230" customFormat="1">
      <c r="C5441" s="16" t="str">
        <f>IFERROR(VLOOKUP(DATA!#REF!,DATA!#REF!,1,FALSE),"")</f>
        <v/>
      </c>
      <c r="D5441" s="16" t="str">
        <f>IFERROR(VLOOKUP(C5441,DATA!#REF!,2,FALSE),"")</f>
        <v/>
      </c>
    </row>
    <row r="5442" spans="3:4" s="230" customFormat="1">
      <c r="C5442" s="16" t="str">
        <f>IFERROR(VLOOKUP(DATA!#REF!,DATA!#REF!,1,FALSE),"")</f>
        <v/>
      </c>
      <c r="D5442" s="16" t="str">
        <f>IFERROR(VLOOKUP(C5442,DATA!#REF!,2,FALSE),"")</f>
        <v/>
      </c>
    </row>
    <row r="5443" spans="3:4" s="230" customFormat="1">
      <c r="C5443" s="16" t="str">
        <f>IFERROR(VLOOKUP(DATA!#REF!,DATA!#REF!,1,FALSE),"")</f>
        <v/>
      </c>
      <c r="D5443" s="16" t="str">
        <f>IFERROR(VLOOKUP(C5443,DATA!#REF!,2,FALSE),"")</f>
        <v/>
      </c>
    </row>
    <row r="5444" spans="3:4" s="230" customFormat="1">
      <c r="C5444" s="16" t="str">
        <f>IFERROR(VLOOKUP(DATA!#REF!,DATA!#REF!,1,FALSE),"")</f>
        <v/>
      </c>
      <c r="D5444" s="16" t="str">
        <f>IFERROR(VLOOKUP(C5444,DATA!#REF!,2,FALSE),"")</f>
        <v/>
      </c>
    </row>
    <row r="5445" spans="3:4" s="230" customFormat="1">
      <c r="C5445" s="16" t="str">
        <f>IFERROR(VLOOKUP(DATA!#REF!,DATA!#REF!,1,FALSE),"")</f>
        <v/>
      </c>
      <c r="D5445" s="16" t="str">
        <f>IFERROR(VLOOKUP(C5445,DATA!#REF!,2,FALSE),"")</f>
        <v/>
      </c>
    </row>
    <row r="5446" spans="3:4" s="230" customFormat="1">
      <c r="C5446" s="16" t="str">
        <f>IFERROR(VLOOKUP(DATA!#REF!,DATA!#REF!,1,FALSE),"")</f>
        <v/>
      </c>
      <c r="D5446" s="16" t="str">
        <f>IFERROR(VLOOKUP(C5446,DATA!#REF!,2,FALSE),"")</f>
        <v/>
      </c>
    </row>
    <row r="5447" spans="3:4" s="230" customFormat="1">
      <c r="C5447" s="16" t="str">
        <f>IFERROR(VLOOKUP(DATA!#REF!,DATA!#REF!,1,FALSE),"")</f>
        <v/>
      </c>
      <c r="D5447" s="16" t="str">
        <f>IFERROR(VLOOKUP(C5447,DATA!#REF!,2,FALSE),"")</f>
        <v/>
      </c>
    </row>
    <row r="5448" spans="3:4" s="230" customFormat="1">
      <c r="C5448" s="16" t="str">
        <f>IFERROR(VLOOKUP(DATA!#REF!,DATA!#REF!,1,FALSE),"")</f>
        <v/>
      </c>
      <c r="D5448" s="16" t="str">
        <f>IFERROR(VLOOKUP(C5448,DATA!#REF!,2,FALSE),"")</f>
        <v/>
      </c>
    </row>
    <row r="5449" spans="3:4" s="230" customFormat="1">
      <c r="C5449" s="16" t="str">
        <f>IFERROR(VLOOKUP(DATA!#REF!,DATA!#REF!,1,FALSE),"")</f>
        <v/>
      </c>
      <c r="D5449" s="16" t="str">
        <f>IFERROR(VLOOKUP(C5449,DATA!#REF!,2,FALSE),"")</f>
        <v/>
      </c>
    </row>
    <row r="5450" spans="3:4" s="230" customFormat="1">
      <c r="C5450" s="16" t="str">
        <f>IFERROR(VLOOKUP(DATA!#REF!,DATA!#REF!,1,FALSE),"")</f>
        <v/>
      </c>
      <c r="D5450" s="16" t="str">
        <f>IFERROR(VLOOKUP(C5450,DATA!#REF!,2,FALSE),"")</f>
        <v/>
      </c>
    </row>
    <row r="5451" spans="3:4" s="230" customFormat="1">
      <c r="C5451" s="16" t="str">
        <f>IFERROR(VLOOKUP(DATA!#REF!,DATA!#REF!,1,FALSE),"")</f>
        <v/>
      </c>
      <c r="D5451" s="16" t="str">
        <f>IFERROR(VLOOKUP(C5451,DATA!#REF!,2,FALSE),"")</f>
        <v/>
      </c>
    </row>
    <row r="5452" spans="3:4" s="230" customFormat="1">
      <c r="C5452" s="16" t="str">
        <f>IFERROR(VLOOKUP(DATA!#REF!,DATA!#REF!,1,FALSE),"")</f>
        <v/>
      </c>
      <c r="D5452" s="16" t="str">
        <f>IFERROR(VLOOKUP(C5452,DATA!#REF!,2,FALSE),"")</f>
        <v/>
      </c>
    </row>
    <row r="5453" spans="3:4" s="230" customFormat="1">
      <c r="C5453" s="16" t="str">
        <f>IFERROR(VLOOKUP(DATA!#REF!,DATA!#REF!,1,FALSE),"")</f>
        <v/>
      </c>
      <c r="D5453" s="16" t="str">
        <f>IFERROR(VLOOKUP(C5453,DATA!#REF!,2,FALSE),"")</f>
        <v/>
      </c>
    </row>
    <row r="5454" spans="3:4" s="230" customFormat="1">
      <c r="C5454" s="16" t="str">
        <f>IFERROR(VLOOKUP(DATA!#REF!,DATA!#REF!,1,FALSE),"")</f>
        <v/>
      </c>
      <c r="D5454" s="16" t="str">
        <f>IFERROR(VLOOKUP(C5454,DATA!#REF!,2,FALSE),"")</f>
        <v/>
      </c>
    </row>
    <row r="5455" spans="3:4" s="230" customFormat="1">
      <c r="C5455" s="16" t="str">
        <f>IFERROR(VLOOKUP(DATA!#REF!,DATA!#REF!,1,FALSE),"")</f>
        <v/>
      </c>
      <c r="D5455" s="16" t="str">
        <f>IFERROR(VLOOKUP(C5455,DATA!#REF!,2,FALSE),"")</f>
        <v/>
      </c>
    </row>
    <row r="5456" spans="3:4" s="230" customFormat="1">
      <c r="C5456" s="16" t="str">
        <f>IFERROR(VLOOKUP(DATA!#REF!,DATA!#REF!,1,FALSE),"")</f>
        <v/>
      </c>
      <c r="D5456" s="16" t="str">
        <f>IFERROR(VLOOKUP(C5456,DATA!#REF!,2,FALSE),"")</f>
        <v/>
      </c>
    </row>
    <row r="5457" spans="3:4" s="230" customFormat="1">
      <c r="C5457" s="16" t="str">
        <f>IFERROR(VLOOKUP(DATA!#REF!,DATA!#REF!,1,FALSE),"")</f>
        <v/>
      </c>
      <c r="D5457" s="16" t="str">
        <f>IFERROR(VLOOKUP(C5457,DATA!#REF!,2,FALSE),"")</f>
        <v/>
      </c>
    </row>
    <row r="5458" spans="3:4" s="230" customFormat="1">
      <c r="C5458" s="16" t="str">
        <f>IFERROR(VLOOKUP(DATA!#REF!,DATA!#REF!,1,FALSE),"")</f>
        <v/>
      </c>
      <c r="D5458" s="16" t="str">
        <f>IFERROR(VLOOKUP(C5458,DATA!#REF!,2,FALSE),"")</f>
        <v/>
      </c>
    </row>
    <row r="5459" spans="3:4" s="230" customFormat="1">
      <c r="C5459" s="16" t="str">
        <f>IFERROR(VLOOKUP(DATA!#REF!,DATA!#REF!,1,FALSE),"")</f>
        <v/>
      </c>
      <c r="D5459" s="16" t="str">
        <f>IFERROR(VLOOKUP(C5459,DATA!#REF!,2,FALSE),"")</f>
        <v/>
      </c>
    </row>
    <row r="5460" spans="3:4" s="230" customFormat="1">
      <c r="C5460" s="16" t="str">
        <f>IFERROR(VLOOKUP(DATA!#REF!,DATA!#REF!,1,FALSE),"")</f>
        <v/>
      </c>
      <c r="D5460" s="16" t="str">
        <f>IFERROR(VLOOKUP(C5460,DATA!#REF!,2,FALSE),"")</f>
        <v/>
      </c>
    </row>
    <row r="5461" spans="3:4" s="230" customFormat="1">
      <c r="C5461" s="16" t="str">
        <f>IFERROR(VLOOKUP(DATA!#REF!,DATA!#REF!,1,FALSE),"")</f>
        <v/>
      </c>
      <c r="D5461" s="16" t="str">
        <f>IFERROR(VLOOKUP(C5461,DATA!#REF!,2,FALSE),"")</f>
        <v/>
      </c>
    </row>
    <row r="5462" spans="3:4" s="230" customFormat="1">
      <c r="C5462" s="16" t="str">
        <f>IFERROR(VLOOKUP(DATA!#REF!,DATA!#REF!,1,FALSE),"")</f>
        <v/>
      </c>
      <c r="D5462" s="16" t="str">
        <f>IFERROR(VLOOKUP(C5462,DATA!#REF!,2,FALSE),"")</f>
        <v/>
      </c>
    </row>
    <row r="5463" spans="3:4" s="230" customFormat="1">
      <c r="C5463" s="16" t="str">
        <f>IFERROR(VLOOKUP(DATA!#REF!,DATA!#REF!,1,FALSE),"")</f>
        <v/>
      </c>
      <c r="D5463" s="16" t="str">
        <f>IFERROR(VLOOKUP(C5463,DATA!#REF!,2,FALSE),"")</f>
        <v/>
      </c>
    </row>
    <row r="5464" spans="3:4" s="230" customFormat="1">
      <c r="C5464" s="16" t="str">
        <f>IFERROR(VLOOKUP(DATA!#REF!,DATA!#REF!,1,FALSE),"")</f>
        <v/>
      </c>
      <c r="D5464" s="16" t="str">
        <f>IFERROR(VLOOKUP(C5464,DATA!#REF!,2,FALSE),"")</f>
        <v/>
      </c>
    </row>
    <row r="5465" spans="3:4" s="230" customFormat="1">
      <c r="C5465" s="16" t="str">
        <f>IFERROR(VLOOKUP(DATA!#REF!,DATA!#REF!,1,FALSE),"")</f>
        <v/>
      </c>
      <c r="D5465" s="16" t="str">
        <f>IFERROR(VLOOKUP(C5465,DATA!#REF!,2,FALSE),"")</f>
        <v/>
      </c>
    </row>
    <row r="5466" spans="3:4" s="230" customFormat="1">
      <c r="C5466" s="16" t="str">
        <f>IFERROR(VLOOKUP(DATA!#REF!,DATA!#REF!,1,FALSE),"")</f>
        <v/>
      </c>
      <c r="D5466" s="16" t="str">
        <f>IFERROR(VLOOKUP(C5466,DATA!#REF!,2,FALSE),"")</f>
        <v/>
      </c>
    </row>
    <row r="5467" spans="3:4" s="230" customFormat="1">
      <c r="C5467" s="16" t="str">
        <f>IFERROR(VLOOKUP(DATA!#REF!,DATA!#REF!,1,FALSE),"")</f>
        <v/>
      </c>
      <c r="D5467" s="16" t="str">
        <f>IFERROR(VLOOKUP(C5467,DATA!#REF!,2,FALSE),"")</f>
        <v/>
      </c>
    </row>
    <row r="5468" spans="3:4" s="230" customFormat="1">
      <c r="C5468" s="16" t="str">
        <f>IFERROR(VLOOKUP(DATA!#REF!,DATA!#REF!,1,FALSE),"")</f>
        <v/>
      </c>
      <c r="D5468" s="16" t="str">
        <f>IFERROR(VLOOKUP(C5468,DATA!#REF!,2,FALSE),"")</f>
        <v/>
      </c>
    </row>
    <row r="5469" spans="3:4" s="230" customFormat="1">
      <c r="C5469" s="16" t="str">
        <f>IFERROR(VLOOKUP(DATA!#REF!,DATA!#REF!,1,FALSE),"")</f>
        <v/>
      </c>
      <c r="D5469" s="16" t="str">
        <f>IFERROR(VLOOKUP(C5469,DATA!#REF!,2,FALSE),"")</f>
        <v/>
      </c>
    </row>
    <row r="5470" spans="3:4" s="230" customFormat="1">
      <c r="C5470" s="16" t="str">
        <f>IFERROR(VLOOKUP(DATA!#REF!,DATA!#REF!,1,FALSE),"")</f>
        <v/>
      </c>
      <c r="D5470" s="16" t="str">
        <f>IFERROR(VLOOKUP(C5470,DATA!#REF!,2,FALSE),"")</f>
        <v/>
      </c>
    </row>
    <row r="5471" spans="3:4" s="230" customFormat="1">
      <c r="C5471" s="16" t="str">
        <f>IFERROR(VLOOKUP(DATA!#REF!,DATA!#REF!,1,FALSE),"")</f>
        <v/>
      </c>
      <c r="D5471" s="16" t="str">
        <f>IFERROR(VLOOKUP(C5471,DATA!#REF!,2,FALSE),"")</f>
        <v/>
      </c>
    </row>
    <row r="5472" spans="3:4" s="230" customFormat="1">
      <c r="C5472" s="16" t="str">
        <f>IFERROR(VLOOKUP(DATA!#REF!,DATA!#REF!,1,FALSE),"")</f>
        <v/>
      </c>
      <c r="D5472" s="16" t="str">
        <f>IFERROR(VLOOKUP(C5472,DATA!#REF!,2,FALSE),"")</f>
        <v/>
      </c>
    </row>
    <row r="5473" spans="3:4" s="230" customFormat="1">
      <c r="C5473" s="16" t="str">
        <f>IFERROR(VLOOKUP(DATA!#REF!,DATA!#REF!,1,FALSE),"")</f>
        <v/>
      </c>
      <c r="D5473" s="16" t="str">
        <f>IFERROR(VLOOKUP(C5473,DATA!#REF!,2,FALSE),"")</f>
        <v/>
      </c>
    </row>
    <row r="5474" spans="3:4" s="230" customFormat="1">
      <c r="C5474" s="16" t="str">
        <f>IFERROR(VLOOKUP(DATA!#REF!,DATA!#REF!,1,FALSE),"")</f>
        <v/>
      </c>
      <c r="D5474" s="16" t="str">
        <f>IFERROR(VLOOKUP(C5474,DATA!#REF!,2,FALSE),"")</f>
        <v/>
      </c>
    </row>
    <row r="5475" spans="3:4" s="230" customFormat="1">
      <c r="C5475" s="16" t="str">
        <f>IFERROR(VLOOKUP(DATA!#REF!,DATA!#REF!,1,FALSE),"")</f>
        <v/>
      </c>
      <c r="D5475" s="16" t="str">
        <f>IFERROR(VLOOKUP(C5475,DATA!#REF!,2,FALSE),"")</f>
        <v/>
      </c>
    </row>
    <row r="5476" spans="3:4" s="230" customFormat="1">
      <c r="C5476" s="16" t="str">
        <f>IFERROR(VLOOKUP(DATA!#REF!,DATA!#REF!,1,FALSE),"")</f>
        <v/>
      </c>
      <c r="D5476" s="16" t="str">
        <f>IFERROR(VLOOKUP(C5476,DATA!#REF!,2,FALSE),"")</f>
        <v/>
      </c>
    </row>
    <row r="5477" spans="3:4" s="230" customFormat="1">
      <c r="C5477" s="16" t="str">
        <f>IFERROR(VLOOKUP(DATA!#REF!,DATA!#REF!,1,FALSE),"")</f>
        <v/>
      </c>
      <c r="D5477" s="16" t="str">
        <f>IFERROR(VLOOKUP(C5477,DATA!#REF!,2,FALSE),"")</f>
        <v/>
      </c>
    </row>
    <row r="5478" spans="3:4" s="230" customFormat="1">
      <c r="C5478" s="16" t="str">
        <f>IFERROR(VLOOKUP(DATA!#REF!,DATA!#REF!,1,FALSE),"")</f>
        <v/>
      </c>
      <c r="D5478" s="16" t="str">
        <f>IFERROR(VLOOKUP(C5478,DATA!#REF!,2,FALSE),"")</f>
        <v/>
      </c>
    </row>
    <row r="5479" spans="3:4" s="230" customFormat="1">
      <c r="C5479" s="16" t="str">
        <f>IFERROR(VLOOKUP(DATA!#REF!,DATA!#REF!,1,FALSE),"")</f>
        <v/>
      </c>
      <c r="D5479" s="16" t="str">
        <f>IFERROR(VLOOKUP(C5479,DATA!#REF!,2,FALSE),"")</f>
        <v/>
      </c>
    </row>
    <row r="5480" spans="3:4" s="230" customFormat="1">
      <c r="C5480" s="16" t="str">
        <f>IFERROR(VLOOKUP(DATA!#REF!,DATA!#REF!,1,FALSE),"")</f>
        <v/>
      </c>
      <c r="D5480" s="16" t="str">
        <f>IFERROR(VLOOKUP(C5480,DATA!#REF!,2,FALSE),"")</f>
        <v/>
      </c>
    </row>
    <row r="5481" spans="3:4" s="230" customFormat="1">
      <c r="C5481" s="16" t="str">
        <f>IFERROR(VLOOKUP(DATA!#REF!,DATA!#REF!,1,FALSE),"")</f>
        <v/>
      </c>
      <c r="D5481" s="16" t="str">
        <f>IFERROR(VLOOKUP(C5481,DATA!#REF!,2,FALSE),"")</f>
        <v/>
      </c>
    </row>
    <row r="5482" spans="3:4" s="230" customFormat="1">
      <c r="C5482" s="16" t="str">
        <f>IFERROR(VLOOKUP(DATA!#REF!,DATA!#REF!,1,FALSE),"")</f>
        <v/>
      </c>
      <c r="D5482" s="16" t="str">
        <f>IFERROR(VLOOKUP(C5482,DATA!#REF!,2,FALSE),"")</f>
        <v/>
      </c>
    </row>
    <row r="5483" spans="3:4" s="230" customFormat="1">
      <c r="C5483" s="16" t="str">
        <f>IFERROR(VLOOKUP(DATA!#REF!,DATA!#REF!,1,FALSE),"")</f>
        <v/>
      </c>
      <c r="D5483" s="16" t="str">
        <f>IFERROR(VLOOKUP(C5483,DATA!#REF!,2,FALSE),"")</f>
        <v/>
      </c>
    </row>
    <row r="5484" spans="3:4" s="230" customFormat="1">
      <c r="C5484" s="16" t="str">
        <f>IFERROR(VLOOKUP(DATA!#REF!,DATA!#REF!,1,FALSE),"")</f>
        <v/>
      </c>
      <c r="D5484" s="16" t="str">
        <f>IFERROR(VLOOKUP(C5484,DATA!#REF!,2,FALSE),"")</f>
        <v/>
      </c>
    </row>
    <row r="5485" spans="3:4" s="230" customFormat="1">
      <c r="C5485" s="16" t="str">
        <f>IFERROR(VLOOKUP(DATA!#REF!,DATA!#REF!,1,FALSE),"")</f>
        <v/>
      </c>
      <c r="D5485" s="16" t="str">
        <f>IFERROR(VLOOKUP(C5485,DATA!#REF!,2,FALSE),"")</f>
        <v/>
      </c>
    </row>
    <row r="5486" spans="3:4" s="230" customFormat="1">
      <c r="C5486" s="16" t="str">
        <f>IFERROR(VLOOKUP(DATA!#REF!,DATA!#REF!,1,FALSE),"")</f>
        <v/>
      </c>
      <c r="D5486" s="16" t="str">
        <f>IFERROR(VLOOKUP(C5486,DATA!#REF!,2,FALSE),"")</f>
        <v/>
      </c>
    </row>
    <row r="5487" spans="3:4" s="230" customFormat="1">
      <c r="C5487" s="16" t="str">
        <f>IFERROR(VLOOKUP(DATA!#REF!,DATA!#REF!,1,FALSE),"")</f>
        <v/>
      </c>
      <c r="D5487" s="16" t="str">
        <f>IFERROR(VLOOKUP(C5487,DATA!#REF!,2,FALSE),"")</f>
        <v/>
      </c>
    </row>
    <row r="5488" spans="3:4" s="230" customFormat="1">
      <c r="C5488" s="16" t="str">
        <f>IFERROR(VLOOKUP(DATA!#REF!,DATA!#REF!,1,FALSE),"")</f>
        <v/>
      </c>
      <c r="D5488" s="16" t="str">
        <f>IFERROR(VLOOKUP(C5488,DATA!#REF!,2,FALSE),"")</f>
        <v/>
      </c>
    </row>
    <row r="5489" spans="3:4" s="230" customFormat="1">
      <c r="C5489" s="16" t="str">
        <f>IFERROR(VLOOKUP(DATA!#REF!,DATA!#REF!,1,FALSE),"")</f>
        <v/>
      </c>
      <c r="D5489" s="16" t="str">
        <f>IFERROR(VLOOKUP(C5489,DATA!#REF!,2,FALSE),"")</f>
        <v/>
      </c>
    </row>
    <row r="5490" spans="3:4" s="230" customFormat="1">
      <c r="C5490" s="16" t="str">
        <f>IFERROR(VLOOKUP(DATA!#REF!,DATA!#REF!,1,FALSE),"")</f>
        <v/>
      </c>
      <c r="D5490" s="16" t="str">
        <f>IFERROR(VLOOKUP(C5490,DATA!#REF!,2,FALSE),"")</f>
        <v/>
      </c>
    </row>
    <row r="5491" spans="3:4" s="230" customFormat="1">
      <c r="C5491" s="16" t="str">
        <f>IFERROR(VLOOKUP(DATA!#REF!,DATA!#REF!,1,FALSE),"")</f>
        <v/>
      </c>
      <c r="D5491" s="16" t="str">
        <f>IFERROR(VLOOKUP(C5491,DATA!#REF!,2,FALSE),"")</f>
        <v/>
      </c>
    </row>
    <row r="5492" spans="3:4" s="230" customFormat="1">
      <c r="C5492" s="16" t="str">
        <f>IFERROR(VLOOKUP(DATA!#REF!,DATA!#REF!,1,FALSE),"")</f>
        <v/>
      </c>
      <c r="D5492" s="16" t="str">
        <f>IFERROR(VLOOKUP(C5492,DATA!#REF!,2,FALSE),"")</f>
        <v/>
      </c>
    </row>
    <row r="5493" spans="3:4" s="230" customFormat="1">
      <c r="C5493" s="16" t="str">
        <f>IFERROR(VLOOKUP(DATA!#REF!,DATA!#REF!,1,FALSE),"")</f>
        <v/>
      </c>
      <c r="D5493" s="16" t="str">
        <f>IFERROR(VLOOKUP(C5493,DATA!#REF!,2,FALSE),"")</f>
        <v/>
      </c>
    </row>
    <row r="5494" spans="3:4" s="230" customFormat="1">
      <c r="C5494" s="16" t="str">
        <f>IFERROR(VLOOKUP(DATA!#REF!,DATA!#REF!,1,FALSE),"")</f>
        <v/>
      </c>
      <c r="D5494" s="16" t="str">
        <f>IFERROR(VLOOKUP(C5494,DATA!#REF!,2,FALSE),"")</f>
        <v/>
      </c>
    </row>
    <row r="5495" spans="3:4" s="230" customFormat="1">
      <c r="C5495" s="16" t="str">
        <f>IFERROR(VLOOKUP(DATA!#REF!,DATA!#REF!,1,FALSE),"")</f>
        <v/>
      </c>
      <c r="D5495" s="16" t="str">
        <f>IFERROR(VLOOKUP(C5495,DATA!#REF!,2,FALSE),"")</f>
        <v/>
      </c>
    </row>
    <row r="5496" spans="3:4" s="230" customFormat="1">
      <c r="C5496" s="16" t="str">
        <f>IFERROR(VLOOKUP(DATA!#REF!,DATA!#REF!,1,FALSE),"")</f>
        <v/>
      </c>
      <c r="D5496" s="16" t="str">
        <f>IFERROR(VLOOKUP(C5496,DATA!#REF!,2,FALSE),"")</f>
        <v/>
      </c>
    </row>
    <row r="5497" spans="3:4" s="230" customFormat="1">
      <c r="C5497" s="16" t="str">
        <f>IFERROR(VLOOKUP(DATA!#REF!,DATA!#REF!,1,FALSE),"")</f>
        <v/>
      </c>
      <c r="D5497" s="16" t="str">
        <f>IFERROR(VLOOKUP(C5497,DATA!#REF!,2,FALSE),"")</f>
        <v/>
      </c>
    </row>
    <row r="5498" spans="3:4" s="230" customFormat="1">
      <c r="C5498" s="16" t="str">
        <f>IFERROR(VLOOKUP(DATA!#REF!,DATA!#REF!,1,FALSE),"")</f>
        <v/>
      </c>
      <c r="D5498" s="16" t="str">
        <f>IFERROR(VLOOKUP(C5498,DATA!#REF!,2,FALSE),"")</f>
        <v/>
      </c>
    </row>
    <row r="5499" spans="3:4" s="230" customFormat="1">
      <c r="C5499" s="16" t="str">
        <f>IFERROR(VLOOKUP(DATA!#REF!,DATA!#REF!,1,FALSE),"")</f>
        <v/>
      </c>
      <c r="D5499" s="16" t="str">
        <f>IFERROR(VLOOKUP(C5499,DATA!#REF!,2,FALSE),"")</f>
        <v/>
      </c>
    </row>
    <row r="5500" spans="3:4" s="230" customFormat="1">
      <c r="C5500" s="16" t="str">
        <f>IFERROR(VLOOKUP(DATA!#REF!,DATA!#REF!,1,FALSE),"")</f>
        <v/>
      </c>
      <c r="D5500" s="16" t="str">
        <f>IFERROR(VLOOKUP(C5500,DATA!#REF!,2,FALSE),"")</f>
        <v/>
      </c>
    </row>
    <row r="5501" spans="3:4" s="230" customFormat="1">
      <c r="C5501" s="16" t="str">
        <f>IFERROR(VLOOKUP(DATA!#REF!,DATA!#REF!,1,FALSE),"")</f>
        <v/>
      </c>
      <c r="D5501" s="16" t="str">
        <f>IFERROR(VLOOKUP(C5501,DATA!#REF!,2,FALSE),"")</f>
        <v/>
      </c>
    </row>
    <row r="5502" spans="3:4" s="230" customFormat="1">
      <c r="C5502" s="16" t="str">
        <f>IFERROR(VLOOKUP(DATA!#REF!,DATA!#REF!,1,FALSE),"")</f>
        <v/>
      </c>
      <c r="D5502" s="16" t="str">
        <f>IFERROR(VLOOKUP(C5502,DATA!#REF!,2,FALSE),"")</f>
        <v/>
      </c>
    </row>
    <row r="5503" spans="3:4" s="230" customFormat="1">
      <c r="C5503" s="16" t="str">
        <f>IFERROR(VLOOKUP(DATA!#REF!,DATA!#REF!,1,FALSE),"")</f>
        <v/>
      </c>
      <c r="D5503" s="16" t="str">
        <f>IFERROR(VLOOKUP(C5503,DATA!#REF!,2,FALSE),"")</f>
        <v/>
      </c>
    </row>
    <row r="5504" spans="3:4" s="230" customFormat="1">
      <c r="C5504" s="16" t="str">
        <f>IFERROR(VLOOKUP(DATA!#REF!,DATA!#REF!,1,FALSE),"")</f>
        <v/>
      </c>
      <c r="D5504" s="16" t="str">
        <f>IFERROR(VLOOKUP(C5504,DATA!#REF!,2,FALSE),"")</f>
        <v/>
      </c>
    </row>
    <row r="5505" spans="3:4" s="230" customFormat="1">
      <c r="C5505" s="16" t="str">
        <f>IFERROR(VLOOKUP(DATA!#REF!,DATA!#REF!,1,FALSE),"")</f>
        <v/>
      </c>
      <c r="D5505" s="16" t="str">
        <f>IFERROR(VLOOKUP(C5505,DATA!#REF!,2,FALSE),"")</f>
        <v/>
      </c>
    </row>
    <row r="5506" spans="3:4" s="230" customFormat="1">
      <c r="C5506" s="16" t="str">
        <f>IFERROR(VLOOKUP(DATA!#REF!,DATA!#REF!,1,FALSE),"")</f>
        <v/>
      </c>
      <c r="D5506" s="16" t="str">
        <f>IFERROR(VLOOKUP(C5506,DATA!#REF!,2,FALSE),"")</f>
        <v/>
      </c>
    </row>
    <row r="5507" spans="3:4" s="230" customFormat="1">
      <c r="C5507" s="16" t="str">
        <f>IFERROR(VLOOKUP(DATA!#REF!,DATA!#REF!,1,FALSE),"")</f>
        <v/>
      </c>
      <c r="D5507" s="16" t="str">
        <f>IFERROR(VLOOKUP(C5507,DATA!#REF!,2,FALSE),"")</f>
        <v/>
      </c>
    </row>
    <row r="5508" spans="3:4" s="230" customFormat="1">
      <c r="C5508" s="16" t="str">
        <f>IFERROR(VLOOKUP(DATA!#REF!,DATA!#REF!,1,FALSE),"")</f>
        <v/>
      </c>
      <c r="D5508" s="16" t="str">
        <f>IFERROR(VLOOKUP(C5508,DATA!#REF!,2,FALSE),"")</f>
        <v/>
      </c>
    </row>
    <row r="5509" spans="3:4" s="230" customFormat="1">
      <c r="C5509" s="16" t="str">
        <f>IFERROR(VLOOKUP(DATA!#REF!,DATA!#REF!,1,FALSE),"")</f>
        <v/>
      </c>
      <c r="D5509" s="16" t="str">
        <f>IFERROR(VLOOKUP(C5509,DATA!#REF!,2,FALSE),"")</f>
        <v/>
      </c>
    </row>
    <row r="5510" spans="3:4" s="230" customFormat="1">
      <c r="C5510" s="16" t="str">
        <f>IFERROR(VLOOKUP(DATA!#REF!,DATA!#REF!,1,FALSE),"")</f>
        <v/>
      </c>
      <c r="D5510" s="16" t="str">
        <f>IFERROR(VLOOKUP(C5510,DATA!#REF!,2,FALSE),"")</f>
        <v/>
      </c>
    </row>
    <row r="5511" spans="3:4" s="230" customFormat="1">
      <c r="C5511" s="16" t="str">
        <f>IFERROR(VLOOKUP(DATA!#REF!,DATA!#REF!,1,FALSE),"")</f>
        <v/>
      </c>
      <c r="D5511" s="16" t="str">
        <f>IFERROR(VLOOKUP(C5511,DATA!#REF!,2,FALSE),"")</f>
        <v/>
      </c>
    </row>
    <row r="5512" spans="3:4" s="230" customFormat="1">
      <c r="C5512" s="16" t="str">
        <f>IFERROR(VLOOKUP(DATA!#REF!,DATA!#REF!,1,FALSE),"")</f>
        <v/>
      </c>
      <c r="D5512" s="16" t="str">
        <f>IFERROR(VLOOKUP(C5512,DATA!#REF!,2,FALSE),"")</f>
        <v/>
      </c>
    </row>
    <row r="5513" spans="3:4" s="230" customFormat="1">
      <c r="C5513" s="16" t="str">
        <f>IFERROR(VLOOKUP(DATA!#REF!,DATA!#REF!,1,FALSE),"")</f>
        <v/>
      </c>
      <c r="D5513" s="16" t="str">
        <f>IFERROR(VLOOKUP(C5513,DATA!#REF!,2,FALSE),"")</f>
        <v/>
      </c>
    </row>
    <row r="5514" spans="3:4" s="230" customFormat="1">
      <c r="C5514" s="16" t="str">
        <f>IFERROR(VLOOKUP(DATA!#REF!,DATA!#REF!,1,FALSE),"")</f>
        <v/>
      </c>
      <c r="D5514" s="16" t="str">
        <f>IFERROR(VLOOKUP(C5514,DATA!#REF!,2,FALSE),"")</f>
        <v/>
      </c>
    </row>
    <row r="5515" spans="3:4" s="230" customFormat="1">
      <c r="C5515" s="16" t="str">
        <f>IFERROR(VLOOKUP(DATA!#REF!,DATA!#REF!,1,FALSE),"")</f>
        <v/>
      </c>
      <c r="D5515" s="16" t="str">
        <f>IFERROR(VLOOKUP(C5515,DATA!#REF!,2,FALSE),"")</f>
        <v/>
      </c>
    </row>
    <row r="5516" spans="3:4" s="230" customFormat="1">
      <c r="C5516" s="16" t="str">
        <f>IFERROR(VLOOKUP(DATA!#REF!,DATA!#REF!,1,FALSE),"")</f>
        <v/>
      </c>
      <c r="D5516" s="16" t="str">
        <f>IFERROR(VLOOKUP(C5516,DATA!#REF!,2,FALSE),"")</f>
        <v/>
      </c>
    </row>
    <row r="5517" spans="3:4" s="230" customFormat="1">
      <c r="C5517" s="16" t="str">
        <f>IFERROR(VLOOKUP(DATA!#REF!,DATA!#REF!,1,FALSE),"")</f>
        <v/>
      </c>
      <c r="D5517" s="16" t="str">
        <f>IFERROR(VLOOKUP(C5517,DATA!#REF!,2,FALSE),"")</f>
        <v/>
      </c>
    </row>
    <row r="5518" spans="3:4" s="230" customFormat="1">
      <c r="C5518" s="16" t="str">
        <f>IFERROR(VLOOKUP(DATA!#REF!,DATA!#REF!,1,FALSE),"")</f>
        <v/>
      </c>
      <c r="D5518" s="16" t="str">
        <f>IFERROR(VLOOKUP(C5518,DATA!#REF!,2,FALSE),"")</f>
        <v/>
      </c>
    </row>
    <row r="5519" spans="3:4" s="230" customFormat="1">
      <c r="C5519" s="16" t="str">
        <f>IFERROR(VLOOKUP(DATA!#REF!,DATA!#REF!,1,FALSE),"")</f>
        <v/>
      </c>
      <c r="D5519" s="16" t="str">
        <f>IFERROR(VLOOKUP(C5519,DATA!#REF!,2,FALSE),"")</f>
        <v/>
      </c>
    </row>
    <row r="5520" spans="3:4" s="230" customFormat="1">
      <c r="C5520" s="16" t="str">
        <f>IFERROR(VLOOKUP(DATA!#REF!,DATA!#REF!,1,FALSE),"")</f>
        <v/>
      </c>
      <c r="D5520" s="16" t="str">
        <f>IFERROR(VLOOKUP(C5520,DATA!#REF!,2,FALSE),"")</f>
        <v/>
      </c>
    </row>
    <row r="5521" spans="3:4" s="230" customFormat="1">
      <c r="C5521" s="16" t="str">
        <f>IFERROR(VLOOKUP(DATA!#REF!,DATA!#REF!,1,FALSE),"")</f>
        <v/>
      </c>
      <c r="D5521" s="16" t="str">
        <f>IFERROR(VLOOKUP(C5521,DATA!#REF!,2,FALSE),"")</f>
        <v/>
      </c>
    </row>
    <row r="5522" spans="3:4" s="230" customFormat="1">
      <c r="C5522" s="16" t="str">
        <f>IFERROR(VLOOKUP(DATA!#REF!,DATA!#REF!,1,FALSE),"")</f>
        <v/>
      </c>
      <c r="D5522" s="16" t="str">
        <f>IFERROR(VLOOKUP(C5522,DATA!#REF!,2,FALSE),"")</f>
        <v/>
      </c>
    </row>
    <row r="5523" spans="3:4" s="230" customFormat="1">
      <c r="C5523" s="16" t="str">
        <f>IFERROR(VLOOKUP(DATA!#REF!,DATA!#REF!,1,FALSE),"")</f>
        <v/>
      </c>
      <c r="D5523" s="16" t="str">
        <f>IFERROR(VLOOKUP(C5523,DATA!#REF!,2,FALSE),"")</f>
        <v/>
      </c>
    </row>
    <row r="5524" spans="3:4" s="230" customFormat="1">
      <c r="C5524" s="16" t="str">
        <f>IFERROR(VLOOKUP(DATA!#REF!,DATA!#REF!,1,FALSE),"")</f>
        <v/>
      </c>
      <c r="D5524" s="16" t="str">
        <f>IFERROR(VLOOKUP(C5524,DATA!#REF!,2,FALSE),"")</f>
        <v/>
      </c>
    </row>
    <row r="5525" spans="3:4" s="230" customFormat="1">
      <c r="C5525" s="16" t="str">
        <f>IFERROR(VLOOKUP(DATA!#REF!,DATA!#REF!,1,FALSE),"")</f>
        <v/>
      </c>
      <c r="D5525" s="16" t="str">
        <f>IFERROR(VLOOKUP(C5525,DATA!#REF!,2,FALSE),"")</f>
        <v/>
      </c>
    </row>
    <row r="5526" spans="3:4" s="230" customFormat="1">
      <c r="C5526" s="16" t="str">
        <f>IFERROR(VLOOKUP(DATA!#REF!,DATA!#REF!,1,FALSE),"")</f>
        <v/>
      </c>
      <c r="D5526" s="16" t="str">
        <f>IFERROR(VLOOKUP(C5526,DATA!#REF!,2,FALSE),"")</f>
        <v/>
      </c>
    </row>
    <row r="5527" spans="3:4" s="230" customFormat="1">
      <c r="C5527" s="16" t="str">
        <f>IFERROR(VLOOKUP(DATA!#REF!,DATA!#REF!,1,FALSE),"")</f>
        <v/>
      </c>
      <c r="D5527" s="16" t="str">
        <f>IFERROR(VLOOKUP(C5527,DATA!#REF!,2,FALSE),"")</f>
        <v/>
      </c>
    </row>
    <row r="5528" spans="3:4" s="230" customFormat="1">
      <c r="C5528" s="16" t="str">
        <f>IFERROR(VLOOKUP(DATA!#REF!,DATA!#REF!,1,FALSE),"")</f>
        <v/>
      </c>
      <c r="D5528" s="16" t="str">
        <f>IFERROR(VLOOKUP(C5528,DATA!#REF!,2,FALSE),"")</f>
        <v/>
      </c>
    </row>
    <row r="5529" spans="3:4" s="230" customFormat="1">
      <c r="C5529" s="16" t="str">
        <f>IFERROR(VLOOKUP(DATA!#REF!,DATA!#REF!,1,FALSE),"")</f>
        <v/>
      </c>
      <c r="D5529" s="16" t="str">
        <f>IFERROR(VLOOKUP(C5529,DATA!#REF!,2,FALSE),"")</f>
        <v/>
      </c>
    </row>
    <row r="5530" spans="3:4" s="230" customFormat="1">
      <c r="C5530" s="16" t="str">
        <f>IFERROR(VLOOKUP(DATA!#REF!,DATA!#REF!,1,FALSE),"")</f>
        <v/>
      </c>
      <c r="D5530" s="16" t="str">
        <f>IFERROR(VLOOKUP(C5530,DATA!#REF!,2,FALSE),"")</f>
        <v/>
      </c>
    </row>
    <row r="5531" spans="3:4" s="230" customFormat="1">
      <c r="C5531" s="16" t="str">
        <f>IFERROR(VLOOKUP(DATA!#REF!,DATA!#REF!,1,FALSE),"")</f>
        <v/>
      </c>
      <c r="D5531" s="16" t="str">
        <f>IFERROR(VLOOKUP(C5531,DATA!#REF!,2,FALSE),"")</f>
        <v/>
      </c>
    </row>
    <row r="5532" spans="3:4" s="230" customFormat="1">
      <c r="C5532" s="16" t="str">
        <f>IFERROR(VLOOKUP(DATA!#REF!,DATA!#REF!,1,FALSE),"")</f>
        <v/>
      </c>
      <c r="D5532" s="16" t="str">
        <f>IFERROR(VLOOKUP(C5532,DATA!#REF!,2,FALSE),"")</f>
        <v/>
      </c>
    </row>
    <row r="5533" spans="3:4" s="230" customFormat="1">
      <c r="C5533" s="16" t="str">
        <f>IFERROR(VLOOKUP(DATA!#REF!,DATA!#REF!,1,FALSE),"")</f>
        <v/>
      </c>
      <c r="D5533" s="16" t="str">
        <f>IFERROR(VLOOKUP(C5533,DATA!#REF!,2,FALSE),"")</f>
        <v/>
      </c>
    </row>
    <row r="5534" spans="3:4" s="230" customFormat="1">
      <c r="C5534" s="16" t="str">
        <f>IFERROR(VLOOKUP(DATA!#REF!,DATA!#REF!,1,FALSE),"")</f>
        <v/>
      </c>
      <c r="D5534" s="16" t="str">
        <f>IFERROR(VLOOKUP(C5534,DATA!#REF!,2,FALSE),"")</f>
        <v/>
      </c>
    </row>
    <row r="5535" spans="3:4" s="230" customFormat="1">
      <c r="C5535" s="16" t="str">
        <f>IFERROR(VLOOKUP(DATA!#REF!,DATA!#REF!,1,FALSE),"")</f>
        <v/>
      </c>
      <c r="D5535" s="16" t="str">
        <f>IFERROR(VLOOKUP(C5535,DATA!#REF!,2,FALSE),"")</f>
        <v/>
      </c>
    </row>
    <row r="5536" spans="3:4" s="230" customFormat="1">
      <c r="C5536" s="16" t="str">
        <f>IFERROR(VLOOKUP(DATA!#REF!,DATA!#REF!,1,FALSE),"")</f>
        <v/>
      </c>
      <c r="D5536" s="16" t="str">
        <f>IFERROR(VLOOKUP(C5536,DATA!#REF!,2,FALSE),"")</f>
        <v/>
      </c>
    </row>
    <row r="5537" spans="3:4" s="230" customFormat="1">
      <c r="C5537" s="16" t="str">
        <f>IFERROR(VLOOKUP(DATA!#REF!,DATA!#REF!,1,FALSE),"")</f>
        <v/>
      </c>
      <c r="D5537" s="16" t="str">
        <f>IFERROR(VLOOKUP(C5537,DATA!#REF!,2,FALSE),"")</f>
        <v/>
      </c>
    </row>
    <row r="5538" spans="3:4" s="230" customFormat="1">
      <c r="C5538" s="16" t="str">
        <f>IFERROR(VLOOKUP(DATA!#REF!,DATA!#REF!,1,FALSE),"")</f>
        <v/>
      </c>
      <c r="D5538" s="16" t="str">
        <f>IFERROR(VLOOKUP(C5538,DATA!#REF!,2,FALSE),"")</f>
        <v/>
      </c>
    </row>
    <row r="5539" spans="3:4" s="230" customFormat="1">
      <c r="C5539" s="16" t="str">
        <f>IFERROR(VLOOKUP(DATA!#REF!,DATA!#REF!,1,FALSE),"")</f>
        <v/>
      </c>
      <c r="D5539" s="16" t="str">
        <f>IFERROR(VLOOKUP(C5539,DATA!#REF!,2,FALSE),"")</f>
        <v/>
      </c>
    </row>
    <row r="5540" spans="3:4" s="230" customFormat="1">
      <c r="C5540" s="16" t="str">
        <f>IFERROR(VLOOKUP(DATA!#REF!,DATA!#REF!,1,FALSE),"")</f>
        <v/>
      </c>
      <c r="D5540" s="16" t="str">
        <f>IFERROR(VLOOKUP(C5540,DATA!#REF!,2,FALSE),"")</f>
        <v/>
      </c>
    </row>
    <row r="5541" spans="3:4" s="230" customFormat="1">
      <c r="C5541" s="16" t="str">
        <f>IFERROR(VLOOKUP(DATA!#REF!,DATA!#REF!,1,FALSE),"")</f>
        <v/>
      </c>
      <c r="D5541" s="16" t="str">
        <f>IFERROR(VLOOKUP(C5541,DATA!#REF!,2,FALSE),"")</f>
        <v/>
      </c>
    </row>
    <row r="5542" spans="3:4" s="230" customFormat="1">
      <c r="C5542" s="16" t="str">
        <f>IFERROR(VLOOKUP(DATA!#REF!,DATA!#REF!,1,FALSE),"")</f>
        <v/>
      </c>
      <c r="D5542" s="16" t="str">
        <f>IFERROR(VLOOKUP(C5542,DATA!#REF!,2,FALSE),"")</f>
        <v/>
      </c>
    </row>
    <row r="5543" spans="3:4" s="230" customFormat="1">
      <c r="C5543" s="16" t="str">
        <f>IFERROR(VLOOKUP(DATA!#REF!,DATA!#REF!,1,FALSE),"")</f>
        <v/>
      </c>
      <c r="D5543" s="16" t="str">
        <f>IFERROR(VLOOKUP(C5543,DATA!#REF!,2,FALSE),"")</f>
        <v/>
      </c>
    </row>
    <row r="5544" spans="3:4" s="230" customFormat="1">
      <c r="C5544" s="16" t="str">
        <f>IFERROR(VLOOKUP(DATA!#REF!,DATA!#REF!,1,FALSE),"")</f>
        <v/>
      </c>
      <c r="D5544" s="16" t="str">
        <f>IFERROR(VLOOKUP(C5544,DATA!#REF!,2,FALSE),"")</f>
        <v/>
      </c>
    </row>
    <row r="5545" spans="3:4" s="230" customFormat="1">
      <c r="C5545" s="16" t="str">
        <f>IFERROR(VLOOKUP(DATA!#REF!,DATA!#REF!,1,FALSE),"")</f>
        <v/>
      </c>
      <c r="D5545" s="16" t="str">
        <f>IFERROR(VLOOKUP(C5545,DATA!#REF!,2,FALSE),"")</f>
        <v/>
      </c>
    </row>
    <row r="5546" spans="3:4" s="230" customFormat="1">
      <c r="C5546" s="16" t="str">
        <f>IFERROR(VLOOKUP(DATA!#REF!,DATA!#REF!,1,FALSE),"")</f>
        <v/>
      </c>
      <c r="D5546" s="16" t="str">
        <f>IFERROR(VLOOKUP(C5546,DATA!#REF!,2,FALSE),"")</f>
        <v/>
      </c>
    </row>
    <row r="5547" spans="3:4" s="230" customFormat="1">
      <c r="C5547" s="16" t="str">
        <f>IFERROR(VLOOKUP(DATA!#REF!,DATA!#REF!,1,FALSE),"")</f>
        <v/>
      </c>
      <c r="D5547" s="16" t="str">
        <f>IFERROR(VLOOKUP(C5547,DATA!#REF!,2,FALSE),"")</f>
        <v/>
      </c>
    </row>
    <row r="5548" spans="3:4" s="230" customFormat="1">
      <c r="C5548" s="16" t="str">
        <f>IFERROR(VLOOKUP(DATA!#REF!,DATA!#REF!,1,FALSE),"")</f>
        <v/>
      </c>
      <c r="D5548" s="16" t="str">
        <f>IFERROR(VLOOKUP(C5548,DATA!#REF!,2,FALSE),"")</f>
        <v/>
      </c>
    </row>
    <row r="5549" spans="3:4" s="230" customFormat="1">
      <c r="C5549" s="16" t="str">
        <f>IFERROR(VLOOKUP(DATA!#REF!,DATA!#REF!,1,FALSE),"")</f>
        <v/>
      </c>
      <c r="D5549" s="16" t="str">
        <f>IFERROR(VLOOKUP(C5549,DATA!#REF!,2,FALSE),"")</f>
        <v/>
      </c>
    </row>
    <row r="5550" spans="3:4" s="230" customFormat="1">
      <c r="C5550" s="16" t="str">
        <f>IFERROR(VLOOKUP(DATA!#REF!,DATA!#REF!,1,FALSE),"")</f>
        <v/>
      </c>
      <c r="D5550" s="16" t="str">
        <f>IFERROR(VLOOKUP(C5550,DATA!#REF!,2,FALSE),"")</f>
        <v/>
      </c>
    </row>
    <row r="5551" spans="3:4" s="230" customFormat="1">
      <c r="C5551" s="16" t="str">
        <f>IFERROR(VLOOKUP(DATA!#REF!,DATA!#REF!,1,FALSE),"")</f>
        <v/>
      </c>
      <c r="D5551" s="16" t="str">
        <f>IFERROR(VLOOKUP(C5551,DATA!#REF!,2,FALSE),"")</f>
        <v/>
      </c>
    </row>
    <row r="5552" spans="3:4" s="230" customFormat="1">
      <c r="C5552" s="16" t="str">
        <f>IFERROR(VLOOKUP(DATA!#REF!,DATA!#REF!,1,FALSE),"")</f>
        <v/>
      </c>
      <c r="D5552" s="16" t="str">
        <f>IFERROR(VLOOKUP(C5552,DATA!#REF!,2,FALSE),"")</f>
        <v/>
      </c>
    </row>
    <row r="5553" spans="3:4" s="230" customFormat="1">
      <c r="C5553" s="16" t="str">
        <f>IFERROR(VLOOKUP(DATA!#REF!,DATA!#REF!,1,FALSE),"")</f>
        <v/>
      </c>
      <c r="D5553" s="16" t="str">
        <f>IFERROR(VLOOKUP(C5553,DATA!#REF!,2,FALSE),"")</f>
        <v/>
      </c>
    </row>
    <row r="5554" spans="3:4" s="230" customFormat="1">
      <c r="C5554" s="16" t="str">
        <f>IFERROR(VLOOKUP(DATA!#REF!,DATA!#REF!,1,FALSE),"")</f>
        <v/>
      </c>
      <c r="D5554" s="16" t="str">
        <f>IFERROR(VLOOKUP(C5554,DATA!#REF!,2,FALSE),"")</f>
        <v/>
      </c>
    </row>
    <row r="5555" spans="3:4" s="230" customFormat="1">
      <c r="C5555" s="16" t="str">
        <f>IFERROR(VLOOKUP(DATA!#REF!,DATA!#REF!,1,FALSE),"")</f>
        <v/>
      </c>
      <c r="D5555" s="16" t="str">
        <f>IFERROR(VLOOKUP(C5555,DATA!#REF!,2,FALSE),"")</f>
        <v/>
      </c>
    </row>
    <row r="5556" spans="3:4" s="230" customFormat="1">
      <c r="C5556" s="16" t="str">
        <f>IFERROR(VLOOKUP(DATA!#REF!,DATA!#REF!,1,FALSE),"")</f>
        <v/>
      </c>
      <c r="D5556" s="16" t="str">
        <f>IFERROR(VLOOKUP(C5556,DATA!#REF!,2,FALSE),"")</f>
        <v/>
      </c>
    </row>
    <row r="5557" spans="3:4" s="230" customFormat="1">
      <c r="C5557" s="16" t="str">
        <f>IFERROR(VLOOKUP(DATA!#REF!,DATA!#REF!,1,FALSE),"")</f>
        <v/>
      </c>
      <c r="D5557" s="16" t="str">
        <f>IFERROR(VLOOKUP(C5557,DATA!#REF!,2,FALSE),"")</f>
        <v/>
      </c>
    </row>
    <row r="5558" spans="3:4" s="230" customFormat="1">
      <c r="C5558" s="16" t="str">
        <f>IFERROR(VLOOKUP(DATA!#REF!,DATA!#REF!,1,FALSE),"")</f>
        <v/>
      </c>
      <c r="D5558" s="16" t="str">
        <f>IFERROR(VLOOKUP(C5558,DATA!#REF!,2,FALSE),"")</f>
        <v/>
      </c>
    </row>
    <row r="5559" spans="3:4" s="230" customFormat="1">
      <c r="C5559" s="16" t="str">
        <f>IFERROR(VLOOKUP(DATA!#REF!,DATA!#REF!,1,FALSE),"")</f>
        <v/>
      </c>
      <c r="D5559" s="16" t="str">
        <f>IFERROR(VLOOKUP(C5559,DATA!#REF!,2,FALSE),"")</f>
        <v/>
      </c>
    </row>
    <row r="5560" spans="3:4" s="230" customFormat="1">
      <c r="C5560" s="16" t="str">
        <f>IFERROR(VLOOKUP(DATA!#REF!,DATA!#REF!,1,FALSE),"")</f>
        <v/>
      </c>
      <c r="D5560" s="16" t="str">
        <f>IFERROR(VLOOKUP(C5560,DATA!#REF!,2,FALSE),"")</f>
        <v/>
      </c>
    </row>
    <row r="5561" spans="3:4" s="230" customFormat="1">
      <c r="C5561" s="16" t="str">
        <f>IFERROR(VLOOKUP(DATA!#REF!,DATA!#REF!,1,FALSE),"")</f>
        <v/>
      </c>
      <c r="D5561" s="16" t="str">
        <f>IFERROR(VLOOKUP(C5561,DATA!#REF!,2,FALSE),"")</f>
        <v/>
      </c>
    </row>
    <row r="5562" spans="3:4" s="230" customFormat="1">
      <c r="C5562" s="16" t="str">
        <f>IFERROR(VLOOKUP(DATA!#REF!,DATA!#REF!,1,FALSE),"")</f>
        <v/>
      </c>
      <c r="D5562" s="16" t="str">
        <f>IFERROR(VLOOKUP(C5562,DATA!#REF!,2,FALSE),"")</f>
        <v/>
      </c>
    </row>
    <row r="5563" spans="3:4" s="230" customFormat="1">
      <c r="C5563" s="16" t="str">
        <f>IFERROR(VLOOKUP(DATA!#REF!,DATA!#REF!,1,FALSE),"")</f>
        <v/>
      </c>
      <c r="D5563" s="16" t="str">
        <f>IFERROR(VLOOKUP(C5563,DATA!#REF!,2,FALSE),"")</f>
        <v/>
      </c>
    </row>
    <row r="5564" spans="3:4" s="230" customFormat="1">
      <c r="C5564" s="16" t="str">
        <f>IFERROR(VLOOKUP(DATA!#REF!,DATA!#REF!,1,FALSE),"")</f>
        <v/>
      </c>
      <c r="D5564" s="16" t="str">
        <f>IFERROR(VLOOKUP(C5564,DATA!#REF!,2,FALSE),"")</f>
        <v/>
      </c>
    </row>
    <row r="5565" spans="3:4" s="230" customFormat="1">
      <c r="C5565" s="16" t="str">
        <f>IFERROR(VLOOKUP(DATA!#REF!,DATA!#REF!,1,FALSE),"")</f>
        <v/>
      </c>
      <c r="D5565" s="16" t="str">
        <f>IFERROR(VLOOKUP(C5565,DATA!#REF!,2,FALSE),"")</f>
        <v/>
      </c>
    </row>
    <row r="5566" spans="3:4" s="230" customFormat="1">
      <c r="C5566" s="16" t="str">
        <f>IFERROR(VLOOKUP(DATA!#REF!,DATA!#REF!,1,FALSE),"")</f>
        <v/>
      </c>
      <c r="D5566" s="16" t="str">
        <f>IFERROR(VLOOKUP(C5566,DATA!#REF!,2,FALSE),"")</f>
        <v/>
      </c>
    </row>
    <row r="5567" spans="3:4" s="230" customFormat="1">
      <c r="C5567" s="16" t="str">
        <f>IFERROR(VLOOKUP(DATA!#REF!,DATA!#REF!,1,FALSE),"")</f>
        <v/>
      </c>
      <c r="D5567" s="16" t="str">
        <f>IFERROR(VLOOKUP(C5567,DATA!#REF!,2,FALSE),"")</f>
        <v/>
      </c>
    </row>
    <row r="5568" spans="3:4" s="230" customFormat="1">
      <c r="C5568" s="16" t="str">
        <f>IFERROR(VLOOKUP(DATA!#REF!,DATA!#REF!,1,FALSE),"")</f>
        <v/>
      </c>
      <c r="D5568" s="16" t="str">
        <f>IFERROR(VLOOKUP(C5568,DATA!#REF!,2,FALSE),"")</f>
        <v/>
      </c>
    </row>
    <row r="5569" spans="3:4" s="230" customFormat="1">
      <c r="C5569" s="16" t="str">
        <f>IFERROR(VLOOKUP(DATA!#REF!,DATA!#REF!,1,FALSE),"")</f>
        <v/>
      </c>
      <c r="D5569" s="16" t="str">
        <f>IFERROR(VLOOKUP(C5569,DATA!#REF!,2,FALSE),"")</f>
        <v/>
      </c>
    </row>
    <row r="5570" spans="3:4" s="230" customFormat="1">
      <c r="C5570" s="16" t="str">
        <f>IFERROR(VLOOKUP(DATA!#REF!,DATA!#REF!,1,FALSE),"")</f>
        <v/>
      </c>
      <c r="D5570" s="16" t="str">
        <f>IFERROR(VLOOKUP(C5570,DATA!#REF!,2,FALSE),"")</f>
        <v/>
      </c>
    </row>
    <row r="5571" spans="3:4" s="230" customFormat="1">
      <c r="C5571" s="16" t="str">
        <f>IFERROR(VLOOKUP(DATA!#REF!,DATA!#REF!,1,FALSE),"")</f>
        <v/>
      </c>
      <c r="D5571" s="16" t="str">
        <f>IFERROR(VLOOKUP(C5571,DATA!#REF!,2,FALSE),"")</f>
        <v/>
      </c>
    </row>
    <row r="5572" spans="3:4" s="230" customFormat="1">
      <c r="C5572" s="16" t="str">
        <f>IFERROR(VLOOKUP(DATA!#REF!,DATA!#REF!,1,FALSE),"")</f>
        <v/>
      </c>
      <c r="D5572" s="16" t="str">
        <f>IFERROR(VLOOKUP(C5572,DATA!#REF!,2,FALSE),"")</f>
        <v/>
      </c>
    </row>
    <row r="5573" spans="3:4" s="230" customFormat="1">
      <c r="C5573" s="16" t="str">
        <f>IFERROR(VLOOKUP(DATA!#REF!,DATA!#REF!,1,FALSE),"")</f>
        <v/>
      </c>
      <c r="D5573" s="16" t="str">
        <f>IFERROR(VLOOKUP(C5573,DATA!#REF!,2,FALSE),"")</f>
        <v/>
      </c>
    </row>
    <row r="5574" spans="3:4" s="230" customFormat="1">
      <c r="C5574" s="16" t="str">
        <f>IFERROR(VLOOKUP(DATA!#REF!,DATA!#REF!,1,FALSE),"")</f>
        <v/>
      </c>
      <c r="D5574" s="16" t="str">
        <f>IFERROR(VLOOKUP(C5574,DATA!#REF!,2,FALSE),"")</f>
        <v/>
      </c>
    </row>
    <row r="5575" spans="3:4" s="230" customFormat="1">
      <c r="C5575" s="16" t="str">
        <f>IFERROR(VLOOKUP(DATA!#REF!,DATA!#REF!,1,FALSE),"")</f>
        <v/>
      </c>
      <c r="D5575" s="16" t="str">
        <f>IFERROR(VLOOKUP(C5575,DATA!#REF!,2,FALSE),"")</f>
        <v/>
      </c>
    </row>
    <row r="5576" spans="3:4" s="230" customFormat="1">
      <c r="C5576" s="16" t="str">
        <f>IFERROR(VLOOKUP(DATA!#REF!,DATA!#REF!,1,FALSE),"")</f>
        <v/>
      </c>
      <c r="D5576" s="16" t="str">
        <f>IFERROR(VLOOKUP(C5576,DATA!#REF!,2,FALSE),"")</f>
        <v/>
      </c>
    </row>
    <row r="5577" spans="3:4" s="230" customFormat="1">
      <c r="C5577" s="16" t="str">
        <f>IFERROR(VLOOKUP(DATA!#REF!,DATA!#REF!,1,FALSE),"")</f>
        <v/>
      </c>
      <c r="D5577" s="16" t="str">
        <f>IFERROR(VLOOKUP(C5577,DATA!#REF!,2,FALSE),"")</f>
        <v/>
      </c>
    </row>
    <row r="5578" spans="3:4" s="230" customFormat="1">
      <c r="C5578" s="16" t="str">
        <f>IFERROR(VLOOKUP(DATA!#REF!,DATA!#REF!,1,FALSE),"")</f>
        <v/>
      </c>
      <c r="D5578" s="16" t="str">
        <f>IFERROR(VLOOKUP(C5578,DATA!#REF!,2,FALSE),"")</f>
        <v/>
      </c>
    </row>
    <row r="5579" spans="3:4" s="230" customFormat="1">
      <c r="C5579" s="16" t="str">
        <f>IFERROR(VLOOKUP(DATA!#REF!,DATA!#REF!,1,FALSE),"")</f>
        <v/>
      </c>
      <c r="D5579" s="16" t="str">
        <f>IFERROR(VLOOKUP(C5579,DATA!#REF!,2,FALSE),"")</f>
        <v/>
      </c>
    </row>
    <row r="5580" spans="3:4" s="230" customFormat="1">
      <c r="C5580" s="16" t="str">
        <f>IFERROR(VLOOKUP(DATA!#REF!,DATA!#REF!,1,FALSE),"")</f>
        <v/>
      </c>
      <c r="D5580" s="16" t="str">
        <f>IFERROR(VLOOKUP(C5580,DATA!#REF!,2,FALSE),"")</f>
        <v/>
      </c>
    </row>
    <row r="5581" spans="3:4" s="230" customFormat="1">
      <c r="C5581" s="16" t="str">
        <f>IFERROR(VLOOKUP(DATA!#REF!,DATA!#REF!,1,FALSE),"")</f>
        <v/>
      </c>
      <c r="D5581" s="16" t="str">
        <f>IFERROR(VLOOKUP(C5581,DATA!#REF!,2,FALSE),"")</f>
        <v/>
      </c>
    </row>
    <row r="5582" spans="3:4" s="230" customFormat="1">
      <c r="C5582" s="16" t="str">
        <f>IFERROR(VLOOKUP(DATA!#REF!,DATA!#REF!,1,FALSE),"")</f>
        <v/>
      </c>
      <c r="D5582" s="16" t="str">
        <f>IFERROR(VLOOKUP(C5582,DATA!#REF!,2,FALSE),"")</f>
        <v/>
      </c>
    </row>
    <row r="5583" spans="3:4" s="230" customFormat="1">
      <c r="C5583" s="16" t="str">
        <f>IFERROR(VLOOKUP(DATA!#REF!,DATA!#REF!,1,FALSE),"")</f>
        <v/>
      </c>
      <c r="D5583" s="16" t="str">
        <f>IFERROR(VLOOKUP(C5583,DATA!#REF!,2,FALSE),"")</f>
        <v/>
      </c>
    </row>
    <row r="5584" spans="3:4" s="230" customFormat="1">
      <c r="C5584" s="16" t="str">
        <f>IFERROR(VLOOKUP(DATA!#REF!,DATA!#REF!,1,FALSE),"")</f>
        <v/>
      </c>
      <c r="D5584" s="16" t="str">
        <f>IFERROR(VLOOKUP(C5584,DATA!#REF!,2,FALSE),"")</f>
        <v/>
      </c>
    </row>
    <row r="5585" spans="3:4" s="230" customFormat="1">
      <c r="C5585" s="16" t="str">
        <f>IFERROR(VLOOKUP(DATA!#REF!,DATA!#REF!,1,FALSE),"")</f>
        <v/>
      </c>
      <c r="D5585" s="16" t="str">
        <f>IFERROR(VLOOKUP(C5585,DATA!#REF!,2,FALSE),"")</f>
        <v/>
      </c>
    </row>
    <row r="5586" spans="3:4" s="230" customFormat="1">
      <c r="C5586" s="16" t="str">
        <f>IFERROR(VLOOKUP(DATA!#REF!,DATA!#REF!,1,FALSE),"")</f>
        <v/>
      </c>
      <c r="D5586" s="16" t="str">
        <f>IFERROR(VLOOKUP(C5586,DATA!#REF!,2,FALSE),"")</f>
        <v/>
      </c>
    </row>
    <row r="5587" spans="3:4" s="230" customFormat="1">
      <c r="C5587" s="16" t="str">
        <f>IFERROR(VLOOKUP(DATA!#REF!,DATA!#REF!,1,FALSE),"")</f>
        <v/>
      </c>
      <c r="D5587" s="16" t="str">
        <f>IFERROR(VLOOKUP(C5587,DATA!#REF!,2,FALSE),"")</f>
        <v/>
      </c>
    </row>
    <row r="5588" spans="3:4" s="230" customFormat="1">
      <c r="C5588" s="16" t="str">
        <f>IFERROR(VLOOKUP(DATA!#REF!,DATA!#REF!,1,FALSE),"")</f>
        <v/>
      </c>
      <c r="D5588" s="16" t="str">
        <f>IFERROR(VLOOKUP(C5588,DATA!#REF!,2,FALSE),"")</f>
        <v/>
      </c>
    </row>
    <row r="5589" spans="3:4" s="230" customFormat="1">
      <c r="C5589" s="16" t="str">
        <f>IFERROR(VLOOKUP(DATA!#REF!,DATA!#REF!,1,FALSE),"")</f>
        <v/>
      </c>
      <c r="D5589" s="16" t="str">
        <f>IFERROR(VLOOKUP(C5589,DATA!#REF!,2,FALSE),"")</f>
        <v/>
      </c>
    </row>
    <row r="5590" spans="3:4" s="230" customFormat="1">
      <c r="C5590" s="16" t="str">
        <f>IFERROR(VLOOKUP(DATA!#REF!,DATA!#REF!,1,FALSE),"")</f>
        <v/>
      </c>
      <c r="D5590" s="16" t="str">
        <f>IFERROR(VLOOKUP(C5590,DATA!#REF!,2,FALSE),"")</f>
        <v/>
      </c>
    </row>
    <row r="5591" spans="3:4" s="230" customFormat="1">
      <c r="C5591" s="16" t="str">
        <f>IFERROR(VLOOKUP(DATA!#REF!,DATA!#REF!,1,FALSE),"")</f>
        <v/>
      </c>
      <c r="D5591" s="16" t="str">
        <f>IFERROR(VLOOKUP(C5591,DATA!#REF!,2,FALSE),"")</f>
        <v/>
      </c>
    </row>
    <row r="5592" spans="3:4" s="230" customFormat="1">
      <c r="C5592" s="16" t="str">
        <f>IFERROR(VLOOKUP(DATA!#REF!,DATA!#REF!,1,FALSE),"")</f>
        <v/>
      </c>
      <c r="D5592" s="16" t="str">
        <f>IFERROR(VLOOKUP(C5592,DATA!#REF!,2,FALSE),"")</f>
        <v/>
      </c>
    </row>
    <row r="5593" spans="3:4" s="230" customFormat="1">
      <c r="C5593" s="16" t="str">
        <f>IFERROR(VLOOKUP(DATA!#REF!,DATA!#REF!,1,FALSE),"")</f>
        <v/>
      </c>
      <c r="D5593" s="16" t="str">
        <f>IFERROR(VLOOKUP(C5593,DATA!#REF!,2,FALSE),"")</f>
        <v/>
      </c>
    </row>
    <row r="5594" spans="3:4" s="230" customFormat="1">
      <c r="C5594" s="16" t="str">
        <f>IFERROR(VLOOKUP(DATA!#REF!,DATA!#REF!,1,FALSE),"")</f>
        <v/>
      </c>
      <c r="D5594" s="16" t="str">
        <f>IFERROR(VLOOKUP(C5594,DATA!#REF!,2,FALSE),"")</f>
        <v/>
      </c>
    </row>
    <row r="5595" spans="3:4" s="230" customFormat="1">
      <c r="C5595" s="16" t="str">
        <f>IFERROR(VLOOKUP(DATA!#REF!,DATA!#REF!,1,FALSE),"")</f>
        <v/>
      </c>
      <c r="D5595" s="16" t="str">
        <f>IFERROR(VLOOKUP(C5595,DATA!#REF!,2,FALSE),"")</f>
        <v/>
      </c>
    </row>
    <row r="5596" spans="3:4" s="230" customFormat="1">
      <c r="C5596" s="16" t="str">
        <f>IFERROR(VLOOKUP(DATA!#REF!,DATA!#REF!,1,FALSE),"")</f>
        <v/>
      </c>
      <c r="D5596" s="16" t="str">
        <f>IFERROR(VLOOKUP(C5596,DATA!#REF!,2,FALSE),"")</f>
        <v/>
      </c>
    </row>
    <row r="5597" spans="3:4" s="230" customFormat="1">
      <c r="C5597" s="16" t="str">
        <f>IFERROR(VLOOKUP(DATA!#REF!,DATA!#REF!,1,FALSE),"")</f>
        <v/>
      </c>
      <c r="D5597" s="16" t="str">
        <f>IFERROR(VLOOKUP(C5597,DATA!#REF!,2,FALSE),"")</f>
        <v/>
      </c>
    </row>
    <row r="5598" spans="3:4" s="230" customFormat="1">
      <c r="C5598" s="16" t="str">
        <f>IFERROR(VLOOKUP(DATA!#REF!,DATA!#REF!,1,FALSE),"")</f>
        <v/>
      </c>
      <c r="D5598" s="16" t="str">
        <f>IFERROR(VLOOKUP(C5598,DATA!#REF!,2,FALSE),"")</f>
        <v/>
      </c>
    </row>
    <row r="5599" spans="3:4" s="230" customFormat="1">
      <c r="C5599" s="16" t="str">
        <f>IFERROR(VLOOKUP(DATA!#REF!,DATA!#REF!,1,FALSE),"")</f>
        <v/>
      </c>
      <c r="D5599" s="16" t="str">
        <f>IFERROR(VLOOKUP(C5599,DATA!#REF!,2,FALSE),"")</f>
        <v/>
      </c>
    </row>
    <row r="5600" spans="3:4" s="230" customFormat="1">
      <c r="C5600" s="16" t="str">
        <f>IFERROR(VLOOKUP(DATA!#REF!,DATA!#REF!,1,FALSE),"")</f>
        <v/>
      </c>
      <c r="D5600" s="16" t="str">
        <f>IFERROR(VLOOKUP(C5600,DATA!#REF!,2,FALSE),"")</f>
        <v/>
      </c>
    </row>
    <row r="5601" spans="3:4" s="230" customFormat="1">
      <c r="C5601" s="16" t="str">
        <f>IFERROR(VLOOKUP(DATA!#REF!,DATA!#REF!,1,FALSE),"")</f>
        <v/>
      </c>
      <c r="D5601" s="16" t="str">
        <f>IFERROR(VLOOKUP(C5601,DATA!#REF!,2,FALSE),"")</f>
        <v/>
      </c>
    </row>
    <row r="5602" spans="3:4" s="230" customFormat="1">
      <c r="C5602" s="16" t="str">
        <f>IFERROR(VLOOKUP(DATA!#REF!,DATA!#REF!,1,FALSE),"")</f>
        <v/>
      </c>
      <c r="D5602" s="16" t="str">
        <f>IFERROR(VLOOKUP(C5602,DATA!#REF!,2,FALSE),"")</f>
        <v/>
      </c>
    </row>
    <row r="5603" spans="3:4" s="230" customFormat="1">
      <c r="C5603" s="16" t="str">
        <f>IFERROR(VLOOKUP(DATA!#REF!,DATA!#REF!,1,FALSE),"")</f>
        <v/>
      </c>
      <c r="D5603" s="16" t="str">
        <f>IFERROR(VLOOKUP(C5603,DATA!#REF!,2,FALSE),"")</f>
        <v/>
      </c>
    </row>
    <row r="5604" spans="3:4" s="230" customFormat="1">
      <c r="C5604" s="16" t="str">
        <f>IFERROR(VLOOKUP(DATA!#REF!,DATA!#REF!,1,FALSE),"")</f>
        <v/>
      </c>
      <c r="D5604" s="16" t="str">
        <f>IFERROR(VLOOKUP(C5604,DATA!#REF!,2,FALSE),"")</f>
        <v/>
      </c>
    </row>
    <row r="5605" spans="3:4" s="230" customFormat="1">
      <c r="C5605" s="16" t="str">
        <f>IFERROR(VLOOKUP(DATA!#REF!,DATA!#REF!,1,FALSE),"")</f>
        <v/>
      </c>
      <c r="D5605" s="16" t="str">
        <f>IFERROR(VLOOKUP(C5605,DATA!#REF!,2,FALSE),"")</f>
        <v/>
      </c>
    </row>
    <row r="5606" spans="3:4" s="230" customFormat="1">
      <c r="C5606" s="16" t="str">
        <f>IFERROR(VLOOKUP(DATA!#REF!,DATA!#REF!,1,FALSE),"")</f>
        <v/>
      </c>
      <c r="D5606" s="16" t="str">
        <f>IFERROR(VLOOKUP(C5606,DATA!#REF!,2,FALSE),"")</f>
        <v/>
      </c>
    </row>
    <row r="5607" spans="3:4" s="230" customFormat="1">
      <c r="C5607" s="16" t="str">
        <f>IFERROR(VLOOKUP(DATA!#REF!,DATA!#REF!,1,FALSE),"")</f>
        <v/>
      </c>
      <c r="D5607" s="16" t="str">
        <f>IFERROR(VLOOKUP(C5607,DATA!#REF!,2,FALSE),"")</f>
        <v/>
      </c>
    </row>
    <row r="5608" spans="3:4" s="230" customFormat="1">
      <c r="C5608" s="16" t="str">
        <f>IFERROR(VLOOKUP(DATA!#REF!,DATA!#REF!,1,FALSE),"")</f>
        <v/>
      </c>
      <c r="D5608" s="16" t="str">
        <f>IFERROR(VLOOKUP(C5608,DATA!#REF!,2,FALSE),"")</f>
        <v/>
      </c>
    </row>
    <row r="5609" spans="3:4" s="230" customFormat="1">
      <c r="C5609" s="16" t="str">
        <f>IFERROR(VLOOKUP(DATA!#REF!,DATA!#REF!,1,FALSE),"")</f>
        <v/>
      </c>
      <c r="D5609" s="16" t="str">
        <f>IFERROR(VLOOKUP(C5609,DATA!#REF!,2,FALSE),"")</f>
        <v/>
      </c>
    </row>
    <row r="5610" spans="3:4" s="230" customFormat="1">
      <c r="C5610" s="16" t="str">
        <f>IFERROR(VLOOKUP(DATA!#REF!,DATA!#REF!,1,FALSE),"")</f>
        <v/>
      </c>
      <c r="D5610" s="16" t="str">
        <f>IFERROR(VLOOKUP(C5610,DATA!#REF!,2,FALSE),"")</f>
        <v/>
      </c>
    </row>
    <row r="5611" spans="3:4" s="230" customFormat="1">
      <c r="C5611" s="16" t="str">
        <f>IFERROR(VLOOKUP(DATA!#REF!,DATA!#REF!,1,FALSE),"")</f>
        <v/>
      </c>
      <c r="D5611" s="16" t="str">
        <f>IFERROR(VLOOKUP(C5611,DATA!#REF!,2,FALSE),"")</f>
        <v/>
      </c>
    </row>
    <row r="5612" spans="3:4" s="230" customFormat="1">
      <c r="C5612" s="16" t="str">
        <f>IFERROR(VLOOKUP(DATA!#REF!,DATA!#REF!,1,FALSE),"")</f>
        <v/>
      </c>
      <c r="D5612" s="16" t="str">
        <f>IFERROR(VLOOKUP(C5612,DATA!#REF!,2,FALSE),"")</f>
        <v/>
      </c>
    </row>
    <row r="5613" spans="3:4" s="230" customFormat="1">
      <c r="C5613" s="16" t="str">
        <f>IFERROR(VLOOKUP(DATA!#REF!,DATA!#REF!,1,FALSE),"")</f>
        <v/>
      </c>
      <c r="D5613" s="16" t="str">
        <f>IFERROR(VLOOKUP(C5613,DATA!#REF!,2,FALSE),"")</f>
        <v/>
      </c>
    </row>
    <row r="5614" spans="3:4" s="230" customFormat="1">
      <c r="C5614" s="16" t="str">
        <f>IFERROR(VLOOKUP(DATA!#REF!,DATA!#REF!,1,FALSE),"")</f>
        <v/>
      </c>
      <c r="D5614" s="16" t="str">
        <f>IFERROR(VLOOKUP(C5614,DATA!#REF!,2,FALSE),"")</f>
        <v/>
      </c>
    </row>
    <row r="5615" spans="3:4" s="230" customFormat="1">
      <c r="C5615" s="16" t="str">
        <f>IFERROR(VLOOKUP(DATA!#REF!,DATA!#REF!,1,FALSE),"")</f>
        <v/>
      </c>
      <c r="D5615" s="16" t="str">
        <f>IFERROR(VLOOKUP(C5615,DATA!#REF!,2,FALSE),"")</f>
        <v/>
      </c>
    </row>
    <row r="5616" spans="3:4" s="230" customFormat="1">
      <c r="C5616" s="16" t="str">
        <f>IFERROR(VLOOKUP(DATA!#REF!,DATA!#REF!,1,FALSE),"")</f>
        <v/>
      </c>
      <c r="D5616" s="16" t="str">
        <f>IFERROR(VLOOKUP(C5616,DATA!#REF!,2,FALSE),"")</f>
        <v/>
      </c>
    </row>
    <row r="5617" spans="3:4" s="230" customFormat="1">
      <c r="C5617" s="16" t="str">
        <f>IFERROR(VLOOKUP(DATA!#REF!,DATA!#REF!,1,FALSE),"")</f>
        <v/>
      </c>
      <c r="D5617" s="16" t="str">
        <f>IFERROR(VLOOKUP(C5617,DATA!#REF!,2,FALSE),"")</f>
        <v/>
      </c>
    </row>
    <row r="5618" spans="3:4" s="230" customFormat="1">
      <c r="C5618" s="16" t="str">
        <f>IFERROR(VLOOKUP(DATA!#REF!,DATA!#REF!,1,FALSE),"")</f>
        <v/>
      </c>
      <c r="D5618" s="16" t="str">
        <f>IFERROR(VLOOKUP(C5618,DATA!#REF!,2,FALSE),"")</f>
        <v/>
      </c>
    </row>
    <row r="5619" spans="3:4" s="230" customFormat="1">
      <c r="C5619" s="16" t="str">
        <f>IFERROR(VLOOKUP(DATA!#REF!,DATA!#REF!,1,FALSE),"")</f>
        <v/>
      </c>
      <c r="D5619" s="16" t="str">
        <f>IFERROR(VLOOKUP(C5619,DATA!#REF!,2,FALSE),"")</f>
        <v/>
      </c>
    </row>
    <row r="5620" spans="3:4" s="230" customFormat="1">
      <c r="C5620" s="16" t="str">
        <f>IFERROR(VLOOKUP(DATA!#REF!,DATA!#REF!,1,FALSE),"")</f>
        <v/>
      </c>
      <c r="D5620" s="16" t="str">
        <f>IFERROR(VLOOKUP(C5620,DATA!#REF!,2,FALSE),"")</f>
        <v/>
      </c>
    </row>
    <row r="5621" spans="3:4" s="230" customFormat="1">
      <c r="C5621" s="16" t="str">
        <f>IFERROR(VLOOKUP(DATA!#REF!,DATA!#REF!,1,FALSE),"")</f>
        <v/>
      </c>
      <c r="D5621" s="16" t="str">
        <f>IFERROR(VLOOKUP(C5621,DATA!#REF!,2,FALSE),"")</f>
        <v/>
      </c>
    </row>
    <row r="5622" spans="3:4" s="230" customFormat="1">
      <c r="C5622" s="16" t="str">
        <f>IFERROR(VLOOKUP(DATA!#REF!,DATA!#REF!,1,FALSE),"")</f>
        <v/>
      </c>
      <c r="D5622" s="16" t="str">
        <f>IFERROR(VLOOKUP(C5622,DATA!#REF!,2,FALSE),"")</f>
        <v/>
      </c>
    </row>
    <row r="5623" spans="3:4" s="230" customFormat="1">
      <c r="C5623" s="16" t="str">
        <f>IFERROR(VLOOKUP(DATA!#REF!,DATA!#REF!,1,FALSE),"")</f>
        <v/>
      </c>
      <c r="D5623" s="16" t="str">
        <f>IFERROR(VLOOKUP(C5623,DATA!#REF!,2,FALSE),"")</f>
        <v/>
      </c>
    </row>
    <row r="5624" spans="3:4" s="230" customFormat="1">
      <c r="C5624" s="16" t="str">
        <f>IFERROR(VLOOKUP(DATA!#REF!,DATA!#REF!,1,FALSE),"")</f>
        <v/>
      </c>
      <c r="D5624" s="16" t="str">
        <f>IFERROR(VLOOKUP(C5624,DATA!#REF!,2,FALSE),"")</f>
        <v/>
      </c>
    </row>
    <row r="5625" spans="3:4" s="230" customFormat="1">
      <c r="C5625" s="16" t="str">
        <f>IFERROR(VLOOKUP(DATA!#REF!,DATA!#REF!,1,FALSE),"")</f>
        <v/>
      </c>
      <c r="D5625" s="16" t="str">
        <f>IFERROR(VLOOKUP(C5625,DATA!#REF!,2,FALSE),"")</f>
        <v/>
      </c>
    </row>
    <row r="5626" spans="3:4" s="230" customFormat="1">
      <c r="C5626" s="16" t="str">
        <f>IFERROR(VLOOKUP(DATA!#REF!,DATA!#REF!,1,FALSE),"")</f>
        <v/>
      </c>
      <c r="D5626" s="16" t="str">
        <f>IFERROR(VLOOKUP(C5626,DATA!#REF!,2,FALSE),"")</f>
        <v/>
      </c>
    </row>
    <row r="5627" spans="3:4" s="230" customFormat="1">
      <c r="C5627" s="16" t="str">
        <f>IFERROR(VLOOKUP(DATA!#REF!,DATA!#REF!,1,FALSE),"")</f>
        <v/>
      </c>
      <c r="D5627" s="16" t="str">
        <f>IFERROR(VLOOKUP(C5627,DATA!#REF!,2,FALSE),"")</f>
        <v/>
      </c>
    </row>
    <row r="5628" spans="3:4" s="230" customFormat="1">
      <c r="C5628" s="16" t="str">
        <f>IFERROR(VLOOKUP(DATA!#REF!,DATA!#REF!,1,FALSE),"")</f>
        <v/>
      </c>
      <c r="D5628" s="16" t="str">
        <f>IFERROR(VLOOKUP(C5628,DATA!#REF!,2,FALSE),"")</f>
        <v/>
      </c>
    </row>
    <row r="5629" spans="3:4" s="230" customFormat="1">
      <c r="C5629" s="16" t="str">
        <f>IFERROR(VLOOKUP(DATA!#REF!,DATA!#REF!,1,FALSE),"")</f>
        <v/>
      </c>
      <c r="D5629" s="16" t="str">
        <f>IFERROR(VLOOKUP(C5629,DATA!#REF!,2,FALSE),"")</f>
        <v/>
      </c>
    </row>
    <row r="5630" spans="3:4" s="230" customFormat="1">
      <c r="C5630" s="16" t="str">
        <f>IFERROR(VLOOKUP(DATA!#REF!,DATA!#REF!,1,FALSE),"")</f>
        <v/>
      </c>
      <c r="D5630" s="16" t="str">
        <f>IFERROR(VLOOKUP(C5630,DATA!#REF!,2,FALSE),"")</f>
        <v/>
      </c>
    </row>
    <row r="5631" spans="3:4" s="230" customFormat="1">
      <c r="C5631" s="16" t="str">
        <f>IFERROR(VLOOKUP(DATA!#REF!,DATA!#REF!,1,FALSE),"")</f>
        <v/>
      </c>
      <c r="D5631" s="16" t="str">
        <f>IFERROR(VLOOKUP(C5631,DATA!#REF!,2,FALSE),"")</f>
        <v/>
      </c>
    </row>
    <row r="5632" spans="3:4" s="230" customFormat="1">
      <c r="C5632" s="16" t="str">
        <f>IFERROR(VLOOKUP(DATA!#REF!,DATA!#REF!,1,FALSE),"")</f>
        <v/>
      </c>
      <c r="D5632" s="16" t="str">
        <f>IFERROR(VLOOKUP(C5632,DATA!#REF!,2,FALSE),"")</f>
        <v/>
      </c>
    </row>
    <row r="5633" spans="3:4" s="230" customFormat="1">
      <c r="C5633" s="16" t="str">
        <f>IFERROR(VLOOKUP(DATA!#REF!,DATA!#REF!,1,FALSE),"")</f>
        <v/>
      </c>
      <c r="D5633" s="16" t="str">
        <f>IFERROR(VLOOKUP(C5633,DATA!#REF!,2,FALSE),"")</f>
        <v/>
      </c>
    </row>
    <row r="5634" spans="3:4" s="230" customFormat="1">
      <c r="C5634" s="16" t="str">
        <f>IFERROR(VLOOKUP(DATA!#REF!,DATA!#REF!,1,FALSE),"")</f>
        <v/>
      </c>
      <c r="D5634" s="16" t="str">
        <f>IFERROR(VLOOKUP(C5634,DATA!#REF!,2,FALSE),"")</f>
        <v/>
      </c>
    </row>
    <row r="5635" spans="3:4" s="230" customFormat="1">
      <c r="C5635" s="16" t="str">
        <f>IFERROR(VLOOKUP(DATA!#REF!,DATA!#REF!,1,FALSE),"")</f>
        <v/>
      </c>
      <c r="D5635" s="16" t="str">
        <f>IFERROR(VLOOKUP(C5635,DATA!#REF!,2,FALSE),"")</f>
        <v/>
      </c>
    </row>
    <row r="5636" spans="3:4" s="230" customFormat="1">
      <c r="C5636" s="16" t="str">
        <f>IFERROR(VLOOKUP(DATA!#REF!,DATA!#REF!,1,FALSE),"")</f>
        <v/>
      </c>
      <c r="D5636" s="16" t="str">
        <f>IFERROR(VLOOKUP(C5636,DATA!#REF!,2,FALSE),"")</f>
        <v/>
      </c>
    </row>
    <row r="5637" spans="3:4" s="230" customFormat="1">
      <c r="C5637" s="16" t="str">
        <f>IFERROR(VLOOKUP(DATA!#REF!,DATA!#REF!,1,FALSE),"")</f>
        <v/>
      </c>
      <c r="D5637" s="16" t="str">
        <f>IFERROR(VLOOKUP(C5637,DATA!#REF!,2,FALSE),"")</f>
        <v/>
      </c>
    </row>
    <row r="5638" spans="3:4" s="230" customFormat="1">
      <c r="C5638" s="16" t="str">
        <f>IFERROR(VLOOKUP(DATA!#REF!,DATA!#REF!,1,FALSE),"")</f>
        <v/>
      </c>
      <c r="D5638" s="16" t="str">
        <f>IFERROR(VLOOKUP(C5638,DATA!#REF!,2,FALSE),"")</f>
        <v/>
      </c>
    </row>
    <row r="5639" spans="3:4" s="230" customFormat="1">
      <c r="C5639" s="16" t="str">
        <f>IFERROR(VLOOKUP(DATA!#REF!,DATA!#REF!,1,FALSE),"")</f>
        <v/>
      </c>
      <c r="D5639" s="16" t="str">
        <f>IFERROR(VLOOKUP(C5639,DATA!#REF!,2,FALSE),"")</f>
        <v/>
      </c>
    </row>
    <row r="5640" spans="3:4" s="230" customFormat="1">
      <c r="C5640" s="16" t="str">
        <f>IFERROR(VLOOKUP(DATA!#REF!,DATA!#REF!,1,FALSE),"")</f>
        <v/>
      </c>
      <c r="D5640" s="16" t="str">
        <f>IFERROR(VLOOKUP(C5640,DATA!#REF!,2,FALSE),"")</f>
        <v/>
      </c>
    </row>
    <row r="5641" spans="3:4" s="230" customFormat="1">
      <c r="C5641" s="16" t="str">
        <f>IFERROR(VLOOKUP(DATA!#REF!,DATA!#REF!,1,FALSE),"")</f>
        <v/>
      </c>
      <c r="D5641" s="16" t="str">
        <f>IFERROR(VLOOKUP(C5641,DATA!#REF!,2,FALSE),"")</f>
        <v/>
      </c>
    </row>
    <row r="5642" spans="3:4" s="230" customFormat="1">
      <c r="C5642" s="16" t="str">
        <f>IFERROR(VLOOKUP(DATA!#REF!,DATA!#REF!,1,FALSE),"")</f>
        <v/>
      </c>
      <c r="D5642" s="16" t="str">
        <f>IFERROR(VLOOKUP(C5642,DATA!#REF!,2,FALSE),"")</f>
        <v/>
      </c>
    </row>
    <row r="5643" spans="3:4" s="230" customFormat="1">
      <c r="C5643" s="16" t="str">
        <f>IFERROR(VLOOKUP(DATA!#REF!,DATA!#REF!,1,FALSE),"")</f>
        <v/>
      </c>
      <c r="D5643" s="16" t="str">
        <f>IFERROR(VLOOKUP(C5643,DATA!#REF!,2,FALSE),"")</f>
        <v/>
      </c>
    </row>
    <row r="5644" spans="3:4" s="230" customFormat="1">
      <c r="C5644" s="16" t="str">
        <f>IFERROR(VLOOKUP(DATA!#REF!,DATA!#REF!,1,FALSE),"")</f>
        <v/>
      </c>
      <c r="D5644" s="16" t="str">
        <f>IFERROR(VLOOKUP(C5644,DATA!#REF!,2,FALSE),"")</f>
        <v/>
      </c>
    </row>
    <row r="5645" spans="3:4" s="230" customFormat="1">
      <c r="C5645" s="16" t="str">
        <f>IFERROR(VLOOKUP(DATA!#REF!,DATA!#REF!,1,FALSE),"")</f>
        <v/>
      </c>
      <c r="D5645" s="16" t="str">
        <f>IFERROR(VLOOKUP(C5645,DATA!#REF!,2,FALSE),"")</f>
        <v/>
      </c>
    </row>
    <row r="5646" spans="3:4" s="230" customFormat="1">
      <c r="C5646" s="16" t="str">
        <f>IFERROR(VLOOKUP(DATA!#REF!,DATA!#REF!,1,FALSE),"")</f>
        <v/>
      </c>
      <c r="D5646" s="16" t="str">
        <f>IFERROR(VLOOKUP(C5646,DATA!#REF!,2,FALSE),"")</f>
        <v/>
      </c>
    </row>
    <row r="5647" spans="3:4" s="230" customFormat="1">
      <c r="C5647" s="16" t="str">
        <f>IFERROR(VLOOKUP(DATA!#REF!,DATA!#REF!,1,FALSE),"")</f>
        <v/>
      </c>
      <c r="D5647" s="16" t="str">
        <f>IFERROR(VLOOKUP(C5647,DATA!#REF!,2,FALSE),"")</f>
        <v/>
      </c>
    </row>
    <row r="5648" spans="3:4" s="230" customFormat="1">
      <c r="C5648" s="16" t="str">
        <f>IFERROR(VLOOKUP(DATA!#REF!,DATA!#REF!,1,FALSE),"")</f>
        <v/>
      </c>
      <c r="D5648" s="16" t="str">
        <f>IFERROR(VLOOKUP(C5648,DATA!#REF!,2,FALSE),"")</f>
        <v/>
      </c>
    </row>
    <row r="5649" spans="3:4" s="230" customFormat="1">
      <c r="C5649" s="16" t="str">
        <f>IFERROR(VLOOKUP(DATA!#REF!,DATA!#REF!,1,FALSE),"")</f>
        <v/>
      </c>
      <c r="D5649" s="16" t="str">
        <f>IFERROR(VLOOKUP(C5649,DATA!#REF!,2,FALSE),"")</f>
        <v/>
      </c>
    </row>
    <row r="5650" spans="3:4" s="230" customFormat="1">
      <c r="C5650" s="16" t="str">
        <f>IFERROR(VLOOKUP(DATA!#REF!,DATA!#REF!,1,FALSE),"")</f>
        <v/>
      </c>
      <c r="D5650" s="16" t="str">
        <f>IFERROR(VLOOKUP(C5650,DATA!#REF!,2,FALSE),"")</f>
        <v/>
      </c>
    </row>
    <row r="5651" spans="3:4" s="230" customFormat="1">
      <c r="C5651" s="16" t="str">
        <f>IFERROR(VLOOKUP(DATA!#REF!,DATA!#REF!,1,FALSE),"")</f>
        <v/>
      </c>
      <c r="D5651" s="16" t="str">
        <f>IFERROR(VLOOKUP(C5651,DATA!#REF!,2,FALSE),"")</f>
        <v/>
      </c>
    </row>
    <row r="5652" spans="3:4" s="230" customFormat="1">
      <c r="C5652" s="16" t="str">
        <f>IFERROR(VLOOKUP(DATA!#REF!,DATA!#REF!,1,FALSE),"")</f>
        <v/>
      </c>
      <c r="D5652" s="16" t="str">
        <f>IFERROR(VLOOKUP(C5652,DATA!#REF!,2,FALSE),"")</f>
        <v/>
      </c>
    </row>
    <row r="5653" spans="3:4" s="230" customFormat="1">
      <c r="C5653" s="16" t="str">
        <f>IFERROR(VLOOKUP(DATA!#REF!,DATA!#REF!,1,FALSE),"")</f>
        <v/>
      </c>
      <c r="D5653" s="16" t="str">
        <f>IFERROR(VLOOKUP(C5653,DATA!#REF!,2,FALSE),"")</f>
        <v/>
      </c>
    </row>
    <row r="5654" spans="3:4" s="230" customFormat="1">
      <c r="C5654" s="16" t="str">
        <f>IFERROR(VLOOKUP(DATA!#REF!,DATA!#REF!,1,FALSE),"")</f>
        <v/>
      </c>
      <c r="D5654" s="16" t="str">
        <f>IFERROR(VLOOKUP(C5654,DATA!#REF!,2,FALSE),"")</f>
        <v/>
      </c>
    </row>
    <row r="5655" spans="3:4" s="230" customFormat="1">
      <c r="C5655" s="16" t="str">
        <f>IFERROR(VLOOKUP(DATA!#REF!,DATA!#REF!,1,FALSE),"")</f>
        <v/>
      </c>
      <c r="D5655" s="16" t="str">
        <f>IFERROR(VLOOKUP(C5655,DATA!#REF!,2,FALSE),"")</f>
        <v/>
      </c>
    </row>
    <row r="5656" spans="3:4" s="230" customFormat="1">
      <c r="C5656" s="16" t="str">
        <f>IFERROR(VLOOKUP(DATA!#REF!,DATA!#REF!,1,FALSE),"")</f>
        <v/>
      </c>
      <c r="D5656" s="16" t="str">
        <f>IFERROR(VLOOKUP(C5656,DATA!#REF!,2,FALSE),"")</f>
        <v/>
      </c>
    </row>
    <row r="5657" spans="3:4" s="230" customFormat="1">
      <c r="C5657" s="16" t="str">
        <f>IFERROR(VLOOKUP(DATA!#REF!,DATA!#REF!,1,FALSE),"")</f>
        <v/>
      </c>
      <c r="D5657" s="16" t="str">
        <f>IFERROR(VLOOKUP(C5657,DATA!#REF!,2,FALSE),"")</f>
        <v/>
      </c>
    </row>
    <row r="5658" spans="3:4" s="230" customFormat="1">
      <c r="C5658" s="16" t="str">
        <f>IFERROR(VLOOKUP(DATA!#REF!,DATA!#REF!,1,FALSE),"")</f>
        <v/>
      </c>
      <c r="D5658" s="16" t="str">
        <f>IFERROR(VLOOKUP(C5658,DATA!#REF!,2,FALSE),"")</f>
        <v/>
      </c>
    </row>
    <row r="5659" spans="3:4" s="230" customFormat="1">
      <c r="C5659" s="16" t="str">
        <f>IFERROR(VLOOKUP(DATA!#REF!,DATA!#REF!,1,FALSE),"")</f>
        <v/>
      </c>
      <c r="D5659" s="16" t="str">
        <f>IFERROR(VLOOKUP(C5659,DATA!#REF!,2,FALSE),"")</f>
        <v/>
      </c>
    </row>
    <row r="5660" spans="3:4" s="230" customFormat="1">
      <c r="C5660" s="16" t="str">
        <f>IFERROR(VLOOKUP(DATA!#REF!,DATA!#REF!,1,FALSE),"")</f>
        <v/>
      </c>
      <c r="D5660" s="16" t="str">
        <f>IFERROR(VLOOKUP(C5660,DATA!#REF!,2,FALSE),"")</f>
        <v/>
      </c>
    </row>
    <row r="5661" spans="3:4" s="230" customFormat="1">
      <c r="C5661" s="16" t="str">
        <f>IFERROR(VLOOKUP(DATA!#REF!,DATA!#REF!,1,FALSE),"")</f>
        <v/>
      </c>
      <c r="D5661" s="16" t="str">
        <f>IFERROR(VLOOKUP(C5661,DATA!#REF!,2,FALSE),"")</f>
        <v/>
      </c>
    </row>
    <row r="5662" spans="3:4" s="230" customFormat="1">
      <c r="C5662" s="16" t="str">
        <f>IFERROR(VLOOKUP(DATA!#REF!,DATA!#REF!,1,FALSE),"")</f>
        <v/>
      </c>
      <c r="D5662" s="16" t="str">
        <f>IFERROR(VLOOKUP(C5662,DATA!#REF!,2,FALSE),"")</f>
        <v/>
      </c>
    </row>
    <row r="5663" spans="3:4" s="230" customFormat="1">
      <c r="C5663" s="16" t="str">
        <f>IFERROR(VLOOKUP(DATA!#REF!,DATA!#REF!,1,FALSE),"")</f>
        <v/>
      </c>
      <c r="D5663" s="16" t="str">
        <f>IFERROR(VLOOKUP(C5663,DATA!#REF!,2,FALSE),"")</f>
        <v/>
      </c>
    </row>
    <row r="5664" spans="3:4" s="230" customFormat="1">
      <c r="C5664" s="16" t="str">
        <f>IFERROR(VLOOKUP(DATA!#REF!,DATA!#REF!,1,FALSE),"")</f>
        <v/>
      </c>
      <c r="D5664" s="16" t="str">
        <f>IFERROR(VLOOKUP(C5664,DATA!#REF!,2,FALSE),"")</f>
        <v/>
      </c>
    </row>
    <row r="5665" spans="3:4" s="230" customFormat="1">
      <c r="C5665" s="16" t="str">
        <f>IFERROR(VLOOKUP(DATA!#REF!,DATA!#REF!,1,FALSE),"")</f>
        <v/>
      </c>
      <c r="D5665" s="16" t="str">
        <f>IFERROR(VLOOKUP(C5665,DATA!#REF!,2,FALSE),"")</f>
        <v/>
      </c>
    </row>
    <row r="5666" spans="3:4" s="230" customFormat="1">
      <c r="C5666" s="16" t="str">
        <f>IFERROR(VLOOKUP(DATA!#REF!,DATA!#REF!,1,FALSE),"")</f>
        <v/>
      </c>
      <c r="D5666" s="16" t="str">
        <f>IFERROR(VLOOKUP(C5666,DATA!#REF!,2,FALSE),"")</f>
        <v/>
      </c>
    </row>
    <row r="5667" spans="3:4" s="230" customFormat="1">
      <c r="C5667" s="16" t="str">
        <f>IFERROR(VLOOKUP(DATA!#REF!,DATA!#REF!,1,FALSE),"")</f>
        <v/>
      </c>
      <c r="D5667" s="16" t="str">
        <f>IFERROR(VLOOKUP(C5667,DATA!#REF!,2,FALSE),"")</f>
        <v/>
      </c>
    </row>
    <row r="5668" spans="3:4" s="230" customFormat="1">
      <c r="C5668" s="16" t="str">
        <f>IFERROR(VLOOKUP(DATA!#REF!,DATA!#REF!,1,FALSE),"")</f>
        <v/>
      </c>
      <c r="D5668" s="16" t="str">
        <f>IFERROR(VLOOKUP(C5668,DATA!#REF!,2,FALSE),"")</f>
        <v/>
      </c>
    </row>
    <row r="5669" spans="3:4" s="230" customFormat="1">
      <c r="C5669" s="16" t="str">
        <f>IFERROR(VLOOKUP(DATA!#REF!,DATA!#REF!,1,FALSE),"")</f>
        <v/>
      </c>
      <c r="D5669" s="16" t="str">
        <f>IFERROR(VLOOKUP(C5669,DATA!#REF!,2,FALSE),"")</f>
        <v/>
      </c>
    </row>
    <row r="5670" spans="3:4" s="230" customFormat="1">
      <c r="C5670" s="16" t="str">
        <f>IFERROR(VLOOKUP(DATA!#REF!,DATA!#REF!,1,FALSE),"")</f>
        <v/>
      </c>
      <c r="D5670" s="16" t="str">
        <f>IFERROR(VLOOKUP(C5670,DATA!#REF!,2,FALSE),"")</f>
        <v/>
      </c>
    </row>
    <row r="5671" spans="3:4" s="230" customFormat="1">
      <c r="C5671" s="16" t="str">
        <f>IFERROR(VLOOKUP(DATA!#REF!,DATA!#REF!,1,FALSE),"")</f>
        <v/>
      </c>
      <c r="D5671" s="16" t="str">
        <f>IFERROR(VLOOKUP(C5671,DATA!#REF!,2,FALSE),"")</f>
        <v/>
      </c>
    </row>
    <row r="5672" spans="3:4" s="230" customFormat="1">
      <c r="C5672" s="16" t="str">
        <f>IFERROR(VLOOKUP(DATA!#REF!,DATA!#REF!,1,FALSE),"")</f>
        <v/>
      </c>
      <c r="D5672" s="16" t="str">
        <f>IFERROR(VLOOKUP(C5672,DATA!#REF!,2,FALSE),"")</f>
        <v/>
      </c>
    </row>
    <row r="5673" spans="3:4" s="230" customFormat="1">
      <c r="C5673" s="16" t="str">
        <f>IFERROR(VLOOKUP(DATA!#REF!,DATA!#REF!,1,FALSE),"")</f>
        <v/>
      </c>
      <c r="D5673" s="16" t="str">
        <f>IFERROR(VLOOKUP(C5673,DATA!#REF!,2,FALSE),"")</f>
        <v/>
      </c>
    </row>
    <row r="5674" spans="3:4" s="230" customFormat="1">
      <c r="C5674" s="16" t="str">
        <f>IFERROR(VLOOKUP(DATA!#REF!,DATA!#REF!,1,FALSE),"")</f>
        <v/>
      </c>
      <c r="D5674" s="16" t="str">
        <f>IFERROR(VLOOKUP(C5674,DATA!#REF!,2,FALSE),"")</f>
        <v/>
      </c>
    </row>
    <row r="5675" spans="3:4" s="230" customFormat="1">
      <c r="C5675" s="16" t="str">
        <f>IFERROR(VLOOKUP(DATA!#REF!,DATA!#REF!,1,FALSE),"")</f>
        <v/>
      </c>
      <c r="D5675" s="16" t="str">
        <f>IFERROR(VLOOKUP(C5675,DATA!#REF!,2,FALSE),"")</f>
        <v/>
      </c>
    </row>
    <row r="5676" spans="3:4" s="230" customFormat="1">
      <c r="C5676" s="16" t="str">
        <f>IFERROR(VLOOKUP(DATA!#REF!,DATA!#REF!,1,FALSE),"")</f>
        <v/>
      </c>
      <c r="D5676" s="16" t="str">
        <f>IFERROR(VLOOKUP(C5676,DATA!#REF!,2,FALSE),"")</f>
        <v/>
      </c>
    </row>
    <row r="5677" spans="3:4" s="230" customFormat="1">
      <c r="C5677" s="16" t="str">
        <f>IFERROR(VLOOKUP(DATA!#REF!,DATA!#REF!,1,FALSE),"")</f>
        <v/>
      </c>
      <c r="D5677" s="16" t="str">
        <f>IFERROR(VLOOKUP(C5677,DATA!#REF!,2,FALSE),"")</f>
        <v/>
      </c>
    </row>
    <row r="5678" spans="3:4" s="230" customFormat="1">
      <c r="C5678" s="16" t="str">
        <f>IFERROR(VLOOKUP(DATA!#REF!,DATA!#REF!,1,FALSE),"")</f>
        <v/>
      </c>
      <c r="D5678" s="16" t="str">
        <f>IFERROR(VLOOKUP(C5678,DATA!#REF!,2,FALSE),"")</f>
        <v/>
      </c>
    </row>
    <row r="5679" spans="3:4" s="230" customFormat="1">
      <c r="C5679" s="16" t="str">
        <f>IFERROR(VLOOKUP(DATA!#REF!,DATA!#REF!,1,FALSE),"")</f>
        <v/>
      </c>
      <c r="D5679" s="16" t="str">
        <f>IFERROR(VLOOKUP(C5679,DATA!#REF!,2,FALSE),"")</f>
        <v/>
      </c>
    </row>
    <row r="5680" spans="3:4" s="230" customFormat="1">
      <c r="C5680" s="16" t="str">
        <f>IFERROR(VLOOKUP(DATA!#REF!,DATA!#REF!,1,FALSE),"")</f>
        <v/>
      </c>
      <c r="D5680" s="16" t="str">
        <f>IFERROR(VLOOKUP(C5680,DATA!#REF!,2,FALSE),"")</f>
        <v/>
      </c>
    </row>
    <row r="5681" spans="3:4" s="230" customFormat="1">
      <c r="C5681" s="16" t="str">
        <f>IFERROR(VLOOKUP(DATA!#REF!,DATA!#REF!,1,FALSE),"")</f>
        <v/>
      </c>
      <c r="D5681" s="16" t="str">
        <f>IFERROR(VLOOKUP(C5681,DATA!#REF!,2,FALSE),"")</f>
        <v/>
      </c>
    </row>
    <row r="5682" spans="3:4" s="230" customFormat="1">
      <c r="C5682" s="16" t="str">
        <f>IFERROR(VLOOKUP(DATA!#REF!,DATA!#REF!,1,FALSE),"")</f>
        <v/>
      </c>
      <c r="D5682" s="16" t="str">
        <f>IFERROR(VLOOKUP(C5682,DATA!#REF!,2,FALSE),"")</f>
        <v/>
      </c>
    </row>
    <row r="5683" spans="3:4" s="230" customFormat="1">
      <c r="C5683" s="16" t="str">
        <f>IFERROR(VLOOKUP(DATA!#REF!,DATA!#REF!,1,FALSE),"")</f>
        <v/>
      </c>
      <c r="D5683" s="16" t="str">
        <f>IFERROR(VLOOKUP(C5683,DATA!#REF!,2,FALSE),"")</f>
        <v/>
      </c>
    </row>
  </sheetData>
  <sheetProtection password="DFC0" sheet="1" objects="1" scenarios="1"/>
  <mergeCells count="2">
    <mergeCell ref="F4:I4"/>
    <mergeCell ref="K4:N4"/>
  </mergeCells>
  <conditionalFormatting sqref="B9:B2197 C9:D5683 L6:N162 G6:I162 B6:D162">
    <cfRule type="expression" dxfId="375" priority="18">
      <formula>$C6&lt;&gt;""</formula>
    </cfRule>
  </conditionalFormatting>
  <conditionalFormatting sqref="B9:B2197 C9:D5683 L6:N162 G6:I162 B6:D162">
    <cfRule type="expression" dxfId="374" priority="17">
      <formula>$C6&lt;&gt;""</formula>
    </cfRule>
  </conditionalFormatting>
  <conditionalFormatting sqref="C9:D5683 B9:B2197 F6:N162 E9:N204 B6:D162">
    <cfRule type="expression" dxfId="373" priority="16">
      <formula>"$c6&lt;&gt;,"""""</formula>
    </cfRule>
  </conditionalFormatting>
  <conditionalFormatting sqref="C9:D5683 B9:B2367 F6:N162 E9:N2367 B6:D162">
    <cfRule type="expression" dxfId="372" priority="15">
      <formula>"$C6&lt;&gt;"""""</formula>
    </cfRule>
  </conditionalFormatting>
  <conditionalFormatting sqref="B6:D162 F6:N162 B9:N14120">
    <cfRule type="expression" dxfId="371" priority="14">
      <formula>$C6&lt;&gt;""</formula>
    </cfRule>
  </conditionalFormatting>
  <conditionalFormatting sqref="E6:E162">
    <cfRule type="expression" dxfId="370" priority="13">
      <formula>"$c6&lt;&gt;,"""""</formula>
    </cfRule>
  </conditionalFormatting>
  <conditionalFormatting sqref="E6:E162">
    <cfRule type="expression" dxfId="369" priority="12">
      <formula>"$C6&lt;&gt;"""""</formula>
    </cfRule>
  </conditionalFormatting>
  <conditionalFormatting sqref="E6:E162">
    <cfRule type="expression" dxfId="368" priority="11">
      <formula>$C6&lt;&gt;""</formula>
    </cfRule>
  </conditionalFormatting>
  <conditionalFormatting sqref="G6:I123 L6:N123">
    <cfRule type="expression" dxfId="367" priority="10">
      <formula>$C6&lt;&gt;""</formula>
    </cfRule>
  </conditionalFormatting>
  <conditionalFormatting sqref="G6:I123 L6:N123">
    <cfRule type="expression" dxfId="366" priority="9">
      <formula>$C6&lt;&gt;""</formula>
    </cfRule>
  </conditionalFormatting>
  <conditionalFormatting sqref="F6:N123">
    <cfRule type="expression" dxfId="365" priority="8">
      <formula>"$c6&lt;&gt;,"""""</formula>
    </cfRule>
  </conditionalFormatting>
  <conditionalFormatting sqref="F6:N123">
    <cfRule type="expression" dxfId="364" priority="7">
      <formula>"$C6&lt;&gt;"""""</formula>
    </cfRule>
  </conditionalFormatting>
  <conditionalFormatting sqref="F6:N123">
    <cfRule type="expression" dxfId="363" priority="6">
      <formula>$C6&lt;&gt;""</formula>
    </cfRule>
  </conditionalFormatting>
  <conditionalFormatting sqref="G124:I145 L124:N145">
    <cfRule type="expression" dxfId="362" priority="5">
      <formula>$C124&lt;&gt;""</formula>
    </cfRule>
  </conditionalFormatting>
  <conditionalFormatting sqref="G124:I145 L124:N145">
    <cfRule type="expression" dxfId="361" priority="4">
      <formula>$C124&lt;&gt;""</formula>
    </cfRule>
  </conditionalFormatting>
  <conditionalFormatting sqref="F124:N145">
    <cfRule type="expression" dxfId="360" priority="3">
      <formula>"$c6&lt;&gt;,"""""</formula>
    </cfRule>
  </conditionalFormatting>
  <conditionalFormatting sqref="F124:N145">
    <cfRule type="expression" dxfId="359" priority="2">
      <formula>"$C6&lt;&gt;"""""</formula>
    </cfRule>
  </conditionalFormatting>
  <conditionalFormatting sqref="F124:N145">
    <cfRule type="expression" dxfId="358" priority="1">
      <formula>$C124&lt;&gt;""</formula>
    </cfRule>
  </conditionalFormatting>
  <pageMargins left="0.7" right="0.7" top="0.75" bottom="0.75" header="0.3" footer="0.3"/>
  <pageSetup scale="58" fitToHeight="0" orientation="landscape" horizontalDpi="0" verticalDpi="0" r:id="rId1"/>
</worksheet>
</file>

<file path=xl/worksheets/sheet6.xml><?xml version="1.0" encoding="utf-8"?>
<worksheet xmlns="http://schemas.openxmlformats.org/spreadsheetml/2006/main" xmlns:r="http://schemas.openxmlformats.org/officeDocument/2006/relationships">
  <sheetPr>
    <pageSetUpPr fitToPage="1"/>
  </sheetPr>
  <dimension ref="B1:R5683"/>
  <sheetViews>
    <sheetView workbookViewId="0">
      <pane xSplit="5" ySplit="5" topLeftCell="I37" activePane="bottomRight" state="frozen"/>
      <selection pane="topRight" activeCell="F1" sqref="F1"/>
      <selection pane="bottomLeft" activeCell="A6" sqref="A6"/>
      <selection pane="bottomRight" activeCell="K54" sqref="K54"/>
    </sheetView>
  </sheetViews>
  <sheetFormatPr defaultRowHeight="12.75"/>
  <cols>
    <col min="1" max="1" width="9.85546875" style="230" bestFit="1" customWidth="1"/>
    <col min="2" max="2" width="5.28515625" style="15" customWidth="1"/>
    <col min="3" max="3" width="5.5703125" style="16" customWidth="1"/>
    <col min="4" max="4" width="28.85546875" style="230" bestFit="1" customWidth="1"/>
    <col min="5" max="5" width="7.5703125" style="230" customWidth="1"/>
    <col min="6" max="6" width="12.7109375" style="230" customWidth="1"/>
    <col min="7" max="7" width="14.140625" style="230" customWidth="1"/>
    <col min="8" max="8" width="15.140625" style="230" customWidth="1"/>
    <col min="9" max="9" width="14.28515625" style="18" customWidth="1"/>
    <col min="10" max="10" width="7.42578125" style="16" customWidth="1"/>
    <col min="11" max="11" width="13" style="230" customWidth="1"/>
    <col min="12" max="12" width="15.140625" style="230" customWidth="1"/>
    <col min="13" max="13" width="15.85546875" style="230" customWidth="1"/>
    <col min="14" max="14" width="13.5703125" style="230" bestFit="1" customWidth="1"/>
    <col min="15" max="15" width="12.5703125" style="230" bestFit="1" customWidth="1"/>
    <col min="16" max="16" width="11.42578125" style="16" bestFit="1" customWidth="1"/>
    <col min="17" max="17" width="6.5703125" style="16" customWidth="1"/>
    <col min="18" max="18" width="7.28515625" style="230" customWidth="1"/>
    <col min="19" max="19" width="12" style="230" bestFit="1" customWidth="1"/>
    <col min="20" max="16384" width="9.140625" style="230"/>
  </cols>
  <sheetData>
    <row r="1" spans="2:18">
      <c r="B1" s="77" t="s">
        <v>1346</v>
      </c>
      <c r="C1" s="77"/>
      <c r="D1" s="77"/>
      <c r="E1" s="77" t="s">
        <v>260</v>
      </c>
      <c r="F1" s="78">
        <f t="shared" ref="F1:H1" si="0">SUM(F6:F200)</f>
        <v>0</v>
      </c>
      <c r="G1" s="78">
        <f t="shared" si="0"/>
        <v>34227099</v>
      </c>
      <c r="H1" s="78">
        <f t="shared" si="0"/>
        <v>34227091</v>
      </c>
      <c r="I1" s="78">
        <f>SUM(I6:I200)</f>
        <v>8</v>
      </c>
      <c r="J1" s="77" t="s">
        <v>260</v>
      </c>
      <c r="K1" s="78">
        <f t="shared" ref="K1:O1" si="1">SUM(K6:K200)</f>
        <v>126838961.0358</v>
      </c>
      <c r="L1" s="78">
        <f t="shared" si="1"/>
        <v>483644819.71110618</v>
      </c>
      <c r="M1" s="78">
        <f t="shared" si="1"/>
        <v>474953582.76999998</v>
      </c>
      <c r="N1" s="78">
        <f t="shared" si="1"/>
        <v>118147724.09469365</v>
      </c>
      <c r="O1" s="78">
        <f t="shared" si="1"/>
        <v>-2.2098419722169638E-2</v>
      </c>
      <c r="P1" s="176"/>
    </row>
    <row r="2" spans="2:18">
      <c r="E2" s="16" t="s">
        <v>1354</v>
      </c>
      <c r="F2" s="230">
        <f>+STAT1!H11+STAT1!H12</f>
        <v>365960.91000000003</v>
      </c>
      <c r="G2" s="230">
        <f>+STAT1!J32+STAT2!J32+STAT3!J32+STAT4!J32</f>
        <v>34227099</v>
      </c>
      <c r="H2" s="230">
        <f>+STAT3!K32+STAT2!K32+STAT1!K32+STAT4!K32</f>
        <v>34227091</v>
      </c>
      <c r="I2" s="18">
        <f>+STAT3!V32</f>
        <v>8</v>
      </c>
      <c r="J2" s="16" t="s">
        <v>1354</v>
      </c>
      <c r="K2" s="230">
        <f>+STAT1!I125</f>
        <v>126838961.0357834</v>
      </c>
      <c r="N2" s="230">
        <f>+STAT4!W125-N1</f>
        <v>-1.6584992408752441E-5</v>
      </c>
    </row>
    <row r="3" spans="2:18">
      <c r="B3" s="15">
        <f>+COUNT(B6:B5697)</f>
        <v>135</v>
      </c>
      <c r="G3" s="230">
        <f>+G2-G1</f>
        <v>0</v>
      </c>
      <c r="H3" s="230">
        <f>+H2-H1</f>
        <v>0</v>
      </c>
      <c r="I3" s="230">
        <f>+I2-I1</f>
        <v>0</v>
      </c>
      <c r="K3" s="230">
        <f>+K2-K1</f>
        <v>-1.6599893569946289E-5</v>
      </c>
      <c r="L3" s="108" t="s">
        <v>329</v>
      </c>
      <c r="M3" s="109">
        <v>42736</v>
      </c>
      <c r="N3" s="109">
        <v>43100</v>
      </c>
    </row>
    <row r="4" spans="2:18" ht="15" customHeight="1">
      <c r="B4" s="57" t="s">
        <v>1</v>
      </c>
      <c r="C4" s="58" t="s">
        <v>0</v>
      </c>
      <c r="D4" s="59" t="s">
        <v>302</v>
      </c>
      <c r="E4" s="58" t="s">
        <v>299</v>
      </c>
      <c r="F4" s="913" t="s">
        <v>41</v>
      </c>
      <c r="G4" s="913"/>
      <c r="H4" s="913"/>
      <c r="I4" s="913"/>
      <c r="J4" s="58" t="s">
        <v>299</v>
      </c>
      <c r="K4" s="913" t="s">
        <v>42</v>
      </c>
      <c r="L4" s="913"/>
      <c r="M4" s="913"/>
      <c r="N4" s="913"/>
      <c r="O4" s="85" t="s">
        <v>327</v>
      </c>
      <c r="P4" s="177"/>
    </row>
    <row r="5" spans="2:18">
      <c r="B5" s="57"/>
      <c r="C5" s="58"/>
      <c r="D5" s="59"/>
      <c r="E5" s="75" t="s">
        <v>300</v>
      </c>
      <c r="F5" s="60" t="s">
        <v>40</v>
      </c>
      <c r="G5" s="60" t="s">
        <v>3</v>
      </c>
      <c r="H5" s="60" t="s">
        <v>4</v>
      </c>
      <c r="I5" s="76" t="s">
        <v>301</v>
      </c>
      <c r="J5" s="75" t="s">
        <v>300</v>
      </c>
      <c r="K5" s="60" t="s">
        <v>40</v>
      </c>
      <c r="L5" s="60" t="s">
        <v>3</v>
      </c>
      <c r="M5" s="60" t="s">
        <v>4</v>
      </c>
      <c r="N5" s="336" t="s">
        <v>301</v>
      </c>
      <c r="O5" s="83" t="s">
        <v>328</v>
      </c>
      <c r="P5" s="138" t="s">
        <v>261</v>
      </c>
      <c r="Q5" s="16" t="s">
        <v>262</v>
      </c>
    </row>
    <row r="6" spans="2:18">
      <c r="B6" s="15">
        <f t="shared" ref="B6" si="2">+IF(C6="","",ROW()-5)</f>
        <v>1</v>
      </c>
      <c r="C6" s="16">
        <f>IFERROR(VLOOKUP(DATA!G4,DATA!$G$4:$J$2149,1,FALSE),"")</f>
        <v>2001</v>
      </c>
      <c r="D6" s="16" t="str">
        <f>+IFERROR(VLOOKUP(C6,DATA!$G$4:$H$2000,2,FALSE),"")</f>
        <v>ХУД-н ТАТВАРЫН ХЭЛТЭС</v>
      </c>
      <c r="E6" s="16">
        <v>122000</v>
      </c>
      <c r="G6" s="230">
        <f>+SUMIFS(JURNAL!G:G,JURNAL!E:E,E6,JURNAL!L:L,$C6,JURNAL!C:C,"&gt;="&amp;$M$3,JURNAL!C:C,"&lt;="&amp;$N$3)</f>
        <v>0</v>
      </c>
      <c r="H6" s="19">
        <f>+SUMIFS(JURNAL!H:H,JURNAL!E:E,E6,JURNAL!L:L,$C6,JURNAL!C:C,"&gt;="&amp;$M$3,JURNAL!C:C,"&lt;="&amp;$N$3)</f>
        <v>0</v>
      </c>
      <c r="I6" s="18">
        <f>+F6+G6-H6</f>
        <v>0</v>
      </c>
      <c r="J6" s="16">
        <v>320100</v>
      </c>
      <c r="L6" s="230">
        <f>+SUMIFS(JURNAL!G:G,JURNAL!E:E,J6,JURNAL!L:L,$C6,JURNAL!C:C,"&gt;="&amp;$M$3,JURNAL!C:C,"&lt;="&amp;$N$3)</f>
        <v>0</v>
      </c>
      <c r="M6" s="19">
        <f>+SUMIFS(JURNAL!H:H,JURNAL!E:E,J6,JURNAL!L:L,$C6,JURNAL!C:C,"&gt;="&amp;$M$3,JURNAL!C:C,"&lt;="&amp;$N$3)</f>
        <v>0</v>
      </c>
      <c r="N6" s="20">
        <f t="shared" ref="N6" si="3">+K6+M6-L6</f>
        <v>0</v>
      </c>
      <c r="O6" s="230">
        <f t="shared" ref="O6" si="4">+IF(I6&lt;N6,I6,N6)</f>
        <v>0</v>
      </c>
      <c r="P6" s="16">
        <f>+J6</f>
        <v>320100</v>
      </c>
      <c r="Q6" s="16">
        <f>+E6</f>
        <v>122000</v>
      </c>
      <c r="R6" s="230">
        <f>+IF(O6,1,0)</f>
        <v>0</v>
      </c>
    </row>
    <row r="7" spans="2:18">
      <c r="B7" s="15">
        <f t="shared" ref="B7:B51" si="5">+IF(C7="","",ROW()-5)</f>
        <v>2</v>
      </c>
      <c r="C7" s="16">
        <f>IFERROR(VLOOKUP(DATA!G5,DATA!$G$4:$J$2149,1,FALSE),"")</f>
        <v>2002</v>
      </c>
      <c r="D7" s="16" t="str">
        <f>+IFERROR(VLOOKUP(C7,DATA!$G$4:$H$2000,2,FALSE),"")</f>
        <v xml:space="preserve">ХУД-н ЭМНД ХЭЛТЭС </v>
      </c>
      <c r="E7" s="16">
        <v>122000</v>
      </c>
      <c r="G7" s="230">
        <f>+SUMIFS(JURNAL!G:G,JURNAL!E:E,E7,JURNAL!L:L,$C7,JURNAL!C:C,"&gt;="&amp;$M$3,JURNAL!C:C,"&lt;="&amp;$N$3)</f>
        <v>0</v>
      </c>
      <c r="H7" s="19">
        <f>+SUMIFS(JURNAL!H:H,JURNAL!E:E,E7,JURNAL!L:L,$C7,JURNAL!C:C,"&gt;="&amp;$M$3,JURNAL!C:C,"&lt;="&amp;$N$3)</f>
        <v>0</v>
      </c>
      <c r="I7" s="18">
        <f t="shared" ref="I7:I70" si="6">+F7+G7-H7</f>
        <v>0</v>
      </c>
      <c r="J7" s="16">
        <v>320100</v>
      </c>
      <c r="L7" s="230">
        <f>+SUMIFS(JURNAL!G:G,JURNAL!E:E,J7,JURNAL!L:L,$C7,JURNAL!C:C,"&gt;="&amp;$M$3,JURNAL!C:C,"&lt;="&amp;$N$3)</f>
        <v>0</v>
      </c>
      <c r="M7" s="19">
        <f>+SUMIFS(JURNAL!H:H,JURNAL!E:E,J7,JURNAL!L:L,$C7,JURNAL!C:C,"&gt;="&amp;$M$3,JURNAL!C:C,"&lt;="&amp;$N$3)</f>
        <v>0</v>
      </c>
      <c r="N7" s="20">
        <f t="shared" ref="N7:N70" si="7">+K7+M7-L7</f>
        <v>0</v>
      </c>
      <c r="O7" s="230">
        <f t="shared" ref="O7:O70" si="8">+IF(I7&lt;N7,I7,N7)</f>
        <v>0</v>
      </c>
      <c r="P7" s="16">
        <f t="shared" ref="P7:P70" si="9">+J7</f>
        <v>320100</v>
      </c>
      <c r="Q7" s="16">
        <f t="shared" ref="Q7:Q70" si="10">+E7</f>
        <v>122000</v>
      </c>
      <c r="R7" s="230">
        <f t="shared" ref="R7:R70" si="11">+IF(O7,1,0)</f>
        <v>0</v>
      </c>
    </row>
    <row r="8" spans="2:18">
      <c r="B8" s="15">
        <f t="shared" si="5"/>
        <v>3</v>
      </c>
      <c r="C8" s="16">
        <f>IFERROR(VLOOKUP(DATA!G6,DATA!$G$4:$J$2149,1,FALSE),"")</f>
        <v>2003</v>
      </c>
      <c r="D8" s="16" t="str">
        <f>+IFERROR(VLOOKUP(C8,DATA!$G$4:$H$2000,2,FALSE),"")</f>
        <v xml:space="preserve">УБЦТС ТӨХК </v>
      </c>
      <c r="E8" s="16">
        <v>122000</v>
      </c>
      <c r="G8" s="230">
        <f>+SUMIFS(JURNAL!G:G,JURNAL!E:E,E8,JURNAL!L:L,$C8,JURNAL!C:C,"&gt;="&amp;$M$3,JURNAL!C:C,"&lt;="&amp;$N$3)</f>
        <v>0</v>
      </c>
      <c r="H8" s="19">
        <f>+SUMIFS(JURNAL!H:H,JURNAL!E:E,E8,JURNAL!L:L,$C8,JURNAL!C:C,"&gt;="&amp;$M$3,JURNAL!C:C,"&lt;="&amp;$N$3)</f>
        <v>0</v>
      </c>
      <c r="I8" s="18">
        <f t="shared" si="6"/>
        <v>0</v>
      </c>
      <c r="J8" s="16">
        <v>320100</v>
      </c>
      <c r="L8" s="230">
        <f>+SUMIFS(JURNAL!G:G,JURNAL!E:E,J8,JURNAL!L:L,$C8,JURNAL!C:C,"&gt;="&amp;$M$3,JURNAL!C:C,"&lt;="&amp;$N$3)</f>
        <v>0</v>
      </c>
      <c r="M8" s="19">
        <f>+SUMIFS(JURNAL!H:H,JURNAL!E:E,J8,JURNAL!L:L,$C8,JURNAL!C:C,"&gt;="&amp;$M$3,JURNAL!C:C,"&lt;="&amp;$N$3)</f>
        <v>0</v>
      </c>
      <c r="N8" s="20">
        <f t="shared" si="7"/>
        <v>0</v>
      </c>
      <c r="O8" s="230">
        <f t="shared" si="8"/>
        <v>0</v>
      </c>
      <c r="P8" s="16">
        <f t="shared" si="9"/>
        <v>320100</v>
      </c>
      <c r="Q8" s="16">
        <f t="shared" si="10"/>
        <v>122000</v>
      </c>
      <c r="R8" s="230">
        <f t="shared" si="11"/>
        <v>0</v>
      </c>
    </row>
    <row r="9" spans="2:18">
      <c r="B9" s="15">
        <f t="shared" si="5"/>
        <v>4</v>
      </c>
      <c r="C9" s="16">
        <f>IFERROR(VLOOKUP(DATA!G7,DATA!$G$4:$J$2149,1,FALSE),"")</f>
        <v>2004</v>
      </c>
      <c r="D9" s="16" t="str">
        <f>+IFERROR(VLOOKUP(C9,DATA!$G$4:$H$2000,2,FALSE),"")</f>
        <v xml:space="preserve">ДЦС-3 ТӨХК </v>
      </c>
      <c r="E9" s="16">
        <v>122000</v>
      </c>
      <c r="G9" s="230">
        <f>+SUMIFS(JURNAL!G:G,JURNAL!E:E,E9,JURNAL!L:L,$C9,JURNAL!C:C,"&gt;="&amp;$M$3,JURNAL!C:C,"&lt;="&amp;$N$3)</f>
        <v>0</v>
      </c>
      <c r="H9" s="19">
        <f>+SUMIFS(JURNAL!H:H,JURNAL!E:E,E9,JURNAL!L:L,$C9,JURNAL!C:C,"&gt;="&amp;$M$3,JURNAL!C:C,"&lt;="&amp;$N$3)</f>
        <v>0</v>
      </c>
      <c r="I9" s="18">
        <f t="shared" si="6"/>
        <v>0</v>
      </c>
      <c r="J9" s="16">
        <v>320100</v>
      </c>
      <c r="L9" s="230">
        <f>+SUMIFS(JURNAL!G:G,JURNAL!E:E,J9,JURNAL!L:L,$C9,JURNAL!C:C,"&gt;="&amp;$M$3,JURNAL!C:C,"&lt;="&amp;$N$3)</f>
        <v>0</v>
      </c>
      <c r="M9" s="19">
        <f>+SUMIFS(JURNAL!H:H,JURNAL!E:E,J9,JURNAL!L:L,$C9,JURNAL!C:C,"&gt;="&amp;$M$3,JURNAL!C:C,"&lt;="&amp;$N$3)</f>
        <v>0</v>
      </c>
      <c r="N9" s="20">
        <f t="shared" si="7"/>
        <v>0</v>
      </c>
      <c r="O9" s="230">
        <f t="shared" si="8"/>
        <v>0</v>
      </c>
      <c r="P9" s="16">
        <f t="shared" si="9"/>
        <v>320100</v>
      </c>
      <c r="Q9" s="16">
        <f t="shared" si="10"/>
        <v>122000</v>
      </c>
      <c r="R9" s="230">
        <f t="shared" si="11"/>
        <v>0</v>
      </c>
    </row>
    <row r="10" spans="2:18">
      <c r="B10" s="15">
        <f t="shared" si="5"/>
        <v>5</v>
      </c>
      <c r="C10" s="16">
        <f>IFERROR(VLOOKUP(DATA!G8,DATA!$G$4:$J$2149,1,FALSE),"")</f>
        <v>2005</v>
      </c>
      <c r="D10" s="16" t="str">
        <f>+IFERROR(VLOOKUP(C10,DATA!$G$4:$H$2000,2,FALSE),"")</f>
        <v xml:space="preserve">УСУГ ТӨХК </v>
      </c>
      <c r="E10" s="16">
        <v>122000</v>
      </c>
      <c r="G10" s="230">
        <f>+SUMIFS(JURNAL!G:G,JURNAL!E:E,E10,JURNAL!L:L,$C10,JURNAL!C:C,"&gt;="&amp;$M$3,JURNAL!C:C,"&lt;="&amp;$N$3)</f>
        <v>0</v>
      </c>
      <c r="H10" s="19">
        <f>+SUMIFS(JURNAL!H:H,JURNAL!E:E,E10,JURNAL!L:L,$C10,JURNAL!C:C,"&gt;="&amp;$M$3,JURNAL!C:C,"&lt;="&amp;$N$3)</f>
        <v>0</v>
      </c>
      <c r="I10" s="18">
        <f t="shared" si="6"/>
        <v>0</v>
      </c>
      <c r="J10" s="16">
        <v>320100</v>
      </c>
      <c r="L10" s="230">
        <f>+SUMIFS(JURNAL!G:G,JURNAL!E:E,J10,JURNAL!L:L,$C10,JURNAL!C:C,"&gt;="&amp;$M$3,JURNAL!C:C,"&lt;="&amp;$N$3)</f>
        <v>0</v>
      </c>
      <c r="M10" s="19">
        <f>+SUMIFS(JURNAL!H:H,JURNAL!E:E,J10,JURNAL!L:L,$C10,JURNAL!C:C,"&gt;="&amp;$M$3,JURNAL!C:C,"&lt;="&amp;$N$3)</f>
        <v>0</v>
      </c>
      <c r="N10" s="20">
        <f t="shared" si="7"/>
        <v>0</v>
      </c>
      <c r="O10" s="230">
        <f t="shared" si="8"/>
        <v>0</v>
      </c>
      <c r="P10" s="16">
        <f t="shared" si="9"/>
        <v>320100</v>
      </c>
      <c r="Q10" s="16">
        <f t="shared" si="10"/>
        <v>122000</v>
      </c>
      <c r="R10" s="230">
        <f t="shared" si="11"/>
        <v>0</v>
      </c>
    </row>
    <row r="11" spans="2:18">
      <c r="B11" s="15">
        <f t="shared" si="5"/>
        <v>6</v>
      </c>
      <c r="C11" s="16">
        <f>IFERROR(VLOOKUP(DATA!G9,DATA!$G$4:$J$2149,1,FALSE),"")</f>
        <v>2006</v>
      </c>
      <c r="D11" s="16" t="str">
        <f>+IFERROR(VLOOKUP(C11,DATA!$G$4:$H$2000,2,FALSE),"")</f>
        <v xml:space="preserve">МЦХОЛБОО </v>
      </c>
      <c r="E11" s="16">
        <v>122000</v>
      </c>
      <c r="G11" s="230">
        <f>+SUMIFS(JURNAL!G:G,JURNAL!E:E,E11,JURNAL!L:L,$C11,JURNAL!C:C,"&gt;="&amp;$M$3,JURNAL!C:C,"&lt;="&amp;$N$3)</f>
        <v>0</v>
      </c>
      <c r="H11" s="19">
        <f>+SUMIFS(JURNAL!H:H,JURNAL!E:E,E11,JURNAL!L:L,$C11,JURNAL!C:C,"&gt;="&amp;$M$3,JURNAL!C:C,"&lt;="&amp;$N$3)</f>
        <v>0</v>
      </c>
      <c r="I11" s="18">
        <f t="shared" si="6"/>
        <v>0</v>
      </c>
      <c r="J11" s="16">
        <v>320100</v>
      </c>
      <c r="L11" s="230">
        <f>+SUMIFS(JURNAL!G:G,JURNAL!E:E,J11,JURNAL!L:L,$C11,JURNAL!C:C,"&gt;="&amp;$M$3,JURNAL!C:C,"&lt;="&amp;$N$3)</f>
        <v>0</v>
      </c>
      <c r="M11" s="19">
        <f>+SUMIFS(JURNAL!H:H,JURNAL!E:E,J11,JURNAL!L:L,$C11,JURNAL!C:C,"&gt;="&amp;$M$3,JURNAL!C:C,"&lt;="&amp;$N$3)</f>
        <v>0</v>
      </c>
      <c r="N11" s="20">
        <f t="shared" si="7"/>
        <v>0</v>
      </c>
      <c r="O11" s="230">
        <f t="shared" si="8"/>
        <v>0</v>
      </c>
      <c r="P11" s="16">
        <f t="shared" si="9"/>
        <v>320100</v>
      </c>
      <c r="Q11" s="16">
        <f t="shared" si="10"/>
        <v>122000</v>
      </c>
      <c r="R11" s="230">
        <f t="shared" si="11"/>
        <v>0</v>
      </c>
    </row>
    <row r="12" spans="2:18">
      <c r="B12" s="15">
        <f t="shared" si="5"/>
        <v>7</v>
      </c>
      <c r="C12" s="16">
        <f>IFERROR(VLOOKUP(DATA!G10,DATA!$G$4:$J$2149,1,FALSE),"")</f>
        <v>2007</v>
      </c>
      <c r="D12" s="16" t="str">
        <f>+IFERROR(VLOOKUP(C12,DATA!$G$4:$H$2000,2,FALSE),"")</f>
        <v xml:space="preserve">МХБИРЖ -ТӨХК </v>
      </c>
      <c r="E12" s="16">
        <v>122000</v>
      </c>
      <c r="G12" s="230">
        <f>+SUMIFS(JURNAL!G:G,JURNAL!E:E,E12,JURNAL!L:L,$C12,JURNAL!C:C,"&gt;="&amp;$M$3,JURNAL!C:C,"&lt;="&amp;$N$3)</f>
        <v>0</v>
      </c>
      <c r="H12" s="19">
        <f>+SUMIFS(JURNAL!H:H,JURNAL!E:E,E12,JURNAL!L:L,$C12,JURNAL!C:C,"&gt;="&amp;$M$3,JURNAL!C:C,"&lt;="&amp;$N$3)</f>
        <v>0</v>
      </c>
      <c r="I12" s="18">
        <f t="shared" si="6"/>
        <v>0</v>
      </c>
      <c r="J12" s="16">
        <v>320100</v>
      </c>
      <c r="L12" s="230">
        <f>+SUMIFS(JURNAL!G:G,JURNAL!E:E,J12,JURNAL!L:L,$C12,JURNAL!C:C,"&gt;="&amp;$M$3,JURNAL!C:C,"&lt;="&amp;$N$3)</f>
        <v>0</v>
      </c>
      <c r="M12" s="19">
        <f>+SUMIFS(JURNAL!H:H,JURNAL!E:E,J12,JURNAL!L:L,$C12,JURNAL!C:C,"&gt;="&amp;$M$3,JURNAL!C:C,"&lt;="&amp;$N$3)</f>
        <v>0</v>
      </c>
      <c r="N12" s="20">
        <f t="shared" si="7"/>
        <v>0</v>
      </c>
      <c r="O12" s="230">
        <f t="shared" si="8"/>
        <v>0</v>
      </c>
      <c r="P12" s="16">
        <f t="shared" si="9"/>
        <v>320100</v>
      </c>
      <c r="Q12" s="16">
        <f t="shared" si="10"/>
        <v>122000</v>
      </c>
      <c r="R12" s="230">
        <f t="shared" si="11"/>
        <v>0</v>
      </c>
    </row>
    <row r="13" spans="2:18">
      <c r="B13" s="15">
        <f t="shared" si="5"/>
        <v>8</v>
      </c>
      <c r="C13" s="16">
        <f>IFERROR(VLOOKUP(DATA!G11,DATA!$G$4:$J$2149,1,FALSE),"")</f>
        <v>2008</v>
      </c>
      <c r="D13" s="16" t="str">
        <f>+IFERROR(VLOOKUP(C13,DATA!$G$4:$H$2000,2,FALSE),"")</f>
        <v xml:space="preserve">САНХҮҮГИЙН ЗОХИЦУУЛАХ ХОРОО </v>
      </c>
      <c r="E13" s="16">
        <v>122000</v>
      </c>
      <c r="G13" s="230">
        <f>+SUMIFS(JURNAL!G:G,JURNAL!E:E,E13,JURNAL!L:L,$C13,JURNAL!C:C,"&gt;="&amp;$M$3,JURNAL!C:C,"&lt;="&amp;$N$3)</f>
        <v>0</v>
      </c>
      <c r="H13" s="19">
        <f>+SUMIFS(JURNAL!H:H,JURNAL!E:E,E13,JURNAL!L:L,$C13,JURNAL!C:C,"&gt;="&amp;$M$3,JURNAL!C:C,"&lt;="&amp;$N$3)</f>
        <v>0</v>
      </c>
      <c r="I13" s="18">
        <f t="shared" si="6"/>
        <v>0</v>
      </c>
      <c r="J13" s="16">
        <v>320100</v>
      </c>
      <c r="L13" s="230">
        <f>+SUMIFS(JURNAL!G:G,JURNAL!E:E,J13,JURNAL!L:L,$C13,JURNAL!C:C,"&gt;="&amp;$M$3,JURNAL!C:C,"&lt;="&amp;$N$3)</f>
        <v>0</v>
      </c>
      <c r="M13" s="19">
        <f>+SUMIFS(JURNAL!H:H,JURNAL!E:E,J13,JURNAL!L:L,$C13,JURNAL!C:C,"&gt;="&amp;$M$3,JURNAL!C:C,"&lt;="&amp;$N$3)</f>
        <v>0</v>
      </c>
      <c r="N13" s="20">
        <f t="shared" si="7"/>
        <v>0</v>
      </c>
      <c r="O13" s="230">
        <f t="shared" si="8"/>
        <v>0</v>
      </c>
      <c r="P13" s="16">
        <f t="shared" si="9"/>
        <v>320100</v>
      </c>
      <c r="Q13" s="16">
        <f t="shared" si="10"/>
        <v>122000</v>
      </c>
      <c r="R13" s="230">
        <f t="shared" si="11"/>
        <v>0</v>
      </c>
    </row>
    <row r="14" spans="2:18">
      <c r="B14" s="15">
        <f t="shared" si="5"/>
        <v>9</v>
      </c>
      <c r="C14" s="16">
        <f>IFERROR(VLOOKUP(DATA!G12,DATA!$G$4:$J$2149,1,FALSE),"")</f>
        <v>2009</v>
      </c>
      <c r="D14" s="16" t="str">
        <f>+IFERROR(VLOOKUP(C14,DATA!$G$4:$H$2000,2,FALSE),"")</f>
        <v>ХААН БАНК</v>
      </c>
      <c r="E14" s="16">
        <v>122000</v>
      </c>
      <c r="G14" s="230">
        <f>+SUMIFS(JURNAL!G:G,JURNAL!E:E,E14,JURNAL!L:L,$C14,JURNAL!C:C,"&gt;="&amp;$M$3,JURNAL!C:C,"&lt;="&amp;$N$3)</f>
        <v>0</v>
      </c>
      <c r="H14" s="19">
        <f>+SUMIFS(JURNAL!H:H,JURNAL!E:E,E14,JURNAL!L:L,$C14,JURNAL!C:C,"&gt;="&amp;$M$3,JURNAL!C:C,"&lt;="&amp;$N$3)</f>
        <v>0</v>
      </c>
      <c r="I14" s="18">
        <f t="shared" si="6"/>
        <v>0</v>
      </c>
      <c r="J14" s="16">
        <v>320100</v>
      </c>
      <c r="L14" s="230">
        <f>+SUMIFS(JURNAL!G:G,JURNAL!E:E,J14,JURNAL!L:L,$C14,JURNAL!C:C,"&gt;="&amp;$M$3,JURNAL!C:C,"&lt;="&amp;$N$3)</f>
        <v>0</v>
      </c>
      <c r="M14" s="19">
        <f>+SUMIFS(JURNAL!H:H,JURNAL!E:E,J14,JURNAL!L:L,$C14,JURNAL!C:C,"&gt;="&amp;$M$3,JURNAL!C:C,"&lt;="&amp;$N$3)</f>
        <v>0</v>
      </c>
      <c r="N14" s="20">
        <f t="shared" si="7"/>
        <v>0</v>
      </c>
      <c r="O14" s="230">
        <f t="shared" si="8"/>
        <v>0</v>
      </c>
      <c r="P14" s="16">
        <f t="shared" si="9"/>
        <v>320100</v>
      </c>
      <c r="Q14" s="16">
        <f t="shared" si="10"/>
        <v>122000</v>
      </c>
      <c r="R14" s="230">
        <f t="shared" si="11"/>
        <v>0</v>
      </c>
    </row>
    <row r="15" spans="2:18">
      <c r="B15" s="15">
        <f t="shared" si="5"/>
        <v>10</v>
      </c>
      <c r="C15" s="16">
        <f>IFERROR(VLOOKUP(DATA!G13,DATA!$G$4:$J$2149,1,FALSE),"")</f>
        <v>2010</v>
      </c>
      <c r="D15" s="16" t="str">
        <f>+IFERROR(VLOOKUP(C15,DATA!$G$4:$H$2000,2,FALSE),"")</f>
        <v>ХХБАНК</v>
      </c>
      <c r="E15" s="16">
        <v>122000</v>
      </c>
      <c r="G15" s="230">
        <f>+SUMIFS(JURNAL!G:G,JURNAL!E:E,E15,JURNAL!L:L,$C15,JURNAL!C:C,"&gt;="&amp;$M$3,JURNAL!C:C,"&lt;="&amp;$N$3)</f>
        <v>0</v>
      </c>
      <c r="H15" s="19">
        <f>+SUMIFS(JURNAL!H:H,JURNAL!E:E,E15,JURNAL!L:L,$C15,JURNAL!C:C,"&gt;="&amp;$M$3,JURNAL!C:C,"&lt;="&amp;$N$3)</f>
        <v>0</v>
      </c>
      <c r="I15" s="18">
        <f t="shared" si="6"/>
        <v>0</v>
      </c>
      <c r="J15" s="16">
        <v>320100</v>
      </c>
      <c r="L15" s="230">
        <f>+SUMIFS(JURNAL!G:G,JURNAL!E:E,J15,JURNAL!L:L,$C15,JURNAL!C:C,"&gt;="&amp;$M$3,JURNAL!C:C,"&lt;="&amp;$N$3)</f>
        <v>0</v>
      </c>
      <c r="M15" s="19">
        <f>+SUMIFS(JURNAL!H:H,JURNAL!E:E,J15,JURNAL!L:L,$C15,JURNAL!C:C,"&gt;="&amp;$M$3,JURNAL!C:C,"&lt;="&amp;$N$3)</f>
        <v>0</v>
      </c>
      <c r="N15" s="20">
        <f t="shared" si="7"/>
        <v>0</v>
      </c>
      <c r="O15" s="230">
        <f t="shared" si="8"/>
        <v>0</v>
      </c>
      <c r="P15" s="16">
        <f t="shared" si="9"/>
        <v>320100</v>
      </c>
      <c r="Q15" s="16">
        <f t="shared" si="10"/>
        <v>122000</v>
      </c>
      <c r="R15" s="230">
        <f t="shared" si="11"/>
        <v>0</v>
      </c>
    </row>
    <row r="16" spans="2:18">
      <c r="B16" s="15">
        <f t="shared" si="5"/>
        <v>11</v>
      </c>
      <c r="C16" s="16">
        <f>IFERROR(VLOOKUP(DATA!G14,DATA!$G$4:$J$2149,1,FALSE),"")</f>
        <v>2011</v>
      </c>
      <c r="D16" s="16" t="str">
        <f>+IFERROR(VLOOKUP(C16,DATA!$G$4:$H$2000,2,FALSE),"")</f>
        <v xml:space="preserve">ГОЛОМТ БАНК </v>
      </c>
      <c r="E16" s="16">
        <v>122000</v>
      </c>
      <c r="G16" s="230">
        <f>+SUMIFS(JURNAL!G:G,JURNAL!E:E,E16,JURNAL!L:L,$C16,JURNAL!C:C,"&gt;="&amp;$M$3,JURNAL!C:C,"&lt;="&amp;$N$3)</f>
        <v>0</v>
      </c>
      <c r="H16" s="19">
        <f>+SUMIFS(JURNAL!H:H,JURNAL!E:E,E16,JURNAL!L:L,$C16,JURNAL!C:C,"&gt;="&amp;$M$3,JURNAL!C:C,"&lt;="&amp;$N$3)</f>
        <v>0</v>
      </c>
      <c r="I16" s="18">
        <f t="shared" si="6"/>
        <v>0</v>
      </c>
      <c r="J16" s="16">
        <v>320100</v>
      </c>
      <c r="L16" s="230">
        <f>+SUMIFS(JURNAL!G:G,JURNAL!E:E,J16,JURNAL!L:L,$C16,JURNAL!C:C,"&gt;="&amp;$M$3,JURNAL!C:C,"&lt;="&amp;$N$3)</f>
        <v>0</v>
      </c>
      <c r="M16" s="19">
        <f>+SUMIFS(JURNAL!H:H,JURNAL!E:E,J16,JURNAL!L:L,$C16,JURNAL!C:C,"&gt;="&amp;$M$3,JURNAL!C:C,"&lt;="&amp;$N$3)</f>
        <v>0</v>
      </c>
      <c r="N16" s="20">
        <f t="shared" si="7"/>
        <v>0</v>
      </c>
      <c r="O16" s="230">
        <f t="shared" si="8"/>
        <v>0</v>
      </c>
      <c r="P16" s="16">
        <f t="shared" si="9"/>
        <v>320100</v>
      </c>
      <c r="Q16" s="16">
        <f t="shared" si="10"/>
        <v>122000</v>
      </c>
      <c r="R16" s="230">
        <f t="shared" si="11"/>
        <v>0</v>
      </c>
    </row>
    <row r="17" spans="2:18">
      <c r="B17" s="15">
        <f t="shared" si="5"/>
        <v>12</v>
      </c>
      <c r="C17" s="16">
        <f>IFERROR(VLOOKUP(DATA!G15,DATA!$G$4:$J$2149,1,FALSE),"")</f>
        <v>3001</v>
      </c>
      <c r="D17" s="16" t="str">
        <f>+IFERROR(VLOOKUP(C17,DATA!$G$4:$H$2000,2,FALSE),"")</f>
        <v>ХУРД ГРУПП ХХК</v>
      </c>
      <c r="E17" s="16">
        <v>122000</v>
      </c>
      <c r="G17" s="230">
        <f>+SUMIFS(JURNAL!G:G,JURNAL!E:E,E17,JURNAL!L:L,$C17,JURNAL!C:C,"&gt;="&amp;$M$3,JURNAL!C:C,"&lt;="&amp;$N$3)</f>
        <v>20883091</v>
      </c>
      <c r="H17" s="19">
        <f>+SUMIFS(JURNAL!H:H,JURNAL!E:E,E17,JURNAL!L:L,$C17,JURNAL!C:C,"&gt;="&amp;$M$3,JURNAL!C:C,"&lt;="&amp;$N$3)</f>
        <v>20883091</v>
      </c>
      <c r="I17" s="18">
        <f t="shared" si="6"/>
        <v>0</v>
      </c>
      <c r="J17" s="16">
        <v>320100</v>
      </c>
      <c r="K17" s="230">
        <v>5210000</v>
      </c>
      <c r="L17" s="230">
        <f>+SUMIFS(JURNAL!G:G,JURNAL!E:E,J17,JURNAL!L:L,$C17,JURNAL!C:C,"&gt;="&amp;$M$3,JURNAL!C:C,"&lt;="&amp;$N$3)</f>
        <v>124955937.99511622</v>
      </c>
      <c r="M17" s="19">
        <f>+SUMIFS(JURNAL!H:H,JURNAL!E:E,J17,JURNAL!L:L,$C17,JURNAL!C:C,"&gt;="&amp;$M$3,JURNAL!C:C,"&lt;="&amp;$N$3)</f>
        <v>119745938</v>
      </c>
      <c r="N17" s="20">
        <f t="shared" si="7"/>
        <v>4.8837810754776001E-3</v>
      </c>
      <c r="O17" s="230">
        <f>+IF(I17&lt;N17,I17,N17)</f>
        <v>0</v>
      </c>
      <c r="P17" s="16">
        <f t="shared" si="9"/>
        <v>320100</v>
      </c>
      <c r="Q17" s="16">
        <f t="shared" si="10"/>
        <v>122000</v>
      </c>
      <c r="R17" s="230">
        <f>+IF(O17,1,0)</f>
        <v>0</v>
      </c>
    </row>
    <row r="18" spans="2:18">
      <c r="B18" s="15">
        <f t="shared" si="5"/>
        <v>13</v>
      </c>
      <c r="C18" s="16">
        <f>IFERROR(VLOOKUP(DATA!G16,DATA!$G$4:$J$2149,1,FALSE),"")</f>
        <v>3002</v>
      </c>
      <c r="D18" s="16" t="str">
        <f>+IFERROR(VLOOKUP(C18,DATA!$G$4:$H$2000,2,FALSE),"")</f>
        <v>ЭКО КОНСТРАКШН ХХК</v>
      </c>
      <c r="E18" s="16">
        <v>122000</v>
      </c>
      <c r="G18" s="230">
        <f>+SUMIFS(JURNAL!G:G,JURNAL!E:E,E18,JURNAL!L:L,$C18,JURNAL!C:C,"&gt;="&amp;$M$3,JURNAL!C:C,"&lt;="&amp;$N$3)</f>
        <v>8</v>
      </c>
      <c r="H18" s="19">
        <f>+SUMIFS(JURNAL!H:H,JURNAL!E:E,E18,JURNAL!L:L,$C18,JURNAL!C:C,"&gt;="&amp;$M$3,JURNAL!C:C,"&lt;="&amp;$N$3)</f>
        <v>0</v>
      </c>
      <c r="I18" s="18">
        <f t="shared" si="6"/>
        <v>8</v>
      </c>
      <c r="J18" s="16">
        <v>320100</v>
      </c>
      <c r="L18" s="230">
        <f>+SUMIFS(JURNAL!G:G,JURNAL!E:E,J18,JURNAL!L:L,$C18,JURNAL!C:C,"&gt;="&amp;$M$3,JURNAL!C:C,"&lt;="&amp;$N$3)</f>
        <v>107095371.7702553</v>
      </c>
      <c r="M18" s="19">
        <f>+SUMIFS(JURNAL!H:H,JURNAL!E:E,J18,JURNAL!L:L,$C18,JURNAL!C:C,"&gt;="&amp;$M$3,JURNAL!C:C,"&lt;="&amp;$N$3)</f>
        <v>107095371.77</v>
      </c>
      <c r="N18" s="20">
        <f t="shared" si="7"/>
        <v>-2.5530159473419189E-4</v>
      </c>
      <c r="O18" s="230">
        <f t="shared" si="8"/>
        <v>-2.5530159473419189E-4</v>
      </c>
      <c r="P18" s="16">
        <f t="shared" si="9"/>
        <v>320100</v>
      </c>
      <c r="Q18" s="16">
        <f t="shared" si="10"/>
        <v>122000</v>
      </c>
      <c r="R18" s="230">
        <f t="shared" si="11"/>
        <v>1</v>
      </c>
    </row>
    <row r="19" spans="2:18">
      <c r="B19" s="15">
        <f t="shared" si="5"/>
        <v>14</v>
      </c>
      <c r="C19" s="16">
        <f>IFERROR(VLOOKUP(DATA!G17,DATA!$G$4:$J$2149,1,FALSE),"")</f>
        <v>3003</v>
      </c>
      <c r="D19" s="16" t="str">
        <f>+IFERROR(VLOOKUP(C19,DATA!$G$4:$H$2000,2,FALSE),"")</f>
        <v xml:space="preserve">МУХИА ХХК </v>
      </c>
      <c r="E19" s="16">
        <v>122000</v>
      </c>
      <c r="G19" s="230">
        <f>+SUMIFS(JURNAL!G:G,JURNAL!E:E,E19,JURNAL!L:L,$C19,JURNAL!C:C,"&gt;="&amp;$M$3,JURNAL!C:C,"&lt;="&amp;$N$3)</f>
        <v>0</v>
      </c>
      <c r="H19" s="19">
        <f>+SUMIFS(JURNAL!H:H,JURNAL!E:E,E19,JURNAL!L:L,$C19,JURNAL!C:C,"&gt;="&amp;$M$3,JURNAL!C:C,"&lt;="&amp;$N$3)</f>
        <v>0</v>
      </c>
      <c r="I19" s="18">
        <f t="shared" si="6"/>
        <v>0</v>
      </c>
      <c r="J19" s="16">
        <v>320100</v>
      </c>
      <c r="L19" s="230">
        <f>+SUMIFS(JURNAL!G:G,JURNAL!E:E,J19,JURNAL!L:L,$C19,JURNAL!C:C,"&gt;="&amp;$M$3,JURNAL!C:C,"&lt;="&amp;$N$3)</f>
        <v>569411.99676305999</v>
      </c>
      <c r="M19" s="19">
        <f>+SUMIFS(JURNAL!H:H,JURNAL!E:E,J19,JURNAL!L:L,$C19,JURNAL!C:C,"&gt;="&amp;$M$3,JURNAL!C:C,"&lt;="&amp;$N$3)</f>
        <v>569412</v>
      </c>
      <c r="N19" s="20">
        <f t="shared" si="7"/>
        <v>3.2369400141760707E-3</v>
      </c>
      <c r="O19" s="230">
        <f t="shared" si="8"/>
        <v>0</v>
      </c>
      <c r="P19" s="16">
        <f t="shared" si="9"/>
        <v>320100</v>
      </c>
      <c r="Q19" s="16">
        <f t="shared" si="10"/>
        <v>122000</v>
      </c>
      <c r="R19" s="230">
        <f t="shared" si="11"/>
        <v>0</v>
      </c>
    </row>
    <row r="20" spans="2:18">
      <c r="B20" s="15">
        <f t="shared" si="5"/>
        <v>15</v>
      </c>
      <c r="C20" s="16">
        <f>IFERROR(VLOOKUP(DATA!G18,DATA!$G$4:$J$2149,1,FALSE),"")</f>
        <v>3004</v>
      </c>
      <c r="D20" s="16" t="str">
        <f>+IFERROR(VLOOKUP(C20,DATA!$G$4:$H$2000,2,FALSE),"")</f>
        <v xml:space="preserve">ИЭСОМ ХХК </v>
      </c>
      <c r="E20" s="16">
        <v>122000</v>
      </c>
      <c r="G20" s="230">
        <f>+SUMIFS(JURNAL!G:G,JURNAL!E:E,E20,JURNAL!L:L,$C20,JURNAL!C:C,"&gt;="&amp;$M$3,JURNAL!C:C,"&lt;="&amp;$N$3)</f>
        <v>0</v>
      </c>
      <c r="H20" s="19">
        <f>+SUMIFS(JURNAL!H:H,JURNAL!E:E,E20,JURNAL!L:L,$C20,JURNAL!C:C,"&gt;="&amp;$M$3,JURNAL!C:C,"&lt;="&amp;$N$3)</f>
        <v>0</v>
      </c>
      <c r="I20" s="18">
        <f t="shared" si="6"/>
        <v>0</v>
      </c>
      <c r="J20" s="16">
        <v>320100</v>
      </c>
      <c r="K20" s="230">
        <v>438900</v>
      </c>
      <c r="L20" s="230">
        <f>+SUMIFS(JURNAL!G:G,JURNAL!E:E,J20,JURNAL!L:L,$C20,JURNAL!C:C,"&gt;="&amp;$M$3,JURNAL!C:C,"&lt;="&amp;$N$3)</f>
        <v>313499.99875259999</v>
      </c>
      <c r="M20" s="19">
        <f>+SUMIFS(JURNAL!H:H,JURNAL!E:E,J20,JURNAL!L:L,$C20,JURNAL!C:C,"&gt;="&amp;$M$3,JURNAL!C:C,"&lt;="&amp;$N$3)</f>
        <v>313500</v>
      </c>
      <c r="N20" s="20">
        <f t="shared" si="7"/>
        <v>438900.00124740001</v>
      </c>
      <c r="O20" s="230">
        <f t="shared" si="8"/>
        <v>0</v>
      </c>
      <c r="P20" s="16">
        <f t="shared" si="9"/>
        <v>320100</v>
      </c>
      <c r="Q20" s="16">
        <f t="shared" si="10"/>
        <v>122000</v>
      </c>
      <c r="R20" s="230">
        <f t="shared" si="11"/>
        <v>0</v>
      </c>
    </row>
    <row r="21" spans="2:18">
      <c r="B21" s="15">
        <f t="shared" si="5"/>
        <v>16</v>
      </c>
      <c r="C21" s="16">
        <f>IFERROR(VLOOKUP(DATA!G19,DATA!$G$4:$J$2149,1,FALSE),"")</f>
        <v>3005</v>
      </c>
      <c r="D21" s="16" t="str">
        <f>+IFERROR(VLOOKUP(C21,DATA!$G$4:$H$2000,2,FALSE),"")</f>
        <v xml:space="preserve">ОРГИЛ ХҮНС ХХК </v>
      </c>
      <c r="E21" s="16">
        <v>122000</v>
      </c>
      <c r="G21" s="230">
        <f>+SUMIFS(JURNAL!G:G,JURNAL!E:E,E21,JURNAL!L:L,$C21,JURNAL!C:C,"&gt;="&amp;$M$3,JURNAL!C:C,"&lt;="&amp;$N$3)</f>
        <v>0</v>
      </c>
      <c r="H21" s="19">
        <f>+SUMIFS(JURNAL!H:H,JURNAL!E:E,E21,JURNAL!L:L,$C21,JURNAL!C:C,"&gt;="&amp;$M$3,JURNAL!C:C,"&lt;="&amp;$N$3)</f>
        <v>0</v>
      </c>
      <c r="I21" s="18">
        <f t="shared" si="6"/>
        <v>0</v>
      </c>
      <c r="J21" s="16">
        <v>320100</v>
      </c>
      <c r="L21" s="230">
        <f>+SUMIFS(JURNAL!G:G,JURNAL!E:E,J21,JURNAL!L:L,$C21,JURNAL!C:C,"&gt;="&amp;$M$3,JURNAL!C:C,"&lt;="&amp;$N$3)</f>
        <v>258780.005</v>
      </c>
      <c r="M21" s="19">
        <f>+SUMIFS(JURNAL!H:H,JURNAL!E:E,J21,JURNAL!L:L,$C21,JURNAL!C:C,"&gt;="&amp;$M$3,JURNAL!C:C,"&lt;="&amp;$N$3)</f>
        <v>258780</v>
      </c>
      <c r="N21" s="20">
        <f t="shared" si="7"/>
        <v>-5.0000000046566129E-3</v>
      </c>
      <c r="O21" s="230">
        <f t="shared" si="8"/>
        <v>-5.0000000046566129E-3</v>
      </c>
      <c r="P21" s="16">
        <f t="shared" si="9"/>
        <v>320100</v>
      </c>
      <c r="Q21" s="16">
        <f t="shared" si="10"/>
        <v>122000</v>
      </c>
      <c r="R21" s="230">
        <f t="shared" si="11"/>
        <v>1</v>
      </c>
    </row>
    <row r="22" spans="2:18">
      <c r="B22" s="15">
        <f t="shared" si="5"/>
        <v>17</v>
      </c>
      <c r="C22" s="16">
        <f>IFERROR(VLOOKUP(DATA!G20,DATA!$G$4:$J$2149,1,FALSE),"")</f>
        <v>3006</v>
      </c>
      <c r="D22" s="16" t="str">
        <f>+IFERROR(VLOOKUP(C22,DATA!$G$4:$H$2000,2,FALSE),"")</f>
        <v xml:space="preserve">ПАЙОНЕРИНГ ИНТЕРНЭШНЛ ХХК </v>
      </c>
      <c r="E22" s="16">
        <v>122000</v>
      </c>
      <c r="G22" s="230">
        <f>+SUMIFS(JURNAL!G:G,JURNAL!E:E,E22,JURNAL!L:L,$C22,JURNAL!C:C,"&gt;="&amp;$M$3,JURNAL!C:C,"&lt;="&amp;$N$3)</f>
        <v>0</v>
      </c>
      <c r="H22" s="19">
        <f>+SUMIFS(JURNAL!H:H,JURNAL!E:E,E22,JURNAL!L:L,$C22,JURNAL!C:C,"&gt;="&amp;$M$3,JURNAL!C:C,"&lt;="&amp;$N$3)</f>
        <v>0</v>
      </c>
      <c r="I22" s="18">
        <f t="shared" si="6"/>
        <v>0</v>
      </c>
      <c r="J22" s="16">
        <v>320100</v>
      </c>
      <c r="L22" s="230">
        <f>+SUMIFS(JURNAL!G:G,JURNAL!E:E,J22,JURNAL!L:L,$C22,JURNAL!C:C,"&gt;="&amp;$M$3,JURNAL!C:C,"&lt;="&amp;$N$3)</f>
        <v>8180700.0002292991</v>
      </c>
      <c r="M22" s="19">
        <f>+SUMIFS(JURNAL!H:H,JURNAL!E:E,J22,JURNAL!L:L,$C22,JURNAL!C:C,"&gt;="&amp;$M$3,JURNAL!C:C,"&lt;="&amp;$N$3)</f>
        <v>8180700</v>
      </c>
      <c r="N22" s="20">
        <f t="shared" si="7"/>
        <v>-2.2929906845092773E-4</v>
      </c>
      <c r="O22" s="230">
        <f t="shared" si="8"/>
        <v>-2.2929906845092773E-4</v>
      </c>
      <c r="P22" s="16">
        <f t="shared" si="9"/>
        <v>320100</v>
      </c>
      <c r="Q22" s="16">
        <f t="shared" si="10"/>
        <v>122000</v>
      </c>
      <c r="R22" s="230">
        <f t="shared" si="11"/>
        <v>1</v>
      </c>
    </row>
    <row r="23" spans="2:18">
      <c r="B23" s="15">
        <f t="shared" si="5"/>
        <v>18</v>
      </c>
      <c r="C23" s="16">
        <f>IFERROR(VLOOKUP(DATA!G21,DATA!$G$4:$J$2149,1,FALSE),"")</f>
        <v>3007</v>
      </c>
      <c r="D23" s="16" t="str">
        <f>+IFERROR(VLOOKUP(C23,DATA!$G$4:$H$2000,2,FALSE),"")</f>
        <v xml:space="preserve">АЯНЧИН АУТФИТТЕРС ХХК </v>
      </c>
      <c r="E23" s="16">
        <v>122000</v>
      </c>
      <c r="G23" s="230">
        <f>+SUMIFS(JURNAL!G:G,JURNAL!E:E,E23,JURNAL!L:L,$C23,JURNAL!C:C,"&gt;="&amp;$M$3,JURNAL!C:C,"&lt;="&amp;$N$3)</f>
        <v>0</v>
      </c>
      <c r="H23" s="19">
        <f>+SUMIFS(JURNAL!H:H,JURNAL!E:E,E23,JURNAL!L:L,$C23,JURNAL!C:C,"&gt;="&amp;$M$3,JURNAL!C:C,"&lt;="&amp;$N$3)</f>
        <v>0</v>
      </c>
      <c r="I23" s="18">
        <f t="shared" si="6"/>
        <v>0</v>
      </c>
      <c r="J23" s="16">
        <v>320100</v>
      </c>
      <c r="L23" s="230">
        <f>+SUMIFS(JURNAL!G:G,JURNAL!E:E,J23,JURNAL!L:L,$C23,JURNAL!C:C,"&gt;="&amp;$M$3,JURNAL!C:C,"&lt;="&amp;$N$3)</f>
        <v>621500</v>
      </c>
      <c r="M23" s="19">
        <f>+SUMIFS(JURNAL!H:H,JURNAL!E:E,J23,JURNAL!L:L,$C23,JURNAL!C:C,"&gt;="&amp;$M$3,JURNAL!C:C,"&lt;="&amp;$N$3)</f>
        <v>621500</v>
      </c>
      <c r="N23" s="20">
        <f t="shared" si="7"/>
        <v>0</v>
      </c>
      <c r="O23" s="230">
        <f t="shared" si="8"/>
        <v>0</v>
      </c>
      <c r="P23" s="16">
        <f t="shared" si="9"/>
        <v>320100</v>
      </c>
      <c r="Q23" s="16">
        <f t="shared" si="10"/>
        <v>122000</v>
      </c>
      <c r="R23" s="230">
        <f t="shared" si="11"/>
        <v>0</v>
      </c>
    </row>
    <row r="24" spans="2:18">
      <c r="B24" s="15">
        <f t="shared" si="5"/>
        <v>19</v>
      </c>
      <c r="C24" s="16">
        <f>IFERROR(VLOOKUP(DATA!G22,DATA!$G$4:$J$2149,1,FALSE),"")</f>
        <v>3008</v>
      </c>
      <c r="D24" s="16" t="str">
        <f>+IFERROR(VLOOKUP(C24,DATA!$G$4:$H$2000,2,FALSE),"")</f>
        <v xml:space="preserve">ГЭГЭЭН ДАЛАЙ ХХК </v>
      </c>
      <c r="E24" s="16">
        <v>122000</v>
      </c>
      <c r="G24" s="230">
        <f>+SUMIFS(JURNAL!G:G,JURNAL!E:E,E24,JURNAL!L:L,$C24,JURNAL!C:C,"&gt;="&amp;$M$3,JURNAL!C:C,"&lt;="&amp;$N$3)</f>
        <v>0</v>
      </c>
      <c r="H24" s="19">
        <f>+SUMIFS(JURNAL!H:H,JURNAL!E:E,E24,JURNAL!L:L,$C24,JURNAL!C:C,"&gt;="&amp;$M$3,JURNAL!C:C,"&lt;="&amp;$N$3)</f>
        <v>0</v>
      </c>
      <c r="I24" s="18">
        <f t="shared" si="6"/>
        <v>0</v>
      </c>
      <c r="J24" s="16">
        <v>320100</v>
      </c>
      <c r="L24" s="230">
        <f>+SUMIFS(JURNAL!G:G,JURNAL!E:E,J24,JURNAL!L:L,$C24,JURNAL!C:C,"&gt;="&amp;$M$3,JURNAL!C:C,"&lt;="&amp;$N$3)</f>
        <v>224849.99794443999</v>
      </c>
      <c r="M24" s="19">
        <f>+SUMIFS(JURNAL!H:H,JURNAL!E:E,J24,JURNAL!L:L,$C24,JURNAL!C:C,"&gt;="&amp;$M$3,JURNAL!C:C,"&lt;="&amp;$N$3)</f>
        <v>224850</v>
      </c>
      <c r="N24" s="20">
        <f t="shared" si="7"/>
        <v>2.0555600058287382E-3</v>
      </c>
      <c r="O24" s="230">
        <f t="shared" si="8"/>
        <v>0</v>
      </c>
      <c r="P24" s="16">
        <f t="shared" si="9"/>
        <v>320100</v>
      </c>
      <c r="Q24" s="16">
        <f t="shared" si="10"/>
        <v>122000</v>
      </c>
      <c r="R24" s="230">
        <f t="shared" si="11"/>
        <v>0</v>
      </c>
    </row>
    <row r="25" spans="2:18">
      <c r="B25" s="15">
        <f t="shared" si="5"/>
        <v>20</v>
      </c>
      <c r="C25" s="16">
        <f>IFERROR(VLOOKUP(DATA!G23,DATA!$G$4:$J$2149,1,FALSE),"")</f>
        <v>3009</v>
      </c>
      <c r="D25" s="16" t="str">
        <f>+IFERROR(VLOOKUP(C25,DATA!$G$4:$H$2000,2,FALSE),"")</f>
        <v xml:space="preserve">СЭРҮҮН ХАРААТ ХХК </v>
      </c>
      <c r="E25" s="16">
        <v>122000</v>
      </c>
      <c r="G25" s="230">
        <f>+SUMIFS(JURNAL!G:G,JURNAL!E:E,E25,JURNAL!L:L,$C25,JURNAL!C:C,"&gt;="&amp;$M$3,JURNAL!C:C,"&lt;="&amp;$N$3)</f>
        <v>0</v>
      </c>
      <c r="H25" s="19">
        <f>+SUMIFS(JURNAL!H:H,JURNAL!E:E,E25,JURNAL!L:L,$C25,JURNAL!C:C,"&gt;="&amp;$M$3,JURNAL!C:C,"&lt;="&amp;$N$3)</f>
        <v>0</v>
      </c>
      <c r="I25" s="18">
        <f t="shared" si="6"/>
        <v>0</v>
      </c>
      <c r="J25" s="16">
        <v>320100</v>
      </c>
      <c r="L25" s="230">
        <f>+SUMIFS(JURNAL!G:G,JURNAL!E:E,J25,JURNAL!L:L,$C25,JURNAL!C:C,"&gt;="&amp;$M$3,JURNAL!C:C,"&lt;="&amp;$N$3)</f>
        <v>308000</v>
      </c>
      <c r="M25" s="19">
        <f>+SUMIFS(JURNAL!H:H,JURNAL!E:E,J25,JURNAL!L:L,$C25,JURNAL!C:C,"&gt;="&amp;$M$3,JURNAL!C:C,"&lt;="&amp;$N$3)</f>
        <v>308000</v>
      </c>
      <c r="N25" s="20">
        <f t="shared" si="7"/>
        <v>0</v>
      </c>
      <c r="O25" s="230">
        <f t="shared" si="8"/>
        <v>0</v>
      </c>
      <c r="P25" s="16">
        <f t="shared" si="9"/>
        <v>320100</v>
      </c>
      <c r="Q25" s="16">
        <f t="shared" si="10"/>
        <v>122000</v>
      </c>
      <c r="R25" s="230">
        <f t="shared" si="11"/>
        <v>0</v>
      </c>
    </row>
    <row r="26" spans="2:18">
      <c r="B26" s="15">
        <f t="shared" si="5"/>
        <v>21</v>
      </c>
      <c r="C26" s="16">
        <f>IFERROR(VLOOKUP(DATA!G24,DATA!$G$4:$J$2149,1,FALSE),"")</f>
        <v>3010</v>
      </c>
      <c r="D26" s="16" t="str">
        <f>+IFERROR(VLOOKUP(C26,DATA!$G$4:$H$2000,2,FALSE),"")</f>
        <v xml:space="preserve">РЕНДЕР ХХК </v>
      </c>
      <c r="E26" s="16">
        <v>122000</v>
      </c>
      <c r="G26" s="230">
        <f>+SUMIFS(JURNAL!G:G,JURNAL!E:E,E26,JURNAL!L:L,$C26,JURNAL!C:C,"&gt;="&amp;$M$3,JURNAL!C:C,"&lt;="&amp;$N$3)</f>
        <v>0</v>
      </c>
      <c r="H26" s="19">
        <f>+SUMIFS(JURNAL!H:H,JURNAL!E:E,E26,JURNAL!L:L,$C26,JURNAL!C:C,"&gt;="&amp;$M$3,JURNAL!C:C,"&lt;="&amp;$N$3)</f>
        <v>0</v>
      </c>
      <c r="I26" s="18">
        <f t="shared" si="6"/>
        <v>0</v>
      </c>
      <c r="J26" s="16">
        <v>320100</v>
      </c>
      <c r="L26" s="230">
        <f>+SUMIFS(JURNAL!G:G,JURNAL!E:E,J26,JURNAL!L:L,$C26,JURNAL!C:C,"&gt;="&amp;$M$3,JURNAL!C:C,"&lt;="&amp;$N$3)</f>
        <v>2541220</v>
      </c>
      <c r="M26" s="19">
        <f>+SUMIFS(JURNAL!H:H,JURNAL!E:E,J26,JURNAL!L:L,$C26,JURNAL!C:C,"&gt;="&amp;$M$3,JURNAL!C:C,"&lt;="&amp;$N$3)</f>
        <v>2541220</v>
      </c>
      <c r="N26" s="20">
        <f t="shared" si="7"/>
        <v>0</v>
      </c>
      <c r="O26" s="230">
        <f t="shared" si="8"/>
        <v>0</v>
      </c>
      <c r="P26" s="16">
        <f t="shared" si="9"/>
        <v>320100</v>
      </c>
      <c r="Q26" s="16">
        <f t="shared" si="10"/>
        <v>122000</v>
      </c>
      <c r="R26" s="230">
        <f t="shared" si="11"/>
        <v>0</v>
      </c>
    </row>
    <row r="27" spans="2:18">
      <c r="B27" s="15">
        <f t="shared" si="5"/>
        <v>22</v>
      </c>
      <c r="C27" s="16">
        <f>IFERROR(VLOOKUP(DATA!G25,DATA!$G$4:$J$2149,1,FALSE),"")</f>
        <v>3011</v>
      </c>
      <c r="D27" s="16" t="str">
        <f>+IFERROR(VLOOKUP(C27,DATA!$G$4:$H$2000,2,FALSE),"")</f>
        <v xml:space="preserve">САКУРА КОНСТРАКШН ХХК </v>
      </c>
      <c r="E27" s="16">
        <v>122000</v>
      </c>
      <c r="G27" s="230">
        <f>+SUMIFS(JURNAL!G:G,JURNAL!E:E,E27,JURNAL!L:L,$C27,JURNAL!C:C,"&gt;="&amp;$M$3,JURNAL!C:C,"&lt;="&amp;$N$3)</f>
        <v>0</v>
      </c>
      <c r="H27" s="19">
        <f>+SUMIFS(JURNAL!H:H,JURNAL!E:E,E27,JURNAL!L:L,$C27,JURNAL!C:C,"&gt;="&amp;$M$3,JURNAL!C:C,"&lt;="&amp;$N$3)</f>
        <v>0</v>
      </c>
      <c r="I27" s="18">
        <f t="shared" si="6"/>
        <v>0</v>
      </c>
      <c r="J27" s="16">
        <v>320100</v>
      </c>
      <c r="K27" s="230">
        <v>256700</v>
      </c>
      <c r="L27" s="230">
        <f>+SUMIFS(JURNAL!G:G,JURNAL!E:E,J27,JURNAL!L:L,$C27,JURNAL!C:C,"&gt;="&amp;$M$3,JURNAL!C:C,"&lt;="&amp;$N$3)</f>
        <v>256699.9963</v>
      </c>
      <c r="M27" s="19">
        <f>+SUMIFS(JURNAL!H:H,JURNAL!E:E,J27,JURNAL!L:L,$C27,JURNAL!C:C,"&gt;="&amp;$M$3,JURNAL!C:C,"&lt;="&amp;$N$3)</f>
        <v>0</v>
      </c>
      <c r="N27" s="20">
        <f t="shared" si="7"/>
        <v>3.7000000011175871E-3</v>
      </c>
      <c r="O27" s="230">
        <f t="shared" si="8"/>
        <v>0</v>
      </c>
      <c r="P27" s="16">
        <f t="shared" si="9"/>
        <v>320100</v>
      </c>
      <c r="Q27" s="16">
        <f t="shared" si="10"/>
        <v>122000</v>
      </c>
      <c r="R27" s="230">
        <f t="shared" si="11"/>
        <v>0</v>
      </c>
    </row>
    <row r="28" spans="2:18">
      <c r="B28" s="15">
        <f t="shared" si="5"/>
        <v>23</v>
      </c>
      <c r="C28" s="16">
        <f>IFERROR(VLOOKUP(DATA!G26,DATA!$G$4:$J$2149,1,FALSE),"")</f>
        <v>3012</v>
      </c>
      <c r="D28" s="16" t="str">
        <f>+IFERROR(VLOOKUP(C28,DATA!$G$4:$H$2000,2,FALSE),"")</f>
        <v xml:space="preserve">УБПК ХХК </v>
      </c>
      <c r="E28" s="16">
        <v>122000</v>
      </c>
      <c r="G28" s="230">
        <f>+SUMIFS(JURNAL!G:G,JURNAL!E:E,E28,JURNAL!L:L,$C28,JURNAL!C:C,"&gt;="&amp;$M$3,JURNAL!C:C,"&lt;="&amp;$N$3)</f>
        <v>0</v>
      </c>
      <c r="H28" s="19">
        <f>+SUMIFS(JURNAL!H:H,JURNAL!E:E,E28,JURNAL!L:L,$C28,JURNAL!C:C,"&gt;="&amp;$M$3,JURNAL!C:C,"&lt;="&amp;$N$3)</f>
        <v>0</v>
      </c>
      <c r="I28" s="18">
        <f t="shared" si="6"/>
        <v>0</v>
      </c>
      <c r="J28" s="16">
        <v>320100</v>
      </c>
      <c r="L28" s="230">
        <f>+SUMIFS(JURNAL!G:G,JURNAL!E:E,J28,JURNAL!L:L,$C28,JURNAL!C:C,"&gt;="&amp;$M$3,JURNAL!C:C,"&lt;="&amp;$N$3)</f>
        <v>123750</v>
      </c>
      <c r="M28" s="19">
        <f>+SUMIFS(JURNAL!H:H,JURNAL!E:E,J28,JURNAL!L:L,$C28,JURNAL!C:C,"&gt;="&amp;$M$3,JURNAL!C:C,"&lt;="&amp;$N$3)</f>
        <v>123750</v>
      </c>
      <c r="N28" s="20">
        <f t="shared" si="7"/>
        <v>0</v>
      </c>
      <c r="O28" s="230">
        <f t="shared" si="8"/>
        <v>0</v>
      </c>
      <c r="P28" s="16">
        <f t="shared" si="9"/>
        <v>320100</v>
      </c>
      <c r="Q28" s="16">
        <f t="shared" si="10"/>
        <v>122000</v>
      </c>
      <c r="R28" s="230">
        <f t="shared" si="11"/>
        <v>0</v>
      </c>
    </row>
    <row r="29" spans="2:18">
      <c r="B29" s="15">
        <f t="shared" si="5"/>
        <v>24</v>
      </c>
      <c r="C29" s="16">
        <f>IFERROR(VLOOKUP(DATA!G27,DATA!$G$4:$J$2149,1,FALSE),"")</f>
        <v>3013</v>
      </c>
      <c r="D29" s="16" t="str">
        <f>+IFERROR(VLOOKUP(C29,DATA!$G$4:$H$2000,2,FALSE),"")</f>
        <v xml:space="preserve">МИАТ ХК </v>
      </c>
      <c r="E29" s="16">
        <v>122000</v>
      </c>
      <c r="G29" s="230">
        <f>+SUMIFS(JURNAL!G:G,JURNAL!E:E,E29,JURNAL!L:L,$C29,JURNAL!C:C,"&gt;="&amp;$M$3,JURNAL!C:C,"&lt;="&amp;$N$3)</f>
        <v>0</v>
      </c>
      <c r="H29" s="19">
        <f>+SUMIFS(JURNAL!H:H,JURNAL!E:E,E29,JURNAL!L:L,$C29,JURNAL!C:C,"&gt;="&amp;$M$3,JURNAL!C:C,"&lt;="&amp;$N$3)</f>
        <v>0</v>
      </c>
      <c r="I29" s="18">
        <f t="shared" si="6"/>
        <v>0</v>
      </c>
      <c r="J29" s="16">
        <v>320100</v>
      </c>
      <c r="L29" s="230">
        <f>+SUMIFS(JURNAL!G:G,JURNAL!E:E,J29,JURNAL!L:L,$C29,JURNAL!C:C,"&gt;="&amp;$M$3,JURNAL!C:C,"&lt;="&amp;$N$3)</f>
        <v>2420000</v>
      </c>
      <c r="M29" s="19">
        <f>+SUMIFS(JURNAL!H:H,JURNAL!E:E,J29,JURNAL!L:L,$C29,JURNAL!C:C,"&gt;="&amp;$M$3,JURNAL!C:C,"&lt;="&amp;$N$3)</f>
        <v>2420000</v>
      </c>
      <c r="N29" s="20">
        <f t="shared" si="7"/>
        <v>0</v>
      </c>
      <c r="O29" s="230">
        <f t="shared" si="8"/>
        <v>0</v>
      </c>
      <c r="P29" s="16">
        <f t="shared" si="9"/>
        <v>320100</v>
      </c>
      <c r="Q29" s="16">
        <f t="shared" si="10"/>
        <v>122000</v>
      </c>
      <c r="R29" s="230">
        <f t="shared" si="11"/>
        <v>0</v>
      </c>
    </row>
    <row r="30" spans="2:18">
      <c r="B30" s="15">
        <f t="shared" si="5"/>
        <v>25</v>
      </c>
      <c r="C30" s="16">
        <f>IFERROR(VLOOKUP(DATA!G28,DATA!$G$4:$J$2149,1,FALSE),"")</f>
        <v>3014</v>
      </c>
      <c r="D30" s="16" t="str">
        <f>+IFERROR(VLOOKUP(C30,DATA!$G$4:$H$2000,2,FALSE),"")</f>
        <v xml:space="preserve">БОЛОР ШИЛЭН ТОЛЬ ХХК </v>
      </c>
      <c r="E30" s="16">
        <v>122000</v>
      </c>
      <c r="G30" s="230">
        <f>+SUMIFS(JURNAL!G:G,JURNAL!E:E,E30,JURNAL!L:L,$C30,JURNAL!C:C,"&gt;="&amp;$M$3,JURNAL!C:C,"&lt;="&amp;$N$3)</f>
        <v>0</v>
      </c>
      <c r="H30" s="19">
        <f>+SUMIFS(JURNAL!H:H,JURNAL!E:E,E30,JURNAL!L:L,$C30,JURNAL!C:C,"&gt;="&amp;$M$3,JURNAL!C:C,"&lt;="&amp;$N$3)</f>
        <v>0</v>
      </c>
      <c r="I30" s="18">
        <f t="shared" si="6"/>
        <v>0</v>
      </c>
      <c r="J30" s="16">
        <v>320100</v>
      </c>
      <c r="L30" s="230">
        <f>+SUMIFS(JURNAL!G:G,JURNAL!E:E,J30,JURNAL!L:L,$C30,JURNAL!C:C,"&gt;="&amp;$M$3,JURNAL!C:C,"&lt;="&amp;$N$3)</f>
        <v>69300</v>
      </c>
      <c r="M30" s="19">
        <f>+SUMIFS(JURNAL!H:H,JURNAL!E:E,J30,JURNAL!L:L,$C30,JURNAL!C:C,"&gt;="&amp;$M$3,JURNAL!C:C,"&lt;="&amp;$N$3)</f>
        <v>69300</v>
      </c>
      <c r="N30" s="20">
        <f t="shared" si="7"/>
        <v>0</v>
      </c>
      <c r="O30" s="230">
        <f t="shared" si="8"/>
        <v>0</v>
      </c>
      <c r="P30" s="16">
        <f t="shared" si="9"/>
        <v>320100</v>
      </c>
      <c r="Q30" s="16">
        <f t="shared" si="10"/>
        <v>122000</v>
      </c>
      <c r="R30" s="230">
        <f t="shared" si="11"/>
        <v>0</v>
      </c>
    </row>
    <row r="31" spans="2:18">
      <c r="B31" s="15">
        <f t="shared" si="5"/>
        <v>26</v>
      </c>
      <c r="C31" s="16">
        <f>IFERROR(VLOOKUP(DATA!G29,DATA!$G$4:$J$2149,1,FALSE),"")</f>
        <v>3015</v>
      </c>
      <c r="D31" s="16" t="str">
        <f>+IFERROR(VLOOKUP(C31,DATA!$G$4:$H$2000,2,FALSE),"")</f>
        <v xml:space="preserve">АТМОР ГРУПП ХХК </v>
      </c>
      <c r="E31" s="16">
        <v>122000</v>
      </c>
      <c r="G31" s="230">
        <f>+SUMIFS(JURNAL!G:G,JURNAL!E:E,E31,JURNAL!L:L,$C31,JURNAL!C:C,"&gt;="&amp;$M$3,JURNAL!C:C,"&lt;="&amp;$N$3)</f>
        <v>0</v>
      </c>
      <c r="H31" s="19">
        <f>+SUMIFS(JURNAL!H:H,JURNAL!E:E,E31,JURNAL!L:L,$C31,JURNAL!C:C,"&gt;="&amp;$M$3,JURNAL!C:C,"&lt;="&amp;$N$3)</f>
        <v>0</v>
      </c>
      <c r="I31" s="18">
        <f t="shared" si="6"/>
        <v>0</v>
      </c>
      <c r="J31" s="16">
        <v>320100</v>
      </c>
      <c r="K31" s="230">
        <v>3105587</v>
      </c>
      <c r="L31" s="230">
        <f>+SUMIFS(JURNAL!G:G,JURNAL!E:E,J31,JURNAL!L:L,$C31,JURNAL!C:C,"&gt;="&amp;$M$3,JURNAL!C:C,"&lt;="&amp;$N$3)</f>
        <v>5822701.0013149995</v>
      </c>
      <c r="M31" s="19">
        <f>+SUMIFS(JURNAL!H:H,JURNAL!E:E,J31,JURNAL!L:L,$C31,JURNAL!C:C,"&gt;="&amp;$M$3,JURNAL!C:C,"&lt;="&amp;$N$3)</f>
        <v>2717114</v>
      </c>
      <c r="N31" s="20">
        <f t="shared" si="7"/>
        <v>-1.3149995356798172E-3</v>
      </c>
      <c r="O31" s="230">
        <f t="shared" si="8"/>
        <v>-1.3149995356798172E-3</v>
      </c>
      <c r="P31" s="16">
        <f t="shared" si="9"/>
        <v>320100</v>
      </c>
      <c r="Q31" s="16">
        <f t="shared" si="10"/>
        <v>122000</v>
      </c>
      <c r="R31" s="230">
        <f t="shared" si="11"/>
        <v>1</v>
      </c>
    </row>
    <row r="32" spans="2:18">
      <c r="B32" s="15">
        <f t="shared" si="5"/>
        <v>27</v>
      </c>
      <c r="C32" s="16">
        <f>IFERROR(VLOOKUP(DATA!G30,DATA!$G$4:$J$2149,1,FALSE),"")</f>
        <v>3016</v>
      </c>
      <c r="D32" s="16" t="str">
        <f>+IFERROR(VLOOKUP(C32,DATA!$G$4:$H$2000,2,FALSE),"")</f>
        <v xml:space="preserve">СТИЙЛ АРТ ХХК </v>
      </c>
      <c r="E32" s="16">
        <v>122000</v>
      </c>
      <c r="G32" s="230">
        <f>+SUMIFS(JURNAL!G:G,JURNAL!E:E,E32,JURNAL!L:L,$C32,JURNAL!C:C,"&gt;="&amp;$M$3,JURNAL!C:C,"&lt;="&amp;$N$3)</f>
        <v>0</v>
      </c>
      <c r="H32" s="19">
        <f>+SUMIFS(JURNAL!H:H,JURNAL!E:E,E32,JURNAL!L:L,$C32,JURNAL!C:C,"&gt;="&amp;$M$3,JURNAL!C:C,"&lt;="&amp;$N$3)</f>
        <v>0</v>
      </c>
      <c r="I32" s="18">
        <f t="shared" si="6"/>
        <v>0</v>
      </c>
      <c r="J32" s="16">
        <v>320100</v>
      </c>
      <c r="L32" s="230">
        <f>+SUMIFS(JURNAL!G:G,JURNAL!E:E,J32,JURNAL!L:L,$C32,JURNAL!C:C,"&gt;="&amp;$M$3,JURNAL!C:C,"&lt;="&amp;$N$3)</f>
        <v>0</v>
      </c>
      <c r="M32" s="19">
        <f>+SUMIFS(JURNAL!H:H,JURNAL!E:E,J32,JURNAL!L:L,$C32,JURNAL!C:C,"&gt;="&amp;$M$3,JURNAL!C:C,"&lt;="&amp;$N$3)</f>
        <v>0</v>
      </c>
      <c r="N32" s="20">
        <f t="shared" si="7"/>
        <v>0</v>
      </c>
      <c r="O32" s="230">
        <f t="shared" si="8"/>
        <v>0</v>
      </c>
      <c r="P32" s="16">
        <f t="shared" si="9"/>
        <v>320100</v>
      </c>
      <c r="Q32" s="16">
        <f t="shared" si="10"/>
        <v>122000</v>
      </c>
      <c r="R32" s="230">
        <f t="shared" si="11"/>
        <v>0</v>
      </c>
    </row>
    <row r="33" spans="2:18">
      <c r="B33" s="15">
        <f t="shared" si="5"/>
        <v>28</v>
      </c>
      <c r="C33" s="16">
        <f>IFERROR(VLOOKUP(DATA!G31,DATA!$G$4:$J$2149,1,FALSE),"")</f>
        <v>3017</v>
      </c>
      <c r="D33" s="16" t="str">
        <f>+IFERROR(VLOOKUP(C33,DATA!$G$4:$H$2000,2,FALSE),"")</f>
        <v xml:space="preserve">ВОС ХХК </v>
      </c>
      <c r="E33" s="16">
        <v>122000</v>
      </c>
      <c r="G33" s="230">
        <f>+SUMIFS(JURNAL!G:G,JURNAL!E:E,E33,JURNAL!L:L,$C33,JURNAL!C:C,"&gt;="&amp;$M$3,JURNAL!C:C,"&lt;="&amp;$N$3)</f>
        <v>0</v>
      </c>
      <c r="H33" s="19">
        <f>+SUMIFS(JURNAL!H:H,JURNAL!E:E,E33,JURNAL!L:L,$C33,JURNAL!C:C,"&gt;="&amp;$M$3,JURNAL!C:C,"&lt;="&amp;$N$3)</f>
        <v>0</v>
      </c>
      <c r="I33" s="18">
        <f t="shared" si="6"/>
        <v>0</v>
      </c>
      <c r="J33" s="16">
        <v>320100</v>
      </c>
      <c r="L33" s="230">
        <f>+SUMIFS(JURNAL!G:G,JURNAL!E:E,J33,JURNAL!L:L,$C33,JURNAL!C:C,"&gt;="&amp;$M$3,JURNAL!C:C,"&lt;="&amp;$N$3)</f>
        <v>0</v>
      </c>
      <c r="M33" s="19">
        <f>+SUMIFS(JURNAL!H:H,JURNAL!E:E,J33,JURNAL!L:L,$C33,JURNAL!C:C,"&gt;="&amp;$M$3,JURNAL!C:C,"&lt;="&amp;$N$3)</f>
        <v>0</v>
      </c>
      <c r="N33" s="20">
        <f t="shared" si="7"/>
        <v>0</v>
      </c>
      <c r="O33" s="230">
        <f t="shared" si="8"/>
        <v>0</v>
      </c>
      <c r="P33" s="16">
        <f t="shared" si="9"/>
        <v>320100</v>
      </c>
      <c r="Q33" s="16">
        <f t="shared" si="10"/>
        <v>122000</v>
      </c>
      <c r="R33" s="230">
        <f t="shared" si="11"/>
        <v>0</v>
      </c>
    </row>
    <row r="34" spans="2:18">
      <c r="B34" s="15">
        <f t="shared" si="5"/>
        <v>29</v>
      </c>
      <c r="C34" s="16">
        <f>IFERROR(VLOOKUP(DATA!G32,DATA!$G$4:$J$2149,1,FALSE),"")</f>
        <v>3018</v>
      </c>
      <c r="D34" s="16" t="str">
        <f>+IFERROR(VLOOKUP(C34,DATA!$G$4:$H$2000,2,FALSE),"")</f>
        <v xml:space="preserve">ВЮРТ МОНГОЛИЯ ХХК </v>
      </c>
      <c r="E34" s="16">
        <v>122000</v>
      </c>
      <c r="G34" s="230">
        <f>+SUMIFS(JURNAL!G:G,JURNAL!E:E,E34,JURNAL!L:L,$C34,JURNAL!C:C,"&gt;="&amp;$M$3,JURNAL!C:C,"&lt;="&amp;$N$3)</f>
        <v>0</v>
      </c>
      <c r="H34" s="19">
        <f>+SUMIFS(JURNAL!H:H,JURNAL!E:E,E34,JURNAL!L:L,$C34,JURNAL!C:C,"&gt;="&amp;$M$3,JURNAL!C:C,"&lt;="&amp;$N$3)</f>
        <v>0</v>
      </c>
      <c r="I34" s="18">
        <f t="shared" si="6"/>
        <v>0</v>
      </c>
      <c r="J34" s="16">
        <v>320100</v>
      </c>
      <c r="L34" s="230">
        <f>+SUMIFS(JURNAL!G:G,JURNAL!E:E,J34,JURNAL!L:L,$C34,JURNAL!C:C,"&gt;="&amp;$M$3,JURNAL!C:C,"&lt;="&amp;$N$3)</f>
        <v>0</v>
      </c>
      <c r="M34" s="19">
        <f>+SUMIFS(JURNAL!H:H,JURNAL!E:E,J34,JURNAL!L:L,$C34,JURNAL!C:C,"&gt;="&amp;$M$3,JURNAL!C:C,"&lt;="&amp;$N$3)</f>
        <v>0</v>
      </c>
      <c r="N34" s="20">
        <f t="shared" si="7"/>
        <v>0</v>
      </c>
      <c r="O34" s="230">
        <f t="shared" si="8"/>
        <v>0</v>
      </c>
      <c r="P34" s="16">
        <f t="shared" si="9"/>
        <v>320100</v>
      </c>
      <c r="Q34" s="16">
        <f t="shared" si="10"/>
        <v>122000</v>
      </c>
      <c r="R34" s="230">
        <f t="shared" si="11"/>
        <v>0</v>
      </c>
    </row>
    <row r="35" spans="2:18">
      <c r="B35" s="15">
        <f t="shared" si="5"/>
        <v>30</v>
      </c>
      <c r="C35" s="16">
        <f>IFERROR(VLOOKUP(DATA!G33,DATA!$G$4:$J$2149,1,FALSE),"")</f>
        <v>3019</v>
      </c>
      <c r="D35" s="16" t="str">
        <f>+IFERROR(VLOOKUP(C35,DATA!$G$4:$H$2000,2,FALSE),"")</f>
        <v xml:space="preserve">ГЭСЭР БИЛЭГ ХХК </v>
      </c>
      <c r="E35" s="16">
        <v>122000</v>
      </c>
      <c r="G35" s="230">
        <f>+SUMIFS(JURNAL!G:G,JURNAL!E:E,E35,JURNAL!L:L,$C35,JURNAL!C:C,"&gt;="&amp;$M$3,JURNAL!C:C,"&lt;="&amp;$N$3)</f>
        <v>0</v>
      </c>
      <c r="H35" s="19">
        <f>+SUMIFS(JURNAL!H:H,JURNAL!E:E,E35,JURNAL!L:L,$C35,JURNAL!C:C,"&gt;="&amp;$M$3,JURNAL!C:C,"&lt;="&amp;$N$3)</f>
        <v>0</v>
      </c>
      <c r="I35" s="18">
        <f t="shared" si="6"/>
        <v>0</v>
      </c>
      <c r="J35" s="16">
        <v>320100</v>
      </c>
      <c r="L35" s="230">
        <f>+SUMIFS(JURNAL!G:G,JURNAL!E:E,J35,JURNAL!L:L,$C35,JURNAL!C:C,"&gt;="&amp;$M$3,JURNAL!C:C,"&lt;="&amp;$N$3)</f>
        <v>0</v>
      </c>
      <c r="M35" s="19">
        <f>+SUMIFS(JURNAL!H:H,JURNAL!E:E,J35,JURNAL!L:L,$C35,JURNAL!C:C,"&gt;="&amp;$M$3,JURNAL!C:C,"&lt;="&amp;$N$3)</f>
        <v>0</v>
      </c>
      <c r="N35" s="20">
        <f t="shared" si="7"/>
        <v>0</v>
      </c>
      <c r="O35" s="230">
        <f t="shared" si="8"/>
        <v>0</v>
      </c>
      <c r="P35" s="16">
        <f t="shared" si="9"/>
        <v>320100</v>
      </c>
      <c r="Q35" s="16">
        <f t="shared" si="10"/>
        <v>122000</v>
      </c>
      <c r="R35" s="230">
        <f t="shared" si="11"/>
        <v>0</v>
      </c>
    </row>
    <row r="36" spans="2:18">
      <c r="B36" s="15">
        <f t="shared" si="5"/>
        <v>31</v>
      </c>
      <c r="C36" s="16">
        <f>IFERROR(VLOOKUP(DATA!G34,DATA!$G$4:$J$2149,1,FALSE),"")</f>
        <v>4001</v>
      </c>
      <c r="D36" s="16" t="str">
        <f>+IFERROR(VLOOKUP(C36,DATA!$G$4:$H$2000,2,FALSE),"")</f>
        <v>Сайннямбуу</v>
      </c>
      <c r="E36" s="16">
        <v>122000</v>
      </c>
      <c r="G36" s="230">
        <f>+SUMIFS(JURNAL!G:G,JURNAL!E:E,E36,JURNAL!L:L,$C36,JURNAL!C:C,"&gt;="&amp;$M$3,JURNAL!C:C,"&lt;="&amp;$N$3)</f>
        <v>0</v>
      </c>
      <c r="H36" s="19">
        <f>+SUMIFS(JURNAL!H:H,JURNAL!E:E,E36,JURNAL!L:L,$C36,JURNAL!C:C,"&gt;="&amp;$M$3,JURNAL!C:C,"&lt;="&amp;$N$3)</f>
        <v>0</v>
      </c>
      <c r="I36" s="18">
        <f t="shared" si="6"/>
        <v>0</v>
      </c>
      <c r="J36" s="16">
        <v>320100</v>
      </c>
      <c r="L36" s="230">
        <f>+SUMIFS(JURNAL!G:G,JURNAL!E:E,J36,JURNAL!L:L,$C36,JURNAL!C:C,"&gt;="&amp;$M$3,JURNAL!C:C,"&lt;="&amp;$N$3)</f>
        <v>3176589.0017305403</v>
      </c>
      <c r="M36" s="19">
        <f>+SUMIFS(JURNAL!H:H,JURNAL!E:E,J36,JURNAL!L:L,$C36,JURNAL!C:C,"&gt;="&amp;$M$3,JURNAL!C:C,"&lt;="&amp;$N$3)</f>
        <v>3176589</v>
      </c>
      <c r="N36" s="20">
        <f t="shared" si="7"/>
        <v>-1.7305403016507626E-3</v>
      </c>
      <c r="O36" s="230">
        <f t="shared" si="8"/>
        <v>-1.7305403016507626E-3</v>
      </c>
      <c r="P36" s="16">
        <f t="shared" si="9"/>
        <v>320100</v>
      </c>
      <c r="Q36" s="16">
        <f t="shared" si="10"/>
        <v>122000</v>
      </c>
      <c r="R36" s="230">
        <f t="shared" si="11"/>
        <v>1</v>
      </c>
    </row>
    <row r="37" spans="2:18">
      <c r="B37" s="15">
        <f t="shared" si="5"/>
        <v>32</v>
      </c>
      <c r="C37" s="16">
        <f>IFERROR(VLOOKUP(DATA!G35,DATA!$G$4:$J$2149,1,FALSE),"")</f>
        <v>4002</v>
      </c>
      <c r="D37" s="16" t="str">
        <f>+IFERROR(VLOOKUP(C37,DATA!$G$4:$H$2000,2,FALSE),"")</f>
        <v xml:space="preserve">Хувь хүн </v>
      </c>
      <c r="E37" s="16">
        <v>122000</v>
      </c>
      <c r="G37" s="230">
        <f>+SUMIFS(JURNAL!G:G,JURNAL!E:E,E37,JURNAL!L:L,$C37,JURNAL!C:C,"&gt;="&amp;$M$3,JURNAL!C:C,"&lt;="&amp;$N$3)</f>
        <v>0</v>
      </c>
      <c r="H37" s="19">
        <f>+SUMIFS(JURNAL!H:H,JURNAL!E:E,E37,JURNAL!L:L,$C37,JURNAL!C:C,"&gt;="&amp;$M$3,JURNAL!C:C,"&lt;="&amp;$N$3)</f>
        <v>0</v>
      </c>
      <c r="I37" s="18">
        <f t="shared" si="6"/>
        <v>0</v>
      </c>
      <c r="J37" s="16">
        <v>320100</v>
      </c>
      <c r="K37" s="230">
        <v>118950</v>
      </c>
      <c r="L37" s="230">
        <f>+SUMIFS(JURNAL!G:G,JURNAL!E:E,J37,JURNAL!L:L,$C37,JURNAL!C:C,"&gt;="&amp;$M$3,JURNAL!C:C,"&lt;="&amp;$N$3)</f>
        <v>27446589.99236647</v>
      </c>
      <c r="M37" s="19">
        <f>+SUMIFS(JURNAL!H:H,JURNAL!E:E,J37,JURNAL!L:L,$C37,JURNAL!C:C,"&gt;="&amp;$M$3,JURNAL!C:C,"&lt;="&amp;$N$3)</f>
        <v>27327640</v>
      </c>
      <c r="N37" s="20">
        <f t="shared" si="7"/>
        <v>7.6335296034812927E-3</v>
      </c>
      <c r="O37" s="230">
        <f t="shared" si="8"/>
        <v>0</v>
      </c>
      <c r="P37" s="16">
        <f t="shared" si="9"/>
        <v>320100</v>
      </c>
      <c r="Q37" s="16">
        <f t="shared" si="10"/>
        <v>122000</v>
      </c>
      <c r="R37" s="230">
        <f t="shared" si="11"/>
        <v>0</v>
      </c>
    </row>
    <row r="38" spans="2:18">
      <c r="B38" s="15">
        <f t="shared" si="5"/>
        <v>33</v>
      </c>
      <c r="C38" s="16">
        <f>IFERROR(VLOOKUP(DATA!G36,DATA!$G$4:$J$2149,1,FALSE),"")</f>
        <v>2012</v>
      </c>
      <c r="D38" s="16" t="str">
        <f>+IFERROR(VLOOKUP(C38,DATA!$G$4:$H$2000,2,FALSE),"")</f>
        <v>ИХ ТУГЧ ХХК</v>
      </c>
      <c r="E38" s="16">
        <v>122000</v>
      </c>
      <c r="G38" s="230">
        <f>+SUMIFS(JURNAL!G:G,JURNAL!E:E,E38,JURNAL!L:L,$C38,JURNAL!C:C,"&gt;="&amp;$M$3,JURNAL!C:C,"&lt;="&amp;$N$3)</f>
        <v>0</v>
      </c>
      <c r="H38" s="19">
        <f>+SUMIFS(JURNAL!H:H,JURNAL!E:E,E38,JURNAL!L:L,$C38,JURNAL!C:C,"&gt;="&amp;$M$3,JURNAL!C:C,"&lt;="&amp;$N$3)</f>
        <v>0</v>
      </c>
      <c r="I38" s="18">
        <f t="shared" si="6"/>
        <v>0</v>
      </c>
      <c r="J38" s="16">
        <v>320100</v>
      </c>
      <c r="L38" s="230">
        <f>+SUMIFS(JURNAL!G:G,JURNAL!E:E,J38,JURNAL!L:L,$C38,JURNAL!C:C,"&gt;="&amp;$M$3,JURNAL!C:C,"&lt;="&amp;$N$3)</f>
        <v>0</v>
      </c>
      <c r="M38" s="19">
        <f>+SUMIFS(JURNAL!H:H,JURNAL!E:E,J38,JURNAL!L:L,$C38,JURNAL!C:C,"&gt;="&amp;$M$3,JURNAL!C:C,"&lt;="&amp;$N$3)</f>
        <v>0</v>
      </c>
      <c r="N38" s="20">
        <f t="shared" si="7"/>
        <v>0</v>
      </c>
      <c r="O38" s="230">
        <f t="shared" si="8"/>
        <v>0</v>
      </c>
      <c r="P38" s="16">
        <f t="shared" si="9"/>
        <v>320100</v>
      </c>
      <c r="Q38" s="16">
        <f t="shared" si="10"/>
        <v>122000</v>
      </c>
      <c r="R38" s="230">
        <f t="shared" si="11"/>
        <v>0</v>
      </c>
    </row>
    <row r="39" spans="2:18">
      <c r="B39" s="15">
        <f t="shared" si="5"/>
        <v>34</v>
      </c>
      <c r="C39" s="16">
        <f>IFERROR(VLOOKUP(DATA!G37,DATA!$G$4:$J$2149,1,FALSE),"")</f>
        <v>2013</v>
      </c>
      <c r="D39" s="16" t="str">
        <f>+IFERROR(VLOOKUP(C39,DATA!$G$4:$H$2000,2,FALSE),"")</f>
        <v>УБДС ТӨХК</v>
      </c>
      <c r="E39" s="16">
        <v>122000</v>
      </c>
      <c r="G39" s="230">
        <f>+SUMIFS(JURNAL!G:G,JURNAL!E:E,E39,JURNAL!L:L,$C39,JURNAL!C:C,"&gt;="&amp;$M$3,JURNAL!C:C,"&lt;="&amp;$N$3)</f>
        <v>0</v>
      </c>
      <c r="H39" s="19">
        <f>+SUMIFS(JURNAL!H:H,JURNAL!E:E,E39,JURNAL!L:L,$C39,JURNAL!C:C,"&gt;="&amp;$M$3,JURNAL!C:C,"&lt;="&amp;$N$3)</f>
        <v>0</v>
      </c>
      <c r="I39" s="18">
        <f t="shared" si="6"/>
        <v>0</v>
      </c>
      <c r="J39" s="16">
        <v>320100</v>
      </c>
      <c r="L39" s="230">
        <f>+SUMIFS(JURNAL!G:G,JURNAL!E:E,J39,JURNAL!L:L,$C39,JURNAL!C:C,"&gt;="&amp;$M$3,JURNAL!C:C,"&lt;="&amp;$N$3)</f>
        <v>0</v>
      </c>
      <c r="M39" s="19">
        <f>+SUMIFS(JURNAL!H:H,JURNAL!E:E,J39,JURNAL!L:L,$C39,JURNAL!C:C,"&gt;="&amp;$M$3,JURNAL!C:C,"&lt;="&amp;$N$3)</f>
        <v>0</v>
      </c>
      <c r="N39" s="20">
        <f t="shared" si="7"/>
        <v>0</v>
      </c>
      <c r="O39" s="230">
        <f t="shared" si="8"/>
        <v>0</v>
      </c>
      <c r="P39" s="16">
        <f t="shared" si="9"/>
        <v>320100</v>
      </c>
      <c r="Q39" s="16">
        <f t="shared" si="10"/>
        <v>122000</v>
      </c>
      <c r="R39" s="230">
        <f t="shared" si="11"/>
        <v>0</v>
      </c>
    </row>
    <row r="40" spans="2:18">
      <c r="B40" s="15">
        <f t="shared" si="5"/>
        <v>35</v>
      </c>
      <c r="C40" s="16">
        <f>IFERROR(VLOOKUP(DATA!G38,DATA!$G$4:$J$2149,1,FALSE),"")</f>
        <v>3020</v>
      </c>
      <c r="D40" s="16" t="str">
        <f>+IFERROR(VLOOKUP(C40,DATA!$G$4:$H$2000,2,FALSE),"")</f>
        <v xml:space="preserve">ЖЭЙ ЭЛ КЭЙ ЭМ ХХК </v>
      </c>
      <c r="E40" s="16">
        <v>122000</v>
      </c>
      <c r="G40" s="230">
        <f>+SUMIFS(JURNAL!G:G,JURNAL!E:E,E40,JURNAL!L:L,$C40,JURNAL!C:C,"&gt;="&amp;$M$3,JURNAL!C:C,"&lt;="&amp;$N$3)</f>
        <v>0</v>
      </c>
      <c r="H40" s="19">
        <f>+SUMIFS(JURNAL!H:H,JURNAL!E:E,E40,JURNAL!L:L,$C40,JURNAL!C:C,"&gt;="&amp;$M$3,JURNAL!C:C,"&lt;="&amp;$N$3)</f>
        <v>0</v>
      </c>
      <c r="I40" s="18">
        <f t="shared" si="6"/>
        <v>0</v>
      </c>
      <c r="J40" s="16">
        <v>320100</v>
      </c>
      <c r="L40" s="230">
        <f>+SUMIFS(JURNAL!G:G,JURNAL!E:E,J40,JURNAL!L:L,$C40,JURNAL!C:C,"&gt;="&amp;$M$3,JURNAL!C:C,"&lt;="&amp;$N$3)</f>
        <v>2276999.9988780003</v>
      </c>
      <c r="M40" s="19">
        <f>+SUMIFS(JURNAL!H:H,JURNAL!E:E,J40,JURNAL!L:L,$C40,JURNAL!C:C,"&gt;="&amp;$M$3,JURNAL!C:C,"&lt;="&amp;$N$3)</f>
        <v>2277000</v>
      </c>
      <c r="N40" s="20">
        <f t="shared" si="7"/>
        <v>1.1219996958971024E-3</v>
      </c>
      <c r="O40" s="230">
        <f t="shared" si="8"/>
        <v>0</v>
      </c>
      <c r="P40" s="16">
        <f t="shared" si="9"/>
        <v>320100</v>
      </c>
      <c r="Q40" s="16">
        <f t="shared" si="10"/>
        <v>122000</v>
      </c>
      <c r="R40" s="230">
        <f t="shared" si="11"/>
        <v>0</v>
      </c>
    </row>
    <row r="41" spans="2:18">
      <c r="B41" s="15">
        <f t="shared" si="5"/>
        <v>36</v>
      </c>
      <c r="C41" s="16">
        <f>IFERROR(VLOOKUP(DATA!G39,DATA!$G$4:$J$2149,1,FALSE),"")</f>
        <v>3021</v>
      </c>
      <c r="D41" s="16" t="str">
        <f>+IFERROR(VLOOKUP(C41,DATA!$G$4:$H$2000,2,FALSE),"")</f>
        <v>БАНДИА ХХК</v>
      </c>
      <c r="E41" s="16">
        <v>122000</v>
      </c>
      <c r="G41" s="230">
        <f>+SUMIFS(JURNAL!G:G,JURNAL!E:E,E41,JURNAL!L:L,$C41,JURNAL!C:C,"&gt;="&amp;$M$3,JURNAL!C:C,"&lt;="&amp;$N$3)</f>
        <v>0</v>
      </c>
      <c r="H41" s="19">
        <f>+SUMIFS(JURNAL!H:H,JURNAL!E:E,E41,JURNAL!L:L,$C41,JURNAL!C:C,"&gt;="&amp;$M$3,JURNAL!C:C,"&lt;="&amp;$N$3)</f>
        <v>0</v>
      </c>
      <c r="I41" s="18">
        <f t="shared" si="6"/>
        <v>0</v>
      </c>
      <c r="J41" s="16">
        <v>320100</v>
      </c>
      <c r="L41" s="230">
        <f>+SUMIFS(JURNAL!G:G,JURNAL!E:E,J41,JURNAL!L:L,$C41,JURNAL!C:C,"&gt;="&amp;$M$3,JURNAL!C:C,"&lt;="&amp;$N$3)</f>
        <v>1044450</v>
      </c>
      <c r="M41" s="19">
        <f>+SUMIFS(JURNAL!H:H,JURNAL!E:E,J41,JURNAL!L:L,$C41,JURNAL!C:C,"&gt;="&amp;$M$3,JURNAL!C:C,"&lt;="&amp;$N$3)</f>
        <v>1044450</v>
      </c>
      <c r="N41" s="20">
        <f t="shared" si="7"/>
        <v>0</v>
      </c>
      <c r="O41" s="230">
        <f t="shared" si="8"/>
        <v>0</v>
      </c>
      <c r="P41" s="16">
        <f t="shared" si="9"/>
        <v>320100</v>
      </c>
      <c r="Q41" s="16">
        <f t="shared" si="10"/>
        <v>122000</v>
      </c>
      <c r="R41" s="230">
        <f t="shared" si="11"/>
        <v>0</v>
      </c>
    </row>
    <row r="42" spans="2:18">
      <c r="B42" s="15">
        <f t="shared" si="5"/>
        <v>37</v>
      </c>
      <c r="C42" s="16">
        <f>IFERROR(VLOOKUP(DATA!G40,DATA!$G$4:$J$2149,1,FALSE),"")</f>
        <v>3022</v>
      </c>
      <c r="D42" s="16" t="str">
        <f>+IFERROR(VLOOKUP(C42,DATA!$G$4:$H$2000,2,FALSE),"")</f>
        <v xml:space="preserve">ИННОМН ХХК </v>
      </c>
      <c r="E42" s="16">
        <v>122000</v>
      </c>
      <c r="G42" s="230">
        <f>+SUMIFS(JURNAL!G:G,JURNAL!E:E,E42,JURNAL!L:L,$C42,JURNAL!C:C,"&gt;="&amp;$M$3,JURNAL!C:C,"&lt;="&amp;$N$3)</f>
        <v>0</v>
      </c>
      <c r="H42" s="19">
        <f>+SUMIFS(JURNAL!H:H,JURNAL!E:E,E42,JURNAL!L:L,$C42,JURNAL!C:C,"&gt;="&amp;$M$3,JURNAL!C:C,"&lt;="&amp;$N$3)</f>
        <v>0</v>
      </c>
      <c r="I42" s="18">
        <f t="shared" si="6"/>
        <v>0</v>
      </c>
      <c r="J42" s="16">
        <v>320100</v>
      </c>
      <c r="L42" s="230">
        <f>+SUMIFS(JURNAL!G:G,JURNAL!E:E,J42,JURNAL!L:L,$C42,JURNAL!C:C,"&gt;="&amp;$M$3,JURNAL!C:C,"&lt;="&amp;$N$3)</f>
        <v>280500</v>
      </c>
      <c r="M42" s="19">
        <f>+SUMIFS(JURNAL!H:H,JURNAL!E:E,J42,JURNAL!L:L,$C42,JURNAL!C:C,"&gt;="&amp;$M$3,JURNAL!C:C,"&lt;="&amp;$N$3)</f>
        <v>280500</v>
      </c>
      <c r="N42" s="20">
        <f t="shared" si="7"/>
        <v>0</v>
      </c>
      <c r="O42" s="230">
        <f t="shared" si="8"/>
        <v>0</v>
      </c>
      <c r="P42" s="16">
        <f t="shared" si="9"/>
        <v>320100</v>
      </c>
      <c r="Q42" s="16">
        <f t="shared" si="10"/>
        <v>122000</v>
      </c>
      <c r="R42" s="230">
        <f t="shared" si="11"/>
        <v>0</v>
      </c>
    </row>
    <row r="43" spans="2:18">
      <c r="B43" s="15">
        <f t="shared" si="5"/>
        <v>38</v>
      </c>
      <c r="C43" s="16">
        <f>IFERROR(VLOOKUP(DATA!G41,DATA!$G$4:$J$2149,1,FALSE),"")</f>
        <v>3023</v>
      </c>
      <c r="D43" s="16" t="str">
        <f>+IFERROR(VLOOKUP(C43,DATA!$G$4:$H$2000,2,FALSE),"")</f>
        <v>ЭГЭЛ ХХК</v>
      </c>
      <c r="E43" s="16">
        <v>122000</v>
      </c>
      <c r="G43" s="230">
        <f>+SUMIFS(JURNAL!G:G,JURNAL!E:E,E43,JURNAL!L:L,$C43,JURNAL!C:C,"&gt;="&amp;$M$3,JURNAL!C:C,"&lt;="&amp;$N$3)</f>
        <v>0</v>
      </c>
      <c r="H43" s="19">
        <f>+SUMIFS(JURNAL!H:H,JURNAL!E:E,E43,JURNAL!L:L,$C43,JURNAL!C:C,"&gt;="&amp;$M$3,JURNAL!C:C,"&lt;="&amp;$N$3)</f>
        <v>0</v>
      </c>
      <c r="I43" s="18">
        <f t="shared" si="6"/>
        <v>0</v>
      </c>
      <c r="J43" s="16">
        <v>320100</v>
      </c>
      <c r="L43" s="230">
        <f>+SUMIFS(JURNAL!G:G,JURNAL!E:E,J43,JURNAL!L:L,$C43,JURNAL!C:C,"&gt;="&amp;$M$3,JURNAL!C:C,"&lt;="&amp;$N$3)</f>
        <v>149279.99900000001</v>
      </c>
      <c r="M43" s="19">
        <f>+SUMIFS(JURNAL!H:H,JURNAL!E:E,J43,JURNAL!L:L,$C43,JURNAL!C:C,"&gt;="&amp;$M$3,JURNAL!C:C,"&lt;="&amp;$N$3)</f>
        <v>149280</v>
      </c>
      <c r="N43" s="20">
        <f t="shared" si="7"/>
        <v>9.9999998928979039E-4</v>
      </c>
      <c r="O43" s="230">
        <f t="shared" si="8"/>
        <v>0</v>
      </c>
      <c r="P43" s="16">
        <f t="shared" si="9"/>
        <v>320100</v>
      </c>
      <c r="Q43" s="16">
        <f t="shared" si="10"/>
        <v>122000</v>
      </c>
      <c r="R43" s="230">
        <f t="shared" si="11"/>
        <v>0</v>
      </c>
    </row>
    <row r="44" spans="2:18">
      <c r="B44" s="15">
        <f t="shared" si="5"/>
        <v>39</v>
      </c>
      <c r="C44" s="16">
        <f>IFERROR(VLOOKUP(DATA!G42,DATA!$G$4:$J$2149,1,FALSE),"")</f>
        <v>3024</v>
      </c>
      <c r="D44" s="16" t="str">
        <f>+IFERROR(VLOOKUP(C44,DATA!$G$4:$H$2000,2,FALSE),"")</f>
        <v xml:space="preserve">ЭМБАССИ РЭЗИДЭНС ХХК </v>
      </c>
      <c r="E44" s="16">
        <v>122000</v>
      </c>
      <c r="G44" s="230">
        <f>+SUMIFS(JURNAL!G:G,JURNAL!E:E,E44,JURNAL!L:L,$C44,JURNAL!C:C,"&gt;="&amp;$M$3,JURNAL!C:C,"&lt;="&amp;$N$3)</f>
        <v>0</v>
      </c>
      <c r="H44" s="19">
        <f>+SUMIFS(JURNAL!H:H,JURNAL!E:E,E44,JURNAL!L:L,$C44,JURNAL!C:C,"&gt;="&amp;$M$3,JURNAL!C:C,"&lt;="&amp;$N$3)</f>
        <v>0</v>
      </c>
      <c r="I44" s="18">
        <f t="shared" si="6"/>
        <v>0</v>
      </c>
      <c r="J44" s="16">
        <v>320100</v>
      </c>
      <c r="L44" s="230">
        <f>+SUMIFS(JURNAL!G:G,JURNAL!E:E,J44,JURNAL!L:L,$C44,JURNAL!C:C,"&gt;="&amp;$M$3,JURNAL!C:C,"&lt;="&amp;$N$3)</f>
        <v>92700.002585300012</v>
      </c>
      <c r="M44" s="19">
        <f>+SUMIFS(JURNAL!H:H,JURNAL!E:E,J44,JURNAL!L:L,$C44,JURNAL!C:C,"&gt;="&amp;$M$3,JURNAL!C:C,"&lt;="&amp;$N$3)</f>
        <v>92700</v>
      </c>
      <c r="N44" s="20">
        <f t="shared" si="7"/>
        <v>-2.5853000115603209E-3</v>
      </c>
      <c r="O44" s="230">
        <f t="shared" si="8"/>
        <v>-2.5853000115603209E-3</v>
      </c>
      <c r="P44" s="16">
        <f t="shared" si="9"/>
        <v>320100</v>
      </c>
      <c r="Q44" s="16">
        <f t="shared" si="10"/>
        <v>122000</v>
      </c>
      <c r="R44" s="230">
        <f t="shared" si="11"/>
        <v>1</v>
      </c>
    </row>
    <row r="45" spans="2:18">
      <c r="B45" s="15">
        <f t="shared" si="5"/>
        <v>40</v>
      </c>
      <c r="C45" s="16">
        <f>IFERROR(VLOOKUP(DATA!G43,DATA!$G$4:$J$2149,1,FALSE),"")</f>
        <v>3025</v>
      </c>
      <c r="D45" s="16" t="str">
        <f>+IFERROR(VLOOKUP(C45,DATA!$G$4:$H$2000,2,FALSE),"")</f>
        <v xml:space="preserve">ТОСОН ВҮҮД ХХК </v>
      </c>
      <c r="E45" s="16">
        <v>122000</v>
      </c>
      <c r="G45" s="230">
        <f>+SUMIFS(JURNAL!G:G,JURNAL!E:E,E45,JURNAL!L:L,$C45,JURNAL!C:C,"&gt;="&amp;$M$3,JURNAL!C:C,"&lt;="&amp;$N$3)</f>
        <v>0</v>
      </c>
      <c r="H45" s="19">
        <f>+SUMIFS(JURNAL!H:H,JURNAL!E:E,E45,JURNAL!L:L,$C45,JURNAL!C:C,"&gt;="&amp;$M$3,JURNAL!C:C,"&lt;="&amp;$N$3)</f>
        <v>0</v>
      </c>
      <c r="I45" s="18">
        <f t="shared" si="6"/>
        <v>0</v>
      </c>
      <c r="J45" s="16">
        <v>320100</v>
      </c>
      <c r="L45" s="230">
        <f>+SUMIFS(JURNAL!G:G,JURNAL!E:E,J45,JURNAL!L:L,$C45,JURNAL!C:C,"&gt;="&amp;$M$3,JURNAL!C:C,"&lt;="&amp;$N$3)</f>
        <v>989999.99925156008</v>
      </c>
      <c r="M45" s="19">
        <f>+SUMIFS(JURNAL!H:H,JURNAL!E:E,J45,JURNAL!L:L,$C45,JURNAL!C:C,"&gt;="&amp;$M$3,JURNAL!C:C,"&lt;="&amp;$N$3)</f>
        <v>990000</v>
      </c>
      <c r="N45" s="20">
        <f t="shared" si="7"/>
        <v>7.4843992479145527E-4</v>
      </c>
      <c r="O45" s="230">
        <f t="shared" si="8"/>
        <v>0</v>
      </c>
      <c r="P45" s="16">
        <f t="shared" si="9"/>
        <v>320100</v>
      </c>
      <c r="Q45" s="16">
        <f t="shared" si="10"/>
        <v>122000</v>
      </c>
      <c r="R45" s="230">
        <f t="shared" si="11"/>
        <v>0</v>
      </c>
    </row>
    <row r="46" spans="2:18">
      <c r="B46" s="15">
        <f t="shared" si="5"/>
        <v>41</v>
      </c>
      <c r="C46" s="16">
        <f>IFERROR(VLOOKUP(DATA!G44,DATA!$G$4:$J$2149,1,FALSE),"")</f>
        <v>3026</v>
      </c>
      <c r="D46" s="16" t="str">
        <f>+IFERROR(VLOOKUP(C46,DATA!$G$4:$H$2000,2,FALSE),"")</f>
        <v xml:space="preserve">ВОРЛДНЬЮ МЕДИА ХХК </v>
      </c>
      <c r="E46" s="16">
        <v>122000</v>
      </c>
      <c r="G46" s="230">
        <f>+SUMIFS(JURNAL!G:G,JURNAL!E:E,E46,JURNAL!L:L,$C46,JURNAL!C:C,"&gt;="&amp;$M$3,JURNAL!C:C,"&lt;="&amp;$N$3)</f>
        <v>0</v>
      </c>
      <c r="H46" s="19">
        <f>+SUMIFS(JURNAL!H:H,JURNAL!E:E,E46,JURNAL!L:L,$C46,JURNAL!C:C,"&gt;="&amp;$M$3,JURNAL!C:C,"&lt;="&amp;$N$3)</f>
        <v>0</v>
      </c>
      <c r="I46" s="18">
        <f t="shared" si="6"/>
        <v>0</v>
      </c>
      <c r="J46" s="16">
        <v>320100</v>
      </c>
      <c r="L46" s="230">
        <f>+SUMIFS(JURNAL!G:G,JURNAL!E:E,J46,JURNAL!L:L,$C46,JURNAL!C:C,"&gt;="&amp;$M$3,JURNAL!C:C,"&lt;="&amp;$N$3)</f>
        <v>93499.998899999991</v>
      </c>
      <c r="M46" s="19">
        <f>+SUMIFS(JURNAL!H:H,JURNAL!E:E,J46,JURNAL!L:L,$C46,JURNAL!C:C,"&gt;="&amp;$M$3,JURNAL!C:C,"&lt;="&amp;$N$3)</f>
        <v>93500</v>
      </c>
      <c r="N46" s="20">
        <f t="shared" si="7"/>
        <v>1.1000000085914508E-3</v>
      </c>
      <c r="O46" s="230">
        <f t="shared" si="8"/>
        <v>0</v>
      </c>
      <c r="P46" s="16">
        <f t="shared" si="9"/>
        <v>320100</v>
      </c>
      <c r="Q46" s="16">
        <f t="shared" si="10"/>
        <v>122000</v>
      </c>
      <c r="R46" s="230">
        <f t="shared" si="11"/>
        <v>0</v>
      </c>
    </row>
    <row r="47" spans="2:18">
      <c r="B47" s="15">
        <f t="shared" si="5"/>
        <v>42</v>
      </c>
      <c r="C47" s="16">
        <f>IFERROR(VLOOKUP(DATA!G45,DATA!$G$4:$J$2149,1,FALSE),"")</f>
        <v>3027</v>
      </c>
      <c r="D47" s="16" t="str">
        <f>+IFERROR(VLOOKUP(C47,DATA!$G$4:$H$2000,2,FALSE),"")</f>
        <v xml:space="preserve">МОНГОЛЫН ХҮҮХДИЙН САН </v>
      </c>
      <c r="E47" s="16">
        <v>122000</v>
      </c>
      <c r="G47" s="230">
        <f>+SUMIFS(JURNAL!G:G,JURNAL!E:E,E47,JURNAL!L:L,$C47,JURNAL!C:C,"&gt;="&amp;$M$3,JURNAL!C:C,"&lt;="&amp;$N$3)</f>
        <v>0</v>
      </c>
      <c r="H47" s="19">
        <f>+SUMIFS(JURNAL!H:H,JURNAL!E:E,E47,JURNAL!L:L,$C47,JURNAL!C:C,"&gt;="&amp;$M$3,JURNAL!C:C,"&lt;="&amp;$N$3)</f>
        <v>0</v>
      </c>
      <c r="I47" s="18">
        <f t="shared" si="6"/>
        <v>0</v>
      </c>
      <c r="J47" s="16">
        <v>320100</v>
      </c>
      <c r="L47" s="230">
        <f>+SUMIFS(JURNAL!G:G,JURNAL!E:E,J47,JURNAL!L:L,$C47,JURNAL!C:C,"&gt;="&amp;$M$3,JURNAL!C:C,"&lt;="&amp;$N$3)</f>
        <v>373999.99559999997</v>
      </c>
      <c r="M47" s="19">
        <f>+SUMIFS(JURNAL!H:H,JURNAL!E:E,J47,JURNAL!L:L,$C47,JURNAL!C:C,"&gt;="&amp;$M$3,JURNAL!C:C,"&lt;="&amp;$N$3)</f>
        <v>374000</v>
      </c>
      <c r="N47" s="20">
        <f t="shared" si="7"/>
        <v>4.400000034365803E-3</v>
      </c>
      <c r="O47" s="230">
        <f t="shared" si="8"/>
        <v>0</v>
      </c>
      <c r="P47" s="16">
        <f t="shared" si="9"/>
        <v>320100</v>
      </c>
      <c r="Q47" s="16">
        <f t="shared" si="10"/>
        <v>122000</v>
      </c>
      <c r="R47" s="230">
        <f t="shared" si="11"/>
        <v>0</v>
      </c>
    </row>
    <row r="48" spans="2:18">
      <c r="B48" s="15">
        <f t="shared" si="5"/>
        <v>43</v>
      </c>
      <c r="C48" s="16">
        <f>IFERROR(VLOOKUP(DATA!G46,DATA!$G$4:$J$2149,1,FALSE),"")</f>
        <v>3028</v>
      </c>
      <c r="D48" s="16" t="str">
        <f>+IFERROR(VLOOKUP(C48,DATA!$G$4:$H$2000,2,FALSE),"")</f>
        <v>УБТЗам БОС1-р анги</v>
      </c>
      <c r="E48" s="16">
        <v>122000</v>
      </c>
      <c r="G48" s="230">
        <f>+SUMIFS(JURNAL!G:G,JURNAL!E:E,E48,JURNAL!L:L,$C48,JURNAL!C:C,"&gt;="&amp;$M$3,JURNAL!C:C,"&lt;="&amp;$N$3)</f>
        <v>0</v>
      </c>
      <c r="H48" s="19">
        <f>+SUMIFS(JURNAL!H:H,JURNAL!E:E,E48,JURNAL!L:L,$C48,JURNAL!C:C,"&gt;="&amp;$M$3,JURNAL!C:C,"&lt;="&amp;$N$3)</f>
        <v>0</v>
      </c>
      <c r="I48" s="18">
        <f t="shared" si="6"/>
        <v>0</v>
      </c>
      <c r="J48" s="16">
        <v>320100</v>
      </c>
      <c r="K48" s="230">
        <v>53977895</v>
      </c>
      <c r="L48" s="230">
        <f>+SUMIFS(JURNAL!G:G,JURNAL!E:E,J48,JURNAL!L:L,$C48,JURNAL!C:C,"&gt;="&amp;$M$3,JURNAL!C:C,"&lt;="&amp;$N$3)</f>
        <v>0</v>
      </c>
      <c r="M48" s="19">
        <f>+SUMIFS(JURNAL!H:H,JURNAL!E:E,J48,JURNAL!L:L,$C48,JURNAL!C:C,"&gt;="&amp;$M$3,JURNAL!C:C,"&lt;="&amp;$N$3)</f>
        <v>0</v>
      </c>
      <c r="N48" s="20">
        <f t="shared" si="7"/>
        <v>53977895</v>
      </c>
      <c r="O48" s="230">
        <f t="shared" si="8"/>
        <v>0</v>
      </c>
      <c r="P48" s="16">
        <f t="shared" si="9"/>
        <v>320100</v>
      </c>
      <c r="Q48" s="16">
        <f t="shared" si="10"/>
        <v>122000</v>
      </c>
      <c r="R48" s="230">
        <f t="shared" si="11"/>
        <v>0</v>
      </c>
    </row>
    <row r="49" spans="2:18">
      <c r="B49" s="15">
        <f t="shared" si="5"/>
        <v>44</v>
      </c>
      <c r="C49" s="16">
        <f>IFERROR(VLOOKUP(DATA!G47,DATA!$G$4:$J$2149,1,FALSE),"")</f>
        <v>3029</v>
      </c>
      <c r="D49" s="16" t="str">
        <f>+IFERROR(VLOOKUP(C49,DATA!$G$4:$H$2000,2,FALSE),"")</f>
        <v xml:space="preserve">ДУГАН ХАД ЖУУЛЧИН ХХК </v>
      </c>
      <c r="E49" s="16">
        <v>122000</v>
      </c>
      <c r="G49" s="230">
        <f>+SUMIFS(JURNAL!G:G,JURNAL!E:E,E49,JURNAL!L:L,$C49,JURNAL!C:C,"&gt;="&amp;$M$3,JURNAL!C:C,"&lt;="&amp;$N$3)</f>
        <v>0</v>
      </c>
      <c r="H49" s="19">
        <f>+SUMIFS(JURNAL!H:H,JURNAL!E:E,E49,JURNAL!L:L,$C49,JURNAL!C:C,"&gt;="&amp;$M$3,JURNAL!C:C,"&lt;="&amp;$N$3)</f>
        <v>0</v>
      </c>
      <c r="I49" s="18">
        <f t="shared" si="6"/>
        <v>0</v>
      </c>
      <c r="J49" s="16">
        <v>320100</v>
      </c>
      <c r="K49" s="230">
        <v>53707030</v>
      </c>
      <c r="L49" s="230">
        <f>+SUMIFS(JURNAL!G:G,JURNAL!E:E,J49,JURNAL!L:L,$C49,JURNAL!C:C,"&gt;="&amp;$M$3,JURNAL!C:C,"&lt;="&amp;$N$3)</f>
        <v>0</v>
      </c>
      <c r="M49" s="19">
        <f>+SUMIFS(JURNAL!H:H,JURNAL!E:E,J49,JURNAL!L:L,$C49,JURNAL!C:C,"&gt;="&amp;$M$3,JURNAL!C:C,"&lt;="&amp;$N$3)</f>
        <v>0</v>
      </c>
      <c r="N49" s="20">
        <f t="shared" si="7"/>
        <v>53707030</v>
      </c>
      <c r="O49" s="230">
        <f t="shared" si="8"/>
        <v>0</v>
      </c>
      <c r="P49" s="16">
        <f t="shared" si="9"/>
        <v>320100</v>
      </c>
      <c r="Q49" s="16">
        <f t="shared" si="10"/>
        <v>122000</v>
      </c>
      <c r="R49" s="230">
        <f t="shared" si="11"/>
        <v>0</v>
      </c>
    </row>
    <row r="50" spans="2:18">
      <c r="B50" s="15">
        <f t="shared" si="5"/>
        <v>45</v>
      </c>
      <c r="C50" s="16">
        <f>IFERROR(VLOOKUP(DATA!G48,DATA!$G$4:$J$2149,1,FALSE),"")</f>
        <v>3030</v>
      </c>
      <c r="D50" s="16" t="str">
        <f>+IFERROR(VLOOKUP(C50,DATA!$G$4:$H$2000,2,FALSE),"")</f>
        <v xml:space="preserve">МОНГОЛ ГЛОБАЛ ХХК </v>
      </c>
      <c r="E50" s="16">
        <v>122000</v>
      </c>
      <c r="G50" s="230">
        <f>+SUMIFS(JURNAL!G:G,JURNAL!E:E,E50,JURNAL!L:L,$C50,JURNAL!C:C,"&gt;="&amp;$M$3,JURNAL!C:C,"&lt;="&amp;$N$3)</f>
        <v>0</v>
      </c>
      <c r="H50" s="19">
        <f>+SUMIFS(JURNAL!H:H,JURNAL!E:E,E50,JURNAL!L:L,$C50,JURNAL!C:C,"&gt;="&amp;$M$3,JURNAL!C:C,"&lt;="&amp;$N$3)</f>
        <v>0</v>
      </c>
      <c r="I50" s="18">
        <f t="shared" si="6"/>
        <v>0</v>
      </c>
      <c r="J50" s="16">
        <v>320100</v>
      </c>
      <c r="K50" s="230">
        <v>360000</v>
      </c>
      <c r="L50" s="230">
        <f>+SUMIFS(JURNAL!G:G,JURNAL!E:E,J50,JURNAL!L:L,$C50,JURNAL!C:C,"&gt;="&amp;$M$3,JURNAL!C:C,"&lt;="&amp;$N$3)</f>
        <v>0</v>
      </c>
      <c r="M50" s="19">
        <f>+SUMIFS(JURNAL!H:H,JURNAL!E:E,J50,JURNAL!L:L,$C50,JURNAL!C:C,"&gt;="&amp;$M$3,JURNAL!C:C,"&lt;="&amp;$N$3)</f>
        <v>0</v>
      </c>
      <c r="N50" s="20">
        <f t="shared" si="7"/>
        <v>360000</v>
      </c>
      <c r="O50" s="230">
        <f t="shared" si="8"/>
        <v>0</v>
      </c>
      <c r="P50" s="16">
        <f t="shared" si="9"/>
        <v>320100</v>
      </c>
      <c r="Q50" s="16">
        <f t="shared" si="10"/>
        <v>122000</v>
      </c>
      <c r="R50" s="230">
        <f t="shared" si="11"/>
        <v>0</v>
      </c>
    </row>
    <row r="51" spans="2:18">
      <c r="B51" s="15">
        <f t="shared" si="5"/>
        <v>46</v>
      </c>
      <c r="C51" s="16">
        <f>IFERROR(VLOOKUP(DATA!G49,DATA!$G$4:$J$2149,1,FALSE),"")</f>
        <v>3031</v>
      </c>
      <c r="D51" s="16" t="str">
        <f>+IFERROR(VLOOKUP(C51,DATA!$G$4:$H$2000,2,FALSE),"")</f>
        <v xml:space="preserve">ГРИЙН АРТ ПАРК ХХК </v>
      </c>
      <c r="E51" s="16">
        <v>122000</v>
      </c>
      <c r="G51" s="230">
        <f>+SUMIFS(JURNAL!G:G,JURNAL!E:E,E51,JURNAL!L:L,$C51,JURNAL!C:C,"&gt;="&amp;$M$3,JURNAL!C:C,"&lt;="&amp;$N$3)</f>
        <v>0</v>
      </c>
      <c r="H51" s="19">
        <f>+SUMIFS(JURNAL!H:H,JURNAL!E:E,E51,JURNAL!L:L,$C51,JURNAL!C:C,"&gt;="&amp;$M$3,JURNAL!C:C,"&lt;="&amp;$N$3)</f>
        <v>0</v>
      </c>
      <c r="I51" s="18">
        <f t="shared" si="6"/>
        <v>0</v>
      </c>
      <c r="J51" s="16">
        <v>320100</v>
      </c>
      <c r="K51" s="230">
        <v>2250000</v>
      </c>
      <c r="L51" s="230">
        <f>+SUMIFS(JURNAL!G:G,JURNAL!E:E,J51,JURNAL!L:L,$C51,JURNAL!C:C,"&gt;="&amp;$M$3,JURNAL!C:C,"&lt;="&amp;$N$3)</f>
        <v>0</v>
      </c>
      <c r="M51" s="19">
        <f>+SUMIFS(JURNAL!H:H,JURNAL!E:E,J51,JURNAL!L:L,$C51,JURNAL!C:C,"&gt;="&amp;$M$3,JURNAL!C:C,"&lt;="&amp;$N$3)</f>
        <v>0</v>
      </c>
      <c r="N51" s="20">
        <f t="shared" si="7"/>
        <v>2250000</v>
      </c>
      <c r="O51" s="230">
        <f t="shared" si="8"/>
        <v>0</v>
      </c>
      <c r="P51" s="16">
        <f t="shared" si="9"/>
        <v>320100</v>
      </c>
      <c r="Q51" s="16">
        <f t="shared" si="10"/>
        <v>122000</v>
      </c>
      <c r="R51" s="230">
        <f t="shared" si="11"/>
        <v>0</v>
      </c>
    </row>
    <row r="52" spans="2:18">
      <c r="B52" s="15">
        <f t="shared" ref="B52:B71" si="12">+IF(C52="","",ROW()-5)</f>
        <v>47</v>
      </c>
      <c r="C52" s="16">
        <f>IFERROR(VLOOKUP(DATA!G50,DATA!$G$4:$J$2149,1,FALSE),"")</f>
        <v>3032</v>
      </c>
      <c r="D52" s="16" t="str">
        <f>+IFERROR(VLOOKUP(C52,DATA!$G$4:$H$2000,2,FALSE),"")</f>
        <v xml:space="preserve">БОДЬ ЦАМХАГ ХХК </v>
      </c>
      <c r="E52" s="16">
        <v>122000</v>
      </c>
      <c r="G52" s="230">
        <f>+SUMIFS(JURNAL!G:G,JURNAL!E:E,E52,JURNAL!L:L,$C52,JURNAL!C:C,"&gt;="&amp;$M$3,JURNAL!C:C,"&lt;="&amp;$N$3)</f>
        <v>0</v>
      </c>
      <c r="H52" s="19">
        <f>+SUMIFS(JURNAL!H:H,JURNAL!E:E,E52,JURNAL!L:L,$C52,JURNAL!C:C,"&gt;="&amp;$M$3,JURNAL!C:C,"&lt;="&amp;$N$3)</f>
        <v>0</v>
      </c>
      <c r="I52" s="18">
        <f t="shared" si="6"/>
        <v>0</v>
      </c>
      <c r="J52" s="16">
        <v>320100</v>
      </c>
      <c r="K52" s="230">
        <v>119400</v>
      </c>
      <c r="L52" s="230">
        <f>+SUMIFS(JURNAL!G:G,JURNAL!E:E,J52,JURNAL!L:L,$C52,JURNAL!C:C,"&gt;="&amp;$M$3,JURNAL!C:C,"&lt;="&amp;$N$3)</f>
        <v>0</v>
      </c>
      <c r="M52" s="19">
        <f>+SUMIFS(JURNAL!H:H,JURNAL!E:E,J52,JURNAL!L:L,$C52,JURNAL!C:C,"&gt;="&amp;$M$3,JURNAL!C:C,"&lt;="&amp;$N$3)</f>
        <v>0</v>
      </c>
      <c r="N52" s="20">
        <f t="shared" si="7"/>
        <v>119400</v>
      </c>
      <c r="O52" s="230">
        <f t="shared" si="8"/>
        <v>0</v>
      </c>
      <c r="P52" s="16">
        <f t="shared" si="9"/>
        <v>320100</v>
      </c>
      <c r="Q52" s="16">
        <f t="shared" si="10"/>
        <v>122000</v>
      </c>
      <c r="R52" s="230">
        <f t="shared" si="11"/>
        <v>0</v>
      </c>
    </row>
    <row r="53" spans="2:18">
      <c r="B53" s="15">
        <f t="shared" si="12"/>
        <v>48</v>
      </c>
      <c r="C53" s="16">
        <f>IFERROR(VLOOKUP(DATA!G51,DATA!$G$4:$J$2149,1,FALSE),"")</f>
        <v>3033</v>
      </c>
      <c r="D53" s="16" t="str">
        <f>+IFERROR(VLOOKUP(C53,DATA!$G$4:$H$2000,2,FALSE),"")</f>
        <v xml:space="preserve">МАКС АГРО ХХК </v>
      </c>
      <c r="E53" s="16">
        <v>122000</v>
      </c>
      <c r="G53" s="230">
        <f>+SUMIFS(JURNAL!G:G,JURNAL!E:E,E53,JURNAL!L:L,$C53,JURNAL!C:C,"&gt;="&amp;$M$3,JURNAL!C:C,"&lt;="&amp;$N$3)</f>
        <v>0</v>
      </c>
      <c r="H53" s="19">
        <f>+SUMIFS(JURNAL!H:H,JURNAL!E:E,E53,JURNAL!L:L,$C53,JURNAL!C:C,"&gt;="&amp;$M$3,JURNAL!C:C,"&lt;="&amp;$N$3)</f>
        <v>0</v>
      </c>
      <c r="I53" s="18">
        <f t="shared" si="6"/>
        <v>0</v>
      </c>
      <c r="J53" s="16">
        <v>320100</v>
      </c>
      <c r="K53" s="230">
        <v>3900000</v>
      </c>
      <c r="L53" s="230">
        <f>+SUMIFS(JURNAL!G:G,JURNAL!E:E,J53,JURNAL!L:L,$C53,JURNAL!C:C,"&gt;="&amp;$M$3,JURNAL!C:C,"&lt;="&amp;$N$3)</f>
        <v>0</v>
      </c>
      <c r="M53" s="19">
        <f>+SUMIFS(JURNAL!H:H,JURNAL!E:E,J53,JURNAL!L:L,$C53,JURNAL!C:C,"&gt;="&amp;$M$3,JURNAL!C:C,"&lt;="&amp;$N$3)</f>
        <v>0</v>
      </c>
      <c r="N53" s="20">
        <f t="shared" si="7"/>
        <v>3900000</v>
      </c>
      <c r="O53" s="230">
        <f t="shared" si="8"/>
        <v>0</v>
      </c>
      <c r="P53" s="16">
        <f t="shared" si="9"/>
        <v>320100</v>
      </c>
      <c r="Q53" s="16">
        <f t="shared" si="10"/>
        <v>122000</v>
      </c>
      <c r="R53" s="230">
        <f t="shared" si="11"/>
        <v>0</v>
      </c>
    </row>
    <row r="54" spans="2:18">
      <c r="B54" s="15">
        <f t="shared" si="12"/>
        <v>49</v>
      </c>
      <c r="C54" s="16">
        <f>IFERROR(VLOOKUP(DATA!G52,DATA!$G$4:$J$2149,1,FALSE),"")</f>
        <v>3034</v>
      </c>
      <c r="D54" s="16" t="str">
        <f>+IFERROR(VLOOKUP(C54,DATA!$G$4:$H$2000,2,FALSE),"")</f>
        <v xml:space="preserve">ЭН ТИ ЭМ ХХК </v>
      </c>
      <c r="E54" s="16">
        <v>122000</v>
      </c>
      <c r="G54" s="230">
        <f>+SUMIFS(JURNAL!G:G,JURNAL!E:E,E54,JURNAL!L:L,$C54,JURNAL!C:C,"&gt;="&amp;$M$3,JURNAL!C:C,"&lt;="&amp;$N$3)</f>
        <v>0</v>
      </c>
      <c r="H54" s="19">
        <f>+SUMIFS(JURNAL!H:H,JURNAL!E:E,E54,JURNAL!L:L,$C54,JURNAL!C:C,"&gt;="&amp;$M$3,JURNAL!C:C,"&lt;="&amp;$N$3)</f>
        <v>0</v>
      </c>
      <c r="I54" s="18">
        <f t="shared" si="6"/>
        <v>0</v>
      </c>
      <c r="J54" s="16">
        <v>320100</v>
      </c>
      <c r="K54" s="230">
        <v>2831489</v>
      </c>
      <c r="L54" s="230">
        <f>+SUMIFS(JURNAL!G:G,JURNAL!E:E,J54,JURNAL!L:L,$C54,JURNAL!C:C,"&gt;="&amp;$M$3,JURNAL!C:C,"&lt;="&amp;$N$3)</f>
        <v>0</v>
      </c>
      <c r="M54" s="19">
        <f>+SUMIFS(JURNAL!H:H,JURNAL!E:E,J54,JURNAL!L:L,$C54,JURNAL!C:C,"&gt;="&amp;$M$3,JURNAL!C:C,"&lt;="&amp;$N$3)</f>
        <v>0</v>
      </c>
      <c r="N54" s="20">
        <f t="shared" si="7"/>
        <v>2831489</v>
      </c>
      <c r="O54" s="230">
        <f t="shared" si="8"/>
        <v>0</v>
      </c>
      <c r="P54" s="16">
        <f t="shared" si="9"/>
        <v>320100</v>
      </c>
      <c r="Q54" s="16">
        <f t="shared" si="10"/>
        <v>122000</v>
      </c>
      <c r="R54" s="230">
        <f t="shared" si="11"/>
        <v>0</v>
      </c>
    </row>
    <row r="55" spans="2:18">
      <c r="B55" s="15">
        <f t="shared" si="12"/>
        <v>50</v>
      </c>
      <c r="C55" s="16">
        <f>IFERROR(VLOOKUP(DATA!G53,DATA!$G$4:$J$2149,1,FALSE),"")</f>
        <v>3035</v>
      </c>
      <c r="D55" s="16" t="str">
        <f>+IFERROR(VLOOKUP(C55,DATA!$G$4:$H$2000,2,FALSE),"")</f>
        <v xml:space="preserve">ГОЛДЕН ЖИМ ХХК </v>
      </c>
      <c r="E55" s="16">
        <v>122000</v>
      </c>
      <c r="G55" s="230">
        <f>+SUMIFS(JURNAL!G:G,JURNAL!E:E,E55,JURNAL!L:L,$C55,JURNAL!C:C,"&gt;="&amp;$M$3,JURNAL!C:C,"&lt;="&amp;$N$3)</f>
        <v>0</v>
      </c>
      <c r="H55" s="19">
        <f>+SUMIFS(JURNAL!H:H,JURNAL!E:E,E55,JURNAL!L:L,$C55,JURNAL!C:C,"&gt;="&amp;$M$3,JURNAL!C:C,"&lt;="&amp;$N$3)</f>
        <v>0</v>
      </c>
      <c r="I55" s="18">
        <f t="shared" si="6"/>
        <v>0</v>
      </c>
      <c r="J55" s="16">
        <v>320100</v>
      </c>
      <c r="K55" s="230">
        <v>163730</v>
      </c>
      <c r="L55" s="230">
        <f>+SUMIFS(JURNAL!G:G,JURNAL!E:E,J55,JURNAL!L:L,$C55,JURNAL!C:C,"&gt;="&amp;$M$3,JURNAL!C:C,"&lt;="&amp;$N$3)</f>
        <v>0</v>
      </c>
      <c r="M55" s="19">
        <f>+SUMIFS(JURNAL!H:H,JURNAL!E:E,J55,JURNAL!L:L,$C55,JURNAL!C:C,"&gt;="&amp;$M$3,JURNAL!C:C,"&lt;="&amp;$N$3)</f>
        <v>0</v>
      </c>
      <c r="N55" s="20">
        <f t="shared" si="7"/>
        <v>163730</v>
      </c>
      <c r="O55" s="230">
        <f t="shared" si="8"/>
        <v>0</v>
      </c>
      <c r="P55" s="16">
        <f t="shared" si="9"/>
        <v>320100</v>
      </c>
      <c r="Q55" s="16">
        <f t="shared" si="10"/>
        <v>122000</v>
      </c>
      <c r="R55" s="230">
        <f t="shared" si="11"/>
        <v>0</v>
      </c>
    </row>
    <row r="56" spans="2:18">
      <c r="B56" s="15">
        <f t="shared" si="12"/>
        <v>51</v>
      </c>
      <c r="C56" s="16">
        <f>IFERROR(VLOOKUP(DATA!G54,DATA!$G$4:$J$2149,1,FALSE),"")</f>
        <v>3036</v>
      </c>
      <c r="D56" s="16" t="str">
        <f>+IFERROR(VLOOKUP(C56,DATA!$G$4:$H$2000,2,FALSE),"")</f>
        <v>ИХ БАГА ХОНГОР ХХК</v>
      </c>
      <c r="E56" s="16">
        <v>122000</v>
      </c>
      <c r="G56" s="230">
        <f>+SUMIFS(JURNAL!G:G,JURNAL!E:E,E56,JURNAL!L:L,$C56,JURNAL!C:C,"&gt;="&amp;$M$3,JURNAL!C:C,"&lt;="&amp;$N$3)</f>
        <v>0</v>
      </c>
      <c r="H56" s="19">
        <f>+SUMIFS(JURNAL!H:H,JURNAL!E:E,E56,JURNAL!L:L,$C56,JURNAL!C:C,"&gt;="&amp;$M$3,JURNAL!C:C,"&lt;="&amp;$N$3)</f>
        <v>0</v>
      </c>
      <c r="I56" s="18">
        <f t="shared" si="6"/>
        <v>0</v>
      </c>
      <c r="J56" s="16">
        <v>320100</v>
      </c>
      <c r="K56" s="230">
        <v>399280.03580000001</v>
      </c>
      <c r="L56" s="230">
        <f>+SUMIFS(JURNAL!G:G,JURNAL!E:E,J56,JURNAL!L:L,$C56,JURNAL!C:C,"&gt;="&amp;$M$3,JURNAL!C:C,"&lt;="&amp;$N$3)</f>
        <v>0</v>
      </c>
      <c r="M56" s="19">
        <f>+SUMIFS(JURNAL!H:H,JURNAL!E:E,J56,JURNAL!L:L,$C56,JURNAL!C:C,"&gt;="&amp;$M$3,JURNAL!C:C,"&lt;="&amp;$N$3)</f>
        <v>0</v>
      </c>
      <c r="N56" s="20">
        <f t="shared" si="7"/>
        <v>399280.03580000001</v>
      </c>
      <c r="O56" s="230">
        <f t="shared" si="8"/>
        <v>0</v>
      </c>
      <c r="P56" s="16">
        <f t="shared" si="9"/>
        <v>320100</v>
      </c>
      <c r="Q56" s="16">
        <f t="shared" si="10"/>
        <v>122000</v>
      </c>
      <c r="R56" s="230">
        <f t="shared" si="11"/>
        <v>0</v>
      </c>
    </row>
    <row r="57" spans="2:18">
      <c r="B57" s="15">
        <f t="shared" si="12"/>
        <v>52</v>
      </c>
      <c r="C57" s="16">
        <f>IFERROR(VLOOKUP(DATA!G55,DATA!$G$4:$J$2149,1,FALSE),"")</f>
        <v>3037</v>
      </c>
      <c r="D57" s="16" t="str">
        <f>+IFERROR(VLOOKUP(C57,DATA!$G$4:$H$2000,2,FALSE),"")</f>
        <v xml:space="preserve">ЯВУУ ИМПЕКС ХХК </v>
      </c>
      <c r="E57" s="16">
        <v>122000</v>
      </c>
      <c r="G57" s="230">
        <f>+SUMIFS(JURNAL!G:G,JURNAL!E:E,E57,JURNAL!L:L,$C57,JURNAL!C:C,"&gt;="&amp;$M$3,JURNAL!C:C,"&lt;="&amp;$N$3)</f>
        <v>0</v>
      </c>
      <c r="H57" s="19">
        <f>+SUMIFS(JURNAL!H:H,JURNAL!E:E,E57,JURNAL!L:L,$C57,JURNAL!C:C,"&gt;="&amp;$M$3,JURNAL!C:C,"&lt;="&amp;$N$3)</f>
        <v>0</v>
      </c>
      <c r="I57" s="18">
        <f t="shared" si="6"/>
        <v>0</v>
      </c>
      <c r="J57" s="16">
        <v>320100</v>
      </c>
      <c r="L57" s="230">
        <f>+SUMIFS(JURNAL!G:G,JURNAL!E:E,J57,JURNAL!L:L,$C57,JURNAL!C:C,"&gt;="&amp;$M$3,JURNAL!C:C,"&lt;="&amp;$N$3)</f>
        <v>0</v>
      </c>
      <c r="M57" s="19">
        <f>+SUMIFS(JURNAL!H:H,JURNAL!E:E,J57,JURNAL!L:L,$C57,JURNAL!C:C,"&gt;="&amp;$M$3,JURNAL!C:C,"&lt;="&amp;$N$3)</f>
        <v>0</v>
      </c>
      <c r="N57" s="20">
        <f t="shared" si="7"/>
        <v>0</v>
      </c>
      <c r="O57" s="230">
        <f t="shared" si="8"/>
        <v>0</v>
      </c>
      <c r="P57" s="16">
        <f t="shared" si="9"/>
        <v>320100</v>
      </c>
      <c r="Q57" s="16">
        <f t="shared" si="10"/>
        <v>122000</v>
      </c>
      <c r="R57" s="230">
        <f t="shared" si="11"/>
        <v>0</v>
      </c>
    </row>
    <row r="58" spans="2:18">
      <c r="B58" s="15">
        <f t="shared" si="12"/>
        <v>53</v>
      </c>
      <c r="C58" s="16">
        <f>IFERROR(VLOOKUP(DATA!G56,DATA!$G$4:$J$2149,1,FALSE),"")</f>
        <v>3038</v>
      </c>
      <c r="D58" s="16" t="str">
        <f>+IFERROR(VLOOKUP(C58,DATA!$G$4:$H$2000,2,FALSE),"")</f>
        <v xml:space="preserve">ТЭХ БАРИЛГЫН МАТЕРИАЛЫН ДЭЛГҮҮР </v>
      </c>
      <c r="E58" s="16">
        <v>122000</v>
      </c>
      <c r="G58" s="230">
        <f>+SUMIFS(JURNAL!G:G,JURNAL!E:E,E58,JURNAL!L:L,$C58,JURNAL!C:C,"&gt;="&amp;$M$3,JURNAL!C:C,"&lt;="&amp;$N$3)</f>
        <v>0</v>
      </c>
      <c r="H58" s="19">
        <f>+SUMIFS(JURNAL!H:H,JURNAL!E:E,E58,JURNAL!L:L,$C58,JURNAL!C:C,"&gt;="&amp;$M$3,JURNAL!C:C,"&lt;="&amp;$N$3)</f>
        <v>0</v>
      </c>
      <c r="I58" s="18">
        <f t="shared" si="6"/>
        <v>0</v>
      </c>
      <c r="J58" s="16">
        <v>320100</v>
      </c>
      <c r="L58" s="230">
        <f>+SUMIFS(JURNAL!G:G,JURNAL!E:E,J58,JURNAL!L:L,$C58,JURNAL!C:C,"&gt;="&amp;$M$3,JURNAL!C:C,"&lt;="&amp;$N$3)</f>
        <v>0</v>
      </c>
      <c r="M58" s="19">
        <f>+SUMIFS(JURNAL!H:H,JURNAL!E:E,J58,JURNAL!L:L,$C58,JURNAL!C:C,"&gt;="&amp;$M$3,JURNAL!C:C,"&lt;="&amp;$N$3)</f>
        <v>0</v>
      </c>
      <c r="N58" s="20">
        <f t="shared" si="7"/>
        <v>0</v>
      </c>
      <c r="O58" s="230">
        <f t="shared" si="8"/>
        <v>0</v>
      </c>
      <c r="P58" s="16">
        <f t="shared" si="9"/>
        <v>320100</v>
      </c>
      <c r="Q58" s="16">
        <f t="shared" si="10"/>
        <v>122000</v>
      </c>
      <c r="R58" s="230">
        <f t="shared" si="11"/>
        <v>0</v>
      </c>
    </row>
    <row r="59" spans="2:18">
      <c r="B59" s="15">
        <f t="shared" si="12"/>
        <v>54</v>
      </c>
      <c r="C59" s="16">
        <f>IFERROR(VLOOKUP(DATA!G57,DATA!$G$4:$J$2149,1,FALSE),"")</f>
        <v>3039</v>
      </c>
      <c r="D59" s="16" t="str">
        <f>+IFERROR(VLOOKUP(C59,DATA!$G$4:$H$2000,2,FALSE),"")</f>
        <v xml:space="preserve">САССИР ХХК </v>
      </c>
      <c r="E59" s="16">
        <v>122000</v>
      </c>
      <c r="G59" s="230">
        <f>+SUMIFS(JURNAL!G:G,JURNAL!E:E,E59,JURNAL!L:L,$C59,JURNAL!C:C,"&gt;="&amp;$M$3,JURNAL!C:C,"&lt;="&amp;$N$3)</f>
        <v>0</v>
      </c>
      <c r="H59" s="19">
        <f>+SUMIFS(JURNAL!H:H,JURNAL!E:E,E59,JURNAL!L:L,$C59,JURNAL!C:C,"&gt;="&amp;$M$3,JURNAL!C:C,"&lt;="&amp;$N$3)</f>
        <v>0</v>
      </c>
      <c r="I59" s="18">
        <f t="shared" si="6"/>
        <v>0</v>
      </c>
      <c r="J59" s="16">
        <v>320100</v>
      </c>
      <c r="L59" s="230">
        <f>+SUMIFS(JURNAL!G:G,JURNAL!E:E,J59,JURNAL!L:L,$C59,JURNAL!C:C,"&gt;="&amp;$M$3,JURNAL!C:C,"&lt;="&amp;$N$3)</f>
        <v>8119865.994059599</v>
      </c>
      <c r="M59" s="19">
        <f>+SUMIFS(JURNAL!H:H,JURNAL!E:E,J59,JURNAL!L:L,$C59,JURNAL!C:C,"&gt;="&amp;$M$3,JURNAL!C:C,"&lt;="&amp;$N$3)</f>
        <v>8119866</v>
      </c>
      <c r="N59" s="20">
        <f t="shared" si="7"/>
        <v>5.9404009953141212E-3</v>
      </c>
      <c r="O59" s="230">
        <f t="shared" si="8"/>
        <v>0</v>
      </c>
      <c r="P59" s="16">
        <f t="shared" si="9"/>
        <v>320100</v>
      </c>
      <c r="Q59" s="16">
        <f t="shared" si="10"/>
        <v>122000</v>
      </c>
      <c r="R59" s="230">
        <f t="shared" si="11"/>
        <v>0</v>
      </c>
    </row>
    <row r="60" spans="2:18">
      <c r="B60" s="15">
        <f t="shared" si="12"/>
        <v>55</v>
      </c>
      <c r="C60" s="16">
        <f>IFERROR(VLOOKUP(DATA!G58,DATA!$G$4:$J$2149,1,FALSE),"")</f>
        <v>3040</v>
      </c>
      <c r="D60" s="16" t="str">
        <f>+IFERROR(VLOOKUP(C60,DATA!$G$4:$H$2000,2,FALSE),"")</f>
        <v xml:space="preserve">АР ПИ ДИ ХХК </v>
      </c>
      <c r="E60" s="16">
        <v>122000</v>
      </c>
      <c r="G60" s="230">
        <f>+SUMIFS(JURNAL!G:G,JURNAL!E:E,E60,JURNAL!L:L,$C60,JURNAL!C:C,"&gt;="&amp;$M$3,JURNAL!C:C,"&lt;="&amp;$N$3)</f>
        <v>0</v>
      </c>
      <c r="H60" s="19">
        <f>+SUMIFS(JURNAL!H:H,JURNAL!E:E,E60,JURNAL!L:L,$C60,JURNAL!C:C,"&gt;="&amp;$M$3,JURNAL!C:C,"&lt;="&amp;$N$3)</f>
        <v>0</v>
      </c>
      <c r="I60" s="18">
        <f t="shared" si="6"/>
        <v>0</v>
      </c>
      <c r="J60" s="16">
        <v>320100</v>
      </c>
      <c r="L60" s="230">
        <f>+SUMIFS(JURNAL!G:G,JURNAL!E:E,J60,JURNAL!L:L,$C60,JURNAL!C:C,"&gt;="&amp;$M$3,JURNAL!C:C,"&lt;="&amp;$N$3)</f>
        <v>5874500.0028483998</v>
      </c>
      <c r="M60" s="19">
        <f>+SUMIFS(JURNAL!H:H,JURNAL!E:E,J60,JURNAL!L:L,$C60,JURNAL!C:C,"&gt;="&amp;$M$3,JURNAL!C:C,"&lt;="&amp;$N$3)</f>
        <v>5874500</v>
      </c>
      <c r="N60" s="20">
        <f t="shared" si="7"/>
        <v>-2.8483998030424118E-3</v>
      </c>
      <c r="O60" s="230">
        <f t="shared" si="8"/>
        <v>-2.8483998030424118E-3</v>
      </c>
      <c r="P60" s="16">
        <f t="shared" si="9"/>
        <v>320100</v>
      </c>
      <c r="Q60" s="16">
        <f t="shared" si="10"/>
        <v>122000</v>
      </c>
      <c r="R60" s="230">
        <f t="shared" si="11"/>
        <v>1</v>
      </c>
    </row>
    <row r="61" spans="2:18">
      <c r="B61" s="15">
        <f t="shared" si="12"/>
        <v>56</v>
      </c>
      <c r="C61" s="16">
        <f>IFERROR(VLOOKUP(DATA!G59,DATA!$G$4:$J$2149,1,FALSE),"")</f>
        <v>3041</v>
      </c>
      <c r="D61" s="16" t="str">
        <f>+IFERROR(VLOOKUP(C61,DATA!$G$4:$H$2000,2,FALSE),"")</f>
        <v>БҮТЭЭГЧ ХХК</v>
      </c>
      <c r="E61" s="16">
        <v>122000</v>
      </c>
      <c r="G61" s="230">
        <f>+SUMIFS(JURNAL!G:G,JURNAL!E:E,E61,JURNAL!L:L,$C61,JURNAL!C:C,"&gt;="&amp;$M$3,JURNAL!C:C,"&lt;="&amp;$N$3)</f>
        <v>0</v>
      </c>
      <c r="H61" s="19">
        <f>+SUMIFS(JURNAL!H:H,JURNAL!E:E,E61,JURNAL!L:L,$C61,JURNAL!C:C,"&gt;="&amp;$M$3,JURNAL!C:C,"&lt;="&amp;$N$3)</f>
        <v>0</v>
      </c>
      <c r="I61" s="18">
        <f t="shared" si="6"/>
        <v>0</v>
      </c>
      <c r="J61" s="16">
        <v>320100</v>
      </c>
      <c r="L61" s="230">
        <f>+SUMIFS(JURNAL!G:G,JURNAL!E:E,J61,JURNAL!L:L,$C61,JURNAL!C:C,"&gt;="&amp;$M$3,JURNAL!C:C,"&lt;="&amp;$N$3)</f>
        <v>1584000</v>
      </c>
      <c r="M61" s="19">
        <f>+SUMIFS(JURNAL!H:H,JURNAL!E:E,J61,JURNAL!L:L,$C61,JURNAL!C:C,"&gt;="&amp;$M$3,JURNAL!C:C,"&lt;="&amp;$N$3)</f>
        <v>1584000</v>
      </c>
      <c r="N61" s="20">
        <f t="shared" si="7"/>
        <v>0</v>
      </c>
      <c r="O61" s="230">
        <f t="shared" si="8"/>
        <v>0</v>
      </c>
      <c r="P61" s="16">
        <f t="shared" si="9"/>
        <v>320100</v>
      </c>
      <c r="Q61" s="16">
        <f t="shared" si="10"/>
        <v>122000</v>
      </c>
      <c r="R61" s="230">
        <f t="shared" si="11"/>
        <v>0</v>
      </c>
    </row>
    <row r="62" spans="2:18">
      <c r="B62" s="15">
        <f t="shared" si="12"/>
        <v>57</v>
      </c>
      <c r="C62" s="16">
        <f>IFERROR(VLOOKUP(DATA!G60,DATA!$G$4:$J$2149,1,FALSE),"")</f>
        <v>3042</v>
      </c>
      <c r="D62" s="16" t="str">
        <f>+IFERROR(VLOOKUP(C62,DATA!$G$4:$H$2000,2,FALSE),"")</f>
        <v xml:space="preserve">ЖУРМАК ХХК </v>
      </c>
      <c r="E62" s="16">
        <v>122000</v>
      </c>
      <c r="G62" s="230">
        <f>+SUMIFS(JURNAL!G:G,JURNAL!E:E,E62,JURNAL!L:L,$C62,JURNAL!C:C,"&gt;="&amp;$M$3,JURNAL!C:C,"&lt;="&amp;$N$3)</f>
        <v>484000</v>
      </c>
      <c r="H62" s="19">
        <f>+SUMIFS(JURNAL!H:H,JURNAL!E:E,E62,JURNAL!L:L,$C62,JURNAL!C:C,"&gt;="&amp;$M$3,JURNAL!C:C,"&lt;="&amp;$N$3)</f>
        <v>484000</v>
      </c>
      <c r="I62" s="18">
        <f t="shared" si="6"/>
        <v>0</v>
      </c>
      <c r="J62" s="16">
        <v>320100</v>
      </c>
      <c r="L62" s="230">
        <f>+SUMIFS(JURNAL!G:G,JURNAL!E:E,J62,JURNAL!L:L,$C62,JURNAL!C:C,"&gt;="&amp;$M$3,JURNAL!C:C,"&lt;="&amp;$N$3)</f>
        <v>8660060.0011560787</v>
      </c>
      <c r="M62" s="19">
        <f>+SUMIFS(JURNAL!H:H,JURNAL!E:E,J62,JURNAL!L:L,$C62,JURNAL!C:C,"&gt;="&amp;$M$3,JURNAL!C:C,"&lt;="&amp;$N$3)</f>
        <v>8660060</v>
      </c>
      <c r="N62" s="20">
        <f t="shared" si="7"/>
        <v>-1.1560786515474319E-3</v>
      </c>
      <c r="O62" s="230">
        <f t="shared" si="8"/>
        <v>-1.1560786515474319E-3</v>
      </c>
      <c r="P62" s="16">
        <f t="shared" si="9"/>
        <v>320100</v>
      </c>
      <c r="Q62" s="16">
        <f t="shared" si="10"/>
        <v>122000</v>
      </c>
      <c r="R62" s="230">
        <f t="shared" si="11"/>
        <v>1</v>
      </c>
    </row>
    <row r="63" spans="2:18">
      <c r="B63" s="15">
        <f t="shared" si="12"/>
        <v>58</v>
      </c>
      <c r="C63" s="16">
        <f>IFERROR(VLOOKUP(DATA!G61,DATA!$G$4:$J$2149,1,FALSE),"")</f>
        <v>3043</v>
      </c>
      <c r="D63" s="16" t="str">
        <f>+IFERROR(VLOOKUP(C63,DATA!$G$4:$H$2000,2,FALSE),"")</f>
        <v xml:space="preserve">ДЕКОР ВҮҮД ХХК </v>
      </c>
      <c r="E63" s="16">
        <v>122000</v>
      </c>
      <c r="G63" s="230">
        <f>+SUMIFS(JURNAL!G:G,JURNAL!E:E,E63,JURNAL!L:L,$C63,JURNAL!C:C,"&gt;="&amp;$M$3,JURNAL!C:C,"&lt;="&amp;$N$3)</f>
        <v>0</v>
      </c>
      <c r="H63" s="19">
        <f>+SUMIFS(JURNAL!H:H,JURNAL!E:E,E63,JURNAL!L:L,$C63,JURNAL!C:C,"&gt;="&amp;$M$3,JURNAL!C:C,"&lt;="&amp;$N$3)</f>
        <v>0</v>
      </c>
      <c r="I63" s="18">
        <f t="shared" si="6"/>
        <v>0</v>
      </c>
      <c r="J63" s="16">
        <v>320100</v>
      </c>
      <c r="L63" s="230">
        <f>+SUMIFS(JURNAL!G:G,JURNAL!E:E,J63,JURNAL!L:L,$C63,JURNAL!C:C,"&gt;="&amp;$M$3,JURNAL!C:C,"&lt;="&amp;$N$3)</f>
        <v>242000</v>
      </c>
      <c r="M63" s="19">
        <f>+SUMIFS(JURNAL!H:H,JURNAL!E:E,J63,JURNAL!L:L,$C63,JURNAL!C:C,"&gt;="&amp;$M$3,JURNAL!C:C,"&lt;="&amp;$N$3)</f>
        <v>242000</v>
      </c>
      <c r="N63" s="20">
        <f t="shared" si="7"/>
        <v>0</v>
      </c>
      <c r="O63" s="230">
        <f t="shared" si="8"/>
        <v>0</v>
      </c>
      <c r="P63" s="16">
        <f t="shared" si="9"/>
        <v>320100</v>
      </c>
      <c r="Q63" s="16">
        <f t="shared" si="10"/>
        <v>122000</v>
      </c>
      <c r="R63" s="230">
        <f t="shared" si="11"/>
        <v>0</v>
      </c>
    </row>
    <row r="64" spans="2:18">
      <c r="B64" s="15">
        <f t="shared" si="12"/>
        <v>59</v>
      </c>
      <c r="C64" s="16">
        <f>IFERROR(VLOOKUP(DATA!G62,DATA!$G$4:$J$2149,1,FALSE),"")</f>
        <v>3044</v>
      </c>
      <c r="D64" s="16" t="str">
        <f>+IFERROR(VLOOKUP(C64,DATA!$G$4:$H$2000,2,FALSE),"")</f>
        <v>ЛАНС КОНСТРАКШН ХХК</v>
      </c>
      <c r="E64" s="16">
        <v>122000</v>
      </c>
      <c r="G64" s="230">
        <f>+SUMIFS(JURNAL!G:G,JURNAL!E:E,E64,JURNAL!L:L,$C64,JURNAL!C:C,"&gt;="&amp;$M$3,JURNAL!C:C,"&lt;="&amp;$N$3)</f>
        <v>0</v>
      </c>
      <c r="H64" s="19">
        <f>+SUMIFS(JURNAL!H:H,JURNAL!E:E,E64,JURNAL!L:L,$C64,JURNAL!C:C,"&gt;="&amp;$M$3,JURNAL!C:C,"&lt;="&amp;$N$3)</f>
        <v>0</v>
      </c>
      <c r="I64" s="18">
        <f t="shared" si="6"/>
        <v>0</v>
      </c>
      <c r="J64" s="16">
        <v>320100</v>
      </c>
      <c r="L64" s="230">
        <f>+SUMIFS(JURNAL!G:G,JURNAL!E:E,J64,JURNAL!L:L,$C64,JURNAL!C:C,"&gt;="&amp;$M$3,JURNAL!C:C,"&lt;="&amp;$N$3)</f>
        <v>2373314.9959461801</v>
      </c>
      <c r="M64" s="19">
        <f>+SUMIFS(JURNAL!H:H,JURNAL!E:E,J64,JURNAL!L:L,$C64,JURNAL!C:C,"&gt;="&amp;$M$3,JURNAL!C:C,"&lt;="&amp;$N$3)</f>
        <v>2373315</v>
      </c>
      <c r="N64" s="20">
        <f t="shared" si="7"/>
        <v>4.0538199245929718E-3</v>
      </c>
      <c r="O64" s="230">
        <f t="shared" si="8"/>
        <v>0</v>
      </c>
      <c r="P64" s="16">
        <f t="shared" si="9"/>
        <v>320100</v>
      </c>
      <c r="Q64" s="16">
        <f t="shared" si="10"/>
        <v>122000</v>
      </c>
      <c r="R64" s="230">
        <f t="shared" si="11"/>
        <v>0</v>
      </c>
    </row>
    <row r="65" spans="2:18">
      <c r="B65" s="15">
        <f t="shared" si="12"/>
        <v>60</v>
      </c>
      <c r="C65" s="16">
        <f>IFERROR(VLOOKUP(DATA!G63,DATA!$G$4:$J$2149,1,FALSE),"")</f>
        <v>3045</v>
      </c>
      <c r="D65" s="16" t="str">
        <f>+IFERROR(VLOOKUP(C65,DATA!$G$4:$H$2000,2,FALSE),"")</f>
        <v xml:space="preserve">МОНГОЛ ИДЕАЛ ХХК </v>
      </c>
      <c r="E65" s="16">
        <v>122000</v>
      </c>
      <c r="G65" s="230">
        <f>+SUMIFS(JURNAL!G:G,JURNAL!E:E,E65,JURNAL!L:L,$C65,JURNAL!C:C,"&gt;="&amp;$M$3,JURNAL!C:C,"&lt;="&amp;$N$3)</f>
        <v>0</v>
      </c>
      <c r="H65" s="19">
        <f>+SUMIFS(JURNAL!H:H,JURNAL!E:E,E65,JURNAL!L:L,$C65,JURNAL!C:C,"&gt;="&amp;$M$3,JURNAL!C:C,"&lt;="&amp;$N$3)</f>
        <v>0</v>
      </c>
      <c r="I65" s="18">
        <f t="shared" si="6"/>
        <v>0</v>
      </c>
      <c r="J65" s="16">
        <v>320100</v>
      </c>
      <c r="L65" s="230">
        <f>+SUMIFS(JURNAL!G:G,JURNAL!E:E,J65,JURNAL!L:L,$C65,JURNAL!C:C,"&gt;="&amp;$M$3,JURNAL!C:C,"&lt;="&amp;$N$3)</f>
        <v>87999.999911999999</v>
      </c>
      <c r="M65" s="19">
        <f>+SUMIFS(JURNAL!H:H,JURNAL!E:E,J65,JURNAL!L:L,$C65,JURNAL!C:C,"&gt;="&amp;$M$3,JURNAL!C:C,"&lt;="&amp;$N$3)</f>
        <v>88000</v>
      </c>
      <c r="N65" s="20">
        <f t="shared" si="7"/>
        <v>8.800000068731606E-5</v>
      </c>
      <c r="O65" s="230">
        <f t="shared" si="8"/>
        <v>0</v>
      </c>
      <c r="P65" s="16">
        <f t="shared" si="9"/>
        <v>320100</v>
      </c>
      <c r="Q65" s="16">
        <f t="shared" si="10"/>
        <v>122000</v>
      </c>
      <c r="R65" s="230">
        <f t="shared" si="11"/>
        <v>0</v>
      </c>
    </row>
    <row r="66" spans="2:18">
      <c r="B66" s="15">
        <f t="shared" si="12"/>
        <v>61</v>
      </c>
      <c r="C66" s="16">
        <f>IFERROR(VLOOKUP(DATA!G64,DATA!$G$4:$J$2149,1,FALSE),"")</f>
        <v>3046</v>
      </c>
      <c r="D66" s="16" t="str">
        <f>+IFERROR(VLOOKUP(C66,DATA!$G$4:$H$2000,2,FALSE),"")</f>
        <v xml:space="preserve">ТЭГШРЭХ ГУРВАН ЭРДЭНЭ ХХК </v>
      </c>
      <c r="E66" s="16">
        <v>122000</v>
      </c>
      <c r="G66" s="230">
        <f>+SUMIFS(JURNAL!G:G,JURNAL!E:E,E66,JURNAL!L:L,$C66,JURNAL!C:C,"&gt;="&amp;$M$3,JURNAL!C:C,"&lt;="&amp;$N$3)</f>
        <v>0</v>
      </c>
      <c r="H66" s="19">
        <f>+SUMIFS(JURNAL!H:H,JURNAL!E:E,E66,JURNAL!L:L,$C66,JURNAL!C:C,"&gt;="&amp;$M$3,JURNAL!C:C,"&lt;="&amp;$N$3)</f>
        <v>0</v>
      </c>
      <c r="I66" s="18">
        <f t="shared" si="6"/>
        <v>0</v>
      </c>
      <c r="J66" s="16">
        <v>320100</v>
      </c>
      <c r="L66" s="230">
        <f>+SUMIFS(JURNAL!G:G,JURNAL!E:E,J66,JURNAL!L:L,$C66,JURNAL!C:C,"&gt;="&amp;$M$3,JURNAL!C:C,"&lt;="&amp;$N$3)</f>
        <v>869000</v>
      </c>
      <c r="M66" s="19">
        <f>+SUMIFS(JURNAL!H:H,JURNAL!E:E,J66,JURNAL!L:L,$C66,JURNAL!C:C,"&gt;="&amp;$M$3,JURNAL!C:C,"&lt;="&amp;$N$3)</f>
        <v>869000</v>
      </c>
      <c r="N66" s="20">
        <f t="shared" si="7"/>
        <v>0</v>
      </c>
      <c r="O66" s="230">
        <f t="shared" si="8"/>
        <v>0</v>
      </c>
      <c r="P66" s="16">
        <f t="shared" si="9"/>
        <v>320100</v>
      </c>
      <c r="Q66" s="16">
        <f t="shared" si="10"/>
        <v>122000</v>
      </c>
      <c r="R66" s="230">
        <f t="shared" si="11"/>
        <v>0</v>
      </c>
    </row>
    <row r="67" spans="2:18">
      <c r="B67" s="15">
        <f t="shared" si="12"/>
        <v>62</v>
      </c>
      <c r="C67" s="16">
        <f>IFERROR(VLOOKUP(DATA!G65,DATA!$G$4:$J$2149,1,FALSE),"")</f>
        <v>3047</v>
      </c>
      <c r="D67" s="16" t="str">
        <f>+IFERROR(VLOOKUP(C67,DATA!$G$4:$H$2000,2,FALSE),"")</f>
        <v>ГЛОБАЛ ГАЗАР ХХК</v>
      </c>
      <c r="E67" s="16">
        <v>122000</v>
      </c>
      <c r="G67" s="230">
        <f>+SUMIFS(JURNAL!G:G,JURNAL!E:E,E67,JURNAL!L:L,$C67,JURNAL!C:C,"&gt;="&amp;$M$3,JURNAL!C:C,"&lt;="&amp;$N$3)</f>
        <v>0</v>
      </c>
      <c r="H67" s="19">
        <f>+SUMIFS(JURNAL!H:H,JURNAL!E:E,E67,JURNAL!L:L,$C67,JURNAL!C:C,"&gt;="&amp;$M$3,JURNAL!C:C,"&lt;="&amp;$N$3)</f>
        <v>0</v>
      </c>
      <c r="I67" s="18">
        <f t="shared" si="6"/>
        <v>0</v>
      </c>
      <c r="J67" s="16">
        <v>320100</v>
      </c>
      <c r="L67" s="230">
        <f>+SUMIFS(JURNAL!G:G,JURNAL!E:E,J67,JURNAL!L:L,$C67,JURNAL!C:C,"&gt;="&amp;$M$3,JURNAL!C:C,"&lt;="&amp;$N$3)</f>
        <v>3161520.0016510002</v>
      </c>
      <c r="M67" s="19">
        <f>+SUMIFS(JURNAL!H:H,JURNAL!E:E,J67,JURNAL!L:L,$C67,JURNAL!C:C,"&gt;="&amp;$M$3,JURNAL!C:C,"&lt;="&amp;$N$3)</f>
        <v>3161520</v>
      </c>
      <c r="N67" s="20">
        <f t="shared" si="7"/>
        <v>-1.6510002315044403E-3</v>
      </c>
      <c r="O67" s="230">
        <f t="shared" si="8"/>
        <v>-1.6510002315044403E-3</v>
      </c>
      <c r="P67" s="16">
        <f t="shared" si="9"/>
        <v>320100</v>
      </c>
      <c r="Q67" s="16">
        <f t="shared" si="10"/>
        <v>122000</v>
      </c>
      <c r="R67" s="230">
        <f t="shared" si="11"/>
        <v>1</v>
      </c>
    </row>
    <row r="68" spans="2:18">
      <c r="B68" s="15">
        <f t="shared" si="12"/>
        <v>63</v>
      </c>
      <c r="C68" s="16">
        <f>IFERROR(VLOOKUP(DATA!G66,DATA!$G$4:$J$2149,1,FALSE),"")</f>
        <v>3048</v>
      </c>
      <c r="D68" s="16" t="str">
        <f>+IFERROR(VLOOKUP(C68,DATA!$G$4:$H$2000,2,FALSE),"")</f>
        <v xml:space="preserve">МАК ХХК </v>
      </c>
      <c r="E68" s="16">
        <v>122000</v>
      </c>
      <c r="G68" s="230">
        <f>+SUMIFS(JURNAL!G:G,JURNAL!E:E,E68,JURNAL!L:L,$C68,JURNAL!C:C,"&gt;="&amp;$M$3,JURNAL!C:C,"&lt;="&amp;$N$3)</f>
        <v>0</v>
      </c>
      <c r="H68" s="19">
        <f>+SUMIFS(JURNAL!H:H,JURNAL!E:E,E68,JURNAL!L:L,$C68,JURNAL!C:C,"&gt;="&amp;$M$3,JURNAL!C:C,"&lt;="&amp;$N$3)</f>
        <v>0</v>
      </c>
      <c r="I68" s="18">
        <f t="shared" si="6"/>
        <v>0</v>
      </c>
      <c r="J68" s="16">
        <v>320100</v>
      </c>
      <c r="L68" s="230">
        <f>+SUMIFS(JURNAL!G:G,JURNAL!E:E,J68,JURNAL!L:L,$C68,JURNAL!C:C,"&gt;="&amp;$M$3,JURNAL!C:C,"&lt;="&amp;$N$3)</f>
        <v>1540440</v>
      </c>
      <c r="M68" s="19">
        <f>+SUMIFS(JURNAL!H:H,JURNAL!E:E,J68,JURNAL!L:L,$C68,JURNAL!C:C,"&gt;="&amp;$M$3,JURNAL!C:C,"&lt;="&amp;$N$3)</f>
        <v>1540440</v>
      </c>
      <c r="N68" s="20">
        <f t="shared" si="7"/>
        <v>0</v>
      </c>
      <c r="O68" s="230">
        <f t="shared" si="8"/>
        <v>0</v>
      </c>
      <c r="P68" s="16">
        <f t="shared" si="9"/>
        <v>320100</v>
      </c>
      <c r="Q68" s="16">
        <f t="shared" si="10"/>
        <v>122000</v>
      </c>
      <c r="R68" s="230">
        <f t="shared" si="11"/>
        <v>0</v>
      </c>
    </row>
    <row r="69" spans="2:18">
      <c r="B69" s="15">
        <f t="shared" si="12"/>
        <v>64</v>
      </c>
      <c r="C69" s="16">
        <f>IFERROR(VLOOKUP(DATA!G67,DATA!$G$4:$J$2149,1,FALSE),"")</f>
        <v>3049</v>
      </c>
      <c r="D69" s="16" t="str">
        <f>+IFERROR(VLOOKUP(C69,DATA!$G$4:$H$2000,2,FALSE),"")</f>
        <v xml:space="preserve">НОЁН ХХК </v>
      </c>
      <c r="E69" s="16">
        <v>122000</v>
      </c>
      <c r="G69" s="230">
        <f>+SUMIFS(JURNAL!G:G,JURNAL!E:E,E69,JURNAL!L:L,$C69,JURNAL!C:C,"&gt;="&amp;$M$3,JURNAL!C:C,"&lt;="&amp;$N$3)</f>
        <v>0</v>
      </c>
      <c r="H69" s="19">
        <f>+SUMIFS(JURNAL!H:H,JURNAL!E:E,E69,JURNAL!L:L,$C69,JURNAL!C:C,"&gt;="&amp;$M$3,JURNAL!C:C,"&lt;="&amp;$N$3)</f>
        <v>0</v>
      </c>
      <c r="I69" s="18">
        <f t="shared" si="6"/>
        <v>0</v>
      </c>
      <c r="J69" s="16">
        <v>320100</v>
      </c>
      <c r="L69" s="230">
        <f>+SUMIFS(JURNAL!G:G,JURNAL!E:E,J69,JURNAL!L:L,$C69,JURNAL!C:C,"&gt;="&amp;$M$3,JURNAL!C:C,"&lt;="&amp;$N$3)</f>
        <v>1206000</v>
      </c>
      <c r="M69" s="19">
        <f>+SUMIFS(JURNAL!H:H,JURNAL!E:E,J69,JURNAL!L:L,$C69,JURNAL!C:C,"&gt;="&amp;$M$3,JURNAL!C:C,"&lt;="&amp;$N$3)</f>
        <v>1206000</v>
      </c>
      <c r="N69" s="20">
        <f t="shared" si="7"/>
        <v>0</v>
      </c>
      <c r="O69" s="230">
        <f t="shared" si="8"/>
        <v>0</v>
      </c>
      <c r="P69" s="16">
        <f t="shared" si="9"/>
        <v>320100</v>
      </c>
      <c r="Q69" s="16">
        <f t="shared" si="10"/>
        <v>122000</v>
      </c>
      <c r="R69" s="230">
        <f t="shared" si="11"/>
        <v>0</v>
      </c>
    </row>
    <row r="70" spans="2:18">
      <c r="B70" s="15">
        <f t="shared" si="12"/>
        <v>65</v>
      </c>
      <c r="C70" s="16">
        <f>IFERROR(VLOOKUP(DATA!G68,DATA!$G$4:$J$2149,1,FALSE),"")</f>
        <v>3050</v>
      </c>
      <c r="D70" s="16" t="str">
        <f>+IFERROR(VLOOKUP(C70,DATA!$G$4:$H$2000,2,FALSE),"")</f>
        <v>БАЯЛАГ ОД ХХК</v>
      </c>
      <c r="E70" s="16">
        <v>122000</v>
      </c>
      <c r="G70" s="230">
        <f>+SUMIFS(JURNAL!G:G,JURNAL!E:E,E70,JURNAL!L:L,$C70,JURNAL!C:C,"&gt;="&amp;$M$3,JURNAL!C:C,"&lt;="&amp;$N$3)</f>
        <v>0</v>
      </c>
      <c r="H70" s="19">
        <f>+SUMIFS(JURNAL!H:H,JURNAL!E:E,E70,JURNAL!L:L,$C70,JURNAL!C:C,"&gt;="&amp;$M$3,JURNAL!C:C,"&lt;="&amp;$N$3)</f>
        <v>0</v>
      </c>
      <c r="I70" s="18">
        <f t="shared" si="6"/>
        <v>0</v>
      </c>
      <c r="J70" s="16">
        <v>320100</v>
      </c>
      <c r="L70" s="230">
        <f>+SUMIFS(JURNAL!G:G,JURNAL!E:E,J70,JURNAL!L:L,$C70,JURNAL!C:C,"&gt;="&amp;$M$3,JURNAL!C:C,"&lt;="&amp;$N$3)</f>
        <v>231000</v>
      </c>
      <c r="M70" s="19">
        <f>+SUMIFS(JURNAL!H:H,JURNAL!E:E,J70,JURNAL!L:L,$C70,JURNAL!C:C,"&gt;="&amp;$M$3,JURNAL!C:C,"&lt;="&amp;$N$3)</f>
        <v>231000</v>
      </c>
      <c r="N70" s="20">
        <f t="shared" si="7"/>
        <v>0</v>
      </c>
      <c r="O70" s="230">
        <f t="shared" si="8"/>
        <v>0</v>
      </c>
      <c r="P70" s="16">
        <f t="shared" si="9"/>
        <v>320100</v>
      </c>
      <c r="Q70" s="16">
        <f t="shared" si="10"/>
        <v>122000</v>
      </c>
      <c r="R70" s="230">
        <f t="shared" si="11"/>
        <v>0</v>
      </c>
    </row>
    <row r="71" spans="2:18">
      <c r="B71" s="15">
        <f t="shared" si="12"/>
        <v>66</v>
      </c>
      <c r="C71" s="16">
        <f>IFERROR(VLOOKUP(DATA!G69,DATA!$G$4:$J$2149,1,FALSE),"")</f>
        <v>3051</v>
      </c>
      <c r="D71" s="16" t="str">
        <f>+IFERROR(VLOOKUP(C71,DATA!$G$4:$H$2000,2,FALSE),"")</f>
        <v xml:space="preserve">НОМАДС ТУР ХХК </v>
      </c>
      <c r="E71" s="16">
        <v>122000</v>
      </c>
      <c r="G71" s="230">
        <f>+SUMIFS(JURNAL!G:G,JURNAL!E:E,E71,JURNAL!L:L,$C71,JURNAL!C:C,"&gt;="&amp;$M$3,JURNAL!C:C,"&lt;="&amp;$N$3)</f>
        <v>0</v>
      </c>
      <c r="H71" s="19">
        <f>+SUMIFS(JURNAL!H:H,JURNAL!E:E,E71,JURNAL!L:L,$C71,JURNAL!C:C,"&gt;="&amp;$M$3,JURNAL!C:C,"&lt;="&amp;$N$3)</f>
        <v>0</v>
      </c>
      <c r="I71" s="18">
        <f t="shared" ref="I71:I125" si="13">+F71+G71-H71</f>
        <v>0</v>
      </c>
      <c r="J71" s="16">
        <v>320100</v>
      </c>
      <c r="L71" s="230">
        <f>+SUMIFS(JURNAL!G:G,JURNAL!E:E,J71,JURNAL!L:L,$C71,JURNAL!C:C,"&gt;="&amp;$M$3,JURNAL!C:C,"&lt;="&amp;$N$3)</f>
        <v>3352150.0003283005</v>
      </c>
      <c r="M71" s="19">
        <f>+SUMIFS(JURNAL!H:H,JURNAL!E:E,J71,JURNAL!L:L,$C71,JURNAL!C:C,"&gt;="&amp;$M$3,JURNAL!C:C,"&lt;="&amp;$N$3)</f>
        <v>3352150</v>
      </c>
      <c r="N71" s="20">
        <f t="shared" ref="N71:N125" si="14">+K71+M71-L71</f>
        <v>-3.2830052077770233E-4</v>
      </c>
      <c r="O71" s="230">
        <f t="shared" ref="O71:O125" si="15">+IF(I71&lt;N71,I71,N71)</f>
        <v>-3.2830052077770233E-4</v>
      </c>
      <c r="P71" s="16">
        <f t="shared" ref="P71:P125" si="16">+J71</f>
        <v>320100</v>
      </c>
      <c r="Q71" s="16">
        <f t="shared" ref="Q71:Q125" si="17">+E71</f>
        <v>122000</v>
      </c>
      <c r="R71" s="230">
        <f t="shared" ref="R71:R125" si="18">+IF(O71,1,0)</f>
        <v>1</v>
      </c>
    </row>
    <row r="72" spans="2:18">
      <c r="B72" s="15">
        <f t="shared" ref="B72:B91" si="19">+IF(C72="","",ROW()-5)</f>
        <v>67</v>
      </c>
      <c r="C72" s="16">
        <f>IFERROR(VLOOKUP(DATA!G70,DATA!$G$4:$J$2149,1,FALSE),"")</f>
        <v>3052</v>
      </c>
      <c r="D72" s="16" t="str">
        <f>+IFERROR(VLOOKUP(C72,DATA!$G$4:$H$2000,2,FALSE),"")</f>
        <v>ШИНЭ ОРОН СУУЦ ХХК</v>
      </c>
      <c r="E72" s="16">
        <v>122000</v>
      </c>
      <c r="G72" s="230">
        <f>+SUMIFS(JURNAL!G:G,JURNAL!E:E,E72,JURNAL!L:L,$C72,JURNAL!C:C,"&gt;="&amp;$M$3,JURNAL!C:C,"&lt;="&amp;$N$3)</f>
        <v>0</v>
      </c>
      <c r="H72" s="19">
        <f>+SUMIFS(JURNAL!H:H,JURNAL!E:E,E72,JURNAL!L:L,$C72,JURNAL!C:C,"&gt;="&amp;$M$3,JURNAL!C:C,"&lt;="&amp;$N$3)</f>
        <v>0</v>
      </c>
      <c r="I72" s="18">
        <f t="shared" si="13"/>
        <v>0</v>
      </c>
      <c r="J72" s="16">
        <v>320100</v>
      </c>
      <c r="L72" s="230">
        <f>+SUMIFS(JURNAL!G:G,JURNAL!E:E,J72,JURNAL!L:L,$C72,JURNAL!C:C,"&gt;="&amp;$M$3,JURNAL!C:C,"&lt;="&amp;$N$3)</f>
        <v>752999.99999999988</v>
      </c>
      <c r="M72" s="19">
        <f>+SUMIFS(JURNAL!H:H,JURNAL!E:E,J72,JURNAL!L:L,$C72,JURNAL!C:C,"&gt;="&amp;$M$3,JURNAL!C:C,"&lt;="&amp;$N$3)</f>
        <v>753000</v>
      </c>
      <c r="N72" s="20">
        <f t="shared" si="14"/>
        <v>0</v>
      </c>
      <c r="O72" s="230">
        <f t="shared" si="15"/>
        <v>0</v>
      </c>
      <c r="P72" s="16">
        <f t="shared" si="16"/>
        <v>320100</v>
      </c>
      <c r="Q72" s="16">
        <f t="shared" si="17"/>
        <v>122000</v>
      </c>
      <c r="R72" s="230">
        <f t="shared" si="18"/>
        <v>0</v>
      </c>
    </row>
    <row r="73" spans="2:18">
      <c r="B73" s="15">
        <f t="shared" si="19"/>
        <v>68</v>
      </c>
      <c r="C73" s="16">
        <f>IFERROR(VLOOKUP(DATA!G71,DATA!$G$4:$J$2149,1,FALSE),"")</f>
        <v>3053</v>
      </c>
      <c r="D73" s="16" t="str">
        <f>+IFERROR(VLOOKUP(C73,DATA!$G$4:$H$2000,2,FALSE),"")</f>
        <v>ЧИНГИС ТРЕЙД ХХК</v>
      </c>
      <c r="E73" s="16">
        <v>122000</v>
      </c>
      <c r="G73" s="230">
        <f>+SUMIFS(JURNAL!G:G,JURNAL!E:E,E73,JURNAL!L:L,$C73,JURNAL!C:C,"&gt;="&amp;$M$3,JURNAL!C:C,"&lt;="&amp;$N$3)</f>
        <v>0</v>
      </c>
      <c r="H73" s="19">
        <f>+SUMIFS(JURNAL!H:H,JURNAL!E:E,E73,JURNAL!L:L,$C73,JURNAL!C:C,"&gt;="&amp;$M$3,JURNAL!C:C,"&lt;="&amp;$N$3)</f>
        <v>0</v>
      </c>
      <c r="I73" s="18">
        <f t="shared" si="13"/>
        <v>0</v>
      </c>
      <c r="J73" s="16">
        <v>320100</v>
      </c>
      <c r="L73" s="230">
        <f>+SUMIFS(JURNAL!G:G,JURNAL!E:E,J73,JURNAL!L:L,$C73,JURNAL!C:C,"&gt;="&amp;$M$3,JURNAL!C:C,"&lt;="&amp;$N$3)</f>
        <v>2376000</v>
      </c>
      <c r="M73" s="19">
        <f>+SUMIFS(JURNAL!H:H,JURNAL!E:E,J73,JURNAL!L:L,$C73,JURNAL!C:C,"&gt;="&amp;$M$3,JURNAL!C:C,"&lt;="&amp;$N$3)</f>
        <v>2376000</v>
      </c>
      <c r="N73" s="20">
        <f t="shared" si="14"/>
        <v>0</v>
      </c>
      <c r="O73" s="230">
        <f t="shared" si="15"/>
        <v>0</v>
      </c>
      <c r="P73" s="16">
        <f t="shared" si="16"/>
        <v>320100</v>
      </c>
      <c r="Q73" s="16">
        <f t="shared" si="17"/>
        <v>122000</v>
      </c>
      <c r="R73" s="230">
        <f t="shared" si="18"/>
        <v>0</v>
      </c>
    </row>
    <row r="74" spans="2:18">
      <c r="B74" s="15">
        <f t="shared" si="19"/>
        <v>69</v>
      </c>
      <c r="C74" s="16">
        <f>IFERROR(VLOOKUP(DATA!G72,DATA!$G$4:$J$2149,1,FALSE),"")</f>
        <v>3054</v>
      </c>
      <c r="D74" s="16" t="str">
        <f>+IFERROR(VLOOKUP(C74,DATA!$G$4:$H$2000,2,FALSE),"")</f>
        <v>3 МЕН ХХК</v>
      </c>
      <c r="E74" s="16">
        <v>122000</v>
      </c>
      <c r="G74" s="230">
        <f>+SUMIFS(JURNAL!G:G,JURNAL!E:E,E74,JURNAL!L:L,$C74,JURNAL!C:C,"&gt;="&amp;$M$3,JURNAL!C:C,"&lt;="&amp;$N$3)</f>
        <v>0</v>
      </c>
      <c r="H74" s="19">
        <f>+SUMIFS(JURNAL!H:H,JURNAL!E:E,E74,JURNAL!L:L,$C74,JURNAL!C:C,"&gt;="&amp;$M$3,JURNAL!C:C,"&lt;="&amp;$N$3)</f>
        <v>0</v>
      </c>
      <c r="I74" s="18">
        <f t="shared" si="13"/>
        <v>0</v>
      </c>
      <c r="J74" s="16">
        <v>320100</v>
      </c>
      <c r="L74" s="230">
        <f>+SUMIFS(JURNAL!G:G,JURNAL!E:E,J74,JURNAL!L:L,$C74,JURNAL!C:C,"&gt;="&amp;$M$3,JURNAL!C:C,"&lt;="&amp;$N$3)</f>
        <v>660000</v>
      </c>
      <c r="M74" s="19">
        <f>+SUMIFS(JURNAL!H:H,JURNAL!E:E,J74,JURNAL!L:L,$C74,JURNAL!C:C,"&gt;="&amp;$M$3,JURNAL!C:C,"&lt;="&amp;$N$3)</f>
        <v>660000</v>
      </c>
      <c r="N74" s="20">
        <f t="shared" si="14"/>
        <v>0</v>
      </c>
      <c r="O74" s="230">
        <f t="shared" si="15"/>
        <v>0</v>
      </c>
      <c r="P74" s="16">
        <f t="shared" si="16"/>
        <v>320100</v>
      </c>
      <c r="Q74" s="16">
        <f t="shared" si="17"/>
        <v>122000</v>
      </c>
      <c r="R74" s="230">
        <f t="shared" si="18"/>
        <v>0</v>
      </c>
    </row>
    <row r="75" spans="2:18">
      <c r="B75" s="15">
        <f t="shared" si="19"/>
        <v>70</v>
      </c>
      <c r="C75" s="16">
        <f>IFERROR(VLOOKUP(DATA!G73,DATA!$G$4:$J$2149,1,FALSE),"")</f>
        <v>3055</v>
      </c>
      <c r="D75" s="16" t="str">
        <f>+IFERROR(VLOOKUP(C75,DATA!$G$4:$H$2000,2,FALSE),"")</f>
        <v xml:space="preserve">МЧБС ХХК </v>
      </c>
      <c r="E75" s="16">
        <v>122000</v>
      </c>
      <c r="G75" s="230">
        <f>+SUMIFS(JURNAL!G:G,JURNAL!E:E,E75,JURNAL!L:L,$C75,JURNAL!C:C,"&gt;="&amp;$M$3,JURNAL!C:C,"&lt;="&amp;$N$3)</f>
        <v>0</v>
      </c>
      <c r="H75" s="19">
        <f>+SUMIFS(JURNAL!H:H,JURNAL!E:E,E75,JURNAL!L:L,$C75,JURNAL!C:C,"&gt;="&amp;$M$3,JURNAL!C:C,"&lt;="&amp;$N$3)</f>
        <v>0</v>
      </c>
      <c r="I75" s="18">
        <f t="shared" si="13"/>
        <v>0</v>
      </c>
      <c r="J75" s="16">
        <v>320100</v>
      </c>
      <c r="L75" s="230">
        <f>+SUMIFS(JURNAL!G:G,JURNAL!E:E,J75,JURNAL!L:L,$C75,JURNAL!C:C,"&gt;="&amp;$M$3,JURNAL!C:C,"&lt;="&amp;$N$3)</f>
        <v>78099.999036399997</v>
      </c>
      <c r="M75" s="19">
        <f>+SUMIFS(JURNAL!H:H,JURNAL!E:E,J75,JURNAL!L:L,$C75,JURNAL!C:C,"&gt;="&amp;$M$3,JURNAL!C:C,"&lt;="&amp;$N$3)</f>
        <v>78100</v>
      </c>
      <c r="N75" s="20">
        <f t="shared" si="14"/>
        <v>9.6360000316053629E-4</v>
      </c>
      <c r="O75" s="230">
        <f t="shared" si="15"/>
        <v>0</v>
      </c>
      <c r="P75" s="16">
        <f t="shared" si="16"/>
        <v>320100</v>
      </c>
      <c r="Q75" s="16">
        <f t="shared" si="17"/>
        <v>122000</v>
      </c>
      <c r="R75" s="230">
        <f t="shared" si="18"/>
        <v>0</v>
      </c>
    </row>
    <row r="76" spans="2:18">
      <c r="B76" s="15">
        <f t="shared" si="19"/>
        <v>71</v>
      </c>
      <c r="C76" s="16">
        <f>IFERROR(VLOOKUP(DATA!G74,DATA!$G$4:$J$2149,1,FALSE),"")</f>
        <v>3056</v>
      </c>
      <c r="D76" s="16" t="str">
        <f>+IFERROR(VLOOKUP(C76,DATA!$G$4:$H$2000,2,FALSE),"")</f>
        <v xml:space="preserve">САНТ-АСАР ХХК </v>
      </c>
      <c r="E76" s="16">
        <v>122000</v>
      </c>
      <c r="G76" s="230">
        <f>+SUMIFS(JURNAL!G:G,JURNAL!E:E,E76,JURNAL!L:L,$C76,JURNAL!C:C,"&gt;="&amp;$M$3,JURNAL!C:C,"&lt;="&amp;$N$3)</f>
        <v>0</v>
      </c>
      <c r="H76" s="19">
        <f>+SUMIFS(JURNAL!H:H,JURNAL!E:E,E76,JURNAL!L:L,$C76,JURNAL!C:C,"&gt;="&amp;$M$3,JURNAL!C:C,"&lt;="&amp;$N$3)</f>
        <v>0</v>
      </c>
      <c r="I76" s="18">
        <f t="shared" si="13"/>
        <v>0</v>
      </c>
      <c r="J76" s="16">
        <v>320100</v>
      </c>
      <c r="L76" s="230">
        <f>+SUMIFS(JURNAL!G:G,JURNAL!E:E,J76,JURNAL!L:L,$C76,JURNAL!C:C,"&gt;="&amp;$M$3,JURNAL!C:C,"&lt;="&amp;$N$3)</f>
        <v>561000</v>
      </c>
      <c r="M76" s="19">
        <f>+SUMIFS(JURNAL!H:H,JURNAL!E:E,J76,JURNAL!L:L,$C76,JURNAL!C:C,"&gt;="&amp;$M$3,JURNAL!C:C,"&lt;="&amp;$N$3)</f>
        <v>561000</v>
      </c>
      <c r="N76" s="20">
        <f t="shared" si="14"/>
        <v>0</v>
      </c>
      <c r="O76" s="230">
        <f t="shared" si="15"/>
        <v>0</v>
      </c>
      <c r="P76" s="16">
        <f t="shared" si="16"/>
        <v>320100</v>
      </c>
      <c r="Q76" s="16">
        <f t="shared" si="17"/>
        <v>122000</v>
      </c>
      <c r="R76" s="230">
        <f t="shared" si="18"/>
        <v>0</v>
      </c>
    </row>
    <row r="77" spans="2:18">
      <c r="B77" s="15">
        <f t="shared" si="19"/>
        <v>72</v>
      </c>
      <c r="C77" s="16">
        <f>IFERROR(VLOOKUP(DATA!G75,DATA!$G$4:$J$2149,1,FALSE),"")</f>
        <v>3057</v>
      </c>
      <c r="D77" s="16" t="str">
        <f>+IFERROR(VLOOKUP(C77,DATA!$G$4:$H$2000,2,FALSE),"")</f>
        <v>ЕНТҮМ ТРЭЙВЭЛ ХХК</v>
      </c>
      <c r="E77" s="16">
        <v>122000</v>
      </c>
      <c r="G77" s="230">
        <f>+SUMIFS(JURNAL!G:G,JURNAL!E:E,E77,JURNAL!L:L,$C77,JURNAL!C:C,"&gt;="&amp;$M$3,JURNAL!C:C,"&lt;="&amp;$N$3)</f>
        <v>0</v>
      </c>
      <c r="H77" s="19">
        <f>+SUMIFS(JURNAL!H:H,JURNAL!E:E,E77,JURNAL!L:L,$C77,JURNAL!C:C,"&gt;="&amp;$M$3,JURNAL!C:C,"&lt;="&amp;$N$3)</f>
        <v>0</v>
      </c>
      <c r="I77" s="18">
        <f t="shared" si="13"/>
        <v>0</v>
      </c>
      <c r="J77" s="16">
        <v>320100</v>
      </c>
      <c r="L77" s="230">
        <f>+SUMIFS(JURNAL!G:G,JURNAL!E:E,J77,JURNAL!L:L,$C77,JURNAL!C:C,"&gt;="&amp;$M$3,JURNAL!C:C,"&lt;="&amp;$N$3)</f>
        <v>373999.995039</v>
      </c>
      <c r="M77" s="19">
        <f>+SUMIFS(JURNAL!H:H,JURNAL!E:E,J77,JURNAL!L:L,$C77,JURNAL!C:C,"&gt;="&amp;$M$3,JURNAL!C:C,"&lt;="&amp;$N$3)</f>
        <v>374000</v>
      </c>
      <c r="N77" s="20">
        <f t="shared" si="14"/>
        <v>4.960999998729676E-3</v>
      </c>
      <c r="O77" s="230">
        <f t="shared" si="15"/>
        <v>0</v>
      </c>
      <c r="P77" s="16">
        <f t="shared" si="16"/>
        <v>320100</v>
      </c>
      <c r="Q77" s="16">
        <f t="shared" si="17"/>
        <v>122000</v>
      </c>
      <c r="R77" s="230">
        <f t="shared" si="18"/>
        <v>0</v>
      </c>
    </row>
    <row r="78" spans="2:18">
      <c r="B78" s="15">
        <f t="shared" si="19"/>
        <v>73</v>
      </c>
      <c r="C78" s="16">
        <f>IFERROR(VLOOKUP(DATA!G76,DATA!$G$4:$J$2149,1,FALSE),"")</f>
        <v>3058</v>
      </c>
      <c r="D78" s="16" t="str">
        <f>+IFERROR(VLOOKUP(C78,DATA!$G$4:$H$2000,2,FALSE),"")</f>
        <v>БЕСТ СТАЙЛ ХХК</v>
      </c>
      <c r="E78" s="16">
        <v>122000</v>
      </c>
      <c r="G78" s="230">
        <f>+SUMIFS(JURNAL!G:G,JURNAL!E:E,E78,JURNAL!L:L,$C78,JURNAL!C:C,"&gt;="&amp;$M$3,JURNAL!C:C,"&lt;="&amp;$N$3)</f>
        <v>0</v>
      </c>
      <c r="H78" s="19">
        <f>+SUMIFS(JURNAL!H:H,JURNAL!E:E,E78,JURNAL!L:L,$C78,JURNAL!C:C,"&gt;="&amp;$M$3,JURNAL!C:C,"&lt;="&amp;$N$3)</f>
        <v>0</v>
      </c>
      <c r="I78" s="18">
        <f t="shared" si="13"/>
        <v>0</v>
      </c>
      <c r="J78" s="16">
        <v>320100</v>
      </c>
      <c r="L78" s="230">
        <f>+SUMIFS(JURNAL!G:G,JURNAL!E:E,J78,JURNAL!L:L,$C78,JURNAL!C:C,"&gt;="&amp;$M$3,JURNAL!C:C,"&lt;="&amp;$N$3)</f>
        <v>484000</v>
      </c>
      <c r="M78" s="19">
        <f>+SUMIFS(JURNAL!H:H,JURNAL!E:E,J78,JURNAL!L:L,$C78,JURNAL!C:C,"&gt;="&amp;$M$3,JURNAL!C:C,"&lt;="&amp;$N$3)</f>
        <v>484000</v>
      </c>
      <c r="N78" s="20">
        <f t="shared" si="14"/>
        <v>0</v>
      </c>
      <c r="O78" s="230">
        <f t="shared" si="15"/>
        <v>0</v>
      </c>
      <c r="P78" s="16">
        <f t="shared" si="16"/>
        <v>320100</v>
      </c>
      <c r="Q78" s="16">
        <f t="shared" si="17"/>
        <v>122000</v>
      </c>
      <c r="R78" s="230">
        <f t="shared" si="18"/>
        <v>0</v>
      </c>
    </row>
    <row r="79" spans="2:18">
      <c r="B79" s="15">
        <f t="shared" si="19"/>
        <v>74</v>
      </c>
      <c r="C79" s="16">
        <f>IFERROR(VLOOKUP(DATA!G77,DATA!$G$4:$J$2149,1,FALSE),"")</f>
        <v>3059</v>
      </c>
      <c r="D79" s="16" t="str">
        <f>+IFERROR(VLOOKUP(C79,DATA!$G$4:$H$2000,2,FALSE),"")</f>
        <v>ЦАМХАГТ АСАР КОНСТРАКШН ХХК</v>
      </c>
      <c r="E79" s="16">
        <v>122000</v>
      </c>
      <c r="G79" s="230">
        <f>+SUMIFS(JURNAL!G:G,JURNAL!E:E,E79,JURNAL!L:L,$C79,JURNAL!C:C,"&gt;="&amp;$M$3,JURNAL!C:C,"&lt;="&amp;$N$3)</f>
        <v>0</v>
      </c>
      <c r="H79" s="19">
        <f>+SUMIFS(JURNAL!H:H,JURNAL!E:E,E79,JURNAL!L:L,$C79,JURNAL!C:C,"&gt;="&amp;$M$3,JURNAL!C:C,"&lt;="&amp;$N$3)</f>
        <v>0</v>
      </c>
      <c r="I79" s="18">
        <f t="shared" si="13"/>
        <v>0</v>
      </c>
      <c r="J79" s="16">
        <v>320100</v>
      </c>
      <c r="L79" s="230">
        <f>+SUMIFS(JURNAL!G:G,JURNAL!E:E,J79,JURNAL!L:L,$C79,JURNAL!C:C,"&gt;="&amp;$M$3,JURNAL!C:C,"&lt;="&amp;$N$3)</f>
        <v>379499.99898799998</v>
      </c>
      <c r="M79" s="19">
        <f>+SUMIFS(JURNAL!H:H,JURNAL!E:E,J79,JURNAL!L:L,$C79,JURNAL!C:C,"&gt;="&amp;$M$3,JURNAL!C:C,"&lt;="&amp;$N$3)</f>
        <v>379500</v>
      </c>
      <c r="N79" s="20">
        <f t="shared" si="14"/>
        <v>1.0120000224560499E-3</v>
      </c>
      <c r="O79" s="230">
        <f t="shared" si="15"/>
        <v>0</v>
      </c>
      <c r="P79" s="16">
        <f t="shared" si="16"/>
        <v>320100</v>
      </c>
      <c r="Q79" s="16">
        <f t="shared" si="17"/>
        <v>122000</v>
      </c>
      <c r="R79" s="230">
        <f t="shared" si="18"/>
        <v>0</v>
      </c>
    </row>
    <row r="80" spans="2:18">
      <c r="B80" s="15">
        <f t="shared" si="19"/>
        <v>75</v>
      </c>
      <c r="C80" s="16">
        <f>IFERROR(VLOOKUP(DATA!G78,DATA!$G$4:$J$2149,1,FALSE),"")</f>
        <v>3060</v>
      </c>
      <c r="D80" s="16" t="str">
        <f>+IFERROR(VLOOKUP(C80,DATA!$G$4:$H$2000,2,FALSE),"")</f>
        <v>САУНД ОФ МОНГОЛИЯ ХХК</v>
      </c>
      <c r="E80" s="16">
        <v>122000</v>
      </c>
      <c r="G80" s="230">
        <f>+SUMIFS(JURNAL!G:G,JURNAL!E:E,E80,JURNAL!L:L,$C80,JURNAL!C:C,"&gt;="&amp;$M$3,JURNAL!C:C,"&lt;="&amp;$N$3)</f>
        <v>0</v>
      </c>
      <c r="H80" s="19">
        <f>+SUMIFS(JURNAL!H:H,JURNAL!E:E,E80,JURNAL!L:L,$C80,JURNAL!C:C,"&gt;="&amp;$M$3,JURNAL!C:C,"&lt;="&amp;$N$3)</f>
        <v>0</v>
      </c>
      <c r="I80" s="18">
        <f t="shared" si="13"/>
        <v>0</v>
      </c>
      <c r="J80" s="16">
        <v>320100</v>
      </c>
      <c r="L80" s="230">
        <f>+SUMIFS(JURNAL!G:G,JURNAL!E:E,J80,JURNAL!L:L,$C80,JURNAL!C:C,"&gt;="&amp;$M$3,JURNAL!C:C,"&lt;="&amp;$N$3)</f>
        <v>1056000</v>
      </c>
      <c r="M80" s="19">
        <f>+SUMIFS(JURNAL!H:H,JURNAL!E:E,J80,JURNAL!L:L,$C80,JURNAL!C:C,"&gt;="&amp;$M$3,JURNAL!C:C,"&lt;="&amp;$N$3)</f>
        <v>1056000</v>
      </c>
      <c r="N80" s="20">
        <f t="shared" si="14"/>
        <v>0</v>
      </c>
      <c r="O80" s="230">
        <f t="shared" si="15"/>
        <v>0</v>
      </c>
      <c r="P80" s="16">
        <f t="shared" si="16"/>
        <v>320100</v>
      </c>
      <c r="Q80" s="16">
        <f t="shared" si="17"/>
        <v>122000</v>
      </c>
      <c r="R80" s="230">
        <f t="shared" si="18"/>
        <v>0</v>
      </c>
    </row>
    <row r="81" spans="2:18">
      <c r="B81" s="15">
        <f t="shared" si="19"/>
        <v>76</v>
      </c>
      <c r="C81" s="16">
        <f>IFERROR(VLOOKUP(DATA!G79,DATA!$G$4:$J$2149,1,FALSE),"")</f>
        <v>3061</v>
      </c>
      <c r="D81" s="16" t="str">
        <f>+IFERROR(VLOOKUP(C81,DATA!$G$4:$H$2000,2,FALSE),"")</f>
        <v>СТИМО ХХК</v>
      </c>
      <c r="E81" s="16">
        <v>122000</v>
      </c>
      <c r="G81" s="230">
        <f>+SUMIFS(JURNAL!G:G,JURNAL!E:E,E81,JURNAL!L:L,$C81,JURNAL!C:C,"&gt;="&amp;$M$3,JURNAL!C:C,"&lt;="&amp;$N$3)</f>
        <v>0</v>
      </c>
      <c r="H81" s="19">
        <f>+SUMIFS(JURNAL!H:H,JURNAL!E:E,E81,JURNAL!L:L,$C81,JURNAL!C:C,"&gt;="&amp;$M$3,JURNAL!C:C,"&lt;="&amp;$N$3)</f>
        <v>0</v>
      </c>
      <c r="I81" s="18">
        <f t="shared" si="13"/>
        <v>0</v>
      </c>
      <c r="J81" s="16">
        <v>320100</v>
      </c>
      <c r="L81" s="230">
        <f>+SUMIFS(JURNAL!G:G,JURNAL!E:E,J81,JURNAL!L:L,$C81,JURNAL!C:C,"&gt;="&amp;$M$3,JURNAL!C:C,"&lt;="&amp;$N$3)</f>
        <v>2211000</v>
      </c>
      <c r="M81" s="19">
        <f>+SUMIFS(JURNAL!H:H,JURNAL!E:E,J81,JURNAL!L:L,$C81,JURNAL!C:C,"&gt;="&amp;$M$3,JURNAL!C:C,"&lt;="&amp;$N$3)</f>
        <v>2211000</v>
      </c>
      <c r="N81" s="20">
        <f t="shared" si="14"/>
        <v>0</v>
      </c>
      <c r="O81" s="230">
        <f t="shared" si="15"/>
        <v>0</v>
      </c>
      <c r="P81" s="16">
        <f t="shared" si="16"/>
        <v>320100</v>
      </c>
      <c r="Q81" s="16">
        <f t="shared" si="17"/>
        <v>122000</v>
      </c>
      <c r="R81" s="230">
        <f t="shared" si="18"/>
        <v>0</v>
      </c>
    </row>
    <row r="82" spans="2:18">
      <c r="B82" s="15">
        <f t="shared" si="19"/>
        <v>77</v>
      </c>
      <c r="C82" s="16">
        <f>IFERROR(VLOOKUP(DATA!G80,DATA!$G$4:$J$2149,1,FALSE),"")</f>
        <v>3062</v>
      </c>
      <c r="D82" s="16" t="str">
        <f>+IFERROR(VLOOKUP(C82,DATA!$G$4:$H$2000,2,FALSE),"")</f>
        <v>УНДРУУЛАН ФҮҮД ХХК</v>
      </c>
      <c r="E82" s="16">
        <v>122000</v>
      </c>
      <c r="G82" s="230">
        <f>+SUMIFS(JURNAL!G:G,JURNAL!E:E,E82,JURNAL!L:L,$C82,JURNAL!C:C,"&gt;="&amp;$M$3,JURNAL!C:C,"&lt;="&amp;$N$3)</f>
        <v>0</v>
      </c>
      <c r="H82" s="19">
        <f>+SUMIFS(JURNAL!H:H,JURNAL!E:E,E82,JURNAL!L:L,$C82,JURNAL!C:C,"&gt;="&amp;$M$3,JURNAL!C:C,"&lt;="&amp;$N$3)</f>
        <v>0</v>
      </c>
      <c r="I82" s="18">
        <f t="shared" si="13"/>
        <v>0</v>
      </c>
      <c r="J82" s="16">
        <v>320100</v>
      </c>
      <c r="L82" s="230">
        <f>+SUMIFS(JURNAL!G:G,JURNAL!E:E,J82,JURNAL!L:L,$C82,JURNAL!C:C,"&gt;="&amp;$M$3,JURNAL!C:C,"&lt;="&amp;$N$3)</f>
        <v>990000</v>
      </c>
      <c r="M82" s="19">
        <f>+SUMIFS(JURNAL!H:H,JURNAL!E:E,J82,JURNAL!L:L,$C82,JURNAL!C:C,"&gt;="&amp;$M$3,JURNAL!C:C,"&lt;="&amp;$N$3)</f>
        <v>990000</v>
      </c>
      <c r="N82" s="20">
        <f t="shared" si="14"/>
        <v>0</v>
      </c>
      <c r="O82" s="230">
        <f t="shared" si="15"/>
        <v>0</v>
      </c>
      <c r="P82" s="16">
        <f t="shared" si="16"/>
        <v>320100</v>
      </c>
      <c r="Q82" s="16">
        <f t="shared" si="17"/>
        <v>122000</v>
      </c>
      <c r="R82" s="230">
        <f t="shared" si="18"/>
        <v>0</v>
      </c>
    </row>
    <row r="83" spans="2:18">
      <c r="B83" s="15">
        <f t="shared" si="19"/>
        <v>78</v>
      </c>
      <c r="C83" s="16">
        <f>IFERROR(VLOOKUP(DATA!G81,DATA!$G$4:$J$2149,1,FALSE),"")</f>
        <v>3063</v>
      </c>
      <c r="D83" s="16" t="str">
        <f>+IFERROR(VLOOKUP(C83,DATA!$G$4:$H$2000,2,FALSE),"")</f>
        <v>МЭЖИК ДООР ХХК</v>
      </c>
      <c r="E83" s="16">
        <v>122000</v>
      </c>
      <c r="G83" s="230">
        <f>+SUMIFS(JURNAL!G:G,JURNAL!E:E,E83,JURNAL!L:L,$C83,JURNAL!C:C,"&gt;="&amp;$M$3,JURNAL!C:C,"&lt;="&amp;$N$3)</f>
        <v>0</v>
      </c>
      <c r="H83" s="19">
        <f>+SUMIFS(JURNAL!H:H,JURNAL!E:E,E83,JURNAL!L:L,$C83,JURNAL!C:C,"&gt;="&amp;$M$3,JURNAL!C:C,"&lt;="&amp;$N$3)</f>
        <v>0</v>
      </c>
      <c r="I83" s="18">
        <f t="shared" si="13"/>
        <v>0</v>
      </c>
      <c r="J83" s="16">
        <v>320100</v>
      </c>
      <c r="L83" s="230">
        <f>+SUMIFS(JURNAL!G:G,JURNAL!E:E,J83,JURNAL!L:L,$C83,JURNAL!C:C,"&gt;="&amp;$M$3,JURNAL!C:C,"&lt;="&amp;$N$3)</f>
        <v>102499.99709400001</v>
      </c>
      <c r="M83" s="19">
        <f>+SUMIFS(JURNAL!H:H,JURNAL!E:E,J83,JURNAL!L:L,$C83,JURNAL!C:C,"&gt;="&amp;$M$3,JURNAL!C:C,"&lt;="&amp;$N$3)</f>
        <v>102500</v>
      </c>
      <c r="N83" s="20">
        <f t="shared" si="14"/>
        <v>2.905999994254671E-3</v>
      </c>
      <c r="O83" s="230">
        <f t="shared" si="15"/>
        <v>0</v>
      </c>
      <c r="P83" s="16">
        <f t="shared" si="16"/>
        <v>320100</v>
      </c>
      <c r="Q83" s="16">
        <f t="shared" si="17"/>
        <v>122000</v>
      </c>
      <c r="R83" s="230">
        <f t="shared" si="18"/>
        <v>0</v>
      </c>
    </row>
    <row r="84" spans="2:18">
      <c r="B84" s="15">
        <f t="shared" si="19"/>
        <v>79</v>
      </c>
      <c r="C84" s="16">
        <f>IFERROR(VLOOKUP(DATA!G82,DATA!$G$4:$J$2149,1,FALSE),"")</f>
        <v>3064</v>
      </c>
      <c r="D84" s="16" t="str">
        <f>+IFERROR(VLOOKUP(C84,DATA!$G$4:$H$2000,2,FALSE),"")</f>
        <v xml:space="preserve">МИОТ ХХ </v>
      </c>
      <c r="E84" s="16">
        <v>122000</v>
      </c>
      <c r="G84" s="230">
        <f>+SUMIFS(JURNAL!G:G,JURNAL!E:E,E84,JURNAL!L:L,$C84,JURNAL!C:C,"&gt;="&amp;$M$3,JURNAL!C:C,"&lt;="&amp;$N$3)</f>
        <v>0</v>
      </c>
      <c r="H84" s="19">
        <f>+SUMIFS(JURNAL!H:H,JURNAL!E:E,E84,JURNAL!L:L,$C84,JURNAL!C:C,"&gt;="&amp;$M$3,JURNAL!C:C,"&lt;="&amp;$N$3)</f>
        <v>0</v>
      </c>
      <c r="I84" s="18">
        <f t="shared" si="13"/>
        <v>0</v>
      </c>
      <c r="J84" s="16">
        <v>320100</v>
      </c>
      <c r="L84" s="230">
        <f>+SUMIFS(JURNAL!G:G,JURNAL!E:E,J84,JURNAL!L:L,$C84,JURNAL!C:C,"&gt;="&amp;$M$3,JURNAL!C:C,"&lt;="&amp;$N$3)</f>
        <v>96499.997132000004</v>
      </c>
      <c r="M84" s="19">
        <f>+SUMIFS(JURNAL!H:H,JURNAL!E:E,J84,JURNAL!L:L,$C84,JURNAL!C:C,"&gt;="&amp;$M$3,JURNAL!C:C,"&lt;="&amp;$N$3)</f>
        <v>96500</v>
      </c>
      <c r="N84" s="20">
        <f t="shared" si="14"/>
        <v>2.8679999959422275E-3</v>
      </c>
      <c r="O84" s="230">
        <f t="shared" si="15"/>
        <v>0</v>
      </c>
      <c r="P84" s="16">
        <f t="shared" si="16"/>
        <v>320100</v>
      </c>
      <c r="Q84" s="16">
        <f t="shared" si="17"/>
        <v>122000</v>
      </c>
      <c r="R84" s="230">
        <f t="shared" si="18"/>
        <v>0</v>
      </c>
    </row>
    <row r="85" spans="2:18">
      <c r="B85" s="15">
        <f t="shared" si="19"/>
        <v>80</v>
      </c>
      <c r="C85" s="16">
        <f>IFERROR(VLOOKUP(DATA!G83,DATA!$G$4:$J$2149,1,FALSE),"")</f>
        <v>3065</v>
      </c>
      <c r="D85" s="16" t="str">
        <f>+IFERROR(VLOOKUP(C85,DATA!$G$4:$H$2000,2,FALSE),"")</f>
        <v>СИТИ ПАЛАС ХХК</v>
      </c>
      <c r="E85" s="16">
        <v>122000</v>
      </c>
      <c r="G85" s="230">
        <f>+SUMIFS(JURNAL!G:G,JURNAL!E:E,E85,JURNAL!L:L,$C85,JURNAL!C:C,"&gt;="&amp;$M$3,JURNAL!C:C,"&lt;="&amp;$N$3)</f>
        <v>0</v>
      </c>
      <c r="H85" s="19">
        <f>+SUMIFS(JURNAL!H:H,JURNAL!E:E,E85,JURNAL!L:L,$C85,JURNAL!C:C,"&gt;="&amp;$M$3,JURNAL!C:C,"&lt;="&amp;$N$3)</f>
        <v>0</v>
      </c>
      <c r="I85" s="18">
        <f t="shared" si="13"/>
        <v>0</v>
      </c>
      <c r="J85" s="16">
        <v>320100</v>
      </c>
      <c r="L85" s="230">
        <f>+SUMIFS(JURNAL!G:G,JURNAL!E:E,J85,JURNAL!L:L,$C85,JURNAL!C:C,"&gt;="&amp;$M$3,JURNAL!C:C,"&lt;="&amp;$N$3)</f>
        <v>1800000.0023775001</v>
      </c>
      <c r="M85" s="19">
        <f>+SUMIFS(JURNAL!H:H,JURNAL!E:E,J85,JURNAL!L:L,$C85,JURNAL!C:C,"&gt;="&amp;$M$3,JURNAL!C:C,"&lt;="&amp;$N$3)</f>
        <v>1800000</v>
      </c>
      <c r="N85" s="20">
        <f t="shared" si="14"/>
        <v>-2.3775000590831041E-3</v>
      </c>
      <c r="O85" s="230">
        <f t="shared" si="15"/>
        <v>-2.3775000590831041E-3</v>
      </c>
      <c r="P85" s="16">
        <f t="shared" si="16"/>
        <v>320100</v>
      </c>
      <c r="Q85" s="16">
        <f t="shared" si="17"/>
        <v>122000</v>
      </c>
      <c r="R85" s="230">
        <f t="shared" si="18"/>
        <v>1</v>
      </c>
    </row>
    <row r="86" spans="2:18">
      <c r="B86" s="15">
        <f t="shared" si="19"/>
        <v>81</v>
      </c>
      <c r="C86" s="16">
        <f>IFERROR(VLOOKUP(DATA!G84,DATA!$G$4:$J$2149,1,FALSE),"")</f>
        <v>3066</v>
      </c>
      <c r="D86" s="16" t="str">
        <f>+IFERROR(VLOOKUP(C86,DATA!$G$4:$H$2000,2,FALSE),"")</f>
        <v>МСҮТөв</v>
      </c>
      <c r="E86" s="16">
        <v>122000</v>
      </c>
      <c r="G86" s="230">
        <f>+SUMIFS(JURNAL!G:G,JURNAL!E:E,E86,JURNAL!L:L,$C86,JURNAL!C:C,"&gt;="&amp;$M$3,JURNAL!C:C,"&lt;="&amp;$N$3)</f>
        <v>0</v>
      </c>
      <c r="H86" s="19">
        <f>+SUMIFS(JURNAL!H:H,JURNAL!E:E,E86,JURNAL!L:L,$C86,JURNAL!C:C,"&gt;="&amp;$M$3,JURNAL!C:C,"&lt;="&amp;$N$3)</f>
        <v>0</v>
      </c>
      <c r="I86" s="18">
        <f t="shared" si="13"/>
        <v>0</v>
      </c>
      <c r="J86" s="16">
        <v>320100</v>
      </c>
      <c r="L86" s="230">
        <f>+SUMIFS(JURNAL!G:G,JURNAL!E:E,J86,JURNAL!L:L,$C86,JURNAL!C:C,"&gt;="&amp;$M$3,JURNAL!C:C,"&lt;="&amp;$N$3)</f>
        <v>944999.99748000002</v>
      </c>
      <c r="M86" s="19">
        <f>+SUMIFS(JURNAL!H:H,JURNAL!E:E,J86,JURNAL!L:L,$C86,JURNAL!C:C,"&gt;="&amp;$M$3,JURNAL!C:C,"&lt;="&amp;$N$3)</f>
        <v>945000</v>
      </c>
      <c r="N86" s="20">
        <f t="shared" si="14"/>
        <v>2.5199999799951911E-3</v>
      </c>
      <c r="O86" s="230">
        <f t="shared" si="15"/>
        <v>0</v>
      </c>
      <c r="P86" s="16">
        <f t="shared" si="16"/>
        <v>320100</v>
      </c>
      <c r="Q86" s="16">
        <f t="shared" si="17"/>
        <v>122000</v>
      </c>
      <c r="R86" s="230">
        <f t="shared" si="18"/>
        <v>0</v>
      </c>
    </row>
    <row r="87" spans="2:18">
      <c r="B87" s="15">
        <f t="shared" si="19"/>
        <v>82</v>
      </c>
      <c r="C87" s="16">
        <f>IFERROR(VLOOKUP(DATA!G85,DATA!$G$4:$J$2149,1,FALSE),"")</f>
        <v>3067</v>
      </c>
      <c r="D87" s="16" t="str">
        <f>+IFERROR(VLOOKUP(C87,DATA!$G$4:$H$2000,2,FALSE),"")</f>
        <v>ЦЭЦЭН УРЧУУД ХХК</v>
      </c>
      <c r="E87" s="16">
        <v>122000</v>
      </c>
      <c r="G87" s="230">
        <f>+SUMIFS(JURNAL!G:G,JURNAL!E:E,E87,JURNAL!L:L,$C87,JURNAL!C:C,"&gt;="&amp;$M$3,JURNAL!C:C,"&lt;="&amp;$N$3)</f>
        <v>0</v>
      </c>
      <c r="H87" s="19">
        <f>+SUMIFS(JURNAL!H:H,JURNAL!E:E,E87,JURNAL!L:L,$C87,JURNAL!C:C,"&gt;="&amp;$M$3,JURNAL!C:C,"&lt;="&amp;$N$3)</f>
        <v>0</v>
      </c>
      <c r="I87" s="18">
        <f t="shared" si="13"/>
        <v>0</v>
      </c>
      <c r="J87" s="16">
        <v>320100</v>
      </c>
      <c r="L87" s="230">
        <f>+SUMIFS(JURNAL!G:G,JURNAL!E:E,J87,JURNAL!L:L,$C87,JURNAL!C:C,"&gt;="&amp;$M$3,JURNAL!C:C,"&lt;="&amp;$N$3)</f>
        <v>8206399.9988409998</v>
      </c>
      <c r="M87" s="19">
        <f>+SUMIFS(JURNAL!H:H,JURNAL!E:E,J87,JURNAL!L:L,$C87,JURNAL!C:C,"&gt;="&amp;$M$3,JURNAL!C:C,"&lt;="&amp;$N$3)</f>
        <v>8206400</v>
      </c>
      <c r="N87" s="20">
        <f t="shared" si="14"/>
        <v>1.1590002104640007E-3</v>
      </c>
      <c r="O87" s="230">
        <f t="shared" si="15"/>
        <v>0</v>
      </c>
      <c r="P87" s="16">
        <f t="shared" si="16"/>
        <v>320100</v>
      </c>
      <c r="Q87" s="16">
        <f t="shared" si="17"/>
        <v>122000</v>
      </c>
      <c r="R87" s="230">
        <f t="shared" si="18"/>
        <v>0</v>
      </c>
    </row>
    <row r="88" spans="2:18">
      <c r="B88" s="15">
        <f t="shared" si="19"/>
        <v>83</v>
      </c>
      <c r="C88" s="16">
        <f>IFERROR(VLOOKUP(DATA!G86,DATA!$G$4:$J$2149,1,FALSE),"")</f>
        <v>3068</v>
      </c>
      <c r="D88" s="16" t="str">
        <f>+IFERROR(VLOOKUP(C88,DATA!$G$4:$H$2000,2,FALSE),"")</f>
        <v>ҮЛЭМЖИТ ХХК</v>
      </c>
      <c r="E88" s="16">
        <v>122000</v>
      </c>
      <c r="G88" s="230">
        <f>+SUMIFS(JURNAL!G:G,JURNAL!E:E,E88,JURNAL!L:L,$C88,JURNAL!C:C,"&gt;="&amp;$M$3,JURNAL!C:C,"&lt;="&amp;$N$3)</f>
        <v>0</v>
      </c>
      <c r="H88" s="19">
        <f>+SUMIFS(JURNAL!H:H,JURNAL!E:E,E88,JURNAL!L:L,$C88,JURNAL!C:C,"&gt;="&amp;$M$3,JURNAL!C:C,"&lt;="&amp;$N$3)</f>
        <v>0</v>
      </c>
      <c r="I88" s="18">
        <f t="shared" si="13"/>
        <v>0</v>
      </c>
      <c r="J88" s="16">
        <v>320100</v>
      </c>
      <c r="L88" s="230">
        <f>+SUMIFS(JURNAL!G:G,JURNAL!E:E,J88,JURNAL!L:L,$C88,JURNAL!C:C,"&gt;="&amp;$M$3,JURNAL!C:C,"&lt;="&amp;$N$3)</f>
        <v>684420</v>
      </c>
      <c r="M88" s="19">
        <f>+SUMIFS(JURNAL!H:H,JURNAL!E:E,J88,JURNAL!L:L,$C88,JURNAL!C:C,"&gt;="&amp;$M$3,JURNAL!C:C,"&lt;="&amp;$N$3)</f>
        <v>684420</v>
      </c>
      <c r="N88" s="20">
        <f t="shared" si="14"/>
        <v>0</v>
      </c>
      <c r="O88" s="230">
        <f t="shared" si="15"/>
        <v>0</v>
      </c>
      <c r="P88" s="16">
        <f t="shared" si="16"/>
        <v>320100</v>
      </c>
      <c r="Q88" s="16">
        <f t="shared" si="17"/>
        <v>122000</v>
      </c>
      <c r="R88" s="230">
        <f t="shared" si="18"/>
        <v>0</v>
      </c>
    </row>
    <row r="89" spans="2:18">
      <c r="B89" s="15">
        <f t="shared" si="19"/>
        <v>84</v>
      </c>
      <c r="C89" s="16">
        <f>IFERROR(VLOOKUP(DATA!G87,DATA!$G$4:$J$2149,1,FALSE),"")</f>
        <v>3069</v>
      </c>
      <c r="D89" s="16" t="str">
        <f>+IFERROR(VLOOKUP(C89,DATA!$G$4:$H$2000,2,FALSE),"")</f>
        <v>УУЛЫН ЗАМ ХХК</v>
      </c>
      <c r="E89" s="16">
        <v>122000</v>
      </c>
      <c r="G89" s="230">
        <f>+SUMIFS(JURNAL!G:G,JURNAL!E:E,E89,JURNAL!L:L,$C89,JURNAL!C:C,"&gt;="&amp;$M$3,JURNAL!C:C,"&lt;="&amp;$N$3)</f>
        <v>0</v>
      </c>
      <c r="H89" s="19">
        <f>+SUMIFS(JURNAL!H:H,JURNAL!E:E,E89,JURNAL!L:L,$C89,JURNAL!C:C,"&gt;="&amp;$M$3,JURNAL!C:C,"&lt;="&amp;$N$3)</f>
        <v>0</v>
      </c>
      <c r="I89" s="18">
        <f t="shared" si="13"/>
        <v>0</v>
      </c>
      <c r="J89" s="16">
        <v>320100</v>
      </c>
      <c r="L89" s="230">
        <f>+SUMIFS(JURNAL!G:G,JURNAL!E:E,J89,JURNAL!L:L,$C89,JURNAL!C:C,"&gt;="&amp;$M$3,JURNAL!C:C,"&lt;="&amp;$N$3)</f>
        <v>2429999.9982719999</v>
      </c>
      <c r="M89" s="19">
        <f>+SUMIFS(JURNAL!H:H,JURNAL!E:E,J89,JURNAL!L:L,$C89,JURNAL!C:C,"&gt;="&amp;$M$3,JURNAL!C:C,"&lt;="&amp;$N$3)</f>
        <v>2430000</v>
      </c>
      <c r="N89" s="20">
        <f t="shared" si="14"/>
        <v>1.7280001193284988E-3</v>
      </c>
      <c r="O89" s="230">
        <f t="shared" si="15"/>
        <v>0</v>
      </c>
      <c r="P89" s="16">
        <f t="shared" si="16"/>
        <v>320100</v>
      </c>
      <c r="Q89" s="16">
        <f t="shared" si="17"/>
        <v>122000</v>
      </c>
      <c r="R89" s="230">
        <f t="shared" si="18"/>
        <v>0</v>
      </c>
    </row>
    <row r="90" spans="2:18">
      <c r="B90" s="15">
        <f t="shared" si="19"/>
        <v>85</v>
      </c>
      <c r="C90" s="16">
        <f>IFERROR(VLOOKUP(DATA!G88,DATA!$G$4:$J$2149,1,FALSE),"")</f>
        <v>3070</v>
      </c>
      <c r="D90" s="16" t="str">
        <f>+IFERROR(VLOOKUP(C90,DATA!$G$4:$H$2000,2,FALSE),"")</f>
        <v>ВОТЕР ФОРД КАСТОМ ХӨҮМ ХХК</v>
      </c>
      <c r="E90" s="16">
        <v>122000</v>
      </c>
      <c r="G90" s="230">
        <f>+SUMIFS(JURNAL!G:G,JURNAL!E:E,E90,JURNAL!L:L,$C90,JURNAL!C:C,"&gt;="&amp;$M$3,JURNAL!C:C,"&lt;="&amp;$N$3)</f>
        <v>0</v>
      </c>
      <c r="H90" s="19">
        <f>+SUMIFS(JURNAL!H:H,JURNAL!E:E,E90,JURNAL!L:L,$C90,JURNAL!C:C,"&gt;="&amp;$M$3,JURNAL!C:C,"&lt;="&amp;$N$3)</f>
        <v>0</v>
      </c>
      <c r="I90" s="18">
        <f t="shared" si="13"/>
        <v>0</v>
      </c>
      <c r="J90" s="16">
        <v>320100</v>
      </c>
      <c r="L90" s="230">
        <f>+SUMIFS(JURNAL!G:G,JURNAL!E:E,J90,JURNAL!L:L,$C90,JURNAL!C:C,"&gt;="&amp;$M$3,JURNAL!C:C,"&lt;="&amp;$N$3)</f>
        <v>346500</v>
      </c>
      <c r="M90" s="19">
        <f>+SUMIFS(JURNAL!H:H,JURNAL!E:E,J90,JURNAL!L:L,$C90,JURNAL!C:C,"&gt;="&amp;$M$3,JURNAL!C:C,"&lt;="&amp;$N$3)</f>
        <v>346500</v>
      </c>
      <c r="N90" s="20">
        <f t="shared" si="14"/>
        <v>0</v>
      </c>
      <c r="O90" s="230">
        <f t="shared" si="15"/>
        <v>0</v>
      </c>
      <c r="P90" s="16">
        <f t="shared" si="16"/>
        <v>320100</v>
      </c>
      <c r="Q90" s="16">
        <f t="shared" si="17"/>
        <v>122000</v>
      </c>
      <c r="R90" s="230">
        <f t="shared" si="18"/>
        <v>0</v>
      </c>
    </row>
    <row r="91" spans="2:18">
      <c r="B91" s="15">
        <f t="shared" si="19"/>
        <v>86</v>
      </c>
      <c r="C91" s="16">
        <f>IFERROR(VLOOKUP(DATA!G89,DATA!$G$4:$J$2149,1,FALSE),"")</f>
        <v>3071</v>
      </c>
      <c r="D91" s="16" t="str">
        <f>+IFERROR(VLOOKUP(C91,DATA!$G$4:$H$2000,2,FALSE),"")</f>
        <v>ЭЛ ВИ ЭЙС ХХК</v>
      </c>
      <c r="E91" s="16">
        <v>122000</v>
      </c>
      <c r="G91" s="230">
        <f>+SUMIFS(JURNAL!G:G,JURNAL!E:E,E91,JURNAL!L:L,$C91,JURNAL!C:C,"&gt;="&amp;$M$3,JURNAL!C:C,"&lt;="&amp;$N$3)</f>
        <v>0</v>
      </c>
      <c r="H91" s="19">
        <f>+SUMIFS(JURNAL!H:H,JURNAL!E:E,E91,JURNAL!L:L,$C91,JURNAL!C:C,"&gt;="&amp;$M$3,JURNAL!C:C,"&lt;="&amp;$N$3)</f>
        <v>0</v>
      </c>
      <c r="I91" s="18">
        <f t="shared" si="13"/>
        <v>0</v>
      </c>
      <c r="J91" s="16">
        <v>320100</v>
      </c>
      <c r="L91" s="230">
        <f>+SUMIFS(JURNAL!G:G,JURNAL!E:E,J91,JURNAL!L:L,$C91,JURNAL!C:C,"&gt;="&amp;$M$3,JURNAL!C:C,"&lt;="&amp;$N$3)</f>
        <v>464864.00262169994</v>
      </c>
      <c r="M91" s="19">
        <f>+SUMIFS(JURNAL!H:H,JURNAL!E:E,J91,JURNAL!L:L,$C91,JURNAL!C:C,"&gt;="&amp;$M$3,JURNAL!C:C,"&lt;="&amp;$N$3)</f>
        <v>464864</v>
      </c>
      <c r="N91" s="20">
        <f t="shared" si="14"/>
        <v>-2.621699939481914E-3</v>
      </c>
      <c r="O91" s="230">
        <f t="shared" si="15"/>
        <v>-2.621699939481914E-3</v>
      </c>
      <c r="P91" s="16">
        <f t="shared" si="16"/>
        <v>320100</v>
      </c>
      <c r="Q91" s="16">
        <f t="shared" si="17"/>
        <v>122000</v>
      </c>
      <c r="R91" s="230">
        <f t="shared" si="18"/>
        <v>1</v>
      </c>
    </row>
    <row r="92" spans="2:18">
      <c r="B92" s="15">
        <f t="shared" ref="B92:B125" si="20">+IF(C92="","",ROW()-5)</f>
        <v>87</v>
      </c>
      <c r="C92" s="16">
        <f>IFERROR(VLOOKUP(DATA!G90,DATA!$G$4:$J$2149,1,FALSE),"")</f>
        <v>3072</v>
      </c>
      <c r="D92" s="16" t="str">
        <f>+IFERROR(VLOOKUP(C92,DATA!$G$4:$H$2000,2,FALSE),"")</f>
        <v>МЕТАЛ ХАУС ХХК</v>
      </c>
      <c r="E92" s="16">
        <v>122000</v>
      </c>
      <c r="G92" s="230">
        <f>+SUMIFS(JURNAL!G:G,JURNAL!E:E,E92,JURNAL!L:L,$C92,JURNAL!C:C,"&gt;="&amp;$M$3,JURNAL!C:C,"&lt;="&amp;$N$3)</f>
        <v>0</v>
      </c>
      <c r="H92" s="19">
        <f>+SUMIFS(JURNAL!H:H,JURNAL!E:E,E92,JURNAL!L:L,$C92,JURNAL!C:C,"&gt;="&amp;$M$3,JURNAL!C:C,"&lt;="&amp;$N$3)</f>
        <v>0</v>
      </c>
      <c r="I92" s="18">
        <f t="shared" si="13"/>
        <v>0</v>
      </c>
      <c r="J92" s="16">
        <v>320100</v>
      </c>
      <c r="L92" s="230">
        <f>+SUMIFS(JURNAL!G:G,JURNAL!E:E,J92,JURNAL!L:L,$C92,JURNAL!C:C,"&gt;="&amp;$M$3,JURNAL!C:C,"&lt;="&amp;$N$3)</f>
        <v>79999.996876799996</v>
      </c>
      <c r="M92" s="19">
        <f>+SUMIFS(JURNAL!H:H,JURNAL!E:E,J92,JURNAL!L:L,$C92,JURNAL!C:C,"&gt;="&amp;$M$3,JURNAL!C:C,"&lt;="&amp;$N$3)</f>
        <v>80000</v>
      </c>
      <c r="N92" s="20">
        <f t="shared" si="14"/>
        <v>3.1232000037562102E-3</v>
      </c>
      <c r="O92" s="230">
        <f t="shared" si="15"/>
        <v>0</v>
      </c>
      <c r="P92" s="16">
        <f t="shared" si="16"/>
        <v>320100</v>
      </c>
      <c r="Q92" s="16">
        <f t="shared" si="17"/>
        <v>122000</v>
      </c>
      <c r="R92" s="230">
        <f t="shared" si="18"/>
        <v>0</v>
      </c>
    </row>
    <row r="93" spans="2:18">
      <c r="B93" s="15">
        <f t="shared" si="20"/>
        <v>88</v>
      </c>
      <c r="C93" s="16">
        <f>IFERROR(VLOOKUP(DATA!G91,DATA!$G$4:$J$2149,1,FALSE),"")</f>
        <v>3073</v>
      </c>
      <c r="D93" s="16" t="str">
        <f>+IFERROR(VLOOKUP(C93,DATA!$G$4:$H$2000,2,FALSE),"")</f>
        <v>ХАНГАЛ КОНСТРАКШН ХХК</v>
      </c>
      <c r="E93" s="16">
        <v>122000</v>
      </c>
      <c r="G93" s="230">
        <f>+SUMIFS(JURNAL!G:G,JURNAL!E:E,E93,JURNAL!L:L,$C93,JURNAL!C:C,"&gt;="&amp;$M$3,JURNAL!C:C,"&lt;="&amp;$N$3)</f>
        <v>0</v>
      </c>
      <c r="H93" s="19">
        <f>+SUMIFS(JURNAL!H:H,JURNAL!E:E,E93,JURNAL!L:L,$C93,JURNAL!C:C,"&gt;="&amp;$M$3,JURNAL!C:C,"&lt;="&amp;$N$3)</f>
        <v>0</v>
      </c>
      <c r="I93" s="18">
        <f t="shared" si="13"/>
        <v>0</v>
      </c>
      <c r="J93" s="16">
        <v>320100</v>
      </c>
      <c r="L93" s="230">
        <f>+SUMIFS(JURNAL!G:G,JURNAL!E:E,J93,JURNAL!L:L,$C93,JURNAL!C:C,"&gt;="&amp;$M$3,JURNAL!C:C,"&lt;="&amp;$N$3)</f>
        <v>881100</v>
      </c>
      <c r="M93" s="19">
        <f>+SUMIFS(JURNAL!H:H,JURNAL!E:E,J93,JURNAL!L:L,$C93,JURNAL!C:C,"&gt;="&amp;$M$3,JURNAL!C:C,"&lt;="&amp;$N$3)</f>
        <v>881100</v>
      </c>
      <c r="N93" s="20">
        <f t="shared" si="14"/>
        <v>0</v>
      </c>
      <c r="O93" s="230">
        <f t="shared" si="15"/>
        <v>0</v>
      </c>
      <c r="P93" s="16">
        <f t="shared" si="16"/>
        <v>320100</v>
      </c>
      <c r="Q93" s="16">
        <f t="shared" si="17"/>
        <v>122000</v>
      </c>
      <c r="R93" s="230">
        <f t="shared" si="18"/>
        <v>0</v>
      </c>
    </row>
    <row r="94" spans="2:18">
      <c r="B94" s="15">
        <f t="shared" si="20"/>
        <v>89</v>
      </c>
      <c r="C94" s="16">
        <f>IFERROR(VLOOKUP(DATA!G92,DATA!$G$4:$J$2149,1,FALSE),"")</f>
        <v>3074</v>
      </c>
      <c r="D94" s="16" t="str">
        <f>+IFERROR(VLOOKUP(C94,DATA!$G$4:$H$2000,2,FALSE),"")</f>
        <v>КАМДЕР ХХК</v>
      </c>
      <c r="E94" s="16">
        <v>122000</v>
      </c>
      <c r="G94" s="230">
        <f>+SUMIFS(JURNAL!G:G,JURNAL!E:E,E94,JURNAL!L:L,$C94,JURNAL!C:C,"&gt;="&amp;$M$3,JURNAL!C:C,"&lt;="&amp;$N$3)</f>
        <v>0</v>
      </c>
      <c r="H94" s="19">
        <f>+SUMIFS(JURNAL!H:H,JURNAL!E:E,E94,JURNAL!L:L,$C94,JURNAL!C:C,"&gt;="&amp;$M$3,JURNAL!C:C,"&lt;="&amp;$N$3)</f>
        <v>0</v>
      </c>
      <c r="I94" s="18">
        <f t="shared" si="13"/>
        <v>0</v>
      </c>
      <c r="J94" s="16">
        <v>320100</v>
      </c>
      <c r="L94" s="230">
        <f>+SUMIFS(JURNAL!G:G,JURNAL!E:E,J94,JURNAL!L:L,$C94,JURNAL!C:C,"&gt;="&amp;$M$3,JURNAL!C:C,"&lt;="&amp;$N$3)</f>
        <v>76619999.996729597</v>
      </c>
      <c r="M94" s="19">
        <f>+SUMIFS(JURNAL!H:H,JURNAL!E:E,J94,JURNAL!L:L,$C94,JURNAL!C:C,"&gt;="&amp;$M$3,JURNAL!C:C,"&lt;="&amp;$N$3)</f>
        <v>76620000</v>
      </c>
      <c r="N94" s="20">
        <f t="shared" si="14"/>
        <v>3.2704025506973267E-3</v>
      </c>
      <c r="O94" s="230">
        <f t="shared" si="15"/>
        <v>0</v>
      </c>
      <c r="P94" s="16">
        <f t="shared" si="16"/>
        <v>320100</v>
      </c>
      <c r="Q94" s="16">
        <f t="shared" si="17"/>
        <v>122000</v>
      </c>
      <c r="R94" s="230">
        <f t="shared" si="18"/>
        <v>0</v>
      </c>
    </row>
    <row r="95" spans="2:18">
      <c r="B95" s="15">
        <f t="shared" si="20"/>
        <v>90</v>
      </c>
      <c r="C95" s="16">
        <f>IFERROR(VLOOKUP(DATA!G93,DATA!$G$4:$J$2149,1,FALSE),"")</f>
        <v>3075</v>
      </c>
      <c r="D95" s="16" t="str">
        <f>+IFERROR(VLOOKUP(C95,DATA!$G$4:$H$2000,2,FALSE),"")</f>
        <v>СИ АЙ ТИ ХХК</v>
      </c>
      <c r="E95" s="16">
        <v>122000</v>
      </c>
      <c r="G95" s="230">
        <f>+SUMIFS(JURNAL!G:G,JURNAL!E:E,E95,JURNAL!L:L,$C95,JURNAL!C:C,"&gt;="&amp;$M$3,JURNAL!C:C,"&lt;="&amp;$N$3)</f>
        <v>0</v>
      </c>
      <c r="H95" s="19">
        <f>+SUMIFS(JURNAL!H:H,JURNAL!E:E,E95,JURNAL!L:L,$C95,JURNAL!C:C,"&gt;="&amp;$M$3,JURNAL!C:C,"&lt;="&amp;$N$3)</f>
        <v>0</v>
      </c>
      <c r="I95" s="18">
        <f t="shared" si="13"/>
        <v>0</v>
      </c>
      <c r="J95" s="16">
        <v>320100</v>
      </c>
      <c r="L95" s="230">
        <f>+SUMIFS(JURNAL!G:G,JURNAL!E:E,J95,JURNAL!L:L,$C95,JURNAL!C:C,"&gt;="&amp;$M$3,JURNAL!C:C,"&lt;="&amp;$N$3)</f>
        <v>111799.99595335999</v>
      </c>
      <c r="M95" s="19">
        <f>+SUMIFS(JURNAL!H:H,JURNAL!E:E,J95,JURNAL!L:L,$C95,JURNAL!C:C,"&gt;="&amp;$M$3,JURNAL!C:C,"&lt;="&amp;$N$3)</f>
        <v>111800</v>
      </c>
      <c r="N95" s="20">
        <f t="shared" si="14"/>
        <v>4.0466400096192956E-3</v>
      </c>
      <c r="O95" s="230">
        <f t="shared" si="15"/>
        <v>0</v>
      </c>
      <c r="P95" s="16">
        <f t="shared" si="16"/>
        <v>320100</v>
      </c>
      <c r="Q95" s="16">
        <f t="shared" si="17"/>
        <v>122000</v>
      </c>
      <c r="R95" s="230">
        <f t="shared" si="18"/>
        <v>0</v>
      </c>
    </row>
    <row r="96" spans="2:18">
      <c r="B96" s="15">
        <f t="shared" si="20"/>
        <v>91</v>
      </c>
      <c r="C96" s="16">
        <f>IFERROR(VLOOKUP(DATA!G94,DATA!$G$4:$J$2149,1,FALSE),"")</f>
        <v>3076</v>
      </c>
      <c r="D96" s="16" t="str">
        <f>+IFERROR(VLOOKUP(C96,DATA!$G$4:$H$2000,2,FALSE),"")</f>
        <v>ЖИ ЭЙ БИ ӨҮ ТИ ХХК</v>
      </c>
      <c r="E96" s="16">
        <v>122000</v>
      </c>
      <c r="G96" s="230">
        <f>+SUMIFS(JURNAL!G:G,JURNAL!E:E,E96,JURNAL!L:L,$C96,JURNAL!C:C,"&gt;="&amp;$M$3,JURNAL!C:C,"&lt;="&amp;$N$3)</f>
        <v>0</v>
      </c>
      <c r="H96" s="19">
        <f>+SUMIFS(JURNAL!H:H,JURNAL!E:E,E96,JURNAL!L:L,$C96,JURNAL!C:C,"&gt;="&amp;$M$3,JURNAL!C:C,"&lt;="&amp;$N$3)</f>
        <v>0</v>
      </c>
      <c r="I96" s="18">
        <f t="shared" si="13"/>
        <v>0</v>
      </c>
      <c r="J96" s="16">
        <v>320100</v>
      </c>
      <c r="L96" s="230">
        <f>+SUMIFS(JURNAL!G:G,JURNAL!E:E,J96,JURNAL!L:L,$C96,JURNAL!C:C,"&gt;="&amp;$M$3,JURNAL!C:C,"&lt;="&amp;$N$3)</f>
        <v>187000</v>
      </c>
      <c r="M96" s="19">
        <f>+SUMIFS(JURNAL!H:H,JURNAL!E:E,J96,JURNAL!L:L,$C96,JURNAL!C:C,"&gt;="&amp;$M$3,JURNAL!C:C,"&lt;="&amp;$N$3)</f>
        <v>187000</v>
      </c>
      <c r="N96" s="20">
        <f t="shared" si="14"/>
        <v>0</v>
      </c>
      <c r="O96" s="230">
        <f t="shared" si="15"/>
        <v>0</v>
      </c>
      <c r="P96" s="16">
        <f t="shared" si="16"/>
        <v>320100</v>
      </c>
      <c r="Q96" s="16">
        <f t="shared" si="17"/>
        <v>122000</v>
      </c>
      <c r="R96" s="230">
        <f t="shared" si="18"/>
        <v>0</v>
      </c>
    </row>
    <row r="97" spans="2:18">
      <c r="B97" s="15">
        <f t="shared" si="20"/>
        <v>92</v>
      </c>
      <c r="C97" s="16">
        <f>IFERROR(VLOOKUP(DATA!G95,DATA!$G$4:$J$2149,1,FALSE),"")</f>
        <v>3077</v>
      </c>
      <c r="D97" s="16" t="str">
        <f>+IFERROR(VLOOKUP(C97,DATA!$G$4:$H$2000,2,FALSE),"")</f>
        <v>КАРАНДАШ ХХК</v>
      </c>
      <c r="E97" s="16">
        <v>122000</v>
      </c>
      <c r="G97" s="230">
        <f>+SUMIFS(JURNAL!G:G,JURNAL!E:E,E97,JURNAL!L:L,$C97,JURNAL!C:C,"&gt;="&amp;$M$3,JURNAL!C:C,"&lt;="&amp;$N$3)</f>
        <v>0</v>
      </c>
      <c r="H97" s="19">
        <f>+SUMIFS(JURNAL!H:H,JURNAL!E:E,E97,JURNAL!L:L,$C97,JURNAL!C:C,"&gt;="&amp;$M$3,JURNAL!C:C,"&lt;="&amp;$N$3)</f>
        <v>0</v>
      </c>
      <c r="I97" s="18">
        <f t="shared" si="13"/>
        <v>0</v>
      </c>
      <c r="J97" s="16">
        <v>320100</v>
      </c>
      <c r="L97" s="230">
        <f>+SUMIFS(JURNAL!G:G,JURNAL!E:E,J97,JURNAL!L:L,$C97,JURNAL!C:C,"&gt;="&amp;$M$3,JURNAL!C:C,"&lt;="&amp;$N$3)</f>
        <v>714500</v>
      </c>
      <c r="M97" s="19">
        <f>+SUMIFS(JURNAL!H:H,JURNAL!E:E,J97,JURNAL!L:L,$C97,JURNAL!C:C,"&gt;="&amp;$M$3,JURNAL!C:C,"&lt;="&amp;$N$3)</f>
        <v>714500</v>
      </c>
      <c r="N97" s="20">
        <f t="shared" si="14"/>
        <v>0</v>
      </c>
      <c r="O97" s="230">
        <f t="shared" si="15"/>
        <v>0</v>
      </c>
      <c r="P97" s="16">
        <f t="shared" si="16"/>
        <v>320100</v>
      </c>
      <c r="Q97" s="16">
        <f t="shared" si="17"/>
        <v>122000</v>
      </c>
      <c r="R97" s="230">
        <f t="shared" si="18"/>
        <v>0</v>
      </c>
    </row>
    <row r="98" spans="2:18">
      <c r="B98" s="15">
        <f t="shared" si="20"/>
        <v>93</v>
      </c>
      <c r="C98" s="16">
        <f>IFERROR(VLOOKUP(DATA!G96,DATA!$G$4:$J$2149,1,FALSE),"")</f>
        <v>3078</v>
      </c>
      <c r="D98" s="16" t="str">
        <f>+IFERROR(VLOOKUP(C98,DATA!$G$4:$H$2000,2,FALSE),"")</f>
        <v>МӨНХ ЭНХРИЙ ХХК</v>
      </c>
      <c r="E98" s="16">
        <v>122000</v>
      </c>
      <c r="G98" s="230">
        <f>+SUMIFS(JURNAL!G:G,JURNAL!E:E,E98,JURNAL!L:L,$C98,JURNAL!C:C,"&gt;="&amp;$M$3,JURNAL!C:C,"&lt;="&amp;$N$3)</f>
        <v>0</v>
      </c>
      <c r="H98" s="19">
        <f>+SUMIFS(JURNAL!H:H,JURNAL!E:E,E98,JURNAL!L:L,$C98,JURNAL!C:C,"&gt;="&amp;$M$3,JURNAL!C:C,"&lt;="&amp;$N$3)</f>
        <v>0</v>
      </c>
      <c r="I98" s="18">
        <f t="shared" si="13"/>
        <v>0</v>
      </c>
      <c r="J98" s="16">
        <v>320100</v>
      </c>
      <c r="L98" s="230">
        <f>+SUMIFS(JURNAL!G:G,JURNAL!E:E,J98,JURNAL!L:L,$C98,JURNAL!C:C,"&gt;="&amp;$M$3,JURNAL!C:C,"&lt;="&amp;$N$3)</f>
        <v>908110</v>
      </c>
      <c r="M98" s="19">
        <f>+SUMIFS(JURNAL!H:H,JURNAL!E:E,J98,JURNAL!L:L,$C98,JURNAL!C:C,"&gt;="&amp;$M$3,JURNAL!C:C,"&lt;="&amp;$N$3)</f>
        <v>908110</v>
      </c>
      <c r="N98" s="20">
        <f t="shared" si="14"/>
        <v>0</v>
      </c>
      <c r="O98" s="230">
        <f t="shared" si="15"/>
        <v>0</v>
      </c>
      <c r="P98" s="16">
        <f t="shared" si="16"/>
        <v>320100</v>
      </c>
      <c r="Q98" s="16">
        <f t="shared" si="17"/>
        <v>122000</v>
      </c>
      <c r="R98" s="230">
        <f t="shared" si="18"/>
        <v>0</v>
      </c>
    </row>
    <row r="99" spans="2:18">
      <c r="B99" s="15">
        <f t="shared" si="20"/>
        <v>94</v>
      </c>
      <c r="C99" s="16">
        <f>IFERROR(VLOOKUP(DATA!G97,DATA!$G$4:$J$2149,1,FALSE),"")</f>
        <v>3079</v>
      </c>
      <c r="D99" s="16" t="str">
        <f>+IFERROR(VLOOKUP(C99,DATA!$G$4:$H$2000,2,FALSE),"")</f>
        <v>ДА ХОТ ХХК</v>
      </c>
      <c r="E99" s="16">
        <v>122000</v>
      </c>
      <c r="G99" s="230">
        <f>+SUMIFS(JURNAL!G:G,JURNAL!E:E,E99,JURNAL!L:L,$C99,JURNAL!C:C,"&gt;="&amp;$M$3,JURNAL!C:C,"&lt;="&amp;$N$3)</f>
        <v>0</v>
      </c>
      <c r="H99" s="19">
        <f>+SUMIFS(JURNAL!H:H,JURNAL!E:E,E99,JURNAL!L:L,$C99,JURNAL!C:C,"&gt;="&amp;$M$3,JURNAL!C:C,"&lt;="&amp;$N$3)</f>
        <v>0</v>
      </c>
      <c r="I99" s="18">
        <f t="shared" si="13"/>
        <v>0</v>
      </c>
      <c r="J99" s="16">
        <v>320100</v>
      </c>
      <c r="L99" s="230">
        <f>+SUMIFS(JURNAL!G:G,JURNAL!E:E,J99,JURNAL!L:L,$C99,JURNAL!C:C,"&gt;="&amp;$M$3,JURNAL!C:C,"&lt;="&amp;$N$3)</f>
        <v>1980000</v>
      </c>
      <c r="M99" s="19">
        <f>+SUMIFS(JURNAL!H:H,JURNAL!E:E,J99,JURNAL!L:L,$C99,JURNAL!C:C,"&gt;="&amp;$M$3,JURNAL!C:C,"&lt;="&amp;$N$3)</f>
        <v>1980000</v>
      </c>
      <c r="N99" s="20">
        <f t="shared" si="14"/>
        <v>0</v>
      </c>
      <c r="O99" s="230">
        <f t="shared" si="15"/>
        <v>0</v>
      </c>
      <c r="P99" s="16">
        <f t="shared" si="16"/>
        <v>320100</v>
      </c>
      <c r="Q99" s="16">
        <f t="shared" si="17"/>
        <v>122000</v>
      </c>
      <c r="R99" s="230">
        <f t="shared" si="18"/>
        <v>0</v>
      </c>
    </row>
    <row r="100" spans="2:18">
      <c r="B100" s="15">
        <f t="shared" si="20"/>
        <v>95</v>
      </c>
      <c r="C100" s="16">
        <f>IFERROR(VLOOKUP(DATA!G98,DATA!$G$4:$J$2149,1,FALSE),"")</f>
        <v>3080</v>
      </c>
      <c r="D100" s="16" t="str">
        <f>+IFERROR(VLOOKUP(C100,DATA!$G$4:$H$2000,2,FALSE),"")</f>
        <v>ДИ ЭЙЧ ЭЛ ГЭЙТВЭЙ ХХК</v>
      </c>
      <c r="E100" s="16">
        <v>122000</v>
      </c>
      <c r="G100" s="230">
        <f>+SUMIFS(JURNAL!G:G,JURNAL!E:E,E100,JURNAL!L:L,$C100,JURNAL!C:C,"&gt;="&amp;$M$3,JURNAL!C:C,"&lt;="&amp;$N$3)</f>
        <v>0</v>
      </c>
      <c r="H100" s="19">
        <f>+SUMIFS(JURNAL!H:H,JURNAL!E:E,E100,JURNAL!L:L,$C100,JURNAL!C:C,"&gt;="&amp;$M$3,JURNAL!C:C,"&lt;="&amp;$N$3)</f>
        <v>0</v>
      </c>
      <c r="I100" s="18">
        <f t="shared" si="13"/>
        <v>0</v>
      </c>
      <c r="J100" s="16">
        <v>320100</v>
      </c>
      <c r="L100" s="230">
        <f>+SUMIFS(JURNAL!G:G,JURNAL!E:E,J100,JURNAL!L:L,$C100,JURNAL!C:C,"&gt;="&amp;$M$3,JURNAL!C:C,"&lt;="&amp;$N$3)</f>
        <v>1148840</v>
      </c>
      <c r="M100" s="19">
        <f>+SUMIFS(JURNAL!H:H,JURNAL!E:E,J100,JURNAL!L:L,$C100,JURNAL!C:C,"&gt;="&amp;$M$3,JURNAL!C:C,"&lt;="&amp;$N$3)</f>
        <v>1148840</v>
      </c>
      <c r="N100" s="20">
        <f t="shared" si="14"/>
        <v>0</v>
      </c>
      <c r="O100" s="230">
        <f t="shared" si="15"/>
        <v>0</v>
      </c>
      <c r="P100" s="16">
        <f t="shared" si="16"/>
        <v>320100</v>
      </c>
      <c r="Q100" s="16">
        <f t="shared" si="17"/>
        <v>122000</v>
      </c>
      <c r="R100" s="230">
        <f t="shared" si="18"/>
        <v>0</v>
      </c>
    </row>
    <row r="101" spans="2:18">
      <c r="B101" s="15">
        <f t="shared" si="20"/>
        <v>96</v>
      </c>
      <c r="C101" s="16">
        <f>IFERROR(VLOOKUP(DATA!G99,DATA!$G$4:$J$2149,1,FALSE),"")</f>
        <v>3081</v>
      </c>
      <c r="D101" s="16" t="str">
        <f>+IFERROR(VLOOKUP(C101,DATA!$G$4:$H$2000,2,FALSE),"")</f>
        <v>ПИ АЙ ЭМ ЭМ ХХК</v>
      </c>
      <c r="E101" s="16">
        <v>122000</v>
      </c>
      <c r="G101" s="230">
        <f>+SUMIFS(JURNAL!G:G,JURNAL!E:E,E101,JURNAL!L:L,$C101,JURNAL!C:C,"&gt;="&amp;$M$3,JURNAL!C:C,"&lt;="&amp;$N$3)</f>
        <v>0</v>
      </c>
      <c r="H101" s="19">
        <f>+SUMIFS(JURNAL!H:H,JURNAL!E:E,E101,JURNAL!L:L,$C101,JURNAL!C:C,"&gt;="&amp;$M$3,JURNAL!C:C,"&lt;="&amp;$N$3)</f>
        <v>0</v>
      </c>
      <c r="I101" s="18">
        <f t="shared" si="13"/>
        <v>0</v>
      </c>
      <c r="J101" s="16">
        <v>320100</v>
      </c>
      <c r="L101" s="230">
        <f>+SUMIFS(JURNAL!G:G,JURNAL!E:E,J101,JURNAL!L:L,$C101,JURNAL!C:C,"&gt;="&amp;$M$3,JURNAL!C:C,"&lt;="&amp;$N$3)</f>
        <v>1243149.9986169001</v>
      </c>
      <c r="M101" s="19">
        <f>+SUMIFS(JURNAL!H:H,JURNAL!E:E,J101,JURNAL!L:L,$C101,JURNAL!C:C,"&gt;="&amp;$M$3,JURNAL!C:C,"&lt;="&amp;$N$3)</f>
        <v>1243150</v>
      </c>
      <c r="N101" s="20">
        <f t="shared" si="14"/>
        <v>1.3830999378114939E-3</v>
      </c>
      <c r="O101" s="230">
        <f t="shared" si="15"/>
        <v>0</v>
      </c>
      <c r="P101" s="16">
        <f t="shared" si="16"/>
        <v>320100</v>
      </c>
      <c r="Q101" s="16">
        <f t="shared" si="17"/>
        <v>122000</v>
      </c>
      <c r="R101" s="230">
        <f t="shared" si="18"/>
        <v>0</v>
      </c>
    </row>
    <row r="102" spans="2:18">
      <c r="B102" s="15">
        <f t="shared" si="20"/>
        <v>97</v>
      </c>
      <c r="C102" s="16">
        <f>IFERROR(VLOOKUP(DATA!G100,DATA!$G$4:$J$2149,1,FALSE),"")</f>
        <v>3082</v>
      </c>
      <c r="D102" s="16" t="str">
        <f>+IFERROR(VLOOKUP(C102,DATA!$G$4:$H$2000,2,FALSE),"")</f>
        <v xml:space="preserve">ӨСӨХ БЭЙС ХХК </v>
      </c>
      <c r="E102" s="16">
        <v>122000</v>
      </c>
      <c r="G102" s="230">
        <f>+SUMIFS(JURNAL!G:G,JURNAL!E:E,E102,JURNAL!L:L,$C102,JURNAL!C:C,"&gt;="&amp;$M$3,JURNAL!C:C,"&lt;="&amp;$N$3)</f>
        <v>0</v>
      </c>
      <c r="H102" s="19">
        <f>+SUMIFS(JURNAL!H:H,JURNAL!E:E,E102,JURNAL!L:L,$C102,JURNAL!C:C,"&gt;="&amp;$M$3,JURNAL!C:C,"&lt;="&amp;$N$3)</f>
        <v>0</v>
      </c>
      <c r="I102" s="18">
        <f t="shared" si="13"/>
        <v>0</v>
      </c>
      <c r="J102" s="16">
        <v>320100</v>
      </c>
      <c r="L102" s="230">
        <f>+SUMIFS(JURNAL!G:G,JURNAL!E:E,J102,JURNAL!L:L,$C102,JURNAL!C:C,"&gt;="&amp;$M$3,JURNAL!C:C,"&lt;="&amp;$N$3)</f>
        <v>1052999.997192</v>
      </c>
      <c r="M102" s="19">
        <f>+SUMIFS(JURNAL!H:H,JURNAL!E:E,J102,JURNAL!L:L,$C102,JURNAL!C:C,"&gt;="&amp;$M$3,JURNAL!C:C,"&lt;="&amp;$N$3)</f>
        <v>1053000</v>
      </c>
      <c r="N102" s="20">
        <f t="shared" si="14"/>
        <v>2.807999961078167E-3</v>
      </c>
      <c r="O102" s="230">
        <f t="shared" si="15"/>
        <v>0</v>
      </c>
      <c r="P102" s="16">
        <f t="shared" si="16"/>
        <v>320100</v>
      </c>
      <c r="Q102" s="16">
        <f t="shared" si="17"/>
        <v>122000</v>
      </c>
      <c r="R102" s="230">
        <f t="shared" si="18"/>
        <v>0</v>
      </c>
    </row>
    <row r="103" spans="2:18">
      <c r="B103" s="15">
        <f t="shared" si="20"/>
        <v>98</v>
      </c>
      <c r="C103" s="16">
        <f>IFERROR(VLOOKUP(DATA!G101,DATA!$G$4:$J$2149,1,FALSE),"")</f>
        <v>3083</v>
      </c>
      <c r="D103" s="16" t="str">
        <f>+IFERROR(VLOOKUP(C103,DATA!$G$4:$H$2000,2,FALSE),"")</f>
        <v xml:space="preserve">БЧГ ХХК </v>
      </c>
      <c r="E103" s="16">
        <v>122000</v>
      </c>
      <c r="G103" s="230">
        <f>+SUMIFS(JURNAL!G:G,JURNAL!E:E,E103,JURNAL!L:L,$C103,JURNAL!C:C,"&gt;="&amp;$M$3,JURNAL!C:C,"&lt;="&amp;$N$3)</f>
        <v>0</v>
      </c>
      <c r="H103" s="19">
        <f>+SUMIFS(JURNAL!H:H,JURNAL!E:E,E103,JURNAL!L:L,$C103,JURNAL!C:C,"&gt;="&amp;$M$3,JURNAL!C:C,"&lt;="&amp;$N$3)</f>
        <v>0</v>
      </c>
      <c r="I103" s="18">
        <f t="shared" si="13"/>
        <v>0</v>
      </c>
      <c r="J103" s="16">
        <v>320100</v>
      </c>
      <c r="L103" s="230">
        <f>+SUMIFS(JURNAL!G:G,JURNAL!E:E,J103,JURNAL!L:L,$C103,JURNAL!C:C,"&gt;="&amp;$M$3,JURNAL!C:C,"&lt;="&amp;$N$3)</f>
        <v>279571.99604400003</v>
      </c>
      <c r="M103" s="19">
        <f>+SUMIFS(JURNAL!H:H,JURNAL!E:E,J103,JURNAL!L:L,$C103,JURNAL!C:C,"&gt;="&amp;$M$3,JURNAL!C:C,"&lt;="&amp;$N$3)</f>
        <v>279572</v>
      </c>
      <c r="N103" s="20">
        <f t="shared" si="14"/>
        <v>3.9559999713674188E-3</v>
      </c>
      <c r="O103" s="230">
        <f t="shared" si="15"/>
        <v>0</v>
      </c>
      <c r="P103" s="16">
        <f t="shared" si="16"/>
        <v>320100</v>
      </c>
      <c r="Q103" s="16">
        <f t="shared" si="17"/>
        <v>122000</v>
      </c>
      <c r="R103" s="230">
        <f t="shared" si="18"/>
        <v>0</v>
      </c>
    </row>
    <row r="104" spans="2:18">
      <c r="B104" s="15">
        <f t="shared" si="20"/>
        <v>99</v>
      </c>
      <c r="C104" s="16">
        <f>IFERROR(VLOOKUP(DATA!G102,DATA!$G$4:$J$2149,1,FALSE),"")</f>
        <v>3084</v>
      </c>
      <c r="D104" s="16" t="str">
        <f>+IFERROR(VLOOKUP(C104,DATA!$G$4:$H$2000,2,FALSE),"")</f>
        <v xml:space="preserve">ТОРГО ЗАГВАР </v>
      </c>
      <c r="E104" s="16">
        <v>122000</v>
      </c>
      <c r="G104" s="230">
        <f>+SUMIFS(JURNAL!G:G,JURNAL!E:E,E104,JURNAL!L:L,$C104,JURNAL!C:C,"&gt;="&amp;$M$3,JURNAL!C:C,"&lt;="&amp;$N$3)</f>
        <v>0</v>
      </c>
      <c r="H104" s="19">
        <f>+SUMIFS(JURNAL!H:H,JURNAL!E:E,E104,JURNAL!L:L,$C104,JURNAL!C:C,"&gt;="&amp;$M$3,JURNAL!C:C,"&lt;="&amp;$N$3)</f>
        <v>0</v>
      </c>
      <c r="I104" s="18">
        <f t="shared" si="13"/>
        <v>0</v>
      </c>
      <c r="J104" s="16">
        <v>320100</v>
      </c>
      <c r="L104" s="230">
        <f>+SUMIFS(JURNAL!G:G,JURNAL!E:E,J104,JURNAL!L:L,$C104,JURNAL!C:C,"&gt;="&amp;$M$3,JURNAL!C:C,"&lt;="&amp;$N$3)</f>
        <v>608800</v>
      </c>
      <c r="M104" s="19">
        <f>+SUMIFS(JURNAL!H:H,JURNAL!E:E,J104,JURNAL!L:L,$C104,JURNAL!C:C,"&gt;="&amp;$M$3,JURNAL!C:C,"&lt;="&amp;$N$3)</f>
        <v>608800</v>
      </c>
      <c r="N104" s="20">
        <f t="shared" si="14"/>
        <v>0</v>
      </c>
      <c r="O104" s="230">
        <f t="shared" si="15"/>
        <v>0</v>
      </c>
      <c r="P104" s="16">
        <f t="shared" si="16"/>
        <v>320100</v>
      </c>
      <c r="Q104" s="16">
        <f t="shared" si="17"/>
        <v>122000</v>
      </c>
      <c r="R104" s="230">
        <f t="shared" si="18"/>
        <v>0</v>
      </c>
    </row>
    <row r="105" spans="2:18">
      <c r="B105" s="15">
        <f t="shared" si="20"/>
        <v>100</v>
      </c>
      <c r="C105" s="16">
        <f>IFERROR(VLOOKUP(DATA!G103,DATA!$G$4:$J$2149,1,FALSE),"")</f>
        <v>3085</v>
      </c>
      <c r="D105" s="16" t="str">
        <f>+IFERROR(VLOOKUP(C105,DATA!$G$4:$H$2000,2,FALSE),"")</f>
        <v>УС ЭЛЕКТРО МОНТАЖ ХХК</v>
      </c>
      <c r="E105" s="16">
        <v>122000</v>
      </c>
      <c r="G105" s="230">
        <f>+SUMIFS(JURNAL!G:G,JURNAL!E:E,E105,JURNAL!L:L,$C105,JURNAL!C:C,"&gt;="&amp;$M$3,JURNAL!C:C,"&lt;="&amp;$N$3)</f>
        <v>0</v>
      </c>
      <c r="H105" s="19">
        <f>+SUMIFS(JURNAL!H:H,JURNAL!E:E,E105,JURNAL!L:L,$C105,JURNAL!C:C,"&gt;="&amp;$M$3,JURNAL!C:C,"&lt;="&amp;$N$3)</f>
        <v>0</v>
      </c>
      <c r="I105" s="18">
        <f t="shared" si="13"/>
        <v>0</v>
      </c>
      <c r="J105" s="16">
        <v>320100</v>
      </c>
      <c r="L105" s="230">
        <f>+SUMIFS(JURNAL!G:G,JURNAL!E:E,J105,JURNAL!L:L,$C105,JURNAL!C:C,"&gt;="&amp;$M$3,JURNAL!C:C,"&lt;="&amp;$N$3)</f>
        <v>125400</v>
      </c>
      <c r="M105" s="19">
        <f>+SUMIFS(JURNAL!H:H,JURNAL!E:E,J105,JURNAL!L:L,$C105,JURNAL!C:C,"&gt;="&amp;$M$3,JURNAL!C:C,"&lt;="&amp;$N$3)</f>
        <v>125400</v>
      </c>
      <c r="N105" s="20">
        <f t="shared" si="14"/>
        <v>0</v>
      </c>
      <c r="O105" s="230">
        <f t="shared" si="15"/>
        <v>0</v>
      </c>
      <c r="P105" s="16">
        <f t="shared" si="16"/>
        <v>320100</v>
      </c>
      <c r="Q105" s="16">
        <f t="shared" si="17"/>
        <v>122000</v>
      </c>
      <c r="R105" s="230">
        <f t="shared" si="18"/>
        <v>0</v>
      </c>
    </row>
    <row r="106" spans="2:18">
      <c r="B106" s="15">
        <f t="shared" si="20"/>
        <v>101</v>
      </c>
      <c r="C106" s="16">
        <f>IFERROR(VLOOKUP(DATA!G104,DATA!$G$4:$J$2149,1,FALSE),"")</f>
        <v>3086</v>
      </c>
      <c r="D106" s="16" t="str">
        <f>+IFERROR(VLOOKUP(C106,DATA!$G$4:$H$2000,2,FALSE),"")</f>
        <v xml:space="preserve">УНИВЕРСАЛ АВТО КОМПЛЕКС ХХК </v>
      </c>
      <c r="E106" s="16">
        <v>122000</v>
      </c>
      <c r="G106" s="230">
        <f>+SUMIFS(JURNAL!G:G,JURNAL!E:E,E106,JURNAL!L:L,$C106,JURNAL!C:C,"&gt;="&amp;$M$3,JURNAL!C:C,"&lt;="&amp;$N$3)</f>
        <v>0</v>
      </c>
      <c r="H106" s="19">
        <f>+SUMIFS(JURNAL!H:H,JURNAL!E:E,E106,JURNAL!L:L,$C106,JURNAL!C:C,"&gt;="&amp;$M$3,JURNAL!C:C,"&lt;="&amp;$N$3)</f>
        <v>0</v>
      </c>
      <c r="I106" s="18">
        <f t="shared" si="13"/>
        <v>0</v>
      </c>
      <c r="J106" s="16">
        <v>320100</v>
      </c>
      <c r="L106" s="230">
        <f>+SUMIFS(JURNAL!G:G,JURNAL!E:E,J106,JURNAL!L:L,$C106,JURNAL!C:C,"&gt;="&amp;$M$3,JURNAL!C:C,"&lt;="&amp;$N$3)</f>
        <v>62700</v>
      </c>
      <c r="M106" s="19">
        <f>+SUMIFS(JURNAL!H:H,JURNAL!E:E,J106,JURNAL!L:L,$C106,JURNAL!C:C,"&gt;="&amp;$M$3,JURNAL!C:C,"&lt;="&amp;$N$3)</f>
        <v>62700</v>
      </c>
      <c r="N106" s="20">
        <f t="shared" si="14"/>
        <v>0</v>
      </c>
      <c r="O106" s="230">
        <f t="shared" si="15"/>
        <v>0</v>
      </c>
      <c r="P106" s="16">
        <f t="shared" si="16"/>
        <v>320100</v>
      </c>
      <c r="Q106" s="16">
        <f t="shared" si="17"/>
        <v>122000</v>
      </c>
      <c r="R106" s="230">
        <f t="shared" si="18"/>
        <v>0</v>
      </c>
    </row>
    <row r="107" spans="2:18">
      <c r="B107" s="15">
        <f t="shared" si="20"/>
        <v>102</v>
      </c>
      <c r="C107" s="16">
        <f>IFERROR(VLOOKUP(DATA!G105,DATA!$G$4:$J$2149,1,FALSE),"")</f>
        <v>3087</v>
      </c>
      <c r="D107" s="16" t="str">
        <f>+IFERROR(VLOOKUP(C107,DATA!$G$4:$H$2000,2,FALSE),"")</f>
        <v xml:space="preserve">ОРГИЛ ХАУС ХХК </v>
      </c>
      <c r="E107" s="16">
        <v>122000</v>
      </c>
      <c r="G107" s="230">
        <f>+SUMIFS(JURNAL!G:G,JURNAL!E:E,E107,JURNAL!L:L,$C107,JURNAL!C:C,"&gt;="&amp;$M$3,JURNAL!C:C,"&lt;="&amp;$N$3)</f>
        <v>0</v>
      </c>
      <c r="H107" s="19">
        <f>+SUMIFS(JURNAL!H:H,JURNAL!E:E,E107,JURNAL!L:L,$C107,JURNAL!C:C,"&gt;="&amp;$M$3,JURNAL!C:C,"&lt;="&amp;$N$3)</f>
        <v>0</v>
      </c>
      <c r="I107" s="18">
        <f t="shared" si="13"/>
        <v>0</v>
      </c>
      <c r="J107" s="16">
        <v>320100</v>
      </c>
      <c r="L107" s="230">
        <f>+SUMIFS(JURNAL!G:G,JURNAL!E:E,J107,JURNAL!L:L,$C107,JURNAL!C:C,"&gt;="&amp;$M$3,JURNAL!C:C,"&lt;="&amp;$N$3)</f>
        <v>783750</v>
      </c>
      <c r="M107" s="19">
        <f>+SUMIFS(JURNAL!H:H,JURNAL!E:E,J107,JURNAL!L:L,$C107,JURNAL!C:C,"&gt;="&amp;$M$3,JURNAL!C:C,"&lt;="&amp;$N$3)</f>
        <v>783750</v>
      </c>
      <c r="N107" s="20">
        <f t="shared" si="14"/>
        <v>0</v>
      </c>
      <c r="O107" s="230">
        <f t="shared" si="15"/>
        <v>0</v>
      </c>
      <c r="P107" s="16">
        <f t="shared" si="16"/>
        <v>320100</v>
      </c>
      <c r="Q107" s="16">
        <f t="shared" si="17"/>
        <v>122000</v>
      </c>
      <c r="R107" s="230">
        <f t="shared" si="18"/>
        <v>0</v>
      </c>
    </row>
    <row r="108" spans="2:18">
      <c r="B108" s="15">
        <f t="shared" si="20"/>
        <v>103</v>
      </c>
      <c r="C108" s="16">
        <f>IFERROR(VLOOKUP(DATA!G106,DATA!$G$4:$J$2149,1,FALSE),"")</f>
        <v>3088</v>
      </c>
      <c r="D108" s="16" t="str">
        <f>+IFERROR(VLOOKUP(C108,DATA!$G$4:$H$2000,2,FALSE),"")</f>
        <v xml:space="preserve">ОГТОРГУЙН ХУДАГ ХХК </v>
      </c>
      <c r="E108" s="16">
        <v>122000</v>
      </c>
      <c r="G108" s="230">
        <f>+SUMIFS(JURNAL!G:G,JURNAL!E:E,E108,JURNAL!L:L,$C108,JURNAL!C:C,"&gt;="&amp;$M$3,JURNAL!C:C,"&lt;="&amp;$N$3)</f>
        <v>0</v>
      </c>
      <c r="H108" s="19">
        <f>+SUMIFS(JURNAL!H:H,JURNAL!E:E,E108,JURNAL!L:L,$C108,JURNAL!C:C,"&gt;="&amp;$M$3,JURNAL!C:C,"&lt;="&amp;$N$3)</f>
        <v>0</v>
      </c>
      <c r="I108" s="18">
        <f t="shared" si="13"/>
        <v>0</v>
      </c>
      <c r="J108" s="16">
        <v>320100</v>
      </c>
      <c r="L108" s="230">
        <f>+SUMIFS(JURNAL!G:G,JURNAL!E:E,J108,JURNAL!L:L,$C108,JURNAL!C:C,"&gt;="&amp;$M$3,JURNAL!C:C,"&lt;="&amp;$N$3)</f>
        <v>178200</v>
      </c>
      <c r="M108" s="19">
        <f>+SUMIFS(JURNAL!H:H,JURNAL!E:E,J108,JURNAL!L:L,$C108,JURNAL!C:C,"&gt;="&amp;$M$3,JURNAL!C:C,"&lt;="&amp;$N$3)</f>
        <v>178200</v>
      </c>
      <c r="N108" s="20">
        <f t="shared" si="14"/>
        <v>0</v>
      </c>
      <c r="O108" s="230">
        <f t="shared" si="15"/>
        <v>0</v>
      </c>
      <c r="P108" s="16">
        <f t="shared" si="16"/>
        <v>320100</v>
      </c>
      <c r="Q108" s="16">
        <f t="shared" si="17"/>
        <v>122000</v>
      </c>
      <c r="R108" s="230">
        <f t="shared" si="18"/>
        <v>0</v>
      </c>
    </row>
    <row r="109" spans="2:18">
      <c r="B109" s="15">
        <f t="shared" si="20"/>
        <v>104</v>
      </c>
      <c r="C109" s="16">
        <f>IFERROR(VLOOKUP(DATA!G107,DATA!$G$4:$J$2149,1,FALSE),"")</f>
        <v>3089</v>
      </c>
      <c r="D109" s="16" t="str">
        <f>+IFERROR(VLOOKUP(C109,DATA!$G$4:$H$2000,2,FALSE),"")</f>
        <v>ГУУЛИЙН ДӨШ ХХК</v>
      </c>
      <c r="E109" s="16">
        <v>122000</v>
      </c>
      <c r="G109" s="230">
        <f>+SUMIFS(JURNAL!G:G,JURNAL!E:E,E109,JURNAL!L:L,$C109,JURNAL!C:C,"&gt;="&amp;$M$3,JURNAL!C:C,"&lt;="&amp;$N$3)</f>
        <v>0</v>
      </c>
      <c r="H109" s="19">
        <f>+SUMIFS(JURNAL!H:H,JURNAL!E:E,E109,JURNAL!L:L,$C109,JURNAL!C:C,"&gt;="&amp;$M$3,JURNAL!C:C,"&lt;="&amp;$N$3)</f>
        <v>0</v>
      </c>
      <c r="I109" s="18">
        <f t="shared" si="13"/>
        <v>0</v>
      </c>
      <c r="J109" s="16">
        <v>320100</v>
      </c>
      <c r="L109" s="230">
        <f>+SUMIFS(JURNAL!G:G,JURNAL!E:E,J109,JURNAL!L:L,$C109,JURNAL!C:C,"&gt;="&amp;$M$3,JURNAL!C:C,"&lt;="&amp;$N$3)</f>
        <v>62700</v>
      </c>
      <c r="M109" s="19">
        <f>+SUMIFS(JURNAL!H:H,JURNAL!E:E,J109,JURNAL!L:L,$C109,JURNAL!C:C,"&gt;="&amp;$M$3,JURNAL!C:C,"&lt;="&amp;$N$3)</f>
        <v>62700</v>
      </c>
      <c r="N109" s="20">
        <f t="shared" si="14"/>
        <v>0</v>
      </c>
      <c r="O109" s="230">
        <f t="shared" si="15"/>
        <v>0</v>
      </c>
      <c r="P109" s="16">
        <f t="shared" si="16"/>
        <v>320100</v>
      </c>
      <c r="Q109" s="16">
        <f t="shared" si="17"/>
        <v>122000</v>
      </c>
      <c r="R109" s="230">
        <f t="shared" si="18"/>
        <v>0</v>
      </c>
    </row>
    <row r="110" spans="2:18">
      <c r="B110" s="15">
        <f t="shared" si="20"/>
        <v>105</v>
      </c>
      <c r="C110" s="16">
        <f>IFERROR(VLOOKUP(DATA!G108,DATA!$G$4:$J$2149,1,FALSE),"")</f>
        <v>3090</v>
      </c>
      <c r="D110" s="16" t="str">
        <f>+IFERROR(VLOOKUP(C110,DATA!$G$4:$H$2000,2,FALSE),"")</f>
        <v>ЭНХ ЭРХЭС ХХК</v>
      </c>
      <c r="E110" s="16">
        <v>122000</v>
      </c>
      <c r="G110" s="230">
        <f>+SUMIFS(JURNAL!G:G,JURNAL!E:E,E110,JURNAL!L:L,$C110,JURNAL!C:C,"&gt;="&amp;$M$3,JURNAL!C:C,"&lt;="&amp;$N$3)</f>
        <v>0</v>
      </c>
      <c r="H110" s="19">
        <f>+SUMIFS(JURNAL!H:H,JURNAL!E:E,E110,JURNAL!L:L,$C110,JURNAL!C:C,"&gt;="&amp;$M$3,JURNAL!C:C,"&lt;="&amp;$N$3)</f>
        <v>0</v>
      </c>
      <c r="I110" s="18">
        <f t="shared" si="13"/>
        <v>0</v>
      </c>
      <c r="J110" s="16">
        <v>320100</v>
      </c>
      <c r="L110" s="230">
        <f>+SUMIFS(JURNAL!G:G,JURNAL!E:E,J110,JURNAL!L:L,$C110,JURNAL!C:C,"&gt;="&amp;$M$3,JURNAL!C:C,"&lt;="&amp;$N$3)</f>
        <v>748000</v>
      </c>
      <c r="M110" s="19">
        <f>+SUMIFS(JURNAL!H:H,JURNAL!E:E,J110,JURNAL!L:L,$C110,JURNAL!C:C,"&gt;="&amp;$M$3,JURNAL!C:C,"&lt;="&amp;$N$3)</f>
        <v>748000</v>
      </c>
      <c r="N110" s="20">
        <f t="shared" si="14"/>
        <v>0</v>
      </c>
      <c r="O110" s="230">
        <f t="shared" si="15"/>
        <v>0</v>
      </c>
      <c r="P110" s="16">
        <f t="shared" si="16"/>
        <v>320100</v>
      </c>
      <c r="Q110" s="16">
        <f t="shared" si="17"/>
        <v>122000</v>
      </c>
      <c r="R110" s="230">
        <f t="shared" si="18"/>
        <v>0</v>
      </c>
    </row>
    <row r="111" spans="2:18">
      <c r="B111" s="15">
        <f t="shared" si="20"/>
        <v>106</v>
      </c>
      <c r="C111" s="16">
        <f>IFERROR(VLOOKUP(DATA!G109,DATA!$G$4:$J$2149,1,FALSE),"")</f>
        <v>3091</v>
      </c>
      <c r="D111" s="16" t="str">
        <f>+IFERROR(VLOOKUP(C111,DATA!$G$4:$H$2000,2,FALSE),"")</f>
        <v xml:space="preserve">ДЭРСТЭЙ ТАВАН САЛАА ХХК </v>
      </c>
      <c r="E111" s="16">
        <v>122000</v>
      </c>
      <c r="G111" s="230">
        <f>+SUMIFS(JURNAL!G:G,JURNAL!E:E,E111,JURNAL!L:L,$C111,JURNAL!C:C,"&gt;="&amp;$M$3,JURNAL!C:C,"&lt;="&amp;$N$3)</f>
        <v>0</v>
      </c>
      <c r="H111" s="19">
        <f>+SUMIFS(JURNAL!H:H,JURNAL!E:E,E111,JURNAL!L:L,$C111,JURNAL!C:C,"&gt;="&amp;$M$3,JURNAL!C:C,"&lt;="&amp;$N$3)</f>
        <v>0</v>
      </c>
      <c r="I111" s="18">
        <f t="shared" si="13"/>
        <v>0</v>
      </c>
      <c r="J111" s="16">
        <v>320100</v>
      </c>
      <c r="L111" s="230">
        <f>+SUMIFS(JURNAL!G:G,JURNAL!E:E,J111,JURNAL!L:L,$C111,JURNAL!C:C,"&gt;="&amp;$M$3,JURNAL!C:C,"&lt;="&amp;$N$3)</f>
        <v>201300</v>
      </c>
      <c r="M111" s="19">
        <f>+SUMIFS(JURNAL!H:H,JURNAL!E:E,J111,JURNAL!L:L,$C111,JURNAL!C:C,"&gt;="&amp;$M$3,JURNAL!C:C,"&lt;="&amp;$N$3)</f>
        <v>201300</v>
      </c>
      <c r="N111" s="20">
        <f t="shared" si="14"/>
        <v>0</v>
      </c>
      <c r="O111" s="230">
        <f t="shared" si="15"/>
        <v>0</v>
      </c>
      <c r="P111" s="16">
        <f t="shared" si="16"/>
        <v>320100</v>
      </c>
      <c r="Q111" s="16">
        <f t="shared" si="17"/>
        <v>122000</v>
      </c>
      <c r="R111" s="230">
        <f t="shared" si="18"/>
        <v>0</v>
      </c>
    </row>
    <row r="112" spans="2:18">
      <c r="B112" s="15">
        <f t="shared" si="20"/>
        <v>107</v>
      </c>
      <c r="C112" s="16">
        <f>IFERROR(VLOOKUP(DATA!G110,DATA!$G$4:$J$2149,1,FALSE),"")</f>
        <v>3092</v>
      </c>
      <c r="D112" s="16" t="str">
        <f>+IFERROR(VLOOKUP(C112,DATA!$G$4:$H$2000,2,FALSE),"")</f>
        <v>МӨНХ ВҮҮД ХХК</v>
      </c>
      <c r="E112" s="16">
        <v>122000</v>
      </c>
      <c r="G112" s="230">
        <f>+SUMIFS(JURNAL!G:G,JURNAL!E:E,E112,JURNAL!L:L,$C112,JURNAL!C:C,"&gt;="&amp;$M$3,JURNAL!C:C,"&lt;="&amp;$N$3)</f>
        <v>0</v>
      </c>
      <c r="H112" s="19">
        <f>+SUMIFS(JURNAL!H:H,JURNAL!E:E,E112,JURNAL!L:L,$C112,JURNAL!C:C,"&gt;="&amp;$M$3,JURNAL!C:C,"&lt;="&amp;$N$3)</f>
        <v>0</v>
      </c>
      <c r="I112" s="18">
        <f t="shared" si="13"/>
        <v>0</v>
      </c>
      <c r="J112" s="16">
        <v>320100</v>
      </c>
      <c r="L112" s="230">
        <f>+SUMIFS(JURNAL!G:G,JURNAL!E:E,J112,JURNAL!L:L,$C112,JURNAL!C:C,"&gt;="&amp;$M$3,JURNAL!C:C,"&lt;="&amp;$N$3)</f>
        <v>935000</v>
      </c>
      <c r="M112" s="19">
        <f>+SUMIFS(JURNAL!H:H,JURNAL!E:E,J112,JURNAL!L:L,$C112,JURNAL!C:C,"&gt;="&amp;$M$3,JURNAL!C:C,"&lt;="&amp;$N$3)</f>
        <v>935000</v>
      </c>
      <c r="N112" s="20">
        <f t="shared" si="14"/>
        <v>0</v>
      </c>
      <c r="O112" s="230">
        <f t="shared" si="15"/>
        <v>0</v>
      </c>
      <c r="P112" s="16">
        <f t="shared" si="16"/>
        <v>320100</v>
      </c>
      <c r="Q112" s="16">
        <f t="shared" si="17"/>
        <v>122000</v>
      </c>
      <c r="R112" s="230">
        <f t="shared" si="18"/>
        <v>0</v>
      </c>
    </row>
    <row r="113" spans="2:18">
      <c r="B113" s="15">
        <f t="shared" si="20"/>
        <v>108</v>
      </c>
      <c r="C113" s="16">
        <f>IFERROR(VLOOKUP(DATA!G111,DATA!$G$4:$J$2149,1,FALSE),"")</f>
        <v>3093</v>
      </c>
      <c r="D113" s="16" t="str">
        <f>+IFERROR(VLOOKUP(C113,DATA!$G$4:$H$2000,2,FALSE),"")</f>
        <v xml:space="preserve">НЬЮ ЭРА ТУР МОНГОЛИА ХХК </v>
      </c>
      <c r="E113" s="16">
        <v>122000</v>
      </c>
      <c r="G113" s="230">
        <f>+SUMIFS(JURNAL!G:G,JURNAL!E:E,E113,JURNAL!L:L,$C113,JURNAL!C:C,"&gt;="&amp;$M$3,JURNAL!C:C,"&lt;="&amp;$N$3)</f>
        <v>0</v>
      </c>
      <c r="H113" s="19">
        <f>+SUMIFS(JURNAL!H:H,JURNAL!E:E,E113,JURNAL!L:L,$C113,JURNAL!C:C,"&gt;="&amp;$M$3,JURNAL!C:C,"&lt;="&amp;$N$3)</f>
        <v>0</v>
      </c>
      <c r="I113" s="18">
        <f t="shared" si="13"/>
        <v>0</v>
      </c>
      <c r="J113" s="16">
        <v>320100</v>
      </c>
      <c r="L113" s="230">
        <f>+SUMIFS(JURNAL!G:G,JURNAL!E:E,J113,JURNAL!L:L,$C113,JURNAL!C:C,"&gt;="&amp;$M$3,JURNAL!C:C,"&lt;="&amp;$N$3)</f>
        <v>69319.999649999998</v>
      </c>
      <c r="M113" s="19">
        <f>+SUMIFS(JURNAL!H:H,JURNAL!E:E,J113,JURNAL!L:L,$C113,JURNAL!C:C,"&gt;="&amp;$M$3,JURNAL!C:C,"&lt;="&amp;$N$3)</f>
        <v>69320</v>
      </c>
      <c r="N113" s="20">
        <f t="shared" si="14"/>
        <v>3.5000000207219273E-4</v>
      </c>
      <c r="O113" s="230">
        <f t="shared" si="15"/>
        <v>0</v>
      </c>
      <c r="P113" s="16">
        <f t="shared" si="16"/>
        <v>320100</v>
      </c>
      <c r="Q113" s="16">
        <f t="shared" si="17"/>
        <v>122000</v>
      </c>
      <c r="R113" s="230">
        <f t="shared" si="18"/>
        <v>0</v>
      </c>
    </row>
    <row r="114" spans="2:18">
      <c r="B114" s="15">
        <f t="shared" si="20"/>
        <v>109</v>
      </c>
      <c r="C114" s="16">
        <f>IFERROR(VLOOKUP(DATA!G112,DATA!$G$4:$J$2149,1,FALSE),"")</f>
        <v>3094</v>
      </c>
      <c r="D114" s="16" t="str">
        <f>+IFERROR(VLOOKUP(C114,DATA!$G$4:$H$2000,2,FALSE),"")</f>
        <v xml:space="preserve">ТОД УНДАРГА ХХК </v>
      </c>
      <c r="E114" s="16">
        <v>122000</v>
      </c>
      <c r="G114" s="230">
        <f>+SUMIFS(JURNAL!G:G,JURNAL!E:E,E114,JURNAL!L:L,$C114,JURNAL!C:C,"&gt;="&amp;$M$3,JURNAL!C:C,"&lt;="&amp;$N$3)</f>
        <v>0</v>
      </c>
      <c r="H114" s="19">
        <f>+SUMIFS(JURNAL!H:H,JURNAL!E:E,E114,JURNAL!L:L,$C114,JURNAL!C:C,"&gt;="&amp;$M$3,JURNAL!C:C,"&lt;="&amp;$N$3)</f>
        <v>0</v>
      </c>
      <c r="I114" s="18">
        <f t="shared" si="13"/>
        <v>0</v>
      </c>
      <c r="J114" s="16">
        <v>320100</v>
      </c>
      <c r="L114" s="230">
        <f>+SUMIFS(JURNAL!G:G,JURNAL!E:E,J114,JURNAL!L:L,$C114,JURNAL!C:C,"&gt;="&amp;$M$3,JURNAL!C:C,"&lt;="&amp;$N$3)</f>
        <v>1038179.9981687199</v>
      </c>
      <c r="M114" s="19">
        <f>+SUMIFS(JURNAL!H:H,JURNAL!E:E,J114,JURNAL!L:L,$C114,JURNAL!C:C,"&gt;="&amp;$M$3,JURNAL!C:C,"&lt;="&amp;$N$3)</f>
        <v>1038180</v>
      </c>
      <c r="N114" s="20">
        <f t="shared" si="14"/>
        <v>1.8312800675630569E-3</v>
      </c>
      <c r="O114" s="230">
        <f t="shared" si="15"/>
        <v>0</v>
      </c>
      <c r="P114" s="16">
        <f t="shared" si="16"/>
        <v>320100</v>
      </c>
      <c r="Q114" s="16">
        <f t="shared" si="17"/>
        <v>122000</v>
      </c>
      <c r="R114" s="230">
        <f t="shared" si="18"/>
        <v>0</v>
      </c>
    </row>
    <row r="115" spans="2:18">
      <c r="B115" s="15">
        <f t="shared" si="20"/>
        <v>110</v>
      </c>
      <c r="C115" s="16">
        <f>IFERROR(VLOOKUP(DATA!G113,DATA!$G$4:$J$2149,1,FALSE),"")</f>
        <v>3095</v>
      </c>
      <c r="D115" s="16" t="str">
        <f>+IFERROR(VLOOKUP(C115,DATA!$G$4:$H$2000,2,FALSE),"")</f>
        <v xml:space="preserve">БАТС ӨРГӨӨ ХХК </v>
      </c>
      <c r="E115" s="16">
        <v>122000</v>
      </c>
      <c r="G115" s="230">
        <f>+SUMIFS(JURNAL!G:G,JURNAL!E:E,E115,JURNAL!L:L,$C115,JURNAL!C:C,"&gt;="&amp;$M$3,JURNAL!C:C,"&lt;="&amp;$N$3)</f>
        <v>0</v>
      </c>
      <c r="H115" s="19">
        <f>+SUMIFS(JURNAL!H:H,JURNAL!E:E,E115,JURNAL!L:L,$C115,JURNAL!C:C,"&gt;="&amp;$M$3,JURNAL!C:C,"&lt;="&amp;$N$3)</f>
        <v>0</v>
      </c>
      <c r="I115" s="18">
        <f t="shared" si="13"/>
        <v>0</v>
      </c>
      <c r="J115" s="16">
        <v>320100</v>
      </c>
      <c r="L115" s="230">
        <f>+SUMIFS(JURNAL!G:G,JURNAL!E:E,J115,JURNAL!L:L,$C115,JURNAL!C:C,"&gt;="&amp;$M$3,JURNAL!C:C,"&lt;="&amp;$N$3)</f>
        <v>278799.99910399999</v>
      </c>
      <c r="M115" s="19">
        <f>+SUMIFS(JURNAL!H:H,JURNAL!E:E,J115,JURNAL!L:L,$C115,JURNAL!C:C,"&gt;="&amp;$M$3,JURNAL!C:C,"&lt;="&amp;$N$3)</f>
        <v>278800</v>
      </c>
      <c r="N115" s="20">
        <f t="shared" si="14"/>
        <v>8.9600001228973269E-4</v>
      </c>
      <c r="O115" s="230">
        <f t="shared" si="15"/>
        <v>0</v>
      </c>
      <c r="P115" s="16">
        <f t="shared" si="16"/>
        <v>320100</v>
      </c>
      <c r="Q115" s="16">
        <f t="shared" si="17"/>
        <v>122000</v>
      </c>
      <c r="R115" s="230">
        <f t="shared" si="18"/>
        <v>0</v>
      </c>
    </row>
    <row r="116" spans="2:18">
      <c r="B116" s="15">
        <f t="shared" si="20"/>
        <v>111</v>
      </c>
      <c r="C116" s="16">
        <f>IFERROR(VLOOKUP(DATA!G114,DATA!$G$4:$J$2149,1,FALSE),"")</f>
        <v>3096</v>
      </c>
      <c r="D116" s="16" t="str">
        <f>+IFERROR(VLOOKUP(C116,DATA!$G$4:$H$2000,2,FALSE),"")</f>
        <v>ЭРДЭНЭДРИЙЛИНГ ХХК</v>
      </c>
      <c r="E116" s="16">
        <v>122000</v>
      </c>
      <c r="G116" s="230">
        <f>+SUMIFS(JURNAL!G:G,JURNAL!E:E,E116,JURNAL!L:L,$C116,JURNAL!C:C,"&gt;="&amp;$M$3,JURNAL!C:C,"&lt;="&amp;$N$3)</f>
        <v>0</v>
      </c>
      <c r="H116" s="19">
        <f>+SUMIFS(JURNAL!H:H,JURNAL!E:E,E116,JURNAL!L:L,$C116,JURNAL!C:C,"&gt;="&amp;$M$3,JURNAL!C:C,"&lt;="&amp;$N$3)</f>
        <v>0</v>
      </c>
      <c r="I116" s="18">
        <f t="shared" si="13"/>
        <v>0</v>
      </c>
      <c r="J116" s="16">
        <v>320100</v>
      </c>
      <c r="L116" s="230">
        <f>+SUMIFS(JURNAL!G:G,JURNAL!E:E,J116,JURNAL!L:L,$C116,JURNAL!C:C,"&gt;="&amp;$M$3,JURNAL!C:C,"&lt;="&amp;$N$3)</f>
        <v>11100000</v>
      </c>
      <c r="M116" s="19">
        <f>+SUMIFS(JURNAL!H:H,JURNAL!E:E,J116,JURNAL!L:L,$C116,JURNAL!C:C,"&gt;="&amp;$M$3,JURNAL!C:C,"&lt;="&amp;$N$3)</f>
        <v>11100000</v>
      </c>
      <c r="N116" s="20">
        <f t="shared" si="14"/>
        <v>0</v>
      </c>
      <c r="O116" s="230">
        <f t="shared" si="15"/>
        <v>0</v>
      </c>
      <c r="P116" s="16">
        <f t="shared" si="16"/>
        <v>320100</v>
      </c>
      <c r="Q116" s="16">
        <f t="shared" si="17"/>
        <v>122000</v>
      </c>
      <c r="R116" s="230">
        <f t="shared" si="18"/>
        <v>0</v>
      </c>
    </row>
    <row r="117" spans="2:18">
      <c r="B117" s="15">
        <f t="shared" si="20"/>
        <v>112</v>
      </c>
      <c r="C117" s="16">
        <f>IFERROR(VLOOKUP(DATA!G115,DATA!$G$4:$J$2149,1,FALSE),"")</f>
        <v>1001</v>
      </c>
      <c r="D117" s="16" t="str">
        <f>+IFERROR(VLOOKUP(C117,DATA!$G$4:$H$2000,2,FALSE),"")</f>
        <v xml:space="preserve">Энхбат </v>
      </c>
      <c r="E117" s="16">
        <v>122000</v>
      </c>
      <c r="G117" s="230">
        <f>+SUMIFS(JURNAL!G:G,JURNAL!E:E,E117,JURNAL!L:L,$C117,JURNAL!C:C,"&gt;="&amp;$M$3,JURNAL!C:C,"&lt;="&amp;$N$3)</f>
        <v>0</v>
      </c>
      <c r="H117" s="19">
        <f>+SUMIFS(JURNAL!H:H,JURNAL!E:E,E117,JURNAL!L:L,$C117,JURNAL!C:C,"&gt;="&amp;$M$3,JURNAL!C:C,"&lt;="&amp;$N$3)</f>
        <v>0</v>
      </c>
      <c r="I117" s="18">
        <f t="shared" si="13"/>
        <v>0</v>
      </c>
      <c r="J117" s="16">
        <v>320100</v>
      </c>
      <c r="L117" s="230">
        <f>+SUMIFS(JURNAL!G:G,JURNAL!E:E,J117,JURNAL!L:L,$C117,JURNAL!C:C,"&gt;="&amp;$M$3,JURNAL!C:C,"&lt;="&amp;$N$3)</f>
        <v>0</v>
      </c>
      <c r="M117" s="19">
        <f>+SUMIFS(JURNAL!H:H,JURNAL!E:E,J117,JURNAL!L:L,$C117,JURNAL!C:C,"&gt;="&amp;$M$3,JURNAL!C:C,"&lt;="&amp;$N$3)</f>
        <v>0</v>
      </c>
      <c r="N117" s="20">
        <f t="shared" si="14"/>
        <v>0</v>
      </c>
      <c r="O117" s="230">
        <f t="shared" si="15"/>
        <v>0</v>
      </c>
      <c r="P117" s="16">
        <f t="shared" si="16"/>
        <v>320100</v>
      </c>
      <c r="Q117" s="16">
        <f t="shared" si="17"/>
        <v>122000</v>
      </c>
      <c r="R117" s="230">
        <f t="shared" si="18"/>
        <v>0</v>
      </c>
    </row>
    <row r="118" spans="2:18">
      <c r="B118" s="15">
        <f t="shared" si="20"/>
        <v>113</v>
      </c>
      <c r="C118" s="16">
        <f>IFERROR(VLOOKUP(DATA!G116,DATA!$G$4:$J$2149,1,FALSE),"")</f>
        <v>1002</v>
      </c>
      <c r="D118" s="16" t="str">
        <f>+IFERROR(VLOOKUP(C118,DATA!$G$4:$H$2000,2,FALSE),"")</f>
        <v>Бурмаа</v>
      </c>
      <c r="E118" s="16">
        <v>122000</v>
      </c>
      <c r="G118" s="230">
        <f>+SUMIFS(JURNAL!G:G,JURNAL!E:E,E118,JURNAL!L:L,$C118,JURNAL!C:C,"&gt;="&amp;$M$3,JURNAL!C:C,"&lt;="&amp;$N$3)</f>
        <v>0</v>
      </c>
      <c r="H118" s="19">
        <f>+SUMIFS(JURNAL!H:H,JURNAL!E:E,E118,JURNAL!L:L,$C118,JURNAL!C:C,"&gt;="&amp;$M$3,JURNAL!C:C,"&lt;="&amp;$N$3)</f>
        <v>0</v>
      </c>
      <c r="I118" s="18">
        <f t="shared" si="13"/>
        <v>0</v>
      </c>
      <c r="J118" s="16">
        <v>320100</v>
      </c>
      <c r="L118" s="230">
        <f>+SUMIFS(JURNAL!G:G,JURNAL!E:E,J118,JURNAL!L:L,$C118,JURNAL!C:C,"&gt;="&amp;$M$3,JURNAL!C:C,"&lt;="&amp;$N$3)</f>
        <v>0</v>
      </c>
      <c r="M118" s="19">
        <f>+SUMIFS(JURNAL!H:H,JURNAL!E:E,J118,JURNAL!L:L,$C118,JURNAL!C:C,"&gt;="&amp;$M$3,JURNAL!C:C,"&lt;="&amp;$N$3)</f>
        <v>0</v>
      </c>
      <c r="N118" s="20">
        <f t="shared" si="14"/>
        <v>0</v>
      </c>
      <c r="O118" s="230">
        <f t="shared" si="15"/>
        <v>0</v>
      </c>
      <c r="P118" s="16">
        <f t="shared" si="16"/>
        <v>320100</v>
      </c>
      <c r="Q118" s="16">
        <f t="shared" si="17"/>
        <v>122000</v>
      </c>
      <c r="R118" s="230">
        <f t="shared" si="18"/>
        <v>0</v>
      </c>
    </row>
    <row r="119" spans="2:18">
      <c r="B119" s="15">
        <f t="shared" si="20"/>
        <v>114</v>
      </c>
      <c r="C119" s="16">
        <f>IFERROR(VLOOKUP(DATA!G117,DATA!$G$4:$J$2149,1,FALSE),"")</f>
        <v>1003</v>
      </c>
      <c r="D119" s="16" t="str">
        <f>+IFERROR(VLOOKUP(C119,DATA!$G$4:$H$2000,2,FALSE),"")</f>
        <v>Бахдамдэмбэрэл</v>
      </c>
      <c r="E119" s="16">
        <v>122000</v>
      </c>
      <c r="G119" s="230">
        <f>+SUMIFS(JURNAL!G:G,JURNAL!E:E,E119,JURNAL!L:L,$C119,JURNAL!C:C,"&gt;="&amp;$M$3,JURNAL!C:C,"&lt;="&amp;$N$3)</f>
        <v>0</v>
      </c>
      <c r="H119" s="19">
        <f>+SUMIFS(JURNAL!H:H,JURNAL!E:E,E119,JURNAL!L:L,$C119,JURNAL!C:C,"&gt;="&amp;$M$3,JURNAL!C:C,"&lt;="&amp;$N$3)</f>
        <v>0</v>
      </c>
      <c r="I119" s="18">
        <f t="shared" si="13"/>
        <v>0</v>
      </c>
      <c r="J119" s="16">
        <v>320100</v>
      </c>
      <c r="L119" s="230">
        <f>+SUMIFS(JURNAL!G:G,JURNAL!E:E,J119,JURNAL!L:L,$C119,JURNAL!C:C,"&gt;="&amp;$M$3,JURNAL!C:C,"&lt;="&amp;$N$3)</f>
        <v>0</v>
      </c>
      <c r="M119" s="19">
        <f>+SUMIFS(JURNAL!H:H,JURNAL!E:E,J119,JURNAL!L:L,$C119,JURNAL!C:C,"&gt;="&amp;$M$3,JURNAL!C:C,"&lt;="&amp;$N$3)</f>
        <v>0</v>
      </c>
      <c r="N119" s="20">
        <f t="shared" si="14"/>
        <v>0</v>
      </c>
      <c r="O119" s="230">
        <f t="shared" si="15"/>
        <v>0</v>
      </c>
      <c r="P119" s="16">
        <f t="shared" si="16"/>
        <v>320100</v>
      </c>
      <c r="Q119" s="16">
        <f t="shared" si="17"/>
        <v>122000</v>
      </c>
      <c r="R119" s="230">
        <f t="shared" si="18"/>
        <v>0</v>
      </c>
    </row>
    <row r="120" spans="2:18">
      <c r="B120" s="15">
        <f t="shared" si="20"/>
        <v>115</v>
      </c>
      <c r="C120" s="16">
        <f>IFERROR(VLOOKUP(DATA!G118,DATA!$G$4:$J$2149,1,FALSE),"")</f>
        <v>1004</v>
      </c>
      <c r="D120" s="16" t="str">
        <f>+IFERROR(VLOOKUP(C120,DATA!$G$4:$H$2000,2,FALSE),"")</f>
        <v xml:space="preserve">Түмэндэлгэр </v>
      </c>
      <c r="E120" s="16">
        <v>122000</v>
      </c>
      <c r="G120" s="230">
        <f>+SUMIFS(JURNAL!G:G,JURNAL!E:E,E120,JURNAL!L:L,$C120,JURNAL!C:C,"&gt;="&amp;$M$3,JURNAL!C:C,"&lt;="&amp;$N$3)</f>
        <v>0</v>
      </c>
      <c r="H120" s="19">
        <f>+SUMIFS(JURNAL!H:H,JURNAL!E:E,E120,JURNAL!L:L,$C120,JURNAL!C:C,"&gt;="&amp;$M$3,JURNAL!C:C,"&lt;="&amp;$N$3)</f>
        <v>0</v>
      </c>
      <c r="I120" s="18">
        <f t="shared" si="13"/>
        <v>0</v>
      </c>
      <c r="J120" s="16">
        <v>320100</v>
      </c>
      <c r="L120" s="230">
        <f>+SUMIFS(JURNAL!G:G,JURNAL!E:E,J120,JURNAL!L:L,$C120,JURNAL!C:C,"&gt;="&amp;$M$3,JURNAL!C:C,"&lt;="&amp;$N$3)</f>
        <v>0</v>
      </c>
      <c r="M120" s="19">
        <f>+SUMIFS(JURNAL!H:H,JURNAL!E:E,J120,JURNAL!L:L,$C120,JURNAL!C:C,"&gt;="&amp;$M$3,JURNAL!C:C,"&lt;="&amp;$N$3)</f>
        <v>0</v>
      </c>
      <c r="N120" s="20">
        <f t="shared" si="14"/>
        <v>0</v>
      </c>
      <c r="O120" s="230">
        <f t="shared" si="15"/>
        <v>0</v>
      </c>
      <c r="P120" s="16">
        <f t="shared" si="16"/>
        <v>320100</v>
      </c>
      <c r="Q120" s="16">
        <f t="shared" si="17"/>
        <v>122000</v>
      </c>
      <c r="R120" s="230">
        <f t="shared" si="18"/>
        <v>0</v>
      </c>
    </row>
    <row r="121" spans="2:18">
      <c r="B121" s="15">
        <f t="shared" si="20"/>
        <v>116</v>
      </c>
      <c r="C121" s="16">
        <f>IFERROR(VLOOKUP(DATA!G119,DATA!$G$4:$J$2149,1,FALSE),"")</f>
        <v>1005</v>
      </c>
      <c r="D121" s="16" t="str">
        <f>+IFERROR(VLOOKUP(C121,DATA!$G$4:$H$2000,2,FALSE),"")</f>
        <v>Золжаргал</v>
      </c>
      <c r="E121" s="16">
        <v>122000</v>
      </c>
      <c r="G121" s="230">
        <f>+SUMIFS(JURNAL!G:G,JURNAL!E:E,E121,JURNAL!L:L,$C121,JURNAL!C:C,"&gt;="&amp;$M$3,JURNAL!C:C,"&lt;="&amp;$N$3)</f>
        <v>0</v>
      </c>
      <c r="H121" s="19">
        <f>+SUMIFS(JURNAL!H:H,JURNAL!E:E,E121,JURNAL!L:L,$C121,JURNAL!C:C,"&gt;="&amp;$M$3,JURNAL!C:C,"&lt;="&amp;$N$3)</f>
        <v>0</v>
      </c>
      <c r="I121" s="18">
        <f t="shared" si="13"/>
        <v>0</v>
      </c>
      <c r="J121" s="16">
        <v>320100</v>
      </c>
      <c r="L121" s="230">
        <f>+SUMIFS(JURNAL!G:G,JURNAL!E:E,J121,JURNAL!L:L,$C121,JURNAL!C:C,"&gt;="&amp;$M$3,JURNAL!C:C,"&lt;="&amp;$N$3)</f>
        <v>0</v>
      </c>
      <c r="M121" s="19">
        <f>+SUMIFS(JURNAL!H:H,JURNAL!E:E,J121,JURNAL!L:L,$C121,JURNAL!C:C,"&gt;="&amp;$M$3,JURNAL!C:C,"&lt;="&amp;$N$3)</f>
        <v>0</v>
      </c>
      <c r="N121" s="20">
        <f t="shared" si="14"/>
        <v>0</v>
      </c>
      <c r="O121" s="230">
        <f t="shared" si="15"/>
        <v>0</v>
      </c>
      <c r="P121" s="16">
        <f t="shared" si="16"/>
        <v>320100</v>
      </c>
      <c r="Q121" s="16">
        <f t="shared" si="17"/>
        <v>122000</v>
      </c>
      <c r="R121" s="230">
        <f t="shared" si="18"/>
        <v>0</v>
      </c>
    </row>
    <row r="122" spans="2:18">
      <c r="B122" s="15">
        <f t="shared" si="20"/>
        <v>117</v>
      </c>
      <c r="C122" s="16">
        <f>IFERROR(VLOOKUP(DATA!G120,DATA!$G$4:$J$2149,1,FALSE),"")</f>
        <v>1006</v>
      </c>
      <c r="D122" s="16" t="str">
        <f>+IFERROR(VLOOKUP(C122,DATA!$G$4:$H$2000,2,FALSE),"")</f>
        <v>Оюундэлгэр /нярав/</v>
      </c>
      <c r="E122" s="16">
        <v>122000</v>
      </c>
      <c r="G122" s="230">
        <f>+SUMIFS(JURNAL!G:G,JURNAL!E:E,E122,JURNAL!L:L,$C122,JURNAL!C:C,"&gt;="&amp;$M$3,JURNAL!C:C,"&lt;="&amp;$N$3)</f>
        <v>0</v>
      </c>
      <c r="H122" s="19">
        <f>+SUMIFS(JURNAL!H:H,JURNAL!E:E,E122,JURNAL!L:L,$C122,JURNAL!C:C,"&gt;="&amp;$M$3,JURNAL!C:C,"&lt;="&amp;$N$3)</f>
        <v>0</v>
      </c>
      <c r="I122" s="18">
        <f t="shared" si="13"/>
        <v>0</v>
      </c>
      <c r="J122" s="16">
        <v>320100</v>
      </c>
      <c r="L122" s="230">
        <f>+SUMIFS(JURNAL!G:G,JURNAL!E:E,J122,JURNAL!L:L,$C122,JURNAL!C:C,"&gt;="&amp;$M$3,JURNAL!C:C,"&lt;="&amp;$N$3)</f>
        <v>0</v>
      </c>
      <c r="M122" s="19">
        <f>+SUMIFS(JURNAL!H:H,JURNAL!E:E,J122,JURNAL!L:L,$C122,JURNAL!C:C,"&gt;="&amp;$M$3,JURNAL!C:C,"&lt;="&amp;$N$3)</f>
        <v>0</v>
      </c>
      <c r="N122" s="20">
        <f t="shared" si="14"/>
        <v>0</v>
      </c>
      <c r="O122" s="230">
        <f t="shared" si="15"/>
        <v>0</v>
      </c>
      <c r="P122" s="16">
        <f t="shared" si="16"/>
        <v>320100</v>
      </c>
      <c r="Q122" s="16">
        <f t="shared" si="17"/>
        <v>122000</v>
      </c>
      <c r="R122" s="230">
        <f t="shared" si="18"/>
        <v>0</v>
      </c>
    </row>
    <row r="123" spans="2:18">
      <c r="B123" s="15">
        <f t="shared" si="20"/>
        <v>118</v>
      </c>
      <c r="C123" s="16">
        <f>IFERROR(VLOOKUP(DATA!G121,DATA!$G$4:$J$2149,1,FALSE),"")</f>
        <v>1007</v>
      </c>
      <c r="D123" s="16" t="str">
        <f>+IFERROR(VLOOKUP(C123,DATA!$G$4:$H$2000,2,FALSE),"")</f>
        <v xml:space="preserve">Нэргүй </v>
      </c>
      <c r="E123" s="16">
        <v>122000</v>
      </c>
      <c r="G123" s="230">
        <f>+SUMIFS(JURNAL!G:G,JURNAL!E:E,E123,JURNAL!L:L,$C123,JURNAL!C:C,"&gt;="&amp;$M$3,JURNAL!C:C,"&lt;="&amp;$N$3)</f>
        <v>0</v>
      </c>
      <c r="H123" s="19">
        <f>+SUMIFS(JURNAL!H:H,JURNAL!E:E,E123,JURNAL!L:L,$C123,JURNAL!C:C,"&gt;="&amp;$M$3,JURNAL!C:C,"&lt;="&amp;$N$3)</f>
        <v>0</v>
      </c>
      <c r="I123" s="18">
        <f t="shared" si="13"/>
        <v>0</v>
      </c>
      <c r="J123" s="16">
        <v>320100</v>
      </c>
      <c r="L123" s="230">
        <f>+SUMIFS(JURNAL!G:G,JURNAL!E:E,J123,JURNAL!L:L,$C123,JURNAL!C:C,"&gt;="&amp;$M$3,JURNAL!C:C,"&lt;="&amp;$N$3)</f>
        <v>0</v>
      </c>
      <c r="M123" s="19">
        <f>+SUMIFS(JURNAL!H:H,JURNAL!E:E,J123,JURNAL!L:L,$C123,JURNAL!C:C,"&gt;="&amp;$M$3,JURNAL!C:C,"&lt;="&amp;$N$3)</f>
        <v>0</v>
      </c>
      <c r="N123" s="20">
        <f t="shared" si="14"/>
        <v>0</v>
      </c>
      <c r="O123" s="230">
        <f t="shared" si="15"/>
        <v>0</v>
      </c>
      <c r="P123" s="16">
        <f t="shared" si="16"/>
        <v>320100</v>
      </c>
      <c r="Q123" s="16">
        <f t="shared" si="17"/>
        <v>122000</v>
      </c>
      <c r="R123" s="230">
        <f t="shared" si="18"/>
        <v>0</v>
      </c>
    </row>
    <row r="124" spans="2:18">
      <c r="B124" s="15">
        <f t="shared" si="20"/>
        <v>119</v>
      </c>
      <c r="C124" s="16">
        <f>IFERROR(VLOOKUP(DATA!G122,DATA!$G$4:$J$2149,1,FALSE),"")</f>
        <v>3097</v>
      </c>
      <c r="D124" s="16" t="str">
        <f>+IFERROR(VLOOKUP(C124,DATA!$G$4:$H$2000,2,FALSE),"")</f>
        <v xml:space="preserve">ХӨВСГӨЛ ТРЕЙВЛ ХХК </v>
      </c>
      <c r="E124" s="16">
        <v>122000</v>
      </c>
      <c r="G124" s="230">
        <f>+SUMIFS(JURNAL!G:G,JURNAL!E:E,E124,JURNAL!L:L,$C124,JURNAL!C:C,"&gt;="&amp;$M$3,JURNAL!C:C,"&lt;="&amp;$N$3)</f>
        <v>0</v>
      </c>
      <c r="H124" s="19">
        <f>+SUMIFS(JURNAL!H:H,JURNAL!E:E,E124,JURNAL!L:L,$C124,JURNAL!C:C,"&gt;="&amp;$M$3,JURNAL!C:C,"&lt;="&amp;$N$3)</f>
        <v>0</v>
      </c>
      <c r="I124" s="18">
        <f t="shared" si="13"/>
        <v>0</v>
      </c>
      <c r="J124" s="16">
        <v>320100</v>
      </c>
      <c r="L124" s="230">
        <f>+SUMIFS(JURNAL!G:G,JURNAL!E:E,J124,JURNAL!L:L,$C124,JURNAL!C:C,"&gt;="&amp;$M$3,JURNAL!C:C,"&lt;="&amp;$N$3)</f>
        <v>564300</v>
      </c>
      <c r="M124" s="19">
        <f>+SUMIFS(JURNAL!H:H,JURNAL!E:E,J124,JURNAL!L:L,$C124,JURNAL!C:C,"&gt;="&amp;$M$3,JURNAL!C:C,"&lt;="&amp;$N$3)</f>
        <v>564300</v>
      </c>
      <c r="N124" s="20">
        <f t="shared" si="14"/>
        <v>0</v>
      </c>
      <c r="O124" s="230">
        <f t="shared" si="15"/>
        <v>0</v>
      </c>
      <c r="P124" s="16">
        <f t="shared" si="16"/>
        <v>320100</v>
      </c>
      <c r="Q124" s="16">
        <f t="shared" si="17"/>
        <v>122000</v>
      </c>
      <c r="R124" s="230">
        <f t="shared" si="18"/>
        <v>0</v>
      </c>
    </row>
    <row r="125" spans="2:18">
      <c r="B125" s="15">
        <f t="shared" si="20"/>
        <v>120</v>
      </c>
      <c r="C125" s="16">
        <f>IFERROR(VLOOKUP(DATA!G123,DATA!$G$4:$J$2149,1,FALSE),"")</f>
        <v>3098</v>
      </c>
      <c r="D125" s="16" t="str">
        <f>+IFERROR(VLOOKUP(C125,DATA!$G$4:$H$2000,2,FALSE),"")</f>
        <v xml:space="preserve">ЭБСО ХХК </v>
      </c>
      <c r="E125" s="16">
        <v>122000</v>
      </c>
      <c r="G125" s="230">
        <f>+SUMIFS(JURNAL!G:G,JURNAL!E:E,E125,JURNAL!L:L,$C125,JURNAL!C:C,"&gt;="&amp;$M$3,JURNAL!C:C,"&lt;="&amp;$N$3)</f>
        <v>0</v>
      </c>
      <c r="H125" s="19">
        <f>+SUMIFS(JURNAL!H:H,JURNAL!E:E,E125,JURNAL!L:L,$C125,JURNAL!C:C,"&gt;="&amp;$M$3,JURNAL!C:C,"&lt;="&amp;$N$3)</f>
        <v>0</v>
      </c>
      <c r="I125" s="18">
        <f t="shared" si="13"/>
        <v>0</v>
      </c>
      <c r="J125" s="16">
        <v>320100</v>
      </c>
      <c r="L125" s="230">
        <f>+SUMIFS(JURNAL!G:G,JURNAL!E:E,J125,JURNAL!L:L,$C125,JURNAL!C:C,"&gt;="&amp;$M$3,JURNAL!C:C,"&lt;="&amp;$N$3)</f>
        <v>94050</v>
      </c>
      <c r="M125" s="19">
        <f>+SUMIFS(JURNAL!H:H,JURNAL!E:E,J125,JURNAL!L:L,$C125,JURNAL!C:C,"&gt;="&amp;$M$3,JURNAL!C:C,"&lt;="&amp;$N$3)</f>
        <v>94050</v>
      </c>
      <c r="N125" s="20">
        <f t="shared" si="14"/>
        <v>0</v>
      </c>
      <c r="O125" s="230">
        <f t="shared" si="15"/>
        <v>0</v>
      </c>
      <c r="P125" s="16">
        <f t="shared" si="16"/>
        <v>320100</v>
      </c>
      <c r="Q125" s="16">
        <f t="shared" si="17"/>
        <v>122000</v>
      </c>
      <c r="R125" s="230">
        <f t="shared" si="18"/>
        <v>0</v>
      </c>
    </row>
    <row r="126" spans="2:18">
      <c r="B126" s="15">
        <f t="shared" ref="B126:B133" si="21">+IF(C126="","",ROW()-5)</f>
        <v>121</v>
      </c>
      <c r="C126" s="16">
        <f>IFERROR(VLOOKUP(DATA!G124,DATA!$G$4:$J$2149,1,FALSE),"")</f>
        <v>3099</v>
      </c>
      <c r="D126" s="16" t="str">
        <f>+IFERROR(VLOOKUP(C126,DATA!$G$4:$H$2000,2,FALSE),"")</f>
        <v>ÃÐÀÍÄ ÑËÀÁ ÕÕÊ</v>
      </c>
      <c r="E126" s="16">
        <v>122000</v>
      </c>
      <c r="G126" s="230">
        <f>+SUMIFS(JURNAL!G:G,JURNAL!E:E,E126,JURNAL!L:L,$C126,JURNAL!C:C,"&gt;="&amp;$M$3,JURNAL!C:C,"&lt;="&amp;$N$3)</f>
        <v>12860000</v>
      </c>
      <c r="H126" s="19">
        <f>+SUMIFS(JURNAL!H:H,JURNAL!E:E,E126,JURNAL!L:L,$C126,JURNAL!C:C,"&gt;="&amp;$M$3,JURNAL!C:C,"&lt;="&amp;$N$3)</f>
        <v>12860000</v>
      </c>
      <c r="I126" s="18">
        <f t="shared" ref="I126:I137" si="22">+F126+G126-H126</f>
        <v>0</v>
      </c>
      <c r="J126" s="16">
        <v>320100</v>
      </c>
      <c r="L126" s="230">
        <f>+SUMIFS(JURNAL!G:G,JURNAL!E:E,J126,JURNAL!L:L,$C126,JURNAL!C:C,"&gt;="&amp;$M$3,JURNAL!C:C,"&lt;="&amp;$N$3)</f>
        <v>19360000</v>
      </c>
      <c r="M126" s="19">
        <f>+SUMIFS(JURNAL!H:H,JURNAL!E:E,J126,JURNAL!L:L,$C126,JURNAL!C:C,"&gt;="&amp;$M$3,JURNAL!C:C,"&lt;="&amp;$N$3)</f>
        <v>19360000</v>
      </c>
      <c r="N126" s="20">
        <f t="shared" ref="N126:N137" si="23">+K126+M126-L126</f>
        <v>0</v>
      </c>
      <c r="O126" s="230">
        <f t="shared" ref="O126:O137" si="24">+IF(I126&lt;N126,I126,N126)</f>
        <v>0</v>
      </c>
      <c r="P126" s="16">
        <f t="shared" ref="P126:P137" si="25">+J126</f>
        <v>320100</v>
      </c>
      <c r="Q126" s="16">
        <f t="shared" ref="Q126:Q137" si="26">+E126</f>
        <v>122000</v>
      </c>
      <c r="R126" s="230">
        <f t="shared" ref="R126:R137" si="27">+IF(O126,1,0)</f>
        <v>0</v>
      </c>
    </row>
    <row r="127" spans="2:18">
      <c r="B127" s="15">
        <f t="shared" si="21"/>
        <v>122</v>
      </c>
      <c r="C127" s="16">
        <f>IFERROR(VLOOKUP(DATA!G125,DATA!$G$4:$J$2149,1,FALSE),"")</f>
        <v>3100</v>
      </c>
      <c r="D127" s="16" t="str">
        <f>+IFERROR(VLOOKUP(C127,DATA!$G$4:$H$2000,2,FALSE),"")</f>
        <v xml:space="preserve">УЛЬТРАСОНИК ХХК </v>
      </c>
      <c r="E127" s="16">
        <v>122000</v>
      </c>
      <c r="G127" s="230">
        <f>+SUMIFS(JURNAL!G:G,JURNAL!E:E,E127,JURNAL!L:L,$C127,JURNAL!C:C,"&gt;="&amp;$M$3,JURNAL!C:C,"&lt;="&amp;$N$3)</f>
        <v>0</v>
      </c>
      <c r="H127" s="19">
        <f>+SUMIFS(JURNAL!H:H,JURNAL!E:E,E127,JURNAL!L:L,$C127,JURNAL!C:C,"&gt;="&amp;$M$3,JURNAL!C:C,"&lt;="&amp;$N$3)</f>
        <v>0</v>
      </c>
      <c r="I127" s="18">
        <f t="shared" si="22"/>
        <v>0</v>
      </c>
      <c r="J127" s="16">
        <v>320100</v>
      </c>
      <c r="L127" s="230">
        <f>+SUMIFS(JURNAL!G:G,JURNAL!E:E,J127,JURNAL!L:L,$C127,JURNAL!C:C,"&gt;="&amp;$M$3,JURNAL!C:C,"&lt;="&amp;$N$3)</f>
        <v>104000</v>
      </c>
      <c r="M127" s="19">
        <f>+SUMIFS(JURNAL!H:H,JURNAL!E:E,J127,JURNAL!L:L,$C127,JURNAL!C:C,"&gt;="&amp;$M$3,JURNAL!C:C,"&lt;="&amp;$N$3)</f>
        <v>104000</v>
      </c>
      <c r="N127" s="20">
        <f t="shared" si="23"/>
        <v>0</v>
      </c>
      <c r="O127" s="230">
        <f t="shared" si="24"/>
        <v>0</v>
      </c>
      <c r="P127" s="16">
        <f t="shared" si="25"/>
        <v>320100</v>
      </c>
      <c r="Q127" s="16">
        <f t="shared" si="26"/>
        <v>122000</v>
      </c>
      <c r="R127" s="230">
        <f t="shared" si="27"/>
        <v>0</v>
      </c>
    </row>
    <row r="128" spans="2:18">
      <c r="B128" s="15">
        <f t="shared" si="21"/>
        <v>123</v>
      </c>
      <c r="C128" s="16">
        <f>IFERROR(VLOOKUP(DATA!G126,DATA!$G$4:$J$2149,1,FALSE),"")</f>
        <v>3101</v>
      </c>
      <c r="D128" s="16" t="str">
        <f>+IFERROR(VLOOKUP(C128,DATA!$G$4:$H$2000,2,FALSE),"")</f>
        <v xml:space="preserve">АЛТАН ТАРИА ХХК </v>
      </c>
      <c r="E128" s="16">
        <v>122000</v>
      </c>
      <c r="G128" s="230">
        <f>+SUMIFS(JURNAL!G:G,JURNAL!E:E,E128,JURNAL!L:L,$C128,JURNAL!C:C,"&gt;="&amp;$M$3,JURNAL!C:C,"&lt;="&amp;$N$3)</f>
        <v>0</v>
      </c>
      <c r="H128" s="19">
        <f>+SUMIFS(JURNAL!H:H,JURNAL!E:E,E128,JURNAL!L:L,$C128,JURNAL!C:C,"&gt;="&amp;$M$3,JURNAL!C:C,"&lt;="&amp;$N$3)</f>
        <v>0</v>
      </c>
      <c r="I128" s="18">
        <f t="shared" si="22"/>
        <v>0</v>
      </c>
      <c r="J128" s="16">
        <v>320100</v>
      </c>
      <c r="L128" s="230">
        <f>+SUMIFS(JURNAL!G:G,JURNAL!E:E,J128,JURNAL!L:L,$C128,JURNAL!C:C,"&gt;="&amp;$M$3,JURNAL!C:C,"&lt;="&amp;$N$3)</f>
        <v>596145</v>
      </c>
      <c r="M128" s="19">
        <f>+SUMIFS(JURNAL!H:H,JURNAL!E:E,J128,JURNAL!L:L,$C128,JURNAL!C:C,"&gt;="&amp;$M$3,JURNAL!C:C,"&lt;="&amp;$N$3)</f>
        <v>596145</v>
      </c>
      <c r="N128" s="20">
        <f t="shared" si="23"/>
        <v>0</v>
      </c>
      <c r="O128" s="230">
        <f t="shared" si="24"/>
        <v>0</v>
      </c>
      <c r="P128" s="16">
        <f t="shared" si="25"/>
        <v>320100</v>
      </c>
      <c r="Q128" s="16">
        <f t="shared" si="26"/>
        <v>122000</v>
      </c>
      <c r="R128" s="230">
        <f t="shared" si="27"/>
        <v>0</v>
      </c>
    </row>
    <row r="129" spans="2:18">
      <c r="B129" s="15">
        <f t="shared" si="21"/>
        <v>124</v>
      </c>
      <c r="C129" s="16">
        <f>IFERROR(VLOOKUP(DATA!G127,DATA!$G$4:$J$2149,1,FALSE),"")</f>
        <v>3102</v>
      </c>
      <c r="D129" s="16" t="str">
        <f>+IFERROR(VLOOKUP(C129,DATA!$G$4:$H$2000,2,FALSE),"")</f>
        <v xml:space="preserve">ВОРК ШОП ХХК </v>
      </c>
      <c r="E129" s="16">
        <v>122000</v>
      </c>
      <c r="G129" s="230">
        <f>+SUMIFS(JURNAL!G:G,JURNAL!E:E,E129,JURNAL!L:L,$C129,JURNAL!C:C,"&gt;="&amp;$M$3,JURNAL!C:C,"&lt;="&amp;$N$3)</f>
        <v>0</v>
      </c>
      <c r="H129" s="19">
        <f>+SUMIFS(JURNAL!H:H,JURNAL!E:E,E129,JURNAL!L:L,$C129,JURNAL!C:C,"&gt;="&amp;$M$3,JURNAL!C:C,"&lt;="&amp;$N$3)</f>
        <v>0</v>
      </c>
      <c r="I129" s="18">
        <f t="shared" si="22"/>
        <v>0</v>
      </c>
      <c r="J129" s="16">
        <v>320100</v>
      </c>
      <c r="L129" s="230">
        <f>+SUMIFS(JURNAL!G:G,JURNAL!E:E,J129,JURNAL!L:L,$C129,JURNAL!C:C,"&gt;="&amp;$M$3,JURNAL!C:C,"&lt;="&amp;$N$3)</f>
        <v>132000</v>
      </c>
      <c r="M129" s="19">
        <f>+SUMIFS(JURNAL!H:H,JURNAL!E:E,J129,JURNAL!L:L,$C129,JURNAL!C:C,"&gt;="&amp;$M$3,JURNAL!C:C,"&lt;="&amp;$N$3)</f>
        <v>132000</v>
      </c>
      <c r="N129" s="20">
        <f t="shared" si="23"/>
        <v>0</v>
      </c>
      <c r="O129" s="230">
        <f t="shared" si="24"/>
        <v>0</v>
      </c>
      <c r="P129" s="16">
        <f t="shared" si="25"/>
        <v>320100</v>
      </c>
      <c r="Q129" s="16">
        <f t="shared" si="26"/>
        <v>122000</v>
      </c>
      <c r="R129" s="230">
        <f t="shared" si="27"/>
        <v>0</v>
      </c>
    </row>
    <row r="130" spans="2:18">
      <c r="B130" s="15">
        <f t="shared" si="21"/>
        <v>125</v>
      </c>
      <c r="C130" s="16">
        <f>IFERROR(VLOOKUP(DATA!G128,DATA!$G$4:$J$2149,1,FALSE),"")</f>
        <v>3103</v>
      </c>
      <c r="D130" s="16" t="str">
        <f>+IFERROR(VLOOKUP(C130,DATA!$G$4:$H$2000,2,FALSE),"")</f>
        <v xml:space="preserve">СКАЙ ФОРТУН ХХК </v>
      </c>
      <c r="E130" s="16">
        <v>122000</v>
      </c>
      <c r="G130" s="230">
        <f>+SUMIFS(JURNAL!G:G,JURNAL!E:E,E130,JURNAL!L:L,$C130,JURNAL!C:C,"&gt;="&amp;$M$3,JURNAL!C:C,"&lt;="&amp;$N$3)</f>
        <v>0</v>
      </c>
      <c r="H130" s="19">
        <f>+SUMIFS(JURNAL!H:H,JURNAL!E:E,E130,JURNAL!L:L,$C130,JURNAL!C:C,"&gt;="&amp;$M$3,JURNAL!C:C,"&lt;="&amp;$N$3)</f>
        <v>0</v>
      </c>
      <c r="I130" s="18">
        <f t="shared" si="22"/>
        <v>0</v>
      </c>
      <c r="J130" s="16">
        <v>320100</v>
      </c>
      <c r="L130" s="230">
        <f>+SUMIFS(JURNAL!G:G,JURNAL!E:E,J130,JURNAL!L:L,$C130,JURNAL!C:C,"&gt;="&amp;$M$3,JURNAL!C:C,"&lt;="&amp;$N$3)</f>
        <v>880000</v>
      </c>
      <c r="M130" s="19">
        <f>+SUMIFS(JURNAL!H:H,JURNAL!E:E,J130,JURNAL!L:L,$C130,JURNAL!C:C,"&gt;="&amp;$M$3,JURNAL!C:C,"&lt;="&amp;$N$3)</f>
        <v>880000</v>
      </c>
      <c r="N130" s="20">
        <f t="shared" si="23"/>
        <v>0</v>
      </c>
      <c r="O130" s="230">
        <f t="shared" si="24"/>
        <v>0</v>
      </c>
      <c r="P130" s="16">
        <f t="shared" si="25"/>
        <v>320100</v>
      </c>
      <c r="Q130" s="16">
        <f t="shared" si="26"/>
        <v>122000</v>
      </c>
      <c r="R130" s="230">
        <f t="shared" si="27"/>
        <v>0</v>
      </c>
    </row>
    <row r="131" spans="2:18">
      <c r="B131" s="15">
        <f t="shared" si="21"/>
        <v>126</v>
      </c>
      <c r="C131" s="16">
        <f>IFERROR(VLOOKUP(DATA!G129,DATA!$G$4:$J$2149,1,FALSE),"")</f>
        <v>3104</v>
      </c>
      <c r="D131" s="16" t="str">
        <f>+IFERROR(VLOOKUP(C131,DATA!$G$4:$H$2000,2,FALSE),"")</f>
        <v>ХҮРЭЭ ЦАМХАГ ХХК</v>
      </c>
      <c r="E131" s="16">
        <v>122000</v>
      </c>
      <c r="G131" s="230">
        <f>+SUMIFS(JURNAL!G:G,JURNAL!E:E,E131,JURNAL!L:L,$C131,JURNAL!C:C,"&gt;="&amp;$M$3,JURNAL!C:C,"&lt;="&amp;$N$3)</f>
        <v>0</v>
      </c>
      <c r="H131" s="19">
        <f>+SUMIFS(JURNAL!H:H,JURNAL!E:E,E131,JURNAL!L:L,$C131,JURNAL!C:C,"&gt;="&amp;$M$3,JURNAL!C:C,"&lt;="&amp;$N$3)</f>
        <v>0</v>
      </c>
      <c r="I131" s="18">
        <f t="shared" si="22"/>
        <v>0</v>
      </c>
      <c r="J131" s="16">
        <v>320100</v>
      </c>
      <c r="L131" s="230">
        <f>+SUMIFS(JURNAL!G:G,JURNAL!E:E,J131,JURNAL!L:L,$C131,JURNAL!C:C,"&gt;="&amp;$M$3,JURNAL!C:C,"&lt;="&amp;$N$3)</f>
        <v>4686000</v>
      </c>
      <c r="M131" s="19">
        <f>+SUMIFS(JURNAL!H:H,JURNAL!E:E,J131,JURNAL!L:L,$C131,JURNAL!C:C,"&gt;="&amp;$M$3,JURNAL!C:C,"&lt;="&amp;$N$3)</f>
        <v>4686000</v>
      </c>
      <c r="N131" s="20">
        <f t="shared" si="23"/>
        <v>0</v>
      </c>
      <c r="O131" s="230">
        <f t="shared" si="24"/>
        <v>0</v>
      </c>
      <c r="P131" s="16">
        <f t="shared" si="25"/>
        <v>320100</v>
      </c>
      <c r="Q131" s="16">
        <f t="shared" si="26"/>
        <v>122000</v>
      </c>
      <c r="R131" s="230">
        <f t="shared" si="27"/>
        <v>0</v>
      </c>
    </row>
    <row r="132" spans="2:18">
      <c r="B132" s="15">
        <f t="shared" si="21"/>
        <v>127</v>
      </c>
      <c r="C132" s="16">
        <f>IFERROR(VLOOKUP(DATA!G130,DATA!$G$4:$J$2149,1,FALSE),"")</f>
        <v>3105</v>
      </c>
      <c r="D132" s="16" t="str">
        <f>+IFERROR(VLOOKUP(C132,DATA!$G$4:$H$2000,2,FALSE),"")</f>
        <v xml:space="preserve">ÆÈÍÑÒ ÕÀÉÐÕÀÍ ÕÕÊ </v>
      </c>
      <c r="E132" s="16">
        <v>122000</v>
      </c>
      <c r="G132" s="230">
        <f>+SUMIFS(JURNAL!G:G,JURNAL!E:E,E132,JURNAL!L:L,$C132,JURNAL!C:C,"&gt;="&amp;$M$3,JURNAL!C:C,"&lt;="&amp;$N$3)</f>
        <v>0</v>
      </c>
      <c r="H132" s="19">
        <f>+SUMIFS(JURNAL!H:H,JURNAL!E:E,E132,JURNAL!L:L,$C132,JURNAL!C:C,"&gt;="&amp;$M$3,JURNAL!C:C,"&lt;="&amp;$N$3)</f>
        <v>0</v>
      </c>
      <c r="I132" s="18">
        <f t="shared" si="22"/>
        <v>0</v>
      </c>
      <c r="J132" s="16">
        <v>320100</v>
      </c>
      <c r="L132" s="230">
        <f>+SUMIFS(JURNAL!G:G,JURNAL!E:E,J132,JURNAL!L:L,$C132,JURNAL!C:C,"&gt;="&amp;$M$3,JURNAL!C:C,"&lt;="&amp;$N$3)</f>
        <v>271700</v>
      </c>
      <c r="M132" s="19">
        <f>+SUMIFS(JURNAL!H:H,JURNAL!E:E,J132,JURNAL!L:L,$C132,JURNAL!C:C,"&gt;="&amp;$M$3,JURNAL!C:C,"&lt;="&amp;$N$3)</f>
        <v>271700</v>
      </c>
      <c r="N132" s="20">
        <f t="shared" si="23"/>
        <v>0</v>
      </c>
      <c r="O132" s="230">
        <f t="shared" si="24"/>
        <v>0</v>
      </c>
      <c r="P132" s="16">
        <f t="shared" si="25"/>
        <v>320100</v>
      </c>
      <c r="Q132" s="16">
        <f t="shared" si="26"/>
        <v>122000</v>
      </c>
      <c r="R132" s="230">
        <f t="shared" si="27"/>
        <v>0</v>
      </c>
    </row>
    <row r="133" spans="2:18">
      <c r="B133" s="15">
        <f t="shared" si="21"/>
        <v>128</v>
      </c>
      <c r="C133" s="16">
        <f>IFERROR(VLOOKUP(DATA!G131,DATA!$G$4:$J$2149,1,FALSE),"")</f>
        <v>3106</v>
      </c>
      <c r="D133" s="16" t="str">
        <f>+IFERROR(VLOOKUP(C133,DATA!$G$4:$H$2000,2,FALSE),"")</f>
        <v xml:space="preserve">ГАН ЗОСОН КОНСТРАКШН ХХК </v>
      </c>
      <c r="E133" s="16">
        <v>122000</v>
      </c>
      <c r="G133" s="230">
        <f>+SUMIFS(JURNAL!G:G,JURNAL!E:E,E133,JURNAL!L:L,$C133,JURNAL!C:C,"&gt;="&amp;$M$3,JURNAL!C:C,"&lt;="&amp;$N$3)</f>
        <v>0</v>
      </c>
      <c r="H133" s="19">
        <f>+SUMIFS(JURNAL!H:H,JURNAL!E:E,E133,JURNAL!L:L,$C133,JURNAL!C:C,"&gt;="&amp;$M$3,JURNAL!C:C,"&lt;="&amp;$N$3)</f>
        <v>0</v>
      </c>
      <c r="I133" s="18">
        <f t="shared" si="22"/>
        <v>0</v>
      </c>
      <c r="J133" s="16">
        <v>320100</v>
      </c>
      <c r="L133" s="230">
        <f>+SUMIFS(JURNAL!G:G,JURNAL!E:E,J133,JURNAL!L:L,$C133,JURNAL!C:C,"&gt;="&amp;$M$3,JURNAL!C:C,"&lt;="&amp;$N$3)</f>
        <v>1177000</v>
      </c>
      <c r="M133" s="19">
        <f>+SUMIFS(JURNAL!H:H,JURNAL!E:E,J133,JURNAL!L:L,$C133,JURNAL!C:C,"&gt;="&amp;$M$3,JURNAL!C:C,"&lt;="&amp;$N$3)</f>
        <v>1177000</v>
      </c>
      <c r="N133" s="20">
        <f t="shared" si="23"/>
        <v>0</v>
      </c>
      <c r="O133" s="230">
        <f t="shared" si="24"/>
        <v>0</v>
      </c>
      <c r="P133" s="16">
        <f t="shared" si="25"/>
        <v>320100</v>
      </c>
      <c r="Q133" s="16">
        <f t="shared" si="26"/>
        <v>122000</v>
      </c>
      <c r="R133" s="230">
        <f t="shared" si="27"/>
        <v>0</v>
      </c>
    </row>
    <row r="134" spans="2:18">
      <c r="B134" s="15">
        <f t="shared" ref="B134:B197" si="28">+IF(C134="","",ROW()-5)</f>
        <v>129</v>
      </c>
      <c r="C134" s="16">
        <f>IFERROR(VLOOKUP(DATA!G132,DATA!$G$4:$J$2149,1,FALSE),"")</f>
        <v>3107</v>
      </c>
      <c r="D134" s="16" t="str">
        <f>+IFERROR(VLOOKUP(C134,DATA!$G$4:$H$2000,2,FALSE),"")</f>
        <v>СЭФИЛО ХХК</v>
      </c>
      <c r="E134" s="16">
        <v>122000</v>
      </c>
      <c r="G134" s="230">
        <f>+SUMIFS(JURNAL!G:G,JURNAL!E:E,E134,JURNAL!L:L,$C134,JURNAL!C:C,"&gt;="&amp;$M$3,JURNAL!C:C,"&lt;="&amp;$N$3)</f>
        <v>0</v>
      </c>
      <c r="H134" s="19">
        <f>+SUMIFS(JURNAL!H:H,JURNAL!E:E,E134,JURNAL!L:L,$C134,JURNAL!C:C,"&gt;="&amp;$M$3,JURNAL!C:C,"&lt;="&amp;$N$3)</f>
        <v>0</v>
      </c>
      <c r="I134" s="18">
        <f t="shared" si="22"/>
        <v>0</v>
      </c>
      <c r="J134" s="16">
        <v>320100</v>
      </c>
      <c r="L134" s="230">
        <f>+SUMIFS(JURNAL!G:G,JURNAL!E:E,J134,JURNAL!L:L,$C134,JURNAL!C:C,"&gt;="&amp;$M$3,JURNAL!C:C,"&lt;="&amp;$N$3)</f>
        <v>23100</v>
      </c>
      <c r="M134" s="19">
        <f>+SUMIFS(JURNAL!H:H,JURNAL!E:E,J134,JURNAL!L:L,$C134,JURNAL!C:C,"&gt;="&amp;$M$3,JURNAL!C:C,"&lt;="&amp;$N$3)</f>
        <v>23100</v>
      </c>
      <c r="N134" s="20">
        <f t="shared" si="23"/>
        <v>0</v>
      </c>
      <c r="O134" s="230">
        <f t="shared" si="24"/>
        <v>0</v>
      </c>
      <c r="P134" s="16">
        <f t="shared" si="25"/>
        <v>320100</v>
      </c>
      <c r="Q134" s="16">
        <f t="shared" si="26"/>
        <v>122000</v>
      </c>
      <c r="R134" s="230">
        <f t="shared" si="27"/>
        <v>0</v>
      </c>
    </row>
    <row r="135" spans="2:18">
      <c r="B135" s="15">
        <f t="shared" si="28"/>
        <v>130</v>
      </c>
      <c r="C135" s="16">
        <f>IFERROR(VLOOKUP(DATA!G133,DATA!$G$4:$J$2149,1,FALSE),"")</f>
        <v>3108</v>
      </c>
      <c r="D135" s="16" t="str">
        <f>+IFERROR(VLOOKUP(C135,DATA!$G$4:$H$2000,2,FALSE),"")</f>
        <v>ИХ ГОВИЙН ЭРЧИМ ХУРД ХХК</v>
      </c>
      <c r="E135" s="16">
        <v>122000</v>
      </c>
      <c r="G135" s="230">
        <f>+SUMIFS(JURNAL!G:G,JURNAL!E:E,E135,JURNAL!L:L,$C135,JURNAL!C:C,"&gt;="&amp;$M$3,JURNAL!C:C,"&lt;="&amp;$N$3)</f>
        <v>0</v>
      </c>
      <c r="H135" s="19">
        <f>+SUMIFS(JURNAL!H:H,JURNAL!E:E,E135,JURNAL!L:L,$C135,JURNAL!C:C,"&gt;="&amp;$M$3,JURNAL!C:C,"&lt;="&amp;$N$3)</f>
        <v>0</v>
      </c>
      <c r="I135" s="18">
        <f t="shared" si="22"/>
        <v>0</v>
      </c>
      <c r="J135" s="16">
        <v>320100</v>
      </c>
      <c r="L135" s="230">
        <f>+SUMIFS(JURNAL!G:G,JURNAL!E:E,J135,JURNAL!L:L,$C135,JURNAL!C:C,"&gt;="&amp;$M$3,JURNAL!C:C,"&lt;="&amp;$N$3)</f>
        <v>185000</v>
      </c>
      <c r="M135" s="19">
        <f>+SUMIFS(JURNAL!H:H,JURNAL!E:E,J135,JURNAL!L:L,$C135,JURNAL!C:C,"&gt;="&amp;$M$3,JURNAL!C:C,"&lt;="&amp;$N$3)</f>
        <v>185000</v>
      </c>
      <c r="N135" s="20">
        <f t="shared" si="23"/>
        <v>0</v>
      </c>
      <c r="O135" s="230">
        <f t="shared" si="24"/>
        <v>0</v>
      </c>
      <c r="P135" s="16">
        <f t="shared" si="25"/>
        <v>320100</v>
      </c>
      <c r="Q135" s="16">
        <f t="shared" si="26"/>
        <v>122000</v>
      </c>
      <c r="R135" s="230">
        <f t="shared" si="27"/>
        <v>0</v>
      </c>
    </row>
    <row r="136" spans="2:18">
      <c r="B136" s="15">
        <f t="shared" si="28"/>
        <v>131</v>
      </c>
      <c r="C136" s="16">
        <f>IFERROR(VLOOKUP(DATA!G134,DATA!$G$4:$J$2149,1,FALSE),"")</f>
        <v>3109</v>
      </c>
      <c r="D136" s="16" t="str">
        <f>+IFERROR(VLOOKUP(C136,DATA!$G$4:$H$2000,2,FALSE),"")</f>
        <v xml:space="preserve">СИЛК РӨҮТ ТЕКСТИЛЬ ХХК </v>
      </c>
      <c r="E136" s="16">
        <v>122000</v>
      </c>
      <c r="G136" s="230">
        <f>+SUMIFS(JURNAL!G:G,JURNAL!E:E,E136,JURNAL!L:L,$C136,JURNAL!C:C,"&gt;="&amp;$M$3,JURNAL!C:C,"&lt;="&amp;$N$3)</f>
        <v>0</v>
      </c>
      <c r="H136" s="19">
        <f>+SUMIFS(JURNAL!H:H,JURNAL!E:E,E136,JURNAL!L:L,$C136,JURNAL!C:C,"&gt;="&amp;$M$3,JURNAL!C:C,"&lt;="&amp;$N$3)</f>
        <v>0</v>
      </c>
      <c r="I136" s="18">
        <f t="shared" si="22"/>
        <v>0</v>
      </c>
      <c r="J136" s="16">
        <v>320100</v>
      </c>
      <c r="L136" s="230">
        <f>+SUMIFS(JURNAL!G:G,JURNAL!E:E,J136,JURNAL!L:L,$C136,JURNAL!C:C,"&gt;="&amp;$M$3,JURNAL!C:C,"&lt;="&amp;$N$3)</f>
        <v>819206</v>
      </c>
      <c r="M136" s="19">
        <f>+SUMIFS(JURNAL!H:H,JURNAL!E:E,J136,JURNAL!L:L,$C136,JURNAL!C:C,"&gt;="&amp;$M$3,JURNAL!C:C,"&lt;="&amp;$N$3)</f>
        <v>819206</v>
      </c>
      <c r="N136" s="20">
        <f t="shared" si="23"/>
        <v>0</v>
      </c>
      <c r="O136" s="230">
        <f t="shared" si="24"/>
        <v>0</v>
      </c>
      <c r="P136" s="16">
        <f t="shared" si="25"/>
        <v>320100</v>
      </c>
      <c r="Q136" s="16">
        <f t="shared" si="26"/>
        <v>122000</v>
      </c>
      <c r="R136" s="230">
        <f t="shared" si="27"/>
        <v>0</v>
      </c>
    </row>
    <row r="137" spans="2:18">
      <c r="B137" s="15">
        <f t="shared" si="28"/>
        <v>132</v>
      </c>
      <c r="C137" s="16">
        <f>IFERROR(VLOOKUP(DATA!G135,DATA!$G$4:$J$2149,1,FALSE),"")</f>
        <v>3110</v>
      </c>
      <c r="D137" s="16" t="str">
        <f>+IFERROR(VLOOKUP(C137,DATA!$G$4:$H$2000,2,FALSE),"")</f>
        <v xml:space="preserve">СҮЙХЭНТ ХХК </v>
      </c>
      <c r="E137" s="16">
        <v>122000</v>
      </c>
      <c r="G137" s="230">
        <f>+SUMIFS(JURNAL!G:G,JURNAL!E:E,E137,JURNAL!L:L,$C137,JURNAL!C:C,"&gt;="&amp;$M$3,JURNAL!C:C,"&lt;="&amp;$N$3)</f>
        <v>0</v>
      </c>
      <c r="H137" s="19">
        <f>+SUMIFS(JURNAL!H:H,JURNAL!E:E,E137,JURNAL!L:L,$C137,JURNAL!C:C,"&gt;="&amp;$M$3,JURNAL!C:C,"&lt;="&amp;$N$3)</f>
        <v>0</v>
      </c>
      <c r="I137" s="18">
        <f t="shared" si="22"/>
        <v>0</v>
      </c>
      <c r="J137" s="16">
        <v>320100</v>
      </c>
      <c r="L137" s="230">
        <f>+SUMIFS(JURNAL!G:G,JURNAL!E:E,J137,JURNAL!L:L,$C137,JURNAL!C:C,"&gt;="&amp;$M$3,JURNAL!C:C,"&lt;="&amp;$N$3)</f>
        <v>120120</v>
      </c>
      <c r="M137" s="19">
        <f>+SUMIFS(JURNAL!H:H,JURNAL!E:E,J137,JURNAL!L:L,$C137,JURNAL!C:C,"&gt;="&amp;$M$3,JURNAL!C:C,"&lt;="&amp;$N$3)</f>
        <v>120120</v>
      </c>
      <c r="N137" s="20">
        <f t="shared" si="23"/>
        <v>0</v>
      </c>
      <c r="O137" s="230">
        <f t="shared" si="24"/>
        <v>0</v>
      </c>
      <c r="P137" s="16">
        <f t="shared" si="25"/>
        <v>320100</v>
      </c>
      <c r="Q137" s="16">
        <f t="shared" si="26"/>
        <v>122000</v>
      </c>
      <c r="R137" s="230">
        <f t="shared" si="27"/>
        <v>0</v>
      </c>
    </row>
    <row r="138" spans="2:18">
      <c r="B138" s="15">
        <f t="shared" si="28"/>
        <v>133</v>
      </c>
      <c r="C138" s="16">
        <f>IFERROR(VLOOKUP(DATA!G136,DATA!$G$4:$J$2149,1,FALSE),"")</f>
        <v>3111</v>
      </c>
      <c r="D138" s="16" t="str">
        <f>+IFERROR(VLOOKUP(C138,DATA!$G$4:$H$2000,2,FALSE),"")</f>
        <v xml:space="preserve">ЗУЛЗАГАН ДӨЛ ХХК </v>
      </c>
      <c r="E138" s="16">
        <v>122000</v>
      </c>
      <c r="G138" s="230">
        <f>+SUMIFS(JURNAL!G:G,JURNAL!E:E,E138,JURNAL!L:L,$C138,JURNAL!C:C,"&gt;="&amp;$M$3,JURNAL!C:C,"&lt;="&amp;$N$3)</f>
        <v>0</v>
      </c>
      <c r="H138" s="19">
        <f>+SUMIFS(JURNAL!H:H,JURNAL!E:E,E138,JURNAL!L:L,$C138,JURNAL!C:C,"&gt;="&amp;$M$3,JURNAL!C:C,"&lt;="&amp;$N$3)</f>
        <v>0</v>
      </c>
      <c r="I138" s="18">
        <f t="shared" ref="I138:I140" si="29">+F138+G138-H138</f>
        <v>0</v>
      </c>
      <c r="J138" s="16">
        <v>320100</v>
      </c>
      <c r="L138" s="230">
        <f>+SUMIFS(JURNAL!G:G,JURNAL!E:E,J138,JURNAL!L:L,$C138,JURNAL!C:C,"&gt;="&amp;$M$3,JURNAL!C:C,"&lt;="&amp;$N$3)</f>
        <v>44880</v>
      </c>
      <c r="M138" s="19">
        <f>+SUMIFS(JURNAL!H:H,JURNAL!E:E,J138,JURNAL!L:L,$C138,JURNAL!C:C,"&gt;="&amp;$M$3,JURNAL!C:C,"&lt;="&amp;$N$3)</f>
        <v>44880</v>
      </c>
      <c r="N138" s="20">
        <f t="shared" ref="N138:N140" si="30">+K138+M138-L138</f>
        <v>0</v>
      </c>
      <c r="O138" s="230">
        <f t="shared" ref="O138:O140" si="31">+IF(I138&lt;N138,I138,N138)</f>
        <v>0</v>
      </c>
      <c r="P138" s="16">
        <f t="shared" ref="P138:P140" si="32">+J138</f>
        <v>320100</v>
      </c>
      <c r="Q138" s="16">
        <f t="shared" ref="Q138:Q140" si="33">+E138</f>
        <v>122000</v>
      </c>
      <c r="R138" s="230">
        <f t="shared" ref="R138:R140" si="34">+IF(O138,1,0)</f>
        <v>0</v>
      </c>
    </row>
    <row r="139" spans="2:18">
      <c r="B139" s="15">
        <f t="shared" si="28"/>
        <v>134</v>
      </c>
      <c r="C139" s="16">
        <f>IFERROR(VLOOKUP(DATA!G137,DATA!$G$4:$J$2149,1,FALSE),"")</f>
        <v>3112</v>
      </c>
      <c r="D139" s="16" t="str">
        <f>+IFERROR(VLOOKUP(C139,DATA!$G$4:$H$2000,2,FALSE),"")</f>
        <v>АЛИА ДАРХАН ХХК</v>
      </c>
      <c r="E139" s="16">
        <v>122000</v>
      </c>
      <c r="G139" s="230">
        <f>+SUMIFS(JURNAL!G:G,JURNAL!E:E,E139,JURNAL!L:L,$C139,JURNAL!C:C,"&gt;="&amp;$M$3,JURNAL!C:C,"&lt;="&amp;$N$3)</f>
        <v>0</v>
      </c>
      <c r="H139" s="19">
        <f>+SUMIFS(JURNAL!H:H,JURNAL!E:E,E139,JURNAL!L:L,$C139,JURNAL!C:C,"&gt;="&amp;$M$3,JURNAL!C:C,"&lt;="&amp;$N$3)</f>
        <v>0</v>
      </c>
      <c r="I139" s="18">
        <f t="shared" si="29"/>
        <v>0</v>
      </c>
      <c r="J139" s="16">
        <v>320100</v>
      </c>
      <c r="L139" s="230">
        <f>+SUMIFS(JURNAL!G:G,JURNAL!E:E,J139,JURNAL!L:L,$C139,JURNAL!C:C,"&gt;="&amp;$M$3,JURNAL!C:C,"&lt;="&amp;$N$3)</f>
        <v>312400</v>
      </c>
      <c r="M139" s="19">
        <f>+SUMIFS(JURNAL!H:H,JURNAL!E:E,J139,JURNAL!L:L,$C139,JURNAL!C:C,"&gt;="&amp;$M$3,JURNAL!C:C,"&lt;="&amp;$N$3)</f>
        <v>312400</v>
      </c>
      <c r="N139" s="20">
        <f t="shared" si="30"/>
        <v>0</v>
      </c>
      <c r="O139" s="230">
        <f t="shared" si="31"/>
        <v>0</v>
      </c>
      <c r="P139" s="16">
        <f t="shared" si="32"/>
        <v>320100</v>
      </c>
      <c r="Q139" s="16">
        <f t="shared" si="33"/>
        <v>122000</v>
      </c>
      <c r="R139" s="230">
        <f t="shared" si="34"/>
        <v>0</v>
      </c>
    </row>
    <row r="140" spans="2:18">
      <c r="B140" s="15">
        <f t="shared" si="28"/>
        <v>135</v>
      </c>
      <c r="C140" s="16">
        <f>IFERROR(VLOOKUP(DATA!G138,DATA!$G$4:$J$2149,1,FALSE),"")</f>
        <v>3113</v>
      </c>
      <c r="D140" s="16" t="str">
        <f>+IFERROR(VLOOKUP(C140,DATA!$G$4:$H$2000,2,FALSE),"")</f>
        <v xml:space="preserve">ХАВТГАЙН ГОЛ ХХК </v>
      </c>
      <c r="E140" s="16">
        <v>122000</v>
      </c>
      <c r="G140" s="230">
        <f>+SUMIFS(JURNAL!G:G,JURNAL!E:E,E140,JURNAL!L:L,$C140,JURNAL!C:C,"&gt;="&amp;$M$3,JURNAL!C:C,"&lt;="&amp;$N$3)</f>
        <v>0</v>
      </c>
      <c r="H140" s="19">
        <f>+SUMIFS(JURNAL!H:H,JURNAL!E:E,E140,JURNAL!L:L,$C140,JURNAL!C:C,"&gt;="&amp;$M$3,JURNAL!C:C,"&lt;="&amp;$N$3)</f>
        <v>0</v>
      </c>
      <c r="I140" s="18">
        <f t="shared" si="29"/>
        <v>0</v>
      </c>
      <c r="J140" s="16">
        <v>320100</v>
      </c>
      <c r="L140" s="230">
        <f>+SUMIFS(JURNAL!G:G,JURNAL!E:E,J140,JURNAL!L:L,$C140,JURNAL!C:C,"&gt;="&amp;$M$3,JURNAL!C:C,"&lt;="&amp;$N$3)</f>
        <v>888730</v>
      </c>
      <c r="M140" s="19">
        <f>+SUMIFS(JURNAL!H:H,JURNAL!E:E,J140,JURNAL!L:L,$C140,JURNAL!C:C,"&gt;="&amp;$M$3,JURNAL!C:C,"&lt;="&amp;$N$3)</f>
        <v>888730</v>
      </c>
      <c r="N140" s="20">
        <f t="shared" si="30"/>
        <v>0</v>
      </c>
      <c r="O140" s="230">
        <f t="shared" si="31"/>
        <v>0</v>
      </c>
      <c r="P140" s="16">
        <f t="shared" si="32"/>
        <v>320100</v>
      </c>
      <c r="Q140" s="16">
        <f t="shared" si="33"/>
        <v>122000</v>
      </c>
      <c r="R140" s="230">
        <f t="shared" si="34"/>
        <v>0</v>
      </c>
    </row>
    <row r="141" spans="2:18">
      <c r="B141" s="15" t="str">
        <f t="shared" si="28"/>
        <v/>
      </c>
      <c r="C141" s="16" t="str">
        <f>IFERROR(VLOOKUP(DATA!G139,DATA!$G$4:$J$2149,1,FALSE),"")</f>
        <v/>
      </c>
      <c r="D141" s="16" t="str">
        <f>+IFERROR(VLOOKUP(C141,DATA!$G$4:$H$2000,2,FALSE),"")</f>
        <v/>
      </c>
      <c r="I141" s="230"/>
      <c r="J141" s="230"/>
      <c r="P141" s="230"/>
      <c r="Q141" s="230"/>
    </row>
    <row r="142" spans="2:18">
      <c r="B142" s="15" t="str">
        <f t="shared" si="28"/>
        <v/>
      </c>
      <c r="C142" s="16" t="str">
        <f>IFERROR(VLOOKUP(DATA!G140,DATA!$G$4:$J$2149,1,FALSE),"")</f>
        <v/>
      </c>
      <c r="D142" s="16" t="str">
        <f>+IFERROR(VLOOKUP(C142,DATA!$G$4:$H$2000,2,FALSE),"")</f>
        <v/>
      </c>
      <c r="I142" s="230"/>
      <c r="J142" s="230"/>
      <c r="P142" s="230"/>
      <c r="Q142" s="230"/>
    </row>
    <row r="143" spans="2:18">
      <c r="B143" s="15" t="str">
        <f t="shared" si="28"/>
        <v/>
      </c>
      <c r="C143" s="16" t="str">
        <f>IFERROR(VLOOKUP(DATA!G141,DATA!$G$4:$J$2149,1,FALSE),"")</f>
        <v/>
      </c>
      <c r="D143" s="16" t="str">
        <f>+IFERROR(VLOOKUP(C143,DATA!$G$4:$H$2000,2,FALSE),"")</f>
        <v/>
      </c>
      <c r="I143" s="230"/>
      <c r="J143" s="230"/>
      <c r="P143" s="230"/>
      <c r="Q143" s="230"/>
    </row>
    <row r="144" spans="2:18">
      <c r="B144" s="15" t="str">
        <f t="shared" si="28"/>
        <v/>
      </c>
      <c r="C144" s="16" t="str">
        <f>IFERROR(VLOOKUP(DATA!#REF!,DATA!#REF!,1,FALSE),"")</f>
        <v/>
      </c>
      <c r="D144" s="16" t="str">
        <f>IFERROR(VLOOKUP(C144,DATA!#REF!,2,FALSE),"")</f>
        <v/>
      </c>
      <c r="I144" s="230"/>
      <c r="J144" s="230"/>
      <c r="P144" s="230"/>
      <c r="Q144" s="230"/>
    </row>
    <row r="145" spans="2:4" s="230" customFormat="1">
      <c r="B145" s="15" t="str">
        <f t="shared" si="28"/>
        <v/>
      </c>
      <c r="C145" s="16" t="str">
        <f>IFERROR(VLOOKUP(DATA!#REF!,DATA!#REF!,1,FALSE),"")</f>
        <v/>
      </c>
      <c r="D145" s="16" t="str">
        <f>IFERROR(VLOOKUP(C145,DATA!#REF!,2,FALSE),"")</f>
        <v/>
      </c>
    </row>
    <row r="146" spans="2:4" s="230" customFormat="1">
      <c r="B146" s="15" t="str">
        <f t="shared" si="28"/>
        <v/>
      </c>
      <c r="C146" s="16" t="str">
        <f>IFERROR(VLOOKUP(DATA!#REF!,DATA!#REF!,1,FALSE),"")</f>
        <v/>
      </c>
      <c r="D146" s="16" t="str">
        <f>IFERROR(VLOOKUP(C146,DATA!#REF!,2,FALSE),"")</f>
        <v/>
      </c>
    </row>
    <row r="147" spans="2:4" s="230" customFormat="1">
      <c r="B147" s="15" t="str">
        <f t="shared" si="28"/>
        <v/>
      </c>
      <c r="C147" s="16" t="str">
        <f>IFERROR(VLOOKUP(DATA!#REF!,DATA!#REF!,1,FALSE),"")</f>
        <v/>
      </c>
      <c r="D147" s="16" t="str">
        <f>IFERROR(VLOOKUP(C147,DATA!#REF!,2,FALSE),"")</f>
        <v/>
      </c>
    </row>
    <row r="148" spans="2:4" s="230" customFormat="1">
      <c r="B148" s="15" t="str">
        <f t="shared" si="28"/>
        <v/>
      </c>
      <c r="C148" s="16" t="str">
        <f>IFERROR(VLOOKUP(DATA!#REF!,DATA!#REF!,1,FALSE),"")</f>
        <v/>
      </c>
      <c r="D148" s="16" t="str">
        <f>IFERROR(VLOOKUP(C148,DATA!#REF!,2,FALSE),"")</f>
        <v/>
      </c>
    </row>
    <row r="149" spans="2:4" s="230" customFormat="1">
      <c r="B149" s="15" t="str">
        <f t="shared" si="28"/>
        <v/>
      </c>
      <c r="C149" s="16" t="str">
        <f>IFERROR(VLOOKUP(DATA!#REF!,DATA!#REF!,1,FALSE),"")</f>
        <v/>
      </c>
      <c r="D149" s="16" t="str">
        <f>IFERROR(VLOOKUP(C149,DATA!#REF!,2,FALSE),"")</f>
        <v/>
      </c>
    </row>
    <row r="150" spans="2:4" s="230" customFormat="1">
      <c r="B150" s="15" t="str">
        <f t="shared" si="28"/>
        <v/>
      </c>
      <c r="C150" s="16" t="str">
        <f>IFERROR(VLOOKUP(DATA!#REF!,DATA!#REF!,1,FALSE),"")</f>
        <v/>
      </c>
      <c r="D150" s="16" t="str">
        <f>IFERROR(VLOOKUP(C150,DATA!#REF!,2,FALSE),"")</f>
        <v/>
      </c>
    </row>
    <row r="151" spans="2:4" s="230" customFormat="1">
      <c r="B151" s="15" t="str">
        <f t="shared" si="28"/>
        <v/>
      </c>
      <c r="C151" s="16" t="str">
        <f>IFERROR(VLOOKUP(DATA!#REF!,DATA!#REF!,1,FALSE),"")</f>
        <v/>
      </c>
      <c r="D151" s="16" t="str">
        <f>IFERROR(VLOOKUP(C151,DATA!#REF!,2,FALSE),"")</f>
        <v/>
      </c>
    </row>
    <row r="152" spans="2:4" s="230" customFormat="1">
      <c r="B152" s="15" t="str">
        <f t="shared" si="28"/>
        <v/>
      </c>
      <c r="C152" s="16" t="str">
        <f>IFERROR(VLOOKUP(DATA!#REF!,DATA!#REF!,1,FALSE),"")</f>
        <v/>
      </c>
      <c r="D152" s="16" t="str">
        <f>IFERROR(VLOOKUP(C152,DATA!#REF!,2,FALSE),"")</f>
        <v/>
      </c>
    </row>
    <row r="153" spans="2:4" s="230" customFormat="1">
      <c r="B153" s="15" t="str">
        <f t="shared" si="28"/>
        <v/>
      </c>
      <c r="C153" s="16" t="str">
        <f>IFERROR(VLOOKUP(DATA!#REF!,DATA!#REF!,1,FALSE),"")</f>
        <v/>
      </c>
      <c r="D153" s="16" t="str">
        <f>IFERROR(VLOOKUP(C153,DATA!#REF!,2,FALSE),"")</f>
        <v/>
      </c>
    </row>
    <row r="154" spans="2:4" s="230" customFormat="1">
      <c r="B154" s="15" t="str">
        <f t="shared" si="28"/>
        <v/>
      </c>
      <c r="C154" s="16" t="str">
        <f>IFERROR(VLOOKUP(DATA!#REF!,DATA!#REF!,1,FALSE),"")</f>
        <v/>
      </c>
      <c r="D154" s="16" t="str">
        <f>IFERROR(VLOOKUP(C154,DATA!#REF!,2,FALSE),"")</f>
        <v/>
      </c>
    </row>
    <row r="155" spans="2:4" s="230" customFormat="1">
      <c r="B155" s="15" t="str">
        <f t="shared" si="28"/>
        <v/>
      </c>
      <c r="C155" s="16" t="str">
        <f>IFERROR(VLOOKUP(DATA!#REF!,DATA!#REF!,1,FALSE),"")</f>
        <v/>
      </c>
      <c r="D155" s="16" t="str">
        <f>IFERROR(VLOOKUP(C155,DATA!#REF!,2,FALSE),"")</f>
        <v/>
      </c>
    </row>
    <row r="156" spans="2:4" s="230" customFormat="1">
      <c r="B156" s="15" t="str">
        <f t="shared" si="28"/>
        <v/>
      </c>
      <c r="C156" s="16" t="str">
        <f>IFERROR(VLOOKUP(DATA!#REF!,DATA!#REF!,1,FALSE),"")</f>
        <v/>
      </c>
      <c r="D156" s="16" t="str">
        <f>IFERROR(VLOOKUP(C156,DATA!#REF!,2,FALSE),"")</f>
        <v/>
      </c>
    </row>
    <row r="157" spans="2:4" s="230" customFormat="1">
      <c r="B157" s="15" t="str">
        <f t="shared" si="28"/>
        <v/>
      </c>
      <c r="C157" s="16" t="str">
        <f>IFERROR(VLOOKUP(DATA!#REF!,DATA!#REF!,1,FALSE),"")</f>
        <v/>
      </c>
      <c r="D157" s="16" t="str">
        <f>IFERROR(VLOOKUP(C157,DATA!#REF!,2,FALSE),"")</f>
        <v/>
      </c>
    </row>
    <row r="158" spans="2:4" s="230" customFormat="1">
      <c r="B158" s="15" t="str">
        <f t="shared" si="28"/>
        <v/>
      </c>
      <c r="C158" s="16" t="str">
        <f>IFERROR(VLOOKUP(DATA!#REF!,DATA!#REF!,1,FALSE),"")</f>
        <v/>
      </c>
      <c r="D158" s="16" t="str">
        <f>IFERROR(VLOOKUP(C158,DATA!#REF!,2,FALSE),"")</f>
        <v/>
      </c>
    </row>
    <row r="159" spans="2:4" s="230" customFormat="1">
      <c r="B159" s="15" t="str">
        <f t="shared" si="28"/>
        <v/>
      </c>
      <c r="C159" s="16" t="str">
        <f>IFERROR(VLOOKUP(DATA!#REF!,DATA!#REF!,1,FALSE),"")</f>
        <v/>
      </c>
      <c r="D159" s="16" t="str">
        <f>IFERROR(VLOOKUP(C159,DATA!#REF!,2,FALSE),"")</f>
        <v/>
      </c>
    </row>
    <row r="160" spans="2:4" s="230" customFormat="1">
      <c r="B160" s="15" t="str">
        <f t="shared" si="28"/>
        <v/>
      </c>
      <c r="C160" s="16" t="str">
        <f>IFERROR(VLOOKUP(DATA!#REF!,DATA!#REF!,1,FALSE),"")</f>
        <v/>
      </c>
      <c r="D160" s="16" t="str">
        <f>IFERROR(VLOOKUP(C160,DATA!#REF!,2,FALSE),"")</f>
        <v/>
      </c>
    </row>
    <row r="161" spans="2:4" s="230" customFormat="1">
      <c r="B161" s="15" t="str">
        <f t="shared" si="28"/>
        <v/>
      </c>
      <c r="C161" s="16" t="str">
        <f>IFERROR(VLOOKUP(DATA!#REF!,DATA!#REF!,1,FALSE),"")</f>
        <v/>
      </c>
      <c r="D161" s="16" t="str">
        <f>IFERROR(VLOOKUP(C161,DATA!#REF!,2,FALSE),"")</f>
        <v/>
      </c>
    </row>
    <row r="162" spans="2:4" s="230" customFormat="1">
      <c r="B162" s="15" t="str">
        <f t="shared" si="28"/>
        <v/>
      </c>
      <c r="C162" s="16" t="str">
        <f>IFERROR(VLOOKUP(DATA!#REF!,DATA!#REF!,1,FALSE),"")</f>
        <v/>
      </c>
      <c r="D162" s="16" t="str">
        <f>IFERROR(VLOOKUP(C162,DATA!#REF!,2,FALSE),"")</f>
        <v/>
      </c>
    </row>
    <row r="163" spans="2:4" s="230" customFormat="1">
      <c r="B163" s="15" t="str">
        <f t="shared" si="28"/>
        <v/>
      </c>
      <c r="C163" s="16" t="str">
        <f>IFERROR(VLOOKUP(DATA!#REF!,DATA!#REF!,1,FALSE),"")</f>
        <v/>
      </c>
      <c r="D163" s="16" t="str">
        <f>IFERROR(VLOOKUP(C163,DATA!#REF!,2,FALSE),"")</f>
        <v/>
      </c>
    </row>
    <row r="164" spans="2:4" s="230" customFormat="1">
      <c r="B164" s="15" t="str">
        <f t="shared" si="28"/>
        <v/>
      </c>
      <c r="C164" s="16" t="str">
        <f>IFERROR(VLOOKUP(DATA!#REF!,DATA!#REF!,1,FALSE),"")</f>
        <v/>
      </c>
      <c r="D164" s="16" t="str">
        <f>IFERROR(VLOOKUP(C164,DATA!#REF!,2,FALSE),"")</f>
        <v/>
      </c>
    </row>
    <row r="165" spans="2:4" s="230" customFormat="1">
      <c r="B165" s="15" t="str">
        <f t="shared" si="28"/>
        <v/>
      </c>
      <c r="C165" s="16" t="str">
        <f>IFERROR(VLOOKUP(DATA!#REF!,DATA!#REF!,1,FALSE),"")</f>
        <v/>
      </c>
      <c r="D165" s="16" t="str">
        <f>IFERROR(VLOOKUP(C165,DATA!#REF!,2,FALSE),"")</f>
        <v/>
      </c>
    </row>
    <row r="166" spans="2:4" s="230" customFormat="1">
      <c r="B166" s="15" t="str">
        <f t="shared" si="28"/>
        <v/>
      </c>
      <c r="C166" s="16" t="str">
        <f>IFERROR(VLOOKUP(DATA!#REF!,DATA!#REF!,1,FALSE),"")</f>
        <v/>
      </c>
      <c r="D166" s="16" t="str">
        <f>IFERROR(VLOOKUP(C166,DATA!#REF!,2,FALSE),"")</f>
        <v/>
      </c>
    </row>
    <row r="167" spans="2:4" s="230" customFormat="1">
      <c r="B167" s="15" t="str">
        <f t="shared" si="28"/>
        <v/>
      </c>
      <c r="C167" s="16" t="str">
        <f>IFERROR(VLOOKUP(DATA!#REF!,DATA!#REF!,1,FALSE),"")</f>
        <v/>
      </c>
      <c r="D167" s="16" t="str">
        <f>IFERROR(VLOOKUP(C167,DATA!#REF!,2,FALSE),"")</f>
        <v/>
      </c>
    </row>
    <row r="168" spans="2:4" s="230" customFormat="1">
      <c r="B168" s="15" t="str">
        <f t="shared" si="28"/>
        <v/>
      </c>
      <c r="C168" s="16" t="str">
        <f>IFERROR(VLOOKUP(DATA!#REF!,DATA!#REF!,1,FALSE),"")</f>
        <v/>
      </c>
      <c r="D168" s="16" t="str">
        <f>IFERROR(VLOOKUP(C168,DATA!#REF!,2,FALSE),"")</f>
        <v/>
      </c>
    </row>
    <row r="169" spans="2:4" s="230" customFormat="1">
      <c r="B169" s="15" t="str">
        <f t="shared" si="28"/>
        <v/>
      </c>
      <c r="C169" s="16" t="str">
        <f>IFERROR(VLOOKUP(DATA!#REF!,DATA!#REF!,1,FALSE),"")</f>
        <v/>
      </c>
      <c r="D169" s="16" t="str">
        <f>IFERROR(VLOOKUP(C169,DATA!#REF!,2,FALSE),"")</f>
        <v/>
      </c>
    </row>
    <row r="170" spans="2:4" s="230" customFormat="1">
      <c r="B170" s="15" t="str">
        <f t="shared" si="28"/>
        <v/>
      </c>
      <c r="C170" s="16" t="str">
        <f>IFERROR(VLOOKUP(DATA!#REF!,DATA!#REF!,1,FALSE),"")</f>
        <v/>
      </c>
      <c r="D170" s="16" t="str">
        <f>IFERROR(VLOOKUP(C170,DATA!#REF!,2,FALSE),"")</f>
        <v/>
      </c>
    </row>
    <row r="171" spans="2:4" s="230" customFormat="1">
      <c r="B171" s="15" t="str">
        <f t="shared" si="28"/>
        <v/>
      </c>
      <c r="C171" s="16" t="str">
        <f>IFERROR(VLOOKUP(DATA!#REF!,DATA!#REF!,1,FALSE),"")</f>
        <v/>
      </c>
      <c r="D171" s="16" t="str">
        <f>IFERROR(VLOOKUP(C171,DATA!#REF!,2,FALSE),"")</f>
        <v/>
      </c>
    </row>
    <row r="172" spans="2:4" s="230" customFormat="1">
      <c r="B172" s="15" t="str">
        <f t="shared" si="28"/>
        <v/>
      </c>
      <c r="C172" s="16" t="str">
        <f>IFERROR(VLOOKUP(DATA!#REF!,DATA!#REF!,1,FALSE),"")</f>
        <v/>
      </c>
      <c r="D172" s="16" t="str">
        <f>IFERROR(VLOOKUP(C172,DATA!#REF!,2,FALSE),"")</f>
        <v/>
      </c>
    </row>
    <row r="173" spans="2:4" s="230" customFormat="1">
      <c r="B173" s="15" t="str">
        <f t="shared" si="28"/>
        <v/>
      </c>
      <c r="C173" s="16" t="str">
        <f>IFERROR(VLOOKUP(DATA!#REF!,DATA!#REF!,1,FALSE),"")</f>
        <v/>
      </c>
      <c r="D173" s="16" t="str">
        <f>IFERROR(VLOOKUP(C173,DATA!#REF!,2,FALSE),"")</f>
        <v/>
      </c>
    </row>
    <row r="174" spans="2:4" s="230" customFormat="1">
      <c r="B174" s="15" t="str">
        <f t="shared" si="28"/>
        <v/>
      </c>
      <c r="C174" s="16" t="str">
        <f>IFERROR(VLOOKUP(DATA!#REF!,DATA!#REF!,1,FALSE),"")</f>
        <v/>
      </c>
      <c r="D174" s="16" t="str">
        <f>IFERROR(VLOOKUP(C174,DATA!#REF!,2,FALSE),"")</f>
        <v/>
      </c>
    </row>
    <row r="175" spans="2:4" s="230" customFormat="1">
      <c r="B175" s="15" t="str">
        <f t="shared" si="28"/>
        <v/>
      </c>
      <c r="C175" s="16" t="str">
        <f>IFERROR(VLOOKUP(DATA!#REF!,DATA!#REF!,1,FALSE),"")</f>
        <v/>
      </c>
      <c r="D175" s="16" t="str">
        <f>IFERROR(VLOOKUP(C175,DATA!#REF!,2,FALSE),"")</f>
        <v/>
      </c>
    </row>
    <row r="176" spans="2:4" s="230" customFormat="1">
      <c r="B176" s="15" t="str">
        <f t="shared" si="28"/>
        <v/>
      </c>
      <c r="C176" s="16" t="str">
        <f>IFERROR(VLOOKUP(DATA!#REF!,DATA!#REF!,1,FALSE),"")</f>
        <v/>
      </c>
      <c r="D176" s="16" t="str">
        <f>IFERROR(VLOOKUP(C176,DATA!#REF!,2,FALSE),"")</f>
        <v/>
      </c>
    </row>
    <row r="177" spans="2:4" s="230" customFormat="1">
      <c r="B177" s="15" t="str">
        <f t="shared" si="28"/>
        <v/>
      </c>
      <c r="C177" s="16" t="str">
        <f>IFERROR(VLOOKUP(DATA!#REF!,DATA!#REF!,1,FALSE),"")</f>
        <v/>
      </c>
      <c r="D177" s="16" t="str">
        <f>IFERROR(VLOOKUP(C177,DATA!#REF!,2,FALSE),"")</f>
        <v/>
      </c>
    </row>
    <row r="178" spans="2:4" s="230" customFormat="1">
      <c r="B178" s="15" t="str">
        <f t="shared" si="28"/>
        <v/>
      </c>
      <c r="C178" s="16" t="str">
        <f>IFERROR(VLOOKUP(DATA!#REF!,DATA!#REF!,1,FALSE),"")</f>
        <v/>
      </c>
      <c r="D178" s="16" t="str">
        <f>IFERROR(VLOOKUP(C178,DATA!#REF!,2,FALSE),"")</f>
        <v/>
      </c>
    </row>
    <row r="179" spans="2:4" s="230" customFormat="1">
      <c r="B179" s="15" t="str">
        <f t="shared" si="28"/>
        <v/>
      </c>
      <c r="C179" s="16" t="str">
        <f>IFERROR(VLOOKUP(DATA!#REF!,DATA!#REF!,1,FALSE),"")</f>
        <v/>
      </c>
      <c r="D179" s="16" t="str">
        <f>IFERROR(VLOOKUP(C179,DATA!#REF!,2,FALSE),"")</f>
        <v/>
      </c>
    </row>
    <row r="180" spans="2:4" s="230" customFormat="1">
      <c r="B180" s="15" t="str">
        <f t="shared" si="28"/>
        <v/>
      </c>
      <c r="C180" s="16" t="str">
        <f>IFERROR(VLOOKUP(DATA!#REF!,DATA!#REF!,1,FALSE),"")</f>
        <v/>
      </c>
      <c r="D180" s="16" t="str">
        <f>IFERROR(VLOOKUP(C180,DATA!#REF!,2,FALSE),"")</f>
        <v/>
      </c>
    </row>
    <row r="181" spans="2:4" s="230" customFormat="1">
      <c r="B181" s="15" t="str">
        <f t="shared" si="28"/>
        <v/>
      </c>
      <c r="C181" s="16" t="str">
        <f>IFERROR(VLOOKUP(DATA!#REF!,DATA!#REF!,1,FALSE),"")</f>
        <v/>
      </c>
      <c r="D181" s="16" t="str">
        <f>IFERROR(VLOOKUP(C181,DATA!#REF!,2,FALSE),"")</f>
        <v/>
      </c>
    </row>
    <row r="182" spans="2:4" s="230" customFormat="1">
      <c r="B182" s="15" t="str">
        <f t="shared" si="28"/>
        <v/>
      </c>
      <c r="C182" s="16" t="str">
        <f>IFERROR(VLOOKUP(DATA!#REF!,DATA!#REF!,1,FALSE),"")</f>
        <v/>
      </c>
      <c r="D182" s="16" t="str">
        <f>IFERROR(VLOOKUP(C182,DATA!#REF!,2,FALSE),"")</f>
        <v/>
      </c>
    </row>
    <row r="183" spans="2:4" s="230" customFormat="1">
      <c r="B183" s="15" t="str">
        <f t="shared" si="28"/>
        <v/>
      </c>
      <c r="C183" s="16" t="str">
        <f>IFERROR(VLOOKUP(DATA!#REF!,DATA!#REF!,1,FALSE),"")</f>
        <v/>
      </c>
      <c r="D183" s="16" t="str">
        <f>IFERROR(VLOOKUP(C183,DATA!#REF!,2,FALSE),"")</f>
        <v/>
      </c>
    </row>
    <row r="184" spans="2:4" s="230" customFormat="1">
      <c r="B184" s="15" t="str">
        <f t="shared" si="28"/>
        <v/>
      </c>
      <c r="C184" s="16" t="str">
        <f>IFERROR(VLOOKUP(DATA!#REF!,DATA!#REF!,1,FALSE),"")</f>
        <v/>
      </c>
      <c r="D184" s="16" t="str">
        <f>IFERROR(VLOOKUP(C184,DATA!#REF!,2,FALSE),"")</f>
        <v/>
      </c>
    </row>
    <row r="185" spans="2:4" s="230" customFormat="1">
      <c r="B185" s="15" t="str">
        <f t="shared" si="28"/>
        <v/>
      </c>
      <c r="C185" s="16" t="str">
        <f>IFERROR(VLOOKUP(DATA!#REF!,DATA!#REF!,1,FALSE),"")</f>
        <v/>
      </c>
      <c r="D185" s="16" t="str">
        <f>IFERROR(VLOOKUP(C185,DATA!#REF!,2,FALSE),"")</f>
        <v/>
      </c>
    </row>
    <row r="186" spans="2:4" s="230" customFormat="1">
      <c r="B186" s="15" t="str">
        <f t="shared" si="28"/>
        <v/>
      </c>
      <c r="C186" s="16" t="str">
        <f>IFERROR(VLOOKUP(DATA!#REF!,DATA!#REF!,1,FALSE),"")</f>
        <v/>
      </c>
      <c r="D186" s="16" t="str">
        <f>IFERROR(VLOOKUP(C186,DATA!#REF!,2,FALSE),"")</f>
        <v/>
      </c>
    </row>
    <row r="187" spans="2:4" s="230" customFormat="1">
      <c r="B187" s="15" t="str">
        <f t="shared" si="28"/>
        <v/>
      </c>
      <c r="C187" s="16" t="str">
        <f>IFERROR(VLOOKUP(DATA!#REF!,DATA!#REF!,1,FALSE),"")</f>
        <v/>
      </c>
      <c r="D187" s="16" t="str">
        <f>IFERROR(VLOOKUP(C187,DATA!#REF!,2,FALSE),"")</f>
        <v/>
      </c>
    </row>
    <row r="188" spans="2:4" s="230" customFormat="1">
      <c r="B188" s="15" t="str">
        <f t="shared" si="28"/>
        <v/>
      </c>
      <c r="C188" s="16" t="str">
        <f>IFERROR(VLOOKUP(DATA!#REF!,DATA!#REF!,1,FALSE),"")</f>
        <v/>
      </c>
      <c r="D188" s="16" t="str">
        <f>IFERROR(VLOOKUP(C188,DATA!#REF!,2,FALSE),"")</f>
        <v/>
      </c>
    </row>
    <row r="189" spans="2:4" s="230" customFormat="1">
      <c r="B189" s="15" t="str">
        <f t="shared" si="28"/>
        <v/>
      </c>
      <c r="C189" s="16" t="str">
        <f>IFERROR(VLOOKUP(DATA!#REF!,DATA!#REF!,1,FALSE),"")</f>
        <v/>
      </c>
      <c r="D189" s="16" t="str">
        <f>IFERROR(VLOOKUP(C189,DATA!#REF!,2,FALSE),"")</f>
        <v/>
      </c>
    </row>
    <row r="190" spans="2:4" s="230" customFormat="1">
      <c r="B190" s="15" t="str">
        <f t="shared" si="28"/>
        <v/>
      </c>
      <c r="C190" s="16" t="str">
        <f>IFERROR(VLOOKUP(DATA!#REF!,DATA!#REF!,1,FALSE),"")</f>
        <v/>
      </c>
      <c r="D190" s="16" t="str">
        <f>IFERROR(VLOOKUP(C190,DATA!#REF!,2,FALSE),"")</f>
        <v/>
      </c>
    </row>
    <row r="191" spans="2:4" s="230" customFormat="1">
      <c r="B191" s="15" t="str">
        <f t="shared" si="28"/>
        <v/>
      </c>
      <c r="C191" s="16" t="str">
        <f>IFERROR(VLOOKUP(DATA!#REF!,DATA!#REF!,1,FALSE),"")</f>
        <v/>
      </c>
      <c r="D191" s="16" t="str">
        <f>IFERROR(VLOOKUP(C191,DATA!#REF!,2,FALSE),"")</f>
        <v/>
      </c>
    </row>
    <row r="192" spans="2:4" s="230" customFormat="1">
      <c r="B192" s="15" t="str">
        <f t="shared" si="28"/>
        <v/>
      </c>
      <c r="C192" s="16" t="str">
        <f>IFERROR(VLOOKUP(DATA!#REF!,DATA!#REF!,1,FALSE),"")</f>
        <v/>
      </c>
      <c r="D192" s="16" t="str">
        <f>IFERROR(VLOOKUP(C192,DATA!#REF!,2,FALSE),"")</f>
        <v/>
      </c>
    </row>
    <row r="193" spans="2:4" s="230" customFormat="1">
      <c r="B193" s="15" t="str">
        <f t="shared" si="28"/>
        <v/>
      </c>
      <c r="C193" s="16" t="str">
        <f>IFERROR(VLOOKUP(DATA!#REF!,DATA!#REF!,1,FALSE),"")</f>
        <v/>
      </c>
      <c r="D193" s="16" t="str">
        <f>IFERROR(VLOOKUP(C193,DATA!#REF!,2,FALSE),"")</f>
        <v/>
      </c>
    </row>
    <row r="194" spans="2:4" s="230" customFormat="1">
      <c r="B194" s="15" t="str">
        <f t="shared" si="28"/>
        <v/>
      </c>
      <c r="C194" s="16" t="str">
        <f>IFERROR(VLOOKUP(DATA!#REF!,DATA!#REF!,1,FALSE),"")</f>
        <v/>
      </c>
      <c r="D194" s="16" t="str">
        <f>IFERROR(VLOOKUP(C194,DATA!#REF!,2,FALSE),"")</f>
        <v/>
      </c>
    </row>
    <row r="195" spans="2:4" s="230" customFormat="1">
      <c r="B195" s="15" t="str">
        <f t="shared" si="28"/>
        <v/>
      </c>
      <c r="C195" s="16" t="str">
        <f>IFERROR(VLOOKUP(DATA!#REF!,DATA!#REF!,1,FALSE),"")</f>
        <v/>
      </c>
      <c r="D195" s="16" t="str">
        <f>IFERROR(VLOOKUP(C195,DATA!#REF!,2,FALSE),"")</f>
        <v/>
      </c>
    </row>
    <row r="196" spans="2:4" s="230" customFormat="1">
      <c r="B196" s="15" t="str">
        <f t="shared" si="28"/>
        <v/>
      </c>
      <c r="C196" s="16" t="str">
        <f>IFERROR(VLOOKUP(DATA!#REF!,DATA!#REF!,1,FALSE),"")</f>
        <v/>
      </c>
      <c r="D196" s="16" t="str">
        <f>IFERROR(VLOOKUP(C196,DATA!#REF!,2,FALSE),"")</f>
        <v/>
      </c>
    </row>
    <row r="197" spans="2:4" s="230" customFormat="1">
      <c r="B197" s="15" t="str">
        <f t="shared" si="28"/>
        <v/>
      </c>
      <c r="C197" s="16" t="str">
        <f>IFERROR(VLOOKUP(DATA!#REF!,DATA!#REF!,1,FALSE),"")</f>
        <v/>
      </c>
      <c r="D197" s="16" t="str">
        <f>IFERROR(VLOOKUP(C197,DATA!#REF!,2,FALSE),"")</f>
        <v/>
      </c>
    </row>
    <row r="198" spans="2:4" s="230" customFormat="1">
      <c r="B198" s="15" t="str">
        <f t="shared" ref="B198:B261" si="35">+IF(C198="","",ROW()-5)</f>
        <v/>
      </c>
      <c r="C198" s="16" t="str">
        <f>IFERROR(VLOOKUP(DATA!#REF!,DATA!#REF!,1,FALSE),"")</f>
        <v/>
      </c>
      <c r="D198" s="16" t="str">
        <f>IFERROR(VLOOKUP(C198,DATA!#REF!,2,FALSE),"")</f>
        <v/>
      </c>
    </row>
    <row r="199" spans="2:4" s="230" customFormat="1">
      <c r="B199" s="15" t="str">
        <f t="shared" si="35"/>
        <v/>
      </c>
      <c r="C199" s="16" t="str">
        <f>IFERROR(VLOOKUP(DATA!#REF!,DATA!#REF!,1,FALSE),"")</f>
        <v/>
      </c>
      <c r="D199" s="16" t="str">
        <f>IFERROR(VLOOKUP(C199,DATA!#REF!,2,FALSE),"")</f>
        <v/>
      </c>
    </row>
    <row r="200" spans="2:4" s="230" customFormat="1">
      <c r="B200" s="15" t="str">
        <f t="shared" si="35"/>
        <v/>
      </c>
      <c r="C200" s="16" t="str">
        <f>IFERROR(VLOOKUP(DATA!#REF!,DATA!#REF!,1,FALSE),"")</f>
        <v/>
      </c>
      <c r="D200" s="16" t="str">
        <f>IFERROR(VLOOKUP(C200,DATA!#REF!,2,FALSE),"")</f>
        <v/>
      </c>
    </row>
    <row r="201" spans="2:4" s="230" customFormat="1">
      <c r="B201" s="15" t="str">
        <f t="shared" si="35"/>
        <v/>
      </c>
      <c r="C201" s="16" t="str">
        <f>IFERROR(VLOOKUP(DATA!#REF!,DATA!#REF!,1,FALSE),"")</f>
        <v/>
      </c>
      <c r="D201" s="16" t="str">
        <f>IFERROR(VLOOKUP(C201,DATA!#REF!,2,FALSE),"")</f>
        <v/>
      </c>
    </row>
    <row r="202" spans="2:4" s="230" customFormat="1">
      <c r="B202" s="15" t="str">
        <f t="shared" si="35"/>
        <v/>
      </c>
      <c r="C202" s="16" t="str">
        <f>IFERROR(VLOOKUP(DATA!#REF!,DATA!#REF!,1,FALSE),"")</f>
        <v/>
      </c>
      <c r="D202" s="16" t="str">
        <f>IFERROR(VLOOKUP(C202,DATA!#REF!,2,FALSE),"")</f>
        <v/>
      </c>
    </row>
    <row r="203" spans="2:4" s="230" customFormat="1">
      <c r="B203" s="15" t="str">
        <f t="shared" si="35"/>
        <v/>
      </c>
      <c r="C203" s="16" t="str">
        <f>IFERROR(VLOOKUP(DATA!#REF!,DATA!#REF!,1,FALSE),"")</f>
        <v/>
      </c>
      <c r="D203" s="16" t="str">
        <f>IFERROR(VLOOKUP(C203,DATA!#REF!,2,FALSE),"")</f>
        <v/>
      </c>
    </row>
    <row r="204" spans="2:4" s="230" customFormat="1">
      <c r="B204" s="15" t="str">
        <f t="shared" si="35"/>
        <v/>
      </c>
      <c r="C204" s="16" t="str">
        <f>IFERROR(VLOOKUP(DATA!#REF!,DATA!#REF!,1,FALSE),"")</f>
        <v/>
      </c>
      <c r="D204" s="16" t="str">
        <f>IFERROR(VLOOKUP(C204,DATA!#REF!,2,FALSE),"")</f>
        <v/>
      </c>
    </row>
    <row r="205" spans="2:4" s="230" customFormat="1">
      <c r="B205" s="15" t="str">
        <f t="shared" si="35"/>
        <v/>
      </c>
      <c r="C205" s="16" t="str">
        <f>IFERROR(VLOOKUP(DATA!#REF!,DATA!#REF!,1,FALSE),"")</f>
        <v/>
      </c>
      <c r="D205" s="16" t="str">
        <f>IFERROR(VLOOKUP(C205,DATA!#REF!,2,FALSE),"")</f>
        <v/>
      </c>
    </row>
    <row r="206" spans="2:4" s="230" customFormat="1">
      <c r="B206" s="15" t="str">
        <f t="shared" si="35"/>
        <v/>
      </c>
      <c r="C206" s="16" t="str">
        <f>IFERROR(VLOOKUP(DATA!#REF!,DATA!#REF!,1,FALSE),"")</f>
        <v/>
      </c>
      <c r="D206" s="16" t="str">
        <f>IFERROR(VLOOKUP(C206,DATA!#REF!,2,FALSE),"")</f>
        <v/>
      </c>
    </row>
    <row r="207" spans="2:4" s="230" customFormat="1">
      <c r="B207" s="15" t="str">
        <f t="shared" si="35"/>
        <v/>
      </c>
      <c r="C207" s="16" t="str">
        <f>IFERROR(VLOOKUP(DATA!#REF!,DATA!#REF!,1,FALSE),"")</f>
        <v/>
      </c>
      <c r="D207" s="16" t="str">
        <f>IFERROR(VLOOKUP(C207,DATA!#REF!,2,FALSE),"")</f>
        <v/>
      </c>
    </row>
    <row r="208" spans="2:4" s="230" customFormat="1">
      <c r="B208" s="15" t="str">
        <f t="shared" si="35"/>
        <v/>
      </c>
      <c r="C208" s="16" t="str">
        <f>IFERROR(VLOOKUP(DATA!#REF!,DATA!#REF!,1,FALSE),"")</f>
        <v/>
      </c>
      <c r="D208" s="16" t="str">
        <f>IFERROR(VLOOKUP(C208,DATA!#REF!,2,FALSE),"")</f>
        <v/>
      </c>
    </row>
    <row r="209" spans="2:4" s="230" customFormat="1">
      <c r="B209" s="15" t="str">
        <f t="shared" si="35"/>
        <v/>
      </c>
      <c r="C209" s="16" t="str">
        <f>IFERROR(VLOOKUP(DATA!#REF!,DATA!#REF!,1,FALSE),"")</f>
        <v/>
      </c>
      <c r="D209" s="16" t="str">
        <f>IFERROR(VLOOKUP(C209,DATA!#REF!,2,FALSE),"")</f>
        <v/>
      </c>
    </row>
    <row r="210" spans="2:4" s="230" customFormat="1">
      <c r="B210" s="15" t="str">
        <f t="shared" si="35"/>
        <v/>
      </c>
      <c r="C210" s="16" t="str">
        <f>IFERROR(VLOOKUP(DATA!#REF!,DATA!#REF!,1,FALSE),"")</f>
        <v/>
      </c>
      <c r="D210" s="16" t="str">
        <f>IFERROR(VLOOKUP(C210,DATA!#REF!,2,FALSE),"")</f>
        <v/>
      </c>
    </row>
    <row r="211" spans="2:4" s="230" customFormat="1">
      <c r="B211" s="15" t="str">
        <f t="shared" si="35"/>
        <v/>
      </c>
      <c r="C211" s="16" t="str">
        <f>IFERROR(VLOOKUP(DATA!#REF!,DATA!#REF!,1,FALSE),"")</f>
        <v/>
      </c>
      <c r="D211" s="16" t="str">
        <f>IFERROR(VLOOKUP(C211,DATA!#REF!,2,FALSE),"")</f>
        <v/>
      </c>
    </row>
    <row r="212" spans="2:4" s="230" customFormat="1">
      <c r="B212" s="15" t="str">
        <f t="shared" si="35"/>
        <v/>
      </c>
      <c r="C212" s="16" t="str">
        <f>IFERROR(VLOOKUP(DATA!#REF!,DATA!#REF!,1,FALSE),"")</f>
        <v/>
      </c>
      <c r="D212" s="16" t="str">
        <f>IFERROR(VLOOKUP(C212,DATA!#REF!,2,FALSE),"")</f>
        <v/>
      </c>
    </row>
    <row r="213" spans="2:4" s="230" customFormat="1">
      <c r="B213" s="15" t="str">
        <f t="shared" si="35"/>
        <v/>
      </c>
      <c r="C213" s="16" t="str">
        <f>IFERROR(VLOOKUP(DATA!#REF!,DATA!#REF!,1,FALSE),"")</f>
        <v/>
      </c>
      <c r="D213" s="16" t="str">
        <f>IFERROR(VLOOKUP(C213,DATA!#REF!,2,FALSE),"")</f>
        <v/>
      </c>
    </row>
    <row r="214" spans="2:4" s="230" customFormat="1">
      <c r="B214" s="15" t="str">
        <f t="shared" si="35"/>
        <v/>
      </c>
      <c r="C214" s="16" t="str">
        <f>IFERROR(VLOOKUP(DATA!#REF!,DATA!#REF!,1,FALSE),"")</f>
        <v/>
      </c>
      <c r="D214" s="16" t="str">
        <f>IFERROR(VLOOKUP(C214,DATA!#REF!,2,FALSE),"")</f>
        <v/>
      </c>
    </row>
    <row r="215" spans="2:4" s="230" customFormat="1">
      <c r="B215" s="15" t="str">
        <f t="shared" si="35"/>
        <v/>
      </c>
      <c r="C215" s="16" t="str">
        <f>IFERROR(VLOOKUP(DATA!#REF!,DATA!#REF!,1,FALSE),"")</f>
        <v/>
      </c>
      <c r="D215" s="16" t="str">
        <f>IFERROR(VLOOKUP(C215,DATA!#REF!,2,FALSE),"")</f>
        <v/>
      </c>
    </row>
    <row r="216" spans="2:4" s="230" customFormat="1">
      <c r="B216" s="15" t="str">
        <f t="shared" si="35"/>
        <v/>
      </c>
      <c r="C216" s="16" t="str">
        <f>IFERROR(VLOOKUP(DATA!#REF!,DATA!#REF!,1,FALSE),"")</f>
        <v/>
      </c>
      <c r="D216" s="16" t="str">
        <f>IFERROR(VLOOKUP(C216,DATA!#REF!,2,FALSE),"")</f>
        <v/>
      </c>
    </row>
    <row r="217" spans="2:4" s="230" customFormat="1">
      <c r="B217" s="15" t="str">
        <f t="shared" si="35"/>
        <v/>
      </c>
      <c r="C217" s="16" t="str">
        <f>IFERROR(VLOOKUP(DATA!#REF!,DATA!#REF!,1,FALSE),"")</f>
        <v/>
      </c>
      <c r="D217" s="16" t="str">
        <f>IFERROR(VLOOKUP(C217,DATA!#REF!,2,FALSE),"")</f>
        <v/>
      </c>
    </row>
    <row r="218" spans="2:4" s="230" customFormat="1">
      <c r="B218" s="15" t="str">
        <f t="shared" si="35"/>
        <v/>
      </c>
      <c r="C218" s="16" t="str">
        <f>IFERROR(VLOOKUP(DATA!#REF!,DATA!#REF!,1,FALSE),"")</f>
        <v/>
      </c>
      <c r="D218" s="16" t="str">
        <f>IFERROR(VLOOKUP(C218,DATA!#REF!,2,FALSE),"")</f>
        <v/>
      </c>
    </row>
    <row r="219" spans="2:4" s="230" customFormat="1">
      <c r="B219" s="15" t="str">
        <f t="shared" si="35"/>
        <v/>
      </c>
      <c r="C219" s="16" t="str">
        <f>IFERROR(VLOOKUP(DATA!#REF!,DATA!#REF!,1,FALSE),"")</f>
        <v/>
      </c>
      <c r="D219" s="16" t="str">
        <f>IFERROR(VLOOKUP(C219,DATA!#REF!,2,FALSE),"")</f>
        <v/>
      </c>
    </row>
    <row r="220" spans="2:4" s="230" customFormat="1">
      <c r="B220" s="15" t="str">
        <f t="shared" si="35"/>
        <v/>
      </c>
      <c r="C220" s="16" t="str">
        <f>IFERROR(VLOOKUP(DATA!#REF!,DATA!#REF!,1,FALSE),"")</f>
        <v/>
      </c>
      <c r="D220" s="16" t="str">
        <f>IFERROR(VLOOKUP(C220,DATA!#REF!,2,FALSE),"")</f>
        <v/>
      </c>
    </row>
    <row r="221" spans="2:4" s="230" customFormat="1">
      <c r="B221" s="15" t="str">
        <f t="shared" si="35"/>
        <v/>
      </c>
      <c r="C221" s="16" t="str">
        <f>IFERROR(VLOOKUP(DATA!#REF!,DATA!#REF!,1,FALSE),"")</f>
        <v/>
      </c>
      <c r="D221" s="16" t="str">
        <f>IFERROR(VLOOKUP(C221,DATA!#REF!,2,FALSE),"")</f>
        <v/>
      </c>
    </row>
    <row r="222" spans="2:4" s="230" customFormat="1">
      <c r="B222" s="15" t="str">
        <f t="shared" si="35"/>
        <v/>
      </c>
      <c r="C222" s="16" t="str">
        <f>IFERROR(VLOOKUP(DATA!#REF!,DATA!#REF!,1,FALSE),"")</f>
        <v/>
      </c>
      <c r="D222" s="16" t="str">
        <f>IFERROR(VLOOKUP(C222,DATA!#REF!,2,FALSE),"")</f>
        <v/>
      </c>
    </row>
    <row r="223" spans="2:4" s="230" customFormat="1">
      <c r="B223" s="15" t="str">
        <f t="shared" si="35"/>
        <v/>
      </c>
      <c r="C223" s="16" t="str">
        <f>IFERROR(VLOOKUP(DATA!#REF!,DATA!#REF!,1,FALSE),"")</f>
        <v/>
      </c>
      <c r="D223" s="16" t="str">
        <f>IFERROR(VLOOKUP(C223,DATA!#REF!,2,FALSE),"")</f>
        <v/>
      </c>
    </row>
    <row r="224" spans="2:4" s="230" customFormat="1">
      <c r="B224" s="15" t="str">
        <f t="shared" si="35"/>
        <v/>
      </c>
      <c r="C224" s="16" t="str">
        <f>IFERROR(VLOOKUP(DATA!#REF!,DATA!#REF!,1,FALSE),"")</f>
        <v/>
      </c>
      <c r="D224" s="16" t="str">
        <f>IFERROR(VLOOKUP(C224,DATA!#REF!,2,FALSE),"")</f>
        <v/>
      </c>
    </row>
    <row r="225" spans="2:4" s="230" customFormat="1">
      <c r="B225" s="15" t="str">
        <f t="shared" si="35"/>
        <v/>
      </c>
      <c r="C225" s="16" t="str">
        <f>IFERROR(VLOOKUP(DATA!#REF!,DATA!#REF!,1,FALSE),"")</f>
        <v/>
      </c>
      <c r="D225" s="16" t="str">
        <f>IFERROR(VLOOKUP(C225,DATA!#REF!,2,FALSE),"")</f>
        <v/>
      </c>
    </row>
    <row r="226" spans="2:4" s="230" customFormat="1">
      <c r="B226" s="15" t="str">
        <f t="shared" si="35"/>
        <v/>
      </c>
      <c r="C226" s="16" t="str">
        <f>IFERROR(VLOOKUP(DATA!#REF!,DATA!#REF!,1,FALSE),"")</f>
        <v/>
      </c>
      <c r="D226" s="16" t="str">
        <f>IFERROR(VLOOKUP(C226,DATA!#REF!,2,FALSE),"")</f>
        <v/>
      </c>
    </row>
    <row r="227" spans="2:4" s="230" customFormat="1">
      <c r="B227" s="15" t="str">
        <f t="shared" si="35"/>
        <v/>
      </c>
      <c r="C227" s="16" t="str">
        <f>IFERROR(VLOOKUP(DATA!#REF!,DATA!#REF!,1,FALSE),"")</f>
        <v/>
      </c>
      <c r="D227" s="16" t="str">
        <f>IFERROR(VLOOKUP(C227,DATA!#REF!,2,FALSE),"")</f>
        <v/>
      </c>
    </row>
    <row r="228" spans="2:4" s="230" customFormat="1">
      <c r="B228" s="15" t="str">
        <f t="shared" si="35"/>
        <v/>
      </c>
      <c r="C228" s="16" t="str">
        <f>IFERROR(VLOOKUP(DATA!#REF!,DATA!#REF!,1,FALSE),"")</f>
        <v/>
      </c>
      <c r="D228" s="16" t="str">
        <f>IFERROR(VLOOKUP(C228,DATA!#REF!,2,FALSE),"")</f>
        <v/>
      </c>
    </row>
    <row r="229" spans="2:4" s="230" customFormat="1">
      <c r="B229" s="15" t="str">
        <f t="shared" si="35"/>
        <v/>
      </c>
      <c r="C229" s="16" t="str">
        <f>IFERROR(VLOOKUP(DATA!#REF!,DATA!#REF!,1,FALSE),"")</f>
        <v/>
      </c>
      <c r="D229" s="16" t="str">
        <f>IFERROR(VLOOKUP(C229,DATA!#REF!,2,FALSE),"")</f>
        <v/>
      </c>
    </row>
    <row r="230" spans="2:4" s="230" customFormat="1">
      <c r="B230" s="15" t="str">
        <f t="shared" si="35"/>
        <v/>
      </c>
      <c r="C230" s="16" t="str">
        <f>IFERROR(VLOOKUP(DATA!#REF!,DATA!#REF!,1,FALSE),"")</f>
        <v/>
      </c>
      <c r="D230" s="16" t="str">
        <f>IFERROR(VLOOKUP(C230,DATA!#REF!,2,FALSE),"")</f>
        <v/>
      </c>
    </row>
    <row r="231" spans="2:4" s="230" customFormat="1">
      <c r="B231" s="15" t="str">
        <f t="shared" si="35"/>
        <v/>
      </c>
      <c r="C231" s="16" t="str">
        <f>IFERROR(VLOOKUP(DATA!#REF!,DATA!#REF!,1,FALSE),"")</f>
        <v/>
      </c>
      <c r="D231" s="16" t="str">
        <f>IFERROR(VLOOKUP(C231,DATA!#REF!,2,FALSE),"")</f>
        <v/>
      </c>
    </row>
    <row r="232" spans="2:4" s="230" customFormat="1">
      <c r="B232" s="15" t="str">
        <f t="shared" si="35"/>
        <v/>
      </c>
      <c r="C232" s="16" t="str">
        <f>IFERROR(VLOOKUP(DATA!#REF!,DATA!#REF!,1,FALSE),"")</f>
        <v/>
      </c>
      <c r="D232" s="16" t="str">
        <f>IFERROR(VLOOKUP(C232,DATA!#REF!,2,FALSE),"")</f>
        <v/>
      </c>
    </row>
    <row r="233" spans="2:4" s="230" customFormat="1">
      <c r="B233" s="15" t="str">
        <f t="shared" si="35"/>
        <v/>
      </c>
      <c r="C233" s="16" t="str">
        <f>IFERROR(VLOOKUP(DATA!#REF!,DATA!#REF!,1,FALSE),"")</f>
        <v/>
      </c>
      <c r="D233" s="16" t="str">
        <f>IFERROR(VLOOKUP(C233,DATA!#REF!,2,FALSE),"")</f>
        <v/>
      </c>
    </row>
    <row r="234" spans="2:4" s="230" customFormat="1">
      <c r="B234" s="15" t="str">
        <f t="shared" si="35"/>
        <v/>
      </c>
      <c r="C234" s="16" t="str">
        <f>IFERROR(VLOOKUP(DATA!#REF!,DATA!#REF!,1,FALSE),"")</f>
        <v/>
      </c>
      <c r="D234" s="16" t="str">
        <f>IFERROR(VLOOKUP(C234,DATA!#REF!,2,FALSE),"")</f>
        <v/>
      </c>
    </row>
    <row r="235" spans="2:4" s="230" customFormat="1">
      <c r="B235" s="15" t="str">
        <f t="shared" si="35"/>
        <v/>
      </c>
      <c r="C235" s="16" t="str">
        <f>IFERROR(VLOOKUP(DATA!#REF!,DATA!#REF!,1,FALSE),"")</f>
        <v/>
      </c>
      <c r="D235" s="16" t="str">
        <f>IFERROR(VLOOKUP(C235,DATA!#REF!,2,FALSE),"")</f>
        <v/>
      </c>
    </row>
    <row r="236" spans="2:4" s="230" customFormat="1">
      <c r="B236" s="15" t="str">
        <f t="shared" si="35"/>
        <v/>
      </c>
      <c r="C236" s="16" t="str">
        <f>IFERROR(VLOOKUP(DATA!#REF!,DATA!#REF!,1,FALSE),"")</f>
        <v/>
      </c>
      <c r="D236" s="16" t="str">
        <f>IFERROR(VLOOKUP(C236,DATA!#REF!,2,FALSE),"")</f>
        <v/>
      </c>
    </row>
    <row r="237" spans="2:4" s="230" customFormat="1">
      <c r="B237" s="15" t="str">
        <f t="shared" si="35"/>
        <v/>
      </c>
      <c r="C237" s="16" t="str">
        <f>IFERROR(VLOOKUP(DATA!#REF!,DATA!#REF!,1,FALSE),"")</f>
        <v/>
      </c>
      <c r="D237" s="16" t="str">
        <f>IFERROR(VLOOKUP(C237,DATA!#REF!,2,FALSE),"")</f>
        <v/>
      </c>
    </row>
    <row r="238" spans="2:4" s="230" customFormat="1">
      <c r="B238" s="15" t="str">
        <f t="shared" si="35"/>
        <v/>
      </c>
      <c r="C238" s="16" t="str">
        <f>IFERROR(VLOOKUP(DATA!#REF!,DATA!#REF!,1,FALSE),"")</f>
        <v/>
      </c>
      <c r="D238" s="16" t="str">
        <f>IFERROR(VLOOKUP(C238,DATA!#REF!,2,FALSE),"")</f>
        <v/>
      </c>
    </row>
    <row r="239" spans="2:4" s="230" customFormat="1">
      <c r="B239" s="15" t="str">
        <f t="shared" si="35"/>
        <v/>
      </c>
      <c r="C239" s="16" t="str">
        <f>IFERROR(VLOOKUP(DATA!#REF!,DATA!#REF!,1,FALSE),"")</f>
        <v/>
      </c>
      <c r="D239" s="16" t="str">
        <f>IFERROR(VLOOKUP(C239,DATA!#REF!,2,FALSE),"")</f>
        <v/>
      </c>
    </row>
    <row r="240" spans="2:4" s="230" customFormat="1">
      <c r="B240" s="15" t="str">
        <f t="shared" si="35"/>
        <v/>
      </c>
      <c r="C240" s="16" t="str">
        <f>IFERROR(VLOOKUP(DATA!#REF!,DATA!#REF!,1,FALSE),"")</f>
        <v/>
      </c>
      <c r="D240" s="16" t="str">
        <f>IFERROR(VLOOKUP(C240,DATA!#REF!,2,FALSE),"")</f>
        <v/>
      </c>
    </row>
    <row r="241" spans="2:4" s="230" customFormat="1">
      <c r="B241" s="15" t="str">
        <f t="shared" si="35"/>
        <v/>
      </c>
      <c r="C241" s="16" t="str">
        <f>IFERROR(VLOOKUP(DATA!#REF!,DATA!#REF!,1,FALSE),"")</f>
        <v/>
      </c>
      <c r="D241" s="16" t="str">
        <f>IFERROR(VLOOKUP(C241,DATA!#REF!,2,FALSE),"")</f>
        <v/>
      </c>
    </row>
    <row r="242" spans="2:4" s="230" customFormat="1">
      <c r="B242" s="15" t="str">
        <f t="shared" si="35"/>
        <v/>
      </c>
      <c r="C242" s="16" t="str">
        <f>IFERROR(VLOOKUP(DATA!#REF!,DATA!#REF!,1,FALSE),"")</f>
        <v/>
      </c>
      <c r="D242" s="16" t="str">
        <f>IFERROR(VLOOKUP(C242,DATA!#REF!,2,FALSE),"")</f>
        <v/>
      </c>
    </row>
    <row r="243" spans="2:4" s="230" customFormat="1">
      <c r="B243" s="15" t="str">
        <f t="shared" si="35"/>
        <v/>
      </c>
      <c r="C243" s="16" t="str">
        <f>IFERROR(VLOOKUP(DATA!#REF!,DATA!#REF!,1,FALSE),"")</f>
        <v/>
      </c>
      <c r="D243" s="16" t="str">
        <f>IFERROR(VLOOKUP(C243,DATA!#REF!,2,FALSE),"")</f>
        <v/>
      </c>
    </row>
    <row r="244" spans="2:4" s="230" customFormat="1">
      <c r="B244" s="15" t="str">
        <f t="shared" si="35"/>
        <v/>
      </c>
      <c r="C244" s="16" t="str">
        <f>IFERROR(VLOOKUP(DATA!#REF!,DATA!#REF!,1,FALSE),"")</f>
        <v/>
      </c>
      <c r="D244" s="16" t="str">
        <f>IFERROR(VLOOKUP(C244,DATA!#REF!,2,FALSE),"")</f>
        <v/>
      </c>
    </row>
    <row r="245" spans="2:4" s="230" customFormat="1">
      <c r="B245" s="15" t="str">
        <f t="shared" si="35"/>
        <v/>
      </c>
      <c r="C245" s="16" t="str">
        <f>IFERROR(VLOOKUP(DATA!#REF!,DATA!#REF!,1,FALSE),"")</f>
        <v/>
      </c>
      <c r="D245" s="16" t="str">
        <f>IFERROR(VLOOKUP(C245,DATA!#REF!,2,FALSE),"")</f>
        <v/>
      </c>
    </row>
    <row r="246" spans="2:4" s="230" customFormat="1">
      <c r="B246" s="15" t="str">
        <f t="shared" si="35"/>
        <v/>
      </c>
      <c r="C246" s="16" t="str">
        <f>IFERROR(VLOOKUP(DATA!#REF!,DATA!#REF!,1,FALSE),"")</f>
        <v/>
      </c>
      <c r="D246" s="16" t="str">
        <f>IFERROR(VLOOKUP(C246,DATA!#REF!,2,FALSE),"")</f>
        <v/>
      </c>
    </row>
    <row r="247" spans="2:4" s="230" customFormat="1">
      <c r="B247" s="15" t="str">
        <f t="shared" si="35"/>
        <v/>
      </c>
      <c r="C247" s="16" t="str">
        <f>IFERROR(VLOOKUP(DATA!#REF!,DATA!#REF!,1,FALSE),"")</f>
        <v/>
      </c>
      <c r="D247" s="16" t="str">
        <f>IFERROR(VLOOKUP(C247,DATA!#REF!,2,FALSE),"")</f>
        <v/>
      </c>
    </row>
    <row r="248" spans="2:4" s="230" customFormat="1">
      <c r="B248" s="15" t="str">
        <f t="shared" si="35"/>
        <v/>
      </c>
      <c r="C248" s="16" t="str">
        <f>IFERROR(VLOOKUP(DATA!#REF!,DATA!#REF!,1,FALSE),"")</f>
        <v/>
      </c>
      <c r="D248" s="16" t="str">
        <f>IFERROR(VLOOKUP(C248,DATA!#REF!,2,FALSE),"")</f>
        <v/>
      </c>
    </row>
    <row r="249" spans="2:4" s="230" customFormat="1">
      <c r="B249" s="15" t="str">
        <f t="shared" si="35"/>
        <v/>
      </c>
      <c r="C249" s="16" t="str">
        <f>IFERROR(VLOOKUP(DATA!#REF!,DATA!#REF!,1,FALSE),"")</f>
        <v/>
      </c>
      <c r="D249" s="16" t="str">
        <f>IFERROR(VLOOKUP(C249,DATA!#REF!,2,FALSE),"")</f>
        <v/>
      </c>
    </row>
    <row r="250" spans="2:4" s="230" customFormat="1">
      <c r="B250" s="15" t="str">
        <f t="shared" si="35"/>
        <v/>
      </c>
      <c r="C250" s="16" t="str">
        <f>IFERROR(VLOOKUP(DATA!#REF!,DATA!#REF!,1,FALSE),"")</f>
        <v/>
      </c>
      <c r="D250" s="16" t="str">
        <f>IFERROR(VLOOKUP(C250,DATA!#REF!,2,FALSE),"")</f>
        <v/>
      </c>
    </row>
    <row r="251" spans="2:4" s="230" customFormat="1">
      <c r="B251" s="15" t="str">
        <f t="shared" si="35"/>
        <v/>
      </c>
      <c r="C251" s="16" t="str">
        <f>IFERROR(VLOOKUP(DATA!#REF!,DATA!#REF!,1,FALSE),"")</f>
        <v/>
      </c>
      <c r="D251" s="16" t="str">
        <f>IFERROR(VLOOKUP(C251,DATA!#REF!,2,FALSE),"")</f>
        <v/>
      </c>
    </row>
    <row r="252" spans="2:4" s="230" customFormat="1">
      <c r="B252" s="15" t="str">
        <f t="shared" si="35"/>
        <v/>
      </c>
      <c r="C252" s="16" t="str">
        <f>IFERROR(VLOOKUP(DATA!#REF!,DATA!#REF!,1,FALSE),"")</f>
        <v/>
      </c>
      <c r="D252" s="16" t="str">
        <f>IFERROR(VLOOKUP(C252,DATA!#REF!,2,FALSE),"")</f>
        <v/>
      </c>
    </row>
    <row r="253" spans="2:4" s="230" customFormat="1">
      <c r="B253" s="15" t="str">
        <f t="shared" si="35"/>
        <v/>
      </c>
      <c r="C253" s="16" t="str">
        <f>IFERROR(VLOOKUP(DATA!#REF!,DATA!#REF!,1,FALSE),"")</f>
        <v/>
      </c>
      <c r="D253" s="16" t="str">
        <f>IFERROR(VLOOKUP(C253,DATA!#REF!,2,FALSE),"")</f>
        <v/>
      </c>
    </row>
    <row r="254" spans="2:4" s="230" customFormat="1">
      <c r="B254" s="15" t="str">
        <f t="shared" si="35"/>
        <v/>
      </c>
      <c r="C254" s="16" t="str">
        <f>IFERROR(VLOOKUP(DATA!#REF!,DATA!#REF!,1,FALSE),"")</f>
        <v/>
      </c>
      <c r="D254" s="16" t="str">
        <f>IFERROR(VLOOKUP(C254,DATA!#REF!,2,FALSE),"")</f>
        <v/>
      </c>
    </row>
    <row r="255" spans="2:4" s="230" customFormat="1">
      <c r="B255" s="15" t="str">
        <f t="shared" si="35"/>
        <v/>
      </c>
      <c r="C255" s="16" t="str">
        <f>IFERROR(VLOOKUP(DATA!#REF!,DATA!#REF!,1,FALSE),"")</f>
        <v/>
      </c>
      <c r="D255" s="16" t="str">
        <f>IFERROR(VLOOKUP(C255,DATA!#REF!,2,FALSE),"")</f>
        <v/>
      </c>
    </row>
    <row r="256" spans="2:4" s="230" customFormat="1">
      <c r="B256" s="15" t="str">
        <f t="shared" si="35"/>
        <v/>
      </c>
      <c r="C256" s="16" t="str">
        <f>IFERROR(VLOOKUP(DATA!#REF!,DATA!#REF!,1,FALSE),"")</f>
        <v/>
      </c>
      <c r="D256" s="16" t="str">
        <f>IFERROR(VLOOKUP(C256,DATA!#REF!,2,FALSE),"")</f>
        <v/>
      </c>
    </row>
    <row r="257" spans="2:4" s="230" customFormat="1">
      <c r="B257" s="15" t="str">
        <f t="shared" si="35"/>
        <v/>
      </c>
      <c r="C257" s="16" t="str">
        <f>IFERROR(VLOOKUP(DATA!#REF!,DATA!#REF!,1,FALSE),"")</f>
        <v/>
      </c>
      <c r="D257" s="16" t="str">
        <f>IFERROR(VLOOKUP(C257,DATA!#REF!,2,FALSE),"")</f>
        <v/>
      </c>
    </row>
    <row r="258" spans="2:4" s="230" customFormat="1">
      <c r="B258" s="15" t="str">
        <f t="shared" si="35"/>
        <v/>
      </c>
      <c r="C258" s="16" t="str">
        <f>IFERROR(VLOOKUP(DATA!#REF!,DATA!#REF!,1,FALSE),"")</f>
        <v/>
      </c>
      <c r="D258" s="16" t="str">
        <f>IFERROR(VLOOKUP(C258,DATA!#REF!,2,FALSE),"")</f>
        <v/>
      </c>
    </row>
    <row r="259" spans="2:4" s="230" customFormat="1">
      <c r="B259" s="15" t="str">
        <f t="shared" si="35"/>
        <v/>
      </c>
      <c r="C259" s="16" t="str">
        <f>IFERROR(VLOOKUP(DATA!#REF!,DATA!#REF!,1,FALSE),"")</f>
        <v/>
      </c>
      <c r="D259" s="16" t="str">
        <f>IFERROR(VLOOKUP(C259,DATA!#REF!,2,FALSE),"")</f>
        <v/>
      </c>
    </row>
    <row r="260" spans="2:4" s="230" customFormat="1">
      <c r="B260" s="15" t="str">
        <f t="shared" si="35"/>
        <v/>
      </c>
      <c r="C260" s="16" t="str">
        <f>IFERROR(VLOOKUP(DATA!#REF!,DATA!#REF!,1,FALSE),"")</f>
        <v/>
      </c>
      <c r="D260" s="16" t="str">
        <f>IFERROR(VLOOKUP(C260,DATA!#REF!,2,FALSE),"")</f>
        <v/>
      </c>
    </row>
    <row r="261" spans="2:4" s="230" customFormat="1">
      <c r="B261" s="15" t="str">
        <f t="shared" si="35"/>
        <v/>
      </c>
      <c r="C261" s="16" t="str">
        <f>IFERROR(VLOOKUP(DATA!#REF!,DATA!#REF!,1,FALSE),"")</f>
        <v/>
      </c>
      <c r="D261" s="16" t="str">
        <f>IFERROR(VLOOKUP(C261,DATA!#REF!,2,FALSE),"")</f>
        <v/>
      </c>
    </row>
    <row r="262" spans="2:4" s="230" customFormat="1">
      <c r="B262" s="15" t="str">
        <f t="shared" ref="B262:B325" si="36">+IF(C262="","",ROW()-5)</f>
        <v/>
      </c>
      <c r="C262" s="16" t="str">
        <f>IFERROR(VLOOKUP(DATA!#REF!,DATA!#REF!,1,FALSE),"")</f>
        <v/>
      </c>
      <c r="D262" s="16" t="str">
        <f>IFERROR(VLOOKUP(C262,DATA!#REF!,2,FALSE),"")</f>
        <v/>
      </c>
    </row>
    <row r="263" spans="2:4" s="230" customFormat="1">
      <c r="B263" s="15" t="str">
        <f t="shared" si="36"/>
        <v/>
      </c>
      <c r="C263" s="16" t="str">
        <f>IFERROR(VLOOKUP(DATA!#REF!,DATA!#REF!,1,FALSE),"")</f>
        <v/>
      </c>
      <c r="D263" s="16" t="str">
        <f>IFERROR(VLOOKUP(C263,DATA!#REF!,2,FALSE),"")</f>
        <v/>
      </c>
    </row>
    <row r="264" spans="2:4" s="230" customFormat="1">
      <c r="B264" s="15" t="str">
        <f t="shared" si="36"/>
        <v/>
      </c>
      <c r="C264" s="16" t="str">
        <f>IFERROR(VLOOKUP(DATA!#REF!,DATA!#REF!,1,FALSE),"")</f>
        <v/>
      </c>
      <c r="D264" s="16" t="str">
        <f>IFERROR(VLOOKUP(C264,DATA!#REF!,2,FALSE),"")</f>
        <v/>
      </c>
    </row>
    <row r="265" spans="2:4" s="230" customFormat="1">
      <c r="B265" s="15" t="str">
        <f t="shared" si="36"/>
        <v/>
      </c>
      <c r="C265" s="16" t="str">
        <f>IFERROR(VLOOKUP(DATA!#REF!,DATA!#REF!,1,FALSE),"")</f>
        <v/>
      </c>
      <c r="D265" s="16" t="str">
        <f>IFERROR(VLOOKUP(C265,DATA!#REF!,2,FALSE),"")</f>
        <v/>
      </c>
    </row>
    <row r="266" spans="2:4" s="230" customFormat="1">
      <c r="B266" s="15" t="str">
        <f t="shared" si="36"/>
        <v/>
      </c>
      <c r="C266" s="16" t="str">
        <f>IFERROR(VLOOKUP(DATA!#REF!,DATA!#REF!,1,FALSE),"")</f>
        <v/>
      </c>
      <c r="D266" s="16" t="str">
        <f>IFERROR(VLOOKUP(C266,DATA!#REF!,2,FALSE),"")</f>
        <v/>
      </c>
    </row>
    <row r="267" spans="2:4" s="230" customFormat="1">
      <c r="B267" s="15" t="str">
        <f t="shared" si="36"/>
        <v/>
      </c>
      <c r="C267" s="16" t="str">
        <f>IFERROR(VLOOKUP(DATA!#REF!,DATA!#REF!,1,FALSE),"")</f>
        <v/>
      </c>
      <c r="D267" s="16" t="str">
        <f>IFERROR(VLOOKUP(C267,DATA!#REF!,2,FALSE),"")</f>
        <v/>
      </c>
    </row>
    <row r="268" spans="2:4" s="230" customFormat="1">
      <c r="B268" s="15" t="str">
        <f t="shared" si="36"/>
        <v/>
      </c>
      <c r="C268" s="16" t="str">
        <f>IFERROR(VLOOKUP(DATA!#REF!,DATA!#REF!,1,FALSE),"")</f>
        <v/>
      </c>
      <c r="D268" s="16" t="str">
        <f>IFERROR(VLOOKUP(C268,DATA!#REF!,2,FALSE),"")</f>
        <v/>
      </c>
    </row>
    <row r="269" spans="2:4" s="230" customFormat="1">
      <c r="B269" s="15" t="str">
        <f t="shared" si="36"/>
        <v/>
      </c>
      <c r="C269" s="16" t="str">
        <f>IFERROR(VLOOKUP(DATA!#REF!,DATA!#REF!,1,FALSE),"")</f>
        <v/>
      </c>
      <c r="D269" s="16" t="str">
        <f>IFERROR(VLOOKUP(C269,DATA!#REF!,2,FALSE),"")</f>
        <v/>
      </c>
    </row>
    <row r="270" spans="2:4" s="230" customFormat="1">
      <c r="B270" s="15" t="str">
        <f t="shared" si="36"/>
        <v/>
      </c>
      <c r="C270" s="16" t="str">
        <f>IFERROR(VLOOKUP(DATA!#REF!,DATA!#REF!,1,FALSE),"")</f>
        <v/>
      </c>
      <c r="D270" s="16" t="str">
        <f>IFERROR(VLOOKUP(C270,DATA!#REF!,2,FALSE),"")</f>
        <v/>
      </c>
    </row>
    <row r="271" spans="2:4" s="230" customFormat="1">
      <c r="B271" s="15" t="str">
        <f t="shared" si="36"/>
        <v/>
      </c>
      <c r="C271" s="16" t="str">
        <f>IFERROR(VLOOKUP(DATA!#REF!,DATA!#REF!,1,FALSE),"")</f>
        <v/>
      </c>
      <c r="D271" s="16" t="str">
        <f>IFERROR(VLOOKUP(C271,DATA!#REF!,2,FALSE),"")</f>
        <v/>
      </c>
    </row>
    <row r="272" spans="2:4" s="230" customFormat="1">
      <c r="B272" s="15" t="str">
        <f t="shared" si="36"/>
        <v/>
      </c>
      <c r="C272" s="16" t="str">
        <f>IFERROR(VLOOKUP(DATA!#REF!,DATA!#REF!,1,FALSE),"")</f>
        <v/>
      </c>
      <c r="D272" s="16" t="str">
        <f>IFERROR(VLOOKUP(C272,DATA!#REF!,2,FALSE),"")</f>
        <v/>
      </c>
    </row>
    <row r="273" spans="2:4" s="230" customFormat="1">
      <c r="B273" s="15" t="str">
        <f t="shared" si="36"/>
        <v/>
      </c>
      <c r="C273" s="16" t="str">
        <f>IFERROR(VLOOKUP(DATA!#REF!,DATA!#REF!,1,FALSE),"")</f>
        <v/>
      </c>
      <c r="D273" s="16" t="str">
        <f>IFERROR(VLOOKUP(C273,DATA!#REF!,2,FALSE),"")</f>
        <v/>
      </c>
    </row>
    <row r="274" spans="2:4" s="230" customFormat="1">
      <c r="B274" s="15" t="str">
        <f t="shared" si="36"/>
        <v/>
      </c>
      <c r="C274" s="16" t="str">
        <f>IFERROR(VLOOKUP(DATA!#REF!,DATA!#REF!,1,FALSE),"")</f>
        <v/>
      </c>
      <c r="D274" s="16" t="str">
        <f>IFERROR(VLOOKUP(C274,DATA!#REF!,2,FALSE),"")</f>
        <v/>
      </c>
    </row>
    <row r="275" spans="2:4" s="230" customFormat="1">
      <c r="B275" s="15" t="str">
        <f t="shared" si="36"/>
        <v/>
      </c>
      <c r="C275" s="16" t="str">
        <f>IFERROR(VLOOKUP(DATA!#REF!,DATA!#REF!,1,FALSE),"")</f>
        <v/>
      </c>
      <c r="D275" s="16" t="str">
        <f>IFERROR(VLOOKUP(C275,DATA!#REF!,2,FALSE),"")</f>
        <v/>
      </c>
    </row>
    <row r="276" spans="2:4" s="230" customFormat="1">
      <c r="B276" s="15" t="str">
        <f t="shared" si="36"/>
        <v/>
      </c>
      <c r="C276" s="16" t="str">
        <f>IFERROR(VLOOKUP(DATA!#REF!,DATA!#REF!,1,FALSE),"")</f>
        <v/>
      </c>
      <c r="D276" s="16" t="str">
        <f>IFERROR(VLOOKUP(C276,DATA!#REF!,2,FALSE),"")</f>
        <v/>
      </c>
    </row>
    <row r="277" spans="2:4" s="230" customFormat="1">
      <c r="B277" s="15" t="str">
        <f t="shared" si="36"/>
        <v/>
      </c>
      <c r="C277" s="16" t="str">
        <f>IFERROR(VLOOKUP(DATA!#REF!,DATA!#REF!,1,FALSE),"")</f>
        <v/>
      </c>
      <c r="D277" s="16" t="str">
        <f>IFERROR(VLOOKUP(C277,DATA!#REF!,2,FALSE),"")</f>
        <v/>
      </c>
    </row>
    <row r="278" spans="2:4" s="230" customFormat="1">
      <c r="B278" s="15" t="str">
        <f t="shared" si="36"/>
        <v/>
      </c>
      <c r="C278" s="16" t="str">
        <f>IFERROR(VLOOKUP(DATA!#REF!,DATA!#REF!,1,FALSE),"")</f>
        <v/>
      </c>
      <c r="D278" s="16" t="str">
        <f>IFERROR(VLOOKUP(C278,DATA!#REF!,2,FALSE),"")</f>
        <v/>
      </c>
    </row>
    <row r="279" spans="2:4" s="230" customFormat="1">
      <c r="B279" s="15" t="str">
        <f t="shared" si="36"/>
        <v/>
      </c>
      <c r="C279" s="16" t="str">
        <f>IFERROR(VLOOKUP(DATA!#REF!,DATA!#REF!,1,FALSE),"")</f>
        <v/>
      </c>
      <c r="D279" s="16" t="str">
        <f>IFERROR(VLOOKUP(C279,DATA!#REF!,2,FALSE),"")</f>
        <v/>
      </c>
    </row>
    <row r="280" spans="2:4" s="230" customFormat="1">
      <c r="B280" s="15" t="str">
        <f t="shared" si="36"/>
        <v/>
      </c>
      <c r="C280" s="16" t="str">
        <f>IFERROR(VLOOKUP(DATA!#REF!,DATA!#REF!,1,FALSE),"")</f>
        <v/>
      </c>
      <c r="D280" s="16" t="str">
        <f>IFERROR(VLOOKUP(C280,DATA!#REF!,2,FALSE),"")</f>
        <v/>
      </c>
    </row>
    <row r="281" spans="2:4" s="230" customFormat="1">
      <c r="B281" s="15" t="str">
        <f t="shared" si="36"/>
        <v/>
      </c>
      <c r="C281" s="16" t="str">
        <f>IFERROR(VLOOKUP(DATA!#REF!,DATA!#REF!,1,FALSE),"")</f>
        <v/>
      </c>
      <c r="D281" s="16" t="str">
        <f>IFERROR(VLOOKUP(C281,DATA!#REF!,2,FALSE),"")</f>
        <v/>
      </c>
    </row>
    <row r="282" spans="2:4" s="230" customFormat="1">
      <c r="B282" s="15" t="str">
        <f t="shared" si="36"/>
        <v/>
      </c>
      <c r="C282" s="16" t="str">
        <f>IFERROR(VLOOKUP(DATA!#REF!,DATA!#REF!,1,FALSE),"")</f>
        <v/>
      </c>
      <c r="D282" s="16" t="str">
        <f>IFERROR(VLOOKUP(C282,DATA!#REF!,2,FALSE),"")</f>
        <v/>
      </c>
    </row>
    <row r="283" spans="2:4" s="230" customFormat="1">
      <c r="B283" s="15" t="str">
        <f t="shared" si="36"/>
        <v/>
      </c>
      <c r="C283" s="16" t="str">
        <f>IFERROR(VLOOKUP(DATA!#REF!,DATA!#REF!,1,FALSE),"")</f>
        <v/>
      </c>
      <c r="D283" s="16" t="str">
        <f>IFERROR(VLOOKUP(C283,DATA!#REF!,2,FALSE),"")</f>
        <v/>
      </c>
    </row>
    <row r="284" spans="2:4" s="230" customFormat="1">
      <c r="B284" s="15" t="str">
        <f t="shared" si="36"/>
        <v/>
      </c>
      <c r="C284" s="16" t="str">
        <f>IFERROR(VLOOKUP(DATA!#REF!,DATA!#REF!,1,FALSE),"")</f>
        <v/>
      </c>
      <c r="D284" s="16" t="str">
        <f>IFERROR(VLOOKUP(C284,DATA!#REF!,2,FALSE),"")</f>
        <v/>
      </c>
    </row>
    <row r="285" spans="2:4" s="230" customFormat="1">
      <c r="B285" s="15" t="str">
        <f t="shared" si="36"/>
        <v/>
      </c>
      <c r="C285" s="16" t="str">
        <f>IFERROR(VLOOKUP(DATA!#REF!,DATA!#REF!,1,FALSE),"")</f>
        <v/>
      </c>
      <c r="D285" s="16" t="str">
        <f>IFERROR(VLOOKUP(C285,DATA!#REF!,2,FALSE),"")</f>
        <v/>
      </c>
    </row>
    <row r="286" spans="2:4" s="230" customFormat="1">
      <c r="B286" s="15" t="str">
        <f t="shared" si="36"/>
        <v/>
      </c>
      <c r="C286" s="16" t="str">
        <f>IFERROR(VLOOKUP(DATA!#REF!,DATA!#REF!,1,FALSE),"")</f>
        <v/>
      </c>
      <c r="D286" s="16" t="str">
        <f>IFERROR(VLOOKUP(C286,DATA!#REF!,2,FALSE),"")</f>
        <v/>
      </c>
    </row>
    <row r="287" spans="2:4" s="230" customFormat="1">
      <c r="B287" s="15" t="str">
        <f t="shared" si="36"/>
        <v/>
      </c>
      <c r="C287" s="16" t="str">
        <f>IFERROR(VLOOKUP(DATA!#REF!,DATA!#REF!,1,FALSE),"")</f>
        <v/>
      </c>
      <c r="D287" s="16" t="str">
        <f>IFERROR(VLOOKUP(C287,DATA!#REF!,2,FALSE),"")</f>
        <v/>
      </c>
    </row>
    <row r="288" spans="2:4" s="230" customFormat="1">
      <c r="B288" s="15" t="str">
        <f t="shared" si="36"/>
        <v/>
      </c>
      <c r="C288" s="16" t="str">
        <f>IFERROR(VLOOKUP(DATA!#REF!,DATA!#REF!,1,FALSE),"")</f>
        <v/>
      </c>
      <c r="D288" s="16" t="str">
        <f>IFERROR(VLOOKUP(C288,DATA!#REF!,2,FALSE),"")</f>
        <v/>
      </c>
    </row>
    <row r="289" spans="2:4" s="230" customFormat="1">
      <c r="B289" s="15" t="str">
        <f t="shared" si="36"/>
        <v/>
      </c>
      <c r="C289" s="16" t="str">
        <f>IFERROR(VLOOKUP(DATA!#REF!,DATA!#REF!,1,FALSE),"")</f>
        <v/>
      </c>
      <c r="D289" s="16" t="str">
        <f>IFERROR(VLOOKUP(C289,DATA!#REF!,2,FALSE),"")</f>
        <v/>
      </c>
    </row>
    <row r="290" spans="2:4" s="230" customFormat="1">
      <c r="B290" s="15" t="str">
        <f t="shared" si="36"/>
        <v/>
      </c>
      <c r="C290" s="16" t="str">
        <f>IFERROR(VLOOKUP(DATA!#REF!,DATA!#REF!,1,FALSE),"")</f>
        <v/>
      </c>
      <c r="D290" s="16" t="str">
        <f>IFERROR(VLOOKUP(C290,DATA!#REF!,2,FALSE),"")</f>
        <v/>
      </c>
    </row>
    <row r="291" spans="2:4" s="230" customFormat="1">
      <c r="B291" s="15" t="str">
        <f t="shared" si="36"/>
        <v/>
      </c>
      <c r="C291" s="16" t="str">
        <f>IFERROR(VLOOKUP(DATA!#REF!,DATA!#REF!,1,FALSE),"")</f>
        <v/>
      </c>
      <c r="D291" s="16" t="str">
        <f>IFERROR(VLOOKUP(C291,DATA!#REF!,2,FALSE),"")</f>
        <v/>
      </c>
    </row>
    <row r="292" spans="2:4" s="230" customFormat="1">
      <c r="B292" s="15" t="str">
        <f t="shared" si="36"/>
        <v/>
      </c>
      <c r="C292" s="16" t="str">
        <f>IFERROR(VLOOKUP(DATA!#REF!,DATA!#REF!,1,FALSE),"")</f>
        <v/>
      </c>
      <c r="D292" s="16" t="str">
        <f>IFERROR(VLOOKUP(C292,DATA!#REF!,2,FALSE),"")</f>
        <v/>
      </c>
    </row>
    <row r="293" spans="2:4" s="230" customFormat="1">
      <c r="B293" s="15" t="str">
        <f t="shared" si="36"/>
        <v/>
      </c>
      <c r="C293" s="16" t="str">
        <f>IFERROR(VLOOKUP(DATA!#REF!,DATA!#REF!,1,FALSE),"")</f>
        <v/>
      </c>
      <c r="D293" s="16" t="str">
        <f>IFERROR(VLOOKUP(C293,DATA!#REF!,2,FALSE),"")</f>
        <v/>
      </c>
    </row>
    <row r="294" spans="2:4" s="230" customFormat="1">
      <c r="B294" s="15" t="str">
        <f t="shared" si="36"/>
        <v/>
      </c>
      <c r="C294" s="16" t="str">
        <f>IFERROR(VLOOKUP(DATA!#REF!,DATA!#REF!,1,FALSE),"")</f>
        <v/>
      </c>
      <c r="D294" s="16" t="str">
        <f>IFERROR(VLOOKUP(C294,DATA!#REF!,2,FALSE),"")</f>
        <v/>
      </c>
    </row>
    <row r="295" spans="2:4" s="230" customFormat="1">
      <c r="B295" s="15" t="str">
        <f t="shared" si="36"/>
        <v/>
      </c>
      <c r="C295" s="16" t="str">
        <f>IFERROR(VLOOKUP(DATA!#REF!,DATA!#REF!,1,FALSE),"")</f>
        <v/>
      </c>
      <c r="D295" s="16" t="str">
        <f>IFERROR(VLOOKUP(C295,DATA!#REF!,2,FALSE),"")</f>
        <v/>
      </c>
    </row>
    <row r="296" spans="2:4" s="230" customFormat="1">
      <c r="B296" s="15" t="str">
        <f t="shared" si="36"/>
        <v/>
      </c>
      <c r="C296" s="16" t="str">
        <f>IFERROR(VLOOKUP(DATA!#REF!,DATA!#REF!,1,FALSE),"")</f>
        <v/>
      </c>
      <c r="D296" s="16" t="str">
        <f>IFERROR(VLOOKUP(C296,DATA!#REF!,2,FALSE),"")</f>
        <v/>
      </c>
    </row>
    <row r="297" spans="2:4" s="230" customFormat="1">
      <c r="B297" s="15" t="str">
        <f t="shared" si="36"/>
        <v/>
      </c>
      <c r="C297" s="16" t="str">
        <f>IFERROR(VLOOKUP(DATA!#REF!,DATA!#REF!,1,FALSE),"")</f>
        <v/>
      </c>
      <c r="D297" s="16" t="str">
        <f>IFERROR(VLOOKUP(C297,DATA!#REF!,2,FALSE),"")</f>
        <v/>
      </c>
    </row>
    <row r="298" spans="2:4" s="230" customFormat="1">
      <c r="B298" s="15" t="str">
        <f t="shared" si="36"/>
        <v/>
      </c>
      <c r="C298" s="16" t="str">
        <f>IFERROR(VLOOKUP(DATA!#REF!,DATA!#REF!,1,FALSE),"")</f>
        <v/>
      </c>
      <c r="D298" s="16" t="str">
        <f>IFERROR(VLOOKUP(C298,DATA!#REF!,2,FALSE),"")</f>
        <v/>
      </c>
    </row>
    <row r="299" spans="2:4" s="230" customFormat="1">
      <c r="B299" s="15" t="str">
        <f t="shared" si="36"/>
        <v/>
      </c>
      <c r="C299" s="16" t="str">
        <f>IFERROR(VLOOKUP(DATA!#REF!,DATA!#REF!,1,FALSE),"")</f>
        <v/>
      </c>
      <c r="D299" s="16" t="str">
        <f>IFERROR(VLOOKUP(C299,DATA!#REF!,2,FALSE),"")</f>
        <v/>
      </c>
    </row>
    <row r="300" spans="2:4" s="230" customFormat="1">
      <c r="B300" s="15" t="str">
        <f t="shared" si="36"/>
        <v/>
      </c>
      <c r="C300" s="16" t="str">
        <f>IFERROR(VLOOKUP(DATA!#REF!,DATA!#REF!,1,FALSE),"")</f>
        <v/>
      </c>
      <c r="D300" s="16" t="str">
        <f>IFERROR(VLOOKUP(C300,DATA!#REF!,2,FALSE),"")</f>
        <v/>
      </c>
    </row>
    <row r="301" spans="2:4" s="230" customFormat="1">
      <c r="B301" s="15" t="str">
        <f t="shared" si="36"/>
        <v/>
      </c>
      <c r="C301" s="16" t="str">
        <f>IFERROR(VLOOKUP(DATA!#REF!,DATA!#REF!,1,FALSE),"")</f>
        <v/>
      </c>
      <c r="D301" s="16" t="str">
        <f>IFERROR(VLOOKUP(C301,DATA!#REF!,2,FALSE),"")</f>
        <v/>
      </c>
    </row>
    <row r="302" spans="2:4" s="230" customFormat="1">
      <c r="B302" s="15" t="str">
        <f t="shared" si="36"/>
        <v/>
      </c>
      <c r="C302" s="16" t="str">
        <f>IFERROR(VLOOKUP(DATA!#REF!,DATA!#REF!,1,FALSE),"")</f>
        <v/>
      </c>
      <c r="D302" s="16" t="str">
        <f>IFERROR(VLOOKUP(C302,DATA!#REF!,2,FALSE),"")</f>
        <v/>
      </c>
    </row>
    <row r="303" spans="2:4" s="230" customFormat="1">
      <c r="B303" s="15" t="str">
        <f t="shared" si="36"/>
        <v/>
      </c>
      <c r="C303" s="16" t="str">
        <f>IFERROR(VLOOKUP(DATA!#REF!,DATA!#REF!,1,FALSE),"")</f>
        <v/>
      </c>
      <c r="D303" s="16" t="str">
        <f>IFERROR(VLOOKUP(C303,DATA!#REF!,2,FALSE),"")</f>
        <v/>
      </c>
    </row>
    <row r="304" spans="2:4" s="230" customFormat="1">
      <c r="B304" s="15" t="str">
        <f t="shared" si="36"/>
        <v/>
      </c>
      <c r="C304" s="16" t="str">
        <f>IFERROR(VLOOKUP(DATA!#REF!,DATA!#REF!,1,FALSE),"")</f>
        <v/>
      </c>
      <c r="D304" s="16" t="str">
        <f>IFERROR(VLOOKUP(C304,DATA!#REF!,2,FALSE),"")</f>
        <v/>
      </c>
    </row>
    <row r="305" spans="2:4" s="230" customFormat="1">
      <c r="B305" s="15" t="str">
        <f t="shared" si="36"/>
        <v/>
      </c>
      <c r="C305" s="16" t="str">
        <f>IFERROR(VLOOKUP(DATA!#REF!,DATA!#REF!,1,FALSE),"")</f>
        <v/>
      </c>
      <c r="D305" s="16" t="str">
        <f>IFERROR(VLOOKUP(C305,DATA!#REF!,2,FALSE),"")</f>
        <v/>
      </c>
    </row>
    <row r="306" spans="2:4" s="230" customFormat="1">
      <c r="B306" s="15" t="str">
        <f t="shared" si="36"/>
        <v/>
      </c>
      <c r="C306" s="16" t="str">
        <f>IFERROR(VLOOKUP(DATA!#REF!,DATA!#REF!,1,FALSE),"")</f>
        <v/>
      </c>
      <c r="D306" s="16" t="str">
        <f>IFERROR(VLOOKUP(C306,DATA!#REF!,2,FALSE),"")</f>
        <v/>
      </c>
    </row>
    <row r="307" spans="2:4" s="230" customFormat="1">
      <c r="B307" s="15" t="str">
        <f t="shared" si="36"/>
        <v/>
      </c>
      <c r="C307" s="16" t="str">
        <f>IFERROR(VLOOKUP(DATA!#REF!,DATA!#REF!,1,FALSE),"")</f>
        <v/>
      </c>
      <c r="D307" s="16" t="str">
        <f>IFERROR(VLOOKUP(C307,DATA!#REF!,2,FALSE),"")</f>
        <v/>
      </c>
    </row>
    <row r="308" spans="2:4" s="230" customFormat="1">
      <c r="B308" s="15" t="str">
        <f t="shared" si="36"/>
        <v/>
      </c>
      <c r="C308" s="16" t="str">
        <f>IFERROR(VLOOKUP(DATA!#REF!,DATA!#REF!,1,FALSE),"")</f>
        <v/>
      </c>
      <c r="D308" s="16" t="str">
        <f>IFERROR(VLOOKUP(C308,DATA!#REF!,2,FALSE),"")</f>
        <v/>
      </c>
    </row>
    <row r="309" spans="2:4" s="230" customFormat="1">
      <c r="B309" s="15" t="str">
        <f t="shared" si="36"/>
        <v/>
      </c>
      <c r="C309" s="16" t="str">
        <f>IFERROR(VLOOKUP(DATA!#REF!,DATA!#REF!,1,FALSE),"")</f>
        <v/>
      </c>
      <c r="D309" s="16" t="str">
        <f>IFERROR(VLOOKUP(C309,DATA!#REF!,2,FALSE),"")</f>
        <v/>
      </c>
    </row>
    <row r="310" spans="2:4" s="230" customFormat="1">
      <c r="B310" s="15" t="str">
        <f t="shared" si="36"/>
        <v/>
      </c>
      <c r="C310" s="16" t="str">
        <f>IFERROR(VLOOKUP(DATA!#REF!,DATA!#REF!,1,FALSE),"")</f>
        <v/>
      </c>
      <c r="D310" s="16" t="str">
        <f>IFERROR(VLOOKUP(C310,DATA!#REF!,2,FALSE),"")</f>
        <v/>
      </c>
    </row>
    <row r="311" spans="2:4" s="230" customFormat="1">
      <c r="B311" s="15" t="str">
        <f t="shared" si="36"/>
        <v/>
      </c>
      <c r="C311" s="16" t="str">
        <f>IFERROR(VLOOKUP(DATA!#REF!,DATA!#REF!,1,FALSE),"")</f>
        <v/>
      </c>
      <c r="D311" s="16" t="str">
        <f>IFERROR(VLOOKUP(C311,DATA!#REF!,2,FALSE),"")</f>
        <v/>
      </c>
    </row>
    <row r="312" spans="2:4" s="230" customFormat="1">
      <c r="B312" s="15" t="str">
        <f t="shared" si="36"/>
        <v/>
      </c>
      <c r="C312" s="16" t="str">
        <f>IFERROR(VLOOKUP(DATA!#REF!,DATA!#REF!,1,FALSE),"")</f>
        <v/>
      </c>
      <c r="D312" s="16" t="str">
        <f>IFERROR(VLOOKUP(C312,DATA!#REF!,2,FALSE),"")</f>
        <v/>
      </c>
    </row>
    <row r="313" spans="2:4" s="230" customFormat="1">
      <c r="B313" s="15" t="str">
        <f t="shared" si="36"/>
        <v/>
      </c>
      <c r="C313" s="16" t="str">
        <f>IFERROR(VLOOKUP(DATA!#REF!,DATA!#REF!,1,FALSE),"")</f>
        <v/>
      </c>
      <c r="D313" s="16" t="str">
        <f>IFERROR(VLOOKUP(C313,DATA!#REF!,2,FALSE),"")</f>
        <v/>
      </c>
    </row>
    <row r="314" spans="2:4" s="230" customFormat="1">
      <c r="B314" s="15" t="str">
        <f t="shared" si="36"/>
        <v/>
      </c>
      <c r="C314" s="16" t="str">
        <f>IFERROR(VLOOKUP(DATA!#REF!,DATA!#REF!,1,FALSE),"")</f>
        <v/>
      </c>
      <c r="D314" s="16" t="str">
        <f>IFERROR(VLOOKUP(C314,DATA!#REF!,2,FALSE),"")</f>
        <v/>
      </c>
    </row>
    <row r="315" spans="2:4" s="230" customFormat="1">
      <c r="B315" s="15" t="str">
        <f t="shared" si="36"/>
        <v/>
      </c>
      <c r="C315" s="16" t="str">
        <f>IFERROR(VLOOKUP(DATA!#REF!,DATA!#REF!,1,FALSE),"")</f>
        <v/>
      </c>
      <c r="D315" s="16" t="str">
        <f>IFERROR(VLOOKUP(C315,DATA!#REF!,2,FALSE),"")</f>
        <v/>
      </c>
    </row>
    <row r="316" spans="2:4" s="230" customFormat="1">
      <c r="B316" s="15" t="str">
        <f t="shared" si="36"/>
        <v/>
      </c>
      <c r="C316" s="16" t="str">
        <f>IFERROR(VLOOKUP(DATA!#REF!,DATA!#REF!,1,FALSE),"")</f>
        <v/>
      </c>
      <c r="D316" s="16" t="str">
        <f>IFERROR(VLOOKUP(C316,DATA!#REF!,2,FALSE),"")</f>
        <v/>
      </c>
    </row>
    <row r="317" spans="2:4" s="230" customFormat="1">
      <c r="B317" s="15" t="str">
        <f t="shared" si="36"/>
        <v/>
      </c>
      <c r="C317" s="16" t="str">
        <f>IFERROR(VLOOKUP(DATA!#REF!,DATA!#REF!,1,FALSE),"")</f>
        <v/>
      </c>
      <c r="D317" s="16" t="str">
        <f>IFERROR(VLOOKUP(C317,DATA!#REF!,2,FALSE),"")</f>
        <v/>
      </c>
    </row>
    <row r="318" spans="2:4" s="230" customFormat="1">
      <c r="B318" s="15" t="str">
        <f t="shared" si="36"/>
        <v/>
      </c>
      <c r="C318" s="16" t="str">
        <f>IFERROR(VLOOKUP(DATA!#REF!,DATA!#REF!,1,FALSE),"")</f>
        <v/>
      </c>
      <c r="D318" s="16" t="str">
        <f>IFERROR(VLOOKUP(C318,DATA!#REF!,2,FALSE),"")</f>
        <v/>
      </c>
    </row>
    <row r="319" spans="2:4" s="230" customFormat="1">
      <c r="B319" s="15" t="str">
        <f t="shared" si="36"/>
        <v/>
      </c>
      <c r="C319" s="16" t="str">
        <f>IFERROR(VLOOKUP(DATA!#REF!,DATA!#REF!,1,FALSE),"")</f>
        <v/>
      </c>
      <c r="D319" s="16" t="str">
        <f>IFERROR(VLOOKUP(C319,DATA!#REF!,2,FALSE),"")</f>
        <v/>
      </c>
    </row>
    <row r="320" spans="2:4" s="230" customFormat="1">
      <c r="B320" s="15" t="str">
        <f t="shared" si="36"/>
        <v/>
      </c>
      <c r="C320" s="16" t="str">
        <f>IFERROR(VLOOKUP(DATA!#REF!,DATA!#REF!,1,FALSE),"")</f>
        <v/>
      </c>
      <c r="D320" s="16" t="str">
        <f>IFERROR(VLOOKUP(C320,DATA!#REF!,2,FALSE),"")</f>
        <v/>
      </c>
    </row>
    <row r="321" spans="2:4" s="230" customFormat="1">
      <c r="B321" s="15" t="str">
        <f t="shared" si="36"/>
        <v/>
      </c>
      <c r="C321" s="16" t="str">
        <f>IFERROR(VLOOKUP(DATA!#REF!,DATA!#REF!,1,FALSE),"")</f>
        <v/>
      </c>
      <c r="D321" s="16" t="str">
        <f>IFERROR(VLOOKUP(C321,DATA!#REF!,2,FALSE),"")</f>
        <v/>
      </c>
    </row>
    <row r="322" spans="2:4" s="230" customFormat="1">
      <c r="B322" s="15" t="str">
        <f t="shared" si="36"/>
        <v/>
      </c>
      <c r="C322" s="16" t="str">
        <f>IFERROR(VLOOKUP(DATA!#REF!,DATA!#REF!,1,FALSE),"")</f>
        <v/>
      </c>
      <c r="D322" s="16" t="str">
        <f>IFERROR(VLOOKUP(C322,DATA!#REF!,2,FALSE),"")</f>
        <v/>
      </c>
    </row>
    <row r="323" spans="2:4" s="230" customFormat="1">
      <c r="B323" s="15" t="str">
        <f t="shared" si="36"/>
        <v/>
      </c>
      <c r="C323" s="16" t="str">
        <f>IFERROR(VLOOKUP(DATA!#REF!,DATA!#REF!,1,FALSE),"")</f>
        <v/>
      </c>
      <c r="D323" s="16" t="str">
        <f>IFERROR(VLOOKUP(C323,DATA!#REF!,2,FALSE),"")</f>
        <v/>
      </c>
    </row>
    <row r="324" spans="2:4" s="230" customFormat="1">
      <c r="B324" s="15" t="str">
        <f t="shared" si="36"/>
        <v/>
      </c>
      <c r="C324" s="16" t="str">
        <f>IFERROR(VLOOKUP(DATA!#REF!,DATA!#REF!,1,FALSE),"")</f>
        <v/>
      </c>
      <c r="D324" s="16" t="str">
        <f>IFERROR(VLOOKUP(C324,DATA!#REF!,2,FALSE),"")</f>
        <v/>
      </c>
    </row>
    <row r="325" spans="2:4" s="230" customFormat="1">
      <c r="B325" s="15" t="str">
        <f t="shared" si="36"/>
        <v/>
      </c>
      <c r="C325" s="16" t="str">
        <f>IFERROR(VLOOKUP(DATA!#REF!,DATA!#REF!,1,FALSE),"")</f>
        <v/>
      </c>
      <c r="D325" s="16" t="str">
        <f>IFERROR(VLOOKUP(C325,DATA!#REF!,2,FALSE),"")</f>
        <v/>
      </c>
    </row>
    <row r="326" spans="2:4" s="230" customFormat="1">
      <c r="B326" s="15" t="str">
        <f t="shared" ref="B326:B389" si="37">+IF(C326="","",ROW()-5)</f>
        <v/>
      </c>
      <c r="C326" s="16" t="str">
        <f>IFERROR(VLOOKUP(DATA!#REF!,DATA!#REF!,1,FALSE),"")</f>
        <v/>
      </c>
      <c r="D326" s="16" t="str">
        <f>IFERROR(VLOOKUP(C326,DATA!#REF!,2,FALSE),"")</f>
        <v/>
      </c>
    </row>
    <row r="327" spans="2:4" s="230" customFormat="1">
      <c r="B327" s="15" t="str">
        <f t="shared" si="37"/>
        <v/>
      </c>
      <c r="C327" s="16" t="str">
        <f>IFERROR(VLOOKUP(DATA!#REF!,DATA!#REF!,1,FALSE),"")</f>
        <v/>
      </c>
      <c r="D327" s="16" t="str">
        <f>IFERROR(VLOOKUP(C327,DATA!#REF!,2,FALSE),"")</f>
        <v/>
      </c>
    </row>
    <row r="328" spans="2:4" s="230" customFormat="1">
      <c r="B328" s="15" t="str">
        <f t="shared" si="37"/>
        <v/>
      </c>
      <c r="C328" s="16" t="str">
        <f>IFERROR(VLOOKUP(DATA!#REF!,DATA!#REF!,1,FALSE),"")</f>
        <v/>
      </c>
      <c r="D328" s="16" t="str">
        <f>IFERROR(VLOOKUP(C328,DATA!#REF!,2,FALSE),"")</f>
        <v/>
      </c>
    </row>
    <row r="329" spans="2:4" s="230" customFormat="1">
      <c r="B329" s="15" t="str">
        <f t="shared" si="37"/>
        <v/>
      </c>
      <c r="C329" s="16" t="str">
        <f>IFERROR(VLOOKUP(DATA!#REF!,DATA!#REF!,1,FALSE),"")</f>
        <v/>
      </c>
      <c r="D329" s="16" t="str">
        <f>IFERROR(VLOOKUP(C329,DATA!#REF!,2,FALSE),"")</f>
        <v/>
      </c>
    </row>
    <row r="330" spans="2:4" s="230" customFormat="1">
      <c r="B330" s="15" t="str">
        <f t="shared" si="37"/>
        <v/>
      </c>
      <c r="C330" s="16" t="str">
        <f>IFERROR(VLOOKUP(DATA!#REF!,DATA!#REF!,1,FALSE),"")</f>
        <v/>
      </c>
      <c r="D330" s="16" t="str">
        <f>IFERROR(VLOOKUP(C330,DATA!#REF!,2,FALSE),"")</f>
        <v/>
      </c>
    </row>
    <row r="331" spans="2:4" s="230" customFormat="1">
      <c r="B331" s="15" t="str">
        <f t="shared" si="37"/>
        <v/>
      </c>
      <c r="C331" s="16" t="str">
        <f>IFERROR(VLOOKUP(DATA!#REF!,DATA!#REF!,1,FALSE),"")</f>
        <v/>
      </c>
      <c r="D331" s="16" t="str">
        <f>IFERROR(VLOOKUP(C331,DATA!#REF!,2,FALSE),"")</f>
        <v/>
      </c>
    </row>
    <row r="332" spans="2:4" s="230" customFormat="1">
      <c r="B332" s="15" t="str">
        <f t="shared" si="37"/>
        <v/>
      </c>
      <c r="C332" s="16" t="str">
        <f>IFERROR(VLOOKUP(DATA!#REF!,DATA!#REF!,1,FALSE),"")</f>
        <v/>
      </c>
      <c r="D332" s="16" t="str">
        <f>IFERROR(VLOOKUP(C332,DATA!#REF!,2,FALSE),"")</f>
        <v/>
      </c>
    </row>
    <row r="333" spans="2:4" s="230" customFormat="1">
      <c r="B333" s="15" t="str">
        <f t="shared" si="37"/>
        <v/>
      </c>
      <c r="C333" s="16" t="str">
        <f>IFERROR(VLOOKUP(DATA!#REF!,DATA!#REF!,1,FALSE),"")</f>
        <v/>
      </c>
      <c r="D333" s="16" t="str">
        <f>IFERROR(VLOOKUP(C333,DATA!#REF!,2,FALSE),"")</f>
        <v/>
      </c>
    </row>
    <row r="334" spans="2:4" s="230" customFormat="1">
      <c r="B334" s="15" t="str">
        <f t="shared" si="37"/>
        <v/>
      </c>
      <c r="C334" s="16" t="str">
        <f>IFERROR(VLOOKUP(DATA!#REF!,DATA!#REF!,1,FALSE),"")</f>
        <v/>
      </c>
      <c r="D334" s="16" t="str">
        <f>IFERROR(VLOOKUP(C334,DATA!#REF!,2,FALSE),"")</f>
        <v/>
      </c>
    </row>
    <row r="335" spans="2:4" s="230" customFormat="1">
      <c r="B335" s="15" t="str">
        <f t="shared" si="37"/>
        <v/>
      </c>
      <c r="C335" s="16" t="str">
        <f>IFERROR(VLOOKUP(DATA!#REF!,DATA!#REF!,1,FALSE),"")</f>
        <v/>
      </c>
      <c r="D335" s="16" t="str">
        <f>IFERROR(VLOOKUP(C335,DATA!#REF!,2,FALSE),"")</f>
        <v/>
      </c>
    </row>
    <row r="336" spans="2:4" s="230" customFormat="1">
      <c r="B336" s="15" t="str">
        <f t="shared" si="37"/>
        <v/>
      </c>
      <c r="C336" s="16" t="str">
        <f>IFERROR(VLOOKUP(DATA!#REF!,DATA!#REF!,1,FALSE),"")</f>
        <v/>
      </c>
      <c r="D336" s="16" t="str">
        <f>IFERROR(VLOOKUP(C336,DATA!#REF!,2,FALSE),"")</f>
        <v/>
      </c>
    </row>
    <row r="337" spans="2:4" s="230" customFormat="1">
      <c r="B337" s="15" t="str">
        <f t="shared" si="37"/>
        <v/>
      </c>
      <c r="C337" s="16" t="str">
        <f>IFERROR(VLOOKUP(DATA!#REF!,DATA!#REF!,1,FALSE),"")</f>
        <v/>
      </c>
      <c r="D337" s="16" t="str">
        <f>IFERROR(VLOOKUP(C337,DATA!#REF!,2,FALSE),"")</f>
        <v/>
      </c>
    </row>
    <row r="338" spans="2:4" s="230" customFormat="1">
      <c r="B338" s="15" t="str">
        <f t="shared" si="37"/>
        <v/>
      </c>
      <c r="C338" s="16" t="str">
        <f>IFERROR(VLOOKUP(DATA!#REF!,DATA!#REF!,1,FALSE),"")</f>
        <v/>
      </c>
      <c r="D338" s="16" t="str">
        <f>IFERROR(VLOOKUP(C338,DATA!#REF!,2,FALSE),"")</f>
        <v/>
      </c>
    </row>
    <row r="339" spans="2:4" s="230" customFormat="1">
      <c r="B339" s="15" t="str">
        <f t="shared" si="37"/>
        <v/>
      </c>
      <c r="C339" s="16" t="str">
        <f>IFERROR(VLOOKUP(DATA!#REF!,DATA!#REF!,1,FALSE),"")</f>
        <v/>
      </c>
      <c r="D339" s="16" t="str">
        <f>IFERROR(VLOOKUP(C339,DATA!#REF!,2,FALSE),"")</f>
        <v/>
      </c>
    </row>
    <row r="340" spans="2:4" s="230" customFormat="1">
      <c r="B340" s="15" t="str">
        <f t="shared" si="37"/>
        <v/>
      </c>
      <c r="C340" s="16" t="str">
        <f>IFERROR(VLOOKUP(DATA!#REF!,DATA!#REF!,1,FALSE),"")</f>
        <v/>
      </c>
      <c r="D340" s="16" t="str">
        <f>IFERROR(VLOOKUP(C340,DATA!#REF!,2,FALSE),"")</f>
        <v/>
      </c>
    </row>
    <row r="341" spans="2:4" s="230" customFormat="1">
      <c r="B341" s="15" t="str">
        <f t="shared" si="37"/>
        <v/>
      </c>
      <c r="C341" s="16" t="str">
        <f>IFERROR(VLOOKUP(DATA!#REF!,DATA!#REF!,1,FALSE),"")</f>
        <v/>
      </c>
      <c r="D341" s="16" t="str">
        <f>IFERROR(VLOOKUP(C341,DATA!#REF!,2,FALSE),"")</f>
        <v/>
      </c>
    </row>
    <row r="342" spans="2:4" s="230" customFormat="1">
      <c r="B342" s="15" t="str">
        <f t="shared" si="37"/>
        <v/>
      </c>
      <c r="C342" s="16" t="str">
        <f>IFERROR(VLOOKUP(DATA!#REF!,DATA!#REF!,1,FALSE),"")</f>
        <v/>
      </c>
      <c r="D342" s="16" t="str">
        <f>IFERROR(VLOOKUP(C342,DATA!#REF!,2,FALSE),"")</f>
        <v/>
      </c>
    </row>
    <row r="343" spans="2:4" s="230" customFormat="1">
      <c r="B343" s="15" t="str">
        <f t="shared" si="37"/>
        <v/>
      </c>
      <c r="C343" s="16" t="str">
        <f>IFERROR(VLOOKUP(DATA!#REF!,DATA!#REF!,1,FALSE),"")</f>
        <v/>
      </c>
      <c r="D343" s="16" t="str">
        <f>IFERROR(VLOOKUP(C343,DATA!#REF!,2,FALSE),"")</f>
        <v/>
      </c>
    </row>
    <row r="344" spans="2:4" s="230" customFormat="1">
      <c r="B344" s="15" t="str">
        <f t="shared" si="37"/>
        <v/>
      </c>
      <c r="C344" s="16" t="str">
        <f>IFERROR(VLOOKUP(DATA!#REF!,DATA!#REF!,1,FALSE),"")</f>
        <v/>
      </c>
      <c r="D344" s="16" t="str">
        <f>IFERROR(VLOOKUP(C344,DATA!#REF!,2,FALSE),"")</f>
        <v/>
      </c>
    </row>
    <row r="345" spans="2:4" s="230" customFormat="1">
      <c r="B345" s="15" t="str">
        <f t="shared" si="37"/>
        <v/>
      </c>
      <c r="C345" s="16" t="str">
        <f>IFERROR(VLOOKUP(DATA!#REF!,DATA!#REF!,1,FALSE),"")</f>
        <v/>
      </c>
      <c r="D345" s="16" t="str">
        <f>IFERROR(VLOOKUP(C345,DATA!#REF!,2,FALSE),"")</f>
        <v/>
      </c>
    </row>
    <row r="346" spans="2:4" s="230" customFormat="1">
      <c r="B346" s="15" t="str">
        <f t="shared" si="37"/>
        <v/>
      </c>
      <c r="C346" s="16" t="str">
        <f>IFERROR(VLOOKUP(DATA!#REF!,DATA!#REF!,1,FALSE),"")</f>
        <v/>
      </c>
      <c r="D346" s="16" t="str">
        <f>IFERROR(VLOOKUP(C346,DATA!#REF!,2,FALSE),"")</f>
        <v/>
      </c>
    </row>
    <row r="347" spans="2:4" s="230" customFormat="1">
      <c r="B347" s="15" t="str">
        <f t="shared" si="37"/>
        <v/>
      </c>
      <c r="C347" s="16" t="str">
        <f>IFERROR(VLOOKUP(DATA!#REF!,DATA!#REF!,1,FALSE),"")</f>
        <v/>
      </c>
      <c r="D347" s="16" t="str">
        <f>IFERROR(VLOOKUP(C347,DATA!#REF!,2,FALSE),"")</f>
        <v/>
      </c>
    </row>
    <row r="348" spans="2:4" s="230" customFormat="1">
      <c r="B348" s="15" t="str">
        <f t="shared" si="37"/>
        <v/>
      </c>
      <c r="C348" s="16" t="str">
        <f>IFERROR(VLOOKUP(DATA!#REF!,DATA!#REF!,1,FALSE),"")</f>
        <v/>
      </c>
      <c r="D348" s="16" t="str">
        <f>IFERROR(VLOOKUP(C348,DATA!#REF!,2,FALSE),"")</f>
        <v/>
      </c>
    </row>
    <row r="349" spans="2:4" s="230" customFormat="1">
      <c r="B349" s="15" t="str">
        <f t="shared" si="37"/>
        <v/>
      </c>
      <c r="C349" s="16" t="str">
        <f>IFERROR(VLOOKUP(DATA!#REF!,DATA!#REF!,1,FALSE),"")</f>
        <v/>
      </c>
      <c r="D349" s="16" t="str">
        <f>IFERROR(VLOOKUP(C349,DATA!#REF!,2,FALSE),"")</f>
        <v/>
      </c>
    </row>
    <row r="350" spans="2:4" s="230" customFormat="1">
      <c r="B350" s="15" t="str">
        <f t="shared" si="37"/>
        <v/>
      </c>
      <c r="C350" s="16" t="str">
        <f>IFERROR(VLOOKUP(DATA!#REF!,DATA!#REF!,1,FALSE),"")</f>
        <v/>
      </c>
      <c r="D350" s="16" t="str">
        <f>IFERROR(VLOOKUP(C350,DATA!#REF!,2,FALSE),"")</f>
        <v/>
      </c>
    </row>
    <row r="351" spans="2:4" s="230" customFormat="1">
      <c r="B351" s="15" t="str">
        <f t="shared" si="37"/>
        <v/>
      </c>
      <c r="C351" s="16" t="str">
        <f>IFERROR(VLOOKUP(DATA!#REF!,DATA!#REF!,1,FALSE),"")</f>
        <v/>
      </c>
      <c r="D351" s="16" t="str">
        <f>IFERROR(VLOOKUP(C351,DATA!#REF!,2,FALSE),"")</f>
        <v/>
      </c>
    </row>
    <row r="352" spans="2:4" s="230" customFormat="1">
      <c r="B352" s="15" t="str">
        <f t="shared" si="37"/>
        <v/>
      </c>
      <c r="C352" s="16" t="str">
        <f>IFERROR(VLOOKUP(DATA!#REF!,DATA!#REF!,1,FALSE),"")</f>
        <v/>
      </c>
      <c r="D352" s="16" t="str">
        <f>IFERROR(VLOOKUP(C352,DATA!#REF!,2,FALSE),"")</f>
        <v/>
      </c>
    </row>
    <row r="353" spans="2:4" s="230" customFormat="1">
      <c r="B353" s="15" t="str">
        <f t="shared" si="37"/>
        <v/>
      </c>
      <c r="C353" s="16" t="str">
        <f>IFERROR(VLOOKUP(DATA!#REF!,DATA!#REF!,1,FALSE),"")</f>
        <v/>
      </c>
      <c r="D353" s="16" t="str">
        <f>IFERROR(VLOOKUP(C353,DATA!#REF!,2,FALSE),"")</f>
        <v/>
      </c>
    </row>
    <row r="354" spans="2:4" s="230" customFormat="1">
      <c r="B354" s="15" t="str">
        <f t="shared" si="37"/>
        <v/>
      </c>
      <c r="C354" s="16" t="str">
        <f>IFERROR(VLOOKUP(DATA!#REF!,DATA!#REF!,1,FALSE),"")</f>
        <v/>
      </c>
      <c r="D354" s="16" t="str">
        <f>IFERROR(VLOOKUP(C354,DATA!#REF!,2,FALSE),"")</f>
        <v/>
      </c>
    </row>
    <row r="355" spans="2:4" s="230" customFormat="1">
      <c r="B355" s="15" t="str">
        <f t="shared" si="37"/>
        <v/>
      </c>
      <c r="C355" s="16" t="str">
        <f>IFERROR(VLOOKUP(DATA!#REF!,DATA!#REF!,1,FALSE),"")</f>
        <v/>
      </c>
      <c r="D355" s="16" t="str">
        <f>IFERROR(VLOOKUP(C355,DATA!#REF!,2,FALSE),"")</f>
        <v/>
      </c>
    </row>
    <row r="356" spans="2:4" s="230" customFormat="1">
      <c r="B356" s="15" t="str">
        <f t="shared" si="37"/>
        <v/>
      </c>
      <c r="C356" s="16" t="str">
        <f>IFERROR(VLOOKUP(DATA!#REF!,DATA!#REF!,1,FALSE),"")</f>
        <v/>
      </c>
      <c r="D356" s="16" t="str">
        <f>IFERROR(VLOOKUP(C356,DATA!#REF!,2,FALSE),"")</f>
        <v/>
      </c>
    </row>
    <row r="357" spans="2:4" s="230" customFormat="1">
      <c r="B357" s="15" t="str">
        <f t="shared" si="37"/>
        <v/>
      </c>
      <c r="C357" s="16" t="str">
        <f>IFERROR(VLOOKUP(DATA!#REF!,DATA!#REF!,1,FALSE),"")</f>
        <v/>
      </c>
      <c r="D357" s="16" t="str">
        <f>IFERROR(VLOOKUP(C357,DATA!#REF!,2,FALSE),"")</f>
        <v/>
      </c>
    </row>
    <row r="358" spans="2:4" s="230" customFormat="1">
      <c r="B358" s="15" t="str">
        <f t="shared" si="37"/>
        <v/>
      </c>
      <c r="C358" s="16" t="str">
        <f>IFERROR(VLOOKUP(DATA!#REF!,DATA!#REF!,1,FALSE),"")</f>
        <v/>
      </c>
      <c r="D358" s="16" t="str">
        <f>IFERROR(VLOOKUP(C358,DATA!#REF!,2,FALSE),"")</f>
        <v/>
      </c>
    </row>
    <row r="359" spans="2:4" s="230" customFormat="1">
      <c r="B359" s="15" t="str">
        <f t="shared" si="37"/>
        <v/>
      </c>
      <c r="C359" s="16" t="str">
        <f>IFERROR(VLOOKUP(DATA!#REF!,DATA!#REF!,1,FALSE),"")</f>
        <v/>
      </c>
      <c r="D359" s="16" t="str">
        <f>IFERROR(VLOOKUP(C359,DATA!#REF!,2,FALSE),"")</f>
        <v/>
      </c>
    </row>
    <row r="360" spans="2:4" s="230" customFormat="1">
      <c r="B360" s="15" t="str">
        <f t="shared" si="37"/>
        <v/>
      </c>
      <c r="C360" s="16" t="str">
        <f>IFERROR(VLOOKUP(DATA!#REF!,DATA!#REF!,1,FALSE),"")</f>
        <v/>
      </c>
      <c r="D360" s="16" t="str">
        <f>IFERROR(VLOOKUP(C360,DATA!#REF!,2,FALSE),"")</f>
        <v/>
      </c>
    </row>
    <row r="361" spans="2:4" s="230" customFormat="1">
      <c r="B361" s="15" t="str">
        <f t="shared" si="37"/>
        <v/>
      </c>
      <c r="C361" s="16" t="str">
        <f>IFERROR(VLOOKUP(DATA!#REF!,DATA!#REF!,1,FALSE),"")</f>
        <v/>
      </c>
      <c r="D361" s="16" t="str">
        <f>IFERROR(VLOOKUP(C361,DATA!#REF!,2,FALSE),"")</f>
        <v/>
      </c>
    </row>
    <row r="362" spans="2:4" s="230" customFormat="1">
      <c r="B362" s="15" t="str">
        <f t="shared" si="37"/>
        <v/>
      </c>
      <c r="C362" s="16" t="str">
        <f>IFERROR(VLOOKUP(DATA!#REF!,DATA!#REF!,1,FALSE),"")</f>
        <v/>
      </c>
      <c r="D362" s="16" t="str">
        <f>IFERROR(VLOOKUP(C362,DATA!#REF!,2,FALSE),"")</f>
        <v/>
      </c>
    </row>
    <row r="363" spans="2:4" s="230" customFormat="1">
      <c r="B363" s="15" t="str">
        <f t="shared" si="37"/>
        <v/>
      </c>
      <c r="C363" s="16" t="str">
        <f>IFERROR(VLOOKUP(DATA!#REF!,DATA!#REF!,1,FALSE),"")</f>
        <v/>
      </c>
      <c r="D363" s="16" t="str">
        <f>IFERROR(VLOOKUP(C363,DATA!#REF!,2,FALSE),"")</f>
        <v/>
      </c>
    </row>
    <row r="364" spans="2:4" s="230" customFormat="1">
      <c r="B364" s="15" t="str">
        <f t="shared" si="37"/>
        <v/>
      </c>
      <c r="C364" s="16" t="str">
        <f>IFERROR(VLOOKUP(DATA!#REF!,DATA!#REF!,1,FALSE),"")</f>
        <v/>
      </c>
      <c r="D364" s="16" t="str">
        <f>IFERROR(VLOOKUP(C364,DATA!#REF!,2,FALSE),"")</f>
        <v/>
      </c>
    </row>
    <row r="365" spans="2:4" s="230" customFormat="1">
      <c r="B365" s="15" t="str">
        <f t="shared" si="37"/>
        <v/>
      </c>
      <c r="C365" s="16" t="str">
        <f>IFERROR(VLOOKUP(DATA!#REF!,DATA!#REF!,1,FALSE),"")</f>
        <v/>
      </c>
      <c r="D365" s="16" t="str">
        <f>IFERROR(VLOOKUP(C365,DATA!#REF!,2,FALSE),"")</f>
        <v/>
      </c>
    </row>
    <row r="366" spans="2:4" s="230" customFormat="1">
      <c r="B366" s="15" t="str">
        <f t="shared" si="37"/>
        <v/>
      </c>
      <c r="C366" s="16" t="str">
        <f>IFERROR(VLOOKUP(DATA!#REF!,DATA!#REF!,1,FALSE),"")</f>
        <v/>
      </c>
      <c r="D366" s="16" t="str">
        <f>IFERROR(VLOOKUP(C366,DATA!#REF!,2,FALSE),"")</f>
        <v/>
      </c>
    </row>
    <row r="367" spans="2:4" s="230" customFormat="1">
      <c r="B367" s="15" t="str">
        <f t="shared" si="37"/>
        <v/>
      </c>
      <c r="C367" s="16" t="str">
        <f>IFERROR(VLOOKUP(DATA!#REF!,DATA!#REF!,1,FALSE),"")</f>
        <v/>
      </c>
      <c r="D367" s="16" t="str">
        <f>IFERROR(VLOOKUP(C367,DATA!#REF!,2,FALSE),"")</f>
        <v/>
      </c>
    </row>
    <row r="368" spans="2:4" s="230" customFormat="1">
      <c r="B368" s="15" t="str">
        <f t="shared" si="37"/>
        <v/>
      </c>
      <c r="C368" s="16" t="str">
        <f>IFERROR(VLOOKUP(DATA!#REF!,DATA!#REF!,1,FALSE),"")</f>
        <v/>
      </c>
      <c r="D368" s="16" t="str">
        <f>IFERROR(VLOOKUP(C368,DATA!#REF!,2,FALSE),"")</f>
        <v/>
      </c>
    </row>
    <row r="369" spans="2:4" s="230" customFormat="1">
      <c r="B369" s="15" t="str">
        <f t="shared" si="37"/>
        <v/>
      </c>
      <c r="C369" s="16" t="str">
        <f>IFERROR(VLOOKUP(DATA!#REF!,DATA!#REF!,1,FALSE),"")</f>
        <v/>
      </c>
      <c r="D369" s="16" t="str">
        <f>IFERROR(VLOOKUP(C369,DATA!#REF!,2,FALSE),"")</f>
        <v/>
      </c>
    </row>
    <row r="370" spans="2:4" s="230" customFormat="1">
      <c r="B370" s="15" t="str">
        <f t="shared" si="37"/>
        <v/>
      </c>
      <c r="C370" s="16" t="str">
        <f>IFERROR(VLOOKUP(DATA!#REF!,DATA!#REF!,1,FALSE),"")</f>
        <v/>
      </c>
      <c r="D370" s="16" t="str">
        <f>IFERROR(VLOOKUP(C370,DATA!#REF!,2,FALSE),"")</f>
        <v/>
      </c>
    </row>
    <row r="371" spans="2:4" s="230" customFormat="1">
      <c r="B371" s="15" t="str">
        <f t="shared" si="37"/>
        <v/>
      </c>
      <c r="C371" s="16" t="str">
        <f>IFERROR(VLOOKUP(DATA!#REF!,DATA!#REF!,1,FALSE),"")</f>
        <v/>
      </c>
      <c r="D371" s="16" t="str">
        <f>IFERROR(VLOOKUP(C371,DATA!#REF!,2,FALSE),"")</f>
        <v/>
      </c>
    </row>
    <row r="372" spans="2:4" s="230" customFormat="1">
      <c r="B372" s="15" t="str">
        <f t="shared" si="37"/>
        <v/>
      </c>
      <c r="C372" s="16" t="str">
        <f>IFERROR(VLOOKUP(DATA!#REF!,DATA!#REF!,1,FALSE),"")</f>
        <v/>
      </c>
      <c r="D372" s="16" t="str">
        <f>IFERROR(VLOOKUP(C372,DATA!#REF!,2,FALSE),"")</f>
        <v/>
      </c>
    </row>
    <row r="373" spans="2:4" s="230" customFormat="1">
      <c r="B373" s="15" t="str">
        <f t="shared" si="37"/>
        <v/>
      </c>
      <c r="C373" s="16" t="str">
        <f>IFERROR(VLOOKUP(DATA!#REF!,DATA!#REF!,1,FALSE),"")</f>
        <v/>
      </c>
      <c r="D373" s="16" t="str">
        <f>IFERROR(VLOOKUP(C373,DATA!#REF!,2,FALSE),"")</f>
        <v/>
      </c>
    </row>
    <row r="374" spans="2:4" s="230" customFormat="1">
      <c r="B374" s="15" t="str">
        <f t="shared" si="37"/>
        <v/>
      </c>
      <c r="C374" s="16" t="str">
        <f>IFERROR(VLOOKUP(DATA!#REF!,DATA!#REF!,1,FALSE),"")</f>
        <v/>
      </c>
      <c r="D374" s="16" t="str">
        <f>IFERROR(VLOOKUP(C374,DATA!#REF!,2,FALSE),"")</f>
        <v/>
      </c>
    </row>
    <row r="375" spans="2:4" s="230" customFormat="1">
      <c r="B375" s="15" t="str">
        <f t="shared" si="37"/>
        <v/>
      </c>
      <c r="C375" s="16" t="str">
        <f>IFERROR(VLOOKUP(DATA!#REF!,DATA!#REF!,1,FALSE),"")</f>
        <v/>
      </c>
      <c r="D375" s="16" t="str">
        <f>IFERROR(VLOOKUP(C375,DATA!#REF!,2,FALSE),"")</f>
        <v/>
      </c>
    </row>
    <row r="376" spans="2:4" s="230" customFormat="1">
      <c r="B376" s="15" t="str">
        <f t="shared" si="37"/>
        <v/>
      </c>
      <c r="C376" s="16" t="str">
        <f>IFERROR(VLOOKUP(DATA!#REF!,DATA!#REF!,1,FALSE),"")</f>
        <v/>
      </c>
      <c r="D376" s="16" t="str">
        <f>IFERROR(VLOOKUP(C376,DATA!#REF!,2,FALSE),"")</f>
        <v/>
      </c>
    </row>
    <row r="377" spans="2:4" s="230" customFormat="1">
      <c r="B377" s="15" t="str">
        <f t="shared" si="37"/>
        <v/>
      </c>
      <c r="C377" s="16" t="str">
        <f>IFERROR(VLOOKUP(DATA!#REF!,DATA!#REF!,1,FALSE),"")</f>
        <v/>
      </c>
      <c r="D377" s="16" t="str">
        <f>IFERROR(VLOOKUP(C377,DATA!#REF!,2,FALSE),"")</f>
        <v/>
      </c>
    </row>
    <row r="378" spans="2:4" s="230" customFormat="1">
      <c r="B378" s="15" t="str">
        <f t="shared" si="37"/>
        <v/>
      </c>
      <c r="C378" s="16" t="str">
        <f>IFERROR(VLOOKUP(DATA!#REF!,DATA!#REF!,1,FALSE),"")</f>
        <v/>
      </c>
      <c r="D378" s="16" t="str">
        <f>IFERROR(VLOOKUP(C378,DATA!#REF!,2,FALSE),"")</f>
        <v/>
      </c>
    </row>
    <row r="379" spans="2:4" s="230" customFormat="1">
      <c r="B379" s="15" t="str">
        <f t="shared" si="37"/>
        <v/>
      </c>
      <c r="C379" s="16" t="str">
        <f>IFERROR(VLOOKUP(DATA!#REF!,DATA!#REF!,1,FALSE),"")</f>
        <v/>
      </c>
      <c r="D379" s="16" t="str">
        <f>IFERROR(VLOOKUP(C379,DATA!#REF!,2,FALSE),"")</f>
        <v/>
      </c>
    </row>
    <row r="380" spans="2:4" s="230" customFormat="1">
      <c r="B380" s="15" t="str">
        <f t="shared" si="37"/>
        <v/>
      </c>
      <c r="C380" s="16" t="str">
        <f>IFERROR(VLOOKUP(DATA!#REF!,DATA!#REF!,1,FALSE),"")</f>
        <v/>
      </c>
      <c r="D380" s="16" t="str">
        <f>IFERROR(VLOOKUP(C380,DATA!#REF!,2,FALSE),"")</f>
        <v/>
      </c>
    </row>
    <row r="381" spans="2:4" s="230" customFormat="1">
      <c r="B381" s="15" t="str">
        <f t="shared" si="37"/>
        <v/>
      </c>
      <c r="C381" s="16" t="str">
        <f>IFERROR(VLOOKUP(DATA!#REF!,DATA!#REF!,1,FALSE),"")</f>
        <v/>
      </c>
      <c r="D381" s="16" t="str">
        <f>IFERROR(VLOOKUP(C381,DATA!#REF!,2,FALSE),"")</f>
        <v/>
      </c>
    </row>
    <row r="382" spans="2:4" s="230" customFormat="1">
      <c r="B382" s="15" t="str">
        <f t="shared" si="37"/>
        <v/>
      </c>
      <c r="C382" s="16" t="str">
        <f>IFERROR(VLOOKUP(DATA!#REF!,DATA!#REF!,1,FALSE),"")</f>
        <v/>
      </c>
      <c r="D382" s="16" t="str">
        <f>IFERROR(VLOOKUP(C382,DATA!#REF!,2,FALSE),"")</f>
        <v/>
      </c>
    </row>
    <row r="383" spans="2:4" s="230" customFormat="1">
      <c r="B383" s="15" t="str">
        <f t="shared" si="37"/>
        <v/>
      </c>
      <c r="C383" s="16" t="str">
        <f>IFERROR(VLOOKUP(DATA!#REF!,DATA!#REF!,1,FALSE),"")</f>
        <v/>
      </c>
      <c r="D383" s="16" t="str">
        <f>IFERROR(VLOOKUP(C383,DATA!#REF!,2,FALSE),"")</f>
        <v/>
      </c>
    </row>
    <row r="384" spans="2:4" s="230" customFormat="1">
      <c r="B384" s="15" t="str">
        <f t="shared" si="37"/>
        <v/>
      </c>
      <c r="C384" s="16" t="str">
        <f>IFERROR(VLOOKUP(DATA!#REF!,DATA!#REF!,1,FALSE),"")</f>
        <v/>
      </c>
      <c r="D384" s="16" t="str">
        <f>IFERROR(VLOOKUP(C384,DATA!#REF!,2,FALSE),"")</f>
        <v/>
      </c>
    </row>
    <row r="385" spans="2:4" s="230" customFormat="1">
      <c r="B385" s="15" t="str">
        <f t="shared" si="37"/>
        <v/>
      </c>
      <c r="C385" s="16" t="str">
        <f>IFERROR(VLOOKUP(DATA!#REF!,DATA!#REF!,1,FALSE),"")</f>
        <v/>
      </c>
      <c r="D385" s="16" t="str">
        <f>IFERROR(VLOOKUP(C385,DATA!#REF!,2,FALSE),"")</f>
        <v/>
      </c>
    </row>
    <row r="386" spans="2:4" s="230" customFormat="1">
      <c r="B386" s="15" t="str">
        <f t="shared" si="37"/>
        <v/>
      </c>
      <c r="C386" s="16" t="str">
        <f>IFERROR(VLOOKUP(DATA!#REF!,DATA!#REF!,1,FALSE),"")</f>
        <v/>
      </c>
      <c r="D386" s="16" t="str">
        <f>IFERROR(VLOOKUP(C386,DATA!#REF!,2,FALSE),"")</f>
        <v/>
      </c>
    </row>
    <row r="387" spans="2:4" s="230" customFormat="1">
      <c r="B387" s="15" t="str">
        <f t="shared" si="37"/>
        <v/>
      </c>
      <c r="C387" s="16" t="str">
        <f>IFERROR(VLOOKUP(DATA!#REF!,DATA!#REF!,1,FALSE),"")</f>
        <v/>
      </c>
      <c r="D387" s="16" t="str">
        <f>IFERROR(VLOOKUP(C387,DATA!#REF!,2,FALSE),"")</f>
        <v/>
      </c>
    </row>
    <row r="388" spans="2:4" s="230" customFormat="1">
      <c r="B388" s="15" t="str">
        <f t="shared" si="37"/>
        <v/>
      </c>
      <c r="C388" s="16" t="str">
        <f>IFERROR(VLOOKUP(DATA!#REF!,DATA!#REF!,1,FALSE),"")</f>
        <v/>
      </c>
      <c r="D388" s="16" t="str">
        <f>IFERROR(VLOOKUP(C388,DATA!#REF!,2,FALSE),"")</f>
        <v/>
      </c>
    </row>
    <row r="389" spans="2:4" s="230" customFormat="1">
      <c r="B389" s="15" t="str">
        <f t="shared" si="37"/>
        <v/>
      </c>
      <c r="C389" s="16" t="str">
        <f>IFERROR(VLOOKUP(DATA!#REF!,DATA!#REF!,1,FALSE),"")</f>
        <v/>
      </c>
      <c r="D389" s="16" t="str">
        <f>IFERROR(VLOOKUP(C389,DATA!#REF!,2,FALSE),"")</f>
        <v/>
      </c>
    </row>
    <row r="390" spans="2:4" s="230" customFormat="1">
      <c r="B390" s="15" t="str">
        <f t="shared" ref="B390:B453" si="38">+IF(C390="","",ROW()-5)</f>
        <v/>
      </c>
      <c r="C390" s="16" t="str">
        <f>IFERROR(VLOOKUP(DATA!#REF!,DATA!#REF!,1,FALSE),"")</f>
        <v/>
      </c>
      <c r="D390" s="16" t="str">
        <f>IFERROR(VLOOKUP(C390,DATA!#REF!,2,FALSE),"")</f>
        <v/>
      </c>
    </row>
    <row r="391" spans="2:4" s="230" customFormat="1">
      <c r="B391" s="15" t="str">
        <f t="shared" si="38"/>
        <v/>
      </c>
      <c r="C391" s="16" t="str">
        <f>IFERROR(VLOOKUP(DATA!#REF!,DATA!#REF!,1,FALSE),"")</f>
        <v/>
      </c>
      <c r="D391" s="16" t="str">
        <f>IFERROR(VLOOKUP(C391,DATA!#REF!,2,FALSE),"")</f>
        <v/>
      </c>
    </row>
    <row r="392" spans="2:4" s="230" customFormat="1">
      <c r="B392" s="15" t="str">
        <f t="shared" si="38"/>
        <v/>
      </c>
      <c r="C392" s="16" t="str">
        <f>IFERROR(VLOOKUP(DATA!#REF!,DATA!#REF!,1,FALSE),"")</f>
        <v/>
      </c>
      <c r="D392" s="16" t="str">
        <f>IFERROR(VLOOKUP(C392,DATA!#REF!,2,FALSE),"")</f>
        <v/>
      </c>
    </row>
    <row r="393" spans="2:4" s="230" customFormat="1">
      <c r="B393" s="15" t="str">
        <f t="shared" si="38"/>
        <v/>
      </c>
      <c r="C393" s="16" t="str">
        <f>IFERROR(VLOOKUP(DATA!#REF!,DATA!#REF!,1,FALSE),"")</f>
        <v/>
      </c>
      <c r="D393" s="16" t="str">
        <f>IFERROR(VLOOKUP(C393,DATA!#REF!,2,FALSE),"")</f>
        <v/>
      </c>
    </row>
    <row r="394" spans="2:4" s="230" customFormat="1">
      <c r="B394" s="15" t="str">
        <f t="shared" si="38"/>
        <v/>
      </c>
      <c r="C394" s="16" t="str">
        <f>IFERROR(VLOOKUP(DATA!#REF!,DATA!#REF!,1,FALSE),"")</f>
        <v/>
      </c>
      <c r="D394" s="16" t="str">
        <f>IFERROR(VLOOKUP(C394,DATA!#REF!,2,FALSE),"")</f>
        <v/>
      </c>
    </row>
    <row r="395" spans="2:4" s="230" customFormat="1">
      <c r="B395" s="15" t="str">
        <f t="shared" si="38"/>
        <v/>
      </c>
      <c r="C395" s="16" t="str">
        <f>IFERROR(VLOOKUP(DATA!#REF!,DATA!#REF!,1,FALSE),"")</f>
        <v/>
      </c>
      <c r="D395" s="16" t="str">
        <f>IFERROR(VLOOKUP(C395,DATA!#REF!,2,FALSE),"")</f>
        <v/>
      </c>
    </row>
    <row r="396" spans="2:4" s="230" customFormat="1">
      <c r="B396" s="15" t="str">
        <f t="shared" si="38"/>
        <v/>
      </c>
      <c r="C396" s="16" t="str">
        <f>IFERROR(VLOOKUP(DATA!#REF!,DATA!#REF!,1,FALSE),"")</f>
        <v/>
      </c>
      <c r="D396" s="16" t="str">
        <f>IFERROR(VLOOKUP(C396,DATA!#REF!,2,FALSE),"")</f>
        <v/>
      </c>
    </row>
    <row r="397" spans="2:4" s="230" customFormat="1">
      <c r="B397" s="15" t="str">
        <f t="shared" si="38"/>
        <v/>
      </c>
      <c r="C397" s="16" t="str">
        <f>IFERROR(VLOOKUP(DATA!#REF!,DATA!#REF!,1,FALSE),"")</f>
        <v/>
      </c>
      <c r="D397" s="16" t="str">
        <f>IFERROR(VLOOKUP(C397,DATA!#REF!,2,FALSE),"")</f>
        <v/>
      </c>
    </row>
    <row r="398" spans="2:4" s="230" customFormat="1">
      <c r="B398" s="15" t="str">
        <f t="shared" si="38"/>
        <v/>
      </c>
      <c r="C398" s="16" t="str">
        <f>IFERROR(VLOOKUP(DATA!#REF!,DATA!#REF!,1,FALSE),"")</f>
        <v/>
      </c>
      <c r="D398" s="16" t="str">
        <f>IFERROR(VLOOKUP(C398,DATA!#REF!,2,FALSE),"")</f>
        <v/>
      </c>
    </row>
    <row r="399" spans="2:4" s="230" customFormat="1">
      <c r="B399" s="15" t="str">
        <f t="shared" si="38"/>
        <v/>
      </c>
      <c r="C399" s="16" t="str">
        <f>IFERROR(VLOOKUP(DATA!#REF!,DATA!#REF!,1,FALSE),"")</f>
        <v/>
      </c>
      <c r="D399" s="16" t="str">
        <f>IFERROR(VLOOKUP(C399,DATA!#REF!,2,FALSE),"")</f>
        <v/>
      </c>
    </row>
    <row r="400" spans="2:4" s="230" customFormat="1">
      <c r="B400" s="15" t="str">
        <f t="shared" si="38"/>
        <v/>
      </c>
      <c r="C400" s="16" t="str">
        <f>IFERROR(VLOOKUP(DATA!#REF!,DATA!#REF!,1,FALSE),"")</f>
        <v/>
      </c>
      <c r="D400" s="16" t="str">
        <f>IFERROR(VLOOKUP(C400,DATA!#REF!,2,FALSE),"")</f>
        <v/>
      </c>
    </row>
    <row r="401" spans="2:4" s="230" customFormat="1">
      <c r="B401" s="15" t="str">
        <f t="shared" si="38"/>
        <v/>
      </c>
      <c r="C401" s="16" t="str">
        <f>IFERROR(VLOOKUP(DATA!#REF!,DATA!#REF!,1,FALSE),"")</f>
        <v/>
      </c>
      <c r="D401" s="16" t="str">
        <f>IFERROR(VLOOKUP(C401,DATA!#REF!,2,FALSE),"")</f>
        <v/>
      </c>
    </row>
    <row r="402" spans="2:4" s="230" customFormat="1">
      <c r="B402" s="15" t="str">
        <f t="shared" si="38"/>
        <v/>
      </c>
      <c r="C402" s="16" t="str">
        <f>IFERROR(VLOOKUP(DATA!#REF!,DATA!#REF!,1,FALSE),"")</f>
        <v/>
      </c>
      <c r="D402" s="16" t="str">
        <f>IFERROR(VLOOKUP(C402,DATA!#REF!,2,FALSE),"")</f>
        <v/>
      </c>
    </row>
    <row r="403" spans="2:4" s="230" customFormat="1">
      <c r="B403" s="15" t="str">
        <f t="shared" si="38"/>
        <v/>
      </c>
      <c r="C403" s="16" t="str">
        <f>IFERROR(VLOOKUP(DATA!#REF!,DATA!#REF!,1,FALSE),"")</f>
        <v/>
      </c>
      <c r="D403" s="16" t="str">
        <f>IFERROR(VLOOKUP(C403,DATA!#REF!,2,FALSE),"")</f>
        <v/>
      </c>
    </row>
    <row r="404" spans="2:4" s="230" customFormat="1">
      <c r="B404" s="15" t="str">
        <f t="shared" si="38"/>
        <v/>
      </c>
      <c r="C404" s="16" t="str">
        <f>IFERROR(VLOOKUP(DATA!#REF!,DATA!#REF!,1,FALSE),"")</f>
        <v/>
      </c>
      <c r="D404" s="16" t="str">
        <f>IFERROR(VLOOKUP(C404,DATA!#REF!,2,FALSE),"")</f>
        <v/>
      </c>
    </row>
    <row r="405" spans="2:4" s="230" customFormat="1">
      <c r="B405" s="15" t="str">
        <f t="shared" si="38"/>
        <v/>
      </c>
      <c r="C405" s="16" t="str">
        <f>IFERROR(VLOOKUP(DATA!#REF!,DATA!#REF!,1,FALSE),"")</f>
        <v/>
      </c>
      <c r="D405" s="16" t="str">
        <f>IFERROR(VLOOKUP(C405,DATA!#REF!,2,FALSE),"")</f>
        <v/>
      </c>
    </row>
    <row r="406" spans="2:4" s="230" customFormat="1">
      <c r="B406" s="15" t="str">
        <f t="shared" si="38"/>
        <v/>
      </c>
      <c r="C406" s="16" t="str">
        <f>IFERROR(VLOOKUP(DATA!#REF!,DATA!#REF!,1,FALSE),"")</f>
        <v/>
      </c>
      <c r="D406" s="16" t="str">
        <f>IFERROR(VLOOKUP(C406,DATA!#REF!,2,FALSE),"")</f>
        <v/>
      </c>
    </row>
    <row r="407" spans="2:4" s="230" customFormat="1">
      <c r="B407" s="15" t="str">
        <f t="shared" si="38"/>
        <v/>
      </c>
      <c r="C407" s="16" t="str">
        <f>IFERROR(VLOOKUP(DATA!#REF!,DATA!#REF!,1,FALSE),"")</f>
        <v/>
      </c>
      <c r="D407" s="16" t="str">
        <f>IFERROR(VLOOKUP(C407,DATA!#REF!,2,FALSE),"")</f>
        <v/>
      </c>
    </row>
    <row r="408" spans="2:4" s="230" customFormat="1">
      <c r="B408" s="15" t="str">
        <f t="shared" si="38"/>
        <v/>
      </c>
      <c r="C408" s="16" t="str">
        <f>IFERROR(VLOOKUP(DATA!#REF!,DATA!#REF!,1,FALSE),"")</f>
        <v/>
      </c>
      <c r="D408" s="16" t="str">
        <f>IFERROR(VLOOKUP(C408,DATA!#REF!,2,FALSE),"")</f>
        <v/>
      </c>
    </row>
    <row r="409" spans="2:4" s="230" customFormat="1">
      <c r="B409" s="15" t="str">
        <f t="shared" si="38"/>
        <v/>
      </c>
      <c r="C409" s="16" t="str">
        <f>IFERROR(VLOOKUP(DATA!#REF!,DATA!#REF!,1,FALSE),"")</f>
        <v/>
      </c>
      <c r="D409" s="16" t="str">
        <f>IFERROR(VLOOKUP(C409,DATA!#REF!,2,FALSE),"")</f>
        <v/>
      </c>
    </row>
    <row r="410" spans="2:4" s="230" customFormat="1">
      <c r="B410" s="15" t="str">
        <f t="shared" si="38"/>
        <v/>
      </c>
      <c r="C410" s="16" t="str">
        <f>IFERROR(VLOOKUP(DATA!#REF!,DATA!#REF!,1,FALSE),"")</f>
        <v/>
      </c>
      <c r="D410" s="16" t="str">
        <f>IFERROR(VLOOKUP(C410,DATA!#REF!,2,FALSE),"")</f>
        <v/>
      </c>
    </row>
    <row r="411" spans="2:4" s="230" customFormat="1">
      <c r="B411" s="15" t="str">
        <f t="shared" si="38"/>
        <v/>
      </c>
      <c r="C411" s="16" t="str">
        <f>IFERROR(VLOOKUP(DATA!#REF!,DATA!#REF!,1,FALSE),"")</f>
        <v/>
      </c>
      <c r="D411" s="16" t="str">
        <f>IFERROR(VLOOKUP(C411,DATA!#REF!,2,FALSE),"")</f>
        <v/>
      </c>
    </row>
    <row r="412" spans="2:4" s="230" customFormat="1">
      <c r="B412" s="15" t="str">
        <f t="shared" si="38"/>
        <v/>
      </c>
      <c r="C412" s="16" t="str">
        <f>IFERROR(VLOOKUP(DATA!#REF!,DATA!#REF!,1,FALSE),"")</f>
        <v/>
      </c>
      <c r="D412" s="16" t="str">
        <f>IFERROR(VLOOKUP(C412,DATA!#REF!,2,FALSE),"")</f>
        <v/>
      </c>
    </row>
    <row r="413" spans="2:4" s="230" customFormat="1">
      <c r="B413" s="15" t="str">
        <f t="shared" si="38"/>
        <v/>
      </c>
      <c r="C413" s="16" t="str">
        <f>IFERROR(VLOOKUP(DATA!#REF!,DATA!#REF!,1,FALSE),"")</f>
        <v/>
      </c>
      <c r="D413" s="16" t="str">
        <f>IFERROR(VLOOKUP(C413,DATA!#REF!,2,FALSE),"")</f>
        <v/>
      </c>
    </row>
    <row r="414" spans="2:4" s="230" customFormat="1">
      <c r="B414" s="15" t="str">
        <f t="shared" si="38"/>
        <v/>
      </c>
      <c r="C414" s="16" t="str">
        <f>IFERROR(VLOOKUP(DATA!#REF!,DATA!#REF!,1,FALSE),"")</f>
        <v/>
      </c>
      <c r="D414" s="16" t="str">
        <f>IFERROR(VLOOKUP(C414,DATA!#REF!,2,FALSE),"")</f>
        <v/>
      </c>
    </row>
    <row r="415" spans="2:4" s="230" customFormat="1">
      <c r="B415" s="15" t="str">
        <f t="shared" si="38"/>
        <v/>
      </c>
      <c r="C415" s="16" t="str">
        <f>IFERROR(VLOOKUP(DATA!#REF!,DATA!#REF!,1,FALSE),"")</f>
        <v/>
      </c>
      <c r="D415" s="16" t="str">
        <f>IFERROR(VLOOKUP(C415,DATA!#REF!,2,FALSE),"")</f>
        <v/>
      </c>
    </row>
    <row r="416" spans="2:4" s="230" customFormat="1">
      <c r="B416" s="15" t="str">
        <f t="shared" si="38"/>
        <v/>
      </c>
      <c r="C416" s="16" t="str">
        <f>IFERROR(VLOOKUP(DATA!#REF!,DATA!#REF!,1,FALSE),"")</f>
        <v/>
      </c>
      <c r="D416" s="16" t="str">
        <f>IFERROR(VLOOKUP(C416,DATA!#REF!,2,FALSE),"")</f>
        <v/>
      </c>
    </row>
    <row r="417" spans="2:4" s="230" customFormat="1">
      <c r="B417" s="15" t="str">
        <f t="shared" si="38"/>
        <v/>
      </c>
      <c r="C417" s="16" t="str">
        <f>IFERROR(VLOOKUP(DATA!#REF!,DATA!#REF!,1,FALSE),"")</f>
        <v/>
      </c>
      <c r="D417" s="16" t="str">
        <f>IFERROR(VLOOKUP(C417,DATA!#REF!,2,FALSE),"")</f>
        <v/>
      </c>
    </row>
    <row r="418" spans="2:4" s="230" customFormat="1">
      <c r="B418" s="15" t="str">
        <f t="shared" si="38"/>
        <v/>
      </c>
      <c r="C418" s="16" t="str">
        <f>IFERROR(VLOOKUP(DATA!#REF!,DATA!#REF!,1,FALSE),"")</f>
        <v/>
      </c>
      <c r="D418" s="16" t="str">
        <f>IFERROR(VLOOKUP(C418,DATA!#REF!,2,FALSE),"")</f>
        <v/>
      </c>
    </row>
    <row r="419" spans="2:4" s="230" customFormat="1">
      <c r="B419" s="15" t="str">
        <f t="shared" si="38"/>
        <v/>
      </c>
      <c r="C419" s="16" t="str">
        <f>IFERROR(VLOOKUP(DATA!#REF!,DATA!#REF!,1,FALSE),"")</f>
        <v/>
      </c>
      <c r="D419" s="16" t="str">
        <f>IFERROR(VLOOKUP(C419,DATA!#REF!,2,FALSE),"")</f>
        <v/>
      </c>
    </row>
    <row r="420" spans="2:4" s="230" customFormat="1">
      <c r="B420" s="15" t="str">
        <f t="shared" si="38"/>
        <v/>
      </c>
      <c r="C420" s="16" t="str">
        <f>IFERROR(VLOOKUP(DATA!#REF!,DATA!#REF!,1,FALSE),"")</f>
        <v/>
      </c>
      <c r="D420" s="16" t="str">
        <f>IFERROR(VLOOKUP(C420,DATA!#REF!,2,FALSE),"")</f>
        <v/>
      </c>
    </row>
    <row r="421" spans="2:4" s="230" customFormat="1">
      <c r="B421" s="15" t="str">
        <f t="shared" si="38"/>
        <v/>
      </c>
      <c r="C421" s="16" t="str">
        <f>IFERROR(VLOOKUP(DATA!#REF!,DATA!#REF!,1,FALSE),"")</f>
        <v/>
      </c>
      <c r="D421" s="16" t="str">
        <f>IFERROR(VLOOKUP(C421,DATA!#REF!,2,FALSE),"")</f>
        <v/>
      </c>
    </row>
    <row r="422" spans="2:4" s="230" customFormat="1">
      <c r="B422" s="15" t="str">
        <f t="shared" si="38"/>
        <v/>
      </c>
      <c r="C422" s="16" t="str">
        <f>IFERROR(VLOOKUP(DATA!#REF!,DATA!#REF!,1,FALSE),"")</f>
        <v/>
      </c>
      <c r="D422" s="16" t="str">
        <f>IFERROR(VLOOKUP(C422,DATA!#REF!,2,FALSE),"")</f>
        <v/>
      </c>
    </row>
    <row r="423" spans="2:4" s="230" customFormat="1">
      <c r="B423" s="15" t="str">
        <f t="shared" si="38"/>
        <v/>
      </c>
      <c r="C423" s="16" t="str">
        <f>IFERROR(VLOOKUP(DATA!#REF!,DATA!#REF!,1,FALSE),"")</f>
        <v/>
      </c>
      <c r="D423" s="16" t="str">
        <f>IFERROR(VLOOKUP(C423,DATA!#REF!,2,FALSE),"")</f>
        <v/>
      </c>
    </row>
    <row r="424" spans="2:4" s="230" customFormat="1">
      <c r="B424" s="15" t="str">
        <f t="shared" si="38"/>
        <v/>
      </c>
      <c r="C424" s="16" t="str">
        <f>IFERROR(VLOOKUP(DATA!#REF!,DATA!#REF!,1,FALSE),"")</f>
        <v/>
      </c>
      <c r="D424" s="16" t="str">
        <f>IFERROR(VLOOKUP(C424,DATA!#REF!,2,FALSE),"")</f>
        <v/>
      </c>
    </row>
    <row r="425" spans="2:4" s="230" customFormat="1">
      <c r="B425" s="15" t="str">
        <f t="shared" si="38"/>
        <v/>
      </c>
      <c r="C425" s="16" t="str">
        <f>IFERROR(VLOOKUP(DATA!#REF!,DATA!#REF!,1,FALSE),"")</f>
        <v/>
      </c>
      <c r="D425" s="16" t="str">
        <f>IFERROR(VLOOKUP(C425,DATA!#REF!,2,FALSE),"")</f>
        <v/>
      </c>
    </row>
    <row r="426" spans="2:4" s="230" customFormat="1">
      <c r="B426" s="15" t="str">
        <f t="shared" si="38"/>
        <v/>
      </c>
      <c r="C426" s="16" t="str">
        <f>IFERROR(VLOOKUP(DATA!#REF!,DATA!#REF!,1,FALSE),"")</f>
        <v/>
      </c>
      <c r="D426" s="16" t="str">
        <f>IFERROR(VLOOKUP(C426,DATA!#REF!,2,FALSE),"")</f>
        <v/>
      </c>
    </row>
    <row r="427" spans="2:4" s="230" customFormat="1">
      <c r="B427" s="15" t="str">
        <f t="shared" si="38"/>
        <v/>
      </c>
      <c r="C427" s="16" t="str">
        <f>IFERROR(VLOOKUP(DATA!#REF!,DATA!#REF!,1,FALSE),"")</f>
        <v/>
      </c>
      <c r="D427" s="16" t="str">
        <f>IFERROR(VLOOKUP(C427,DATA!#REF!,2,FALSE),"")</f>
        <v/>
      </c>
    </row>
    <row r="428" spans="2:4" s="230" customFormat="1">
      <c r="B428" s="15" t="str">
        <f t="shared" si="38"/>
        <v/>
      </c>
      <c r="C428" s="16" t="str">
        <f>IFERROR(VLOOKUP(DATA!#REF!,DATA!#REF!,1,FALSE),"")</f>
        <v/>
      </c>
      <c r="D428" s="16" t="str">
        <f>IFERROR(VLOOKUP(C428,DATA!#REF!,2,FALSE),"")</f>
        <v/>
      </c>
    </row>
    <row r="429" spans="2:4" s="230" customFormat="1">
      <c r="B429" s="15" t="str">
        <f t="shared" si="38"/>
        <v/>
      </c>
      <c r="C429" s="16" t="str">
        <f>IFERROR(VLOOKUP(DATA!#REF!,DATA!#REF!,1,FALSE),"")</f>
        <v/>
      </c>
      <c r="D429" s="16" t="str">
        <f>IFERROR(VLOOKUP(C429,DATA!#REF!,2,FALSE),"")</f>
        <v/>
      </c>
    </row>
    <row r="430" spans="2:4" s="230" customFormat="1">
      <c r="B430" s="15" t="str">
        <f t="shared" si="38"/>
        <v/>
      </c>
      <c r="C430" s="16" t="str">
        <f>IFERROR(VLOOKUP(DATA!#REF!,DATA!#REF!,1,FALSE),"")</f>
        <v/>
      </c>
      <c r="D430" s="16" t="str">
        <f>IFERROR(VLOOKUP(C430,DATA!#REF!,2,FALSE),"")</f>
        <v/>
      </c>
    </row>
    <row r="431" spans="2:4" s="230" customFormat="1">
      <c r="B431" s="15" t="str">
        <f t="shared" si="38"/>
        <v/>
      </c>
      <c r="C431" s="16" t="str">
        <f>IFERROR(VLOOKUP(DATA!#REF!,DATA!#REF!,1,FALSE),"")</f>
        <v/>
      </c>
      <c r="D431" s="16" t="str">
        <f>IFERROR(VLOOKUP(C431,DATA!#REF!,2,FALSE),"")</f>
        <v/>
      </c>
    </row>
    <row r="432" spans="2:4" s="230" customFormat="1">
      <c r="B432" s="15" t="str">
        <f t="shared" si="38"/>
        <v/>
      </c>
      <c r="C432" s="16" t="str">
        <f>IFERROR(VLOOKUP(DATA!#REF!,DATA!#REF!,1,FALSE),"")</f>
        <v/>
      </c>
      <c r="D432" s="16" t="str">
        <f>IFERROR(VLOOKUP(C432,DATA!#REF!,2,FALSE),"")</f>
        <v/>
      </c>
    </row>
    <row r="433" spans="2:4" s="230" customFormat="1">
      <c r="B433" s="15" t="str">
        <f t="shared" si="38"/>
        <v/>
      </c>
      <c r="C433" s="16" t="str">
        <f>IFERROR(VLOOKUP(DATA!#REF!,DATA!#REF!,1,FALSE),"")</f>
        <v/>
      </c>
      <c r="D433" s="16" t="str">
        <f>IFERROR(VLOOKUP(C433,DATA!#REF!,2,FALSE),"")</f>
        <v/>
      </c>
    </row>
    <row r="434" spans="2:4" s="230" customFormat="1">
      <c r="B434" s="15" t="str">
        <f t="shared" si="38"/>
        <v/>
      </c>
      <c r="C434" s="16" t="str">
        <f>IFERROR(VLOOKUP(DATA!#REF!,DATA!#REF!,1,FALSE),"")</f>
        <v/>
      </c>
      <c r="D434" s="16" t="str">
        <f>IFERROR(VLOOKUP(C434,DATA!#REF!,2,FALSE),"")</f>
        <v/>
      </c>
    </row>
    <row r="435" spans="2:4" s="230" customFormat="1">
      <c r="B435" s="15" t="str">
        <f t="shared" si="38"/>
        <v/>
      </c>
      <c r="C435" s="16" t="str">
        <f>IFERROR(VLOOKUP(DATA!#REF!,DATA!#REF!,1,FALSE),"")</f>
        <v/>
      </c>
      <c r="D435" s="16" t="str">
        <f>IFERROR(VLOOKUP(C435,DATA!#REF!,2,FALSE),"")</f>
        <v/>
      </c>
    </row>
    <row r="436" spans="2:4" s="230" customFormat="1">
      <c r="B436" s="15" t="str">
        <f t="shared" si="38"/>
        <v/>
      </c>
      <c r="C436" s="16" t="str">
        <f>IFERROR(VLOOKUP(DATA!#REF!,DATA!#REF!,1,FALSE),"")</f>
        <v/>
      </c>
      <c r="D436" s="16" t="str">
        <f>IFERROR(VLOOKUP(C436,DATA!#REF!,2,FALSE),"")</f>
        <v/>
      </c>
    </row>
    <row r="437" spans="2:4" s="230" customFormat="1">
      <c r="B437" s="15" t="str">
        <f t="shared" si="38"/>
        <v/>
      </c>
      <c r="C437" s="16" t="str">
        <f>IFERROR(VLOOKUP(DATA!#REF!,DATA!#REF!,1,FALSE),"")</f>
        <v/>
      </c>
      <c r="D437" s="16" t="str">
        <f>IFERROR(VLOOKUP(C437,DATA!#REF!,2,FALSE),"")</f>
        <v/>
      </c>
    </row>
    <row r="438" spans="2:4" s="230" customFormat="1">
      <c r="B438" s="15" t="str">
        <f t="shared" si="38"/>
        <v/>
      </c>
      <c r="C438" s="16" t="str">
        <f>IFERROR(VLOOKUP(DATA!#REF!,DATA!#REF!,1,FALSE),"")</f>
        <v/>
      </c>
      <c r="D438" s="16" t="str">
        <f>IFERROR(VLOOKUP(C438,DATA!#REF!,2,FALSE),"")</f>
        <v/>
      </c>
    </row>
    <row r="439" spans="2:4" s="230" customFormat="1">
      <c r="B439" s="15" t="str">
        <f t="shared" si="38"/>
        <v/>
      </c>
      <c r="C439" s="16" t="str">
        <f>IFERROR(VLOOKUP(DATA!#REF!,DATA!#REF!,1,FALSE),"")</f>
        <v/>
      </c>
      <c r="D439" s="16" t="str">
        <f>IFERROR(VLOOKUP(C439,DATA!#REF!,2,FALSE),"")</f>
        <v/>
      </c>
    </row>
    <row r="440" spans="2:4" s="230" customFormat="1">
      <c r="B440" s="15" t="str">
        <f t="shared" si="38"/>
        <v/>
      </c>
      <c r="C440" s="16" t="str">
        <f>IFERROR(VLOOKUP(DATA!#REF!,DATA!#REF!,1,FALSE),"")</f>
        <v/>
      </c>
      <c r="D440" s="16" t="str">
        <f>IFERROR(VLOOKUP(C440,DATA!#REF!,2,FALSE),"")</f>
        <v/>
      </c>
    </row>
    <row r="441" spans="2:4" s="230" customFormat="1">
      <c r="B441" s="15" t="str">
        <f t="shared" si="38"/>
        <v/>
      </c>
      <c r="C441" s="16" t="str">
        <f>IFERROR(VLOOKUP(DATA!#REF!,DATA!#REF!,1,FALSE),"")</f>
        <v/>
      </c>
      <c r="D441" s="16" t="str">
        <f>IFERROR(VLOOKUP(C441,DATA!#REF!,2,FALSE),"")</f>
        <v/>
      </c>
    </row>
    <row r="442" spans="2:4" s="230" customFormat="1">
      <c r="B442" s="15" t="str">
        <f t="shared" si="38"/>
        <v/>
      </c>
      <c r="C442" s="16" t="str">
        <f>IFERROR(VLOOKUP(DATA!#REF!,DATA!#REF!,1,FALSE),"")</f>
        <v/>
      </c>
      <c r="D442" s="16" t="str">
        <f>IFERROR(VLOOKUP(C442,DATA!#REF!,2,FALSE),"")</f>
        <v/>
      </c>
    </row>
    <row r="443" spans="2:4" s="230" customFormat="1">
      <c r="B443" s="15" t="str">
        <f t="shared" si="38"/>
        <v/>
      </c>
      <c r="C443" s="16" t="str">
        <f>IFERROR(VLOOKUP(DATA!#REF!,DATA!#REF!,1,FALSE),"")</f>
        <v/>
      </c>
      <c r="D443" s="16" t="str">
        <f>IFERROR(VLOOKUP(C443,DATA!#REF!,2,FALSE),"")</f>
        <v/>
      </c>
    </row>
    <row r="444" spans="2:4" s="230" customFormat="1">
      <c r="B444" s="15" t="str">
        <f t="shared" si="38"/>
        <v/>
      </c>
      <c r="C444" s="16" t="str">
        <f>IFERROR(VLOOKUP(DATA!#REF!,DATA!#REF!,1,FALSE),"")</f>
        <v/>
      </c>
      <c r="D444" s="16" t="str">
        <f>IFERROR(VLOOKUP(C444,DATA!#REF!,2,FALSE),"")</f>
        <v/>
      </c>
    </row>
    <row r="445" spans="2:4" s="230" customFormat="1">
      <c r="B445" s="15" t="str">
        <f t="shared" si="38"/>
        <v/>
      </c>
      <c r="C445" s="16" t="str">
        <f>IFERROR(VLOOKUP(DATA!#REF!,DATA!#REF!,1,FALSE),"")</f>
        <v/>
      </c>
      <c r="D445" s="16" t="str">
        <f>IFERROR(VLOOKUP(C445,DATA!#REF!,2,FALSE),"")</f>
        <v/>
      </c>
    </row>
    <row r="446" spans="2:4" s="230" customFormat="1">
      <c r="B446" s="15" t="str">
        <f t="shared" si="38"/>
        <v/>
      </c>
      <c r="C446" s="16" t="str">
        <f>IFERROR(VLOOKUP(DATA!#REF!,DATA!#REF!,1,FALSE),"")</f>
        <v/>
      </c>
      <c r="D446" s="16" t="str">
        <f>IFERROR(VLOOKUP(C446,DATA!#REF!,2,FALSE),"")</f>
        <v/>
      </c>
    </row>
    <row r="447" spans="2:4" s="230" customFormat="1">
      <c r="B447" s="15" t="str">
        <f t="shared" si="38"/>
        <v/>
      </c>
      <c r="C447" s="16" t="str">
        <f>IFERROR(VLOOKUP(DATA!#REF!,DATA!#REF!,1,FALSE),"")</f>
        <v/>
      </c>
      <c r="D447" s="16" t="str">
        <f>IFERROR(VLOOKUP(C447,DATA!#REF!,2,FALSE),"")</f>
        <v/>
      </c>
    </row>
    <row r="448" spans="2:4" s="230" customFormat="1">
      <c r="B448" s="15" t="str">
        <f t="shared" si="38"/>
        <v/>
      </c>
      <c r="C448" s="16" t="str">
        <f>IFERROR(VLOOKUP(DATA!#REF!,DATA!#REF!,1,FALSE),"")</f>
        <v/>
      </c>
      <c r="D448" s="16" t="str">
        <f>IFERROR(VLOOKUP(C448,DATA!#REF!,2,FALSE),"")</f>
        <v/>
      </c>
    </row>
    <row r="449" spans="2:4" s="230" customFormat="1">
      <c r="B449" s="15" t="str">
        <f t="shared" si="38"/>
        <v/>
      </c>
      <c r="C449" s="16" t="str">
        <f>IFERROR(VLOOKUP(DATA!#REF!,DATA!#REF!,1,FALSE),"")</f>
        <v/>
      </c>
      <c r="D449" s="16" t="str">
        <f>IFERROR(VLOOKUP(C449,DATA!#REF!,2,FALSE),"")</f>
        <v/>
      </c>
    </row>
    <row r="450" spans="2:4" s="230" customFormat="1">
      <c r="B450" s="15" t="str">
        <f t="shared" si="38"/>
        <v/>
      </c>
      <c r="C450" s="16" t="str">
        <f>IFERROR(VLOOKUP(DATA!#REF!,DATA!#REF!,1,FALSE),"")</f>
        <v/>
      </c>
      <c r="D450" s="16" t="str">
        <f>IFERROR(VLOOKUP(C450,DATA!#REF!,2,FALSE),"")</f>
        <v/>
      </c>
    </row>
    <row r="451" spans="2:4" s="230" customFormat="1">
      <c r="B451" s="15" t="str">
        <f t="shared" si="38"/>
        <v/>
      </c>
      <c r="C451" s="16" t="str">
        <f>IFERROR(VLOOKUP(DATA!#REF!,DATA!#REF!,1,FALSE),"")</f>
        <v/>
      </c>
      <c r="D451" s="16" t="str">
        <f>IFERROR(VLOOKUP(C451,DATA!#REF!,2,FALSE),"")</f>
        <v/>
      </c>
    </row>
    <row r="452" spans="2:4" s="230" customFormat="1">
      <c r="B452" s="15" t="str">
        <f t="shared" si="38"/>
        <v/>
      </c>
      <c r="C452" s="16" t="str">
        <f>IFERROR(VLOOKUP(DATA!#REF!,DATA!#REF!,1,FALSE),"")</f>
        <v/>
      </c>
      <c r="D452" s="16" t="str">
        <f>IFERROR(VLOOKUP(C452,DATA!#REF!,2,FALSE),"")</f>
        <v/>
      </c>
    </row>
    <row r="453" spans="2:4" s="230" customFormat="1">
      <c r="B453" s="15" t="str">
        <f t="shared" si="38"/>
        <v/>
      </c>
      <c r="C453" s="16" t="str">
        <f>IFERROR(VLOOKUP(DATA!#REF!,DATA!#REF!,1,FALSE),"")</f>
        <v/>
      </c>
      <c r="D453" s="16" t="str">
        <f>IFERROR(VLOOKUP(C453,DATA!#REF!,2,FALSE),"")</f>
        <v/>
      </c>
    </row>
    <row r="454" spans="2:4" s="230" customFormat="1">
      <c r="B454" s="15" t="str">
        <f t="shared" ref="B454:B517" si="39">+IF(C454="","",ROW()-5)</f>
        <v/>
      </c>
      <c r="C454" s="16" t="str">
        <f>IFERROR(VLOOKUP(DATA!#REF!,DATA!#REF!,1,FALSE),"")</f>
        <v/>
      </c>
      <c r="D454" s="16" t="str">
        <f>IFERROR(VLOOKUP(C454,DATA!#REF!,2,FALSE),"")</f>
        <v/>
      </c>
    </row>
    <row r="455" spans="2:4" s="230" customFormat="1">
      <c r="B455" s="15" t="str">
        <f t="shared" si="39"/>
        <v/>
      </c>
      <c r="C455" s="16" t="str">
        <f>IFERROR(VLOOKUP(DATA!#REF!,DATA!#REF!,1,FALSE),"")</f>
        <v/>
      </c>
      <c r="D455" s="16" t="str">
        <f>IFERROR(VLOOKUP(C455,DATA!#REF!,2,FALSE),"")</f>
        <v/>
      </c>
    </row>
    <row r="456" spans="2:4" s="230" customFormat="1">
      <c r="B456" s="15" t="str">
        <f t="shared" si="39"/>
        <v/>
      </c>
      <c r="C456" s="16" t="str">
        <f>IFERROR(VLOOKUP(DATA!#REF!,DATA!#REF!,1,FALSE),"")</f>
        <v/>
      </c>
      <c r="D456" s="16" t="str">
        <f>IFERROR(VLOOKUP(C456,DATA!#REF!,2,FALSE),"")</f>
        <v/>
      </c>
    </row>
    <row r="457" spans="2:4" s="230" customFormat="1">
      <c r="B457" s="15" t="str">
        <f t="shared" si="39"/>
        <v/>
      </c>
      <c r="C457" s="16" t="str">
        <f>IFERROR(VLOOKUP(DATA!#REF!,DATA!#REF!,1,FALSE),"")</f>
        <v/>
      </c>
      <c r="D457" s="16" t="str">
        <f>IFERROR(VLOOKUP(C457,DATA!#REF!,2,FALSE),"")</f>
        <v/>
      </c>
    </row>
    <row r="458" spans="2:4" s="230" customFormat="1">
      <c r="B458" s="15" t="str">
        <f t="shared" si="39"/>
        <v/>
      </c>
      <c r="C458" s="16" t="str">
        <f>IFERROR(VLOOKUP(DATA!#REF!,DATA!#REF!,1,FALSE),"")</f>
        <v/>
      </c>
      <c r="D458" s="16" t="str">
        <f>IFERROR(VLOOKUP(C458,DATA!#REF!,2,FALSE),"")</f>
        <v/>
      </c>
    </row>
    <row r="459" spans="2:4" s="230" customFormat="1">
      <c r="B459" s="15" t="str">
        <f t="shared" si="39"/>
        <v/>
      </c>
      <c r="C459" s="16" t="str">
        <f>IFERROR(VLOOKUP(DATA!#REF!,DATA!#REF!,1,FALSE),"")</f>
        <v/>
      </c>
      <c r="D459" s="16" t="str">
        <f>IFERROR(VLOOKUP(C459,DATA!#REF!,2,FALSE),"")</f>
        <v/>
      </c>
    </row>
    <row r="460" spans="2:4" s="230" customFormat="1">
      <c r="B460" s="15" t="str">
        <f t="shared" si="39"/>
        <v/>
      </c>
      <c r="C460" s="16" t="str">
        <f>IFERROR(VLOOKUP(DATA!#REF!,DATA!#REF!,1,FALSE),"")</f>
        <v/>
      </c>
      <c r="D460" s="16" t="str">
        <f>IFERROR(VLOOKUP(C460,DATA!#REF!,2,FALSE),"")</f>
        <v/>
      </c>
    </row>
    <row r="461" spans="2:4" s="230" customFormat="1">
      <c r="B461" s="15" t="str">
        <f t="shared" si="39"/>
        <v/>
      </c>
      <c r="C461" s="16" t="str">
        <f>IFERROR(VLOOKUP(DATA!#REF!,DATA!#REF!,1,FALSE),"")</f>
        <v/>
      </c>
      <c r="D461" s="16" t="str">
        <f>IFERROR(VLOOKUP(C461,DATA!#REF!,2,FALSE),"")</f>
        <v/>
      </c>
    </row>
    <row r="462" spans="2:4" s="230" customFormat="1">
      <c r="B462" s="15" t="str">
        <f t="shared" si="39"/>
        <v/>
      </c>
      <c r="C462" s="16" t="str">
        <f>IFERROR(VLOOKUP(DATA!#REF!,DATA!#REF!,1,FALSE),"")</f>
        <v/>
      </c>
      <c r="D462" s="16" t="str">
        <f>IFERROR(VLOOKUP(C462,DATA!#REF!,2,FALSE),"")</f>
        <v/>
      </c>
    </row>
    <row r="463" spans="2:4" s="230" customFormat="1">
      <c r="B463" s="15" t="str">
        <f t="shared" si="39"/>
        <v/>
      </c>
      <c r="C463" s="16" t="str">
        <f>IFERROR(VLOOKUP(DATA!#REF!,DATA!#REF!,1,FALSE),"")</f>
        <v/>
      </c>
      <c r="D463" s="16" t="str">
        <f>IFERROR(VLOOKUP(C463,DATA!#REF!,2,FALSE),"")</f>
        <v/>
      </c>
    </row>
    <row r="464" spans="2:4" s="230" customFormat="1">
      <c r="B464" s="15" t="str">
        <f t="shared" si="39"/>
        <v/>
      </c>
      <c r="C464" s="16" t="str">
        <f>IFERROR(VLOOKUP(DATA!#REF!,DATA!#REF!,1,FALSE),"")</f>
        <v/>
      </c>
      <c r="D464" s="16" t="str">
        <f>IFERROR(VLOOKUP(C464,DATA!#REF!,2,FALSE),"")</f>
        <v/>
      </c>
    </row>
    <row r="465" spans="2:4" s="230" customFormat="1">
      <c r="B465" s="15" t="str">
        <f t="shared" si="39"/>
        <v/>
      </c>
      <c r="C465" s="16" t="str">
        <f>IFERROR(VLOOKUP(DATA!#REF!,DATA!#REF!,1,FALSE),"")</f>
        <v/>
      </c>
      <c r="D465" s="16" t="str">
        <f>IFERROR(VLOOKUP(C465,DATA!#REF!,2,FALSE),"")</f>
        <v/>
      </c>
    </row>
    <row r="466" spans="2:4" s="230" customFormat="1">
      <c r="B466" s="15" t="str">
        <f t="shared" si="39"/>
        <v/>
      </c>
      <c r="C466" s="16" t="str">
        <f>IFERROR(VLOOKUP(DATA!#REF!,DATA!#REF!,1,FALSE),"")</f>
        <v/>
      </c>
      <c r="D466" s="16" t="str">
        <f>IFERROR(VLOOKUP(C466,DATA!#REF!,2,FALSE),"")</f>
        <v/>
      </c>
    </row>
    <row r="467" spans="2:4" s="230" customFormat="1">
      <c r="B467" s="15" t="str">
        <f t="shared" si="39"/>
        <v/>
      </c>
      <c r="C467" s="16" t="str">
        <f>IFERROR(VLOOKUP(DATA!#REF!,DATA!#REF!,1,FALSE),"")</f>
        <v/>
      </c>
      <c r="D467" s="16" t="str">
        <f>IFERROR(VLOOKUP(C467,DATA!#REF!,2,FALSE),"")</f>
        <v/>
      </c>
    </row>
    <row r="468" spans="2:4" s="230" customFormat="1">
      <c r="B468" s="15" t="str">
        <f t="shared" si="39"/>
        <v/>
      </c>
      <c r="C468" s="16" t="str">
        <f>IFERROR(VLOOKUP(DATA!#REF!,DATA!#REF!,1,FALSE),"")</f>
        <v/>
      </c>
      <c r="D468" s="16" t="str">
        <f>IFERROR(VLOOKUP(C468,DATA!#REF!,2,FALSE),"")</f>
        <v/>
      </c>
    </row>
    <row r="469" spans="2:4" s="230" customFormat="1">
      <c r="B469" s="15" t="str">
        <f t="shared" si="39"/>
        <v/>
      </c>
      <c r="C469" s="16" t="str">
        <f>IFERROR(VLOOKUP(DATA!#REF!,DATA!#REF!,1,FALSE),"")</f>
        <v/>
      </c>
      <c r="D469" s="16" t="str">
        <f>IFERROR(VLOOKUP(C469,DATA!#REF!,2,FALSE),"")</f>
        <v/>
      </c>
    </row>
    <row r="470" spans="2:4" s="230" customFormat="1">
      <c r="B470" s="15" t="str">
        <f t="shared" si="39"/>
        <v/>
      </c>
      <c r="C470" s="16" t="str">
        <f>IFERROR(VLOOKUP(DATA!#REF!,DATA!#REF!,1,FALSE),"")</f>
        <v/>
      </c>
      <c r="D470" s="16" t="str">
        <f>IFERROR(VLOOKUP(C470,DATA!#REF!,2,FALSE),"")</f>
        <v/>
      </c>
    </row>
    <row r="471" spans="2:4" s="230" customFormat="1">
      <c r="B471" s="15" t="str">
        <f t="shared" si="39"/>
        <v/>
      </c>
      <c r="C471" s="16" t="str">
        <f>IFERROR(VLOOKUP(DATA!#REF!,DATA!#REF!,1,FALSE),"")</f>
        <v/>
      </c>
      <c r="D471" s="16" t="str">
        <f>IFERROR(VLOOKUP(C471,DATA!#REF!,2,FALSE),"")</f>
        <v/>
      </c>
    </row>
    <row r="472" spans="2:4" s="230" customFormat="1">
      <c r="B472" s="15" t="str">
        <f t="shared" si="39"/>
        <v/>
      </c>
      <c r="C472" s="16" t="str">
        <f>IFERROR(VLOOKUP(DATA!#REF!,DATA!#REF!,1,FALSE),"")</f>
        <v/>
      </c>
      <c r="D472" s="16" t="str">
        <f>IFERROR(VLOOKUP(C472,DATA!#REF!,2,FALSE),"")</f>
        <v/>
      </c>
    </row>
    <row r="473" spans="2:4" s="230" customFormat="1">
      <c r="B473" s="15" t="str">
        <f t="shared" si="39"/>
        <v/>
      </c>
      <c r="C473" s="16" t="str">
        <f>IFERROR(VLOOKUP(DATA!#REF!,DATA!#REF!,1,FALSE),"")</f>
        <v/>
      </c>
      <c r="D473" s="16" t="str">
        <f>IFERROR(VLOOKUP(C473,DATA!#REF!,2,FALSE),"")</f>
        <v/>
      </c>
    </row>
    <row r="474" spans="2:4" s="230" customFormat="1">
      <c r="B474" s="15" t="str">
        <f t="shared" si="39"/>
        <v/>
      </c>
      <c r="C474" s="16" t="str">
        <f>IFERROR(VLOOKUP(DATA!#REF!,DATA!#REF!,1,FALSE),"")</f>
        <v/>
      </c>
      <c r="D474" s="16" t="str">
        <f>IFERROR(VLOOKUP(C474,DATA!#REF!,2,FALSE),"")</f>
        <v/>
      </c>
    </row>
    <row r="475" spans="2:4" s="230" customFormat="1">
      <c r="B475" s="15" t="str">
        <f t="shared" si="39"/>
        <v/>
      </c>
      <c r="C475" s="16" t="str">
        <f>IFERROR(VLOOKUP(DATA!#REF!,DATA!#REF!,1,FALSE),"")</f>
        <v/>
      </c>
      <c r="D475" s="16" t="str">
        <f>IFERROR(VLOOKUP(C475,DATA!#REF!,2,FALSE),"")</f>
        <v/>
      </c>
    </row>
    <row r="476" spans="2:4" s="230" customFormat="1">
      <c r="B476" s="15" t="str">
        <f t="shared" si="39"/>
        <v/>
      </c>
      <c r="C476" s="16" t="str">
        <f>IFERROR(VLOOKUP(DATA!#REF!,DATA!#REF!,1,FALSE),"")</f>
        <v/>
      </c>
      <c r="D476" s="16" t="str">
        <f>IFERROR(VLOOKUP(C476,DATA!#REF!,2,FALSE),"")</f>
        <v/>
      </c>
    </row>
    <row r="477" spans="2:4" s="230" customFormat="1">
      <c r="B477" s="15" t="str">
        <f t="shared" si="39"/>
        <v/>
      </c>
      <c r="C477" s="16" t="str">
        <f>IFERROR(VLOOKUP(DATA!#REF!,DATA!#REF!,1,FALSE),"")</f>
        <v/>
      </c>
      <c r="D477" s="16" t="str">
        <f>IFERROR(VLOOKUP(C477,DATA!#REF!,2,FALSE),"")</f>
        <v/>
      </c>
    </row>
    <row r="478" spans="2:4" s="230" customFormat="1">
      <c r="B478" s="15" t="str">
        <f t="shared" si="39"/>
        <v/>
      </c>
      <c r="C478" s="16" t="str">
        <f>IFERROR(VLOOKUP(DATA!#REF!,DATA!#REF!,1,FALSE),"")</f>
        <v/>
      </c>
      <c r="D478" s="16" t="str">
        <f>IFERROR(VLOOKUP(C478,DATA!#REF!,2,FALSE),"")</f>
        <v/>
      </c>
    </row>
    <row r="479" spans="2:4" s="230" customFormat="1">
      <c r="B479" s="15" t="str">
        <f t="shared" si="39"/>
        <v/>
      </c>
      <c r="C479" s="16" t="str">
        <f>IFERROR(VLOOKUP(DATA!#REF!,DATA!#REF!,1,FALSE),"")</f>
        <v/>
      </c>
      <c r="D479" s="16" t="str">
        <f>IFERROR(VLOOKUP(C479,DATA!#REF!,2,FALSE),"")</f>
        <v/>
      </c>
    </row>
    <row r="480" spans="2:4" s="230" customFormat="1">
      <c r="B480" s="15" t="str">
        <f t="shared" si="39"/>
        <v/>
      </c>
      <c r="C480" s="16" t="str">
        <f>IFERROR(VLOOKUP(DATA!#REF!,DATA!#REF!,1,FALSE),"")</f>
        <v/>
      </c>
      <c r="D480" s="16" t="str">
        <f>IFERROR(VLOOKUP(C480,DATA!#REF!,2,FALSE),"")</f>
        <v/>
      </c>
    </row>
    <row r="481" spans="2:4" s="230" customFormat="1">
      <c r="B481" s="15" t="str">
        <f t="shared" si="39"/>
        <v/>
      </c>
      <c r="C481" s="16" t="str">
        <f>IFERROR(VLOOKUP(DATA!#REF!,DATA!#REF!,1,FALSE),"")</f>
        <v/>
      </c>
      <c r="D481" s="16" t="str">
        <f>IFERROR(VLOOKUP(C481,DATA!#REF!,2,FALSE),"")</f>
        <v/>
      </c>
    </row>
    <row r="482" spans="2:4" s="230" customFormat="1">
      <c r="B482" s="15" t="str">
        <f t="shared" si="39"/>
        <v/>
      </c>
      <c r="C482" s="16" t="str">
        <f>IFERROR(VLOOKUP(DATA!#REF!,DATA!#REF!,1,FALSE),"")</f>
        <v/>
      </c>
      <c r="D482" s="16" t="str">
        <f>IFERROR(VLOOKUP(C482,DATA!#REF!,2,FALSE),"")</f>
        <v/>
      </c>
    </row>
    <row r="483" spans="2:4" s="230" customFormat="1">
      <c r="B483" s="15" t="str">
        <f t="shared" si="39"/>
        <v/>
      </c>
      <c r="C483" s="16" t="str">
        <f>IFERROR(VLOOKUP(DATA!#REF!,DATA!#REF!,1,FALSE),"")</f>
        <v/>
      </c>
      <c r="D483" s="16" t="str">
        <f>IFERROR(VLOOKUP(C483,DATA!#REF!,2,FALSE),"")</f>
        <v/>
      </c>
    </row>
    <row r="484" spans="2:4" s="230" customFormat="1">
      <c r="B484" s="15" t="str">
        <f t="shared" si="39"/>
        <v/>
      </c>
      <c r="C484" s="16" t="str">
        <f>IFERROR(VLOOKUP(DATA!#REF!,DATA!#REF!,1,FALSE),"")</f>
        <v/>
      </c>
      <c r="D484" s="16" t="str">
        <f>IFERROR(VLOOKUP(C484,DATA!#REF!,2,FALSE),"")</f>
        <v/>
      </c>
    </row>
    <row r="485" spans="2:4" s="230" customFormat="1">
      <c r="B485" s="15" t="str">
        <f t="shared" si="39"/>
        <v/>
      </c>
      <c r="C485" s="16" t="str">
        <f>IFERROR(VLOOKUP(DATA!#REF!,DATA!#REF!,1,FALSE),"")</f>
        <v/>
      </c>
      <c r="D485" s="16" t="str">
        <f>IFERROR(VLOOKUP(C485,DATA!#REF!,2,FALSE),"")</f>
        <v/>
      </c>
    </row>
    <row r="486" spans="2:4" s="230" customFormat="1">
      <c r="B486" s="15" t="str">
        <f t="shared" si="39"/>
        <v/>
      </c>
      <c r="C486" s="16" t="str">
        <f>IFERROR(VLOOKUP(DATA!#REF!,DATA!#REF!,1,FALSE),"")</f>
        <v/>
      </c>
      <c r="D486" s="16" t="str">
        <f>IFERROR(VLOOKUP(C486,DATA!#REF!,2,FALSE),"")</f>
        <v/>
      </c>
    </row>
    <row r="487" spans="2:4" s="230" customFormat="1">
      <c r="B487" s="15" t="str">
        <f t="shared" si="39"/>
        <v/>
      </c>
      <c r="C487" s="16" t="str">
        <f>IFERROR(VLOOKUP(DATA!#REF!,DATA!#REF!,1,FALSE),"")</f>
        <v/>
      </c>
      <c r="D487" s="16" t="str">
        <f>IFERROR(VLOOKUP(C487,DATA!#REF!,2,FALSE),"")</f>
        <v/>
      </c>
    </row>
    <row r="488" spans="2:4" s="230" customFormat="1">
      <c r="B488" s="15" t="str">
        <f t="shared" si="39"/>
        <v/>
      </c>
      <c r="C488" s="16" t="str">
        <f>IFERROR(VLOOKUP(DATA!#REF!,DATA!#REF!,1,FALSE),"")</f>
        <v/>
      </c>
      <c r="D488" s="16" t="str">
        <f>IFERROR(VLOOKUP(C488,DATA!#REF!,2,FALSE),"")</f>
        <v/>
      </c>
    </row>
    <row r="489" spans="2:4" s="230" customFormat="1">
      <c r="B489" s="15" t="str">
        <f t="shared" si="39"/>
        <v/>
      </c>
      <c r="C489" s="16" t="str">
        <f>IFERROR(VLOOKUP(DATA!#REF!,DATA!#REF!,1,FALSE),"")</f>
        <v/>
      </c>
      <c r="D489" s="16" t="str">
        <f>IFERROR(VLOOKUP(C489,DATA!#REF!,2,FALSE),"")</f>
        <v/>
      </c>
    </row>
    <row r="490" spans="2:4" s="230" customFormat="1">
      <c r="B490" s="15" t="str">
        <f t="shared" si="39"/>
        <v/>
      </c>
      <c r="C490" s="16" t="str">
        <f>IFERROR(VLOOKUP(DATA!#REF!,DATA!#REF!,1,FALSE),"")</f>
        <v/>
      </c>
      <c r="D490" s="16" t="str">
        <f>IFERROR(VLOOKUP(C490,DATA!#REF!,2,FALSE),"")</f>
        <v/>
      </c>
    </row>
    <row r="491" spans="2:4" s="230" customFormat="1">
      <c r="B491" s="15" t="str">
        <f t="shared" si="39"/>
        <v/>
      </c>
      <c r="C491" s="16" t="str">
        <f>IFERROR(VLOOKUP(DATA!#REF!,DATA!#REF!,1,FALSE),"")</f>
        <v/>
      </c>
      <c r="D491" s="16" t="str">
        <f>IFERROR(VLOOKUP(C491,DATA!#REF!,2,FALSE),"")</f>
        <v/>
      </c>
    </row>
    <row r="492" spans="2:4" s="230" customFormat="1">
      <c r="B492" s="15" t="str">
        <f t="shared" si="39"/>
        <v/>
      </c>
      <c r="C492" s="16" t="str">
        <f>IFERROR(VLOOKUP(DATA!#REF!,DATA!#REF!,1,FALSE),"")</f>
        <v/>
      </c>
      <c r="D492" s="16" t="str">
        <f>IFERROR(VLOOKUP(C492,DATA!#REF!,2,FALSE),"")</f>
        <v/>
      </c>
    </row>
    <row r="493" spans="2:4" s="230" customFormat="1">
      <c r="B493" s="15" t="str">
        <f t="shared" si="39"/>
        <v/>
      </c>
      <c r="C493" s="16" t="str">
        <f>IFERROR(VLOOKUP(DATA!#REF!,DATA!#REF!,1,FALSE),"")</f>
        <v/>
      </c>
      <c r="D493" s="16" t="str">
        <f>IFERROR(VLOOKUP(C493,DATA!#REF!,2,FALSE),"")</f>
        <v/>
      </c>
    </row>
    <row r="494" spans="2:4" s="230" customFormat="1">
      <c r="B494" s="15" t="str">
        <f t="shared" si="39"/>
        <v/>
      </c>
      <c r="C494" s="16" t="str">
        <f>IFERROR(VLOOKUP(DATA!#REF!,DATA!#REF!,1,FALSE),"")</f>
        <v/>
      </c>
      <c r="D494" s="16" t="str">
        <f>IFERROR(VLOOKUP(C494,DATA!#REF!,2,FALSE),"")</f>
        <v/>
      </c>
    </row>
    <row r="495" spans="2:4" s="230" customFormat="1">
      <c r="B495" s="15" t="str">
        <f t="shared" si="39"/>
        <v/>
      </c>
      <c r="C495" s="16" t="str">
        <f>IFERROR(VLOOKUP(DATA!#REF!,DATA!#REF!,1,FALSE),"")</f>
        <v/>
      </c>
      <c r="D495" s="16" t="str">
        <f>IFERROR(VLOOKUP(C495,DATA!#REF!,2,FALSE),"")</f>
        <v/>
      </c>
    </row>
    <row r="496" spans="2:4" s="230" customFormat="1">
      <c r="B496" s="15" t="str">
        <f t="shared" si="39"/>
        <v/>
      </c>
      <c r="C496" s="16" t="str">
        <f>IFERROR(VLOOKUP(DATA!#REF!,DATA!#REF!,1,FALSE),"")</f>
        <v/>
      </c>
      <c r="D496" s="16" t="str">
        <f>IFERROR(VLOOKUP(C496,DATA!#REF!,2,FALSE),"")</f>
        <v/>
      </c>
    </row>
    <row r="497" spans="2:4" s="230" customFormat="1">
      <c r="B497" s="15" t="str">
        <f t="shared" si="39"/>
        <v/>
      </c>
      <c r="C497" s="16" t="str">
        <f>IFERROR(VLOOKUP(DATA!#REF!,DATA!#REF!,1,FALSE),"")</f>
        <v/>
      </c>
      <c r="D497" s="16" t="str">
        <f>IFERROR(VLOOKUP(C497,DATA!#REF!,2,FALSE),"")</f>
        <v/>
      </c>
    </row>
    <row r="498" spans="2:4" s="230" customFormat="1">
      <c r="B498" s="15" t="str">
        <f t="shared" si="39"/>
        <v/>
      </c>
      <c r="C498" s="16" t="str">
        <f>IFERROR(VLOOKUP(DATA!#REF!,DATA!#REF!,1,FALSE),"")</f>
        <v/>
      </c>
      <c r="D498" s="16" t="str">
        <f>IFERROR(VLOOKUP(C498,DATA!#REF!,2,FALSE),"")</f>
        <v/>
      </c>
    </row>
    <row r="499" spans="2:4" s="230" customFormat="1">
      <c r="B499" s="15" t="str">
        <f t="shared" si="39"/>
        <v/>
      </c>
      <c r="C499" s="16" t="str">
        <f>IFERROR(VLOOKUP(DATA!#REF!,DATA!#REF!,1,FALSE),"")</f>
        <v/>
      </c>
      <c r="D499" s="16" t="str">
        <f>IFERROR(VLOOKUP(C499,DATA!#REF!,2,FALSE),"")</f>
        <v/>
      </c>
    </row>
    <row r="500" spans="2:4" s="230" customFormat="1">
      <c r="B500" s="15" t="str">
        <f t="shared" si="39"/>
        <v/>
      </c>
      <c r="C500" s="16" t="str">
        <f>IFERROR(VLOOKUP(DATA!#REF!,DATA!#REF!,1,FALSE),"")</f>
        <v/>
      </c>
      <c r="D500" s="16" t="str">
        <f>IFERROR(VLOOKUP(C500,DATA!#REF!,2,FALSE),"")</f>
        <v/>
      </c>
    </row>
    <row r="501" spans="2:4" s="230" customFormat="1">
      <c r="B501" s="15" t="str">
        <f t="shared" si="39"/>
        <v/>
      </c>
      <c r="C501" s="16" t="str">
        <f>IFERROR(VLOOKUP(DATA!#REF!,DATA!#REF!,1,FALSE),"")</f>
        <v/>
      </c>
      <c r="D501" s="16" t="str">
        <f>IFERROR(VLOOKUP(C501,DATA!#REF!,2,FALSE),"")</f>
        <v/>
      </c>
    </row>
    <row r="502" spans="2:4" s="230" customFormat="1">
      <c r="B502" s="15" t="str">
        <f t="shared" si="39"/>
        <v/>
      </c>
      <c r="C502" s="16" t="str">
        <f>IFERROR(VLOOKUP(DATA!#REF!,DATA!#REF!,1,FALSE),"")</f>
        <v/>
      </c>
      <c r="D502" s="16" t="str">
        <f>IFERROR(VLOOKUP(C502,DATA!#REF!,2,FALSE),"")</f>
        <v/>
      </c>
    </row>
    <row r="503" spans="2:4" s="230" customFormat="1">
      <c r="B503" s="15" t="str">
        <f t="shared" si="39"/>
        <v/>
      </c>
      <c r="C503" s="16" t="str">
        <f>IFERROR(VLOOKUP(DATA!#REF!,DATA!#REF!,1,FALSE),"")</f>
        <v/>
      </c>
      <c r="D503" s="16" t="str">
        <f>IFERROR(VLOOKUP(C503,DATA!#REF!,2,FALSE),"")</f>
        <v/>
      </c>
    </row>
    <row r="504" spans="2:4" s="230" customFormat="1">
      <c r="B504" s="15" t="str">
        <f t="shared" si="39"/>
        <v/>
      </c>
      <c r="C504" s="16" t="str">
        <f>IFERROR(VLOOKUP(DATA!#REF!,DATA!#REF!,1,FALSE),"")</f>
        <v/>
      </c>
      <c r="D504" s="16" t="str">
        <f>IFERROR(VLOOKUP(C504,DATA!#REF!,2,FALSE),"")</f>
        <v/>
      </c>
    </row>
    <row r="505" spans="2:4" s="230" customFormat="1">
      <c r="B505" s="15" t="str">
        <f t="shared" si="39"/>
        <v/>
      </c>
      <c r="C505" s="16" t="str">
        <f>IFERROR(VLOOKUP(DATA!#REF!,DATA!#REF!,1,FALSE),"")</f>
        <v/>
      </c>
      <c r="D505" s="16" t="str">
        <f>IFERROR(VLOOKUP(C505,DATA!#REF!,2,FALSE),"")</f>
        <v/>
      </c>
    </row>
    <row r="506" spans="2:4" s="230" customFormat="1">
      <c r="B506" s="15" t="str">
        <f t="shared" si="39"/>
        <v/>
      </c>
      <c r="C506" s="16" t="str">
        <f>IFERROR(VLOOKUP(DATA!#REF!,DATA!#REF!,1,FALSE),"")</f>
        <v/>
      </c>
      <c r="D506" s="16" t="str">
        <f>IFERROR(VLOOKUP(C506,DATA!#REF!,2,FALSE),"")</f>
        <v/>
      </c>
    </row>
    <row r="507" spans="2:4" s="230" customFormat="1">
      <c r="B507" s="15" t="str">
        <f t="shared" si="39"/>
        <v/>
      </c>
      <c r="C507" s="16" t="str">
        <f>IFERROR(VLOOKUP(DATA!#REF!,DATA!#REF!,1,FALSE),"")</f>
        <v/>
      </c>
      <c r="D507" s="16" t="str">
        <f>IFERROR(VLOOKUP(C507,DATA!#REF!,2,FALSE),"")</f>
        <v/>
      </c>
    </row>
    <row r="508" spans="2:4" s="230" customFormat="1">
      <c r="B508" s="15" t="str">
        <f t="shared" si="39"/>
        <v/>
      </c>
      <c r="C508" s="16" t="str">
        <f>IFERROR(VLOOKUP(DATA!#REF!,DATA!#REF!,1,FALSE),"")</f>
        <v/>
      </c>
      <c r="D508" s="16" t="str">
        <f>IFERROR(VLOOKUP(C508,DATA!#REF!,2,FALSE),"")</f>
        <v/>
      </c>
    </row>
    <row r="509" spans="2:4" s="230" customFormat="1">
      <c r="B509" s="15" t="str">
        <f t="shared" si="39"/>
        <v/>
      </c>
      <c r="C509" s="16" t="str">
        <f>IFERROR(VLOOKUP(DATA!#REF!,DATA!#REF!,1,FALSE),"")</f>
        <v/>
      </c>
      <c r="D509" s="16" t="str">
        <f>IFERROR(VLOOKUP(C509,DATA!#REF!,2,FALSE),"")</f>
        <v/>
      </c>
    </row>
    <row r="510" spans="2:4" s="230" customFormat="1">
      <c r="B510" s="15" t="str">
        <f t="shared" si="39"/>
        <v/>
      </c>
      <c r="C510" s="16" t="str">
        <f>IFERROR(VLOOKUP(DATA!#REF!,DATA!#REF!,1,FALSE),"")</f>
        <v/>
      </c>
      <c r="D510" s="16" t="str">
        <f>IFERROR(VLOOKUP(C510,DATA!#REF!,2,FALSE),"")</f>
        <v/>
      </c>
    </row>
    <row r="511" spans="2:4" s="230" customFormat="1">
      <c r="B511" s="15" t="str">
        <f t="shared" si="39"/>
        <v/>
      </c>
      <c r="C511" s="16" t="str">
        <f>IFERROR(VLOOKUP(DATA!#REF!,DATA!#REF!,1,FALSE),"")</f>
        <v/>
      </c>
      <c r="D511" s="16" t="str">
        <f>IFERROR(VLOOKUP(C511,DATA!#REF!,2,FALSE),"")</f>
        <v/>
      </c>
    </row>
    <row r="512" spans="2:4" s="230" customFormat="1">
      <c r="B512" s="15" t="str">
        <f t="shared" si="39"/>
        <v/>
      </c>
      <c r="C512" s="16" t="str">
        <f>IFERROR(VLOOKUP(DATA!#REF!,DATA!#REF!,1,FALSE),"")</f>
        <v/>
      </c>
      <c r="D512" s="16" t="str">
        <f>IFERROR(VLOOKUP(C512,DATA!#REF!,2,FALSE),"")</f>
        <v/>
      </c>
    </row>
    <row r="513" spans="2:4" s="230" customFormat="1">
      <c r="B513" s="15" t="str">
        <f t="shared" si="39"/>
        <v/>
      </c>
      <c r="C513" s="16" t="str">
        <f>IFERROR(VLOOKUP(DATA!#REF!,DATA!#REF!,1,FALSE),"")</f>
        <v/>
      </c>
      <c r="D513" s="16" t="str">
        <f>IFERROR(VLOOKUP(C513,DATA!#REF!,2,FALSE),"")</f>
        <v/>
      </c>
    </row>
    <row r="514" spans="2:4" s="230" customFormat="1">
      <c r="B514" s="15" t="str">
        <f t="shared" si="39"/>
        <v/>
      </c>
      <c r="C514" s="16" t="str">
        <f>IFERROR(VLOOKUP(DATA!#REF!,DATA!#REF!,1,FALSE),"")</f>
        <v/>
      </c>
      <c r="D514" s="16" t="str">
        <f>IFERROR(VLOOKUP(C514,DATA!#REF!,2,FALSE),"")</f>
        <v/>
      </c>
    </row>
    <row r="515" spans="2:4" s="230" customFormat="1">
      <c r="B515" s="15" t="str">
        <f t="shared" si="39"/>
        <v/>
      </c>
      <c r="C515" s="16" t="str">
        <f>IFERROR(VLOOKUP(DATA!#REF!,DATA!#REF!,1,FALSE),"")</f>
        <v/>
      </c>
      <c r="D515" s="16" t="str">
        <f>IFERROR(VLOOKUP(C515,DATA!#REF!,2,FALSE),"")</f>
        <v/>
      </c>
    </row>
    <row r="516" spans="2:4" s="230" customFormat="1">
      <c r="B516" s="15" t="str">
        <f t="shared" si="39"/>
        <v/>
      </c>
      <c r="C516" s="16" t="str">
        <f>IFERROR(VLOOKUP(DATA!#REF!,DATA!#REF!,1,FALSE),"")</f>
        <v/>
      </c>
      <c r="D516" s="16" t="str">
        <f>IFERROR(VLOOKUP(C516,DATA!#REF!,2,FALSE),"")</f>
        <v/>
      </c>
    </row>
    <row r="517" spans="2:4" s="230" customFormat="1">
      <c r="B517" s="15" t="str">
        <f t="shared" si="39"/>
        <v/>
      </c>
      <c r="C517" s="16" t="str">
        <f>IFERROR(VLOOKUP(DATA!#REF!,DATA!#REF!,1,FALSE),"")</f>
        <v/>
      </c>
      <c r="D517" s="16" t="str">
        <f>IFERROR(VLOOKUP(C517,DATA!#REF!,2,FALSE),"")</f>
        <v/>
      </c>
    </row>
    <row r="518" spans="2:4" s="230" customFormat="1">
      <c r="B518" s="15" t="str">
        <f t="shared" ref="B518:B581" si="40">+IF(C518="","",ROW()-5)</f>
        <v/>
      </c>
      <c r="C518" s="16" t="str">
        <f>IFERROR(VLOOKUP(DATA!#REF!,DATA!#REF!,1,FALSE),"")</f>
        <v/>
      </c>
      <c r="D518" s="16" t="str">
        <f>IFERROR(VLOOKUP(C518,DATA!#REF!,2,FALSE),"")</f>
        <v/>
      </c>
    </row>
    <row r="519" spans="2:4" s="230" customFormat="1">
      <c r="B519" s="15" t="str">
        <f t="shared" si="40"/>
        <v/>
      </c>
      <c r="C519" s="16" t="str">
        <f>IFERROR(VLOOKUP(DATA!#REF!,DATA!#REF!,1,FALSE),"")</f>
        <v/>
      </c>
      <c r="D519" s="16" t="str">
        <f>IFERROR(VLOOKUP(C519,DATA!#REF!,2,FALSE),"")</f>
        <v/>
      </c>
    </row>
    <row r="520" spans="2:4" s="230" customFormat="1">
      <c r="B520" s="15" t="str">
        <f t="shared" si="40"/>
        <v/>
      </c>
      <c r="C520" s="16" t="str">
        <f>IFERROR(VLOOKUP(DATA!#REF!,DATA!#REF!,1,FALSE),"")</f>
        <v/>
      </c>
      <c r="D520" s="16" t="str">
        <f>IFERROR(VLOOKUP(C520,DATA!#REF!,2,FALSE),"")</f>
        <v/>
      </c>
    </row>
    <row r="521" spans="2:4" s="230" customFormat="1">
      <c r="B521" s="15" t="str">
        <f t="shared" si="40"/>
        <v/>
      </c>
      <c r="C521" s="16" t="str">
        <f>IFERROR(VLOOKUP(DATA!#REF!,DATA!#REF!,1,FALSE),"")</f>
        <v/>
      </c>
      <c r="D521" s="16" t="str">
        <f>IFERROR(VLOOKUP(C521,DATA!#REF!,2,FALSE),"")</f>
        <v/>
      </c>
    </row>
    <row r="522" spans="2:4" s="230" customFormat="1">
      <c r="B522" s="15" t="str">
        <f t="shared" si="40"/>
        <v/>
      </c>
      <c r="C522" s="16" t="str">
        <f>IFERROR(VLOOKUP(DATA!#REF!,DATA!#REF!,1,FALSE),"")</f>
        <v/>
      </c>
      <c r="D522" s="16" t="str">
        <f>IFERROR(VLOOKUP(C522,DATA!#REF!,2,FALSE),"")</f>
        <v/>
      </c>
    </row>
    <row r="523" spans="2:4" s="230" customFormat="1">
      <c r="B523" s="15" t="str">
        <f t="shared" si="40"/>
        <v/>
      </c>
      <c r="C523" s="16" t="str">
        <f>IFERROR(VLOOKUP(DATA!#REF!,DATA!#REF!,1,FALSE),"")</f>
        <v/>
      </c>
      <c r="D523" s="16" t="str">
        <f>IFERROR(VLOOKUP(C523,DATA!#REF!,2,FALSE),"")</f>
        <v/>
      </c>
    </row>
    <row r="524" spans="2:4" s="230" customFormat="1">
      <c r="B524" s="15" t="str">
        <f t="shared" si="40"/>
        <v/>
      </c>
      <c r="C524" s="16" t="str">
        <f>IFERROR(VLOOKUP(DATA!#REF!,DATA!#REF!,1,FALSE),"")</f>
        <v/>
      </c>
      <c r="D524" s="16" t="str">
        <f>IFERROR(VLOOKUP(C524,DATA!#REF!,2,FALSE),"")</f>
        <v/>
      </c>
    </row>
    <row r="525" spans="2:4" s="230" customFormat="1">
      <c r="B525" s="15" t="str">
        <f t="shared" si="40"/>
        <v/>
      </c>
      <c r="C525" s="16" t="str">
        <f>IFERROR(VLOOKUP(DATA!#REF!,DATA!#REF!,1,FALSE),"")</f>
        <v/>
      </c>
      <c r="D525" s="16" t="str">
        <f>IFERROR(VLOOKUP(C525,DATA!#REF!,2,FALSE),"")</f>
        <v/>
      </c>
    </row>
    <row r="526" spans="2:4" s="230" customFormat="1">
      <c r="B526" s="15" t="str">
        <f t="shared" si="40"/>
        <v/>
      </c>
      <c r="C526" s="16" t="str">
        <f>IFERROR(VLOOKUP(DATA!#REF!,DATA!#REF!,1,FALSE),"")</f>
        <v/>
      </c>
      <c r="D526" s="16" t="str">
        <f>IFERROR(VLOOKUP(C526,DATA!#REF!,2,FALSE),"")</f>
        <v/>
      </c>
    </row>
    <row r="527" spans="2:4" s="230" customFormat="1">
      <c r="B527" s="15" t="str">
        <f t="shared" si="40"/>
        <v/>
      </c>
      <c r="C527" s="16" t="str">
        <f>IFERROR(VLOOKUP(DATA!#REF!,DATA!#REF!,1,FALSE),"")</f>
        <v/>
      </c>
      <c r="D527" s="16" t="str">
        <f>IFERROR(VLOOKUP(C527,DATA!#REF!,2,FALSE),"")</f>
        <v/>
      </c>
    </row>
    <row r="528" spans="2:4" s="230" customFormat="1">
      <c r="B528" s="15" t="str">
        <f t="shared" si="40"/>
        <v/>
      </c>
      <c r="C528" s="16" t="str">
        <f>IFERROR(VLOOKUP(DATA!#REF!,DATA!#REF!,1,FALSE),"")</f>
        <v/>
      </c>
      <c r="D528" s="16" t="str">
        <f>IFERROR(VLOOKUP(C528,DATA!#REF!,2,FALSE),"")</f>
        <v/>
      </c>
    </row>
    <row r="529" spans="2:4" s="230" customFormat="1">
      <c r="B529" s="15" t="str">
        <f t="shared" si="40"/>
        <v/>
      </c>
      <c r="C529" s="16" t="str">
        <f>IFERROR(VLOOKUP(DATA!#REF!,DATA!#REF!,1,FALSE),"")</f>
        <v/>
      </c>
      <c r="D529" s="16" t="str">
        <f>IFERROR(VLOOKUP(C529,DATA!#REF!,2,FALSE),"")</f>
        <v/>
      </c>
    </row>
    <row r="530" spans="2:4" s="230" customFormat="1">
      <c r="B530" s="15" t="str">
        <f t="shared" si="40"/>
        <v/>
      </c>
      <c r="C530" s="16" t="str">
        <f>IFERROR(VLOOKUP(DATA!#REF!,DATA!#REF!,1,FALSE),"")</f>
        <v/>
      </c>
      <c r="D530" s="16" t="str">
        <f>IFERROR(VLOOKUP(C530,DATA!#REF!,2,FALSE),"")</f>
        <v/>
      </c>
    </row>
    <row r="531" spans="2:4" s="230" customFormat="1">
      <c r="B531" s="15" t="str">
        <f t="shared" si="40"/>
        <v/>
      </c>
      <c r="C531" s="16" t="str">
        <f>IFERROR(VLOOKUP(DATA!#REF!,DATA!#REF!,1,FALSE),"")</f>
        <v/>
      </c>
      <c r="D531" s="16" t="str">
        <f>IFERROR(VLOOKUP(C531,DATA!#REF!,2,FALSE),"")</f>
        <v/>
      </c>
    </row>
    <row r="532" spans="2:4" s="230" customFormat="1">
      <c r="B532" s="15" t="str">
        <f t="shared" si="40"/>
        <v/>
      </c>
      <c r="C532" s="16" t="str">
        <f>IFERROR(VLOOKUP(DATA!#REF!,DATA!#REF!,1,FALSE),"")</f>
        <v/>
      </c>
      <c r="D532" s="16" t="str">
        <f>IFERROR(VLOOKUP(C532,DATA!#REF!,2,FALSE),"")</f>
        <v/>
      </c>
    </row>
    <row r="533" spans="2:4" s="230" customFormat="1">
      <c r="B533" s="15" t="str">
        <f t="shared" si="40"/>
        <v/>
      </c>
      <c r="C533" s="16" t="str">
        <f>IFERROR(VLOOKUP(DATA!#REF!,DATA!#REF!,1,FALSE),"")</f>
        <v/>
      </c>
      <c r="D533" s="16" t="str">
        <f>IFERROR(VLOOKUP(C533,DATA!#REF!,2,FALSE),"")</f>
        <v/>
      </c>
    </row>
    <row r="534" spans="2:4" s="230" customFormat="1">
      <c r="B534" s="15" t="str">
        <f t="shared" si="40"/>
        <v/>
      </c>
      <c r="C534" s="16" t="str">
        <f>IFERROR(VLOOKUP(DATA!#REF!,DATA!#REF!,1,FALSE),"")</f>
        <v/>
      </c>
      <c r="D534" s="16" t="str">
        <f>IFERROR(VLOOKUP(C534,DATA!#REF!,2,FALSE),"")</f>
        <v/>
      </c>
    </row>
    <row r="535" spans="2:4" s="230" customFormat="1">
      <c r="B535" s="15" t="str">
        <f t="shared" si="40"/>
        <v/>
      </c>
      <c r="C535" s="16" t="str">
        <f>IFERROR(VLOOKUP(DATA!#REF!,DATA!#REF!,1,FALSE),"")</f>
        <v/>
      </c>
      <c r="D535" s="16" t="str">
        <f>IFERROR(VLOOKUP(C535,DATA!#REF!,2,FALSE),"")</f>
        <v/>
      </c>
    </row>
    <row r="536" spans="2:4" s="230" customFormat="1">
      <c r="B536" s="15" t="str">
        <f t="shared" si="40"/>
        <v/>
      </c>
      <c r="C536" s="16" t="str">
        <f>IFERROR(VLOOKUP(DATA!#REF!,DATA!#REF!,1,FALSE),"")</f>
        <v/>
      </c>
      <c r="D536" s="16" t="str">
        <f>IFERROR(VLOOKUP(C536,DATA!#REF!,2,FALSE),"")</f>
        <v/>
      </c>
    </row>
    <row r="537" spans="2:4" s="230" customFormat="1">
      <c r="B537" s="15" t="str">
        <f t="shared" si="40"/>
        <v/>
      </c>
      <c r="C537" s="16" t="str">
        <f>IFERROR(VLOOKUP(DATA!#REF!,DATA!#REF!,1,FALSE),"")</f>
        <v/>
      </c>
      <c r="D537" s="16" t="str">
        <f>IFERROR(VLOOKUP(C537,DATA!#REF!,2,FALSE),"")</f>
        <v/>
      </c>
    </row>
    <row r="538" spans="2:4" s="230" customFormat="1">
      <c r="B538" s="15" t="str">
        <f t="shared" si="40"/>
        <v/>
      </c>
      <c r="C538" s="16" t="str">
        <f>IFERROR(VLOOKUP(DATA!#REF!,DATA!#REF!,1,FALSE),"")</f>
        <v/>
      </c>
      <c r="D538" s="16" t="str">
        <f>IFERROR(VLOOKUP(C538,DATA!#REF!,2,FALSE),"")</f>
        <v/>
      </c>
    </row>
    <row r="539" spans="2:4" s="230" customFormat="1">
      <c r="B539" s="15" t="str">
        <f t="shared" si="40"/>
        <v/>
      </c>
      <c r="C539" s="16" t="str">
        <f>IFERROR(VLOOKUP(DATA!#REF!,DATA!#REF!,1,FALSE),"")</f>
        <v/>
      </c>
      <c r="D539" s="16" t="str">
        <f>IFERROR(VLOOKUP(C539,DATA!#REF!,2,FALSE),"")</f>
        <v/>
      </c>
    </row>
    <row r="540" spans="2:4" s="230" customFormat="1">
      <c r="B540" s="15" t="str">
        <f t="shared" si="40"/>
        <v/>
      </c>
      <c r="C540" s="16" t="str">
        <f>IFERROR(VLOOKUP(DATA!#REF!,DATA!#REF!,1,FALSE),"")</f>
        <v/>
      </c>
      <c r="D540" s="16" t="str">
        <f>IFERROR(VLOOKUP(C540,DATA!#REF!,2,FALSE),"")</f>
        <v/>
      </c>
    </row>
    <row r="541" spans="2:4" s="230" customFormat="1">
      <c r="B541" s="15" t="str">
        <f t="shared" si="40"/>
        <v/>
      </c>
      <c r="C541" s="16" t="str">
        <f>IFERROR(VLOOKUP(DATA!#REF!,DATA!#REF!,1,FALSE),"")</f>
        <v/>
      </c>
      <c r="D541" s="16" t="str">
        <f>IFERROR(VLOOKUP(C541,DATA!#REF!,2,FALSE),"")</f>
        <v/>
      </c>
    </row>
    <row r="542" spans="2:4" s="230" customFormat="1">
      <c r="B542" s="15" t="str">
        <f t="shared" si="40"/>
        <v/>
      </c>
      <c r="C542" s="16" t="str">
        <f>IFERROR(VLOOKUP(DATA!#REF!,DATA!#REF!,1,FALSE),"")</f>
        <v/>
      </c>
      <c r="D542" s="16" t="str">
        <f>IFERROR(VLOOKUP(C542,DATA!#REF!,2,FALSE),"")</f>
        <v/>
      </c>
    </row>
    <row r="543" spans="2:4" s="230" customFormat="1">
      <c r="B543" s="15" t="str">
        <f t="shared" si="40"/>
        <v/>
      </c>
      <c r="C543" s="16" t="str">
        <f>IFERROR(VLOOKUP(DATA!#REF!,DATA!#REF!,1,FALSE),"")</f>
        <v/>
      </c>
      <c r="D543" s="16" t="str">
        <f>IFERROR(VLOOKUP(C543,DATA!#REF!,2,FALSE),"")</f>
        <v/>
      </c>
    </row>
    <row r="544" spans="2:4" s="230" customFormat="1">
      <c r="B544" s="15" t="str">
        <f t="shared" si="40"/>
        <v/>
      </c>
      <c r="C544" s="16" t="str">
        <f>IFERROR(VLOOKUP(DATA!#REF!,DATA!#REF!,1,FALSE),"")</f>
        <v/>
      </c>
      <c r="D544" s="16" t="str">
        <f>IFERROR(VLOOKUP(C544,DATA!#REF!,2,FALSE),"")</f>
        <v/>
      </c>
    </row>
    <row r="545" spans="2:4" s="230" customFormat="1">
      <c r="B545" s="15" t="str">
        <f t="shared" si="40"/>
        <v/>
      </c>
      <c r="C545" s="16" t="str">
        <f>IFERROR(VLOOKUP(DATA!#REF!,DATA!#REF!,1,FALSE),"")</f>
        <v/>
      </c>
      <c r="D545" s="16" t="str">
        <f>IFERROR(VLOOKUP(C545,DATA!#REF!,2,FALSE),"")</f>
        <v/>
      </c>
    </row>
    <row r="546" spans="2:4" s="230" customFormat="1">
      <c r="B546" s="15" t="str">
        <f t="shared" si="40"/>
        <v/>
      </c>
      <c r="C546" s="16" t="str">
        <f>IFERROR(VLOOKUP(DATA!#REF!,DATA!#REF!,1,FALSE),"")</f>
        <v/>
      </c>
      <c r="D546" s="16" t="str">
        <f>IFERROR(VLOOKUP(C546,DATA!#REF!,2,FALSE),"")</f>
        <v/>
      </c>
    </row>
    <row r="547" spans="2:4" s="230" customFormat="1">
      <c r="B547" s="15" t="str">
        <f t="shared" si="40"/>
        <v/>
      </c>
      <c r="C547" s="16" t="str">
        <f>IFERROR(VLOOKUP(DATA!#REF!,DATA!#REF!,1,FALSE),"")</f>
        <v/>
      </c>
      <c r="D547" s="16" t="str">
        <f>IFERROR(VLOOKUP(C547,DATA!#REF!,2,FALSE),"")</f>
        <v/>
      </c>
    </row>
    <row r="548" spans="2:4" s="230" customFormat="1">
      <c r="B548" s="15" t="str">
        <f t="shared" si="40"/>
        <v/>
      </c>
      <c r="C548" s="16" t="str">
        <f>IFERROR(VLOOKUP(DATA!#REF!,DATA!#REF!,1,FALSE),"")</f>
        <v/>
      </c>
      <c r="D548" s="16" t="str">
        <f>IFERROR(VLOOKUP(C548,DATA!#REF!,2,FALSE),"")</f>
        <v/>
      </c>
    </row>
    <row r="549" spans="2:4" s="230" customFormat="1">
      <c r="B549" s="15" t="str">
        <f t="shared" si="40"/>
        <v/>
      </c>
      <c r="C549" s="16" t="str">
        <f>IFERROR(VLOOKUP(DATA!#REF!,DATA!#REF!,1,FALSE),"")</f>
        <v/>
      </c>
      <c r="D549" s="16" t="str">
        <f>IFERROR(VLOOKUP(C549,DATA!#REF!,2,FALSE),"")</f>
        <v/>
      </c>
    </row>
    <row r="550" spans="2:4" s="230" customFormat="1">
      <c r="B550" s="15" t="str">
        <f t="shared" si="40"/>
        <v/>
      </c>
      <c r="C550" s="16" t="str">
        <f>IFERROR(VLOOKUP(DATA!#REF!,DATA!#REF!,1,FALSE),"")</f>
        <v/>
      </c>
      <c r="D550" s="16" t="str">
        <f>IFERROR(VLOOKUP(C550,DATA!#REF!,2,FALSE),"")</f>
        <v/>
      </c>
    </row>
    <row r="551" spans="2:4" s="230" customFormat="1">
      <c r="B551" s="15" t="str">
        <f t="shared" si="40"/>
        <v/>
      </c>
      <c r="C551" s="16" t="str">
        <f>IFERROR(VLOOKUP(DATA!#REF!,DATA!#REF!,1,FALSE),"")</f>
        <v/>
      </c>
      <c r="D551" s="16" t="str">
        <f>IFERROR(VLOOKUP(C551,DATA!#REF!,2,FALSE),"")</f>
        <v/>
      </c>
    </row>
    <row r="552" spans="2:4" s="230" customFormat="1">
      <c r="B552" s="15" t="str">
        <f t="shared" si="40"/>
        <v/>
      </c>
      <c r="C552" s="16" t="str">
        <f>IFERROR(VLOOKUP(DATA!#REF!,DATA!#REF!,1,FALSE),"")</f>
        <v/>
      </c>
      <c r="D552" s="16" t="str">
        <f>IFERROR(VLOOKUP(C552,DATA!#REF!,2,FALSE),"")</f>
        <v/>
      </c>
    </row>
    <row r="553" spans="2:4" s="230" customFormat="1">
      <c r="B553" s="15" t="str">
        <f t="shared" si="40"/>
        <v/>
      </c>
      <c r="C553" s="16" t="str">
        <f>IFERROR(VLOOKUP(DATA!#REF!,DATA!#REF!,1,FALSE),"")</f>
        <v/>
      </c>
      <c r="D553" s="16" t="str">
        <f>IFERROR(VLOOKUP(C553,DATA!#REF!,2,FALSE),"")</f>
        <v/>
      </c>
    </row>
    <row r="554" spans="2:4" s="230" customFormat="1">
      <c r="B554" s="15" t="str">
        <f t="shared" si="40"/>
        <v/>
      </c>
      <c r="C554" s="16" t="str">
        <f>IFERROR(VLOOKUP(DATA!#REF!,DATA!#REF!,1,FALSE),"")</f>
        <v/>
      </c>
      <c r="D554" s="16" t="str">
        <f>IFERROR(VLOOKUP(C554,DATA!#REF!,2,FALSE),"")</f>
        <v/>
      </c>
    </row>
    <row r="555" spans="2:4" s="230" customFormat="1">
      <c r="B555" s="15" t="str">
        <f t="shared" si="40"/>
        <v/>
      </c>
      <c r="C555" s="16" t="str">
        <f>IFERROR(VLOOKUP(DATA!#REF!,DATA!#REF!,1,FALSE),"")</f>
        <v/>
      </c>
      <c r="D555" s="16" t="str">
        <f>IFERROR(VLOOKUP(C555,DATA!#REF!,2,FALSE),"")</f>
        <v/>
      </c>
    </row>
    <row r="556" spans="2:4" s="230" customFormat="1">
      <c r="B556" s="15" t="str">
        <f t="shared" si="40"/>
        <v/>
      </c>
      <c r="C556" s="16" t="str">
        <f>IFERROR(VLOOKUP(DATA!#REF!,DATA!#REF!,1,FALSE),"")</f>
        <v/>
      </c>
      <c r="D556" s="16" t="str">
        <f>IFERROR(VLOOKUP(C556,DATA!#REF!,2,FALSE),"")</f>
        <v/>
      </c>
    </row>
    <row r="557" spans="2:4" s="230" customFormat="1">
      <c r="B557" s="15" t="str">
        <f t="shared" si="40"/>
        <v/>
      </c>
      <c r="C557" s="16" t="str">
        <f>IFERROR(VLOOKUP(DATA!#REF!,DATA!#REF!,1,FALSE),"")</f>
        <v/>
      </c>
      <c r="D557" s="16" t="str">
        <f>IFERROR(VLOOKUP(C557,DATA!#REF!,2,FALSE),"")</f>
        <v/>
      </c>
    </row>
    <row r="558" spans="2:4" s="230" customFormat="1">
      <c r="B558" s="15" t="str">
        <f t="shared" si="40"/>
        <v/>
      </c>
      <c r="C558" s="16" t="str">
        <f>IFERROR(VLOOKUP(DATA!#REF!,DATA!#REF!,1,FALSE),"")</f>
        <v/>
      </c>
      <c r="D558" s="16" t="str">
        <f>IFERROR(VLOOKUP(C558,DATA!#REF!,2,FALSE),"")</f>
        <v/>
      </c>
    </row>
    <row r="559" spans="2:4" s="230" customFormat="1">
      <c r="B559" s="15" t="str">
        <f t="shared" si="40"/>
        <v/>
      </c>
      <c r="C559" s="16" t="str">
        <f>IFERROR(VLOOKUP(DATA!#REF!,DATA!#REF!,1,FALSE),"")</f>
        <v/>
      </c>
      <c r="D559" s="16" t="str">
        <f>IFERROR(VLOOKUP(C559,DATA!#REF!,2,FALSE),"")</f>
        <v/>
      </c>
    </row>
    <row r="560" spans="2:4" s="230" customFormat="1">
      <c r="B560" s="15" t="str">
        <f t="shared" si="40"/>
        <v/>
      </c>
      <c r="C560" s="16" t="str">
        <f>IFERROR(VLOOKUP(DATA!#REF!,DATA!#REF!,1,FALSE),"")</f>
        <v/>
      </c>
      <c r="D560" s="16" t="str">
        <f>IFERROR(VLOOKUP(C560,DATA!#REF!,2,FALSE),"")</f>
        <v/>
      </c>
    </row>
    <row r="561" spans="2:4" s="230" customFormat="1">
      <c r="B561" s="15" t="str">
        <f t="shared" si="40"/>
        <v/>
      </c>
      <c r="C561" s="16" t="str">
        <f>IFERROR(VLOOKUP(DATA!#REF!,DATA!#REF!,1,FALSE),"")</f>
        <v/>
      </c>
      <c r="D561" s="16" t="str">
        <f>IFERROR(VLOOKUP(C561,DATA!#REF!,2,FALSE),"")</f>
        <v/>
      </c>
    </row>
    <row r="562" spans="2:4" s="230" customFormat="1">
      <c r="B562" s="15" t="str">
        <f t="shared" si="40"/>
        <v/>
      </c>
      <c r="C562" s="16" t="str">
        <f>IFERROR(VLOOKUP(DATA!#REF!,DATA!#REF!,1,FALSE),"")</f>
        <v/>
      </c>
      <c r="D562" s="16" t="str">
        <f>IFERROR(VLOOKUP(C562,DATA!#REF!,2,FALSE),"")</f>
        <v/>
      </c>
    </row>
    <row r="563" spans="2:4" s="230" customFormat="1">
      <c r="B563" s="15" t="str">
        <f t="shared" si="40"/>
        <v/>
      </c>
      <c r="C563" s="16" t="str">
        <f>IFERROR(VLOOKUP(DATA!#REF!,DATA!#REF!,1,FALSE),"")</f>
        <v/>
      </c>
      <c r="D563" s="16" t="str">
        <f>IFERROR(VLOOKUP(C563,DATA!#REF!,2,FALSE),"")</f>
        <v/>
      </c>
    </row>
    <row r="564" spans="2:4" s="230" customFormat="1">
      <c r="B564" s="15" t="str">
        <f t="shared" si="40"/>
        <v/>
      </c>
      <c r="C564" s="16" t="str">
        <f>IFERROR(VLOOKUP(DATA!#REF!,DATA!#REF!,1,FALSE),"")</f>
        <v/>
      </c>
      <c r="D564" s="16" t="str">
        <f>IFERROR(VLOOKUP(C564,DATA!#REF!,2,FALSE),"")</f>
        <v/>
      </c>
    </row>
    <row r="565" spans="2:4" s="230" customFormat="1">
      <c r="B565" s="15" t="str">
        <f t="shared" si="40"/>
        <v/>
      </c>
      <c r="C565" s="16" t="str">
        <f>IFERROR(VLOOKUP(DATA!#REF!,DATA!#REF!,1,FALSE),"")</f>
        <v/>
      </c>
      <c r="D565" s="16" t="str">
        <f>IFERROR(VLOOKUP(C565,DATA!#REF!,2,FALSE),"")</f>
        <v/>
      </c>
    </row>
    <row r="566" spans="2:4" s="230" customFormat="1">
      <c r="B566" s="15" t="str">
        <f t="shared" si="40"/>
        <v/>
      </c>
      <c r="C566" s="16" t="str">
        <f>IFERROR(VLOOKUP(DATA!#REF!,DATA!#REF!,1,FALSE),"")</f>
        <v/>
      </c>
      <c r="D566" s="16" t="str">
        <f>IFERROR(VLOOKUP(C566,DATA!#REF!,2,FALSE),"")</f>
        <v/>
      </c>
    </row>
    <row r="567" spans="2:4" s="230" customFormat="1">
      <c r="B567" s="15" t="str">
        <f t="shared" si="40"/>
        <v/>
      </c>
      <c r="C567" s="16" t="str">
        <f>IFERROR(VLOOKUP(DATA!#REF!,DATA!#REF!,1,FALSE),"")</f>
        <v/>
      </c>
      <c r="D567" s="16" t="str">
        <f>IFERROR(VLOOKUP(C567,DATA!#REF!,2,FALSE),"")</f>
        <v/>
      </c>
    </row>
    <row r="568" spans="2:4" s="230" customFormat="1">
      <c r="B568" s="15" t="str">
        <f t="shared" si="40"/>
        <v/>
      </c>
      <c r="C568" s="16" t="str">
        <f>IFERROR(VLOOKUP(DATA!#REF!,DATA!#REF!,1,FALSE),"")</f>
        <v/>
      </c>
      <c r="D568" s="16" t="str">
        <f>IFERROR(VLOOKUP(C568,DATA!#REF!,2,FALSE),"")</f>
        <v/>
      </c>
    </row>
    <row r="569" spans="2:4" s="230" customFormat="1">
      <c r="B569" s="15" t="str">
        <f t="shared" si="40"/>
        <v/>
      </c>
      <c r="C569" s="16" t="str">
        <f>IFERROR(VLOOKUP(DATA!#REF!,DATA!#REF!,1,FALSE),"")</f>
        <v/>
      </c>
      <c r="D569" s="16" t="str">
        <f>IFERROR(VLOOKUP(C569,DATA!#REF!,2,FALSE),"")</f>
        <v/>
      </c>
    </row>
    <row r="570" spans="2:4" s="230" customFormat="1">
      <c r="B570" s="15" t="str">
        <f t="shared" si="40"/>
        <v/>
      </c>
      <c r="C570" s="16" t="str">
        <f>IFERROR(VLOOKUP(DATA!#REF!,DATA!#REF!,1,FALSE),"")</f>
        <v/>
      </c>
      <c r="D570" s="16" t="str">
        <f>IFERROR(VLOOKUP(C570,DATA!#REF!,2,FALSE),"")</f>
        <v/>
      </c>
    </row>
    <row r="571" spans="2:4" s="230" customFormat="1">
      <c r="B571" s="15" t="str">
        <f t="shared" si="40"/>
        <v/>
      </c>
      <c r="C571" s="16" t="str">
        <f>IFERROR(VLOOKUP(DATA!#REF!,DATA!#REF!,1,FALSE),"")</f>
        <v/>
      </c>
      <c r="D571" s="16" t="str">
        <f>IFERROR(VLOOKUP(C571,DATA!#REF!,2,FALSE),"")</f>
        <v/>
      </c>
    </row>
    <row r="572" spans="2:4" s="230" customFormat="1">
      <c r="B572" s="15" t="str">
        <f t="shared" si="40"/>
        <v/>
      </c>
      <c r="C572" s="16" t="str">
        <f>IFERROR(VLOOKUP(DATA!#REF!,DATA!#REF!,1,FALSE),"")</f>
        <v/>
      </c>
      <c r="D572" s="16" t="str">
        <f>IFERROR(VLOOKUP(C572,DATA!#REF!,2,FALSE),"")</f>
        <v/>
      </c>
    </row>
    <row r="573" spans="2:4" s="230" customFormat="1">
      <c r="B573" s="15" t="str">
        <f t="shared" si="40"/>
        <v/>
      </c>
      <c r="C573" s="16" t="str">
        <f>IFERROR(VLOOKUP(DATA!#REF!,DATA!#REF!,1,FALSE),"")</f>
        <v/>
      </c>
      <c r="D573" s="16" t="str">
        <f>IFERROR(VLOOKUP(C573,DATA!#REF!,2,FALSE),"")</f>
        <v/>
      </c>
    </row>
    <row r="574" spans="2:4" s="230" customFormat="1">
      <c r="B574" s="15" t="str">
        <f t="shared" si="40"/>
        <v/>
      </c>
      <c r="C574" s="16" t="str">
        <f>IFERROR(VLOOKUP(DATA!#REF!,DATA!#REF!,1,FALSE),"")</f>
        <v/>
      </c>
      <c r="D574" s="16" t="str">
        <f>IFERROR(VLOOKUP(C574,DATA!#REF!,2,FALSE),"")</f>
        <v/>
      </c>
    </row>
    <row r="575" spans="2:4" s="230" customFormat="1">
      <c r="B575" s="15" t="str">
        <f t="shared" si="40"/>
        <v/>
      </c>
      <c r="C575" s="16" t="str">
        <f>IFERROR(VLOOKUP(DATA!#REF!,DATA!#REF!,1,FALSE),"")</f>
        <v/>
      </c>
      <c r="D575" s="16" t="str">
        <f>IFERROR(VLOOKUP(C575,DATA!#REF!,2,FALSE),"")</f>
        <v/>
      </c>
    </row>
    <row r="576" spans="2:4" s="230" customFormat="1">
      <c r="B576" s="15" t="str">
        <f t="shared" si="40"/>
        <v/>
      </c>
      <c r="C576" s="16" t="str">
        <f>IFERROR(VLOOKUP(DATA!#REF!,DATA!#REF!,1,FALSE),"")</f>
        <v/>
      </c>
      <c r="D576" s="16" t="str">
        <f>IFERROR(VLOOKUP(C576,DATA!#REF!,2,FALSE),"")</f>
        <v/>
      </c>
    </row>
    <row r="577" spans="2:4" s="230" customFormat="1">
      <c r="B577" s="15" t="str">
        <f t="shared" si="40"/>
        <v/>
      </c>
      <c r="C577" s="16" t="str">
        <f>IFERROR(VLOOKUP(DATA!#REF!,DATA!#REF!,1,FALSE),"")</f>
        <v/>
      </c>
      <c r="D577" s="16" t="str">
        <f>IFERROR(VLOOKUP(C577,DATA!#REF!,2,FALSE),"")</f>
        <v/>
      </c>
    </row>
    <row r="578" spans="2:4" s="230" customFormat="1">
      <c r="B578" s="15" t="str">
        <f t="shared" si="40"/>
        <v/>
      </c>
      <c r="C578" s="16" t="str">
        <f>IFERROR(VLOOKUP(DATA!#REF!,DATA!#REF!,1,FALSE),"")</f>
        <v/>
      </c>
      <c r="D578" s="16" t="str">
        <f>IFERROR(VLOOKUP(C578,DATA!#REF!,2,FALSE),"")</f>
        <v/>
      </c>
    </row>
    <row r="579" spans="2:4" s="230" customFormat="1">
      <c r="B579" s="15" t="str">
        <f t="shared" si="40"/>
        <v/>
      </c>
      <c r="C579" s="16" t="str">
        <f>IFERROR(VLOOKUP(DATA!#REF!,DATA!#REF!,1,FALSE),"")</f>
        <v/>
      </c>
      <c r="D579" s="16" t="str">
        <f>IFERROR(VLOOKUP(C579,DATA!#REF!,2,FALSE),"")</f>
        <v/>
      </c>
    </row>
    <row r="580" spans="2:4" s="230" customFormat="1">
      <c r="B580" s="15" t="str">
        <f t="shared" si="40"/>
        <v/>
      </c>
      <c r="C580" s="16" t="str">
        <f>IFERROR(VLOOKUP(DATA!#REF!,DATA!#REF!,1,FALSE),"")</f>
        <v/>
      </c>
      <c r="D580" s="16" t="str">
        <f>IFERROR(VLOOKUP(C580,DATA!#REF!,2,FALSE),"")</f>
        <v/>
      </c>
    </row>
    <row r="581" spans="2:4" s="230" customFormat="1">
      <c r="B581" s="15" t="str">
        <f t="shared" si="40"/>
        <v/>
      </c>
      <c r="C581" s="16" t="str">
        <f>IFERROR(VLOOKUP(DATA!#REF!,DATA!#REF!,1,FALSE),"")</f>
        <v/>
      </c>
      <c r="D581" s="16" t="str">
        <f>IFERROR(VLOOKUP(C581,DATA!#REF!,2,FALSE),"")</f>
        <v/>
      </c>
    </row>
    <row r="582" spans="2:4" s="230" customFormat="1">
      <c r="B582" s="15" t="str">
        <f t="shared" ref="B582:B645" si="41">+IF(C582="","",ROW()-5)</f>
        <v/>
      </c>
      <c r="C582" s="16" t="str">
        <f>IFERROR(VLOOKUP(DATA!#REF!,DATA!#REF!,1,FALSE),"")</f>
        <v/>
      </c>
      <c r="D582" s="16" t="str">
        <f>IFERROR(VLOOKUP(C582,DATA!#REF!,2,FALSE),"")</f>
        <v/>
      </c>
    </row>
    <row r="583" spans="2:4" s="230" customFormat="1">
      <c r="B583" s="15" t="str">
        <f t="shared" si="41"/>
        <v/>
      </c>
      <c r="C583" s="16" t="str">
        <f>IFERROR(VLOOKUP(DATA!#REF!,DATA!#REF!,1,FALSE),"")</f>
        <v/>
      </c>
      <c r="D583" s="16" t="str">
        <f>IFERROR(VLOOKUP(C583,DATA!#REF!,2,FALSE),"")</f>
        <v/>
      </c>
    </row>
    <row r="584" spans="2:4" s="230" customFormat="1">
      <c r="B584" s="15" t="str">
        <f t="shared" si="41"/>
        <v/>
      </c>
      <c r="C584" s="16" t="str">
        <f>IFERROR(VLOOKUP(DATA!#REF!,DATA!#REF!,1,FALSE),"")</f>
        <v/>
      </c>
      <c r="D584" s="16" t="str">
        <f>IFERROR(VLOOKUP(C584,DATA!#REF!,2,FALSE),"")</f>
        <v/>
      </c>
    </row>
    <row r="585" spans="2:4" s="230" customFormat="1">
      <c r="B585" s="15" t="str">
        <f t="shared" si="41"/>
        <v/>
      </c>
      <c r="C585" s="16" t="str">
        <f>IFERROR(VLOOKUP(DATA!#REF!,DATA!#REF!,1,FALSE),"")</f>
        <v/>
      </c>
      <c r="D585" s="16" t="str">
        <f>IFERROR(VLOOKUP(C585,DATA!#REF!,2,FALSE),"")</f>
        <v/>
      </c>
    </row>
    <row r="586" spans="2:4" s="230" customFormat="1">
      <c r="B586" s="15" t="str">
        <f t="shared" si="41"/>
        <v/>
      </c>
      <c r="C586" s="16" t="str">
        <f>IFERROR(VLOOKUP(DATA!#REF!,DATA!#REF!,1,FALSE),"")</f>
        <v/>
      </c>
      <c r="D586" s="16" t="str">
        <f>IFERROR(VLOOKUP(C586,DATA!#REF!,2,FALSE),"")</f>
        <v/>
      </c>
    </row>
    <row r="587" spans="2:4" s="230" customFormat="1">
      <c r="B587" s="15" t="str">
        <f t="shared" si="41"/>
        <v/>
      </c>
      <c r="C587" s="16" t="str">
        <f>IFERROR(VLOOKUP(DATA!#REF!,DATA!#REF!,1,FALSE),"")</f>
        <v/>
      </c>
      <c r="D587" s="16" t="str">
        <f>IFERROR(VLOOKUP(C587,DATA!#REF!,2,FALSE),"")</f>
        <v/>
      </c>
    </row>
    <row r="588" spans="2:4" s="230" customFormat="1">
      <c r="B588" s="15" t="str">
        <f t="shared" si="41"/>
        <v/>
      </c>
      <c r="C588" s="16" t="str">
        <f>IFERROR(VLOOKUP(DATA!#REF!,DATA!#REF!,1,FALSE),"")</f>
        <v/>
      </c>
      <c r="D588" s="16" t="str">
        <f>IFERROR(VLOOKUP(C588,DATA!#REF!,2,FALSE),"")</f>
        <v/>
      </c>
    </row>
    <row r="589" spans="2:4" s="230" customFormat="1">
      <c r="B589" s="15" t="str">
        <f t="shared" si="41"/>
        <v/>
      </c>
      <c r="C589" s="16" t="str">
        <f>IFERROR(VLOOKUP(DATA!#REF!,DATA!#REF!,1,FALSE),"")</f>
        <v/>
      </c>
      <c r="D589" s="16" t="str">
        <f>IFERROR(VLOOKUP(C589,DATA!#REF!,2,FALSE),"")</f>
        <v/>
      </c>
    </row>
    <row r="590" spans="2:4" s="230" customFormat="1">
      <c r="B590" s="15" t="str">
        <f t="shared" si="41"/>
        <v/>
      </c>
      <c r="C590" s="16" t="str">
        <f>IFERROR(VLOOKUP(DATA!#REF!,DATA!#REF!,1,FALSE),"")</f>
        <v/>
      </c>
      <c r="D590" s="16" t="str">
        <f>IFERROR(VLOOKUP(C590,DATA!#REF!,2,FALSE),"")</f>
        <v/>
      </c>
    </row>
    <row r="591" spans="2:4" s="230" customFormat="1">
      <c r="B591" s="15" t="str">
        <f t="shared" si="41"/>
        <v/>
      </c>
      <c r="C591" s="16" t="str">
        <f>IFERROR(VLOOKUP(DATA!#REF!,DATA!#REF!,1,FALSE),"")</f>
        <v/>
      </c>
      <c r="D591" s="16" t="str">
        <f>IFERROR(VLOOKUP(C591,DATA!#REF!,2,FALSE),"")</f>
        <v/>
      </c>
    </row>
    <row r="592" spans="2:4" s="230" customFormat="1">
      <c r="B592" s="15" t="str">
        <f t="shared" si="41"/>
        <v/>
      </c>
      <c r="C592" s="16" t="str">
        <f>IFERROR(VLOOKUP(DATA!#REF!,DATA!#REF!,1,FALSE),"")</f>
        <v/>
      </c>
      <c r="D592" s="16" t="str">
        <f>IFERROR(VLOOKUP(C592,DATA!#REF!,2,FALSE),"")</f>
        <v/>
      </c>
    </row>
    <row r="593" spans="2:4" s="230" customFormat="1">
      <c r="B593" s="15" t="str">
        <f t="shared" si="41"/>
        <v/>
      </c>
      <c r="C593" s="16" t="str">
        <f>IFERROR(VLOOKUP(DATA!#REF!,DATA!#REF!,1,FALSE),"")</f>
        <v/>
      </c>
      <c r="D593" s="16" t="str">
        <f>IFERROR(VLOOKUP(C593,DATA!#REF!,2,FALSE),"")</f>
        <v/>
      </c>
    </row>
    <row r="594" spans="2:4" s="230" customFormat="1">
      <c r="B594" s="15" t="str">
        <f t="shared" si="41"/>
        <v/>
      </c>
      <c r="C594" s="16" t="str">
        <f>IFERROR(VLOOKUP(DATA!#REF!,DATA!#REF!,1,FALSE),"")</f>
        <v/>
      </c>
      <c r="D594" s="16" t="str">
        <f>IFERROR(VLOOKUP(C594,DATA!#REF!,2,FALSE),"")</f>
        <v/>
      </c>
    </row>
    <row r="595" spans="2:4" s="230" customFormat="1">
      <c r="B595" s="15" t="str">
        <f t="shared" si="41"/>
        <v/>
      </c>
      <c r="C595" s="16" t="str">
        <f>IFERROR(VLOOKUP(DATA!#REF!,DATA!#REF!,1,FALSE),"")</f>
        <v/>
      </c>
      <c r="D595" s="16" t="str">
        <f>IFERROR(VLOOKUP(C595,DATA!#REF!,2,FALSE),"")</f>
        <v/>
      </c>
    </row>
    <row r="596" spans="2:4" s="230" customFormat="1">
      <c r="B596" s="15" t="str">
        <f t="shared" si="41"/>
        <v/>
      </c>
      <c r="C596" s="16" t="str">
        <f>IFERROR(VLOOKUP(DATA!#REF!,DATA!#REF!,1,FALSE),"")</f>
        <v/>
      </c>
      <c r="D596" s="16" t="str">
        <f>IFERROR(VLOOKUP(C596,DATA!#REF!,2,FALSE),"")</f>
        <v/>
      </c>
    </row>
    <row r="597" spans="2:4" s="230" customFormat="1">
      <c r="B597" s="15" t="str">
        <f t="shared" si="41"/>
        <v/>
      </c>
      <c r="C597" s="16" t="str">
        <f>IFERROR(VLOOKUP(DATA!#REF!,DATA!#REF!,1,FALSE),"")</f>
        <v/>
      </c>
      <c r="D597" s="16" t="str">
        <f>IFERROR(VLOOKUP(C597,DATA!#REF!,2,FALSE),"")</f>
        <v/>
      </c>
    </row>
    <row r="598" spans="2:4" s="230" customFormat="1">
      <c r="B598" s="15" t="str">
        <f t="shared" si="41"/>
        <v/>
      </c>
      <c r="C598" s="16" t="str">
        <f>IFERROR(VLOOKUP(DATA!#REF!,DATA!#REF!,1,FALSE),"")</f>
        <v/>
      </c>
      <c r="D598" s="16" t="str">
        <f>IFERROR(VLOOKUP(C598,DATA!#REF!,2,FALSE),"")</f>
        <v/>
      </c>
    </row>
    <row r="599" spans="2:4" s="230" customFormat="1">
      <c r="B599" s="15" t="str">
        <f t="shared" si="41"/>
        <v/>
      </c>
      <c r="C599" s="16" t="str">
        <f>IFERROR(VLOOKUP(DATA!#REF!,DATA!#REF!,1,FALSE),"")</f>
        <v/>
      </c>
      <c r="D599" s="16" t="str">
        <f>IFERROR(VLOOKUP(C599,DATA!#REF!,2,FALSE),"")</f>
        <v/>
      </c>
    </row>
    <row r="600" spans="2:4" s="230" customFormat="1">
      <c r="B600" s="15" t="str">
        <f t="shared" si="41"/>
        <v/>
      </c>
      <c r="C600" s="16" t="str">
        <f>IFERROR(VLOOKUP(DATA!#REF!,DATA!#REF!,1,FALSE),"")</f>
        <v/>
      </c>
      <c r="D600" s="16" t="str">
        <f>IFERROR(VLOOKUP(C600,DATA!#REF!,2,FALSE),"")</f>
        <v/>
      </c>
    </row>
    <row r="601" spans="2:4" s="230" customFormat="1">
      <c r="B601" s="15" t="str">
        <f t="shared" si="41"/>
        <v/>
      </c>
      <c r="C601" s="16" t="str">
        <f>IFERROR(VLOOKUP(DATA!#REF!,DATA!#REF!,1,FALSE),"")</f>
        <v/>
      </c>
      <c r="D601" s="16" t="str">
        <f>IFERROR(VLOOKUP(C601,DATA!#REF!,2,FALSE),"")</f>
        <v/>
      </c>
    </row>
    <row r="602" spans="2:4" s="230" customFormat="1">
      <c r="B602" s="15" t="str">
        <f t="shared" si="41"/>
        <v/>
      </c>
      <c r="C602" s="16" t="str">
        <f>IFERROR(VLOOKUP(DATA!#REF!,DATA!#REF!,1,FALSE),"")</f>
        <v/>
      </c>
      <c r="D602" s="16" t="str">
        <f>IFERROR(VLOOKUP(C602,DATA!#REF!,2,FALSE),"")</f>
        <v/>
      </c>
    </row>
    <row r="603" spans="2:4" s="230" customFormat="1">
      <c r="B603" s="15" t="str">
        <f t="shared" si="41"/>
        <v/>
      </c>
      <c r="C603" s="16" t="str">
        <f>IFERROR(VLOOKUP(DATA!#REF!,DATA!#REF!,1,FALSE),"")</f>
        <v/>
      </c>
      <c r="D603" s="16" t="str">
        <f>IFERROR(VLOOKUP(C603,DATA!#REF!,2,FALSE),"")</f>
        <v/>
      </c>
    </row>
    <row r="604" spans="2:4" s="230" customFormat="1">
      <c r="B604" s="15" t="str">
        <f t="shared" si="41"/>
        <v/>
      </c>
      <c r="C604" s="16" t="str">
        <f>IFERROR(VLOOKUP(DATA!#REF!,DATA!#REF!,1,FALSE),"")</f>
        <v/>
      </c>
      <c r="D604" s="16" t="str">
        <f>IFERROR(VLOOKUP(C604,DATA!#REF!,2,FALSE),"")</f>
        <v/>
      </c>
    </row>
    <row r="605" spans="2:4" s="230" customFormat="1">
      <c r="B605" s="15" t="str">
        <f t="shared" si="41"/>
        <v/>
      </c>
      <c r="C605" s="16" t="str">
        <f>IFERROR(VLOOKUP(DATA!#REF!,DATA!#REF!,1,FALSE),"")</f>
        <v/>
      </c>
      <c r="D605" s="16" t="str">
        <f>IFERROR(VLOOKUP(C605,DATA!#REF!,2,FALSE),"")</f>
        <v/>
      </c>
    </row>
    <row r="606" spans="2:4" s="230" customFormat="1">
      <c r="B606" s="15" t="str">
        <f t="shared" si="41"/>
        <v/>
      </c>
      <c r="C606" s="16" t="str">
        <f>IFERROR(VLOOKUP(DATA!#REF!,DATA!#REF!,1,FALSE),"")</f>
        <v/>
      </c>
      <c r="D606" s="16" t="str">
        <f>IFERROR(VLOOKUP(C606,DATA!#REF!,2,FALSE),"")</f>
        <v/>
      </c>
    </row>
    <row r="607" spans="2:4" s="230" customFormat="1">
      <c r="B607" s="15" t="str">
        <f t="shared" si="41"/>
        <v/>
      </c>
      <c r="C607" s="16" t="str">
        <f>IFERROR(VLOOKUP(DATA!#REF!,DATA!#REF!,1,FALSE),"")</f>
        <v/>
      </c>
      <c r="D607" s="16" t="str">
        <f>IFERROR(VLOOKUP(C607,DATA!#REF!,2,FALSE),"")</f>
        <v/>
      </c>
    </row>
    <row r="608" spans="2:4" s="230" customFormat="1">
      <c r="B608" s="15" t="str">
        <f t="shared" si="41"/>
        <v/>
      </c>
      <c r="C608" s="16" t="str">
        <f>IFERROR(VLOOKUP(DATA!#REF!,DATA!#REF!,1,FALSE),"")</f>
        <v/>
      </c>
      <c r="D608" s="16" t="str">
        <f>IFERROR(VLOOKUP(C608,DATA!#REF!,2,FALSE),"")</f>
        <v/>
      </c>
    </row>
    <row r="609" spans="2:4" s="230" customFormat="1">
      <c r="B609" s="15" t="str">
        <f t="shared" si="41"/>
        <v/>
      </c>
      <c r="C609" s="16" t="str">
        <f>IFERROR(VLOOKUP(DATA!#REF!,DATA!#REF!,1,FALSE),"")</f>
        <v/>
      </c>
      <c r="D609" s="16" t="str">
        <f>IFERROR(VLOOKUP(C609,DATA!#REF!,2,FALSE),"")</f>
        <v/>
      </c>
    </row>
    <row r="610" spans="2:4" s="230" customFormat="1">
      <c r="B610" s="15" t="str">
        <f t="shared" si="41"/>
        <v/>
      </c>
      <c r="C610" s="16" t="str">
        <f>IFERROR(VLOOKUP(DATA!#REF!,DATA!#REF!,1,FALSE),"")</f>
        <v/>
      </c>
      <c r="D610" s="16" t="str">
        <f>IFERROR(VLOOKUP(C610,DATA!#REF!,2,FALSE),"")</f>
        <v/>
      </c>
    </row>
    <row r="611" spans="2:4" s="230" customFormat="1">
      <c r="B611" s="15" t="str">
        <f t="shared" si="41"/>
        <v/>
      </c>
      <c r="C611" s="16" t="str">
        <f>IFERROR(VLOOKUP(DATA!#REF!,DATA!#REF!,1,FALSE),"")</f>
        <v/>
      </c>
      <c r="D611" s="16" t="str">
        <f>IFERROR(VLOOKUP(C611,DATA!#REF!,2,FALSE),"")</f>
        <v/>
      </c>
    </row>
    <row r="612" spans="2:4" s="230" customFormat="1">
      <c r="B612" s="15" t="str">
        <f t="shared" si="41"/>
        <v/>
      </c>
      <c r="C612" s="16" t="str">
        <f>IFERROR(VLOOKUP(DATA!#REF!,DATA!#REF!,1,FALSE),"")</f>
        <v/>
      </c>
      <c r="D612" s="16" t="str">
        <f>IFERROR(VLOOKUP(C612,DATA!#REF!,2,FALSE),"")</f>
        <v/>
      </c>
    </row>
    <row r="613" spans="2:4" s="230" customFormat="1">
      <c r="B613" s="15" t="str">
        <f t="shared" si="41"/>
        <v/>
      </c>
      <c r="C613" s="16" t="str">
        <f>IFERROR(VLOOKUP(DATA!#REF!,DATA!#REF!,1,FALSE),"")</f>
        <v/>
      </c>
      <c r="D613" s="16" t="str">
        <f>IFERROR(VLOOKUP(C613,DATA!#REF!,2,FALSE),"")</f>
        <v/>
      </c>
    </row>
    <row r="614" spans="2:4" s="230" customFormat="1">
      <c r="B614" s="15" t="str">
        <f t="shared" si="41"/>
        <v/>
      </c>
      <c r="C614" s="16" t="str">
        <f>IFERROR(VLOOKUP(DATA!#REF!,DATA!#REF!,1,FALSE),"")</f>
        <v/>
      </c>
      <c r="D614" s="16" t="str">
        <f>IFERROR(VLOOKUP(C614,DATA!#REF!,2,FALSE),"")</f>
        <v/>
      </c>
    </row>
    <row r="615" spans="2:4" s="230" customFormat="1">
      <c r="B615" s="15" t="str">
        <f t="shared" si="41"/>
        <v/>
      </c>
      <c r="C615" s="16" t="str">
        <f>IFERROR(VLOOKUP(DATA!#REF!,DATA!#REF!,1,FALSE),"")</f>
        <v/>
      </c>
      <c r="D615" s="16" t="str">
        <f>IFERROR(VLOOKUP(C615,DATA!#REF!,2,FALSE),"")</f>
        <v/>
      </c>
    </row>
    <row r="616" spans="2:4" s="230" customFormat="1">
      <c r="B616" s="15" t="str">
        <f t="shared" si="41"/>
        <v/>
      </c>
      <c r="C616" s="16" t="str">
        <f>IFERROR(VLOOKUP(DATA!#REF!,DATA!#REF!,1,FALSE),"")</f>
        <v/>
      </c>
      <c r="D616" s="16" t="str">
        <f>IFERROR(VLOOKUP(C616,DATA!#REF!,2,FALSE),"")</f>
        <v/>
      </c>
    </row>
    <row r="617" spans="2:4" s="230" customFormat="1">
      <c r="B617" s="15" t="str">
        <f t="shared" si="41"/>
        <v/>
      </c>
      <c r="C617" s="16" t="str">
        <f>IFERROR(VLOOKUP(DATA!#REF!,DATA!#REF!,1,FALSE),"")</f>
        <v/>
      </c>
      <c r="D617" s="16" t="str">
        <f>IFERROR(VLOOKUP(C617,DATA!#REF!,2,FALSE),"")</f>
        <v/>
      </c>
    </row>
    <row r="618" spans="2:4" s="230" customFormat="1">
      <c r="B618" s="15" t="str">
        <f t="shared" si="41"/>
        <v/>
      </c>
      <c r="C618" s="16" t="str">
        <f>IFERROR(VLOOKUP(DATA!#REF!,DATA!#REF!,1,FALSE),"")</f>
        <v/>
      </c>
      <c r="D618" s="16" t="str">
        <f>IFERROR(VLOOKUP(C618,DATA!#REF!,2,FALSE),"")</f>
        <v/>
      </c>
    </row>
    <row r="619" spans="2:4" s="230" customFormat="1">
      <c r="B619" s="15" t="str">
        <f t="shared" si="41"/>
        <v/>
      </c>
      <c r="C619" s="16" t="str">
        <f>IFERROR(VLOOKUP(DATA!#REF!,DATA!#REF!,1,FALSE),"")</f>
        <v/>
      </c>
      <c r="D619" s="16" t="str">
        <f>IFERROR(VLOOKUP(C619,DATA!#REF!,2,FALSE),"")</f>
        <v/>
      </c>
    </row>
    <row r="620" spans="2:4" s="230" customFormat="1">
      <c r="B620" s="15" t="str">
        <f t="shared" si="41"/>
        <v/>
      </c>
      <c r="C620" s="16" t="str">
        <f>IFERROR(VLOOKUP(DATA!#REF!,DATA!#REF!,1,FALSE),"")</f>
        <v/>
      </c>
      <c r="D620" s="16" t="str">
        <f>IFERROR(VLOOKUP(C620,DATA!#REF!,2,FALSE),"")</f>
        <v/>
      </c>
    </row>
    <row r="621" spans="2:4" s="230" customFormat="1">
      <c r="B621" s="15" t="str">
        <f t="shared" si="41"/>
        <v/>
      </c>
      <c r="C621" s="16" t="str">
        <f>IFERROR(VLOOKUP(DATA!#REF!,DATA!#REF!,1,FALSE),"")</f>
        <v/>
      </c>
      <c r="D621" s="16" t="str">
        <f>IFERROR(VLOOKUP(C621,DATA!#REF!,2,FALSE),"")</f>
        <v/>
      </c>
    </row>
    <row r="622" spans="2:4" s="230" customFormat="1">
      <c r="B622" s="15" t="str">
        <f t="shared" si="41"/>
        <v/>
      </c>
      <c r="C622" s="16" t="str">
        <f>IFERROR(VLOOKUP(DATA!#REF!,DATA!#REF!,1,FALSE),"")</f>
        <v/>
      </c>
      <c r="D622" s="16" t="str">
        <f>IFERROR(VLOOKUP(C622,DATA!#REF!,2,FALSE),"")</f>
        <v/>
      </c>
    </row>
    <row r="623" spans="2:4" s="230" customFormat="1">
      <c r="B623" s="15" t="str">
        <f t="shared" si="41"/>
        <v/>
      </c>
      <c r="C623" s="16" t="str">
        <f>IFERROR(VLOOKUP(DATA!#REF!,DATA!#REF!,1,FALSE),"")</f>
        <v/>
      </c>
      <c r="D623" s="16" t="str">
        <f>IFERROR(VLOOKUP(C623,DATA!#REF!,2,FALSE),"")</f>
        <v/>
      </c>
    </row>
    <row r="624" spans="2:4" s="230" customFormat="1">
      <c r="B624" s="15" t="str">
        <f t="shared" si="41"/>
        <v/>
      </c>
      <c r="C624" s="16" t="str">
        <f>IFERROR(VLOOKUP(DATA!#REF!,DATA!#REF!,1,FALSE),"")</f>
        <v/>
      </c>
      <c r="D624" s="16" t="str">
        <f>IFERROR(VLOOKUP(C624,DATA!#REF!,2,FALSE),"")</f>
        <v/>
      </c>
    </row>
    <row r="625" spans="2:4" s="230" customFormat="1">
      <c r="B625" s="15" t="str">
        <f t="shared" si="41"/>
        <v/>
      </c>
      <c r="C625" s="16" t="str">
        <f>IFERROR(VLOOKUP(DATA!#REF!,DATA!#REF!,1,FALSE),"")</f>
        <v/>
      </c>
      <c r="D625" s="16" t="str">
        <f>IFERROR(VLOOKUP(C625,DATA!#REF!,2,FALSE),"")</f>
        <v/>
      </c>
    </row>
    <row r="626" spans="2:4" s="230" customFormat="1">
      <c r="B626" s="15" t="str">
        <f t="shared" si="41"/>
        <v/>
      </c>
      <c r="C626" s="16" t="str">
        <f>IFERROR(VLOOKUP(DATA!#REF!,DATA!#REF!,1,FALSE),"")</f>
        <v/>
      </c>
      <c r="D626" s="16" t="str">
        <f>IFERROR(VLOOKUP(C626,DATA!#REF!,2,FALSE),"")</f>
        <v/>
      </c>
    </row>
    <row r="627" spans="2:4" s="230" customFormat="1">
      <c r="B627" s="15" t="str">
        <f t="shared" si="41"/>
        <v/>
      </c>
      <c r="C627" s="16" t="str">
        <f>IFERROR(VLOOKUP(DATA!#REF!,DATA!#REF!,1,FALSE),"")</f>
        <v/>
      </c>
      <c r="D627" s="16" t="str">
        <f>IFERROR(VLOOKUP(C627,DATA!#REF!,2,FALSE),"")</f>
        <v/>
      </c>
    </row>
    <row r="628" spans="2:4" s="230" customFormat="1">
      <c r="B628" s="15" t="str">
        <f t="shared" si="41"/>
        <v/>
      </c>
      <c r="C628" s="16" t="str">
        <f>IFERROR(VLOOKUP(DATA!#REF!,DATA!#REF!,1,FALSE),"")</f>
        <v/>
      </c>
      <c r="D628" s="16" t="str">
        <f>IFERROR(VLOOKUP(C628,DATA!#REF!,2,FALSE),"")</f>
        <v/>
      </c>
    </row>
    <row r="629" spans="2:4" s="230" customFormat="1">
      <c r="B629" s="15" t="str">
        <f t="shared" si="41"/>
        <v/>
      </c>
      <c r="C629" s="16" t="str">
        <f>IFERROR(VLOOKUP(DATA!#REF!,DATA!#REF!,1,FALSE),"")</f>
        <v/>
      </c>
      <c r="D629" s="16" t="str">
        <f>IFERROR(VLOOKUP(C629,DATA!#REF!,2,FALSE),"")</f>
        <v/>
      </c>
    </row>
    <row r="630" spans="2:4" s="230" customFormat="1">
      <c r="B630" s="15" t="str">
        <f t="shared" si="41"/>
        <v/>
      </c>
      <c r="C630" s="16" t="str">
        <f>IFERROR(VLOOKUP(DATA!#REF!,DATA!#REF!,1,FALSE),"")</f>
        <v/>
      </c>
      <c r="D630" s="16" t="str">
        <f>IFERROR(VLOOKUP(C630,DATA!#REF!,2,FALSE),"")</f>
        <v/>
      </c>
    </row>
    <row r="631" spans="2:4" s="230" customFormat="1">
      <c r="B631" s="15" t="str">
        <f t="shared" si="41"/>
        <v/>
      </c>
      <c r="C631" s="16" t="str">
        <f>IFERROR(VLOOKUP(DATA!#REF!,DATA!#REF!,1,FALSE),"")</f>
        <v/>
      </c>
      <c r="D631" s="16" t="str">
        <f>IFERROR(VLOOKUP(C631,DATA!#REF!,2,FALSE),"")</f>
        <v/>
      </c>
    </row>
    <row r="632" spans="2:4" s="230" customFormat="1">
      <c r="B632" s="15" t="str">
        <f t="shared" si="41"/>
        <v/>
      </c>
      <c r="C632" s="16" t="str">
        <f>IFERROR(VLOOKUP(DATA!#REF!,DATA!#REF!,1,FALSE),"")</f>
        <v/>
      </c>
      <c r="D632" s="16" t="str">
        <f>IFERROR(VLOOKUP(C632,DATA!#REF!,2,FALSE),"")</f>
        <v/>
      </c>
    </row>
    <row r="633" spans="2:4" s="230" customFormat="1">
      <c r="B633" s="15" t="str">
        <f t="shared" si="41"/>
        <v/>
      </c>
      <c r="C633" s="16" t="str">
        <f>IFERROR(VLOOKUP(DATA!#REF!,DATA!#REF!,1,FALSE),"")</f>
        <v/>
      </c>
      <c r="D633" s="16" t="str">
        <f>IFERROR(VLOOKUP(C633,DATA!#REF!,2,FALSE),"")</f>
        <v/>
      </c>
    </row>
    <row r="634" spans="2:4" s="230" customFormat="1">
      <c r="B634" s="15" t="str">
        <f t="shared" si="41"/>
        <v/>
      </c>
      <c r="C634" s="16" t="str">
        <f>IFERROR(VLOOKUP(DATA!#REF!,DATA!#REF!,1,FALSE),"")</f>
        <v/>
      </c>
      <c r="D634" s="16" t="str">
        <f>IFERROR(VLOOKUP(C634,DATA!#REF!,2,FALSE),"")</f>
        <v/>
      </c>
    </row>
    <row r="635" spans="2:4" s="230" customFormat="1">
      <c r="B635" s="15" t="str">
        <f t="shared" si="41"/>
        <v/>
      </c>
      <c r="C635" s="16" t="str">
        <f>IFERROR(VLOOKUP(DATA!#REF!,DATA!#REF!,1,FALSE),"")</f>
        <v/>
      </c>
      <c r="D635" s="16" t="str">
        <f>IFERROR(VLOOKUP(C635,DATA!#REF!,2,FALSE),"")</f>
        <v/>
      </c>
    </row>
    <row r="636" spans="2:4" s="230" customFormat="1">
      <c r="B636" s="15" t="str">
        <f t="shared" si="41"/>
        <v/>
      </c>
      <c r="C636" s="16" t="str">
        <f>IFERROR(VLOOKUP(DATA!#REF!,DATA!#REF!,1,FALSE),"")</f>
        <v/>
      </c>
      <c r="D636" s="16" t="str">
        <f>IFERROR(VLOOKUP(C636,DATA!#REF!,2,FALSE),"")</f>
        <v/>
      </c>
    </row>
    <row r="637" spans="2:4" s="230" customFormat="1">
      <c r="B637" s="15" t="str">
        <f t="shared" si="41"/>
        <v/>
      </c>
      <c r="C637" s="16" t="str">
        <f>IFERROR(VLOOKUP(DATA!#REF!,DATA!#REF!,1,FALSE),"")</f>
        <v/>
      </c>
      <c r="D637" s="16" t="str">
        <f>IFERROR(VLOOKUP(C637,DATA!#REF!,2,FALSE),"")</f>
        <v/>
      </c>
    </row>
    <row r="638" spans="2:4" s="230" customFormat="1">
      <c r="B638" s="15" t="str">
        <f t="shared" si="41"/>
        <v/>
      </c>
      <c r="C638" s="16" t="str">
        <f>IFERROR(VLOOKUP(DATA!#REF!,DATA!#REF!,1,FALSE),"")</f>
        <v/>
      </c>
      <c r="D638" s="16" t="str">
        <f>IFERROR(VLOOKUP(C638,DATA!#REF!,2,FALSE),"")</f>
        <v/>
      </c>
    </row>
    <row r="639" spans="2:4" s="230" customFormat="1">
      <c r="B639" s="15" t="str">
        <f t="shared" si="41"/>
        <v/>
      </c>
      <c r="C639" s="16" t="str">
        <f>IFERROR(VLOOKUP(DATA!#REF!,DATA!#REF!,1,FALSE),"")</f>
        <v/>
      </c>
      <c r="D639" s="16" t="str">
        <f>IFERROR(VLOOKUP(C639,DATA!#REF!,2,FALSE),"")</f>
        <v/>
      </c>
    </row>
    <row r="640" spans="2:4" s="230" customFormat="1">
      <c r="B640" s="15" t="str">
        <f t="shared" si="41"/>
        <v/>
      </c>
      <c r="C640" s="16" t="str">
        <f>IFERROR(VLOOKUP(DATA!#REF!,DATA!#REF!,1,FALSE),"")</f>
        <v/>
      </c>
      <c r="D640" s="16" t="str">
        <f>IFERROR(VLOOKUP(C640,DATA!#REF!,2,FALSE),"")</f>
        <v/>
      </c>
    </row>
    <row r="641" spans="2:4" s="230" customFormat="1">
      <c r="B641" s="15" t="str">
        <f t="shared" si="41"/>
        <v/>
      </c>
      <c r="C641" s="16" t="str">
        <f>IFERROR(VLOOKUP(DATA!#REF!,DATA!#REF!,1,FALSE),"")</f>
        <v/>
      </c>
      <c r="D641" s="16" t="str">
        <f>IFERROR(VLOOKUP(C641,DATA!#REF!,2,FALSE),"")</f>
        <v/>
      </c>
    </row>
    <row r="642" spans="2:4" s="230" customFormat="1">
      <c r="B642" s="15" t="str">
        <f t="shared" si="41"/>
        <v/>
      </c>
      <c r="C642" s="16" t="str">
        <f>IFERROR(VLOOKUP(DATA!#REF!,DATA!#REF!,1,FALSE),"")</f>
        <v/>
      </c>
      <c r="D642" s="16" t="str">
        <f>IFERROR(VLOOKUP(C642,DATA!#REF!,2,FALSE),"")</f>
        <v/>
      </c>
    </row>
    <row r="643" spans="2:4" s="230" customFormat="1">
      <c r="B643" s="15" t="str">
        <f t="shared" si="41"/>
        <v/>
      </c>
      <c r="C643" s="16" t="str">
        <f>IFERROR(VLOOKUP(DATA!#REF!,DATA!#REF!,1,FALSE),"")</f>
        <v/>
      </c>
      <c r="D643" s="16" t="str">
        <f>IFERROR(VLOOKUP(C643,DATA!#REF!,2,FALSE),"")</f>
        <v/>
      </c>
    </row>
    <row r="644" spans="2:4" s="230" customFormat="1">
      <c r="B644" s="15" t="str">
        <f t="shared" si="41"/>
        <v/>
      </c>
      <c r="C644" s="16" t="str">
        <f>IFERROR(VLOOKUP(DATA!#REF!,DATA!#REF!,1,FALSE),"")</f>
        <v/>
      </c>
      <c r="D644" s="16" t="str">
        <f>IFERROR(VLOOKUP(C644,DATA!#REF!,2,FALSE),"")</f>
        <v/>
      </c>
    </row>
    <row r="645" spans="2:4" s="230" customFormat="1">
      <c r="B645" s="15" t="str">
        <f t="shared" si="41"/>
        <v/>
      </c>
      <c r="C645" s="16" t="str">
        <f>IFERROR(VLOOKUP(DATA!#REF!,DATA!#REF!,1,FALSE),"")</f>
        <v/>
      </c>
      <c r="D645" s="16" t="str">
        <f>IFERROR(VLOOKUP(C645,DATA!#REF!,2,FALSE),"")</f>
        <v/>
      </c>
    </row>
    <row r="646" spans="2:4" s="230" customFormat="1">
      <c r="B646" s="15" t="str">
        <f t="shared" ref="B646:B709" si="42">+IF(C646="","",ROW()-5)</f>
        <v/>
      </c>
      <c r="C646" s="16" t="str">
        <f>IFERROR(VLOOKUP(DATA!#REF!,DATA!#REF!,1,FALSE),"")</f>
        <v/>
      </c>
      <c r="D646" s="16" t="str">
        <f>IFERROR(VLOOKUP(C646,DATA!#REF!,2,FALSE),"")</f>
        <v/>
      </c>
    </row>
    <row r="647" spans="2:4" s="230" customFormat="1">
      <c r="B647" s="15" t="str">
        <f t="shared" si="42"/>
        <v/>
      </c>
      <c r="C647" s="16" t="str">
        <f>IFERROR(VLOOKUP(DATA!#REF!,DATA!#REF!,1,FALSE),"")</f>
        <v/>
      </c>
      <c r="D647" s="16" t="str">
        <f>IFERROR(VLOOKUP(C647,DATA!#REF!,2,FALSE),"")</f>
        <v/>
      </c>
    </row>
    <row r="648" spans="2:4" s="230" customFormat="1">
      <c r="B648" s="15" t="str">
        <f t="shared" si="42"/>
        <v/>
      </c>
      <c r="C648" s="16" t="str">
        <f>IFERROR(VLOOKUP(DATA!#REF!,DATA!#REF!,1,FALSE),"")</f>
        <v/>
      </c>
      <c r="D648" s="16" t="str">
        <f>IFERROR(VLOOKUP(C648,DATA!#REF!,2,FALSE),"")</f>
        <v/>
      </c>
    </row>
    <row r="649" spans="2:4" s="230" customFormat="1">
      <c r="B649" s="15" t="str">
        <f t="shared" si="42"/>
        <v/>
      </c>
      <c r="C649" s="16" t="str">
        <f>IFERROR(VLOOKUP(DATA!#REF!,DATA!#REF!,1,FALSE),"")</f>
        <v/>
      </c>
      <c r="D649" s="16" t="str">
        <f>IFERROR(VLOOKUP(C649,DATA!#REF!,2,FALSE),"")</f>
        <v/>
      </c>
    </row>
    <row r="650" spans="2:4" s="230" customFormat="1">
      <c r="B650" s="15" t="str">
        <f t="shared" si="42"/>
        <v/>
      </c>
      <c r="C650" s="16" t="str">
        <f>IFERROR(VLOOKUP(DATA!#REF!,DATA!#REF!,1,FALSE),"")</f>
        <v/>
      </c>
      <c r="D650" s="16" t="str">
        <f>IFERROR(VLOOKUP(C650,DATA!#REF!,2,FALSE),"")</f>
        <v/>
      </c>
    </row>
    <row r="651" spans="2:4" s="230" customFormat="1">
      <c r="B651" s="15" t="str">
        <f t="shared" si="42"/>
        <v/>
      </c>
      <c r="C651" s="16" t="str">
        <f>IFERROR(VLOOKUP(DATA!#REF!,DATA!#REF!,1,FALSE),"")</f>
        <v/>
      </c>
      <c r="D651" s="16" t="str">
        <f>IFERROR(VLOOKUP(C651,DATA!#REF!,2,FALSE),"")</f>
        <v/>
      </c>
    </row>
    <row r="652" spans="2:4" s="230" customFormat="1">
      <c r="B652" s="15" t="str">
        <f t="shared" si="42"/>
        <v/>
      </c>
      <c r="C652" s="16" t="str">
        <f>IFERROR(VLOOKUP(DATA!#REF!,DATA!#REF!,1,FALSE),"")</f>
        <v/>
      </c>
      <c r="D652" s="16" t="str">
        <f>IFERROR(VLOOKUP(C652,DATA!#REF!,2,FALSE),"")</f>
        <v/>
      </c>
    </row>
    <row r="653" spans="2:4" s="230" customFormat="1">
      <c r="B653" s="15" t="str">
        <f t="shared" si="42"/>
        <v/>
      </c>
      <c r="C653" s="16" t="str">
        <f>IFERROR(VLOOKUP(DATA!#REF!,DATA!#REF!,1,FALSE),"")</f>
        <v/>
      </c>
      <c r="D653" s="16" t="str">
        <f>IFERROR(VLOOKUP(C653,DATA!#REF!,2,FALSE),"")</f>
        <v/>
      </c>
    </row>
    <row r="654" spans="2:4" s="230" customFormat="1">
      <c r="B654" s="15" t="str">
        <f t="shared" si="42"/>
        <v/>
      </c>
      <c r="C654" s="16" t="str">
        <f>IFERROR(VLOOKUP(DATA!#REF!,DATA!#REF!,1,FALSE),"")</f>
        <v/>
      </c>
      <c r="D654" s="16" t="str">
        <f>IFERROR(VLOOKUP(C654,DATA!#REF!,2,FALSE),"")</f>
        <v/>
      </c>
    </row>
    <row r="655" spans="2:4" s="230" customFormat="1">
      <c r="B655" s="15" t="str">
        <f t="shared" si="42"/>
        <v/>
      </c>
      <c r="C655" s="16" t="str">
        <f>IFERROR(VLOOKUP(DATA!#REF!,DATA!#REF!,1,FALSE),"")</f>
        <v/>
      </c>
      <c r="D655" s="16" t="str">
        <f>IFERROR(VLOOKUP(C655,DATA!#REF!,2,FALSE),"")</f>
        <v/>
      </c>
    </row>
    <row r="656" spans="2:4" s="230" customFormat="1">
      <c r="B656" s="15" t="str">
        <f t="shared" si="42"/>
        <v/>
      </c>
      <c r="C656" s="16" t="str">
        <f>IFERROR(VLOOKUP(DATA!#REF!,DATA!#REF!,1,FALSE),"")</f>
        <v/>
      </c>
      <c r="D656" s="16" t="str">
        <f>IFERROR(VLOOKUP(C656,DATA!#REF!,2,FALSE),"")</f>
        <v/>
      </c>
    </row>
    <row r="657" spans="2:4" s="230" customFormat="1">
      <c r="B657" s="15" t="str">
        <f t="shared" si="42"/>
        <v/>
      </c>
      <c r="C657" s="16" t="str">
        <f>IFERROR(VLOOKUP(DATA!#REF!,DATA!#REF!,1,FALSE),"")</f>
        <v/>
      </c>
      <c r="D657" s="16" t="str">
        <f>IFERROR(VLOOKUP(C657,DATA!#REF!,2,FALSE),"")</f>
        <v/>
      </c>
    </row>
    <row r="658" spans="2:4" s="230" customFormat="1">
      <c r="B658" s="15" t="str">
        <f t="shared" si="42"/>
        <v/>
      </c>
      <c r="C658" s="16" t="str">
        <f>IFERROR(VLOOKUP(DATA!#REF!,DATA!#REF!,1,FALSE),"")</f>
        <v/>
      </c>
      <c r="D658" s="16" t="str">
        <f>IFERROR(VLOOKUP(C658,DATA!#REF!,2,FALSE),"")</f>
        <v/>
      </c>
    </row>
    <row r="659" spans="2:4" s="230" customFormat="1">
      <c r="B659" s="15" t="str">
        <f t="shared" si="42"/>
        <v/>
      </c>
      <c r="C659" s="16" t="str">
        <f>IFERROR(VLOOKUP(DATA!#REF!,DATA!#REF!,1,FALSE),"")</f>
        <v/>
      </c>
      <c r="D659" s="16" t="str">
        <f>IFERROR(VLOOKUP(C659,DATA!#REF!,2,FALSE),"")</f>
        <v/>
      </c>
    </row>
    <row r="660" spans="2:4" s="230" customFormat="1">
      <c r="B660" s="15" t="str">
        <f t="shared" si="42"/>
        <v/>
      </c>
      <c r="C660" s="16" t="str">
        <f>IFERROR(VLOOKUP(DATA!#REF!,DATA!#REF!,1,FALSE),"")</f>
        <v/>
      </c>
      <c r="D660" s="16" t="str">
        <f>IFERROR(VLOOKUP(C660,DATA!#REF!,2,FALSE),"")</f>
        <v/>
      </c>
    </row>
    <row r="661" spans="2:4" s="230" customFormat="1">
      <c r="B661" s="15" t="str">
        <f t="shared" si="42"/>
        <v/>
      </c>
      <c r="C661" s="16" t="str">
        <f>IFERROR(VLOOKUP(DATA!#REF!,DATA!#REF!,1,FALSE),"")</f>
        <v/>
      </c>
      <c r="D661" s="16" t="str">
        <f>IFERROR(VLOOKUP(C661,DATA!#REF!,2,FALSE),"")</f>
        <v/>
      </c>
    </row>
    <row r="662" spans="2:4" s="230" customFormat="1">
      <c r="B662" s="15" t="str">
        <f t="shared" si="42"/>
        <v/>
      </c>
      <c r="C662" s="16" t="str">
        <f>IFERROR(VLOOKUP(DATA!#REF!,DATA!#REF!,1,FALSE),"")</f>
        <v/>
      </c>
      <c r="D662" s="16" t="str">
        <f>IFERROR(VLOOKUP(C662,DATA!#REF!,2,FALSE),"")</f>
        <v/>
      </c>
    </row>
    <row r="663" spans="2:4" s="230" customFormat="1">
      <c r="B663" s="15" t="str">
        <f t="shared" si="42"/>
        <v/>
      </c>
      <c r="C663" s="16" t="str">
        <f>IFERROR(VLOOKUP(DATA!#REF!,DATA!#REF!,1,FALSE),"")</f>
        <v/>
      </c>
      <c r="D663" s="16" t="str">
        <f>IFERROR(VLOOKUP(C663,DATA!#REF!,2,FALSE),"")</f>
        <v/>
      </c>
    </row>
    <row r="664" spans="2:4" s="230" customFormat="1">
      <c r="B664" s="15" t="str">
        <f t="shared" si="42"/>
        <v/>
      </c>
      <c r="C664" s="16" t="str">
        <f>IFERROR(VLOOKUP(DATA!#REF!,DATA!#REF!,1,FALSE),"")</f>
        <v/>
      </c>
      <c r="D664" s="16" t="str">
        <f>IFERROR(VLOOKUP(C664,DATA!#REF!,2,FALSE),"")</f>
        <v/>
      </c>
    </row>
    <row r="665" spans="2:4" s="230" customFormat="1">
      <c r="B665" s="15" t="str">
        <f t="shared" si="42"/>
        <v/>
      </c>
      <c r="C665" s="16" t="str">
        <f>IFERROR(VLOOKUP(DATA!#REF!,DATA!#REF!,1,FALSE),"")</f>
        <v/>
      </c>
      <c r="D665" s="16" t="str">
        <f>IFERROR(VLOOKUP(C665,DATA!#REF!,2,FALSE),"")</f>
        <v/>
      </c>
    </row>
    <row r="666" spans="2:4" s="230" customFormat="1">
      <c r="B666" s="15" t="str">
        <f t="shared" si="42"/>
        <v/>
      </c>
      <c r="C666" s="16" t="str">
        <f>IFERROR(VLOOKUP(DATA!#REF!,DATA!#REF!,1,FALSE),"")</f>
        <v/>
      </c>
      <c r="D666" s="16" t="str">
        <f>IFERROR(VLOOKUP(C666,DATA!#REF!,2,FALSE),"")</f>
        <v/>
      </c>
    </row>
    <row r="667" spans="2:4" s="230" customFormat="1">
      <c r="B667" s="15" t="str">
        <f t="shared" si="42"/>
        <v/>
      </c>
      <c r="C667" s="16" t="str">
        <f>IFERROR(VLOOKUP(DATA!#REF!,DATA!#REF!,1,FALSE),"")</f>
        <v/>
      </c>
      <c r="D667" s="16" t="str">
        <f>IFERROR(VLOOKUP(C667,DATA!#REF!,2,FALSE),"")</f>
        <v/>
      </c>
    </row>
    <row r="668" spans="2:4" s="230" customFormat="1">
      <c r="B668" s="15" t="str">
        <f t="shared" si="42"/>
        <v/>
      </c>
      <c r="C668" s="16" t="str">
        <f>IFERROR(VLOOKUP(DATA!#REF!,DATA!#REF!,1,FALSE),"")</f>
        <v/>
      </c>
      <c r="D668" s="16" t="str">
        <f>IFERROR(VLOOKUP(C668,DATA!#REF!,2,FALSE),"")</f>
        <v/>
      </c>
    </row>
    <row r="669" spans="2:4" s="230" customFormat="1">
      <c r="B669" s="15" t="str">
        <f t="shared" si="42"/>
        <v/>
      </c>
      <c r="C669" s="16" t="str">
        <f>IFERROR(VLOOKUP(DATA!#REF!,DATA!#REF!,1,FALSE),"")</f>
        <v/>
      </c>
      <c r="D669" s="16" t="str">
        <f>IFERROR(VLOOKUP(C669,DATA!#REF!,2,FALSE),"")</f>
        <v/>
      </c>
    </row>
    <row r="670" spans="2:4" s="230" customFormat="1">
      <c r="B670" s="15" t="str">
        <f t="shared" si="42"/>
        <v/>
      </c>
      <c r="C670" s="16" t="str">
        <f>IFERROR(VLOOKUP(DATA!#REF!,DATA!#REF!,1,FALSE),"")</f>
        <v/>
      </c>
      <c r="D670" s="16" t="str">
        <f>IFERROR(VLOOKUP(C670,DATA!#REF!,2,FALSE),"")</f>
        <v/>
      </c>
    </row>
    <row r="671" spans="2:4" s="230" customFormat="1">
      <c r="B671" s="15" t="str">
        <f t="shared" si="42"/>
        <v/>
      </c>
      <c r="C671" s="16" t="str">
        <f>IFERROR(VLOOKUP(DATA!#REF!,DATA!#REF!,1,FALSE),"")</f>
        <v/>
      </c>
      <c r="D671" s="16" t="str">
        <f>IFERROR(VLOOKUP(C671,DATA!#REF!,2,FALSE),"")</f>
        <v/>
      </c>
    </row>
    <row r="672" spans="2:4" s="230" customFormat="1">
      <c r="B672" s="15" t="str">
        <f t="shared" si="42"/>
        <v/>
      </c>
      <c r="C672" s="16" t="str">
        <f>IFERROR(VLOOKUP(DATA!#REF!,DATA!#REF!,1,FALSE),"")</f>
        <v/>
      </c>
      <c r="D672" s="16" t="str">
        <f>IFERROR(VLOOKUP(C672,DATA!#REF!,2,FALSE),"")</f>
        <v/>
      </c>
    </row>
    <row r="673" spans="2:4" s="230" customFormat="1">
      <c r="B673" s="15" t="str">
        <f t="shared" si="42"/>
        <v/>
      </c>
      <c r="C673" s="16" t="str">
        <f>IFERROR(VLOOKUP(DATA!#REF!,DATA!#REF!,1,FALSE),"")</f>
        <v/>
      </c>
      <c r="D673" s="16" t="str">
        <f>IFERROR(VLOOKUP(C673,DATA!#REF!,2,FALSE),"")</f>
        <v/>
      </c>
    </row>
    <row r="674" spans="2:4" s="230" customFormat="1">
      <c r="B674" s="15" t="str">
        <f t="shared" si="42"/>
        <v/>
      </c>
      <c r="C674" s="16" t="str">
        <f>IFERROR(VLOOKUP(DATA!#REF!,DATA!#REF!,1,FALSE),"")</f>
        <v/>
      </c>
      <c r="D674" s="16" t="str">
        <f>IFERROR(VLOOKUP(C674,DATA!#REF!,2,FALSE),"")</f>
        <v/>
      </c>
    </row>
    <row r="675" spans="2:4" s="230" customFormat="1">
      <c r="B675" s="15" t="str">
        <f t="shared" si="42"/>
        <v/>
      </c>
      <c r="C675" s="16" t="str">
        <f>IFERROR(VLOOKUP(DATA!#REF!,DATA!#REF!,1,FALSE),"")</f>
        <v/>
      </c>
      <c r="D675" s="16" t="str">
        <f>IFERROR(VLOOKUP(C675,DATA!#REF!,2,FALSE),"")</f>
        <v/>
      </c>
    </row>
    <row r="676" spans="2:4" s="230" customFormat="1">
      <c r="B676" s="15" t="str">
        <f t="shared" si="42"/>
        <v/>
      </c>
      <c r="C676" s="16" t="str">
        <f>IFERROR(VLOOKUP(DATA!#REF!,DATA!#REF!,1,FALSE),"")</f>
        <v/>
      </c>
      <c r="D676" s="16" t="str">
        <f>IFERROR(VLOOKUP(C676,DATA!#REF!,2,FALSE),"")</f>
        <v/>
      </c>
    </row>
    <row r="677" spans="2:4" s="230" customFormat="1">
      <c r="B677" s="15" t="str">
        <f t="shared" si="42"/>
        <v/>
      </c>
      <c r="C677" s="16" t="str">
        <f>IFERROR(VLOOKUP(DATA!#REF!,DATA!#REF!,1,FALSE),"")</f>
        <v/>
      </c>
      <c r="D677" s="16" t="str">
        <f>IFERROR(VLOOKUP(C677,DATA!#REF!,2,FALSE),"")</f>
        <v/>
      </c>
    </row>
    <row r="678" spans="2:4" s="230" customFormat="1">
      <c r="B678" s="15" t="str">
        <f t="shared" si="42"/>
        <v/>
      </c>
      <c r="C678" s="16" t="str">
        <f>IFERROR(VLOOKUP(DATA!#REF!,DATA!#REF!,1,FALSE),"")</f>
        <v/>
      </c>
      <c r="D678" s="16" t="str">
        <f>IFERROR(VLOOKUP(C678,DATA!#REF!,2,FALSE),"")</f>
        <v/>
      </c>
    </row>
    <row r="679" spans="2:4" s="230" customFormat="1">
      <c r="B679" s="15" t="str">
        <f t="shared" si="42"/>
        <v/>
      </c>
      <c r="C679" s="16" t="str">
        <f>IFERROR(VLOOKUP(DATA!#REF!,DATA!#REF!,1,FALSE),"")</f>
        <v/>
      </c>
      <c r="D679" s="16" t="str">
        <f>IFERROR(VLOOKUP(C679,DATA!#REF!,2,FALSE),"")</f>
        <v/>
      </c>
    </row>
    <row r="680" spans="2:4" s="230" customFormat="1">
      <c r="B680" s="15" t="str">
        <f t="shared" si="42"/>
        <v/>
      </c>
      <c r="C680" s="16" t="str">
        <f>IFERROR(VLOOKUP(DATA!#REF!,DATA!#REF!,1,FALSE),"")</f>
        <v/>
      </c>
      <c r="D680" s="16" t="str">
        <f>IFERROR(VLOOKUP(C680,DATA!#REF!,2,FALSE),"")</f>
        <v/>
      </c>
    </row>
    <row r="681" spans="2:4" s="230" customFormat="1">
      <c r="B681" s="15" t="str">
        <f t="shared" si="42"/>
        <v/>
      </c>
      <c r="C681" s="16" t="str">
        <f>IFERROR(VLOOKUP(DATA!#REF!,DATA!#REF!,1,FALSE),"")</f>
        <v/>
      </c>
      <c r="D681" s="16" t="str">
        <f>IFERROR(VLOOKUP(C681,DATA!#REF!,2,FALSE),"")</f>
        <v/>
      </c>
    </row>
    <row r="682" spans="2:4" s="230" customFormat="1">
      <c r="B682" s="15" t="str">
        <f t="shared" si="42"/>
        <v/>
      </c>
      <c r="C682" s="16" t="str">
        <f>IFERROR(VLOOKUP(DATA!#REF!,DATA!#REF!,1,FALSE),"")</f>
        <v/>
      </c>
      <c r="D682" s="16" t="str">
        <f>IFERROR(VLOOKUP(C682,DATA!#REF!,2,FALSE),"")</f>
        <v/>
      </c>
    </row>
    <row r="683" spans="2:4" s="230" customFormat="1">
      <c r="B683" s="15" t="str">
        <f t="shared" si="42"/>
        <v/>
      </c>
      <c r="C683" s="16" t="str">
        <f>IFERROR(VLOOKUP(DATA!#REF!,DATA!#REF!,1,FALSE),"")</f>
        <v/>
      </c>
      <c r="D683" s="16" t="str">
        <f>IFERROR(VLOOKUP(C683,DATA!#REF!,2,FALSE),"")</f>
        <v/>
      </c>
    </row>
    <row r="684" spans="2:4" s="230" customFormat="1">
      <c r="B684" s="15" t="str">
        <f t="shared" si="42"/>
        <v/>
      </c>
      <c r="C684" s="16" t="str">
        <f>IFERROR(VLOOKUP(DATA!#REF!,DATA!#REF!,1,FALSE),"")</f>
        <v/>
      </c>
      <c r="D684" s="16" t="str">
        <f>IFERROR(VLOOKUP(C684,DATA!#REF!,2,FALSE),"")</f>
        <v/>
      </c>
    </row>
    <row r="685" spans="2:4" s="230" customFormat="1">
      <c r="B685" s="15" t="str">
        <f t="shared" si="42"/>
        <v/>
      </c>
      <c r="C685" s="16" t="str">
        <f>IFERROR(VLOOKUP(DATA!#REF!,DATA!#REF!,1,FALSE),"")</f>
        <v/>
      </c>
      <c r="D685" s="16" t="str">
        <f>IFERROR(VLOOKUP(C685,DATA!#REF!,2,FALSE),"")</f>
        <v/>
      </c>
    </row>
    <row r="686" spans="2:4" s="230" customFormat="1">
      <c r="B686" s="15" t="str">
        <f t="shared" si="42"/>
        <v/>
      </c>
      <c r="C686" s="16" t="str">
        <f>IFERROR(VLOOKUP(DATA!#REF!,DATA!#REF!,1,FALSE),"")</f>
        <v/>
      </c>
      <c r="D686" s="16" t="str">
        <f>IFERROR(VLOOKUP(C686,DATA!#REF!,2,FALSE),"")</f>
        <v/>
      </c>
    </row>
    <row r="687" spans="2:4" s="230" customFormat="1">
      <c r="B687" s="15" t="str">
        <f t="shared" si="42"/>
        <v/>
      </c>
      <c r="C687" s="16" t="str">
        <f>IFERROR(VLOOKUP(DATA!#REF!,DATA!#REF!,1,FALSE),"")</f>
        <v/>
      </c>
      <c r="D687" s="16" t="str">
        <f>IFERROR(VLOOKUP(C687,DATA!#REF!,2,FALSE),"")</f>
        <v/>
      </c>
    </row>
    <row r="688" spans="2:4" s="230" customFormat="1">
      <c r="B688" s="15" t="str">
        <f t="shared" si="42"/>
        <v/>
      </c>
      <c r="C688" s="16" t="str">
        <f>IFERROR(VLOOKUP(DATA!#REF!,DATA!#REF!,1,FALSE),"")</f>
        <v/>
      </c>
      <c r="D688" s="16" t="str">
        <f>IFERROR(VLOOKUP(C688,DATA!#REF!,2,FALSE),"")</f>
        <v/>
      </c>
    </row>
    <row r="689" spans="2:4" s="230" customFormat="1">
      <c r="B689" s="15" t="str">
        <f t="shared" si="42"/>
        <v/>
      </c>
      <c r="C689" s="16" t="str">
        <f>IFERROR(VLOOKUP(DATA!#REF!,DATA!#REF!,1,FALSE),"")</f>
        <v/>
      </c>
      <c r="D689" s="16" t="str">
        <f>IFERROR(VLOOKUP(C689,DATA!#REF!,2,FALSE),"")</f>
        <v/>
      </c>
    </row>
    <row r="690" spans="2:4" s="230" customFormat="1">
      <c r="B690" s="15" t="str">
        <f t="shared" si="42"/>
        <v/>
      </c>
      <c r="C690" s="16" t="str">
        <f>IFERROR(VLOOKUP(DATA!#REF!,DATA!#REF!,1,FALSE),"")</f>
        <v/>
      </c>
      <c r="D690" s="16" t="str">
        <f>IFERROR(VLOOKUP(C690,DATA!#REF!,2,FALSE),"")</f>
        <v/>
      </c>
    </row>
    <row r="691" spans="2:4" s="230" customFormat="1">
      <c r="B691" s="15" t="str">
        <f t="shared" si="42"/>
        <v/>
      </c>
      <c r="C691" s="16" t="str">
        <f>IFERROR(VLOOKUP(DATA!#REF!,DATA!#REF!,1,FALSE),"")</f>
        <v/>
      </c>
      <c r="D691" s="16" t="str">
        <f>IFERROR(VLOOKUP(C691,DATA!#REF!,2,FALSE),"")</f>
        <v/>
      </c>
    </row>
    <row r="692" spans="2:4" s="230" customFormat="1">
      <c r="B692" s="15" t="str">
        <f t="shared" si="42"/>
        <v/>
      </c>
      <c r="C692" s="16" t="str">
        <f>IFERROR(VLOOKUP(DATA!#REF!,DATA!#REF!,1,FALSE),"")</f>
        <v/>
      </c>
      <c r="D692" s="16" t="str">
        <f>IFERROR(VLOOKUP(C692,DATA!#REF!,2,FALSE),"")</f>
        <v/>
      </c>
    </row>
    <row r="693" spans="2:4" s="230" customFormat="1">
      <c r="B693" s="15" t="str">
        <f t="shared" si="42"/>
        <v/>
      </c>
      <c r="C693" s="16" t="str">
        <f>IFERROR(VLOOKUP(DATA!#REF!,DATA!#REF!,1,FALSE),"")</f>
        <v/>
      </c>
      <c r="D693" s="16" t="str">
        <f>IFERROR(VLOOKUP(C693,DATA!#REF!,2,FALSE),"")</f>
        <v/>
      </c>
    </row>
    <row r="694" spans="2:4" s="230" customFormat="1">
      <c r="B694" s="15" t="str">
        <f t="shared" si="42"/>
        <v/>
      </c>
      <c r="C694" s="16" t="str">
        <f>IFERROR(VLOOKUP(DATA!#REF!,DATA!#REF!,1,FALSE),"")</f>
        <v/>
      </c>
      <c r="D694" s="16" t="str">
        <f>IFERROR(VLOOKUP(C694,DATA!#REF!,2,FALSE),"")</f>
        <v/>
      </c>
    </row>
    <row r="695" spans="2:4" s="230" customFormat="1">
      <c r="B695" s="15" t="str">
        <f t="shared" si="42"/>
        <v/>
      </c>
      <c r="C695" s="16" t="str">
        <f>IFERROR(VLOOKUP(DATA!#REF!,DATA!#REF!,1,FALSE),"")</f>
        <v/>
      </c>
      <c r="D695" s="16" t="str">
        <f>IFERROR(VLOOKUP(C695,DATA!#REF!,2,FALSE),"")</f>
        <v/>
      </c>
    </row>
    <row r="696" spans="2:4" s="230" customFormat="1">
      <c r="B696" s="15" t="str">
        <f t="shared" si="42"/>
        <v/>
      </c>
      <c r="C696" s="16" t="str">
        <f>IFERROR(VLOOKUP(DATA!#REF!,DATA!#REF!,1,FALSE),"")</f>
        <v/>
      </c>
      <c r="D696" s="16" t="str">
        <f>IFERROR(VLOOKUP(C696,DATA!#REF!,2,FALSE),"")</f>
        <v/>
      </c>
    </row>
    <row r="697" spans="2:4" s="230" customFormat="1">
      <c r="B697" s="15" t="str">
        <f t="shared" si="42"/>
        <v/>
      </c>
      <c r="C697" s="16" t="str">
        <f>IFERROR(VLOOKUP(DATA!#REF!,DATA!#REF!,1,FALSE),"")</f>
        <v/>
      </c>
      <c r="D697" s="16" t="str">
        <f>IFERROR(VLOOKUP(C697,DATA!#REF!,2,FALSE),"")</f>
        <v/>
      </c>
    </row>
    <row r="698" spans="2:4" s="230" customFormat="1">
      <c r="B698" s="15" t="str">
        <f t="shared" si="42"/>
        <v/>
      </c>
      <c r="C698" s="16" t="str">
        <f>IFERROR(VLOOKUP(DATA!#REF!,DATA!#REF!,1,FALSE),"")</f>
        <v/>
      </c>
      <c r="D698" s="16" t="str">
        <f>IFERROR(VLOOKUP(C698,DATA!#REF!,2,FALSE),"")</f>
        <v/>
      </c>
    </row>
    <row r="699" spans="2:4" s="230" customFormat="1">
      <c r="B699" s="15" t="str">
        <f t="shared" si="42"/>
        <v/>
      </c>
      <c r="C699" s="16" t="str">
        <f>IFERROR(VLOOKUP(DATA!#REF!,DATA!#REF!,1,FALSE),"")</f>
        <v/>
      </c>
      <c r="D699" s="16" t="str">
        <f>IFERROR(VLOOKUP(C699,DATA!#REF!,2,FALSE),"")</f>
        <v/>
      </c>
    </row>
    <row r="700" spans="2:4" s="230" customFormat="1">
      <c r="B700" s="15" t="str">
        <f t="shared" si="42"/>
        <v/>
      </c>
      <c r="C700" s="16" t="str">
        <f>IFERROR(VLOOKUP(DATA!#REF!,DATA!#REF!,1,FALSE),"")</f>
        <v/>
      </c>
      <c r="D700" s="16" t="str">
        <f>IFERROR(VLOOKUP(C700,DATA!#REF!,2,FALSE),"")</f>
        <v/>
      </c>
    </row>
    <row r="701" spans="2:4" s="230" customFormat="1">
      <c r="B701" s="15" t="str">
        <f t="shared" si="42"/>
        <v/>
      </c>
      <c r="C701" s="16" t="str">
        <f>IFERROR(VLOOKUP(DATA!#REF!,DATA!#REF!,1,FALSE),"")</f>
        <v/>
      </c>
      <c r="D701" s="16" t="str">
        <f>IFERROR(VLOOKUP(C701,DATA!#REF!,2,FALSE),"")</f>
        <v/>
      </c>
    </row>
    <row r="702" spans="2:4" s="230" customFormat="1">
      <c r="B702" s="15" t="str">
        <f t="shared" si="42"/>
        <v/>
      </c>
      <c r="C702" s="16" t="str">
        <f>IFERROR(VLOOKUP(DATA!#REF!,DATA!#REF!,1,FALSE),"")</f>
        <v/>
      </c>
      <c r="D702" s="16" t="str">
        <f>IFERROR(VLOOKUP(C702,DATA!#REF!,2,FALSE),"")</f>
        <v/>
      </c>
    </row>
    <row r="703" spans="2:4" s="230" customFormat="1">
      <c r="B703" s="15" t="str">
        <f t="shared" si="42"/>
        <v/>
      </c>
      <c r="C703" s="16" t="str">
        <f>IFERROR(VLOOKUP(DATA!#REF!,DATA!#REF!,1,FALSE),"")</f>
        <v/>
      </c>
      <c r="D703" s="16" t="str">
        <f>IFERROR(VLOOKUP(C703,DATA!#REF!,2,FALSE),"")</f>
        <v/>
      </c>
    </row>
    <row r="704" spans="2:4" s="230" customFormat="1">
      <c r="B704" s="15" t="str">
        <f t="shared" si="42"/>
        <v/>
      </c>
      <c r="C704" s="16" t="str">
        <f>IFERROR(VLOOKUP(DATA!#REF!,DATA!#REF!,1,FALSE),"")</f>
        <v/>
      </c>
      <c r="D704" s="16" t="str">
        <f>IFERROR(VLOOKUP(C704,DATA!#REF!,2,FALSE),"")</f>
        <v/>
      </c>
    </row>
    <row r="705" spans="2:4" s="230" customFormat="1">
      <c r="B705" s="15" t="str">
        <f t="shared" si="42"/>
        <v/>
      </c>
      <c r="C705" s="16" t="str">
        <f>IFERROR(VLOOKUP(DATA!#REF!,DATA!#REF!,1,FALSE),"")</f>
        <v/>
      </c>
      <c r="D705" s="16" t="str">
        <f>IFERROR(VLOOKUP(C705,DATA!#REF!,2,FALSE),"")</f>
        <v/>
      </c>
    </row>
    <row r="706" spans="2:4" s="230" customFormat="1">
      <c r="B706" s="15" t="str">
        <f t="shared" si="42"/>
        <v/>
      </c>
      <c r="C706" s="16" t="str">
        <f>IFERROR(VLOOKUP(DATA!#REF!,DATA!#REF!,1,FALSE),"")</f>
        <v/>
      </c>
      <c r="D706" s="16" t="str">
        <f>IFERROR(VLOOKUP(C706,DATA!#REF!,2,FALSE),"")</f>
        <v/>
      </c>
    </row>
    <row r="707" spans="2:4" s="230" customFormat="1">
      <c r="B707" s="15" t="str">
        <f t="shared" si="42"/>
        <v/>
      </c>
      <c r="C707" s="16" t="str">
        <f>IFERROR(VLOOKUP(DATA!#REF!,DATA!#REF!,1,FALSE),"")</f>
        <v/>
      </c>
      <c r="D707" s="16" t="str">
        <f>IFERROR(VLOOKUP(C707,DATA!#REF!,2,FALSE),"")</f>
        <v/>
      </c>
    </row>
    <row r="708" spans="2:4" s="230" customFormat="1">
      <c r="B708" s="15" t="str">
        <f t="shared" si="42"/>
        <v/>
      </c>
      <c r="C708" s="16" t="str">
        <f>IFERROR(VLOOKUP(DATA!#REF!,DATA!#REF!,1,FALSE),"")</f>
        <v/>
      </c>
      <c r="D708" s="16" t="str">
        <f>IFERROR(VLOOKUP(C708,DATA!#REF!,2,FALSE),"")</f>
        <v/>
      </c>
    </row>
    <row r="709" spans="2:4" s="230" customFormat="1">
      <c r="B709" s="15" t="str">
        <f t="shared" si="42"/>
        <v/>
      </c>
      <c r="C709" s="16" t="str">
        <f>IFERROR(VLOOKUP(DATA!#REF!,DATA!#REF!,1,FALSE),"")</f>
        <v/>
      </c>
      <c r="D709" s="16" t="str">
        <f>IFERROR(VLOOKUP(C709,DATA!#REF!,2,FALSE),"")</f>
        <v/>
      </c>
    </row>
    <row r="710" spans="2:4" s="230" customFormat="1">
      <c r="B710" s="15" t="str">
        <f t="shared" ref="B710:B773" si="43">+IF(C710="","",ROW()-5)</f>
        <v/>
      </c>
      <c r="C710" s="16" t="str">
        <f>IFERROR(VLOOKUP(DATA!#REF!,DATA!#REF!,1,FALSE),"")</f>
        <v/>
      </c>
      <c r="D710" s="16" t="str">
        <f>IFERROR(VLOOKUP(C710,DATA!#REF!,2,FALSE),"")</f>
        <v/>
      </c>
    </row>
    <row r="711" spans="2:4" s="230" customFormat="1">
      <c r="B711" s="15" t="str">
        <f t="shared" si="43"/>
        <v/>
      </c>
      <c r="C711" s="16" t="str">
        <f>IFERROR(VLOOKUP(DATA!#REF!,DATA!#REF!,1,FALSE),"")</f>
        <v/>
      </c>
      <c r="D711" s="16" t="str">
        <f>IFERROR(VLOOKUP(C711,DATA!#REF!,2,FALSE),"")</f>
        <v/>
      </c>
    </row>
    <row r="712" spans="2:4" s="230" customFormat="1">
      <c r="B712" s="15" t="str">
        <f t="shared" si="43"/>
        <v/>
      </c>
      <c r="C712" s="16" t="str">
        <f>IFERROR(VLOOKUP(DATA!#REF!,DATA!#REF!,1,FALSE),"")</f>
        <v/>
      </c>
      <c r="D712" s="16" t="str">
        <f>IFERROR(VLOOKUP(C712,DATA!#REF!,2,FALSE),"")</f>
        <v/>
      </c>
    </row>
    <row r="713" spans="2:4" s="230" customFormat="1">
      <c r="B713" s="15" t="str">
        <f t="shared" si="43"/>
        <v/>
      </c>
      <c r="C713" s="16" t="str">
        <f>IFERROR(VLOOKUP(DATA!#REF!,DATA!#REF!,1,FALSE),"")</f>
        <v/>
      </c>
      <c r="D713" s="16" t="str">
        <f>IFERROR(VLOOKUP(C713,DATA!#REF!,2,FALSE),"")</f>
        <v/>
      </c>
    </row>
    <row r="714" spans="2:4" s="230" customFormat="1">
      <c r="B714" s="15" t="str">
        <f t="shared" si="43"/>
        <v/>
      </c>
      <c r="C714" s="16" t="str">
        <f>IFERROR(VLOOKUP(DATA!#REF!,DATA!#REF!,1,FALSE),"")</f>
        <v/>
      </c>
      <c r="D714" s="16" t="str">
        <f>IFERROR(VLOOKUP(C714,DATA!#REF!,2,FALSE),"")</f>
        <v/>
      </c>
    </row>
    <row r="715" spans="2:4" s="230" customFormat="1">
      <c r="B715" s="15" t="str">
        <f t="shared" si="43"/>
        <v/>
      </c>
      <c r="C715" s="16" t="str">
        <f>IFERROR(VLOOKUP(DATA!#REF!,DATA!#REF!,1,FALSE),"")</f>
        <v/>
      </c>
      <c r="D715" s="16" t="str">
        <f>IFERROR(VLOOKUP(C715,DATA!#REF!,2,FALSE),"")</f>
        <v/>
      </c>
    </row>
    <row r="716" spans="2:4" s="230" customFormat="1">
      <c r="B716" s="15" t="str">
        <f t="shared" si="43"/>
        <v/>
      </c>
      <c r="C716" s="16" t="str">
        <f>IFERROR(VLOOKUP(DATA!#REF!,DATA!#REF!,1,FALSE),"")</f>
        <v/>
      </c>
      <c r="D716" s="16" t="str">
        <f>IFERROR(VLOOKUP(C716,DATA!#REF!,2,FALSE),"")</f>
        <v/>
      </c>
    </row>
    <row r="717" spans="2:4" s="230" customFormat="1">
      <c r="B717" s="15" t="str">
        <f t="shared" si="43"/>
        <v/>
      </c>
      <c r="C717" s="16" t="str">
        <f>IFERROR(VLOOKUP(DATA!#REF!,DATA!#REF!,1,FALSE),"")</f>
        <v/>
      </c>
      <c r="D717" s="16" t="str">
        <f>IFERROR(VLOOKUP(C717,DATA!#REF!,2,FALSE),"")</f>
        <v/>
      </c>
    </row>
    <row r="718" spans="2:4" s="230" customFormat="1">
      <c r="B718" s="15" t="str">
        <f t="shared" si="43"/>
        <v/>
      </c>
      <c r="C718" s="16" t="str">
        <f>IFERROR(VLOOKUP(DATA!#REF!,DATA!#REF!,1,FALSE),"")</f>
        <v/>
      </c>
      <c r="D718" s="16" t="str">
        <f>IFERROR(VLOOKUP(C718,DATA!#REF!,2,FALSE),"")</f>
        <v/>
      </c>
    </row>
    <row r="719" spans="2:4" s="230" customFormat="1">
      <c r="B719" s="15" t="str">
        <f t="shared" si="43"/>
        <v/>
      </c>
      <c r="C719" s="16" t="str">
        <f>IFERROR(VLOOKUP(DATA!#REF!,DATA!#REF!,1,FALSE),"")</f>
        <v/>
      </c>
      <c r="D719" s="16" t="str">
        <f>IFERROR(VLOOKUP(C719,DATA!#REF!,2,FALSE),"")</f>
        <v/>
      </c>
    </row>
    <row r="720" spans="2:4" s="230" customFormat="1">
      <c r="B720" s="15" t="str">
        <f t="shared" si="43"/>
        <v/>
      </c>
      <c r="C720" s="16" t="str">
        <f>IFERROR(VLOOKUP(DATA!#REF!,DATA!#REF!,1,FALSE),"")</f>
        <v/>
      </c>
      <c r="D720" s="16" t="str">
        <f>IFERROR(VLOOKUP(C720,DATA!#REF!,2,FALSE),"")</f>
        <v/>
      </c>
    </row>
    <row r="721" spans="2:4" s="230" customFormat="1">
      <c r="B721" s="15" t="str">
        <f t="shared" si="43"/>
        <v/>
      </c>
      <c r="C721" s="16" t="str">
        <f>IFERROR(VLOOKUP(DATA!#REF!,DATA!#REF!,1,FALSE),"")</f>
        <v/>
      </c>
      <c r="D721" s="16" t="str">
        <f>IFERROR(VLOOKUP(C721,DATA!#REF!,2,FALSE),"")</f>
        <v/>
      </c>
    </row>
    <row r="722" spans="2:4" s="230" customFormat="1">
      <c r="B722" s="15" t="str">
        <f t="shared" si="43"/>
        <v/>
      </c>
      <c r="C722" s="16" t="str">
        <f>IFERROR(VLOOKUP(DATA!#REF!,DATA!#REF!,1,FALSE),"")</f>
        <v/>
      </c>
      <c r="D722" s="16" t="str">
        <f>IFERROR(VLOOKUP(C722,DATA!#REF!,2,FALSE),"")</f>
        <v/>
      </c>
    </row>
    <row r="723" spans="2:4" s="230" customFormat="1">
      <c r="B723" s="15" t="str">
        <f t="shared" si="43"/>
        <v/>
      </c>
      <c r="C723" s="16" t="str">
        <f>IFERROR(VLOOKUP(DATA!#REF!,DATA!#REF!,1,FALSE),"")</f>
        <v/>
      </c>
      <c r="D723" s="16" t="str">
        <f>IFERROR(VLOOKUP(C723,DATA!#REF!,2,FALSE),"")</f>
        <v/>
      </c>
    </row>
    <row r="724" spans="2:4" s="230" customFormat="1">
      <c r="B724" s="15" t="str">
        <f t="shared" si="43"/>
        <v/>
      </c>
      <c r="C724" s="16" t="str">
        <f>IFERROR(VLOOKUP(DATA!#REF!,DATA!#REF!,1,FALSE),"")</f>
        <v/>
      </c>
      <c r="D724" s="16" t="str">
        <f>IFERROR(VLOOKUP(C724,DATA!#REF!,2,FALSE),"")</f>
        <v/>
      </c>
    </row>
    <row r="725" spans="2:4" s="230" customFormat="1">
      <c r="B725" s="15" t="str">
        <f t="shared" si="43"/>
        <v/>
      </c>
      <c r="C725" s="16" t="str">
        <f>IFERROR(VLOOKUP(DATA!#REF!,DATA!#REF!,1,FALSE),"")</f>
        <v/>
      </c>
      <c r="D725" s="16" t="str">
        <f>IFERROR(VLOOKUP(C725,DATA!#REF!,2,FALSE),"")</f>
        <v/>
      </c>
    </row>
    <row r="726" spans="2:4" s="230" customFormat="1">
      <c r="B726" s="15" t="str">
        <f t="shared" si="43"/>
        <v/>
      </c>
      <c r="C726" s="16" t="str">
        <f>IFERROR(VLOOKUP(DATA!#REF!,DATA!#REF!,1,FALSE),"")</f>
        <v/>
      </c>
      <c r="D726" s="16" t="str">
        <f>IFERROR(VLOOKUP(C726,DATA!#REF!,2,FALSE),"")</f>
        <v/>
      </c>
    </row>
    <row r="727" spans="2:4" s="230" customFormat="1">
      <c r="B727" s="15" t="str">
        <f t="shared" si="43"/>
        <v/>
      </c>
      <c r="C727" s="16" t="str">
        <f>IFERROR(VLOOKUP(DATA!#REF!,DATA!#REF!,1,FALSE),"")</f>
        <v/>
      </c>
      <c r="D727" s="16" t="str">
        <f>IFERROR(VLOOKUP(C727,DATA!#REF!,2,FALSE),"")</f>
        <v/>
      </c>
    </row>
    <row r="728" spans="2:4" s="230" customFormat="1">
      <c r="B728" s="15" t="str">
        <f t="shared" si="43"/>
        <v/>
      </c>
      <c r="C728" s="16" t="str">
        <f>IFERROR(VLOOKUP(DATA!#REF!,DATA!#REF!,1,FALSE),"")</f>
        <v/>
      </c>
      <c r="D728" s="16" t="str">
        <f>IFERROR(VLOOKUP(C728,DATA!#REF!,2,FALSE),"")</f>
        <v/>
      </c>
    </row>
    <row r="729" spans="2:4" s="230" customFormat="1">
      <c r="B729" s="15" t="str">
        <f t="shared" si="43"/>
        <v/>
      </c>
      <c r="C729" s="16" t="str">
        <f>IFERROR(VLOOKUP(DATA!#REF!,DATA!#REF!,1,FALSE),"")</f>
        <v/>
      </c>
      <c r="D729" s="16" t="str">
        <f>IFERROR(VLOOKUP(C729,DATA!#REF!,2,FALSE),"")</f>
        <v/>
      </c>
    </row>
    <row r="730" spans="2:4" s="230" customFormat="1">
      <c r="B730" s="15" t="str">
        <f t="shared" si="43"/>
        <v/>
      </c>
      <c r="C730" s="16" t="str">
        <f>IFERROR(VLOOKUP(DATA!#REF!,DATA!#REF!,1,FALSE),"")</f>
        <v/>
      </c>
      <c r="D730" s="16" t="str">
        <f>IFERROR(VLOOKUP(C730,DATA!#REF!,2,FALSE),"")</f>
        <v/>
      </c>
    </row>
    <row r="731" spans="2:4" s="230" customFormat="1">
      <c r="B731" s="15" t="str">
        <f t="shared" si="43"/>
        <v/>
      </c>
      <c r="C731" s="16" t="str">
        <f>IFERROR(VLOOKUP(DATA!#REF!,DATA!#REF!,1,FALSE),"")</f>
        <v/>
      </c>
      <c r="D731" s="16" t="str">
        <f>IFERROR(VLOOKUP(C731,DATA!#REF!,2,FALSE),"")</f>
        <v/>
      </c>
    </row>
    <row r="732" spans="2:4" s="230" customFormat="1">
      <c r="B732" s="15" t="str">
        <f t="shared" si="43"/>
        <v/>
      </c>
      <c r="C732" s="16" t="str">
        <f>IFERROR(VLOOKUP(DATA!#REF!,DATA!#REF!,1,FALSE),"")</f>
        <v/>
      </c>
      <c r="D732" s="16" t="str">
        <f>IFERROR(VLOOKUP(C732,DATA!#REF!,2,FALSE),"")</f>
        <v/>
      </c>
    </row>
    <row r="733" spans="2:4" s="230" customFormat="1">
      <c r="B733" s="15" t="str">
        <f t="shared" si="43"/>
        <v/>
      </c>
      <c r="C733" s="16" t="str">
        <f>IFERROR(VLOOKUP(DATA!#REF!,DATA!#REF!,1,FALSE),"")</f>
        <v/>
      </c>
      <c r="D733" s="16" t="str">
        <f>IFERROR(VLOOKUP(C733,DATA!#REF!,2,FALSE),"")</f>
        <v/>
      </c>
    </row>
    <row r="734" spans="2:4" s="230" customFormat="1">
      <c r="B734" s="15" t="str">
        <f t="shared" si="43"/>
        <v/>
      </c>
      <c r="C734" s="16" t="str">
        <f>IFERROR(VLOOKUP(DATA!#REF!,DATA!#REF!,1,FALSE),"")</f>
        <v/>
      </c>
      <c r="D734" s="16" t="str">
        <f>IFERROR(VLOOKUP(C734,DATA!#REF!,2,FALSE),"")</f>
        <v/>
      </c>
    </row>
    <row r="735" spans="2:4" s="230" customFormat="1">
      <c r="B735" s="15" t="str">
        <f t="shared" si="43"/>
        <v/>
      </c>
      <c r="C735" s="16" t="str">
        <f>IFERROR(VLOOKUP(DATA!#REF!,DATA!#REF!,1,FALSE),"")</f>
        <v/>
      </c>
      <c r="D735" s="16" t="str">
        <f>IFERROR(VLOOKUP(C735,DATA!#REF!,2,FALSE),"")</f>
        <v/>
      </c>
    </row>
    <row r="736" spans="2:4" s="230" customFormat="1">
      <c r="B736" s="15" t="str">
        <f t="shared" si="43"/>
        <v/>
      </c>
      <c r="C736" s="16" t="str">
        <f>IFERROR(VLOOKUP(DATA!#REF!,DATA!#REF!,1,FALSE),"")</f>
        <v/>
      </c>
      <c r="D736" s="16" t="str">
        <f>IFERROR(VLOOKUP(C736,DATA!#REF!,2,FALSE),"")</f>
        <v/>
      </c>
    </row>
    <row r="737" spans="2:4" s="230" customFormat="1">
      <c r="B737" s="15" t="str">
        <f t="shared" si="43"/>
        <v/>
      </c>
      <c r="C737" s="16" t="str">
        <f>IFERROR(VLOOKUP(DATA!#REF!,DATA!#REF!,1,FALSE),"")</f>
        <v/>
      </c>
      <c r="D737" s="16" t="str">
        <f>IFERROR(VLOOKUP(C737,DATA!#REF!,2,FALSE),"")</f>
        <v/>
      </c>
    </row>
    <row r="738" spans="2:4" s="230" customFormat="1">
      <c r="B738" s="15" t="str">
        <f t="shared" si="43"/>
        <v/>
      </c>
      <c r="C738" s="16" t="str">
        <f>IFERROR(VLOOKUP(DATA!#REF!,DATA!#REF!,1,FALSE),"")</f>
        <v/>
      </c>
      <c r="D738" s="16" t="str">
        <f>IFERROR(VLOOKUP(C738,DATA!#REF!,2,FALSE),"")</f>
        <v/>
      </c>
    </row>
    <row r="739" spans="2:4" s="230" customFormat="1">
      <c r="B739" s="15" t="str">
        <f t="shared" si="43"/>
        <v/>
      </c>
      <c r="C739" s="16" t="str">
        <f>IFERROR(VLOOKUP(DATA!#REF!,DATA!#REF!,1,FALSE),"")</f>
        <v/>
      </c>
      <c r="D739" s="16" t="str">
        <f>IFERROR(VLOOKUP(C739,DATA!#REF!,2,FALSE),"")</f>
        <v/>
      </c>
    </row>
    <row r="740" spans="2:4" s="230" customFormat="1">
      <c r="B740" s="15" t="str">
        <f t="shared" si="43"/>
        <v/>
      </c>
      <c r="C740" s="16" t="str">
        <f>IFERROR(VLOOKUP(DATA!#REF!,DATA!#REF!,1,FALSE),"")</f>
        <v/>
      </c>
      <c r="D740" s="16" t="str">
        <f>IFERROR(VLOOKUP(C740,DATA!#REF!,2,FALSE),"")</f>
        <v/>
      </c>
    </row>
    <row r="741" spans="2:4" s="230" customFormat="1">
      <c r="B741" s="15" t="str">
        <f t="shared" si="43"/>
        <v/>
      </c>
      <c r="C741" s="16" t="str">
        <f>IFERROR(VLOOKUP(DATA!#REF!,DATA!#REF!,1,FALSE),"")</f>
        <v/>
      </c>
      <c r="D741" s="16" t="str">
        <f>IFERROR(VLOOKUP(C741,DATA!#REF!,2,FALSE),"")</f>
        <v/>
      </c>
    </row>
    <row r="742" spans="2:4" s="230" customFormat="1">
      <c r="B742" s="15" t="str">
        <f t="shared" si="43"/>
        <v/>
      </c>
      <c r="C742" s="16" t="str">
        <f>IFERROR(VLOOKUP(DATA!#REF!,DATA!#REF!,1,FALSE),"")</f>
        <v/>
      </c>
      <c r="D742" s="16" t="str">
        <f>IFERROR(VLOOKUP(C742,DATA!#REF!,2,FALSE),"")</f>
        <v/>
      </c>
    </row>
    <row r="743" spans="2:4" s="230" customFormat="1">
      <c r="B743" s="15" t="str">
        <f t="shared" si="43"/>
        <v/>
      </c>
      <c r="C743" s="16" t="str">
        <f>IFERROR(VLOOKUP(DATA!#REF!,DATA!#REF!,1,FALSE),"")</f>
        <v/>
      </c>
      <c r="D743" s="16" t="str">
        <f>IFERROR(VLOOKUP(C743,DATA!#REF!,2,FALSE),"")</f>
        <v/>
      </c>
    </row>
    <row r="744" spans="2:4" s="230" customFormat="1">
      <c r="B744" s="15" t="str">
        <f t="shared" si="43"/>
        <v/>
      </c>
      <c r="C744" s="16" t="str">
        <f>IFERROR(VLOOKUP(DATA!#REF!,DATA!#REF!,1,FALSE),"")</f>
        <v/>
      </c>
      <c r="D744" s="16" t="str">
        <f>IFERROR(VLOOKUP(C744,DATA!#REF!,2,FALSE),"")</f>
        <v/>
      </c>
    </row>
    <row r="745" spans="2:4" s="230" customFormat="1">
      <c r="B745" s="15" t="str">
        <f t="shared" si="43"/>
        <v/>
      </c>
      <c r="C745" s="16" t="str">
        <f>IFERROR(VLOOKUP(DATA!#REF!,DATA!#REF!,1,FALSE),"")</f>
        <v/>
      </c>
      <c r="D745" s="16" t="str">
        <f>IFERROR(VLOOKUP(C745,DATA!#REF!,2,FALSE),"")</f>
        <v/>
      </c>
    </row>
    <row r="746" spans="2:4" s="230" customFormat="1">
      <c r="B746" s="15" t="str">
        <f t="shared" si="43"/>
        <v/>
      </c>
      <c r="C746" s="16" t="str">
        <f>IFERROR(VLOOKUP(DATA!#REF!,DATA!#REF!,1,FALSE),"")</f>
        <v/>
      </c>
      <c r="D746" s="16" t="str">
        <f>IFERROR(VLOOKUP(C746,DATA!#REF!,2,FALSE),"")</f>
        <v/>
      </c>
    </row>
    <row r="747" spans="2:4" s="230" customFormat="1">
      <c r="B747" s="15" t="str">
        <f t="shared" si="43"/>
        <v/>
      </c>
      <c r="C747" s="16" t="str">
        <f>IFERROR(VLOOKUP(DATA!#REF!,DATA!#REF!,1,FALSE),"")</f>
        <v/>
      </c>
      <c r="D747" s="16" t="str">
        <f>IFERROR(VLOOKUP(C747,DATA!#REF!,2,FALSE),"")</f>
        <v/>
      </c>
    </row>
    <row r="748" spans="2:4" s="230" customFormat="1">
      <c r="B748" s="15" t="str">
        <f t="shared" si="43"/>
        <v/>
      </c>
      <c r="C748" s="16" t="str">
        <f>IFERROR(VLOOKUP(DATA!#REF!,DATA!#REF!,1,FALSE),"")</f>
        <v/>
      </c>
      <c r="D748" s="16" t="str">
        <f>IFERROR(VLOOKUP(C748,DATA!#REF!,2,FALSE),"")</f>
        <v/>
      </c>
    </row>
    <row r="749" spans="2:4" s="230" customFormat="1">
      <c r="B749" s="15" t="str">
        <f t="shared" si="43"/>
        <v/>
      </c>
      <c r="C749" s="16" t="str">
        <f>IFERROR(VLOOKUP(DATA!#REF!,DATA!#REF!,1,FALSE),"")</f>
        <v/>
      </c>
      <c r="D749" s="16" t="str">
        <f>IFERROR(VLOOKUP(C749,DATA!#REF!,2,FALSE),"")</f>
        <v/>
      </c>
    </row>
    <row r="750" spans="2:4" s="230" customFormat="1">
      <c r="B750" s="15" t="str">
        <f t="shared" si="43"/>
        <v/>
      </c>
      <c r="C750" s="16" t="str">
        <f>IFERROR(VLOOKUP(DATA!#REF!,DATA!#REF!,1,FALSE),"")</f>
        <v/>
      </c>
      <c r="D750" s="16" t="str">
        <f>IFERROR(VLOOKUP(C750,DATA!#REF!,2,FALSE),"")</f>
        <v/>
      </c>
    </row>
    <row r="751" spans="2:4" s="230" customFormat="1">
      <c r="B751" s="15" t="str">
        <f t="shared" si="43"/>
        <v/>
      </c>
      <c r="C751" s="16" t="str">
        <f>IFERROR(VLOOKUP(DATA!#REF!,DATA!#REF!,1,FALSE),"")</f>
        <v/>
      </c>
      <c r="D751" s="16" t="str">
        <f>IFERROR(VLOOKUP(C751,DATA!#REF!,2,FALSE),"")</f>
        <v/>
      </c>
    </row>
    <row r="752" spans="2:4" s="230" customFormat="1">
      <c r="B752" s="15" t="str">
        <f t="shared" si="43"/>
        <v/>
      </c>
      <c r="C752" s="16" t="str">
        <f>IFERROR(VLOOKUP(DATA!#REF!,DATA!#REF!,1,FALSE),"")</f>
        <v/>
      </c>
      <c r="D752" s="16" t="str">
        <f>IFERROR(VLOOKUP(C752,DATA!#REF!,2,FALSE),"")</f>
        <v/>
      </c>
    </row>
    <row r="753" spans="2:4" s="230" customFormat="1">
      <c r="B753" s="15" t="str">
        <f t="shared" si="43"/>
        <v/>
      </c>
      <c r="C753" s="16" t="str">
        <f>IFERROR(VLOOKUP(DATA!#REF!,DATA!#REF!,1,FALSE),"")</f>
        <v/>
      </c>
      <c r="D753" s="16" t="str">
        <f>IFERROR(VLOOKUP(C753,DATA!#REF!,2,FALSE),"")</f>
        <v/>
      </c>
    </row>
    <row r="754" spans="2:4" s="230" customFormat="1">
      <c r="B754" s="15" t="str">
        <f t="shared" si="43"/>
        <v/>
      </c>
      <c r="C754" s="16" t="str">
        <f>IFERROR(VLOOKUP(DATA!#REF!,DATA!#REF!,1,FALSE),"")</f>
        <v/>
      </c>
      <c r="D754" s="16" t="str">
        <f>IFERROR(VLOOKUP(C754,DATA!#REF!,2,FALSE),"")</f>
        <v/>
      </c>
    </row>
    <row r="755" spans="2:4" s="230" customFormat="1">
      <c r="B755" s="15" t="str">
        <f t="shared" si="43"/>
        <v/>
      </c>
      <c r="C755" s="16" t="str">
        <f>IFERROR(VLOOKUP(DATA!#REF!,DATA!#REF!,1,FALSE),"")</f>
        <v/>
      </c>
      <c r="D755" s="16" t="str">
        <f>IFERROR(VLOOKUP(C755,DATA!#REF!,2,FALSE),"")</f>
        <v/>
      </c>
    </row>
    <row r="756" spans="2:4" s="230" customFormat="1">
      <c r="B756" s="15" t="str">
        <f t="shared" si="43"/>
        <v/>
      </c>
      <c r="C756" s="16" t="str">
        <f>IFERROR(VLOOKUP(DATA!#REF!,DATA!#REF!,1,FALSE),"")</f>
        <v/>
      </c>
      <c r="D756" s="16" t="str">
        <f>IFERROR(VLOOKUP(C756,DATA!#REF!,2,FALSE),"")</f>
        <v/>
      </c>
    </row>
    <row r="757" spans="2:4" s="230" customFormat="1">
      <c r="B757" s="15" t="str">
        <f t="shared" si="43"/>
        <v/>
      </c>
      <c r="C757" s="16" t="str">
        <f>IFERROR(VLOOKUP(DATA!#REF!,DATA!#REF!,1,FALSE),"")</f>
        <v/>
      </c>
      <c r="D757" s="16" t="str">
        <f>IFERROR(VLOOKUP(C757,DATA!#REF!,2,FALSE),"")</f>
        <v/>
      </c>
    </row>
    <row r="758" spans="2:4" s="230" customFormat="1">
      <c r="B758" s="15" t="str">
        <f t="shared" si="43"/>
        <v/>
      </c>
      <c r="C758" s="16" t="str">
        <f>IFERROR(VLOOKUP(DATA!#REF!,DATA!#REF!,1,FALSE),"")</f>
        <v/>
      </c>
      <c r="D758" s="16" t="str">
        <f>IFERROR(VLOOKUP(C758,DATA!#REF!,2,FALSE),"")</f>
        <v/>
      </c>
    </row>
    <row r="759" spans="2:4" s="230" customFormat="1">
      <c r="B759" s="15" t="str">
        <f t="shared" si="43"/>
        <v/>
      </c>
      <c r="C759" s="16" t="str">
        <f>IFERROR(VLOOKUP(DATA!#REF!,DATA!#REF!,1,FALSE),"")</f>
        <v/>
      </c>
      <c r="D759" s="16" t="str">
        <f>IFERROR(VLOOKUP(C759,DATA!#REF!,2,FALSE),"")</f>
        <v/>
      </c>
    </row>
    <row r="760" spans="2:4" s="230" customFormat="1">
      <c r="B760" s="15" t="str">
        <f t="shared" si="43"/>
        <v/>
      </c>
      <c r="C760" s="16" t="str">
        <f>IFERROR(VLOOKUP(DATA!#REF!,DATA!#REF!,1,FALSE),"")</f>
        <v/>
      </c>
      <c r="D760" s="16" t="str">
        <f>IFERROR(VLOOKUP(C760,DATA!#REF!,2,FALSE),"")</f>
        <v/>
      </c>
    </row>
    <row r="761" spans="2:4" s="230" customFormat="1">
      <c r="B761" s="15" t="str">
        <f t="shared" si="43"/>
        <v/>
      </c>
      <c r="C761" s="16" t="str">
        <f>IFERROR(VLOOKUP(DATA!#REF!,DATA!#REF!,1,FALSE),"")</f>
        <v/>
      </c>
      <c r="D761" s="16" t="str">
        <f>IFERROR(VLOOKUP(C761,DATA!#REF!,2,FALSE),"")</f>
        <v/>
      </c>
    </row>
    <row r="762" spans="2:4" s="230" customFormat="1">
      <c r="B762" s="15" t="str">
        <f t="shared" si="43"/>
        <v/>
      </c>
      <c r="C762" s="16" t="str">
        <f>IFERROR(VLOOKUP(DATA!#REF!,DATA!#REF!,1,FALSE),"")</f>
        <v/>
      </c>
      <c r="D762" s="16" t="str">
        <f>IFERROR(VLOOKUP(C762,DATA!#REF!,2,FALSE),"")</f>
        <v/>
      </c>
    </row>
    <row r="763" spans="2:4" s="230" customFormat="1">
      <c r="B763" s="15" t="str">
        <f t="shared" si="43"/>
        <v/>
      </c>
      <c r="C763" s="16" t="str">
        <f>IFERROR(VLOOKUP(DATA!#REF!,DATA!#REF!,1,FALSE),"")</f>
        <v/>
      </c>
      <c r="D763" s="16" t="str">
        <f>IFERROR(VLOOKUP(C763,DATA!#REF!,2,FALSE),"")</f>
        <v/>
      </c>
    </row>
    <row r="764" spans="2:4" s="230" customFormat="1">
      <c r="B764" s="15" t="str">
        <f t="shared" si="43"/>
        <v/>
      </c>
      <c r="C764" s="16" t="str">
        <f>IFERROR(VLOOKUP(DATA!#REF!,DATA!#REF!,1,FALSE),"")</f>
        <v/>
      </c>
      <c r="D764" s="16" t="str">
        <f>IFERROR(VLOOKUP(C764,DATA!#REF!,2,FALSE),"")</f>
        <v/>
      </c>
    </row>
    <row r="765" spans="2:4" s="230" customFormat="1">
      <c r="B765" s="15" t="str">
        <f t="shared" si="43"/>
        <v/>
      </c>
      <c r="C765" s="16" t="str">
        <f>IFERROR(VLOOKUP(DATA!#REF!,DATA!#REF!,1,FALSE),"")</f>
        <v/>
      </c>
      <c r="D765" s="16" t="str">
        <f>IFERROR(VLOOKUP(C765,DATA!#REF!,2,FALSE),"")</f>
        <v/>
      </c>
    </row>
    <row r="766" spans="2:4" s="230" customFormat="1">
      <c r="B766" s="15" t="str">
        <f t="shared" si="43"/>
        <v/>
      </c>
      <c r="C766" s="16" t="str">
        <f>IFERROR(VLOOKUP(DATA!#REF!,DATA!#REF!,1,FALSE),"")</f>
        <v/>
      </c>
      <c r="D766" s="16" t="str">
        <f>IFERROR(VLOOKUP(C766,DATA!#REF!,2,FALSE),"")</f>
        <v/>
      </c>
    </row>
    <row r="767" spans="2:4" s="230" customFormat="1">
      <c r="B767" s="15" t="str">
        <f t="shared" si="43"/>
        <v/>
      </c>
      <c r="C767" s="16" t="str">
        <f>IFERROR(VLOOKUP(DATA!#REF!,DATA!#REF!,1,FALSE),"")</f>
        <v/>
      </c>
      <c r="D767" s="16" t="str">
        <f>IFERROR(VLOOKUP(C767,DATA!#REF!,2,FALSE),"")</f>
        <v/>
      </c>
    </row>
    <row r="768" spans="2:4" s="230" customFormat="1">
      <c r="B768" s="15" t="str">
        <f t="shared" si="43"/>
        <v/>
      </c>
      <c r="C768" s="16" t="str">
        <f>IFERROR(VLOOKUP(DATA!#REF!,DATA!#REF!,1,FALSE),"")</f>
        <v/>
      </c>
      <c r="D768" s="16" t="str">
        <f>IFERROR(VLOOKUP(C768,DATA!#REF!,2,FALSE),"")</f>
        <v/>
      </c>
    </row>
    <row r="769" spans="2:4" s="230" customFormat="1">
      <c r="B769" s="15" t="str">
        <f t="shared" si="43"/>
        <v/>
      </c>
      <c r="C769" s="16" t="str">
        <f>IFERROR(VLOOKUP(DATA!#REF!,DATA!#REF!,1,FALSE),"")</f>
        <v/>
      </c>
      <c r="D769" s="16" t="str">
        <f>IFERROR(VLOOKUP(C769,DATA!#REF!,2,FALSE),"")</f>
        <v/>
      </c>
    </row>
    <row r="770" spans="2:4" s="230" customFormat="1">
      <c r="B770" s="15" t="str">
        <f t="shared" si="43"/>
        <v/>
      </c>
      <c r="C770" s="16" t="str">
        <f>IFERROR(VLOOKUP(DATA!#REF!,DATA!#REF!,1,FALSE),"")</f>
        <v/>
      </c>
      <c r="D770" s="16" t="str">
        <f>IFERROR(VLOOKUP(C770,DATA!#REF!,2,FALSE),"")</f>
        <v/>
      </c>
    </row>
    <row r="771" spans="2:4" s="230" customFormat="1">
      <c r="B771" s="15" t="str">
        <f t="shared" si="43"/>
        <v/>
      </c>
      <c r="C771" s="16" t="str">
        <f>IFERROR(VLOOKUP(DATA!#REF!,DATA!#REF!,1,FALSE),"")</f>
        <v/>
      </c>
      <c r="D771" s="16" t="str">
        <f>IFERROR(VLOOKUP(C771,DATA!#REF!,2,FALSE),"")</f>
        <v/>
      </c>
    </row>
    <row r="772" spans="2:4" s="230" customFormat="1">
      <c r="B772" s="15" t="str">
        <f t="shared" si="43"/>
        <v/>
      </c>
      <c r="C772" s="16" t="str">
        <f>IFERROR(VLOOKUP(DATA!#REF!,DATA!#REF!,1,FALSE),"")</f>
        <v/>
      </c>
      <c r="D772" s="16" t="str">
        <f>IFERROR(VLOOKUP(C772,DATA!#REF!,2,FALSE),"")</f>
        <v/>
      </c>
    </row>
    <row r="773" spans="2:4" s="230" customFormat="1">
      <c r="B773" s="15" t="str">
        <f t="shared" si="43"/>
        <v/>
      </c>
      <c r="C773" s="16" t="str">
        <f>IFERROR(VLOOKUP(DATA!#REF!,DATA!#REF!,1,FALSE),"")</f>
        <v/>
      </c>
      <c r="D773" s="16" t="str">
        <f>IFERROR(VLOOKUP(C773,DATA!#REF!,2,FALSE),"")</f>
        <v/>
      </c>
    </row>
    <row r="774" spans="2:4" s="230" customFormat="1">
      <c r="B774" s="15" t="str">
        <f t="shared" ref="B774:B837" si="44">+IF(C774="","",ROW()-5)</f>
        <v/>
      </c>
      <c r="C774" s="16" t="str">
        <f>IFERROR(VLOOKUP(DATA!#REF!,DATA!#REF!,1,FALSE),"")</f>
        <v/>
      </c>
      <c r="D774" s="16" t="str">
        <f>IFERROR(VLOOKUP(C774,DATA!#REF!,2,FALSE),"")</f>
        <v/>
      </c>
    </row>
    <row r="775" spans="2:4" s="230" customFormat="1">
      <c r="B775" s="15" t="str">
        <f t="shared" si="44"/>
        <v/>
      </c>
      <c r="C775" s="16" t="str">
        <f>IFERROR(VLOOKUP(DATA!#REF!,DATA!#REF!,1,FALSE),"")</f>
        <v/>
      </c>
      <c r="D775" s="16" t="str">
        <f>IFERROR(VLOOKUP(C775,DATA!#REF!,2,FALSE),"")</f>
        <v/>
      </c>
    </row>
    <row r="776" spans="2:4" s="230" customFormat="1">
      <c r="B776" s="15" t="str">
        <f t="shared" si="44"/>
        <v/>
      </c>
      <c r="C776" s="16" t="str">
        <f>IFERROR(VLOOKUP(DATA!#REF!,DATA!#REF!,1,FALSE),"")</f>
        <v/>
      </c>
      <c r="D776" s="16" t="str">
        <f>IFERROR(VLOOKUP(C776,DATA!#REF!,2,FALSE),"")</f>
        <v/>
      </c>
    </row>
    <row r="777" spans="2:4" s="230" customFormat="1">
      <c r="B777" s="15" t="str">
        <f t="shared" si="44"/>
        <v/>
      </c>
      <c r="C777" s="16" t="str">
        <f>IFERROR(VLOOKUP(DATA!#REF!,DATA!#REF!,1,FALSE),"")</f>
        <v/>
      </c>
      <c r="D777" s="16" t="str">
        <f>IFERROR(VLOOKUP(C777,DATA!#REF!,2,FALSE),"")</f>
        <v/>
      </c>
    </row>
    <row r="778" spans="2:4" s="230" customFormat="1">
      <c r="B778" s="15" t="str">
        <f t="shared" si="44"/>
        <v/>
      </c>
      <c r="C778" s="16" t="str">
        <f>IFERROR(VLOOKUP(DATA!#REF!,DATA!#REF!,1,FALSE),"")</f>
        <v/>
      </c>
      <c r="D778" s="16" t="str">
        <f>IFERROR(VLOOKUP(C778,DATA!#REF!,2,FALSE),"")</f>
        <v/>
      </c>
    </row>
    <row r="779" spans="2:4" s="230" customFormat="1">
      <c r="B779" s="15" t="str">
        <f t="shared" si="44"/>
        <v/>
      </c>
      <c r="C779" s="16" t="str">
        <f>IFERROR(VLOOKUP(DATA!#REF!,DATA!#REF!,1,FALSE),"")</f>
        <v/>
      </c>
      <c r="D779" s="16" t="str">
        <f>IFERROR(VLOOKUP(C779,DATA!#REF!,2,FALSE),"")</f>
        <v/>
      </c>
    </row>
    <row r="780" spans="2:4" s="230" customFormat="1">
      <c r="B780" s="15" t="str">
        <f t="shared" si="44"/>
        <v/>
      </c>
      <c r="C780" s="16" t="str">
        <f>IFERROR(VLOOKUP(DATA!#REF!,DATA!#REF!,1,FALSE),"")</f>
        <v/>
      </c>
      <c r="D780" s="16" t="str">
        <f>IFERROR(VLOOKUP(C780,DATA!#REF!,2,FALSE),"")</f>
        <v/>
      </c>
    </row>
    <row r="781" spans="2:4" s="230" customFormat="1">
      <c r="B781" s="15" t="str">
        <f t="shared" si="44"/>
        <v/>
      </c>
      <c r="C781" s="16" t="str">
        <f>IFERROR(VLOOKUP(DATA!#REF!,DATA!#REF!,1,FALSE),"")</f>
        <v/>
      </c>
      <c r="D781" s="16" t="str">
        <f>IFERROR(VLOOKUP(C781,DATA!#REF!,2,FALSE),"")</f>
        <v/>
      </c>
    </row>
    <row r="782" spans="2:4" s="230" customFormat="1">
      <c r="B782" s="15" t="str">
        <f t="shared" si="44"/>
        <v/>
      </c>
      <c r="C782" s="16" t="str">
        <f>IFERROR(VLOOKUP(DATA!#REF!,DATA!#REF!,1,FALSE),"")</f>
        <v/>
      </c>
      <c r="D782" s="16" t="str">
        <f>IFERROR(VLOOKUP(C782,DATA!#REF!,2,FALSE),"")</f>
        <v/>
      </c>
    </row>
    <row r="783" spans="2:4" s="230" customFormat="1">
      <c r="B783" s="15" t="str">
        <f t="shared" si="44"/>
        <v/>
      </c>
      <c r="C783" s="16" t="str">
        <f>IFERROR(VLOOKUP(DATA!#REF!,DATA!#REF!,1,FALSE),"")</f>
        <v/>
      </c>
      <c r="D783" s="16" t="str">
        <f>IFERROR(VLOOKUP(C783,DATA!#REF!,2,FALSE),"")</f>
        <v/>
      </c>
    </row>
    <row r="784" spans="2:4" s="230" customFormat="1">
      <c r="B784" s="15" t="str">
        <f t="shared" si="44"/>
        <v/>
      </c>
      <c r="C784" s="16" t="str">
        <f>IFERROR(VLOOKUP(DATA!#REF!,DATA!#REF!,1,FALSE),"")</f>
        <v/>
      </c>
      <c r="D784" s="16" t="str">
        <f>IFERROR(VLOOKUP(C784,DATA!#REF!,2,FALSE),"")</f>
        <v/>
      </c>
    </row>
    <row r="785" spans="2:4" s="230" customFormat="1">
      <c r="B785" s="15" t="str">
        <f t="shared" si="44"/>
        <v/>
      </c>
      <c r="C785" s="16" t="str">
        <f>IFERROR(VLOOKUP(DATA!#REF!,DATA!#REF!,1,FALSE),"")</f>
        <v/>
      </c>
      <c r="D785" s="16" t="str">
        <f>IFERROR(VLOOKUP(C785,DATA!#REF!,2,FALSE),"")</f>
        <v/>
      </c>
    </row>
    <row r="786" spans="2:4" s="230" customFormat="1">
      <c r="B786" s="15" t="str">
        <f t="shared" si="44"/>
        <v/>
      </c>
      <c r="C786" s="16" t="str">
        <f>IFERROR(VLOOKUP(DATA!#REF!,DATA!#REF!,1,FALSE),"")</f>
        <v/>
      </c>
      <c r="D786" s="16" t="str">
        <f>IFERROR(VLOOKUP(C786,DATA!#REF!,2,FALSE),"")</f>
        <v/>
      </c>
    </row>
    <row r="787" spans="2:4" s="230" customFormat="1">
      <c r="B787" s="15" t="str">
        <f t="shared" si="44"/>
        <v/>
      </c>
      <c r="C787" s="16" t="str">
        <f>IFERROR(VLOOKUP(DATA!#REF!,DATA!#REF!,1,FALSE),"")</f>
        <v/>
      </c>
      <c r="D787" s="16" t="str">
        <f>IFERROR(VLOOKUP(C787,DATA!#REF!,2,FALSE),"")</f>
        <v/>
      </c>
    </row>
    <row r="788" spans="2:4" s="230" customFormat="1">
      <c r="B788" s="15" t="str">
        <f t="shared" si="44"/>
        <v/>
      </c>
      <c r="C788" s="16" t="str">
        <f>IFERROR(VLOOKUP(DATA!#REF!,DATA!#REF!,1,FALSE),"")</f>
        <v/>
      </c>
      <c r="D788" s="16" t="str">
        <f>IFERROR(VLOOKUP(C788,DATA!#REF!,2,FALSE),"")</f>
        <v/>
      </c>
    </row>
    <row r="789" spans="2:4" s="230" customFormat="1">
      <c r="B789" s="15" t="str">
        <f t="shared" si="44"/>
        <v/>
      </c>
      <c r="C789" s="16" t="str">
        <f>IFERROR(VLOOKUP(DATA!#REF!,DATA!#REF!,1,FALSE),"")</f>
        <v/>
      </c>
      <c r="D789" s="16" t="str">
        <f>IFERROR(VLOOKUP(C789,DATA!#REF!,2,FALSE),"")</f>
        <v/>
      </c>
    </row>
    <row r="790" spans="2:4" s="230" customFormat="1">
      <c r="B790" s="15" t="str">
        <f t="shared" si="44"/>
        <v/>
      </c>
      <c r="C790" s="16" t="str">
        <f>IFERROR(VLOOKUP(DATA!#REF!,DATA!#REF!,1,FALSE),"")</f>
        <v/>
      </c>
      <c r="D790" s="16" t="str">
        <f>IFERROR(VLOOKUP(C790,DATA!#REF!,2,FALSE),"")</f>
        <v/>
      </c>
    </row>
    <row r="791" spans="2:4" s="230" customFormat="1">
      <c r="B791" s="15" t="str">
        <f t="shared" si="44"/>
        <v/>
      </c>
      <c r="C791" s="16" t="str">
        <f>IFERROR(VLOOKUP(DATA!#REF!,DATA!#REF!,1,FALSE),"")</f>
        <v/>
      </c>
      <c r="D791" s="16" t="str">
        <f>IFERROR(VLOOKUP(C791,DATA!#REF!,2,FALSE),"")</f>
        <v/>
      </c>
    </row>
    <row r="792" spans="2:4" s="230" customFormat="1">
      <c r="B792" s="15" t="str">
        <f t="shared" si="44"/>
        <v/>
      </c>
      <c r="C792" s="16" t="str">
        <f>IFERROR(VLOOKUP(DATA!#REF!,DATA!#REF!,1,FALSE),"")</f>
        <v/>
      </c>
      <c r="D792" s="16" t="str">
        <f>IFERROR(VLOOKUP(C792,DATA!#REF!,2,FALSE),"")</f>
        <v/>
      </c>
    </row>
    <row r="793" spans="2:4" s="230" customFormat="1">
      <c r="B793" s="15" t="str">
        <f t="shared" si="44"/>
        <v/>
      </c>
      <c r="C793" s="16" t="str">
        <f>IFERROR(VLOOKUP(DATA!#REF!,DATA!#REF!,1,FALSE),"")</f>
        <v/>
      </c>
      <c r="D793" s="16" t="str">
        <f>IFERROR(VLOOKUP(C793,DATA!#REF!,2,FALSE),"")</f>
        <v/>
      </c>
    </row>
    <row r="794" spans="2:4" s="230" customFormat="1">
      <c r="B794" s="15" t="str">
        <f t="shared" si="44"/>
        <v/>
      </c>
      <c r="C794" s="16" t="str">
        <f>IFERROR(VLOOKUP(DATA!#REF!,DATA!#REF!,1,FALSE),"")</f>
        <v/>
      </c>
      <c r="D794" s="16" t="str">
        <f>IFERROR(VLOOKUP(C794,DATA!#REF!,2,FALSE),"")</f>
        <v/>
      </c>
    </row>
    <row r="795" spans="2:4" s="230" customFormat="1">
      <c r="B795" s="15" t="str">
        <f t="shared" si="44"/>
        <v/>
      </c>
      <c r="C795" s="16" t="str">
        <f>IFERROR(VLOOKUP(DATA!#REF!,DATA!#REF!,1,FALSE),"")</f>
        <v/>
      </c>
      <c r="D795" s="16" t="str">
        <f>IFERROR(VLOOKUP(C795,DATA!#REF!,2,FALSE),"")</f>
        <v/>
      </c>
    </row>
    <row r="796" spans="2:4" s="230" customFormat="1">
      <c r="B796" s="15" t="str">
        <f t="shared" si="44"/>
        <v/>
      </c>
      <c r="C796" s="16" t="str">
        <f>IFERROR(VLOOKUP(DATA!#REF!,DATA!#REF!,1,FALSE),"")</f>
        <v/>
      </c>
      <c r="D796" s="16" t="str">
        <f>IFERROR(VLOOKUP(C796,DATA!#REF!,2,FALSE),"")</f>
        <v/>
      </c>
    </row>
    <row r="797" spans="2:4" s="230" customFormat="1">
      <c r="B797" s="15" t="str">
        <f t="shared" si="44"/>
        <v/>
      </c>
      <c r="C797" s="16" t="str">
        <f>IFERROR(VLOOKUP(DATA!#REF!,DATA!#REF!,1,FALSE),"")</f>
        <v/>
      </c>
      <c r="D797" s="16" t="str">
        <f>IFERROR(VLOOKUP(C797,DATA!#REF!,2,FALSE),"")</f>
        <v/>
      </c>
    </row>
    <row r="798" spans="2:4" s="230" customFormat="1">
      <c r="B798" s="15" t="str">
        <f t="shared" si="44"/>
        <v/>
      </c>
      <c r="C798" s="16" t="str">
        <f>IFERROR(VLOOKUP(DATA!#REF!,DATA!#REF!,1,FALSE),"")</f>
        <v/>
      </c>
      <c r="D798" s="16" t="str">
        <f>IFERROR(VLOOKUP(C798,DATA!#REF!,2,FALSE),"")</f>
        <v/>
      </c>
    </row>
    <row r="799" spans="2:4" s="230" customFormat="1">
      <c r="B799" s="15" t="str">
        <f t="shared" si="44"/>
        <v/>
      </c>
      <c r="C799" s="16" t="str">
        <f>IFERROR(VLOOKUP(DATA!#REF!,DATA!#REF!,1,FALSE),"")</f>
        <v/>
      </c>
      <c r="D799" s="16" t="str">
        <f>IFERROR(VLOOKUP(C799,DATA!#REF!,2,FALSE),"")</f>
        <v/>
      </c>
    </row>
    <row r="800" spans="2:4" s="230" customFormat="1">
      <c r="B800" s="15" t="str">
        <f t="shared" si="44"/>
        <v/>
      </c>
      <c r="C800" s="16" t="str">
        <f>IFERROR(VLOOKUP(DATA!#REF!,DATA!#REF!,1,FALSE),"")</f>
        <v/>
      </c>
      <c r="D800" s="16" t="str">
        <f>IFERROR(VLOOKUP(C800,DATA!#REF!,2,FALSE),"")</f>
        <v/>
      </c>
    </row>
    <row r="801" spans="2:4" s="230" customFormat="1">
      <c r="B801" s="15" t="str">
        <f t="shared" si="44"/>
        <v/>
      </c>
      <c r="C801" s="16" t="str">
        <f>IFERROR(VLOOKUP(DATA!#REF!,DATA!#REF!,1,FALSE),"")</f>
        <v/>
      </c>
      <c r="D801" s="16" t="str">
        <f>IFERROR(VLOOKUP(C801,DATA!#REF!,2,FALSE),"")</f>
        <v/>
      </c>
    </row>
    <row r="802" spans="2:4" s="230" customFormat="1">
      <c r="B802" s="15" t="str">
        <f t="shared" si="44"/>
        <v/>
      </c>
      <c r="C802" s="16" t="str">
        <f>IFERROR(VLOOKUP(DATA!#REF!,DATA!#REF!,1,FALSE),"")</f>
        <v/>
      </c>
      <c r="D802" s="16" t="str">
        <f>IFERROR(VLOOKUP(C802,DATA!#REF!,2,FALSE),"")</f>
        <v/>
      </c>
    </row>
    <row r="803" spans="2:4" s="230" customFormat="1">
      <c r="B803" s="15" t="str">
        <f t="shared" si="44"/>
        <v/>
      </c>
      <c r="C803" s="16" t="str">
        <f>IFERROR(VLOOKUP(DATA!#REF!,DATA!#REF!,1,FALSE),"")</f>
        <v/>
      </c>
      <c r="D803" s="16" t="str">
        <f>IFERROR(VLOOKUP(C803,DATA!#REF!,2,FALSE),"")</f>
        <v/>
      </c>
    </row>
    <row r="804" spans="2:4" s="230" customFormat="1">
      <c r="B804" s="15" t="str">
        <f t="shared" si="44"/>
        <v/>
      </c>
      <c r="C804" s="16" t="str">
        <f>IFERROR(VLOOKUP(DATA!#REF!,DATA!#REF!,1,FALSE),"")</f>
        <v/>
      </c>
      <c r="D804" s="16" t="str">
        <f>IFERROR(VLOOKUP(C804,DATA!#REF!,2,FALSE),"")</f>
        <v/>
      </c>
    </row>
    <row r="805" spans="2:4" s="230" customFormat="1">
      <c r="B805" s="15" t="str">
        <f t="shared" si="44"/>
        <v/>
      </c>
      <c r="C805" s="16" t="str">
        <f>IFERROR(VLOOKUP(DATA!#REF!,DATA!#REF!,1,FALSE),"")</f>
        <v/>
      </c>
      <c r="D805" s="16" t="str">
        <f>IFERROR(VLOOKUP(C805,DATA!#REF!,2,FALSE),"")</f>
        <v/>
      </c>
    </row>
    <row r="806" spans="2:4" s="230" customFormat="1">
      <c r="B806" s="15" t="str">
        <f t="shared" si="44"/>
        <v/>
      </c>
      <c r="C806" s="16" t="str">
        <f>IFERROR(VLOOKUP(DATA!#REF!,DATA!#REF!,1,FALSE),"")</f>
        <v/>
      </c>
      <c r="D806" s="16" t="str">
        <f>IFERROR(VLOOKUP(C806,DATA!#REF!,2,FALSE),"")</f>
        <v/>
      </c>
    </row>
    <row r="807" spans="2:4" s="230" customFormat="1">
      <c r="B807" s="15" t="str">
        <f t="shared" si="44"/>
        <v/>
      </c>
      <c r="C807" s="16" t="str">
        <f>IFERROR(VLOOKUP(DATA!#REF!,DATA!#REF!,1,FALSE),"")</f>
        <v/>
      </c>
      <c r="D807" s="16" t="str">
        <f>IFERROR(VLOOKUP(C807,DATA!#REF!,2,FALSE),"")</f>
        <v/>
      </c>
    </row>
    <row r="808" spans="2:4" s="230" customFormat="1">
      <c r="B808" s="15" t="str">
        <f t="shared" si="44"/>
        <v/>
      </c>
      <c r="C808" s="16" t="str">
        <f>IFERROR(VLOOKUP(DATA!#REF!,DATA!#REF!,1,FALSE),"")</f>
        <v/>
      </c>
      <c r="D808" s="16" t="str">
        <f>IFERROR(VLOOKUP(C808,DATA!#REF!,2,FALSE),"")</f>
        <v/>
      </c>
    </row>
    <row r="809" spans="2:4" s="230" customFormat="1">
      <c r="B809" s="15" t="str">
        <f t="shared" si="44"/>
        <v/>
      </c>
      <c r="C809" s="16" t="str">
        <f>IFERROR(VLOOKUP(DATA!#REF!,DATA!#REF!,1,FALSE),"")</f>
        <v/>
      </c>
      <c r="D809" s="16" t="str">
        <f>IFERROR(VLOOKUP(C809,DATA!#REF!,2,FALSE),"")</f>
        <v/>
      </c>
    </row>
    <row r="810" spans="2:4" s="230" customFormat="1">
      <c r="B810" s="15" t="str">
        <f t="shared" si="44"/>
        <v/>
      </c>
      <c r="C810" s="16" t="str">
        <f>IFERROR(VLOOKUP(DATA!#REF!,DATA!#REF!,1,FALSE),"")</f>
        <v/>
      </c>
      <c r="D810" s="16" t="str">
        <f>IFERROR(VLOOKUP(C810,DATA!#REF!,2,FALSE),"")</f>
        <v/>
      </c>
    </row>
    <row r="811" spans="2:4" s="230" customFormat="1">
      <c r="B811" s="15" t="str">
        <f t="shared" si="44"/>
        <v/>
      </c>
      <c r="C811" s="16" t="str">
        <f>IFERROR(VLOOKUP(DATA!#REF!,DATA!#REF!,1,FALSE),"")</f>
        <v/>
      </c>
      <c r="D811" s="16" t="str">
        <f>IFERROR(VLOOKUP(C811,DATA!#REF!,2,FALSE),"")</f>
        <v/>
      </c>
    </row>
    <row r="812" spans="2:4" s="230" customFormat="1">
      <c r="B812" s="15" t="str">
        <f t="shared" si="44"/>
        <v/>
      </c>
      <c r="C812" s="16" t="str">
        <f>IFERROR(VLOOKUP(DATA!#REF!,DATA!#REF!,1,FALSE),"")</f>
        <v/>
      </c>
      <c r="D812" s="16" t="str">
        <f>IFERROR(VLOOKUP(C812,DATA!#REF!,2,FALSE),"")</f>
        <v/>
      </c>
    </row>
    <row r="813" spans="2:4" s="230" customFormat="1">
      <c r="B813" s="15" t="str">
        <f t="shared" si="44"/>
        <v/>
      </c>
      <c r="C813" s="16" t="str">
        <f>IFERROR(VLOOKUP(DATA!#REF!,DATA!#REF!,1,FALSE),"")</f>
        <v/>
      </c>
      <c r="D813" s="16" t="str">
        <f>IFERROR(VLOOKUP(C813,DATA!#REF!,2,FALSE),"")</f>
        <v/>
      </c>
    </row>
    <row r="814" spans="2:4" s="230" customFormat="1">
      <c r="B814" s="15" t="str">
        <f t="shared" si="44"/>
        <v/>
      </c>
      <c r="C814" s="16" t="str">
        <f>IFERROR(VLOOKUP(DATA!#REF!,DATA!#REF!,1,FALSE),"")</f>
        <v/>
      </c>
      <c r="D814" s="16" t="str">
        <f>IFERROR(VLOOKUP(C814,DATA!#REF!,2,FALSE),"")</f>
        <v/>
      </c>
    </row>
    <row r="815" spans="2:4" s="230" customFormat="1">
      <c r="B815" s="15" t="str">
        <f t="shared" si="44"/>
        <v/>
      </c>
      <c r="C815" s="16" t="str">
        <f>IFERROR(VLOOKUP(DATA!#REF!,DATA!#REF!,1,FALSE),"")</f>
        <v/>
      </c>
      <c r="D815" s="16" t="str">
        <f>IFERROR(VLOOKUP(C815,DATA!#REF!,2,FALSE),"")</f>
        <v/>
      </c>
    </row>
    <row r="816" spans="2:4" s="230" customFormat="1">
      <c r="B816" s="15" t="str">
        <f t="shared" si="44"/>
        <v/>
      </c>
      <c r="C816" s="16" t="str">
        <f>IFERROR(VLOOKUP(DATA!#REF!,DATA!#REF!,1,FALSE),"")</f>
        <v/>
      </c>
      <c r="D816" s="16" t="str">
        <f>IFERROR(VLOOKUP(C816,DATA!#REF!,2,FALSE),"")</f>
        <v/>
      </c>
    </row>
    <row r="817" spans="2:4" s="230" customFormat="1">
      <c r="B817" s="15" t="str">
        <f t="shared" si="44"/>
        <v/>
      </c>
      <c r="C817" s="16" t="str">
        <f>IFERROR(VLOOKUP(DATA!#REF!,DATA!#REF!,1,FALSE),"")</f>
        <v/>
      </c>
      <c r="D817" s="16" t="str">
        <f>IFERROR(VLOOKUP(C817,DATA!#REF!,2,FALSE),"")</f>
        <v/>
      </c>
    </row>
    <row r="818" spans="2:4" s="230" customFormat="1">
      <c r="B818" s="15" t="str">
        <f t="shared" si="44"/>
        <v/>
      </c>
      <c r="C818" s="16" t="str">
        <f>IFERROR(VLOOKUP(DATA!#REF!,DATA!#REF!,1,FALSE),"")</f>
        <v/>
      </c>
      <c r="D818" s="16" t="str">
        <f>IFERROR(VLOOKUP(C818,DATA!#REF!,2,FALSE),"")</f>
        <v/>
      </c>
    </row>
    <row r="819" spans="2:4" s="230" customFormat="1">
      <c r="B819" s="15" t="str">
        <f t="shared" si="44"/>
        <v/>
      </c>
      <c r="C819" s="16" t="str">
        <f>IFERROR(VLOOKUP(DATA!#REF!,DATA!#REF!,1,FALSE),"")</f>
        <v/>
      </c>
      <c r="D819" s="16" t="str">
        <f>IFERROR(VLOOKUP(C819,DATA!#REF!,2,FALSE),"")</f>
        <v/>
      </c>
    </row>
    <row r="820" spans="2:4" s="230" customFormat="1">
      <c r="B820" s="15" t="str">
        <f t="shared" si="44"/>
        <v/>
      </c>
      <c r="C820" s="16" t="str">
        <f>IFERROR(VLOOKUP(DATA!#REF!,DATA!#REF!,1,FALSE),"")</f>
        <v/>
      </c>
      <c r="D820" s="16" t="str">
        <f>IFERROR(VLOOKUP(C820,DATA!#REF!,2,FALSE),"")</f>
        <v/>
      </c>
    </row>
    <row r="821" spans="2:4" s="230" customFormat="1">
      <c r="B821" s="15" t="str">
        <f t="shared" si="44"/>
        <v/>
      </c>
      <c r="C821" s="16" t="str">
        <f>IFERROR(VLOOKUP(DATA!#REF!,DATA!#REF!,1,FALSE),"")</f>
        <v/>
      </c>
      <c r="D821" s="16" t="str">
        <f>IFERROR(VLOOKUP(C821,DATA!#REF!,2,FALSE),"")</f>
        <v/>
      </c>
    </row>
    <row r="822" spans="2:4" s="230" customFormat="1">
      <c r="B822" s="15" t="str">
        <f t="shared" si="44"/>
        <v/>
      </c>
      <c r="C822" s="16" t="str">
        <f>IFERROR(VLOOKUP(DATA!#REF!,DATA!#REF!,1,FALSE),"")</f>
        <v/>
      </c>
      <c r="D822" s="16" t="str">
        <f>IFERROR(VLOOKUP(C822,DATA!#REF!,2,FALSE),"")</f>
        <v/>
      </c>
    </row>
    <row r="823" spans="2:4" s="230" customFormat="1">
      <c r="B823" s="15" t="str">
        <f t="shared" si="44"/>
        <v/>
      </c>
      <c r="C823" s="16" t="str">
        <f>IFERROR(VLOOKUP(DATA!#REF!,DATA!#REF!,1,FALSE),"")</f>
        <v/>
      </c>
      <c r="D823" s="16" t="str">
        <f>IFERROR(VLOOKUP(C823,DATA!#REF!,2,FALSE),"")</f>
        <v/>
      </c>
    </row>
    <row r="824" spans="2:4" s="230" customFormat="1">
      <c r="B824" s="15" t="str">
        <f t="shared" si="44"/>
        <v/>
      </c>
      <c r="C824" s="16" t="str">
        <f>IFERROR(VLOOKUP(DATA!#REF!,DATA!#REF!,1,FALSE),"")</f>
        <v/>
      </c>
      <c r="D824" s="16" t="str">
        <f>IFERROR(VLOOKUP(C824,DATA!#REF!,2,FALSE),"")</f>
        <v/>
      </c>
    </row>
    <row r="825" spans="2:4" s="230" customFormat="1">
      <c r="B825" s="15" t="str">
        <f t="shared" si="44"/>
        <v/>
      </c>
      <c r="C825" s="16" t="str">
        <f>IFERROR(VLOOKUP(DATA!#REF!,DATA!#REF!,1,FALSE),"")</f>
        <v/>
      </c>
      <c r="D825" s="16" t="str">
        <f>IFERROR(VLOOKUP(C825,DATA!#REF!,2,FALSE),"")</f>
        <v/>
      </c>
    </row>
    <row r="826" spans="2:4" s="230" customFormat="1">
      <c r="B826" s="15" t="str">
        <f t="shared" si="44"/>
        <v/>
      </c>
      <c r="C826" s="16" t="str">
        <f>IFERROR(VLOOKUP(DATA!#REF!,DATA!#REF!,1,FALSE),"")</f>
        <v/>
      </c>
      <c r="D826" s="16" t="str">
        <f>IFERROR(VLOOKUP(C826,DATA!#REF!,2,FALSE),"")</f>
        <v/>
      </c>
    </row>
    <row r="827" spans="2:4" s="230" customFormat="1">
      <c r="B827" s="15" t="str">
        <f t="shared" si="44"/>
        <v/>
      </c>
      <c r="C827" s="16" t="str">
        <f>IFERROR(VLOOKUP(DATA!#REF!,DATA!#REF!,1,FALSE),"")</f>
        <v/>
      </c>
      <c r="D827" s="16" t="str">
        <f>IFERROR(VLOOKUP(C827,DATA!#REF!,2,FALSE),"")</f>
        <v/>
      </c>
    </row>
    <row r="828" spans="2:4" s="230" customFormat="1">
      <c r="B828" s="15" t="str">
        <f t="shared" si="44"/>
        <v/>
      </c>
      <c r="C828" s="16" t="str">
        <f>IFERROR(VLOOKUP(DATA!#REF!,DATA!#REF!,1,FALSE),"")</f>
        <v/>
      </c>
      <c r="D828" s="16" t="str">
        <f>IFERROR(VLOOKUP(C828,DATA!#REF!,2,FALSE),"")</f>
        <v/>
      </c>
    </row>
    <row r="829" spans="2:4" s="230" customFormat="1">
      <c r="B829" s="15" t="str">
        <f t="shared" si="44"/>
        <v/>
      </c>
      <c r="C829" s="16" t="str">
        <f>IFERROR(VLOOKUP(DATA!#REF!,DATA!#REF!,1,FALSE),"")</f>
        <v/>
      </c>
      <c r="D829" s="16" t="str">
        <f>IFERROR(VLOOKUP(C829,DATA!#REF!,2,FALSE),"")</f>
        <v/>
      </c>
    </row>
    <row r="830" spans="2:4" s="230" customFormat="1">
      <c r="B830" s="15" t="str">
        <f t="shared" si="44"/>
        <v/>
      </c>
      <c r="C830" s="16" t="str">
        <f>IFERROR(VLOOKUP(DATA!#REF!,DATA!#REF!,1,FALSE),"")</f>
        <v/>
      </c>
      <c r="D830" s="16" t="str">
        <f>IFERROR(VLOOKUP(C830,DATA!#REF!,2,FALSE),"")</f>
        <v/>
      </c>
    </row>
    <row r="831" spans="2:4" s="230" customFormat="1">
      <c r="B831" s="15" t="str">
        <f t="shared" si="44"/>
        <v/>
      </c>
      <c r="C831" s="16" t="str">
        <f>IFERROR(VLOOKUP(DATA!#REF!,DATA!#REF!,1,FALSE),"")</f>
        <v/>
      </c>
      <c r="D831" s="16" t="str">
        <f>IFERROR(VLOOKUP(C831,DATA!#REF!,2,FALSE),"")</f>
        <v/>
      </c>
    </row>
    <row r="832" spans="2:4" s="230" customFormat="1">
      <c r="B832" s="15" t="str">
        <f t="shared" si="44"/>
        <v/>
      </c>
      <c r="C832" s="16" t="str">
        <f>IFERROR(VLOOKUP(DATA!#REF!,DATA!#REF!,1,FALSE),"")</f>
        <v/>
      </c>
      <c r="D832" s="16" t="str">
        <f>IFERROR(VLOOKUP(C832,DATA!#REF!,2,FALSE),"")</f>
        <v/>
      </c>
    </row>
    <row r="833" spans="2:4" s="230" customFormat="1">
      <c r="B833" s="15" t="str">
        <f t="shared" si="44"/>
        <v/>
      </c>
      <c r="C833" s="16" t="str">
        <f>IFERROR(VLOOKUP(DATA!#REF!,DATA!#REF!,1,FALSE),"")</f>
        <v/>
      </c>
      <c r="D833" s="16" t="str">
        <f>IFERROR(VLOOKUP(C833,DATA!#REF!,2,FALSE),"")</f>
        <v/>
      </c>
    </row>
    <row r="834" spans="2:4" s="230" customFormat="1">
      <c r="B834" s="15" t="str">
        <f t="shared" si="44"/>
        <v/>
      </c>
      <c r="C834" s="16" t="str">
        <f>IFERROR(VLOOKUP(DATA!#REF!,DATA!#REF!,1,FALSE),"")</f>
        <v/>
      </c>
      <c r="D834" s="16" t="str">
        <f>IFERROR(VLOOKUP(C834,DATA!#REF!,2,FALSE),"")</f>
        <v/>
      </c>
    </row>
    <row r="835" spans="2:4" s="230" customFormat="1">
      <c r="B835" s="15" t="str">
        <f t="shared" si="44"/>
        <v/>
      </c>
      <c r="C835" s="16" t="str">
        <f>IFERROR(VLOOKUP(DATA!#REF!,DATA!#REF!,1,FALSE),"")</f>
        <v/>
      </c>
      <c r="D835" s="16" t="str">
        <f>IFERROR(VLOOKUP(C835,DATA!#REF!,2,FALSE),"")</f>
        <v/>
      </c>
    </row>
    <row r="836" spans="2:4" s="230" customFormat="1">
      <c r="B836" s="15" t="str">
        <f t="shared" si="44"/>
        <v/>
      </c>
      <c r="C836" s="16" t="str">
        <f>IFERROR(VLOOKUP(DATA!#REF!,DATA!#REF!,1,FALSE),"")</f>
        <v/>
      </c>
      <c r="D836" s="16" t="str">
        <f>IFERROR(VLOOKUP(C836,DATA!#REF!,2,FALSE),"")</f>
        <v/>
      </c>
    </row>
    <row r="837" spans="2:4" s="230" customFormat="1">
      <c r="B837" s="15" t="str">
        <f t="shared" si="44"/>
        <v/>
      </c>
      <c r="C837" s="16" t="str">
        <f>IFERROR(VLOOKUP(DATA!#REF!,DATA!#REF!,1,FALSE),"")</f>
        <v/>
      </c>
      <c r="D837" s="16" t="str">
        <f>IFERROR(VLOOKUP(C837,DATA!#REF!,2,FALSE),"")</f>
        <v/>
      </c>
    </row>
    <row r="838" spans="2:4" s="230" customFormat="1">
      <c r="B838" s="15" t="str">
        <f t="shared" ref="B838:B901" si="45">+IF(C838="","",ROW()-5)</f>
        <v/>
      </c>
      <c r="C838" s="16" t="str">
        <f>IFERROR(VLOOKUP(DATA!#REF!,DATA!#REF!,1,FALSE),"")</f>
        <v/>
      </c>
      <c r="D838" s="16" t="str">
        <f>IFERROR(VLOOKUP(C838,DATA!#REF!,2,FALSE),"")</f>
        <v/>
      </c>
    </row>
    <row r="839" spans="2:4" s="230" customFormat="1">
      <c r="B839" s="15" t="str">
        <f t="shared" si="45"/>
        <v/>
      </c>
      <c r="C839" s="16" t="str">
        <f>IFERROR(VLOOKUP(DATA!#REF!,DATA!#REF!,1,FALSE),"")</f>
        <v/>
      </c>
      <c r="D839" s="16" t="str">
        <f>IFERROR(VLOOKUP(C839,DATA!#REF!,2,FALSE),"")</f>
        <v/>
      </c>
    </row>
    <row r="840" spans="2:4" s="230" customFormat="1">
      <c r="B840" s="15" t="str">
        <f t="shared" si="45"/>
        <v/>
      </c>
      <c r="C840" s="16" t="str">
        <f>IFERROR(VLOOKUP(DATA!#REF!,DATA!#REF!,1,FALSE),"")</f>
        <v/>
      </c>
      <c r="D840" s="16" t="str">
        <f>IFERROR(VLOOKUP(C840,DATA!#REF!,2,FALSE),"")</f>
        <v/>
      </c>
    </row>
    <row r="841" spans="2:4" s="230" customFormat="1">
      <c r="B841" s="15" t="str">
        <f t="shared" si="45"/>
        <v/>
      </c>
      <c r="C841" s="16" t="str">
        <f>IFERROR(VLOOKUP(DATA!#REF!,DATA!#REF!,1,FALSE),"")</f>
        <v/>
      </c>
      <c r="D841" s="16" t="str">
        <f>IFERROR(VLOOKUP(C841,DATA!#REF!,2,FALSE),"")</f>
        <v/>
      </c>
    </row>
    <row r="842" spans="2:4" s="230" customFormat="1">
      <c r="B842" s="15" t="str">
        <f t="shared" si="45"/>
        <v/>
      </c>
      <c r="C842" s="16" t="str">
        <f>IFERROR(VLOOKUP(DATA!#REF!,DATA!#REF!,1,FALSE),"")</f>
        <v/>
      </c>
      <c r="D842" s="16" t="str">
        <f>IFERROR(VLOOKUP(C842,DATA!#REF!,2,FALSE),"")</f>
        <v/>
      </c>
    </row>
    <row r="843" spans="2:4" s="230" customFormat="1">
      <c r="B843" s="15" t="str">
        <f t="shared" si="45"/>
        <v/>
      </c>
      <c r="C843" s="16" t="str">
        <f>IFERROR(VLOOKUP(DATA!#REF!,DATA!#REF!,1,FALSE),"")</f>
        <v/>
      </c>
      <c r="D843" s="16" t="str">
        <f>IFERROR(VLOOKUP(C843,DATA!#REF!,2,FALSE),"")</f>
        <v/>
      </c>
    </row>
    <row r="844" spans="2:4" s="230" customFormat="1">
      <c r="B844" s="15" t="str">
        <f t="shared" si="45"/>
        <v/>
      </c>
      <c r="C844" s="16" t="str">
        <f>IFERROR(VLOOKUP(DATA!#REF!,DATA!#REF!,1,FALSE),"")</f>
        <v/>
      </c>
      <c r="D844" s="16" t="str">
        <f>IFERROR(VLOOKUP(C844,DATA!#REF!,2,FALSE),"")</f>
        <v/>
      </c>
    </row>
    <row r="845" spans="2:4" s="230" customFormat="1">
      <c r="B845" s="15" t="str">
        <f t="shared" si="45"/>
        <v/>
      </c>
      <c r="C845" s="16" t="str">
        <f>IFERROR(VLOOKUP(DATA!#REF!,DATA!#REF!,1,FALSE),"")</f>
        <v/>
      </c>
      <c r="D845" s="16" t="str">
        <f>IFERROR(VLOOKUP(C845,DATA!#REF!,2,FALSE),"")</f>
        <v/>
      </c>
    </row>
    <row r="846" spans="2:4" s="230" customFormat="1">
      <c r="B846" s="15" t="str">
        <f t="shared" si="45"/>
        <v/>
      </c>
      <c r="C846" s="16" t="str">
        <f>IFERROR(VLOOKUP(DATA!#REF!,DATA!#REF!,1,FALSE),"")</f>
        <v/>
      </c>
      <c r="D846" s="16" t="str">
        <f>IFERROR(VLOOKUP(C846,DATA!#REF!,2,FALSE),"")</f>
        <v/>
      </c>
    </row>
    <row r="847" spans="2:4" s="230" customFormat="1">
      <c r="B847" s="15" t="str">
        <f t="shared" si="45"/>
        <v/>
      </c>
      <c r="C847" s="16" t="str">
        <f>IFERROR(VLOOKUP(DATA!#REF!,DATA!#REF!,1,FALSE),"")</f>
        <v/>
      </c>
      <c r="D847" s="16" t="str">
        <f>IFERROR(VLOOKUP(C847,DATA!#REF!,2,FALSE),"")</f>
        <v/>
      </c>
    </row>
    <row r="848" spans="2:4" s="230" customFormat="1">
      <c r="B848" s="15" t="str">
        <f t="shared" si="45"/>
        <v/>
      </c>
      <c r="C848" s="16" t="str">
        <f>IFERROR(VLOOKUP(DATA!#REF!,DATA!#REF!,1,FALSE),"")</f>
        <v/>
      </c>
      <c r="D848" s="16" t="str">
        <f>IFERROR(VLOOKUP(C848,DATA!#REF!,2,FALSE),"")</f>
        <v/>
      </c>
    </row>
    <row r="849" spans="2:4" s="230" customFormat="1">
      <c r="B849" s="15" t="str">
        <f t="shared" si="45"/>
        <v/>
      </c>
      <c r="C849" s="16" t="str">
        <f>IFERROR(VLOOKUP(DATA!#REF!,DATA!#REF!,1,FALSE),"")</f>
        <v/>
      </c>
      <c r="D849" s="16" t="str">
        <f>IFERROR(VLOOKUP(C849,DATA!#REF!,2,FALSE),"")</f>
        <v/>
      </c>
    </row>
    <row r="850" spans="2:4" s="230" customFormat="1">
      <c r="B850" s="15" t="str">
        <f t="shared" si="45"/>
        <v/>
      </c>
      <c r="C850" s="16" t="str">
        <f>IFERROR(VLOOKUP(DATA!#REF!,DATA!#REF!,1,FALSE),"")</f>
        <v/>
      </c>
      <c r="D850" s="16" t="str">
        <f>IFERROR(VLOOKUP(C850,DATA!#REF!,2,FALSE),"")</f>
        <v/>
      </c>
    </row>
    <row r="851" spans="2:4" s="230" customFormat="1">
      <c r="B851" s="15" t="str">
        <f t="shared" si="45"/>
        <v/>
      </c>
      <c r="C851" s="16" t="str">
        <f>IFERROR(VLOOKUP(DATA!#REF!,DATA!#REF!,1,FALSE),"")</f>
        <v/>
      </c>
      <c r="D851" s="16" t="str">
        <f>IFERROR(VLOOKUP(C851,DATA!#REF!,2,FALSE),"")</f>
        <v/>
      </c>
    </row>
    <row r="852" spans="2:4" s="230" customFormat="1">
      <c r="B852" s="15" t="str">
        <f t="shared" si="45"/>
        <v/>
      </c>
      <c r="C852" s="16" t="str">
        <f>IFERROR(VLOOKUP(DATA!#REF!,DATA!#REF!,1,FALSE),"")</f>
        <v/>
      </c>
      <c r="D852" s="16" t="str">
        <f>IFERROR(VLOOKUP(C852,DATA!#REF!,2,FALSE),"")</f>
        <v/>
      </c>
    </row>
    <row r="853" spans="2:4" s="230" customFormat="1">
      <c r="B853" s="15" t="str">
        <f t="shared" si="45"/>
        <v/>
      </c>
      <c r="C853" s="16" t="str">
        <f>IFERROR(VLOOKUP(DATA!#REF!,DATA!#REF!,1,FALSE),"")</f>
        <v/>
      </c>
      <c r="D853" s="16" t="str">
        <f>IFERROR(VLOOKUP(C853,DATA!#REF!,2,FALSE),"")</f>
        <v/>
      </c>
    </row>
    <row r="854" spans="2:4" s="230" customFormat="1">
      <c r="B854" s="15" t="str">
        <f t="shared" si="45"/>
        <v/>
      </c>
      <c r="C854" s="16" t="str">
        <f>IFERROR(VLOOKUP(DATA!#REF!,DATA!#REF!,1,FALSE),"")</f>
        <v/>
      </c>
      <c r="D854" s="16" t="str">
        <f>IFERROR(VLOOKUP(C854,DATA!#REF!,2,FALSE),"")</f>
        <v/>
      </c>
    </row>
    <row r="855" spans="2:4" s="230" customFormat="1">
      <c r="B855" s="15" t="str">
        <f t="shared" si="45"/>
        <v/>
      </c>
      <c r="C855" s="16" t="str">
        <f>IFERROR(VLOOKUP(DATA!#REF!,DATA!#REF!,1,FALSE),"")</f>
        <v/>
      </c>
      <c r="D855" s="16" t="str">
        <f>IFERROR(VLOOKUP(C855,DATA!#REF!,2,FALSE),"")</f>
        <v/>
      </c>
    </row>
    <row r="856" spans="2:4" s="230" customFormat="1">
      <c r="B856" s="15" t="str">
        <f t="shared" si="45"/>
        <v/>
      </c>
      <c r="C856" s="16" t="str">
        <f>IFERROR(VLOOKUP(DATA!#REF!,DATA!#REF!,1,FALSE),"")</f>
        <v/>
      </c>
      <c r="D856" s="16" t="str">
        <f>IFERROR(VLOOKUP(C856,DATA!#REF!,2,FALSE),"")</f>
        <v/>
      </c>
    </row>
    <row r="857" spans="2:4" s="230" customFormat="1">
      <c r="B857" s="15" t="str">
        <f t="shared" si="45"/>
        <v/>
      </c>
      <c r="C857" s="16" t="str">
        <f>IFERROR(VLOOKUP(DATA!#REF!,DATA!#REF!,1,FALSE),"")</f>
        <v/>
      </c>
      <c r="D857" s="16" t="str">
        <f>IFERROR(VLOOKUP(C857,DATA!#REF!,2,FALSE),"")</f>
        <v/>
      </c>
    </row>
    <row r="858" spans="2:4" s="230" customFormat="1">
      <c r="B858" s="15" t="str">
        <f t="shared" si="45"/>
        <v/>
      </c>
      <c r="C858" s="16" t="str">
        <f>IFERROR(VLOOKUP(DATA!#REF!,DATA!#REF!,1,FALSE),"")</f>
        <v/>
      </c>
      <c r="D858" s="16" t="str">
        <f>IFERROR(VLOOKUP(C858,DATA!#REF!,2,FALSE),"")</f>
        <v/>
      </c>
    </row>
    <row r="859" spans="2:4" s="230" customFormat="1">
      <c r="B859" s="15" t="str">
        <f t="shared" si="45"/>
        <v/>
      </c>
      <c r="C859" s="16" t="str">
        <f>IFERROR(VLOOKUP(DATA!#REF!,DATA!#REF!,1,FALSE),"")</f>
        <v/>
      </c>
      <c r="D859" s="16" t="str">
        <f>IFERROR(VLOOKUP(C859,DATA!#REF!,2,FALSE),"")</f>
        <v/>
      </c>
    </row>
    <row r="860" spans="2:4" s="230" customFormat="1">
      <c r="B860" s="15" t="str">
        <f t="shared" si="45"/>
        <v/>
      </c>
      <c r="C860" s="16" t="str">
        <f>IFERROR(VLOOKUP(DATA!#REF!,DATA!#REF!,1,FALSE),"")</f>
        <v/>
      </c>
      <c r="D860" s="16" t="str">
        <f>IFERROR(VLOOKUP(C860,DATA!#REF!,2,FALSE),"")</f>
        <v/>
      </c>
    </row>
    <row r="861" spans="2:4" s="230" customFormat="1">
      <c r="B861" s="15" t="str">
        <f t="shared" si="45"/>
        <v/>
      </c>
      <c r="C861" s="16" t="str">
        <f>IFERROR(VLOOKUP(DATA!#REF!,DATA!#REF!,1,FALSE),"")</f>
        <v/>
      </c>
      <c r="D861" s="16" t="str">
        <f>IFERROR(VLOOKUP(C861,DATA!#REF!,2,FALSE),"")</f>
        <v/>
      </c>
    </row>
    <row r="862" spans="2:4" s="230" customFormat="1">
      <c r="B862" s="15" t="str">
        <f t="shared" si="45"/>
        <v/>
      </c>
      <c r="C862" s="16" t="str">
        <f>IFERROR(VLOOKUP(DATA!#REF!,DATA!#REF!,1,FALSE),"")</f>
        <v/>
      </c>
      <c r="D862" s="16" t="str">
        <f>IFERROR(VLOOKUP(C862,DATA!#REF!,2,FALSE),"")</f>
        <v/>
      </c>
    </row>
    <row r="863" spans="2:4" s="230" customFormat="1">
      <c r="B863" s="15" t="str">
        <f t="shared" si="45"/>
        <v/>
      </c>
      <c r="C863" s="16" t="str">
        <f>IFERROR(VLOOKUP(DATA!#REF!,DATA!#REF!,1,FALSE),"")</f>
        <v/>
      </c>
      <c r="D863" s="16" t="str">
        <f>IFERROR(VLOOKUP(C863,DATA!#REF!,2,FALSE),"")</f>
        <v/>
      </c>
    </row>
    <row r="864" spans="2:4" s="230" customFormat="1">
      <c r="B864" s="15" t="str">
        <f t="shared" si="45"/>
        <v/>
      </c>
      <c r="C864" s="16" t="str">
        <f>IFERROR(VLOOKUP(DATA!#REF!,DATA!#REF!,1,FALSE),"")</f>
        <v/>
      </c>
      <c r="D864" s="16" t="str">
        <f>IFERROR(VLOOKUP(C864,DATA!#REF!,2,FALSE),"")</f>
        <v/>
      </c>
    </row>
    <row r="865" spans="2:4" s="230" customFormat="1">
      <c r="B865" s="15" t="str">
        <f t="shared" si="45"/>
        <v/>
      </c>
      <c r="C865" s="16" t="str">
        <f>IFERROR(VLOOKUP(DATA!#REF!,DATA!#REF!,1,FALSE),"")</f>
        <v/>
      </c>
      <c r="D865" s="16" t="str">
        <f>IFERROR(VLOOKUP(C865,DATA!#REF!,2,FALSE),"")</f>
        <v/>
      </c>
    </row>
    <row r="866" spans="2:4" s="230" customFormat="1">
      <c r="B866" s="15" t="str">
        <f t="shared" si="45"/>
        <v/>
      </c>
      <c r="C866" s="16" t="str">
        <f>IFERROR(VLOOKUP(DATA!#REF!,DATA!#REF!,1,FALSE),"")</f>
        <v/>
      </c>
      <c r="D866" s="16" t="str">
        <f>IFERROR(VLOOKUP(C866,DATA!#REF!,2,FALSE),"")</f>
        <v/>
      </c>
    </row>
    <row r="867" spans="2:4" s="230" customFormat="1">
      <c r="B867" s="15" t="str">
        <f t="shared" si="45"/>
        <v/>
      </c>
      <c r="C867" s="16" t="str">
        <f>IFERROR(VLOOKUP(DATA!#REF!,DATA!#REF!,1,FALSE),"")</f>
        <v/>
      </c>
      <c r="D867" s="16" t="str">
        <f>IFERROR(VLOOKUP(C867,DATA!#REF!,2,FALSE),"")</f>
        <v/>
      </c>
    </row>
    <row r="868" spans="2:4" s="230" customFormat="1">
      <c r="B868" s="15" t="str">
        <f t="shared" si="45"/>
        <v/>
      </c>
      <c r="C868" s="16" t="str">
        <f>IFERROR(VLOOKUP(DATA!#REF!,DATA!#REF!,1,FALSE),"")</f>
        <v/>
      </c>
      <c r="D868" s="16" t="str">
        <f>IFERROR(VLOOKUP(C868,DATA!#REF!,2,FALSE),"")</f>
        <v/>
      </c>
    </row>
    <row r="869" spans="2:4" s="230" customFormat="1">
      <c r="B869" s="15" t="str">
        <f t="shared" si="45"/>
        <v/>
      </c>
      <c r="C869" s="16" t="str">
        <f>IFERROR(VLOOKUP(DATA!#REF!,DATA!#REF!,1,FALSE),"")</f>
        <v/>
      </c>
      <c r="D869" s="16" t="str">
        <f>IFERROR(VLOOKUP(C869,DATA!#REF!,2,FALSE),"")</f>
        <v/>
      </c>
    </row>
    <row r="870" spans="2:4" s="230" customFormat="1">
      <c r="B870" s="15" t="str">
        <f t="shared" si="45"/>
        <v/>
      </c>
      <c r="C870" s="16" t="str">
        <f>IFERROR(VLOOKUP(DATA!#REF!,DATA!#REF!,1,FALSE),"")</f>
        <v/>
      </c>
      <c r="D870" s="16" t="str">
        <f>IFERROR(VLOOKUP(C870,DATA!#REF!,2,FALSE),"")</f>
        <v/>
      </c>
    </row>
    <row r="871" spans="2:4" s="230" customFormat="1">
      <c r="B871" s="15" t="str">
        <f t="shared" si="45"/>
        <v/>
      </c>
      <c r="C871" s="16" t="str">
        <f>IFERROR(VLOOKUP(DATA!#REF!,DATA!#REF!,1,FALSE),"")</f>
        <v/>
      </c>
      <c r="D871" s="16" t="str">
        <f>IFERROR(VLOOKUP(C871,DATA!#REF!,2,FALSE),"")</f>
        <v/>
      </c>
    </row>
    <row r="872" spans="2:4" s="230" customFormat="1">
      <c r="B872" s="15" t="str">
        <f t="shared" si="45"/>
        <v/>
      </c>
      <c r="C872" s="16" t="str">
        <f>IFERROR(VLOOKUP(DATA!#REF!,DATA!#REF!,1,FALSE),"")</f>
        <v/>
      </c>
      <c r="D872" s="16" t="str">
        <f>IFERROR(VLOOKUP(C872,DATA!#REF!,2,FALSE),"")</f>
        <v/>
      </c>
    </row>
    <row r="873" spans="2:4" s="230" customFormat="1">
      <c r="B873" s="15" t="str">
        <f t="shared" si="45"/>
        <v/>
      </c>
      <c r="C873" s="16" t="str">
        <f>IFERROR(VLOOKUP(DATA!#REF!,DATA!#REF!,1,FALSE),"")</f>
        <v/>
      </c>
      <c r="D873" s="16" t="str">
        <f>IFERROR(VLOOKUP(C873,DATA!#REF!,2,FALSE),"")</f>
        <v/>
      </c>
    </row>
    <row r="874" spans="2:4" s="230" customFormat="1">
      <c r="B874" s="15" t="str">
        <f t="shared" si="45"/>
        <v/>
      </c>
      <c r="C874" s="16" t="str">
        <f>IFERROR(VLOOKUP(DATA!#REF!,DATA!#REF!,1,FALSE),"")</f>
        <v/>
      </c>
      <c r="D874" s="16" t="str">
        <f>IFERROR(VLOOKUP(C874,DATA!#REF!,2,FALSE),"")</f>
        <v/>
      </c>
    </row>
    <row r="875" spans="2:4" s="230" customFormat="1">
      <c r="B875" s="15" t="str">
        <f t="shared" si="45"/>
        <v/>
      </c>
      <c r="C875" s="16" t="str">
        <f>IFERROR(VLOOKUP(DATA!#REF!,DATA!#REF!,1,FALSE),"")</f>
        <v/>
      </c>
      <c r="D875" s="16" t="str">
        <f>IFERROR(VLOOKUP(C875,DATA!#REF!,2,FALSE),"")</f>
        <v/>
      </c>
    </row>
    <row r="876" spans="2:4" s="230" customFormat="1">
      <c r="B876" s="15" t="str">
        <f t="shared" si="45"/>
        <v/>
      </c>
      <c r="C876" s="16" t="str">
        <f>IFERROR(VLOOKUP(DATA!#REF!,DATA!#REF!,1,FALSE),"")</f>
        <v/>
      </c>
      <c r="D876" s="16" t="str">
        <f>IFERROR(VLOOKUP(C876,DATA!#REF!,2,FALSE),"")</f>
        <v/>
      </c>
    </row>
    <row r="877" spans="2:4" s="230" customFormat="1">
      <c r="B877" s="15" t="str">
        <f t="shared" si="45"/>
        <v/>
      </c>
      <c r="C877" s="16" t="str">
        <f>IFERROR(VLOOKUP(DATA!#REF!,DATA!#REF!,1,FALSE),"")</f>
        <v/>
      </c>
      <c r="D877" s="16" t="str">
        <f>IFERROR(VLOOKUP(C877,DATA!#REF!,2,FALSE),"")</f>
        <v/>
      </c>
    </row>
    <row r="878" spans="2:4" s="230" customFormat="1">
      <c r="B878" s="15" t="str">
        <f t="shared" si="45"/>
        <v/>
      </c>
      <c r="C878" s="16" t="str">
        <f>IFERROR(VLOOKUP(DATA!#REF!,DATA!#REF!,1,FALSE),"")</f>
        <v/>
      </c>
      <c r="D878" s="16" t="str">
        <f>IFERROR(VLOOKUP(C878,DATA!#REF!,2,FALSE),"")</f>
        <v/>
      </c>
    </row>
    <row r="879" spans="2:4" s="230" customFormat="1">
      <c r="B879" s="15" t="str">
        <f t="shared" si="45"/>
        <v/>
      </c>
      <c r="C879" s="16" t="str">
        <f>IFERROR(VLOOKUP(DATA!#REF!,DATA!#REF!,1,FALSE),"")</f>
        <v/>
      </c>
      <c r="D879" s="16" t="str">
        <f>IFERROR(VLOOKUP(C879,DATA!#REF!,2,FALSE),"")</f>
        <v/>
      </c>
    </row>
    <row r="880" spans="2:4" s="230" customFormat="1">
      <c r="B880" s="15" t="str">
        <f t="shared" si="45"/>
        <v/>
      </c>
      <c r="C880" s="16" t="str">
        <f>IFERROR(VLOOKUP(DATA!#REF!,DATA!#REF!,1,FALSE),"")</f>
        <v/>
      </c>
      <c r="D880" s="16" t="str">
        <f>IFERROR(VLOOKUP(C880,DATA!#REF!,2,FALSE),"")</f>
        <v/>
      </c>
    </row>
    <row r="881" spans="2:4" s="230" customFormat="1">
      <c r="B881" s="15" t="str">
        <f t="shared" si="45"/>
        <v/>
      </c>
      <c r="C881" s="16" t="str">
        <f>IFERROR(VLOOKUP(DATA!#REF!,DATA!#REF!,1,FALSE),"")</f>
        <v/>
      </c>
      <c r="D881" s="16" t="str">
        <f>IFERROR(VLOOKUP(C881,DATA!#REF!,2,FALSE),"")</f>
        <v/>
      </c>
    </row>
    <row r="882" spans="2:4" s="230" customFormat="1">
      <c r="B882" s="15" t="str">
        <f t="shared" si="45"/>
        <v/>
      </c>
      <c r="C882" s="16" t="str">
        <f>IFERROR(VLOOKUP(DATA!#REF!,DATA!#REF!,1,FALSE),"")</f>
        <v/>
      </c>
      <c r="D882" s="16" t="str">
        <f>IFERROR(VLOOKUP(C882,DATA!#REF!,2,FALSE),"")</f>
        <v/>
      </c>
    </row>
    <row r="883" spans="2:4" s="230" customFormat="1">
      <c r="B883" s="15" t="str">
        <f t="shared" si="45"/>
        <v/>
      </c>
      <c r="C883" s="16" t="str">
        <f>IFERROR(VLOOKUP(DATA!#REF!,DATA!#REF!,1,FALSE),"")</f>
        <v/>
      </c>
      <c r="D883" s="16" t="str">
        <f>IFERROR(VLOOKUP(C883,DATA!#REF!,2,FALSE),"")</f>
        <v/>
      </c>
    </row>
    <row r="884" spans="2:4" s="230" customFormat="1">
      <c r="B884" s="15" t="str">
        <f t="shared" si="45"/>
        <v/>
      </c>
      <c r="C884" s="16" t="str">
        <f>IFERROR(VLOOKUP(DATA!#REF!,DATA!#REF!,1,FALSE),"")</f>
        <v/>
      </c>
      <c r="D884" s="16" t="str">
        <f>IFERROR(VLOOKUP(C884,DATA!#REF!,2,FALSE),"")</f>
        <v/>
      </c>
    </row>
    <row r="885" spans="2:4" s="230" customFormat="1">
      <c r="B885" s="15" t="str">
        <f t="shared" si="45"/>
        <v/>
      </c>
      <c r="C885" s="16" t="str">
        <f>IFERROR(VLOOKUP(DATA!#REF!,DATA!#REF!,1,FALSE),"")</f>
        <v/>
      </c>
      <c r="D885" s="16" t="str">
        <f>IFERROR(VLOOKUP(C885,DATA!#REF!,2,FALSE),"")</f>
        <v/>
      </c>
    </row>
    <row r="886" spans="2:4" s="230" customFormat="1">
      <c r="B886" s="15" t="str">
        <f t="shared" si="45"/>
        <v/>
      </c>
      <c r="C886" s="16" t="str">
        <f>IFERROR(VLOOKUP(DATA!#REF!,DATA!#REF!,1,FALSE),"")</f>
        <v/>
      </c>
      <c r="D886" s="16" t="str">
        <f>IFERROR(VLOOKUP(C886,DATA!#REF!,2,FALSE),"")</f>
        <v/>
      </c>
    </row>
    <row r="887" spans="2:4" s="230" customFormat="1">
      <c r="B887" s="15" t="str">
        <f t="shared" si="45"/>
        <v/>
      </c>
      <c r="C887" s="16" t="str">
        <f>IFERROR(VLOOKUP(DATA!#REF!,DATA!#REF!,1,FALSE),"")</f>
        <v/>
      </c>
      <c r="D887" s="16" t="str">
        <f>IFERROR(VLOOKUP(C887,DATA!#REF!,2,FALSE),"")</f>
        <v/>
      </c>
    </row>
    <row r="888" spans="2:4" s="230" customFormat="1">
      <c r="B888" s="15" t="str">
        <f t="shared" si="45"/>
        <v/>
      </c>
      <c r="C888" s="16" t="str">
        <f>IFERROR(VLOOKUP(DATA!#REF!,DATA!#REF!,1,FALSE),"")</f>
        <v/>
      </c>
      <c r="D888" s="16" t="str">
        <f>IFERROR(VLOOKUP(C888,DATA!#REF!,2,FALSE),"")</f>
        <v/>
      </c>
    </row>
    <row r="889" spans="2:4" s="230" customFormat="1">
      <c r="B889" s="15" t="str">
        <f t="shared" si="45"/>
        <v/>
      </c>
      <c r="C889" s="16" t="str">
        <f>IFERROR(VLOOKUP(DATA!#REF!,DATA!#REF!,1,FALSE),"")</f>
        <v/>
      </c>
      <c r="D889" s="16" t="str">
        <f>IFERROR(VLOOKUP(C889,DATA!#REF!,2,FALSE),"")</f>
        <v/>
      </c>
    </row>
    <row r="890" spans="2:4" s="230" customFormat="1">
      <c r="B890" s="15" t="str">
        <f t="shared" si="45"/>
        <v/>
      </c>
      <c r="C890" s="16" t="str">
        <f>IFERROR(VLOOKUP(DATA!#REF!,DATA!#REF!,1,FALSE),"")</f>
        <v/>
      </c>
      <c r="D890" s="16" t="str">
        <f>IFERROR(VLOOKUP(C890,DATA!#REF!,2,FALSE),"")</f>
        <v/>
      </c>
    </row>
    <row r="891" spans="2:4" s="230" customFormat="1">
      <c r="B891" s="15" t="str">
        <f t="shared" si="45"/>
        <v/>
      </c>
      <c r="C891" s="16" t="str">
        <f>IFERROR(VLOOKUP(DATA!#REF!,DATA!#REF!,1,FALSE),"")</f>
        <v/>
      </c>
      <c r="D891" s="16" t="str">
        <f>IFERROR(VLOOKUP(C891,DATA!#REF!,2,FALSE),"")</f>
        <v/>
      </c>
    </row>
    <row r="892" spans="2:4" s="230" customFormat="1">
      <c r="B892" s="15" t="str">
        <f t="shared" si="45"/>
        <v/>
      </c>
      <c r="C892" s="16" t="str">
        <f>IFERROR(VLOOKUP(DATA!#REF!,DATA!#REF!,1,FALSE),"")</f>
        <v/>
      </c>
      <c r="D892" s="16" t="str">
        <f>IFERROR(VLOOKUP(C892,DATA!#REF!,2,FALSE),"")</f>
        <v/>
      </c>
    </row>
    <row r="893" spans="2:4" s="230" customFormat="1">
      <c r="B893" s="15" t="str">
        <f t="shared" si="45"/>
        <v/>
      </c>
      <c r="C893" s="16" t="str">
        <f>IFERROR(VLOOKUP(DATA!#REF!,DATA!#REF!,1,FALSE),"")</f>
        <v/>
      </c>
      <c r="D893" s="16" t="str">
        <f>IFERROR(VLOOKUP(C893,DATA!#REF!,2,FALSE),"")</f>
        <v/>
      </c>
    </row>
    <row r="894" spans="2:4" s="230" customFormat="1">
      <c r="B894" s="15" t="str">
        <f t="shared" si="45"/>
        <v/>
      </c>
      <c r="C894" s="16" t="str">
        <f>IFERROR(VLOOKUP(DATA!#REF!,DATA!#REF!,1,FALSE),"")</f>
        <v/>
      </c>
      <c r="D894" s="16" t="str">
        <f>IFERROR(VLOOKUP(C894,DATA!#REF!,2,FALSE),"")</f>
        <v/>
      </c>
    </row>
    <row r="895" spans="2:4" s="230" customFormat="1">
      <c r="B895" s="15" t="str">
        <f t="shared" si="45"/>
        <v/>
      </c>
      <c r="C895" s="16" t="str">
        <f>IFERROR(VLOOKUP(DATA!#REF!,DATA!#REF!,1,FALSE),"")</f>
        <v/>
      </c>
      <c r="D895" s="16" t="str">
        <f>IFERROR(VLOOKUP(C895,DATA!#REF!,2,FALSE),"")</f>
        <v/>
      </c>
    </row>
    <row r="896" spans="2:4" s="230" customFormat="1">
      <c r="B896" s="15" t="str">
        <f t="shared" si="45"/>
        <v/>
      </c>
      <c r="C896" s="16" t="str">
        <f>IFERROR(VLOOKUP(DATA!#REF!,DATA!#REF!,1,FALSE),"")</f>
        <v/>
      </c>
      <c r="D896" s="16" t="str">
        <f>IFERROR(VLOOKUP(C896,DATA!#REF!,2,FALSE),"")</f>
        <v/>
      </c>
    </row>
    <row r="897" spans="2:4" s="230" customFormat="1">
      <c r="B897" s="15" t="str">
        <f t="shared" si="45"/>
        <v/>
      </c>
      <c r="C897" s="16" t="str">
        <f>IFERROR(VLOOKUP(DATA!#REF!,DATA!#REF!,1,FALSE),"")</f>
        <v/>
      </c>
      <c r="D897" s="16" t="str">
        <f>IFERROR(VLOOKUP(C897,DATA!#REF!,2,FALSE),"")</f>
        <v/>
      </c>
    </row>
    <row r="898" spans="2:4" s="230" customFormat="1">
      <c r="B898" s="15" t="str">
        <f t="shared" si="45"/>
        <v/>
      </c>
      <c r="C898" s="16" t="str">
        <f>IFERROR(VLOOKUP(DATA!#REF!,DATA!#REF!,1,FALSE),"")</f>
        <v/>
      </c>
      <c r="D898" s="16" t="str">
        <f>IFERROR(VLOOKUP(C898,DATA!#REF!,2,FALSE),"")</f>
        <v/>
      </c>
    </row>
    <row r="899" spans="2:4" s="230" customFormat="1">
      <c r="B899" s="15" t="str">
        <f t="shared" si="45"/>
        <v/>
      </c>
      <c r="C899" s="16" t="str">
        <f>IFERROR(VLOOKUP(DATA!#REF!,DATA!#REF!,1,FALSE),"")</f>
        <v/>
      </c>
      <c r="D899" s="16" t="str">
        <f>IFERROR(VLOOKUP(C899,DATA!#REF!,2,FALSE),"")</f>
        <v/>
      </c>
    </row>
    <row r="900" spans="2:4" s="230" customFormat="1">
      <c r="B900" s="15" t="str">
        <f t="shared" si="45"/>
        <v/>
      </c>
      <c r="C900" s="16" t="str">
        <f>IFERROR(VLOOKUP(DATA!#REF!,DATA!#REF!,1,FALSE),"")</f>
        <v/>
      </c>
      <c r="D900" s="16" t="str">
        <f>IFERROR(VLOOKUP(C900,DATA!#REF!,2,FALSE),"")</f>
        <v/>
      </c>
    </row>
    <row r="901" spans="2:4" s="230" customFormat="1">
      <c r="B901" s="15" t="str">
        <f t="shared" si="45"/>
        <v/>
      </c>
      <c r="C901" s="16" t="str">
        <f>IFERROR(VLOOKUP(DATA!#REF!,DATA!#REF!,1,FALSE),"")</f>
        <v/>
      </c>
      <c r="D901" s="16" t="str">
        <f>IFERROR(VLOOKUP(C901,DATA!#REF!,2,FALSE),"")</f>
        <v/>
      </c>
    </row>
    <row r="902" spans="2:4" s="230" customFormat="1">
      <c r="B902" s="15" t="str">
        <f t="shared" ref="B902:B965" si="46">+IF(C902="","",ROW()-5)</f>
        <v/>
      </c>
      <c r="C902" s="16" t="str">
        <f>IFERROR(VLOOKUP(DATA!#REF!,DATA!#REF!,1,FALSE),"")</f>
        <v/>
      </c>
      <c r="D902" s="16" t="str">
        <f>IFERROR(VLOOKUP(C902,DATA!#REF!,2,FALSE),"")</f>
        <v/>
      </c>
    </row>
    <row r="903" spans="2:4" s="230" customFormat="1">
      <c r="B903" s="15" t="str">
        <f t="shared" si="46"/>
        <v/>
      </c>
      <c r="C903" s="16" t="str">
        <f>IFERROR(VLOOKUP(DATA!#REF!,DATA!#REF!,1,FALSE),"")</f>
        <v/>
      </c>
      <c r="D903" s="16" t="str">
        <f>IFERROR(VLOOKUP(C903,DATA!#REF!,2,FALSE),"")</f>
        <v/>
      </c>
    </row>
    <row r="904" spans="2:4" s="230" customFormat="1">
      <c r="B904" s="15" t="str">
        <f t="shared" si="46"/>
        <v/>
      </c>
      <c r="C904" s="16" t="str">
        <f>IFERROR(VLOOKUP(DATA!#REF!,DATA!#REF!,1,FALSE),"")</f>
        <v/>
      </c>
      <c r="D904" s="16" t="str">
        <f>IFERROR(VLOOKUP(C904,DATA!#REF!,2,FALSE),"")</f>
        <v/>
      </c>
    </row>
    <row r="905" spans="2:4" s="230" customFormat="1">
      <c r="B905" s="15" t="str">
        <f t="shared" si="46"/>
        <v/>
      </c>
      <c r="C905" s="16" t="str">
        <f>IFERROR(VLOOKUP(DATA!#REF!,DATA!#REF!,1,FALSE),"")</f>
        <v/>
      </c>
      <c r="D905" s="16" t="str">
        <f>IFERROR(VLOOKUP(C905,DATA!#REF!,2,FALSE),"")</f>
        <v/>
      </c>
    </row>
    <row r="906" spans="2:4" s="230" customFormat="1">
      <c r="B906" s="15" t="str">
        <f t="shared" si="46"/>
        <v/>
      </c>
      <c r="C906" s="16" t="str">
        <f>IFERROR(VLOOKUP(DATA!#REF!,DATA!#REF!,1,FALSE),"")</f>
        <v/>
      </c>
      <c r="D906" s="16" t="str">
        <f>IFERROR(VLOOKUP(C906,DATA!#REF!,2,FALSE),"")</f>
        <v/>
      </c>
    </row>
    <row r="907" spans="2:4" s="230" customFormat="1">
      <c r="B907" s="15" t="str">
        <f t="shared" si="46"/>
        <v/>
      </c>
      <c r="C907" s="16" t="str">
        <f>IFERROR(VLOOKUP(DATA!#REF!,DATA!#REF!,1,FALSE),"")</f>
        <v/>
      </c>
      <c r="D907" s="16" t="str">
        <f>IFERROR(VLOOKUP(C907,DATA!#REF!,2,FALSE),"")</f>
        <v/>
      </c>
    </row>
    <row r="908" spans="2:4" s="230" customFormat="1">
      <c r="B908" s="15" t="str">
        <f t="shared" si="46"/>
        <v/>
      </c>
      <c r="C908" s="16" t="str">
        <f>IFERROR(VLOOKUP(DATA!#REF!,DATA!#REF!,1,FALSE),"")</f>
        <v/>
      </c>
      <c r="D908" s="16" t="str">
        <f>IFERROR(VLOOKUP(C908,DATA!#REF!,2,FALSE),"")</f>
        <v/>
      </c>
    </row>
    <row r="909" spans="2:4" s="230" customFormat="1">
      <c r="B909" s="15" t="str">
        <f t="shared" si="46"/>
        <v/>
      </c>
      <c r="C909" s="16" t="str">
        <f>IFERROR(VLOOKUP(DATA!#REF!,DATA!#REF!,1,FALSE),"")</f>
        <v/>
      </c>
      <c r="D909" s="16" t="str">
        <f>IFERROR(VLOOKUP(C909,DATA!#REF!,2,FALSE),"")</f>
        <v/>
      </c>
    </row>
    <row r="910" spans="2:4" s="230" customFormat="1">
      <c r="B910" s="15" t="str">
        <f t="shared" si="46"/>
        <v/>
      </c>
      <c r="C910" s="16" t="str">
        <f>IFERROR(VLOOKUP(DATA!#REF!,DATA!#REF!,1,FALSE),"")</f>
        <v/>
      </c>
      <c r="D910" s="16" t="str">
        <f>IFERROR(VLOOKUP(C910,DATA!#REF!,2,FALSE),"")</f>
        <v/>
      </c>
    </row>
    <row r="911" spans="2:4" s="230" customFormat="1">
      <c r="B911" s="15" t="str">
        <f t="shared" si="46"/>
        <v/>
      </c>
      <c r="C911" s="16" t="str">
        <f>IFERROR(VLOOKUP(DATA!#REF!,DATA!#REF!,1,FALSE),"")</f>
        <v/>
      </c>
      <c r="D911" s="16" t="str">
        <f>IFERROR(VLOOKUP(C911,DATA!#REF!,2,FALSE),"")</f>
        <v/>
      </c>
    </row>
    <row r="912" spans="2:4" s="230" customFormat="1">
      <c r="B912" s="15" t="str">
        <f t="shared" si="46"/>
        <v/>
      </c>
      <c r="C912" s="16" t="str">
        <f>IFERROR(VLOOKUP(DATA!#REF!,DATA!#REF!,1,FALSE),"")</f>
        <v/>
      </c>
      <c r="D912" s="16" t="str">
        <f>IFERROR(VLOOKUP(C912,DATA!#REF!,2,FALSE),"")</f>
        <v/>
      </c>
    </row>
    <row r="913" spans="2:4" s="230" customFormat="1">
      <c r="B913" s="15" t="str">
        <f t="shared" si="46"/>
        <v/>
      </c>
      <c r="C913" s="16" t="str">
        <f>IFERROR(VLOOKUP(DATA!#REF!,DATA!#REF!,1,FALSE),"")</f>
        <v/>
      </c>
      <c r="D913" s="16" t="str">
        <f>IFERROR(VLOOKUP(C913,DATA!#REF!,2,FALSE),"")</f>
        <v/>
      </c>
    </row>
    <row r="914" spans="2:4" s="230" customFormat="1">
      <c r="B914" s="15" t="str">
        <f t="shared" si="46"/>
        <v/>
      </c>
      <c r="C914" s="16" t="str">
        <f>IFERROR(VLOOKUP(DATA!#REF!,DATA!#REF!,1,FALSE),"")</f>
        <v/>
      </c>
      <c r="D914" s="16" t="str">
        <f>IFERROR(VLOOKUP(C914,DATA!#REF!,2,FALSE),"")</f>
        <v/>
      </c>
    </row>
    <row r="915" spans="2:4" s="230" customFormat="1">
      <c r="B915" s="15" t="str">
        <f t="shared" si="46"/>
        <v/>
      </c>
      <c r="C915" s="16" t="str">
        <f>IFERROR(VLOOKUP(DATA!#REF!,DATA!#REF!,1,FALSE),"")</f>
        <v/>
      </c>
      <c r="D915" s="16" t="str">
        <f>IFERROR(VLOOKUP(C915,DATA!#REF!,2,FALSE),"")</f>
        <v/>
      </c>
    </row>
    <row r="916" spans="2:4" s="230" customFormat="1">
      <c r="B916" s="15" t="str">
        <f t="shared" si="46"/>
        <v/>
      </c>
      <c r="C916" s="16" t="str">
        <f>IFERROR(VLOOKUP(DATA!#REF!,DATA!#REF!,1,FALSE),"")</f>
        <v/>
      </c>
      <c r="D916" s="16" t="str">
        <f>IFERROR(VLOOKUP(C916,DATA!#REF!,2,FALSE),"")</f>
        <v/>
      </c>
    </row>
    <row r="917" spans="2:4" s="230" customFormat="1">
      <c r="B917" s="15" t="str">
        <f t="shared" si="46"/>
        <v/>
      </c>
      <c r="C917" s="16" t="str">
        <f>IFERROR(VLOOKUP(DATA!#REF!,DATA!#REF!,1,FALSE),"")</f>
        <v/>
      </c>
      <c r="D917" s="16" t="str">
        <f>IFERROR(VLOOKUP(C917,DATA!#REF!,2,FALSE),"")</f>
        <v/>
      </c>
    </row>
    <row r="918" spans="2:4" s="230" customFormat="1">
      <c r="B918" s="15" t="str">
        <f t="shared" si="46"/>
        <v/>
      </c>
      <c r="C918" s="16" t="str">
        <f>IFERROR(VLOOKUP(DATA!#REF!,DATA!#REF!,1,FALSE),"")</f>
        <v/>
      </c>
      <c r="D918" s="16" t="str">
        <f>IFERROR(VLOOKUP(C918,DATA!#REF!,2,FALSE),"")</f>
        <v/>
      </c>
    </row>
    <row r="919" spans="2:4" s="230" customFormat="1">
      <c r="B919" s="15" t="str">
        <f t="shared" si="46"/>
        <v/>
      </c>
      <c r="C919" s="16" t="str">
        <f>IFERROR(VLOOKUP(DATA!#REF!,DATA!#REF!,1,FALSE),"")</f>
        <v/>
      </c>
      <c r="D919" s="16" t="str">
        <f>IFERROR(VLOOKUP(C919,DATA!#REF!,2,FALSE),"")</f>
        <v/>
      </c>
    </row>
    <row r="920" spans="2:4" s="230" customFormat="1">
      <c r="B920" s="15" t="str">
        <f t="shared" si="46"/>
        <v/>
      </c>
      <c r="C920" s="16" t="str">
        <f>IFERROR(VLOOKUP(DATA!#REF!,DATA!#REF!,1,FALSE),"")</f>
        <v/>
      </c>
      <c r="D920" s="16" t="str">
        <f>IFERROR(VLOOKUP(C920,DATA!#REF!,2,FALSE),"")</f>
        <v/>
      </c>
    </row>
    <row r="921" spans="2:4" s="230" customFormat="1">
      <c r="B921" s="15" t="str">
        <f t="shared" si="46"/>
        <v/>
      </c>
      <c r="C921" s="16" t="str">
        <f>IFERROR(VLOOKUP(DATA!#REF!,DATA!#REF!,1,FALSE),"")</f>
        <v/>
      </c>
      <c r="D921" s="16" t="str">
        <f>IFERROR(VLOOKUP(C921,DATA!#REF!,2,FALSE),"")</f>
        <v/>
      </c>
    </row>
    <row r="922" spans="2:4" s="230" customFormat="1">
      <c r="B922" s="15" t="str">
        <f t="shared" si="46"/>
        <v/>
      </c>
      <c r="C922" s="16" t="str">
        <f>IFERROR(VLOOKUP(DATA!#REF!,DATA!#REF!,1,FALSE),"")</f>
        <v/>
      </c>
      <c r="D922" s="16" t="str">
        <f>IFERROR(VLOOKUP(C922,DATA!#REF!,2,FALSE),"")</f>
        <v/>
      </c>
    </row>
    <row r="923" spans="2:4" s="230" customFormat="1">
      <c r="B923" s="15" t="str">
        <f t="shared" si="46"/>
        <v/>
      </c>
      <c r="C923" s="16" t="str">
        <f>IFERROR(VLOOKUP(DATA!#REF!,DATA!#REF!,1,FALSE),"")</f>
        <v/>
      </c>
      <c r="D923" s="16" t="str">
        <f>IFERROR(VLOOKUP(C923,DATA!#REF!,2,FALSE),"")</f>
        <v/>
      </c>
    </row>
    <row r="924" spans="2:4" s="230" customFormat="1">
      <c r="B924" s="15" t="str">
        <f t="shared" si="46"/>
        <v/>
      </c>
      <c r="C924" s="16" t="str">
        <f>IFERROR(VLOOKUP(DATA!#REF!,DATA!#REF!,1,FALSE),"")</f>
        <v/>
      </c>
      <c r="D924" s="16" t="str">
        <f>IFERROR(VLOOKUP(C924,DATA!#REF!,2,FALSE),"")</f>
        <v/>
      </c>
    </row>
    <row r="925" spans="2:4" s="230" customFormat="1">
      <c r="B925" s="15" t="str">
        <f t="shared" si="46"/>
        <v/>
      </c>
      <c r="C925" s="16" t="str">
        <f>IFERROR(VLOOKUP(DATA!#REF!,DATA!#REF!,1,FALSE),"")</f>
        <v/>
      </c>
      <c r="D925" s="16" t="str">
        <f>IFERROR(VLOOKUP(C925,DATA!#REF!,2,FALSE),"")</f>
        <v/>
      </c>
    </row>
    <row r="926" spans="2:4" s="230" customFormat="1">
      <c r="B926" s="15" t="str">
        <f t="shared" si="46"/>
        <v/>
      </c>
      <c r="C926" s="16" t="str">
        <f>IFERROR(VLOOKUP(DATA!#REF!,DATA!#REF!,1,FALSE),"")</f>
        <v/>
      </c>
      <c r="D926" s="16" t="str">
        <f>IFERROR(VLOOKUP(C926,DATA!#REF!,2,FALSE),"")</f>
        <v/>
      </c>
    </row>
    <row r="927" spans="2:4" s="230" customFormat="1">
      <c r="B927" s="15" t="str">
        <f t="shared" si="46"/>
        <v/>
      </c>
      <c r="C927" s="16" t="str">
        <f>IFERROR(VLOOKUP(DATA!#REF!,DATA!#REF!,1,FALSE),"")</f>
        <v/>
      </c>
      <c r="D927" s="16" t="str">
        <f>IFERROR(VLOOKUP(C927,DATA!#REF!,2,FALSE),"")</f>
        <v/>
      </c>
    </row>
    <row r="928" spans="2:4" s="230" customFormat="1">
      <c r="B928" s="15" t="str">
        <f t="shared" si="46"/>
        <v/>
      </c>
      <c r="C928" s="16" t="str">
        <f>IFERROR(VLOOKUP(DATA!#REF!,DATA!#REF!,1,FALSE),"")</f>
        <v/>
      </c>
      <c r="D928" s="16" t="str">
        <f>IFERROR(VLOOKUP(C928,DATA!#REF!,2,FALSE),"")</f>
        <v/>
      </c>
    </row>
    <row r="929" spans="2:4" s="230" customFormat="1">
      <c r="B929" s="15" t="str">
        <f t="shared" si="46"/>
        <v/>
      </c>
      <c r="C929" s="16" t="str">
        <f>IFERROR(VLOOKUP(DATA!#REF!,DATA!#REF!,1,FALSE),"")</f>
        <v/>
      </c>
      <c r="D929" s="16" t="str">
        <f>IFERROR(VLOOKUP(C929,DATA!#REF!,2,FALSE),"")</f>
        <v/>
      </c>
    </row>
    <row r="930" spans="2:4" s="230" customFormat="1">
      <c r="B930" s="15" t="str">
        <f t="shared" si="46"/>
        <v/>
      </c>
      <c r="C930" s="16" t="str">
        <f>IFERROR(VLOOKUP(DATA!#REF!,DATA!#REF!,1,FALSE),"")</f>
        <v/>
      </c>
      <c r="D930" s="16" t="str">
        <f>IFERROR(VLOOKUP(C930,DATA!#REF!,2,FALSE),"")</f>
        <v/>
      </c>
    </row>
    <row r="931" spans="2:4" s="230" customFormat="1">
      <c r="B931" s="15" t="str">
        <f t="shared" si="46"/>
        <v/>
      </c>
      <c r="C931" s="16" t="str">
        <f>IFERROR(VLOOKUP(DATA!#REF!,DATA!#REF!,1,FALSE),"")</f>
        <v/>
      </c>
      <c r="D931" s="16" t="str">
        <f>IFERROR(VLOOKUP(C931,DATA!#REF!,2,FALSE),"")</f>
        <v/>
      </c>
    </row>
    <row r="932" spans="2:4" s="230" customFormat="1">
      <c r="B932" s="15" t="str">
        <f t="shared" si="46"/>
        <v/>
      </c>
      <c r="C932" s="16" t="str">
        <f>IFERROR(VLOOKUP(DATA!#REF!,DATA!#REF!,1,FALSE),"")</f>
        <v/>
      </c>
      <c r="D932" s="16" t="str">
        <f>IFERROR(VLOOKUP(C932,DATA!#REF!,2,FALSE),"")</f>
        <v/>
      </c>
    </row>
    <row r="933" spans="2:4" s="230" customFormat="1">
      <c r="B933" s="15" t="str">
        <f t="shared" si="46"/>
        <v/>
      </c>
      <c r="C933" s="16" t="str">
        <f>IFERROR(VLOOKUP(DATA!#REF!,DATA!#REF!,1,FALSE),"")</f>
        <v/>
      </c>
      <c r="D933" s="16" t="str">
        <f>IFERROR(VLOOKUP(C933,DATA!#REF!,2,FALSE),"")</f>
        <v/>
      </c>
    </row>
    <row r="934" spans="2:4" s="230" customFormat="1">
      <c r="B934" s="15" t="str">
        <f t="shared" si="46"/>
        <v/>
      </c>
      <c r="C934" s="16" t="str">
        <f>IFERROR(VLOOKUP(DATA!#REF!,DATA!#REF!,1,FALSE),"")</f>
        <v/>
      </c>
      <c r="D934" s="16" t="str">
        <f>IFERROR(VLOOKUP(C934,DATA!#REF!,2,FALSE),"")</f>
        <v/>
      </c>
    </row>
    <row r="935" spans="2:4" s="230" customFormat="1">
      <c r="B935" s="15" t="str">
        <f t="shared" si="46"/>
        <v/>
      </c>
      <c r="C935" s="16" t="str">
        <f>IFERROR(VLOOKUP(DATA!#REF!,DATA!#REF!,1,FALSE),"")</f>
        <v/>
      </c>
      <c r="D935" s="16" t="str">
        <f>IFERROR(VLOOKUP(C935,DATA!#REF!,2,FALSE),"")</f>
        <v/>
      </c>
    </row>
    <row r="936" spans="2:4" s="230" customFormat="1">
      <c r="B936" s="15" t="str">
        <f t="shared" si="46"/>
        <v/>
      </c>
      <c r="C936" s="16" t="str">
        <f>IFERROR(VLOOKUP(DATA!#REF!,DATA!#REF!,1,FALSE),"")</f>
        <v/>
      </c>
      <c r="D936" s="16" t="str">
        <f>IFERROR(VLOOKUP(C936,DATA!#REF!,2,FALSE),"")</f>
        <v/>
      </c>
    </row>
    <row r="937" spans="2:4" s="230" customFormat="1">
      <c r="B937" s="15" t="str">
        <f t="shared" si="46"/>
        <v/>
      </c>
      <c r="C937" s="16" t="str">
        <f>IFERROR(VLOOKUP(DATA!#REF!,DATA!#REF!,1,FALSE),"")</f>
        <v/>
      </c>
      <c r="D937" s="16" t="str">
        <f>IFERROR(VLOOKUP(C937,DATA!#REF!,2,FALSE),"")</f>
        <v/>
      </c>
    </row>
    <row r="938" spans="2:4" s="230" customFormat="1">
      <c r="B938" s="15" t="str">
        <f t="shared" si="46"/>
        <v/>
      </c>
      <c r="C938" s="16" t="str">
        <f>IFERROR(VLOOKUP(DATA!#REF!,DATA!#REF!,1,FALSE),"")</f>
        <v/>
      </c>
      <c r="D938" s="16" t="str">
        <f>IFERROR(VLOOKUP(C938,DATA!#REF!,2,FALSE),"")</f>
        <v/>
      </c>
    </row>
    <row r="939" spans="2:4" s="230" customFormat="1">
      <c r="B939" s="15" t="str">
        <f t="shared" si="46"/>
        <v/>
      </c>
      <c r="C939" s="16" t="str">
        <f>IFERROR(VLOOKUP(DATA!#REF!,DATA!#REF!,1,FALSE),"")</f>
        <v/>
      </c>
      <c r="D939" s="16" t="str">
        <f>IFERROR(VLOOKUP(C939,DATA!#REF!,2,FALSE),"")</f>
        <v/>
      </c>
    </row>
    <row r="940" spans="2:4" s="230" customFormat="1">
      <c r="B940" s="15" t="str">
        <f t="shared" si="46"/>
        <v/>
      </c>
      <c r="C940" s="16" t="str">
        <f>IFERROR(VLOOKUP(DATA!#REF!,DATA!#REF!,1,FALSE),"")</f>
        <v/>
      </c>
      <c r="D940" s="16" t="str">
        <f>IFERROR(VLOOKUP(C940,DATA!#REF!,2,FALSE),"")</f>
        <v/>
      </c>
    </row>
    <row r="941" spans="2:4" s="230" customFormat="1">
      <c r="B941" s="15" t="str">
        <f t="shared" si="46"/>
        <v/>
      </c>
      <c r="C941" s="16" t="str">
        <f>IFERROR(VLOOKUP(DATA!#REF!,DATA!#REF!,1,FALSE),"")</f>
        <v/>
      </c>
      <c r="D941" s="16" t="str">
        <f>IFERROR(VLOOKUP(C941,DATA!#REF!,2,FALSE),"")</f>
        <v/>
      </c>
    </row>
    <row r="942" spans="2:4" s="230" customFormat="1">
      <c r="B942" s="15" t="str">
        <f t="shared" si="46"/>
        <v/>
      </c>
      <c r="C942" s="16" t="str">
        <f>IFERROR(VLOOKUP(DATA!#REF!,DATA!#REF!,1,FALSE),"")</f>
        <v/>
      </c>
      <c r="D942" s="16" t="str">
        <f>IFERROR(VLOOKUP(C942,DATA!#REF!,2,FALSE),"")</f>
        <v/>
      </c>
    </row>
    <row r="943" spans="2:4" s="230" customFormat="1">
      <c r="B943" s="15" t="str">
        <f t="shared" si="46"/>
        <v/>
      </c>
      <c r="C943" s="16" t="str">
        <f>IFERROR(VLOOKUP(DATA!#REF!,DATA!#REF!,1,FALSE),"")</f>
        <v/>
      </c>
      <c r="D943" s="16" t="str">
        <f>IFERROR(VLOOKUP(C943,DATA!#REF!,2,FALSE),"")</f>
        <v/>
      </c>
    </row>
    <row r="944" spans="2:4" s="230" customFormat="1">
      <c r="B944" s="15" t="str">
        <f t="shared" si="46"/>
        <v/>
      </c>
      <c r="C944" s="16" t="str">
        <f>IFERROR(VLOOKUP(DATA!#REF!,DATA!#REF!,1,FALSE),"")</f>
        <v/>
      </c>
      <c r="D944" s="16" t="str">
        <f>IFERROR(VLOOKUP(C944,DATA!#REF!,2,FALSE),"")</f>
        <v/>
      </c>
    </row>
    <row r="945" spans="2:4" s="230" customFormat="1">
      <c r="B945" s="15" t="str">
        <f t="shared" si="46"/>
        <v/>
      </c>
      <c r="C945" s="16" t="str">
        <f>IFERROR(VLOOKUP(DATA!#REF!,DATA!#REF!,1,FALSE),"")</f>
        <v/>
      </c>
      <c r="D945" s="16" t="str">
        <f>IFERROR(VLOOKUP(C945,DATA!#REF!,2,FALSE),"")</f>
        <v/>
      </c>
    </row>
    <row r="946" spans="2:4" s="230" customFormat="1">
      <c r="B946" s="15" t="str">
        <f t="shared" si="46"/>
        <v/>
      </c>
      <c r="C946" s="16" t="str">
        <f>IFERROR(VLOOKUP(DATA!#REF!,DATA!#REF!,1,FALSE),"")</f>
        <v/>
      </c>
      <c r="D946" s="16" t="str">
        <f>IFERROR(VLOOKUP(C946,DATA!#REF!,2,FALSE),"")</f>
        <v/>
      </c>
    </row>
    <row r="947" spans="2:4" s="230" customFormat="1">
      <c r="B947" s="15" t="str">
        <f t="shared" si="46"/>
        <v/>
      </c>
      <c r="C947" s="16" t="str">
        <f>IFERROR(VLOOKUP(DATA!#REF!,DATA!#REF!,1,FALSE),"")</f>
        <v/>
      </c>
      <c r="D947" s="16" t="str">
        <f>IFERROR(VLOOKUP(C947,DATA!#REF!,2,FALSE),"")</f>
        <v/>
      </c>
    </row>
    <row r="948" spans="2:4" s="230" customFormat="1">
      <c r="B948" s="15" t="str">
        <f t="shared" si="46"/>
        <v/>
      </c>
      <c r="C948" s="16" t="str">
        <f>IFERROR(VLOOKUP(DATA!#REF!,DATA!#REF!,1,FALSE),"")</f>
        <v/>
      </c>
      <c r="D948" s="16" t="str">
        <f>IFERROR(VLOOKUP(C948,DATA!#REF!,2,FALSE),"")</f>
        <v/>
      </c>
    </row>
    <row r="949" spans="2:4" s="230" customFormat="1">
      <c r="B949" s="15" t="str">
        <f t="shared" si="46"/>
        <v/>
      </c>
      <c r="C949" s="16" t="str">
        <f>IFERROR(VLOOKUP(DATA!#REF!,DATA!#REF!,1,FALSE),"")</f>
        <v/>
      </c>
      <c r="D949" s="16" t="str">
        <f>IFERROR(VLOOKUP(C949,DATA!#REF!,2,FALSE),"")</f>
        <v/>
      </c>
    </row>
    <row r="950" spans="2:4" s="230" customFormat="1">
      <c r="B950" s="15" t="str">
        <f t="shared" si="46"/>
        <v/>
      </c>
      <c r="C950" s="16" t="str">
        <f>IFERROR(VLOOKUP(DATA!#REF!,DATA!#REF!,1,FALSE),"")</f>
        <v/>
      </c>
      <c r="D950" s="16" t="str">
        <f>IFERROR(VLOOKUP(C950,DATA!#REF!,2,FALSE),"")</f>
        <v/>
      </c>
    </row>
    <row r="951" spans="2:4" s="230" customFormat="1">
      <c r="B951" s="15" t="str">
        <f t="shared" si="46"/>
        <v/>
      </c>
      <c r="C951" s="16" t="str">
        <f>IFERROR(VLOOKUP(DATA!#REF!,DATA!#REF!,1,FALSE),"")</f>
        <v/>
      </c>
      <c r="D951" s="16" t="str">
        <f>IFERROR(VLOOKUP(C951,DATA!#REF!,2,FALSE),"")</f>
        <v/>
      </c>
    </row>
    <row r="952" spans="2:4" s="230" customFormat="1">
      <c r="B952" s="15" t="str">
        <f t="shared" si="46"/>
        <v/>
      </c>
      <c r="C952" s="16" t="str">
        <f>IFERROR(VLOOKUP(DATA!#REF!,DATA!#REF!,1,FALSE),"")</f>
        <v/>
      </c>
      <c r="D952" s="16" t="str">
        <f>IFERROR(VLOOKUP(C952,DATA!#REF!,2,FALSE),"")</f>
        <v/>
      </c>
    </row>
    <row r="953" spans="2:4" s="230" customFormat="1">
      <c r="B953" s="15" t="str">
        <f t="shared" si="46"/>
        <v/>
      </c>
      <c r="C953" s="16" t="str">
        <f>IFERROR(VLOOKUP(DATA!#REF!,DATA!#REF!,1,FALSE),"")</f>
        <v/>
      </c>
      <c r="D953" s="16" t="str">
        <f>IFERROR(VLOOKUP(C953,DATA!#REF!,2,FALSE),"")</f>
        <v/>
      </c>
    </row>
    <row r="954" spans="2:4" s="230" customFormat="1">
      <c r="B954" s="15" t="str">
        <f t="shared" si="46"/>
        <v/>
      </c>
      <c r="C954" s="16" t="str">
        <f>IFERROR(VLOOKUP(DATA!#REF!,DATA!#REF!,1,FALSE),"")</f>
        <v/>
      </c>
      <c r="D954" s="16" t="str">
        <f>IFERROR(VLOOKUP(C954,DATA!#REF!,2,FALSE),"")</f>
        <v/>
      </c>
    </row>
    <row r="955" spans="2:4" s="230" customFormat="1">
      <c r="B955" s="15" t="str">
        <f t="shared" si="46"/>
        <v/>
      </c>
      <c r="C955" s="16" t="str">
        <f>IFERROR(VLOOKUP(DATA!#REF!,DATA!#REF!,1,FALSE),"")</f>
        <v/>
      </c>
      <c r="D955" s="16" t="str">
        <f>IFERROR(VLOOKUP(C955,DATA!#REF!,2,FALSE),"")</f>
        <v/>
      </c>
    </row>
    <row r="956" spans="2:4" s="230" customFormat="1">
      <c r="B956" s="15" t="str">
        <f t="shared" si="46"/>
        <v/>
      </c>
      <c r="C956" s="16" t="str">
        <f>IFERROR(VLOOKUP(DATA!#REF!,DATA!#REF!,1,FALSE),"")</f>
        <v/>
      </c>
      <c r="D956" s="16" t="str">
        <f>IFERROR(VLOOKUP(C956,DATA!#REF!,2,FALSE),"")</f>
        <v/>
      </c>
    </row>
    <row r="957" spans="2:4" s="230" customFormat="1">
      <c r="B957" s="15" t="str">
        <f t="shared" si="46"/>
        <v/>
      </c>
      <c r="C957" s="16" t="str">
        <f>IFERROR(VLOOKUP(DATA!#REF!,DATA!#REF!,1,FALSE),"")</f>
        <v/>
      </c>
      <c r="D957" s="16" t="str">
        <f>IFERROR(VLOOKUP(C957,DATA!#REF!,2,FALSE),"")</f>
        <v/>
      </c>
    </row>
    <row r="958" spans="2:4" s="230" customFormat="1">
      <c r="B958" s="15" t="str">
        <f t="shared" si="46"/>
        <v/>
      </c>
      <c r="C958" s="16" t="str">
        <f>IFERROR(VLOOKUP(DATA!#REF!,DATA!#REF!,1,FALSE),"")</f>
        <v/>
      </c>
      <c r="D958" s="16" t="str">
        <f>IFERROR(VLOOKUP(C958,DATA!#REF!,2,FALSE),"")</f>
        <v/>
      </c>
    </row>
    <row r="959" spans="2:4" s="230" customFormat="1">
      <c r="B959" s="15" t="str">
        <f t="shared" si="46"/>
        <v/>
      </c>
      <c r="C959" s="16" t="str">
        <f>IFERROR(VLOOKUP(DATA!#REF!,DATA!#REF!,1,FALSE),"")</f>
        <v/>
      </c>
      <c r="D959" s="16" t="str">
        <f>IFERROR(VLOOKUP(C959,DATA!#REF!,2,FALSE),"")</f>
        <v/>
      </c>
    </row>
    <row r="960" spans="2:4" s="230" customFormat="1">
      <c r="B960" s="15" t="str">
        <f t="shared" si="46"/>
        <v/>
      </c>
      <c r="C960" s="16" t="str">
        <f>IFERROR(VLOOKUP(DATA!#REF!,DATA!#REF!,1,FALSE),"")</f>
        <v/>
      </c>
      <c r="D960" s="16" t="str">
        <f>IFERROR(VLOOKUP(C960,DATA!#REF!,2,FALSE),"")</f>
        <v/>
      </c>
    </row>
    <row r="961" spans="2:4" s="230" customFormat="1">
      <c r="B961" s="15" t="str">
        <f t="shared" si="46"/>
        <v/>
      </c>
      <c r="C961" s="16" t="str">
        <f>IFERROR(VLOOKUP(DATA!#REF!,DATA!#REF!,1,FALSE),"")</f>
        <v/>
      </c>
      <c r="D961" s="16" t="str">
        <f>IFERROR(VLOOKUP(C961,DATA!#REF!,2,FALSE),"")</f>
        <v/>
      </c>
    </row>
    <row r="962" spans="2:4" s="230" customFormat="1">
      <c r="B962" s="15" t="str">
        <f t="shared" si="46"/>
        <v/>
      </c>
      <c r="C962" s="16" t="str">
        <f>IFERROR(VLOOKUP(DATA!#REF!,DATA!#REF!,1,FALSE),"")</f>
        <v/>
      </c>
      <c r="D962" s="16" t="str">
        <f>IFERROR(VLOOKUP(C962,DATA!#REF!,2,FALSE),"")</f>
        <v/>
      </c>
    </row>
    <row r="963" spans="2:4" s="230" customFormat="1">
      <c r="B963" s="15" t="str">
        <f t="shared" si="46"/>
        <v/>
      </c>
      <c r="C963" s="16" t="str">
        <f>IFERROR(VLOOKUP(DATA!#REF!,DATA!#REF!,1,FALSE),"")</f>
        <v/>
      </c>
      <c r="D963" s="16" t="str">
        <f>IFERROR(VLOOKUP(C963,DATA!#REF!,2,FALSE),"")</f>
        <v/>
      </c>
    </row>
    <row r="964" spans="2:4" s="230" customFormat="1">
      <c r="B964" s="15" t="str">
        <f t="shared" si="46"/>
        <v/>
      </c>
      <c r="C964" s="16" t="str">
        <f>IFERROR(VLOOKUP(DATA!#REF!,DATA!#REF!,1,FALSE),"")</f>
        <v/>
      </c>
      <c r="D964" s="16" t="str">
        <f>IFERROR(VLOOKUP(C964,DATA!#REF!,2,FALSE),"")</f>
        <v/>
      </c>
    </row>
    <row r="965" spans="2:4" s="230" customFormat="1">
      <c r="B965" s="15" t="str">
        <f t="shared" si="46"/>
        <v/>
      </c>
      <c r="C965" s="16" t="str">
        <f>IFERROR(VLOOKUP(DATA!#REF!,DATA!#REF!,1,FALSE),"")</f>
        <v/>
      </c>
      <c r="D965" s="16" t="str">
        <f>IFERROR(VLOOKUP(C965,DATA!#REF!,2,FALSE),"")</f>
        <v/>
      </c>
    </row>
    <row r="966" spans="2:4" s="230" customFormat="1">
      <c r="B966" s="15" t="str">
        <f t="shared" ref="B966:B1029" si="47">+IF(C966="","",ROW()-5)</f>
        <v/>
      </c>
      <c r="C966" s="16" t="str">
        <f>IFERROR(VLOOKUP(DATA!#REF!,DATA!#REF!,1,FALSE),"")</f>
        <v/>
      </c>
      <c r="D966" s="16" t="str">
        <f>IFERROR(VLOOKUP(C966,DATA!#REF!,2,FALSE),"")</f>
        <v/>
      </c>
    </row>
    <row r="967" spans="2:4" s="230" customFormat="1">
      <c r="B967" s="15" t="str">
        <f t="shared" si="47"/>
        <v/>
      </c>
      <c r="C967" s="16" t="str">
        <f>IFERROR(VLOOKUP(DATA!#REF!,DATA!#REF!,1,FALSE),"")</f>
        <v/>
      </c>
      <c r="D967" s="16" t="str">
        <f>IFERROR(VLOOKUP(C967,DATA!#REF!,2,FALSE),"")</f>
        <v/>
      </c>
    </row>
    <row r="968" spans="2:4" s="230" customFormat="1">
      <c r="B968" s="15" t="str">
        <f t="shared" si="47"/>
        <v/>
      </c>
      <c r="C968" s="16" t="str">
        <f>IFERROR(VLOOKUP(DATA!#REF!,DATA!#REF!,1,FALSE),"")</f>
        <v/>
      </c>
      <c r="D968" s="16" t="str">
        <f>IFERROR(VLOOKUP(C968,DATA!#REF!,2,FALSE),"")</f>
        <v/>
      </c>
    </row>
    <row r="969" spans="2:4" s="230" customFormat="1">
      <c r="B969" s="15" t="str">
        <f t="shared" si="47"/>
        <v/>
      </c>
      <c r="C969" s="16" t="str">
        <f>IFERROR(VLOOKUP(DATA!#REF!,DATA!#REF!,1,FALSE),"")</f>
        <v/>
      </c>
      <c r="D969" s="16" t="str">
        <f>IFERROR(VLOOKUP(C969,DATA!#REF!,2,FALSE),"")</f>
        <v/>
      </c>
    </row>
    <row r="970" spans="2:4" s="230" customFormat="1">
      <c r="B970" s="15" t="str">
        <f t="shared" si="47"/>
        <v/>
      </c>
      <c r="C970" s="16" t="str">
        <f>IFERROR(VLOOKUP(DATA!#REF!,DATA!#REF!,1,FALSE),"")</f>
        <v/>
      </c>
      <c r="D970" s="16" t="str">
        <f>IFERROR(VLOOKUP(C970,DATA!#REF!,2,FALSE),"")</f>
        <v/>
      </c>
    </row>
    <row r="971" spans="2:4" s="230" customFormat="1">
      <c r="B971" s="15" t="str">
        <f t="shared" si="47"/>
        <v/>
      </c>
      <c r="C971" s="16" t="str">
        <f>IFERROR(VLOOKUP(DATA!#REF!,DATA!#REF!,1,FALSE),"")</f>
        <v/>
      </c>
      <c r="D971" s="16" t="str">
        <f>IFERROR(VLOOKUP(C971,DATA!#REF!,2,FALSE),"")</f>
        <v/>
      </c>
    </row>
    <row r="972" spans="2:4" s="230" customFormat="1">
      <c r="B972" s="15" t="str">
        <f t="shared" si="47"/>
        <v/>
      </c>
      <c r="C972" s="16" t="str">
        <f>IFERROR(VLOOKUP(DATA!#REF!,DATA!#REF!,1,FALSE),"")</f>
        <v/>
      </c>
      <c r="D972" s="16" t="str">
        <f>IFERROR(VLOOKUP(C972,DATA!#REF!,2,FALSE),"")</f>
        <v/>
      </c>
    </row>
    <row r="973" spans="2:4" s="230" customFormat="1">
      <c r="B973" s="15" t="str">
        <f t="shared" si="47"/>
        <v/>
      </c>
      <c r="C973" s="16" t="str">
        <f>IFERROR(VLOOKUP(DATA!#REF!,DATA!#REF!,1,FALSE),"")</f>
        <v/>
      </c>
      <c r="D973" s="16" t="str">
        <f>IFERROR(VLOOKUP(C973,DATA!#REF!,2,FALSE),"")</f>
        <v/>
      </c>
    </row>
    <row r="974" spans="2:4" s="230" customFormat="1">
      <c r="B974" s="15" t="str">
        <f t="shared" si="47"/>
        <v/>
      </c>
      <c r="C974" s="16" t="str">
        <f>IFERROR(VLOOKUP(DATA!#REF!,DATA!#REF!,1,FALSE),"")</f>
        <v/>
      </c>
      <c r="D974" s="16" t="str">
        <f>IFERROR(VLOOKUP(C974,DATA!#REF!,2,FALSE),"")</f>
        <v/>
      </c>
    </row>
    <row r="975" spans="2:4" s="230" customFormat="1">
      <c r="B975" s="15" t="str">
        <f t="shared" si="47"/>
        <v/>
      </c>
      <c r="C975" s="16" t="str">
        <f>IFERROR(VLOOKUP(DATA!#REF!,DATA!#REF!,1,FALSE),"")</f>
        <v/>
      </c>
      <c r="D975" s="16" t="str">
        <f>IFERROR(VLOOKUP(C975,DATA!#REF!,2,FALSE),"")</f>
        <v/>
      </c>
    </row>
    <row r="976" spans="2:4" s="230" customFormat="1">
      <c r="B976" s="15" t="str">
        <f t="shared" si="47"/>
        <v/>
      </c>
      <c r="C976" s="16" t="str">
        <f>IFERROR(VLOOKUP(DATA!#REF!,DATA!#REF!,1,FALSE),"")</f>
        <v/>
      </c>
      <c r="D976" s="16" t="str">
        <f>IFERROR(VLOOKUP(C976,DATA!#REF!,2,FALSE),"")</f>
        <v/>
      </c>
    </row>
    <row r="977" spans="2:4" s="230" customFormat="1">
      <c r="B977" s="15" t="str">
        <f t="shared" si="47"/>
        <v/>
      </c>
      <c r="C977" s="16" t="str">
        <f>IFERROR(VLOOKUP(DATA!#REF!,DATA!#REF!,1,FALSE),"")</f>
        <v/>
      </c>
      <c r="D977" s="16" t="str">
        <f>IFERROR(VLOOKUP(C977,DATA!#REF!,2,FALSE),"")</f>
        <v/>
      </c>
    </row>
    <row r="978" spans="2:4" s="230" customFormat="1">
      <c r="B978" s="15" t="str">
        <f t="shared" si="47"/>
        <v/>
      </c>
      <c r="C978" s="16" t="str">
        <f>IFERROR(VLOOKUP(DATA!#REF!,DATA!#REF!,1,FALSE),"")</f>
        <v/>
      </c>
      <c r="D978" s="16" t="str">
        <f>IFERROR(VLOOKUP(C978,DATA!#REF!,2,FALSE),"")</f>
        <v/>
      </c>
    </row>
    <row r="979" spans="2:4" s="230" customFormat="1">
      <c r="B979" s="15" t="str">
        <f t="shared" si="47"/>
        <v/>
      </c>
      <c r="C979" s="16" t="str">
        <f>IFERROR(VLOOKUP(DATA!#REF!,DATA!#REF!,1,FALSE),"")</f>
        <v/>
      </c>
      <c r="D979" s="16" t="str">
        <f>IFERROR(VLOOKUP(C979,DATA!#REF!,2,FALSE),"")</f>
        <v/>
      </c>
    </row>
    <row r="980" spans="2:4" s="230" customFormat="1">
      <c r="B980" s="15" t="str">
        <f t="shared" si="47"/>
        <v/>
      </c>
      <c r="C980" s="16" t="str">
        <f>IFERROR(VLOOKUP(DATA!#REF!,DATA!#REF!,1,FALSE),"")</f>
        <v/>
      </c>
      <c r="D980" s="16" t="str">
        <f>IFERROR(VLOOKUP(C980,DATA!#REF!,2,FALSE),"")</f>
        <v/>
      </c>
    </row>
    <row r="981" spans="2:4" s="230" customFormat="1">
      <c r="B981" s="15" t="str">
        <f t="shared" si="47"/>
        <v/>
      </c>
      <c r="C981" s="16" t="str">
        <f>IFERROR(VLOOKUP(DATA!#REF!,DATA!#REF!,1,FALSE),"")</f>
        <v/>
      </c>
      <c r="D981" s="16" t="str">
        <f>IFERROR(VLOOKUP(C981,DATA!#REF!,2,FALSE),"")</f>
        <v/>
      </c>
    </row>
    <row r="982" spans="2:4" s="230" customFormat="1">
      <c r="B982" s="15" t="str">
        <f t="shared" si="47"/>
        <v/>
      </c>
      <c r="C982" s="16" t="str">
        <f>IFERROR(VLOOKUP(DATA!#REF!,DATA!#REF!,1,FALSE),"")</f>
        <v/>
      </c>
      <c r="D982" s="16" t="str">
        <f>IFERROR(VLOOKUP(C982,DATA!#REF!,2,FALSE),"")</f>
        <v/>
      </c>
    </row>
    <row r="983" spans="2:4" s="230" customFormat="1">
      <c r="B983" s="15" t="str">
        <f t="shared" si="47"/>
        <v/>
      </c>
      <c r="C983" s="16" t="str">
        <f>IFERROR(VLOOKUP(DATA!#REF!,DATA!#REF!,1,FALSE),"")</f>
        <v/>
      </c>
      <c r="D983" s="16" t="str">
        <f>IFERROR(VLOOKUP(C983,DATA!#REF!,2,FALSE),"")</f>
        <v/>
      </c>
    </row>
    <row r="984" spans="2:4" s="230" customFormat="1">
      <c r="B984" s="15" t="str">
        <f t="shared" si="47"/>
        <v/>
      </c>
      <c r="C984" s="16" t="str">
        <f>IFERROR(VLOOKUP(DATA!#REF!,DATA!#REF!,1,FALSE),"")</f>
        <v/>
      </c>
      <c r="D984" s="16" t="str">
        <f>IFERROR(VLOOKUP(C984,DATA!#REF!,2,FALSE),"")</f>
        <v/>
      </c>
    </row>
    <row r="985" spans="2:4" s="230" customFormat="1">
      <c r="B985" s="15" t="str">
        <f t="shared" si="47"/>
        <v/>
      </c>
      <c r="C985" s="16" t="str">
        <f>IFERROR(VLOOKUP(DATA!#REF!,DATA!#REF!,1,FALSE),"")</f>
        <v/>
      </c>
      <c r="D985" s="16" t="str">
        <f>IFERROR(VLOOKUP(C985,DATA!#REF!,2,FALSE),"")</f>
        <v/>
      </c>
    </row>
    <row r="986" spans="2:4" s="230" customFormat="1">
      <c r="B986" s="15" t="str">
        <f t="shared" si="47"/>
        <v/>
      </c>
      <c r="C986" s="16" t="str">
        <f>IFERROR(VLOOKUP(DATA!#REF!,DATA!#REF!,1,FALSE),"")</f>
        <v/>
      </c>
      <c r="D986" s="16" t="str">
        <f>IFERROR(VLOOKUP(C986,DATA!#REF!,2,FALSE),"")</f>
        <v/>
      </c>
    </row>
    <row r="987" spans="2:4" s="230" customFormat="1">
      <c r="B987" s="15" t="str">
        <f t="shared" si="47"/>
        <v/>
      </c>
      <c r="C987" s="16" t="str">
        <f>IFERROR(VLOOKUP(DATA!#REF!,DATA!#REF!,1,FALSE),"")</f>
        <v/>
      </c>
      <c r="D987" s="16" t="str">
        <f>IFERROR(VLOOKUP(C987,DATA!#REF!,2,FALSE),"")</f>
        <v/>
      </c>
    </row>
    <row r="988" spans="2:4" s="230" customFormat="1">
      <c r="B988" s="15" t="str">
        <f t="shared" si="47"/>
        <v/>
      </c>
      <c r="C988" s="16" t="str">
        <f>IFERROR(VLOOKUP(DATA!#REF!,DATA!#REF!,1,FALSE),"")</f>
        <v/>
      </c>
      <c r="D988" s="16" t="str">
        <f>IFERROR(VLOOKUP(C988,DATA!#REF!,2,FALSE),"")</f>
        <v/>
      </c>
    </row>
    <row r="989" spans="2:4" s="230" customFormat="1">
      <c r="B989" s="15" t="str">
        <f t="shared" si="47"/>
        <v/>
      </c>
      <c r="C989" s="16" t="str">
        <f>IFERROR(VLOOKUP(DATA!#REF!,DATA!#REF!,1,FALSE),"")</f>
        <v/>
      </c>
      <c r="D989" s="16" t="str">
        <f>IFERROR(VLOOKUP(C989,DATA!#REF!,2,FALSE),"")</f>
        <v/>
      </c>
    </row>
    <row r="990" spans="2:4" s="230" customFormat="1">
      <c r="B990" s="15" t="str">
        <f t="shared" si="47"/>
        <v/>
      </c>
      <c r="C990" s="16" t="str">
        <f>IFERROR(VLOOKUP(DATA!#REF!,DATA!#REF!,1,FALSE),"")</f>
        <v/>
      </c>
      <c r="D990" s="16" t="str">
        <f>IFERROR(VLOOKUP(C990,DATA!#REF!,2,FALSE),"")</f>
        <v/>
      </c>
    </row>
    <row r="991" spans="2:4" s="230" customFormat="1">
      <c r="B991" s="15" t="str">
        <f t="shared" si="47"/>
        <v/>
      </c>
      <c r="C991" s="16" t="str">
        <f>IFERROR(VLOOKUP(DATA!#REF!,DATA!#REF!,1,FALSE),"")</f>
        <v/>
      </c>
      <c r="D991" s="16" t="str">
        <f>IFERROR(VLOOKUP(C991,DATA!#REF!,2,FALSE),"")</f>
        <v/>
      </c>
    </row>
    <row r="992" spans="2:4" s="230" customFormat="1">
      <c r="B992" s="15" t="str">
        <f t="shared" si="47"/>
        <v/>
      </c>
      <c r="C992" s="16" t="str">
        <f>IFERROR(VLOOKUP(DATA!#REF!,DATA!#REF!,1,FALSE),"")</f>
        <v/>
      </c>
      <c r="D992" s="16" t="str">
        <f>IFERROR(VLOOKUP(C992,DATA!#REF!,2,FALSE),"")</f>
        <v/>
      </c>
    </row>
    <row r="993" spans="2:4" s="230" customFormat="1">
      <c r="B993" s="15" t="str">
        <f t="shared" si="47"/>
        <v/>
      </c>
      <c r="C993" s="16" t="str">
        <f>IFERROR(VLOOKUP(DATA!#REF!,DATA!#REF!,1,FALSE),"")</f>
        <v/>
      </c>
      <c r="D993" s="16" t="str">
        <f>IFERROR(VLOOKUP(C993,DATA!#REF!,2,FALSE),"")</f>
        <v/>
      </c>
    </row>
    <row r="994" spans="2:4" s="230" customFormat="1">
      <c r="B994" s="15" t="str">
        <f t="shared" si="47"/>
        <v/>
      </c>
      <c r="C994" s="16" t="str">
        <f>IFERROR(VLOOKUP(DATA!#REF!,DATA!#REF!,1,FALSE),"")</f>
        <v/>
      </c>
      <c r="D994" s="16" t="str">
        <f>IFERROR(VLOOKUP(C994,DATA!#REF!,2,FALSE),"")</f>
        <v/>
      </c>
    </row>
    <row r="995" spans="2:4" s="230" customFormat="1">
      <c r="B995" s="15" t="str">
        <f t="shared" si="47"/>
        <v/>
      </c>
      <c r="C995" s="16" t="str">
        <f>IFERROR(VLOOKUP(DATA!#REF!,DATA!#REF!,1,FALSE),"")</f>
        <v/>
      </c>
      <c r="D995" s="16" t="str">
        <f>IFERROR(VLOOKUP(C995,DATA!#REF!,2,FALSE),"")</f>
        <v/>
      </c>
    </row>
    <row r="996" spans="2:4" s="230" customFormat="1">
      <c r="B996" s="15" t="str">
        <f t="shared" si="47"/>
        <v/>
      </c>
      <c r="C996" s="16" t="str">
        <f>IFERROR(VLOOKUP(DATA!#REF!,DATA!#REF!,1,FALSE),"")</f>
        <v/>
      </c>
      <c r="D996" s="16" t="str">
        <f>IFERROR(VLOOKUP(C996,DATA!#REF!,2,FALSE),"")</f>
        <v/>
      </c>
    </row>
    <row r="997" spans="2:4" s="230" customFormat="1">
      <c r="B997" s="15" t="str">
        <f t="shared" si="47"/>
        <v/>
      </c>
      <c r="C997" s="16" t="str">
        <f>IFERROR(VLOOKUP(DATA!#REF!,DATA!#REF!,1,FALSE),"")</f>
        <v/>
      </c>
      <c r="D997" s="16" t="str">
        <f>IFERROR(VLOOKUP(C997,DATA!#REF!,2,FALSE),"")</f>
        <v/>
      </c>
    </row>
    <row r="998" spans="2:4" s="230" customFormat="1">
      <c r="B998" s="15" t="str">
        <f t="shared" si="47"/>
        <v/>
      </c>
      <c r="C998" s="16" t="str">
        <f>IFERROR(VLOOKUP(DATA!#REF!,DATA!#REF!,1,FALSE),"")</f>
        <v/>
      </c>
      <c r="D998" s="16" t="str">
        <f>IFERROR(VLOOKUP(C998,DATA!#REF!,2,FALSE),"")</f>
        <v/>
      </c>
    </row>
    <row r="999" spans="2:4" s="230" customFormat="1">
      <c r="B999" s="15" t="str">
        <f t="shared" si="47"/>
        <v/>
      </c>
      <c r="C999" s="16" t="str">
        <f>IFERROR(VLOOKUP(DATA!#REF!,DATA!#REF!,1,FALSE),"")</f>
        <v/>
      </c>
      <c r="D999" s="16" t="str">
        <f>IFERROR(VLOOKUP(C999,DATA!#REF!,2,FALSE),"")</f>
        <v/>
      </c>
    </row>
    <row r="1000" spans="2:4" s="230" customFormat="1">
      <c r="B1000" s="15" t="str">
        <f t="shared" si="47"/>
        <v/>
      </c>
      <c r="C1000" s="16" t="str">
        <f>IFERROR(VLOOKUP(DATA!#REF!,DATA!#REF!,1,FALSE),"")</f>
        <v/>
      </c>
      <c r="D1000" s="16" t="str">
        <f>IFERROR(VLOOKUP(C1000,DATA!#REF!,2,FALSE),"")</f>
        <v/>
      </c>
    </row>
    <row r="1001" spans="2:4" s="230" customFormat="1">
      <c r="B1001" s="15" t="str">
        <f t="shared" si="47"/>
        <v/>
      </c>
      <c r="C1001" s="16" t="str">
        <f>IFERROR(VLOOKUP(DATA!#REF!,DATA!#REF!,1,FALSE),"")</f>
        <v/>
      </c>
      <c r="D1001" s="16" t="str">
        <f>IFERROR(VLOOKUP(C1001,DATA!#REF!,2,FALSE),"")</f>
        <v/>
      </c>
    </row>
    <row r="1002" spans="2:4" s="230" customFormat="1">
      <c r="B1002" s="15" t="str">
        <f t="shared" si="47"/>
        <v/>
      </c>
      <c r="C1002" s="16" t="str">
        <f>IFERROR(VLOOKUP(DATA!#REF!,DATA!#REF!,1,FALSE),"")</f>
        <v/>
      </c>
      <c r="D1002" s="16" t="str">
        <f>IFERROR(VLOOKUP(C1002,DATA!#REF!,2,FALSE),"")</f>
        <v/>
      </c>
    </row>
    <row r="1003" spans="2:4" s="230" customFormat="1">
      <c r="B1003" s="15" t="str">
        <f t="shared" si="47"/>
        <v/>
      </c>
      <c r="C1003" s="16" t="str">
        <f>IFERROR(VLOOKUP(DATA!#REF!,DATA!#REF!,1,FALSE),"")</f>
        <v/>
      </c>
      <c r="D1003" s="16" t="str">
        <f>IFERROR(VLOOKUP(C1003,DATA!#REF!,2,FALSE),"")</f>
        <v/>
      </c>
    </row>
    <row r="1004" spans="2:4" s="230" customFormat="1">
      <c r="B1004" s="15" t="str">
        <f t="shared" si="47"/>
        <v/>
      </c>
      <c r="C1004" s="16" t="str">
        <f>IFERROR(VLOOKUP(DATA!#REF!,DATA!#REF!,1,FALSE),"")</f>
        <v/>
      </c>
      <c r="D1004" s="16" t="str">
        <f>IFERROR(VLOOKUP(C1004,DATA!#REF!,2,FALSE),"")</f>
        <v/>
      </c>
    </row>
    <row r="1005" spans="2:4" s="230" customFormat="1">
      <c r="B1005" s="15" t="str">
        <f t="shared" si="47"/>
        <v/>
      </c>
      <c r="C1005" s="16" t="str">
        <f>IFERROR(VLOOKUP(DATA!#REF!,DATA!#REF!,1,FALSE),"")</f>
        <v/>
      </c>
      <c r="D1005" s="16" t="str">
        <f>IFERROR(VLOOKUP(C1005,DATA!#REF!,2,FALSE),"")</f>
        <v/>
      </c>
    </row>
    <row r="1006" spans="2:4" s="230" customFormat="1">
      <c r="B1006" s="15" t="str">
        <f t="shared" si="47"/>
        <v/>
      </c>
      <c r="C1006" s="16" t="str">
        <f>IFERROR(VLOOKUP(DATA!#REF!,DATA!#REF!,1,FALSE),"")</f>
        <v/>
      </c>
      <c r="D1006" s="16" t="str">
        <f>IFERROR(VLOOKUP(C1006,DATA!#REF!,2,FALSE),"")</f>
        <v/>
      </c>
    </row>
    <row r="1007" spans="2:4" s="230" customFormat="1">
      <c r="B1007" s="15" t="str">
        <f t="shared" si="47"/>
        <v/>
      </c>
      <c r="C1007" s="16" t="str">
        <f>IFERROR(VLOOKUP(DATA!#REF!,DATA!#REF!,1,FALSE),"")</f>
        <v/>
      </c>
      <c r="D1007" s="16" t="str">
        <f>IFERROR(VLOOKUP(C1007,DATA!#REF!,2,FALSE),"")</f>
        <v/>
      </c>
    </row>
    <row r="1008" spans="2:4" s="230" customFormat="1">
      <c r="B1008" s="15" t="str">
        <f t="shared" si="47"/>
        <v/>
      </c>
      <c r="C1008" s="16" t="str">
        <f>IFERROR(VLOOKUP(DATA!#REF!,DATA!#REF!,1,FALSE),"")</f>
        <v/>
      </c>
      <c r="D1008" s="16" t="str">
        <f>IFERROR(VLOOKUP(C1008,DATA!#REF!,2,FALSE),"")</f>
        <v/>
      </c>
    </row>
    <row r="1009" spans="2:4" s="230" customFormat="1">
      <c r="B1009" s="15" t="str">
        <f t="shared" si="47"/>
        <v/>
      </c>
      <c r="C1009" s="16" t="str">
        <f>IFERROR(VLOOKUP(DATA!#REF!,DATA!#REF!,1,FALSE),"")</f>
        <v/>
      </c>
      <c r="D1009" s="16" t="str">
        <f>IFERROR(VLOOKUP(C1009,DATA!#REF!,2,FALSE),"")</f>
        <v/>
      </c>
    </row>
    <row r="1010" spans="2:4" s="230" customFormat="1">
      <c r="B1010" s="15" t="str">
        <f t="shared" si="47"/>
        <v/>
      </c>
      <c r="C1010" s="16" t="str">
        <f>IFERROR(VLOOKUP(DATA!#REF!,DATA!#REF!,1,FALSE),"")</f>
        <v/>
      </c>
      <c r="D1010" s="16" t="str">
        <f>IFERROR(VLOOKUP(C1010,DATA!#REF!,2,FALSE),"")</f>
        <v/>
      </c>
    </row>
    <row r="1011" spans="2:4" s="230" customFormat="1">
      <c r="B1011" s="15" t="str">
        <f t="shared" si="47"/>
        <v/>
      </c>
      <c r="C1011" s="16" t="str">
        <f>IFERROR(VLOOKUP(DATA!#REF!,DATA!#REF!,1,FALSE),"")</f>
        <v/>
      </c>
      <c r="D1011" s="16" t="str">
        <f>IFERROR(VLOOKUP(C1011,DATA!#REF!,2,FALSE),"")</f>
        <v/>
      </c>
    </row>
    <row r="1012" spans="2:4" s="230" customFormat="1">
      <c r="B1012" s="15" t="str">
        <f t="shared" si="47"/>
        <v/>
      </c>
      <c r="C1012" s="16" t="str">
        <f>IFERROR(VLOOKUP(DATA!#REF!,DATA!#REF!,1,FALSE),"")</f>
        <v/>
      </c>
      <c r="D1012" s="16" t="str">
        <f>IFERROR(VLOOKUP(C1012,DATA!#REF!,2,FALSE),"")</f>
        <v/>
      </c>
    </row>
    <row r="1013" spans="2:4" s="230" customFormat="1">
      <c r="B1013" s="15" t="str">
        <f t="shared" si="47"/>
        <v/>
      </c>
      <c r="C1013" s="16" t="str">
        <f>IFERROR(VLOOKUP(DATA!#REF!,DATA!#REF!,1,FALSE),"")</f>
        <v/>
      </c>
      <c r="D1013" s="16" t="str">
        <f>IFERROR(VLOOKUP(C1013,DATA!#REF!,2,FALSE),"")</f>
        <v/>
      </c>
    </row>
    <row r="1014" spans="2:4" s="230" customFormat="1">
      <c r="B1014" s="15" t="str">
        <f t="shared" si="47"/>
        <v/>
      </c>
      <c r="C1014" s="16" t="str">
        <f>IFERROR(VLOOKUP(DATA!#REF!,DATA!#REF!,1,FALSE),"")</f>
        <v/>
      </c>
      <c r="D1014" s="16" t="str">
        <f>IFERROR(VLOOKUP(C1014,DATA!#REF!,2,FALSE),"")</f>
        <v/>
      </c>
    </row>
    <row r="1015" spans="2:4" s="230" customFormat="1">
      <c r="B1015" s="15" t="str">
        <f t="shared" si="47"/>
        <v/>
      </c>
      <c r="C1015" s="16" t="str">
        <f>IFERROR(VLOOKUP(DATA!#REF!,DATA!#REF!,1,FALSE),"")</f>
        <v/>
      </c>
      <c r="D1015" s="16" t="str">
        <f>IFERROR(VLOOKUP(C1015,DATA!#REF!,2,FALSE),"")</f>
        <v/>
      </c>
    </row>
    <row r="1016" spans="2:4" s="230" customFormat="1">
      <c r="B1016" s="15" t="str">
        <f t="shared" si="47"/>
        <v/>
      </c>
      <c r="C1016" s="16" t="str">
        <f>IFERROR(VLOOKUP(DATA!#REF!,DATA!#REF!,1,FALSE),"")</f>
        <v/>
      </c>
      <c r="D1016" s="16" t="str">
        <f>IFERROR(VLOOKUP(C1016,DATA!#REF!,2,FALSE),"")</f>
        <v/>
      </c>
    </row>
    <row r="1017" spans="2:4" s="230" customFormat="1">
      <c r="B1017" s="15" t="str">
        <f t="shared" si="47"/>
        <v/>
      </c>
      <c r="C1017" s="16" t="str">
        <f>IFERROR(VLOOKUP(DATA!#REF!,DATA!#REF!,1,FALSE),"")</f>
        <v/>
      </c>
      <c r="D1017" s="16" t="str">
        <f>IFERROR(VLOOKUP(C1017,DATA!#REF!,2,FALSE),"")</f>
        <v/>
      </c>
    </row>
    <row r="1018" spans="2:4" s="230" customFormat="1">
      <c r="B1018" s="15" t="str">
        <f t="shared" si="47"/>
        <v/>
      </c>
      <c r="C1018" s="16" t="str">
        <f>IFERROR(VLOOKUP(DATA!#REF!,DATA!#REF!,1,FALSE),"")</f>
        <v/>
      </c>
      <c r="D1018" s="16" t="str">
        <f>IFERROR(VLOOKUP(C1018,DATA!#REF!,2,FALSE),"")</f>
        <v/>
      </c>
    </row>
    <row r="1019" spans="2:4" s="230" customFormat="1">
      <c r="B1019" s="15" t="str">
        <f t="shared" si="47"/>
        <v/>
      </c>
      <c r="C1019" s="16" t="str">
        <f>IFERROR(VLOOKUP(DATA!#REF!,DATA!#REF!,1,FALSE),"")</f>
        <v/>
      </c>
      <c r="D1019" s="16" t="str">
        <f>IFERROR(VLOOKUP(C1019,DATA!#REF!,2,FALSE),"")</f>
        <v/>
      </c>
    </row>
    <row r="1020" spans="2:4" s="230" customFormat="1">
      <c r="B1020" s="15" t="str">
        <f t="shared" si="47"/>
        <v/>
      </c>
      <c r="C1020" s="16" t="str">
        <f>IFERROR(VLOOKUP(DATA!#REF!,DATA!#REF!,1,FALSE),"")</f>
        <v/>
      </c>
      <c r="D1020" s="16" t="str">
        <f>IFERROR(VLOOKUP(C1020,DATA!#REF!,2,FALSE),"")</f>
        <v/>
      </c>
    </row>
    <row r="1021" spans="2:4" s="230" customFormat="1">
      <c r="B1021" s="15" t="str">
        <f t="shared" si="47"/>
        <v/>
      </c>
      <c r="C1021" s="16" t="str">
        <f>IFERROR(VLOOKUP(DATA!#REF!,DATA!#REF!,1,FALSE),"")</f>
        <v/>
      </c>
      <c r="D1021" s="16" t="str">
        <f>IFERROR(VLOOKUP(C1021,DATA!#REF!,2,FALSE),"")</f>
        <v/>
      </c>
    </row>
    <row r="1022" spans="2:4" s="230" customFormat="1">
      <c r="B1022" s="15" t="str">
        <f t="shared" si="47"/>
        <v/>
      </c>
      <c r="C1022" s="16" t="str">
        <f>IFERROR(VLOOKUP(DATA!#REF!,DATA!#REF!,1,FALSE),"")</f>
        <v/>
      </c>
      <c r="D1022" s="16" t="str">
        <f>IFERROR(VLOOKUP(C1022,DATA!#REF!,2,FALSE),"")</f>
        <v/>
      </c>
    </row>
    <row r="1023" spans="2:4" s="230" customFormat="1">
      <c r="B1023" s="15" t="str">
        <f t="shared" si="47"/>
        <v/>
      </c>
      <c r="C1023" s="16" t="str">
        <f>IFERROR(VLOOKUP(DATA!#REF!,DATA!#REF!,1,FALSE),"")</f>
        <v/>
      </c>
      <c r="D1023" s="16" t="str">
        <f>IFERROR(VLOOKUP(C1023,DATA!#REF!,2,FALSE),"")</f>
        <v/>
      </c>
    </row>
    <row r="1024" spans="2:4" s="230" customFormat="1">
      <c r="B1024" s="15" t="str">
        <f t="shared" si="47"/>
        <v/>
      </c>
      <c r="C1024" s="16" t="str">
        <f>IFERROR(VLOOKUP(DATA!#REF!,DATA!#REF!,1,FALSE),"")</f>
        <v/>
      </c>
      <c r="D1024" s="16" t="str">
        <f>IFERROR(VLOOKUP(C1024,DATA!#REF!,2,FALSE),"")</f>
        <v/>
      </c>
    </row>
    <row r="1025" spans="2:4" s="230" customFormat="1">
      <c r="B1025" s="15" t="str">
        <f t="shared" si="47"/>
        <v/>
      </c>
      <c r="C1025" s="16" t="str">
        <f>IFERROR(VLOOKUP(DATA!#REF!,DATA!#REF!,1,FALSE),"")</f>
        <v/>
      </c>
      <c r="D1025" s="16" t="str">
        <f>IFERROR(VLOOKUP(C1025,DATA!#REF!,2,FALSE),"")</f>
        <v/>
      </c>
    </row>
    <row r="1026" spans="2:4" s="230" customFormat="1">
      <c r="B1026" s="15" t="str">
        <f t="shared" si="47"/>
        <v/>
      </c>
      <c r="C1026" s="16" t="str">
        <f>IFERROR(VLOOKUP(DATA!#REF!,DATA!#REF!,1,FALSE),"")</f>
        <v/>
      </c>
      <c r="D1026" s="16" t="str">
        <f>IFERROR(VLOOKUP(C1026,DATA!#REF!,2,FALSE),"")</f>
        <v/>
      </c>
    </row>
    <row r="1027" spans="2:4" s="230" customFormat="1">
      <c r="B1027" s="15" t="str">
        <f t="shared" si="47"/>
        <v/>
      </c>
      <c r="C1027" s="16" t="str">
        <f>IFERROR(VLOOKUP(DATA!#REF!,DATA!#REF!,1,FALSE),"")</f>
        <v/>
      </c>
      <c r="D1027" s="16" t="str">
        <f>IFERROR(VLOOKUP(C1027,DATA!#REF!,2,FALSE),"")</f>
        <v/>
      </c>
    </row>
    <row r="1028" spans="2:4" s="230" customFormat="1">
      <c r="B1028" s="15" t="str">
        <f t="shared" si="47"/>
        <v/>
      </c>
      <c r="C1028" s="16" t="str">
        <f>IFERROR(VLOOKUP(DATA!#REF!,DATA!#REF!,1,FALSE),"")</f>
        <v/>
      </c>
      <c r="D1028" s="16" t="str">
        <f>IFERROR(VLOOKUP(C1028,DATA!#REF!,2,FALSE),"")</f>
        <v/>
      </c>
    </row>
    <row r="1029" spans="2:4" s="230" customFormat="1">
      <c r="B1029" s="15" t="str">
        <f t="shared" si="47"/>
        <v/>
      </c>
      <c r="C1029" s="16" t="str">
        <f>IFERROR(VLOOKUP(DATA!#REF!,DATA!#REF!,1,FALSE),"")</f>
        <v/>
      </c>
      <c r="D1029" s="16" t="str">
        <f>IFERROR(VLOOKUP(C1029,DATA!#REF!,2,FALSE),"")</f>
        <v/>
      </c>
    </row>
    <row r="1030" spans="2:4" s="230" customFormat="1">
      <c r="B1030" s="15" t="str">
        <f t="shared" ref="B1030:B1093" si="48">+IF(C1030="","",ROW()-5)</f>
        <v/>
      </c>
      <c r="C1030" s="16" t="str">
        <f>IFERROR(VLOOKUP(DATA!#REF!,DATA!#REF!,1,FALSE),"")</f>
        <v/>
      </c>
      <c r="D1030" s="16" t="str">
        <f>IFERROR(VLOOKUP(C1030,DATA!#REF!,2,FALSE),"")</f>
        <v/>
      </c>
    </row>
    <row r="1031" spans="2:4" s="230" customFormat="1">
      <c r="B1031" s="15" t="str">
        <f t="shared" si="48"/>
        <v/>
      </c>
      <c r="C1031" s="16" t="str">
        <f>IFERROR(VLOOKUP(DATA!#REF!,DATA!#REF!,1,FALSE),"")</f>
        <v/>
      </c>
      <c r="D1031" s="16" t="str">
        <f>IFERROR(VLOOKUP(C1031,DATA!#REF!,2,FALSE),"")</f>
        <v/>
      </c>
    </row>
    <row r="1032" spans="2:4" s="230" customFormat="1">
      <c r="B1032" s="15" t="str">
        <f t="shared" si="48"/>
        <v/>
      </c>
      <c r="C1032" s="16" t="str">
        <f>IFERROR(VLOOKUP(DATA!#REF!,DATA!#REF!,1,FALSE),"")</f>
        <v/>
      </c>
      <c r="D1032" s="16" t="str">
        <f>IFERROR(VLOOKUP(C1032,DATA!#REF!,2,FALSE),"")</f>
        <v/>
      </c>
    </row>
    <row r="1033" spans="2:4" s="230" customFormat="1">
      <c r="B1033" s="15" t="str">
        <f t="shared" si="48"/>
        <v/>
      </c>
      <c r="C1033" s="16" t="str">
        <f>IFERROR(VLOOKUP(DATA!#REF!,DATA!#REF!,1,FALSE),"")</f>
        <v/>
      </c>
      <c r="D1033" s="16" t="str">
        <f>IFERROR(VLOOKUP(C1033,DATA!#REF!,2,FALSE),"")</f>
        <v/>
      </c>
    </row>
    <row r="1034" spans="2:4" s="230" customFormat="1">
      <c r="B1034" s="15" t="str">
        <f t="shared" si="48"/>
        <v/>
      </c>
      <c r="C1034" s="16" t="str">
        <f>IFERROR(VLOOKUP(DATA!#REF!,DATA!#REF!,1,FALSE),"")</f>
        <v/>
      </c>
      <c r="D1034" s="16" t="str">
        <f>IFERROR(VLOOKUP(C1034,DATA!#REF!,2,FALSE),"")</f>
        <v/>
      </c>
    </row>
    <row r="1035" spans="2:4" s="230" customFormat="1">
      <c r="B1035" s="15" t="str">
        <f t="shared" si="48"/>
        <v/>
      </c>
      <c r="C1035" s="16" t="str">
        <f>IFERROR(VLOOKUP(DATA!#REF!,DATA!#REF!,1,FALSE),"")</f>
        <v/>
      </c>
      <c r="D1035" s="16" t="str">
        <f>IFERROR(VLOOKUP(C1035,DATA!#REF!,2,FALSE),"")</f>
        <v/>
      </c>
    </row>
    <row r="1036" spans="2:4" s="230" customFormat="1">
      <c r="B1036" s="15" t="str">
        <f t="shared" si="48"/>
        <v/>
      </c>
      <c r="C1036" s="16" t="str">
        <f>IFERROR(VLOOKUP(DATA!#REF!,DATA!#REF!,1,FALSE),"")</f>
        <v/>
      </c>
      <c r="D1036" s="16" t="str">
        <f>IFERROR(VLOOKUP(C1036,DATA!#REF!,2,FALSE),"")</f>
        <v/>
      </c>
    </row>
    <row r="1037" spans="2:4" s="230" customFormat="1">
      <c r="B1037" s="15" t="str">
        <f t="shared" si="48"/>
        <v/>
      </c>
      <c r="C1037" s="16" t="str">
        <f>IFERROR(VLOOKUP(DATA!#REF!,DATA!#REF!,1,FALSE),"")</f>
        <v/>
      </c>
      <c r="D1037" s="16" t="str">
        <f>IFERROR(VLOOKUP(C1037,DATA!#REF!,2,FALSE),"")</f>
        <v/>
      </c>
    </row>
    <row r="1038" spans="2:4" s="230" customFormat="1">
      <c r="B1038" s="15" t="str">
        <f t="shared" si="48"/>
        <v/>
      </c>
      <c r="C1038" s="16" t="str">
        <f>IFERROR(VLOOKUP(DATA!#REF!,DATA!#REF!,1,FALSE),"")</f>
        <v/>
      </c>
      <c r="D1038" s="16" t="str">
        <f>IFERROR(VLOOKUP(C1038,DATA!#REF!,2,FALSE),"")</f>
        <v/>
      </c>
    </row>
    <row r="1039" spans="2:4" s="230" customFormat="1">
      <c r="B1039" s="15" t="str">
        <f t="shared" si="48"/>
        <v/>
      </c>
      <c r="C1039" s="16" t="str">
        <f>IFERROR(VLOOKUP(DATA!#REF!,DATA!#REF!,1,FALSE),"")</f>
        <v/>
      </c>
      <c r="D1039" s="16" t="str">
        <f>IFERROR(VLOOKUP(C1039,DATA!#REF!,2,FALSE),"")</f>
        <v/>
      </c>
    </row>
    <row r="1040" spans="2:4" s="230" customFormat="1">
      <c r="B1040" s="15" t="str">
        <f t="shared" si="48"/>
        <v/>
      </c>
      <c r="C1040" s="16" t="str">
        <f>IFERROR(VLOOKUP(DATA!#REF!,DATA!#REF!,1,FALSE),"")</f>
        <v/>
      </c>
      <c r="D1040" s="16" t="str">
        <f>IFERROR(VLOOKUP(C1040,DATA!#REF!,2,FALSE),"")</f>
        <v/>
      </c>
    </row>
    <row r="1041" spans="2:4" s="230" customFormat="1">
      <c r="B1041" s="15" t="str">
        <f t="shared" si="48"/>
        <v/>
      </c>
      <c r="C1041" s="16" t="str">
        <f>IFERROR(VLOOKUP(DATA!#REF!,DATA!#REF!,1,FALSE),"")</f>
        <v/>
      </c>
      <c r="D1041" s="16" t="str">
        <f>IFERROR(VLOOKUP(C1041,DATA!#REF!,2,FALSE),"")</f>
        <v/>
      </c>
    </row>
    <row r="1042" spans="2:4" s="230" customFormat="1">
      <c r="B1042" s="15" t="str">
        <f t="shared" si="48"/>
        <v/>
      </c>
      <c r="C1042" s="16" t="str">
        <f>IFERROR(VLOOKUP(DATA!#REF!,DATA!#REF!,1,FALSE),"")</f>
        <v/>
      </c>
      <c r="D1042" s="16" t="str">
        <f>IFERROR(VLOOKUP(C1042,DATA!#REF!,2,FALSE),"")</f>
        <v/>
      </c>
    </row>
    <row r="1043" spans="2:4" s="230" customFormat="1">
      <c r="B1043" s="15" t="str">
        <f t="shared" si="48"/>
        <v/>
      </c>
      <c r="C1043" s="16" t="str">
        <f>IFERROR(VLOOKUP(DATA!#REF!,DATA!#REF!,1,FALSE),"")</f>
        <v/>
      </c>
      <c r="D1043" s="16" t="str">
        <f>IFERROR(VLOOKUP(C1043,DATA!#REF!,2,FALSE),"")</f>
        <v/>
      </c>
    </row>
    <row r="1044" spans="2:4" s="230" customFormat="1">
      <c r="B1044" s="15" t="str">
        <f t="shared" si="48"/>
        <v/>
      </c>
      <c r="C1044" s="16" t="str">
        <f>IFERROR(VLOOKUP(DATA!#REF!,DATA!#REF!,1,FALSE),"")</f>
        <v/>
      </c>
      <c r="D1044" s="16" t="str">
        <f>IFERROR(VLOOKUP(C1044,DATA!#REF!,2,FALSE),"")</f>
        <v/>
      </c>
    </row>
    <row r="1045" spans="2:4" s="230" customFormat="1">
      <c r="B1045" s="15" t="str">
        <f t="shared" si="48"/>
        <v/>
      </c>
      <c r="C1045" s="16" t="str">
        <f>IFERROR(VLOOKUP(DATA!#REF!,DATA!#REF!,1,FALSE),"")</f>
        <v/>
      </c>
      <c r="D1045" s="16" t="str">
        <f>IFERROR(VLOOKUP(C1045,DATA!#REF!,2,FALSE),"")</f>
        <v/>
      </c>
    </row>
    <row r="1046" spans="2:4" s="230" customFormat="1">
      <c r="B1046" s="15" t="str">
        <f t="shared" si="48"/>
        <v/>
      </c>
      <c r="C1046" s="16" t="str">
        <f>IFERROR(VLOOKUP(DATA!#REF!,DATA!#REF!,1,FALSE),"")</f>
        <v/>
      </c>
      <c r="D1046" s="16" t="str">
        <f>IFERROR(VLOOKUP(C1046,DATA!#REF!,2,FALSE),"")</f>
        <v/>
      </c>
    </row>
    <row r="1047" spans="2:4" s="230" customFormat="1">
      <c r="B1047" s="15" t="str">
        <f t="shared" si="48"/>
        <v/>
      </c>
      <c r="C1047" s="16" t="str">
        <f>IFERROR(VLOOKUP(DATA!#REF!,DATA!#REF!,1,FALSE),"")</f>
        <v/>
      </c>
      <c r="D1047" s="16" t="str">
        <f>IFERROR(VLOOKUP(C1047,DATA!#REF!,2,FALSE),"")</f>
        <v/>
      </c>
    </row>
    <row r="1048" spans="2:4" s="230" customFormat="1">
      <c r="B1048" s="15" t="str">
        <f t="shared" si="48"/>
        <v/>
      </c>
      <c r="C1048" s="16" t="str">
        <f>IFERROR(VLOOKUP(DATA!#REF!,DATA!#REF!,1,FALSE),"")</f>
        <v/>
      </c>
      <c r="D1048" s="16" t="str">
        <f>IFERROR(VLOOKUP(C1048,DATA!#REF!,2,FALSE),"")</f>
        <v/>
      </c>
    </row>
    <row r="1049" spans="2:4" s="230" customFormat="1">
      <c r="B1049" s="15" t="str">
        <f t="shared" si="48"/>
        <v/>
      </c>
      <c r="C1049" s="16" t="str">
        <f>IFERROR(VLOOKUP(DATA!#REF!,DATA!#REF!,1,FALSE),"")</f>
        <v/>
      </c>
      <c r="D1049" s="16" t="str">
        <f>IFERROR(VLOOKUP(C1049,DATA!#REF!,2,FALSE),"")</f>
        <v/>
      </c>
    </row>
    <row r="1050" spans="2:4" s="230" customFormat="1">
      <c r="B1050" s="15" t="str">
        <f t="shared" si="48"/>
        <v/>
      </c>
      <c r="C1050" s="16" t="str">
        <f>IFERROR(VLOOKUP(DATA!#REF!,DATA!#REF!,1,FALSE),"")</f>
        <v/>
      </c>
      <c r="D1050" s="16" t="str">
        <f>IFERROR(VLOOKUP(C1050,DATA!#REF!,2,FALSE),"")</f>
        <v/>
      </c>
    </row>
    <row r="1051" spans="2:4" s="230" customFormat="1">
      <c r="B1051" s="15" t="str">
        <f t="shared" si="48"/>
        <v/>
      </c>
      <c r="C1051" s="16" t="str">
        <f>IFERROR(VLOOKUP(DATA!#REF!,DATA!#REF!,1,FALSE),"")</f>
        <v/>
      </c>
      <c r="D1051" s="16" t="str">
        <f>IFERROR(VLOOKUP(C1051,DATA!#REF!,2,FALSE),"")</f>
        <v/>
      </c>
    </row>
    <row r="1052" spans="2:4" s="230" customFormat="1">
      <c r="B1052" s="15" t="str">
        <f t="shared" si="48"/>
        <v/>
      </c>
      <c r="C1052" s="16" t="str">
        <f>IFERROR(VLOOKUP(DATA!#REF!,DATA!#REF!,1,FALSE),"")</f>
        <v/>
      </c>
      <c r="D1052" s="16" t="str">
        <f>IFERROR(VLOOKUP(C1052,DATA!#REF!,2,FALSE),"")</f>
        <v/>
      </c>
    </row>
    <row r="1053" spans="2:4" s="230" customFormat="1">
      <c r="B1053" s="15" t="str">
        <f t="shared" si="48"/>
        <v/>
      </c>
      <c r="C1053" s="16" t="str">
        <f>IFERROR(VLOOKUP(DATA!#REF!,DATA!#REF!,1,FALSE),"")</f>
        <v/>
      </c>
      <c r="D1053" s="16" t="str">
        <f>IFERROR(VLOOKUP(C1053,DATA!#REF!,2,FALSE),"")</f>
        <v/>
      </c>
    </row>
    <row r="1054" spans="2:4" s="230" customFormat="1">
      <c r="B1054" s="15" t="str">
        <f t="shared" si="48"/>
        <v/>
      </c>
      <c r="C1054" s="16" t="str">
        <f>IFERROR(VLOOKUP(DATA!#REF!,DATA!#REF!,1,FALSE),"")</f>
        <v/>
      </c>
      <c r="D1054" s="16" t="str">
        <f>IFERROR(VLOOKUP(C1054,DATA!#REF!,2,FALSE),"")</f>
        <v/>
      </c>
    </row>
    <row r="1055" spans="2:4" s="230" customFormat="1">
      <c r="B1055" s="15" t="str">
        <f t="shared" si="48"/>
        <v/>
      </c>
      <c r="C1055" s="16" t="str">
        <f>IFERROR(VLOOKUP(DATA!#REF!,DATA!#REF!,1,FALSE),"")</f>
        <v/>
      </c>
      <c r="D1055" s="16" t="str">
        <f>IFERROR(VLOOKUP(C1055,DATA!#REF!,2,FALSE),"")</f>
        <v/>
      </c>
    </row>
    <row r="1056" spans="2:4" s="230" customFormat="1">
      <c r="B1056" s="15" t="str">
        <f t="shared" si="48"/>
        <v/>
      </c>
      <c r="C1056" s="16" t="str">
        <f>IFERROR(VLOOKUP(DATA!#REF!,DATA!#REF!,1,FALSE),"")</f>
        <v/>
      </c>
      <c r="D1056" s="16" t="str">
        <f>IFERROR(VLOOKUP(C1056,DATA!#REF!,2,FALSE),"")</f>
        <v/>
      </c>
    </row>
    <row r="1057" spans="2:4" s="230" customFormat="1">
      <c r="B1057" s="15" t="str">
        <f t="shared" si="48"/>
        <v/>
      </c>
      <c r="C1057" s="16" t="str">
        <f>IFERROR(VLOOKUP(DATA!#REF!,DATA!#REF!,1,FALSE),"")</f>
        <v/>
      </c>
      <c r="D1057" s="16" t="str">
        <f>IFERROR(VLOOKUP(C1057,DATA!#REF!,2,FALSE),"")</f>
        <v/>
      </c>
    </row>
    <row r="1058" spans="2:4" s="230" customFormat="1">
      <c r="B1058" s="15" t="str">
        <f t="shared" si="48"/>
        <v/>
      </c>
      <c r="C1058" s="16" t="str">
        <f>IFERROR(VLOOKUP(DATA!#REF!,DATA!#REF!,1,FALSE),"")</f>
        <v/>
      </c>
      <c r="D1058" s="16" t="str">
        <f>IFERROR(VLOOKUP(C1058,DATA!#REF!,2,FALSE),"")</f>
        <v/>
      </c>
    </row>
    <row r="1059" spans="2:4" s="230" customFormat="1">
      <c r="B1059" s="15" t="str">
        <f t="shared" si="48"/>
        <v/>
      </c>
      <c r="C1059" s="16" t="str">
        <f>IFERROR(VLOOKUP(DATA!#REF!,DATA!#REF!,1,FALSE),"")</f>
        <v/>
      </c>
      <c r="D1059" s="16" t="str">
        <f>IFERROR(VLOOKUP(C1059,DATA!#REF!,2,FALSE),"")</f>
        <v/>
      </c>
    </row>
    <row r="1060" spans="2:4" s="230" customFormat="1">
      <c r="B1060" s="15" t="str">
        <f t="shared" si="48"/>
        <v/>
      </c>
      <c r="C1060" s="16" t="str">
        <f>IFERROR(VLOOKUP(DATA!#REF!,DATA!#REF!,1,FALSE),"")</f>
        <v/>
      </c>
      <c r="D1060" s="16" t="str">
        <f>IFERROR(VLOOKUP(C1060,DATA!#REF!,2,FALSE),"")</f>
        <v/>
      </c>
    </row>
    <row r="1061" spans="2:4" s="230" customFormat="1">
      <c r="B1061" s="15" t="str">
        <f t="shared" si="48"/>
        <v/>
      </c>
      <c r="C1061" s="16" t="str">
        <f>IFERROR(VLOOKUP(DATA!#REF!,DATA!#REF!,1,FALSE),"")</f>
        <v/>
      </c>
      <c r="D1061" s="16" t="str">
        <f>IFERROR(VLOOKUP(C1061,DATA!#REF!,2,FALSE),"")</f>
        <v/>
      </c>
    </row>
    <row r="1062" spans="2:4" s="230" customFormat="1">
      <c r="B1062" s="15" t="str">
        <f t="shared" si="48"/>
        <v/>
      </c>
      <c r="C1062" s="16" t="str">
        <f>IFERROR(VLOOKUP(DATA!#REF!,DATA!#REF!,1,FALSE),"")</f>
        <v/>
      </c>
      <c r="D1062" s="16" t="str">
        <f>IFERROR(VLOOKUP(C1062,DATA!#REF!,2,FALSE),"")</f>
        <v/>
      </c>
    </row>
    <row r="1063" spans="2:4" s="230" customFormat="1">
      <c r="B1063" s="15" t="str">
        <f t="shared" si="48"/>
        <v/>
      </c>
      <c r="C1063" s="16" t="str">
        <f>IFERROR(VLOOKUP(DATA!#REF!,DATA!#REF!,1,FALSE),"")</f>
        <v/>
      </c>
      <c r="D1063" s="16" t="str">
        <f>IFERROR(VLOOKUP(C1063,DATA!#REF!,2,FALSE),"")</f>
        <v/>
      </c>
    </row>
    <row r="1064" spans="2:4" s="230" customFormat="1">
      <c r="B1064" s="15" t="str">
        <f t="shared" si="48"/>
        <v/>
      </c>
      <c r="C1064" s="16" t="str">
        <f>IFERROR(VLOOKUP(DATA!#REF!,DATA!#REF!,1,FALSE),"")</f>
        <v/>
      </c>
      <c r="D1064" s="16" t="str">
        <f>IFERROR(VLOOKUP(C1064,DATA!#REF!,2,FALSE),"")</f>
        <v/>
      </c>
    </row>
    <row r="1065" spans="2:4" s="230" customFormat="1">
      <c r="B1065" s="15" t="str">
        <f t="shared" si="48"/>
        <v/>
      </c>
      <c r="C1065" s="16" t="str">
        <f>IFERROR(VLOOKUP(DATA!#REF!,DATA!#REF!,1,FALSE),"")</f>
        <v/>
      </c>
      <c r="D1065" s="16" t="str">
        <f>IFERROR(VLOOKUP(C1065,DATA!#REF!,2,FALSE),"")</f>
        <v/>
      </c>
    </row>
    <row r="1066" spans="2:4" s="230" customFormat="1">
      <c r="B1066" s="15" t="str">
        <f t="shared" si="48"/>
        <v/>
      </c>
      <c r="C1066" s="16" t="str">
        <f>IFERROR(VLOOKUP(DATA!#REF!,DATA!#REF!,1,FALSE),"")</f>
        <v/>
      </c>
      <c r="D1066" s="16" t="str">
        <f>IFERROR(VLOOKUP(C1066,DATA!#REF!,2,FALSE),"")</f>
        <v/>
      </c>
    </row>
    <row r="1067" spans="2:4" s="230" customFormat="1">
      <c r="B1067" s="15" t="str">
        <f t="shared" si="48"/>
        <v/>
      </c>
      <c r="C1067" s="16" t="str">
        <f>IFERROR(VLOOKUP(DATA!#REF!,DATA!#REF!,1,FALSE),"")</f>
        <v/>
      </c>
      <c r="D1067" s="16" t="str">
        <f>IFERROR(VLOOKUP(C1067,DATA!#REF!,2,FALSE),"")</f>
        <v/>
      </c>
    </row>
    <row r="1068" spans="2:4" s="230" customFormat="1">
      <c r="B1068" s="15" t="str">
        <f t="shared" si="48"/>
        <v/>
      </c>
      <c r="C1068" s="16" t="str">
        <f>IFERROR(VLOOKUP(DATA!#REF!,DATA!#REF!,1,FALSE),"")</f>
        <v/>
      </c>
      <c r="D1068" s="16" t="str">
        <f>IFERROR(VLOOKUP(C1068,DATA!#REF!,2,FALSE),"")</f>
        <v/>
      </c>
    </row>
    <row r="1069" spans="2:4" s="230" customFormat="1">
      <c r="B1069" s="15" t="str">
        <f t="shared" si="48"/>
        <v/>
      </c>
      <c r="C1069" s="16" t="str">
        <f>IFERROR(VLOOKUP(DATA!#REF!,DATA!#REF!,1,FALSE),"")</f>
        <v/>
      </c>
      <c r="D1069" s="16" t="str">
        <f>IFERROR(VLOOKUP(C1069,DATA!#REF!,2,FALSE),"")</f>
        <v/>
      </c>
    </row>
    <row r="1070" spans="2:4" s="230" customFormat="1">
      <c r="B1070" s="15" t="str">
        <f t="shared" si="48"/>
        <v/>
      </c>
      <c r="C1070" s="16" t="str">
        <f>IFERROR(VLOOKUP(DATA!#REF!,DATA!#REF!,1,FALSE),"")</f>
        <v/>
      </c>
      <c r="D1070" s="16" t="str">
        <f>IFERROR(VLOOKUP(C1070,DATA!#REF!,2,FALSE),"")</f>
        <v/>
      </c>
    </row>
    <row r="1071" spans="2:4" s="230" customFormat="1">
      <c r="B1071" s="15" t="str">
        <f t="shared" si="48"/>
        <v/>
      </c>
      <c r="C1071" s="16" t="str">
        <f>IFERROR(VLOOKUP(DATA!#REF!,DATA!#REF!,1,FALSE),"")</f>
        <v/>
      </c>
      <c r="D1071" s="16" t="str">
        <f>IFERROR(VLOOKUP(C1071,DATA!#REF!,2,FALSE),"")</f>
        <v/>
      </c>
    </row>
    <row r="1072" spans="2:4" s="230" customFormat="1">
      <c r="B1072" s="15" t="str">
        <f t="shared" si="48"/>
        <v/>
      </c>
      <c r="C1072" s="16" t="str">
        <f>IFERROR(VLOOKUP(DATA!#REF!,DATA!#REF!,1,FALSE),"")</f>
        <v/>
      </c>
      <c r="D1072" s="16" t="str">
        <f>IFERROR(VLOOKUP(C1072,DATA!#REF!,2,FALSE),"")</f>
        <v/>
      </c>
    </row>
    <row r="1073" spans="2:4" s="230" customFormat="1">
      <c r="B1073" s="15" t="str">
        <f t="shared" si="48"/>
        <v/>
      </c>
      <c r="C1073" s="16" t="str">
        <f>IFERROR(VLOOKUP(DATA!#REF!,DATA!#REF!,1,FALSE),"")</f>
        <v/>
      </c>
      <c r="D1073" s="16" t="str">
        <f>IFERROR(VLOOKUP(C1073,DATA!#REF!,2,FALSE),"")</f>
        <v/>
      </c>
    </row>
    <row r="1074" spans="2:4" s="230" customFormat="1">
      <c r="B1074" s="15" t="str">
        <f t="shared" si="48"/>
        <v/>
      </c>
      <c r="C1074" s="16" t="str">
        <f>IFERROR(VLOOKUP(DATA!#REF!,DATA!#REF!,1,FALSE),"")</f>
        <v/>
      </c>
      <c r="D1074" s="16" t="str">
        <f>IFERROR(VLOOKUP(C1074,DATA!#REF!,2,FALSE),"")</f>
        <v/>
      </c>
    </row>
    <row r="1075" spans="2:4" s="230" customFormat="1">
      <c r="B1075" s="15" t="str">
        <f t="shared" si="48"/>
        <v/>
      </c>
      <c r="C1075" s="16" t="str">
        <f>IFERROR(VLOOKUP(DATA!#REF!,DATA!#REF!,1,FALSE),"")</f>
        <v/>
      </c>
      <c r="D1075" s="16" t="str">
        <f>IFERROR(VLOOKUP(C1075,DATA!#REF!,2,FALSE),"")</f>
        <v/>
      </c>
    </row>
    <row r="1076" spans="2:4" s="230" customFormat="1">
      <c r="B1076" s="15" t="str">
        <f t="shared" si="48"/>
        <v/>
      </c>
      <c r="C1076" s="16" t="str">
        <f>IFERROR(VLOOKUP(DATA!#REF!,DATA!#REF!,1,FALSE),"")</f>
        <v/>
      </c>
      <c r="D1076" s="16" t="str">
        <f>IFERROR(VLOOKUP(C1076,DATA!#REF!,2,FALSE),"")</f>
        <v/>
      </c>
    </row>
    <row r="1077" spans="2:4" s="230" customFormat="1">
      <c r="B1077" s="15" t="str">
        <f t="shared" si="48"/>
        <v/>
      </c>
      <c r="C1077" s="16" t="str">
        <f>IFERROR(VLOOKUP(DATA!#REF!,DATA!#REF!,1,FALSE),"")</f>
        <v/>
      </c>
      <c r="D1077" s="16" t="str">
        <f>IFERROR(VLOOKUP(C1077,DATA!#REF!,2,FALSE),"")</f>
        <v/>
      </c>
    </row>
    <row r="1078" spans="2:4" s="230" customFormat="1">
      <c r="B1078" s="15" t="str">
        <f t="shared" si="48"/>
        <v/>
      </c>
      <c r="C1078" s="16" t="str">
        <f>IFERROR(VLOOKUP(DATA!#REF!,DATA!#REF!,1,FALSE),"")</f>
        <v/>
      </c>
      <c r="D1078" s="16" t="str">
        <f>IFERROR(VLOOKUP(C1078,DATA!#REF!,2,FALSE),"")</f>
        <v/>
      </c>
    </row>
    <row r="1079" spans="2:4" s="230" customFormat="1">
      <c r="B1079" s="15" t="str">
        <f t="shared" si="48"/>
        <v/>
      </c>
      <c r="C1079" s="16" t="str">
        <f>IFERROR(VLOOKUP(DATA!#REF!,DATA!#REF!,1,FALSE),"")</f>
        <v/>
      </c>
      <c r="D1079" s="16" t="str">
        <f>IFERROR(VLOOKUP(C1079,DATA!#REF!,2,FALSE),"")</f>
        <v/>
      </c>
    </row>
    <row r="1080" spans="2:4" s="230" customFormat="1">
      <c r="B1080" s="15" t="str">
        <f t="shared" si="48"/>
        <v/>
      </c>
      <c r="C1080" s="16" t="str">
        <f>IFERROR(VLOOKUP(DATA!#REF!,DATA!#REF!,1,FALSE),"")</f>
        <v/>
      </c>
      <c r="D1080" s="16" t="str">
        <f>IFERROR(VLOOKUP(C1080,DATA!#REF!,2,FALSE),"")</f>
        <v/>
      </c>
    </row>
    <row r="1081" spans="2:4" s="230" customFormat="1">
      <c r="B1081" s="15" t="str">
        <f t="shared" si="48"/>
        <v/>
      </c>
      <c r="C1081" s="16" t="str">
        <f>IFERROR(VLOOKUP(DATA!#REF!,DATA!#REF!,1,FALSE),"")</f>
        <v/>
      </c>
      <c r="D1081" s="16" t="str">
        <f>IFERROR(VLOOKUP(C1081,DATA!#REF!,2,FALSE),"")</f>
        <v/>
      </c>
    </row>
    <row r="1082" spans="2:4" s="230" customFormat="1">
      <c r="B1082" s="15" t="str">
        <f t="shared" si="48"/>
        <v/>
      </c>
      <c r="C1082" s="16" t="str">
        <f>IFERROR(VLOOKUP(DATA!#REF!,DATA!#REF!,1,FALSE),"")</f>
        <v/>
      </c>
      <c r="D1082" s="16" t="str">
        <f>IFERROR(VLOOKUP(C1082,DATA!#REF!,2,FALSE),"")</f>
        <v/>
      </c>
    </row>
    <row r="1083" spans="2:4" s="230" customFormat="1">
      <c r="B1083" s="15" t="str">
        <f t="shared" si="48"/>
        <v/>
      </c>
      <c r="C1083" s="16" t="str">
        <f>IFERROR(VLOOKUP(DATA!#REF!,DATA!#REF!,1,FALSE),"")</f>
        <v/>
      </c>
      <c r="D1083" s="16" t="str">
        <f>IFERROR(VLOOKUP(C1083,DATA!#REF!,2,FALSE),"")</f>
        <v/>
      </c>
    </row>
    <row r="1084" spans="2:4" s="230" customFormat="1">
      <c r="B1084" s="15" t="str">
        <f t="shared" si="48"/>
        <v/>
      </c>
      <c r="C1084" s="16" t="str">
        <f>IFERROR(VLOOKUP(DATA!#REF!,DATA!#REF!,1,FALSE),"")</f>
        <v/>
      </c>
      <c r="D1084" s="16" t="str">
        <f>IFERROR(VLOOKUP(C1084,DATA!#REF!,2,FALSE),"")</f>
        <v/>
      </c>
    </row>
    <row r="1085" spans="2:4" s="230" customFormat="1">
      <c r="B1085" s="15" t="str">
        <f t="shared" si="48"/>
        <v/>
      </c>
      <c r="C1085" s="16" t="str">
        <f>IFERROR(VLOOKUP(DATA!#REF!,DATA!#REF!,1,FALSE),"")</f>
        <v/>
      </c>
      <c r="D1085" s="16" t="str">
        <f>IFERROR(VLOOKUP(C1085,DATA!#REF!,2,FALSE),"")</f>
        <v/>
      </c>
    </row>
    <row r="1086" spans="2:4" s="230" customFormat="1">
      <c r="B1086" s="15" t="str">
        <f t="shared" si="48"/>
        <v/>
      </c>
      <c r="C1086" s="16" t="str">
        <f>IFERROR(VLOOKUP(DATA!#REF!,DATA!#REF!,1,FALSE),"")</f>
        <v/>
      </c>
      <c r="D1086" s="16" t="str">
        <f>IFERROR(VLOOKUP(C1086,DATA!#REF!,2,FALSE),"")</f>
        <v/>
      </c>
    </row>
    <row r="1087" spans="2:4" s="230" customFormat="1">
      <c r="B1087" s="15" t="str">
        <f t="shared" si="48"/>
        <v/>
      </c>
      <c r="C1087" s="16" t="str">
        <f>IFERROR(VLOOKUP(DATA!#REF!,DATA!#REF!,1,FALSE),"")</f>
        <v/>
      </c>
      <c r="D1087" s="16" t="str">
        <f>IFERROR(VLOOKUP(C1087,DATA!#REF!,2,FALSE),"")</f>
        <v/>
      </c>
    </row>
    <row r="1088" spans="2:4" s="230" customFormat="1">
      <c r="B1088" s="15" t="str">
        <f t="shared" si="48"/>
        <v/>
      </c>
      <c r="C1088" s="16" t="str">
        <f>IFERROR(VLOOKUP(DATA!#REF!,DATA!#REF!,1,FALSE),"")</f>
        <v/>
      </c>
      <c r="D1088" s="16" t="str">
        <f>IFERROR(VLOOKUP(C1088,DATA!#REF!,2,FALSE),"")</f>
        <v/>
      </c>
    </row>
    <row r="1089" spans="2:4" s="230" customFormat="1">
      <c r="B1089" s="15" t="str">
        <f t="shared" si="48"/>
        <v/>
      </c>
      <c r="C1089" s="16" t="str">
        <f>IFERROR(VLOOKUP(DATA!#REF!,DATA!#REF!,1,FALSE),"")</f>
        <v/>
      </c>
      <c r="D1089" s="16" t="str">
        <f>IFERROR(VLOOKUP(C1089,DATA!#REF!,2,FALSE),"")</f>
        <v/>
      </c>
    </row>
    <row r="1090" spans="2:4" s="230" customFormat="1">
      <c r="B1090" s="15" t="str">
        <f t="shared" si="48"/>
        <v/>
      </c>
      <c r="C1090" s="16" t="str">
        <f>IFERROR(VLOOKUP(DATA!#REF!,DATA!#REF!,1,FALSE),"")</f>
        <v/>
      </c>
      <c r="D1090" s="16" t="str">
        <f>IFERROR(VLOOKUP(C1090,DATA!#REF!,2,FALSE),"")</f>
        <v/>
      </c>
    </row>
    <row r="1091" spans="2:4" s="230" customFormat="1">
      <c r="B1091" s="15" t="str">
        <f t="shared" si="48"/>
        <v/>
      </c>
      <c r="C1091" s="16" t="str">
        <f>IFERROR(VLOOKUP(DATA!#REF!,DATA!#REF!,1,FALSE),"")</f>
        <v/>
      </c>
      <c r="D1091" s="16" t="str">
        <f>IFERROR(VLOOKUP(C1091,DATA!#REF!,2,FALSE),"")</f>
        <v/>
      </c>
    </row>
    <row r="1092" spans="2:4" s="230" customFormat="1">
      <c r="B1092" s="15" t="str">
        <f t="shared" si="48"/>
        <v/>
      </c>
      <c r="C1092" s="16" t="str">
        <f>IFERROR(VLOOKUP(DATA!#REF!,DATA!#REF!,1,FALSE),"")</f>
        <v/>
      </c>
      <c r="D1092" s="16" t="str">
        <f>IFERROR(VLOOKUP(C1092,DATA!#REF!,2,FALSE),"")</f>
        <v/>
      </c>
    </row>
    <row r="1093" spans="2:4" s="230" customFormat="1">
      <c r="B1093" s="15" t="str">
        <f t="shared" si="48"/>
        <v/>
      </c>
      <c r="C1093" s="16" t="str">
        <f>IFERROR(VLOOKUP(DATA!#REF!,DATA!#REF!,1,FALSE),"")</f>
        <v/>
      </c>
      <c r="D1093" s="16" t="str">
        <f>IFERROR(VLOOKUP(C1093,DATA!#REF!,2,FALSE),"")</f>
        <v/>
      </c>
    </row>
    <row r="1094" spans="2:4" s="230" customFormat="1">
      <c r="B1094" s="15" t="str">
        <f t="shared" ref="B1094:B1157" si="49">+IF(C1094="","",ROW()-5)</f>
        <v/>
      </c>
      <c r="C1094" s="16" t="str">
        <f>IFERROR(VLOOKUP(DATA!#REF!,DATA!#REF!,1,FALSE),"")</f>
        <v/>
      </c>
      <c r="D1094" s="16" t="str">
        <f>IFERROR(VLOOKUP(C1094,DATA!#REF!,2,FALSE),"")</f>
        <v/>
      </c>
    </row>
    <row r="1095" spans="2:4" s="230" customFormat="1">
      <c r="B1095" s="15" t="str">
        <f t="shared" si="49"/>
        <v/>
      </c>
      <c r="C1095" s="16" t="str">
        <f>IFERROR(VLOOKUP(DATA!#REF!,DATA!#REF!,1,FALSE),"")</f>
        <v/>
      </c>
      <c r="D1095" s="16" t="str">
        <f>IFERROR(VLOOKUP(C1095,DATA!#REF!,2,FALSE),"")</f>
        <v/>
      </c>
    </row>
    <row r="1096" spans="2:4" s="230" customFormat="1">
      <c r="B1096" s="15" t="str">
        <f t="shared" si="49"/>
        <v/>
      </c>
      <c r="C1096" s="16" t="str">
        <f>IFERROR(VLOOKUP(DATA!#REF!,DATA!#REF!,1,FALSE),"")</f>
        <v/>
      </c>
      <c r="D1096" s="16" t="str">
        <f>IFERROR(VLOOKUP(C1096,DATA!#REF!,2,FALSE),"")</f>
        <v/>
      </c>
    </row>
    <row r="1097" spans="2:4" s="230" customFormat="1">
      <c r="B1097" s="15" t="str">
        <f t="shared" si="49"/>
        <v/>
      </c>
      <c r="C1097" s="16" t="str">
        <f>IFERROR(VLOOKUP(DATA!#REF!,DATA!#REF!,1,FALSE),"")</f>
        <v/>
      </c>
      <c r="D1097" s="16" t="str">
        <f>IFERROR(VLOOKUP(C1097,DATA!#REF!,2,FALSE),"")</f>
        <v/>
      </c>
    </row>
    <row r="1098" spans="2:4" s="230" customFormat="1">
      <c r="B1098" s="15" t="str">
        <f t="shared" si="49"/>
        <v/>
      </c>
      <c r="C1098" s="16" t="str">
        <f>IFERROR(VLOOKUP(DATA!#REF!,DATA!#REF!,1,FALSE),"")</f>
        <v/>
      </c>
      <c r="D1098" s="16" t="str">
        <f>IFERROR(VLOOKUP(C1098,DATA!#REF!,2,FALSE),"")</f>
        <v/>
      </c>
    </row>
    <row r="1099" spans="2:4" s="230" customFormat="1">
      <c r="B1099" s="15" t="str">
        <f t="shared" si="49"/>
        <v/>
      </c>
      <c r="C1099" s="16" t="str">
        <f>IFERROR(VLOOKUP(DATA!#REF!,DATA!#REF!,1,FALSE),"")</f>
        <v/>
      </c>
      <c r="D1099" s="16" t="str">
        <f>IFERROR(VLOOKUP(C1099,DATA!#REF!,2,FALSE),"")</f>
        <v/>
      </c>
    </row>
    <row r="1100" spans="2:4" s="230" customFormat="1">
      <c r="B1100" s="15" t="str">
        <f t="shared" si="49"/>
        <v/>
      </c>
      <c r="C1100" s="16" t="str">
        <f>IFERROR(VLOOKUP(DATA!#REF!,DATA!#REF!,1,FALSE),"")</f>
        <v/>
      </c>
      <c r="D1100" s="16" t="str">
        <f>IFERROR(VLOOKUP(C1100,DATA!#REF!,2,FALSE),"")</f>
        <v/>
      </c>
    </row>
    <row r="1101" spans="2:4" s="230" customFormat="1">
      <c r="B1101" s="15" t="str">
        <f t="shared" si="49"/>
        <v/>
      </c>
      <c r="C1101" s="16" t="str">
        <f>IFERROR(VLOOKUP(DATA!#REF!,DATA!#REF!,1,FALSE),"")</f>
        <v/>
      </c>
      <c r="D1101" s="16" t="str">
        <f>IFERROR(VLOOKUP(C1101,DATA!#REF!,2,FALSE),"")</f>
        <v/>
      </c>
    </row>
    <row r="1102" spans="2:4" s="230" customFormat="1">
      <c r="B1102" s="15" t="str">
        <f t="shared" si="49"/>
        <v/>
      </c>
      <c r="C1102" s="16" t="str">
        <f>IFERROR(VLOOKUP(DATA!#REF!,DATA!#REF!,1,FALSE),"")</f>
        <v/>
      </c>
      <c r="D1102" s="16" t="str">
        <f>IFERROR(VLOOKUP(C1102,DATA!#REF!,2,FALSE),"")</f>
        <v/>
      </c>
    </row>
    <row r="1103" spans="2:4" s="230" customFormat="1">
      <c r="B1103" s="15" t="str">
        <f t="shared" si="49"/>
        <v/>
      </c>
      <c r="C1103" s="16" t="str">
        <f>IFERROR(VLOOKUP(DATA!#REF!,DATA!#REF!,1,FALSE),"")</f>
        <v/>
      </c>
      <c r="D1103" s="16" t="str">
        <f>IFERROR(VLOOKUP(C1103,DATA!#REF!,2,FALSE),"")</f>
        <v/>
      </c>
    </row>
    <row r="1104" spans="2:4" s="230" customFormat="1">
      <c r="B1104" s="15" t="str">
        <f t="shared" si="49"/>
        <v/>
      </c>
      <c r="C1104" s="16" t="str">
        <f>IFERROR(VLOOKUP(DATA!#REF!,DATA!#REF!,1,FALSE),"")</f>
        <v/>
      </c>
      <c r="D1104" s="16" t="str">
        <f>IFERROR(VLOOKUP(C1104,DATA!#REF!,2,FALSE),"")</f>
        <v/>
      </c>
    </row>
    <row r="1105" spans="2:4" s="230" customFormat="1">
      <c r="B1105" s="15" t="str">
        <f t="shared" si="49"/>
        <v/>
      </c>
      <c r="C1105" s="16" t="str">
        <f>IFERROR(VLOOKUP(DATA!#REF!,DATA!#REF!,1,FALSE),"")</f>
        <v/>
      </c>
      <c r="D1105" s="16" t="str">
        <f>IFERROR(VLOOKUP(C1105,DATA!#REF!,2,FALSE),"")</f>
        <v/>
      </c>
    </row>
    <row r="1106" spans="2:4" s="230" customFormat="1">
      <c r="B1106" s="15" t="str">
        <f t="shared" si="49"/>
        <v/>
      </c>
      <c r="C1106" s="16" t="str">
        <f>IFERROR(VLOOKUP(DATA!#REF!,DATA!#REF!,1,FALSE),"")</f>
        <v/>
      </c>
      <c r="D1106" s="16" t="str">
        <f>IFERROR(VLOOKUP(C1106,DATA!#REF!,2,FALSE),"")</f>
        <v/>
      </c>
    </row>
    <row r="1107" spans="2:4" s="230" customFormat="1">
      <c r="B1107" s="15" t="str">
        <f t="shared" si="49"/>
        <v/>
      </c>
      <c r="C1107" s="16" t="str">
        <f>IFERROR(VLOOKUP(DATA!#REF!,DATA!#REF!,1,FALSE),"")</f>
        <v/>
      </c>
      <c r="D1107" s="16" t="str">
        <f>IFERROR(VLOOKUP(C1107,DATA!#REF!,2,FALSE),"")</f>
        <v/>
      </c>
    </row>
    <row r="1108" spans="2:4" s="230" customFormat="1">
      <c r="B1108" s="15" t="str">
        <f t="shared" si="49"/>
        <v/>
      </c>
      <c r="C1108" s="16" t="str">
        <f>IFERROR(VLOOKUP(DATA!#REF!,DATA!#REF!,1,FALSE),"")</f>
        <v/>
      </c>
      <c r="D1108" s="16" t="str">
        <f>IFERROR(VLOOKUP(C1108,DATA!#REF!,2,FALSE),"")</f>
        <v/>
      </c>
    </row>
    <row r="1109" spans="2:4" s="230" customFormat="1">
      <c r="B1109" s="15" t="str">
        <f t="shared" si="49"/>
        <v/>
      </c>
      <c r="C1109" s="16" t="str">
        <f>IFERROR(VLOOKUP(DATA!#REF!,DATA!#REF!,1,FALSE),"")</f>
        <v/>
      </c>
      <c r="D1109" s="16" t="str">
        <f>IFERROR(VLOOKUP(C1109,DATA!#REF!,2,FALSE),"")</f>
        <v/>
      </c>
    </row>
    <row r="1110" spans="2:4" s="230" customFormat="1">
      <c r="B1110" s="15" t="str">
        <f t="shared" si="49"/>
        <v/>
      </c>
      <c r="C1110" s="16" t="str">
        <f>IFERROR(VLOOKUP(DATA!#REF!,DATA!#REF!,1,FALSE),"")</f>
        <v/>
      </c>
      <c r="D1110" s="16" t="str">
        <f>IFERROR(VLOOKUP(C1110,DATA!#REF!,2,FALSE),"")</f>
        <v/>
      </c>
    </row>
    <row r="1111" spans="2:4" s="230" customFormat="1">
      <c r="B1111" s="15" t="str">
        <f t="shared" si="49"/>
        <v/>
      </c>
      <c r="C1111" s="16" t="str">
        <f>IFERROR(VLOOKUP(DATA!#REF!,DATA!#REF!,1,FALSE),"")</f>
        <v/>
      </c>
      <c r="D1111" s="16" t="str">
        <f>IFERROR(VLOOKUP(C1111,DATA!#REF!,2,FALSE),"")</f>
        <v/>
      </c>
    </row>
    <row r="1112" spans="2:4" s="230" customFormat="1">
      <c r="B1112" s="15" t="str">
        <f t="shared" si="49"/>
        <v/>
      </c>
      <c r="C1112" s="16" t="str">
        <f>IFERROR(VLOOKUP(DATA!#REF!,DATA!#REF!,1,FALSE),"")</f>
        <v/>
      </c>
      <c r="D1112" s="16" t="str">
        <f>IFERROR(VLOOKUP(C1112,DATA!#REF!,2,FALSE),"")</f>
        <v/>
      </c>
    </row>
    <row r="1113" spans="2:4" s="230" customFormat="1">
      <c r="B1113" s="15" t="str">
        <f t="shared" si="49"/>
        <v/>
      </c>
      <c r="C1113" s="16" t="str">
        <f>IFERROR(VLOOKUP(DATA!#REF!,DATA!#REF!,1,FALSE),"")</f>
        <v/>
      </c>
      <c r="D1113" s="16" t="str">
        <f>IFERROR(VLOOKUP(C1113,DATA!#REF!,2,FALSE),"")</f>
        <v/>
      </c>
    </row>
    <row r="1114" spans="2:4" s="230" customFormat="1">
      <c r="B1114" s="15" t="str">
        <f t="shared" si="49"/>
        <v/>
      </c>
      <c r="C1114" s="16" t="str">
        <f>IFERROR(VLOOKUP(DATA!#REF!,DATA!#REF!,1,FALSE),"")</f>
        <v/>
      </c>
      <c r="D1114" s="16" t="str">
        <f>IFERROR(VLOOKUP(C1114,DATA!#REF!,2,FALSE),"")</f>
        <v/>
      </c>
    </row>
    <row r="1115" spans="2:4" s="230" customFormat="1">
      <c r="B1115" s="15" t="str">
        <f t="shared" si="49"/>
        <v/>
      </c>
      <c r="C1115" s="16" t="str">
        <f>IFERROR(VLOOKUP(DATA!#REF!,DATA!#REF!,1,FALSE),"")</f>
        <v/>
      </c>
      <c r="D1115" s="16" t="str">
        <f>IFERROR(VLOOKUP(C1115,DATA!#REF!,2,FALSE),"")</f>
        <v/>
      </c>
    </row>
    <row r="1116" spans="2:4" s="230" customFormat="1">
      <c r="B1116" s="15" t="str">
        <f t="shared" si="49"/>
        <v/>
      </c>
      <c r="C1116" s="16" t="str">
        <f>IFERROR(VLOOKUP(DATA!#REF!,DATA!#REF!,1,FALSE),"")</f>
        <v/>
      </c>
      <c r="D1116" s="16" t="str">
        <f>IFERROR(VLOOKUP(C1116,DATA!#REF!,2,FALSE),"")</f>
        <v/>
      </c>
    </row>
    <row r="1117" spans="2:4" s="230" customFormat="1">
      <c r="B1117" s="15" t="str">
        <f t="shared" si="49"/>
        <v/>
      </c>
      <c r="C1117" s="16" t="str">
        <f>IFERROR(VLOOKUP(DATA!#REF!,DATA!#REF!,1,FALSE),"")</f>
        <v/>
      </c>
      <c r="D1117" s="16" t="str">
        <f>IFERROR(VLOOKUP(C1117,DATA!#REF!,2,FALSE),"")</f>
        <v/>
      </c>
    </row>
    <row r="1118" spans="2:4" s="230" customFormat="1">
      <c r="B1118" s="15" t="str">
        <f t="shared" si="49"/>
        <v/>
      </c>
      <c r="C1118" s="16" t="str">
        <f>IFERROR(VLOOKUP(DATA!#REF!,DATA!#REF!,1,FALSE),"")</f>
        <v/>
      </c>
      <c r="D1118" s="16" t="str">
        <f>IFERROR(VLOOKUP(C1118,DATA!#REF!,2,FALSE),"")</f>
        <v/>
      </c>
    </row>
    <row r="1119" spans="2:4" s="230" customFormat="1">
      <c r="B1119" s="15" t="str">
        <f t="shared" si="49"/>
        <v/>
      </c>
      <c r="C1119" s="16" t="str">
        <f>IFERROR(VLOOKUP(DATA!#REF!,DATA!#REF!,1,FALSE),"")</f>
        <v/>
      </c>
      <c r="D1119" s="16" t="str">
        <f>IFERROR(VLOOKUP(C1119,DATA!#REF!,2,FALSE),"")</f>
        <v/>
      </c>
    </row>
    <row r="1120" spans="2:4" s="230" customFormat="1">
      <c r="B1120" s="15" t="str">
        <f t="shared" si="49"/>
        <v/>
      </c>
      <c r="C1120" s="16" t="str">
        <f>IFERROR(VLOOKUP(DATA!#REF!,DATA!#REF!,1,FALSE),"")</f>
        <v/>
      </c>
      <c r="D1120" s="16" t="str">
        <f>IFERROR(VLOOKUP(C1120,DATA!#REF!,2,FALSE),"")</f>
        <v/>
      </c>
    </row>
    <row r="1121" spans="2:4" s="230" customFormat="1">
      <c r="B1121" s="15" t="str">
        <f t="shared" si="49"/>
        <v/>
      </c>
      <c r="C1121" s="16" t="str">
        <f>IFERROR(VLOOKUP(DATA!#REF!,DATA!#REF!,1,FALSE),"")</f>
        <v/>
      </c>
      <c r="D1121" s="16" t="str">
        <f>IFERROR(VLOOKUP(C1121,DATA!#REF!,2,FALSE),"")</f>
        <v/>
      </c>
    </row>
    <row r="1122" spans="2:4" s="230" customFormat="1">
      <c r="B1122" s="15" t="str">
        <f t="shared" si="49"/>
        <v/>
      </c>
      <c r="C1122" s="16" t="str">
        <f>IFERROR(VLOOKUP(DATA!#REF!,DATA!#REF!,1,FALSE),"")</f>
        <v/>
      </c>
      <c r="D1122" s="16" t="str">
        <f>IFERROR(VLOOKUP(C1122,DATA!#REF!,2,FALSE),"")</f>
        <v/>
      </c>
    </row>
    <row r="1123" spans="2:4" s="230" customFormat="1">
      <c r="B1123" s="15" t="str">
        <f t="shared" si="49"/>
        <v/>
      </c>
      <c r="C1123" s="16" t="str">
        <f>IFERROR(VLOOKUP(DATA!#REF!,DATA!#REF!,1,FALSE),"")</f>
        <v/>
      </c>
      <c r="D1123" s="16" t="str">
        <f>IFERROR(VLOOKUP(C1123,DATA!#REF!,2,FALSE),"")</f>
        <v/>
      </c>
    </row>
    <row r="1124" spans="2:4" s="230" customFormat="1">
      <c r="B1124" s="15" t="str">
        <f t="shared" si="49"/>
        <v/>
      </c>
      <c r="C1124" s="16" t="str">
        <f>IFERROR(VLOOKUP(DATA!#REF!,DATA!#REF!,1,FALSE),"")</f>
        <v/>
      </c>
      <c r="D1124" s="16" t="str">
        <f>IFERROR(VLOOKUP(C1124,DATA!#REF!,2,FALSE),"")</f>
        <v/>
      </c>
    </row>
    <row r="1125" spans="2:4" s="230" customFormat="1">
      <c r="B1125" s="15" t="str">
        <f t="shared" si="49"/>
        <v/>
      </c>
      <c r="C1125" s="16" t="str">
        <f>IFERROR(VLOOKUP(DATA!#REF!,DATA!#REF!,1,FALSE),"")</f>
        <v/>
      </c>
      <c r="D1125" s="16" t="str">
        <f>IFERROR(VLOOKUP(C1125,DATA!#REF!,2,FALSE),"")</f>
        <v/>
      </c>
    </row>
    <row r="1126" spans="2:4" s="230" customFormat="1">
      <c r="B1126" s="15" t="str">
        <f t="shared" si="49"/>
        <v/>
      </c>
      <c r="C1126" s="16" t="str">
        <f>IFERROR(VLOOKUP(DATA!#REF!,DATA!#REF!,1,FALSE),"")</f>
        <v/>
      </c>
      <c r="D1126" s="16" t="str">
        <f>IFERROR(VLOOKUP(C1126,DATA!#REF!,2,FALSE),"")</f>
        <v/>
      </c>
    </row>
    <row r="1127" spans="2:4" s="230" customFormat="1">
      <c r="B1127" s="15" t="str">
        <f t="shared" si="49"/>
        <v/>
      </c>
      <c r="C1127" s="16" t="str">
        <f>IFERROR(VLOOKUP(DATA!#REF!,DATA!#REF!,1,FALSE),"")</f>
        <v/>
      </c>
      <c r="D1127" s="16" t="str">
        <f>IFERROR(VLOOKUP(C1127,DATA!#REF!,2,FALSE),"")</f>
        <v/>
      </c>
    </row>
    <row r="1128" spans="2:4" s="230" customFormat="1">
      <c r="B1128" s="15" t="str">
        <f t="shared" si="49"/>
        <v/>
      </c>
      <c r="C1128" s="16" t="str">
        <f>IFERROR(VLOOKUP(DATA!#REF!,DATA!#REF!,1,FALSE),"")</f>
        <v/>
      </c>
      <c r="D1128" s="16" t="str">
        <f>IFERROR(VLOOKUP(C1128,DATA!#REF!,2,FALSE),"")</f>
        <v/>
      </c>
    </row>
    <row r="1129" spans="2:4" s="230" customFormat="1">
      <c r="B1129" s="15" t="str">
        <f t="shared" si="49"/>
        <v/>
      </c>
      <c r="C1129" s="16" t="str">
        <f>IFERROR(VLOOKUP(DATA!#REF!,DATA!#REF!,1,FALSE),"")</f>
        <v/>
      </c>
      <c r="D1129" s="16" t="str">
        <f>IFERROR(VLOOKUP(C1129,DATA!#REF!,2,FALSE),"")</f>
        <v/>
      </c>
    </row>
    <row r="1130" spans="2:4" s="230" customFormat="1">
      <c r="B1130" s="15" t="str">
        <f t="shared" si="49"/>
        <v/>
      </c>
      <c r="C1130" s="16" t="str">
        <f>IFERROR(VLOOKUP(DATA!#REF!,DATA!#REF!,1,FALSE),"")</f>
        <v/>
      </c>
      <c r="D1130" s="16" t="str">
        <f>IFERROR(VLOOKUP(C1130,DATA!#REF!,2,FALSE),"")</f>
        <v/>
      </c>
    </row>
    <row r="1131" spans="2:4" s="230" customFormat="1">
      <c r="B1131" s="15" t="str">
        <f t="shared" si="49"/>
        <v/>
      </c>
      <c r="C1131" s="16" t="str">
        <f>IFERROR(VLOOKUP(DATA!#REF!,DATA!#REF!,1,FALSE),"")</f>
        <v/>
      </c>
      <c r="D1131" s="16" t="str">
        <f>IFERROR(VLOOKUP(C1131,DATA!#REF!,2,FALSE),"")</f>
        <v/>
      </c>
    </row>
    <row r="1132" spans="2:4" s="230" customFormat="1">
      <c r="B1132" s="15" t="str">
        <f t="shared" si="49"/>
        <v/>
      </c>
      <c r="C1132" s="16" t="str">
        <f>IFERROR(VLOOKUP(DATA!#REF!,DATA!#REF!,1,FALSE),"")</f>
        <v/>
      </c>
      <c r="D1132" s="16" t="str">
        <f>IFERROR(VLOOKUP(C1132,DATA!#REF!,2,FALSE),"")</f>
        <v/>
      </c>
    </row>
    <row r="1133" spans="2:4" s="230" customFormat="1">
      <c r="B1133" s="15" t="str">
        <f t="shared" si="49"/>
        <v/>
      </c>
      <c r="C1133" s="16" t="str">
        <f>IFERROR(VLOOKUP(DATA!#REF!,DATA!#REF!,1,FALSE),"")</f>
        <v/>
      </c>
      <c r="D1133" s="16" t="str">
        <f>IFERROR(VLOOKUP(C1133,DATA!#REF!,2,FALSE),"")</f>
        <v/>
      </c>
    </row>
    <row r="1134" spans="2:4" s="230" customFormat="1">
      <c r="B1134" s="15" t="str">
        <f t="shared" si="49"/>
        <v/>
      </c>
      <c r="C1134" s="16" t="str">
        <f>IFERROR(VLOOKUP(DATA!#REF!,DATA!#REF!,1,FALSE),"")</f>
        <v/>
      </c>
      <c r="D1134" s="16" t="str">
        <f>IFERROR(VLOOKUP(C1134,DATA!#REF!,2,FALSE),"")</f>
        <v/>
      </c>
    </row>
    <row r="1135" spans="2:4" s="230" customFormat="1">
      <c r="B1135" s="15" t="str">
        <f t="shared" si="49"/>
        <v/>
      </c>
      <c r="C1135" s="16" t="str">
        <f>IFERROR(VLOOKUP(DATA!#REF!,DATA!#REF!,1,FALSE),"")</f>
        <v/>
      </c>
      <c r="D1135" s="16" t="str">
        <f>IFERROR(VLOOKUP(C1135,DATA!#REF!,2,FALSE),"")</f>
        <v/>
      </c>
    </row>
    <row r="1136" spans="2:4" s="230" customFormat="1">
      <c r="B1136" s="15" t="str">
        <f t="shared" si="49"/>
        <v/>
      </c>
      <c r="C1136" s="16" t="str">
        <f>IFERROR(VLOOKUP(DATA!#REF!,DATA!#REF!,1,FALSE),"")</f>
        <v/>
      </c>
      <c r="D1136" s="16" t="str">
        <f>IFERROR(VLOOKUP(C1136,DATA!#REF!,2,FALSE),"")</f>
        <v/>
      </c>
    </row>
    <row r="1137" spans="2:4" s="230" customFormat="1">
      <c r="B1137" s="15" t="str">
        <f t="shared" si="49"/>
        <v/>
      </c>
      <c r="C1137" s="16" t="str">
        <f>IFERROR(VLOOKUP(DATA!#REF!,DATA!#REF!,1,FALSE),"")</f>
        <v/>
      </c>
      <c r="D1137" s="16" t="str">
        <f>IFERROR(VLOOKUP(C1137,DATA!#REF!,2,FALSE),"")</f>
        <v/>
      </c>
    </row>
    <row r="1138" spans="2:4" s="230" customFormat="1">
      <c r="B1138" s="15" t="str">
        <f t="shared" si="49"/>
        <v/>
      </c>
      <c r="C1138" s="16" t="str">
        <f>IFERROR(VLOOKUP(DATA!#REF!,DATA!#REF!,1,FALSE),"")</f>
        <v/>
      </c>
      <c r="D1138" s="16" t="str">
        <f>IFERROR(VLOOKUP(C1138,DATA!#REF!,2,FALSE),"")</f>
        <v/>
      </c>
    </row>
    <row r="1139" spans="2:4" s="230" customFormat="1">
      <c r="B1139" s="15" t="str">
        <f t="shared" si="49"/>
        <v/>
      </c>
      <c r="C1139" s="16" t="str">
        <f>IFERROR(VLOOKUP(DATA!#REF!,DATA!#REF!,1,FALSE),"")</f>
        <v/>
      </c>
      <c r="D1139" s="16" t="str">
        <f>IFERROR(VLOOKUP(C1139,DATA!#REF!,2,FALSE),"")</f>
        <v/>
      </c>
    </row>
    <row r="1140" spans="2:4" s="230" customFormat="1">
      <c r="B1140" s="15" t="str">
        <f t="shared" si="49"/>
        <v/>
      </c>
      <c r="C1140" s="16" t="str">
        <f>IFERROR(VLOOKUP(DATA!#REF!,DATA!#REF!,1,FALSE),"")</f>
        <v/>
      </c>
      <c r="D1140" s="16" t="str">
        <f>IFERROR(VLOOKUP(C1140,DATA!#REF!,2,FALSE),"")</f>
        <v/>
      </c>
    </row>
    <row r="1141" spans="2:4" s="230" customFormat="1">
      <c r="B1141" s="15" t="str">
        <f t="shared" si="49"/>
        <v/>
      </c>
      <c r="C1141" s="16" t="str">
        <f>IFERROR(VLOOKUP(DATA!#REF!,DATA!#REF!,1,FALSE),"")</f>
        <v/>
      </c>
      <c r="D1141" s="16" t="str">
        <f>IFERROR(VLOOKUP(C1141,DATA!#REF!,2,FALSE),"")</f>
        <v/>
      </c>
    </row>
    <row r="1142" spans="2:4" s="230" customFormat="1">
      <c r="B1142" s="15" t="str">
        <f t="shared" si="49"/>
        <v/>
      </c>
      <c r="C1142" s="16" t="str">
        <f>IFERROR(VLOOKUP(DATA!#REF!,DATA!#REF!,1,FALSE),"")</f>
        <v/>
      </c>
      <c r="D1142" s="16" t="str">
        <f>IFERROR(VLOOKUP(C1142,DATA!#REF!,2,FALSE),"")</f>
        <v/>
      </c>
    </row>
    <row r="1143" spans="2:4" s="230" customFormat="1">
      <c r="B1143" s="15" t="str">
        <f t="shared" si="49"/>
        <v/>
      </c>
      <c r="C1143" s="16" t="str">
        <f>IFERROR(VLOOKUP(DATA!#REF!,DATA!#REF!,1,FALSE),"")</f>
        <v/>
      </c>
      <c r="D1143" s="16" t="str">
        <f>IFERROR(VLOOKUP(C1143,DATA!#REF!,2,FALSE),"")</f>
        <v/>
      </c>
    </row>
    <row r="1144" spans="2:4" s="230" customFormat="1">
      <c r="B1144" s="15" t="str">
        <f t="shared" si="49"/>
        <v/>
      </c>
      <c r="C1144" s="16" t="str">
        <f>IFERROR(VLOOKUP(DATA!#REF!,DATA!#REF!,1,FALSE),"")</f>
        <v/>
      </c>
      <c r="D1144" s="16" t="str">
        <f>IFERROR(VLOOKUP(C1144,DATA!#REF!,2,FALSE),"")</f>
        <v/>
      </c>
    </row>
    <row r="1145" spans="2:4" s="230" customFormat="1">
      <c r="B1145" s="15" t="str">
        <f t="shared" si="49"/>
        <v/>
      </c>
      <c r="C1145" s="16" t="str">
        <f>IFERROR(VLOOKUP(DATA!#REF!,DATA!#REF!,1,FALSE),"")</f>
        <v/>
      </c>
      <c r="D1145" s="16" t="str">
        <f>IFERROR(VLOOKUP(C1145,DATA!#REF!,2,FALSE),"")</f>
        <v/>
      </c>
    </row>
    <row r="1146" spans="2:4" s="230" customFormat="1">
      <c r="B1146" s="15" t="str">
        <f t="shared" si="49"/>
        <v/>
      </c>
      <c r="C1146" s="16" t="str">
        <f>IFERROR(VLOOKUP(DATA!#REF!,DATA!#REF!,1,FALSE),"")</f>
        <v/>
      </c>
      <c r="D1146" s="16" t="str">
        <f>IFERROR(VLOOKUP(C1146,DATA!#REF!,2,FALSE),"")</f>
        <v/>
      </c>
    </row>
    <row r="1147" spans="2:4" s="230" customFormat="1">
      <c r="B1147" s="15" t="str">
        <f t="shared" si="49"/>
        <v/>
      </c>
      <c r="C1147" s="16" t="str">
        <f>IFERROR(VLOOKUP(DATA!#REF!,DATA!#REF!,1,FALSE),"")</f>
        <v/>
      </c>
      <c r="D1147" s="16" t="str">
        <f>IFERROR(VLOOKUP(C1147,DATA!#REF!,2,FALSE),"")</f>
        <v/>
      </c>
    </row>
    <row r="1148" spans="2:4" s="230" customFormat="1">
      <c r="B1148" s="15" t="str">
        <f t="shared" si="49"/>
        <v/>
      </c>
      <c r="C1148" s="16" t="str">
        <f>IFERROR(VLOOKUP(DATA!#REF!,DATA!#REF!,1,FALSE),"")</f>
        <v/>
      </c>
      <c r="D1148" s="16" t="str">
        <f>IFERROR(VLOOKUP(C1148,DATA!#REF!,2,FALSE),"")</f>
        <v/>
      </c>
    </row>
    <row r="1149" spans="2:4" s="230" customFormat="1">
      <c r="B1149" s="15" t="str">
        <f t="shared" si="49"/>
        <v/>
      </c>
      <c r="C1149" s="16" t="str">
        <f>IFERROR(VLOOKUP(DATA!#REF!,DATA!#REF!,1,FALSE),"")</f>
        <v/>
      </c>
      <c r="D1149" s="16" t="str">
        <f>IFERROR(VLOOKUP(C1149,DATA!#REF!,2,FALSE),"")</f>
        <v/>
      </c>
    </row>
    <row r="1150" spans="2:4" s="230" customFormat="1">
      <c r="B1150" s="15" t="str">
        <f t="shared" si="49"/>
        <v/>
      </c>
      <c r="C1150" s="16" t="str">
        <f>IFERROR(VLOOKUP(DATA!#REF!,DATA!#REF!,1,FALSE),"")</f>
        <v/>
      </c>
      <c r="D1150" s="16" t="str">
        <f>IFERROR(VLOOKUP(C1150,DATA!#REF!,2,FALSE),"")</f>
        <v/>
      </c>
    </row>
    <row r="1151" spans="2:4" s="230" customFormat="1">
      <c r="B1151" s="15" t="str">
        <f t="shared" si="49"/>
        <v/>
      </c>
      <c r="C1151" s="16" t="str">
        <f>IFERROR(VLOOKUP(DATA!#REF!,DATA!#REF!,1,FALSE),"")</f>
        <v/>
      </c>
      <c r="D1151" s="16" t="str">
        <f>IFERROR(VLOOKUP(C1151,DATA!#REF!,2,FALSE),"")</f>
        <v/>
      </c>
    </row>
    <row r="1152" spans="2:4" s="230" customFormat="1">
      <c r="B1152" s="15" t="str">
        <f t="shared" si="49"/>
        <v/>
      </c>
      <c r="C1152" s="16" t="str">
        <f>IFERROR(VLOOKUP(DATA!#REF!,DATA!#REF!,1,FALSE),"")</f>
        <v/>
      </c>
      <c r="D1152" s="16" t="str">
        <f>IFERROR(VLOOKUP(C1152,DATA!#REF!,2,FALSE),"")</f>
        <v/>
      </c>
    </row>
    <row r="1153" spans="2:4" s="230" customFormat="1">
      <c r="B1153" s="15" t="str">
        <f t="shared" si="49"/>
        <v/>
      </c>
      <c r="C1153" s="16" t="str">
        <f>IFERROR(VLOOKUP(DATA!#REF!,DATA!#REF!,1,FALSE),"")</f>
        <v/>
      </c>
      <c r="D1153" s="16" t="str">
        <f>IFERROR(VLOOKUP(C1153,DATA!#REF!,2,FALSE),"")</f>
        <v/>
      </c>
    </row>
    <row r="1154" spans="2:4" s="230" customFormat="1">
      <c r="B1154" s="15" t="str">
        <f t="shared" si="49"/>
        <v/>
      </c>
      <c r="C1154" s="16" t="str">
        <f>IFERROR(VLOOKUP(DATA!#REF!,DATA!#REF!,1,FALSE),"")</f>
        <v/>
      </c>
      <c r="D1154" s="16" t="str">
        <f>IFERROR(VLOOKUP(C1154,DATA!#REF!,2,FALSE),"")</f>
        <v/>
      </c>
    </row>
    <row r="1155" spans="2:4" s="230" customFormat="1">
      <c r="B1155" s="15" t="str">
        <f t="shared" si="49"/>
        <v/>
      </c>
      <c r="C1155" s="16" t="str">
        <f>IFERROR(VLOOKUP(DATA!#REF!,DATA!#REF!,1,FALSE),"")</f>
        <v/>
      </c>
      <c r="D1155" s="16" t="str">
        <f>IFERROR(VLOOKUP(C1155,DATA!#REF!,2,FALSE),"")</f>
        <v/>
      </c>
    </row>
    <row r="1156" spans="2:4" s="230" customFormat="1">
      <c r="B1156" s="15" t="str">
        <f t="shared" si="49"/>
        <v/>
      </c>
      <c r="C1156" s="16" t="str">
        <f>IFERROR(VLOOKUP(DATA!#REF!,DATA!#REF!,1,FALSE),"")</f>
        <v/>
      </c>
      <c r="D1156" s="16" t="str">
        <f>IFERROR(VLOOKUP(C1156,DATA!#REF!,2,FALSE),"")</f>
        <v/>
      </c>
    </row>
    <row r="1157" spans="2:4" s="230" customFormat="1">
      <c r="B1157" s="15" t="str">
        <f t="shared" si="49"/>
        <v/>
      </c>
      <c r="C1157" s="16" t="str">
        <f>IFERROR(VLOOKUP(DATA!#REF!,DATA!#REF!,1,FALSE),"")</f>
        <v/>
      </c>
      <c r="D1157" s="16" t="str">
        <f>IFERROR(VLOOKUP(C1157,DATA!#REF!,2,FALSE),"")</f>
        <v/>
      </c>
    </row>
    <row r="1158" spans="2:4" s="230" customFormat="1">
      <c r="B1158" s="15" t="str">
        <f t="shared" ref="B1158:B1221" si="50">+IF(C1158="","",ROW()-5)</f>
        <v/>
      </c>
      <c r="C1158" s="16" t="str">
        <f>IFERROR(VLOOKUP(DATA!#REF!,DATA!#REF!,1,FALSE),"")</f>
        <v/>
      </c>
      <c r="D1158" s="16" t="str">
        <f>IFERROR(VLOOKUP(C1158,DATA!#REF!,2,FALSE),"")</f>
        <v/>
      </c>
    </row>
    <row r="1159" spans="2:4" s="230" customFormat="1">
      <c r="B1159" s="15" t="str">
        <f t="shared" si="50"/>
        <v/>
      </c>
      <c r="C1159" s="16" t="str">
        <f>IFERROR(VLOOKUP(DATA!#REF!,DATA!#REF!,1,FALSE),"")</f>
        <v/>
      </c>
      <c r="D1159" s="16" t="str">
        <f>IFERROR(VLOOKUP(C1159,DATA!#REF!,2,FALSE),"")</f>
        <v/>
      </c>
    </row>
    <row r="1160" spans="2:4" s="230" customFormat="1">
      <c r="B1160" s="15" t="str">
        <f t="shared" si="50"/>
        <v/>
      </c>
      <c r="C1160" s="16" t="str">
        <f>IFERROR(VLOOKUP(DATA!#REF!,DATA!#REF!,1,FALSE),"")</f>
        <v/>
      </c>
      <c r="D1160" s="16" t="str">
        <f>IFERROR(VLOOKUP(C1160,DATA!#REF!,2,FALSE),"")</f>
        <v/>
      </c>
    </row>
    <row r="1161" spans="2:4" s="230" customFormat="1">
      <c r="B1161" s="15" t="str">
        <f t="shared" si="50"/>
        <v/>
      </c>
      <c r="C1161" s="16" t="str">
        <f>IFERROR(VLOOKUP(DATA!#REF!,DATA!#REF!,1,FALSE),"")</f>
        <v/>
      </c>
      <c r="D1161" s="16" t="str">
        <f>IFERROR(VLOOKUP(C1161,DATA!#REF!,2,FALSE),"")</f>
        <v/>
      </c>
    </row>
    <row r="1162" spans="2:4" s="230" customFormat="1">
      <c r="B1162" s="15" t="str">
        <f t="shared" si="50"/>
        <v/>
      </c>
      <c r="C1162" s="16" t="str">
        <f>IFERROR(VLOOKUP(DATA!#REF!,DATA!#REF!,1,FALSE),"")</f>
        <v/>
      </c>
      <c r="D1162" s="16" t="str">
        <f>IFERROR(VLOOKUP(C1162,DATA!#REF!,2,FALSE),"")</f>
        <v/>
      </c>
    </row>
    <row r="1163" spans="2:4" s="230" customFormat="1">
      <c r="B1163" s="15" t="str">
        <f t="shared" si="50"/>
        <v/>
      </c>
      <c r="C1163" s="16" t="str">
        <f>IFERROR(VLOOKUP(DATA!#REF!,DATA!#REF!,1,FALSE),"")</f>
        <v/>
      </c>
      <c r="D1163" s="16" t="str">
        <f>IFERROR(VLOOKUP(C1163,DATA!#REF!,2,FALSE),"")</f>
        <v/>
      </c>
    </row>
    <row r="1164" spans="2:4" s="230" customFormat="1">
      <c r="B1164" s="15" t="str">
        <f t="shared" si="50"/>
        <v/>
      </c>
      <c r="C1164" s="16" t="str">
        <f>IFERROR(VLOOKUP(DATA!#REF!,DATA!#REF!,1,FALSE),"")</f>
        <v/>
      </c>
      <c r="D1164" s="16" t="str">
        <f>IFERROR(VLOOKUP(C1164,DATA!#REF!,2,FALSE),"")</f>
        <v/>
      </c>
    </row>
    <row r="1165" spans="2:4" s="230" customFormat="1">
      <c r="B1165" s="15" t="str">
        <f t="shared" si="50"/>
        <v/>
      </c>
      <c r="C1165" s="16" t="str">
        <f>IFERROR(VLOOKUP(DATA!#REF!,DATA!#REF!,1,FALSE),"")</f>
        <v/>
      </c>
      <c r="D1165" s="16" t="str">
        <f>IFERROR(VLOOKUP(C1165,DATA!#REF!,2,FALSE),"")</f>
        <v/>
      </c>
    </row>
    <row r="1166" spans="2:4" s="230" customFormat="1">
      <c r="B1166" s="15" t="str">
        <f t="shared" si="50"/>
        <v/>
      </c>
      <c r="C1166" s="16" t="str">
        <f>IFERROR(VLOOKUP(DATA!#REF!,DATA!#REF!,1,FALSE),"")</f>
        <v/>
      </c>
      <c r="D1166" s="16" t="str">
        <f>IFERROR(VLOOKUP(C1166,DATA!#REF!,2,FALSE),"")</f>
        <v/>
      </c>
    </row>
    <row r="1167" spans="2:4" s="230" customFormat="1">
      <c r="B1167" s="15" t="str">
        <f t="shared" si="50"/>
        <v/>
      </c>
      <c r="C1167" s="16" t="str">
        <f>IFERROR(VLOOKUP(DATA!#REF!,DATA!#REF!,1,FALSE),"")</f>
        <v/>
      </c>
      <c r="D1167" s="16" t="str">
        <f>IFERROR(VLOOKUP(C1167,DATA!#REF!,2,FALSE),"")</f>
        <v/>
      </c>
    </row>
    <row r="1168" spans="2:4" s="230" customFormat="1">
      <c r="B1168" s="15" t="str">
        <f t="shared" si="50"/>
        <v/>
      </c>
      <c r="C1168" s="16" t="str">
        <f>IFERROR(VLOOKUP(DATA!#REF!,DATA!#REF!,1,FALSE),"")</f>
        <v/>
      </c>
      <c r="D1168" s="16" t="str">
        <f>IFERROR(VLOOKUP(C1168,DATA!#REF!,2,FALSE),"")</f>
        <v/>
      </c>
    </row>
    <row r="1169" spans="2:4" s="230" customFormat="1">
      <c r="B1169" s="15" t="str">
        <f t="shared" si="50"/>
        <v/>
      </c>
      <c r="C1169" s="16" t="str">
        <f>IFERROR(VLOOKUP(DATA!#REF!,DATA!#REF!,1,FALSE),"")</f>
        <v/>
      </c>
      <c r="D1169" s="16" t="str">
        <f>IFERROR(VLOOKUP(C1169,DATA!#REF!,2,FALSE),"")</f>
        <v/>
      </c>
    </row>
    <row r="1170" spans="2:4" s="230" customFormat="1">
      <c r="B1170" s="15" t="str">
        <f t="shared" si="50"/>
        <v/>
      </c>
      <c r="C1170" s="16" t="str">
        <f>IFERROR(VLOOKUP(DATA!#REF!,DATA!#REF!,1,FALSE),"")</f>
        <v/>
      </c>
      <c r="D1170" s="16" t="str">
        <f>IFERROR(VLOOKUP(C1170,DATA!#REF!,2,FALSE),"")</f>
        <v/>
      </c>
    </row>
    <row r="1171" spans="2:4" s="230" customFormat="1">
      <c r="B1171" s="15" t="str">
        <f t="shared" si="50"/>
        <v/>
      </c>
      <c r="C1171" s="16" t="str">
        <f>IFERROR(VLOOKUP(DATA!#REF!,DATA!#REF!,1,FALSE),"")</f>
        <v/>
      </c>
      <c r="D1171" s="16" t="str">
        <f>IFERROR(VLOOKUP(C1171,DATA!#REF!,2,FALSE),"")</f>
        <v/>
      </c>
    </row>
    <row r="1172" spans="2:4" s="230" customFormat="1">
      <c r="B1172" s="15" t="str">
        <f t="shared" si="50"/>
        <v/>
      </c>
      <c r="C1172" s="16" t="str">
        <f>IFERROR(VLOOKUP(DATA!#REF!,DATA!#REF!,1,FALSE),"")</f>
        <v/>
      </c>
      <c r="D1172" s="16" t="str">
        <f>IFERROR(VLOOKUP(C1172,DATA!#REF!,2,FALSE),"")</f>
        <v/>
      </c>
    </row>
    <row r="1173" spans="2:4" s="230" customFormat="1">
      <c r="B1173" s="15" t="str">
        <f t="shared" si="50"/>
        <v/>
      </c>
      <c r="C1173" s="16" t="str">
        <f>IFERROR(VLOOKUP(DATA!#REF!,DATA!#REF!,1,FALSE),"")</f>
        <v/>
      </c>
      <c r="D1173" s="16" t="str">
        <f>IFERROR(VLOOKUP(C1173,DATA!#REF!,2,FALSE),"")</f>
        <v/>
      </c>
    </row>
    <row r="1174" spans="2:4" s="230" customFormat="1">
      <c r="B1174" s="15" t="str">
        <f t="shared" si="50"/>
        <v/>
      </c>
      <c r="C1174" s="16" t="str">
        <f>IFERROR(VLOOKUP(DATA!#REF!,DATA!#REF!,1,FALSE),"")</f>
        <v/>
      </c>
      <c r="D1174" s="16" t="str">
        <f>IFERROR(VLOOKUP(C1174,DATA!#REF!,2,FALSE),"")</f>
        <v/>
      </c>
    </row>
    <row r="1175" spans="2:4" s="230" customFormat="1">
      <c r="B1175" s="15" t="str">
        <f t="shared" si="50"/>
        <v/>
      </c>
      <c r="C1175" s="16" t="str">
        <f>IFERROR(VLOOKUP(DATA!#REF!,DATA!#REF!,1,FALSE),"")</f>
        <v/>
      </c>
      <c r="D1175" s="16" t="str">
        <f>IFERROR(VLOOKUP(C1175,DATA!#REF!,2,FALSE),"")</f>
        <v/>
      </c>
    </row>
    <row r="1176" spans="2:4" s="230" customFormat="1">
      <c r="B1176" s="15" t="str">
        <f t="shared" si="50"/>
        <v/>
      </c>
      <c r="C1176" s="16" t="str">
        <f>IFERROR(VLOOKUP(DATA!#REF!,DATA!#REF!,1,FALSE),"")</f>
        <v/>
      </c>
      <c r="D1176" s="16" t="str">
        <f>IFERROR(VLOOKUP(C1176,DATA!#REF!,2,FALSE),"")</f>
        <v/>
      </c>
    </row>
    <row r="1177" spans="2:4" s="230" customFormat="1">
      <c r="B1177" s="15" t="str">
        <f t="shared" si="50"/>
        <v/>
      </c>
      <c r="C1177" s="16" t="str">
        <f>IFERROR(VLOOKUP(DATA!#REF!,DATA!#REF!,1,FALSE),"")</f>
        <v/>
      </c>
      <c r="D1177" s="16" t="str">
        <f>IFERROR(VLOOKUP(C1177,DATA!#REF!,2,FALSE),"")</f>
        <v/>
      </c>
    </row>
    <row r="1178" spans="2:4" s="230" customFormat="1">
      <c r="B1178" s="15" t="str">
        <f t="shared" si="50"/>
        <v/>
      </c>
      <c r="C1178" s="16" t="str">
        <f>IFERROR(VLOOKUP(DATA!#REF!,DATA!#REF!,1,FALSE),"")</f>
        <v/>
      </c>
      <c r="D1178" s="16" t="str">
        <f>IFERROR(VLOOKUP(C1178,DATA!#REF!,2,FALSE),"")</f>
        <v/>
      </c>
    </row>
    <row r="1179" spans="2:4" s="230" customFormat="1">
      <c r="B1179" s="15" t="str">
        <f t="shared" si="50"/>
        <v/>
      </c>
      <c r="C1179" s="16" t="str">
        <f>IFERROR(VLOOKUP(DATA!#REF!,DATA!#REF!,1,FALSE),"")</f>
        <v/>
      </c>
      <c r="D1179" s="16" t="str">
        <f>IFERROR(VLOOKUP(C1179,DATA!#REF!,2,FALSE),"")</f>
        <v/>
      </c>
    </row>
    <row r="1180" spans="2:4" s="230" customFormat="1">
      <c r="B1180" s="15" t="str">
        <f t="shared" si="50"/>
        <v/>
      </c>
      <c r="C1180" s="16" t="str">
        <f>IFERROR(VLOOKUP(DATA!#REF!,DATA!#REF!,1,FALSE),"")</f>
        <v/>
      </c>
      <c r="D1180" s="16" t="str">
        <f>IFERROR(VLOOKUP(C1180,DATA!#REF!,2,FALSE),"")</f>
        <v/>
      </c>
    </row>
    <row r="1181" spans="2:4" s="230" customFormat="1">
      <c r="B1181" s="15" t="str">
        <f t="shared" si="50"/>
        <v/>
      </c>
      <c r="C1181" s="16" t="str">
        <f>IFERROR(VLOOKUP(DATA!#REF!,DATA!#REF!,1,FALSE),"")</f>
        <v/>
      </c>
      <c r="D1181" s="16" t="str">
        <f>IFERROR(VLOOKUP(C1181,DATA!#REF!,2,FALSE),"")</f>
        <v/>
      </c>
    </row>
    <row r="1182" spans="2:4" s="230" customFormat="1">
      <c r="B1182" s="15" t="str">
        <f t="shared" si="50"/>
        <v/>
      </c>
      <c r="C1182" s="16" t="str">
        <f>IFERROR(VLOOKUP(DATA!#REF!,DATA!#REF!,1,FALSE),"")</f>
        <v/>
      </c>
      <c r="D1182" s="16" t="str">
        <f>IFERROR(VLOOKUP(C1182,DATA!#REF!,2,FALSE),"")</f>
        <v/>
      </c>
    </row>
    <row r="1183" spans="2:4" s="230" customFormat="1">
      <c r="B1183" s="15" t="str">
        <f t="shared" si="50"/>
        <v/>
      </c>
      <c r="C1183" s="16" t="str">
        <f>IFERROR(VLOOKUP(DATA!#REF!,DATA!#REF!,1,FALSE),"")</f>
        <v/>
      </c>
      <c r="D1183" s="16" t="str">
        <f>IFERROR(VLOOKUP(C1183,DATA!#REF!,2,FALSE),"")</f>
        <v/>
      </c>
    </row>
    <row r="1184" spans="2:4" s="230" customFormat="1">
      <c r="B1184" s="15" t="str">
        <f t="shared" si="50"/>
        <v/>
      </c>
      <c r="C1184" s="16" t="str">
        <f>IFERROR(VLOOKUP(DATA!#REF!,DATA!#REF!,1,FALSE),"")</f>
        <v/>
      </c>
      <c r="D1184" s="16" t="str">
        <f>IFERROR(VLOOKUP(C1184,DATA!#REF!,2,FALSE),"")</f>
        <v/>
      </c>
    </row>
    <row r="1185" spans="2:4" s="230" customFormat="1">
      <c r="B1185" s="15" t="str">
        <f t="shared" si="50"/>
        <v/>
      </c>
      <c r="C1185" s="16" t="str">
        <f>IFERROR(VLOOKUP(DATA!#REF!,DATA!#REF!,1,FALSE),"")</f>
        <v/>
      </c>
      <c r="D1185" s="16" t="str">
        <f>IFERROR(VLOOKUP(C1185,DATA!#REF!,2,FALSE),"")</f>
        <v/>
      </c>
    </row>
    <row r="1186" spans="2:4" s="230" customFormat="1">
      <c r="B1186" s="15" t="str">
        <f t="shared" si="50"/>
        <v/>
      </c>
      <c r="C1186" s="16" t="str">
        <f>IFERROR(VLOOKUP(DATA!#REF!,DATA!#REF!,1,FALSE),"")</f>
        <v/>
      </c>
      <c r="D1186" s="16" t="str">
        <f>IFERROR(VLOOKUP(C1186,DATA!#REF!,2,FALSE),"")</f>
        <v/>
      </c>
    </row>
    <row r="1187" spans="2:4" s="230" customFormat="1">
      <c r="B1187" s="15" t="str">
        <f t="shared" si="50"/>
        <v/>
      </c>
      <c r="C1187" s="16" t="str">
        <f>IFERROR(VLOOKUP(DATA!#REF!,DATA!#REF!,1,FALSE),"")</f>
        <v/>
      </c>
      <c r="D1187" s="16" t="str">
        <f>IFERROR(VLOOKUP(C1187,DATA!#REF!,2,FALSE),"")</f>
        <v/>
      </c>
    </row>
    <row r="1188" spans="2:4" s="230" customFormat="1">
      <c r="B1188" s="15" t="str">
        <f t="shared" si="50"/>
        <v/>
      </c>
      <c r="C1188" s="16" t="str">
        <f>IFERROR(VLOOKUP(DATA!#REF!,DATA!#REF!,1,FALSE),"")</f>
        <v/>
      </c>
      <c r="D1188" s="16" t="str">
        <f>IFERROR(VLOOKUP(C1188,DATA!#REF!,2,FALSE),"")</f>
        <v/>
      </c>
    </row>
    <row r="1189" spans="2:4" s="230" customFormat="1">
      <c r="B1189" s="15" t="str">
        <f t="shared" si="50"/>
        <v/>
      </c>
      <c r="C1189" s="16" t="str">
        <f>IFERROR(VLOOKUP(DATA!#REF!,DATA!#REF!,1,FALSE),"")</f>
        <v/>
      </c>
      <c r="D1189" s="16" t="str">
        <f>IFERROR(VLOOKUP(C1189,DATA!#REF!,2,FALSE),"")</f>
        <v/>
      </c>
    </row>
    <row r="1190" spans="2:4" s="230" customFormat="1">
      <c r="B1190" s="15" t="str">
        <f t="shared" si="50"/>
        <v/>
      </c>
      <c r="C1190" s="16" t="str">
        <f>IFERROR(VLOOKUP(DATA!#REF!,DATA!#REF!,1,FALSE),"")</f>
        <v/>
      </c>
      <c r="D1190" s="16" t="str">
        <f>IFERROR(VLOOKUP(C1190,DATA!#REF!,2,FALSE),"")</f>
        <v/>
      </c>
    </row>
    <row r="1191" spans="2:4" s="230" customFormat="1">
      <c r="B1191" s="15" t="str">
        <f t="shared" si="50"/>
        <v/>
      </c>
      <c r="C1191" s="16" t="str">
        <f>IFERROR(VLOOKUP(DATA!#REF!,DATA!#REF!,1,FALSE),"")</f>
        <v/>
      </c>
      <c r="D1191" s="16" t="str">
        <f>IFERROR(VLOOKUP(C1191,DATA!#REF!,2,FALSE),"")</f>
        <v/>
      </c>
    </row>
    <row r="1192" spans="2:4" s="230" customFormat="1">
      <c r="B1192" s="15" t="str">
        <f t="shared" si="50"/>
        <v/>
      </c>
      <c r="C1192" s="16" t="str">
        <f>IFERROR(VLOOKUP(DATA!#REF!,DATA!#REF!,1,FALSE),"")</f>
        <v/>
      </c>
      <c r="D1192" s="16" t="str">
        <f>IFERROR(VLOOKUP(C1192,DATA!#REF!,2,FALSE),"")</f>
        <v/>
      </c>
    </row>
    <row r="1193" spans="2:4" s="230" customFormat="1">
      <c r="B1193" s="15" t="str">
        <f t="shared" si="50"/>
        <v/>
      </c>
      <c r="C1193" s="16" t="str">
        <f>IFERROR(VLOOKUP(DATA!#REF!,DATA!#REF!,1,FALSE),"")</f>
        <v/>
      </c>
      <c r="D1193" s="16" t="str">
        <f>IFERROR(VLOOKUP(C1193,DATA!#REF!,2,FALSE),"")</f>
        <v/>
      </c>
    </row>
    <row r="1194" spans="2:4" s="230" customFormat="1">
      <c r="B1194" s="15" t="str">
        <f t="shared" si="50"/>
        <v/>
      </c>
      <c r="C1194" s="16" t="str">
        <f>IFERROR(VLOOKUP(DATA!#REF!,DATA!#REF!,1,FALSE),"")</f>
        <v/>
      </c>
      <c r="D1194" s="16" t="str">
        <f>IFERROR(VLOOKUP(C1194,DATA!#REF!,2,FALSE),"")</f>
        <v/>
      </c>
    </row>
    <row r="1195" spans="2:4" s="230" customFormat="1">
      <c r="B1195" s="15" t="str">
        <f t="shared" si="50"/>
        <v/>
      </c>
      <c r="C1195" s="16" t="str">
        <f>IFERROR(VLOOKUP(DATA!#REF!,DATA!#REF!,1,FALSE),"")</f>
        <v/>
      </c>
      <c r="D1195" s="16" t="str">
        <f>IFERROR(VLOOKUP(C1195,DATA!#REF!,2,FALSE),"")</f>
        <v/>
      </c>
    </row>
    <row r="1196" spans="2:4" s="230" customFormat="1">
      <c r="B1196" s="15" t="str">
        <f t="shared" si="50"/>
        <v/>
      </c>
      <c r="C1196" s="16" t="str">
        <f>IFERROR(VLOOKUP(DATA!#REF!,DATA!#REF!,1,FALSE),"")</f>
        <v/>
      </c>
      <c r="D1196" s="16" t="str">
        <f>IFERROR(VLOOKUP(C1196,DATA!#REF!,2,FALSE),"")</f>
        <v/>
      </c>
    </row>
    <row r="1197" spans="2:4" s="230" customFormat="1">
      <c r="B1197" s="15" t="str">
        <f t="shared" si="50"/>
        <v/>
      </c>
      <c r="C1197" s="16" t="str">
        <f>IFERROR(VLOOKUP(DATA!#REF!,DATA!#REF!,1,FALSE),"")</f>
        <v/>
      </c>
      <c r="D1197" s="16" t="str">
        <f>IFERROR(VLOOKUP(C1197,DATA!#REF!,2,FALSE),"")</f>
        <v/>
      </c>
    </row>
    <row r="1198" spans="2:4" s="230" customFormat="1">
      <c r="B1198" s="15" t="str">
        <f t="shared" si="50"/>
        <v/>
      </c>
      <c r="C1198" s="16" t="str">
        <f>IFERROR(VLOOKUP(DATA!#REF!,DATA!#REF!,1,FALSE),"")</f>
        <v/>
      </c>
      <c r="D1198" s="16" t="str">
        <f>IFERROR(VLOOKUP(C1198,DATA!#REF!,2,FALSE),"")</f>
        <v/>
      </c>
    </row>
    <row r="1199" spans="2:4" s="230" customFormat="1">
      <c r="B1199" s="15" t="str">
        <f t="shared" si="50"/>
        <v/>
      </c>
      <c r="C1199" s="16" t="str">
        <f>IFERROR(VLOOKUP(DATA!#REF!,DATA!#REF!,1,FALSE),"")</f>
        <v/>
      </c>
      <c r="D1199" s="16" t="str">
        <f>IFERROR(VLOOKUP(C1199,DATA!#REF!,2,FALSE),"")</f>
        <v/>
      </c>
    </row>
    <row r="1200" spans="2:4" s="230" customFormat="1">
      <c r="B1200" s="15" t="str">
        <f t="shared" si="50"/>
        <v/>
      </c>
      <c r="C1200" s="16" t="str">
        <f>IFERROR(VLOOKUP(DATA!#REF!,DATA!#REF!,1,FALSE),"")</f>
        <v/>
      </c>
      <c r="D1200" s="16" t="str">
        <f>IFERROR(VLOOKUP(C1200,DATA!#REF!,2,FALSE),"")</f>
        <v/>
      </c>
    </row>
    <row r="1201" spans="2:4" s="230" customFormat="1">
      <c r="B1201" s="15" t="str">
        <f t="shared" si="50"/>
        <v/>
      </c>
      <c r="C1201" s="16" t="str">
        <f>IFERROR(VLOOKUP(DATA!#REF!,DATA!#REF!,1,FALSE),"")</f>
        <v/>
      </c>
      <c r="D1201" s="16" t="str">
        <f>IFERROR(VLOOKUP(C1201,DATA!#REF!,2,FALSE),"")</f>
        <v/>
      </c>
    </row>
    <row r="1202" spans="2:4" s="230" customFormat="1">
      <c r="B1202" s="15" t="str">
        <f t="shared" si="50"/>
        <v/>
      </c>
      <c r="C1202" s="16" t="str">
        <f>IFERROR(VLOOKUP(DATA!#REF!,DATA!#REF!,1,FALSE),"")</f>
        <v/>
      </c>
      <c r="D1202" s="16" t="str">
        <f>IFERROR(VLOOKUP(C1202,DATA!#REF!,2,FALSE),"")</f>
        <v/>
      </c>
    </row>
    <row r="1203" spans="2:4" s="230" customFormat="1">
      <c r="B1203" s="15" t="str">
        <f t="shared" si="50"/>
        <v/>
      </c>
      <c r="C1203" s="16" t="str">
        <f>IFERROR(VLOOKUP(DATA!#REF!,DATA!#REF!,1,FALSE),"")</f>
        <v/>
      </c>
      <c r="D1203" s="16" t="str">
        <f>IFERROR(VLOOKUP(C1203,DATA!#REF!,2,FALSE),"")</f>
        <v/>
      </c>
    </row>
    <row r="1204" spans="2:4" s="230" customFormat="1">
      <c r="B1204" s="15" t="str">
        <f t="shared" si="50"/>
        <v/>
      </c>
      <c r="C1204" s="16" t="str">
        <f>IFERROR(VLOOKUP(DATA!#REF!,DATA!#REF!,1,FALSE),"")</f>
        <v/>
      </c>
      <c r="D1204" s="16" t="str">
        <f>IFERROR(VLOOKUP(C1204,DATA!#REF!,2,FALSE),"")</f>
        <v/>
      </c>
    </row>
    <row r="1205" spans="2:4" s="230" customFormat="1">
      <c r="B1205" s="15" t="str">
        <f t="shared" si="50"/>
        <v/>
      </c>
      <c r="C1205" s="16" t="str">
        <f>IFERROR(VLOOKUP(DATA!#REF!,DATA!#REF!,1,FALSE),"")</f>
        <v/>
      </c>
      <c r="D1205" s="16" t="str">
        <f>IFERROR(VLOOKUP(C1205,DATA!#REF!,2,FALSE),"")</f>
        <v/>
      </c>
    </row>
    <row r="1206" spans="2:4" s="230" customFormat="1">
      <c r="B1206" s="15" t="str">
        <f t="shared" si="50"/>
        <v/>
      </c>
      <c r="C1206" s="16" t="str">
        <f>IFERROR(VLOOKUP(DATA!#REF!,DATA!#REF!,1,FALSE),"")</f>
        <v/>
      </c>
      <c r="D1206" s="16" t="str">
        <f>IFERROR(VLOOKUP(C1206,DATA!#REF!,2,FALSE),"")</f>
        <v/>
      </c>
    </row>
    <row r="1207" spans="2:4" s="230" customFormat="1">
      <c r="B1207" s="15" t="str">
        <f t="shared" si="50"/>
        <v/>
      </c>
      <c r="C1207" s="16" t="str">
        <f>IFERROR(VLOOKUP(DATA!#REF!,DATA!#REF!,1,FALSE),"")</f>
        <v/>
      </c>
      <c r="D1207" s="16" t="str">
        <f>IFERROR(VLOOKUP(C1207,DATA!#REF!,2,FALSE),"")</f>
        <v/>
      </c>
    </row>
    <row r="1208" spans="2:4" s="230" customFormat="1">
      <c r="B1208" s="15" t="str">
        <f t="shared" si="50"/>
        <v/>
      </c>
      <c r="C1208" s="16" t="str">
        <f>IFERROR(VLOOKUP(DATA!#REF!,DATA!#REF!,1,FALSE),"")</f>
        <v/>
      </c>
      <c r="D1208" s="16" t="str">
        <f>IFERROR(VLOOKUP(C1208,DATA!#REF!,2,FALSE),"")</f>
        <v/>
      </c>
    </row>
    <row r="1209" spans="2:4" s="230" customFormat="1">
      <c r="B1209" s="15" t="str">
        <f t="shared" si="50"/>
        <v/>
      </c>
      <c r="C1209" s="16" t="str">
        <f>IFERROR(VLOOKUP(DATA!#REF!,DATA!#REF!,1,FALSE),"")</f>
        <v/>
      </c>
      <c r="D1209" s="16" t="str">
        <f>IFERROR(VLOOKUP(C1209,DATA!#REF!,2,FALSE),"")</f>
        <v/>
      </c>
    </row>
    <row r="1210" spans="2:4" s="230" customFormat="1">
      <c r="B1210" s="15" t="str">
        <f t="shared" si="50"/>
        <v/>
      </c>
      <c r="C1210" s="16" t="str">
        <f>IFERROR(VLOOKUP(DATA!#REF!,DATA!#REF!,1,FALSE),"")</f>
        <v/>
      </c>
      <c r="D1210" s="16" t="str">
        <f>IFERROR(VLOOKUP(C1210,DATA!#REF!,2,FALSE),"")</f>
        <v/>
      </c>
    </row>
    <row r="1211" spans="2:4" s="230" customFormat="1">
      <c r="B1211" s="15" t="str">
        <f t="shared" si="50"/>
        <v/>
      </c>
      <c r="C1211" s="16" t="str">
        <f>IFERROR(VLOOKUP(DATA!#REF!,DATA!#REF!,1,FALSE),"")</f>
        <v/>
      </c>
      <c r="D1211" s="16" t="str">
        <f>IFERROR(VLOOKUP(C1211,DATA!#REF!,2,FALSE),"")</f>
        <v/>
      </c>
    </row>
    <row r="1212" spans="2:4" s="230" customFormat="1">
      <c r="B1212" s="15" t="str">
        <f t="shared" si="50"/>
        <v/>
      </c>
      <c r="C1212" s="16" t="str">
        <f>IFERROR(VLOOKUP(DATA!#REF!,DATA!#REF!,1,FALSE),"")</f>
        <v/>
      </c>
      <c r="D1212" s="16" t="str">
        <f>IFERROR(VLOOKUP(C1212,DATA!#REF!,2,FALSE),"")</f>
        <v/>
      </c>
    </row>
    <row r="1213" spans="2:4" s="230" customFormat="1">
      <c r="B1213" s="15" t="str">
        <f t="shared" si="50"/>
        <v/>
      </c>
      <c r="C1213" s="16" t="str">
        <f>IFERROR(VLOOKUP(DATA!#REF!,DATA!#REF!,1,FALSE),"")</f>
        <v/>
      </c>
      <c r="D1213" s="16" t="str">
        <f>IFERROR(VLOOKUP(C1213,DATA!#REF!,2,FALSE),"")</f>
        <v/>
      </c>
    </row>
    <row r="1214" spans="2:4" s="230" customFormat="1">
      <c r="B1214" s="15" t="str">
        <f t="shared" si="50"/>
        <v/>
      </c>
      <c r="C1214" s="16" t="str">
        <f>IFERROR(VLOOKUP(DATA!#REF!,DATA!#REF!,1,FALSE),"")</f>
        <v/>
      </c>
      <c r="D1214" s="16" t="str">
        <f>IFERROR(VLOOKUP(C1214,DATA!#REF!,2,FALSE),"")</f>
        <v/>
      </c>
    </row>
    <row r="1215" spans="2:4" s="230" customFormat="1">
      <c r="B1215" s="15" t="str">
        <f t="shared" si="50"/>
        <v/>
      </c>
      <c r="C1215" s="16" t="str">
        <f>IFERROR(VLOOKUP(DATA!#REF!,DATA!#REF!,1,FALSE),"")</f>
        <v/>
      </c>
      <c r="D1215" s="16" t="str">
        <f>IFERROR(VLOOKUP(C1215,DATA!#REF!,2,FALSE),"")</f>
        <v/>
      </c>
    </row>
    <row r="1216" spans="2:4" s="230" customFormat="1">
      <c r="B1216" s="15" t="str">
        <f t="shared" si="50"/>
        <v/>
      </c>
      <c r="C1216" s="16" t="str">
        <f>IFERROR(VLOOKUP(DATA!#REF!,DATA!#REF!,1,FALSE),"")</f>
        <v/>
      </c>
      <c r="D1216" s="16" t="str">
        <f>IFERROR(VLOOKUP(C1216,DATA!#REF!,2,FALSE),"")</f>
        <v/>
      </c>
    </row>
    <row r="1217" spans="2:4" s="230" customFormat="1">
      <c r="B1217" s="15" t="str">
        <f t="shared" si="50"/>
        <v/>
      </c>
      <c r="C1217" s="16" t="str">
        <f>IFERROR(VLOOKUP(DATA!#REF!,DATA!#REF!,1,FALSE),"")</f>
        <v/>
      </c>
      <c r="D1217" s="16" t="str">
        <f>IFERROR(VLOOKUP(C1217,DATA!#REF!,2,FALSE),"")</f>
        <v/>
      </c>
    </row>
    <row r="1218" spans="2:4" s="230" customFormat="1">
      <c r="B1218" s="15" t="str">
        <f t="shared" si="50"/>
        <v/>
      </c>
      <c r="C1218" s="16" t="str">
        <f>IFERROR(VLOOKUP(DATA!#REF!,DATA!#REF!,1,FALSE),"")</f>
        <v/>
      </c>
      <c r="D1218" s="16" t="str">
        <f>IFERROR(VLOOKUP(C1218,DATA!#REF!,2,FALSE),"")</f>
        <v/>
      </c>
    </row>
    <row r="1219" spans="2:4" s="230" customFormat="1">
      <c r="B1219" s="15" t="str">
        <f t="shared" si="50"/>
        <v/>
      </c>
      <c r="C1219" s="16" t="str">
        <f>IFERROR(VLOOKUP(DATA!#REF!,DATA!#REF!,1,FALSE),"")</f>
        <v/>
      </c>
      <c r="D1219" s="16" t="str">
        <f>IFERROR(VLOOKUP(C1219,DATA!#REF!,2,FALSE),"")</f>
        <v/>
      </c>
    </row>
    <row r="1220" spans="2:4" s="230" customFormat="1">
      <c r="B1220" s="15" t="str">
        <f t="shared" si="50"/>
        <v/>
      </c>
      <c r="C1220" s="16" t="str">
        <f>IFERROR(VLOOKUP(DATA!#REF!,DATA!#REF!,1,FALSE),"")</f>
        <v/>
      </c>
      <c r="D1220" s="16" t="str">
        <f>IFERROR(VLOOKUP(C1220,DATA!#REF!,2,FALSE),"")</f>
        <v/>
      </c>
    </row>
    <row r="1221" spans="2:4" s="230" customFormat="1">
      <c r="B1221" s="15" t="str">
        <f t="shared" si="50"/>
        <v/>
      </c>
      <c r="C1221" s="16" t="str">
        <f>IFERROR(VLOOKUP(DATA!#REF!,DATA!#REF!,1,FALSE),"")</f>
        <v/>
      </c>
      <c r="D1221" s="16" t="str">
        <f>IFERROR(VLOOKUP(C1221,DATA!#REF!,2,FALSE),"")</f>
        <v/>
      </c>
    </row>
    <row r="1222" spans="2:4" s="230" customFormat="1">
      <c r="B1222" s="15" t="str">
        <f t="shared" ref="B1222:B1285" si="51">+IF(C1222="","",ROW()-5)</f>
        <v/>
      </c>
      <c r="C1222" s="16" t="str">
        <f>IFERROR(VLOOKUP(DATA!#REF!,DATA!#REF!,1,FALSE),"")</f>
        <v/>
      </c>
      <c r="D1222" s="16" t="str">
        <f>IFERROR(VLOOKUP(C1222,DATA!#REF!,2,FALSE),"")</f>
        <v/>
      </c>
    </row>
    <row r="1223" spans="2:4" s="230" customFormat="1">
      <c r="B1223" s="15" t="str">
        <f t="shared" si="51"/>
        <v/>
      </c>
      <c r="C1223" s="16" t="str">
        <f>IFERROR(VLOOKUP(DATA!#REF!,DATA!#REF!,1,FALSE),"")</f>
        <v/>
      </c>
      <c r="D1223" s="16" t="str">
        <f>IFERROR(VLOOKUP(C1223,DATA!#REF!,2,FALSE),"")</f>
        <v/>
      </c>
    </row>
    <row r="1224" spans="2:4" s="230" customFormat="1">
      <c r="B1224" s="15" t="str">
        <f t="shared" si="51"/>
        <v/>
      </c>
      <c r="C1224" s="16" t="str">
        <f>IFERROR(VLOOKUP(DATA!#REF!,DATA!#REF!,1,FALSE),"")</f>
        <v/>
      </c>
      <c r="D1224" s="16" t="str">
        <f>IFERROR(VLOOKUP(C1224,DATA!#REF!,2,FALSE),"")</f>
        <v/>
      </c>
    </row>
    <row r="1225" spans="2:4" s="230" customFormat="1">
      <c r="B1225" s="15" t="str">
        <f t="shared" si="51"/>
        <v/>
      </c>
      <c r="C1225" s="16" t="str">
        <f>IFERROR(VLOOKUP(DATA!#REF!,DATA!#REF!,1,FALSE),"")</f>
        <v/>
      </c>
      <c r="D1225" s="16" t="str">
        <f>IFERROR(VLOOKUP(C1225,DATA!#REF!,2,FALSE),"")</f>
        <v/>
      </c>
    </row>
    <row r="1226" spans="2:4" s="230" customFormat="1">
      <c r="B1226" s="15" t="str">
        <f t="shared" si="51"/>
        <v/>
      </c>
      <c r="C1226" s="16" t="str">
        <f>IFERROR(VLOOKUP(DATA!#REF!,DATA!#REF!,1,FALSE),"")</f>
        <v/>
      </c>
      <c r="D1226" s="16" t="str">
        <f>IFERROR(VLOOKUP(C1226,DATA!#REF!,2,FALSE),"")</f>
        <v/>
      </c>
    </row>
    <row r="1227" spans="2:4" s="230" customFormat="1">
      <c r="B1227" s="15" t="str">
        <f t="shared" si="51"/>
        <v/>
      </c>
      <c r="C1227" s="16" t="str">
        <f>IFERROR(VLOOKUP(DATA!#REF!,DATA!#REF!,1,FALSE),"")</f>
        <v/>
      </c>
      <c r="D1227" s="16" t="str">
        <f>IFERROR(VLOOKUP(C1227,DATA!#REF!,2,FALSE),"")</f>
        <v/>
      </c>
    </row>
    <row r="1228" spans="2:4" s="230" customFormat="1">
      <c r="B1228" s="15" t="str">
        <f t="shared" si="51"/>
        <v/>
      </c>
      <c r="C1228" s="16" t="str">
        <f>IFERROR(VLOOKUP(DATA!#REF!,DATA!#REF!,1,FALSE),"")</f>
        <v/>
      </c>
      <c r="D1228" s="16" t="str">
        <f>IFERROR(VLOOKUP(C1228,DATA!#REF!,2,FALSE),"")</f>
        <v/>
      </c>
    </row>
    <row r="1229" spans="2:4" s="230" customFormat="1">
      <c r="B1229" s="15" t="str">
        <f t="shared" si="51"/>
        <v/>
      </c>
      <c r="C1229" s="16" t="str">
        <f>IFERROR(VLOOKUP(DATA!#REF!,DATA!#REF!,1,FALSE),"")</f>
        <v/>
      </c>
      <c r="D1229" s="16" t="str">
        <f>IFERROR(VLOOKUP(C1229,DATA!#REF!,2,FALSE),"")</f>
        <v/>
      </c>
    </row>
    <row r="1230" spans="2:4" s="230" customFormat="1">
      <c r="B1230" s="15" t="str">
        <f t="shared" si="51"/>
        <v/>
      </c>
      <c r="C1230" s="16" t="str">
        <f>IFERROR(VLOOKUP(DATA!#REF!,DATA!#REF!,1,FALSE),"")</f>
        <v/>
      </c>
      <c r="D1230" s="16" t="str">
        <f>IFERROR(VLOOKUP(C1230,DATA!#REF!,2,FALSE),"")</f>
        <v/>
      </c>
    </row>
    <row r="1231" spans="2:4" s="230" customFormat="1">
      <c r="B1231" s="15" t="str">
        <f t="shared" si="51"/>
        <v/>
      </c>
      <c r="C1231" s="16" t="str">
        <f>IFERROR(VLOOKUP(DATA!#REF!,DATA!#REF!,1,FALSE),"")</f>
        <v/>
      </c>
      <c r="D1231" s="16" t="str">
        <f>IFERROR(VLOOKUP(C1231,DATA!#REF!,2,FALSE),"")</f>
        <v/>
      </c>
    </row>
    <row r="1232" spans="2:4" s="230" customFormat="1">
      <c r="B1232" s="15" t="str">
        <f t="shared" si="51"/>
        <v/>
      </c>
      <c r="C1232" s="16" t="str">
        <f>IFERROR(VLOOKUP(DATA!#REF!,DATA!#REF!,1,FALSE),"")</f>
        <v/>
      </c>
      <c r="D1232" s="16" t="str">
        <f>IFERROR(VLOOKUP(C1232,DATA!#REF!,2,FALSE),"")</f>
        <v/>
      </c>
    </row>
    <row r="1233" spans="2:4" s="230" customFormat="1">
      <c r="B1233" s="15" t="str">
        <f t="shared" si="51"/>
        <v/>
      </c>
      <c r="C1233" s="16" t="str">
        <f>IFERROR(VLOOKUP(DATA!#REF!,DATA!#REF!,1,FALSE),"")</f>
        <v/>
      </c>
      <c r="D1233" s="16" t="str">
        <f>IFERROR(VLOOKUP(C1233,DATA!#REF!,2,FALSE),"")</f>
        <v/>
      </c>
    </row>
    <row r="1234" spans="2:4" s="230" customFormat="1">
      <c r="B1234" s="15" t="str">
        <f t="shared" si="51"/>
        <v/>
      </c>
      <c r="C1234" s="16" t="str">
        <f>IFERROR(VLOOKUP(DATA!#REF!,DATA!#REF!,1,FALSE),"")</f>
        <v/>
      </c>
      <c r="D1234" s="16" t="str">
        <f>IFERROR(VLOOKUP(C1234,DATA!#REF!,2,FALSE),"")</f>
        <v/>
      </c>
    </row>
    <row r="1235" spans="2:4" s="230" customFormat="1">
      <c r="B1235" s="15" t="str">
        <f t="shared" si="51"/>
        <v/>
      </c>
      <c r="C1235" s="16" t="str">
        <f>IFERROR(VLOOKUP(DATA!#REF!,DATA!#REF!,1,FALSE),"")</f>
        <v/>
      </c>
      <c r="D1235" s="16" t="str">
        <f>IFERROR(VLOOKUP(C1235,DATA!#REF!,2,FALSE),"")</f>
        <v/>
      </c>
    </row>
    <row r="1236" spans="2:4" s="230" customFormat="1">
      <c r="B1236" s="15" t="str">
        <f t="shared" si="51"/>
        <v/>
      </c>
      <c r="C1236" s="16" t="str">
        <f>IFERROR(VLOOKUP(DATA!#REF!,DATA!#REF!,1,FALSE),"")</f>
        <v/>
      </c>
      <c r="D1236" s="16" t="str">
        <f>IFERROR(VLOOKUP(C1236,DATA!#REF!,2,FALSE),"")</f>
        <v/>
      </c>
    </row>
    <row r="1237" spans="2:4" s="230" customFormat="1">
      <c r="B1237" s="15" t="str">
        <f t="shared" si="51"/>
        <v/>
      </c>
      <c r="C1237" s="16" t="str">
        <f>IFERROR(VLOOKUP(DATA!#REF!,DATA!#REF!,1,FALSE),"")</f>
        <v/>
      </c>
      <c r="D1237" s="16" t="str">
        <f>IFERROR(VLOOKUP(C1237,DATA!#REF!,2,FALSE),"")</f>
        <v/>
      </c>
    </row>
    <row r="1238" spans="2:4" s="230" customFormat="1">
      <c r="B1238" s="15" t="str">
        <f t="shared" si="51"/>
        <v/>
      </c>
      <c r="C1238" s="16" t="str">
        <f>IFERROR(VLOOKUP(DATA!#REF!,DATA!#REF!,1,FALSE),"")</f>
        <v/>
      </c>
      <c r="D1238" s="16" t="str">
        <f>IFERROR(VLOOKUP(C1238,DATA!#REF!,2,FALSE),"")</f>
        <v/>
      </c>
    </row>
    <row r="1239" spans="2:4" s="230" customFormat="1">
      <c r="B1239" s="15" t="str">
        <f t="shared" si="51"/>
        <v/>
      </c>
      <c r="C1239" s="16" t="str">
        <f>IFERROR(VLOOKUP(DATA!#REF!,DATA!#REF!,1,FALSE),"")</f>
        <v/>
      </c>
      <c r="D1239" s="16" t="str">
        <f>IFERROR(VLOOKUP(C1239,DATA!#REF!,2,FALSE),"")</f>
        <v/>
      </c>
    </row>
    <row r="1240" spans="2:4" s="230" customFormat="1">
      <c r="B1240" s="15" t="str">
        <f t="shared" si="51"/>
        <v/>
      </c>
      <c r="C1240" s="16" t="str">
        <f>IFERROR(VLOOKUP(DATA!#REF!,DATA!#REF!,1,FALSE),"")</f>
        <v/>
      </c>
      <c r="D1240" s="16" t="str">
        <f>IFERROR(VLOOKUP(C1240,DATA!#REF!,2,FALSE),"")</f>
        <v/>
      </c>
    </row>
    <row r="1241" spans="2:4" s="230" customFormat="1">
      <c r="B1241" s="15" t="str">
        <f t="shared" si="51"/>
        <v/>
      </c>
      <c r="C1241" s="16" t="str">
        <f>IFERROR(VLOOKUP(DATA!#REF!,DATA!#REF!,1,FALSE),"")</f>
        <v/>
      </c>
      <c r="D1241" s="16" t="str">
        <f>IFERROR(VLOOKUP(C1241,DATA!#REF!,2,FALSE),"")</f>
        <v/>
      </c>
    </row>
    <row r="1242" spans="2:4" s="230" customFormat="1">
      <c r="B1242" s="15" t="str">
        <f t="shared" si="51"/>
        <v/>
      </c>
      <c r="C1242" s="16" t="str">
        <f>IFERROR(VLOOKUP(DATA!#REF!,DATA!#REF!,1,FALSE),"")</f>
        <v/>
      </c>
      <c r="D1242" s="16" t="str">
        <f>IFERROR(VLOOKUP(C1242,DATA!#REF!,2,FALSE),"")</f>
        <v/>
      </c>
    </row>
    <row r="1243" spans="2:4" s="230" customFormat="1">
      <c r="B1243" s="15" t="str">
        <f t="shared" si="51"/>
        <v/>
      </c>
      <c r="C1243" s="16" t="str">
        <f>IFERROR(VLOOKUP(DATA!#REF!,DATA!#REF!,1,FALSE),"")</f>
        <v/>
      </c>
      <c r="D1243" s="16" t="str">
        <f>IFERROR(VLOOKUP(C1243,DATA!#REF!,2,FALSE),"")</f>
        <v/>
      </c>
    </row>
    <row r="1244" spans="2:4" s="230" customFormat="1">
      <c r="B1244" s="15" t="str">
        <f t="shared" si="51"/>
        <v/>
      </c>
      <c r="C1244" s="16" t="str">
        <f>IFERROR(VLOOKUP(DATA!#REF!,DATA!#REF!,1,FALSE),"")</f>
        <v/>
      </c>
      <c r="D1244" s="16" t="str">
        <f>IFERROR(VLOOKUP(C1244,DATA!#REF!,2,FALSE),"")</f>
        <v/>
      </c>
    </row>
    <row r="1245" spans="2:4" s="230" customFormat="1">
      <c r="B1245" s="15" t="str">
        <f t="shared" si="51"/>
        <v/>
      </c>
      <c r="C1245" s="16" t="str">
        <f>IFERROR(VLOOKUP(DATA!#REF!,DATA!#REF!,1,FALSE),"")</f>
        <v/>
      </c>
      <c r="D1245" s="16" t="str">
        <f>IFERROR(VLOOKUP(C1245,DATA!#REF!,2,FALSE),"")</f>
        <v/>
      </c>
    </row>
    <row r="1246" spans="2:4" s="230" customFormat="1">
      <c r="B1246" s="15" t="str">
        <f t="shared" si="51"/>
        <v/>
      </c>
      <c r="C1246" s="16" t="str">
        <f>IFERROR(VLOOKUP(DATA!#REF!,DATA!#REF!,1,FALSE),"")</f>
        <v/>
      </c>
      <c r="D1246" s="16" t="str">
        <f>IFERROR(VLOOKUP(C1246,DATA!#REF!,2,FALSE),"")</f>
        <v/>
      </c>
    </row>
    <row r="1247" spans="2:4" s="230" customFormat="1">
      <c r="B1247" s="15" t="str">
        <f t="shared" si="51"/>
        <v/>
      </c>
      <c r="C1247" s="16" t="str">
        <f>IFERROR(VLOOKUP(DATA!#REF!,DATA!#REF!,1,FALSE),"")</f>
        <v/>
      </c>
      <c r="D1247" s="16" t="str">
        <f>IFERROR(VLOOKUP(C1247,DATA!#REF!,2,FALSE),"")</f>
        <v/>
      </c>
    </row>
    <row r="1248" spans="2:4" s="230" customFormat="1">
      <c r="B1248" s="15" t="str">
        <f t="shared" si="51"/>
        <v/>
      </c>
      <c r="C1248" s="16" t="str">
        <f>IFERROR(VLOOKUP(DATA!#REF!,DATA!#REF!,1,FALSE),"")</f>
        <v/>
      </c>
      <c r="D1248" s="16" t="str">
        <f>IFERROR(VLOOKUP(C1248,DATA!#REF!,2,FALSE),"")</f>
        <v/>
      </c>
    </row>
    <row r="1249" spans="2:4" s="230" customFormat="1">
      <c r="B1249" s="15" t="str">
        <f t="shared" si="51"/>
        <v/>
      </c>
      <c r="C1249" s="16" t="str">
        <f>IFERROR(VLOOKUP(DATA!#REF!,DATA!#REF!,1,FALSE),"")</f>
        <v/>
      </c>
      <c r="D1249" s="16" t="str">
        <f>IFERROR(VLOOKUP(C1249,DATA!#REF!,2,FALSE),"")</f>
        <v/>
      </c>
    </row>
    <row r="1250" spans="2:4" s="230" customFormat="1">
      <c r="B1250" s="15" t="str">
        <f t="shared" si="51"/>
        <v/>
      </c>
      <c r="C1250" s="16" t="str">
        <f>IFERROR(VLOOKUP(DATA!#REF!,DATA!#REF!,1,FALSE),"")</f>
        <v/>
      </c>
      <c r="D1250" s="16" t="str">
        <f>IFERROR(VLOOKUP(C1250,DATA!#REF!,2,FALSE),"")</f>
        <v/>
      </c>
    </row>
    <row r="1251" spans="2:4" s="230" customFormat="1">
      <c r="B1251" s="15" t="str">
        <f t="shared" si="51"/>
        <v/>
      </c>
      <c r="C1251" s="16" t="str">
        <f>IFERROR(VLOOKUP(DATA!#REF!,DATA!#REF!,1,FALSE),"")</f>
        <v/>
      </c>
      <c r="D1251" s="16" t="str">
        <f>IFERROR(VLOOKUP(C1251,DATA!#REF!,2,FALSE),"")</f>
        <v/>
      </c>
    </row>
    <row r="1252" spans="2:4" s="230" customFormat="1">
      <c r="B1252" s="15" t="str">
        <f t="shared" si="51"/>
        <v/>
      </c>
      <c r="C1252" s="16" t="str">
        <f>IFERROR(VLOOKUP(DATA!#REF!,DATA!#REF!,1,FALSE),"")</f>
        <v/>
      </c>
      <c r="D1252" s="16" t="str">
        <f>IFERROR(VLOOKUP(C1252,DATA!#REF!,2,FALSE),"")</f>
        <v/>
      </c>
    </row>
    <row r="1253" spans="2:4" s="230" customFormat="1">
      <c r="B1253" s="15" t="str">
        <f t="shared" si="51"/>
        <v/>
      </c>
      <c r="C1253" s="16" t="str">
        <f>IFERROR(VLOOKUP(DATA!#REF!,DATA!#REF!,1,FALSE),"")</f>
        <v/>
      </c>
      <c r="D1253" s="16" t="str">
        <f>IFERROR(VLOOKUP(C1253,DATA!#REF!,2,FALSE),"")</f>
        <v/>
      </c>
    </row>
    <row r="1254" spans="2:4" s="230" customFormat="1">
      <c r="B1254" s="15" t="str">
        <f t="shared" si="51"/>
        <v/>
      </c>
      <c r="C1254" s="16" t="str">
        <f>IFERROR(VLOOKUP(DATA!#REF!,DATA!#REF!,1,FALSE),"")</f>
        <v/>
      </c>
      <c r="D1254" s="16" t="str">
        <f>IFERROR(VLOOKUP(C1254,DATA!#REF!,2,FALSE),"")</f>
        <v/>
      </c>
    </row>
    <row r="1255" spans="2:4" s="230" customFormat="1">
      <c r="B1255" s="15" t="str">
        <f t="shared" si="51"/>
        <v/>
      </c>
      <c r="C1255" s="16" t="str">
        <f>IFERROR(VLOOKUP(DATA!#REF!,DATA!#REF!,1,FALSE),"")</f>
        <v/>
      </c>
      <c r="D1255" s="16" t="str">
        <f>IFERROR(VLOOKUP(C1255,DATA!#REF!,2,FALSE),"")</f>
        <v/>
      </c>
    </row>
    <row r="1256" spans="2:4" s="230" customFormat="1">
      <c r="B1256" s="15" t="str">
        <f t="shared" si="51"/>
        <v/>
      </c>
      <c r="C1256" s="16" t="str">
        <f>IFERROR(VLOOKUP(DATA!#REF!,DATA!#REF!,1,FALSE),"")</f>
        <v/>
      </c>
      <c r="D1256" s="16" t="str">
        <f>IFERROR(VLOOKUP(C1256,DATA!#REF!,2,FALSE),"")</f>
        <v/>
      </c>
    </row>
    <row r="1257" spans="2:4" s="230" customFormat="1">
      <c r="B1257" s="15" t="str">
        <f t="shared" si="51"/>
        <v/>
      </c>
      <c r="C1257" s="16" t="str">
        <f>IFERROR(VLOOKUP(DATA!#REF!,DATA!#REF!,1,FALSE),"")</f>
        <v/>
      </c>
      <c r="D1257" s="16" t="str">
        <f>IFERROR(VLOOKUP(C1257,DATA!#REF!,2,FALSE),"")</f>
        <v/>
      </c>
    </row>
    <row r="1258" spans="2:4" s="230" customFormat="1">
      <c r="B1258" s="15" t="str">
        <f t="shared" si="51"/>
        <v/>
      </c>
      <c r="C1258" s="16" t="str">
        <f>IFERROR(VLOOKUP(DATA!#REF!,DATA!#REF!,1,FALSE),"")</f>
        <v/>
      </c>
      <c r="D1258" s="16" t="str">
        <f>IFERROR(VLOOKUP(C1258,DATA!#REF!,2,FALSE),"")</f>
        <v/>
      </c>
    </row>
    <row r="1259" spans="2:4" s="230" customFormat="1">
      <c r="B1259" s="15" t="str">
        <f t="shared" si="51"/>
        <v/>
      </c>
      <c r="C1259" s="16" t="str">
        <f>IFERROR(VLOOKUP(DATA!#REF!,DATA!#REF!,1,FALSE),"")</f>
        <v/>
      </c>
      <c r="D1259" s="16" t="str">
        <f>IFERROR(VLOOKUP(C1259,DATA!#REF!,2,FALSE),"")</f>
        <v/>
      </c>
    </row>
    <row r="1260" spans="2:4" s="230" customFormat="1">
      <c r="B1260" s="15" t="str">
        <f t="shared" si="51"/>
        <v/>
      </c>
      <c r="C1260" s="16" t="str">
        <f>IFERROR(VLOOKUP(DATA!#REF!,DATA!#REF!,1,FALSE),"")</f>
        <v/>
      </c>
      <c r="D1260" s="16" t="str">
        <f>IFERROR(VLOOKUP(C1260,DATA!#REF!,2,FALSE),"")</f>
        <v/>
      </c>
    </row>
    <row r="1261" spans="2:4" s="230" customFormat="1">
      <c r="B1261" s="15" t="str">
        <f t="shared" si="51"/>
        <v/>
      </c>
      <c r="C1261" s="16" t="str">
        <f>IFERROR(VLOOKUP(DATA!#REF!,DATA!#REF!,1,FALSE),"")</f>
        <v/>
      </c>
      <c r="D1261" s="16" t="str">
        <f>IFERROR(VLOOKUP(C1261,DATA!#REF!,2,FALSE),"")</f>
        <v/>
      </c>
    </row>
    <row r="1262" spans="2:4" s="230" customFormat="1">
      <c r="B1262" s="15" t="str">
        <f t="shared" si="51"/>
        <v/>
      </c>
      <c r="C1262" s="16" t="str">
        <f>IFERROR(VLOOKUP(DATA!#REF!,DATA!#REF!,1,FALSE),"")</f>
        <v/>
      </c>
      <c r="D1262" s="16" t="str">
        <f>IFERROR(VLOOKUP(C1262,DATA!#REF!,2,FALSE),"")</f>
        <v/>
      </c>
    </row>
    <row r="1263" spans="2:4" s="230" customFormat="1">
      <c r="B1263" s="15" t="str">
        <f t="shared" si="51"/>
        <v/>
      </c>
      <c r="C1263" s="16" t="str">
        <f>IFERROR(VLOOKUP(DATA!#REF!,DATA!#REF!,1,FALSE),"")</f>
        <v/>
      </c>
      <c r="D1263" s="16" t="str">
        <f>IFERROR(VLOOKUP(C1263,DATA!#REF!,2,FALSE),"")</f>
        <v/>
      </c>
    </row>
    <row r="1264" spans="2:4" s="230" customFormat="1">
      <c r="B1264" s="15" t="str">
        <f t="shared" si="51"/>
        <v/>
      </c>
      <c r="C1264" s="16" t="str">
        <f>IFERROR(VLOOKUP(DATA!#REF!,DATA!#REF!,1,FALSE),"")</f>
        <v/>
      </c>
      <c r="D1264" s="16" t="str">
        <f>IFERROR(VLOOKUP(C1264,DATA!#REF!,2,FALSE),"")</f>
        <v/>
      </c>
    </row>
    <row r="1265" spans="2:4" s="230" customFormat="1">
      <c r="B1265" s="15" t="str">
        <f t="shared" si="51"/>
        <v/>
      </c>
      <c r="C1265" s="16" t="str">
        <f>IFERROR(VLOOKUP(DATA!#REF!,DATA!#REF!,1,FALSE),"")</f>
        <v/>
      </c>
      <c r="D1265" s="16" t="str">
        <f>IFERROR(VLOOKUP(C1265,DATA!#REF!,2,FALSE),"")</f>
        <v/>
      </c>
    </row>
    <row r="1266" spans="2:4" s="230" customFormat="1">
      <c r="B1266" s="15" t="str">
        <f t="shared" si="51"/>
        <v/>
      </c>
      <c r="C1266" s="16" t="str">
        <f>IFERROR(VLOOKUP(DATA!#REF!,DATA!#REF!,1,FALSE),"")</f>
        <v/>
      </c>
      <c r="D1266" s="16" t="str">
        <f>IFERROR(VLOOKUP(C1266,DATA!#REF!,2,FALSE),"")</f>
        <v/>
      </c>
    </row>
    <row r="1267" spans="2:4" s="230" customFormat="1">
      <c r="B1267" s="15" t="str">
        <f t="shared" si="51"/>
        <v/>
      </c>
      <c r="C1267" s="16" t="str">
        <f>IFERROR(VLOOKUP(DATA!#REF!,DATA!#REF!,1,FALSE),"")</f>
        <v/>
      </c>
      <c r="D1267" s="16" t="str">
        <f>IFERROR(VLOOKUP(C1267,DATA!#REF!,2,FALSE),"")</f>
        <v/>
      </c>
    </row>
    <row r="1268" spans="2:4" s="230" customFormat="1">
      <c r="B1268" s="15" t="str">
        <f t="shared" si="51"/>
        <v/>
      </c>
      <c r="C1268" s="16" t="str">
        <f>IFERROR(VLOOKUP(DATA!#REF!,DATA!#REF!,1,FALSE),"")</f>
        <v/>
      </c>
      <c r="D1268" s="16" t="str">
        <f>IFERROR(VLOOKUP(C1268,DATA!#REF!,2,FALSE),"")</f>
        <v/>
      </c>
    </row>
    <row r="1269" spans="2:4" s="230" customFormat="1">
      <c r="B1269" s="15" t="str">
        <f t="shared" si="51"/>
        <v/>
      </c>
      <c r="C1269" s="16" t="str">
        <f>IFERROR(VLOOKUP(DATA!#REF!,DATA!#REF!,1,FALSE),"")</f>
        <v/>
      </c>
      <c r="D1269" s="16" t="str">
        <f>IFERROR(VLOOKUP(C1269,DATA!#REF!,2,FALSE),"")</f>
        <v/>
      </c>
    </row>
    <row r="1270" spans="2:4" s="230" customFormat="1">
      <c r="B1270" s="15" t="str">
        <f t="shared" si="51"/>
        <v/>
      </c>
      <c r="C1270" s="16" t="str">
        <f>IFERROR(VLOOKUP(DATA!#REF!,DATA!#REF!,1,FALSE),"")</f>
        <v/>
      </c>
      <c r="D1270" s="16" t="str">
        <f>IFERROR(VLOOKUP(C1270,DATA!#REF!,2,FALSE),"")</f>
        <v/>
      </c>
    </row>
    <row r="1271" spans="2:4" s="230" customFormat="1">
      <c r="B1271" s="15" t="str">
        <f t="shared" si="51"/>
        <v/>
      </c>
      <c r="C1271" s="16" t="str">
        <f>IFERROR(VLOOKUP(DATA!#REF!,DATA!#REF!,1,FALSE),"")</f>
        <v/>
      </c>
      <c r="D1271" s="16" t="str">
        <f>IFERROR(VLOOKUP(C1271,DATA!#REF!,2,FALSE),"")</f>
        <v/>
      </c>
    </row>
    <row r="1272" spans="2:4" s="230" customFormat="1">
      <c r="B1272" s="15" t="str">
        <f t="shared" si="51"/>
        <v/>
      </c>
      <c r="C1272" s="16" t="str">
        <f>IFERROR(VLOOKUP(DATA!#REF!,DATA!#REF!,1,FALSE),"")</f>
        <v/>
      </c>
      <c r="D1272" s="16" t="str">
        <f>IFERROR(VLOOKUP(C1272,DATA!#REF!,2,FALSE),"")</f>
        <v/>
      </c>
    </row>
    <row r="1273" spans="2:4" s="230" customFormat="1">
      <c r="B1273" s="15" t="str">
        <f t="shared" si="51"/>
        <v/>
      </c>
      <c r="C1273" s="16" t="str">
        <f>IFERROR(VLOOKUP(DATA!#REF!,DATA!#REF!,1,FALSE),"")</f>
        <v/>
      </c>
      <c r="D1273" s="16" t="str">
        <f>IFERROR(VLOOKUP(C1273,DATA!#REF!,2,FALSE),"")</f>
        <v/>
      </c>
    </row>
    <row r="1274" spans="2:4" s="230" customFormat="1">
      <c r="B1274" s="15" t="str">
        <f t="shared" si="51"/>
        <v/>
      </c>
      <c r="C1274" s="16" t="str">
        <f>IFERROR(VLOOKUP(DATA!#REF!,DATA!#REF!,1,FALSE),"")</f>
        <v/>
      </c>
      <c r="D1274" s="16" t="str">
        <f>IFERROR(VLOOKUP(C1274,DATA!#REF!,2,FALSE),"")</f>
        <v/>
      </c>
    </row>
    <row r="1275" spans="2:4" s="230" customFormat="1">
      <c r="B1275" s="15" t="str">
        <f t="shared" si="51"/>
        <v/>
      </c>
      <c r="C1275" s="16" t="str">
        <f>IFERROR(VLOOKUP(DATA!#REF!,DATA!#REF!,1,FALSE),"")</f>
        <v/>
      </c>
      <c r="D1275" s="16" t="str">
        <f>IFERROR(VLOOKUP(C1275,DATA!#REF!,2,FALSE),"")</f>
        <v/>
      </c>
    </row>
    <row r="1276" spans="2:4" s="230" customFormat="1">
      <c r="B1276" s="15" t="str">
        <f t="shared" si="51"/>
        <v/>
      </c>
      <c r="C1276" s="16" t="str">
        <f>IFERROR(VLOOKUP(DATA!#REF!,DATA!#REF!,1,FALSE),"")</f>
        <v/>
      </c>
      <c r="D1276" s="16" t="str">
        <f>IFERROR(VLOOKUP(C1276,DATA!#REF!,2,FALSE),"")</f>
        <v/>
      </c>
    </row>
    <row r="1277" spans="2:4" s="230" customFormat="1">
      <c r="B1277" s="15" t="str">
        <f t="shared" si="51"/>
        <v/>
      </c>
      <c r="C1277" s="16" t="str">
        <f>IFERROR(VLOOKUP(DATA!#REF!,DATA!#REF!,1,FALSE),"")</f>
        <v/>
      </c>
      <c r="D1277" s="16" t="str">
        <f>IFERROR(VLOOKUP(C1277,DATA!#REF!,2,FALSE),"")</f>
        <v/>
      </c>
    </row>
    <row r="1278" spans="2:4" s="230" customFormat="1">
      <c r="B1278" s="15" t="str">
        <f t="shared" si="51"/>
        <v/>
      </c>
      <c r="C1278" s="16" t="str">
        <f>IFERROR(VLOOKUP(DATA!#REF!,DATA!#REF!,1,FALSE),"")</f>
        <v/>
      </c>
      <c r="D1278" s="16" t="str">
        <f>IFERROR(VLOOKUP(C1278,DATA!#REF!,2,FALSE),"")</f>
        <v/>
      </c>
    </row>
    <row r="1279" spans="2:4" s="230" customFormat="1">
      <c r="B1279" s="15" t="str">
        <f t="shared" si="51"/>
        <v/>
      </c>
      <c r="C1279" s="16" t="str">
        <f>IFERROR(VLOOKUP(DATA!#REF!,DATA!#REF!,1,FALSE),"")</f>
        <v/>
      </c>
      <c r="D1279" s="16" t="str">
        <f>IFERROR(VLOOKUP(C1279,DATA!#REF!,2,FALSE),"")</f>
        <v/>
      </c>
    </row>
    <row r="1280" spans="2:4" s="230" customFormat="1">
      <c r="B1280" s="15" t="str">
        <f t="shared" si="51"/>
        <v/>
      </c>
      <c r="C1280" s="16" t="str">
        <f>IFERROR(VLOOKUP(DATA!#REF!,DATA!#REF!,1,FALSE),"")</f>
        <v/>
      </c>
      <c r="D1280" s="16" t="str">
        <f>IFERROR(VLOOKUP(C1280,DATA!#REF!,2,FALSE),"")</f>
        <v/>
      </c>
    </row>
    <row r="1281" spans="2:4" s="230" customFormat="1">
      <c r="B1281" s="15" t="str">
        <f t="shared" si="51"/>
        <v/>
      </c>
      <c r="C1281" s="16" t="str">
        <f>IFERROR(VLOOKUP(DATA!#REF!,DATA!#REF!,1,FALSE),"")</f>
        <v/>
      </c>
      <c r="D1281" s="16" t="str">
        <f>IFERROR(VLOOKUP(C1281,DATA!#REF!,2,FALSE),"")</f>
        <v/>
      </c>
    </row>
    <row r="1282" spans="2:4" s="230" customFormat="1">
      <c r="B1282" s="15" t="str">
        <f t="shared" si="51"/>
        <v/>
      </c>
      <c r="C1282" s="16" t="str">
        <f>IFERROR(VLOOKUP(DATA!#REF!,DATA!#REF!,1,FALSE),"")</f>
        <v/>
      </c>
      <c r="D1282" s="16" t="str">
        <f>IFERROR(VLOOKUP(C1282,DATA!#REF!,2,FALSE),"")</f>
        <v/>
      </c>
    </row>
    <row r="1283" spans="2:4" s="230" customFormat="1">
      <c r="B1283" s="15" t="str">
        <f t="shared" si="51"/>
        <v/>
      </c>
      <c r="C1283" s="16" t="str">
        <f>IFERROR(VLOOKUP(DATA!#REF!,DATA!#REF!,1,FALSE),"")</f>
        <v/>
      </c>
      <c r="D1283" s="16" t="str">
        <f>IFERROR(VLOOKUP(C1283,DATA!#REF!,2,FALSE),"")</f>
        <v/>
      </c>
    </row>
    <row r="1284" spans="2:4" s="230" customFormat="1">
      <c r="B1284" s="15" t="str">
        <f t="shared" si="51"/>
        <v/>
      </c>
      <c r="C1284" s="16" t="str">
        <f>IFERROR(VLOOKUP(DATA!#REF!,DATA!#REF!,1,FALSE),"")</f>
        <v/>
      </c>
      <c r="D1284" s="16" t="str">
        <f>IFERROR(VLOOKUP(C1284,DATA!#REF!,2,FALSE),"")</f>
        <v/>
      </c>
    </row>
    <row r="1285" spans="2:4" s="230" customFormat="1">
      <c r="B1285" s="15" t="str">
        <f t="shared" si="51"/>
        <v/>
      </c>
      <c r="C1285" s="16" t="str">
        <f>IFERROR(VLOOKUP(DATA!#REF!,DATA!#REF!,1,FALSE),"")</f>
        <v/>
      </c>
      <c r="D1285" s="16" t="str">
        <f>IFERROR(VLOOKUP(C1285,DATA!#REF!,2,FALSE),"")</f>
        <v/>
      </c>
    </row>
    <row r="1286" spans="2:4" s="230" customFormat="1">
      <c r="B1286" s="15" t="str">
        <f t="shared" ref="B1286:B1349" si="52">+IF(C1286="","",ROW()-5)</f>
        <v/>
      </c>
      <c r="C1286" s="16" t="str">
        <f>IFERROR(VLOOKUP(DATA!#REF!,DATA!#REF!,1,FALSE),"")</f>
        <v/>
      </c>
      <c r="D1286" s="16" t="str">
        <f>IFERROR(VLOOKUP(C1286,DATA!#REF!,2,FALSE),"")</f>
        <v/>
      </c>
    </row>
    <row r="1287" spans="2:4" s="230" customFormat="1">
      <c r="B1287" s="15" t="str">
        <f t="shared" si="52"/>
        <v/>
      </c>
      <c r="C1287" s="16" t="str">
        <f>IFERROR(VLOOKUP(DATA!#REF!,DATA!#REF!,1,FALSE),"")</f>
        <v/>
      </c>
      <c r="D1287" s="16" t="str">
        <f>IFERROR(VLOOKUP(C1287,DATA!#REF!,2,FALSE),"")</f>
        <v/>
      </c>
    </row>
    <row r="1288" spans="2:4" s="230" customFormat="1">
      <c r="B1288" s="15" t="str">
        <f t="shared" si="52"/>
        <v/>
      </c>
      <c r="C1288" s="16" t="str">
        <f>IFERROR(VLOOKUP(DATA!#REF!,DATA!#REF!,1,FALSE),"")</f>
        <v/>
      </c>
      <c r="D1288" s="16" t="str">
        <f>IFERROR(VLOOKUP(C1288,DATA!#REF!,2,FALSE),"")</f>
        <v/>
      </c>
    </row>
    <row r="1289" spans="2:4" s="230" customFormat="1">
      <c r="B1289" s="15" t="str">
        <f t="shared" si="52"/>
        <v/>
      </c>
      <c r="C1289" s="16" t="str">
        <f>IFERROR(VLOOKUP(DATA!#REF!,DATA!#REF!,1,FALSE),"")</f>
        <v/>
      </c>
      <c r="D1289" s="16" t="str">
        <f>IFERROR(VLOOKUP(C1289,DATA!#REF!,2,FALSE),"")</f>
        <v/>
      </c>
    </row>
    <row r="1290" spans="2:4" s="230" customFormat="1">
      <c r="B1290" s="15" t="str">
        <f t="shared" si="52"/>
        <v/>
      </c>
      <c r="C1290" s="16" t="str">
        <f>IFERROR(VLOOKUP(DATA!#REF!,DATA!#REF!,1,FALSE),"")</f>
        <v/>
      </c>
      <c r="D1290" s="16" t="str">
        <f>IFERROR(VLOOKUP(C1290,DATA!#REF!,2,FALSE),"")</f>
        <v/>
      </c>
    </row>
    <row r="1291" spans="2:4" s="230" customFormat="1">
      <c r="B1291" s="15" t="str">
        <f t="shared" si="52"/>
        <v/>
      </c>
      <c r="C1291" s="16" t="str">
        <f>IFERROR(VLOOKUP(DATA!#REF!,DATA!#REF!,1,FALSE),"")</f>
        <v/>
      </c>
      <c r="D1291" s="16" t="str">
        <f>IFERROR(VLOOKUP(C1291,DATA!#REF!,2,FALSE),"")</f>
        <v/>
      </c>
    </row>
    <row r="1292" spans="2:4" s="230" customFormat="1">
      <c r="B1292" s="15" t="str">
        <f t="shared" si="52"/>
        <v/>
      </c>
      <c r="C1292" s="16" t="str">
        <f>IFERROR(VLOOKUP(DATA!#REF!,DATA!#REF!,1,FALSE),"")</f>
        <v/>
      </c>
      <c r="D1292" s="16" t="str">
        <f>IFERROR(VLOOKUP(C1292,DATA!#REF!,2,FALSE),"")</f>
        <v/>
      </c>
    </row>
    <row r="1293" spans="2:4" s="230" customFormat="1">
      <c r="B1293" s="15" t="str">
        <f t="shared" si="52"/>
        <v/>
      </c>
      <c r="C1293" s="16" t="str">
        <f>IFERROR(VLOOKUP(DATA!#REF!,DATA!#REF!,1,FALSE),"")</f>
        <v/>
      </c>
      <c r="D1293" s="16" t="str">
        <f>IFERROR(VLOOKUP(C1293,DATA!#REF!,2,FALSE),"")</f>
        <v/>
      </c>
    </row>
    <row r="1294" spans="2:4" s="230" customFormat="1">
      <c r="B1294" s="15" t="str">
        <f t="shared" si="52"/>
        <v/>
      </c>
      <c r="C1294" s="16" t="str">
        <f>IFERROR(VLOOKUP(DATA!#REF!,DATA!#REF!,1,FALSE),"")</f>
        <v/>
      </c>
      <c r="D1294" s="16" t="str">
        <f>IFERROR(VLOOKUP(C1294,DATA!#REF!,2,FALSE),"")</f>
        <v/>
      </c>
    </row>
    <row r="1295" spans="2:4" s="230" customFormat="1">
      <c r="B1295" s="15" t="str">
        <f t="shared" si="52"/>
        <v/>
      </c>
      <c r="C1295" s="16" t="str">
        <f>IFERROR(VLOOKUP(DATA!#REF!,DATA!#REF!,1,FALSE),"")</f>
        <v/>
      </c>
      <c r="D1295" s="16" t="str">
        <f>IFERROR(VLOOKUP(C1295,DATA!#REF!,2,FALSE),"")</f>
        <v/>
      </c>
    </row>
    <row r="1296" spans="2:4" s="230" customFormat="1">
      <c r="B1296" s="15" t="str">
        <f t="shared" si="52"/>
        <v/>
      </c>
      <c r="C1296" s="16" t="str">
        <f>IFERROR(VLOOKUP(DATA!#REF!,DATA!#REF!,1,FALSE),"")</f>
        <v/>
      </c>
      <c r="D1296" s="16" t="str">
        <f>IFERROR(VLOOKUP(C1296,DATA!#REF!,2,FALSE),"")</f>
        <v/>
      </c>
    </row>
    <row r="1297" spans="2:4" s="230" customFormat="1">
      <c r="B1297" s="15" t="str">
        <f t="shared" si="52"/>
        <v/>
      </c>
      <c r="C1297" s="16" t="str">
        <f>IFERROR(VLOOKUP(DATA!#REF!,DATA!#REF!,1,FALSE),"")</f>
        <v/>
      </c>
      <c r="D1297" s="16" t="str">
        <f>IFERROR(VLOOKUP(C1297,DATA!#REF!,2,FALSE),"")</f>
        <v/>
      </c>
    </row>
    <row r="1298" spans="2:4" s="230" customFormat="1">
      <c r="B1298" s="15" t="str">
        <f t="shared" si="52"/>
        <v/>
      </c>
      <c r="C1298" s="16" t="str">
        <f>IFERROR(VLOOKUP(DATA!#REF!,DATA!#REF!,1,FALSE),"")</f>
        <v/>
      </c>
      <c r="D1298" s="16" t="str">
        <f>IFERROR(VLOOKUP(C1298,DATA!#REF!,2,FALSE),"")</f>
        <v/>
      </c>
    </row>
    <row r="1299" spans="2:4" s="230" customFormat="1">
      <c r="B1299" s="15" t="str">
        <f t="shared" si="52"/>
        <v/>
      </c>
      <c r="C1299" s="16" t="str">
        <f>IFERROR(VLOOKUP(DATA!#REF!,DATA!#REF!,1,FALSE),"")</f>
        <v/>
      </c>
      <c r="D1299" s="16" t="str">
        <f>IFERROR(VLOOKUP(C1299,DATA!#REF!,2,FALSE),"")</f>
        <v/>
      </c>
    </row>
    <row r="1300" spans="2:4" s="230" customFormat="1">
      <c r="B1300" s="15" t="str">
        <f t="shared" si="52"/>
        <v/>
      </c>
      <c r="C1300" s="16" t="str">
        <f>IFERROR(VLOOKUP(DATA!#REF!,DATA!#REF!,1,FALSE),"")</f>
        <v/>
      </c>
      <c r="D1300" s="16" t="str">
        <f>IFERROR(VLOOKUP(C1300,DATA!#REF!,2,FALSE),"")</f>
        <v/>
      </c>
    </row>
    <row r="1301" spans="2:4" s="230" customFormat="1">
      <c r="B1301" s="15" t="str">
        <f t="shared" si="52"/>
        <v/>
      </c>
      <c r="C1301" s="16" t="str">
        <f>IFERROR(VLOOKUP(DATA!#REF!,DATA!#REF!,1,FALSE),"")</f>
        <v/>
      </c>
      <c r="D1301" s="16" t="str">
        <f>IFERROR(VLOOKUP(C1301,DATA!#REF!,2,FALSE),"")</f>
        <v/>
      </c>
    </row>
    <row r="1302" spans="2:4" s="230" customFormat="1">
      <c r="B1302" s="15" t="str">
        <f t="shared" si="52"/>
        <v/>
      </c>
      <c r="C1302" s="16" t="str">
        <f>IFERROR(VLOOKUP(DATA!#REF!,DATA!#REF!,1,FALSE),"")</f>
        <v/>
      </c>
      <c r="D1302" s="16" t="str">
        <f>IFERROR(VLOOKUP(C1302,DATA!#REF!,2,FALSE),"")</f>
        <v/>
      </c>
    </row>
    <row r="1303" spans="2:4" s="230" customFormat="1">
      <c r="B1303" s="15" t="str">
        <f t="shared" si="52"/>
        <v/>
      </c>
      <c r="C1303" s="16" t="str">
        <f>IFERROR(VLOOKUP(DATA!#REF!,DATA!#REF!,1,FALSE),"")</f>
        <v/>
      </c>
      <c r="D1303" s="16" t="str">
        <f>IFERROR(VLOOKUP(C1303,DATA!#REF!,2,FALSE),"")</f>
        <v/>
      </c>
    </row>
    <row r="1304" spans="2:4" s="230" customFormat="1">
      <c r="B1304" s="15" t="str">
        <f t="shared" si="52"/>
        <v/>
      </c>
      <c r="C1304" s="16" t="str">
        <f>IFERROR(VLOOKUP(DATA!#REF!,DATA!#REF!,1,FALSE),"")</f>
        <v/>
      </c>
      <c r="D1304" s="16" t="str">
        <f>IFERROR(VLOOKUP(C1304,DATA!#REF!,2,FALSE),"")</f>
        <v/>
      </c>
    </row>
    <row r="1305" spans="2:4" s="230" customFormat="1">
      <c r="B1305" s="15" t="str">
        <f t="shared" si="52"/>
        <v/>
      </c>
      <c r="C1305" s="16" t="str">
        <f>IFERROR(VLOOKUP(DATA!#REF!,DATA!#REF!,1,FALSE),"")</f>
        <v/>
      </c>
      <c r="D1305" s="16" t="str">
        <f>IFERROR(VLOOKUP(C1305,DATA!#REF!,2,FALSE),"")</f>
        <v/>
      </c>
    </row>
    <row r="1306" spans="2:4" s="230" customFormat="1">
      <c r="B1306" s="15" t="str">
        <f t="shared" si="52"/>
        <v/>
      </c>
      <c r="C1306" s="16" t="str">
        <f>IFERROR(VLOOKUP(DATA!#REF!,DATA!#REF!,1,FALSE),"")</f>
        <v/>
      </c>
      <c r="D1306" s="16" t="str">
        <f>IFERROR(VLOOKUP(C1306,DATA!#REF!,2,FALSE),"")</f>
        <v/>
      </c>
    </row>
    <row r="1307" spans="2:4" s="230" customFormat="1">
      <c r="B1307" s="15" t="str">
        <f t="shared" si="52"/>
        <v/>
      </c>
      <c r="C1307" s="16" t="str">
        <f>IFERROR(VLOOKUP(DATA!#REF!,DATA!#REF!,1,FALSE),"")</f>
        <v/>
      </c>
      <c r="D1307" s="16" t="str">
        <f>IFERROR(VLOOKUP(C1307,DATA!#REF!,2,FALSE),"")</f>
        <v/>
      </c>
    </row>
    <row r="1308" spans="2:4" s="230" customFormat="1">
      <c r="B1308" s="15" t="str">
        <f t="shared" si="52"/>
        <v/>
      </c>
      <c r="C1308" s="16" t="str">
        <f>IFERROR(VLOOKUP(DATA!#REF!,DATA!#REF!,1,FALSE),"")</f>
        <v/>
      </c>
      <c r="D1308" s="16" t="str">
        <f>IFERROR(VLOOKUP(C1308,DATA!#REF!,2,FALSE),"")</f>
        <v/>
      </c>
    </row>
    <row r="1309" spans="2:4" s="230" customFormat="1">
      <c r="B1309" s="15" t="str">
        <f t="shared" si="52"/>
        <v/>
      </c>
      <c r="C1309" s="16" t="str">
        <f>IFERROR(VLOOKUP(DATA!#REF!,DATA!#REF!,1,FALSE),"")</f>
        <v/>
      </c>
      <c r="D1309" s="16" t="str">
        <f>IFERROR(VLOOKUP(C1309,DATA!#REF!,2,FALSE),"")</f>
        <v/>
      </c>
    </row>
    <row r="1310" spans="2:4" s="230" customFormat="1">
      <c r="B1310" s="15" t="str">
        <f t="shared" si="52"/>
        <v/>
      </c>
      <c r="C1310" s="16" t="str">
        <f>IFERROR(VLOOKUP(DATA!#REF!,DATA!#REF!,1,FALSE),"")</f>
        <v/>
      </c>
      <c r="D1310" s="16" t="str">
        <f>IFERROR(VLOOKUP(C1310,DATA!#REF!,2,FALSE),"")</f>
        <v/>
      </c>
    </row>
    <row r="1311" spans="2:4" s="230" customFormat="1">
      <c r="B1311" s="15" t="str">
        <f t="shared" si="52"/>
        <v/>
      </c>
      <c r="C1311" s="16" t="str">
        <f>IFERROR(VLOOKUP(DATA!#REF!,DATA!#REF!,1,FALSE),"")</f>
        <v/>
      </c>
      <c r="D1311" s="16" t="str">
        <f>IFERROR(VLOOKUP(C1311,DATA!#REF!,2,FALSE),"")</f>
        <v/>
      </c>
    </row>
    <row r="1312" spans="2:4" s="230" customFormat="1">
      <c r="B1312" s="15" t="str">
        <f t="shared" si="52"/>
        <v/>
      </c>
      <c r="C1312" s="16" t="str">
        <f>IFERROR(VLOOKUP(DATA!#REF!,DATA!#REF!,1,FALSE),"")</f>
        <v/>
      </c>
      <c r="D1312" s="16" t="str">
        <f>IFERROR(VLOOKUP(C1312,DATA!#REF!,2,FALSE),"")</f>
        <v/>
      </c>
    </row>
    <row r="1313" spans="2:4" s="230" customFormat="1">
      <c r="B1313" s="15" t="str">
        <f t="shared" si="52"/>
        <v/>
      </c>
      <c r="C1313" s="16" t="str">
        <f>IFERROR(VLOOKUP(DATA!#REF!,DATA!#REF!,1,FALSE),"")</f>
        <v/>
      </c>
      <c r="D1313" s="16" t="str">
        <f>IFERROR(VLOOKUP(C1313,DATA!#REF!,2,FALSE),"")</f>
        <v/>
      </c>
    </row>
    <row r="1314" spans="2:4" s="230" customFormat="1">
      <c r="B1314" s="15" t="str">
        <f t="shared" si="52"/>
        <v/>
      </c>
      <c r="C1314" s="16" t="str">
        <f>IFERROR(VLOOKUP(DATA!#REF!,DATA!#REF!,1,FALSE),"")</f>
        <v/>
      </c>
      <c r="D1314" s="16" t="str">
        <f>IFERROR(VLOOKUP(C1314,DATA!#REF!,2,FALSE),"")</f>
        <v/>
      </c>
    </row>
    <row r="1315" spans="2:4" s="230" customFormat="1">
      <c r="B1315" s="15" t="str">
        <f t="shared" si="52"/>
        <v/>
      </c>
      <c r="C1315" s="16" t="str">
        <f>IFERROR(VLOOKUP(DATA!#REF!,DATA!#REF!,1,FALSE),"")</f>
        <v/>
      </c>
      <c r="D1315" s="16" t="str">
        <f>IFERROR(VLOOKUP(C1315,DATA!#REF!,2,FALSE),"")</f>
        <v/>
      </c>
    </row>
    <row r="1316" spans="2:4" s="230" customFormat="1">
      <c r="B1316" s="15" t="str">
        <f t="shared" si="52"/>
        <v/>
      </c>
      <c r="C1316" s="16" t="str">
        <f>IFERROR(VLOOKUP(DATA!#REF!,DATA!#REF!,1,FALSE),"")</f>
        <v/>
      </c>
      <c r="D1316" s="16" t="str">
        <f>IFERROR(VLOOKUP(C1316,DATA!#REF!,2,FALSE),"")</f>
        <v/>
      </c>
    </row>
    <row r="1317" spans="2:4" s="230" customFormat="1">
      <c r="B1317" s="15" t="str">
        <f t="shared" si="52"/>
        <v/>
      </c>
      <c r="C1317" s="16" t="str">
        <f>IFERROR(VLOOKUP(DATA!#REF!,DATA!#REF!,1,FALSE),"")</f>
        <v/>
      </c>
      <c r="D1317" s="16" t="str">
        <f>IFERROR(VLOOKUP(C1317,DATA!#REF!,2,FALSE),"")</f>
        <v/>
      </c>
    </row>
    <row r="1318" spans="2:4" s="230" customFormat="1">
      <c r="B1318" s="15" t="str">
        <f t="shared" si="52"/>
        <v/>
      </c>
      <c r="C1318" s="16" t="str">
        <f>IFERROR(VLOOKUP(DATA!#REF!,DATA!#REF!,1,FALSE),"")</f>
        <v/>
      </c>
      <c r="D1318" s="16" t="str">
        <f>IFERROR(VLOOKUP(C1318,DATA!#REF!,2,FALSE),"")</f>
        <v/>
      </c>
    </row>
    <row r="1319" spans="2:4" s="230" customFormat="1">
      <c r="B1319" s="15" t="str">
        <f t="shared" si="52"/>
        <v/>
      </c>
      <c r="C1319" s="16" t="str">
        <f>IFERROR(VLOOKUP(DATA!#REF!,DATA!#REF!,1,FALSE),"")</f>
        <v/>
      </c>
      <c r="D1319" s="16" t="str">
        <f>IFERROR(VLOOKUP(C1319,DATA!#REF!,2,FALSE),"")</f>
        <v/>
      </c>
    </row>
    <row r="1320" spans="2:4" s="230" customFormat="1">
      <c r="B1320" s="15" t="str">
        <f t="shared" si="52"/>
        <v/>
      </c>
      <c r="C1320" s="16" t="str">
        <f>IFERROR(VLOOKUP(DATA!#REF!,DATA!#REF!,1,FALSE),"")</f>
        <v/>
      </c>
      <c r="D1320" s="16" t="str">
        <f>IFERROR(VLOOKUP(C1320,DATA!#REF!,2,FALSE),"")</f>
        <v/>
      </c>
    </row>
    <row r="1321" spans="2:4" s="230" customFormat="1">
      <c r="B1321" s="15" t="str">
        <f t="shared" si="52"/>
        <v/>
      </c>
      <c r="C1321" s="16" t="str">
        <f>IFERROR(VLOOKUP(DATA!#REF!,DATA!#REF!,1,FALSE),"")</f>
        <v/>
      </c>
      <c r="D1321" s="16" t="str">
        <f>IFERROR(VLOOKUP(C1321,DATA!#REF!,2,FALSE),"")</f>
        <v/>
      </c>
    </row>
    <row r="1322" spans="2:4" s="230" customFormat="1">
      <c r="B1322" s="15" t="str">
        <f t="shared" si="52"/>
        <v/>
      </c>
      <c r="C1322" s="16" t="str">
        <f>IFERROR(VLOOKUP(DATA!#REF!,DATA!#REF!,1,FALSE),"")</f>
        <v/>
      </c>
      <c r="D1322" s="16" t="str">
        <f>IFERROR(VLOOKUP(C1322,DATA!#REF!,2,FALSE),"")</f>
        <v/>
      </c>
    </row>
    <row r="1323" spans="2:4" s="230" customFormat="1">
      <c r="B1323" s="15" t="str">
        <f t="shared" si="52"/>
        <v/>
      </c>
      <c r="C1323" s="16" t="str">
        <f>IFERROR(VLOOKUP(DATA!#REF!,DATA!#REF!,1,FALSE),"")</f>
        <v/>
      </c>
      <c r="D1323" s="16" t="str">
        <f>IFERROR(VLOOKUP(C1323,DATA!#REF!,2,FALSE),"")</f>
        <v/>
      </c>
    </row>
    <row r="1324" spans="2:4" s="230" customFormat="1">
      <c r="B1324" s="15" t="str">
        <f t="shared" si="52"/>
        <v/>
      </c>
      <c r="C1324" s="16" t="str">
        <f>IFERROR(VLOOKUP(DATA!#REF!,DATA!#REF!,1,FALSE),"")</f>
        <v/>
      </c>
      <c r="D1324" s="16" t="str">
        <f>IFERROR(VLOOKUP(C1324,DATA!#REF!,2,FALSE),"")</f>
        <v/>
      </c>
    </row>
    <row r="1325" spans="2:4" s="230" customFormat="1">
      <c r="B1325" s="15" t="str">
        <f t="shared" si="52"/>
        <v/>
      </c>
      <c r="C1325" s="16" t="str">
        <f>IFERROR(VLOOKUP(DATA!#REF!,DATA!#REF!,1,FALSE),"")</f>
        <v/>
      </c>
      <c r="D1325" s="16" t="str">
        <f>IFERROR(VLOOKUP(C1325,DATA!#REF!,2,FALSE),"")</f>
        <v/>
      </c>
    </row>
    <row r="1326" spans="2:4" s="230" customFormat="1">
      <c r="B1326" s="15" t="str">
        <f t="shared" si="52"/>
        <v/>
      </c>
      <c r="C1326" s="16" t="str">
        <f>IFERROR(VLOOKUP(DATA!#REF!,DATA!#REF!,1,FALSE),"")</f>
        <v/>
      </c>
      <c r="D1326" s="16" t="str">
        <f>IFERROR(VLOOKUP(C1326,DATA!#REF!,2,FALSE),"")</f>
        <v/>
      </c>
    </row>
    <row r="1327" spans="2:4" s="230" customFormat="1">
      <c r="B1327" s="15" t="str">
        <f t="shared" si="52"/>
        <v/>
      </c>
      <c r="C1327" s="16" t="str">
        <f>IFERROR(VLOOKUP(DATA!#REF!,DATA!#REF!,1,FALSE),"")</f>
        <v/>
      </c>
      <c r="D1327" s="16" t="str">
        <f>IFERROR(VLOOKUP(C1327,DATA!#REF!,2,FALSE),"")</f>
        <v/>
      </c>
    </row>
    <row r="1328" spans="2:4" s="230" customFormat="1">
      <c r="B1328" s="15" t="str">
        <f t="shared" si="52"/>
        <v/>
      </c>
      <c r="C1328" s="16" t="str">
        <f>IFERROR(VLOOKUP(DATA!#REF!,DATA!#REF!,1,FALSE),"")</f>
        <v/>
      </c>
      <c r="D1328" s="16" t="str">
        <f>IFERROR(VLOOKUP(C1328,DATA!#REF!,2,FALSE),"")</f>
        <v/>
      </c>
    </row>
    <row r="1329" spans="2:4" s="230" customFormat="1">
      <c r="B1329" s="15" t="str">
        <f t="shared" si="52"/>
        <v/>
      </c>
      <c r="C1329" s="16" t="str">
        <f>IFERROR(VLOOKUP(DATA!#REF!,DATA!#REF!,1,FALSE),"")</f>
        <v/>
      </c>
      <c r="D1329" s="16" t="str">
        <f>IFERROR(VLOOKUP(C1329,DATA!#REF!,2,FALSE),"")</f>
        <v/>
      </c>
    </row>
    <row r="1330" spans="2:4" s="230" customFormat="1">
      <c r="B1330" s="15" t="str">
        <f t="shared" si="52"/>
        <v/>
      </c>
      <c r="C1330" s="16" t="str">
        <f>IFERROR(VLOOKUP(DATA!#REF!,DATA!#REF!,1,FALSE),"")</f>
        <v/>
      </c>
      <c r="D1330" s="16" t="str">
        <f>IFERROR(VLOOKUP(C1330,DATA!#REF!,2,FALSE),"")</f>
        <v/>
      </c>
    </row>
    <row r="1331" spans="2:4" s="230" customFormat="1">
      <c r="B1331" s="15" t="str">
        <f t="shared" si="52"/>
        <v/>
      </c>
      <c r="C1331" s="16" t="str">
        <f>IFERROR(VLOOKUP(DATA!#REF!,DATA!#REF!,1,FALSE),"")</f>
        <v/>
      </c>
      <c r="D1331" s="16" t="str">
        <f>IFERROR(VLOOKUP(C1331,DATA!#REF!,2,FALSE),"")</f>
        <v/>
      </c>
    </row>
    <row r="1332" spans="2:4" s="230" customFormat="1">
      <c r="B1332" s="15" t="str">
        <f t="shared" si="52"/>
        <v/>
      </c>
      <c r="C1332" s="16" t="str">
        <f>IFERROR(VLOOKUP(DATA!#REF!,DATA!#REF!,1,FALSE),"")</f>
        <v/>
      </c>
      <c r="D1332" s="16" t="str">
        <f>IFERROR(VLOOKUP(C1332,DATA!#REF!,2,FALSE),"")</f>
        <v/>
      </c>
    </row>
    <row r="1333" spans="2:4" s="230" customFormat="1">
      <c r="B1333" s="15" t="str">
        <f t="shared" si="52"/>
        <v/>
      </c>
      <c r="C1333" s="16" t="str">
        <f>IFERROR(VLOOKUP(DATA!#REF!,DATA!#REF!,1,FALSE),"")</f>
        <v/>
      </c>
      <c r="D1333" s="16" t="str">
        <f>IFERROR(VLOOKUP(C1333,DATA!#REF!,2,FALSE),"")</f>
        <v/>
      </c>
    </row>
    <row r="1334" spans="2:4" s="230" customFormat="1">
      <c r="B1334" s="15" t="str">
        <f t="shared" si="52"/>
        <v/>
      </c>
      <c r="C1334" s="16" t="str">
        <f>IFERROR(VLOOKUP(DATA!#REF!,DATA!#REF!,1,FALSE),"")</f>
        <v/>
      </c>
      <c r="D1334" s="16" t="str">
        <f>IFERROR(VLOOKUP(C1334,DATA!#REF!,2,FALSE),"")</f>
        <v/>
      </c>
    </row>
    <row r="1335" spans="2:4" s="230" customFormat="1">
      <c r="B1335" s="15" t="str">
        <f t="shared" si="52"/>
        <v/>
      </c>
      <c r="C1335" s="16" t="str">
        <f>IFERROR(VLOOKUP(DATA!#REF!,DATA!#REF!,1,FALSE),"")</f>
        <v/>
      </c>
      <c r="D1335" s="16" t="str">
        <f>IFERROR(VLOOKUP(C1335,DATA!#REF!,2,FALSE),"")</f>
        <v/>
      </c>
    </row>
    <row r="1336" spans="2:4" s="230" customFormat="1">
      <c r="B1336" s="15" t="str">
        <f t="shared" si="52"/>
        <v/>
      </c>
      <c r="C1336" s="16" t="str">
        <f>IFERROR(VLOOKUP(DATA!#REF!,DATA!#REF!,1,FALSE),"")</f>
        <v/>
      </c>
      <c r="D1336" s="16" t="str">
        <f>IFERROR(VLOOKUP(C1336,DATA!#REF!,2,FALSE),"")</f>
        <v/>
      </c>
    </row>
    <row r="1337" spans="2:4" s="230" customFormat="1">
      <c r="B1337" s="15" t="str">
        <f t="shared" si="52"/>
        <v/>
      </c>
      <c r="C1337" s="16" t="str">
        <f>IFERROR(VLOOKUP(DATA!#REF!,DATA!#REF!,1,FALSE),"")</f>
        <v/>
      </c>
      <c r="D1337" s="16" t="str">
        <f>IFERROR(VLOOKUP(C1337,DATA!#REF!,2,FALSE),"")</f>
        <v/>
      </c>
    </row>
    <row r="1338" spans="2:4" s="230" customFormat="1">
      <c r="B1338" s="15" t="str">
        <f t="shared" si="52"/>
        <v/>
      </c>
      <c r="C1338" s="16" t="str">
        <f>IFERROR(VLOOKUP(DATA!#REF!,DATA!#REF!,1,FALSE),"")</f>
        <v/>
      </c>
      <c r="D1338" s="16" t="str">
        <f>IFERROR(VLOOKUP(C1338,DATA!#REF!,2,FALSE),"")</f>
        <v/>
      </c>
    </row>
    <row r="1339" spans="2:4" s="230" customFormat="1">
      <c r="B1339" s="15" t="str">
        <f t="shared" si="52"/>
        <v/>
      </c>
      <c r="C1339" s="16" t="str">
        <f>IFERROR(VLOOKUP(DATA!#REF!,DATA!#REF!,1,FALSE),"")</f>
        <v/>
      </c>
      <c r="D1339" s="16" t="str">
        <f>IFERROR(VLOOKUP(C1339,DATA!#REF!,2,FALSE),"")</f>
        <v/>
      </c>
    </row>
    <row r="1340" spans="2:4" s="230" customFormat="1">
      <c r="B1340" s="15" t="str">
        <f t="shared" si="52"/>
        <v/>
      </c>
      <c r="C1340" s="16" t="str">
        <f>IFERROR(VLOOKUP(DATA!#REF!,DATA!#REF!,1,FALSE),"")</f>
        <v/>
      </c>
      <c r="D1340" s="16" t="str">
        <f>IFERROR(VLOOKUP(C1340,DATA!#REF!,2,FALSE),"")</f>
        <v/>
      </c>
    </row>
    <row r="1341" spans="2:4" s="230" customFormat="1">
      <c r="B1341" s="15" t="str">
        <f t="shared" si="52"/>
        <v/>
      </c>
      <c r="C1341" s="16" t="str">
        <f>IFERROR(VLOOKUP(DATA!#REF!,DATA!#REF!,1,FALSE),"")</f>
        <v/>
      </c>
      <c r="D1341" s="16" t="str">
        <f>IFERROR(VLOOKUP(C1341,DATA!#REF!,2,FALSE),"")</f>
        <v/>
      </c>
    </row>
    <row r="1342" spans="2:4" s="230" customFormat="1">
      <c r="B1342" s="15" t="str">
        <f t="shared" si="52"/>
        <v/>
      </c>
      <c r="C1342" s="16" t="str">
        <f>IFERROR(VLOOKUP(DATA!#REF!,DATA!#REF!,1,FALSE),"")</f>
        <v/>
      </c>
      <c r="D1342" s="16" t="str">
        <f>IFERROR(VLOOKUP(C1342,DATA!#REF!,2,FALSE),"")</f>
        <v/>
      </c>
    </row>
    <row r="1343" spans="2:4" s="230" customFormat="1">
      <c r="B1343" s="15" t="str">
        <f t="shared" si="52"/>
        <v/>
      </c>
      <c r="C1343" s="16" t="str">
        <f>IFERROR(VLOOKUP(DATA!#REF!,DATA!#REF!,1,FALSE),"")</f>
        <v/>
      </c>
      <c r="D1343" s="16" t="str">
        <f>IFERROR(VLOOKUP(C1343,DATA!#REF!,2,FALSE),"")</f>
        <v/>
      </c>
    </row>
    <row r="1344" spans="2:4" s="230" customFormat="1">
      <c r="B1344" s="15" t="str">
        <f t="shared" si="52"/>
        <v/>
      </c>
      <c r="C1344" s="16" t="str">
        <f>IFERROR(VLOOKUP(DATA!#REF!,DATA!#REF!,1,FALSE),"")</f>
        <v/>
      </c>
      <c r="D1344" s="16" t="str">
        <f>IFERROR(VLOOKUP(C1344,DATA!#REF!,2,FALSE),"")</f>
        <v/>
      </c>
    </row>
    <row r="1345" spans="2:4" s="230" customFormat="1">
      <c r="B1345" s="15" t="str">
        <f t="shared" si="52"/>
        <v/>
      </c>
      <c r="C1345" s="16" t="str">
        <f>IFERROR(VLOOKUP(DATA!#REF!,DATA!#REF!,1,FALSE),"")</f>
        <v/>
      </c>
      <c r="D1345" s="16" t="str">
        <f>IFERROR(VLOOKUP(C1345,DATA!#REF!,2,FALSE),"")</f>
        <v/>
      </c>
    </row>
    <row r="1346" spans="2:4" s="230" customFormat="1">
      <c r="B1346" s="15" t="str">
        <f t="shared" si="52"/>
        <v/>
      </c>
      <c r="C1346" s="16" t="str">
        <f>IFERROR(VLOOKUP(DATA!#REF!,DATA!#REF!,1,FALSE),"")</f>
        <v/>
      </c>
      <c r="D1346" s="16" t="str">
        <f>IFERROR(VLOOKUP(C1346,DATA!#REF!,2,FALSE),"")</f>
        <v/>
      </c>
    </row>
    <row r="1347" spans="2:4" s="230" customFormat="1">
      <c r="B1347" s="15" t="str">
        <f t="shared" si="52"/>
        <v/>
      </c>
      <c r="C1347" s="16" t="str">
        <f>IFERROR(VLOOKUP(DATA!#REF!,DATA!#REF!,1,FALSE),"")</f>
        <v/>
      </c>
      <c r="D1347" s="16" t="str">
        <f>IFERROR(VLOOKUP(C1347,DATA!#REF!,2,FALSE),"")</f>
        <v/>
      </c>
    </row>
    <row r="1348" spans="2:4" s="230" customFormat="1">
      <c r="B1348" s="15" t="str">
        <f t="shared" si="52"/>
        <v/>
      </c>
      <c r="C1348" s="16" t="str">
        <f>IFERROR(VLOOKUP(DATA!#REF!,DATA!#REF!,1,FALSE),"")</f>
        <v/>
      </c>
      <c r="D1348" s="16" t="str">
        <f>IFERROR(VLOOKUP(C1348,DATA!#REF!,2,FALSE),"")</f>
        <v/>
      </c>
    </row>
    <row r="1349" spans="2:4" s="230" customFormat="1">
      <c r="B1349" s="15" t="str">
        <f t="shared" si="52"/>
        <v/>
      </c>
      <c r="C1349" s="16" t="str">
        <f>IFERROR(VLOOKUP(DATA!#REF!,DATA!#REF!,1,FALSE),"")</f>
        <v/>
      </c>
      <c r="D1349" s="16" t="str">
        <f>IFERROR(VLOOKUP(C1349,DATA!#REF!,2,FALSE),"")</f>
        <v/>
      </c>
    </row>
    <row r="1350" spans="2:4" s="230" customFormat="1">
      <c r="B1350" s="15" t="str">
        <f t="shared" ref="B1350:B1413" si="53">+IF(C1350="","",ROW()-5)</f>
        <v/>
      </c>
      <c r="C1350" s="16" t="str">
        <f>IFERROR(VLOOKUP(DATA!#REF!,DATA!#REF!,1,FALSE),"")</f>
        <v/>
      </c>
      <c r="D1350" s="16" t="str">
        <f>IFERROR(VLOOKUP(C1350,DATA!#REF!,2,FALSE),"")</f>
        <v/>
      </c>
    </row>
    <row r="1351" spans="2:4" s="230" customFormat="1">
      <c r="B1351" s="15" t="str">
        <f t="shared" si="53"/>
        <v/>
      </c>
      <c r="C1351" s="16" t="str">
        <f>IFERROR(VLOOKUP(DATA!#REF!,DATA!#REF!,1,FALSE),"")</f>
        <v/>
      </c>
      <c r="D1351" s="16" t="str">
        <f>IFERROR(VLOOKUP(C1351,DATA!#REF!,2,FALSE),"")</f>
        <v/>
      </c>
    </row>
    <row r="1352" spans="2:4" s="230" customFormat="1">
      <c r="B1352" s="15" t="str">
        <f t="shared" si="53"/>
        <v/>
      </c>
      <c r="C1352" s="16" t="str">
        <f>IFERROR(VLOOKUP(DATA!#REF!,DATA!#REF!,1,FALSE),"")</f>
        <v/>
      </c>
      <c r="D1352" s="16" t="str">
        <f>IFERROR(VLOOKUP(C1352,DATA!#REF!,2,FALSE),"")</f>
        <v/>
      </c>
    </row>
    <row r="1353" spans="2:4" s="230" customFormat="1">
      <c r="B1353" s="15" t="str">
        <f t="shared" si="53"/>
        <v/>
      </c>
      <c r="C1353" s="16" t="str">
        <f>IFERROR(VLOOKUP(DATA!#REF!,DATA!#REF!,1,FALSE),"")</f>
        <v/>
      </c>
      <c r="D1353" s="16" t="str">
        <f>IFERROR(VLOOKUP(C1353,DATA!#REF!,2,FALSE),"")</f>
        <v/>
      </c>
    </row>
    <row r="1354" spans="2:4" s="230" customFormat="1">
      <c r="B1354" s="15" t="str">
        <f t="shared" si="53"/>
        <v/>
      </c>
      <c r="C1354" s="16" t="str">
        <f>IFERROR(VLOOKUP(DATA!#REF!,DATA!#REF!,1,FALSE),"")</f>
        <v/>
      </c>
      <c r="D1354" s="16" t="str">
        <f>IFERROR(VLOOKUP(C1354,DATA!#REF!,2,FALSE),"")</f>
        <v/>
      </c>
    </row>
    <row r="1355" spans="2:4" s="230" customFormat="1">
      <c r="B1355" s="15" t="str">
        <f t="shared" si="53"/>
        <v/>
      </c>
      <c r="C1355" s="16" t="str">
        <f>IFERROR(VLOOKUP(DATA!#REF!,DATA!#REF!,1,FALSE),"")</f>
        <v/>
      </c>
      <c r="D1355" s="16" t="str">
        <f>IFERROR(VLOOKUP(C1355,DATA!#REF!,2,FALSE),"")</f>
        <v/>
      </c>
    </row>
    <row r="1356" spans="2:4" s="230" customFormat="1">
      <c r="B1356" s="15" t="str">
        <f t="shared" si="53"/>
        <v/>
      </c>
      <c r="C1356" s="16" t="str">
        <f>IFERROR(VLOOKUP(DATA!#REF!,DATA!#REF!,1,FALSE),"")</f>
        <v/>
      </c>
      <c r="D1356" s="16" t="str">
        <f>IFERROR(VLOOKUP(C1356,DATA!#REF!,2,FALSE),"")</f>
        <v/>
      </c>
    </row>
    <row r="1357" spans="2:4" s="230" customFormat="1">
      <c r="B1357" s="15" t="str">
        <f t="shared" si="53"/>
        <v/>
      </c>
      <c r="C1357" s="16" t="str">
        <f>IFERROR(VLOOKUP(DATA!#REF!,DATA!#REF!,1,FALSE),"")</f>
        <v/>
      </c>
      <c r="D1357" s="16" t="str">
        <f>IFERROR(VLOOKUP(C1357,DATA!#REF!,2,FALSE),"")</f>
        <v/>
      </c>
    </row>
    <row r="1358" spans="2:4" s="230" customFormat="1">
      <c r="B1358" s="15" t="str">
        <f t="shared" si="53"/>
        <v/>
      </c>
      <c r="C1358" s="16" t="str">
        <f>IFERROR(VLOOKUP(DATA!#REF!,DATA!#REF!,1,FALSE),"")</f>
        <v/>
      </c>
      <c r="D1358" s="16" t="str">
        <f>IFERROR(VLOOKUP(C1358,DATA!#REF!,2,FALSE),"")</f>
        <v/>
      </c>
    </row>
    <row r="1359" spans="2:4" s="230" customFormat="1">
      <c r="B1359" s="15" t="str">
        <f t="shared" si="53"/>
        <v/>
      </c>
      <c r="C1359" s="16" t="str">
        <f>IFERROR(VLOOKUP(DATA!#REF!,DATA!#REF!,1,FALSE),"")</f>
        <v/>
      </c>
      <c r="D1359" s="16" t="str">
        <f>IFERROR(VLOOKUP(C1359,DATA!#REF!,2,FALSE),"")</f>
        <v/>
      </c>
    </row>
    <row r="1360" spans="2:4" s="230" customFormat="1">
      <c r="B1360" s="15" t="str">
        <f t="shared" si="53"/>
        <v/>
      </c>
      <c r="C1360" s="16" t="str">
        <f>IFERROR(VLOOKUP(DATA!#REF!,DATA!#REF!,1,FALSE),"")</f>
        <v/>
      </c>
      <c r="D1360" s="16" t="str">
        <f>IFERROR(VLOOKUP(C1360,DATA!#REF!,2,FALSE),"")</f>
        <v/>
      </c>
    </row>
    <row r="1361" spans="2:4" s="230" customFormat="1">
      <c r="B1361" s="15" t="str">
        <f t="shared" si="53"/>
        <v/>
      </c>
      <c r="C1361" s="16" t="str">
        <f>IFERROR(VLOOKUP(DATA!#REF!,DATA!#REF!,1,FALSE),"")</f>
        <v/>
      </c>
      <c r="D1361" s="16" t="str">
        <f>IFERROR(VLOOKUP(C1361,DATA!#REF!,2,FALSE),"")</f>
        <v/>
      </c>
    </row>
    <row r="1362" spans="2:4" s="230" customFormat="1">
      <c r="B1362" s="15" t="str">
        <f t="shared" si="53"/>
        <v/>
      </c>
      <c r="C1362" s="16" t="str">
        <f>IFERROR(VLOOKUP(DATA!#REF!,DATA!#REF!,1,FALSE),"")</f>
        <v/>
      </c>
      <c r="D1362" s="16" t="str">
        <f>IFERROR(VLOOKUP(C1362,DATA!#REF!,2,FALSE),"")</f>
        <v/>
      </c>
    </row>
    <row r="1363" spans="2:4" s="230" customFormat="1">
      <c r="B1363" s="15" t="str">
        <f t="shared" si="53"/>
        <v/>
      </c>
      <c r="C1363" s="16" t="str">
        <f>IFERROR(VLOOKUP(DATA!#REF!,DATA!#REF!,1,FALSE),"")</f>
        <v/>
      </c>
      <c r="D1363" s="16" t="str">
        <f>IFERROR(VLOOKUP(C1363,DATA!#REF!,2,FALSE),"")</f>
        <v/>
      </c>
    </row>
    <row r="1364" spans="2:4" s="230" customFormat="1">
      <c r="B1364" s="15" t="str">
        <f t="shared" si="53"/>
        <v/>
      </c>
      <c r="C1364" s="16" t="str">
        <f>IFERROR(VLOOKUP(DATA!#REF!,DATA!#REF!,1,FALSE),"")</f>
        <v/>
      </c>
      <c r="D1364" s="16" t="str">
        <f>IFERROR(VLOOKUP(C1364,DATA!#REF!,2,FALSE),"")</f>
        <v/>
      </c>
    </row>
    <row r="1365" spans="2:4" s="230" customFormat="1">
      <c r="B1365" s="15" t="str">
        <f t="shared" si="53"/>
        <v/>
      </c>
      <c r="C1365" s="16" t="str">
        <f>IFERROR(VLOOKUP(DATA!#REF!,DATA!#REF!,1,FALSE),"")</f>
        <v/>
      </c>
      <c r="D1365" s="16" t="str">
        <f>IFERROR(VLOOKUP(C1365,DATA!#REF!,2,FALSE),"")</f>
        <v/>
      </c>
    </row>
    <row r="1366" spans="2:4" s="230" customFormat="1">
      <c r="B1366" s="15" t="str">
        <f t="shared" si="53"/>
        <v/>
      </c>
      <c r="C1366" s="16" t="str">
        <f>IFERROR(VLOOKUP(DATA!#REF!,DATA!#REF!,1,FALSE),"")</f>
        <v/>
      </c>
      <c r="D1366" s="16" t="str">
        <f>IFERROR(VLOOKUP(C1366,DATA!#REF!,2,FALSE),"")</f>
        <v/>
      </c>
    </row>
    <row r="1367" spans="2:4" s="230" customFormat="1">
      <c r="B1367" s="15" t="str">
        <f t="shared" si="53"/>
        <v/>
      </c>
      <c r="C1367" s="16" t="str">
        <f>IFERROR(VLOOKUP(DATA!#REF!,DATA!#REF!,1,FALSE),"")</f>
        <v/>
      </c>
      <c r="D1367" s="16" t="str">
        <f>IFERROR(VLOOKUP(C1367,DATA!#REF!,2,FALSE),"")</f>
        <v/>
      </c>
    </row>
    <row r="1368" spans="2:4" s="230" customFormat="1">
      <c r="B1368" s="15" t="str">
        <f t="shared" si="53"/>
        <v/>
      </c>
      <c r="C1368" s="16" t="str">
        <f>IFERROR(VLOOKUP(DATA!#REF!,DATA!#REF!,1,FALSE),"")</f>
        <v/>
      </c>
      <c r="D1368" s="16" t="str">
        <f>IFERROR(VLOOKUP(C1368,DATA!#REF!,2,FALSE),"")</f>
        <v/>
      </c>
    </row>
    <row r="1369" spans="2:4" s="230" customFormat="1">
      <c r="B1369" s="15" t="str">
        <f t="shared" si="53"/>
        <v/>
      </c>
      <c r="C1369" s="16" t="str">
        <f>IFERROR(VLOOKUP(DATA!#REF!,DATA!#REF!,1,FALSE),"")</f>
        <v/>
      </c>
      <c r="D1369" s="16" t="str">
        <f>IFERROR(VLOOKUP(C1369,DATA!#REF!,2,FALSE),"")</f>
        <v/>
      </c>
    </row>
    <row r="1370" spans="2:4" s="230" customFormat="1">
      <c r="B1370" s="15" t="str">
        <f t="shared" si="53"/>
        <v/>
      </c>
      <c r="C1370" s="16" t="str">
        <f>IFERROR(VLOOKUP(DATA!#REF!,DATA!#REF!,1,FALSE),"")</f>
        <v/>
      </c>
      <c r="D1370" s="16" t="str">
        <f>IFERROR(VLOOKUP(C1370,DATA!#REF!,2,FALSE),"")</f>
        <v/>
      </c>
    </row>
    <row r="1371" spans="2:4" s="230" customFormat="1">
      <c r="B1371" s="15" t="str">
        <f t="shared" si="53"/>
        <v/>
      </c>
      <c r="C1371" s="16" t="str">
        <f>IFERROR(VLOOKUP(DATA!#REF!,DATA!#REF!,1,FALSE),"")</f>
        <v/>
      </c>
      <c r="D1371" s="16" t="str">
        <f>IFERROR(VLOOKUP(C1371,DATA!#REF!,2,FALSE),"")</f>
        <v/>
      </c>
    </row>
    <row r="1372" spans="2:4" s="230" customFormat="1">
      <c r="B1372" s="15" t="str">
        <f t="shared" si="53"/>
        <v/>
      </c>
      <c r="C1372" s="16" t="str">
        <f>IFERROR(VLOOKUP(DATA!#REF!,DATA!#REF!,1,FALSE),"")</f>
        <v/>
      </c>
      <c r="D1372" s="16" t="str">
        <f>IFERROR(VLOOKUP(C1372,DATA!#REF!,2,FALSE),"")</f>
        <v/>
      </c>
    </row>
    <row r="1373" spans="2:4" s="230" customFormat="1">
      <c r="B1373" s="15" t="str">
        <f t="shared" si="53"/>
        <v/>
      </c>
      <c r="C1373" s="16" t="str">
        <f>IFERROR(VLOOKUP(DATA!#REF!,DATA!#REF!,1,FALSE),"")</f>
        <v/>
      </c>
      <c r="D1373" s="16" t="str">
        <f>IFERROR(VLOOKUP(C1373,DATA!#REF!,2,FALSE),"")</f>
        <v/>
      </c>
    </row>
    <row r="1374" spans="2:4" s="230" customFormat="1">
      <c r="B1374" s="15" t="str">
        <f t="shared" si="53"/>
        <v/>
      </c>
      <c r="C1374" s="16" t="str">
        <f>IFERROR(VLOOKUP(DATA!#REF!,DATA!#REF!,1,FALSE),"")</f>
        <v/>
      </c>
      <c r="D1374" s="16" t="str">
        <f>IFERROR(VLOOKUP(C1374,DATA!#REF!,2,FALSE),"")</f>
        <v/>
      </c>
    </row>
    <row r="1375" spans="2:4" s="230" customFormat="1">
      <c r="B1375" s="15" t="str">
        <f t="shared" si="53"/>
        <v/>
      </c>
      <c r="C1375" s="16" t="str">
        <f>IFERROR(VLOOKUP(DATA!#REF!,DATA!#REF!,1,FALSE),"")</f>
        <v/>
      </c>
      <c r="D1375" s="16" t="str">
        <f>IFERROR(VLOOKUP(C1375,DATA!#REF!,2,FALSE),"")</f>
        <v/>
      </c>
    </row>
    <row r="1376" spans="2:4" s="230" customFormat="1">
      <c r="B1376" s="15" t="str">
        <f t="shared" si="53"/>
        <v/>
      </c>
      <c r="C1376" s="16" t="str">
        <f>IFERROR(VLOOKUP(DATA!#REF!,DATA!#REF!,1,FALSE),"")</f>
        <v/>
      </c>
      <c r="D1376" s="16" t="str">
        <f>IFERROR(VLOOKUP(C1376,DATA!#REF!,2,FALSE),"")</f>
        <v/>
      </c>
    </row>
    <row r="1377" spans="2:4" s="230" customFormat="1">
      <c r="B1377" s="15" t="str">
        <f t="shared" si="53"/>
        <v/>
      </c>
      <c r="C1377" s="16" t="str">
        <f>IFERROR(VLOOKUP(DATA!#REF!,DATA!#REF!,1,FALSE),"")</f>
        <v/>
      </c>
      <c r="D1377" s="16" t="str">
        <f>IFERROR(VLOOKUP(C1377,DATA!#REF!,2,FALSE),"")</f>
        <v/>
      </c>
    </row>
    <row r="1378" spans="2:4" s="230" customFormat="1">
      <c r="B1378" s="15" t="str">
        <f t="shared" si="53"/>
        <v/>
      </c>
      <c r="C1378" s="16" t="str">
        <f>IFERROR(VLOOKUP(DATA!#REF!,DATA!#REF!,1,FALSE),"")</f>
        <v/>
      </c>
      <c r="D1378" s="16" t="str">
        <f>IFERROR(VLOOKUP(C1378,DATA!#REF!,2,FALSE),"")</f>
        <v/>
      </c>
    </row>
    <row r="1379" spans="2:4" s="230" customFormat="1">
      <c r="B1379" s="15" t="str">
        <f t="shared" si="53"/>
        <v/>
      </c>
      <c r="C1379" s="16" t="str">
        <f>IFERROR(VLOOKUP(DATA!#REF!,DATA!#REF!,1,FALSE),"")</f>
        <v/>
      </c>
      <c r="D1379" s="16" t="str">
        <f>IFERROR(VLOOKUP(C1379,DATA!#REF!,2,FALSE),"")</f>
        <v/>
      </c>
    </row>
    <row r="1380" spans="2:4" s="230" customFormat="1">
      <c r="B1380" s="15" t="str">
        <f t="shared" si="53"/>
        <v/>
      </c>
      <c r="C1380" s="16" t="str">
        <f>IFERROR(VLOOKUP(DATA!#REF!,DATA!#REF!,1,FALSE),"")</f>
        <v/>
      </c>
      <c r="D1380" s="16" t="str">
        <f>IFERROR(VLOOKUP(C1380,DATA!#REF!,2,FALSE),"")</f>
        <v/>
      </c>
    </row>
    <row r="1381" spans="2:4" s="230" customFormat="1">
      <c r="B1381" s="15" t="str">
        <f t="shared" si="53"/>
        <v/>
      </c>
      <c r="C1381" s="16" t="str">
        <f>IFERROR(VLOOKUP(DATA!#REF!,DATA!#REF!,1,FALSE),"")</f>
        <v/>
      </c>
      <c r="D1381" s="16" t="str">
        <f>IFERROR(VLOOKUP(C1381,DATA!#REF!,2,FALSE),"")</f>
        <v/>
      </c>
    </row>
    <row r="1382" spans="2:4" s="230" customFormat="1">
      <c r="B1382" s="15" t="str">
        <f t="shared" si="53"/>
        <v/>
      </c>
      <c r="C1382" s="16" t="str">
        <f>IFERROR(VLOOKUP(DATA!#REF!,DATA!#REF!,1,FALSE),"")</f>
        <v/>
      </c>
      <c r="D1382" s="16" t="str">
        <f>IFERROR(VLOOKUP(C1382,DATA!#REF!,2,FALSE),"")</f>
        <v/>
      </c>
    </row>
    <row r="1383" spans="2:4" s="230" customFormat="1">
      <c r="B1383" s="15" t="str">
        <f t="shared" si="53"/>
        <v/>
      </c>
      <c r="C1383" s="16" t="str">
        <f>IFERROR(VLOOKUP(DATA!#REF!,DATA!#REF!,1,FALSE),"")</f>
        <v/>
      </c>
      <c r="D1383" s="16" t="str">
        <f>IFERROR(VLOOKUP(C1383,DATA!#REF!,2,FALSE),"")</f>
        <v/>
      </c>
    </row>
    <row r="1384" spans="2:4" s="230" customFormat="1">
      <c r="B1384" s="15" t="str">
        <f t="shared" si="53"/>
        <v/>
      </c>
      <c r="C1384" s="16" t="str">
        <f>IFERROR(VLOOKUP(DATA!#REF!,DATA!#REF!,1,FALSE),"")</f>
        <v/>
      </c>
      <c r="D1384" s="16" t="str">
        <f>IFERROR(VLOOKUP(C1384,DATA!#REF!,2,FALSE),"")</f>
        <v/>
      </c>
    </row>
    <row r="1385" spans="2:4" s="230" customFormat="1">
      <c r="B1385" s="15" t="str">
        <f t="shared" si="53"/>
        <v/>
      </c>
      <c r="C1385" s="16" t="str">
        <f>IFERROR(VLOOKUP(DATA!#REF!,DATA!#REF!,1,FALSE),"")</f>
        <v/>
      </c>
      <c r="D1385" s="16" t="str">
        <f>IFERROR(VLOOKUP(C1385,DATA!#REF!,2,FALSE),"")</f>
        <v/>
      </c>
    </row>
    <row r="1386" spans="2:4" s="230" customFormat="1">
      <c r="B1386" s="15" t="str">
        <f t="shared" si="53"/>
        <v/>
      </c>
      <c r="C1386" s="16" t="str">
        <f>IFERROR(VLOOKUP(DATA!#REF!,DATA!#REF!,1,FALSE),"")</f>
        <v/>
      </c>
      <c r="D1386" s="16" t="str">
        <f>IFERROR(VLOOKUP(C1386,DATA!#REF!,2,FALSE),"")</f>
        <v/>
      </c>
    </row>
    <row r="1387" spans="2:4" s="230" customFormat="1">
      <c r="B1387" s="15" t="str">
        <f t="shared" si="53"/>
        <v/>
      </c>
      <c r="C1387" s="16" t="str">
        <f>IFERROR(VLOOKUP(DATA!#REF!,DATA!#REF!,1,FALSE),"")</f>
        <v/>
      </c>
      <c r="D1387" s="16" t="str">
        <f>IFERROR(VLOOKUP(C1387,DATA!#REF!,2,FALSE),"")</f>
        <v/>
      </c>
    </row>
    <row r="1388" spans="2:4" s="230" customFormat="1">
      <c r="B1388" s="15" t="str">
        <f t="shared" si="53"/>
        <v/>
      </c>
      <c r="C1388" s="16" t="str">
        <f>IFERROR(VLOOKUP(DATA!#REF!,DATA!#REF!,1,FALSE),"")</f>
        <v/>
      </c>
      <c r="D1388" s="16" t="str">
        <f>IFERROR(VLOOKUP(C1388,DATA!#REF!,2,FALSE),"")</f>
        <v/>
      </c>
    </row>
    <row r="1389" spans="2:4" s="230" customFormat="1">
      <c r="B1389" s="15" t="str">
        <f t="shared" si="53"/>
        <v/>
      </c>
      <c r="C1389" s="16" t="str">
        <f>IFERROR(VLOOKUP(DATA!#REF!,DATA!#REF!,1,FALSE),"")</f>
        <v/>
      </c>
      <c r="D1389" s="16" t="str">
        <f>IFERROR(VLOOKUP(C1389,DATA!#REF!,2,FALSE),"")</f>
        <v/>
      </c>
    </row>
    <row r="1390" spans="2:4" s="230" customFormat="1">
      <c r="B1390" s="15" t="str">
        <f t="shared" si="53"/>
        <v/>
      </c>
      <c r="C1390" s="16" t="str">
        <f>IFERROR(VLOOKUP(DATA!#REF!,DATA!#REF!,1,FALSE),"")</f>
        <v/>
      </c>
      <c r="D1390" s="16" t="str">
        <f>IFERROR(VLOOKUP(C1390,DATA!#REF!,2,FALSE),"")</f>
        <v/>
      </c>
    </row>
    <row r="1391" spans="2:4" s="230" customFormat="1">
      <c r="B1391" s="15" t="str">
        <f t="shared" si="53"/>
        <v/>
      </c>
      <c r="C1391" s="16" t="str">
        <f>IFERROR(VLOOKUP(DATA!#REF!,DATA!#REF!,1,FALSE),"")</f>
        <v/>
      </c>
      <c r="D1391" s="16" t="str">
        <f>IFERROR(VLOOKUP(C1391,DATA!#REF!,2,FALSE),"")</f>
        <v/>
      </c>
    </row>
    <row r="1392" spans="2:4" s="230" customFormat="1">
      <c r="B1392" s="15" t="str">
        <f t="shared" si="53"/>
        <v/>
      </c>
      <c r="C1392" s="16" t="str">
        <f>IFERROR(VLOOKUP(DATA!#REF!,DATA!#REF!,1,FALSE),"")</f>
        <v/>
      </c>
      <c r="D1392" s="16" t="str">
        <f>IFERROR(VLOOKUP(C1392,DATA!#REF!,2,FALSE),"")</f>
        <v/>
      </c>
    </row>
    <row r="1393" spans="2:4" s="230" customFormat="1">
      <c r="B1393" s="15" t="str">
        <f t="shared" si="53"/>
        <v/>
      </c>
      <c r="C1393" s="16" t="str">
        <f>IFERROR(VLOOKUP(DATA!#REF!,DATA!#REF!,1,FALSE),"")</f>
        <v/>
      </c>
      <c r="D1393" s="16" t="str">
        <f>IFERROR(VLOOKUP(C1393,DATA!#REF!,2,FALSE),"")</f>
        <v/>
      </c>
    </row>
    <row r="1394" spans="2:4" s="230" customFormat="1">
      <c r="B1394" s="15" t="str">
        <f t="shared" si="53"/>
        <v/>
      </c>
      <c r="C1394" s="16" t="str">
        <f>IFERROR(VLOOKUP(DATA!#REF!,DATA!#REF!,1,FALSE),"")</f>
        <v/>
      </c>
      <c r="D1394" s="16" t="str">
        <f>IFERROR(VLOOKUP(C1394,DATA!#REF!,2,FALSE),"")</f>
        <v/>
      </c>
    </row>
    <row r="1395" spans="2:4" s="230" customFormat="1">
      <c r="B1395" s="15" t="str">
        <f t="shared" si="53"/>
        <v/>
      </c>
      <c r="C1395" s="16" t="str">
        <f>IFERROR(VLOOKUP(DATA!#REF!,DATA!#REF!,1,FALSE),"")</f>
        <v/>
      </c>
      <c r="D1395" s="16" t="str">
        <f>IFERROR(VLOOKUP(C1395,DATA!#REF!,2,FALSE),"")</f>
        <v/>
      </c>
    </row>
    <row r="1396" spans="2:4" s="230" customFormat="1">
      <c r="B1396" s="15" t="str">
        <f t="shared" si="53"/>
        <v/>
      </c>
      <c r="C1396" s="16" t="str">
        <f>IFERROR(VLOOKUP(DATA!#REF!,DATA!#REF!,1,FALSE),"")</f>
        <v/>
      </c>
      <c r="D1396" s="16" t="str">
        <f>IFERROR(VLOOKUP(C1396,DATA!#REF!,2,FALSE),"")</f>
        <v/>
      </c>
    </row>
    <row r="1397" spans="2:4" s="230" customFormat="1">
      <c r="B1397" s="15" t="str">
        <f t="shared" si="53"/>
        <v/>
      </c>
      <c r="C1397" s="16" t="str">
        <f>IFERROR(VLOOKUP(DATA!#REF!,DATA!#REF!,1,FALSE),"")</f>
        <v/>
      </c>
      <c r="D1397" s="16" t="str">
        <f>IFERROR(VLOOKUP(C1397,DATA!#REF!,2,FALSE),"")</f>
        <v/>
      </c>
    </row>
    <row r="1398" spans="2:4" s="230" customFormat="1">
      <c r="B1398" s="15" t="str">
        <f t="shared" si="53"/>
        <v/>
      </c>
      <c r="C1398" s="16" t="str">
        <f>IFERROR(VLOOKUP(DATA!#REF!,DATA!#REF!,1,FALSE),"")</f>
        <v/>
      </c>
      <c r="D1398" s="16" t="str">
        <f>IFERROR(VLOOKUP(C1398,DATA!#REF!,2,FALSE),"")</f>
        <v/>
      </c>
    </row>
    <row r="1399" spans="2:4" s="230" customFormat="1">
      <c r="B1399" s="15" t="str">
        <f t="shared" si="53"/>
        <v/>
      </c>
      <c r="C1399" s="16" t="str">
        <f>IFERROR(VLOOKUP(DATA!#REF!,DATA!#REF!,1,FALSE),"")</f>
        <v/>
      </c>
      <c r="D1399" s="16" t="str">
        <f>IFERROR(VLOOKUP(C1399,DATA!#REF!,2,FALSE),"")</f>
        <v/>
      </c>
    </row>
    <row r="1400" spans="2:4" s="230" customFormat="1">
      <c r="B1400" s="15" t="str">
        <f t="shared" si="53"/>
        <v/>
      </c>
      <c r="C1400" s="16" t="str">
        <f>IFERROR(VLOOKUP(DATA!#REF!,DATA!#REF!,1,FALSE),"")</f>
        <v/>
      </c>
      <c r="D1400" s="16" t="str">
        <f>IFERROR(VLOOKUP(C1400,DATA!#REF!,2,FALSE),"")</f>
        <v/>
      </c>
    </row>
    <row r="1401" spans="2:4" s="230" customFormat="1">
      <c r="B1401" s="15" t="str">
        <f t="shared" si="53"/>
        <v/>
      </c>
      <c r="C1401" s="16" t="str">
        <f>IFERROR(VLOOKUP(DATA!#REF!,DATA!#REF!,1,FALSE),"")</f>
        <v/>
      </c>
      <c r="D1401" s="16" t="str">
        <f>IFERROR(VLOOKUP(C1401,DATA!#REF!,2,FALSE),"")</f>
        <v/>
      </c>
    </row>
    <row r="1402" spans="2:4" s="230" customFormat="1">
      <c r="B1402" s="15" t="str">
        <f t="shared" si="53"/>
        <v/>
      </c>
      <c r="C1402" s="16" t="str">
        <f>IFERROR(VLOOKUP(DATA!#REF!,DATA!#REF!,1,FALSE),"")</f>
        <v/>
      </c>
      <c r="D1402" s="16" t="str">
        <f>IFERROR(VLOOKUP(C1402,DATA!#REF!,2,FALSE),"")</f>
        <v/>
      </c>
    </row>
    <row r="1403" spans="2:4" s="230" customFormat="1">
      <c r="B1403" s="15" t="str">
        <f t="shared" si="53"/>
        <v/>
      </c>
      <c r="C1403" s="16" t="str">
        <f>IFERROR(VLOOKUP(DATA!#REF!,DATA!#REF!,1,FALSE),"")</f>
        <v/>
      </c>
      <c r="D1403" s="16" t="str">
        <f>IFERROR(VLOOKUP(C1403,DATA!#REF!,2,FALSE),"")</f>
        <v/>
      </c>
    </row>
    <row r="1404" spans="2:4" s="230" customFormat="1">
      <c r="B1404" s="15" t="str">
        <f t="shared" si="53"/>
        <v/>
      </c>
      <c r="C1404" s="16" t="str">
        <f>IFERROR(VLOOKUP(DATA!#REF!,DATA!#REF!,1,FALSE),"")</f>
        <v/>
      </c>
      <c r="D1404" s="16" t="str">
        <f>IFERROR(VLOOKUP(C1404,DATA!#REF!,2,FALSE),"")</f>
        <v/>
      </c>
    </row>
    <row r="1405" spans="2:4" s="230" customFormat="1">
      <c r="B1405" s="15" t="str">
        <f t="shared" si="53"/>
        <v/>
      </c>
      <c r="C1405" s="16" t="str">
        <f>IFERROR(VLOOKUP(DATA!#REF!,DATA!#REF!,1,FALSE),"")</f>
        <v/>
      </c>
      <c r="D1405" s="16" t="str">
        <f>IFERROR(VLOOKUP(C1405,DATA!#REF!,2,FALSE),"")</f>
        <v/>
      </c>
    </row>
    <row r="1406" spans="2:4" s="230" customFormat="1">
      <c r="B1406" s="15" t="str">
        <f t="shared" si="53"/>
        <v/>
      </c>
      <c r="C1406" s="16" t="str">
        <f>IFERROR(VLOOKUP(DATA!#REF!,DATA!#REF!,1,FALSE),"")</f>
        <v/>
      </c>
      <c r="D1406" s="16" t="str">
        <f>IFERROR(VLOOKUP(C1406,DATA!#REF!,2,FALSE),"")</f>
        <v/>
      </c>
    </row>
    <row r="1407" spans="2:4" s="230" customFormat="1">
      <c r="B1407" s="15" t="str">
        <f t="shared" si="53"/>
        <v/>
      </c>
      <c r="C1407" s="16" t="str">
        <f>IFERROR(VLOOKUP(DATA!#REF!,DATA!#REF!,1,FALSE),"")</f>
        <v/>
      </c>
      <c r="D1407" s="16" t="str">
        <f>IFERROR(VLOOKUP(C1407,DATA!#REF!,2,FALSE),"")</f>
        <v/>
      </c>
    </row>
    <row r="1408" spans="2:4" s="230" customFormat="1">
      <c r="B1408" s="15" t="str">
        <f t="shared" si="53"/>
        <v/>
      </c>
      <c r="C1408" s="16" t="str">
        <f>IFERROR(VLOOKUP(DATA!#REF!,DATA!#REF!,1,FALSE),"")</f>
        <v/>
      </c>
      <c r="D1408" s="16" t="str">
        <f>IFERROR(VLOOKUP(C1408,DATA!#REF!,2,FALSE),"")</f>
        <v/>
      </c>
    </row>
    <row r="1409" spans="2:4" s="230" customFormat="1">
      <c r="B1409" s="15" t="str">
        <f t="shared" si="53"/>
        <v/>
      </c>
      <c r="C1409" s="16" t="str">
        <f>IFERROR(VLOOKUP(DATA!#REF!,DATA!#REF!,1,FALSE),"")</f>
        <v/>
      </c>
      <c r="D1409" s="16" t="str">
        <f>IFERROR(VLOOKUP(C1409,DATA!#REF!,2,FALSE),"")</f>
        <v/>
      </c>
    </row>
    <row r="1410" spans="2:4" s="230" customFormat="1">
      <c r="B1410" s="15" t="str">
        <f t="shared" si="53"/>
        <v/>
      </c>
      <c r="C1410" s="16" t="str">
        <f>IFERROR(VLOOKUP(DATA!#REF!,DATA!#REF!,1,FALSE),"")</f>
        <v/>
      </c>
      <c r="D1410" s="16" t="str">
        <f>IFERROR(VLOOKUP(C1410,DATA!#REF!,2,FALSE),"")</f>
        <v/>
      </c>
    </row>
    <row r="1411" spans="2:4" s="230" customFormat="1">
      <c r="B1411" s="15" t="str">
        <f t="shared" si="53"/>
        <v/>
      </c>
      <c r="C1411" s="16" t="str">
        <f>IFERROR(VLOOKUP(DATA!#REF!,DATA!#REF!,1,FALSE),"")</f>
        <v/>
      </c>
      <c r="D1411" s="16" t="str">
        <f>IFERROR(VLOOKUP(C1411,DATA!#REF!,2,FALSE),"")</f>
        <v/>
      </c>
    </row>
    <row r="1412" spans="2:4" s="230" customFormat="1">
      <c r="B1412" s="15" t="str">
        <f t="shared" si="53"/>
        <v/>
      </c>
      <c r="C1412" s="16" t="str">
        <f>IFERROR(VLOOKUP(DATA!#REF!,DATA!#REF!,1,FALSE),"")</f>
        <v/>
      </c>
      <c r="D1412" s="16" t="str">
        <f>IFERROR(VLOOKUP(C1412,DATA!#REF!,2,FALSE),"")</f>
        <v/>
      </c>
    </row>
    <row r="1413" spans="2:4" s="230" customFormat="1">
      <c r="B1413" s="15" t="str">
        <f t="shared" si="53"/>
        <v/>
      </c>
      <c r="C1413" s="16" t="str">
        <f>IFERROR(VLOOKUP(DATA!#REF!,DATA!#REF!,1,FALSE),"")</f>
        <v/>
      </c>
      <c r="D1413" s="16" t="str">
        <f>IFERROR(VLOOKUP(C1413,DATA!#REF!,2,FALSE),"")</f>
        <v/>
      </c>
    </row>
    <row r="1414" spans="2:4" s="230" customFormat="1">
      <c r="B1414" s="15" t="str">
        <f t="shared" ref="B1414:B1477" si="54">+IF(C1414="","",ROW()-5)</f>
        <v/>
      </c>
      <c r="C1414" s="16" t="str">
        <f>IFERROR(VLOOKUP(DATA!#REF!,DATA!#REF!,1,FALSE),"")</f>
        <v/>
      </c>
      <c r="D1414" s="16" t="str">
        <f>IFERROR(VLOOKUP(C1414,DATA!#REF!,2,FALSE),"")</f>
        <v/>
      </c>
    </row>
    <row r="1415" spans="2:4" s="230" customFormat="1">
      <c r="B1415" s="15" t="str">
        <f t="shared" si="54"/>
        <v/>
      </c>
      <c r="C1415" s="16" t="str">
        <f>IFERROR(VLOOKUP(DATA!#REF!,DATA!#REF!,1,FALSE),"")</f>
        <v/>
      </c>
      <c r="D1415" s="16" t="str">
        <f>IFERROR(VLOOKUP(C1415,DATA!#REF!,2,FALSE),"")</f>
        <v/>
      </c>
    </row>
    <row r="1416" spans="2:4" s="230" customFormat="1">
      <c r="B1416" s="15" t="str">
        <f t="shared" si="54"/>
        <v/>
      </c>
      <c r="C1416" s="16" t="str">
        <f>IFERROR(VLOOKUP(DATA!#REF!,DATA!#REF!,1,FALSE),"")</f>
        <v/>
      </c>
      <c r="D1416" s="16" t="str">
        <f>IFERROR(VLOOKUP(C1416,DATA!#REF!,2,FALSE),"")</f>
        <v/>
      </c>
    </row>
    <row r="1417" spans="2:4" s="230" customFormat="1">
      <c r="B1417" s="15" t="str">
        <f t="shared" si="54"/>
        <v/>
      </c>
      <c r="C1417" s="16" t="str">
        <f>IFERROR(VLOOKUP(DATA!#REF!,DATA!#REF!,1,FALSE),"")</f>
        <v/>
      </c>
      <c r="D1417" s="16" t="str">
        <f>IFERROR(VLOOKUP(C1417,DATA!#REF!,2,FALSE),"")</f>
        <v/>
      </c>
    </row>
    <row r="1418" spans="2:4" s="230" customFormat="1">
      <c r="B1418" s="15" t="str">
        <f t="shared" si="54"/>
        <v/>
      </c>
      <c r="C1418" s="16" t="str">
        <f>IFERROR(VLOOKUP(DATA!#REF!,DATA!#REF!,1,FALSE),"")</f>
        <v/>
      </c>
      <c r="D1418" s="16" t="str">
        <f>IFERROR(VLOOKUP(C1418,DATA!#REF!,2,FALSE),"")</f>
        <v/>
      </c>
    </row>
    <row r="1419" spans="2:4" s="230" customFormat="1">
      <c r="B1419" s="15" t="str">
        <f t="shared" si="54"/>
        <v/>
      </c>
      <c r="C1419" s="16" t="str">
        <f>IFERROR(VLOOKUP(DATA!#REF!,DATA!#REF!,1,FALSE),"")</f>
        <v/>
      </c>
      <c r="D1419" s="16" t="str">
        <f>IFERROR(VLOOKUP(C1419,DATA!#REF!,2,FALSE),"")</f>
        <v/>
      </c>
    </row>
    <row r="1420" spans="2:4" s="230" customFormat="1">
      <c r="B1420" s="15" t="str">
        <f t="shared" si="54"/>
        <v/>
      </c>
      <c r="C1420" s="16" t="str">
        <f>IFERROR(VLOOKUP(DATA!#REF!,DATA!#REF!,1,FALSE),"")</f>
        <v/>
      </c>
      <c r="D1420" s="16" t="str">
        <f>IFERROR(VLOOKUP(C1420,DATA!#REF!,2,FALSE),"")</f>
        <v/>
      </c>
    </row>
    <row r="1421" spans="2:4" s="230" customFormat="1">
      <c r="B1421" s="15" t="str">
        <f t="shared" si="54"/>
        <v/>
      </c>
      <c r="C1421" s="16" t="str">
        <f>IFERROR(VLOOKUP(DATA!#REF!,DATA!#REF!,1,FALSE),"")</f>
        <v/>
      </c>
      <c r="D1421" s="16" t="str">
        <f>IFERROR(VLOOKUP(C1421,DATA!#REF!,2,FALSE),"")</f>
        <v/>
      </c>
    </row>
    <row r="1422" spans="2:4" s="230" customFormat="1">
      <c r="B1422" s="15" t="str">
        <f t="shared" si="54"/>
        <v/>
      </c>
      <c r="C1422" s="16" t="str">
        <f>IFERROR(VLOOKUP(DATA!#REF!,DATA!#REF!,1,FALSE),"")</f>
        <v/>
      </c>
      <c r="D1422" s="16" t="str">
        <f>IFERROR(VLOOKUP(C1422,DATA!#REF!,2,FALSE),"")</f>
        <v/>
      </c>
    </row>
    <row r="1423" spans="2:4" s="230" customFormat="1">
      <c r="B1423" s="15" t="str">
        <f t="shared" si="54"/>
        <v/>
      </c>
      <c r="C1423" s="16" t="str">
        <f>IFERROR(VLOOKUP(DATA!#REF!,DATA!#REF!,1,FALSE),"")</f>
        <v/>
      </c>
      <c r="D1423" s="16" t="str">
        <f>IFERROR(VLOOKUP(C1423,DATA!#REF!,2,FALSE),"")</f>
        <v/>
      </c>
    </row>
    <row r="1424" spans="2:4" s="230" customFormat="1">
      <c r="B1424" s="15" t="str">
        <f t="shared" si="54"/>
        <v/>
      </c>
      <c r="C1424" s="16" t="str">
        <f>IFERROR(VLOOKUP(DATA!#REF!,DATA!#REF!,1,FALSE),"")</f>
        <v/>
      </c>
      <c r="D1424" s="16" t="str">
        <f>IFERROR(VLOOKUP(C1424,DATA!#REF!,2,FALSE),"")</f>
        <v/>
      </c>
    </row>
    <row r="1425" spans="2:4" s="230" customFormat="1">
      <c r="B1425" s="15" t="str">
        <f t="shared" si="54"/>
        <v/>
      </c>
      <c r="C1425" s="16" t="str">
        <f>IFERROR(VLOOKUP(DATA!#REF!,DATA!#REF!,1,FALSE),"")</f>
        <v/>
      </c>
      <c r="D1425" s="16" t="str">
        <f>IFERROR(VLOOKUP(C1425,DATA!#REF!,2,FALSE),"")</f>
        <v/>
      </c>
    </row>
    <row r="1426" spans="2:4" s="230" customFormat="1">
      <c r="B1426" s="15" t="str">
        <f t="shared" si="54"/>
        <v/>
      </c>
      <c r="C1426" s="16" t="str">
        <f>IFERROR(VLOOKUP(DATA!#REF!,DATA!#REF!,1,FALSE),"")</f>
        <v/>
      </c>
      <c r="D1426" s="16" t="str">
        <f>IFERROR(VLOOKUP(C1426,DATA!#REF!,2,FALSE),"")</f>
        <v/>
      </c>
    </row>
    <row r="1427" spans="2:4" s="230" customFormat="1">
      <c r="B1427" s="15" t="str">
        <f t="shared" si="54"/>
        <v/>
      </c>
      <c r="C1427" s="16" t="str">
        <f>IFERROR(VLOOKUP(DATA!#REF!,DATA!#REF!,1,FALSE),"")</f>
        <v/>
      </c>
      <c r="D1427" s="16" t="str">
        <f>IFERROR(VLOOKUP(C1427,DATA!#REF!,2,FALSE),"")</f>
        <v/>
      </c>
    </row>
    <row r="1428" spans="2:4" s="230" customFormat="1">
      <c r="B1428" s="15" t="str">
        <f t="shared" si="54"/>
        <v/>
      </c>
      <c r="C1428" s="16" t="str">
        <f>IFERROR(VLOOKUP(DATA!#REF!,DATA!#REF!,1,FALSE),"")</f>
        <v/>
      </c>
      <c r="D1428" s="16" t="str">
        <f>IFERROR(VLOOKUP(C1428,DATA!#REF!,2,FALSE),"")</f>
        <v/>
      </c>
    </row>
    <row r="1429" spans="2:4" s="230" customFormat="1">
      <c r="B1429" s="15" t="str">
        <f t="shared" si="54"/>
        <v/>
      </c>
      <c r="C1429" s="16" t="str">
        <f>IFERROR(VLOOKUP(DATA!#REF!,DATA!#REF!,1,FALSE),"")</f>
        <v/>
      </c>
      <c r="D1429" s="16" t="str">
        <f>IFERROR(VLOOKUP(C1429,DATA!#REF!,2,FALSE),"")</f>
        <v/>
      </c>
    </row>
    <row r="1430" spans="2:4" s="230" customFormat="1">
      <c r="B1430" s="15" t="str">
        <f t="shared" si="54"/>
        <v/>
      </c>
      <c r="C1430" s="16" t="str">
        <f>IFERROR(VLOOKUP(DATA!#REF!,DATA!#REF!,1,FALSE),"")</f>
        <v/>
      </c>
      <c r="D1430" s="16" t="str">
        <f>IFERROR(VLOOKUP(C1430,DATA!#REF!,2,FALSE),"")</f>
        <v/>
      </c>
    </row>
    <row r="1431" spans="2:4" s="230" customFormat="1">
      <c r="B1431" s="15" t="str">
        <f t="shared" si="54"/>
        <v/>
      </c>
      <c r="C1431" s="16" t="str">
        <f>IFERROR(VLOOKUP(DATA!#REF!,DATA!#REF!,1,FALSE),"")</f>
        <v/>
      </c>
      <c r="D1431" s="16" t="str">
        <f>IFERROR(VLOOKUP(C1431,DATA!#REF!,2,FALSE),"")</f>
        <v/>
      </c>
    </row>
    <row r="1432" spans="2:4" s="230" customFormat="1">
      <c r="B1432" s="15" t="str">
        <f t="shared" si="54"/>
        <v/>
      </c>
      <c r="C1432" s="16" t="str">
        <f>IFERROR(VLOOKUP(DATA!#REF!,DATA!#REF!,1,FALSE),"")</f>
        <v/>
      </c>
      <c r="D1432" s="16" t="str">
        <f>IFERROR(VLOOKUP(C1432,DATA!#REF!,2,FALSE),"")</f>
        <v/>
      </c>
    </row>
    <row r="1433" spans="2:4" s="230" customFormat="1">
      <c r="B1433" s="15" t="str">
        <f t="shared" si="54"/>
        <v/>
      </c>
      <c r="C1433" s="16" t="str">
        <f>IFERROR(VLOOKUP(DATA!#REF!,DATA!#REF!,1,FALSE),"")</f>
        <v/>
      </c>
      <c r="D1433" s="16" t="str">
        <f>IFERROR(VLOOKUP(C1433,DATA!#REF!,2,FALSE),"")</f>
        <v/>
      </c>
    </row>
    <row r="1434" spans="2:4" s="230" customFormat="1">
      <c r="B1434" s="15" t="str">
        <f t="shared" si="54"/>
        <v/>
      </c>
      <c r="C1434" s="16" t="str">
        <f>IFERROR(VLOOKUP(DATA!#REF!,DATA!#REF!,1,FALSE),"")</f>
        <v/>
      </c>
      <c r="D1434" s="16" t="str">
        <f>IFERROR(VLOOKUP(C1434,DATA!#REF!,2,FALSE),"")</f>
        <v/>
      </c>
    </row>
    <row r="1435" spans="2:4" s="230" customFormat="1">
      <c r="B1435" s="15" t="str">
        <f t="shared" si="54"/>
        <v/>
      </c>
      <c r="C1435" s="16" t="str">
        <f>IFERROR(VLOOKUP(DATA!#REF!,DATA!#REF!,1,FALSE),"")</f>
        <v/>
      </c>
      <c r="D1435" s="16" t="str">
        <f>IFERROR(VLOOKUP(C1435,DATA!#REF!,2,FALSE),"")</f>
        <v/>
      </c>
    </row>
    <row r="1436" spans="2:4" s="230" customFormat="1">
      <c r="B1436" s="15" t="str">
        <f t="shared" si="54"/>
        <v/>
      </c>
      <c r="C1436" s="16" t="str">
        <f>IFERROR(VLOOKUP(DATA!#REF!,DATA!#REF!,1,FALSE),"")</f>
        <v/>
      </c>
      <c r="D1436" s="16" t="str">
        <f>IFERROR(VLOOKUP(C1436,DATA!#REF!,2,FALSE),"")</f>
        <v/>
      </c>
    </row>
    <row r="1437" spans="2:4" s="230" customFormat="1">
      <c r="B1437" s="15" t="str">
        <f t="shared" si="54"/>
        <v/>
      </c>
      <c r="C1437" s="16" t="str">
        <f>IFERROR(VLOOKUP(DATA!#REF!,DATA!#REF!,1,FALSE),"")</f>
        <v/>
      </c>
      <c r="D1437" s="16" t="str">
        <f>IFERROR(VLOOKUP(C1437,DATA!#REF!,2,FALSE),"")</f>
        <v/>
      </c>
    </row>
    <row r="1438" spans="2:4" s="230" customFormat="1">
      <c r="B1438" s="15" t="str">
        <f t="shared" si="54"/>
        <v/>
      </c>
      <c r="C1438" s="16" t="str">
        <f>IFERROR(VLOOKUP(DATA!#REF!,DATA!#REF!,1,FALSE),"")</f>
        <v/>
      </c>
      <c r="D1438" s="16" t="str">
        <f>IFERROR(VLOOKUP(C1438,DATA!#REF!,2,FALSE),"")</f>
        <v/>
      </c>
    </row>
    <row r="1439" spans="2:4" s="230" customFormat="1">
      <c r="B1439" s="15" t="str">
        <f t="shared" si="54"/>
        <v/>
      </c>
      <c r="C1439" s="16" t="str">
        <f>IFERROR(VLOOKUP(DATA!#REF!,DATA!#REF!,1,FALSE),"")</f>
        <v/>
      </c>
      <c r="D1439" s="16" t="str">
        <f>IFERROR(VLOOKUP(C1439,DATA!#REF!,2,FALSE),"")</f>
        <v/>
      </c>
    </row>
    <row r="1440" spans="2:4" s="230" customFormat="1">
      <c r="B1440" s="15" t="str">
        <f t="shared" si="54"/>
        <v/>
      </c>
      <c r="C1440" s="16" t="str">
        <f>IFERROR(VLOOKUP(DATA!#REF!,DATA!#REF!,1,FALSE),"")</f>
        <v/>
      </c>
      <c r="D1440" s="16" t="str">
        <f>IFERROR(VLOOKUP(C1440,DATA!#REF!,2,FALSE),"")</f>
        <v/>
      </c>
    </row>
    <row r="1441" spans="2:4" s="230" customFormat="1">
      <c r="B1441" s="15" t="str">
        <f t="shared" si="54"/>
        <v/>
      </c>
      <c r="C1441" s="16" t="str">
        <f>IFERROR(VLOOKUP(DATA!#REF!,DATA!#REF!,1,FALSE),"")</f>
        <v/>
      </c>
      <c r="D1441" s="16" t="str">
        <f>IFERROR(VLOOKUP(C1441,DATA!#REF!,2,FALSE),"")</f>
        <v/>
      </c>
    </row>
    <row r="1442" spans="2:4" s="230" customFormat="1">
      <c r="B1442" s="15" t="str">
        <f t="shared" si="54"/>
        <v/>
      </c>
      <c r="C1442" s="16" t="str">
        <f>IFERROR(VLOOKUP(DATA!#REF!,DATA!#REF!,1,FALSE),"")</f>
        <v/>
      </c>
      <c r="D1442" s="16" t="str">
        <f>IFERROR(VLOOKUP(C1442,DATA!#REF!,2,FALSE),"")</f>
        <v/>
      </c>
    </row>
    <row r="1443" spans="2:4" s="230" customFormat="1">
      <c r="B1443" s="15" t="str">
        <f t="shared" si="54"/>
        <v/>
      </c>
      <c r="C1443" s="16" t="str">
        <f>IFERROR(VLOOKUP(DATA!#REF!,DATA!#REF!,1,FALSE),"")</f>
        <v/>
      </c>
      <c r="D1443" s="16" t="str">
        <f>IFERROR(VLOOKUP(C1443,DATA!#REF!,2,FALSE),"")</f>
        <v/>
      </c>
    </row>
    <row r="1444" spans="2:4" s="230" customFormat="1">
      <c r="B1444" s="15" t="str">
        <f t="shared" si="54"/>
        <v/>
      </c>
      <c r="C1444" s="16" t="str">
        <f>IFERROR(VLOOKUP(DATA!#REF!,DATA!#REF!,1,FALSE),"")</f>
        <v/>
      </c>
      <c r="D1444" s="16" t="str">
        <f>IFERROR(VLOOKUP(C1444,DATA!#REF!,2,FALSE),"")</f>
        <v/>
      </c>
    </row>
    <row r="1445" spans="2:4" s="230" customFormat="1">
      <c r="B1445" s="15" t="str">
        <f t="shared" si="54"/>
        <v/>
      </c>
      <c r="C1445" s="16" t="str">
        <f>IFERROR(VLOOKUP(DATA!#REF!,DATA!#REF!,1,FALSE),"")</f>
        <v/>
      </c>
      <c r="D1445" s="16" t="str">
        <f>IFERROR(VLOOKUP(C1445,DATA!#REF!,2,FALSE),"")</f>
        <v/>
      </c>
    </row>
    <row r="1446" spans="2:4" s="230" customFormat="1">
      <c r="B1446" s="15" t="str">
        <f t="shared" si="54"/>
        <v/>
      </c>
      <c r="C1446" s="16" t="str">
        <f>IFERROR(VLOOKUP(DATA!#REF!,DATA!#REF!,1,FALSE),"")</f>
        <v/>
      </c>
      <c r="D1446" s="16" t="str">
        <f>IFERROR(VLOOKUP(C1446,DATA!#REF!,2,FALSE),"")</f>
        <v/>
      </c>
    </row>
    <row r="1447" spans="2:4" s="230" customFormat="1">
      <c r="B1447" s="15" t="str">
        <f t="shared" si="54"/>
        <v/>
      </c>
      <c r="C1447" s="16" t="str">
        <f>IFERROR(VLOOKUP(DATA!#REF!,DATA!#REF!,1,FALSE),"")</f>
        <v/>
      </c>
      <c r="D1447" s="16" t="str">
        <f>IFERROR(VLOOKUP(C1447,DATA!#REF!,2,FALSE),"")</f>
        <v/>
      </c>
    </row>
    <row r="1448" spans="2:4" s="230" customFormat="1">
      <c r="B1448" s="15" t="str">
        <f t="shared" si="54"/>
        <v/>
      </c>
      <c r="C1448" s="16" t="str">
        <f>IFERROR(VLOOKUP(DATA!#REF!,DATA!#REF!,1,FALSE),"")</f>
        <v/>
      </c>
      <c r="D1448" s="16" t="str">
        <f>IFERROR(VLOOKUP(C1448,DATA!#REF!,2,FALSE),"")</f>
        <v/>
      </c>
    </row>
    <row r="1449" spans="2:4" s="230" customFormat="1">
      <c r="B1449" s="15" t="str">
        <f t="shared" si="54"/>
        <v/>
      </c>
      <c r="C1449" s="16" t="str">
        <f>IFERROR(VLOOKUP(DATA!#REF!,DATA!#REF!,1,FALSE),"")</f>
        <v/>
      </c>
      <c r="D1449" s="16" t="str">
        <f>IFERROR(VLOOKUP(C1449,DATA!#REF!,2,FALSE),"")</f>
        <v/>
      </c>
    </row>
    <row r="1450" spans="2:4" s="230" customFormat="1">
      <c r="B1450" s="15" t="str">
        <f t="shared" si="54"/>
        <v/>
      </c>
      <c r="C1450" s="16" t="str">
        <f>IFERROR(VLOOKUP(DATA!#REF!,DATA!#REF!,1,FALSE),"")</f>
        <v/>
      </c>
      <c r="D1450" s="16" t="str">
        <f>IFERROR(VLOOKUP(C1450,DATA!#REF!,2,FALSE),"")</f>
        <v/>
      </c>
    </row>
    <row r="1451" spans="2:4" s="230" customFormat="1">
      <c r="B1451" s="15" t="str">
        <f t="shared" si="54"/>
        <v/>
      </c>
      <c r="C1451" s="16" t="str">
        <f>IFERROR(VLOOKUP(DATA!#REF!,DATA!#REF!,1,FALSE),"")</f>
        <v/>
      </c>
      <c r="D1451" s="16" t="str">
        <f>IFERROR(VLOOKUP(C1451,DATA!#REF!,2,FALSE),"")</f>
        <v/>
      </c>
    </row>
    <row r="1452" spans="2:4" s="230" customFormat="1">
      <c r="B1452" s="15" t="str">
        <f t="shared" si="54"/>
        <v/>
      </c>
      <c r="C1452" s="16" t="str">
        <f>IFERROR(VLOOKUP(DATA!#REF!,DATA!#REF!,1,FALSE),"")</f>
        <v/>
      </c>
      <c r="D1452" s="16" t="str">
        <f>IFERROR(VLOOKUP(C1452,DATA!#REF!,2,FALSE),"")</f>
        <v/>
      </c>
    </row>
    <row r="1453" spans="2:4" s="230" customFormat="1">
      <c r="B1453" s="15" t="str">
        <f t="shared" si="54"/>
        <v/>
      </c>
      <c r="C1453" s="16" t="str">
        <f>IFERROR(VLOOKUP(DATA!#REF!,DATA!#REF!,1,FALSE),"")</f>
        <v/>
      </c>
      <c r="D1453" s="16" t="str">
        <f>IFERROR(VLOOKUP(C1453,DATA!#REF!,2,FALSE),"")</f>
        <v/>
      </c>
    </row>
    <row r="1454" spans="2:4" s="230" customFormat="1">
      <c r="B1454" s="15" t="str">
        <f t="shared" si="54"/>
        <v/>
      </c>
      <c r="C1454" s="16" t="str">
        <f>IFERROR(VLOOKUP(DATA!#REF!,DATA!#REF!,1,FALSE),"")</f>
        <v/>
      </c>
      <c r="D1454" s="16" t="str">
        <f>IFERROR(VLOOKUP(C1454,DATA!#REF!,2,FALSE),"")</f>
        <v/>
      </c>
    </row>
    <row r="1455" spans="2:4" s="230" customFormat="1">
      <c r="B1455" s="15" t="str">
        <f t="shared" si="54"/>
        <v/>
      </c>
      <c r="C1455" s="16" t="str">
        <f>IFERROR(VLOOKUP(DATA!#REF!,DATA!#REF!,1,FALSE),"")</f>
        <v/>
      </c>
      <c r="D1455" s="16" t="str">
        <f>IFERROR(VLOOKUP(C1455,DATA!#REF!,2,FALSE),"")</f>
        <v/>
      </c>
    </row>
    <row r="1456" spans="2:4" s="230" customFormat="1">
      <c r="B1456" s="15" t="str">
        <f t="shared" si="54"/>
        <v/>
      </c>
      <c r="C1456" s="16" t="str">
        <f>IFERROR(VLOOKUP(DATA!#REF!,DATA!#REF!,1,FALSE),"")</f>
        <v/>
      </c>
      <c r="D1456" s="16" t="str">
        <f>IFERROR(VLOOKUP(C1456,DATA!#REF!,2,FALSE),"")</f>
        <v/>
      </c>
    </row>
    <row r="1457" spans="2:4" s="230" customFormat="1">
      <c r="B1457" s="15" t="str">
        <f t="shared" si="54"/>
        <v/>
      </c>
      <c r="C1457" s="16" t="str">
        <f>IFERROR(VLOOKUP(DATA!#REF!,DATA!#REF!,1,FALSE),"")</f>
        <v/>
      </c>
      <c r="D1457" s="16" t="str">
        <f>IFERROR(VLOOKUP(C1457,DATA!#REF!,2,FALSE),"")</f>
        <v/>
      </c>
    </row>
    <row r="1458" spans="2:4" s="230" customFormat="1">
      <c r="B1458" s="15" t="str">
        <f t="shared" si="54"/>
        <v/>
      </c>
      <c r="C1458" s="16" t="str">
        <f>IFERROR(VLOOKUP(DATA!#REF!,DATA!#REF!,1,FALSE),"")</f>
        <v/>
      </c>
      <c r="D1458" s="16" t="str">
        <f>IFERROR(VLOOKUP(C1458,DATA!#REF!,2,FALSE),"")</f>
        <v/>
      </c>
    </row>
    <row r="1459" spans="2:4" s="230" customFormat="1">
      <c r="B1459" s="15" t="str">
        <f t="shared" si="54"/>
        <v/>
      </c>
      <c r="C1459" s="16" t="str">
        <f>IFERROR(VLOOKUP(DATA!#REF!,DATA!#REF!,1,FALSE),"")</f>
        <v/>
      </c>
      <c r="D1459" s="16" t="str">
        <f>IFERROR(VLOOKUP(C1459,DATA!#REF!,2,FALSE),"")</f>
        <v/>
      </c>
    </row>
    <row r="1460" spans="2:4" s="230" customFormat="1">
      <c r="B1460" s="15" t="str">
        <f t="shared" si="54"/>
        <v/>
      </c>
      <c r="C1460" s="16" t="str">
        <f>IFERROR(VLOOKUP(DATA!#REF!,DATA!#REF!,1,FALSE),"")</f>
        <v/>
      </c>
      <c r="D1460" s="16" t="str">
        <f>IFERROR(VLOOKUP(C1460,DATA!#REF!,2,FALSE),"")</f>
        <v/>
      </c>
    </row>
    <row r="1461" spans="2:4" s="230" customFormat="1">
      <c r="B1461" s="15" t="str">
        <f t="shared" si="54"/>
        <v/>
      </c>
      <c r="C1461" s="16" t="str">
        <f>IFERROR(VLOOKUP(DATA!#REF!,DATA!#REF!,1,FALSE),"")</f>
        <v/>
      </c>
      <c r="D1461" s="16" t="str">
        <f>IFERROR(VLOOKUP(C1461,DATA!#REF!,2,FALSE),"")</f>
        <v/>
      </c>
    </row>
    <row r="1462" spans="2:4" s="230" customFormat="1">
      <c r="B1462" s="15" t="str">
        <f t="shared" si="54"/>
        <v/>
      </c>
      <c r="C1462" s="16" t="str">
        <f>IFERROR(VLOOKUP(DATA!#REF!,DATA!#REF!,1,FALSE),"")</f>
        <v/>
      </c>
      <c r="D1462" s="16" t="str">
        <f>IFERROR(VLOOKUP(C1462,DATA!#REF!,2,FALSE),"")</f>
        <v/>
      </c>
    </row>
    <row r="1463" spans="2:4" s="230" customFormat="1">
      <c r="B1463" s="15" t="str">
        <f t="shared" si="54"/>
        <v/>
      </c>
      <c r="C1463" s="16" t="str">
        <f>IFERROR(VLOOKUP(DATA!#REF!,DATA!#REF!,1,FALSE),"")</f>
        <v/>
      </c>
      <c r="D1463" s="16" t="str">
        <f>IFERROR(VLOOKUP(C1463,DATA!#REF!,2,FALSE),"")</f>
        <v/>
      </c>
    </row>
    <row r="1464" spans="2:4" s="230" customFormat="1">
      <c r="B1464" s="15" t="str">
        <f t="shared" si="54"/>
        <v/>
      </c>
      <c r="C1464" s="16" t="str">
        <f>IFERROR(VLOOKUP(DATA!#REF!,DATA!#REF!,1,FALSE),"")</f>
        <v/>
      </c>
      <c r="D1464" s="16" t="str">
        <f>IFERROR(VLOOKUP(C1464,DATA!#REF!,2,FALSE),"")</f>
        <v/>
      </c>
    </row>
    <row r="1465" spans="2:4" s="230" customFormat="1">
      <c r="B1465" s="15" t="str">
        <f t="shared" si="54"/>
        <v/>
      </c>
      <c r="C1465" s="16" t="str">
        <f>IFERROR(VLOOKUP(DATA!#REF!,DATA!#REF!,1,FALSE),"")</f>
        <v/>
      </c>
      <c r="D1465" s="16" t="str">
        <f>IFERROR(VLOOKUP(C1465,DATA!#REF!,2,FALSE),"")</f>
        <v/>
      </c>
    </row>
    <row r="1466" spans="2:4" s="230" customFormat="1">
      <c r="B1466" s="15" t="str">
        <f t="shared" si="54"/>
        <v/>
      </c>
      <c r="C1466" s="16" t="str">
        <f>IFERROR(VLOOKUP(DATA!#REF!,DATA!#REF!,1,FALSE),"")</f>
        <v/>
      </c>
      <c r="D1466" s="16" t="str">
        <f>IFERROR(VLOOKUP(C1466,DATA!#REF!,2,FALSE),"")</f>
        <v/>
      </c>
    </row>
    <row r="1467" spans="2:4" s="230" customFormat="1">
      <c r="B1467" s="15" t="str">
        <f t="shared" si="54"/>
        <v/>
      </c>
      <c r="C1467" s="16" t="str">
        <f>IFERROR(VLOOKUP(DATA!#REF!,DATA!#REF!,1,FALSE),"")</f>
        <v/>
      </c>
      <c r="D1467" s="16" t="str">
        <f>IFERROR(VLOOKUP(C1467,DATA!#REF!,2,FALSE),"")</f>
        <v/>
      </c>
    </row>
    <row r="1468" spans="2:4" s="230" customFormat="1">
      <c r="B1468" s="15" t="str">
        <f t="shared" si="54"/>
        <v/>
      </c>
      <c r="C1468" s="16" t="str">
        <f>IFERROR(VLOOKUP(DATA!#REF!,DATA!#REF!,1,FALSE),"")</f>
        <v/>
      </c>
      <c r="D1468" s="16" t="str">
        <f>IFERROR(VLOOKUP(C1468,DATA!#REF!,2,FALSE),"")</f>
        <v/>
      </c>
    </row>
    <row r="1469" spans="2:4" s="230" customFormat="1">
      <c r="B1469" s="15" t="str">
        <f t="shared" si="54"/>
        <v/>
      </c>
      <c r="C1469" s="16" t="str">
        <f>IFERROR(VLOOKUP(DATA!#REF!,DATA!#REF!,1,FALSE),"")</f>
        <v/>
      </c>
      <c r="D1469" s="16" t="str">
        <f>IFERROR(VLOOKUP(C1469,DATA!#REF!,2,FALSE),"")</f>
        <v/>
      </c>
    </row>
    <row r="1470" spans="2:4" s="230" customFormat="1">
      <c r="B1470" s="15" t="str">
        <f t="shared" si="54"/>
        <v/>
      </c>
      <c r="C1470" s="16" t="str">
        <f>IFERROR(VLOOKUP(DATA!#REF!,DATA!#REF!,1,FALSE),"")</f>
        <v/>
      </c>
      <c r="D1470" s="16" t="str">
        <f>IFERROR(VLOOKUP(C1470,DATA!#REF!,2,FALSE),"")</f>
        <v/>
      </c>
    </row>
    <row r="1471" spans="2:4" s="230" customFormat="1">
      <c r="B1471" s="15" t="str">
        <f t="shared" si="54"/>
        <v/>
      </c>
      <c r="C1471" s="16" t="str">
        <f>IFERROR(VLOOKUP(DATA!#REF!,DATA!#REF!,1,FALSE),"")</f>
        <v/>
      </c>
      <c r="D1471" s="16" t="str">
        <f>IFERROR(VLOOKUP(C1471,DATA!#REF!,2,FALSE),"")</f>
        <v/>
      </c>
    </row>
    <row r="1472" spans="2:4" s="230" customFormat="1">
      <c r="B1472" s="15" t="str">
        <f t="shared" si="54"/>
        <v/>
      </c>
      <c r="C1472" s="16" t="str">
        <f>IFERROR(VLOOKUP(DATA!#REF!,DATA!#REF!,1,FALSE),"")</f>
        <v/>
      </c>
      <c r="D1472" s="16" t="str">
        <f>IFERROR(VLOOKUP(C1472,DATA!#REF!,2,FALSE),"")</f>
        <v/>
      </c>
    </row>
    <row r="1473" spans="2:4" s="230" customFormat="1">
      <c r="B1473" s="15" t="str">
        <f t="shared" si="54"/>
        <v/>
      </c>
      <c r="C1473" s="16" t="str">
        <f>IFERROR(VLOOKUP(DATA!#REF!,DATA!#REF!,1,FALSE),"")</f>
        <v/>
      </c>
      <c r="D1473" s="16" t="str">
        <f>IFERROR(VLOOKUP(C1473,DATA!#REF!,2,FALSE),"")</f>
        <v/>
      </c>
    </row>
    <row r="1474" spans="2:4" s="230" customFormat="1">
      <c r="B1474" s="15" t="str">
        <f t="shared" si="54"/>
        <v/>
      </c>
      <c r="C1474" s="16" t="str">
        <f>IFERROR(VLOOKUP(DATA!#REF!,DATA!#REF!,1,FALSE),"")</f>
        <v/>
      </c>
      <c r="D1474" s="16" t="str">
        <f>IFERROR(VLOOKUP(C1474,DATA!#REF!,2,FALSE),"")</f>
        <v/>
      </c>
    </row>
    <row r="1475" spans="2:4" s="230" customFormat="1">
      <c r="B1475" s="15" t="str">
        <f t="shared" si="54"/>
        <v/>
      </c>
      <c r="C1475" s="16" t="str">
        <f>IFERROR(VLOOKUP(DATA!#REF!,DATA!#REF!,1,FALSE),"")</f>
        <v/>
      </c>
      <c r="D1475" s="16" t="str">
        <f>IFERROR(VLOOKUP(C1475,DATA!#REF!,2,FALSE),"")</f>
        <v/>
      </c>
    </row>
    <row r="1476" spans="2:4" s="230" customFormat="1">
      <c r="B1476" s="15" t="str">
        <f t="shared" si="54"/>
        <v/>
      </c>
      <c r="C1476" s="16" t="str">
        <f>IFERROR(VLOOKUP(DATA!#REF!,DATA!#REF!,1,FALSE),"")</f>
        <v/>
      </c>
      <c r="D1476" s="16" t="str">
        <f>IFERROR(VLOOKUP(C1476,DATA!#REF!,2,FALSE),"")</f>
        <v/>
      </c>
    </row>
    <row r="1477" spans="2:4" s="230" customFormat="1">
      <c r="B1477" s="15" t="str">
        <f t="shared" si="54"/>
        <v/>
      </c>
      <c r="C1477" s="16" t="str">
        <f>IFERROR(VLOOKUP(DATA!#REF!,DATA!#REF!,1,FALSE),"")</f>
        <v/>
      </c>
      <c r="D1477" s="16" t="str">
        <f>IFERROR(VLOOKUP(C1477,DATA!#REF!,2,FALSE),"")</f>
        <v/>
      </c>
    </row>
    <row r="1478" spans="2:4" s="230" customFormat="1">
      <c r="B1478" s="15" t="str">
        <f t="shared" ref="B1478:B1541" si="55">+IF(C1478="","",ROW()-5)</f>
        <v/>
      </c>
      <c r="C1478" s="16" t="str">
        <f>IFERROR(VLOOKUP(DATA!#REF!,DATA!#REF!,1,FALSE),"")</f>
        <v/>
      </c>
      <c r="D1478" s="16" t="str">
        <f>IFERROR(VLOOKUP(C1478,DATA!#REF!,2,FALSE),"")</f>
        <v/>
      </c>
    </row>
    <row r="1479" spans="2:4" s="230" customFormat="1">
      <c r="B1479" s="15" t="str">
        <f t="shared" si="55"/>
        <v/>
      </c>
      <c r="C1479" s="16" t="str">
        <f>IFERROR(VLOOKUP(DATA!#REF!,DATA!#REF!,1,FALSE),"")</f>
        <v/>
      </c>
      <c r="D1479" s="16" t="str">
        <f>IFERROR(VLOOKUP(C1479,DATA!#REF!,2,FALSE),"")</f>
        <v/>
      </c>
    </row>
    <row r="1480" spans="2:4" s="230" customFormat="1">
      <c r="B1480" s="15" t="str">
        <f t="shared" si="55"/>
        <v/>
      </c>
      <c r="C1480" s="16" t="str">
        <f>IFERROR(VLOOKUP(DATA!#REF!,DATA!#REF!,1,FALSE),"")</f>
        <v/>
      </c>
      <c r="D1480" s="16" t="str">
        <f>IFERROR(VLOOKUP(C1480,DATA!#REF!,2,FALSE),"")</f>
        <v/>
      </c>
    </row>
    <row r="1481" spans="2:4" s="230" customFormat="1">
      <c r="B1481" s="15" t="str">
        <f t="shared" si="55"/>
        <v/>
      </c>
      <c r="C1481" s="16" t="str">
        <f>IFERROR(VLOOKUP(DATA!#REF!,DATA!#REF!,1,FALSE),"")</f>
        <v/>
      </c>
      <c r="D1481" s="16" t="str">
        <f>IFERROR(VLOOKUP(C1481,DATA!#REF!,2,FALSE),"")</f>
        <v/>
      </c>
    </row>
    <row r="1482" spans="2:4" s="230" customFormat="1">
      <c r="B1482" s="15" t="str">
        <f t="shared" si="55"/>
        <v/>
      </c>
      <c r="C1482" s="16" t="str">
        <f>IFERROR(VLOOKUP(DATA!#REF!,DATA!#REF!,1,FALSE),"")</f>
        <v/>
      </c>
      <c r="D1482" s="16" t="str">
        <f>IFERROR(VLOOKUP(C1482,DATA!#REF!,2,FALSE),"")</f>
        <v/>
      </c>
    </row>
    <row r="1483" spans="2:4" s="230" customFormat="1">
      <c r="B1483" s="15" t="str">
        <f t="shared" si="55"/>
        <v/>
      </c>
      <c r="C1483" s="16" t="str">
        <f>IFERROR(VLOOKUP(DATA!#REF!,DATA!#REF!,1,FALSE),"")</f>
        <v/>
      </c>
      <c r="D1483" s="16" t="str">
        <f>IFERROR(VLOOKUP(C1483,DATA!#REF!,2,FALSE),"")</f>
        <v/>
      </c>
    </row>
    <row r="1484" spans="2:4" s="230" customFormat="1">
      <c r="B1484" s="15" t="str">
        <f t="shared" si="55"/>
        <v/>
      </c>
      <c r="C1484" s="16" t="str">
        <f>IFERROR(VLOOKUP(DATA!#REF!,DATA!#REF!,1,FALSE),"")</f>
        <v/>
      </c>
      <c r="D1484" s="16" t="str">
        <f>IFERROR(VLOOKUP(C1484,DATA!#REF!,2,FALSE),"")</f>
        <v/>
      </c>
    </row>
    <row r="1485" spans="2:4" s="230" customFormat="1">
      <c r="B1485" s="15" t="str">
        <f t="shared" si="55"/>
        <v/>
      </c>
      <c r="C1485" s="16" t="str">
        <f>IFERROR(VLOOKUP(DATA!#REF!,DATA!#REF!,1,FALSE),"")</f>
        <v/>
      </c>
      <c r="D1485" s="16" t="str">
        <f>IFERROR(VLOOKUP(C1485,DATA!#REF!,2,FALSE),"")</f>
        <v/>
      </c>
    </row>
    <row r="1486" spans="2:4" s="230" customFormat="1">
      <c r="B1486" s="15" t="str">
        <f t="shared" si="55"/>
        <v/>
      </c>
      <c r="C1486" s="16" t="str">
        <f>IFERROR(VLOOKUP(DATA!#REF!,DATA!#REF!,1,FALSE),"")</f>
        <v/>
      </c>
      <c r="D1486" s="16" t="str">
        <f>IFERROR(VLOOKUP(C1486,DATA!#REF!,2,FALSE),"")</f>
        <v/>
      </c>
    </row>
    <row r="1487" spans="2:4" s="230" customFormat="1">
      <c r="B1487" s="15" t="str">
        <f t="shared" si="55"/>
        <v/>
      </c>
      <c r="C1487" s="16" t="str">
        <f>IFERROR(VLOOKUP(DATA!#REF!,DATA!#REF!,1,FALSE),"")</f>
        <v/>
      </c>
      <c r="D1487" s="16" t="str">
        <f>IFERROR(VLOOKUP(C1487,DATA!#REF!,2,FALSE),"")</f>
        <v/>
      </c>
    </row>
    <row r="1488" spans="2:4" s="230" customFormat="1">
      <c r="B1488" s="15" t="str">
        <f t="shared" si="55"/>
        <v/>
      </c>
      <c r="C1488" s="16" t="str">
        <f>IFERROR(VLOOKUP(DATA!#REF!,DATA!#REF!,1,FALSE),"")</f>
        <v/>
      </c>
      <c r="D1488" s="16" t="str">
        <f>IFERROR(VLOOKUP(C1488,DATA!#REF!,2,FALSE),"")</f>
        <v/>
      </c>
    </row>
    <row r="1489" spans="2:4" s="230" customFormat="1">
      <c r="B1489" s="15" t="str">
        <f t="shared" si="55"/>
        <v/>
      </c>
      <c r="C1489" s="16" t="str">
        <f>IFERROR(VLOOKUP(DATA!#REF!,DATA!#REF!,1,FALSE),"")</f>
        <v/>
      </c>
      <c r="D1489" s="16" t="str">
        <f>IFERROR(VLOOKUP(C1489,DATA!#REF!,2,FALSE),"")</f>
        <v/>
      </c>
    </row>
    <row r="1490" spans="2:4" s="230" customFormat="1">
      <c r="B1490" s="15" t="str">
        <f t="shared" si="55"/>
        <v/>
      </c>
      <c r="C1490" s="16" t="str">
        <f>IFERROR(VLOOKUP(DATA!#REF!,DATA!#REF!,1,FALSE),"")</f>
        <v/>
      </c>
      <c r="D1490" s="16" t="str">
        <f>IFERROR(VLOOKUP(C1490,DATA!#REF!,2,FALSE),"")</f>
        <v/>
      </c>
    </row>
    <row r="1491" spans="2:4" s="230" customFormat="1">
      <c r="B1491" s="15" t="str">
        <f t="shared" si="55"/>
        <v/>
      </c>
      <c r="C1491" s="16" t="str">
        <f>IFERROR(VLOOKUP(DATA!#REF!,DATA!#REF!,1,FALSE),"")</f>
        <v/>
      </c>
      <c r="D1491" s="16" t="str">
        <f>IFERROR(VLOOKUP(C1491,DATA!#REF!,2,FALSE),"")</f>
        <v/>
      </c>
    </row>
    <row r="1492" spans="2:4" s="230" customFormat="1">
      <c r="B1492" s="15" t="str">
        <f t="shared" si="55"/>
        <v/>
      </c>
      <c r="C1492" s="16" t="str">
        <f>IFERROR(VLOOKUP(DATA!#REF!,DATA!#REF!,1,FALSE),"")</f>
        <v/>
      </c>
      <c r="D1492" s="16" t="str">
        <f>IFERROR(VLOOKUP(C1492,DATA!#REF!,2,FALSE),"")</f>
        <v/>
      </c>
    </row>
    <row r="1493" spans="2:4" s="230" customFormat="1">
      <c r="B1493" s="15" t="str">
        <f t="shared" si="55"/>
        <v/>
      </c>
      <c r="C1493" s="16" t="str">
        <f>IFERROR(VLOOKUP(DATA!#REF!,DATA!#REF!,1,FALSE),"")</f>
        <v/>
      </c>
      <c r="D1493" s="16" t="str">
        <f>IFERROR(VLOOKUP(C1493,DATA!#REF!,2,FALSE),"")</f>
        <v/>
      </c>
    </row>
    <row r="1494" spans="2:4" s="230" customFormat="1">
      <c r="B1494" s="15" t="str">
        <f t="shared" si="55"/>
        <v/>
      </c>
      <c r="C1494" s="16" t="str">
        <f>IFERROR(VLOOKUP(DATA!#REF!,DATA!#REF!,1,FALSE),"")</f>
        <v/>
      </c>
      <c r="D1494" s="16" t="str">
        <f>IFERROR(VLOOKUP(C1494,DATA!#REF!,2,FALSE),"")</f>
        <v/>
      </c>
    </row>
    <row r="1495" spans="2:4" s="230" customFormat="1">
      <c r="B1495" s="15" t="str">
        <f t="shared" si="55"/>
        <v/>
      </c>
      <c r="C1495" s="16" t="str">
        <f>IFERROR(VLOOKUP(DATA!#REF!,DATA!#REF!,1,FALSE),"")</f>
        <v/>
      </c>
      <c r="D1495" s="16" t="str">
        <f>IFERROR(VLOOKUP(C1495,DATA!#REF!,2,FALSE),"")</f>
        <v/>
      </c>
    </row>
    <row r="1496" spans="2:4" s="230" customFormat="1">
      <c r="B1496" s="15" t="str">
        <f t="shared" si="55"/>
        <v/>
      </c>
      <c r="C1496" s="16" t="str">
        <f>IFERROR(VLOOKUP(DATA!#REF!,DATA!#REF!,1,FALSE),"")</f>
        <v/>
      </c>
      <c r="D1496" s="16" t="str">
        <f>IFERROR(VLOOKUP(C1496,DATA!#REF!,2,FALSE),"")</f>
        <v/>
      </c>
    </row>
    <row r="1497" spans="2:4" s="230" customFormat="1">
      <c r="B1497" s="15" t="str">
        <f t="shared" si="55"/>
        <v/>
      </c>
      <c r="C1497" s="16" t="str">
        <f>IFERROR(VLOOKUP(DATA!#REF!,DATA!#REF!,1,FALSE),"")</f>
        <v/>
      </c>
      <c r="D1497" s="16" t="str">
        <f>IFERROR(VLOOKUP(C1497,DATA!#REF!,2,FALSE),"")</f>
        <v/>
      </c>
    </row>
    <row r="1498" spans="2:4" s="230" customFormat="1">
      <c r="B1498" s="15" t="str">
        <f t="shared" si="55"/>
        <v/>
      </c>
      <c r="C1498" s="16" t="str">
        <f>IFERROR(VLOOKUP(DATA!#REF!,DATA!#REF!,1,FALSE),"")</f>
        <v/>
      </c>
      <c r="D1498" s="16" t="str">
        <f>IFERROR(VLOOKUP(C1498,DATA!#REF!,2,FALSE),"")</f>
        <v/>
      </c>
    </row>
    <row r="1499" spans="2:4" s="230" customFormat="1">
      <c r="B1499" s="15" t="str">
        <f t="shared" si="55"/>
        <v/>
      </c>
      <c r="C1499" s="16" t="str">
        <f>IFERROR(VLOOKUP(DATA!#REF!,DATA!#REF!,1,FALSE),"")</f>
        <v/>
      </c>
      <c r="D1499" s="16" t="str">
        <f>IFERROR(VLOOKUP(C1499,DATA!#REF!,2,FALSE),"")</f>
        <v/>
      </c>
    </row>
    <row r="1500" spans="2:4" s="230" customFormat="1">
      <c r="B1500" s="15" t="str">
        <f t="shared" si="55"/>
        <v/>
      </c>
      <c r="C1500" s="16" t="str">
        <f>IFERROR(VLOOKUP(DATA!#REF!,DATA!#REF!,1,FALSE),"")</f>
        <v/>
      </c>
      <c r="D1500" s="16" t="str">
        <f>IFERROR(VLOOKUP(C1500,DATA!#REF!,2,FALSE),"")</f>
        <v/>
      </c>
    </row>
    <row r="1501" spans="2:4" s="230" customFormat="1">
      <c r="B1501" s="15" t="str">
        <f t="shared" si="55"/>
        <v/>
      </c>
      <c r="C1501" s="16" t="str">
        <f>IFERROR(VLOOKUP(DATA!#REF!,DATA!#REF!,1,FALSE),"")</f>
        <v/>
      </c>
      <c r="D1501" s="16" t="str">
        <f>IFERROR(VLOOKUP(C1501,DATA!#REF!,2,FALSE),"")</f>
        <v/>
      </c>
    </row>
    <row r="1502" spans="2:4" s="230" customFormat="1">
      <c r="B1502" s="15" t="str">
        <f t="shared" si="55"/>
        <v/>
      </c>
      <c r="C1502" s="16" t="str">
        <f>IFERROR(VLOOKUP(DATA!#REF!,DATA!#REF!,1,FALSE),"")</f>
        <v/>
      </c>
      <c r="D1502" s="16" t="str">
        <f>IFERROR(VLOOKUP(C1502,DATA!#REF!,2,FALSE),"")</f>
        <v/>
      </c>
    </row>
    <row r="1503" spans="2:4" s="230" customFormat="1">
      <c r="B1503" s="15" t="str">
        <f t="shared" si="55"/>
        <v/>
      </c>
      <c r="C1503" s="16" t="str">
        <f>IFERROR(VLOOKUP(DATA!#REF!,DATA!#REF!,1,FALSE),"")</f>
        <v/>
      </c>
      <c r="D1503" s="16" t="str">
        <f>IFERROR(VLOOKUP(C1503,DATA!#REF!,2,FALSE),"")</f>
        <v/>
      </c>
    </row>
    <row r="1504" spans="2:4" s="230" customFormat="1">
      <c r="B1504" s="15" t="str">
        <f t="shared" si="55"/>
        <v/>
      </c>
      <c r="C1504" s="16" t="str">
        <f>IFERROR(VLOOKUP(DATA!#REF!,DATA!#REF!,1,FALSE),"")</f>
        <v/>
      </c>
      <c r="D1504" s="16" t="str">
        <f>IFERROR(VLOOKUP(C1504,DATA!#REF!,2,FALSE),"")</f>
        <v/>
      </c>
    </row>
    <row r="1505" spans="2:4" s="230" customFormat="1">
      <c r="B1505" s="15" t="str">
        <f t="shared" si="55"/>
        <v/>
      </c>
      <c r="C1505" s="16" t="str">
        <f>IFERROR(VLOOKUP(DATA!#REF!,DATA!#REF!,1,FALSE),"")</f>
        <v/>
      </c>
      <c r="D1505" s="16" t="str">
        <f>IFERROR(VLOOKUP(C1505,DATA!#REF!,2,FALSE),"")</f>
        <v/>
      </c>
    </row>
    <row r="1506" spans="2:4" s="230" customFormat="1">
      <c r="B1506" s="15" t="str">
        <f t="shared" si="55"/>
        <v/>
      </c>
      <c r="C1506" s="16" t="str">
        <f>IFERROR(VLOOKUP(DATA!#REF!,DATA!#REF!,1,FALSE),"")</f>
        <v/>
      </c>
      <c r="D1506" s="16" t="str">
        <f>IFERROR(VLOOKUP(C1506,DATA!#REF!,2,FALSE),"")</f>
        <v/>
      </c>
    </row>
    <row r="1507" spans="2:4" s="230" customFormat="1">
      <c r="B1507" s="15" t="str">
        <f t="shared" si="55"/>
        <v/>
      </c>
      <c r="C1507" s="16" t="str">
        <f>IFERROR(VLOOKUP(DATA!#REF!,DATA!#REF!,1,FALSE),"")</f>
        <v/>
      </c>
      <c r="D1507" s="16" t="str">
        <f>IFERROR(VLOOKUP(C1507,DATA!#REF!,2,FALSE),"")</f>
        <v/>
      </c>
    </row>
    <row r="1508" spans="2:4" s="230" customFormat="1">
      <c r="B1508" s="15" t="str">
        <f t="shared" si="55"/>
        <v/>
      </c>
      <c r="C1508" s="16" t="str">
        <f>IFERROR(VLOOKUP(DATA!#REF!,DATA!#REF!,1,FALSE),"")</f>
        <v/>
      </c>
      <c r="D1508" s="16" t="str">
        <f>IFERROR(VLOOKUP(C1508,DATA!#REF!,2,FALSE),"")</f>
        <v/>
      </c>
    </row>
    <row r="1509" spans="2:4" s="230" customFormat="1">
      <c r="B1509" s="15" t="str">
        <f t="shared" si="55"/>
        <v/>
      </c>
      <c r="C1509" s="16" t="str">
        <f>IFERROR(VLOOKUP(DATA!#REF!,DATA!#REF!,1,FALSE),"")</f>
        <v/>
      </c>
      <c r="D1509" s="16" t="str">
        <f>IFERROR(VLOOKUP(C1509,DATA!#REF!,2,FALSE),"")</f>
        <v/>
      </c>
    </row>
    <row r="1510" spans="2:4" s="230" customFormat="1">
      <c r="B1510" s="15" t="str">
        <f t="shared" si="55"/>
        <v/>
      </c>
      <c r="C1510" s="16" t="str">
        <f>IFERROR(VLOOKUP(DATA!#REF!,DATA!#REF!,1,FALSE),"")</f>
        <v/>
      </c>
      <c r="D1510" s="16" t="str">
        <f>IFERROR(VLOOKUP(C1510,DATA!#REF!,2,FALSE),"")</f>
        <v/>
      </c>
    </row>
    <row r="1511" spans="2:4" s="230" customFormat="1">
      <c r="B1511" s="15" t="str">
        <f t="shared" si="55"/>
        <v/>
      </c>
      <c r="C1511" s="16" t="str">
        <f>IFERROR(VLOOKUP(DATA!#REF!,DATA!#REF!,1,FALSE),"")</f>
        <v/>
      </c>
      <c r="D1511" s="16" t="str">
        <f>IFERROR(VLOOKUP(C1511,DATA!#REF!,2,FALSE),"")</f>
        <v/>
      </c>
    </row>
    <row r="1512" spans="2:4" s="230" customFormat="1">
      <c r="B1512" s="15" t="str">
        <f t="shared" si="55"/>
        <v/>
      </c>
      <c r="C1512" s="16" t="str">
        <f>IFERROR(VLOOKUP(DATA!#REF!,DATA!#REF!,1,FALSE),"")</f>
        <v/>
      </c>
      <c r="D1512" s="16" t="str">
        <f>IFERROR(VLOOKUP(C1512,DATA!#REF!,2,FALSE),"")</f>
        <v/>
      </c>
    </row>
    <row r="1513" spans="2:4" s="230" customFormat="1">
      <c r="B1513" s="15" t="str">
        <f t="shared" si="55"/>
        <v/>
      </c>
      <c r="C1513" s="16" t="str">
        <f>IFERROR(VLOOKUP(DATA!#REF!,DATA!#REF!,1,FALSE),"")</f>
        <v/>
      </c>
      <c r="D1513" s="16" t="str">
        <f>IFERROR(VLOOKUP(C1513,DATA!#REF!,2,FALSE),"")</f>
        <v/>
      </c>
    </row>
    <row r="1514" spans="2:4" s="230" customFormat="1">
      <c r="B1514" s="15" t="str">
        <f t="shared" si="55"/>
        <v/>
      </c>
      <c r="C1514" s="16" t="str">
        <f>IFERROR(VLOOKUP(DATA!#REF!,DATA!#REF!,1,FALSE),"")</f>
        <v/>
      </c>
      <c r="D1514" s="16" t="str">
        <f>IFERROR(VLOOKUP(C1514,DATA!#REF!,2,FALSE),"")</f>
        <v/>
      </c>
    </row>
    <row r="1515" spans="2:4" s="230" customFormat="1">
      <c r="B1515" s="15" t="str">
        <f t="shared" si="55"/>
        <v/>
      </c>
      <c r="C1515" s="16" t="str">
        <f>IFERROR(VLOOKUP(DATA!#REF!,DATA!#REF!,1,FALSE),"")</f>
        <v/>
      </c>
      <c r="D1515" s="16" t="str">
        <f>IFERROR(VLOOKUP(C1515,DATA!#REF!,2,FALSE),"")</f>
        <v/>
      </c>
    </row>
    <row r="1516" spans="2:4" s="230" customFormat="1">
      <c r="B1516" s="15" t="str">
        <f t="shared" si="55"/>
        <v/>
      </c>
      <c r="C1516" s="16" t="str">
        <f>IFERROR(VLOOKUP(DATA!#REF!,DATA!#REF!,1,FALSE),"")</f>
        <v/>
      </c>
      <c r="D1516" s="16" t="str">
        <f>IFERROR(VLOOKUP(C1516,DATA!#REF!,2,FALSE),"")</f>
        <v/>
      </c>
    </row>
    <row r="1517" spans="2:4" s="230" customFormat="1">
      <c r="B1517" s="15" t="str">
        <f t="shared" si="55"/>
        <v/>
      </c>
      <c r="C1517" s="16" t="str">
        <f>IFERROR(VLOOKUP(DATA!#REF!,DATA!#REF!,1,FALSE),"")</f>
        <v/>
      </c>
      <c r="D1517" s="16" t="str">
        <f>IFERROR(VLOOKUP(C1517,DATA!#REF!,2,FALSE),"")</f>
        <v/>
      </c>
    </row>
    <row r="1518" spans="2:4" s="230" customFormat="1">
      <c r="B1518" s="15" t="str">
        <f t="shared" si="55"/>
        <v/>
      </c>
      <c r="C1518" s="16" t="str">
        <f>IFERROR(VLOOKUP(DATA!#REF!,DATA!#REF!,1,FALSE),"")</f>
        <v/>
      </c>
      <c r="D1518" s="16" t="str">
        <f>IFERROR(VLOOKUP(C1518,DATA!#REF!,2,FALSE),"")</f>
        <v/>
      </c>
    </row>
    <row r="1519" spans="2:4" s="230" customFormat="1">
      <c r="B1519" s="15" t="str">
        <f t="shared" si="55"/>
        <v/>
      </c>
      <c r="C1519" s="16" t="str">
        <f>IFERROR(VLOOKUP(DATA!#REF!,DATA!#REF!,1,FALSE),"")</f>
        <v/>
      </c>
      <c r="D1519" s="16" t="str">
        <f>IFERROR(VLOOKUP(C1519,DATA!#REF!,2,FALSE),"")</f>
        <v/>
      </c>
    </row>
    <row r="1520" spans="2:4" s="230" customFormat="1">
      <c r="B1520" s="15" t="str">
        <f t="shared" si="55"/>
        <v/>
      </c>
      <c r="C1520" s="16" t="str">
        <f>IFERROR(VLOOKUP(DATA!#REF!,DATA!#REF!,1,FALSE),"")</f>
        <v/>
      </c>
      <c r="D1520" s="16" t="str">
        <f>IFERROR(VLOOKUP(C1520,DATA!#REF!,2,FALSE),"")</f>
        <v/>
      </c>
    </row>
    <row r="1521" spans="2:4" s="230" customFormat="1">
      <c r="B1521" s="15" t="str">
        <f t="shared" si="55"/>
        <v/>
      </c>
      <c r="C1521" s="16" t="str">
        <f>IFERROR(VLOOKUP(DATA!#REF!,DATA!#REF!,1,FALSE),"")</f>
        <v/>
      </c>
      <c r="D1521" s="16" t="str">
        <f>IFERROR(VLOOKUP(C1521,DATA!#REF!,2,FALSE),"")</f>
        <v/>
      </c>
    </row>
    <row r="1522" spans="2:4" s="230" customFormat="1">
      <c r="B1522" s="15" t="str">
        <f t="shared" si="55"/>
        <v/>
      </c>
      <c r="C1522" s="16" t="str">
        <f>IFERROR(VLOOKUP(DATA!#REF!,DATA!#REF!,1,FALSE),"")</f>
        <v/>
      </c>
      <c r="D1522" s="16" t="str">
        <f>IFERROR(VLOOKUP(C1522,DATA!#REF!,2,FALSE),"")</f>
        <v/>
      </c>
    </row>
    <row r="1523" spans="2:4" s="230" customFormat="1">
      <c r="B1523" s="15" t="str">
        <f t="shared" si="55"/>
        <v/>
      </c>
      <c r="C1523" s="16" t="str">
        <f>IFERROR(VLOOKUP(DATA!#REF!,DATA!#REF!,1,FALSE),"")</f>
        <v/>
      </c>
      <c r="D1523" s="16" t="str">
        <f>IFERROR(VLOOKUP(C1523,DATA!#REF!,2,FALSE),"")</f>
        <v/>
      </c>
    </row>
    <row r="1524" spans="2:4" s="230" customFormat="1">
      <c r="B1524" s="15" t="str">
        <f t="shared" si="55"/>
        <v/>
      </c>
      <c r="C1524" s="16" t="str">
        <f>IFERROR(VLOOKUP(DATA!#REF!,DATA!#REF!,1,FALSE),"")</f>
        <v/>
      </c>
      <c r="D1524" s="16" t="str">
        <f>IFERROR(VLOOKUP(C1524,DATA!#REF!,2,FALSE),"")</f>
        <v/>
      </c>
    </row>
    <row r="1525" spans="2:4" s="230" customFormat="1">
      <c r="B1525" s="15" t="str">
        <f t="shared" si="55"/>
        <v/>
      </c>
      <c r="C1525" s="16" t="str">
        <f>IFERROR(VLOOKUP(DATA!#REF!,DATA!#REF!,1,FALSE),"")</f>
        <v/>
      </c>
      <c r="D1525" s="16" t="str">
        <f>IFERROR(VLOOKUP(C1525,DATA!#REF!,2,FALSE),"")</f>
        <v/>
      </c>
    </row>
    <row r="1526" spans="2:4" s="230" customFormat="1">
      <c r="B1526" s="15" t="str">
        <f t="shared" si="55"/>
        <v/>
      </c>
      <c r="C1526" s="16" t="str">
        <f>IFERROR(VLOOKUP(DATA!#REF!,DATA!#REF!,1,FALSE),"")</f>
        <v/>
      </c>
      <c r="D1526" s="16" t="str">
        <f>IFERROR(VLOOKUP(C1526,DATA!#REF!,2,FALSE),"")</f>
        <v/>
      </c>
    </row>
    <row r="1527" spans="2:4" s="230" customFormat="1">
      <c r="B1527" s="15" t="str">
        <f t="shared" si="55"/>
        <v/>
      </c>
      <c r="C1527" s="16" t="str">
        <f>IFERROR(VLOOKUP(DATA!#REF!,DATA!#REF!,1,FALSE),"")</f>
        <v/>
      </c>
      <c r="D1527" s="16" t="str">
        <f>IFERROR(VLOOKUP(C1527,DATA!#REF!,2,FALSE),"")</f>
        <v/>
      </c>
    </row>
    <row r="1528" spans="2:4" s="230" customFormat="1">
      <c r="B1528" s="15" t="str">
        <f t="shared" si="55"/>
        <v/>
      </c>
      <c r="C1528" s="16" t="str">
        <f>IFERROR(VLOOKUP(DATA!#REF!,DATA!#REF!,1,FALSE),"")</f>
        <v/>
      </c>
      <c r="D1528" s="16" t="str">
        <f>IFERROR(VLOOKUP(C1528,DATA!#REF!,2,FALSE),"")</f>
        <v/>
      </c>
    </row>
    <row r="1529" spans="2:4" s="230" customFormat="1">
      <c r="B1529" s="15" t="str">
        <f t="shared" si="55"/>
        <v/>
      </c>
      <c r="C1529" s="16" t="str">
        <f>IFERROR(VLOOKUP(DATA!#REF!,DATA!#REF!,1,FALSE),"")</f>
        <v/>
      </c>
      <c r="D1529" s="16" t="str">
        <f>IFERROR(VLOOKUP(C1529,DATA!#REF!,2,FALSE),"")</f>
        <v/>
      </c>
    </row>
    <row r="1530" spans="2:4" s="230" customFormat="1">
      <c r="B1530" s="15" t="str">
        <f t="shared" si="55"/>
        <v/>
      </c>
      <c r="C1530" s="16" t="str">
        <f>IFERROR(VLOOKUP(DATA!#REF!,DATA!#REF!,1,FALSE),"")</f>
        <v/>
      </c>
      <c r="D1530" s="16" t="str">
        <f>IFERROR(VLOOKUP(C1530,DATA!#REF!,2,FALSE),"")</f>
        <v/>
      </c>
    </row>
    <row r="1531" spans="2:4" s="230" customFormat="1">
      <c r="B1531" s="15" t="str">
        <f t="shared" si="55"/>
        <v/>
      </c>
      <c r="C1531" s="16" t="str">
        <f>IFERROR(VLOOKUP(DATA!#REF!,DATA!#REF!,1,FALSE),"")</f>
        <v/>
      </c>
      <c r="D1531" s="16" t="str">
        <f>IFERROR(VLOOKUP(C1531,DATA!#REF!,2,FALSE),"")</f>
        <v/>
      </c>
    </row>
    <row r="1532" spans="2:4" s="230" customFormat="1">
      <c r="B1532" s="15" t="str">
        <f t="shared" si="55"/>
        <v/>
      </c>
      <c r="C1532" s="16" t="str">
        <f>IFERROR(VLOOKUP(DATA!#REF!,DATA!#REF!,1,FALSE),"")</f>
        <v/>
      </c>
      <c r="D1532" s="16" t="str">
        <f>IFERROR(VLOOKUP(C1532,DATA!#REF!,2,FALSE),"")</f>
        <v/>
      </c>
    </row>
    <row r="1533" spans="2:4" s="230" customFormat="1">
      <c r="B1533" s="15" t="str">
        <f t="shared" si="55"/>
        <v/>
      </c>
      <c r="C1533" s="16" t="str">
        <f>IFERROR(VLOOKUP(DATA!#REF!,DATA!#REF!,1,FALSE),"")</f>
        <v/>
      </c>
      <c r="D1533" s="16" t="str">
        <f>IFERROR(VLOOKUP(C1533,DATA!#REF!,2,FALSE),"")</f>
        <v/>
      </c>
    </row>
    <row r="1534" spans="2:4" s="230" customFormat="1">
      <c r="B1534" s="15" t="str">
        <f t="shared" si="55"/>
        <v/>
      </c>
      <c r="C1534" s="16" t="str">
        <f>IFERROR(VLOOKUP(DATA!#REF!,DATA!#REF!,1,FALSE),"")</f>
        <v/>
      </c>
      <c r="D1534" s="16" t="str">
        <f>IFERROR(VLOOKUP(C1534,DATA!#REF!,2,FALSE),"")</f>
        <v/>
      </c>
    </row>
    <row r="1535" spans="2:4" s="230" customFormat="1">
      <c r="B1535" s="15" t="str">
        <f t="shared" si="55"/>
        <v/>
      </c>
      <c r="C1535" s="16" t="str">
        <f>IFERROR(VLOOKUP(DATA!#REF!,DATA!#REF!,1,FALSE),"")</f>
        <v/>
      </c>
      <c r="D1535" s="16" t="str">
        <f>IFERROR(VLOOKUP(C1535,DATA!#REF!,2,FALSE),"")</f>
        <v/>
      </c>
    </row>
    <row r="1536" spans="2:4" s="230" customFormat="1">
      <c r="B1536" s="15" t="str">
        <f t="shared" si="55"/>
        <v/>
      </c>
      <c r="C1536" s="16" t="str">
        <f>IFERROR(VLOOKUP(DATA!#REF!,DATA!#REF!,1,FALSE),"")</f>
        <v/>
      </c>
      <c r="D1536" s="16" t="str">
        <f>IFERROR(VLOOKUP(C1536,DATA!#REF!,2,FALSE),"")</f>
        <v/>
      </c>
    </row>
    <row r="1537" spans="2:4" s="230" customFormat="1">
      <c r="B1537" s="15" t="str">
        <f t="shared" si="55"/>
        <v/>
      </c>
      <c r="C1537" s="16" t="str">
        <f>IFERROR(VLOOKUP(DATA!#REF!,DATA!#REF!,1,FALSE),"")</f>
        <v/>
      </c>
      <c r="D1537" s="16" t="str">
        <f>IFERROR(VLOOKUP(C1537,DATA!#REF!,2,FALSE),"")</f>
        <v/>
      </c>
    </row>
    <row r="1538" spans="2:4" s="230" customFormat="1">
      <c r="B1538" s="15" t="str">
        <f t="shared" si="55"/>
        <v/>
      </c>
      <c r="C1538" s="16" t="str">
        <f>IFERROR(VLOOKUP(DATA!#REF!,DATA!#REF!,1,FALSE),"")</f>
        <v/>
      </c>
      <c r="D1538" s="16" t="str">
        <f>IFERROR(VLOOKUP(C1538,DATA!#REF!,2,FALSE),"")</f>
        <v/>
      </c>
    </row>
    <row r="1539" spans="2:4" s="230" customFormat="1">
      <c r="B1539" s="15" t="str">
        <f t="shared" si="55"/>
        <v/>
      </c>
      <c r="C1539" s="16" t="str">
        <f>IFERROR(VLOOKUP(DATA!#REF!,DATA!#REF!,1,FALSE),"")</f>
        <v/>
      </c>
      <c r="D1539" s="16" t="str">
        <f>IFERROR(VLOOKUP(C1539,DATA!#REF!,2,FALSE),"")</f>
        <v/>
      </c>
    </row>
    <row r="1540" spans="2:4" s="230" customFormat="1">
      <c r="B1540" s="15" t="str">
        <f t="shared" si="55"/>
        <v/>
      </c>
      <c r="C1540" s="16" t="str">
        <f>IFERROR(VLOOKUP(DATA!#REF!,DATA!#REF!,1,FALSE),"")</f>
        <v/>
      </c>
      <c r="D1540" s="16" t="str">
        <f>IFERROR(VLOOKUP(C1540,DATA!#REF!,2,FALSE),"")</f>
        <v/>
      </c>
    </row>
    <row r="1541" spans="2:4" s="230" customFormat="1">
      <c r="B1541" s="15" t="str">
        <f t="shared" si="55"/>
        <v/>
      </c>
      <c r="C1541" s="16" t="str">
        <f>IFERROR(VLOOKUP(DATA!#REF!,DATA!#REF!,1,FALSE),"")</f>
        <v/>
      </c>
      <c r="D1541" s="16" t="str">
        <f>IFERROR(VLOOKUP(C1541,DATA!#REF!,2,FALSE),"")</f>
        <v/>
      </c>
    </row>
    <row r="1542" spans="2:4" s="230" customFormat="1">
      <c r="B1542" s="15" t="str">
        <f t="shared" ref="B1542:B1605" si="56">+IF(C1542="","",ROW()-5)</f>
        <v/>
      </c>
      <c r="C1542" s="16" t="str">
        <f>IFERROR(VLOOKUP(DATA!#REF!,DATA!#REF!,1,FALSE),"")</f>
        <v/>
      </c>
      <c r="D1542" s="16" t="str">
        <f>IFERROR(VLOOKUP(C1542,DATA!#REF!,2,FALSE),"")</f>
        <v/>
      </c>
    </row>
    <row r="1543" spans="2:4" s="230" customFormat="1">
      <c r="B1543" s="15" t="str">
        <f t="shared" si="56"/>
        <v/>
      </c>
      <c r="C1543" s="16" t="str">
        <f>IFERROR(VLOOKUP(DATA!#REF!,DATA!#REF!,1,FALSE),"")</f>
        <v/>
      </c>
      <c r="D1543" s="16" t="str">
        <f>IFERROR(VLOOKUP(C1543,DATA!#REF!,2,FALSE),"")</f>
        <v/>
      </c>
    </row>
    <row r="1544" spans="2:4" s="230" customFormat="1">
      <c r="B1544" s="15" t="str">
        <f t="shared" si="56"/>
        <v/>
      </c>
      <c r="C1544" s="16" t="str">
        <f>IFERROR(VLOOKUP(DATA!#REF!,DATA!#REF!,1,FALSE),"")</f>
        <v/>
      </c>
      <c r="D1544" s="16" t="str">
        <f>IFERROR(VLOOKUP(C1544,DATA!#REF!,2,FALSE),"")</f>
        <v/>
      </c>
    </row>
    <row r="1545" spans="2:4" s="230" customFormat="1">
      <c r="B1545" s="15" t="str">
        <f t="shared" si="56"/>
        <v/>
      </c>
      <c r="C1545" s="16" t="str">
        <f>IFERROR(VLOOKUP(DATA!#REF!,DATA!#REF!,1,FALSE),"")</f>
        <v/>
      </c>
      <c r="D1545" s="16" t="str">
        <f>IFERROR(VLOOKUP(C1545,DATA!#REF!,2,FALSE),"")</f>
        <v/>
      </c>
    </row>
    <row r="1546" spans="2:4" s="230" customFormat="1">
      <c r="B1546" s="15" t="str">
        <f t="shared" si="56"/>
        <v/>
      </c>
      <c r="C1546" s="16" t="str">
        <f>IFERROR(VLOOKUP(DATA!#REF!,DATA!#REF!,1,FALSE),"")</f>
        <v/>
      </c>
      <c r="D1546" s="16" t="str">
        <f>IFERROR(VLOOKUP(C1546,DATA!#REF!,2,FALSE),"")</f>
        <v/>
      </c>
    </row>
    <row r="1547" spans="2:4" s="230" customFormat="1">
      <c r="B1547" s="15" t="str">
        <f t="shared" si="56"/>
        <v/>
      </c>
      <c r="C1547" s="16" t="str">
        <f>IFERROR(VLOOKUP(DATA!#REF!,DATA!#REF!,1,FALSE),"")</f>
        <v/>
      </c>
      <c r="D1547" s="16" t="str">
        <f>IFERROR(VLOOKUP(C1547,DATA!#REF!,2,FALSE),"")</f>
        <v/>
      </c>
    </row>
    <row r="1548" spans="2:4" s="230" customFormat="1">
      <c r="B1548" s="15" t="str">
        <f t="shared" si="56"/>
        <v/>
      </c>
      <c r="C1548" s="16" t="str">
        <f>IFERROR(VLOOKUP(DATA!#REF!,DATA!#REF!,1,FALSE),"")</f>
        <v/>
      </c>
      <c r="D1548" s="16" t="str">
        <f>IFERROR(VLOOKUP(C1548,DATA!#REF!,2,FALSE),"")</f>
        <v/>
      </c>
    </row>
    <row r="1549" spans="2:4" s="230" customFormat="1">
      <c r="B1549" s="15" t="str">
        <f t="shared" si="56"/>
        <v/>
      </c>
      <c r="C1549" s="16" t="str">
        <f>IFERROR(VLOOKUP(DATA!#REF!,DATA!#REF!,1,FALSE),"")</f>
        <v/>
      </c>
      <c r="D1549" s="16" t="str">
        <f>IFERROR(VLOOKUP(C1549,DATA!#REF!,2,FALSE),"")</f>
        <v/>
      </c>
    </row>
    <row r="1550" spans="2:4" s="230" customFormat="1">
      <c r="B1550" s="15" t="str">
        <f t="shared" si="56"/>
        <v/>
      </c>
      <c r="C1550" s="16" t="str">
        <f>IFERROR(VLOOKUP(DATA!#REF!,DATA!#REF!,1,FALSE),"")</f>
        <v/>
      </c>
      <c r="D1550" s="16" t="str">
        <f>IFERROR(VLOOKUP(C1550,DATA!#REF!,2,FALSE),"")</f>
        <v/>
      </c>
    </row>
    <row r="1551" spans="2:4" s="230" customFormat="1">
      <c r="B1551" s="15" t="str">
        <f t="shared" si="56"/>
        <v/>
      </c>
      <c r="C1551" s="16" t="str">
        <f>IFERROR(VLOOKUP(DATA!#REF!,DATA!#REF!,1,FALSE),"")</f>
        <v/>
      </c>
      <c r="D1551" s="16" t="str">
        <f>IFERROR(VLOOKUP(C1551,DATA!#REF!,2,FALSE),"")</f>
        <v/>
      </c>
    </row>
    <row r="1552" spans="2:4" s="230" customFormat="1">
      <c r="B1552" s="15" t="str">
        <f t="shared" si="56"/>
        <v/>
      </c>
      <c r="C1552" s="16" t="str">
        <f>IFERROR(VLOOKUP(DATA!#REF!,DATA!#REF!,1,FALSE),"")</f>
        <v/>
      </c>
      <c r="D1552" s="16" t="str">
        <f>IFERROR(VLOOKUP(C1552,DATA!#REF!,2,FALSE),"")</f>
        <v/>
      </c>
    </row>
    <row r="1553" spans="2:4" s="230" customFormat="1">
      <c r="B1553" s="15" t="str">
        <f t="shared" si="56"/>
        <v/>
      </c>
      <c r="C1553" s="16" t="str">
        <f>IFERROR(VLOOKUP(DATA!#REF!,DATA!#REF!,1,FALSE),"")</f>
        <v/>
      </c>
      <c r="D1553" s="16" t="str">
        <f>IFERROR(VLOOKUP(C1553,DATA!#REF!,2,FALSE),"")</f>
        <v/>
      </c>
    </row>
    <row r="1554" spans="2:4" s="230" customFormat="1">
      <c r="B1554" s="15" t="str">
        <f t="shared" si="56"/>
        <v/>
      </c>
      <c r="C1554" s="16" t="str">
        <f>IFERROR(VLOOKUP(DATA!#REF!,DATA!#REF!,1,FALSE),"")</f>
        <v/>
      </c>
      <c r="D1554" s="16" t="str">
        <f>IFERROR(VLOOKUP(C1554,DATA!#REF!,2,FALSE),"")</f>
        <v/>
      </c>
    </row>
    <row r="1555" spans="2:4" s="230" customFormat="1">
      <c r="B1555" s="15" t="str">
        <f t="shared" si="56"/>
        <v/>
      </c>
      <c r="C1555" s="16" t="str">
        <f>IFERROR(VLOOKUP(DATA!#REF!,DATA!#REF!,1,FALSE),"")</f>
        <v/>
      </c>
      <c r="D1555" s="16" t="str">
        <f>IFERROR(VLOOKUP(C1555,DATA!#REF!,2,FALSE),"")</f>
        <v/>
      </c>
    </row>
    <row r="1556" spans="2:4" s="230" customFormat="1">
      <c r="B1556" s="15" t="str">
        <f t="shared" si="56"/>
        <v/>
      </c>
      <c r="C1556" s="16" t="str">
        <f>IFERROR(VLOOKUP(DATA!#REF!,DATA!#REF!,1,FALSE),"")</f>
        <v/>
      </c>
      <c r="D1556" s="16" t="str">
        <f>IFERROR(VLOOKUP(C1556,DATA!#REF!,2,FALSE),"")</f>
        <v/>
      </c>
    </row>
    <row r="1557" spans="2:4" s="230" customFormat="1">
      <c r="B1557" s="15" t="str">
        <f t="shared" si="56"/>
        <v/>
      </c>
      <c r="C1557" s="16" t="str">
        <f>IFERROR(VLOOKUP(DATA!#REF!,DATA!#REF!,1,FALSE),"")</f>
        <v/>
      </c>
      <c r="D1557" s="16" t="str">
        <f>IFERROR(VLOOKUP(C1557,DATA!#REF!,2,FALSE),"")</f>
        <v/>
      </c>
    </row>
    <row r="1558" spans="2:4" s="230" customFormat="1">
      <c r="B1558" s="15" t="str">
        <f t="shared" si="56"/>
        <v/>
      </c>
      <c r="C1558" s="16" t="str">
        <f>IFERROR(VLOOKUP(DATA!#REF!,DATA!#REF!,1,FALSE),"")</f>
        <v/>
      </c>
      <c r="D1558" s="16" t="str">
        <f>IFERROR(VLOOKUP(C1558,DATA!#REF!,2,FALSE),"")</f>
        <v/>
      </c>
    </row>
    <row r="1559" spans="2:4" s="230" customFormat="1">
      <c r="B1559" s="15" t="str">
        <f t="shared" si="56"/>
        <v/>
      </c>
      <c r="C1559" s="16" t="str">
        <f>IFERROR(VLOOKUP(DATA!#REF!,DATA!#REF!,1,FALSE),"")</f>
        <v/>
      </c>
      <c r="D1559" s="16" t="str">
        <f>IFERROR(VLOOKUP(C1559,DATA!#REF!,2,FALSE),"")</f>
        <v/>
      </c>
    </row>
    <row r="1560" spans="2:4" s="230" customFormat="1">
      <c r="B1560" s="15" t="str">
        <f t="shared" si="56"/>
        <v/>
      </c>
      <c r="C1560" s="16" t="str">
        <f>IFERROR(VLOOKUP(DATA!#REF!,DATA!#REF!,1,FALSE),"")</f>
        <v/>
      </c>
      <c r="D1560" s="16" t="str">
        <f>IFERROR(VLOOKUP(C1560,DATA!#REF!,2,FALSE),"")</f>
        <v/>
      </c>
    </row>
    <row r="1561" spans="2:4" s="230" customFormat="1">
      <c r="B1561" s="15" t="str">
        <f t="shared" si="56"/>
        <v/>
      </c>
      <c r="C1561" s="16" t="str">
        <f>IFERROR(VLOOKUP(DATA!#REF!,DATA!#REF!,1,FALSE),"")</f>
        <v/>
      </c>
      <c r="D1561" s="16" t="str">
        <f>IFERROR(VLOOKUP(C1561,DATA!#REF!,2,FALSE),"")</f>
        <v/>
      </c>
    </row>
    <row r="1562" spans="2:4" s="230" customFormat="1">
      <c r="B1562" s="15" t="str">
        <f t="shared" si="56"/>
        <v/>
      </c>
      <c r="C1562" s="16" t="str">
        <f>IFERROR(VLOOKUP(DATA!#REF!,DATA!#REF!,1,FALSE),"")</f>
        <v/>
      </c>
      <c r="D1562" s="16" t="str">
        <f>IFERROR(VLOOKUP(C1562,DATA!#REF!,2,FALSE),"")</f>
        <v/>
      </c>
    </row>
    <row r="1563" spans="2:4" s="230" customFormat="1">
      <c r="B1563" s="15" t="str">
        <f t="shared" si="56"/>
        <v/>
      </c>
      <c r="C1563" s="16" t="str">
        <f>IFERROR(VLOOKUP(DATA!#REF!,DATA!#REF!,1,FALSE),"")</f>
        <v/>
      </c>
      <c r="D1563" s="16" t="str">
        <f>IFERROR(VLOOKUP(C1563,DATA!#REF!,2,FALSE),"")</f>
        <v/>
      </c>
    </row>
    <row r="1564" spans="2:4" s="230" customFormat="1">
      <c r="B1564" s="15" t="str">
        <f t="shared" si="56"/>
        <v/>
      </c>
      <c r="C1564" s="16" t="str">
        <f>IFERROR(VLOOKUP(DATA!#REF!,DATA!#REF!,1,FALSE),"")</f>
        <v/>
      </c>
      <c r="D1564" s="16" t="str">
        <f>IFERROR(VLOOKUP(C1564,DATA!#REF!,2,FALSE),"")</f>
        <v/>
      </c>
    </row>
    <row r="1565" spans="2:4" s="230" customFormat="1">
      <c r="B1565" s="15" t="str">
        <f t="shared" si="56"/>
        <v/>
      </c>
      <c r="C1565" s="16" t="str">
        <f>IFERROR(VLOOKUP(DATA!#REF!,DATA!#REF!,1,FALSE),"")</f>
        <v/>
      </c>
      <c r="D1565" s="16" t="str">
        <f>IFERROR(VLOOKUP(C1565,DATA!#REF!,2,FALSE),"")</f>
        <v/>
      </c>
    </row>
    <row r="1566" spans="2:4" s="230" customFormat="1">
      <c r="B1566" s="15" t="str">
        <f t="shared" si="56"/>
        <v/>
      </c>
      <c r="C1566" s="16" t="str">
        <f>IFERROR(VLOOKUP(DATA!#REF!,DATA!#REF!,1,FALSE),"")</f>
        <v/>
      </c>
      <c r="D1566" s="16" t="str">
        <f>IFERROR(VLOOKUP(C1566,DATA!#REF!,2,FALSE),"")</f>
        <v/>
      </c>
    </row>
    <row r="1567" spans="2:4" s="230" customFormat="1">
      <c r="B1567" s="15" t="str">
        <f t="shared" si="56"/>
        <v/>
      </c>
      <c r="C1567" s="16" t="str">
        <f>IFERROR(VLOOKUP(DATA!#REF!,DATA!#REF!,1,FALSE),"")</f>
        <v/>
      </c>
      <c r="D1567" s="16" t="str">
        <f>IFERROR(VLOOKUP(C1567,DATA!#REF!,2,FALSE),"")</f>
        <v/>
      </c>
    </row>
    <row r="1568" spans="2:4" s="230" customFormat="1">
      <c r="B1568" s="15" t="str">
        <f t="shared" si="56"/>
        <v/>
      </c>
      <c r="C1568" s="16" t="str">
        <f>IFERROR(VLOOKUP(DATA!#REF!,DATA!#REF!,1,FALSE),"")</f>
        <v/>
      </c>
      <c r="D1568" s="16" t="str">
        <f>IFERROR(VLOOKUP(C1568,DATA!#REF!,2,FALSE),"")</f>
        <v/>
      </c>
    </row>
    <row r="1569" spans="2:4" s="230" customFormat="1">
      <c r="B1569" s="15" t="str">
        <f t="shared" si="56"/>
        <v/>
      </c>
      <c r="C1569" s="16" t="str">
        <f>IFERROR(VLOOKUP(DATA!#REF!,DATA!#REF!,1,FALSE),"")</f>
        <v/>
      </c>
      <c r="D1569" s="16" t="str">
        <f>IFERROR(VLOOKUP(C1569,DATA!#REF!,2,FALSE),"")</f>
        <v/>
      </c>
    </row>
    <row r="1570" spans="2:4" s="230" customFormat="1">
      <c r="B1570" s="15" t="str">
        <f t="shared" si="56"/>
        <v/>
      </c>
      <c r="C1570" s="16" t="str">
        <f>IFERROR(VLOOKUP(DATA!#REF!,DATA!#REF!,1,FALSE),"")</f>
        <v/>
      </c>
      <c r="D1570" s="16" t="str">
        <f>IFERROR(VLOOKUP(C1570,DATA!#REF!,2,FALSE),"")</f>
        <v/>
      </c>
    </row>
    <row r="1571" spans="2:4" s="230" customFormat="1">
      <c r="B1571" s="15" t="str">
        <f t="shared" si="56"/>
        <v/>
      </c>
      <c r="C1571" s="16" t="str">
        <f>IFERROR(VLOOKUP(DATA!#REF!,DATA!#REF!,1,FALSE),"")</f>
        <v/>
      </c>
      <c r="D1571" s="16" t="str">
        <f>IFERROR(VLOOKUP(C1571,DATA!#REF!,2,FALSE),"")</f>
        <v/>
      </c>
    </row>
    <row r="1572" spans="2:4" s="230" customFormat="1">
      <c r="B1572" s="15" t="str">
        <f t="shared" si="56"/>
        <v/>
      </c>
      <c r="C1572" s="16" t="str">
        <f>IFERROR(VLOOKUP(DATA!#REF!,DATA!#REF!,1,FALSE),"")</f>
        <v/>
      </c>
      <c r="D1572" s="16" t="str">
        <f>IFERROR(VLOOKUP(C1572,DATA!#REF!,2,FALSE),"")</f>
        <v/>
      </c>
    </row>
    <row r="1573" spans="2:4" s="230" customFormat="1">
      <c r="B1573" s="15" t="str">
        <f t="shared" si="56"/>
        <v/>
      </c>
      <c r="C1573" s="16" t="str">
        <f>IFERROR(VLOOKUP(DATA!#REF!,DATA!#REF!,1,FALSE),"")</f>
        <v/>
      </c>
      <c r="D1573" s="16" t="str">
        <f>IFERROR(VLOOKUP(C1573,DATA!#REF!,2,FALSE),"")</f>
        <v/>
      </c>
    </row>
    <row r="1574" spans="2:4" s="230" customFormat="1">
      <c r="B1574" s="15" t="str">
        <f t="shared" si="56"/>
        <v/>
      </c>
      <c r="C1574" s="16" t="str">
        <f>IFERROR(VLOOKUP(DATA!#REF!,DATA!#REF!,1,FALSE),"")</f>
        <v/>
      </c>
      <c r="D1574" s="16" t="str">
        <f>IFERROR(VLOOKUP(C1574,DATA!#REF!,2,FALSE),"")</f>
        <v/>
      </c>
    </row>
    <row r="1575" spans="2:4" s="230" customFormat="1">
      <c r="B1575" s="15" t="str">
        <f t="shared" si="56"/>
        <v/>
      </c>
      <c r="C1575" s="16" t="str">
        <f>IFERROR(VLOOKUP(DATA!#REF!,DATA!#REF!,1,FALSE),"")</f>
        <v/>
      </c>
      <c r="D1575" s="16" t="str">
        <f>IFERROR(VLOOKUP(C1575,DATA!#REF!,2,FALSE),"")</f>
        <v/>
      </c>
    </row>
    <row r="1576" spans="2:4" s="230" customFormat="1">
      <c r="B1576" s="15" t="str">
        <f t="shared" si="56"/>
        <v/>
      </c>
      <c r="C1576" s="16" t="str">
        <f>IFERROR(VLOOKUP(DATA!#REF!,DATA!#REF!,1,FALSE),"")</f>
        <v/>
      </c>
      <c r="D1576" s="16" t="str">
        <f>IFERROR(VLOOKUP(C1576,DATA!#REF!,2,FALSE),"")</f>
        <v/>
      </c>
    </row>
    <row r="1577" spans="2:4" s="230" customFormat="1">
      <c r="B1577" s="15" t="str">
        <f t="shared" si="56"/>
        <v/>
      </c>
      <c r="C1577" s="16" t="str">
        <f>IFERROR(VLOOKUP(DATA!#REF!,DATA!#REF!,1,FALSE),"")</f>
        <v/>
      </c>
      <c r="D1577" s="16" t="str">
        <f>IFERROR(VLOOKUP(C1577,DATA!#REF!,2,FALSE),"")</f>
        <v/>
      </c>
    </row>
    <row r="1578" spans="2:4" s="230" customFormat="1">
      <c r="B1578" s="15" t="str">
        <f t="shared" si="56"/>
        <v/>
      </c>
      <c r="C1578" s="16" t="str">
        <f>IFERROR(VLOOKUP(DATA!#REF!,DATA!#REF!,1,FALSE),"")</f>
        <v/>
      </c>
      <c r="D1578" s="16" t="str">
        <f>IFERROR(VLOOKUP(C1578,DATA!#REF!,2,FALSE),"")</f>
        <v/>
      </c>
    </row>
    <row r="1579" spans="2:4" s="230" customFormat="1">
      <c r="B1579" s="15" t="str">
        <f t="shared" si="56"/>
        <v/>
      </c>
      <c r="C1579" s="16" t="str">
        <f>IFERROR(VLOOKUP(DATA!#REF!,DATA!#REF!,1,FALSE),"")</f>
        <v/>
      </c>
      <c r="D1579" s="16" t="str">
        <f>IFERROR(VLOOKUP(C1579,DATA!#REF!,2,FALSE),"")</f>
        <v/>
      </c>
    </row>
    <row r="1580" spans="2:4" s="230" customFormat="1">
      <c r="B1580" s="15" t="str">
        <f t="shared" si="56"/>
        <v/>
      </c>
      <c r="C1580" s="16" t="str">
        <f>IFERROR(VLOOKUP(DATA!#REF!,DATA!#REF!,1,FALSE),"")</f>
        <v/>
      </c>
      <c r="D1580" s="16" t="str">
        <f>IFERROR(VLOOKUP(C1580,DATA!#REF!,2,FALSE),"")</f>
        <v/>
      </c>
    </row>
    <row r="1581" spans="2:4" s="230" customFormat="1">
      <c r="B1581" s="15" t="str">
        <f t="shared" si="56"/>
        <v/>
      </c>
      <c r="C1581" s="16" t="str">
        <f>IFERROR(VLOOKUP(DATA!#REF!,DATA!#REF!,1,FALSE),"")</f>
        <v/>
      </c>
      <c r="D1581" s="16" t="str">
        <f>IFERROR(VLOOKUP(C1581,DATA!#REF!,2,FALSE),"")</f>
        <v/>
      </c>
    </row>
    <row r="1582" spans="2:4" s="230" customFormat="1">
      <c r="B1582" s="15" t="str">
        <f t="shared" si="56"/>
        <v/>
      </c>
      <c r="C1582" s="16" t="str">
        <f>IFERROR(VLOOKUP(DATA!#REF!,DATA!#REF!,1,FALSE),"")</f>
        <v/>
      </c>
      <c r="D1582" s="16" t="str">
        <f>IFERROR(VLOOKUP(C1582,DATA!#REF!,2,FALSE),"")</f>
        <v/>
      </c>
    </row>
    <row r="1583" spans="2:4" s="230" customFormat="1">
      <c r="B1583" s="15" t="str">
        <f t="shared" si="56"/>
        <v/>
      </c>
      <c r="C1583" s="16" t="str">
        <f>IFERROR(VLOOKUP(DATA!#REF!,DATA!#REF!,1,FALSE),"")</f>
        <v/>
      </c>
      <c r="D1583" s="16" t="str">
        <f>IFERROR(VLOOKUP(C1583,DATA!#REF!,2,FALSE),"")</f>
        <v/>
      </c>
    </row>
    <row r="1584" spans="2:4" s="230" customFormat="1">
      <c r="B1584" s="15" t="str">
        <f t="shared" si="56"/>
        <v/>
      </c>
      <c r="C1584" s="16" t="str">
        <f>IFERROR(VLOOKUP(DATA!#REF!,DATA!#REF!,1,FALSE),"")</f>
        <v/>
      </c>
      <c r="D1584" s="16" t="str">
        <f>IFERROR(VLOOKUP(C1584,DATA!#REF!,2,FALSE),"")</f>
        <v/>
      </c>
    </row>
    <row r="1585" spans="2:4" s="230" customFormat="1">
      <c r="B1585" s="15" t="str">
        <f t="shared" si="56"/>
        <v/>
      </c>
      <c r="C1585" s="16" t="str">
        <f>IFERROR(VLOOKUP(DATA!#REF!,DATA!#REF!,1,FALSE),"")</f>
        <v/>
      </c>
      <c r="D1585" s="16" t="str">
        <f>IFERROR(VLOOKUP(C1585,DATA!#REF!,2,FALSE),"")</f>
        <v/>
      </c>
    </row>
    <row r="1586" spans="2:4" s="230" customFormat="1">
      <c r="B1586" s="15" t="str">
        <f t="shared" si="56"/>
        <v/>
      </c>
      <c r="C1586" s="16" t="str">
        <f>IFERROR(VLOOKUP(DATA!#REF!,DATA!#REF!,1,FALSE),"")</f>
        <v/>
      </c>
      <c r="D1586" s="16" t="str">
        <f>IFERROR(VLOOKUP(C1586,DATA!#REF!,2,FALSE),"")</f>
        <v/>
      </c>
    </row>
    <row r="1587" spans="2:4" s="230" customFormat="1">
      <c r="B1587" s="15" t="str">
        <f t="shared" si="56"/>
        <v/>
      </c>
      <c r="C1587" s="16" t="str">
        <f>IFERROR(VLOOKUP(DATA!#REF!,DATA!#REF!,1,FALSE),"")</f>
        <v/>
      </c>
      <c r="D1587" s="16" t="str">
        <f>IFERROR(VLOOKUP(C1587,DATA!#REF!,2,FALSE),"")</f>
        <v/>
      </c>
    </row>
    <row r="1588" spans="2:4" s="230" customFormat="1">
      <c r="B1588" s="15" t="str">
        <f t="shared" si="56"/>
        <v/>
      </c>
      <c r="C1588" s="16" t="str">
        <f>IFERROR(VLOOKUP(DATA!#REF!,DATA!#REF!,1,FALSE),"")</f>
        <v/>
      </c>
      <c r="D1588" s="16" t="str">
        <f>IFERROR(VLOOKUP(C1588,DATA!#REF!,2,FALSE),"")</f>
        <v/>
      </c>
    </row>
    <row r="1589" spans="2:4" s="230" customFormat="1">
      <c r="B1589" s="15" t="str">
        <f t="shared" si="56"/>
        <v/>
      </c>
      <c r="C1589" s="16" t="str">
        <f>IFERROR(VLOOKUP(DATA!#REF!,DATA!#REF!,1,FALSE),"")</f>
        <v/>
      </c>
      <c r="D1589" s="16" t="str">
        <f>IFERROR(VLOOKUP(C1589,DATA!#REF!,2,FALSE),"")</f>
        <v/>
      </c>
    </row>
    <row r="1590" spans="2:4" s="230" customFormat="1">
      <c r="B1590" s="15" t="str">
        <f t="shared" si="56"/>
        <v/>
      </c>
      <c r="C1590" s="16" t="str">
        <f>IFERROR(VLOOKUP(DATA!#REF!,DATA!#REF!,1,FALSE),"")</f>
        <v/>
      </c>
      <c r="D1590" s="16" t="str">
        <f>IFERROR(VLOOKUP(C1590,DATA!#REF!,2,FALSE),"")</f>
        <v/>
      </c>
    </row>
    <row r="1591" spans="2:4" s="230" customFormat="1">
      <c r="B1591" s="15" t="str">
        <f t="shared" si="56"/>
        <v/>
      </c>
      <c r="C1591" s="16" t="str">
        <f>IFERROR(VLOOKUP(DATA!#REF!,DATA!#REF!,1,FALSE),"")</f>
        <v/>
      </c>
      <c r="D1591" s="16" t="str">
        <f>IFERROR(VLOOKUP(C1591,DATA!#REF!,2,FALSE),"")</f>
        <v/>
      </c>
    </row>
    <row r="1592" spans="2:4" s="230" customFormat="1">
      <c r="B1592" s="15" t="str">
        <f t="shared" si="56"/>
        <v/>
      </c>
      <c r="C1592" s="16" t="str">
        <f>IFERROR(VLOOKUP(DATA!#REF!,DATA!#REF!,1,FALSE),"")</f>
        <v/>
      </c>
      <c r="D1592" s="16" t="str">
        <f>IFERROR(VLOOKUP(C1592,DATA!#REF!,2,FALSE),"")</f>
        <v/>
      </c>
    </row>
    <row r="1593" spans="2:4" s="230" customFormat="1">
      <c r="B1593" s="15" t="str">
        <f t="shared" si="56"/>
        <v/>
      </c>
      <c r="C1593" s="16" t="str">
        <f>IFERROR(VLOOKUP(DATA!#REF!,DATA!#REF!,1,FALSE),"")</f>
        <v/>
      </c>
      <c r="D1593" s="16" t="str">
        <f>IFERROR(VLOOKUP(C1593,DATA!#REF!,2,FALSE),"")</f>
        <v/>
      </c>
    </row>
    <row r="1594" spans="2:4" s="230" customFormat="1">
      <c r="B1594" s="15" t="str">
        <f t="shared" si="56"/>
        <v/>
      </c>
      <c r="C1594" s="16" t="str">
        <f>IFERROR(VLOOKUP(DATA!#REF!,DATA!#REF!,1,FALSE),"")</f>
        <v/>
      </c>
      <c r="D1594" s="16" t="str">
        <f>IFERROR(VLOOKUP(C1594,DATA!#REF!,2,FALSE),"")</f>
        <v/>
      </c>
    </row>
    <row r="1595" spans="2:4" s="230" customFormat="1">
      <c r="B1595" s="15" t="str">
        <f t="shared" si="56"/>
        <v/>
      </c>
      <c r="C1595" s="16" t="str">
        <f>IFERROR(VLOOKUP(DATA!#REF!,DATA!#REF!,1,FALSE),"")</f>
        <v/>
      </c>
      <c r="D1595" s="16" t="str">
        <f>IFERROR(VLOOKUP(C1595,DATA!#REF!,2,FALSE),"")</f>
        <v/>
      </c>
    </row>
    <row r="1596" spans="2:4" s="230" customFormat="1">
      <c r="B1596" s="15" t="str">
        <f t="shared" si="56"/>
        <v/>
      </c>
      <c r="C1596" s="16" t="str">
        <f>IFERROR(VLOOKUP(DATA!#REF!,DATA!#REF!,1,FALSE),"")</f>
        <v/>
      </c>
      <c r="D1596" s="16" t="str">
        <f>IFERROR(VLOOKUP(C1596,DATA!#REF!,2,FALSE),"")</f>
        <v/>
      </c>
    </row>
    <row r="1597" spans="2:4" s="230" customFormat="1">
      <c r="B1597" s="15" t="str">
        <f t="shared" si="56"/>
        <v/>
      </c>
      <c r="C1597" s="16" t="str">
        <f>IFERROR(VLOOKUP(DATA!#REF!,DATA!#REF!,1,FALSE),"")</f>
        <v/>
      </c>
      <c r="D1597" s="16" t="str">
        <f>IFERROR(VLOOKUP(C1597,DATA!#REF!,2,FALSE),"")</f>
        <v/>
      </c>
    </row>
    <row r="1598" spans="2:4" s="230" customFormat="1">
      <c r="B1598" s="15" t="str">
        <f t="shared" si="56"/>
        <v/>
      </c>
      <c r="C1598" s="16" t="str">
        <f>IFERROR(VLOOKUP(DATA!#REF!,DATA!#REF!,1,FALSE),"")</f>
        <v/>
      </c>
      <c r="D1598" s="16" t="str">
        <f>IFERROR(VLOOKUP(C1598,DATA!#REF!,2,FALSE),"")</f>
        <v/>
      </c>
    </row>
    <row r="1599" spans="2:4" s="230" customFormat="1">
      <c r="B1599" s="15" t="str">
        <f t="shared" si="56"/>
        <v/>
      </c>
      <c r="C1599" s="16" t="str">
        <f>IFERROR(VLOOKUP(DATA!#REF!,DATA!#REF!,1,FALSE),"")</f>
        <v/>
      </c>
      <c r="D1599" s="16" t="str">
        <f>IFERROR(VLOOKUP(C1599,DATA!#REF!,2,FALSE),"")</f>
        <v/>
      </c>
    </row>
    <row r="1600" spans="2:4" s="230" customFormat="1">
      <c r="B1600" s="15" t="str">
        <f t="shared" si="56"/>
        <v/>
      </c>
      <c r="C1600" s="16" t="str">
        <f>IFERROR(VLOOKUP(DATA!#REF!,DATA!#REF!,1,FALSE),"")</f>
        <v/>
      </c>
      <c r="D1600" s="16" t="str">
        <f>IFERROR(VLOOKUP(C1600,DATA!#REF!,2,FALSE),"")</f>
        <v/>
      </c>
    </row>
    <row r="1601" spans="2:4" s="230" customFormat="1">
      <c r="B1601" s="15" t="str">
        <f t="shared" si="56"/>
        <v/>
      </c>
      <c r="C1601" s="16" t="str">
        <f>IFERROR(VLOOKUP(DATA!#REF!,DATA!#REF!,1,FALSE),"")</f>
        <v/>
      </c>
      <c r="D1601" s="16" t="str">
        <f>IFERROR(VLOOKUP(C1601,DATA!#REF!,2,FALSE),"")</f>
        <v/>
      </c>
    </row>
    <row r="1602" spans="2:4" s="230" customFormat="1">
      <c r="B1602" s="15" t="str">
        <f t="shared" si="56"/>
        <v/>
      </c>
      <c r="C1602" s="16" t="str">
        <f>IFERROR(VLOOKUP(DATA!#REF!,DATA!#REF!,1,FALSE),"")</f>
        <v/>
      </c>
      <c r="D1602" s="16" t="str">
        <f>IFERROR(VLOOKUP(C1602,DATA!#REF!,2,FALSE),"")</f>
        <v/>
      </c>
    </row>
    <row r="1603" spans="2:4" s="230" customFormat="1">
      <c r="B1603" s="15" t="str">
        <f t="shared" si="56"/>
        <v/>
      </c>
      <c r="C1603" s="16" t="str">
        <f>IFERROR(VLOOKUP(DATA!#REF!,DATA!#REF!,1,FALSE),"")</f>
        <v/>
      </c>
      <c r="D1603" s="16" t="str">
        <f>IFERROR(VLOOKUP(C1603,DATA!#REF!,2,FALSE),"")</f>
        <v/>
      </c>
    </row>
    <row r="1604" spans="2:4" s="230" customFormat="1">
      <c r="B1604" s="15" t="str">
        <f t="shared" si="56"/>
        <v/>
      </c>
      <c r="C1604" s="16" t="str">
        <f>IFERROR(VLOOKUP(DATA!#REF!,DATA!#REF!,1,FALSE),"")</f>
        <v/>
      </c>
      <c r="D1604" s="16" t="str">
        <f>IFERROR(VLOOKUP(C1604,DATA!#REF!,2,FALSE),"")</f>
        <v/>
      </c>
    </row>
    <row r="1605" spans="2:4" s="230" customFormat="1">
      <c r="B1605" s="15" t="str">
        <f t="shared" si="56"/>
        <v/>
      </c>
      <c r="C1605" s="16" t="str">
        <f>IFERROR(VLOOKUP(DATA!#REF!,DATA!#REF!,1,FALSE),"")</f>
        <v/>
      </c>
      <c r="D1605" s="16" t="str">
        <f>IFERROR(VLOOKUP(C1605,DATA!#REF!,2,FALSE),"")</f>
        <v/>
      </c>
    </row>
    <row r="1606" spans="2:4" s="230" customFormat="1">
      <c r="B1606" s="15" t="str">
        <f t="shared" ref="B1606:B1669" si="57">+IF(C1606="","",ROW()-5)</f>
        <v/>
      </c>
      <c r="C1606" s="16" t="str">
        <f>IFERROR(VLOOKUP(DATA!#REF!,DATA!#REF!,1,FALSE),"")</f>
        <v/>
      </c>
      <c r="D1606" s="16" t="str">
        <f>IFERROR(VLOOKUP(C1606,DATA!#REF!,2,FALSE),"")</f>
        <v/>
      </c>
    </row>
    <row r="1607" spans="2:4" s="230" customFormat="1">
      <c r="B1607" s="15" t="str">
        <f t="shared" si="57"/>
        <v/>
      </c>
      <c r="C1607" s="16" t="str">
        <f>IFERROR(VLOOKUP(DATA!#REF!,DATA!#REF!,1,FALSE),"")</f>
        <v/>
      </c>
      <c r="D1607" s="16" t="str">
        <f>IFERROR(VLOOKUP(C1607,DATA!#REF!,2,FALSE),"")</f>
        <v/>
      </c>
    </row>
    <row r="1608" spans="2:4" s="230" customFormat="1">
      <c r="B1608" s="15" t="str">
        <f t="shared" si="57"/>
        <v/>
      </c>
      <c r="C1608" s="16" t="str">
        <f>IFERROR(VLOOKUP(DATA!#REF!,DATA!#REF!,1,FALSE),"")</f>
        <v/>
      </c>
      <c r="D1608" s="16" t="str">
        <f>IFERROR(VLOOKUP(C1608,DATA!#REF!,2,FALSE),"")</f>
        <v/>
      </c>
    </row>
    <row r="1609" spans="2:4" s="230" customFormat="1">
      <c r="B1609" s="15" t="str">
        <f t="shared" si="57"/>
        <v/>
      </c>
      <c r="C1609" s="16" t="str">
        <f>IFERROR(VLOOKUP(DATA!#REF!,DATA!#REF!,1,FALSE),"")</f>
        <v/>
      </c>
      <c r="D1609" s="16" t="str">
        <f>IFERROR(VLOOKUP(C1609,DATA!#REF!,2,FALSE),"")</f>
        <v/>
      </c>
    </row>
    <row r="1610" spans="2:4" s="230" customFormat="1">
      <c r="B1610" s="15" t="str">
        <f t="shared" si="57"/>
        <v/>
      </c>
      <c r="C1610" s="16" t="str">
        <f>IFERROR(VLOOKUP(DATA!#REF!,DATA!#REF!,1,FALSE),"")</f>
        <v/>
      </c>
      <c r="D1610" s="16" t="str">
        <f>IFERROR(VLOOKUP(C1610,DATA!#REF!,2,FALSE),"")</f>
        <v/>
      </c>
    </row>
    <row r="1611" spans="2:4" s="230" customFormat="1">
      <c r="B1611" s="15" t="str">
        <f t="shared" si="57"/>
        <v/>
      </c>
      <c r="C1611" s="16" t="str">
        <f>IFERROR(VLOOKUP(DATA!#REF!,DATA!#REF!,1,FALSE),"")</f>
        <v/>
      </c>
      <c r="D1611" s="16" t="str">
        <f>IFERROR(VLOOKUP(C1611,DATA!#REF!,2,FALSE),"")</f>
        <v/>
      </c>
    </row>
    <row r="1612" spans="2:4" s="230" customFormat="1">
      <c r="B1612" s="15" t="str">
        <f t="shared" si="57"/>
        <v/>
      </c>
      <c r="C1612" s="16" t="str">
        <f>IFERROR(VLOOKUP(DATA!#REF!,DATA!#REF!,1,FALSE),"")</f>
        <v/>
      </c>
      <c r="D1612" s="16" t="str">
        <f>IFERROR(VLOOKUP(C1612,DATA!#REF!,2,FALSE),"")</f>
        <v/>
      </c>
    </row>
    <row r="1613" spans="2:4" s="230" customFormat="1">
      <c r="B1613" s="15" t="str">
        <f t="shared" si="57"/>
        <v/>
      </c>
      <c r="C1613" s="16" t="str">
        <f>IFERROR(VLOOKUP(DATA!#REF!,DATA!#REF!,1,FALSE),"")</f>
        <v/>
      </c>
      <c r="D1613" s="16" t="str">
        <f>IFERROR(VLOOKUP(C1613,DATA!#REF!,2,FALSE),"")</f>
        <v/>
      </c>
    </row>
    <row r="1614" spans="2:4" s="230" customFormat="1">
      <c r="B1614" s="15" t="str">
        <f t="shared" si="57"/>
        <v/>
      </c>
      <c r="C1614" s="16" t="str">
        <f>IFERROR(VLOOKUP(DATA!#REF!,DATA!#REF!,1,FALSE),"")</f>
        <v/>
      </c>
      <c r="D1614" s="16" t="str">
        <f>IFERROR(VLOOKUP(C1614,DATA!#REF!,2,FALSE),"")</f>
        <v/>
      </c>
    </row>
    <row r="1615" spans="2:4" s="230" customFormat="1">
      <c r="B1615" s="15" t="str">
        <f t="shared" si="57"/>
        <v/>
      </c>
      <c r="C1615" s="16" t="str">
        <f>IFERROR(VLOOKUP(DATA!#REF!,DATA!#REF!,1,FALSE),"")</f>
        <v/>
      </c>
      <c r="D1615" s="16" t="str">
        <f>IFERROR(VLOOKUP(C1615,DATA!#REF!,2,FALSE),"")</f>
        <v/>
      </c>
    </row>
    <row r="1616" spans="2:4" s="230" customFormat="1">
      <c r="B1616" s="15" t="str">
        <f t="shared" si="57"/>
        <v/>
      </c>
      <c r="C1616" s="16" t="str">
        <f>IFERROR(VLOOKUP(DATA!#REF!,DATA!#REF!,1,FALSE),"")</f>
        <v/>
      </c>
      <c r="D1616" s="16" t="str">
        <f>IFERROR(VLOOKUP(C1616,DATA!#REF!,2,FALSE),"")</f>
        <v/>
      </c>
    </row>
    <row r="1617" spans="2:4" s="230" customFormat="1">
      <c r="B1617" s="15" t="str">
        <f t="shared" si="57"/>
        <v/>
      </c>
      <c r="C1617" s="16" t="str">
        <f>IFERROR(VLOOKUP(DATA!#REF!,DATA!#REF!,1,FALSE),"")</f>
        <v/>
      </c>
      <c r="D1617" s="16" t="str">
        <f>IFERROR(VLOOKUP(C1617,DATA!#REF!,2,FALSE),"")</f>
        <v/>
      </c>
    </row>
    <row r="1618" spans="2:4" s="230" customFormat="1">
      <c r="B1618" s="15" t="str">
        <f t="shared" si="57"/>
        <v/>
      </c>
      <c r="C1618" s="16" t="str">
        <f>IFERROR(VLOOKUP(DATA!#REF!,DATA!#REF!,1,FALSE),"")</f>
        <v/>
      </c>
      <c r="D1618" s="16" t="str">
        <f>IFERROR(VLOOKUP(C1618,DATA!#REF!,2,FALSE),"")</f>
        <v/>
      </c>
    </row>
    <row r="1619" spans="2:4" s="230" customFormat="1">
      <c r="B1619" s="15" t="str">
        <f t="shared" si="57"/>
        <v/>
      </c>
      <c r="C1619" s="16" t="str">
        <f>IFERROR(VLOOKUP(DATA!#REF!,DATA!#REF!,1,FALSE),"")</f>
        <v/>
      </c>
      <c r="D1619" s="16" t="str">
        <f>IFERROR(VLOOKUP(C1619,DATA!#REF!,2,FALSE),"")</f>
        <v/>
      </c>
    </row>
    <row r="1620" spans="2:4" s="230" customFormat="1">
      <c r="B1620" s="15" t="str">
        <f t="shared" si="57"/>
        <v/>
      </c>
      <c r="C1620" s="16" t="str">
        <f>IFERROR(VLOOKUP(DATA!#REF!,DATA!#REF!,1,FALSE),"")</f>
        <v/>
      </c>
      <c r="D1620" s="16" t="str">
        <f>IFERROR(VLOOKUP(C1620,DATA!#REF!,2,FALSE),"")</f>
        <v/>
      </c>
    </row>
    <row r="1621" spans="2:4" s="230" customFormat="1">
      <c r="B1621" s="15" t="str">
        <f t="shared" si="57"/>
        <v/>
      </c>
      <c r="C1621" s="16" t="str">
        <f>IFERROR(VLOOKUP(DATA!#REF!,DATA!#REF!,1,FALSE),"")</f>
        <v/>
      </c>
      <c r="D1621" s="16" t="str">
        <f>IFERROR(VLOOKUP(C1621,DATA!#REF!,2,FALSE),"")</f>
        <v/>
      </c>
    </row>
    <row r="1622" spans="2:4" s="230" customFormat="1">
      <c r="B1622" s="15" t="str">
        <f t="shared" si="57"/>
        <v/>
      </c>
      <c r="C1622" s="16" t="str">
        <f>IFERROR(VLOOKUP(DATA!#REF!,DATA!#REF!,1,FALSE),"")</f>
        <v/>
      </c>
      <c r="D1622" s="16" t="str">
        <f>IFERROR(VLOOKUP(C1622,DATA!#REF!,2,FALSE),"")</f>
        <v/>
      </c>
    </row>
    <row r="1623" spans="2:4" s="230" customFormat="1">
      <c r="B1623" s="15" t="str">
        <f t="shared" si="57"/>
        <v/>
      </c>
      <c r="C1623" s="16" t="str">
        <f>IFERROR(VLOOKUP(DATA!#REF!,DATA!#REF!,1,FALSE),"")</f>
        <v/>
      </c>
      <c r="D1623" s="16" t="str">
        <f>IFERROR(VLOOKUP(C1623,DATA!#REF!,2,FALSE),"")</f>
        <v/>
      </c>
    </row>
    <row r="1624" spans="2:4" s="230" customFormat="1">
      <c r="B1624" s="15" t="str">
        <f t="shared" si="57"/>
        <v/>
      </c>
      <c r="C1624" s="16" t="str">
        <f>IFERROR(VLOOKUP(DATA!#REF!,DATA!#REF!,1,FALSE),"")</f>
        <v/>
      </c>
      <c r="D1624" s="16" t="str">
        <f>IFERROR(VLOOKUP(C1624,DATA!#REF!,2,FALSE),"")</f>
        <v/>
      </c>
    </row>
    <row r="1625" spans="2:4" s="230" customFormat="1">
      <c r="B1625" s="15" t="str">
        <f t="shared" si="57"/>
        <v/>
      </c>
      <c r="C1625" s="16" t="str">
        <f>IFERROR(VLOOKUP(DATA!#REF!,DATA!#REF!,1,FALSE),"")</f>
        <v/>
      </c>
      <c r="D1625" s="16" t="str">
        <f>IFERROR(VLOOKUP(C1625,DATA!#REF!,2,FALSE),"")</f>
        <v/>
      </c>
    </row>
    <row r="1626" spans="2:4" s="230" customFormat="1">
      <c r="B1626" s="15" t="str">
        <f t="shared" si="57"/>
        <v/>
      </c>
      <c r="C1626" s="16" t="str">
        <f>IFERROR(VLOOKUP(DATA!#REF!,DATA!#REF!,1,FALSE),"")</f>
        <v/>
      </c>
      <c r="D1626" s="16" t="str">
        <f>IFERROR(VLOOKUP(C1626,DATA!#REF!,2,FALSE),"")</f>
        <v/>
      </c>
    </row>
    <row r="1627" spans="2:4" s="230" customFormat="1">
      <c r="B1627" s="15" t="str">
        <f t="shared" si="57"/>
        <v/>
      </c>
      <c r="C1627" s="16" t="str">
        <f>IFERROR(VLOOKUP(DATA!#REF!,DATA!#REF!,1,FALSE),"")</f>
        <v/>
      </c>
      <c r="D1627" s="16" t="str">
        <f>IFERROR(VLOOKUP(C1627,DATA!#REF!,2,FALSE),"")</f>
        <v/>
      </c>
    </row>
    <row r="1628" spans="2:4" s="230" customFormat="1">
      <c r="B1628" s="15" t="str">
        <f t="shared" si="57"/>
        <v/>
      </c>
      <c r="C1628" s="16" t="str">
        <f>IFERROR(VLOOKUP(DATA!#REF!,DATA!#REF!,1,FALSE),"")</f>
        <v/>
      </c>
      <c r="D1628" s="16" t="str">
        <f>IFERROR(VLOOKUP(C1628,DATA!#REF!,2,FALSE),"")</f>
        <v/>
      </c>
    </row>
    <row r="1629" spans="2:4" s="230" customFormat="1">
      <c r="B1629" s="15" t="str">
        <f t="shared" si="57"/>
        <v/>
      </c>
      <c r="C1629" s="16" t="str">
        <f>IFERROR(VLOOKUP(DATA!#REF!,DATA!#REF!,1,FALSE),"")</f>
        <v/>
      </c>
      <c r="D1629" s="16" t="str">
        <f>IFERROR(VLOOKUP(C1629,DATA!#REF!,2,FALSE),"")</f>
        <v/>
      </c>
    </row>
    <row r="1630" spans="2:4" s="230" customFormat="1">
      <c r="B1630" s="15" t="str">
        <f t="shared" si="57"/>
        <v/>
      </c>
      <c r="C1630" s="16" t="str">
        <f>IFERROR(VLOOKUP(DATA!#REF!,DATA!#REF!,1,FALSE),"")</f>
        <v/>
      </c>
      <c r="D1630" s="16" t="str">
        <f>IFERROR(VLOOKUP(C1630,DATA!#REF!,2,FALSE),"")</f>
        <v/>
      </c>
    </row>
    <row r="1631" spans="2:4" s="230" customFormat="1">
      <c r="B1631" s="15" t="str">
        <f t="shared" si="57"/>
        <v/>
      </c>
      <c r="C1631" s="16" t="str">
        <f>IFERROR(VLOOKUP(DATA!#REF!,DATA!#REF!,1,FALSE),"")</f>
        <v/>
      </c>
      <c r="D1631" s="16" t="str">
        <f>IFERROR(VLOOKUP(C1631,DATA!#REF!,2,FALSE),"")</f>
        <v/>
      </c>
    </row>
    <row r="1632" spans="2:4" s="230" customFormat="1">
      <c r="B1632" s="15" t="str">
        <f t="shared" si="57"/>
        <v/>
      </c>
      <c r="C1632" s="16" t="str">
        <f>IFERROR(VLOOKUP(DATA!#REF!,DATA!#REF!,1,FALSE),"")</f>
        <v/>
      </c>
      <c r="D1632" s="16" t="str">
        <f>IFERROR(VLOOKUP(C1632,DATA!#REF!,2,FALSE),"")</f>
        <v/>
      </c>
    </row>
    <row r="1633" spans="2:4" s="230" customFormat="1">
      <c r="B1633" s="15" t="str">
        <f t="shared" si="57"/>
        <v/>
      </c>
      <c r="C1633" s="16" t="str">
        <f>IFERROR(VLOOKUP(DATA!#REF!,DATA!#REF!,1,FALSE),"")</f>
        <v/>
      </c>
      <c r="D1633" s="16" t="str">
        <f>IFERROR(VLOOKUP(C1633,DATA!#REF!,2,FALSE),"")</f>
        <v/>
      </c>
    </row>
    <row r="1634" spans="2:4" s="230" customFormat="1">
      <c r="B1634" s="15" t="str">
        <f t="shared" si="57"/>
        <v/>
      </c>
      <c r="C1634" s="16" t="str">
        <f>IFERROR(VLOOKUP(DATA!#REF!,DATA!#REF!,1,FALSE),"")</f>
        <v/>
      </c>
      <c r="D1634" s="16" t="str">
        <f>IFERROR(VLOOKUP(C1634,DATA!#REF!,2,FALSE),"")</f>
        <v/>
      </c>
    </row>
    <row r="1635" spans="2:4" s="230" customFormat="1">
      <c r="B1635" s="15" t="str">
        <f t="shared" si="57"/>
        <v/>
      </c>
      <c r="C1635" s="16" t="str">
        <f>IFERROR(VLOOKUP(DATA!#REF!,DATA!#REF!,1,FALSE),"")</f>
        <v/>
      </c>
      <c r="D1635" s="16" t="str">
        <f>IFERROR(VLOOKUP(C1635,DATA!#REF!,2,FALSE),"")</f>
        <v/>
      </c>
    </row>
    <row r="1636" spans="2:4" s="230" customFormat="1">
      <c r="B1636" s="15" t="str">
        <f t="shared" si="57"/>
        <v/>
      </c>
      <c r="C1636" s="16" t="str">
        <f>IFERROR(VLOOKUP(DATA!#REF!,DATA!#REF!,1,FALSE),"")</f>
        <v/>
      </c>
      <c r="D1636" s="16" t="str">
        <f>IFERROR(VLOOKUP(C1636,DATA!#REF!,2,FALSE),"")</f>
        <v/>
      </c>
    </row>
    <row r="1637" spans="2:4" s="230" customFormat="1">
      <c r="B1637" s="15" t="str">
        <f t="shared" si="57"/>
        <v/>
      </c>
      <c r="C1637" s="16" t="str">
        <f>IFERROR(VLOOKUP(DATA!#REF!,DATA!#REF!,1,FALSE),"")</f>
        <v/>
      </c>
      <c r="D1637" s="16" t="str">
        <f>IFERROR(VLOOKUP(C1637,DATA!#REF!,2,FALSE),"")</f>
        <v/>
      </c>
    </row>
    <row r="1638" spans="2:4" s="230" customFormat="1">
      <c r="B1638" s="15" t="str">
        <f t="shared" si="57"/>
        <v/>
      </c>
      <c r="C1638" s="16" t="str">
        <f>IFERROR(VLOOKUP(DATA!#REF!,DATA!#REF!,1,FALSE),"")</f>
        <v/>
      </c>
      <c r="D1638" s="16" t="str">
        <f>IFERROR(VLOOKUP(C1638,DATA!#REF!,2,FALSE),"")</f>
        <v/>
      </c>
    </row>
    <row r="1639" spans="2:4" s="230" customFormat="1">
      <c r="B1639" s="15" t="str">
        <f t="shared" si="57"/>
        <v/>
      </c>
      <c r="C1639" s="16" t="str">
        <f>IFERROR(VLOOKUP(DATA!#REF!,DATA!#REF!,1,FALSE),"")</f>
        <v/>
      </c>
      <c r="D1639" s="16" t="str">
        <f>IFERROR(VLOOKUP(C1639,DATA!#REF!,2,FALSE),"")</f>
        <v/>
      </c>
    </row>
    <row r="1640" spans="2:4" s="230" customFormat="1">
      <c r="B1640" s="15" t="str">
        <f t="shared" si="57"/>
        <v/>
      </c>
      <c r="C1640" s="16" t="str">
        <f>IFERROR(VLOOKUP(DATA!#REF!,DATA!#REF!,1,FALSE),"")</f>
        <v/>
      </c>
      <c r="D1640" s="16" t="str">
        <f>IFERROR(VLOOKUP(C1640,DATA!#REF!,2,FALSE),"")</f>
        <v/>
      </c>
    </row>
    <row r="1641" spans="2:4" s="230" customFormat="1">
      <c r="B1641" s="15" t="str">
        <f t="shared" si="57"/>
        <v/>
      </c>
      <c r="C1641" s="16" t="str">
        <f>IFERROR(VLOOKUP(DATA!#REF!,DATA!#REF!,1,FALSE),"")</f>
        <v/>
      </c>
      <c r="D1641" s="16" t="str">
        <f>IFERROR(VLOOKUP(C1641,DATA!#REF!,2,FALSE),"")</f>
        <v/>
      </c>
    </row>
    <row r="1642" spans="2:4" s="230" customFormat="1">
      <c r="B1642" s="15" t="str">
        <f t="shared" si="57"/>
        <v/>
      </c>
      <c r="C1642" s="16" t="str">
        <f>IFERROR(VLOOKUP(DATA!#REF!,DATA!#REF!,1,FALSE),"")</f>
        <v/>
      </c>
      <c r="D1642" s="16" t="str">
        <f>IFERROR(VLOOKUP(C1642,DATA!#REF!,2,FALSE),"")</f>
        <v/>
      </c>
    </row>
    <row r="1643" spans="2:4" s="230" customFormat="1">
      <c r="B1643" s="15" t="str">
        <f t="shared" si="57"/>
        <v/>
      </c>
      <c r="C1643" s="16" t="str">
        <f>IFERROR(VLOOKUP(DATA!#REF!,DATA!#REF!,1,FALSE),"")</f>
        <v/>
      </c>
      <c r="D1643" s="16" t="str">
        <f>IFERROR(VLOOKUP(C1643,DATA!#REF!,2,FALSE),"")</f>
        <v/>
      </c>
    </row>
    <row r="1644" spans="2:4" s="230" customFormat="1">
      <c r="B1644" s="15" t="str">
        <f t="shared" si="57"/>
        <v/>
      </c>
      <c r="C1644" s="16" t="str">
        <f>IFERROR(VLOOKUP(DATA!#REF!,DATA!#REF!,1,FALSE),"")</f>
        <v/>
      </c>
      <c r="D1644" s="16" t="str">
        <f>IFERROR(VLOOKUP(C1644,DATA!#REF!,2,FALSE),"")</f>
        <v/>
      </c>
    </row>
    <row r="1645" spans="2:4" s="230" customFormat="1">
      <c r="B1645" s="15" t="str">
        <f t="shared" si="57"/>
        <v/>
      </c>
      <c r="C1645" s="16" t="str">
        <f>IFERROR(VLOOKUP(DATA!#REF!,DATA!#REF!,1,FALSE),"")</f>
        <v/>
      </c>
      <c r="D1645" s="16" t="str">
        <f>IFERROR(VLOOKUP(C1645,DATA!#REF!,2,FALSE),"")</f>
        <v/>
      </c>
    </row>
    <row r="1646" spans="2:4" s="230" customFormat="1">
      <c r="B1646" s="15" t="str">
        <f t="shared" si="57"/>
        <v/>
      </c>
      <c r="C1646" s="16" t="str">
        <f>IFERROR(VLOOKUP(DATA!#REF!,DATA!#REF!,1,FALSE),"")</f>
        <v/>
      </c>
      <c r="D1646" s="16" t="str">
        <f>IFERROR(VLOOKUP(C1646,DATA!#REF!,2,FALSE),"")</f>
        <v/>
      </c>
    </row>
    <row r="1647" spans="2:4" s="230" customFormat="1">
      <c r="B1647" s="15" t="str">
        <f t="shared" si="57"/>
        <v/>
      </c>
      <c r="C1647" s="16" t="str">
        <f>IFERROR(VLOOKUP(DATA!#REF!,DATA!#REF!,1,FALSE),"")</f>
        <v/>
      </c>
      <c r="D1647" s="16" t="str">
        <f>IFERROR(VLOOKUP(C1647,DATA!#REF!,2,FALSE),"")</f>
        <v/>
      </c>
    </row>
    <row r="1648" spans="2:4" s="230" customFormat="1">
      <c r="B1648" s="15" t="str">
        <f t="shared" si="57"/>
        <v/>
      </c>
      <c r="C1648" s="16" t="str">
        <f>IFERROR(VLOOKUP(DATA!#REF!,DATA!#REF!,1,FALSE),"")</f>
        <v/>
      </c>
      <c r="D1648" s="16" t="str">
        <f>IFERROR(VLOOKUP(C1648,DATA!#REF!,2,FALSE),"")</f>
        <v/>
      </c>
    </row>
    <row r="1649" spans="2:4" s="230" customFormat="1">
      <c r="B1649" s="15" t="str">
        <f t="shared" si="57"/>
        <v/>
      </c>
      <c r="C1649" s="16" t="str">
        <f>IFERROR(VLOOKUP(DATA!#REF!,DATA!#REF!,1,FALSE),"")</f>
        <v/>
      </c>
      <c r="D1649" s="16" t="str">
        <f>IFERROR(VLOOKUP(C1649,DATA!#REF!,2,FALSE),"")</f>
        <v/>
      </c>
    </row>
    <row r="1650" spans="2:4" s="230" customFormat="1">
      <c r="B1650" s="15" t="str">
        <f t="shared" si="57"/>
        <v/>
      </c>
      <c r="C1650" s="16" t="str">
        <f>IFERROR(VLOOKUP(DATA!#REF!,DATA!#REF!,1,FALSE),"")</f>
        <v/>
      </c>
      <c r="D1650" s="16" t="str">
        <f>IFERROR(VLOOKUP(C1650,DATA!#REF!,2,FALSE),"")</f>
        <v/>
      </c>
    </row>
    <row r="1651" spans="2:4" s="230" customFormat="1">
      <c r="B1651" s="15" t="str">
        <f t="shared" si="57"/>
        <v/>
      </c>
      <c r="C1651" s="16" t="str">
        <f>IFERROR(VLOOKUP(DATA!#REF!,DATA!#REF!,1,FALSE),"")</f>
        <v/>
      </c>
      <c r="D1651" s="16" t="str">
        <f>IFERROR(VLOOKUP(C1651,DATA!#REF!,2,FALSE),"")</f>
        <v/>
      </c>
    </row>
    <row r="1652" spans="2:4" s="230" customFormat="1">
      <c r="B1652" s="15" t="str">
        <f t="shared" si="57"/>
        <v/>
      </c>
      <c r="C1652" s="16" t="str">
        <f>IFERROR(VLOOKUP(DATA!#REF!,DATA!#REF!,1,FALSE),"")</f>
        <v/>
      </c>
      <c r="D1652" s="16" t="str">
        <f>IFERROR(VLOOKUP(C1652,DATA!#REF!,2,FALSE),"")</f>
        <v/>
      </c>
    </row>
    <row r="1653" spans="2:4" s="230" customFormat="1">
      <c r="B1653" s="15" t="str">
        <f t="shared" si="57"/>
        <v/>
      </c>
      <c r="C1653" s="16" t="str">
        <f>IFERROR(VLOOKUP(DATA!#REF!,DATA!#REF!,1,FALSE),"")</f>
        <v/>
      </c>
      <c r="D1653" s="16" t="str">
        <f>IFERROR(VLOOKUP(C1653,DATA!#REF!,2,FALSE),"")</f>
        <v/>
      </c>
    </row>
    <row r="1654" spans="2:4" s="230" customFormat="1">
      <c r="B1654" s="15" t="str">
        <f t="shared" si="57"/>
        <v/>
      </c>
      <c r="C1654" s="16" t="str">
        <f>IFERROR(VLOOKUP(DATA!#REF!,DATA!#REF!,1,FALSE),"")</f>
        <v/>
      </c>
      <c r="D1654" s="16" t="str">
        <f>IFERROR(VLOOKUP(C1654,DATA!#REF!,2,FALSE),"")</f>
        <v/>
      </c>
    </row>
    <row r="1655" spans="2:4" s="230" customFormat="1">
      <c r="B1655" s="15" t="str">
        <f t="shared" si="57"/>
        <v/>
      </c>
      <c r="C1655" s="16" t="str">
        <f>IFERROR(VLOOKUP(DATA!#REF!,DATA!#REF!,1,FALSE),"")</f>
        <v/>
      </c>
      <c r="D1655" s="16" t="str">
        <f>IFERROR(VLOOKUP(C1655,DATA!#REF!,2,FALSE),"")</f>
        <v/>
      </c>
    </row>
    <row r="1656" spans="2:4" s="230" customFormat="1">
      <c r="B1656" s="15" t="str">
        <f t="shared" si="57"/>
        <v/>
      </c>
      <c r="C1656" s="16" t="str">
        <f>IFERROR(VLOOKUP(DATA!#REF!,DATA!#REF!,1,FALSE),"")</f>
        <v/>
      </c>
      <c r="D1656" s="16" t="str">
        <f>IFERROR(VLOOKUP(C1656,DATA!#REF!,2,FALSE),"")</f>
        <v/>
      </c>
    </row>
    <row r="1657" spans="2:4" s="230" customFormat="1">
      <c r="B1657" s="15" t="str">
        <f t="shared" si="57"/>
        <v/>
      </c>
      <c r="C1657" s="16" t="str">
        <f>IFERROR(VLOOKUP(DATA!#REF!,DATA!#REF!,1,FALSE),"")</f>
        <v/>
      </c>
      <c r="D1657" s="16" t="str">
        <f>IFERROR(VLOOKUP(C1657,DATA!#REF!,2,FALSE),"")</f>
        <v/>
      </c>
    </row>
    <row r="1658" spans="2:4" s="230" customFormat="1">
      <c r="B1658" s="15" t="str">
        <f t="shared" si="57"/>
        <v/>
      </c>
      <c r="C1658" s="16" t="str">
        <f>IFERROR(VLOOKUP(DATA!#REF!,DATA!#REF!,1,FALSE),"")</f>
        <v/>
      </c>
      <c r="D1658" s="16" t="str">
        <f>IFERROR(VLOOKUP(C1658,DATA!#REF!,2,FALSE),"")</f>
        <v/>
      </c>
    </row>
    <row r="1659" spans="2:4" s="230" customFormat="1">
      <c r="B1659" s="15" t="str">
        <f t="shared" si="57"/>
        <v/>
      </c>
      <c r="C1659" s="16" t="str">
        <f>IFERROR(VLOOKUP(DATA!#REF!,DATA!#REF!,1,FALSE),"")</f>
        <v/>
      </c>
      <c r="D1659" s="16" t="str">
        <f>IFERROR(VLOOKUP(C1659,DATA!#REF!,2,FALSE),"")</f>
        <v/>
      </c>
    </row>
    <row r="1660" spans="2:4" s="230" customFormat="1">
      <c r="B1660" s="15" t="str">
        <f t="shared" si="57"/>
        <v/>
      </c>
      <c r="C1660" s="16" t="str">
        <f>IFERROR(VLOOKUP(DATA!#REF!,DATA!#REF!,1,FALSE),"")</f>
        <v/>
      </c>
      <c r="D1660" s="16" t="str">
        <f>IFERROR(VLOOKUP(C1660,DATA!#REF!,2,FALSE),"")</f>
        <v/>
      </c>
    </row>
    <row r="1661" spans="2:4" s="230" customFormat="1">
      <c r="B1661" s="15" t="str">
        <f t="shared" si="57"/>
        <v/>
      </c>
      <c r="C1661" s="16" t="str">
        <f>IFERROR(VLOOKUP(DATA!#REF!,DATA!#REF!,1,FALSE),"")</f>
        <v/>
      </c>
      <c r="D1661" s="16" t="str">
        <f>IFERROR(VLOOKUP(C1661,DATA!#REF!,2,FALSE),"")</f>
        <v/>
      </c>
    </row>
    <row r="1662" spans="2:4" s="230" customFormat="1">
      <c r="B1662" s="15" t="str">
        <f t="shared" si="57"/>
        <v/>
      </c>
      <c r="C1662" s="16" t="str">
        <f>IFERROR(VLOOKUP(DATA!#REF!,DATA!#REF!,1,FALSE),"")</f>
        <v/>
      </c>
      <c r="D1662" s="16" t="str">
        <f>IFERROR(VLOOKUP(C1662,DATA!#REF!,2,FALSE),"")</f>
        <v/>
      </c>
    </row>
    <row r="1663" spans="2:4" s="230" customFormat="1">
      <c r="B1663" s="15" t="str">
        <f t="shared" si="57"/>
        <v/>
      </c>
      <c r="C1663" s="16" t="str">
        <f>IFERROR(VLOOKUP(DATA!#REF!,DATA!#REF!,1,FALSE),"")</f>
        <v/>
      </c>
      <c r="D1663" s="16" t="str">
        <f>IFERROR(VLOOKUP(C1663,DATA!#REF!,2,FALSE),"")</f>
        <v/>
      </c>
    </row>
    <row r="1664" spans="2:4" s="230" customFormat="1">
      <c r="B1664" s="15" t="str">
        <f t="shared" si="57"/>
        <v/>
      </c>
      <c r="C1664" s="16" t="str">
        <f>IFERROR(VLOOKUP(DATA!#REF!,DATA!#REF!,1,FALSE),"")</f>
        <v/>
      </c>
      <c r="D1664" s="16" t="str">
        <f>IFERROR(VLOOKUP(C1664,DATA!#REF!,2,FALSE),"")</f>
        <v/>
      </c>
    </row>
    <row r="1665" spans="2:4" s="230" customFormat="1">
      <c r="B1665" s="15" t="str">
        <f t="shared" si="57"/>
        <v/>
      </c>
      <c r="C1665" s="16" t="str">
        <f>IFERROR(VLOOKUP(DATA!#REF!,DATA!#REF!,1,FALSE),"")</f>
        <v/>
      </c>
      <c r="D1665" s="16" t="str">
        <f>IFERROR(VLOOKUP(C1665,DATA!#REF!,2,FALSE),"")</f>
        <v/>
      </c>
    </row>
    <row r="1666" spans="2:4" s="230" customFormat="1">
      <c r="B1666" s="15" t="str">
        <f t="shared" si="57"/>
        <v/>
      </c>
      <c r="C1666" s="16" t="str">
        <f>IFERROR(VLOOKUP(DATA!#REF!,DATA!#REF!,1,FALSE),"")</f>
        <v/>
      </c>
      <c r="D1666" s="16" t="str">
        <f>IFERROR(VLOOKUP(C1666,DATA!#REF!,2,FALSE),"")</f>
        <v/>
      </c>
    </row>
    <row r="1667" spans="2:4" s="230" customFormat="1">
      <c r="B1667" s="15" t="str">
        <f t="shared" si="57"/>
        <v/>
      </c>
      <c r="C1667" s="16" t="str">
        <f>IFERROR(VLOOKUP(DATA!#REF!,DATA!#REF!,1,FALSE),"")</f>
        <v/>
      </c>
      <c r="D1667" s="16" t="str">
        <f>IFERROR(VLOOKUP(C1667,DATA!#REF!,2,FALSE),"")</f>
        <v/>
      </c>
    </row>
    <row r="1668" spans="2:4" s="230" customFormat="1">
      <c r="B1668" s="15" t="str">
        <f t="shared" si="57"/>
        <v/>
      </c>
      <c r="C1668" s="16" t="str">
        <f>IFERROR(VLOOKUP(DATA!#REF!,DATA!#REF!,1,FALSE),"")</f>
        <v/>
      </c>
      <c r="D1668" s="16" t="str">
        <f>IFERROR(VLOOKUP(C1668,DATA!#REF!,2,FALSE),"")</f>
        <v/>
      </c>
    </row>
    <row r="1669" spans="2:4" s="230" customFormat="1">
      <c r="B1669" s="15" t="str">
        <f t="shared" si="57"/>
        <v/>
      </c>
      <c r="C1669" s="16" t="str">
        <f>IFERROR(VLOOKUP(DATA!#REF!,DATA!#REF!,1,FALSE),"")</f>
        <v/>
      </c>
      <c r="D1669" s="16" t="str">
        <f>IFERROR(VLOOKUP(C1669,DATA!#REF!,2,FALSE),"")</f>
        <v/>
      </c>
    </row>
    <row r="1670" spans="2:4" s="230" customFormat="1">
      <c r="B1670" s="15" t="str">
        <f t="shared" ref="B1670:B1733" si="58">+IF(C1670="","",ROW()-5)</f>
        <v/>
      </c>
      <c r="C1670" s="16" t="str">
        <f>IFERROR(VLOOKUP(DATA!#REF!,DATA!#REF!,1,FALSE),"")</f>
        <v/>
      </c>
      <c r="D1670" s="16" t="str">
        <f>IFERROR(VLOOKUP(C1670,DATA!#REF!,2,FALSE),"")</f>
        <v/>
      </c>
    </row>
    <row r="1671" spans="2:4" s="230" customFormat="1">
      <c r="B1671" s="15" t="str">
        <f t="shared" si="58"/>
        <v/>
      </c>
      <c r="C1671" s="16" t="str">
        <f>IFERROR(VLOOKUP(DATA!#REF!,DATA!#REF!,1,FALSE),"")</f>
        <v/>
      </c>
      <c r="D1671" s="16" t="str">
        <f>IFERROR(VLOOKUP(C1671,DATA!#REF!,2,FALSE),"")</f>
        <v/>
      </c>
    </row>
    <row r="1672" spans="2:4" s="230" customFormat="1">
      <c r="B1672" s="15" t="str">
        <f t="shared" si="58"/>
        <v/>
      </c>
      <c r="C1672" s="16" t="str">
        <f>IFERROR(VLOOKUP(DATA!#REF!,DATA!#REF!,1,FALSE),"")</f>
        <v/>
      </c>
      <c r="D1672" s="16" t="str">
        <f>IFERROR(VLOOKUP(C1672,DATA!#REF!,2,FALSE),"")</f>
        <v/>
      </c>
    </row>
    <row r="1673" spans="2:4" s="230" customFormat="1">
      <c r="B1673" s="15" t="str">
        <f t="shared" si="58"/>
        <v/>
      </c>
      <c r="C1673" s="16" t="str">
        <f>IFERROR(VLOOKUP(DATA!#REF!,DATA!#REF!,1,FALSE),"")</f>
        <v/>
      </c>
      <c r="D1673" s="16" t="str">
        <f>IFERROR(VLOOKUP(C1673,DATA!#REF!,2,FALSE),"")</f>
        <v/>
      </c>
    </row>
    <row r="1674" spans="2:4" s="230" customFormat="1">
      <c r="B1674" s="15" t="str">
        <f t="shared" si="58"/>
        <v/>
      </c>
      <c r="C1674" s="16" t="str">
        <f>IFERROR(VLOOKUP(DATA!#REF!,DATA!#REF!,1,FALSE),"")</f>
        <v/>
      </c>
      <c r="D1674" s="16" t="str">
        <f>IFERROR(VLOOKUP(C1674,DATA!#REF!,2,FALSE),"")</f>
        <v/>
      </c>
    </row>
    <row r="1675" spans="2:4" s="230" customFormat="1">
      <c r="B1675" s="15" t="str">
        <f t="shared" si="58"/>
        <v/>
      </c>
      <c r="C1675" s="16" t="str">
        <f>IFERROR(VLOOKUP(DATA!#REF!,DATA!#REF!,1,FALSE),"")</f>
        <v/>
      </c>
      <c r="D1675" s="16" t="str">
        <f>IFERROR(VLOOKUP(C1675,DATA!#REF!,2,FALSE),"")</f>
        <v/>
      </c>
    </row>
    <row r="1676" spans="2:4" s="230" customFormat="1">
      <c r="B1676" s="15" t="str">
        <f t="shared" si="58"/>
        <v/>
      </c>
      <c r="C1676" s="16" t="str">
        <f>IFERROR(VLOOKUP(DATA!#REF!,DATA!#REF!,1,FALSE),"")</f>
        <v/>
      </c>
      <c r="D1676" s="16" t="str">
        <f>IFERROR(VLOOKUP(C1676,DATA!#REF!,2,FALSE),"")</f>
        <v/>
      </c>
    </row>
    <row r="1677" spans="2:4" s="230" customFormat="1">
      <c r="B1677" s="15" t="str">
        <f t="shared" si="58"/>
        <v/>
      </c>
      <c r="C1677" s="16" t="str">
        <f>IFERROR(VLOOKUP(DATA!#REF!,DATA!#REF!,1,FALSE),"")</f>
        <v/>
      </c>
      <c r="D1677" s="16" t="str">
        <f>IFERROR(VLOOKUP(C1677,DATA!#REF!,2,FALSE),"")</f>
        <v/>
      </c>
    </row>
    <row r="1678" spans="2:4" s="230" customFormat="1">
      <c r="B1678" s="15" t="str">
        <f t="shared" si="58"/>
        <v/>
      </c>
      <c r="C1678" s="16" t="str">
        <f>IFERROR(VLOOKUP(DATA!#REF!,DATA!#REF!,1,FALSE),"")</f>
        <v/>
      </c>
      <c r="D1678" s="16" t="str">
        <f>IFERROR(VLOOKUP(C1678,DATA!#REF!,2,FALSE),"")</f>
        <v/>
      </c>
    </row>
    <row r="1679" spans="2:4" s="230" customFormat="1">
      <c r="B1679" s="15" t="str">
        <f t="shared" si="58"/>
        <v/>
      </c>
      <c r="C1679" s="16" t="str">
        <f>IFERROR(VLOOKUP(DATA!#REF!,DATA!#REF!,1,FALSE),"")</f>
        <v/>
      </c>
      <c r="D1679" s="16" t="str">
        <f>IFERROR(VLOOKUP(C1679,DATA!#REF!,2,FALSE),"")</f>
        <v/>
      </c>
    </row>
    <row r="1680" spans="2:4" s="230" customFormat="1">
      <c r="B1680" s="15" t="str">
        <f t="shared" si="58"/>
        <v/>
      </c>
      <c r="C1680" s="16" t="str">
        <f>IFERROR(VLOOKUP(DATA!#REF!,DATA!#REF!,1,FALSE),"")</f>
        <v/>
      </c>
      <c r="D1680" s="16" t="str">
        <f>IFERROR(VLOOKUP(C1680,DATA!#REF!,2,FALSE),"")</f>
        <v/>
      </c>
    </row>
    <row r="1681" spans="2:4" s="230" customFormat="1">
      <c r="B1681" s="15" t="str">
        <f t="shared" si="58"/>
        <v/>
      </c>
      <c r="C1681" s="16" t="str">
        <f>IFERROR(VLOOKUP(DATA!#REF!,DATA!#REF!,1,FALSE),"")</f>
        <v/>
      </c>
      <c r="D1681" s="16" t="str">
        <f>IFERROR(VLOOKUP(C1681,DATA!#REF!,2,FALSE),"")</f>
        <v/>
      </c>
    </row>
    <row r="1682" spans="2:4" s="230" customFormat="1">
      <c r="B1682" s="15" t="str">
        <f t="shared" si="58"/>
        <v/>
      </c>
      <c r="C1682" s="16" t="str">
        <f>IFERROR(VLOOKUP(DATA!#REF!,DATA!#REF!,1,FALSE),"")</f>
        <v/>
      </c>
      <c r="D1682" s="16" t="str">
        <f>IFERROR(VLOOKUP(C1682,DATA!#REF!,2,FALSE),"")</f>
        <v/>
      </c>
    </row>
    <row r="1683" spans="2:4" s="230" customFormat="1">
      <c r="B1683" s="15" t="str">
        <f t="shared" si="58"/>
        <v/>
      </c>
      <c r="C1683" s="16" t="str">
        <f>IFERROR(VLOOKUP(DATA!#REF!,DATA!#REF!,1,FALSE),"")</f>
        <v/>
      </c>
      <c r="D1683" s="16" t="str">
        <f>IFERROR(VLOOKUP(C1683,DATA!#REF!,2,FALSE),"")</f>
        <v/>
      </c>
    </row>
    <row r="1684" spans="2:4" s="230" customFormat="1">
      <c r="B1684" s="15" t="str">
        <f t="shared" si="58"/>
        <v/>
      </c>
      <c r="C1684" s="16" t="str">
        <f>IFERROR(VLOOKUP(DATA!#REF!,DATA!#REF!,1,FALSE),"")</f>
        <v/>
      </c>
      <c r="D1684" s="16" t="str">
        <f>IFERROR(VLOOKUP(C1684,DATA!#REF!,2,FALSE),"")</f>
        <v/>
      </c>
    </row>
    <row r="1685" spans="2:4" s="230" customFormat="1">
      <c r="B1685" s="15" t="str">
        <f t="shared" si="58"/>
        <v/>
      </c>
      <c r="C1685" s="16" t="str">
        <f>IFERROR(VLOOKUP(DATA!#REF!,DATA!#REF!,1,FALSE),"")</f>
        <v/>
      </c>
      <c r="D1685" s="16" t="str">
        <f>IFERROR(VLOOKUP(C1685,DATA!#REF!,2,FALSE),"")</f>
        <v/>
      </c>
    </row>
    <row r="1686" spans="2:4" s="230" customFormat="1">
      <c r="B1686" s="15" t="str">
        <f t="shared" si="58"/>
        <v/>
      </c>
      <c r="C1686" s="16" t="str">
        <f>IFERROR(VLOOKUP(DATA!#REF!,DATA!#REF!,1,FALSE),"")</f>
        <v/>
      </c>
      <c r="D1686" s="16" t="str">
        <f>IFERROR(VLOOKUP(C1686,DATA!#REF!,2,FALSE),"")</f>
        <v/>
      </c>
    </row>
    <row r="1687" spans="2:4" s="230" customFormat="1">
      <c r="B1687" s="15" t="str">
        <f t="shared" si="58"/>
        <v/>
      </c>
      <c r="C1687" s="16" t="str">
        <f>IFERROR(VLOOKUP(DATA!#REF!,DATA!#REF!,1,FALSE),"")</f>
        <v/>
      </c>
      <c r="D1687" s="16" t="str">
        <f>IFERROR(VLOOKUP(C1687,DATA!#REF!,2,FALSE),"")</f>
        <v/>
      </c>
    </row>
    <row r="1688" spans="2:4" s="230" customFormat="1">
      <c r="B1688" s="15" t="str">
        <f t="shared" si="58"/>
        <v/>
      </c>
      <c r="C1688" s="16" t="str">
        <f>IFERROR(VLOOKUP(DATA!#REF!,DATA!#REF!,1,FALSE),"")</f>
        <v/>
      </c>
      <c r="D1688" s="16" t="str">
        <f>IFERROR(VLOOKUP(C1688,DATA!#REF!,2,FALSE),"")</f>
        <v/>
      </c>
    </row>
    <row r="1689" spans="2:4" s="230" customFormat="1">
      <c r="B1689" s="15" t="str">
        <f t="shared" si="58"/>
        <v/>
      </c>
      <c r="C1689" s="16" t="str">
        <f>IFERROR(VLOOKUP(DATA!#REF!,DATA!#REF!,1,FALSE),"")</f>
        <v/>
      </c>
      <c r="D1689" s="16" t="str">
        <f>IFERROR(VLOOKUP(C1689,DATA!#REF!,2,FALSE),"")</f>
        <v/>
      </c>
    </row>
    <row r="1690" spans="2:4" s="230" customFormat="1">
      <c r="B1690" s="15" t="str">
        <f t="shared" si="58"/>
        <v/>
      </c>
      <c r="C1690" s="16" t="str">
        <f>IFERROR(VLOOKUP(DATA!#REF!,DATA!#REF!,1,FALSE),"")</f>
        <v/>
      </c>
      <c r="D1690" s="16" t="str">
        <f>IFERROR(VLOOKUP(C1690,DATA!#REF!,2,FALSE),"")</f>
        <v/>
      </c>
    </row>
    <row r="1691" spans="2:4" s="230" customFormat="1">
      <c r="B1691" s="15" t="str">
        <f t="shared" si="58"/>
        <v/>
      </c>
      <c r="C1691" s="16" t="str">
        <f>IFERROR(VLOOKUP(DATA!#REF!,DATA!#REF!,1,FALSE),"")</f>
        <v/>
      </c>
      <c r="D1691" s="16" t="str">
        <f>IFERROR(VLOOKUP(C1691,DATA!#REF!,2,FALSE),"")</f>
        <v/>
      </c>
    </row>
    <row r="1692" spans="2:4" s="230" customFormat="1">
      <c r="B1692" s="15" t="str">
        <f t="shared" si="58"/>
        <v/>
      </c>
      <c r="C1692" s="16" t="str">
        <f>IFERROR(VLOOKUP(DATA!#REF!,DATA!#REF!,1,FALSE),"")</f>
        <v/>
      </c>
      <c r="D1692" s="16" t="str">
        <f>IFERROR(VLOOKUP(C1692,DATA!#REF!,2,FALSE),"")</f>
        <v/>
      </c>
    </row>
    <row r="1693" spans="2:4" s="230" customFormat="1">
      <c r="B1693" s="15" t="str">
        <f t="shared" si="58"/>
        <v/>
      </c>
      <c r="C1693" s="16" t="str">
        <f>IFERROR(VLOOKUP(DATA!#REF!,DATA!#REF!,1,FALSE),"")</f>
        <v/>
      </c>
      <c r="D1693" s="16" t="str">
        <f>IFERROR(VLOOKUP(C1693,DATA!#REF!,2,FALSE),"")</f>
        <v/>
      </c>
    </row>
    <row r="1694" spans="2:4" s="230" customFormat="1">
      <c r="B1694" s="15" t="str">
        <f t="shared" si="58"/>
        <v/>
      </c>
      <c r="C1694" s="16" t="str">
        <f>IFERROR(VLOOKUP(DATA!#REF!,DATA!#REF!,1,FALSE),"")</f>
        <v/>
      </c>
      <c r="D1694" s="16" t="str">
        <f>IFERROR(VLOOKUP(C1694,DATA!#REF!,2,FALSE),"")</f>
        <v/>
      </c>
    </row>
    <row r="1695" spans="2:4" s="230" customFormat="1">
      <c r="B1695" s="15" t="str">
        <f t="shared" si="58"/>
        <v/>
      </c>
      <c r="C1695" s="16" t="str">
        <f>IFERROR(VLOOKUP(DATA!#REF!,DATA!#REF!,1,FALSE),"")</f>
        <v/>
      </c>
      <c r="D1695" s="16" t="str">
        <f>IFERROR(VLOOKUP(C1695,DATA!#REF!,2,FALSE),"")</f>
        <v/>
      </c>
    </row>
    <row r="1696" spans="2:4" s="230" customFormat="1">
      <c r="B1696" s="15" t="str">
        <f t="shared" si="58"/>
        <v/>
      </c>
      <c r="C1696" s="16" t="str">
        <f>IFERROR(VLOOKUP(DATA!#REF!,DATA!#REF!,1,FALSE),"")</f>
        <v/>
      </c>
      <c r="D1696" s="16" t="str">
        <f>IFERROR(VLOOKUP(C1696,DATA!#REF!,2,FALSE),"")</f>
        <v/>
      </c>
    </row>
    <row r="1697" spans="2:4" s="230" customFormat="1">
      <c r="B1697" s="15" t="str">
        <f t="shared" si="58"/>
        <v/>
      </c>
      <c r="C1697" s="16" t="str">
        <f>IFERROR(VLOOKUP(DATA!#REF!,DATA!#REF!,1,FALSE),"")</f>
        <v/>
      </c>
      <c r="D1697" s="16" t="str">
        <f>IFERROR(VLOOKUP(C1697,DATA!#REF!,2,FALSE),"")</f>
        <v/>
      </c>
    </row>
    <row r="1698" spans="2:4" s="230" customFormat="1">
      <c r="B1698" s="15" t="str">
        <f t="shared" si="58"/>
        <v/>
      </c>
      <c r="C1698" s="16" t="str">
        <f>IFERROR(VLOOKUP(DATA!#REF!,DATA!#REF!,1,FALSE),"")</f>
        <v/>
      </c>
      <c r="D1698" s="16" t="str">
        <f>IFERROR(VLOOKUP(C1698,DATA!#REF!,2,FALSE),"")</f>
        <v/>
      </c>
    </row>
    <row r="1699" spans="2:4" s="230" customFormat="1">
      <c r="B1699" s="15" t="str">
        <f t="shared" si="58"/>
        <v/>
      </c>
      <c r="C1699" s="16" t="str">
        <f>IFERROR(VLOOKUP(DATA!#REF!,DATA!#REF!,1,FALSE),"")</f>
        <v/>
      </c>
      <c r="D1699" s="16" t="str">
        <f>IFERROR(VLOOKUP(C1699,DATA!#REF!,2,FALSE),"")</f>
        <v/>
      </c>
    </row>
    <row r="1700" spans="2:4" s="230" customFormat="1">
      <c r="B1700" s="15" t="str">
        <f t="shared" si="58"/>
        <v/>
      </c>
      <c r="C1700" s="16" t="str">
        <f>IFERROR(VLOOKUP(DATA!#REF!,DATA!#REF!,1,FALSE),"")</f>
        <v/>
      </c>
      <c r="D1700" s="16" t="str">
        <f>IFERROR(VLOOKUP(C1700,DATA!#REF!,2,FALSE),"")</f>
        <v/>
      </c>
    </row>
    <row r="1701" spans="2:4" s="230" customFormat="1">
      <c r="B1701" s="15" t="str">
        <f t="shared" si="58"/>
        <v/>
      </c>
      <c r="C1701" s="16" t="str">
        <f>IFERROR(VLOOKUP(DATA!#REF!,DATA!#REF!,1,FALSE),"")</f>
        <v/>
      </c>
      <c r="D1701" s="16" t="str">
        <f>IFERROR(VLOOKUP(C1701,DATA!#REF!,2,FALSE),"")</f>
        <v/>
      </c>
    </row>
    <row r="1702" spans="2:4" s="230" customFormat="1">
      <c r="B1702" s="15" t="str">
        <f t="shared" si="58"/>
        <v/>
      </c>
      <c r="C1702" s="16" t="str">
        <f>IFERROR(VLOOKUP(DATA!#REF!,DATA!#REF!,1,FALSE),"")</f>
        <v/>
      </c>
      <c r="D1702" s="16" t="str">
        <f>IFERROR(VLOOKUP(C1702,DATA!#REF!,2,FALSE),"")</f>
        <v/>
      </c>
    </row>
    <row r="1703" spans="2:4" s="230" customFormat="1">
      <c r="B1703" s="15" t="str">
        <f t="shared" si="58"/>
        <v/>
      </c>
      <c r="C1703" s="16" t="str">
        <f>IFERROR(VLOOKUP(DATA!#REF!,DATA!#REF!,1,FALSE),"")</f>
        <v/>
      </c>
      <c r="D1703" s="16" t="str">
        <f>IFERROR(VLOOKUP(C1703,DATA!#REF!,2,FALSE),"")</f>
        <v/>
      </c>
    </row>
    <row r="1704" spans="2:4" s="230" customFormat="1">
      <c r="B1704" s="15" t="str">
        <f t="shared" si="58"/>
        <v/>
      </c>
      <c r="C1704" s="16" t="str">
        <f>IFERROR(VLOOKUP(DATA!#REF!,DATA!#REF!,1,FALSE),"")</f>
        <v/>
      </c>
      <c r="D1704" s="16" t="str">
        <f>IFERROR(VLOOKUP(C1704,DATA!#REF!,2,FALSE),"")</f>
        <v/>
      </c>
    </row>
    <row r="1705" spans="2:4" s="230" customFormat="1">
      <c r="B1705" s="15" t="str">
        <f t="shared" si="58"/>
        <v/>
      </c>
      <c r="C1705" s="16" t="str">
        <f>IFERROR(VLOOKUP(DATA!#REF!,DATA!#REF!,1,FALSE),"")</f>
        <v/>
      </c>
      <c r="D1705" s="16" t="str">
        <f>IFERROR(VLOOKUP(C1705,DATA!#REF!,2,FALSE),"")</f>
        <v/>
      </c>
    </row>
    <row r="1706" spans="2:4" s="230" customFormat="1">
      <c r="B1706" s="15" t="str">
        <f t="shared" si="58"/>
        <v/>
      </c>
      <c r="C1706" s="16" t="str">
        <f>IFERROR(VLOOKUP(DATA!#REF!,DATA!#REF!,1,FALSE),"")</f>
        <v/>
      </c>
      <c r="D1706" s="16" t="str">
        <f>IFERROR(VLOOKUP(C1706,DATA!#REF!,2,FALSE),"")</f>
        <v/>
      </c>
    </row>
    <row r="1707" spans="2:4" s="230" customFormat="1">
      <c r="B1707" s="15" t="str">
        <f t="shared" si="58"/>
        <v/>
      </c>
      <c r="C1707" s="16" t="str">
        <f>IFERROR(VLOOKUP(DATA!#REF!,DATA!#REF!,1,FALSE),"")</f>
        <v/>
      </c>
      <c r="D1707" s="16" t="str">
        <f>IFERROR(VLOOKUP(C1707,DATA!#REF!,2,FALSE),"")</f>
        <v/>
      </c>
    </row>
    <row r="1708" spans="2:4" s="230" customFormat="1">
      <c r="B1708" s="15" t="str">
        <f t="shared" si="58"/>
        <v/>
      </c>
      <c r="C1708" s="16" t="str">
        <f>IFERROR(VLOOKUP(DATA!#REF!,DATA!#REF!,1,FALSE),"")</f>
        <v/>
      </c>
      <c r="D1708" s="16" t="str">
        <f>IFERROR(VLOOKUP(C1708,DATA!#REF!,2,FALSE),"")</f>
        <v/>
      </c>
    </row>
    <row r="1709" spans="2:4" s="230" customFormat="1">
      <c r="B1709" s="15" t="str">
        <f t="shared" si="58"/>
        <v/>
      </c>
      <c r="C1709" s="16" t="str">
        <f>IFERROR(VLOOKUP(DATA!#REF!,DATA!#REF!,1,FALSE),"")</f>
        <v/>
      </c>
      <c r="D1709" s="16" t="str">
        <f>IFERROR(VLOOKUP(C1709,DATA!#REF!,2,FALSE),"")</f>
        <v/>
      </c>
    </row>
    <row r="1710" spans="2:4" s="230" customFormat="1">
      <c r="B1710" s="15" t="str">
        <f t="shared" si="58"/>
        <v/>
      </c>
      <c r="C1710" s="16" t="str">
        <f>IFERROR(VLOOKUP(DATA!#REF!,DATA!#REF!,1,FALSE),"")</f>
        <v/>
      </c>
      <c r="D1710" s="16" t="str">
        <f>IFERROR(VLOOKUP(C1710,DATA!#REF!,2,FALSE),"")</f>
        <v/>
      </c>
    </row>
    <row r="1711" spans="2:4" s="230" customFormat="1">
      <c r="B1711" s="15" t="str">
        <f t="shared" si="58"/>
        <v/>
      </c>
      <c r="C1711" s="16" t="str">
        <f>IFERROR(VLOOKUP(DATA!#REF!,DATA!#REF!,1,FALSE),"")</f>
        <v/>
      </c>
      <c r="D1711" s="16" t="str">
        <f>IFERROR(VLOOKUP(C1711,DATA!#REF!,2,FALSE),"")</f>
        <v/>
      </c>
    </row>
    <row r="1712" spans="2:4" s="230" customFormat="1">
      <c r="B1712" s="15" t="str">
        <f t="shared" si="58"/>
        <v/>
      </c>
      <c r="C1712" s="16" t="str">
        <f>IFERROR(VLOOKUP(DATA!#REF!,DATA!#REF!,1,FALSE),"")</f>
        <v/>
      </c>
      <c r="D1712" s="16" t="str">
        <f>IFERROR(VLOOKUP(C1712,DATA!#REF!,2,FALSE),"")</f>
        <v/>
      </c>
    </row>
    <row r="1713" spans="2:4" s="230" customFormat="1">
      <c r="B1713" s="15" t="str">
        <f t="shared" si="58"/>
        <v/>
      </c>
      <c r="C1713" s="16" t="str">
        <f>IFERROR(VLOOKUP(DATA!#REF!,DATA!#REF!,1,FALSE),"")</f>
        <v/>
      </c>
      <c r="D1713" s="16" t="str">
        <f>IFERROR(VLOOKUP(C1713,DATA!#REF!,2,FALSE),"")</f>
        <v/>
      </c>
    </row>
    <row r="1714" spans="2:4" s="230" customFormat="1">
      <c r="B1714" s="15" t="str">
        <f t="shared" si="58"/>
        <v/>
      </c>
      <c r="C1714" s="16" t="str">
        <f>IFERROR(VLOOKUP(DATA!#REF!,DATA!#REF!,1,FALSE),"")</f>
        <v/>
      </c>
      <c r="D1714" s="16" t="str">
        <f>IFERROR(VLOOKUP(C1714,DATA!#REF!,2,FALSE),"")</f>
        <v/>
      </c>
    </row>
    <row r="1715" spans="2:4" s="230" customFormat="1">
      <c r="B1715" s="15" t="str">
        <f t="shared" si="58"/>
        <v/>
      </c>
      <c r="C1715" s="16" t="str">
        <f>IFERROR(VLOOKUP(DATA!#REF!,DATA!#REF!,1,FALSE),"")</f>
        <v/>
      </c>
      <c r="D1715" s="16" t="str">
        <f>IFERROR(VLOOKUP(C1715,DATA!#REF!,2,FALSE),"")</f>
        <v/>
      </c>
    </row>
    <row r="1716" spans="2:4" s="230" customFormat="1">
      <c r="B1716" s="15" t="str">
        <f t="shared" si="58"/>
        <v/>
      </c>
      <c r="C1716" s="16" t="str">
        <f>IFERROR(VLOOKUP(DATA!#REF!,DATA!#REF!,1,FALSE),"")</f>
        <v/>
      </c>
      <c r="D1716" s="16" t="str">
        <f>IFERROR(VLOOKUP(C1716,DATA!#REF!,2,FALSE),"")</f>
        <v/>
      </c>
    </row>
    <row r="1717" spans="2:4" s="230" customFormat="1">
      <c r="B1717" s="15" t="str">
        <f t="shared" si="58"/>
        <v/>
      </c>
      <c r="C1717" s="16" t="str">
        <f>IFERROR(VLOOKUP(DATA!#REF!,DATA!#REF!,1,FALSE),"")</f>
        <v/>
      </c>
      <c r="D1717" s="16" t="str">
        <f>IFERROR(VLOOKUP(C1717,DATA!#REF!,2,FALSE),"")</f>
        <v/>
      </c>
    </row>
    <row r="1718" spans="2:4" s="230" customFormat="1">
      <c r="B1718" s="15" t="str">
        <f t="shared" si="58"/>
        <v/>
      </c>
      <c r="C1718" s="16" t="str">
        <f>IFERROR(VLOOKUP(DATA!#REF!,DATA!#REF!,1,FALSE),"")</f>
        <v/>
      </c>
      <c r="D1718" s="16" t="str">
        <f>IFERROR(VLOOKUP(C1718,DATA!#REF!,2,FALSE),"")</f>
        <v/>
      </c>
    </row>
    <row r="1719" spans="2:4" s="230" customFormat="1">
      <c r="B1719" s="15" t="str">
        <f t="shared" si="58"/>
        <v/>
      </c>
      <c r="C1719" s="16" t="str">
        <f>IFERROR(VLOOKUP(DATA!#REF!,DATA!#REF!,1,FALSE),"")</f>
        <v/>
      </c>
      <c r="D1719" s="16" t="str">
        <f>IFERROR(VLOOKUP(C1719,DATA!#REF!,2,FALSE),"")</f>
        <v/>
      </c>
    </row>
    <row r="1720" spans="2:4" s="230" customFormat="1">
      <c r="B1720" s="15" t="str">
        <f t="shared" si="58"/>
        <v/>
      </c>
      <c r="C1720" s="16" t="str">
        <f>IFERROR(VLOOKUP(DATA!#REF!,DATA!#REF!,1,FALSE),"")</f>
        <v/>
      </c>
      <c r="D1720" s="16" t="str">
        <f>IFERROR(VLOOKUP(C1720,DATA!#REF!,2,FALSE),"")</f>
        <v/>
      </c>
    </row>
    <row r="1721" spans="2:4" s="230" customFormat="1">
      <c r="B1721" s="15" t="str">
        <f t="shared" si="58"/>
        <v/>
      </c>
      <c r="C1721" s="16" t="str">
        <f>IFERROR(VLOOKUP(DATA!#REF!,DATA!#REF!,1,FALSE),"")</f>
        <v/>
      </c>
      <c r="D1721" s="16" t="str">
        <f>IFERROR(VLOOKUP(C1721,DATA!#REF!,2,FALSE),"")</f>
        <v/>
      </c>
    </row>
    <row r="1722" spans="2:4" s="230" customFormat="1">
      <c r="B1722" s="15" t="str">
        <f t="shared" si="58"/>
        <v/>
      </c>
      <c r="C1722" s="16" t="str">
        <f>IFERROR(VLOOKUP(DATA!#REF!,DATA!#REF!,1,FALSE),"")</f>
        <v/>
      </c>
      <c r="D1722" s="16" t="str">
        <f>IFERROR(VLOOKUP(C1722,DATA!#REF!,2,FALSE),"")</f>
        <v/>
      </c>
    </row>
    <row r="1723" spans="2:4" s="230" customFormat="1">
      <c r="B1723" s="15" t="str">
        <f t="shared" si="58"/>
        <v/>
      </c>
      <c r="C1723" s="16" t="str">
        <f>IFERROR(VLOOKUP(DATA!#REF!,DATA!#REF!,1,FALSE),"")</f>
        <v/>
      </c>
      <c r="D1723" s="16" t="str">
        <f>IFERROR(VLOOKUP(C1723,DATA!#REF!,2,FALSE),"")</f>
        <v/>
      </c>
    </row>
    <row r="1724" spans="2:4" s="230" customFormat="1">
      <c r="B1724" s="15" t="str">
        <f t="shared" si="58"/>
        <v/>
      </c>
      <c r="C1724" s="16" t="str">
        <f>IFERROR(VLOOKUP(DATA!#REF!,DATA!#REF!,1,FALSE),"")</f>
        <v/>
      </c>
      <c r="D1724" s="16" t="str">
        <f>IFERROR(VLOOKUP(C1724,DATA!#REF!,2,FALSE),"")</f>
        <v/>
      </c>
    </row>
    <row r="1725" spans="2:4" s="230" customFormat="1">
      <c r="B1725" s="15" t="str">
        <f t="shared" si="58"/>
        <v/>
      </c>
      <c r="C1725" s="16" t="str">
        <f>IFERROR(VLOOKUP(DATA!#REF!,DATA!#REF!,1,FALSE),"")</f>
        <v/>
      </c>
      <c r="D1725" s="16" t="str">
        <f>IFERROR(VLOOKUP(C1725,DATA!#REF!,2,FALSE),"")</f>
        <v/>
      </c>
    </row>
    <row r="1726" spans="2:4" s="230" customFormat="1">
      <c r="B1726" s="15" t="str">
        <f t="shared" si="58"/>
        <v/>
      </c>
      <c r="C1726" s="16" t="str">
        <f>IFERROR(VLOOKUP(DATA!#REF!,DATA!#REF!,1,FALSE),"")</f>
        <v/>
      </c>
      <c r="D1726" s="16" t="str">
        <f>IFERROR(VLOOKUP(C1726,DATA!#REF!,2,FALSE),"")</f>
        <v/>
      </c>
    </row>
    <row r="1727" spans="2:4" s="230" customFormat="1">
      <c r="B1727" s="15" t="str">
        <f t="shared" si="58"/>
        <v/>
      </c>
      <c r="C1727" s="16" t="str">
        <f>IFERROR(VLOOKUP(DATA!#REF!,DATA!#REF!,1,FALSE),"")</f>
        <v/>
      </c>
      <c r="D1727" s="16" t="str">
        <f>IFERROR(VLOOKUP(C1727,DATA!#REF!,2,FALSE),"")</f>
        <v/>
      </c>
    </row>
    <row r="1728" spans="2:4" s="230" customFormat="1">
      <c r="B1728" s="15" t="str">
        <f t="shared" si="58"/>
        <v/>
      </c>
      <c r="C1728" s="16" t="str">
        <f>IFERROR(VLOOKUP(DATA!#REF!,DATA!#REF!,1,FALSE),"")</f>
        <v/>
      </c>
      <c r="D1728" s="16" t="str">
        <f>IFERROR(VLOOKUP(C1728,DATA!#REF!,2,FALSE),"")</f>
        <v/>
      </c>
    </row>
    <row r="1729" spans="2:4" s="230" customFormat="1">
      <c r="B1729" s="15" t="str">
        <f t="shared" si="58"/>
        <v/>
      </c>
      <c r="C1729" s="16" t="str">
        <f>IFERROR(VLOOKUP(DATA!#REF!,DATA!#REF!,1,FALSE),"")</f>
        <v/>
      </c>
      <c r="D1729" s="16" t="str">
        <f>IFERROR(VLOOKUP(C1729,DATA!#REF!,2,FALSE),"")</f>
        <v/>
      </c>
    </row>
    <row r="1730" spans="2:4" s="230" customFormat="1">
      <c r="B1730" s="15" t="str">
        <f t="shared" si="58"/>
        <v/>
      </c>
      <c r="C1730" s="16" t="str">
        <f>IFERROR(VLOOKUP(DATA!#REF!,DATA!#REF!,1,FALSE),"")</f>
        <v/>
      </c>
      <c r="D1730" s="16" t="str">
        <f>IFERROR(VLOOKUP(C1730,DATA!#REF!,2,FALSE),"")</f>
        <v/>
      </c>
    </row>
    <row r="1731" spans="2:4" s="230" customFormat="1">
      <c r="B1731" s="15" t="str">
        <f t="shared" si="58"/>
        <v/>
      </c>
      <c r="C1731" s="16" t="str">
        <f>IFERROR(VLOOKUP(DATA!#REF!,DATA!#REF!,1,FALSE),"")</f>
        <v/>
      </c>
      <c r="D1731" s="16" t="str">
        <f>IFERROR(VLOOKUP(C1731,DATA!#REF!,2,FALSE),"")</f>
        <v/>
      </c>
    </row>
    <row r="1732" spans="2:4" s="230" customFormat="1">
      <c r="B1732" s="15" t="str">
        <f t="shared" si="58"/>
        <v/>
      </c>
      <c r="C1732" s="16" t="str">
        <f>IFERROR(VLOOKUP(DATA!#REF!,DATA!#REF!,1,FALSE),"")</f>
        <v/>
      </c>
      <c r="D1732" s="16" t="str">
        <f>IFERROR(VLOOKUP(C1732,DATA!#REF!,2,FALSE),"")</f>
        <v/>
      </c>
    </row>
    <row r="1733" spans="2:4" s="230" customFormat="1">
      <c r="B1733" s="15" t="str">
        <f t="shared" si="58"/>
        <v/>
      </c>
      <c r="C1733" s="16" t="str">
        <f>IFERROR(VLOOKUP(DATA!#REF!,DATA!#REF!,1,FALSE),"")</f>
        <v/>
      </c>
      <c r="D1733" s="16" t="str">
        <f>IFERROR(VLOOKUP(C1733,DATA!#REF!,2,FALSE),"")</f>
        <v/>
      </c>
    </row>
    <row r="1734" spans="2:4" s="230" customFormat="1">
      <c r="B1734" s="15" t="str">
        <f t="shared" ref="B1734:B1797" si="59">+IF(C1734="","",ROW()-5)</f>
        <v/>
      </c>
      <c r="C1734" s="16" t="str">
        <f>IFERROR(VLOOKUP(DATA!#REF!,DATA!#REF!,1,FALSE),"")</f>
        <v/>
      </c>
      <c r="D1734" s="16" t="str">
        <f>IFERROR(VLOOKUP(C1734,DATA!#REF!,2,FALSE),"")</f>
        <v/>
      </c>
    </row>
    <row r="1735" spans="2:4" s="230" customFormat="1">
      <c r="B1735" s="15" t="str">
        <f t="shared" si="59"/>
        <v/>
      </c>
      <c r="C1735" s="16" t="str">
        <f>IFERROR(VLOOKUP(DATA!#REF!,DATA!#REF!,1,FALSE),"")</f>
        <v/>
      </c>
      <c r="D1735" s="16" t="str">
        <f>IFERROR(VLOOKUP(C1735,DATA!#REF!,2,FALSE),"")</f>
        <v/>
      </c>
    </row>
    <row r="1736" spans="2:4" s="230" customFormat="1">
      <c r="B1736" s="15" t="str">
        <f t="shared" si="59"/>
        <v/>
      </c>
      <c r="C1736" s="16" t="str">
        <f>IFERROR(VLOOKUP(DATA!#REF!,DATA!#REF!,1,FALSE),"")</f>
        <v/>
      </c>
      <c r="D1736" s="16" t="str">
        <f>IFERROR(VLOOKUP(C1736,DATA!#REF!,2,FALSE),"")</f>
        <v/>
      </c>
    </row>
    <row r="1737" spans="2:4" s="230" customFormat="1">
      <c r="B1737" s="15" t="str">
        <f t="shared" si="59"/>
        <v/>
      </c>
      <c r="C1737" s="16" t="str">
        <f>IFERROR(VLOOKUP(DATA!#REF!,DATA!#REF!,1,FALSE),"")</f>
        <v/>
      </c>
      <c r="D1737" s="16" t="str">
        <f>IFERROR(VLOOKUP(C1737,DATA!#REF!,2,FALSE),"")</f>
        <v/>
      </c>
    </row>
    <row r="1738" spans="2:4" s="230" customFormat="1">
      <c r="B1738" s="15" t="str">
        <f t="shared" si="59"/>
        <v/>
      </c>
      <c r="C1738" s="16" t="str">
        <f>IFERROR(VLOOKUP(DATA!#REF!,DATA!#REF!,1,FALSE),"")</f>
        <v/>
      </c>
      <c r="D1738" s="16" t="str">
        <f>IFERROR(VLOOKUP(C1738,DATA!#REF!,2,FALSE),"")</f>
        <v/>
      </c>
    </row>
    <row r="1739" spans="2:4" s="230" customFormat="1">
      <c r="B1739" s="15" t="str">
        <f t="shared" si="59"/>
        <v/>
      </c>
      <c r="C1739" s="16" t="str">
        <f>IFERROR(VLOOKUP(DATA!#REF!,DATA!#REF!,1,FALSE),"")</f>
        <v/>
      </c>
      <c r="D1739" s="16" t="str">
        <f>IFERROR(VLOOKUP(C1739,DATA!#REF!,2,FALSE),"")</f>
        <v/>
      </c>
    </row>
    <row r="1740" spans="2:4" s="230" customFormat="1">
      <c r="B1740" s="15" t="str">
        <f t="shared" si="59"/>
        <v/>
      </c>
      <c r="C1740" s="16" t="str">
        <f>IFERROR(VLOOKUP(DATA!#REF!,DATA!#REF!,1,FALSE),"")</f>
        <v/>
      </c>
      <c r="D1740" s="16" t="str">
        <f>IFERROR(VLOOKUP(C1740,DATA!#REF!,2,FALSE),"")</f>
        <v/>
      </c>
    </row>
    <row r="1741" spans="2:4" s="230" customFormat="1">
      <c r="B1741" s="15" t="str">
        <f t="shared" si="59"/>
        <v/>
      </c>
      <c r="C1741" s="16" t="str">
        <f>IFERROR(VLOOKUP(DATA!#REF!,DATA!#REF!,1,FALSE),"")</f>
        <v/>
      </c>
      <c r="D1741" s="16" t="str">
        <f>IFERROR(VLOOKUP(C1741,DATA!#REF!,2,FALSE),"")</f>
        <v/>
      </c>
    </row>
    <row r="1742" spans="2:4" s="230" customFormat="1">
      <c r="B1742" s="15" t="str">
        <f t="shared" si="59"/>
        <v/>
      </c>
      <c r="C1742" s="16" t="str">
        <f>IFERROR(VLOOKUP(DATA!#REF!,DATA!#REF!,1,FALSE),"")</f>
        <v/>
      </c>
      <c r="D1742" s="16" t="str">
        <f>IFERROR(VLOOKUP(C1742,DATA!#REF!,2,FALSE),"")</f>
        <v/>
      </c>
    </row>
    <row r="1743" spans="2:4" s="230" customFormat="1">
      <c r="B1743" s="15" t="str">
        <f t="shared" si="59"/>
        <v/>
      </c>
      <c r="C1743" s="16" t="str">
        <f>IFERROR(VLOOKUP(DATA!#REF!,DATA!#REF!,1,FALSE),"")</f>
        <v/>
      </c>
      <c r="D1743" s="16" t="str">
        <f>IFERROR(VLOOKUP(C1743,DATA!#REF!,2,FALSE),"")</f>
        <v/>
      </c>
    </row>
    <row r="1744" spans="2:4" s="230" customFormat="1">
      <c r="B1744" s="15" t="str">
        <f t="shared" si="59"/>
        <v/>
      </c>
      <c r="C1744" s="16" t="str">
        <f>IFERROR(VLOOKUP(DATA!#REF!,DATA!#REF!,1,FALSE),"")</f>
        <v/>
      </c>
      <c r="D1744" s="16" t="str">
        <f>IFERROR(VLOOKUP(C1744,DATA!#REF!,2,FALSE),"")</f>
        <v/>
      </c>
    </row>
    <row r="1745" spans="2:4" s="230" customFormat="1">
      <c r="B1745" s="15" t="str">
        <f t="shared" si="59"/>
        <v/>
      </c>
      <c r="C1745" s="16" t="str">
        <f>IFERROR(VLOOKUP(DATA!#REF!,DATA!#REF!,1,FALSE),"")</f>
        <v/>
      </c>
      <c r="D1745" s="16" t="str">
        <f>IFERROR(VLOOKUP(C1745,DATA!#REF!,2,FALSE),"")</f>
        <v/>
      </c>
    </row>
    <row r="1746" spans="2:4" s="230" customFormat="1">
      <c r="B1746" s="15" t="str">
        <f t="shared" si="59"/>
        <v/>
      </c>
      <c r="C1746" s="16" t="str">
        <f>IFERROR(VLOOKUP(DATA!#REF!,DATA!#REF!,1,FALSE),"")</f>
        <v/>
      </c>
      <c r="D1746" s="16" t="str">
        <f>IFERROR(VLOOKUP(C1746,DATA!#REF!,2,FALSE),"")</f>
        <v/>
      </c>
    </row>
    <row r="1747" spans="2:4" s="230" customFormat="1">
      <c r="B1747" s="15" t="str">
        <f t="shared" si="59"/>
        <v/>
      </c>
      <c r="C1747" s="16" t="str">
        <f>IFERROR(VLOOKUP(DATA!#REF!,DATA!#REF!,1,FALSE),"")</f>
        <v/>
      </c>
      <c r="D1747" s="16" t="str">
        <f>IFERROR(VLOOKUP(C1747,DATA!#REF!,2,FALSE),"")</f>
        <v/>
      </c>
    </row>
    <row r="1748" spans="2:4" s="230" customFormat="1">
      <c r="B1748" s="15" t="str">
        <f t="shared" si="59"/>
        <v/>
      </c>
      <c r="C1748" s="16" t="str">
        <f>IFERROR(VLOOKUP(DATA!#REF!,DATA!#REF!,1,FALSE),"")</f>
        <v/>
      </c>
      <c r="D1748" s="16" t="str">
        <f>IFERROR(VLOOKUP(C1748,DATA!#REF!,2,FALSE),"")</f>
        <v/>
      </c>
    </row>
    <row r="1749" spans="2:4" s="230" customFormat="1">
      <c r="B1749" s="15" t="str">
        <f t="shared" si="59"/>
        <v/>
      </c>
      <c r="C1749" s="16" t="str">
        <f>IFERROR(VLOOKUP(DATA!#REF!,DATA!#REF!,1,FALSE),"")</f>
        <v/>
      </c>
      <c r="D1749" s="16" t="str">
        <f>IFERROR(VLOOKUP(C1749,DATA!#REF!,2,FALSE),"")</f>
        <v/>
      </c>
    </row>
    <row r="1750" spans="2:4" s="230" customFormat="1">
      <c r="B1750" s="15" t="str">
        <f t="shared" si="59"/>
        <v/>
      </c>
      <c r="C1750" s="16" t="str">
        <f>IFERROR(VLOOKUP(DATA!#REF!,DATA!#REF!,1,FALSE),"")</f>
        <v/>
      </c>
      <c r="D1750" s="16" t="str">
        <f>IFERROR(VLOOKUP(C1750,DATA!#REF!,2,FALSE),"")</f>
        <v/>
      </c>
    </row>
    <row r="1751" spans="2:4" s="230" customFormat="1">
      <c r="B1751" s="15" t="str">
        <f t="shared" si="59"/>
        <v/>
      </c>
      <c r="C1751" s="16" t="str">
        <f>IFERROR(VLOOKUP(DATA!#REF!,DATA!#REF!,1,FALSE),"")</f>
        <v/>
      </c>
      <c r="D1751" s="16" t="str">
        <f>IFERROR(VLOOKUP(C1751,DATA!#REF!,2,FALSE),"")</f>
        <v/>
      </c>
    </row>
    <row r="1752" spans="2:4" s="230" customFormat="1">
      <c r="B1752" s="15" t="str">
        <f t="shared" si="59"/>
        <v/>
      </c>
      <c r="C1752" s="16" t="str">
        <f>IFERROR(VLOOKUP(DATA!#REF!,DATA!#REF!,1,FALSE),"")</f>
        <v/>
      </c>
      <c r="D1752" s="16" t="str">
        <f>IFERROR(VLOOKUP(C1752,DATA!#REF!,2,FALSE),"")</f>
        <v/>
      </c>
    </row>
    <row r="1753" spans="2:4" s="230" customFormat="1">
      <c r="B1753" s="15" t="str">
        <f t="shared" si="59"/>
        <v/>
      </c>
      <c r="C1753" s="16" t="str">
        <f>IFERROR(VLOOKUP(DATA!#REF!,DATA!#REF!,1,FALSE),"")</f>
        <v/>
      </c>
      <c r="D1753" s="16" t="str">
        <f>IFERROR(VLOOKUP(C1753,DATA!#REF!,2,FALSE),"")</f>
        <v/>
      </c>
    </row>
    <row r="1754" spans="2:4" s="230" customFormat="1">
      <c r="B1754" s="15" t="str">
        <f t="shared" si="59"/>
        <v/>
      </c>
      <c r="C1754" s="16" t="str">
        <f>IFERROR(VLOOKUP(DATA!#REF!,DATA!#REF!,1,FALSE),"")</f>
        <v/>
      </c>
      <c r="D1754" s="16" t="str">
        <f>IFERROR(VLOOKUP(C1754,DATA!#REF!,2,FALSE),"")</f>
        <v/>
      </c>
    </row>
    <row r="1755" spans="2:4" s="230" customFormat="1">
      <c r="B1755" s="15" t="str">
        <f t="shared" si="59"/>
        <v/>
      </c>
      <c r="C1755" s="16" t="str">
        <f>IFERROR(VLOOKUP(DATA!#REF!,DATA!#REF!,1,FALSE),"")</f>
        <v/>
      </c>
      <c r="D1755" s="16" t="str">
        <f>IFERROR(VLOOKUP(C1755,DATA!#REF!,2,FALSE),"")</f>
        <v/>
      </c>
    </row>
    <row r="1756" spans="2:4" s="230" customFormat="1">
      <c r="B1756" s="15" t="str">
        <f t="shared" si="59"/>
        <v/>
      </c>
      <c r="C1756" s="16" t="str">
        <f>IFERROR(VLOOKUP(DATA!#REF!,DATA!#REF!,1,FALSE),"")</f>
        <v/>
      </c>
      <c r="D1756" s="16" t="str">
        <f>IFERROR(VLOOKUP(C1756,DATA!#REF!,2,FALSE),"")</f>
        <v/>
      </c>
    </row>
    <row r="1757" spans="2:4" s="230" customFormat="1">
      <c r="B1757" s="15" t="str">
        <f t="shared" si="59"/>
        <v/>
      </c>
      <c r="C1757" s="16" t="str">
        <f>IFERROR(VLOOKUP(DATA!#REF!,DATA!#REF!,1,FALSE),"")</f>
        <v/>
      </c>
      <c r="D1757" s="16" t="str">
        <f>IFERROR(VLOOKUP(C1757,DATA!#REF!,2,FALSE),"")</f>
        <v/>
      </c>
    </row>
    <row r="1758" spans="2:4" s="230" customFormat="1">
      <c r="B1758" s="15" t="str">
        <f t="shared" si="59"/>
        <v/>
      </c>
      <c r="C1758" s="16" t="str">
        <f>IFERROR(VLOOKUP(DATA!#REF!,DATA!#REF!,1,FALSE),"")</f>
        <v/>
      </c>
      <c r="D1758" s="16" t="str">
        <f>IFERROR(VLOOKUP(C1758,DATA!#REF!,2,FALSE),"")</f>
        <v/>
      </c>
    </row>
    <row r="1759" spans="2:4" s="230" customFormat="1">
      <c r="B1759" s="15" t="str">
        <f t="shared" si="59"/>
        <v/>
      </c>
      <c r="C1759" s="16" t="str">
        <f>IFERROR(VLOOKUP(DATA!#REF!,DATA!#REF!,1,FALSE),"")</f>
        <v/>
      </c>
      <c r="D1759" s="16" t="str">
        <f>IFERROR(VLOOKUP(C1759,DATA!#REF!,2,FALSE),"")</f>
        <v/>
      </c>
    </row>
    <row r="1760" spans="2:4" s="230" customFormat="1">
      <c r="B1760" s="15" t="str">
        <f t="shared" si="59"/>
        <v/>
      </c>
      <c r="C1760" s="16" t="str">
        <f>IFERROR(VLOOKUP(DATA!#REF!,DATA!#REF!,1,FALSE),"")</f>
        <v/>
      </c>
      <c r="D1760" s="16" t="str">
        <f>IFERROR(VLOOKUP(C1760,DATA!#REF!,2,FALSE),"")</f>
        <v/>
      </c>
    </row>
    <row r="1761" spans="2:4" s="230" customFormat="1">
      <c r="B1761" s="15" t="str">
        <f t="shared" si="59"/>
        <v/>
      </c>
      <c r="C1761" s="16" t="str">
        <f>IFERROR(VLOOKUP(DATA!#REF!,DATA!#REF!,1,FALSE),"")</f>
        <v/>
      </c>
      <c r="D1761" s="16" t="str">
        <f>IFERROR(VLOOKUP(C1761,DATA!#REF!,2,FALSE),"")</f>
        <v/>
      </c>
    </row>
    <row r="1762" spans="2:4" s="230" customFormat="1">
      <c r="B1762" s="15" t="str">
        <f t="shared" si="59"/>
        <v/>
      </c>
      <c r="C1762" s="16" t="str">
        <f>IFERROR(VLOOKUP(DATA!#REF!,DATA!#REF!,1,FALSE),"")</f>
        <v/>
      </c>
      <c r="D1762" s="16" t="str">
        <f>IFERROR(VLOOKUP(C1762,DATA!#REF!,2,FALSE),"")</f>
        <v/>
      </c>
    </row>
    <row r="1763" spans="2:4" s="230" customFormat="1">
      <c r="B1763" s="15" t="str">
        <f t="shared" si="59"/>
        <v/>
      </c>
      <c r="C1763" s="16" t="str">
        <f>IFERROR(VLOOKUP(DATA!#REF!,DATA!#REF!,1,FALSE),"")</f>
        <v/>
      </c>
      <c r="D1763" s="16" t="str">
        <f>IFERROR(VLOOKUP(C1763,DATA!#REF!,2,FALSE),"")</f>
        <v/>
      </c>
    </row>
    <row r="1764" spans="2:4" s="230" customFormat="1">
      <c r="B1764" s="15" t="str">
        <f t="shared" si="59"/>
        <v/>
      </c>
      <c r="C1764" s="16" t="str">
        <f>IFERROR(VLOOKUP(DATA!#REF!,DATA!#REF!,1,FALSE),"")</f>
        <v/>
      </c>
      <c r="D1764" s="16" t="str">
        <f>IFERROR(VLOOKUP(C1764,DATA!#REF!,2,FALSE),"")</f>
        <v/>
      </c>
    </row>
    <row r="1765" spans="2:4" s="230" customFormat="1">
      <c r="B1765" s="15" t="str">
        <f t="shared" si="59"/>
        <v/>
      </c>
      <c r="C1765" s="16" t="str">
        <f>IFERROR(VLOOKUP(DATA!#REF!,DATA!#REF!,1,FALSE),"")</f>
        <v/>
      </c>
      <c r="D1765" s="16" t="str">
        <f>IFERROR(VLOOKUP(C1765,DATA!#REF!,2,FALSE),"")</f>
        <v/>
      </c>
    </row>
    <row r="1766" spans="2:4" s="230" customFormat="1">
      <c r="B1766" s="15" t="str">
        <f t="shared" si="59"/>
        <v/>
      </c>
      <c r="C1766" s="16" t="str">
        <f>IFERROR(VLOOKUP(DATA!#REF!,DATA!#REF!,1,FALSE),"")</f>
        <v/>
      </c>
      <c r="D1766" s="16" t="str">
        <f>IFERROR(VLOOKUP(C1766,DATA!#REF!,2,FALSE),"")</f>
        <v/>
      </c>
    </row>
    <row r="1767" spans="2:4" s="230" customFormat="1">
      <c r="B1767" s="15" t="str">
        <f t="shared" si="59"/>
        <v/>
      </c>
      <c r="C1767" s="16" t="str">
        <f>IFERROR(VLOOKUP(DATA!#REF!,DATA!#REF!,1,FALSE),"")</f>
        <v/>
      </c>
      <c r="D1767" s="16" t="str">
        <f>IFERROR(VLOOKUP(C1767,DATA!#REF!,2,FALSE),"")</f>
        <v/>
      </c>
    </row>
    <row r="1768" spans="2:4" s="230" customFormat="1">
      <c r="B1768" s="15" t="str">
        <f t="shared" si="59"/>
        <v/>
      </c>
      <c r="C1768" s="16" t="str">
        <f>IFERROR(VLOOKUP(DATA!#REF!,DATA!#REF!,1,FALSE),"")</f>
        <v/>
      </c>
      <c r="D1768" s="16" t="str">
        <f>IFERROR(VLOOKUP(C1768,DATA!#REF!,2,FALSE),"")</f>
        <v/>
      </c>
    </row>
    <row r="1769" spans="2:4" s="230" customFormat="1">
      <c r="B1769" s="15" t="str">
        <f t="shared" si="59"/>
        <v/>
      </c>
      <c r="C1769" s="16" t="str">
        <f>IFERROR(VLOOKUP(DATA!#REF!,DATA!#REF!,1,FALSE),"")</f>
        <v/>
      </c>
      <c r="D1769" s="16" t="str">
        <f>IFERROR(VLOOKUP(C1769,DATA!#REF!,2,FALSE),"")</f>
        <v/>
      </c>
    </row>
    <row r="1770" spans="2:4" s="230" customFormat="1">
      <c r="B1770" s="15" t="str">
        <f t="shared" si="59"/>
        <v/>
      </c>
      <c r="C1770" s="16" t="str">
        <f>IFERROR(VLOOKUP(DATA!#REF!,DATA!#REF!,1,FALSE),"")</f>
        <v/>
      </c>
      <c r="D1770" s="16" t="str">
        <f>IFERROR(VLOOKUP(C1770,DATA!#REF!,2,FALSE),"")</f>
        <v/>
      </c>
    </row>
    <row r="1771" spans="2:4" s="230" customFormat="1">
      <c r="B1771" s="15" t="str">
        <f t="shared" si="59"/>
        <v/>
      </c>
      <c r="C1771" s="16" t="str">
        <f>IFERROR(VLOOKUP(DATA!#REF!,DATA!#REF!,1,FALSE),"")</f>
        <v/>
      </c>
      <c r="D1771" s="16" t="str">
        <f>IFERROR(VLOOKUP(C1771,DATA!#REF!,2,FALSE),"")</f>
        <v/>
      </c>
    </row>
    <row r="1772" spans="2:4" s="230" customFormat="1">
      <c r="B1772" s="15" t="str">
        <f t="shared" si="59"/>
        <v/>
      </c>
      <c r="C1772" s="16" t="str">
        <f>IFERROR(VLOOKUP(DATA!#REF!,DATA!#REF!,1,FALSE),"")</f>
        <v/>
      </c>
      <c r="D1772" s="16" t="str">
        <f>IFERROR(VLOOKUP(C1772,DATA!#REF!,2,FALSE),"")</f>
        <v/>
      </c>
    </row>
    <row r="1773" spans="2:4" s="230" customFormat="1">
      <c r="B1773" s="15" t="str">
        <f t="shared" si="59"/>
        <v/>
      </c>
      <c r="C1773" s="16" t="str">
        <f>IFERROR(VLOOKUP(DATA!#REF!,DATA!#REF!,1,FALSE),"")</f>
        <v/>
      </c>
      <c r="D1773" s="16" t="str">
        <f>IFERROR(VLOOKUP(C1773,DATA!#REF!,2,FALSE),"")</f>
        <v/>
      </c>
    </row>
    <row r="1774" spans="2:4" s="230" customFormat="1">
      <c r="B1774" s="15" t="str">
        <f t="shared" si="59"/>
        <v/>
      </c>
      <c r="C1774" s="16" t="str">
        <f>IFERROR(VLOOKUP(DATA!#REF!,DATA!#REF!,1,FALSE),"")</f>
        <v/>
      </c>
      <c r="D1774" s="16" t="str">
        <f>IFERROR(VLOOKUP(C1774,DATA!#REF!,2,FALSE),"")</f>
        <v/>
      </c>
    </row>
    <row r="1775" spans="2:4" s="230" customFormat="1">
      <c r="B1775" s="15" t="str">
        <f t="shared" si="59"/>
        <v/>
      </c>
      <c r="C1775" s="16" t="str">
        <f>IFERROR(VLOOKUP(DATA!#REF!,DATA!#REF!,1,FALSE),"")</f>
        <v/>
      </c>
      <c r="D1775" s="16" t="str">
        <f>IFERROR(VLOOKUP(C1775,DATA!#REF!,2,FALSE),"")</f>
        <v/>
      </c>
    </row>
    <row r="1776" spans="2:4" s="230" customFormat="1">
      <c r="B1776" s="15" t="str">
        <f t="shared" si="59"/>
        <v/>
      </c>
      <c r="C1776" s="16" t="str">
        <f>IFERROR(VLOOKUP(DATA!#REF!,DATA!#REF!,1,FALSE),"")</f>
        <v/>
      </c>
      <c r="D1776" s="16" t="str">
        <f>IFERROR(VLOOKUP(C1776,DATA!#REF!,2,FALSE),"")</f>
        <v/>
      </c>
    </row>
    <row r="1777" spans="2:4" s="230" customFormat="1">
      <c r="B1777" s="15" t="str">
        <f t="shared" si="59"/>
        <v/>
      </c>
      <c r="C1777" s="16" t="str">
        <f>IFERROR(VLOOKUP(DATA!#REF!,DATA!#REF!,1,FALSE),"")</f>
        <v/>
      </c>
      <c r="D1777" s="16" t="str">
        <f>IFERROR(VLOOKUP(C1777,DATA!#REF!,2,FALSE),"")</f>
        <v/>
      </c>
    </row>
    <row r="1778" spans="2:4" s="230" customFormat="1">
      <c r="B1778" s="15" t="str">
        <f t="shared" si="59"/>
        <v/>
      </c>
      <c r="C1778" s="16" t="str">
        <f>IFERROR(VLOOKUP(DATA!#REF!,DATA!#REF!,1,FALSE),"")</f>
        <v/>
      </c>
      <c r="D1778" s="16" t="str">
        <f>IFERROR(VLOOKUP(C1778,DATA!#REF!,2,FALSE),"")</f>
        <v/>
      </c>
    </row>
    <row r="1779" spans="2:4" s="230" customFormat="1">
      <c r="B1779" s="15" t="str">
        <f t="shared" si="59"/>
        <v/>
      </c>
      <c r="C1779" s="16" t="str">
        <f>IFERROR(VLOOKUP(DATA!#REF!,DATA!#REF!,1,FALSE),"")</f>
        <v/>
      </c>
      <c r="D1779" s="16" t="str">
        <f>IFERROR(VLOOKUP(C1779,DATA!#REF!,2,FALSE),"")</f>
        <v/>
      </c>
    </row>
    <row r="1780" spans="2:4" s="230" customFormat="1">
      <c r="B1780" s="15" t="str">
        <f t="shared" si="59"/>
        <v/>
      </c>
      <c r="C1780" s="16" t="str">
        <f>IFERROR(VLOOKUP(DATA!#REF!,DATA!#REF!,1,FALSE),"")</f>
        <v/>
      </c>
      <c r="D1780" s="16" t="str">
        <f>IFERROR(VLOOKUP(C1780,DATA!#REF!,2,FALSE),"")</f>
        <v/>
      </c>
    </row>
    <row r="1781" spans="2:4" s="230" customFormat="1">
      <c r="B1781" s="15" t="str">
        <f t="shared" si="59"/>
        <v/>
      </c>
      <c r="C1781" s="16" t="str">
        <f>IFERROR(VLOOKUP(DATA!#REF!,DATA!#REF!,1,FALSE),"")</f>
        <v/>
      </c>
      <c r="D1781" s="16" t="str">
        <f>IFERROR(VLOOKUP(C1781,DATA!#REF!,2,FALSE),"")</f>
        <v/>
      </c>
    </row>
    <row r="1782" spans="2:4" s="230" customFormat="1">
      <c r="B1782" s="15" t="str">
        <f t="shared" si="59"/>
        <v/>
      </c>
      <c r="C1782" s="16" t="str">
        <f>IFERROR(VLOOKUP(DATA!#REF!,DATA!#REF!,1,FALSE),"")</f>
        <v/>
      </c>
      <c r="D1782" s="16" t="str">
        <f>IFERROR(VLOOKUP(C1782,DATA!#REF!,2,FALSE),"")</f>
        <v/>
      </c>
    </row>
    <row r="1783" spans="2:4" s="230" customFormat="1">
      <c r="B1783" s="15" t="str">
        <f t="shared" si="59"/>
        <v/>
      </c>
      <c r="C1783" s="16" t="str">
        <f>IFERROR(VLOOKUP(DATA!#REF!,DATA!#REF!,1,FALSE),"")</f>
        <v/>
      </c>
      <c r="D1783" s="16" t="str">
        <f>IFERROR(VLOOKUP(C1783,DATA!#REF!,2,FALSE),"")</f>
        <v/>
      </c>
    </row>
    <row r="1784" spans="2:4" s="230" customFormat="1">
      <c r="B1784" s="15" t="str">
        <f t="shared" si="59"/>
        <v/>
      </c>
      <c r="C1784" s="16" t="str">
        <f>IFERROR(VLOOKUP(DATA!#REF!,DATA!#REF!,1,FALSE),"")</f>
        <v/>
      </c>
      <c r="D1784" s="16" t="str">
        <f>IFERROR(VLOOKUP(C1784,DATA!#REF!,2,FALSE),"")</f>
        <v/>
      </c>
    </row>
    <row r="1785" spans="2:4" s="230" customFormat="1">
      <c r="B1785" s="15" t="str">
        <f t="shared" si="59"/>
        <v/>
      </c>
      <c r="C1785" s="16" t="str">
        <f>IFERROR(VLOOKUP(DATA!#REF!,DATA!#REF!,1,FALSE),"")</f>
        <v/>
      </c>
      <c r="D1785" s="16" t="str">
        <f>IFERROR(VLOOKUP(C1785,DATA!#REF!,2,FALSE),"")</f>
        <v/>
      </c>
    </row>
    <row r="1786" spans="2:4" s="230" customFormat="1">
      <c r="B1786" s="15" t="str">
        <f t="shared" si="59"/>
        <v/>
      </c>
      <c r="C1786" s="16" t="str">
        <f>IFERROR(VLOOKUP(DATA!#REF!,DATA!#REF!,1,FALSE),"")</f>
        <v/>
      </c>
      <c r="D1786" s="16" t="str">
        <f>IFERROR(VLOOKUP(C1786,DATA!#REF!,2,FALSE),"")</f>
        <v/>
      </c>
    </row>
    <row r="1787" spans="2:4" s="230" customFormat="1">
      <c r="B1787" s="15" t="str">
        <f t="shared" si="59"/>
        <v/>
      </c>
      <c r="C1787" s="16" t="str">
        <f>IFERROR(VLOOKUP(DATA!#REF!,DATA!#REF!,1,FALSE),"")</f>
        <v/>
      </c>
      <c r="D1787" s="16" t="str">
        <f>IFERROR(VLOOKUP(C1787,DATA!#REF!,2,FALSE),"")</f>
        <v/>
      </c>
    </row>
    <row r="1788" spans="2:4" s="230" customFormat="1">
      <c r="B1788" s="15" t="str">
        <f t="shared" si="59"/>
        <v/>
      </c>
      <c r="C1788" s="16" t="str">
        <f>IFERROR(VLOOKUP(DATA!#REF!,DATA!#REF!,1,FALSE),"")</f>
        <v/>
      </c>
      <c r="D1788" s="16" t="str">
        <f>IFERROR(VLOOKUP(C1788,DATA!#REF!,2,FALSE),"")</f>
        <v/>
      </c>
    </row>
    <row r="1789" spans="2:4" s="230" customFormat="1">
      <c r="B1789" s="15" t="str">
        <f t="shared" si="59"/>
        <v/>
      </c>
      <c r="C1789" s="16" t="str">
        <f>IFERROR(VLOOKUP(DATA!#REF!,DATA!#REF!,1,FALSE),"")</f>
        <v/>
      </c>
      <c r="D1789" s="16" t="str">
        <f>IFERROR(VLOOKUP(C1789,DATA!#REF!,2,FALSE),"")</f>
        <v/>
      </c>
    </row>
    <row r="1790" spans="2:4" s="230" customFormat="1">
      <c r="B1790" s="15" t="str">
        <f t="shared" si="59"/>
        <v/>
      </c>
      <c r="C1790" s="16" t="str">
        <f>IFERROR(VLOOKUP(DATA!#REF!,DATA!#REF!,1,FALSE),"")</f>
        <v/>
      </c>
      <c r="D1790" s="16" t="str">
        <f>IFERROR(VLOOKUP(C1790,DATA!#REF!,2,FALSE),"")</f>
        <v/>
      </c>
    </row>
    <row r="1791" spans="2:4" s="230" customFormat="1">
      <c r="B1791" s="15" t="str">
        <f t="shared" si="59"/>
        <v/>
      </c>
      <c r="C1791" s="16" t="str">
        <f>IFERROR(VLOOKUP(DATA!#REF!,DATA!#REF!,1,FALSE),"")</f>
        <v/>
      </c>
      <c r="D1791" s="16" t="str">
        <f>IFERROR(VLOOKUP(C1791,DATA!#REF!,2,FALSE),"")</f>
        <v/>
      </c>
    </row>
    <row r="1792" spans="2:4" s="230" customFormat="1">
      <c r="B1792" s="15" t="str">
        <f t="shared" si="59"/>
        <v/>
      </c>
      <c r="C1792" s="16" t="str">
        <f>IFERROR(VLOOKUP(DATA!#REF!,DATA!#REF!,1,FALSE),"")</f>
        <v/>
      </c>
      <c r="D1792" s="16" t="str">
        <f>IFERROR(VLOOKUP(C1792,DATA!#REF!,2,FALSE),"")</f>
        <v/>
      </c>
    </row>
    <row r="1793" spans="2:4" s="230" customFormat="1">
      <c r="B1793" s="15" t="str">
        <f t="shared" si="59"/>
        <v/>
      </c>
      <c r="C1793" s="16" t="str">
        <f>IFERROR(VLOOKUP(DATA!#REF!,DATA!#REF!,1,FALSE),"")</f>
        <v/>
      </c>
      <c r="D1793" s="16" t="str">
        <f>IFERROR(VLOOKUP(C1793,DATA!#REF!,2,FALSE),"")</f>
        <v/>
      </c>
    </row>
    <row r="1794" spans="2:4" s="230" customFormat="1">
      <c r="B1794" s="15" t="str">
        <f t="shared" si="59"/>
        <v/>
      </c>
      <c r="C1794" s="16" t="str">
        <f>IFERROR(VLOOKUP(DATA!#REF!,DATA!#REF!,1,FALSE),"")</f>
        <v/>
      </c>
      <c r="D1794" s="16" t="str">
        <f>IFERROR(VLOOKUP(C1794,DATA!#REF!,2,FALSE),"")</f>
        <v/>
      </c>
    </row>
    <row r="1795" spans="2:4" s="230" customFormat="1">
      <c r="B1795" s="15" t="str">
        <f t="shared" si="59"/>
        <v/>
      </c>
      <c r="C1795" s="16" t="str">
        <f>IFERROR(VLOOKUP(DATA!#REF!,DATA!#REF!,1,FALSE),"")</f>
        <v/>
      </c>
      <c r="D1795" s="16" t="str">
        <f>IFERROR(VLOOKUP(C1795,DATA!#REF!,2,FALSE),"")</f>
        <v/>
      </c>
    </row>
    <row r="1796" spans="2:4" s="230" customFormat="1">
      <c r="B1796" s="15" t="str">
        <f t="shared" si="59"/>
        <v/>
      </c>
      <c r="C1796" s="16" t="str">
        <f>IFERROR(VLOOKUP(DATA!#REF!,DATA!#REF!,1,FALSE),"")</f>
        <v/>
      </c>
      <c r="D1796" s="16" t="str">
        <f>IFERROR(VLOOKUP(C1796,DATA!#REF!,2,FALSE),"")</f>
        <v/>
      </c>
    </row>
    <row r="1797" spans="2:4" s="230" customFormat="1">
      <c r="B1797" s="15" t="str">
        <f t="shared" si="59"/>
        <v/>
      </c>
      <c r="C1797" s="16" t="str">
        <f>IFERROR(VLOOKUP(DATA!#REF!,DATA!#REF!,1,FALSE),"")</f>
        <v/>
      </c>
      <c r="D1797" s="16" t="str">
        <f>IFERROR(VLOOKUP(C1797,DATA!#REF!,2,FALSE),"")</f>
        <v/>
      </c>
    </row>
    <row r="1798" spans="2:4" s="230" customFormat="1">
      <c r="B1798" s="15" t="str">
        <f t="shared" ref="B1798:B1861" si="60">+IF(C1798="","",ROW()-5)</f>
        <v/>
      </c>
      <c r="C1798" s="16" t="str">
        <f>IFERROR(VLOOKUP(DATA!#REF!,DATA!#REF!,1,FALSE),"")</f>
        <v/>
      </c>
      <c r="D1798" s="16" t="str">
        <f>IFERROR(VLOOKUP(C1798,DATA!#REF!,2,FALSE),"")</f>
        <v/>
      </c>
    </row>
    <row r="1799" spans="2:4" s="230" customFormat="1">
      <c r="B1799" s="15" t="str">
        <f t="shared" si="60"/>
        <v/>
      </c>
      <c r="C1799" s="16" t="str">
        <f>IFERROR(VLOOKUP(DATA!#REF!,DATA!#REF!,1,FALSE),"")</f>
        <v/>
      </c>
      <c r="D1799" s="16" t="str">
        <f>IFERROR(VLOOKUP(C1799,DATA!#REF!,2,FALSE),"")</f>
        <v/>
      </c>
    </row>
    <row r="1800" spans="2:4" s="230" customFormat="1">
      <c r="B1800" s="15" t="str">
        <f t="shared" si="60"/>
        <v/>
      </c>
      <c r="C1800" s="16" t="str">
        <f>IFERROR(VLOOKUP(DATA!#REF!,DATA!#REF!,1,FALSE),"")</f>
        <v/>
      </c>
      <c r="D1800" s="16" t="str">
        <f>IFERROR(VLOOKUP(C1800,DATA!#REF!,2,FALSE),"")</f>
        <v/>
      </c>
    </row>
    <row r="1801" spans="2:4" s="230" customFormat="1">
      <c r="B1801" s="15" t="str">
        <f t="shared" si="60"/>
        <v/>
      </c>
      <c r="C1801" s="16" t="str">
        <f>IFERROR(VLOOKUP(DATA!#REF!,DATA!#REF!,1,FALSE),"")</f>
        <v/>
      </c>
      <c r="D1801" s="16" t="str">
        <f>IFERROR(VLOOKUP(C1801,DATA!#REF!,2,FALSE),"")</f>
        <v/>
      </c>
    </row>
    <row r="1802" spans="2:4" s="230" customFormat="1">
      <c r="B1802" s="15" t="str">
        <f t="shared" si="60"/>
        <v/>
      </c>
      <c r="C1802" s="16" t="str">
        <f>IFERROR(VLOOKUP(DATA!#REF!,DATA!#REF!,1,FALSE),"")</f>
        <v/>
      </c>
      <c r="D1802" s="16" t="str">
        <f>IFERROR(VLOOKUP(C1802,DATA!#REF!,2,FALSE),"")</f>
        <v/>
      </c>
    </row>
    <row r="1803" spans="2:4" s="230" customFormat="1">
      <c r="B1803" s="15" t="str">
        <f t="shared" si="60"/>
        <v/>
      </c>
      <c r="C1803" s="16" t="str">
        <f>IFERROR(VLOOKUP(DATA!#REF!,DATA!#REF!,1,FALSE),"")</f>
        <v/>
      </c>
      <c r="D1803" s="16" t="str">
        <f>IFERROR(VLOOKUP(C1803,DATA!#REF!,2,FALSE),"")</f>
        <v/>
      </c>
    </row>
    <row r="1804" spans="2:4" s="230" customFormat="1">
      <c r="B1804" s="15" t="str">
        <f t="shared" si="60"/>
        <v/>
      </c>
      <c r="C1804" s="16" t="str">
        <f>IFERROR(VLOOKUP(DATA!#REF!,DATA!#REF!,1,FALSE),"")</f>
        <v/>
      </c>
      <c r="D1804" s="16" t="str">
        <f>IFERROR(VLOOKUP(C1804,DATA!#REF!,2,FALSE),"")</f>
        <v/>
      </c>
    </row>
    <row r="1805" spans="2:4" s="230" customFormat="1">
      <c r="B1805" s="15" t="str">
        <f t="shared" si="60"/>
        <v/>
      </c>
      <c r="C1805" s="16" t="str">
        <f>IFERROR(VLOOKUP(DATA!#REF!,DATA!#REF!,1,FALSE),"")</f>
        <v/>
      </c>
      <c r="D1805" s="16" t="str">
        <f>IFERROR(VLOOKUP(C1805,DATA!#REF!,2,FALSE),"")</f>
        <v/>
      </c>
    </row>
    <row r="1806" spans="2:4" s="230" customFormat="1">
      <c r="B1806" s="15" t="str">
        <f t="shared" si="60"/>
        <v/>
      </c>
      <c r="C1806" s="16" t="str">
        <f>IFERROR(VLOOKUP(DATA!#REF!,DATA!#REF!,1,FALSE),"")</f>
        <v/>
      </c>
      <c r="D1806" s="16" t="str">
        <f>IFERROR(VLOOKUP(C1806,DATA!#REF!,2,FALSE),"")</f>
        <v/>
      </c>
    </row>
    <row r="1807" spans="2:4" s="230" customFormat="1">
      <c r="B1807" s="15" t="str">
        <f t="shared" si="60"/>
        <v/>
      </c>
      <c r="C1807" s="16" t="str">
        <f>IFERROR(VLOOKUP(DATA!#REF!,DATA!#REF!,1,FALSE),"")</f>
        <v/>
      </c>
      <c r="D1807" s="16" t="str">
        <f>IFERROR(VLOOKUP(C1807,DATA!#REF!,2,FALSE),"")</f>
        <v/>
      </c>
    </row>
    <row r="1808" spans="2:4" s="230" customFormat="1">
      <c r="B1808" s="15" t="str">
        <f t="shared" si="60"/>
        <v/>
      </c>
      <c r="C1808" s="16" t="str">
        <f>IFERROR(VLOOKUP(DATA!#REF!,DATA!#REF!,1,FALSE),"")</f>
        <v/>
      </c>
      <c r="D1808" s="16" t="str">
        <f>IFERROR(VLOOKUP(C1808,DATA!#REF!,2,FALSE),"")</f>
        <v/>
      </c>
    </row>
    <row r="1809" spans="2:4" s="230" customFormat="1">
      <c r="B1809" s="15" t="str">
        <f t="shared" si="60"/>
        <v/>
      </c>
      <c r="C1809" s="16" t="str">
        <f>IFERROR(VLOOKUP(DATA!#REF!,DATA!#REF!,1,FALSE),"")</f>
        <v/>
      </c>
      <c r="D1809" s="16" t="str">
        <f>IFERROR(VLOOKUP(C1809,DATA!#REF!,2,FALSE),"")</f>
        <v/>
      </c>
    </row>
    <row r="1810" spans="2:4" s="230" customFormat="1">
      <c r="B1810" s="15" t="str">
        <f t="shared" si="60"/>
        <v/>
      </c>
      <c r="C1810" s="16" t="str">
        <f>IFERROR(VLOOKUP(DATA!#REF!,DATA!#REF!,1,FALSE),"")</f>
        <v/>
      </c>
      <c r="D1810" s="16" t="str">
        <f>IFERROR(VLOOKUP(C1810,DATA!#REF!,2,FALSE),"")</f>
        <v/>
      </c>
    </row>
    <row r="1811" spans="2:4" s="230" customFormat="1">
      <c r="B1811" s="15" t="str">
        <f t="shared" si="60"/>
        <v/>
      </c>
      <c r="C1811" s="16" t="str">
        <f>IFERROR(VLOOKUP(DATA!#REF!,DATA!#REF!,1,FALSE),"")</f>
        <v/>
      </c>
      <c r="D1811" s="16" t="str">
        <f>IFERROR(VLOOKUP(C1811,DATA!#REF!,2,FALSE),"")</f>
        <v/>
      </c>
    </row>
    <row r="1812" spans="2:4" s="230" customFormat="1">
      <c r="B1812" s="15" t="str">
        <f t="shared" si="60"/>
        <v/>
      </c>
      <c r="C1812" s="16" t="str">
        <f>IFERROR(VLOOKUP(DATA!#REF!,DATA!#REF!,1,FALSE),"")</f>
        <v/>
      </c>
      <c r="D1812" s="16" t="str">
        <f>IFERROR(VLOOKUP(C1812,DATA!#REF!,2,FALSE),"")</f>
        <v/>
      </c>
    </row>
    <row r="1813" spans="2:4" s="230" customFormat="1">
      <c r="B1813" s="15" t="str">
        <f t="shared" si="60"/>
        <v/>
      </c>
      <c r="C1813" s="16" t="str">
        <f>IFERROR(VLOOKUP(DATA!#REF!,DATA!#REF!,1,FALSE),"")</f>
        <v/>
      </c>
      <c r="D1813" s="16" t="str">
        <f>IFERROR(VLOOKUP(C1813,DATA!#REF!,2,FALSE),"")</f>
        <v/>
      </c>
    </row>
    <row r="1814" spans="2:4" s="230" customFormat="1">
      <c r="B1814" s="15" t="str">
        <f t="shared" si="60"/>
        <v/>
      </c>
      <c r="C1814" s="16" t="str">
        <f>IFERROR(VLOOKUP(DATA!#REF!,DATA!#REF!,1,FALSE),"")</f>
        <v/>
      </c>
      <c r="D1814" s="16" t="str">
        <f>IFERROR(VLOOKUP(C1814,DATA!#REF!,2,FALSE),"")</f>
        <v/>
      </c>
    </row>
    <row r="1815" spans="2:4" s="230" customFormat="1">
      <c r="B1815" s="15" t="str">
        <f t="shared" si="60"/>
        <v/>
      </c>
      <c r="C1815" s="16" t="str">
        <f>IFERROR(VLOOKUP(DATA!#REF!,DATA!#REF!,1,FALSE),"")</f>
        <v/>
      </c>
      <c r="D1815" s="16" t="str">
        <f>IFERROR(VLOOKUP(C1815,DATA!#REF!,2,FALSE),"")</f>
        <v/>
      </c>
    </row>
    <row r="1816" spans="2:4" s="230" customFormat="1">
      <c r="B1816" s="15" t="str">
        <f t="shared" si="60"/>
        <v/>
      </c>
      <c r="C1816" s="16" t="str">
        <f>IFERROR(VLOOKUP(DATA!#REF!,DATA!#REF!,1,FALSE),"")</f>
        <v/>
      </c>
      <c r="D1816" s="16" t="str">
        <f>IFERROR(VLOOKUP(C1816,DATA!#REF!,2,FALSE),"")</f>
        <v/>
      </c>
    </row>
    <row r="1817" spans="2:4" s="230" customFormat="1">
      <c r="B1817" s="15" t="str">
        <f t="shared" si="60"/>
        <v/>
      </c>
      <c r="C1817" s="16" t="str">
        <f>IFERROR(VLOOKUP(DATA!#REF!,DATA!#REF!,1,FALSE),"")</f>
        <v/>
      </c>
      <c r="D1817" s="16" t="str">
        <f>IFERROR(VLOOKUP(C1817,DATA!#REF!,2,FALSE),"")</f>
        <v/>
      </c>
    </row>
    <row r="1818" spans="2:4" s="230" customFormat="1">
      <c r="B1818" s="15" t="str">
        <f t="shared" si="60"/>
        <v/>
      </c>
      <c r="C1818" s="16" t="str">
        <f>IFERROR(VLOOKUP(DATA!#REF!,DATA!#REF!,1,FALSE),"")</f>
        <v/>
      </c>
      <c r="D1818" s="16" t="str">
        <f>IFERROR(VLOOKUP(C1818,DATA!#REF!,2,FALSE),"")</f>
        <v/>
      </c>
    </row>
    <row r="1819" spans="2:4" s="230" customFormat="1">
      <c r="B1819" s="15" t="str">
        <f t="shared" si="60"/>
        <v/>
      </c>
      <c r="C1819" s="16" t="str">
        <f>IFERROR(VLOOKUP(DATA!#REF!,DATA!#REF!,1,FALSE),"")</f>
        <v/>
      </c>
      <c r="D1819" s="16" t="str">
        <f>IFERROR(VLOOKUP(C1819,DATA!#REF!,2,FALSE),"")</f>
        <v/>
      </c>
    </row>
    <row r="1820" spans="2:4" s="230" customFormat="1">
      <c r="B1820" s="15" t="str">
        <f t="shared" si="60"/>
        <v/>
      </c>
      <c r="C1820" s="16" t="str">
        <f>IFERROR(VLOOKUP(DATA!#REF!,DATA!#REF!,1,FALSE),"")</f>
        <v/>
      </c>
      <c r="D1820" s="16" t="str">
        <f>IFERROR(VLOOKUP(C1820,DATA!#REF!,2,FALSE),"")</f>
        <v/>
      </c>
    </row>
    <row r="1821" spans="2:4" s="230" customFormat="1">
      <c r="B1821" s="15" t="str">
        <f t="shared" si="60"/>
        <v/>
      </c>
      <c r="C1821" s="16" t="str">
        <f>IFERROR(VLOOKUP(DATA!#REF!,DATA!#REF!,1,FALSE),"")</f>
        <v/>
      </c>
      <c r="D1821" s="16" t="str">
        <f>IFERROR(VLOOKUP(C1821,DATA!#REF!,2,FALSE),"")</f>
        <v/>
      </c>
    </row>
    <row r="1822" spans="2:4" s="230" customFormat="1">
      <c r="B1822" s="15" t="str">
        <f t="shared" si="60"/>
        <v/>
      </c>
      <c r="C1822" s="16" t="str">
        <f>IFERROR(VLOOKUP(DATA!#REF!,DATA!#REF!,1,FALSE),"")</f>
        <v/>
      </c>
      <c r="D1822" s="16" t="str">
        <f>IFERROR(VLOOKUP(C1822,DATA!#REF!,2,FALSE),"")</f>
        <v/>
      </c>
    </row>
    <row r="1823" spans="2:4" s="230" customFormat="1">
      <c r="B1823" s="15" t="str">
        <f t="shared" si="60"/>
        <v/>
      </c>
      <c r="C1823" s="16" t="str">
        <f>IFERROR(VLOOKUP(DATA!#REF!,DATA!#REF!,1,FALSE),"")</f>
        <v/>
      </c>
      <c r="D1823" s="16" t="str">
        <f>IFERROR(VLOOKUP(C1823,DATA!#REF!,2,FALSE),"")</f>
        <v/>
      </c>
    </row>
    <row r="1824" spans="2:4" s="230" customFormat="1">
      <c r="B1824" s="15" t="str">
        <f t="shared" si="60"/>
        <v/>
      </c>
      <c r="C1824" s="16" t="str">
        <f>IFERROR(VLOOKUP(DATA!#REF!,DATA!#REF!,1,FALSE),"")</f>
        <v/>
      </c>
      <c r="D1824" s="16" t="str">
        <f>IFERROR(VLOOKUP(C1824,DATA!#REF!,2,FALSE),"")</f>
        <v/>
      </c>
    </row>
    <row r="1825" spans="2:4" s="230" customFormat="1">
      <c r="B1825" s="15" t="str">
        <f t="shared" si="60"/>
        <v/>
      </c>
      <c r="C1825" s="16" t="str">
        <f>IFERROR(VLOOKUP(DATA!#REF!,DATA!#REF!,1,FALSE),"")</f>
        <v/>
      </c>
      <c r="D1825" s="16" t="str">
        <f>IFERROR(VLOOKUP(C1825,DATA!#REF!,2,FALSE),"")</f>
        <v/>
      </c>
    </row>
    <row r="1826" spans="2:4" s="230" customFormat="1">
      <c r="B1826" s="15" t="str">
        <f t="shared" si="60"/>
        <v/>
      </c>
      <c r="C1826" s="16" t="str">
        <f>IFERROR(VLOOKUP(DATA!#REF!,DATA!#REF!,1,FALSE),"")</f>
        <v/>
      </c>
      <c r="D1826" s="16" t="str">
        <f>IFERROR(VLOOKUP(C1826,DATA!#REF!,2,FALSE),"")</f>
        <v/>
      </c>
    </row>
    <row r="1827" spans="2:4" s="230" customFormat="1">
      <c r="B1827" s="15" t="str">
        <f t="shared" si="60"/>
        <v/>
      </c>
      <c r="C1827" s="16" t="str">
        <f>IFERROR(VLOOKUP(DATA!#REF!,DATA!#REF!,1,FALSE),"")</f>
        <v/>
      </c>
      <c r="D1827" s="16" t="str">
        <f>IFERROR(VLOOKUP(C1827,DATA!#REF!,2,FALSE),"")</f>
        <v/>
      </c>
    </row>
    <row r="1828" spans="2:4" s="230" customFormat="1">
      <c r="B1828" s="15" t="str">
        <f t="shared" si="60"/>
        <v/>
      </c>
      <c r="C1828" s="16" t="str">
        <f>IFERROR(VLOOKUP(DATA!#REF!,DATA!#REF!,1,FALSE),"")</f>
        <v/>
      </c>
      <c r="D1828" s="16" t="str">
        <f>IFERROR(VLOOKUP(C1828,DATA!#REF!,2,FALSE),"")</f>
        <v/>
      </c>
    </row>
    <row r="1829" spans="2:4" s="230" customFormat="1">
      <c r="B1829" s="15" t="str">
        <f t="shared" si="60"/>
        <v/>
      </c>
      <c r="C1829" s="16" t="str">
        <f>IFERROR(VLOOKUP(DATA!#REF!,DATA!#REF!,1,FALSE),"")</f>
        <v/>
      </c>
      <c r="D1829" s="16" t="str">
        <f>IFERROR(VLOOKUP(C1829,DATA!#REF!,2,FALSE),"")</f>
        <v/>
      </c>
    </row>
    <row r="1830" spans="2:4" s="230" customFormat="1">
      <c r="B1830" s="15" t="str">
        <f t="shared" si="60"/>
        <v/>
      </c>
      <c r="C1830" s="16" t="str">
        <f>IFERROR(VLOOKUP(DATA!#REF!,DATA!#REF!,1,FALSE),"")</f>
        <v/>
      </c>
      <c r="D1830" s="16" t="str">
        <f>IFERROR(VLOOKUP(C1830,DATA!#REF!,2,FALSE),"")</f>
        <v/>
      </c>
    </row>
    <row r="1831" spans="2:4" s="230" customFormat="1">
      <c r="B1831" s="15" t="str">
        <f t="shared" si="60"/>
        <v/>
      </c>
      <c r="C1831" s="16" t="str">
        <f>IFERROR(VLOOKUP(DATA!#REF!,DATA!#REF!,1,FALSE),"")</f>
        <v/>
      </c>
      <c r="D1831" s="16" t="str">
        <f>IFERROR(VLOOKUP(C1831,DATA!#REF!,2,FALSE),"")</f>
        <v/>
      </c>
    </row>
    <row r="1832" spans="2:4" s="230" customFormat="1">
      <c r="B1832" s="15" t="str">
        <f t="shared" si="60"/>
        <v/>
      </c>
      <c r="C1832" s="16" t="str">
        <f>IFERROR(VLOOKUP(DATA!#REF!,DATA!#REF!,1,FALSE),"")</f>
        <v/>
      </c>
      <c r="D1832" s="16" t="str">
        <f>IFERROR(VLOOKUP(C1832,DATA!#REF!,2,FALSE),"")</f>
        <v/>
      </c>
    </row>
    <row r="1833" spans="2:4" s="230" customFormat="1">
      <c r="B1833" s="15" t="str">
        <f t="shared" si="60"/>
        <v/>
      </c>
      <c r="C1833" s="16" t="str">
        <f>IFERROR(VLOOKUP(DATA!#REF!,DATA!#REF!,1,FALSE),"")</f>
        <v/>
      </c>
      <c r="D1833" s="16" t="str">
        <f>IFERROR(VLOOKUP(C1833,DATA!#REF!,2,FALSE),"")</f>
        <v/>
      </c>
    </row>
    <row r="1834" spans="2:4" s="230" customFormat="1">
      <c r="B1834" s="15" t="str">
        <f t="shared" si="60"/>
        <v/>
      </c>
      <c r="C1834" s="16" t="str">
        <f>IFERROR(VLOOKUP(DATA!#REF!,DATA!#REF!,1,FALSE),"")</f>
        <v/>
      </c>
      <c r="D1834" s="16" t="str">
        <f>IFERROR(VLOOKUP(C1834,DATA!#REF!,2,FALSE),"")</f>
        <v/>
      </c>
    </row>
    <row r="1835" spans="2:4" s="230" customFormat="1">
      <c r="B1835" s="15" t="str">
        <f t="shared" si="60"/>
        <v/>
      </c>
      <c r="C1835" s="16" t="str">
        <f>IFERROR(VLOOKUP(DATA!#REF!,DATA!#REF!,1,FALSE),"")</f>
        <v/>
      </c>
      <c r="D1835" s="16" t="str">
        <f>IFERROR(VLOOKUP(C1835,DATA!#REF!,2,FALSE),"")</f>
        <v/>
      </c>
    </row>
    <row r="1836" spans="2:4" s="230" customFormat="1">
      <c r="B1836" s="15" t="str">
        <f t="shared" si="60"/>
        <v/>
      </c>
      <c r="C1836" s="16" t="str">
        <f>IFERROR(VLOOKUP(DATA!#REF!,DATA!#REF!,1,FALSE),"")</f>
        <v/>
      </c>
      <c r="D1836" s="16" t="str">
        <f>IFERROR(VLOOKUP(C1836,DATA!#REF!,2,FALSE),"")</f>
        <v/>
      </c>
    </row>
    <row r="1837" spans="2:4" s="230" customFormat="1">
      <c r="B1837" s="15" t="str">
        <f t="shared" si="60"/>
        <v/>
      </c>
      <c r="C1837" s="16" t="str">
        <f>IFERROR(VLOOKUP(DATA!#REF!,DATA!#REF!,1,FALSE),"")</f>
        <v/>
      </c>
      <c r="D1837" s="16" t="str">
        <f>IFERROR(VLOOKUP(C1837,DATA!#REF!,2,FALSE),"")</f>
        <v/>
      </c>
    </row>
    <row r="1838" spans="2:4" s="230" customFormat="1">
      <c r="B1838" s="15" t="str">
        <f t="shared" si="60"/>
        <v/>
      </c>
      <c r="C1838" s="16" t="str">
        <f>IFERROR(VLOOKUP(DATA!#REF!,DATA!#REF!,1,FALSE),"")</f>
        <v/>
      </c>
      <c r="D1838" s="16" t="str">
        <f>IFERROR(VLOOKUP(C1838,DATA!#REF!,2,FALSE),"")</f>
        <v/>
      </c>
    </row>
    <row r="1839" spans="2:4" s="230" customFormat="1">
      <c r="B1839" s="15" t="str">
        <f t="shared" si="60"/>
        <v/>
      </c>
      <c r="C1839" s="16" t="str">
        <f>IFERROR(VLOOKUP(DATA!#REF!,DATA!#REF!,1,FALSE),"")</f>
        <v/>
      </c>
      <c r="D1839" s="16" t="str">
        <f>IFERROR(VLOOKUP(C1839,DATA!#REF!,2,FALSE),"")</f>
        <v/>
      </c>
    </row>
    <row r="1840" spans="2:4" s="230" customFormat="1">
      <c r="B1840" s="15" t="str">
        <f t="shared" si="60"/>
        <v/>
      </c>
      <c r="C1840" s="16" t="str">
        <f>IFERROR(VLOOKUP(DATA!#REF!,DATA!#REF!,1,FALSE),"")</f>
        <v/>
      </c>
      <c r="D1840" s="16" t="str">
        <f>IFERROR(VLOOKUP(C1840,DATA!#REF!,2,FALSE),"")</f>
        <v/>
      </c>
    </row>
    <row r="1841" spans="2:4" s="230" customFormat="1">
      <c r="B1841" s="15" t="str">
        <f t="shared" si="60"/>
        <v/>
      </c>
      <c r="C1841" s="16" t="str">
        <f>IFERROR(VLOOKUP(DATA!#REF!,DATA!#REF!,1,FALSE),"")</f>
        <v/>
      </c>
      <c r="D1841" s="16" t="str">
        <f>IFERROR(VLOOKUP(C1841,DATA!#REF!,2,FALSE),"")</f>
        <v/>
      </c>
    </row>
    <row r="1842" spans="2:4" s="230" customFormat="1">
      <c r="B1842" s="15" t="str">
        <f t="shared" si="60"/>
        <v/>
      </c>
      <c r="C1842" s="16" t="str">
        <f>IFERROR(VLOOKUP(DATA!#REF!,DATA!#REF!,1,FALSE),"")</f>
        <v/>
      </c>
      <c r="D1842" s="16" t="str">
        <f>IFERROR(VLOOKUP(C1842,DATA!#REF!,2,FALSE),"")</f>
        <v/>
      </c>
    </row>
    <row r="1843" spans="2:4" s="230" customFormat="1">
      <c r="B1843" s="15" t="str">
        <f t="shared" si="60"/>
        <v/>
      </c>
      <c r="C1843" s="16" t="str">
        <f>IFERROR(VLOOKUP(DATA!#REF!,DATA!#REF!,1,FALSE),"")</f>
        <v/>
      </c>
      <c r="D1843" s="16" t="str">
        <f>IFERROR(VLOOKUP(C1843,DATA!#REF!,2,FALSE),"")</f>
        <v/>
      </c>
    </row>
    <row r="1844" spans="2:4" s="230" customFormat="1">
      <c r="B1844" s="15" t="str">
        <f t="shared" si="60"/>
        <v/>
      </c>
      <c r="C1844" s="16" t="str">
        <f>IFERROR(VLOOKUP(DATA!#REF!,DATA!#REF!,1,FALSE),"")</f>
        <v/>
      </c>
      <c r="D1844" s="16" t="str">
        <f>IFERROR(VLOOKUP(C1844,DATA!#REF!,2,FALSE),"")</f>
        <v/>
      </c>
    </row>
    <row r="1845" spans="2:4" s="230" customFormat="1">
      <c r="B1845" s="15" t="str">
        <f t="shared" si="60"/>
        <v/>
      </c>
      <c r="C1845" s="16" t="str">
        <f>IFERROR(VLOOKUP(DATA!#REF!,DATA!#REF!,1,FALSE),"")</f>
        <v/>
      </c>
      <c r="D1845" s="16" t="str">
        <f>IFERROR(VLOOKUP(C1845,DATA!#REF!,2,FALSE),"")</f>
        <v/>
      </c>
    </row>
    <row r="1846" spans="2:4" s="230" customFormat="1">
      <c r="B1846" s="15" t="str">
        <f t="shared" si="60"/>
        <v/>
      </c>
      <c r="C1846" s="16" t="str">
        <f>IFERROR(VLOOKUP(DATA!#REF!,DATA!#REF!,1,FALSE),"")</f>
        <v/>
      </c>
      <c r="D1846" s="16" t="str">
        <f>IFERROR(VLOOKUP(C1846,DATA!#REF!,2,FALSE),"")</f>
        <v/>
      </c>
    </row>
    <row r="1847" spans="2:4" s="230" customFormat="1">
      <c r="B1847" s="15" t="str">
        <f t="shared" si="60"/>
        <v/>
      </c>
      <c r="C1847" s="16" t="str">
        <f>IFERROR(VLOOKUP(DATA!#REF!,DATA!#REF!,1,FALSE),"")</f>
        <v/>
      </c>
      <c r="D1847" s="16" t="str">
        <f>IFERROR(VLOOKUP(C1847,DATA!#REF!,2,FALSE),"")</f>
        <v/>
      </c>
    </row>
    <row r="1848" spans="2:4" s="230" customFormat="1">
      <c r="B1848" s="15" t="str">
        <f t="shared" si="60"/>
        <v/>
      </c>
      <c r="C1848" s="16" t="str">
        <f>IFERROR(VLOOKUP(DATA!#REF!,DATA!#REF!,1,FALSE),"")</f>
        <v/>
      </c>
      <c r="D1848" s="16" t="str">
        <f>IFERROR(VLOOKUP(C1848,DATA!#REF!,2,FALSE),"")</f>
        <v/>
      </c>
    </row>
    <row r="1849" spans="2:4" s="230" customFormat="1">
      <c r="B1849" s="15" t="str">
        <f t="shared" si="60"/>
        <v/>
      </c>
      <c r="C1849" s="16" t="str">
        <f>IFERROR(VLOOKUP(DATA!#REF!,DATA!#REF!,1,FALSE),"")</f>
        <v/>
      </c>
      <c r="D1849" s="16" t="str">
        <f>IFERROR(VLOOKUP(C1849,DATA!#REF!,2,FALSE),"")</f>
        <v/>
      </c>
    </row>
    <row r="1850" spans="2:4" s="230" customFormat="1">
      <c r="B1850" s="15" t="str">
        <f t="shared" si="60"/>
        <v/>
      </c>
      <c r="C1850" s="16" t="str">
        <f>IFERROR(VLOOKUP(DATA!#REF!,DATA!#REF!,1,FALSE),"")</f>
        <v/>
      </c>
      <c r="D1850" s="16" t="str">
        <f>IFERROR(VLOOKUP(C1850,DATA!#REF!,2,FALSE),"")</f>
        <v/>
      </c>
    </row>
    <row r="1851" spans="2:4" s="230" customFormat="1">
      <c r="B1851" s="15" t="str">
        <f t="shared" si="60"/>
        <v/>
      </c>
      <c r="C1851" s="16" t="str">
        <f>IFERROR(VLOOKUP(DATA!#REF!,DATA!#REF!,1,FALSE),"")</f>
        <v/>
      </c>
      <c r="D1851" s="16" t="str">
        <f>IFERROR(VLOOKUP(C1851,DATA!#REF!,2,FALSE),"")</f>
        <v/>
      </c>
    </row>
    <row r="1852" spans="2:4" s="230" customFormat="1">
      <c r="B1852" s="15" t="str">
        <f t="shared" si="60"/>
        <v/>
      </c>
      <c r="C1852" s="16" t="str">
        <f>IFERROR(VLOOKUP(DATA!#REF!,DATA!#REF!,1,FALSE),"")</f>
        <v/>
      </c>
      <c r="D1852" s="16" t="str">
        <f>IFERROR(VLOOKUP(C1852,DATA!#REF!,2,FALSE),"")</f>
        <v/>
      </c>
    </row>
    <row r="1853" spans="2:4" s="230" customFormat="1">
      <c r="B1853" s="15" t="str">
        <f t="shared" si="60"/>
        <v/>
      </c>
      <c r="C1853" s="16" t="str">
        <f>IFERROR(VLOOKUP(DATA!#REF!,DATA!#REF!,1,FALSE),"")</f>
        <v/>
      </c>
      <c r="D1853" s="16" t="str">
        <f>IFERROR(VLOOKUP(C1853,DATA!#REF!,2,FALSE),"")</f>
        <v/>
      </c>
    </row>
    <row r="1854" spans="2:4" s="230" customFormat="1">
      <c r="B1854" s="15" t="str">
        <f t="shared" si="60"/>
        <v/>
      </c>
      <c r="C1854" s="16" t="str">
        <f>IFERROR(VLOOKUP(DATA!#REF!,DATA!#REF!,1,FALSE),"")</f>
        <v/>
      </c>
      <c r="D1854" s="16" t="str">
        <f>IFERROR(VLOOKUP(C1854,DATA!#REF!,2,FALSE),"")</f>
        <v/>
      </c>
    </row>
    <row r="1855" spans="2:4" s="230" customFormat="1">
      <c r="B1855" s="15" t="str">
        <f t="shared" si="60"/>
        <v/>
      </c>
      <c r="C1855" s="16" t="str">
        <f>IFERROR(VLOOKUP(DATA!#REF!,DATA!#REF!,1,FALSE),"")</f>
        <v/>
      </c>
      <c r="D1855" s="16" t="str">
        <f>IFERROR(VLOOKUP(C1855,DATA!#REF!,2,FALSE),"")</f>
        <v/>
      </c>
    </row>
    <row r="1856" spans="2:4" s="230" customFormat="1">
      <c r="B1856" s="15" t="str">
        <f t="shared" si="60"/>
        <v/>
      </c>
      <c r="C1856" s="16" t="str">
        <f>IFERROR(VLOOKUP(DATA!#REF!,DATA!#REF!,1,FALSE),"")</f>
        <v/>
      </c>
      <c r="D1856" s="16" t="str">
        <f>IFERROR(VLOOKUP(C1856,DATA!#REF!,2,FALSE),"")</f>
        <v/>
      </c>
    </row>
    <row r="1857" spans="2:4" s="230" customFormat="1">
      <c r="B1857" s="15" t="str">
        <f t="shared" si="60"/>
        <v/>
      </c>
      <c r="C1857" s="16" t="str">
        <f>IFERROR(VLOOKUP(DATA!#REF!,DATA!#REF!,1,FALSE),"")</f>
        <v/>
      </c>
      <c r="D1857" s="16" t="str">
        <f>IFERROR(VLOOKUP(C1857,DATA!#REF!,2,FALSE),"")</f>
        <v/>
      </c>
    </row>
    <row r="1858" spans="2:4" s="230" customFormat="1">
      <c r="B1858" s="15" t="str">
        <f t="shared" si="60"/>
        <v/>
      </c>
      <c r="C1858" s="16" t="str">
        <f>IFERROR(VLOOKUP(DATA!#REF!,DATA!#REF!,1,FALSE),"")</f>
        <v/>
      </c>
      <c r="D1858" s="16" t="str">
        <f>IFERROR(VLOOKUP(C1858,DATA!#REF!,2,FALSE),"")</f>
        <v/>
      </c>
    </row>
    <row r="1859" spans="2:4" s="230" customFormat="1">
      <c r="B1859" s="15" t="str">
        <f t="shared" si="60"/>
        <v/>
      </c>
      <c r="C1859" s="16" t="str">
        <f>IFERROR(VLOOKUP(DATA!#REF!,DATA!#REF!,1,FALSE),"")</f>
        <v/>
      </c>
      <c r="D1859" s="16" t="str">
        <f>IFERROR(VLOOKUP(C1859,DATA!#REF!,2,FALSE),"")</f>
        <v/>
      </c>
    </row>
    <row r="1860" spans="2:4" s="230" customFormat="1">
      <c r="B1860" s="15" t="str">
        <f t="shared" si="60"/>
        <v/>
      </c>
      <c r="C1860" s="16" t="str">
        <f>IFERROR(VLOOKUP(DATA!#REF!,DATA!#REF!,1,FALSE),"")</f>
        <v/>
      </c>
      <c r="D1860" s="16" t="str">
        <f>IFERROR(VLOOKUP(C1860,DATA!#REF!,2,FALSE),"")</f>
        <v/>
      </c>
    </row>
    <row r="1861" spans="2:4" s="230" customFormat="1">
      <c r="B1861" s="15" t="str">
        <f t="shared" si="60"/>
        <v/>
      </c>
      <c r="C1861" s="16" t="str">
        <f>IFERROR(VLOOKUP(DATA!#REF!,DATA!#REF!,1,FALSE),"")</f>
        <v/>
      </c>
      <c r="D1861" s="16" t="str">
        <f>IFERROR(VLOOKUP(C1861,DATA!#REF!,2,FALSE),"")</f>
        <v/>
      </c>
    </row>
    <row r="1862" spans="2:4" s="230" customFormat="1">
      <c r="B1862" s="15" t="str">
        <f t="shared" ref="B1862:B1925" si="61">+IF(C1862="","",ROW()-5)</f>
        <v/>
      </c>
      <c r="C1862" s="16" t="str">
        <f>IFERROR(VLOOKUP(DATA!#REF!,DATA!#REF!,1,FALSE),"")</f>
        <v/>
      </c>
      <c r="D1862" s="16" t="str">
        <f>IFERROR(VLOOKUP(C1862,DATA!#REF!,2,FALSE),"")</f>
        <v/>
      </c>
    </row>
    <row r="1863" spans="2:4" s="230" customFormat="1">
      <c r="B1863" s="15" t="str">
        <f t="shared" si="61"/>
        <v/>
      </c>
      <c r="C1863" s="16" t="str">
        <f>IFERROR(VLOOKUP(DATA!#REF!,DATA!#REF!,1,FALSE),"")</f>
        <v/>
      </c>
      <c r="D1863" s="16" t="str">
        <f>IFERROR(VLOOKUP(C1863,DATA!#REF!,2,FALSE),"")</f>
        <v/>
      </c>
    </row>
    <row r="1864" spans="2:4" s="230" customFormat="1">
      <c r="B1864" s="15" t="str">
        <f t="shared" si="61"/>
        <v/>
      </c>
      <c r="C1864" s="16" t="str">
        <f>IFERROR(VLOOKUP(DATA!#REF!,DATA!#REF!,1,FALSE),"")</f>
        <v/>
      </c>
      <c r="D1864" s="16" t="str">
        <f>IFERROR(VLOOKUP(C1864,DATA!#REF!,2,FALSE),"")</f>
        <v/>
      </c>
    </row>
    <row r="1865" spans="2:4" s="230" customFormat="1">
      <c r="B1865" s="15" t="str">
        <f t="shared" si="61"/>
        <v/>
      </c>
      <c r="C1865" s="16" t="str">
        <f>IFERROR(VLOOKUP(DATA!#REF!,DATA!#REF!,1,FALSE),"")</f>
        <v/>
      </c>
      <c r="D1865" s="16" t="str">
        <f>IFERROR(VLOOKUP(C1865,DATA!#REF!,2,FALSE),"")</f>
        <v/>
      </c>
    </row>
    <row r="1866" spans="2:4" s="230" customFormat="1">
      <c r="B1866" s="15" t="str">
        <f t="shared" si="61"/>
        <v/>
      </c>
      <c r="C1866" s="16" t="str">
        <f>IFERROR(VLOOKUP(DATA!#REF!,DATA!#REF!,1,FALSE),"")</f>
        <v/>
      </c>
      <c r="D1866" s="16" t="str">
        <f>IFERROR(VLOOKUP(C1866,DATA!#REF!,2,FALSE),"")</f>
        <v/>
      </c>
    </row>
    <row r="1867" spans="2:4" s="230" customFormat="1">
      <c r="B1867" s="15" t="str">
        <f t="shared" si="61"/>
        <v/>
      </c>
      <c r="C1867" s="16" t="str">
        <f>IFERROR(VLOOKUP(DATA!#REF!,DATA!#REF!,1,FALSE),"")</f>
        <v/>
      </c>
      <c r="D1867" s="16" t="str">
        <f>IFERROR(VLOOKUP(C1867,DATA!#REF!,2,FALSE),"")</f>
        <v/>
      </c>
    </row>
    <row r="1868" spans="2:4" s="230" customFormat="1">
      <c r="B1868" s="15" t="str">
        <f t="shared" si="61"/>
        <v/>
      </c>
      <c r="C1868" s="16" t="str">
        <f>IFERROR(VLOOKUP(DATA!#REF!,DATA!#REF!,1,FALSE),"")</f>
        <v/>
      </c>
      <c r="D1868" s="16" t="str">
        <f>IFERROR(VLOOKUP(C1868,DATA!#REF!,2,FALSE),"")</f>
        <v/>
      </c>
    </row>
    <row r="1869" spans="2:4" s="230" customFormat="1">
      <c r="B1869" s="15" t="str">
        <f t="shared" si="61"/>
        <v/>
      </c>
      <c r="C1869" s="16" t="str">
        <f>IFERROR(VLOOKUP(DATA!#REF!,DATA!#REF!,1,FALSE),"")</f>
        <v/>
      </c>
      <c r="D1869" s="16" t="str">
        <f>IFERROR(VLOOKUP(C1869,DATA!#REF!,2,FALSE),"")</f>
        <v/>
      </c>
    </row>
    <row r="1870" spans="2:4" s="230" customFormat="1">
      <c r="B1870" s="15" t="str">
        <f t="shared" si="61"/>
        <v/>
      </c>
      <c r="C1870" s="16" t="str">
        <f>IFERROR(VLOOKUP(DATA!#REF!,DATA!#REF!,1,FALSE),"")</f>
        <v/>
      </c>
      <c r="D1870" s="16" t="str">
        <f>IFERROR(VLOOKUP(C1870,DATA!#REF!,2,FALSE),"")</f>
        <v/>
      </c>
    </row>
    <row r="1871" spans="2:4" s="230" customFormat="1">
      <c r="B1871" s="15" t="str">
        <f t="shared" si="61"/>
        <v/>
      </c>
      <c r="C1871" s="16" t="str">
        <f>IFERROR(VLOOKUP(DATA!#REF!,DATA!#REF!,1,FALSE),"")</f>
        <v/>
      </c>
      <c r="D1871" s="16" t="str">
        <f>IFERROR(VLOOKUP(C1871,DATA!#REF!,2,FALSE),"")</f>
        <v/>
      </c>
    </row>
    <row r="1872" spans="2:4" s="230" customFormat="1">
      <c r="B1872" s="15" t="str">
        <f t="shared" si="61"/>
        <v/>
      </c>
      <c r="C1872" s="16" t="str">
        <f>IFERROR(VLOOKUP(DATA!#REF!,DATA!#REF!,1,FALSE),"")</f>
        <v/>
      </c>
      <c r="D1872" s="16" t="str">
        <f>IFERROR(VLOOKUP(C1872,DATA!#REF!,2,FALSE),"")</f>
        <v/>
      </c>
    </row>
    <row r="1873" spans="2:4" s="230" customFormat="1">
      <c r="B1873" s="15" t="str">
        <f t="shared" si="61"/>
        <v/>
      </c>
      <c r="C1873" s="16" t="str">
        <f>IFERROR(VLOOKUP(DATA!#REF!,DATA!#REF!,1,FALSE),"")</f>
        <v/>
      </c>
      <c r="D1873" s="16" t="str">
        <f>IFERROR(VLOOKUP(C1873,DATA!#REF!,2,FALSE),"")</f>
        <v/>
      </c>
    </row>
    <row r="1874" spans="2:4" s="230" customFormat="1">
      <c r="B1874" s="15" t="str">
        <f t="shared" si="61"/>
        <v/>
      </c>
      <c r="C1874" s="16" t="str">
        <f>IFERROR(VLOOKUP(DATA!#REF!,DATA!#REF!,1,FALSE),"")</f>
        <v/>
      </c>
      <c r="D1874" s="16" t="str">
        <f>IFERROR(VLOOKUP(C1874,DATA!#REF!,2,FALSE),"")</f>
        <v/>
      </c>
    </row>
    <row r="1875" spans="2:4" s="230" customFormat="1">
      <c r="B1875" s="15" t="str">
        <f t="shared" si="61"/>
        <v/>
      </c>
      <c r="C1875" s="16" t="str">
        <f>IFERROR(VLOOKUP(DATA!#REF!,DATA!#REF!,1,FALSE),"")</f>
        <v/>
      </c>
      <c r="D1875" s="16" t="str">
        <f>IFERROR(VLOOKUP(C1875,DATA!#REF!,2,FALSE),"")</f>
        <v/>
      </c>
    </row>
    <row r="1876" spans="2:4" s="230" customFormat="1">
      <c r="B1876" s="15" t="str">
        <f t="shared" si="61"/>
        <v/>
      </c>
      <c r="C1876" s="16" t="str">
        <f>IFERROR(VLOOKUP(DATA!#REF!,DATA!#REF!,1,FALSE),"")</f>
        <v/>
      </c>
      <c r="D1876" s="16" t="str">
        <f>IFERROR(VLOOKUP(C1876,DATA!#REF!,2,FALSE),"")</f>
        <v/>
      </c>
    </row>
    <row r="1877" spans="2:4" s="230" customFormat="1">
      <c r="B1877" s="15" t="str">
        <f t="shared" si="61"/>
        <v/>
      </c>
      <c r="C1877" s="16" t="str">
        <f>IFERROR(VLOOKUP(DATA!#REF!,DATA!#REF!,1,FALSE),"")</f>
        <v/>
      </c>
      <c r="D1877" s="16" t="str">
        <f>IFERROR(VLOOKUP(C1877,DATA!#REF!,2,FALSE),"")</f>
        <v/>
      </c>
    </row>
    <row r="1878" spans="2:4" s="230" customFormat="1">
      <c r="B1878" s="15" t="str">
        <f t="shared" si="61"/>
        <v/>
      </c>
      <c r="C1878" s="16" t="str">
        <f>IFERROR(VLOOKUP(DATA!#REF!,DATA!#REF!,1,FALSE),"")</f>
        <v/>
      </c>
      <c r="D1878" s="16" t="str">
        <f>IFERROR(VLOOKUP(C1878,DATA!#REF!,2,FALSE),"")</f>
        <v/>
      </c>
    </row>
    <row r="1879" spans="2:4" s="230" customFormat="1">
      <c r="B1879" s="15" t="str">
        <f t="shared" si="61"/>
        <v/>
      </c>
      <c r="C1879" s="16" t="str">
        <f>IFERROR(VLOOKUP(DATA!#REF!,DATA!#REF!,1,FALSE),"")</f>
        <v/>
      </c>
      <c r="D1879" s="16" t="str">
        <f>IFERROR(VLOOKUP(C1879,DATA!#REF!,2,FALSE),"")</f>
        <v/>
      </c>
    </row>
    <row r="1880" spans="2:4" s="230" customFormat="1">
      <c r="B1880" s="15" t="str">
        <f t="shared" si="61"/>
        <v/>
      </c>
      <c r="C1880" s="16" t="str">
        <f>IFERROR(VLOOKUP(DATA!#REF!,DATA!#REF!,1,FALSE),"")</f>
        <v/>
      </c>
      <c r="D1880" s="16" t="str">
        <f>IFERROR(VLOOKUP(C1880,DATA!#REF!,2,FALSE),"")</f>
        <v/>
      </c>
    </row>
    <row r="1881" spans="2:4" s="230" customFormat="1">
      <c r="B1881" s="15" t="str">
        <f t="shared" si="61"/>
        <v/>
      </c>
      <c r="C1881" s="16" t="str">
        <f>IFERROR(VLOOKUP(DATA!#REF!,DATA!#REF!,1,FALSE),"")</f>
        <v/>
      </c>
      <c r="D1881" s="16" t="str">
        <f>IFERROR(VLOOKUP(C1881,DATA!#REF!,2,FALSE),"")</f>
        <v/>
      </c>
    </row>
    <row r="1882" spans="2:4" s="230" customFormat="1">
      <c r="B1882" s="15" t="str">
        <f t="shared" si="61"/>
        <v/>
      </c>
      <c r="C1882" s="16" t="str">
        <f>IFERROR(VLOOKUP(DATA!#REF!,DATA!#REF!,1,FALSE),"")</f>
        <v/>
      </c>
      <c r="D1882" s="16" t="str">
        <f>IFERROR(VLOOKUP(C1882,DATA!#REF!,2,FALSE),"")</f>
        <v/>
      </c>
    </row>
    <row r="1883" spans="2:4" s="230" customFormat="1">
      <c r="B1883" s="15" t="str">
        <f t="shared" si="61"/>
        <v/>
      </c>
      <c r="C1883" s="16" t="str">
        <f>IFERROR(VLOOKUP(DATA!#REF!,DATA!#REF!,1,FALSE),"")</f>
        <v/>
      </c>
      <c r="D1883" s="16" t="str">
        <f>IFERROR(VLOOKUP(C1883,DATA!#REF!,2,FALSE),"")</f>
        <v/>
      </c>
    </row>
    <row r="1884" spans="2:4" s="230" customFormat="1">
      <c r="B1884" s="15" t="str">
        <f t="shared" si="61"/>
        <v/>
      </c>
      <c r="C1884" s="16" t="str">
        <f>IFERROR(VLOOKUP(DATA!#REF!,DATA!#REF!,1,FALSE),"")</f>
        <v/>
      </c>
      <c r="D1884" s="16" t="str">
        <f>IFERROR(VLOOKUP(C1884,DATA!#REF!,2,FALSE),"")</f>
        <v/>
      </c>
    </row>
    <row r="1885" spans="2:4" s="230" customFormat="1">
      <c r="B1885" s="15" t="str">
        <f t="shared" si="61"/>
        <v/>
      </c>
      <c r="C1885" s="16" t="str">
        <f>IFERROR(VLOOKUP(DATA!#REF!,DATA!#REF!,1,FALSE),"")</f>
        <v/>
      </c>
      <c r="D1885" s="16" t="str">
        <f>IFERROR(VLOOKUP(C1885,DATA!#REF!,2,FALSE),"")</f>
        <v/>
      </c>
    </row>
    <row r="1886" spans="2:4" s="230" customFormat="1">
      <c r="B1886" s="15" t="str">
        <f t="shared" si="61"/>
        <v/>
      </c>
      <c r="C1886" s="16" t="str">
        <f>IFERROR(VLOOKUP(DATA!#REF!,DATA!#REF!,1,FALSE),"")</f>
        <v/>
      </c>
      <c r="D1886" s="16" t="str">
        <f>IFERROR(VLOOKUP(C1886,DATA!#REF!,2,FALSE),"")</f>
        <v/>
      </c>
    </row>
    <row r="1887" spans="2:4" s="230" customFormat="1">
      <c r="B1887" s="15" t="str">
        <f t="shared" si="61"/>
        <v/>
      </c>
      <c r="C1887" s="16" t="str">
        <f>IFERROR(VLOOKUP(DATA!#REF!,DATA!#REF!,1,FALSE),"")</f>
        <v/>
      </c>
      <c r="D1887" s="16" t="str">
        <f>IFERROR(VLOOKUP(C1887,DATA!#REF!,2,FALSE),"")</f>
        <v/>
      </c>
    </row>
    <row r="1888" spans="2:4" s="230" customFormat="1">
      <c r="B1888" s="15" t="str">
        <f t="shared" si="61"/>
        <v/>
      </c>
      <c r="C1888" s="16" t="str">
        <f>IFERROR(VLOOKUP(DATA!#REF!,DATA!#REF!,1,FALSE),"")</f>
        <v/>
      </c>
      <c r="D1888" s="16" t="str">
        <f>IFERROR(VLOOKUP(C1888,DATA!#REF!,2,FALSE),"")</f>
        <v/>
      </c>
    </row>
    <row r="1889" spans="2:4" s="230" customFormat="1">
      <c r="B1889" s="15" t="str">
        <f t="shared" si="61"/>
        <v/>
      </c>
      <c r="C1889" s="16" t="str">
        <f>IFERROR(VLOOKUP(DATA!#REF!,DATA!#REF!,1,FALSE),"")</f>
        <v/>
      </c>
      <c r="D1889" s="16" t="str">
        <f>IFERROR(VLOOKUP(C1889,DATA!#REF!,2,FALSE),"")</f>
        <v/>
      </c>
    </row>
    <row r="1890" spans="2:4" s="230" customFormat="1">
      <c r="B1890" s="15" t="str">
        <f t="shared" si="61"/>
        <v/>
      </c>
      <c r="C1890" s="16" t="str">
        <f>IFERROR(VLOOKUP(DATA!#REF!,DATA!#REF!,1,FALSE),"")</f>
        <v/>
      </c>
      <c r="D1890" s="16" t="str">
        <f>IFERROR(VLOOKUP(C1890,DATA!#REF!,2,FALSE),"")</f>
        <v/>
      </c>
    </row>
    <row r="1891" spans="2:4" s="230" customFormat="1">
      <c r="B1891" s="15" t="str">
        <f t="shared" si="61"/>
        <v/>
      </c>
      <c r="C1891" s="16" t="str">
        <f>IFERROR(VLOOKUP(DATA!#REF!,DATA!#REF!,1,FALSE),"")</f>
        <v/>
      </c>
      <c r="D1891" s="16" t="str">
        <f>IFERROR(VLOOKUP(C1891,DATA!#REF!,2,FALSE),"")</f>
        <v/>
      </c>
    </row>
    <row r="1892" spans="2:4" s="230" customFormat="1">
      <c r="B1892" s="15" t="str">
        <f t="shared" si="61"/>
        <v/>
      </c>
      <c r="C1892" s="16" t="str">
        <f>IFERROR(VLOOKUP(DATA!#REF!,DATA!#REF!,1,FALSE),"")</f>
        <v/>
      </c>
      <c r="D1892" s="16" t="str">
        <f>IFERROR(VLOOKUP(C1892,DATA!#REF!,2,FALSE),"")</f>
        <v/>
      </c>
    </row>
    <row r="1893" spans="2:4" s="230" customFormat="1">
      <c r="B1893" s="15" t="str">
        <f t="shared" si="61"/>
        <v/>
      </c>
      <c r="C1893" s="16" t="str">
        <f>IFERROR(VLOOKUP(DATA!#REF!,DATA!#REF!,1,FALSE),"")</f>
        <v/>
      </c>
      <c r="D1893" s="16" t="str">
        <f>IFERROR(VLOOKUP(C1893,DATA!#REF!,2,FALSE),"")</f>
        <v/>
      </c>
    </row>
    <row r="1894" spans="2:4" s="230" customFormat="1">
      <c r="B1894" s="15" t="str">
        <f t="shared" si="61"/>
        <v/>
      </c>
      <c r="C1894" s="16" t="str">
        <f>IFERROR(VLOOKUP(DATA!#REF!,DATA!#REF!,1,FALSE),"")</f>
        <v/>
      </c>
      <c r="D1894" s="16" t="str">
        <f>IFERROR(VLOOKUP(C1894,DATA!#REF!,2,FALSE),"")</f>
        <v/>
      </c>
    </row>
    <row r="1895" spans="2:4" s="230" customFormat="1">
      <c r="B1895" s="15" t="str">
        <f t="shared" si="61"/>
        <v/>
      </c>
      <c r="C1895" s="16" t="str">
        <f>IFERROR(VLOOKUP(DATA!#REF!,DATA!#REF!,1,FALSE),"")</f>
        <v/>
      </c>
      <c r="D1895" s="16" t="str">
        <f>IFERROR(VLOOKUP(C1895,DATA!#REF!,2,FALSE),"")</f>
        <v/>
      </c>
    </row>
    <row r="1896" spans="2:4" s="230" customFormat="1">
      <c r="B1896" s="15" t="str">
        <f t="shared" si="61"/>
        <v/>
      </c>
      <c r="C1896" s="16" t="str">
        <f>IFERROR(VLOOKUP(DATA!#REF!,DATA!#REF!,1,FALSE),"")</f>
        <v/>
      </c>
      <c r="D1896" s="16" t="str">
        <f>IFERROR(VLOOKUP(C1896,DATA!#REF!,2,FALSE),"")</f>
        <v/>
      </c>
    </row>
    <row r="1897" spans="2:4" s="230" customFormat="1">
      <c r="B1897" s="15" t="str">
        <f t="shared" si="61"/>
        <v/>
      </c>
      <c r="C1897" s="16" t="str">
        <f>IFERROR(VLOOKUP(DATA!#REF!,DATA!#REF!,1,FALSE),"")</f>
        <v/>
      </c>
      <c r="D1897" s="16" t="str">
        <f>IFERROR(VLOOKUP(C1897,DATA!#REF!,2,FALSE),"")</f>
        <v/>
      </c>
    </row>
    <row r="1898" spans="2:4" s="230" customFormat="1">
      <c r="B1898" s="15" t="str">
        <f t="shared" si="61"/>
        <v/>
      </c>
      <c r="C1898" s="16" t="str">
        <f>IFERROR(VLOOKUP(DATA!#REF!,DATA!#REF!,1,FALSE),"")</f>
        <v/>
      </c>
      <c r="D1898" s="16" t="str">
        <f>IFERROR(VLOOKUP(C1898,DATA!#REF!,2,FALSE),"")</f>
        <v/>
      </c>
    </row>
    <row r="1899" spans="2:4" s="230" customFormat="1">
      <c r="B1899" s="15" t="str">
        <f t="shared" si="61"/>
        <v/>
      </c>
      <c r="C1899" s="16" t="str">
        <f>IFERROR(VLOOKUP(DATA!#REF!,DATA!#REF!,1,FALSE),"")</f>
        <v/>
      </c>
      <c r="D1899" s="16" t="str">
        <f>IFERROR(VLOOKUP(C1899,DATA!#REF!,2,FALSE),"")</f>
        <v/>
      </c>
    </row>
    <row r="1900" spans="2:4" s="230" customFormat="1">
      <c r="B1900" s="15" t="str">
        <f t="shared" si="61"/>
        <v/>
      </c>
      <c r="C1900" s="16" t="str">
        <f>IFERROR(VLOOKUP(DATA!#REF!,DATA!#REF!,1,FALSE),"")</f>
        <v/>
      </c>
      <c r="D1900" s="16" t="str">
        <f>IFERROR(VLOOKUP(C1900,DATA!#REF!,2,FALSE),"")</f>
        <v/>
      </c>
    </row>
    <row r="1901" spans="2:4" s="230" customFormat="1">
      <c r="B1901" s="15" t="str">
        <f t="shared" si="61"/>
        <v/>
      </c>
      <c r="C1901" s="16" t="str">
        <f>IFERROR(VLOOKUP(DATA!#REF!,DATA!#REF!,1,FALSE),"")</f>
        <v/>
      </c>
      <c r="D1901" s="16" t="str">
        <f>IFERROR(VLOOKUP(C1901,DATA!#REF!,2,FALSE),"")</f>
        <v/>
      </c>
    </row>
    <row r="1902" spans="2:4" s="230" customFormat="1">
      <c r="B1902" s="15" t="str">
        <f t="shared" si="61"/>
        <v/>
      </c>
      <c r="C1902" s="16" t="str">
        <f>IFERROR(VLOOKUP(DATA!#REF!,DATA!#REF!,1,FALSE),"")</f>
        <v/>
      </c>
      <c r="D1902" s="16" t="str">
        <f>IFERROR(VLOOKUP(C1902,DATA!#REF!,2,FALSE),"")</f>
        <v/>
      </c>
    </row>
    <row r="1903" spans="2:4" s="230" customFormat="1">
      <c r="B1903" s="15" t="str">
        <f t="shared" si="61"/>
        <v/>
      </c>
      <c r="C1903" s="16" t="str">
        <f>IFERROR(VLOOKUP(DATA!#REF!,DATA!#REF!,1,FALSE),"")</f>
        <v/>
      </c>
      <c r="D1903" s="16" t="str">
        <f>IFERROR(VLOOKUP(C1903,DATA!#REF!,2,FALSE),"")</f>
        <v/>
      </c>
    </row>
    <row r="1904" spans="2:4" s="230" customFormat="1">
      <c r="B1904" s="15" t="str">
        <f t="shared" si="61"/>
        <v/>
      </c>
      <c r="C1904" s="16" t="str">
        <f>IFERROR(VLOOKUP(DATA!#REF!,DATA!#REF!,1,FALSE),"")</f>
        <v/>
      </c>
      <c r="D1904" s="16" t="str">
        <f>IFERROR(VLOOKUP(C1904,DATA!#REF!,2,FALSE),"")</f>
        <v/>
      </c>
    </row>
    <row r="1905" spans="2:4" s="230" customFormat="1">
      <c r="B1905" s="15" t="str">
        <f t="shared" si="61"/>
        <v/>
      </c>
      <c r="C1905" s="16" t="str">
        <f>IFERROR(VLOOKUP(DATA!#REF!,DATA!#REF!,1,FALSE),"")</f>
        <v/>
      </c>
      <c r="D1905" s="16" t="str">
        <f>IFERROR(VLOOKUP(C1905,DATA!#REF!,2,FALSE),"")</f>
        <v/>
      </c>
    </row>
    <row r="1906" spans="2:4" s="230" customFormat="1">
      <c r="B1906" s="15" t="str">
        <f t="shared" si="61"/>
        <v/>
      </c>
      <c r="C1906" s="16" t="str">
        <f>IFERROR(VLOOKUP(DATA!#REF!,DATA!#REF!,1,FALSE),"")</f>
        <v/>
      </c>
      <c r="D1906" s="16" t="str">
        <f>IFERROR(VLOOKUP(C1906,DATA!#REF!,2,FALSE),"")</f>
        <v/>
      </c>
    </row>
    <row r="1907" spans="2:4" s="230" customFormat="1">
      <c r="B1907" s="15" t="str">
        <f t="shared" si="61"/>
        <v/>
      </c>
      <c r="C1907" s="16" t="str">
        <f>IFERROR(VLOOKUP(DATA!#REF!,DATA!#REF!,1,FALSE),"")</f>
        <v/>
      </c>
      <c r="D1907" s="16" t="str">
        <f>IFERROR(VLOOKUP(C1907,DATA!#REF!,2,FALSE),"")</f>
        <v/>
      </c>
    </row>
    <row r="1908" spans="2:4" s="230" customFormat="1">
      <c r="B1908" s="15" t="str">
        <f t="shared" si="61"/>
        <v/>
      </c>
      <c r="C1908" s="16" t="str">
        <f>IFERROR(VLOOKUP(DATA!#REF!,DATA!#REF!,1,FALSE),"")</f>
        <v/>
      </c>
      <c r="D1908" s="16" t="str">
        <f>IFERROR(VLOOKUP(C1908,DATA!#REF!,2,FALSE),"")</f>
        <v/>
      </c>
    </row>
    <row r="1909" spans="2:4" s="230" customFormat="1">
      <c r="B1909" s="15" t="str">
        <f t="shared" si="61"/>
        <v/>
      </c>
      <c r="C1909" s="16" t="str">
        <f>IFERROR(VLOOKUP(DATA!#REF!,DATA!#REF!,1,FALSE),"")</f>
        <v/>
      </c>
      <c r="D1909" s="16" t="str">
        <f>IFERROR(VLOOKUP(C1909,DATA!#REF!,2,FALSE),"")</f>
        <v/>
      </c>
    </row>
    <row r="1910" spans="2:4" s="230" customFormat="1">
      <c r="B1910" s="15" t="str">
        <f t="shared" si="61"/>
        <v/>
      </c>
      <c r="C1910" s="16" t="str">
        <f>IFERROR(VLOOKUP(DATA!#REF!,DATA!#REF!,1,FALSE),"")</f>
        <v/>
      </c>
      <c r="D1910" s="16" t="str">
        <f>IFERROR(VLOOKUP(C1910,DATA!#REF!,2,FALSE),"")</f>
        <v/>
      </c>
    </row>
    <row r="1911" spans="2:4" s="230" customFormat="1">
      <c r="B1911" s="15" t="str">
        <f t="shared" si="61"/>
        <v/>
      </c>
      <c r="C1911" s="16" t="str">
        <f>IFERROR(VLOOKUP(DATA!#REF!,DATA!#REF!,1,FALSE),"")</f>
        <v/>
      </c>
      <c r="D1911" s="16" t="str">
        <f>IFERROR(VLOOKUP(C1911,DATA!#REF!,2,FALSE),"")</f>
        <v/>
      </c>
    </row>
    <row r="1912" spans="2:4" s="230" customFormat="1">
      <c r="B1912" s="15" t="str">
        <f t="shared" si="61"/>
        <v/>
      </c>
      <c r="C1912" s="16" t="str">
        <f>IFERROR(VLOOKUP(DATA!#REF!,DATA!#REF!,1,FALSE),"")</f>
        <v/>
      </c>
      <c r="D1912" s="16" t="str">
        <f>IFERROR(VLOOKUP(C1912,DATA!#REF!,2,FALSE),"")</f>
        <v/>
      </c>
    </row>
    <row r="1913" spans="2:4" s="230" customFormat="1">
      <c r="B1913" s="15" t="str">
        <f t="shared" si="61"/>
        <v/>
      </c>
      <c r="C1913" s="16" t="str">
        <f>IFERROR(VLOOKUP(DATA!#REF!,DATA!#REF!,1,FALSE),"")</f>
        <v/>
      </c>
      <c r="D1913" s="16" t="str">
        <f>IFERROR(VLOOKUP(C1913,DATA!#REF!,2,FALSE),"")</f>
        <v/>
      </c>
    </row>
    <row r="1914" spans="2:4" s="230" customFormat="1">
      <c r="B1914" s="15" t="str">
        <f t="shared" si="61"/>
        <v/>
      </c>
      <c r="C1914" s="16" t="str">
        <f>IFERROR(VLOOKUP(DATA!#REF!,DATA!#REF!,1,FALSE),"")</f>
        <v/>
      </c>
      <c r="D1914" s="16" t="str">
        <f>IFERROR(VLOOKUP(C1914,DATA!#REF!,2,FALSE),"")</f>
        <v/>
      </c>
    </row>
    <row r="1915" spans="2:4" s="230" customFormat="1">
      <c r="B1915" s="15" t="str">
        <f t="shared" si="61"/>
        <v/>
      </c>
      <c r="C1915" s="16" t="str">
        <f>IFERROR(VLOOKUP(DATA!#REF!,DATA!#REF!,1,FALSE),"")</f>
        <v/>
      </c>
      <c r="D1915" s="16" t="str">
        <f>IFERROR(VLOOKUP(C1915,DATA!#REF!,2,FALSE),"")</f>
        <v/>
      </c>
    </row>
    <row r="1916" spans="2:4" s="230" customFormat="1">
      <c r="B1916" s="15" t="str">
        <f t="shared" si="61"/>
        <v/>
      </c>
      <c r="C1916" s="16" t="str">
        <f>IFERROR(VLOOKUP(DATA!#REF!,DATA!#REF!,1,FALSE),"")</f>
        <v/>
      </c>
      <c r="D1916" s="16" t="str">
        <f>IFERROR(VLOOKUP(C1916,DATA!#REF!,2,FALSE),"")</f>
        <v/>
      </c>
    </row>
    <row r="1917" spans="2:4" s="230" customFormat="1">
      <c r="B1917" s="15" t="str">
        <f t="shared" si="61"/>
        <v/>
      </c>
      <c r="C1917" s="16" t="str">
        <f>IFERROR(VLOOKUP(DATA!#REF!,DATA!#REF!,1,FALSE),"")</f>
        <v/>
      </c>
      <c r="D1917" s="16" t="str">
        <f>IFERROR(VLOOKUP(C1917,DATA!#REF!,2,FALSE),"")</f>
        <v/>
      </c>
    </row>
    <row r="1918" spans="2:4" s="230" customFormat="1">
      <c r="B1918" s="15" t="str">
        <f t="shared" si="61"/>
        <v/>
      </c>
      <c r="C1918" s="16" t="str">
        <f>IFERROR(VLOOKUP(DATA!#REF!,DATA!#REF!,1,FALSE),"")</f>
        <v/>
      </c>
      <c r="D1918" s="16" t="str">
        <f>IFERROR(VLOOKUP(C1918,DATA!#REF!,2,FALSE),"")</f>
        <v/>
      </c>
    </row>
    <row r="1919" spans="2:4" s="230" customFormat="1">
      <c r="B1919" s="15" t="str">
        <f t="shared" si="61"/>
        <v/>
      </c>
      <c r="C1919" s="16" t="str">
        <f>IFERROR(VLOOKUP(DATA!#REF!,DATA!#REF!,1,FALSE),"")</f>
        <v/>
      </c>
      <c r="D1919" s="16" t="str">
        <f>IFERROR(VLOOKUP(C1919,DATA!#REF!,2,FALSE),"")</f>
        <v/>
      </c>
    </row>
    <row r="1920" spans="2:4" s="230" customFormat="1">
      <c r="B1920" s="15" t="str">
        <f t="shared" si="61"/>
        <v/>
      </c>
      <c r="C1920" s="16" t="str">
        <f>IFERROR(VLOOKUP(DATA!#REF!,DATA!#REF!,1,FALSE),"")</f>
        <v/>
      </c>
      <c r="D1920" s="16" t="str">
        <f>IFERROR(VLOOKUP(C1920,DATA!#REF!,2,FALSE),"")</f>
        <v/>
      </c>
    </row>
    <row r="1921" spans="2:4" s="230" customFormat="1">
      <c r="B1921" s="15" t="str">
        <f t="shared" si="61"/>
        <v/>
      </c>
      <c r="C1921" s="16" t="str">
        <f>IFERROR(VLOOKUP(DATA!#REF!,DATA!#REF!,1,FALSE),"")</f>
        <v/>
      </c>
      <c r="D1921" s="16" t="str">
        <f>IFERROR(VLOOKUP(C1921,DATA!#REF!,2,FALSE),"")</f>
        <v/>
      </c>
    </row>
    <row r="1922" spans="2:4" s="230" customFormat="1">
      <c r="B1922" s="15" t="str">
        <f t="shared" si="61"/>
        <v/>
      </c>
      <c r="C1922" s="16" t="str">
        <f>IFERROR(VLOOKUP(DATA!#REF!,DATA!#REF!,1,FALSE),"")</f>
        <v/>
      </c>
      <c r="D1922" s="16" t="str">
        <f>IFERROR(VLOOKUP(C1922,DATA!#REF!,2,FALSE),"")</f>
        <v/>
      </c>
    </row>
    <row r="1923" spans="2:4" s="230" customFormat="1">
      <c r="B1923" s="15" t="str">
        <f t="shared" si="61"/>
        <v/>
      </c>
      <c r="C1923" s="16" t="str">
        <f>IFERROR(VLOOKUP(DATA!#REF!,DATA!#REF!,1,FALSE),"")</f>
        <v/>
      </c>
      <c r="D1923" s="16" t="str">
        <f>IFERROR(VLOOKUP(C1923,DATA!#REF!,2,FALSE),"")</f>
        <v/>
      </c>
    </row>
    <row r="1924" spans="2:4" s="230" customFormat="1">
      <c r="B1924" s="15" t="str">
        <f t="shared" si="61"/>
        <v/>
      </c>
      <c r="C1924" s="16" t="str">
        <f>IFERROR(VLOOKUP(DATA!#REF!,DATA!#REF!,1,FALSE),"")</f>
        <v/>
      </c>
      <c r="D1924" s="16" t="str">
        <f>IFERROR(VLOOKUP(C1924,DATA!#REF!,2,FALSE),"")</f>
        <v/>
      </c>
    </row>
    <row r="1925" spans="2:4" s="230" customFormat="1">
      <c r="B1925" s="15" t="str">
        <f t="shared" si="61"/>
        <v/>
      </c>
      <c r="C1925" s="16" t="str">
        <f>IFERROR(VLOOKUP(DATA!#REF!,DATA!#REF!,1,FALSE),"")</f>
        <v/>
      </c>
      <c r="D1925" s="16" t="str">
        <f>IFERROR(VLOOKUP(C1925,DATA!#REF!,2,FALSE),"")</f>
        <v/>
      </c>
    </row>
    <row r="1926" spans="2:4" s="230" customFormat="1">
      <c r="B1926" s="15" t="str">
        <f t="shared" ref="B1926:B1989" si="62">+IF(C1926="","",ROW()-5)</f>
        <v/>
      </c>
      <c r="C1926" s="16" t="str">
        <f>IFERROR(VLOOKUP(DATA!#REF!,DATA!#REF!,1,FALSE),"")</f>
        <v/>
      </c>
      <c r="D1926" s="16" t="str">
        <f>IFERROR(VLOOKUP(C1926,DATA!#REF!,2,FALSE),"")</f>
        <v/>
      </c>
    </row>
    <row r="1927" spans="2:4" s="230" customFormat="1">
      <c r="B1927" s="15" t="str">
        <f t="shared" si="62"/>
        <v/>
      </c>
      <c r="C1927" s="16" t="str">
        <f>IFERROR(VLOOKUP(DATA!#REF!,DATA!#REF!,1,FALSE),"")</f>
        <v/>
      </c>
      <c r="D1927" s="16" t="str">
        <f>IFERROR(VLOOKUP(C1927,DATA!#REF!,2,FALSE),"")</f>
        <v/>
      </c>
    </row>
    <row r="1928" spans="2:4" s="230" customFormat="1">
      <c r="B1928" s="15" t="str">
        <f t="shared" si="62"/>
        <v/>
      </c>
      <c r="C1928" s="16" t="str">
        <f>IFERROR(VLOOKUP(DATA!#REF!,DATA!#REF!,1,FALSE),"")</f>
        <v/>
      </c>
      <c r="D1928" s="16" t="str">
        <f>IFERROR(VLOOKUP(C1928,DATA!#REF!,2,FALSE),"")</f>
        <v/>
      </c>
    </row>
    <row r="1929" spans="2:4" s="230" customFormat="1">
      <c r="B1929" s="15" t="str">
        <f t="shared" si="62"/>
        <v/>
      </c>
      <c r="C1929" s="16" t="str">
        <f>IFERROR(VLOOKUP(DATA!#REF!,DATA!#REF!,1,FALSE),"")</f>
        <v/>
      </c>
      <c r="D1929" s="16" t="str">
        <f>IFERROR(VLOOKUP(C1929,DATA!#REF!,2,FALSE),"")</f>
        <v/>
      </c>
    </row>
    <row r="1930" spans="2:4" s="230" customFormat="1">
      <c r="B1930" s="15" t="str">
        <f t="shared" si="62"/>
        <v/>
      </c>
      <c r="C1930" s="16" t="str">
        <f>IFERROR(VLOOKUP(DATA!#REF!,DATA!#REF!,1,FALSE),"")</f>
        <v/>
      </c>
      <c r="D1930" s="16" t="str">
        <f>IFERROR(VLOOKUP(C1930,DATA!#REF!,2,FALSE),"")</f>
        <v/>
      </c>
    </row>
    <row r="1931" spans="2:4" s="230" customFormat="1">
      <c r="B1931" s="15" t="str">
        <f t="shared" si="62"/>
        <v/>
      </c>
      <c r="C1931" s="16" t="str">
        <f>IFERROR(VLOOKUP(DATA!#REF!,DATA!#REF!,1,FALSE),"")</f>
        <v/>
      </c>
      <c r="D1931" s="16" t="str">
        <f>IFERROR(VLOOKUP(C1931,DATA!#REF!,2,FALSE),"")</f>
        <v/>
      </c>
    </row>
    <row r="1932" spans="2:4" s="230" customFormat="1">
      <c r="B1932" s="15" t="str">
        <f t="shared" si="62"/>
        <v/>
      </c>
      <c r="C1932" s="16" t="str">
        <f>IFERROR(VLOOKUP(DATA!#REF!,DATA!#REF!,1,FALSE),"")</f>
        <v/>
      </c>
      <c r="D1932" s="16" t="str">
        <f>IFERROR(VLOOKUP(C1932,DATA!#REF!,2,FALSE),"")</f>
        <v/>
      </c>
    </row>
    <row r="1933" spans="2:4" s="230" customFormat="1">
      <c r="B1933" s="15" t="str">
        <f t="shared" si="62"/>
        <v/>
      </c>
      <c r="C1933" s="16" t="str">
        <f>IFERROR(VLOOKUP(DATA!#REF!,DATA!#REF!,1,FALSE),"")</f>
        <v/>
      </c>
      <c r="D1933" s="16" t="str">
        <f>IFERROR(VLOOKUP(C1933,DATA!#REF!,2,FALSE),"")</f>
        <v/>
      </c>
    </row>
    <row r="1934" spans="2:4" s="230" customFormat="1">
      <c r="B1934" s="15" t="str">
        <f t="shared" si="62"/>
        <v/>
      </c>
      <c r="C1934" s="16" t="str">
        <f>IFERROR(VLOOKUP(DATA!#REF!,DATA!#REF!,1,FALSE),"")</f>
        <v/>
      </c>
      <c r="D1934" s="16" t="str">
        <f>IFERROR(VLOOKUP(C1934,DATA!#REF!,2,FALSE),"")</f>
        <v/>
      </c>
    </row>
    <row r="1935" spans="2:4" s="230" customFormat="1">
      <c r="B1935" s="15" t="str">
        <f t="shared" si="62"/>
        <v/>
      </c>
      <c r="C1935" s="16" t="str">
        <f>IFERROR(VLOOKUP(DATA!#REF!,DATA!#REF!,1,FALSE),"")</f>
        <v/>
      </c>
      <c r="D1935" s="16" t="str">
        <f>IFERROR(VLOOKUP(C1935,DATA!#REF!,2,FALSE),"")</f>
        <v/>
      </c>
    </row>
    <row r="1936" spans="2:4" s="230" customFormat="1">
      <c r="B1936" s="15" t="str">
        <f t="shared" si="62"/>
        <v/>
      </c>
      <c r="C1936" s="16" t="str">
        <f>IFERROR(VLOOKUP(DATA!#REF!,DATA!#REF!,1,FALSE),"")</f>
        <v/>
      </c>
      <c r="D1936" s="16" t="str">
        <f>IFERROR(VLOOKUP(C1936,DATA!#REF!,2,FALSE),"")</f>
        <v/>
      </c>
    </row>
    <row r="1937" spans="2:4" s="230" customFormat="1">
      <c r="B1937" s="15" t="str">
        <f t="shared" si="62"/>
        <v/>
      </c>
      <c r="C1937" s="16" t="str">
        <f>IFERROR(VLOOKUP(DATA!#REF!,DATA!#REF!,1,FALSE),"")</f>
        <v/>
      </c>
      <c r="D1937" s="16" t="str">
        <f>IFERROR(VLOOKUP(C1937,DATA!#REF!,2,FALSE),"")</f>
        <v/>
      </c>
    </row>
    <row r="1938" spans="2:4" s="230" customFormat="1">
      <c r="B1938" s="15" t="str">
        <f t="shared" si="62"/>
        <v/>
      </c>
      <c r="C1938" s="16" t="str">
        <f>IFERROR(VLOOKUP(DATA!#REF!,DATA!#REF!,1,FALSE),"")</f>
        <v/>
      </c>
      <c r="D1938" s="16" t="str">
        <f>IFERROR(VLOOKUP(C1938,DATA!#REF!,2,FALSE),"")</f>
        <v/>
      </c>
    </row>
    <row r="1939" spans="2:4" s="230" customFormat="1">
      <c r="B1939" s="15" t="str">
        <f t="shared" si="62"/>
        <v/>
      </c>
      <c r="C1939" s="16" t="str">
        <f>IFERROR(VLOOKUP(DATA!#REF!,DATA!#REF!,1,FALSE),"")</f>
        <v/>
      </c>
      <c r="D1939" s="16" t="str">
        <f>IFERROR(VLOOKUP(C1939,DATA!#REF!,2,FALSE),"")</f>
        <v/>
      </c>
    </row>
    <row r="1940" spans="2:4" s="230" customFormat="1">
      <c r="B1940" s="15" t="str">
        <f t="shared" si="62"/>
        <v/>
      </c>
      <c r="C1940" s="16" t="str">
        <f>IFERROR(VLOOKUP(DATA!#REF!,DATA!#REF!,1,FALSE),"")</f>
        <v/>
      </c>
      <c r="D1940" s="16" t="str">
        <f>IFERROR(VLOOKUP(C1940,DATA!#REF!,2,FALSE),"")</f>
        <v/>
      </c>
    </row>
    <row r="1941" spans="2:4" s="230" customFormat="1">
      <c r="B1941" s="15" t="str">
        <f t="shared" si="62"/>
        <v/>
      </c>
      <c r="C1941" s="16" t="str">
        <f>IFERROR(VLOOKUP(DATA!#REF!,DATA!#REF!,1,FALSE),"")</f>
        <v/>
      </c>
      <c r="D1941" s="16" t="str">
        <f>IFERROR(VLOOKUP(C1941,DATA!#REF!,2,FALSE),"")</f>
        <v/>
      </c>
    </row>
    <row r="1942" spans="2:4" s="230" customFormat="1">
      <c r="B1942" s="15" t="str">
        <f t="shared" si="62"/>
        <v/>
      </c>
      <c r="C1942" s="16" t="str">
        <f>IFERROR(VLOOKUP(DATA!#REF!,DATA!#REF!,1,FALSE),"")</f>
        <v/>
      </c>
      <c r="D1942" s="16" t="str">
        <f>IFERROR(VLOOKUP(C1942,DATA!#REF!,2,FALSE),"")</f>
        <v/>
      </c>
    </row>
    <row r="1943" spans="2:4" s="230" customFormat="1">
      <c r="B1943" s="15" t="str">
        <f t="shared" si="62"/>
        <v/>
      </c>
      <c r="C1943" s="16" t="str">
        <f>IFERROR(VLOOKUP(DATA!#REF!,DATA!#REF!,1,FALSE),"")</f>
        <v/>
      </c>
      <c r="D1943" s="16" t="str">
        <f>IFERROR(VLOOKUP(C1943,DATA!#REF!,2,FALSE),"")</f>
        <v/>
      </c>
    </row>
    <row r="1944" spans="2:4" s="230" customFormat="1">
      <c r="B1944" s="15" t="str">
        <f t="shared" si="62"/>
        <v/>
      </c>
      <c r="C1944" s="16" t="str">
        <f>IFERROR(VLOOKUP(DATA!#REF!,DATA!#REF!,1,FALSE),"")</f>
        <v/>
      </c>
      <c r="D1944" s="16" t="str">
        <f>IFERROR(VLOOKUP(C1944,DATA!#REF!,2,FALSE),"")</f>
        <v/>
      </c>
    </row>
    <row r="1945" spans="2:4" s="230" customFormat="1">
      <c r="B1945" s="15" t="str">
        <f t="shared" si="62"/>
        <v/>
      </c>
      <c r="C1945" s="16" t="str">
        <f>IFERROR(VLOOKUP(DATA!#REF!,DATA!#REF!,1,FALSE),"")</f>
        <v/>
      </c>
      <c r="D1945" s="16" t="str">
        <f>IFERROR(VLOOKUP(C1945,DATA!#REF!,2,FALSE),"")</f>
        <v/>
      </c>
    </row>
    <row r="1946" spans="2:4" s="230" customFormat="1">
      <c r="B1946" s="15" t="str">
        <f t="shared" si="62"/>
        <v/>
      </c>
      <c r="C1946" s="16" t="str">
        <f>IFERROR(VLOOKUP(DATA!#REF!,DATA!#REF!,1,FALSE),"")</f>
        <v/>
      </c>
      <c r="D1946" s="16" t="str">
        <f>IFERROR(VLOOKUP(C1946,DATA!#REF!,2,FALSE),"")</f>
        <v/>
      </c>
    </row>
    <row r="1947" spans="2:4" s="230" customFormat="1">
      <c r="B1947" s="15" t="str">
        <f t="shared" si="62"/>
        <v/>
      </c>
      <c r="C1947" s="16" t="str">
        <f>IFERROR(VLOOKUP(DATA!#REF!,DATA!#REF!,1,FALSE),"")</f>
        <v/>
      </c>
      <c r="D1947" s="16" t="str">
        <f>IFERROR(VLOOKUP(C1947,DATA!#REF!,2,FALSE),"")</f>
        <v/>
      </c>
    </row>
    <row r="1948" spans="2:4" s="230" customFormat="1">
      <c r="B1948" s="15" t="str">
        <f t="shared" si="62"/>
        <v/>
      </c>
      <c r="C1948" s="16" t="str">
        <f>IFERROR(VLOOKUP(DATA!#REF!,DATA!#REF!,1,FALSE),"")</f>
        <v/>
      </c>
      <c r="D1948" s="16" t="str">
        <f>IFERROR(VLOOKUP(C1948,DATA!#REF!,2,FALSE),"")</f>
        <v/>
      </c>
    </row>
    <row r="1949" spans="2:4" s="230" customFormat="1">
      <c r="B1949" s="15" t="str">
        <f t="shared" si="62"/>
        <v/>
      </c>
      <c r="C1949" s="16" t="str">
        <f>IFERROR(VLOOKUP(DATA!#REF!,DATA!#REF!,1,FALSE),"")</f>
        <v/>
      </c>
      <c r="D1949" s="16" t="str">
        <f>IFERROR(VLOOKUP(C1949,DATA!#REF!,2,FALSE),"")</f>
        <v/>
      </c>
    </row>
    <row r="1950" spans="2:4" s="230" customFormat="1">
      <c r="B1950" s="15" t="str">
        <f t="shared" si="62"/>
        <v/>
      </c>
      <c r="C1950" s="16" t="str">
        <f>IFERROR(VLOOKUP(DATA!#REF!,DATA!#REF!,1,FALSE),"")</f>
        <v/>
      </c>
      <c r="D1950" s="16" t="str">
        <f>IFERROR(VLOOKUP(C1950,DATA!#REF!,2,FALSE),"")</f>
        <v/>
      </c>
    </row>
    <row r="1951" spans="2:4" s="230" customFormat="1">
      <c r="B1951" s="15" t="str">
        <f t="shared" si="62"/>
        <v/>
      </c>
      <c r="C1951" s="16" t="str">
        <f>IFERROR(VLOOKUP(DATA!#REF!,DATA!#REF!,1,FALSE),"")</f>
        <v/>
      </c>
      <c r="D1951" s="16" t="str">
        <f>IFERROR(VLOOKUP(C1951,DATA!#REF!,2,FALSE),"")</f>
        <v/>
      </c>
    </row>
    <row r="1952" spans="2:4" s="230" customFormat="1">
      <c r="B1952" s="15" t="str">
        <f t="shared" si="62"/>
        <v/>
      </c>
      <c r="C1952" s="16" t="str">
        <f>IFERROR(VLOOKUP(DATA!#REF!,DATA!#REF!,1,FALSE),"")</f>
        <v/>
      </c>
      <c r="D1952" s="16" t="str">
        <f>IFERROR(VLOOKUP(C1952,DATA!#REF!,2,FALSE),"")</f>
        <v/>
      </c>
    </row>
    <row r="1953" spans="2:4" s="230" customFormat="1">
      <c r="B1953" s="15" t="str">
        <f t="shared" si="62"/>
        <v/>
      </c>
      <c r="C1953" s="16" t="str">
        <f>IFERROR(VLOOKUP(DATA!#REF!,DATA!#REF!,1,FALSE),"")</f>
        <v/>
      </c>
      <c r="D1953" s="16" t="str">
        <f>IFERROR(VLOOKUP(C1953,DATA!#REF!,2,FALSE),"")</f>
        <v/>
      </c>
    </row>
    <row r="1954" spans="2:4" s="230" customFormat="1">
      <c r="B1954" s="15" t="str">
        <f t="shared" si="62"/>
        <v/>
      </c>
      <c r="C1954" s="16" t="str">
        <f>IFERROR(VLOOKUP(DATA!#REF!,DATA!#REF!,1,FALSE),"")</f>
        <v/>
      </c>
      <c r="D1954" s="16" t="str">
        <f>IFERROR(VLOOKUP(C1954,DATA!#REF!,2,FALSE),"")</f>
        <v/>
      </c>
    </row>
    <row r="1955" spans="2:4" s="230" customFormat="1">
      <c r="B1955" s="15" t="str">
        <f t="shared" si="62"/>
        <v/>
      </c>
      <c r="C1955" s="16" t="str">
        <f>IFERROR(VLOOKUP(DATA!#REF!,DATA!#REF!,1,FALSE),"")</f>
        <v/>
      </c>
      <c r="D1955" s="16" t="str">
        <f>IFERROR(VLOOKUP(C1955,DATA!#REF!,2,FALSE),"")</f>
        <v/>
      </c>
    </row>
    <row r="1956" spans="2:4" s="230" customFormat="1">
      <c r="B1956" s="15" t="str">
        <f t="shared" si="62"/>
        <v/>
      </c>
      <c r="C1956" s="16" t="str">
        <f>IFERROR(VLOOKUP(DATA!#REF!,DATA!#REF!,1,FALSE),"")</f>
        <v/>
      </c>
      <c r="D1956" s="16" t="str">
        <f>IFERROR(VLOOKUP(C1956,DATA!#REF!,2,FALSE),"")</f>
        <v/>
      </c>
    </row>
    <row r="1957" spans="2:4" s="230" customFormat="1">
      <c r="B1957" s="15" t="str">
        <f t="shared" si="62"/>
        <v/>
      </c>
      <c r="C1957" s="16" t="str">
        <f>IFERROR(VLOOKUP(DATA!#REF!,DATA!#REF!,1,FALSE),"")</f>
        <v/>
      </c>
      <c r="D1957" s="16" t="str">
        <f>IFERROR(VLOOKUP(C1957,DATA!#REF!,2,FALSE),"")</f>
        <v/>
      </c>
    </row>
    <row r="1958" spans="2:4" s="230" customFormat="1">
      <c r="B1958" s="15" t="str">
        <f t="shared" si="62"/>
        <v/>
      </c>
      <c r="C1958" s="16" t="str">
        <f>IFERROR(VLOOKUP(DATA!#REF!,DATA!#REF!,1,FALSE),"")</f>
        <v/>
      </c>
      <c r="D1958" s="16" t="str">
        <f>IFERROR(VLOOKUP(C1958,DATA!#REF!,2,FALSE),"")</f>
        <v/>
      </c>
    </row>
    <row r="1959" spans="2:4" s="230" customFormat="1">
      <c r="B1959" s="15" t="str">
        <f t="shared" si="62"/>
        <v/>
      </c>
      <c r="C1959" s="16" t="str">
        <f>IFERROR(VLOOKUP(DATA!#REF!,DATA!#REF!,1,FALSE),"")</f>
        <v/>
      </c>
      <c r="D1959" s="16" t="str">
        <f>IFERROR(VLOOKUP(C1959,DATA!#REF!,2,FALSE),"")</f>
        <v/>
      </c>
    </row>
    <row r="1960" spans="2:4" s="230" customFormat="1">
      <c r="B1960" s="15" t="str">
        <f t="shared" si="62"/>
        <v/>
      </c>
      <c r="C1960" s="16" t="str">
        <f>IFERROR(VLOOKUP(DATA!#REF!,DATA!#REF!,1,FALSE),"")</f>
        <v/>
      </c>
      <c r="D1960" s="16" t="str">
        <f>IFERROR(VLOOKUP(C1960,DATA!#REF!,2,FALSE),"")</f>
        <v/>
      </c>
    </row>
    <row r="1961" spans="2:4" s="230" customFormat="1">
      <c r="B1961" s="15" t="str">
        <f t="shared" si="62"/>
        <v/>
      </c>
      <c r="C1961" s="16" t="str">
        <f>IFERROR(VLOOKUP(DATA!#REF!,DATA!#REF!,1,FALSE),"")</f>
        <v/>
      </c>
      <c r="D1961" s="16" t="str">
        <f>IFERROR(VLOOKUP(C1961,DATA!#REF!,2,FALSE),"")</f>
        <v/>
      </c>
    </row>
    <row r="1962" spans="2:4" s="230" customFormat="1">
      <c r="B1962" s="15" t="str">
        <f t="shared" si="62"/>
        <v/>
      </c>
      <c r="C1962" s="16" t="str">
        <f>IFERROR(VLOOKUP(DATA!#REF!,DATA!#REF!,1,FALSE),"")</f>
        <v/>
      </c>
      <c r="D1962" s="16" t="str">
        <f>IFERROR(VLOOKUP(C1962,DATA!#REF!,2,FALSE),"")</f>
        <v/>
      </c>
    </row>
    <row r="1963" spans="2:4" s="230" customFormat="1">
      <c r="B1963" s="15" t="str">
        <f t="shared" si="62"/>
        <v/>
      </c>
      <c r="C1963" s="16" t="str">
        <f>IFERROR(VLOOKUP(DATA!#REF!,DATA!#REF!,1,FALSE),"")</f>
        <v/>
      </c>
      <c r="D1963" s="16" t="str">
        <f>IFERROR(VLOOKUP(C1963,DATA!#REF!,2,FALSE),"")</f>
        <v/>
      </c>
    </row>
    <row r="1964" spans="2:4" s="230" customFormat="1">
      <c r="B1964" s="15" t="str">
        <f t="shared" si="62"/>
        <v/>
      </c>
      <c r="C1964" s="16" t="str">
        <f>IFERROR(VLOOKUP(DATA!#REF!,DATA!#REF!,1,FALSE),"")</f>
        <v/>
      </c>
      <c r="D1964" s="16" t="str">
        <f>IFERROR(VLOOKUP(C1964,DATA!#REF!,2,FALSE),"")</f>
        <v/>
      </c>
    </row>
    <row r="1965" spans="2:4" s="230" customFormat="1">
      <c r="B1965" s="15" t="str">
        <f t="shared" si="62"/>
        <v/>
      </c>
      <c r="C1965" s="16" t="str">
        <f>IFERROR(VLOOKUP(DATA!#REF!,DATA!#REF!,1,FALSE),"")</f>
        <v/>
      </c>
      <c r="D1965" s="16" t="str">
        <f>IFERROR(VLOOKUP(C1965,DATA!#REF!,2,FALSE),"")</f>
        <v/>
      </c>
    </row>
    <row r="1966" spans="2:4" s="230" customFormat="1">
      <c r="B1966" s="15" t="str">
        <f t="shared" si="62"/>
        <v/>
      </c>
      <c r="C1966" s="16" t="str">
        <f>IFERROR(VLOOKUP(DATA!#REF!,DATA!#REF!,1,FALSE),"")</f>
        <v/>
      </c>
      <c r="D1966" s="16" t="str">
        <f>IFERROR(VLOOKUP(C1966,DATA!#REF!,2,FALSE),"")</f>
        <v/>
      </c>
    </row>
    <row r="1967" spans="2:4" s="230" customFormat="1">
      <c r="B1967" s="15" t="str">
        <f t="shared" si="62"/>
        <v/>
      </c>
      <c r="C1967" s="16" t="str">
        <f>IFERROR(VLOOKUP(DATA!#REF!,DATA!#REF!,1,FALSE),"")</f>
        <v/>
      </c>
      <c r="D1967" s="16" t="str">
        <f>IFERROR(VLOOKUP(C1967,DATA!#REF!,2,FALSE),"")</f>
        <v/>
      </c>
    </row>
    <row r="1968" spans="2:4" s="230" customFormat="1">
      <c r="B1968" s="15" t="str">
        <f t="shared" si="62"/>
        <v/>
      </c>
      <c r="C1968" s="16" t="str">
        <f>IFERROR(VLOOKUP(DATA!#REF!,DATA!#REF!,1,FALSE),"")</f>
        <v/>
      </c>
      <c r="D1968" s="16" t="str">
        <f>IFERROR(VLOOKUP(C1968,DATA!#REF!,2,FALSE),"")</f>
        <v/>
      </c>
    </row>
    <row r="1969" spans="2:4" s="230" customFormat="1">
      <c r="B1969" s="15" t="str">
        <f t="shared" si="62"/>
        <v/>
      </c>
      <c r="C1969" s="16" t="str">
        <f>IFERROR(VLOOKUP(DATA!#REF!,DATA!#REF!,1,FALSE),"")</f>
        <v/>
      </c>
      <c r="D1969" s="16" t="str">
        <f>IFERROR(VLOOKUP(C1969,DATA!#REF!,2,FALSE),"")</f>
        <v/>
      </c>
    </row>
    <row r="1970" spans="2:4" s="230" customFormat="1">
      <c r="B1970" s="15" t="str">
        <f t="shared" si="62"/>
        <v/>
      </c>
      <c r="C1970" s="16" t="str">
        <f>IFERROR(VLOOKUP(DATA!#REF!,DATA!#REF!,1,FALSE),"")</f>
        <v/>
      </c>
      <c r="D1970" s="16" t="str">
        <f>IFERROR(VLOOKUP(C1970,DATA!#REF!,2,FALSE),"")</f>
        <v/>
      </c>
    </row>
    <row r="1971" spans="2:4" s="230" customFormat="1">
      <c r="B1971" s="15" t="str">
        <f t="shared" si="62"/>
        <v/>
      </c>
      <c r="C1971" s="16" t="str">
        <f>IFERROR(VLOOKUP(DATA!#REF!,DATA!#REF!,1,FALSE),"")</f>
        <v/>
      </c>
      <c r="D1971" s="16" t="str">
        <f>IFERROR(VLOOKUP(C1971,DATA!#REF!,2,FALSE),"")</f>
        <v/>
      </c>
    </row>
    <row r="1972" spans="2:4" s="230" customFormat="1">
      <c r="B1972" s="15" t="str">
        <f t="shared" si="62"/>
        <v/>
      </c>
      <c r="C1972" s="16" t="str">
        <f>IFERROR(VLOOKUP(DATA!#REF!,DATA!#REF!,1,FALSE),"")</f>
        <v/>
      </c>
      <c r="D1972" s="16" t="str">
        <f>IFERROR(VLOOKUP(C1972,DATA!#REF!,2,FALSE),"")</f>
        <v/>
      </c>
    </row>
    <row r="1973" spans="2:4" s="230" customFormat="1">
      <c r="B1973" s="15" t="str">
        <f t="shared" si="62"/>
        <v/>
      </c>
      <c r="C1973" s="16" t="str">
        <f>IFERROR(VLOOKUP(DATA!#REF!,DATA!#REF!,1,FALSE),"")</f>
        <v/>
      </c>
      <c r="D1973" s="16" t="str">
        <f>IFERROR(VLOOKUP(C1973,DATA!#REF!,2,FALSE),"")</f>
        <v/>
      </c>
    </row>
    <row r="1974" spans="2:4" s="230" customFormat="1">
      <c r="B1974" s="15" t="str">
        <f t="shared" si="62"/>
        <v/>
      </c>
      <c r="C1974" s="16" t="str">
        <f>IFERROR(VLOOKUP(DATA!#REF!,DATA!#REF!,1,FALSE),"")</f>
        <v/>
      </c>
      <c r="D1974" s="16" t="str">
        <f>IFERROR(VLOOKUP(C1974,DATA!#REF!,2,FALSE),"")</f>
        <v/>
      </c>
    </row>
    <row r="1975" spans="2:4" s="230" customFormat="1">
      <c r="B1975" s="15" t="str">
        <f t="shared" si="62"/>
        <v/>
      </c>
      <c r="C1975" s="16" t="str">
        <f>IFERROR(VLOOKUP(DATA!#REF!,DATA!#REF!,1,FALSE),"")</f>
        <v/>
      </c>
      <c r="D1975" s="16" t="str">
        <f>IFERROR(VLOOKUP(C1975,DATA!#REF!,2,FALSE),"")</f>
        <v/>
      </c>
    </row>
    <row r="1976" spans="2:4" s="230" customFormat="1">
      <c r="B1976" s="15" t="str">
        <f t="shared" si="62"/>
        <v/>
      </c>
      <c r="C1976" s="16" t="str">
        <f>IFERROR(VLOOKUP(DATA!#REF!,DATA!#REF!,1,FALSE),"")</f>
        <v/>
      </c>
      <c r="D1976" s="16" t="str">
        <f>IFERROR(VLOOKUP(C1976,DATA!#REF!,2,FALSE),"")</f>
        <v/>
      </c>
    </row>
    <row r="1977" spans="2:4" s="230" customFormat="1">
      <c r="B1977" s="15" t="str">
        <f t="shared" si="62"/>
        <v/>
      </c>
      <c r="C1977" s="16" t="str">
        <f>IFERROR(VLOOKUP(DATA!#REF!,DATA!#REF!,1,FALSE),"")</f>
        <v/>
      </c>
      <c r="D1977" s="16" t="str">
        <f>IFERROR(VLOOKUP(C1977,DATA!#REF!,2,FALSE),"")</f>
        <v/>
      </c>
    </row>
    <row r="1978" spans="2:4" s="230" customFormat="1">
      <c r="B1978" s="15" t="str">
        <f t="shared" si="62"/>
        <v/>
      </c>
      <c r="C1978" s="16" t="str">
        <f>IFERROR(VLOOKUP(DATA!#REF!,DATA!#REF!,1,FALSE),"")</f>
        <v/>
      </c>
      <c r="D1978" s="16" t="str">
        <f>IFERROR(VLOOKUP(C1978,DATA!#REF!,2,FALSE),"")</f>
        <v/>
      </c>
    </row>
    <row r="1979" spans="2:4" s="230" customFormat="1">
      <c r="B1979" s="15" t="str">
        <f t="shared" si="62"/>
        <v/>
      </c>
      <c r="C1979" s="16" t="str">
        <f>IFERROR(VLOOKUP(DATA!#REF!,DATA!#REF!,1,FALSE),"")</f>
        <v/>
      </c>
      <c r="D1979" s="16" t="str">
        <f>IFERROR(VLOOKUP(C1979,DATA!#REF!,2,FALSE),"")</f>
        <v/>
      </c>
    </row>
    <row r="1980" spans="2:4" s="230" customFormat="1">
      <c r="B1980" s="15" t="str">
        <f t="shared" si="62"/>
        <v/>
      </c>
      <c r="C1980" s="16" t="str">
        <f>IFERROR(VLOOKUP(DATA!#REF!,DATA!#REF!,1,FALSE),"")</f>
        <v/>
      </c>
      <c r="D1980" s="16" t="str">
        <f>IFERROR(VLOOKUP(C1980,DATA!#REF!,2,FALSE),"")</f>
        <v/>
      </c>
    </row>
    <row r="1981" spans="2:4" s="230" customFormat="1">
      <c r="B1981" s="15" t="str">
        <f t="shared" si="62"/>
        <v/>
      </c>
      <c r="C1981" s="16" t="str">
        <f>IFERROR(VLOOKUP(DATA!#REF!,DATA!#REF!,1,FALSE),"")</f>
        <v/>
      </c>
      <c r="D1981" s="16" t="str">
        <f>IFERROR(VLOOKUP(C1981,DATA!#REF!,2,FALSE),"")</f>
        <v/>
      </c>
    </row>
    <row r="1982" spans="2:4" s="230" customFormat="1">
      <c r="B1982" s="15" t="str">
        <f t="shared" si="62"/>
        <v/>
      </c>
      <c r="C1982" s="16" t="str">
        <f>IFERROR(VLOOKUP(DATA!#REF!,DATA!#REF!,1,FALSE),"")</f>
        <v/>
      </c>
      <c r="D1982" s="16" t="str">
        <f>IFERROR(VLOOKUP(C1982,DATA!#REF!,2,FALSE),"")</f>
        <v/>
      </c>
    </row>
    <row r="1983" spans="2:4" s="230" customFormat="1">
      <c r="B1983" s="15" t="str">
        <f t="shared" si="62"/>
        <v/>
      </c>
      <c r="C1983" s="16" t="str">
        <f>IFERROR(VLOOKUP(DATA!#REF!,DATA!#REF!,1,FALSE),"")</f>
        <v/>
      </c>
      <c r="D1983" s="16" t="str">
        <f>IFERROR(VLOOKUP(C1983,DATA!#REF!,2,FALSE),"")</f>
        <v/>
      </c>
    </row>
    <row r="1984" spans="2:4" s="230" customFormat="1">
      <c r="B1984" s="15" t="str">
        <f t="shared" si="62"/>
        <v/>
      </c>
      <c r="C1984" s="16" t="str">
        <f>IFERROR(VLOOKUP(DATA!#REF!,DATA!#REF!,1,FALSE),"")</f>
        <v/>
      </c>
      <c r="D1984" s="16" t="str">
        <f>IFERROR(VLOOKUP(C1984,DATA!#REF!,2,FALSE),"")</f>
        <v/>
      </c>
    </row>
    <row r="1985" spans="2:4" s="230" customFormat="1">
      <c r="B1985" s="15" t="str">
        <f t="shared" si="62"/>
        <v/>
      </c>
      <c r="C1985" s="16" t="str">
        <f>IFERROR(VLOOKUP(DATA!#REF!,DATA!#REF!,1,FALSE),"")</f>
        <v/>
      </c>
      <c r="D1985" s="16" t="str">
        <f>IFERROR(VLOOKUP(C1985,DATA!#REF!,2,FALSE),"")</f>
        <v/>
      </c>
    </row>
    <row r="1986" spans="2:4" s="230" customFormat="1">
      <c r="B1986" s="15" t="str">
        <f t="shared" si="62"/>
        <v/>
      </c>
      <c r="C1986" s="16" t="str">
        <f>IFERROR(VLOOKUP(DATA!#REF!,DATA!#REF!,1,FALSE),"")</f>
        <v/>
      </c>
      <c r="D1986" s="16" t="str">
        <f>IFERROR(VLOOKUP(C1986,DATA!#REF!,2,FALSE),"")</f>
        <v/>
      </c>
    </row>
    <row r="1987" spans="2:4" s="230" customFormat="1">
      <c r="B1987" s="15" t="str">
        <f t="shared" si="62"/>
        <v/>
      </c>
      <c r="C1987" s="16" t="str">
        <f>IFERROR(VLOOKUP(DATA!#REF!,DATA!#REF!,1,FALSE),"")</f>
        <v/>
      </c>
      <c r="D1987" s="16" t="str">
        <f>IFERROR(VLOOKUP(C1987,DATA!#REF!,2,FALSE),"")</f>
        <v/>
      </c>
    </row>
    <row r="1988" spans="2:4" s="230" customFormat="1">
      <c r="B1988" s="15" t="str">
        <f t="shared" si="62"/>
        <v/>
      </c>
      <c r="C1988" s="16" t="str">
        <f>IFERROR(VLOOKUP(DATA!#REF!,DATA!#REF!,1,FALSE),"")</f>
        <v/>
      </c>
      <c r="D1988" s="16" t="str">
        <f>IFERROR(VLOOKUP(C1988,DATA!#REF!,2,FALSE),"")</f>
        <v/>
      </c>
    </row>
    <row r="1989" spans="2:4" s="230" customFormat="1">
      <c r="B1989" s="15" t="str">
        <f t="shared" si="62"/>
        <v/>
      </c>
      <c r="C1989" s="16" t="str">
        <f>IFERROR(VLOOKUP(DATA!#REF!,DATA!#REF!,1,FALSE),"")</f>
        <v/>
      </c>
      <c r="D1989" s="16" t="str">
        <f>IFERROR(VLOOKUP(C1989,DATA!#REF!,2,FALSE),"")</f>
        <v/>
      </c>
    </row>
    <row r="1990" spans="2:4" s="230" customFormat="1">
      <c r="B1990" s="15" t="str">
        <f t="shared" ref="B1990:B2053" si="63">+IF(C1990="","",ROW()-5)</f>
        <v/>
      </c>
      <c r="C1990" s="16" t="str">
        <f>IFERROR(VLOOKUP(DATA!#REF!,DATA!#REF!,1,FALSE),"")</f>
        <v/>
      </c>
      <c r="D1990" s="16" t="str">
        <f>IFERROR(VLOOKUP(C1990,DATA!#REF!,2,FALSE),"")</f>
        <v/>
      </c>
    </row>
    <row r="1991" spans="2:4" s="230" customFormat="1">
      <c r="B1991" s="15" t="str">
        <f t="shared" si="63"/>
        <v/>
      </c>
      <c r="C1991" s="16" t="str">
        <f>IFERROR(VLOOKUP(DATA!#REF!,DATA!#REF!,1,FALSE),"")</f>
        <v/>
      </c>
      <c r="D1991" s="16" t="str">
        <f>IFERROR(VLOOKUP(C1991,DATA!#REF!,2,FALSE),"")</f>
        <v/>
      </c>
    </row>
    <row r="1992" spans="2:4" s="230" customFormat="1">
      <c r="B1992" s="15" t="str">
        <f t="shared" si="63"/>
        <v/>
      </c>
      <c r="C1992" s="16" t="str">
        <f>IFERROR(VLOOKUP(DATA!#REF!,DATA!#REF!,1,FALSE),"")</f>
        <v/>
      </c>
      <c r="D1992" s="16" t="str">
        <f>IFERROR(VLOOKUP(C1992,DATA!#REF!,2,FALSE),"")</f>
        <v/>
      </c>
    </row>
    <row r="1993" spans="2:4" s="230" customFormat="1">
      <c r="B1993" s="15" t="str">
        <f t="shared" si="63"/>
        <v/>
      </c>
      <c r="C1993" s="16" t="str">
        <f>IFERROR(VLOOKUP(DATA!#REF!,DATA!#REF!,1,FALSE),"")</f>
        <v/>
      </c>
      <c r="D1993" s="16" t="str">
        <f>IFERROR(VLOOKUP(C1993,DATA!#REF!,2,FALSE),"")</f>
        <v/>
      </c>
    </row>
    <row r="1994" spans="2:4" s="230" customFormat="1">
      <c r="B1994" s="15" t="str">
        <f t="shared" si="63"/>
        <v/>
      </c>
      <c r="C1994" s="16" t="str">
        <f>IFERROR(VLOOKUP(DATA!#REF!,DATA!#REF!,1,FALSE),"")</f>
        <v/>
      </c>
      <c r="D1994" s="16" t="str">
        <f>IFERROR(VLOOKUP(C1994,DATA!#REF!,2,FALSE),"")</f>
        <v/>
      </c>
    </row>
    <row r="1995" spans="2:4" s="230" customFormat="1">
      <c r="B1995" s="15" t="str">
        <f t="shared" si="63"/>
        <v/>
      </c>
      <c r="C1995" s="16" t="str">
        <f>IFERROR(VLOOKUP(DATA!#REF!,DATA!#REF!,1,FALSE),"")</f>
        <v/>
      </c>
      <c r="D1995" s="16" t="str">
        <f>IFERROR(VLOOKUP(C1995,DATA!#REF!,2,FALSE),"")</f>
        <v/>
      </c>
    </row>
    <row r="1996" spans="2:4" s="230" customFormat="1">
      <c r="B1996" s="15" t="str">
        <f t="shared" si="63"/>
        <v/>
      </c>
      <c r="C1996" s="16" t="str">
        <f>IFERROR(VLOOKUP(DATA!#REF!,DATA!#REF!,1,FALSE),"")</f>
        <v/>
      </c>
      <c r="D1996" s="16" t="str">
        <f>IFERROR(VLOOKUP(C1996,DATA!#REF!,2,FALSE),"")</f>
        <v/>
      </c>
    </row>
    <row r="1997" spans="2:4" s="230" customFormat="1">
      <c r="B1997" s="15" t="str">
        <f t="shared" si="63"/>
        <v/>
      </c>
      <c r="C1997" s="16" t="str">
        <f>IFERROR(VLOOKUP(DATA!#REF!,DATA!#REF!,1,FALSE),"")</f>
        <v/>
      </c>
      <c r="D1997" s="16" t="str">
        <f>IFERROR(VLOOKUP(C1997,DATA!#REF!,2,FALSE),"")</f>
        <v/>
      </c>
    </row>
    <row r="1998" spans="2:4" s="230" customFormat="1">
      <c r="B1998" s="15" t="str">
        <f t="shared" si="63"/>
        <v/>
      </c>
      <c r="C1998" s="16" t="str">
        <f>IFERROR(VLOOKUP(DATA!#REF!,DATA!#REF!,1,FALSE),"")</f>
        <v/>
      </c>
      <c r="D1998" s="16" t="str">
        <f>IFERROR(VLOOKUP(C1998,DATA!#REF!,2,FALSE),"")</f>
        <v/>
      </c>
    </row>
    <row r="1999" spans="2:4" s="230" customFormat="1">
      <c r="B1999" s="15" t="str">
        <f t="shared" si="63"/>
        <v/>
      </c>
      <c r="C1999" s="16" t="str">
        <f>IFERROR(VLOOKUP(DATA!#REF!,DATA!#REF!,1,FALSE),"")</f>
        <v/>
      </c>
      <c r="D1999" s="16" t="str">
        <f>IFERROR(VLOOKUP(C1999,DATA!#REF!,2,FALSE),"")</f>
        <v/>
      </c>
    </row>
    <row r="2000" spans="2:4" s="230" customFormat="1">
      <c r="B2000" s="15" t="str">
        <f t="shared" si="63"/>
        <v/>
      </c>
      <c r="C2000" s="16" t="str">
        <f>IFERROR(VLOOKUP(DATA!#REF!,DATA!#REF!,1,FALSE),"")</f>
        <v/>
      </c>
      <c r="D2000" s="16" t="str">
        <f>IFERROR(VLOOKUP(C2000,DATA!#REF!,2,FALSE),"")</f>
        <v/>
      </c>
    </row>
    <row r="2001" spans="2:4" s="230" customFormat="1">
      <c r="B2001" s="15" t="str">
        <f t="shared" si="63"/>
        <v/>
      </c>
      <c r="C2001" s="16" t="str">
        <f>IFERROR(VLOOKUP(DATA!#REF!,DATA!#REF!,1,FALSE),"")</f>
        <v/>
      </c>
      <c r="D2001" s="16" t="str">
        <f>IFERROR(VLOOKUP(C2001,DATA!#REF!,2,FALSE),"")</f>
        <v/>
      </c>
    </row>
    <row r="2002" spans="2:4" s="230" customFormat="1">
      <c r="B2002" s="15" t="str">
        <f t="shared" si="63"/>
        <v/>
      </c>
      <c r="C2002" s="16" t="str">
        <f>IFERROR(VLOOKUP(DATA!#REF!,DATA!#REF!,1,FALSE),"")</f>
        <v/>
      </c>
      <c r="D2002" s="16" t="str">
        <f>IFERROR(VLOOKUP(C2002,DATA!#REF!,2,FALSE),"")</f>
        <v/>
      </c>
    </row>
    <row r="2003" spans="2:4" s="230" customFormat="1">
      <c r="B2003" s="15" t="str">
        <f t="shared" si="63"/>
        <v/>
      </c>
      <c r="C2003" s="16" t="str">
        <f>IFERROR(VLOOKUP(DATA!#REF!,DATA!#REF!,1,FALSE),"")</f>
        <v/>
      </c>
      <c r="D2003" s="16" t="str">
        <f>IFERROR(VLOOKUP(C2003,DATA!#REF!,2,FALSE),"")</f>
        <v/>
      </c>
    </row>
    <row r="2004" spans="2:4" s="230" customFormat="1">
      <c r="B2004" s="15" t="str">
        <f t="shared" si="63"/>
        <v/>
      </c>
      <c r="C2004" s="16" t="str">
        <f>IFERROR(VLOOKUP(DATA!#REF!,DATA!#REF!,1,FALSE),"")</f>
        <v/>
      </c>
      <c r="D2004" s="16" t="str">
        <f>IFERROR(VLOOKUP(C2004,DATA!#REF!,2,FALSE),"")</f>
        <v/>
      </c>
    </row>
    <row r="2005" spans="2:4" s="230" customFormat="1">
      <c r="B2005" s="15" t="str">
        <f t="shared" si="63"/>
        <v/>
      </c>
      <c r="C2005" s="16" t="str">
        <f>IFERROR(VLOOKUP(DATA!#REF!,DATA!#REF!,1,FALSE),"")</f>
        <v/>
      </c>
      <c r="D2005" s="16" t="str">
        <f>IFERROR(VLOOKUP(C2005,DATA!#REF!,2,FALSE),"")</f>
        <v/>
      </c>
    </row>
    <row r="2006" spans="2:4" s="230" customFormat="1">
      <c r="B2006" s="15" t="str">
        <f t="shared" si="63"/>
        <v/>
      </c>
      <c r="C2006" s="16" t="str">
        <f>IFERROR(VLOOKUP(DATA!#REF!,DATA!#REF!,1,FALSE),"")</f>
        <v/>
      </c>
      <c r="D2006" s="16" t="str">
        <f>IFERROR(VLOOKUP(C2006,DATA!#REF!,2,FALSE),"")</f>
        <v/>
      </c>
    </row>
    <row r="2007" spans="2:4" s="230" customFormat="1">
      <c r="B2007" s="15" t="str">
        <f t="shared" si="63"/>
        <v/>
      </c>
      <c r="C2007" s="16" t="str">
        <f>IFERROR(VLOOKUP(DATA!#REF!,DATA!#REF!,1,FALSE),"")</f>
        <v/>
      </c>
      <c r="D2007" s="16" t="str">
        <f>IFERROR(VLOOKUP(C2007,DATA!#REF!,2,FALSE),"")</f>
        <v/>
      </c>
    </row>
    <row r="2008" spans="2:4" s="230" customFormat="1">
      <c r="B2008" s="15" t="str">
        <f t="shared" si="63"/>
        <v/>
      </c>
      <c r="C2008" s="16" t="str">
        <f>IFERROR(VLOOKUP(DATA!#REF!,DATA!#REF!,1,FALSE),"")</f>
        <v/>
      </c>
      <c r="D2008" s="16" t="str">
        <f>IFERROR(VLOOKUP(C2008,DATA!#REF!,2,FALSE),"")</f>
        <v/>
      </c>
    </row>
    <row r="2009" spans="2:4" s="230" customFormat="1">
      <c r="B2009" s="15" t="str">
        <f t="shared" si="63"/>
        <v/>
      </c>
      <c r="C2009" s="16" t="str">
        <f>IFERROR(VLOOKUP(DATA!#REF!,DATA!#REF!,1,FALSE),"")</f>
        <v/>
      </c>
      <c r="D2009" s="16" t="str">
        <f>IFERROR(VLOOKUP(C2009,DATA!#REF!,2,FALSE),"")</f>
        <v/>
      </c>
    </row>
    <row r="2010" spans="2:4" s="230" customFormat="1">
      <c r="B2010" s="15" t="str">
        <f t="shared" si="63"/>
        <v/>
      </c>
      <c r="C2010" s="16" t="str">
        <f>IFERROR(VLOOKUP(DATA!#REF!,DATA!#REF!,1,FALSE),"")</f>
        <v/>
      </c>
      <c r="D2010" s="16" t="str">
        <f>IFERROR(VLOOKUP(C2010,DATA!#REF!,2,FALSE),"")</f>
        <v/>
      </c>
    </row>
    <row r="2011" spans="2:4" s="230" customFormat="1">
      <c r="B2011" s="15" t="str">
        <f t="shared" si="63"/>
        <v/>
      </c>
      <c r="C2011" s="16" t="str">
        <f>IFERROR(VLOOKUP(DATA!#REF!,DATA!#REF!,1,FALSE),"")</f>
        <v/>
      </c>
      <c r="D2011" s="16" t="str">
        <f>IFERROR(VLOOKUP(C2011,DATA!#REF!,2,FALSE),"")</f>
        <v/>
      </c>
    </row>
    <row r="2012" spans="2:4" s="230" customFormat="1">
      <c r="B2012" s="15" t="str">
        <f t="shared" si="63"/>
        <v/>
      </c>
      <c r="C2012" s="16" t="str">
        <f>IFERROR(VLOOKUP(DATA!#REF!,DATA!#REF!,1,FALSE),"")</f>
        <v/>
      </c>
      <c r="D2012" s="16" t="str">
        <f>IFERROR(VLOOKUP(C2012,DATA!#REF!,2,FALSE),"")</f>
        <v/>
      </c>
    </row>
    <row r="2013" spans="2:4" s="230" customFormat="1">
      <c r="B2013" s="15" t="str">
        <f t="shared" si="63"/>
        <v/>
      </c>
      <c r="C2013" s="16" t="str">
        <f>IFERROR(VLOOKUP(DATA!#REF!,DATA!#REF!,1,FALSE),"")</f>
        <v/>
      </c>
      <c r="D2013" s="16" t="str">
        <f>IFERROR(VLOOKUP(C2013,DATA!#REF!,2,FALSE),"")</f>
        <v/>
      </c>
    </row>
    <row r="2014" spans="2:4" s="230" customFormat="1">
      <c r="B2014" s="15" t="str">
        <f t="shared" si="63"/>
        <v/>
      </c>
      <c r="C2014" s="16" t="str">
        <f>IFERROR(VLOOKUP(DATA!#REF!,DATA!#REF!,1,FALSE),"")</f>
        <v/>
      </c>
      <c r="D2014" s="16" t="str">
        <f>IFERROR(VLOOKUP(C2014,DATA!#REF!,2,FALSE),"")</f>
        <v/>
      </c>
    </row>
    <row r="2015" spans="2:4" s="230" customFormat="1">
      <c r="B2015" s="15" t="str">
        <f t="shared" si="63"/>
        <v/>
      </c>
      <c r="C2015" s="16" t="str">
        <f>IFERROR(VLOOKUP(DATA!#REF!,DATA!#REF!,1,FALSE),"")</f>
        <v/>
      </c>
      <c r="D2015" s="16" t="str">
        <f>IFERROR(VLOOKUP(C2015,DATA!#REF!,2,FALSE),"")</f>
        <v/>
      </c>
    </row>
    <row r="2016" spans="2:4" s="230" customFormat="1">
      <c r="B2016" s="15" t="str">
        <f t="shared" si="63"/>
        <v/>
      </c>
      <c r="C2016" s="16" t="str">
        <f>IFERROR(VLOOKUP(DATA!#REF!,DATA!#REF!,1,FALSE),"")</f>
        <v/>
      </c>
      <c r="D2016" s="16" t="str">
        <f>IFERROR(VLOOKUP(C2016,DATA!#REF!,2,FALSE),"")</f>
        <v/>
      </c>
    </row>
    <row r="2017" spans="2:4" s="230" customFormat="1">
      <c r="B2017" s="15" t="str">
        <f t="shared" si="63"/>
        <v/>
      </c>
      <c r="C2017" s="16" t="str">
        <f>IFERROR(VLOOKUP(DATA!#REF!,DATA!#REF!,1,FALSE),"")</f>
        <v/>
      </c>
      <c r="D2017" s="16" t="str">
        <f>IFERROR(VLOOKUP(C2017,DATA!#REF!,2,FALSE),"")</f>
        <v/>
      </c>
    </row>
    <row r="2018" spans="2:4" s="230" customFormat="1">
      <c r="B2018" s="15" t="str">
        <f t="shared" si="63"/>
        <v/>
      </c>
      <c r="C2018" s="16" t="str">
        <f>IFERROR(VLOOKUP(DATA!#REF!,DATA!#REF!,1,FALSE),"")</f>
        <v/>
      </c>
      <c r="D2018" s="16" t="str">
        <f>IFERROR(VLOOKUP(C2018,DATA!#REF!,2,FALSE),"")</f>
        <v/>
      </c>
    </row>
    <row r="2019" spans="2:4" s="230" customFormat="1">
      <c r="B2019" s="15" t="str">
        <f t="shared" si="63"/>
        <v/>
      </c>
      <c r="C2019" s="16" t="str">
        <f>IFERROR(VLOOKUP(DATA!#REF!,DATA!#REF!,1,FALSE),"")</f>
        <v/>
      </c>
      <c r="D2019" s="16" t="str">
        <f>IFERROR(VLOOKUP(C2019,DATA!#REF!,2,FALSE),"")</f>
        <v/>
      </c>
    </row>
    <row r="2020" spans="2:4" s="230" customFormat="1">
      <c r="B2020" s="15" t="str">
        <f t="shared" si="63"/>
        <v/>
      </c>
      <c r="C2020" s="16" t="str">
        <f>IFERROR(VLOOKUP(DATA!#REF!,DATA!#REF!,1,FALSE),"")</f>
        <v/>
      </c>
      <c r="D2020" s="16" t="str">
        <f>IFERROR(VLOOKUP(C2020,DATA!#REF!,2,FALSE),"")</f>
        <v/>
      </c>
    </row>
    <row r="2021" spans="2:4" s="230" customFormat="1">
      <c r="B2021" s="15" t="str">
        <f t="shared" si="63"/>
        <v/>
      </c>
      <c r="C2021" s="16" t="str">
        <f>IFERROR(VLOOKUP(DATA!#REF!,DATA!#REF!,1,FALSE),"")</f>
        <v/>
      </c>
      <c r="D2021" s="16" t="str">
        <f>IFERROR(VLOOKUP(C2021,DATA!#REF!,2,FALSE),"")</f>
        <v/>
      </c>
    </row>
    <row r="2022" spans="2:4" s="230" customFormat="1">
      <c r="B2022" s="15" t="str">
        <f t="shared" si="63"/>
        <v/>
      </c>
      <c r="C2022" s="16" t="str">
        <f>IFERROR(VLOOKUP(DATA!#REF!,DATA!#REF!,1,FALSE),"")</f>
        <v/>
      </c>
      <c r="D2022" s="16" t="str">
        <f>IFERROR(VLOOKUP(C2022,DATA!#REF!,2,FALSE),"")</f>
        <v/>
      </c>
    </row>
    <row r="2023" spans="2:4" s="230" customFormat="1">
      <c r="B2023" s="15" t="str">
        <f t="shared" si="63"/>
        <v/>
      </c>
      <c r="C2023" s="16" t="str">
        <f>IFERROR(VLOOKUP(DATA!#REF!,DATA!#REF!,1,FALSE),"")</f>
        <v/>
      </c>
      <c r="D2023" s="16" t="str">
        <f>IFERROR(VLOOKUP(C2023,DATA!#REF!,2,FALSE),"")</f>
        <v/>
      </c>
    </row>
    <row r="2024" spans="2:4" s="230" customFormat="1">
      <c r="B2024" s="15" t="str">
        <f t="shared" si="63"/>
        <v/>
      </c>
      <c r="C2024" s="16" t="str">
        <f>IFERROR(VLOOKUP(DATA!#REF!,DATA!#REF!,1,FALSE),"")</f>
        <v/>
      </c>
      <c r="D2024" s="16" t="str">
        <f>IFERROR(VLOOKUP(C2024,DATA!#REF!,2,FALSE),"")</f>
        <v/>
      </c>
    </row>
    <row r="2025" spans="2:4" s="230" customFormat="1">
      <c r="B2025" s="15" t="str">
        <f t="shared" si="63"/>
        <v/>
      </c>
      <c r="C2025" s="16" t="str">
        <f>IFERROR(VLOOKUP(DATA!#REF!,DATA!#REF!,1,FALSE),"")</f>
        <v/>
      </c>
      <c r="D2025" s="16" t="str">
        <f>IFERROR(VLOOKUP(C2025,DATA!#REF!,2,FALSE),"")</f>
        <v/>
      </c>
    </row>
    <row r="2026" spans="2:4" s="230" customFormat="1">
      <c r="B2026" s="15" t="str">
        <f t="shared" si="63"/>
        <v/>
      </c>
      <c r="C2026" s="16" t="str">
        <f>IFERROR(VLOOKUP(DATA!#REF!,DATA!#REF!,1,FALSE),"")</f>
        <v/>
      </c>
      <c r="D2026" s="16" t="str">
        <f>IFERROR(VLOOKUP(C2026,DATA!#REF!,2,FALSE),"")</f>
        <v/>
      </c>
    </row>
    <row r="2027" spans="2:4" s="230" customFormat="1">
      <c r="B2027" s="15" t="str">
        <f t="shared" si="63"/>
        <v/>
      </c>
      <c r="C2027" s="16" t="str">
        <f>IFERROR(VLOOKUP(DATA!#REF!,DATA!#REF!,1,FALSE),"")</f>
        <v/>
      </c>
      <c r="D2027" s="16" t="str">
        <f>IFERROR(VLOOKUP(C2027,DATA!#REF!,2,FALSE),"")</f>
        <v/>
      </c>
    </row>
    <row r="2028" spans="2:4" s="230" customFormat="1">
      <c r="B2028" s="15" t="str">
        <f t="shared" si="63"/>
        <v/>
      </c>
      <c r="C2028" s="16" t="str">
        <f>IFERROR(VLOOKUP(DATA!#REF!,DATA!#REF!,1,FALSE),"")</f>
        <v/>
      </c>
      <c r="D2028" s="16" t="str">
        <f>IFERROR(VLOOKUP(C2028,DATA!#REF!,2,FALSE),"")</f>
        <v/>
      </c>
    </row>
    <row r="2029" spans="2:4" s="230" customFormat="1">
      <c r="B2029" s="15" t="str">
        <f t="shared" si="63"/>
        <v/>
      </c>
      <c r="C2029" s="16" t="str">
        <f>IFERROR(VLOOKUP(DATA!#REF!,DATA!#REF!,1,FALSE),"")</f>
        <v/>
      </c>
      <c r="D2029" s="16" t="str">
        <f>IFERROR(VLOOKUP(C2029,DATA!#REF!,2,FALSE),"")</f>
        <v/>
      </c>
    </row>
    <row r="2030" spans="2:4" s="230" customFormat="1">
      <c r="B2030" s="15" t="str">
        <f t="shared" si="63"/>
        <v/>
      </c>
      <c r="C2030" s="16" t="str">
        <f>IFERROR(VLOOKUP(DATA!#REF!,DATA!#REF!,1,FALSE),"")</f>
        <v/>
      </c>
      <c r="D2030" s="16" t="str">
        <f>IFERROR(VLOOKUP(C2030,DATA!#REF!,2,FALSE),"")</f>
        <v/>
      </c>
    </row>
    <row r="2031" spans="2:4" s="230" customFormat="1">
      <c r="B2031" s="15" t="str">
        <f t="shared" si="63"/>
        <v/>
      </c>
      <c r="C2031" s="16" t="str">
        <f>IFERROR(VLOOKUP(DATA!#REF!,DATA!#REF!,1,FALSE),"")</f>
        <v/>
      </c>
      <c r="D2031" s="16" t="str">
        <f>IFERROR(VLOOKUP(C2031,DATA!#REF!,2,FALSE),"")</f>
        <v/>
      </c>
    </row>
    <row r="2032" spans="2:4" s="230" customFormat="1">
      <c r="B2032" s="15" t="str">
        <f t="shared" si="63"/>
        <v/>
      </c>
      <c r="C2032" s="16" t="str">
        <f>IFERROR(VLOOKUP(DATA!#REF!,DATA!#REF!,1,FALSE),"")</f>
        <v/>
      </c>
      <c r="D2032" s="16" t="str">
        <f>IFERROR(VLOOKUP(C2032,DATA!#REF!,2,FALSE),"")</f>
        <v/>
      </c>
    </row>
    <row r="2033" spans="2:4" s="230" customFormat="1">
      <c r="B2033" s="15" t="str">
        <f t="shared" si="63"/>
        <v/>
      </c>
      <c r="C2033" s="16" t="str">
        <f>IFERROR(VLOOKUP(DATA!#REF!,DATA!#REF!,1,FALSE),"")</f>
        <v/>
      </c>
      <c r="D2033" s="16" t="str">
        <f>IFERROR(VLOOKUP(C2033,DATA!#REF!,2,FALSE),"")</f>
        <v/>
      </c>
    </row>
    <row r="2034" spans="2:4" s="230" customFormat="1">
      <c r="B2034" s="15" t="str">
        <f t="shared" si="63"/>
        <v/>
      </c>
      <c r="C2034" s="16" t="str">
        <f>IFERROR(VLOOKUP(DATA!#REF!,DATA!#REF!,1,FALSE),"")</f>
        <v/>
      </c>
      <c r="D2034" s="16" t="str">
        <f>IFERROR(VLOOKUP(C2034,DATA!#REF!,2,FALSE),"")</f>
        <v/>
      </c>
    </row>
    <row r="2035" spans="2:4" s="230" customFormat="1">
      <c r="B2035" s="15" t="str">
        <f t="shared" si="63"/>
        <v/>
      </c>
      <c r="C2035" s="16" t="str">
        <f>IFERROR(VLOOKUP(DATA!#REF!,DATA!#REF!,1,FALSE),"")</f>
        <v/>
      </c>
      <c r="D2035" s="16" t="str">
        <f>IFERROR(VLOOKUP(C2035,DATA!#REF!,2,FALSE),"")</f>
        <v/>
      </c>
    </row>
    <row r="2036" spans="2:4" s="230" customFormat="1">
      <c r="B2036" s="15" t="str">
        <f t="shared" si="63"/>
        <v/>
      </c>
      <c r="C2036" s="16" t="str">
        <f>IFERROR(VLOOKUP(DATA!#REF!,DATA!#REF!,1,FALSE),"")</f>
        <v/>
      </c>
      <c r="D2036" s="16" t="str">
        <f>IFERROR(VLOOKUP(C2036,DATA!#REF!,2,FALSE),"")</f>
        <v/>
      </c>
    </row>
    <row r="2037" spans="2:4" s="230" customFormat="1">
      <c r="B2037" s="15" t="str">
        <f t="shared" si="63"/>
        <v/>
      </c>
      <c r="C2037" s="16" t="str">
        <f>IFERROR(VLOOKUP(DATA!#REF!,DATA!#REF!,1,FALSE),"")</f>
        <v/>
      </c>
      <c r="D2037" s="16" t="str">
        <f>IFERROR(VLOOKUP(C2037,DATA!#REF!,2,FALSE),"")</f>
        <v/>
      </c>
    </row>
    <row r="2038" spans="2:4" s="230" customFormat="1">
      <c r="B2038" s="15" t="str">
        <f t="shared" si="63"/>
        <v/>
      </c>
      <c r="C2038" s="16" t="str">
        <f>IFERROR(VLOOKUP(DATA!#REF!,DATA!#REF!,1,FALSE),"")</f>
        <v/>
      </c>
      <c r="D2038" s="16" t="str">
        <f>IFERROR(VLOOKUP(C2038,DATA!#REF!,2,FALSE),"")</f>
        <v/>
      </c>
    </row>
    <row r="2039" spans="2:4" s="230" customFormat="1">
      <c r="B2039" s="15" t="str">
        <f t="shared" si="63"/>
        <v/>
      </c>
      <c r="C2039" s="16" t="str">
        <f>IFERROR(VLOOKUP(DATA!#REF!,DATA!#REF!,1,FALSE),"")</f>
        <v/>
      </c>
      <c r="D2039" s="16" t="str">
        <f>IFERROR(VLOOKUP(C2039,DATA!#REF!,2,FALSE),"")</f>
        <v/>
      </c>
    </row>
    <row r="2040" spans="2:4" s="230" customFormat="1">
      <c r="B2040" s="15" t="str">
        <f t="shared" si="63"/>
        <v/>
      </c>
      <c r="C2040" s="16" t="str">
        <f>IFERROR(VLOOKUP(DATA!#REF!,DATA!#REF!,1,FALSE),"")</f>
        <v/>
      </c>
      <c r="D2040" s="16" t="str">
        <f>IFERROR(VLOOKUP(C2040,DATA!#REF!,2,FALSE),"")</f>
        <v/>
      </c>
    </row>
    <row r="2041" spans="2:4" s="230" customFormat="1">
      <c r="B2041" s="15" t="str">
        <f t="shared" si="63"/>
        <v/>
      </c>
      <c r="C2041" s="16" t="str">
        <f>IFERROR(VLOOKUP(DATA!#REF!,DATA!#REF!,1,FALSE),"")</f>
        <v/>
      </c>
      <c r="D2041" s="16" t="str">
        <f>IFERROR(VLOOKUP(C2041,DATA!#REF!,2,FALSE),"")</f>
        <v/>
      </c>
    </row>
    <row r="2042" spans="2:4" s="230" customFormat="1">
      <c r="B2042" s="15" t="str">
        <f t="shared" si="63"/>
        <v/>
      </c>
      <c r="C2042" s="16" t="str">
        <f>IFERROR(VLOOKUP(DATA!#REF!,DATA!#REF!,1,FALSE),"")</f>
        <v/>
      </c>
      <c r="D2042" s="16" t="str">
        <f>IFERROR(VLOOKUP(C2042,DATA!#REF!,2,FALSE),"")</f>
        <v/>
      </c>
    </row>
    <row r="2043" spans="2:4" s="230" customFormat="1">
      <c r="B2043" s="15" t="str">
        <f t="shared" si="63"/>
        <v/>
      </c>
      <c r="C2043" s="16" t="str">
        <f>IFERROR(VLOOKUP(DATA!#REF!,DATA!#REF!,1,FALSE),"")</f>
        <v/>
      </c>
      <c r="D2043" s="16" t="str">
        <f>IFERROR(VLOOKUP(C2043,DATA!#REF!,2,FALSE),"")</f>
        <v/>
      </c>
    </row>
    <row r="2044" spans="2:4" s="230" customFormat="1">
      <c r="B2044" s="15" t="str">
        <f t="shared" si="63"/>
        <v/>
      </c>
      <c r="C2044" s="16" t="str">
        <f>IFERROR(VLOOKUP(DATA!#REF!,DATA!#REF!,1,FALSE),"")</f>
        <v/>
      </c>
      <c r="D2044" s="16" t="str">
        <f>IFERROR(VLOOKUP(C2044,DATA!#REF!,2,FALSE),"")</f>
        <v/>
      </c>
    </row>
    <row r="2045" spans="2:4" s="230" customFormat="1">
      <c r="B2045" s="15" t="str">
        <f t="shared" si="63"/>
        <v/>
      </c>
      <c r="C2045" s="16" t="str">
        <f>IFERROR(VLOOKUP(DATA!#REF!,DATA!#REF!,1,FALSE),"")</f>
        <v/>
      </c>
      <c r="D2045" s="16" t="str">
        <f>IFERROR(VLOOKUP(C2045,DATA!#REF!,2,FALSE),"")</f>
        <v/>
      </c>
    </row>
    <row r="2046" spans="2:4" s="230" customFormat="1">
      <c r="B2046" s="15" t="str">
        <f t="shared" si="63"/>
        <v/>
      </c>
      <c r="C2046" s="16" t="str">
        <f>IFERROR(VLOOKUP(DATA!#REF!,DATA!#REF!,1,FALSE),"")</f>
        <v/>
      </c>
      <c r="D2046" s="16" t="str">
        <f>IFERROR(VLOOKUP(C2046,DATA!#REF!,2,FALSE),"")</f>
        <v/>
      </c>
    </row>
    <row r="2047" spans="2:4" s="230" customFormat="1">
      <c r="B2047" s="15" t="str">
        <f t="shared" si="63"/>
        <v/>
      </c>
      <c r="C2047" s="16" t="str">
        <f>IFERROR(VLOOKUP(DATA!#REF!,DATA!#REF!,1,FALSE),"")</f>
        <v/>
      </c>
      <c r="D2047" s="16" t="str">
        <f>IFERROR(VLOOKUP(C2047,DATA!#REF!,2,FALSE),"")</f>
        <v/>
      </c>
    </row>
    <row r="2048" spans="2:4" s="230" customFormat="1">
      <c r="B2048" s="15" t="str">
        <f t="shared" si="63"/>
        <v/>
      </c>
      <c r="C2048" s="16" t="str">
        <f>IFERROR(VLOOKUP(DATA!#REF!,DATA!#REF!,1,FALSE),"")</f>
        <v/>
      </c>
      <c r="D2048" s="16" t="str">
        <f>IFERROR(VLOOKUP(C2048,DATA!#REF!,2,FALSE),"")</f>
        <v/>
      </c>
    </row>
    <row r="2049" spans="2:4" s="230" customFormat="1">
      <c r="B2049" s="15" t="str">
        <f t="shared" si="63"/>
        <v/>
      </c>
      <c r="C2049" s="16" t="str">
        <f>IFERROR(VLOOKUP(DATA!#REF!,DATA!#REF!,1,FALSE),"")</f>
        <v/>
      </c>
      <c r="D2049" s="16" t="str">
        <f>IFERROR(VLOOKUP(C2049,DATA!#REF!,2,FALSE),"")</f>
        <v/>
      </c>
    </row>
    <row r="2050" spans="2:4" s="230" customFormat="1">
      <c r="B2050" s="15" t="str">
        <f t="shared" si="63"/>
        <v/>
      </c>
      <c r="C2050" s="16" t="str">
        <f>IFERROR(VLOOKUP(DATA!#REF!,DATA!#REF!,1,FALSE),"")</f>
        <v/>
      </c>
      <c r="D2050" s="16" t="str">
        <f>IFERROR(VLOOKUP(C2050,DATA!#REF!,2,FALSE),"")</f>
        <v/>
      </c>
    </row>
    <row r="2051" spans="2:4" s="230" customFormat="1">
      <c r="B2051" s="15" t="str">
        <f t="shared" si="63"/>
        <v/>
      </c>
      <c r="C2051" s="16" t="str">
        <f>IFERROR(VLOOKUP(DATA!#REF!,DATA!#REF!,1,FALSE),"")</f>
        <v/>
      </c>
      <c r="D2051" s="16" t="str">
        <f>IFERROR(VLOOKUP(C2051,DATA!#REF!,2,FALSE),"")</f>
        <v/>
      </c>
    </row>
    <row r="2052" spans="2:4" s="230" customFormat="1">
      <c r="B2052" s="15" t="str">
        <f t="shared" si="63"/>
        <v/>
      </c>
      <c r="C2052" s="16" t="str">
        <f>IFERROR(VLOOKUP(DATA!#REF!,DATA!#REF!,1,FALSE),"")</f>
        <v/>
      </c>
      <c r="D2052" s="16" t="str">
        <f>IFERROR(VLOOKUP(C2052,DATA!#REF!,2,FALSE),"")</f>
        <v/>
      </c>
    </row>
    <row r="2053" spans="2:4" s="230" customFormat="1">
      <c r="B2053" s="15" t="str">
        <f t="shared" si="63"/>
        <v/>
      </c>
      <c r="C2053" s="16" t="str">
        <f>IFERROR(VLOOKUP(DATA!#REF!,DATA!#REF!,1,FALSE),"")</f>
        <v/>
      </c>
      <c r="D2053" s="16" t="str">
        <f>IFERROR(VLOOKUP(C2053,DATA!#REF!,2,FALSE),"")</f>
        <v/>
      </c>
    </row>
    <row r="2054" spans="2:4" s="230" customFormat="1">
      <c r="B2054" s="15" t="str">
        <f t="shared" ref="B2054:B2117" si="64">+IF(C2054="","",ROW()-5)</f>
        <v/>
      </c>
      <c r="C2054" s="16" t="str">
        <f>IFERROR(VLOOKUP(DATA!#REF!,DATA!#REF!,1,FALSE),"")</f>
        <v/>
      </c>
      <c r="D2054" s="16" t="str">
        <f>IFERROR(VLOOKUP(C2054,DATA!#REF!,2,FALSE),"")</f>
        <v/>
      </c>
    </row>
    <row r="2055" spans="2:4" s="230" customFormat="1">
      <c r="B2055" s="15" t="str">
        <f t="shared" si="64"/>
        <v/>
      </c>
      <c r="C2055" s="16" t="str">
        <f>IFERROR(VLOOKUP(DATA!#REF!,DATA!#REF!,1,FALSE),"")</f>
        <v/>
      </c>
      <c r="D2055" s="16" t="str">
        <f>IFERROR(VLOOKUP(C2055,DATA!#REF!,2,FALSE),"")</f>
        <v/>
      </c>
    </row>
    <row r="2056" spans="2:4" s="230" customFormat="1">
      <c r="B2056" s="15" t="str">
        <f t="shared" si="64"/>
        <v/>
      </c>
      <c r="C2056" s="16" t="str">
        <f>IFERROR(VLOOKUP(DATA!#REF!,DATA!#REF!,1,FALSE),"")</f>
        <v/>
      </c>
      <c r="D2056" s="16" t="str">
        <f>IFERROR(VLOOKUP(C2056,DATA!#REF!,2,FALSE),"")</f>
        <v/>
      </c>
    </row>
    <row r="2057" spans="2:4" s="230" customFormat="1">
      <c r="B2057" s="15" t="str">
        <f t="shared" si="64"/>
        <v/>
      </c>
      <c r="C2057" s="16" t="str">
        <f>IFERROR(VLOOKUP(DATA!#REF!,DATA!#REF!,1,FALSE),"")</f>
        <v/>
      </c>
      <c r="D2057" s="16" t="str">
        <f>IFERROR(VLOOKUP(C2057,DATA!#REF!,2,FALSE),"")</f>
        <v/>
      </c>
    </row>
    <row r="2058" spans="2:4" s="230" customFormat="1">
      <c r="B2058" s="15" t="str">
        <f t="shared" si="64"/>
        <v/>
      </c>
      <c r="C2058" s="16" t="str">
        <f>IFERROR(VLOOKUP(DATA!#REF!,DATA!#REF!,1,FALSE),"")</f>
        <v/>
      </c>
      <c r="D2058" s="16" t="str">
        <f>IFERROR(VLOOKUP(C2058,DATA!#REF!,2,FALSE),"")</f>
        <v/>
      </c>
    </row>
    <row r="2059" spans="2:4" s="230" customFormat="1">
      <c r="B2059" s="15" t="str">
        <f t="shared" si="64"/>
        <v/>
      </c>
      <c r="C2059" s="16" t="str">
        <f>IFERROR(VLOOKUP(DATA!#REF!,DATA!#REF!,1,FALSE),"")</f>
        <v/>
      </c>
      <c r="D2059" s="16" t="str">
        <f>IFERROR(VLOOKUP(C2059,DATA!#REF!,2,FALSE),"")</f>
        <v/>
      </c>
    </row>
    <row r="2060" spans="2:4" s="230" customFormat="1">
      <c r="B2060" s="15" t="str">
        <f t="shared" si="64"/>
        <v/>
      </c>
      <c r="C2060" s="16" t="str">
        <f>IFERROR(VLOOKUP(DATA!#REF!,DATA!#REF!,1,FALSE),"")</f>
        <v/>
      </c>
      <c r="D2060" s="16" t="str">
        <f>IFERROR(VLOOKUP(C2060,DATA!#REF!,2,FALSE),"")</f>
        <v/>
      </c>
    </row>
    <row r="2061" spans="2:4" s="230" customFormat="1">
      <c r="B2061" s="15" t="str">
        <f t="shared" si="64"/>
        <v/>
      </c>
      <c r="C2061" s="16" t="str">
        <f>IFERROR(VLOOKUP(DATA!#REF!,DATA!#REF!,1,FALSE),"")</f>
        <v/>
      </c>
      <c r="D2061" s="16" t="str">
        <f>IFERROR(VLOOKUP(C2061,DATA!#REF!,2,FALSE),"")</f>
        <v/>
      </c>
    </row>
    <row r="2062" spans="2:4" s="230" customFormat="1">
      <c r="B2062" s="15" t="str">
        <f t="shared" si="64"/>
        <v/>
      </c>
      <c r="C2062" s="16" t="str">
        <f>IFERROR(VLOOKUP(DATA!#REF!,DATA!#REF!,1,FALSE),"")</f>
        <v/>
      </c>
      <c r="D2062" s="16" t="str">
        <f>IFERROR(VLOOKUP(C2062,DATA!#REF!,2,FALSE),"")</f>
        <v/>
      </c>
    </row>
    <row r="2063" spans="2:4" s="230" customFormat="1">
      <c r="B2063" s="15" t="str">
        <f t="shared" si="64"/>
        <v/>
      </c>
      <c r="C2063" s="16" t="str">
        <f>IFERROR(VLOOKUP(DATA!#REF!,DATA!#REF!,1,FALSE),"")</f>
        <v/>
      </c>
      <c r="D2063" s="16" t="str">
        <f>IFERROR(VLOOKUP(C2063,DATA!#REF!,2,FALSE),"")</f>
        <v/>
      </c>
    </row>
    <row r="2064" spans="2:4" s="230" customFormat="1">
      <c r="B2064" s="15" t="str">
        <f t="shared" si="64"/>
        <v/>
      </c>
      <c r="C2064" s="16" t="str">
        <f>IFERROR(VLOOKUP(DATA!#REF!,DATA!#REF!,1,FALSE),"")</f>
        <v/>
      </c>
      <c r="D2064" s="16" t="str">
        <f>IFERROR(VLOOKUP(C2064,DATA!#REF!,2,FALSE),"")</f>
        <v/>
      </c>
    </row>
    <row r="2065" spans="2:4" s="230" customFormat="1">
      <c r="B2065" s="15" t="str">
        <f t="shared" si="64"/>
        <v/>
      </c>
      <c r="C2065" s="16" t="str">
        <f>IFERROR(VLOOKUP(DATA!#REF!,DATA!#REF!,1,FALSE),"")</f>
        <v/>
      </c>
      <c r="D2065" s="16" t="str">
        <f>IFERROR(VLOOKUP(C2065,DATA!#REF!,2,FALSE),"")</f>
        <v/>
      </c>
    </row>
    <row r="2066" spans="2:4" s="230" customFormat="1">
      <c r="B2066" s="15" t="str">
        <f t="shared" si="64"/>
        <v/>
      </c>
      <c r="C2066" s="16" t="str">
        <f>IFERROR(VLOOKUP(DATA!#REF!,DATA!#REF!,1,FALSE),"")</f>
        <v/>
      </c>
      <c r="D2066" s="16" t="str">
        <f>IFERROR(VLOOKUP(C2066,DATA!#REF!,2,FALSE),"")</f>
        <v/>
      </c>
    </row>
    <row r="2067" spans="2:4" s="230" customFormat="1">
      <c r="B2067" s="15" t="str">
        <f t="shared" si="64"/>
        <v/>
      </c>
      <c r="C2067" s="16" t="str">
        <f>IFERROR(VLOOKUP(DATA!#REF!,DATA!#REF!,1,FALSE),"")</f>
        <v/>
      </c>
      <c r="D2067" s="16" t="str">
        <f>IFERROR(VLOOKUP(C2067,DATA!#REF!,2,FALSE),"")</f>
        <v/>
      </c>
    </row>
    <row r="2068" spans="2:4" s="230" customFormat="1">
      <c r="B2068" s="15" t="str">
        <f t="shared" si="64"/>
        <v/>
      </c>
      <c r="C2068" s="16" t="str">
        <f>IFERROR(VLOOKUP(DATA!#REF!,DATA!#REF!,1,FALSE),"")</f>
        <v/>
      </c>
      <c r="D2068" s="16" t="str">
        <f>IFERROR(VLOOKUP(C2068,DATA!#REF!,2,FALSE),"")</f>
        <v/>
      </c>
    </row>
    <row r="2069" spans="2:4" s="230" customFormat="1">
      <c r="B2069" s="15" t="str">
        <f t="shared" si="64"/>
        <v/>
      </c>
      <c r="C2069" s="16" t="str">
        <f>IFERROR(VLOOKUP(DATA!#REF!,DATA!#REF!,1,FALSE),"")</f>
        <v/>
      </c>
      <c r="D2069" s="16" t="str">
        <f>IFERROR(VLOOKUP(C2069,DATA!#REF!,2,FALSE),"")</f>
        <v/>
      </c>
    </row>
    <row r="2070" spans="2:4" s="230" customFormat="1">
      <c r="B2070" s="15" t="str">
        <f t="shared" si="64"/>
        <v/>
      </c>
      <c r="C2070" s="16" t="str">
        <f>IFERROR(VLOOKUP(DATA!#REF!,DATA!#REF!,1,FALSE),"")</f>
        <v/>
      </c>
      <c r="D2070" s="16" t="str">
        <f>IFERROR(VLOOKUP(C2070,DATA!#REF!,2,FALSE),"")</f>
        <v/>
      </c>
    </row>
    <row r="2071" spans="2:4" s="230" customFormat="1">
      <c r="B2071" s="15" t="str">
        <f t="shared" si="64"/>
        <v/>
      </c>
      <c r="C2071" s="16" t="str">
        <f>IFERROR(VLOOKUP(DATA!#REF!,DATA!#REF!,1,FALSE),"")</f>
        <v/>
      </c>
      <c r="D2071" s="16" t="str">
        <f>IFERROR(VLOOKUP(C2071,DATA!#REF!,2,FALSE),"")</f>
        <v/>
      </c>
    </row>
    <row r="2072" spans="2:4" s="230" customFormat="1">
      <c r="B2072" s="15" t="str">
        <f t="shared" si="64"/>
        <v/>
      </c>
      <c r="C2072" s="16" t="str">
        <f>IFERROR(VLOOKUP(DATA!#REF!,DATA!#REF!,1,FALSE),"")</f>
        <v/>
      </c>
      <c r="D2072" s="16" t="str">
        <f>IFERROR(VLOOKUP(C2072,DATA!#REF!,2,FALSE),"")</f>
        <v/>
      </c>
    </row>
    <row r="2073" spans="2:4" s="230" customFormat="1">
      <c r="B2073" s="15" t="str">
        <f t="shared" si="64"/>
        <v/>
      </c>
      <c r="C2073" s="16" t="str">
        <f>IFERROR(VLOOKUP(DATA!#REF!,DATA!#REF!,1,FALSE),"")</f>
        <v/>
      </c>
      <c r="D2073" s="16" t="str">
        <f>IFERROR(VLOOKUP(C2073,DATA!#REF!,2,FALSE),"")</f>
        <v/>
      </c>
    </row>
    <row r="2074" spans="2:4" s="230" customFormat="1">
      <c r="B2074" s="15" t="str">
        <f t="shared" si="64"/>
        <v/>
      </c>
      <c r="C2074" s="16" t="str">
        <f>IFERROR(VLOOKUP(DATA!#REF!,DATA!#REF!,1,FALSE),"")</f>
        <v/>
      </c>
      <c r="D2074" s="16" t="str">
        <f>IFERROR(VLOOKUP(C2074,DATA!#REF!,2,FALSE),"")</f>
        <v/>
      </c>
    </row>
    <row r="2075" spans="2:4" s="230" customFormat="1">
      <c r="B2075" s="15" t="str">
        <f t="shared" si="64"/>
        <v/>
      </c>
      <c r="C2075" s="16" t="str">
        <f>IFERROR(VLOOKUP(DATA!#REF!,DATA!#REF!,1,FALSE),"")</f>
        <v/>
      </c>
      <c r="D2075" s="16" t="str">
        <f>IFERROR(VLOOKUP(C2075,DATA!#REF!,2,FALSE),"")</f>
        <v/>
      </c>
    </row>
    <row r="2076" spans="2:4" s="230" customFormat="1">
      <c r="B2076" s="15" t="str">
        <f t="shared" si="64"/>
        <v/>
      </c>
      <c r="C2076" s="16" t="str">
        <f>IFERROR(VLOOKUP(DATA!#REF!,DATA!#REF!,1,FALSE),"")</f>
        <v/>
      </c>
      <c r="D2076" s="16" t="str">
        <f>IFERROR(VLOOKUP(C2076,DATA!#REF!,2,FALSE),"")</f>
        <v/>
      </c>
    </row>
    <row r="2077" spans="2:4" s="230" customFormat="1">
      <c r="B2077" s="15" t="str">
        <f t="shared" si="64"/>
        <v/>
      </c>
      <c r="C2077" s="16" t="str">
        <f>IFERROR(VLOOKUP(DATA!#REF!,DATA!#REF!,1,FALSE),"")</f>
        <v/>
      </c>
      <c r="D2077" s="16" t="str">
        <f>IFERROR(VLOOKUP(C2077,DATA!#REF!,2,FALSE),"")</f>
        <v/>
      </c>
    </row>
    <row r="2078" spans="2:4" s="230" customFormat="1">
      <c r="B2078" s="15" t="str">
        <f t="shared" si="64"/>
        <v/>
      </c>
      <c r="C2078" s="16" t="str">
        <f>IFERROR(VLOOKUP(DATA!#REF!,DATA!#REF!,1,FALSE),"")</f>
        <v/>
      </c>
      <c r="D2078" s="16" t="str">
        <f>IFERROR(VLOOKUP(C2078,DATA!#REF!,2,FALSE),"")</f>
        <v/>
      </c>
    </row>
    <row r="2079" spans="2:4" s="230" customFormat="1">
      <c r="B2079" s="15" t="str">
        <f t="shared" si="64"/>
        <v/>
      </c>
      <c r="C2079" s="16" t="str">
        <f>IFERROR(VLOOKUP(DATA!#REF!,DATA!#REF!,1,FALSE),"")</f>
        <v/>
      </c>
      <c r="D2079" s="16" t="str">
        <f>IFERROR(VLOOKUP(C2079,DATA!#REF!,2,FALSE),"")</f>
        <v/>
      </c>
    </row>
    <row r="2080" spans="2:4" s="230" customFormat="1">
      <c r="B2080" s="15" t="str">
        <f t="shared" si="64"/>
        <v/>
      </c>
      <c r="C2080" s="16" t="str">
        <f>IFERROR(VLOOKUP(DATA!#REF!,DATA!#REF!,1,FALSE),"")</f>
        <v/>
      </c>
      <c r="D2080" s="16" t="str">
        <f>IFERROR(VLOOKUP(C2080,DATA!#REF!,2,FALSE),"")</f>
        <v/>
      </c>
    </row>
    <row r="2081" spans="2:4" s="230" customFormat="1">
      <c r="B2081" s="15" t="str">
        <f t="shared" si="64"/>
        <v/>
      </c>
      <c r="C2081" s="16" t="str">
        <f>IFERROR(VLOOKUP(DATA!#REF!,DATA!#REF!,1,FALSE),"")</f>
        <v/>
      </c>
      <c r="D2081" s="16" t="str">
        <f>IFERROR(VLOOKUP(C2081,DATA!#REF!,2,FALSE),"")</f>
        <v/>
      </c>
    </row>
    <row r="2082" spans="2:4" s="230" customFormat="1">
      <c r="B2082" s="15" t="str">
        <f t="shared" si="64"/>
        <v/>
      </c>
      <c r="C2082" s="16" t="str">
        <f>IFERROR(VLOOKUP(DATA!#REF!,DATA!#REF!,1,FALSE),"")</f>
        <v/>
      </c>
      <c r="D2082" s="16" t="str">
        <f>IFERROR(VLOOKUP(C2082,DATA!#REF!,2,FALSE),"")</f>
        <v/>
      </c>
    </row>
    <row r="2083" spans="2:4" s="230" customFormat="1">
      <c r="B2083" s="15" t="str">
        <f t="shared" si="64"/>
        <v/>
      </c>
      <c r="C2083" s="16" t="str">
        <f>IFERROR(VLOOKUP(DATA!#REF!,DATA!#REF!,1,FALSE),"")</f>
        <v/>
      </c>
      <c r="D2083" s="16" t="str">
        <f>IFERROR(VLOOKUP(C2083,DATA!#REF!,2,FALSE),"")</f>
        <v/>
      </c>
    </row>
    <row r="2084" spans="2:4" s="230" customFormat="1">
      <c r="B2084" s="15" t="str">
        <f t="shared" si="64"/>
        <v/>
      </c>
      <c r="C2084" s="16" t="str">
        <f>IFERROR(VLOOKUP(DATA!#REF!,DATA!#REF!,1,FALSE),"")</f>
        <v/>
      </c>
      <c r="D2084" s="16" t="str">
        <f>IFERROR(VLOOKUP(C2084,DATA!#REF!,2,FALSE),"")</f>
        <v/>
      </c>
    </row>
    <row r="2085" spans="2:4" s="230" customFormat="1">
      <c r="B2085" s="15" t="str">
        <f t="shared" si="64"/>
        <v/>
      </c>
      <c r="C2085" s="16" t="str">
        <f>IFERROR(VLOOKUP(DATA!#REF!,DATA!#REF!,1,FALSE),"")</f>
        <v/>
      </c>
      <c r="D2085" s="16" t="str">
        <f>IFERROR(VLOOKUP(C2085,DATA!#REF!,2,FALSE),"")</f>
        <v/>
      </c>
    </row>
    <row r="2086" spans="2:4" s="230" customFormat="1">
      <c r="B2086" s="15" t="str">
        <f t="shared" si="64"/>
        <v/>
      </c>
      <c r="C2086" s="16" t="str">
        <f>IFERROR(VLOOKUP(DATA!#REF!,DATA!#REF!,1,FALSE),"")</f>
        <v/>
      </c>
      <c r="D2086" s="16" t="str">
        <f>IFERROR(VLOOKUP(C2086,DATA!#REF!,2,FALSE),"")</f>
        <v/>
      </c>
    </row>
    <row r="2087" spans="2:4" s="230" customFormat="1">
      <c r="B2087" s="15" t="str">
        <f t="shared" si="64"/>
        <v/>
      </c>
      <c r="C2087" s="16" t="str">
        <f>IFERROR(VLOOKUP(DATA!#REF!,DATA!#REF!,1,FALSE),"")</f>
        <v/>
      </c>
      <c r="D2087" s="16" t="str">
        <f>IFERROR(VLOOKUP(C2087,DATA!#REF!,2,FALSE),"")</f>
        <v/>
      </c>
    </row>
    <row r="2088" spans="2:4" s="230" customFormat="1">
      <c r="B2088" s="15" t="str">
        <f t="shared" si="64"/>
        <v/>
      </c>
      <c r="C2088" s="16" t="str">
        <f>IFERROR(VLOOKUP(DATA!#REF!,DATA!#REF!,1,FALSE),"")</f>
        <v/>
      </c>
      <c r="D2088" s="16" t="str">
        <f>IFERROR(VLOOKUP(C2088,DATA!#REF!,2,FALSE),"")</f>
        <v/>
      </c>
    </row>
    <row r="2089" spans="2:4" s="230" customFormat="1">
      <c r="B2089" s="15" t="str">
        <f t="shared" si="64"/>
        <v/>
      </c>
      <c r="C2089" s="16" t="str">
        <f>IFERROR(VLOOKUP(DATA!#REF!,DATA!#REF!,1,FALSE),"")</f>
        <v/>
      </c>
      <c r="D2089" s="16" t="str">
        <f>IFERROR(VLOOKUP(C2089,DATA!#REF!,2,FALSE),"")</f>
        <v/>
      </c>
    </row>
    <row r="2090" spans="2:4" s="230" customFormat="1">
      <c r="B2090" s="15" t="str">
        <f t="shared" si="64"/>
        <v/>
      </c>
      <c r="C2090" s="16" t="str">
        <f>IFERROR(VLOOKUP(DATA!#REF!,DATA!#REF!,1,FALSE),"")</f>
        <v/>
      </c>
      <c r="D2090" s="16" t="str">
        <f>IFERROR(VLOOKUP(C2090,DATA!#REF!,2,FALSE),"")</f>
        <v/>
      </c>
    </row>
    <row r="2091" spans="2:4" s="230" customFormat="1">
      <c r="B2091" s="15" t="str">
        <f t="shared" si="64"/>
        <v/>
      </c>
      <c r="C2091" s="16" t="str">
        <f>IFERROR(VLOOKUP(DATA!#REF!,DATA!#REF!,1,FALSE),"")</f>
        <v/>
      </c>
      <c r="D2091" s="16" t="str">
        <f>IFERROR(VLOOKUP(C2091,DATA!#REF!,2,FALSE),"")</f>
        <v/>
      </c>
    </row>
    <row r="2092" spans="2:4" s="230" customFormat="1">
      <c r="B2092" s="15" t="str">
        <f t="shared" si="64"/>
        <v/>
      </c>
      <c r="C2092" s="16" t="str">
        <f>IFERROR(VLOOKUP(DATA!#REF!,DATA!#REF!,1,FALSE),"")</f>
        <v/>
      </c>
      <c r="D2092" s="16" t="str">
        <f>IFERROR(VLOOKUP(C2092,DATA!#REF!,2,FALSE),"")</f>
        <v/>
      </c>
    </row>
    <row r="2093" spans="2:4" s="230" customFormat="1">
      <c r="B2093" s="15" t="str">
        <f t="shared" si="64"/>
        <v/>
      </c>
      <c r="C2093" s="16" t="str">
        <f>IFERROR(VLOOKUP(DATA!#REF!,DATA!#REF!,1,FALSE),"")</f>
        <v/>
      </c>
      <c r="D2093" s="16" t="str">
        <f>IFERROR(VLOOKUP(C2093,DATA!#REF!,2,FALSE),"")</f>
        <v/>
      </c>
    </row>
    <row r="2094" spans="2:4" s="230" customFormat="1">
      <c r="B2094" s="15" t="str">
        <f t="shared" si="64"/>
        <v/>
      </c>
      <c r="C2094" s="16" t="str">
        <f>IFERROR(VLOOKUP(DATA!#REF!,DATA!#REF!,1,FALSE),"")</f>
        <v/>
      </c>
      <c r="D2094" s="16" t="str">
        <f>IFERROR(VLOOKUP(C2094,DATA!#REF!,2,FALSE),"")</f>
        <v/>
      </c>
    </row>
    <row r="2095" spans="2:4" s="230" customFormat="1">
      <c r="B2095" s="15" t="str">
        <f t="shared" si="64"/>
        <v/>
      </c>
      <c r="C2095" s="16" t="str">
        <f>IFERROR(VLOOKUP(DATA!#REF!,DATA!#REF!,1,FALSE),"")</f>
        <v/>
      </c>
      <c r="D2095" s="16" t="str">
        <f>IFERROR(VLOOKUP(C2095,DATA!#REF!,2,FALSE),"")</f>
        <v/>
      </c>
    </row>
    <row r="2096" spans="2:4" s="230" customFormat="1">
      <c r="B2096" s="15" t="str">
        <f t="shared" si="64"/>
        <v/>
      </c>
      <c r="C2096" s="16" t="str">
        <f>IFERROR(VLOOKUP(DATA!#REF!,DATA!#REF!,1,FALSE),"")</f>
        <v/>
      </c>
      <c r="D2096" s="16" t="str">
        <f>IFERROR(VLOOKUP(C2096,DATA!#REF!,2,FALSE),"")</f>
        <v/>
      </c>
    </row>
    <row r="2097" spans="2:4" s="230" customFormat="1">
      <c r="B2097" s="15" t="str">
        <f t="shared" si="64"/>
        <v/>
      </c>
      <c r="C2097" s="16" t="str">
        <f>IFERROR(VLOOKUP(DATA!#REF!,DATA!#REF!,1,FALSE),"")</f>
        <v/>
      </c>
      <c r="D2097" s="16" t="str">
        <f>IFERROR(VLOOKUP(C2097,DATA!#REF!,2,FALSE),"")</f>
        <v/>
      </c>
    </row>
    <row r="2098" spans="2:4" s="230" customFormat="1">
      <c r="B2098" s="15" t="str">
        <f t="shared" si="64"/>
        <v/>
      </c>
      <c r="C2098" s="16" t="str">
        <f>IFERROR(VLOOKUP(DATA!#REF!,DATA!#REF!,1,FALSE),"")</f>
        <v/>
      </c>
      <c r="D2098" s="16" t="str">
        <f>IFERROR(VLOOKUP(C2098,DATA!#REF!,2,FALSE),"")</f>
        <v/>
      </c>
    </row>
    <row r="2099" spans="2:4" s="230" customFormat="1">
      <c r="B2099" s="15" t="str">
        <f t="shared" si="64"/>
        <v/>
      </c>
      <c r="C2099" s="16" t="str">
        <f>IFERROR(VLOOKUP(DATA!#REF!,DATA!#REF!,1,FALSE),"")</f>
        <v/>
      </c>
      <c r="D2099" s="16" t="str">
        <f>IFERROR(VLOOKUP(C2099,DATA!#REF!,2,FALSE),"")</f>
        <v/>
      </c>
    </row>
    <row r="2100" spans="2:4" s="230" customFormat="1">
      <c r="B2100" s="15" t="str">
        <f t="shared" si="64"/>
        <v/>
      </c>
      <c r="C2100" s="16" t="str">
        <f>IFERROR(VLOOKUP(DATA!#REF!,DATA!#REF!,1,FALSE),"")</f>
        <v/>
      </c>
      <c r="D2100" s="16" t="str">
        <f>IFERROR(VLOOKUP(C2100,DATA!#REF!,2,FALSE),"")</f>
        <v/>
      </c>
    </row>
    <row r="2101" spans="2:4" s="230" customFormat="1">
      <c r="B2101" s="15" t="str">
        <f t="shared" si="64"/>
        <v/>
      </c>
      <c r="C2101" s="16" t="str">
        <f>IFERROR(VLOOKUP(DATA!#REF!,DATA!#REF!,1,FALSE),"")</f>
        <v/>
      </c>
      <c r="D2101" s="16" t="str">
        <f>IFERROR(VLOOKUP(C2101,DATA!#REF!,2,FALSE),"")</f>
        <v/>
      </c>
    </row>
    <row r="2102" spans="2:4" s="230" customFormat="1">
      <c r="B2102" s="15" t="str">
        <f t="shared" si="64"/>
        <v/>
      </c>
      <c r="C2102" s="16" t="str">
        <f>IFERROR(VLOOKUP(DATA!#REF!,DATA!#REF!,1,FALSE),"")</f>
        <v/>
      </c>
      <c r="D2102" s="16" t="str">
        <f>IFERROR(VLOOKUP(C2102,DATA!#REF!,2,FALSE),"")</f>
        <v/>
      </c>
    </row>
    <row r="2103" spans="2:4" s="230" customFormat="1">
      <c r="B2103" s="15" t="str">
        <f t="shared" si="64"/>
        <v/>
      </c>
      <c r="C2103" s="16" t="str">
        <f>IFERROR(VLOOKUP(DATA!#REF!,DATA!#REF!,1,FALSE),"")</f>
        <v/>
      </c>
      <c r="D2103" s="16" t="str">
        <f>IFERROR(VLOOKUP(C2103,DATA!#REF!,2,FALSE),"")</f>
        <v/>
      </c>
    </row>
    <row r="2104" spans="2:4" s="230" customFormat="1">
      <c r="B2104" s="15" t="str">
        <f t="shared" si="64"/>
        <v/>
      </c>
      <c r="C2104" s="16" t="str">
        <f>IFERROR(VLOOKUP(DATA!#REF!,DATA!#REF!,1,FALSE),"")</f>
        <v/>
      </c>
      <c r="D2104" s="16" t="str">
        <f>IFERROR(VLOOKUP(C2104,DATA!#REF!,2,FALSE),"")</f>
        <v/>
      </c>
    </row>
    <row r="2105" spans="2:4" s="230" customFormat="1">
      <c r="B2105" s="15" t="str">
        <f t="shared" si="64"/>
        <v/>
      </c>
      <c r="C2105" s="16" t="str">
        <f>IFERROR(VLOOKUP(DATA!#REF!,DATA!#REF!,1,FALSE),"")</f>
        <v/>
      </c>
      <c r="D2105" s="16" t="str">
        <f>IFERROR(VLOOKUP(C2105,DATA!#REF!,2,FALSE),"")</f>
        <v/>
      </c>
    </row>
    <row r="2106" spans="2:4" s="230" customFormat="1">
      <c r="B2106" s="15" t="str">
        <f t="shared" si="64"/>
        <v/>
      </c>
      <c r="C2106" s="16" t="str">
        <f>IFERROR(VLOOKUP(DATA!#REF!,DATA!#REF!,1,FALSE),"")</f>
        <v/>
      </c>
      <c r="D2106" s="16" t="str">
        <f>IFERROR(VLOOKUP(C2106,DATA!#REF!,2,FALSE),"")</f>
        <v/>
      </c>
    </row>
    <row r="2107" spans="2:4" s="230" customFormat="1">
      <c r="B2107" s="15" t="str">
        <f t="shared" si="64"/>
        <v/>
      </c>
      <c r="C2107" s="16" t="str">
        <f>IFERROR(VLOOKUP(DATA!#REF!,DATA!#REF!,1,FALSE),"")</f>
        <v/>
      </c>
      <c r="D2107" s="16" t="str">
        <f>IFERROR(VLOOKUP(C2107,DATA!#REF!,2,FALSE),"")</f>
        <v/>
      </c>
    </row>
    <row r="2108" spans="2:4" s="230" customFormat="1">
      <c r="B2108" s="15" t="str">
        <f t="shared" si="64"/>
        <v/>
      </c>
      <c r="C2108" s="16" t="str">
        <f>IFERROR(VLOOKUP(DATA!#REF!,DATA!#REF!,1,FALSE),"")</f>
        <v/>
      </c>
      <c r="D2108" s="16" t="str">
        <f>IFERROR(VLOOKUP(C2108,DATA!#REF!,2,FALSE),"")</f>
        <v/>
      </c>
    </row>
    <row r="2109" spans="2:4" s="230" customFormat="1">
      <c r="B2109" s="15" t="str">
        <f t="shared" si="64"/>
        <v/>
      </c>
      <c r="C2109" s="16" t="str">
        <f>IFERROR(VLOOKUP(DATA!#REF!,DATA!#REF!,1,FALSE),"")</f>
        <v/>
      </c>
      <c r="D2109" s="16" t="str">
        <f>IFERROR(VLOOKUP(C2109,DATA!#REF!,2,FALSE),"")</f>
        <v/>
      </c>
    </row>
    <row r="2110" spans="2:4" s="230" customFormat="1">
      <c r="B2110" s="15" t="str">
        <f t="shared" si="64"/>
        <v/>
      </c>
      <c r="C2110" s="16" t="str">
        <f>IFERROR(VLOOKUP(DATA!#REF!,DATA!#REF!,1,FALSE),"")</f>
        <v/>
      </c>
      <c r="D2110" s="16" t="str">
        <f>IFERROR(VLOOKUP(C2110,DATA!#REF!,2,FALSE),"")</f>
        <v/>
      </c>
    </row>
    <row r="2111" spans="2:4" s="230" customFormat="1">
      <c r="B2111" s="15" t="str">
        <f t="shared" si="64"/>
        <v/>
      </c>
      <c r="C2111" s="16" t="str">
        <f>IFERROR(VLOOKUP(DATA!#REF!,DATA!#REF!,1,FALSE),"")</f>
        <v/>
      </c>
      <c r="D2111" s="16" t="str">
        <f>IFERROR(VLOOKUP(C2111,DATA!#REF!,2,FALSE),"")</f>
        <v/>
      </c>
    </row>
    <row r="2112" spans="2:4" s="230" customFormat="1">
      <c r="B2112" s="15" t="str">
        <f t="shared" si="64"/>
        <v/>
      </c>
      <c r="C2112" s="16" t="str">
        <f>IFERROR(VLOOKUP(DATA!#REF!,DATA!#REF!,1,FALSE),"")</f>
        <v/>
      </c>
      <c r="D2112" s="16" t="str">
        <f>IFERROR(VLOOKUP(C2112,DATA!#REF!,2,FALSE),"")</f>
        <v/>
      </c>
    </row>
    <row r="2113" spans="2:4" s="230" customFormat="1">
      <c r="B2113" s="15" t="str">
        <f t="shared" si="64"/>
        <v/>
      </c>
      <c r="C2113" s="16" t="str">
        <f>IFERROR(VLOOKUP(DATA!#REF!,DATA!#REF!,1,FALSE),"")</f>
        <v/>
      </c>
      <c r="D2113" s="16" t="str">
        <f>IFERROR(VLOOKUP(C2113,DATA!#REF!,2,FALSE),"")</f>
        <v/>
      </c>
    </row>
    <row r="2114" spans="2:4" s="230" customFormat="1">
      <c r="B2114" s="15" t="str">
        <f t="shared" si="64"/>
        <v/>
      </c>
      <c r="C2114" s="16" t="str">
        <f>IFERROR(VLOOKUP(DATA!#REF!,DATA!#REF!,1,FALSE),"")</f>
        <v/>
      </c>
      <c r="D2114" s="16" t="str">
        <f>IFERROR(VLOOKUP(C2114,DATA!#REF!,2,FALSE),"")</f>
        <v/>
      </c>
    </row>
    <row r="2115" spans="2:4" s="230" customFormat="1">
      <c r="B2115" s="15" t="str">
        <f t="shared" si="64"/>
        <v/>
      </c>
      <c r="C2115" s="16" t="str">
        <f>IFERROR(VLOOKUP(DATA!#REF!,DATA!#REF!,1,FALSE),"")</f>
        <v/>
      </c>
      <c r="D2115" s="16" t="str">
        <f>IFERROR(VLOOKUP(C2115,DATA!#REF!,2,FALSE),"")</f>
        <v/>
      </c>
    </row>
    <row r="2116" spans="2:4" s="230" customFormat="1">
      <c r="B2116" s="15" t="str">
        <f t="shared" si="64"/>
        <v/>
      </c>
      <c r="C2116" s="16" t="str">
        <f>IFERROR(VLOOKUP(DATA!#REF!,DATA!#REF!,1,FALSE),"")</f>
        <v/>
      </c>
      <c r="D2116" s="16" t="str">
        <f>IFERROR(VLOOKUP(C2116,DATA!#REF!,2,FALSE),"")</f>
        <v/>
      </c>
    </row>
    <row r="2117" spans="2:4" s="230" customFormat="1">
      <c r="B2117" s="15" t="str">
        <f t="shared" si="64"/>
        <v/>
      </c>
      <c r="C2117" s="16" t="str">
        <f>IFERROR(VLOOKUP(DATA!#REF!,DATA!#REF!,1,FALSE),"")</f>
        <v/>
      </c>
      <c r="D2117" s="16" t="str">
        <f>IFERROR(VLOOKUP(C2117,DATA!#REF!,2,FALSE),"")</f>
        <v/>
      </c>
    </row>
    <row r="2118" spans="2:4" s="230" customFormat="1">
      <c r="B2118" s="15" t="str">
        <f t="shared" ref="B2118:B2181" si="65">+IF(C2118="","",ROW()-5)</f>
        <v/>
      </c>
      <c r="C2118" s="16" t="str">
        <f>IFERROR(VLOOKUP(DATA!#REF!,DATA!#REF!,1,FALSE),"")</f>
        <v/>
      </c>
      <c r="D2118" s="16" t="str">
        <f>IFERROR(VLOOKUP(C2118,DATA!#REF!,2,FALSE),"")</f>
        <v/>
      </c>
    </row>
    <row r="2119" spans="2:4" s="230" customFormat="1">
      <c r="B2119" s="15" t="str">
        <f t="shared" si="65"/>
        <v/>
      </c>
      <c r="C2119" s="16" t="str">
        <f>IFERROR(VLOOKUP(DATA!#REF!,DATA!#REF!,1,FALSE),"")</f>
        <v/>
      </c>
      <c r="D2119" s="16" t="str">
        <f>IFERROR(VLOOKUP(C2119,DATA!#REF!,2,FALSE),"")</f>
        <v/>
      </c>
    </row>
    <row r="2120" spans="2:4" s="230" customFormat="1">
      <c r="B2120" s="15" t="str">
        <f t="shared" si="65"/>
        <v/>
      </c>
      <c r="C2120" s="16" t="str">
        <f>IFERROR(VLOOKUP(DATA!#REF!,DATA!#REF!,1,FALSE),"")</f>
        <v/>
      </c>
      <c r="D2120" s="16" t="str">
        <f>IFERROR(VLOOKUP(C2120,DATA!#REF!,2,FALSE),"")</f>
        <v/>
      </c>
    </row>
    <row r="2121" spans="2:4" s="230" customFormat="1">
      <c r="B2121" s="15" t="str">
        <f t="shared" si="65"/>
        <v/>
      </c>
      <c r="C2121" s="16" t="str">
        <f>IFERROR(VLOOKUP(DATA!#REF!,DATA!#REF!,1,FALSE),"")</f>
        <v/>
      </c>
      <c r="D2121" s="16" t="str">
        <f>IFERROR(VLOOKUP(C2121,DATA!#REF!,2,FALSE),"")</f>
        <v/>
      </c>
    </row>
    <row r="2122" spans="2:4" s="230" customFormat="1">
      <c r="B2122" s="15" t="str">
        <f t="shared" si="65"/>
        <v/>
      </c>
      <c r="C2122" s="16" t="str">
        <f>IFERROR(VLOOKUP(DATA!#REF!,DATA!#REF!,1,FALSE),"")</f>
        <v/>
      </c>
      <c r="D2122" s="16" t="str">
        <f>IFERROR(VLOOKUP(C2122,DATA!#REF!,2,FALSE),"")</f>
        <v/>
      </c>
    </row>
    <row r="2123" spans="2:4" s="230" customFormat="1">
      <c r="B2123" s="15" t="str">
        <f t="shared" si="65"/>
        <v/>
      </c>
      <c r="C2123" s="16" t="str">
        <f>IFERROR(VLOOKUP(DATA!#REF!,DATA!#REF!,1,FALSE),"")</f>
        <v/>
      </c>
      <c r="D2123" s="16" t="str">
        <f>IFERROR(VLOOKUP(C2123,DATA!#REF!,2,FALSE),"")</f>
        <v/>
      </c>
    </row>
    <row r="2124" spans="2:4" s="230" customFormat="1">
      <c r="B2124" s="15" t="str">
        <f t="shared" si="65"/>
        <v/>
      </c>
      <c r="C2124" s="16" t="str">
        <f>IFERROR(VLOOKUP(DATA!#REF!,DATA!#REF!,1,FALSE),"")</f>
        <v/>
      </c>
      <c r="D2124" s="16" t="str">
        <f>IFERROR(VLOOKUP(C2124,DATA!#REF!,2,FALSE),"")</f>
        <v/>
      </c>
    </row>
    <row r="2125" spans="2:4" s="230" customFormat="1">
      <c r="B2125" s="15" t="str">
        <f t="shared" si="65"/>
        <v/>
      </c>
      <c r="C2125" s="16" t="str">
        <f>IFERROR(VLOOKUP(DATA!#REF!,DATA!#REF!,1,FALSE),"")</f>
        <v/>
      </c>
      <c r="D2125" s="16" t="str">
        <f>IFERROR(VLOOKUP(C2125,DATA!#REF!,2,FALSE),"")</f>
        <v/>
      </c>
    </row>
    <row r="2126" spans="2:4" s="230" customFormat="1">
      <c r="B2126" s="15" t="str">
        <f t="shared" si="65"/>
        <v/>
      </c>
      <c r="C2126" s="16" t="str">
        <f>IFERROR(VLOOKUP(DATA!#REF!,DATA!#REF!,1,FALSE),"")</f>
        <v/>
      </c>
      <c r="D2126" s="16" t="str">
        <f>IFERROR(VLOOKUP(C2126,DATA!#REF!,2,FALSE),"")</f>
        <v/>
      </c>
    </row>
    <row r="2127" spans="2:4" s="230" customFormat="1">
      <c r="B2127" s="15" t="str">
        <f t="shared" si="65"/>
        <v/>
      </c>
      <c r="C2127" s="16" t="str">
        <f>IFERROR(VLOOKUP(DATA!#REF!,DATA!#REF!,1,FALSE),"")</f>
        <v/>
      </c>
      <c r="D2127" s="16" t="str">
        <f>IFERROR(VLOOKUP(C2127,DATA!#REF!,2,FALSE),"")</f>
        <v/>
      </c>
    </row>
    <row r="2128" spans="2:4" s="230" customFormat="1">
      <c r="B2128" s="15" t="str">
        <f t="shared" si="65"/>
        <v/>
      </c>
      <c r="C2128" s="16" t="str">
        <f>IFERROR(VLOOKUP(DATA!#REF!,DATA!#REF!,1,FALSE),"")</f>
        <v/>
      </c>
      <c r="D2128" s="16" t="str">
        <f>IFERROR(VLOOKUP(C2128,DATA!#REF!,2,FALSE),"")</f>
        <v/>
      </c>
    </row>
    <row r="2129" spans="2:4" s="230" customFormat="1">
      <c r="B2129" s="15" t="str">
        <f t="shared" si="65"/>
        <v/>
      </c>
      <c r="C2129" s="16" t="str">
        <f>IFERROR(VLOOKUP(DATA!#REF!,DATA!#REF!,1,FALSE),"")</f>
        <v/>
      </c>
      <c r="D2129" s="16" t="str">
        <f>IFERROR(VLOOKUP(C2129,DATA!#REF!,2,FALSE),"")</f>
        <v/>
      </c>
    </row>
    <row r="2130" spans="2:4" s="230" customFormat="1">
      <c r="B2130" s="15" t="str">
        <f t="shared" si="65"/>
        <v/>
      </c>
      <c r="C2130" s="16" t="str">
        <f>IFERROR(VLOOKUP(DATA!#REF!,DATA!#REF!,1,FALSE),"")</f>
        <v/>
      </c>
      <c r="D2130" s="16" t="str">
        <f>IFERROR(VLOOKUP(C2130,DATA!#REF!,2,FALSE),"")</f>
        <v/>
      </c>
    </row>
    <row r="2131" spans="2:4" s="230" customFormat="1">
      <c r="B2131" s="15" t="str">
        <f t="shared" si="65"/>
        <v/>
      </c>
      <c r="C2131" s="16" t="str">
        <f>IFERROR(VLOOKUP(DATA!#REF!,DATA!#REF!,1,FALSE),"")</f>
        <v/>
      </c>
      <c r="D2131" s="16" t="str">
        <f>IFERROR(VLOOKUP(C2131,DATA!#REF!,2,FALSE),"")</f>
        <v/>
      </c>
    </row>
    <row r="2132" spans="2:4" s="230" customFormat="1">
      <c r="B2132" s="15" t="str">
        <f t="shared" si="65"/>
        <v/>
      </c>
      <c r="C2132" s="16" t="str">
        <f>IFERROR(VLOOKUP(DATA!#REF!,DATA!#REF!,1,FALSE),"")</f>
        <v/>
      </c>
      <c r="D2132" s="16" t="str">
        <f>IFERROR(VLOOKUP(C2132,DATA!#REF!,2,FALSE),"")</f>
        <v/>
      </c>
    </row>
    <row r="2133" spans="2:4" s="230" customFormat="1">
      <c r="B2133" s="15" t="str">
        <f t="shared" si="65"/>
        <v/>
      </c>
      <c r="C2133" s="16" t="str">
        <f>IFERROR(VLOOKUP(DATA!#REF!,DATA!#REF!,1,FALSE),"")</f>
        <v/>
      </c>
      <c r="D2133" s="16" t="str">
        <f>IFERROR(VLOOKUP(C2133,DATA!#REF!,2,FALSE),"")</f>
        <v/>
      </c>
    </row>
    <row r="2134" spans="2:4" s="230" customFormat="1">
      <c r="B2134" s="15" t="str">
        <f t="shared" si="65"/>
        <v/>
      </c>
      <c r="C2134" s="16" t="str">
        <f>IFERROR(VLOOKUP(DATA!#REF!,DATA!#REF!,1,FALSE),"")</f>
        <v/>
      </c>
      <c r="D2134" s="16" t="str">
        <f>IFERROR(VLOOKUP(C2134,DATA!#REF!,2,FALSE),"")</f>
        <v/>
      </c>
    </row>
    <row r="2135" spans="2:4" s="230" customFormat="1">
      <c r="B2135" s="15" t="str">
        <f t="shared" si="65"/>
        <v/>
      </c>
      <c r="C2135" s="16" t="str">
        <f>IFERROR(VLOOKUP(DATA!#REF!,DATA!#REF!,1,FALSE),"")</f>
        <v/>
      </c>
      <c r="D2135" s="16" t="str">
        <f>IFERROR(VLOOKUP(C2135,DATA!#REF!,2,FALSE),"")</f>
        <v/>
      </c>
    </row>
    <row r="2136" spans="2:4" s="230" customFormat="1">
      <c r="B2136" s="15" t="str">
        <f t="shared" si="65"/>
        <v/>
      </c>
      <c r="C2136" s="16" t="str">
        <f>IFERROR(VLOOKUP(DATA!#REF!,DATA!#REF!,1,FALSE),"")</f>
        <v/>
      </c>
      <c r="D2136" s="16" t="str">
        <f>IFERROR(VLOOKUP(C2136,DATA!#REF!,2,FALSE),"")</f>
        <v/>
      </c>
    </row>
    <row r="2137" spans="2:4" s="230" customFormat="1">
      <c r="B2137" s="15" t="str">
        <f t="shared" si="65"/>
        <v/>
      </c>
      <c r="C2137" s="16" t="str">
        <f>IFERROR(VLOOKUP(DATA!#REF!,DATA!#REF!,1,FALSE),"")</f>
        <v/>
      </c>
      <c r="D2137" s="16" t="str">
        <f>IFERROR(VLOOKUP(C2137,DATA!#REF!,2,FALSE),"")</f>
        <v/>
      </c>
    </row>
    <row r="2138" spans="2:4" s="230" customFormat="1">
      <c r="B2138" s="15" t="str">
        <f t="shared" si="65"/>
        <v/>
      </c>
      <c r="C2138" s="16" t="str">
        <f>IFERROR(VLOOKUP(DATA!#REF!,DATA!#REF!,1,FALSE),"")</f>
        <v/>
      </c>
      <c r="D2138" s="16" t="str">
        <f>IFERROR(VLOOKUP(C2138,DATA!#REF!,2,FALSE),"")</f>
        <v/>
      </c>
    </row>
    <row r="2139" spans="2:4" s="230" customFormat="1">
      <c r="B2139" s="15" t="str">
        <f t="shared" si="65"/>
        <v/>
      </c>
      <c r="C2139" s="16" t="str">
        <f>IFERROR(VLOOKUP(DATA!#REF!,DATA!#REF!,1,FALSE),"")</f>
        <v/>
      </c>
      <c r="D2139" s="16" t="str">
        <f>IFERROR(VLOOKUP(C2139,DATA!#REF!,2,FALSE),"")</f>
        <v/>
      </c>
    </row>
    <row r="2140" spans="2:4" s="230" customFormat="1">
      <c r="B2140" s="15" t="str">
        <f t="shared" si="65"/>
        <v/>
      </c>
      <c r="C2140" s="16" t="str">
        <f>IFERROR(VLOOKUP(DATA!#REF!,DATA!#REF!,1,FALSE),"")</f>
        <v/>
      </c>
      <c r="D2140" s="16" t="str">
        <f>IFERROR(VLOOKUP(C2140,DATA!#REF!,2,FALSE),"")</f>
        <v/>
      </c>
    </row>
    <row r="2141" spans="2:4" s="230" customFormat="1">
      <c r="B2141" s="15" t="str">
        <f t="shared" si="65"/>
        <v/>
      </c>
      <c r="C2141" s="16" t="str">
        <f>IFERROR(VLOOKUP(DATA!#REF!,DATA!#REF!,1,FALSE),"")</f>
        <v/>
      </c>
      <c r="D2141" s="16" t="str">
        <f>IFERROR(VLOOKUP(C2141,DATA!#REF!,2,FALSE),"")</f>
        <v/>
      </c>
    </row>
    <row r="2142" spans="2:4" s="230" customFormat="1">
      <c r="B2142" s="15" t="str">
        <f t="shared" si="65"/>
        <v/>
      </c>
      <c r="C2142" s="16" t="str">
        <f>IFERROR(VLOOKUP(DATA!#REF!,DATA!#REF!,1,FALSE),"")</f>
        <v/>
      </c>
      <c r="D2142" s="16" t="str">
        <f>IFERROR(VLOOKUP(C2142,DATA!#REF!,2,FALSE),"")</f>
        <v/>
      </c>
    </row>
    <row r="2143" spans="2:4" s="230" customFormat="1">
      <c r="B2143" s="15" t="str">
        <f t="shared" si="65"/>
        <v/>
      </c>
      <c r="C2143" s="16" t="str">
        <f>IFERROR(VLOOKUP(DATA!#REF!,DATA!#REF!,1,FALSE),"")</f>
        <v/>
      </c>
      <c r="D2143" s="16" t="str">
        <f>IFERROR(VLOOKUP(C2143,DATA!#REF!,2,FALSE),"")</f>
        <v/>
      </c>
    </row>
    <row r="2144" spans="2:4" s="230" customFormat="1">
      <c r="B2144" s="15" t="str">
        <f t="shared" si="65"/>
        <v/>
      </c>
      <c r="C2144" s="16" t="str">
        <f>IFERROR(VLOOKUP(DATA!#REF!,DATA!#REF!,1,FALSE),"")</f>
        <v/>
      </c>
      <c r="D2144" s="16" t="str">
        <f>IFERROR(VLOOKUP(C2144,DATA!#REF!,2,FALSE),"")</f>
        <v/>
      </c>
    </row>
    <row r="2145" spans="2:4" s="230" customFormat="1">
      <c r="B2145" s="15" t="str">
        <f t="shared" si="65"/>
        <v/>
      </c>
      <c r="C2145" s="16" t="str">
        <f>IFERROR(VLOOKUP(DATA!#REF!,DATA!#REF!,1,FALSE),"")</f>
        <v/>
      </c>
      <c r="D2145" s="16" t="str">
        <f>IFERROR(VLOOKUP(C2145,DATA!#REF!,2,FALSE),"")</f>
        <v/>
      </c>
    </row>
    <row r="2146" spans="2:4" s="230" customFormat="1">
      <c r="B2146" s="15" t="str">
        <f t="shared" si="65"/>
        <v/>
      </c>
      <c r="C2146" s="16" t="str">
        <f>IFERROR(VLOOKUP(DATA!#REF!,DATA!#REF!,1,FALSE),"")</f>
        <v/>
      </c>
      <c r="D2146" s="16" t="str">
        <f>IFERROR(VLOOKUP(C2146,DATA!#REF!,2,FALSE),"")</f>
        <v/>
      </c>
    </row>
    <row r="2147" spans="2:4" s="230" customFormat="1">
      <c r="B2147" s="15" t="str">
        <f t="shared" si="65"/>
        <v/>
      </c>
      <c r="C2147" s="16" t="str">
        <f>IFERROR(VLOOKUP(DATA!#REF!,DATA!#REF!,1,FALSE),"")</f>
        <v/>
      </c>
      <c r="D2147" s="16" t="str">
        <f>IFERROR(VLOOKUP(C2147,DATA!#REF!,2,FALSE),"")</f>
        <v/>
      </c>
    </row>
    <row r="2148" spans="2:4" s="230" customFormat="1">
      <c r="B2148" s="15" t="str">
        <f t="shared" si="65"/>
        <v/>
      </c>
      <c r="C2148" s="16" t="str">
        <f>IFERROR(VLOOKUP(DATA!#REF!,DATA!#REF!,1,FALSE),"")</f>
        <v/>
      </c>
      <c r="D2148" s="16" t="str">
        <f>IFERROR(VLOOKUP(C2148,DATA!#REF!,2,FALSE),"")</f>
        <v/>
      </c>
    </row>
    <row r="2149" spans="2:4" s="230" customFormat="1">
      <c r="B2149" s="15" t="str">
        <f t="shared" si="65"/>
        <v/>
      </c>
      <c r="C2149" s="16" t="str">
        <f>IFERROR(VLOOKUP(DATA!#REF!,DATA!#REF!,1,FALSE),"")</f>
        <v/>
      </c>
      <c r="D2149" s="16" t="str">
        <f>IFERROR(VLOOKUP(C2149,DATA!#REF!,2,FALSE),"")</f>
        <v/>
      </c>
    </row>
    <row r="2150" spans="2:4" s="230" customFormat="1">
      <c r="B2150" s="15" t="str">
        <f t="shared" si="65"/>
        <v/>
      </c>
      <c r="C2150" s="16" t="str">
        <f>IFERROR(VLOOKUP(DATA!#REF!,DATA!#REF!,1,FALSE),"")</f>
        <v/>
      </c>
      <c r="D2150" s="16" t="str">
        <f>IFERROR(VLOOKUP(C2150,DATA!#REF!,2,FALSE),"")</f>
        <v/>
      </c>
    </row>
    <row r="2151" spans="2:4" s="230" customFormat="1">
      <c r="B2151" s="15" t="str">
        <f t="shared" si="65"/>
        <v/>
      </c>
      <c r="C2151" s="16" t="str">
        <f>IFERROR(VLOOKUP(DATA!#REF!,DATA!#REF!,1,FALSE),"")</f>
        <v/>
      </c>
      <c r="D2151" s="16" t="str">
        <f>IFERROR(VLOOKUP(C2151,DATA!#REF!,2,FALSE),"")</f>
        <v/>
      </c>
    </row>
    <row r="2152" spans="2:4" s="230" customFormat="1">
      <c r="B2152" s="15" t="str">
        <f t="shared" si="65"/>
        <v/>
      </c>
      <c r="C2152" s="16" t="str">
        <f>IFERROR(VLOOKUP(DATA!#REF!,DATA!#REF!,1,FALSE),"")</f>
        <v/>
      </c>
      <c r="D2152" s="16" t="str">
        <f>IFERROR(VLOOKUP(C2152,DATA!#REF!,2,FALSE),"")</f>
        <v/>
      </c>
    </row>
    <row r="2153" spans="2:4" s="230" customFormat="1">
      <c r="B2153" s="15" t="str">
        <f t="shared" si="65"/>
        <v/>
      </c>
      <c r="C2153" s="16" t="str">
        <f>IFERROR(VLOOKUP(DATA!#REF!,DATA!#REF!,1,FALSE),"")</f>
        <v/>
      </c>
      <c r="D2153" s="16" t="str">
        <f>IFERROR(VLOOKUP(C2153,DATA!#REF!,2,FALSE),"")</f>
        <v/>
      </c>
    </row>
    <row r="2154" spans="2:4" s="230" customFormat="1">
      <c r="B2154" s="15" t="str">
        <f t="shared" si="65"/>
        <v/>
      </c>
      <c r="C2154" s="16" t="str">
        <f>IFERROR(VLOOKUP(DATA!#REF!,DATA!#REF!,1,FALSE),"")</f>
        <v/>
      </c>
      <c r="D2154" s="16" t="str">
        <f>IFERROR(VLOOKUP(C2154,DATA!#REF!,2,FALSE),"")</f>
        <v/>
      </c>
    </row>
    <row r="2155" spans="2:4" s="230" customFormat="1">
      <c r="B2155" s="15" t="str">
        <f t="shared" si="65"/>
        <v/>
      </c>
      <c r="C2155" s="16" t="str">
        <f>IFERROR(VLOOKUP(DATA!#REF!,DATA!#REF!,1,FALSE),"")</f>
        <v/>
      </c>
      <c r="D2155" s="16" t="str">
        <f>IFERROR(VLOOKUP(C2155,DATA!#REF!,2,FALSE),"")</f>
        <v/>
      </c>
    </row>
    <row r="2156" spans="2:4" s="230" customFormat="1">
      <c r="B2156" s="15" t="str">
        <f t="shared" si="65"/>
        <v/>
      </c>
      <c r="C2156" s="16" t="str">
        <f>IFERROR(VLOOKUP(DATA!#REF!,DATA!#REF!,1,FALSE),"")</f>
        <v/>
      </c>
      <c r="D2156" s="16" t="str">
        <f>IFERROR(VLOOKUP(C2156,DATA!#REF!,2,FALSE),"")</f>
        <v/>
      </c>
    </row>
    <row r="2157" spans="2:4" s="230" customFormat="1">
      <c r="B2157" s="15" t="str">
        <f t="shared" si="65"/>
        <v/>
      </c>
      <c r="C2157" s="16" t="str">
        <f>IFERROR(VLOOKUP(DATA!#REF!,DATA!#REF!,1,FALSE),"")</f>
        <v/>
      </c>
      <c r="D2157" s="16" t="str">
        <f>IFERROR(VLOOKUP(C2157,DATA!#REF!,2,FALSE),"")</f>
        <v/>
      </c>
    </row>
    <row r="2158" spans="2:4" s="230" customFormat="1">
      <c r="B2158" s="15" t="str">
        <f t="shared" si="65"/>
        <v/>
      </c>
      <c r="C2158" s="16" t="str">
        <f>IFERROR(VLOOKUP(DATA!#REF!,DATA!#REF!,1,FALSE),"")</f>
        <v/>
      </c>
      <c r="D2158" s="16" t="str">
        <f>IFERROR(VLOOKUP(C2158,DATA!#REF!,2,FALSE),"")</f>
        <v/>
      </c>
    </row>
    <row r="2159" spans="2:4" s="230" customFormat="1">
      <c r="B2159" s="15" t="str">
        <f t="shared" si="65"/>
        <v/>
      </c>
      <c r="C2159" s="16" t="str">
        <f>IFERROR(VLOOKUP(DATA!#REF!,DATA!#REF!,1,FALSE),"")</f>
        <v/>
      </c>
      <c r="D2159" s="16" t="str">
        <f>IFERROR(VLOOKUP(C2159,DATA!#REF!,2,FALSE),"")</f>
        <v/>
      </c>
    </row>
    <row r="2160" spans="2:4" s="230" customFormat="1">
      <c r="B2160" s="15" t="str">
        <f t="shared" si="65"/>
        <v/>
      </c>
      <c r="C2160" s="16" t="str">
        <f>IFERROR(VLOOKUP(DATA!#REF!,DATA!#REF!,1,FALSE),"")</f>
        <v/>
      </c>
      <c r="D2160" s="16" t="str">
        <f>IFERROR(VLOOKUP(C2160,DATA!#REF!,2,FALSE),"")</f>
        <v/>
      </c>
    </row>
    <row r="2161" spans="2:4" s="230" customFormat="1">
      <c r="B2161" s="15" t="str">
        <f t="shared" si="65"/>
        <v/>
      </c>
      <c r="C2161" s="16" t="str">
        <f>IFERROR(VLOOKUP(DATA!#REF!,DATA!#REF!,1,FALSE),"")</f>
        <v/>
      </c>
      <c r="D2161" s="16" t="str">
        <f>IFERROR(VLOOKUP(C2161,DATA!#REF!,2,FALSE),"")</f>
        <v/>
      </c>
    </row>
    <row r="2162" spans="2:4" s="230" customFormat="1">
      <c r="B2162" s="15" t="str">
        <f t="shared" si="65"/>
        <v/>
      </c>
      <c r="C2162" s="16" t="str">
        <f>IFERROR(VLOOKUP(DATA!#REF!,DATA!#REF!,1,FALSE),"")</f>
        <v/>
      </c>
      <c r="D2162" s="16" t="str">
        <f>IFERROR(VLOOKUP(C2162,DATA!#REF!,2,FALSE),"")</f>
        <v/>
      </c>
    </row>
    <row r="2163" spans="2:4" s="230" customFormat="1">
      <c r="B2163" s="15" t="str">
        <f t="shared" si="65"/>
        <v/>
      </c>
      <c r="C2163" s="16" t="str">
        <f>IFERROR(VLOOKUP(DATA!#REF!,DATA!#REF!,1,FALSE),"")</f>
        <v/>
      </c>
      <c r="D2163" s="16" t="str">
        <f>IFERROR(VLOOKUP(C2163,DATA!#REF!,2,FALSE),"")</f>
        <v/>
      </c>
    </row>
    <row r="2164" spans="2:4" s="230" customFormat="1">
      <c r="B2164" s="15" t="str">
        <f t="shared" si="65"/>
        <v/>
      </c>
      <c r="C2164" s="16" t="str">
        <f>IFERROR(VLOOKUP(DATA!#REF!,DATA!#REF!,1,FALSE),"")</f>
        <v/>
      </c>
      <c r="D2164" s="16" t="str">
        <f>IFERROR(VLOOKUP(C2164,DATA!#REF!,2,FALSE),"")</f>
        <v/>
      </c>
    </row>
    <row r="2165" spans="2:4" s="230" customFormat="1">
      <c r="B2165" s="15" t="str">
        <f t="shared" si="65"/>
        <v/>
      </c>
      <c r="C2165" s="16" t="str">
        <f>IFERROR(VLOOKUP(DATA!#REF!,DATA!#REF!,1,FALSE),"")</f>
        <v/>
      </c>
      <c r="D2165" s="16" t="str">
        <f>IFERROR(VLOOKUP(C2165,DATA!#REF!,2,FALSE),"")</f>
        <v/>
      </c>
    </row>
    <row r="2166" spans="2:4" s="230" customFormat="1">
      <c r="B2166" s="15" t="str">
        <f t="shared" si="65"/>
        <v/>
      </c>
      <c r="C2166" s="16" t="str">
        <f>IFERROR(VLOOKUP(DATA!#REF!,DATA!#REF!,1,FALSE),"")</f>
        <v/>
      </c>
      <c r="D2166" s="16" t="str">
        <f>IFERROR(VLOOKUP(C2166,DATA!#REF!,2,FALSE),"")</f>
        <v/>
      </c>
    </row>
    <row r="2167" spans="2:4" s="230" customFormat="1">
      <c r="B2167" s="15" t="str">
        <f t="shared" si="65"/>
        <v/>
      </c>
      <c r="C2167" s="16" t="str">
        <f>IFERROR(VLOOKUP(DATA!#REF!,DATA!#REF!,1,FALSE),"")</f>
        <v/>
      </c>
      <c r="D2167" s="16" t="str">
        <f>IFERROR(VLOOKUP(C2167,DATA!#REF!,2,FALSE),"")</f>
        <v/>
      </c>
    </row>
    <row r="2168" spans="2:4" s="230" customFormat="1">
      <c r="B2168" s="15" t="str">
        <f t="shared" si="65"/>
        <v/>
      </c>
      <c r="C2168" s="16" t="str">
        <f>IFERROR(VLOOKUP(DATA!#REF!,DATA!#REF!,1,FALSE),"")</f>
        <v/>
      </c>
      <c r="D2168" s="16" t="str">
        <f>IFERROR(VLOOKUP(C2168,DATA!#REF!,2,FALSE),"")</f>
        <v/>
      </c>
    </row>
    <row r="2169" spans="2:4" s="230" customFormat="1">
      <c r="B2169" s="15" t="str">
        <f t="shared" si="65"/>
        <v/>
      </c>
      <c r="C2169" s="16" t="str">
        <f>IFERROR(VLOOKUP(DATA!#REF!,DATA!#REF!,1,FALSE),"")</f>
        <v/>
      </c>
      <c r="D2169" s="16" t="str">
        <f>IFERROR(VLOOKUP(C2169,DATA!#REF!,2,FALSE),"")</f>
        <v/>
      </c>
    </row>
    <row r="2170" spans="2:4" s="230" customFormat="1">
      <c r="B2170" s="15" t="str">
        <f t="shared" si="65"/>
        <v/>
      </c>
      <c r="C2170" s="16" t="str">
        <f>IFERROR(VLOOKUP(DATA!#REF!,DATA!#REF!,1,FALSE),"")</f>
        <v/>
      </c>
      <c r="D2170" s="16" t="str">
        <f>IFERROR(VLOOKUP(C2170,DATA!#REF!,2,FALSE),"")</f>
        <v/>
      </c>
    </row>
    <row r="2171" spans="2:4" s="230" customFormat="1">
      <c r="B2171" s="15" t="str">
        <f t="shared" si="65"/>
        <v/>
      </c>
      <c r="C2171" s="16" t="str">
        <f>IFERROR(VLOOKUP(DATA!#REF!,DATA!#REF!,1,FALSE),"")</f>
        <v/>
      </c>
      <c r="D2171" s="16" t="str">
        <f>IFERROR(VLOOKUP(C2171,DATA!#REF!,2,FALSE),"")</f>
        <v/>
      </c>
    </row>
    <row r="2172" spans="2:4" s="230" customFormat="1">
      <c r="B2172" s="15" t="str">
        <f t="shared" si="65"/>
        <v/>
      </c>
      <c r="C2172" s="16" t="str">
        <f>IFERROR(VLOOKUP(DATA!#REF!,DATA!#REF!,1,FALSE),"")</f>
        <v/>
      </c>
      <c r="D2172" s="16" t="str">
        <f>IFERROR(VLOOKUP(C2172,DATA!#REF!,2,FALSE),"")</f>
        <v/>
      </c>
    </row>
    <row r="2173" spans="2:4" s="230" customFormat="1">
      <c r="B2173" s="15" t="str">
        <f t="shared" si="65"/>
        <v/>
      </c>
      <c r="C2173" s="16" t="str">
        <f>IFERROR(VLOOKUP(DATA!#REF!,DATA!#REF!,1,FALSE),"")</f>
        <v/>
      </c>
      <c r="D2173" s="16" t="str">
        <f>IFERROR(VLOOKUP(C2173,DATA!#REF!,2,FALSE),"")</f>
        <v/>
      </c>
    </row>
    <row r="2174" spans="2:4" s="230" customFormat="1">
      <c r="B2174" s="15" t="str">
        <f t="shared" si="65"/>
        <v/>
      </c>
      <c r="C2174" s="16" t="str">
        <f>IFERROR(VLOOKUP(DATA!#REF!,DATA!#REF!,1,FALSE),"")</f>
        <v/>
      </c>
      <c r="D2174" s="16" t="str">
        <f>IFERROR(VLOOKUP(C2174,DATA!#REF!,2,FALSE),"")</f>
        <v/>
      </c>
    </row>
    <row r="2175" spans="2:4" s="230" customFormat="1">
      <c r="B2175" s="15" t="str">
        <f t="shared" si="65"/>
        <v/>
      </c>
      <c r="C2175" s="16" t="str">
        <f>IFERROR(VLOOKUP(DATA!#REF!,DATA!#REF!,1,FALSE),"")</f>
        <v/>
      </c>
      <c r="D2175" s="16" t="str">
        <f>IFERROR(VLOOKUP(C2175,DATA!#REF!,2,FALSE),"")</f>
        <v/>
      </c>
    </row>
    <row r="2176" spans="2:4" s="230" customFormat="1">
      <c r="B2176" s="15" t="str">
        <f t="shared" si="65"/>
        <v/>
      </c>
      <c r="C2176" s="16" t="str">
        <f>IFERROR(VLOOKUP(DATA!#REF!,DATA!#REF!,1,FALSE),"")</f>
        <v/>
      </c>
      <c r="D2176" s="16" t="str">
        <f>IFERROR(VLOOKUP(C2176,DATA!#REF!,2,FALSE),"")</f>
        <v/>
      </c>
    </row>
    <row r="2177" spans="2:4" s="230" customFormat="1">
      <c r="B2177" s="15" t="str">
        <f t="shared" si="65"/>
        <v/>
      </c>
      <c r="C2177" s="16" t="str">
        <f>IFERROR(VLOOKUP(DATA!#REF!,DATA!#REF!,1,FALSE),"")</f>
        <v/>
      </c>
      <c r="D2177" s="16" t="str">
        <f>IFERROR(VLOOKUP(C2177,DATA!#REF!,2,FALSE),"")</f>
        <v/>
      </c>
    </row>
    <row r="2178" spans="2:4" s="230" customFormat="1">
      <c r="B2178" s="15" t="str">
        <f t="shared" si="65"/>
        <v/>
      </c>
      <c r="C2178" s="16" t="str">
        <f>IFERROR(VLOOKUP(DATA!#REF!,DATA!#REF!,1,FALSE),"")</f>
        <v/>
      </c>
      <c r="D2178" s="16" t="str">
        <f>IFERROR(VLOOKUP(C2178,DATA!#REF!,2,FALSE),"")</f>
        <v/>
      </c>
    </row>
    <row r="2179" spans="2:4" s="230" customFormat="1">
      <c r="B2179" s="15" t="str">
        <f t="shared" si="65"/>
        <v/>
      </c>
      <c r="C2179" s="16" t="str">
        <f>IFERROR(VLOOKUP(DATA!#REF!,DATA!#REF!,1,FALSE),"")</f>
        <v/>
      </c>
      <c r="D2179" s="16" t="str">
        <f>IFERROR(VLOOKUP(C2179,DATA!#REF!,2,FALSE),"")</f>
        <v/>
      </c>
    </row>
    <row r="2180" spans="2:4" s="230" customFormat="1">
      <c r="B2180" s="15" t="str">
        <f t="shared" si="65"/>
        <v/>
      </c>
      <c r="C2180" s="16" t="str">
        <f>IFERROR(VLOOKUP(DATA!#REF!,DATA!#REF!,1,FALSE),"")</f>
        <v/>
      </c>
      <c r="D2180" s="16" t="str">
        <f>IFERROR(VLOOKUP(C2180,DATA!#REF!,2,FALSE),"")</f>
        <v/>
      </c>
    </row>
    <row r="2181" spans="2:4" s="230" customFormat="1">
      <c r="B2181" s="15" t="str">
        <f t="shared" si="65"/>
        <v/>
      </c>
      <c r="C2181" s="16" t="str">
        <f>IFERROR(VLOOKUP(DATA!#REF!,DATA!#REF!,1,FALSE),"")</f>
        <v/>
      </c>
      <c r="D2181" s="16" t="str">
        <f>IFERROR(VLOOKUP(C2181,DATA!#REF!,2,FALSE),"")</f>
        <v/>
      </c>
    </row>
    <row r="2182" spans="2:4" s="230" customFormat="1">
      <c r="B2182" s="15" t="str">
        <f t="shared" ref="B2182:B2197" si="66">+IF(C2182="","",ROW()-5)</f>
        <v/>
      </c>
      <c r="C2182" s="16" t="str">
        <f>IFERROR(VLOOKUP(DATA!#REF!,DATA!#REF!,1,FALSE),"")</f>
        <v/>
      </c>
      <c r="D2182" s="16" t="str">
        <f>IFERROR(VLOOKUP(C2182,DATA!#REF!,2,FALSE),"")</f>
        <v/>
      </c>
    </row>
    <row r="2183" spans="2:4" s="230" customFormat="1">
      <c r="B2183" s="15" t="str">
        <f t="shared" si="66"/>
        <v/>
      </c>
      <c r="C2183" s="16" t="str">
        <f>IFERROR(VLOOKUP(DATA!#REF!,DATA!#REF!,1,FALSE),"")</f>
        <v/>
      </c>
      <c r="D2183" s="16" t="str">
        <f>IFERROR(VLOOKUP(C2183,DATA!#REF!,2,FALSE),"")</f>
        <v/>
      </c>
    </row>
    <row r="2184" spans="2:4" s="230" customFormat="1">
      <c r="B2184" s="15" t="str">
        <f t="shared" si="66"/>
        <v/>
      </c>
      <c r="C2184" s="16" t="str">
        <f>IFERROR(VLOOKUP(DATA!#REF!,DATA!#REF!,1,FALSE),"")</f>
        <v/>
      </c>
      <c r="D2184" s="16" t="str">
        <f>IFERROR(VLOOKUP(C2184,DATA!#REF!,2,FALSE),"")</f>
        <v/>
      </c>
    </row>
    <row r="2185" spans="2:4" s="230" customFormat="1">
      <c r="B2185" s="15" t="str">
        <f t="shared" si="66"/>
        <v/>
      </c>
      <c r="C2185" s="16" t="str">
        <f>IFERROR(VLOOKUP(DATA!#REF!,DATA!#REF!,1,FALSE),"")</f>
        <v/>
      </c>
      <c r="D2185" s="16" t="str">
        <f>IFERROR(VLOOKUP(C2185,DATA!#REF!,2,FALSE),"")</f>
        <v/>
      </c>
    </row>
    <row r="2186" spans="2:4" s="230" customFormat="1">
      <c r="B2186" s="15" t="str">
        <f t="shared" si="66"/>
        <v/>
      </c>
      <c r="C2186" s="16" t="str">
        <f>IFERROR(VLOOKUP(DATA!#REF!,DATA!#REF!,1,FALSE),"")</f>
        <v/>
      </c>
      <c r="D2186" s="16" t="str">
        <f>IFERROR(VLOOKUP(C2186,DATA!#REF!,2,FALSE),"")</f>
        <v/>
      </c>
    </row>
    <row r="2187" spans="2:4" s="230" customFormat="1">
      <c r="B2187" s="15" t="str">
        <f t="shared" si="66"/>
        <v/>
      </c>
      <c r="C2187" s="16" t="str">
        <f>IFERROR(VLOOKUP(DATA!#REF!,DATA!#REF!,1,FALSE),"")</f>
        <v/>
      </c>
      <c r="D2187" s="16" t="str">
        <f>IFERROR(VLOOKUP(C2187,DATA!#REF!,2,FALSE),"")</f>
        <v/>
      </c>
    </row>
    <row r="2188" spans="2:4" s="230" customFormat="1">
      <c r="B2188" s="15" t="str">
        <f t="shared" si="66"/>
        <v/>
      </c>
      <c r="C2188" s="16" t="str">
        <f>IFERROR(VLOOKUP(DATA!#REF!,DATA!#REF!,1,FALSE),"")</f>
        <v/>
      </c>
      <c r="D2188" s="16" t="str">
        <f>IFERROR(VLOOKUP(C2188,DATA!#REF!,2,FALSE),"")</f>
        <v/>
      </c>
    </row>
    <row r="2189" spans="2:4" s="230" customFormat="1">
      <c r="B2189" s="15" t="str">
        <f t="shared" si="66"/>
        <v/>
      </c>
      <c r="C2189" s="16" t="str">
        <f>IFERROR(VLOOKUP(DATA!#REF!,DATA!#REF!,1,FALSE),"")</f>
        <v/>
      </c>
      <c r="D2189" s="16" t="str">
        <f>IFERROR(VLOOKUP(C2189,DATA!#REF!,2,FALSE),"")</f>
        <v/>
      </c>
    </row>
    <row r="2190" spans="2:4" s="230" customFormat="1">
      <c r="B2190" s="15" t="str">
        <f t="shared" si="66"/>
        <v/>
      </c>
      <c r="C2190" s="16" t="str">
        <f>IFERROR(VLOOKUP(DATA!#REF!,DATA!#REF!,1,FALSE),"")</f>
        <v/>
      </c>
      <c r="D2190" s="16" t="str">
        <f>IFERROR(VLOOKUP(C2190,DATA!#REF!,2,FALSE),"")</f>
        <v/>
      </c>
    </row>
    <row r="2191" spans="2:4" s="230" customFormat="1">
      <c r="B2191" s="15" t="str">
        <f t="shared" si="66"/>
        <v/>
      </c>
      <c r="C2191" s="16" t="str">
        <f>IFERROR(VLOOKUP(DATA!#REF!,DATA!#REF!,1,FALSE),"")</f>
        <v/>
      </c>
      <c r="D2191" s="16" t="str">
        <f>IFERROR(VLOOKUP(C2191,DATA!#REF!,2,FALSE),"")</f>
        <v/>
      </c>
    </row>
    <row r="2192" spans="2:4" s="230" customFormat="1">
      <c r="B2192" s="15" t="str">
        <f t="shared" si="66"/>
        <v/>
      </c>
      <c r="C2192" s="16" t="str">
        <f>IFERROR(VLOOKUP(DATA!#REF!,DATA!#REF!,1,FALSE),"")</f>
        <v/>
      </c>
      <c r="D2192" s="16" t="str">
        <f>IFERROR(VLOOKUP(C2192,DATA!#REF!,2,FALSE),"")</f>
        <v/>
      </c>
    </row>
    <row r="2193" spans="2:4" s="230" customFormat="1">
      <c r="B2193" s="15" t="str">
        <f t="shared" si="66"/>
        <v/>
      </c>
      <c r="C2193" s="16" t="str">
        <f>IFERROR(VLOOKUP(DATA!#REF!,DATA!#REF!,1,FALSE),"")</f>
        <v/>
      </c>
      <c r="D2193" s="16" t="str">
        <f>IFERROR(VLOOKUP(C2193,DATA!#REF!,2,FALSE),"")</f>
        <v/>
      </c>
    </row>
    <row r="2194" spans="2:4" s="230" customFormat="1">
      <c r="B2194" s="15" t="str">
        <f t="shared" si="66"/>
        <v/>
      </c>
      <c r="C2194" s="16" t="str">
        <f>IFERROR(VLOOKUP(DATA!#REF!,DATA!#REF!,1,FALSE),"")</f>
        <v/>
      </c>
      <c r="D2194" s="16" t="str">
        <f>IFERROR(VLOOKUP(C2194,DATA!#REF!,2,FALSE),"")</f>
        <v/>
      </c>
    </row>
    <row r="2195" spans="2:4" s="230" customFormat="1">
      <c r="B2195" s="15" t="str">
        <f t="shared" si="66"/>
        <v/>
      </c>
      <c r="C2195" s="16" t="str">
        <f>IFERROR(VLOOKUP(DATA!#REF!,DATA!#REF!,1,FALSE),"")</f>
        <v/>
      </c>
      <c r="D2195" s="16" t="str">
        <f>IFERROR(VLOOKUP(C2195,DATA!#REF!,2,FALSE),"")</f>
        <v/>
      </c>
    </row>
    <row r="2196" spans="2:4" s="230" customFormat="1">
      <c r="B2196" s="15" t="str">
        <f t="shared" si="66"/>
        <v/>
      </c>
      <c r="C2196" s="16" t="str">
        <f>IFERROR(VLOOKUP(DATA!#REF!,DATA!#REF!,1,FALSE),"")</f>
        <v/>
      </c>
      <c r="D2196" s="16" t="str">
        <f>IFERROR(VLOOKUP(C2196,DATA!#REF!,2,FALSE),"")</f>
        <v/>
      </c>
    </row>
    <row r="2197" spans="2:4" s="230" customFormat="1">
      <c r="B2197" s="15" t="str">
        <f t="shared" si="66"/>
        <v/>
      </c>
      <c r="C2197" s="16" t="str">
        <f>IFERROR(VLOOKUP(DATA!#REF!,DATA!#REF!,1,FALSE),"")</f>
        <v/>
      </c>
      <c r="D2197" s="16" t="str">
        <f>IFERROR(VLOOKUP(C2197,DATA!#REF!,2,FALSE),"")</f>
        <v/>
      </c>
    </row>
    <row r="2198" spans="2:4" s="230" customFormat="1">
      <c r="B2198" s="15"/>
      <c r="C2198" s="16" t="str">
        <f>IFERROR(VLOOKUP(DATA!#REF!,DATA!#REF!,1,FALSE),"")</f>
        <v/>
      </c>
      <c r="D2198" s="16" t="str">
        <f>IFERROR(VLOOKUP(C2198,DATA!#REF!,2,FALSE),"")</f>
        <v/>
      </c>
    </row>
    <row r="2199" spans="2:4" s="230" customFormat="1">
      <c r="B2199" s="15"/>
      <c r="C2199" s="16" t="str">
        <f>IFERROR(VLOOKUP(DATA!#REF!,DATA!#REF!,1,FALSE),"")</f>
        <v/>
      </c>
      <c r="D2199" s="16" t="str">
        <f>IFERROR(VLOOKUP(C2199,DATA!#REF!,2,FALSE),"")</f>
        <v/>
      </c>
    </row>
    <row r="2200" spans="2:4" s="230" customFormat="1">
      <c r="B2200" s="15"/>
      <c r="C2200" s="16" t="str">
        <f>IFERROR(VLOOKUP(DATA!#REF!,DATA!#REF!,1,FALSE),"")</f>
        <v/>
      </c>
      <c r="D2200" s="16" t="str">
        <f>IFERROR(VLOOKUP(C2200,DATA!#REF!,2,FALSE),"")</f>
        <v/>
      </c>
    </row>
    <row r="2201" spans="2:4" s="230" customFormat="1">
      <c r="B2201" s="15"/>
      <c r="C2201" s="16" t="str">
        <f>IFERROR(VLOOKUP(DATA!#REF!,DATA!#REF!,1,FALSE),"")</f>
        <v/>
      </c>
      <c r="D2201" s="16" t="str">
        <f>IFERROR(VLOOKUP(C2201,DATA!#REF!,2,FALSE),"")</f>
        <v/>
      </c>
    </row>
    <row r="2202" spans="2:4" s="230" customFormat="1">
      <c r="B2202" s="15"/>
      <c r="C2202" s="16" t="str">
        <f>IFERROR(VLOOKUP(DATA!#REF!,DATA!#REF!,1,FALSE),"")</f>
        <v/>
      </c>
      <c r="D2202" s="16" t="str">
        <f>IFERROR(VLOOKUP(C2202,DATA!#REF!,2,FALSE),"")</f>
        <v/>
      </c>
    </row>
    <row r="2203" spans="2:4" s="230" customFormat="1">
      <c r="B2203" s="15"/>
      <c r="C2203" s="16" t="str">
        <f>IFERROR(VLOOKUP(DATA!#REF!,DATA!#REF!,1,FALSE),"")</f>
        <v/>
      </c>
      <c r="D2203" s="16" t="str">
        <f>IFERROR(VLOOKUP(C2203,DATA!#REF!,2,FALSE),"")</f>
        <v/>
      </c>
    </row>
    <row r="2204" spans="2:4" s="230" customFormat="1">
      <c r="B2204" s="15"/>
      <c r="C2204" s="16" t="str">
        <f>IFERROR(VLOOKUP(DATA!#REF!,DATA!#REF!,1,FALSE),"")</f>
        <v/>
      </c>
      <c r="D2204" s="16" t="str">
        <f>IFERROR(VLOOKUP(C2204,DATA!#REF!,2,FALSE),"")</f>
        <v/>
      </c>
    </row>
    <row r="2205" spans="2:4" s="230" customFormat="1">
      <c r="B2205" s="15"/>
      <c r="C2205" s="16" t="str">
        <f>IFERROR(VLOOKUP(DATA!#REF!,DATA!#REF!,1,FALSE),"")</f>
        <v/>
      </c>
      <c r="D2205" s="16" t="str">
        <f>IFERROR(VLOOKUP(C2205,DATA!#REF!,2,FALSE),"")</f>
        <v/>
      </c>
    </row>
    <row r="2206" spans="2:4" s="230" customFormat="1">
      <c r="B2206" s="15"/>
      <c r="C2206" s="16" t="str">
        <f>IFERROR(VLOOKUP(DATA!#REF!,DATA!#REF!,1,FALSE),"")</f>
        <v/>
      </c>
      <c r="D2206" s="16" t="str">
        <f>IFERROR(VLOOKUP(C2206,DATA!#REF!,2,FALSE),"")</f>
        <v/>
      </c>
    </row>
    <row r="2207" spans="2:4" s="230" customFormat="1">
      <c r="B2207" s="15"/>
      <c r="C2207" s="16" t="str">
        <f>IFERROR(VLOOKUP(DATA!#REF!,DATA!#REF!,1,FALSE),"")</f>
        <v/>
      </c>
      <c r="D2207" s="16" t="str">
        <f>IFERROR(VLOOKUP(C2207,DATA!#REF!,2,FALSE),"")</f>
        <v/>
      </c>
    </row>
    <row r="2208" spans="2:4" s="230" customFormat="1">
      <c r="B2208" s="15"/>
      <c r="C2208" s="16" t="str">
        <f>IFERROR(VLOOKUP(DATA!#REF!,DATA!#REF!,1,FALSE),"")</f>
        <v/>
      </c>
      <c r="D2208" s="16" t="str">
        <f>IFERROR(VLOOKUP(C2208,DATA!#REF!,2,FALSE),"")</f>
        <v/>
      </c>
    </row>
    <row r="2209" spans="3:4" s="230" customFormat="1">
      <c r="C2209" s="16" t="str">
        <f>IFERROR(VLOOKUP(DATA!#REF!,DATA!#REF!,1,FALSE),"")</f>
        <v/>
      </c>
      <c r="D2209" s="16" t="str">
        <f>IFERROR(VLOOKUP(C2209,DATA!#REF!,2,FALSE),"")</f>
        <v/>
      </c>
    </row>
    <row r="2210" spans="3:4" s="230" customFormat="1">
      <c r="C2210" s="16" t="str">
        <f>IFERROR(VLOOKUP(DATA!#REF!,DATA!#REF!,1,FALSE),"")</f>
        <v/>
      </c>
      <c r="D2210" s="16" t="str">
        <f>IFERROR(VLOOKUP(C2210,DATA!#REF!,2,FALSE),"")</f>
        <v/>
      </c>
    </row>
    <row r="2211" spans="3:4" s="230" customFormat="1">
      <c r="C2211" s="16" t="str">
        <f>IFERROR(VLOOKUP(DATA!#REF!,DATA!#REF!,1,FALSE),"")</f>
        <v/>
      </c>
      <c r="D2211" s="16" t="str">
        <f>IFERROR(VLOOKUP(C2211,DATA!#REF!,2,FALSE),"")</f>
        <v/>
      </c>
    </row>
    <row r="2212" spans="3:4" s="230" customFormat="1">
      <c r="C2212" s="16" t="str">
        <f>IFERROR(VLOOKUP(DATA!#REF!,DATA!#REF!,1,FALSE),"")</f>
        <v/>
      </c>
      <c r="D2212" s="16" t="str">
        <f>IFERROR(VLOOKUP(C2212,DATA!#REF!,2,FALSE),"")</f>
        <v/>
      </c>
    </row>
    <row r="2213" spans="3:4" s="230" customFormat="1">
      <c r="C2213" s="16" t="str">
        <f>IFERROR(VLOOKUP(DATA!#REF!,DATA!#REF!,1,FALSE),"")</f>
        <v/>
      </c>
      <c r="D2213" s="16" t="str">
        <f>IFERROR(VLOOKUP(C2213,DATA!#REF!,2,FALSE),"")</f>
        <v/>
      </c>
    </row>
    <row r="2214" spans="3:4" s="230" customFormat="1">
      <c r="C2214" s="16" t="str">
        <f>IFERROR(VLOOKUP(DATA!#REF!,DATA!#REF!,1,FALSE),"")</f>
        <v/>
      </c>
      <c r="D2214" s="16" t="str">
        <f>IFERROR(VLOOKUP(C2214,DATA!#REF!,2,FALSE),"")</f>
        <v/>
      </c>
    </row>
    <row r="2215" spans="3:4" s="230" customFormat="1">
      <c r="C2215" s="16" t="str">
        <f>IFERROR(VLOOKUP(DATA!#REF!,DATA!#REF!,1,FALSE),"")</f>
        <v/>
      </c>
      <c r="D2215" s="16" t="str">
        <f>IFERROR(VLOOKUP(C2215,DATA!#REF!,2,FALSE),"")</f>
        <v/>
      </c>
    </row>
    <row r="2216" spans="3:4" s="230" customFormat="1">
      <c r="C2216" s="16" t="str">
        <f>IFERROR(VLOOKUP(DATA!#REF!,DATA!#REF!,1,FALSE),"")</f>
        <v/>
      </c>
      <c r="D2216" s="16" t="str">
        <f>IFERROR(VLOOKUP(C2216,DATA!#REF!,2,FALSE),"")</f>
        <v/>
      </c>
    </row>
    <row r="2217" spans="3:4" s="230" customFormat="1">
      <c r="C2217" s="16" t="str">
        <f>IFERROR(VLOOKUP(DATA!#REF!,DATA!#REF!,1,FALSE),"")</f>
        <v/>
      </c>
      <c r="D2217" s="16" t="str">
        <f>IFERROR(VLOOKUP(C2217,DATA!#REF!,2,FALSE),"")</f>
        <v/>
      </c>
    </row>
    <row r="2218" spans="3:4" s="230" customFormat="1">
      <c r="C2218" s="16" t="str">
        <f>IFERROR(VLOOKUP(DATA!#REF!,DATA!#REF!,1,FALSE),"")</f>
        <v/>
      </c>
      <c r="D2218" s="16" t="str">
        <f>IFERROR(VLOOKUP(C2218,DATA!#REF!,2,FALSE),"")</f>
        <v/>
      </c>
    </row>
    <row r="2219" spans="3:4" s="230" customFormat="1">
      <c r="C2219" s="16" t="str">
        <f>IFERROR(VLOOKUP(DATA!#REF!,DATA!#REF!,1,FALSE),"")</f>
        <v/>
      </c>
      <c r="D2219" s="16" t="str">
        <f>IFERROR(VLOOKUP(C2219,DATA!#REF!,2,FALSE),"")</f>
        <v/>
      </c>
    </row>
    <row r="2220" spans="3:4" s="230" customFormat="1">
      <c r="C2220" s="16" t="str">
        <f>IFERROR(VLOOKUP(DATA!#REF!,DATA!#REF!,1,FALSE),"")</f>
        <v/>
      </c>
      <c r="D2220" s="16" t="str">
        <f>IFERROR(VLOOKUP(C2220,DATA!#REF!,2,FALSE),"")</f>
        <v/>
      </c>
    </row>
    <row r="2221" spans="3:4" s="230" customFormat="1">
      <c r="C2221" s="16" t="str">
        <f>IFERROR(VLOOKUP(DATA!#REF!,DATA!#REF!,1,FALSE),"")</f>
        <v/>
      </c>
      <c r="D2221" s="16" t="str">
        <f>IFERROR(VLOOKUP(C2221,DATA!#REF!,2,FALSE),"")</f>
        <v/>
      </c>
    </row>
    <row r="2222" spans="3:4" s="230" customFormat="1">
      <c r="C2222" s="16" t="str">
        <f>IFERROR(VLOOKUP(DATA!#REF!,DATA!#REF!,1,FALSE),"")</f>
        <v/>
      </c>
      <c r="D2222" s="16" t="str">
        <f>IFERROR(VLOOKUP(C2222,DATA!#REF!,2,FALSE),"")</f>
        <v/>
      </c>
    </row>
    <row r="2223" spans="3:4" s="230" customFormat="1">
      <c r="C2223" s="16" t="str">
        <f>IFERROR(VLOOKUP(DATA!#REF!,DATA!#REF!,1,FALSE),"")</f>
        <v/>
      </c>
      <c r="D2223" s="16" t="str">
        <f>IFERROR(VLOOKUP(C2223,DATA!#REF!,2,FALSE),"")</f>
        <v/>
      </c>
    </row>
    <row r="2224" spans="3:4" s="230" customFormat="1">
      <c r="C2224" s="16" t="str">
        <f>IFERROR(VLOOKUP(DATA!#REF!,DATA!#REF!,1,FALSE),"")</f>
        <v/>
      </c>
      <c r="D2224" s="16" t="str">
        <f>IFERROR(VLOOKUP(C2224,DATA!#REF!,2,FALSE),"")</f>
        <v/>
      </c>
    </row>
    <row r="2225" spans="3:4" s="230" customFormat="1">
      <c r="C2225" s="16" t="str">
        <f>IFERROR(VLOOKUP(DATA!#REF!,DATA!#REF!,1,FALSE),"")</f>
        <v/>
      </c>
      <c r="D2225" s="16" t="str">
        <f>IFERROR(VLOOKUP(C2225,DATA!#REF!,2,FALSE),"")</f>
        <v/>
      </c>
    </row>
    <row r="2226" spans="3:4" s="230" customFormat="1">
      <c r="C2226" s="16" t="str">
        <f>IFERROR(VLOOKUP(DATA!#REF!,DATA!#REF!,1,FALSE),"")</f>
        <v/>
      </c>
      <c r="D2226" s="16" t="str">
        <f>IFERROR(VLOOKUP(C2226,DATA!#REF!,2,FALSE),"")</f>
        <v/>
      </c>
    </row>
    <row r="2227" spans="3:4" s="230" customFormat="1">
      <c r="C2227" s="16" t="str">
        <f>IFERROR(VLOOKUP(DATA!#REF!,DATA!#REF!,1,FALSE),"")</f>
        <v/>
      </c>
      <c r="D2227" s="16" t="str">
        <f>IFERROR(VLOOKUP(C2227,DATA!#REF!,2,FALSE),"")</f>
        <v/>
      </c>
    </row>
    <row r="2228" spans="3:4" s="230" customFormat="1">
      <c r="C2228" s="16" t="str">
        <f>IFERROR(VLOOKUP(DATA!#REF!,DATA!#REF!,1,FALSE),"")</f>
        <v/>
      </c>
      <c r="D2228" s="16" t="str">
        <f>IFERROR(VLOOKUP(C2228,DATA!#REF!,2,FALSE),"")</f>
        <v/>
      </c>
    </row>
    <row r="2229" spans="3:4" s="230" customFormat="1">
      <c r="C2229" s="16" t="str">
        <f>IFERROR(VLOOKUP(DATA!#REF!,DATA!#REF!,1,FALSE),"")</f>
        <v/>
      </c>
      <c r="D2229" s="16" t="str">
        <f>IFERROR(VLOOKUP(C2229,DATA!#REF!,2,FALSE),"")</f>
        <v/>
      </c>
    </row>
    <row r="2230" spans="3:4" s="230" customFormat="1">
      <c r="C2230" s="16" t="str">
        <f>IFERROR(VLOOKUP(DATA!#REF!,DATA!#REF!,1,FALSE),"")</f>
        <v/>
      </c>
      <c r="D2230" s="16" t="str">
        <f>IFERROR(VLOOKUP(C2230,DATA!#REF!,2,FALSE),"")</f>
        <v/>
      </c>
    </row>
    <row r="2231" spans="3:4" s="230" customFormat="1">
      <c r="C2231" s="16" t="str">
        <f>IFERROR(VLOOKUP(DATA!#REF!,DATA!#REF!,1,FALSE),"")</f>
        <v/>
      </c>
      <c r="D2231" s="16" t="str">
        <f>IFERROR(VLOOKUP(C2231,DATA!#REF!,2,FALSE),"")</f>
        <v/>
      </c>
    </row>
    <row r="2232" spans="3:4" s="230" customFormat="1">
      <c r="C2232" s="16" t="str">
        <f>IFERROR(VLOOKUP(DATA!#REF!,DATA!#REF!,1,FALSE),"")</f>
        <v/>
      </c>
      <c r="D2232" s="16" t="str">
        <f>IFERROR(VLOOKUP(C2232,DATA!#REF!,2,FALSE),"")</f>
        <v/>
      </c>
    </row>
    <row r="2233" spans="3:4" s="230" customFormat="1">
      <c r="C2233" s="16" t="str">
        <f>IFERROR(VLOOKUP(DATA!#REF!,DATA!#REF!,1,FALSE),"")</f>
        <v/>
      </c>
      <c r="D2233" s="16" t="str">
        <f>IFERROR(VLOOKUP(C2233,DATA!#REF!,2,FALSE),"")</f>
        <v/>
      </c>
    </row>
    <row r="2234" spans="3:4" s="230" customFormat="1">
      <c r="C2234" s="16" t="str">
        <f>IFERROR(VLOOKUP(DATA!#REF!,DATA!#REF!,1,FALSE),"")</f>
        <v/>
      </c>
      <c r="D2234" s="16" t="str">
        <f>IFERROR(VLOOKUP(C2234,DATA!#REF!,2,FALSE),"")</f>
        <v/>
      </c>
    </row>
    <row r="2235" spans="3:4" s="230" customFormat="1">
      <c r="C2235" s="16" t="str">
        <f>IFERROR(VLOOKUP(DATA!#REF!,DATA!#REF!,1,FALSE),"")</f>
        <v/>
      </c>
      <c r="D2235" s="16" t="str">
        <f>IFERROR(VLOOKUP(C2235,DATA!#REF!,2,FALSE),"")</f>
        <v/>
      </c>
    </row>
    <row r="2236" spans="3:4" s="230" customFormat="1">
      <c r="C2236" s="16" t="str">
        <f>IFERROR(VLOOKUP(DATA!#REF!,DATA!#REF!,1,FALSE),"")</f>
        <v/>
      </c>
      <c r="D2236" s="16" t="str">
        <f>IFERROR(VLOOKUP(C2236,DATA!#REF!,2,FALSE),"")</f>
        <v/>
      </c>
    </row>
    <row r="2237" spans="3:4" s="230" customFormat="1">
      <c r="C2237" s="16" t="str">
        <f>IFERROR(VLOOKUP(DATA!#REF!,DATA!#REF!,1,FALSE),"")</f>
        <v/>
      </c>
      <c r="D2237" s="16" t="str">
        <f>IFERROR(VLOOKUP(C2237,DATA!#REF!,2,FALSE),"")</f>
        <v/>
      </c>
    </row>
    <row r="2238" spans="3:4" s="230" customFormat="1">
      <c r="C2238" s="16" t="str">
        <f>IFERROR(VLOOKUP(DATA!#REF!,DATA!#REF!,1,FALSE),"")</f>
        <v/>
      </c>
      <c r="D2238" s="16" t="str">
        <f>IFERROR(VLOOKUP(C2238,DATA!#REF!,2,FALSE),"")</f>
        <v/>
      </c>
    </row>
    <row r="2239" spans="3:4" s="230" customFormat="1">
      <c r="C2239" s="16" t="str">
        <f>IFERROR(VLOOKUP(DATA!#REF!,DATA!#REF!,1,FALSE),"")</f>
        <v/>
      </c>
      <c r="D2239" s="16" t="str">
        <f>IFERROR(VLOOKUP(C2239,DATA!#REF!,2,FALSE),"")</f>
        <v/>
      </c>
    </row>
    <row r="2240" spans="3:4" s="230" customFormat="1">
      <c r="C2240" s="16" t="str">
        <f>IFERROR(VLOOKUP(DATA!#REF!,DATA!#REF!,1,FALSE),"")</f>
        <v/>
      </c>
      <c r="D2240" s="16" t="str">
        <f>IFERROR(VLOOKUP(C2240,DATA!#REF!,2,FALSE),"")</f>
        <v/>
      </c>
    </row>
    <row r="2241" spans="3:4" s="230" customFormat="1">
      <c r="C2241" s="16" t="str">
        <f>IFERROR(VLOOKUP(DATA!#REF!,DATA!#REF!,1,FALSE),"")</f>
        <v/>
      </c>
      <c r="D2241" s="16" t="str">
        <f>IFERROR(VLOOKUP(C2241,DATA!#REF!,2,FALSE),"")</f>
        <v/>
      </c>
    </row>
    <row r="2242" spans="3:4" s="230" customFormat="1">
      <c r="C2242" s="16" t="str">
        <f>IFERROR(VLOOKUP(DATA!#REF!,DATA!#REF!,1,FALSE),"")</f>
        <v/>
      </c>
      <c r="D2242" s="16" t="str">
        <f>IFERROR(VLOOKUP(C2242,DATA!#REF!,2,FALSE),"")</f>
        <v/>
      </c>
    </row>
    <row r="2243" spans="3:4" s="230" customFormat="1">
      <c r="C2243" s="16" t="str">
        <f>IFERROR(VLOOKUP(DATA!#REF!,DATA!#REF!,1,FALSE),"")</f>
        <v/>
      </c>
      <c r="D2243" s="16" t="str">
        <f>IFERROR(VLOOKUP(C2243,DATA!#REF!,2,FALSE),"")</f>
        <v/>
      </c>
    </row>
    <row r="2244" spans="3:4" s="230" customFormat="1">
      <c r="C2244" s="16" t="str">
        <f>IFERROR(VLOOKUP(DATA!#REF!,DATA!#REF!,1,FALSE),"")</f>
        <v/>
      </c>
      <c r="D2244" s="16" t="str">
        <f>IFERROR(VLOOKUP(C2244,DATA!#REF!,2,FALSE),"")</f>
        <v/>
      </c>
    </row>
    <row r="2245" spans="3:4" s="230" customFormat="1">
      <c r="C2245" s="16" t="str">
        <f>IFERROR(VLOOKUP(DATA!#REF!,DATA!#REF!,1,FALSE),"")</f>
        <v/>
      </c>
      <c r="D2245" s="16" t="str">
        <f>IFERROR(VLOOKUP(C2245,DATA!#REF!,2,FALSE),"")</f>
        <v/>
      </c>
    </row>
    <row r="2246" spans="3:4" s="230" customFormat="1">
      <c r="C2246" s="16" t="str">
        <f>IFERROR(VLOOKUP(DATA!#REF!,DATA!#REF!,1,FALSE),"")</f>
        <v/>
      </c>
      <c r="D2246" s="16" t="str">
        <f>IFERROR(VLOOKUP(C2246,DATA!#REF!,2,FALSE),"")</f>
        <v/>
      </c>
    </row>
    <row r="2247" spans="3:4" s="230" customFormat="1">
      <c r="C2247" s="16" t="str">
        <f>IFERROR(VLOOKUP(DATA!#REF!,DATA!#REF!,1,FALSE),"")</f>
        <v/>
      </c>
      <c r="D2247" s="16" t="str">
        <f>IFERROR(VLOOKUP(C2247,DATA!#REF!,2,FALSE),"")</f>
        <v/>
      </c>
    </row>
    <row r="2248" spans="3:4" s="230" customFormat="1">
      <c r="C2248" s="16" t="str">
        <f>IFERROR(VLOOKUP(DATA!#REF!,DATA!#REF!,1,FALSE),"")</f>
        <v/>
      </c>
      <c r="D2248" s="16" t="str">
        <f>IFERROR(VLOOKUP(C2248,DATA!#REF!,2,FALSE),"")</f>
        <v/>
      </c>
    </row>
    <row r="2249" spans="3:4" s="230" customFormat="1">
      <c r="C2249" s="16" t="str">
        <f>IFERROR(VLOOKUP(DATA!#REF!,DATA!#REF!,1,FALSE),"")</f>
        <v/>
      </c>
      <c r="D2249" s="16" t="str">
        <f>IFERROR(VLOOKUP(C2249,DATA!#REF!,2,FALSE),"")</f>
        <v/>
      </c>
    </row>
    <row r="2250" spans="3:4" s="230" customFormat="1">
      <c r="C2250" s="16" t="str">
        <f>IFERROR(VLOOKUP(DATA!#REF!,DATA!#REF!,1,FALSE),"")</f>
        <v/>
      </c>
      <c r="D2250" s="16" t="str">
        <f>IFERROR(VLOOKUP(C2250,DATA!#REF!,2,FALSE),"")</f>
        <v/>
      </c>
    </row>
    <row r="2251" spans="3:4" s="230" customFormat="1">
      <c r="C2251" s="16" t="str">
        <f>IFERROR(VLOOKUP(DATA!#REF!,DATA!#REF!,1,FALSE),"")</f>
        <v/>
      </c>
      <c r="D2251" s="16" t="str">
        <f>IFERROR(VLOOKUP(C2251,DATA!#REF!,2,FALSE),"")</f>
        <v/>
      </c>
    </row>
    <row r="2252" spans="3:4" s="230" customFormat="1">
      <c r="C2252" s="16" t="str">
        <f>IFERROR(VLOOKUP(DATA!#REF!,DATA!#REF!,1,FALSE),"")</f>
        <v/>
      </c>
      <c r="D2252" s="16" t="str">
        <f>IFERROR(VLOOKUP(C2252,DATA!#REF!,2,FALSE),"")</f>
        <v/>
      </c>
    </row>
    <row r="2253" spans="3:4" s="230" customFormat="1">
      <c r="C2253" s="16" t="str">
        <f>IFERROR(VLOOKUP(DATA!#REF!,DATA!#REF!,1,FALSE),"")</f>
        <v/>
      </c>
      <c r="D2253" s="16" t="str">
        <f>IFERROR(VLOOKUP(C2253,DATA!#REF!,2,FALSE),"")</f>
        <v/>
      </c>
    </row>
    <row r="2254" spans="3:4" s="230" customFormat="1">
      <c r="C2254" s="16" t="str">
        <f>IFERROR(VLOOKUP(DATA!#REF!,DATA!#REF!,1,FALSE),"")</f>
        <v/>
      </c>
      <c r="D2254" s="16" t="str">
        <f>IFERROR(VLOOKUP(C2254,DATA!#REF!,2,FALSE),"")</f>
        <v/>
      </c>
    </row>
    <row r="2255" spans="3:4" s="230" customFormat="1">
      <c r="C2255" s="16" t="str">
        <f>IFERROR(VLOOKUP(DATA!#REF!,DATA!#REF!,1,FALSE),"")</f>
        <v/>
      </c>
      <c r="D2255" s="16" t="str">
        <f>IFERROR(VLOOKUP(C2255,DATA!#REF!,2,FALSE),"")</f>
        <v/>
      </c>
    </row>
    <row r="2256" spans="3:4" s="230" customFormat="1">
      <c r="C2256" s="16" t="str">
        <f>IFERROR(VLOOKUP(DATA!#REF!,DATA!#REF!,1,FALSE),"")</f>
        <v/>
      </c>
      <c r="D2256" s="16" t="str">
        <f>IFERROR(VLOOKUP(C2256,DATA!#REF!,2,FALSE),"")</f>
        <v/>
      </c>
    </row>
    <row r="2257" spans="3:4" s="230" customFormat="1">
      <c r="C2257" s="16" t="str">
        <f>IFERROR(VLOOKUP(DATA!#REF!,DATA!#REF!,1,FALSE),"")</f>
        <v/>
      </c>
      <c r="D2257" s="16" t="str">
        <f>IFERROR(VLOOKUP(C2257,DATA!#REF!,2,FALSE),"")</f>
        <v/>
      </c>
    </row>
    <row r="2258" spans="3:4" s="230" customFormat="1">
      <c r="C2258" s="16" t="str">
        <f>IFERROR(VLOOKUP(DATA!#REF!,DATA!#REF!,1,FALSE),"")</f>
        <v/>
      </c>
      <c r="D2258" s="16" t="str">
        <f>IFERROR(VLOOKUP(C2258,DATA!#REF!,2,FALSE),"")</f>
        <v/>
      </c>
    </row>
    <row r="2259" spans="3:4" s="230" customFormat="1">
      <c r="C2259" s="16" t="str">
        <f>IFERROR(VLOOKUP(DATA!#REF!,DATA!#REF!,1,FALSE),"")</f>
        <v/>
      </c>
      <c r="D2259" s="16" t="str">
        <f>IFERROR(VLOOKUP(C2259,DATA!#REF!,2,FALSE),"")</f>
        <v/>
      </c>
    </row>
    <row r="2260" spans="3:4" s="230" customFormat="1">
      <c r="C2260" s="16" t="str">
        <f>IFERROR(VLOOKUP(DATA!#REF!,DATA!#REF!,1,FALSE),"")</f>
        <v/>
      </c>
      <c r="D2260" s="16" t="str">
        <f>IFERROR(VLOOKUP(C2260,DATA!#REF!,2,FALSE),"")</f>
        <v/>
      </c>
    </row>
    <row r="2261" spans="3:4" s="230" customFormat="1">
      <c r="C2261" s="16" t="str">
        <f>IFERROR(VLOOKUP(DATA!#REF!,DATA!#REF!,1,FALSE),"")</f>
        <v/>
      </c>
      <c r="D2261" s="16" t="str">
        <f>IFERROR(VLOOKUP(C2261,DATA!#REF!,2,FALSE),"")</f>
        <v/>
      </c>
    </row>
    <row r="2262" spans="3:4" s="230" customFormat="1">
      <c r="C2262" s="16" t="str">
        <f>IFERROR(VLOOKUP(DATA!#REF!,DATA!#REF!,1,FALSE),"")</f>
        <v/>
      </c>
      <c r="D2262" s="16" t="str">
        <f>IFERROR(VLOOKUP(C2262,DATA!#REF!,2,FALSE),"")</f>
        <v/>
      </c>
    </row>
    <row r="2263" spans="3:4" s="230" customFormat="1">
      <c r="C2263" s="16" t="str">
        <f>IFERROR(VLOOKUP(DATA!#REF!,DATA!#REF!,1,FALSE),"")</f>
        <v/>
      </c>
      <c r="D2263" s="16" t="str">
        <f>IFERROR(VLOOKUP(C2263,DATA!#REF!,2,FALSE),"")</f>
        <v/>
      </c>
    </row>
    <row r="2264" spans="3:4" s="230" customFormat="1">
      <c r="C2264" s="16" t="str">
        <f>IFERROR(VLOOKUP(DATA!#REF!,DATA!#REF!,1,FALSE),"")</f>
        <v/>
      </c>
      <c r="D2264" s="16" t="str">
        <f>IFERROR(VLOOKUP(C2264,DATA!#REF!,2,FALSE),"")</f>
        <v/>
      </c>
    </row>
    <row r="2265" spans="3:4" s="230" customFormat="1">
      <c r="C2265" s="16" t="str">
        <f>IFERROR(VLOOKUP(DATA!#REF!,DATA!#REF!,1,FALSE),"")</f>
        <v/>
      </c>
      <c r="D2265" s="16" t="str">
        <f>IFERROR(VLOOKUP(C2265,DATA!#REF!,2,FALSE),"")</f>
        <v/>
      </c>
    </row>
    <row r="2266" spans="3:4" s="230" customFormat="1">
      <c r="C2266" s="16" t="str">
        <f>IFERROR(VLOOKUP(DATA!#REF!,DATA!#REF!,1,FALSE),"")</f>
        <v/>
      </c>
      <c r="D2266" s="16" t="str">
        <f>IFERROR(VLOOKUP(C2266,DATA!#REF!,2,FALSE),"")</f>
        <v/>
      </c>
    </row>
    <row r="2267" spans="3:4" s="230" customFormat="1">
      <c r="C2267" s="16" t="str">
        <f>IFERROR(VLOOKUP(DATA!#REF!,DATA!#REF!,1,FALSE),"")</f>
        <v/>
      </c>
      <c r="D2267" s="16" t="str">
        <f>IFERROR(VLOOKUP(C2267,DATA!#REF!,2,FALSE),"")</f>
        <v/>
      </c>
    </row>
    <row r="2268" spans="3:4" s="230" customFormat="1">
      <c r="C2268" s="16" t="str">
        <f>IFERROR(VLOOKUP(DATA!#REF!,DATA!#REF!,1,FALSE),"")</f>
        <v/>
      </c>
      <c r="D2268" s="16" t="str">
        <f>IFERROR(VLOOKUP(C2268,DATA!#REF!,2,FALSE),"")</f>
        <v/>
      </c>
    </row>
    <row r="2269" spans="3:4" s="230" customFormat="1">
      <c r="C2269" s="16" t="str">
        <f>IFERROR(VLOOKUP(DATA!#REF!,DATA!#REF!,1,FALSE),"")</f>
        <v/>
      </c>
      <c r="D2269" s="16" t="str">
        <f>IFERROR(VLOOKUP(C2269,DATA!#REF!,2,FALSE),"")</f>
        <v/>
      </c>
    </row>
    <row r="2270" spans="3:4" s="230" customFormat="1">
      <c r="C2270" s="16" t="str">
        <f>IFERROR(VLOOKUP(DATA!#REF!,DATA!#REF!,1,FALSE),"")</f>
        <v/>
      </c>
      <c r="D2270" s="16" t="str">
        <f>IFERROR(VLOOKUP(C2270,DATA!#REF!,2,FALSE),"")</f>
        <v/>
      </c>
    </row>
    <row r="2271" spans="3:4" s="230" customFormat="1">
      <c r="C2271" s="16" t="str">
        <f>IFERROR(VLOOKUP(DATA!#REF!,DATA!#REF!,1,FALSE),"")</f>
        <v/>
      </c>
      <c r="D2271" s="16" t="str">
        <f>IFERROR(VLOOKUP(C2271,DATA!#REF!,2,FALSE),"")</f>
        <v/>
      </c>
    </row>
    <row r="2272" spans="3:4" s="230" customFormat="1">
      <c r="C2272" s="16" t="str">
        <f>IFERROR(VLOOKUP(DATA!#REF!,DATA!#REF!,1,FALSE),"")</f>
        <v/>
      </c>
      <c r="D2272" s="16" t="str">
        <f>IFERROR(VLOOKUP(C2272,DATA!#REF!,2,FALSE),"")</f>
        <v/>
      </c>
    </row>
    <row r="2273" spans="3:4" s="230" customFormat="1">
      <c r="C2273" s="16" t="str">
        <f>IFERROR(VLOOKUP(DATA!#REF!,DATA!#REF!,1,FALSE),"")</f>
        <v/>
      </c>
      <c r="D2273" s="16" t="str">
        <f>IFERROR(VLOOKUP(C2273,DATA!#REF!,2,FALSE),"")</f>
        <v/>
      </c>
    </row>
    <row r="2274" spans="3:4" s="230" customFormat="1">
      <c r="C2274" s="16" t="str">
        <f>IFERROR(VLOOKUP(DATA!#REF!,DATA!#REF!,1,FALSE),"")</f>
        <v/>
      </c>
      <c r="D2274" s="16" t="str">
        <f>IFERROR(VLOOKUP(C2274,DATA!#REF!,2,FALSE),"")</f>
        <v/>
      </c>
    </row>
    <row r="2275" spans="3:4" s="230" customFormat="1">
      <c r="C2275" s="16" t="str">
        <f>IFERROR(VLOOKUP(DATA!#REF!,DATA!#REF!,1,FALSE),"")</f>
        <v/>
      </c>
      <c r="D2275" s="16" t="str">
        <f>IFERROR(VLOOKUP(C2275,DATA!#REF!,2,FALSE),"")</f>
        <v/>
      </c>
    </row>
    <row r="2276" spans="3:4" s="230" customFormat="1">
      <c r="C2276" s="16" t="str">
        <f>IFERROR(VLOOKUP(DATA!#REF!,DATA!#REF!,1,FALSE),"")</f>
        <v/>
      </c>
      <c r="D2276" s="16" t="str">
        <f>IFERROR(VLOOKUP(C2276,DATA!#REF!,2,FALSE),"")</f>
        <v/>
      </c>
    </row>
    <row r="2277" spans="3:4" s="230" customFormat="1">
      <c r="C2277" s="16" t="str">
        <f>IFERROR(VLOOKUP(DATA!#REF!,DATA!#REF!,1,FALSE),"")</f>
        <v/>
      </c>
      <c r="D2277" s="16" t="str">
        <f>IFERROR(VLOOKUP(C2277,DATA!#REF!,2,FALSE),"")</f>
        <v/>
      </c>
    </row>
    <row r="2278" spans="3:4" s="230" customFormat="1">
      <c r="C2278" s="16" t="str">
        <f>IFERROR(VLOOKUP(DATA!#REF!,DATA!#REF!,1,FALSE),"")</f>
        <v/>
      </c>
      <c r="D2278" s="16" t="str">
        <f>IFERROR(VLOOKUP(C2278,DATA!#REF!,2,FALSE),"")</f>
        <v/>
      </c>
    </row>
    <row r="2279" spans="3:4" s="230" customFormat="1">
      <c r="C2279" s="16" t="str">
        <f>IFERROR(VLOOKUP(DATA!#REF!,DATA!#REF!,1,FALSE),"")</f>
        <v/>
      </c>
      <c r="D2279" s="16" t="str">
        <f>IFERROR(VLOOKUP(C2279,DATA!#REF!,2,FALSE),"")</f>
        <v/>
      </c>
    </row>
    <row r="2280" spans="3:4" s="230" customFormat="1">
      <c r="C2280" s="16" t="str">
        <f>IFERROR(VLOOKUP(DATA!#REF!,DATA!#REF!,1,FALSE),"")</f>
        <v/>
      </c>
      <c r="D2280" s="16" t="str">
        <f>IFERROR(VLOOKUP(C2280,DATA!#REF!,2,FALSE),"")</f>
        <v/>
      </c>
    </row>
    <row r="2281" spans="3:4" s="230" customFormat="1">
      <c r="C2281" s="16" t="str">
        <f>IFERROR(VLOOKUP(DATA!#REF!,DATA!#REF!,1,FALSE),"")</f>
        <v/>
      </c>
      <c r="D2281" s="16" t="str">
        <f>IFERROR(VLOOKUP(C2281,DATA!#REF!,2,FALSE),"")</f>
        <v/>
      </c>
    </row>
    <row r="2282" spans="3:4" s="230" customFormat="1">
      <c r="C2282" s="16" t="str">
        <f>IFERROR(VLOOKUP(DATA!#REF!,DATA!#REF!,1,FALSE),"")</f>
        <v/>
      </c>
      <c r="D2282" s="16" t="str">
        <f>IFERROR(VLOOKUP(C2282,DATA!#REF!,2,FALSE),"")</f>
        <v/>
      </c>
    </row>
    <row r="2283" spans="3:4" s="230" customFormat="1">
      <c r="C2283" s="16" t="str">
        <f>IFERROR(VLOOKUP(DATA!#REF!,DATA!#REF!,1,FALSE),"")</f>
        <v/>
      </c>
      <c r="D2283" s="16" t="str">
        <f>IFERROR(VLOOKUP(C2283,DATA!#REF!,2,FALSE),"")</f>
        <v/>
      </c>
    </row>
    <row r="2284" spans="3:4" s="230" customFormat="1">
      <c r="C2284" s="16" t="str">
        <f>IFERROR(VLOOKUP(DATA!#REF!,DATA!#REF!,1,FALSE),"")</f>
        <v/>
      </c>
      <c r="D2284" s="16" t="str">
        <f>IFERROR(VLOOKUP(C2284,DATA!#REF!,2,FALSE),"")</f>
        <v/>
      </c>
    </row>
    <row r="2285" spans="3:4" s="230" customFormat="1">
      <c r="C2285" s="16" t="str">
        <f>IFERROR(VLOOKUP(DATA!#REF!,DATA!#REF!,1,FALSE),"")</f>
        <v/>
      </c>
      <c r="D2285" s="16" t="str">
        <f>IFERROR(VLOOKUP(C2285,DATA!#REF!,2,FALSE),"")</f>
        <v/>
      </c>
    </row>
    <row r="2286" spans="3:4" s="230" customFormat="1">
      <c r="C2286" s="16" t="str">
        <f>IFERROR(VLOOKUP(DATA!#REF!,DATA!#REF!,1,FALSE),"")</f>
        <v/>
      </c>
      <c r="D2286" s="16" t="str">
        <f>IFERROR(VLOOKUP(C2286,DATA!#REF!,2,FALSE),"")</f>
        <v/>
      </c>
    </row>
    <row r="2287" spans="3:4" s="230" customFormat="1">
      <c r="C2287" s="16" t="str">
        <f>IFERROR(VLOOKUP(DATA!#REF!,DATA!#REF!,1,FALSE),"")</f>
        <v/>
      </c>
      <c r="D2287" s="16" t="str">
        <f>IFERROR(VLOOKUP(C2287,DATA!#REF!,2,FALSE),"")</f>
        <v/>
      </c>
    </row>
    <row r="2288" spans="3:4" s="230" customFormat="1">
      <c r="C2288" s="16" t="str">
        <f>IFERROR(VLOOKUP(DATA!#REF!,DATA!#REF!,1,FALSE),"")</f>
        <v/>
      </c>
      <c r="D2288" s="16" t="str">
        <f>IFERROR(VLOOKUP(C2288,DATA!#REF!,2,FALSE),"")</f>
        <v/>
      </c>
    </row>
    <row r="2289" spans="3:4" s="230" customFormat="1">
      <c r="C2289" s="16" t="str">
        <f>IFERROR(VLOOKUP(DATA!#REF!,DATA!#REF!,1,FALSE),"")</f>
        <v/>
      </c>
      <c r="D2289" s="16" t="str">
        <f>IFERROR(VLOOKUP(C2289,DATA!#REF!,2,FALSE),"")</f>
        <v/>
      </c>
    </row>
    <row r="2290" spans="3:4" s="230" customFormat="1">
      <c r="C2290" s="16" t="str">
        <f>IFERROR(VLOOKUP(DATA!#REF!,DATA!#REF!,1,FALSE),"")</f>
        <v/>
      </c>
      <c r="D2290" s="16" t="str">
        <f>IFERROR(VLOOKUP(C2290,DATA!#REF!,2,FALSE),"")</f>
        <v/>
      </c>
    </row>
    <row r="2291" spans="3:4" s="230" customFormat="1">
      <c r="C2291" s="16" t="str">
        <f>IFERROR(VLOOKUP(DATA!#REF!,DATA!#REF!,1,FALSE),"")</f>
        <v/>
      </c>
      <c r="D2291" s="16" t="str">
        <f>IFERROR(VLOOKUP(C2291,DATA!#REF!,2,FALSE),"")</f>
        <v/>
      </c>
    </row>
    <row r="2292" spans="3:4" s="230" customFormat="1">
      <c r="C2292" s="16" t="str">
        <f>IFERROR(VLOOKUP(DATA!#REF!,DATA!#REF!,1,FALSE),"")</f>
        <v/>
      </c>
      <c r="D2292" s="16" t="str">
        <f>IFERROR(VLOOKUP(C2292,DATA!#REF!,2,FALSE),"")</f>
        <v/>
      </c>
    </row>
    <row r="2293" spans="3:4" s="230" customFormat="1">
      <c r="C2293" s="16" t="str">
        <f>IFERROR(VLOOKUP(DATA!#REF!,DATA!#REF!,1,FALSE),"")</f>
        <v/>
      </c>
      <c r="D2293" s="16" t="str">
        <f>IFERROR(VLOOKUP(C2293,DATA!#REF!,2,FALSE),"")</f>
        <v/>
      </c>
    </row>
    <row r="2294" spans="3:4" s="230" customFormat="1">
      <c r="C2294" s="16" t="str">
        <f>IFERROR(VLOOKUP(DATA!#REF!,DATA!#REF!,1,FALSE),"")</f>
        <v/>
      </c>
      <c r="D2294" s="16" t="str">
        <f>IFERROR(VLOOKUP(C2294,DATA!#REF!,2,FALSE),"")</f>
        <v/>
      </c>
    </row>
    <row r="2295" spans="3:4" s="230" customFormat="1">
      <c r="C2295" s="16" t="str">
        <f>IFERROR(VLOOKUP(DATA!#REF!,DATA!#REF!,1,FALSE),"")</f>
        <v/>
      </c>
      <c r="D2295" s="16" t="str">
        <f>IFERROR(VLOOKUP(C2295,DATA!#REF!,2,FALSE),"")</f>
        <v/>
      </c>
    </row>
    <row r="2296" spans="3:4" s="230" customFormat="1">
      <c r="C2296" s="16" t="str">
        <f>IFERROR(VLOOKUP(DATA!#REF!,DATA!#REF!,1,FALSE),"")</f>
        <v/>
      </c>
      <c r="D2296" s="16" t="str">
        <f>IFERROR(VLOOKUP(C2296,DATA!#REF!,2,FALSE),"")</f>
        <v/>
      </c>
    </row>
    <row r="2297" spans="3:4" s="230" customFormat="1">
      <c r="C2297" s="16" t="str">
        <f>IFERROR(VLOOKUP(DATA!#REF!,DATA!#REF!,1,FALSE),"")</f>
        <v/>
      </c>
      <c r="D2297" s="16" t="str">
        <f>IFERROR(VLOOKUP(C2297,DATA!#REF!,2,FALSE),"")</f>
        <v/>
      </c>
    </row>
    <row r="2298" spans="3:4" s="230" customFormat="1">
      <c r="C2298" s="16" t="str">
        <f>IFERROR(VLOOKUP(DATA!#REF!,DATA!#REF!,1,FALSE),"")</f>
        <v/>
      </c>
      <c r="D2298" s="16" t="str">
        <f>IFERROR(VLOOKUP(C2298,DATA!#REF!,2,FALSE),"")</f>
        <v/>
      </c>
    </row>
    <row r="2299" spans="3:4" s="230" customFormat="1">
      <c r="C2299" s="16" t="str">
        <f>IFERROR(VLOOKUP(DATA!#REF!,DATA!#REF!,1,FALSE),"")</f>
        <v/>
      </c>
      <c r="D2299" s="16" t="str">
        <f>IFERROR(VLOOKUP(C2299,DATA!#REF!,2,FALSE),"")</f>
        <v/>
      </c>
    </row>
    <row r="2300" spans="3:4" s="230" customFormat="1">
      <c r="C2300" s="16" t="str">
        <f>IFERROR(VLOOKUP(DATA!#REF!,DATA!#REF!,1,FALSE),"")</f>
        <v/>
      </c>
      <c r="D2300" s="16" t="str">
        <f>IFERROR(VLOOKUP(C2300,DATA!#REF!,2,FALSE),"")</f>
        <v/>
      </c>
    </row>
    <row r="2301" spans="3:4" s="230" customFormat="1">
      <c r="C2301" s="16" t="str">
        <f>IFERROR(VLOOKUP(DATA!#REF!,DATA!#REF!,1,FALSE),"")</f>
        <v/>
      </c>
      <c r="D2301" s="16" t="str">
        <f>IFERROR(VLOOKUP(C2301,DATA!#REF!,2,FALSE),"")</f>
        <v/>
      </c>
    </row>
    <row r="2302" spans="3:4" s="230" customFormat="1">
      <c r="C2302" s="16" t="str">
        <f>IFERROR(VLOOKUP(DATA!#REF!,DATA!#REF!,1,FALSE),"")</f>
        <v/>
      </c>
      <c r="D2302" s="16" t="str">
        <f>IFERROR(VLOOKUP(C2302,DATA!#REF!,2,FALSE),"")</f>
        <v/>
      </c>
    </row>
    <row r="2303" spans="3:4" s="230" customFormat="1">
      <c r="C2303" s="16" t="str">
        <f>IFERROR(VLOOKUP(DATA!#REF!,DATA!#REF!,1,FALSE),"")</f>
        <v/>
      </c>
      <c r="D2303" s="16" t="str">
        <f>IFERROR(VLOOKUP(C2303,DATA!#REF!,2,FALSE),"")</f>
        <v/>
      </c>
    </row>
    <row r="2304" spans="3:4" s="230" customFormat="1">
      <c r="C2304" s="16" t="str">
        <f>IFERROR(VLOOKUP(DATA!#REF!,DATA!#REF!,1,FALSE),"")</f>
        <v/>
      </c>
      <c r="D2304" s="16" t="str">
        <f>IFERROR(VLOOKUP(C2304,DATA!#REF!,2,FALSE),"")</f>
        <v/>
      </c>
    </row>
    <row r="2305" spans="3:4" s="230" customFormat="1">
      <c r="C2305" s="16" t="str">
        <f>IFERROR(VLOOKUP(DATA!#REF!,DATA!#REF!,1,FALSE),"")</f>
        <v/>
      </c>
      <c r="D2305" s="16" t="str">
        <f>IFERROR(VLOOKUP(C2305,DATA!#REF!,2,FALSE),"")</f>
        <v/>
      </c>
    </row>
    <row r="2306" spans="3:4" s="230" customFormat="1">
      <c r="C2306" s="16" t="str">
        <f>IFERROR(VLOOKUP(DATA!#REF!,DATA!#REF!,1,FALSE),"")</f>
        <v/>
      </c>
      <c r="D2306" s="16" t="str">
        <f>IFERROR(VLOOKUP(C2306,DATA!#REF!,2,FALSE),"")</f>
        <v/>
      </c>
    </row>
    <row r="2307" spans="3:4" s="230" customFormat="1">
      <c r="C2307" s="16" t="str">
        <f>IFERROR(VLOOKUP(DATA!#REF!,DATA!#REF!,1,FALSE),"")</f>
        <v/>
      </c>
      <c r="D2307" s="16" t="str">
        <f>IFERROR(VLOOKUP(C2307,DATA!#REF!,2,FALSE),"")</f>
        <v/>
      </c>
    </row>
    <row r="2308" spans="3:4" s="230" customFormat="1">
      <c r="C2308" s="16" t="str">
        <f>IFERROR(VLOOKUP(DATA!#REF!,DATA!#REF!,1,FALSE),"")</f>
        <v/>
      </c>
      <c r="D2308" s="16" t="str">
        <f>IFERROR(VLOOKUP(C2308,DATA!#REF!,2,FALSE),"")</f>
        <v/>
      </c>
    </row>
    <row r="2309" spans="3:4" s="230" customFormat="1">
      <c r="C2309" s="16" t="str">
        <f>IFERROR(VLOOKUP(DATA!#REF!,DATA!#REF!,1,FALSE),"")</f>
        <v/>
      </c>
      <c r="D2309" s="16" t="str">
        <f>IFERROR(VLOOKUP(C2309,DATA!#REF!,2,FALSE),"")</f>
        <v/>
      </c>
    </row>
    <row r="2310" spans="3:4" s="230" customFormat="1">
      <c r="C2310" s="16" t="str">
        <f>IFERROR(VLOOKUP(DATA!#REF!,DATA!#REF!,1,FALSE),"")</f>
        <v/>
      </c>
      <c r="D2310" s="16" t="str">
        <f>IFERROR(VLOOKUP(C2310,DATA!#REF!,2,FALSE),"")</f>
        <v/>
      </c>
    </row>
    <row r="2311" spans="3:4" s="230" customFormat="1">
      <c r="C2311" s="16" t="str">
        <f>IFERROR(VLOOKUP(DATA!#REF!,DATA!#REF!,1,FALSE),"")</f>
        <v/>
      </c>
      <c r="D2311" s="16" t="str">
        <f>IFERROR(VLOOKUP(C2311,DATA!#REF!,2,FALSE),"")</f>
        <v/>
      </c>
    </row>
    <row r="2312" spans="3:4" s="230" customFormat="1">
      <c r="C2312" s="16" t="str">
        <f>IFERROR(VLOOKUP(DATA!#REF!,DATA!#REF!,1,FALSE),"")</f>
        <v/>
      </c>
      <c r="D2312" s="16" t="str">
        <f>IFERROR(VLOOKUP(C2312,DATA!#REF!,2,FALSE),"")</f>
        <v/>
      </c>
    </row>
    <row r="2313" spans="3:4" s="230" customFormat="1">
      <c r="C2313" s="16" t="str">
        <f>IFERROR(VLOOKUP(DATA!#REF!,DATA!#REF!,1,FALSE),"")</f>
        <v/>
      </c>
      <c r="D2313" s="16" t="str">
        <f>IFERROR(VLOOKUP(C2313,DATA!#REF!,2,FALSE),"")</f>
        <v/>
      </c>
    </row>
    <row r="2314" spans="3:4" s="230" customFormat="1">
      <c r="C2314" s="16" t="str">
        <f>IFERROR(VLOOKUP(DATA!#REF!,DATA!#REF!,1,FALSE),"")</f>
        <v/>
      </c>
      <c r="D2314" s="16" t="str">
        <f>IFERROR(VLOOKUP(C2314,DATA!#REF!,2,FALSE),"")</f>
        <v/>
      </c>
    </row>
    <row r="2315" spans="3:4" s="230" customFormat="1">
      <c r="C2315" s="16" t="str">
        <f>IFERROR(VLOOKUP(DATA!#REF!,DATA!#REF!,1,FALSE),"")</f>
        <v/>
      </c>
      <c r="D2315" s="16" t="str">
        <f>IFERROR(VLOOKUP(C2315,DATA!#REF!,2,FALSE),"")</f>
        <v/>
      </c>
    </row>
    <row r="2316" spans="3:4" s="230" customFormat="1">
      <c r="C2316" s="16" t="str">
        <f>IFERROR(VLOOKUP(DATA!#REF!,DATA!#REF!,1,FALSE),"")</f>
        <v/>
      </c>
      <c r="D2316" s="16" t="str">
        <f>IFERROR(VLOOKUP(C2316,DATA!#REF!,2,FALSE),"")</f>
        <v/>
      </c>
    </row>
    <row r="2317" spans="3:4" s="230" customFormat="1">
      <c r="C2317" s="16" t="str">
        <f>IFERROR(VLOOKUP(DATA!#REF!,DATA!#REF!,1,FALSE),"")</f>
        <v/>
      </c>
      <c r="D2317" s="16" t="str">
        <f>IFERROR(VLOOKUP(C2317,DATA!#REF!,2,FALSE),"")</f>
        <v/>
      </c>
    </row>
    <row r="2318" spans="3:4" s="230" customFormat="1">
      <c r="C2318" s="16" t="str">
        <f>IFERROR(VLOOKUP(DATA!#REF!,DATA!#REF!,1,FALSE),"")</f>
        <v/>
      </c>
      <c r="D2318" s="16" t="str">
        <f>IFERROR(VLOOKUP(C2318,DATA!#REF!,2,FALSE),"")</f>
        <v/>
      </c>
    </row>
    <row r="2319" spans="3:4" s="230" customFormat="1">
      <c r="C2319" s="16" t="str">
        <f>IFERROR(VLOOKUP(DATA!#REF!,DATA!#REF!,1,FALSE),"")</f>
        <v/>
      </c>
      <c r="D2319" s="16" t="str">
        <f>IFERROR(VLOOKUP(C2319,DATA!#REF!,2,FALSE),"")</f>
        <v/>
      </c>
    </row>
    <row r="2320" spans="3:4" s="230" customFormat="1">
      <c r="C2320" s="16" t="str">
        <f>IFERROR(VLOOKUP(DATA!#REF!,DATA!#REF!,1,FALSE),"")</f>
        <v/>
      </c>
      <c r="D2320" s="16" t="str">
        <f>IFERROR(VLOOKUP(C2320,DATA!#REF!,2,FALSE),"")</f>
        <v/>
      </c>
    </row>
    <row r="2321" spans="3:4" s="230" customFormat="1">
      <c r="C2321" s="16" t="str">
        <f>IFERROR(VLOOKUP(DATA!#REF!,DATA!#REF!,1,FALSE),"")</f>
        <v/>
      </c>
      <c r="D2321" s="16" t="str">
        <f>IFERROR(VLOOKUP(C2321,DATA!#REF!,2,FALSE),"")</f>
        <v/>
      </c>
    </row>
    <row r="2322" spans="3:4" s="230" customFormat="1">
      <c r="C2322" s="16" t="str">
        <f>IFERROR(VLOOKUP(DATA!#REF!,DATA!#REF!,1,FALSE),"")</f>
        <v/>
      </c>
      <c r="D2322" s="16" t="str">
        <f>IFERROR(VLOOKUP(C2322,DATA!#REF!,2,FALSE),"")</f>
        <v/>
      </c>
    </row>
    <row r="2323" spans="3:4" s="230" customFormat="1">
      <c r="C2323" s="16" t="str">
        <f>IFERROR(VLOOKUP(DATA!#REF!,DATA!#REF!,1,FALSE),"")</f>
        <v/>
      </c>
      <c r="D2323" s="16" t="str">
        <f>IFERROR(VLOOKUP(C2323,DATA!#REF!,2,FALSE),"")</f>
        <v/>
      </c>
    </row>
    <row r="2324" spans="3:4" s="230" customFormat="1">
      <c r="C2324" s="16" t="str">
        <f>IFERROR(VLOOKUP(DATA!#REF!,DATA!#REF!,1,FALSE),"")</f>
        <v/>
      </c>
      <c r="D2324" s="16" t="str">
        <f>IFERROR(VLOOKUP(C2324,DATA!#REF!,2,FALSE),"")</f>
        <v/>
      </c>
    </row>
    <row r="2325" spans="3:4" s="230" customFormat="1">
      <c r="C2325" s="16" t="str">
        <f>IFERROR(VLOOKUP(DATA!#REF!,DATA!#REF!,1,FALSE),"")</f>
        <v/>
      </c>
      <c r="D2325" s="16" t="str">
        <f>IFERROR(VLOOKUP(C2325,DATA!#REF!,2,FALSE),"")</f>
        <v/>
      </c>
    </row>
    <row r="2326" spans="3:4" s="230" customFormat="1">
      <c r="C2326" s="16" t="str">
        <f>IFERROR(VLOOKUP(DATA!#REF!,DATA!#REF!,1,FALSE),"")</f>
        <v/>
      </c>
      <c r="D2326" s="16" t="str">
        <f>IFERROR(VLOOKUP(C2326,DATA!#REF!,2,FALSE),"")</f>
        <v/>
      </c>
    </row>
    <row r="2327" spans="3:4" s="230" customFormat="1">
      <c r="C2327" s="16" t="str">
        <f>IFERROR(VLOOKUP(DATA!#REF!,DATA!#REF!,1,FALSE),"")</f>
        <v/>
      </c>
      <c r="D2327" s="16" t="str">
        <f>IFERROR(VLOOKUP(C2327,DATA!#REF!,2,FALSE),"")</f>
        <v/>
      </c>
    </row>
    <row r="2328" spans="3:4" s="230" customFormat="1">
      <c r="C2328" s="16" t="str">
        <f>IFERROR(VLOOKUP(DATA!#REF!,DATA!#REF!,1,FALSE),"")</f>
        <v/>
      </c>
      <c r="D2328" s="16" t="str">
        <f>IFERROR(VLOOKUP(C2328,DATA!#REF!,2,FALSE),"")</f>
        <v/>
      </c>
    </row>
    <row r="2329" spans="3:4" s="230" customFormat="1">
      <c r="C2329" s="16" t="str">
        <f>IFERROR(VLOOKUP(DATA!#REF!,DATA!#REF!,1,FALSE),"")</f>
        <v/>
      </c>
      <c r="D2329" s="16" t="str">
        <f>IFERROR(VLOOKUP(C2329,DATA!#REF!,2,FALSE),"")</f>
        <v/>
      </c>
    </row>
    <row r="2330" spans="3:4" s="230" customFormat="1">
      <c r="C2330" s="16" t="str">
        <f>IFERROR(VLOOKUP(DATA!#REF!,DATA!#REF!,1,FALSE),"")</f>
        <v/>
      </c>
      <c r="D2330" s="16" t="str">
        <f>IFERROR(VLOOKUP(C2330,DATA!#REF!,2,FALSE),"")</f>
        <v/>
      </c>
    </row>
    <row r="2331" spans="3:4" s="230" customFormat="1">
      <c r="C2331" s="16" t="str">
        <f>IFERROR(VLOOKUP(DATA!#REF!,DATA!#REF!,1,FALSE),"")</f>
        <v/>
      </c>
      <c r="D2331" s="16" t="str">
        <f>IFERROR(VLOOKUP(C2331,DATA!#REF!,2,FALSE),"")</f>
        <v/>
      </c>
    </row>
    <row r="2332" spans="3:4" s="230" customFormat="1">
      <c r="C2332" s="16" t="str">
        <f>IFERROR(VLOOKUP(DATA!#REF!,DATA!#REF!,1,FALSE),"")</f>
        <v/>
      </c>
      <c r="D2332" s="16" t="str">
        <f>IFERROR(VLOOKUP(C2332,DATA!#REF!,2,FALSE),"")</f>
        <v/>
      </c>
    </row>
    <row r="2333" spans="3:4" s="230" customFormat="1">
      <c r="C2333" s="16" t="str">
        <f>IFERROR(VLOOKUP(DATA!#REF!,DATA!#REF!,1,FALSE),"")</f>
        <v/>
      </c>
      <c r="D2333" s="16" t="str">
        <f>IFERROR(VLOOKUP(C2333,DATA!#REF!,2,FALSE),"")</f>
        <v/>
      </c>
    </row>
    <row r="2334" spans="3:4" s="230" customFormat="1">
      <c r="C2334" s="16" t="str">
        <f>IFERROR(VLOOKUP(DATA!#REF!,DATA!#REF!,1,FALSE),"")</f>
        <v/>
      </c>
      <c r="D2334" s="16" t="str">
        <f>IFERROR(VLOOKUP(C2334,DATA!#REF!,2,FALSE),"")</f>
        <v/>
      </c>
    </row>
    <row r="2335" spans="3:4" s="230" customFormat="1">
      <c r="C2335" s="16" t="str">
        <f>IFERROR(VLOOKUP(DATA!#REF!,DATA!#REF!,1,FALSE),"")</f>
        <v/>
      </c>
      <c r="D2335" s="16" t="str">
        <f>IFERROR(VLOOKUP(C2335,DATA!#REF!,2,FALSE),"")</f>
        <v/>
      </c>
    </row>
    <row r="2336" spans="3:4" s="230" customFormat="1">
      <c r="C2336" s="16" t="str">
        <f>IFERROR(VLOOKUP(DATA!#REF!,DATA!#REF!,1,FALSE),"")</f>
        <v/>
      </c>
      <c r="D2336" s="16" t="str">
        <f>IFERROR(VLOOKUP(C2336,DATA!#REF!,2,FALSE),"")</f>
        <v/>
      </c>
    </row>
    <row r="2337" spans="3:4" s="230" customFormat="1">
      <c r="C2337" s="16" t="str">
        <f>IFERROR(VLOOKUP(DATA!#REF!,DATA!#REF!,1,FALSE),"")</f>
        <v/>
      </c>
      <c r="D2337" s="16" t="str">
        <f>IFERROR(VLOOKUP(C2337,DATA!#REF!,2,FALSE),"")</f>
        <v/>
      </c>
    </row>
    <row r="2338" spans="3:4" s="230" customFormat="1">
      <c r="C2338" s="16" t="str">
        <f>IFERROR(VLOOKUP(DATA!#REF!,DATA!#REF!,1,FALSE),"")</f>
        <v/>
      </c>
      <c r="D2338" s="16" t="str">
        <f>IFERROR(VLOOKUP(C2338,DATA!#REF!,2,FALSE),"")</f>
        <v/>
      </c>
    </row>
    <row r="2339" spans="3:4" s="230" customFormat="1">
      <c r="C2339" s="16" t="str">
        <f>IFERROR(VLOOKUP(DATA!#REF!,DATA!#REF!,1,FALSE),"")</f>
        <v/>
      </c>
      <c r="D2339" s="16" t="str">
        <f>IFERROR(VLOOKUP(C2339,DATA!#REF!,2,FALSE),"")</f>
        <v/>
      </c>
    </row>
    <row r="2340" spans="3:4" s="230" customFormat="1">
      <c r="C2340" s="16" t="str">
        <f>IFERROR(VLOOKUP(DATA!#REF!,DATA!#REF!,1,FALSE),"")</f>
        <v/>
      </c>
      <c r="D2340" s="16" t="str">
        <f>IFERROR(VLOOKUP(C2340,DATA!#REF!,2,FALSE),"")</f>
        <v/>
      </c>
    </row>
    <row r="2341" spans="3:4" s="230" customFormat="1">
      <c r="C2341" s="16" t="str">
        <f>IFERROR(VLOOKUP(DATA!#REF!,DATA!#REF!,1,FALSE),"")</f>
        <v/>
      </c>
      <c r="D2341" s="16" t="str">
        <f>IFERROR(VLOOKUP(C2341,DATA!#REF!,2,FALSE),"")</f>
        <v/>
      </c>
    </row>
    <row r="2342" spans="3:4" s="230" customFormat="1">
      <c r="C2342" s="16" t="str">
        <f>IFERROR(VLOOKUP(DATA!#REF!,DATA!#REF!,1,FALSE),"")</f>
        <v/>
      </c>
      <c r="D2342" s="16" t="str">
        <f>IFERROR(VLOOKUP(C2342,DATA!#REF!,2,FALSE),"")</f>
        <v/>
      </c>
    </row>
    <row r="2343" spans="3:4" s="230" customFormat="1">
      <c r="C2343" s="16" t="str">
        <f>IFERROR(VLOOKUP(DATA!#REF!,DATA!#REF!,1,FALSE),"")</f>
        <v/>
      </c>
      <c r="D2343" s="16" t="str">
        <f>IFERROR(VLOOKUP(C2343,DATA!#REF!,2,FALSE),"")</f>
        <v/>
      </c>
    </row>
    <row r="2344" spans="3:4" s="230" customFormat="1">
      <c r="C2344" s="16" t="str">
        <f>IFERROR(VLOOKUP(DATA!#REF!,DATA!#REF!,1,FALSE),"")</f>
        <v/>
      </c>
      <c r="D2344" s="16" t="str">
        <f>IFERROR(VLOOKUP(C2344,DATA!#REF!,2,FALSE),"")</f>
        <v/>
      </c>
    </row>
    <row r="2345" spans="3:4" s="230" customFormat="1">
      <c r="C2345" s="16" t="str">
        <f>IFERROR(VLOOKUP(DATA!#REF!,DATA!#REF!,1,FALSE),"")</f>
        <v/>
      </c>
      <c r="D2345" s="16" t="str">
        <f>IFERROR(VLOOKUP(C2345,DATA!#REF!,2,FALSE),"")</f>
        <v/>
      </c>
    </row>
    <row r="2346" spans="3:4" s="230" customFormat="1">
      <c r="C2346" s="16" t="str">
        <f>IFERROR(VLOOKUP(DATA!#REF!,DATA!#REF!,1,FALSE),"")</f>
        <v/>
      </c>
      <c r="D2346" s="16" t="str">
        <f>IFERROR(VLOOKUP(C2346,DATA!#REF!,2,FALSE),"")</f>
        <v/>
      </c>
    </row>
    <row r="2347" spans="3:4" s="230" customFormat="1">
      <c r="C2347" s="16" t="str">
        <f>IFERROR(VLOOKUP(DATA!#REF!,DATA!#REF!,1,FALSE),"")</f>
        <v/>
      </c>
      <c r="D2347" s="16" t="str">
        <f>IFERROR(VLOOKUP(C2347,DATA!#REF!,2,FALSE),"")</f>
        <v/>
      </c>
    </row>
    <row r="2348" spans="3:4" s="230" customFormat="1">
      <c r="C2348" s="16" t="str">
        <f>IFERROR(VLOOKUP(DATA!#REF!,DATA!#REF!,1,FALSE),"")</f>
        <v/>
      </c>
      <c r="D2348" s="16" t="str">
        <f>IFERROR(VLOOKUP(C2348,DATA!#REF!,2,FALSE),"")</f>
        <v/>
      </c>
    </row>
    <row r="2349" spans="3:4" s="230" customFormat="1">
      <c r="C2349" s="16" t="str">
        <f>IFERROR(VLOOKUP(DATA!#REF!,DATA!#REF!,1,FALSE),"")</f>
        <v/>
      </c>
      <c r="D2349" s="16" t="str">
        <f>IFERROR(VLOOKUP(C2349,DATA!#REF!,2,FALSE),"")</f>
        <v/>
      </c>
    </row>
    <row r="2350" spans="3:4" s="230" customFormat="1">
      <c r="C2350" s="16" t="str">
        <f>IFERROR(VLOOKUP(DATA!#REF!,DATA!#REF!,1,FALSE),"")</f>
        <v/>
      </c>
      <c r="D2350" s="16" t="str">
        <f>IFERROR(VLOOKUP(C2350,DATA!#REF!,2,FALSE),"")</f>
        <v/>
      </c>
    </row>
    <row r="2351" spans="3:4" s="230" customFormat="1">
      <c r="C2351" s="16" t="str">
        <f>IFERROR(VLOOKUP(DATA!#REF!,DATA!#REF!,1,FALSE),"")</f>
        <v/>
      </c>
      <c r="D2351" s="16" t="str">
        <f>IFERROR(VLOOKUP(C2351,DATA!#REF!,2,FALSE),"")</f>
        <v/>
      </c>
    </row>
    <row r="2352" spans="3:4" s="230" customFormat="1">
      <c r="C2352" s="16" t="str">
        <f>IFERROR(VLOOKUP(DATA!#REF!,DATA!#REF!,1,FALSE),"")</f>
        <v/>
      </c>
      <c r="D2352" s="16" t="str">
        <f>IFERROR(VLOOKUP(C2352,DATA!#REF!,2,FALSE),"")</f>
        <v/>
      </c>
    </row>
    <row r="2353" spans="3:4" s="230" customFormat="1">
      <c r="C2353" s="16" t="str">
        <f>IFERROR(VLOOKUP(DATA!#REF!,DATA!#REF!,1,FALSE),"")</f>
        <v/>
      </c>
      <c r="D2353" s="16" t="str">
        <f>IFERROR(VLOOKUP(C2353,DATA!#REF!,2,FALSE),"")</f>
        <v/>
      </c>
    </row>
    <row r="2354" spans="3:4" s="230" customFormat="1">
      <c r="C2354" s="16" t="str">
        <f>IFERROR(VLOOKUP(DATA!#REF!,DATA!#REF!,1,FALSE),"")</f>
        <v/>
      </c>
      <c r="D2354" s="16" t="str">
        <f>IFERROR(VLOOKUP(C2354,DATA!#REF!,2,FALSE),"")</f>
        <v/>
      </c>
    </row>
    <row r="2355" spans="3:4" s="230" customFormat="1">
      <c r="C2355" s="16" t="str">
        <f>IFERROR(VLOOKUP(DATA!#REF!,DATA!#REF!,1,FALSE),"")</f>
        <v/>
      </c>
      <c r="D2355" s="16" t="str">
        <f>IFERROR(VLOOKUP(C2355,DATA!#REF!,2,FALSE),"")</f>
        <v/>
      </c>
    </row>
    <row r="2356" spans="3:4" s="230" customFormat="1">
      <c r="C2356" s="16" t="str">
        <f>IFERROR(VLOOKUP(DATA!#REF!,DATA!#REF!,1,FALSE),"")</f>
        <v/>
      </c>
      <c r="D2356" s="16" t="str">
        <f>IFERROR(VLOOKUP(C2356,DATA!#REF!,2,FALSE),"")</f>
        <v/>
      </c>
    </row>
    <row r="2357" spans="3:4" s="230" customFormat="1">
      <c r="C2357" s="16" t="str">
        <f>IFERROR(VLOOKUP(DATA!#REF!,DATA!#REF!,1,FALSE),"")</f>
        <v/>
      </c>
      <c r="D2357" s="16" t="str">
        <f>IFERROR(VLOOKUP(C2357,DATA!#REF!,2,FALSE),"")</f>
        <v/>
      </c>
    </row>
    <row r="2358" spans="3:4" s="230" customFormat="1">
      <c r="C2358" s="16" t="str">
        <f>IFERROR(VLOOKUP(DATA!#REF!,DATA!#REF!,1,FALSE),"")</f>
        <v/>
      </c>
      <c r="D2358" s="16" t="str">
        <f>IFERROR(VLOOKUP(C2358,DATA!#REF!,2,FALSE),"")</f>
        <v/>
      </c>
    </row>
    <row r="2359" spans="3:4" s="230" customFormat="1">
      <c r="C2359" s="16" t="str">
        <f>IFERROR(VLOOKUP(DATA!#REF!,DATA!#REF!,1,FALSE),"")</f>
        <v/>
      </c>
      <c r="D2359" s="16" t="str">
        <f>IFERROR(VLOOKUP(C2359,DATA!#REF!,2,FALSE),"")</f>
        <v/>
      </c>
    </row>
    <row r="2360" spans="3:4" s="230" customFormat="1">
      <c r="C2360" s="16" t="str">
        <f>IFERROR(VLOOKUP(DATA!#REF!,DATA!#REF!,1,FALSE),"")</f>
        <v/>
      </c>
      <c r="D2360" s="16" t="str">
        <f>IFERROR(VLOOKUP(C2360,DATA!#REF!,2,FALSE),"")</f>
        <v/>
      </c>
    </row>
    <row r="2361" spans="3:4" s="230" customFormat="1">
      <c r="C2361" s="16" t="str">
        <f>IFERROR(VLOOKUP(DATA!#REF!,DATA!#REF!,1,FALSE),"")</f>
        <v/>
      </c>
      <c r="D2361" s="16" t="str">
        <f>IFERROR(VLOOKUP(C2361,DATA!#REF!,2,FALSE),"")</f>
        <v/>
      </c>
    </row>
    <row r="2362" spans="3:4" s="230" customFormat="1">
      <c r="C2362" s="16" t="str">
        <f>IFERROR(VLOOKUP(DATA!#REF!,DATA!#REF!,1,FALSE),"")</f>
        <v/>
      </c>
      <c r="D2362" s="16" t="str">
        <f>IFERROR(VLOOKUP(C2362,DATA!#REF!,2,FALSE),"")</f>
        <v/>
      </c>
    </row>
    <row r="2363" spans="3:4" s="230" customFormat="1">
      <c r="C2363" s="16" t="str">
        <f>IFERROR(VLOOKUP(DATA!#REF!,DATA!#REF!,1,FALSE),"")</f>
        <v/>
      </c>
      <c r="D2363" s="16" t="str">
        <f>IFERROR(VLOOKUP(C2363,DATA!#REF!,2,FALSE),"")</f>
        <v/>
      </c>
    </row>
    <row r="2364" spans="3:4" s="230" customFormat="1">
      <c r="C2364" s="16" t="str">
        <f>IFERROR(VLOOKUP(DATA!#REF!,DATA!#REF!,1,FALSE),"")</f>
        <v/>
      </c>
      <c r="D2364" s="16" t="str">
        <f>IFERROR(VLOOKUP(C2364,DATA!#REF!,2,FALSE),"")</f>
        <v/>
      </c>
    </row>
    <row r="2365" spans="3:4" s="230" customFormat="1">
      <c r="C2365" s="16" t="str">
        <f>IFERROR(VLOOKUP(DATA!#REF!,DATA!#REF!,1,FALSE),"")</f>
        <v/>
      </c>
      <c r="D2365" s="16" t="str">
        <f>IFERROR(VLOOKUP(C2365,DATA!#REF!,2,FALSE),"")</f>
        <v/>
      </c>
    </row>
    <row r="2366" spans="3:4" s="230" customFormat="1">
      <c r="C2366" s="16" t="str">
        <f>IFERROR(VLOOKUP(DATA!#REF!,DATA!#REF!,1,FALSE),"")</f>
        <v/>
      </c>
      <c r="D2366" s="16" t="str">
        <f>IFERROR(VLOOKUP(C2366,DATA!#REF!,2,FALSE),"")</f>
        <v/>
      </c>
    </row>
    <row r="2367" spans="3:4" s="230" customFormat="1">
      <c r="C2367" s="16" t="str">
        <f>IFERROR(VLOOKUP(DATA!#REF!,DATA!#REF!,1,FALSE),"")</f>
        <v/>
      </c>
      <c r="D2367" s="16" t="str">
        <f>IFERROR(VLOOKUP(C2367,DATA!#REF!,2,FALSE),"")</f>
        <v/>
      </c>
    </row>
    <row r="2368" spans="3:4" s="230" customFormat="1">
      <c r="C2368" s="16" t="str">
        <f>IFERROR(VLOOKUP(DATA!#REF!,DATA!#REF!,1,FALSE),"")</f>
        <v/>
      </c>
      <c r="D2368" s="16" t="str">
        <f>IFERROR(VLOOKUP(C2368,DATA!#REF!,2,FALSE),"")</f>
        <v/>
      </c>
    </row>
    <row r="2369" spans="3:4" s="230" customFormat="1">
      <c r="C2369" s="16" t="str">
        <f>IFERROR(VLOOKUP(DATA!#REF!,DATA!#REF!,1,FALSE),"")</f>
        <v/>
      </c>
      <c r="D2369" s="16" t="str">
        <f>IFERROR(VLOOKUP(C2369,DATA!#REF!,2,FALSE),"")</f>
        <v/>
      </c>
    </row>
    <row r="2370" spans="3:4" s="230" customFormat="1">
      <c r="C2370" s="16" t="str">
        <f>IFERROR(VLOOKUP(DATA!#REF!,DATA!#REF!,1,FALSE),"")</f>
        <v/>
      </c>
      <c r="D2370" s="16" t="str">
        <f>IFERROR(VLOOKUP(C2370,DATA!#REF!,2,FALSE),"")</f>
        <v/>
      </c>
    </row>
    <row r="2371" spans="3:4" s="230" customFormat="1">
      <c r="C2371" s="16" t="str">
        <f>IFERROR(VLOOKUP(DATA!#REF!,DATA!#REF!,1,FALSE),"")</f>
        <v/>
      </c>
      <c r="D2371" s="16" t="str">
        <f>IFERROR(VLOOKUP(C2371,DATA!#REF!,2,FALSE),"")</f>
        <v/>
      </c>
    </row>
    <row r="2372" spans="3:4" s="230" customFormat="1">
      <c r="C2372" s="16" t="str">
        <f>IFERROR(VLOOKUP(DATA!#REF!,DATA!#REF!,1,FALSE),"")</f>
        <v/>
      </c>
      <c r="D2372" s="16" t="str">
        <f>IFERROR(VLOOKUP(C2372,DATA!#REF!,2,FALSE),"")</f>
        <v/>
      </c>
    </row>
    <row r="2373" spans="3:4" s="230" customFormat="1">
      <c r="C2373" s="16" t="str">
        <f>IFERROR(VLOOKUP(DATA!#REF!,DATA!#REF!,1,FALSE),"")</f>
        <v/>
      </c>
      <c r="D2373" s="16" t="str">
        <f>IFERROR(VLOOKUP(C2373,DATA!#REF!,2,FALSE),"")</f>
        <v/>
      </c>
    </row>
    <row r="2374" spans="3:4" s="230" customFormat="1">
      <c r="C2374" s="16" t="str">
        <f>IFERROR(VLOOKUP(DATA!#REF!,DATA!#REF!,1,FALSE),"")</f>
        <v/>
      </c>
      <c r="D2374" s="16" t="str">
        <f>IFERROR(VLOOKUP(C2374,DATA!#REF!,2,FALSE),"")</f>
        <v/>
      </c>
    </row>
    <row r="2375" spans="3:4" s="230" customFormat="1">
      <c r="C2375" s="16" t="str">
        <f>IFERROR(VLOOKUP(DATA!#REF!,DATA!#REF!,1,FALSE),"")</f>
        <v/>
      </c>
      <c r="D2375" s="16" t="str">
        <f>IFERROR(VLOOKUP(C2375,DATA!#REF!,2,FALSE),"")</f>
        <v/>
      </c>
    </row>
    <row r="2376" spans="3:4" s="230" customFormat="1">
      <c r="C2376" s="16" t="str">
        <f>IFERROR(VLOOKUP(DATA!#REF!,DATA!#REF!,1,FALSE),"")</f>
        <v/>
      </c>
      <c r="D2376" s="16" t="str">
        <f>IFERROR(VLOOKUP(C2376,DATA!#REF!,2,FALSE),"")</f>
        <v/>
      </c>
    </row>
    <row r="2377" spans="3:4" s="230" customFormat="1">
      <c r="C2377" s="16" t="str">
        <f>IFERROR(VLOOKUP(DATA!#REF!,DATA!#REF!,1,FALSE),"")</f>
        <v/>
      </c>
      <c r="D2377" s="16" t="str">
        <f>IFERROR(VLOOKUP(C2377,DATA!#REF!,2,FALSE),"")</f>
        <v/>
      </c>
    </row>
    <row r="2378" spans="3:4" s="230" customFormat="1">
      <c r="C2378" s="16" t="str">
        <f>IFERROR(VLOOKUP(DATA!#REF!,DATA!#REF!,1,FALSE),"")</f>
        <v/>
      </c>
      <c r="D2378" s="16" t="str">
        <f>IFERROR(VLOOKUP(C2378,DATA!#REF!,2,FALSE),"")</f>
        <v/>
      </c>
    </row>
    <row r="2379" spans="3:4" s="230" customFormat="1">
      <c r="C2379" s="16" t="str">
        <f>IFERROR(VLOOKUP(DATA!#REF!,DATA!#REF!,1,FALSE),"")</f>
        <v/>
      </c>
      <c r="D2379" s="16" t="str">
        <f>IFERROR(VLOOKUP(C2379,DATA!#REF!,2,FALSE),"")</f>
        <v/>
      </c>
    </row>
    <row r="2380" spans="3:4" s="230" customFormat="1">
      <c r="C2380" s="16" t="str">
        <f>IFERROR(VLOOKUP(DATA!#REF!,DATA!#REF!,1,FALSE),"")</f>
        <v/>
      </c>
      <c r="D2380" s="16" t="str">
        <f>IFERROR(VLOOKUP(C2380,DATA!#REF!,2,FALSE),"")</f>
        <v/>
      </c>
    </row>
    <row r="2381" spans="3:4" s="230" customFormat="1">
      <c r="C2381" s="16" t="str">
        <f>IFERROR(VLOOKUP(DATA!#REF!,DATA!#REF!,1,FALSE),"")</f>
        <v/>
      </c>
      <c r="D2381" s="16" t="str">
        <f>IFERROR(VLOOKUP(C2381,DATA!#REF!,2,FALSE),"")</f>
        <v/>
      </c>
    </row>
    <row r="2382" spans="3:4" s="230" customFormat="1">
      <c r="C2382" s="16" t="str">
        <f>IFERROR(VLOOKUP(DATA!#REF!,DATA!#REF!,1,FALSE),"")</f>
        <v/>
      </c>
      <c r="D2382" s="16" t="str">
        <f>IFERROR(VLOOKUP(C2382,DATA!#REF!,2,FALSE),"")</f>
        <v/>
      </c>
    </row>
    <row r="2383" spans="3:4" s="230" customFormat="1">
      <c r="C2383" s="16" t="str">
        <f>IFERROR(VLOOKUP(DATA!#REF!,DATA!#REF!,1,FALSE),"")</f>
        <v/>
      </c>
      <c r="D2383" s="16" t="str">
        <f>IFERROR(VLOOKUP(C2383,DATA!#REF!,2,FALSE),"")</f>
        <v/>
      </c>
    </row>
    <row r="2384" spans="3:4" s="230" customFormat="1">
      <c r="C2384" s="16" t="str">
        <f>IFERROR(VLOOKUP(DATA!#REF!,DATA!#REF!,1,FALSE),"")</f>
        <v/>
      </c>
      <c r="D2384" s="16" t="str">
        <f>IFERROR(VLOOKUP(C2384,DATA!#REF!,2,FALSE),"")</f>
        <v/>
      </c>
    </row>
    <row r="2385" spans="3:4" s="230" customFormat="1">
      <c r="C2385" s="16" t="str">
        <f>IFERROR(VLOOKUP(DATA!#REF!,DATA!#REF!,1,FALSE),"")</f>
        <v/>
      </c>
      <c r="D2385" s="16" t="str">
        <f>IFERROR(VLOOKUP(C2385,DATA!#REF!,2,FALSE),"")</f>
        <v/>
      </c>
    </row>
    <row r="2386" spans="3:4" s="230" customFormat="1">
      <c r="C2386" s="16" t="str">
        <f>IFERROR(VLOOKUP(DATA!#REF!,DATA!#REF!,1,FALSE),"")</f>
        <v/>
      </c>
      <c r="D2386" s="16" t="str">
        <f>IFERROR(VLOOKUP(C2386,DATA!#REF!,2,FALSE),"")</f>
        <v/>
      </c>
    </row>
    <row r="2387" spans="3:4" s="230" customFormat="1">
      <c r="C2387" s="16" t="str">
        <f>IFERROR(VLOOKUP(DATA!#REF!,DATA!#REF!,1,FALSE),"")</f>
        <v/>
      </c>
      <c r="D2387" s="16" t="str">
        <f>IFERROR(VLOOKUP(C2387,DATA!#REF!,2,FALSE),"")</f>
        <v/>
      </c>
    </row>
    <row r="2388" spans="3:4" s="230" customFormat="1">
      <c r="C2388" s="16" t="str">
        <f>IFERROR(VLOOKUP(DATA!#REF!,DATA!#REF!,1,FALSE),"")</f>
        <v/>
      </c>
      <c r="D2388" s="16" t="str">
        <f>IFERROR(VLOOKUP(C2388,DATA!#REF!,2,FALSE),"")</f>
        <v/>
      </c>
    </row>
    <row r="2389" spans="3:4" s="230" customFormat="1">
      <c r="C2389" s="16" t="str">
        <f>IFERROR(VLOOKUP(DATA!#REF!,DATA!#REF!,1,FALSE),"")</f>
        <v/>
      </c>
      <c r="D2389" s="16" t="str">
        <f>IFERROR(VLOOKUP(C2389,DATA!#REF!,2,FALSE),"")</f>
        <v/>
      </c>
    </row>
    <row r="2390" spans="3:4" s="230" customFormat="1">
      <c r="C2390" s="16" t="str">
        <f>IFERROR(VLOOKUP(DATA!#REF!,DATA!#REF!,1,FALSE),"")</f>
        <v/>
      </c>
      <c r="D2390" s="16" t="str">
        <f>IFERROR(VLOOKUP(C2390,DATA!#REF!,2,FALSE),"")</f>
        <v/>
      </c>
    </row>
    <row r="2391" spans="3:4" s="230" customFormat="1">
      <c r="C2391" s="16" t="str">
        <f>IFERROR(VLOOKUP(DATA!#REF!,DATA!#REF!,1,FALSE),"")</f>
        <v/>
      </c>
      <c r="D2391" s="16" t="str">
        <f>IFERROR(VLOOKUP(C2391,DATA!#REF!,2,FALSE),"")</f>
        <v/>
      </c>
    </row>
    <row r="2392" spans="3:4" s="230" customFormat="1">
      <c r="C2392" s="16" t="str">
        <f>IFERROR(VLOOKUP(DATA!#REF!,DATA!#REF!,1,FALSE),"")</f>
        <v/>
      </c>
      <c r="D2392" s="16" t="str">
        <f>IFERROR(VLOOKUP(C2392,DATA!#REF!,2,FALSE),"")</f>
        <v/>
      </c>
    </row>
    <row r="2393" spans="3:4" s="230" customFormat="1">
      <c r="C2393" s="16" t="str">
        <f>IFERROR(VLOOKUP(DATA!#REF!,DATA!#REF!,1,FALSE),"")</f>
        <v/>
      </c>
      <c r="D2393" s="16" t="str">
        <f>IFERROR(VLOOKUP(C2393,DATA!#REF!,2,FALSE),"")</f>
        <v/>
      </c>
    </row>
    <row r="2394" spans="3:4" s="230" customFormat="1">
      <c r="C2394" s="16" t="str">
        <f>IFERROR(VLOOKUP(DATA!#REF!,DATA!#REF!,1,FALSE),"")</f>
        <v/>
      </c>
      <c r="D2394" s="16" t="str">
        <f>IFERROR(VLOOKUP(C2394,DATA!#REF!,2,FALSE),"")</f>
        <v/>
      </c>
    </row>
    <row r="2395" spans="3:4" s="230" customFormat="1">
      <c r="C2395" s="16" t="str">
        <f>IFERROR(VLOOKUP(DATA!#REF!,DATA!#REF!,1,FALSE),"")</f>
        <v/>
      </c>
      <c r="D2395" s="16" t="str">
        <f>IFERROR(VLOOKUP(C2395,DATA!#REF!,2,FALSE),"")</f>
        <v/>
      </c>
    </row>
    <row r="2396" spans="3:4" s="230" customFormat="1">
      <c r="C2396" s="16" t="str">
        <f>IFERROR(VLOOKUP(DATA!#REF!,DATA!#REF!,1,FALSE),"")</f>
        <v/>
      </c>
      <c r="D2396" s="16" t="str">
        <f>IFERROR(VLOOKUP(C2396,DATA!#REF!,2,FALSE),"")</f>
        <v/>
      </c>
    </row>
    <row r="2397" spans="3:4" s="230" customFormat="1">
      <c r="C2397" s="16" t="str">
        <f>IFERROR(VLOOKUP(DATA!#REF!,DATA!#REF!,1,FALSE),"")</f>
        <v/>
      </c>
      <c r="D2397" s="16" t="str">
        <f>IFERROR(VLOOKUP(C2397,DATA!#REF!,2,FALSE),"")</f>
        <v/>
      </c>
    </row>
    <row r="2398" spans="3:4" s="230" customFormat="1">
      <c r="C2398" s="16" t="str">
        <f>IFERROR(VLOOKUP(DATA!#REF!,DATA!#REF!,1,FALSE),"")</f>
        <v/>
      </c>
      <c r="D2398" s="16" t="str">
        <f>IFERROR(VLOOKUP(C2398,DATA!#REF!,2,FALSE),"")</f>
        <v/>
      </c>
    </row>
    <row r="2399" spans="3:4" s="230" customFormat="1">
      <c r="C2399" s="16" t="str">
        <f>IFERROR(VLOOKUP(DATA!#REF!,DATA!#REF!,1,FALSE),"")</f>
        <v/>
      </c>
      <c r="D2399" s="16" t="str">
        <f>IFERROR(VLOOKUP(C2399,DATA!#REF!,2,FALSE),"")</f>
        <v/>
      </c>
    </row>
    <row r="2400" spans="3:4" s="230" customFormat="1">
      <c r="C2400" s="16" t="str">
        <f>IFERROR(VLOOKUP(DATA!#REF!,DATA!#REF!,1,FALSE),"")</f>
        <v/>
      </c>
      <c r="D2400" s="16" t="str">
        <f>IFERROR(VLOOKUP(C2400,DATA!#REF!,2,FALSE),"")</f>
        <v/>
      </c>
    </row>
    <row r="2401" spans="3:4" s="230" customFormat="1">
      <c r="C2401" s="16" t="str">
        <f>IFERROR(VLOOKUP(DATA!#REF!,DATA!#REF!,1,FALSE),"")</f>
        <v/>
      </c>
      <c r="D2401" s="16" t="str">
        <f>IFERROR(VLOOKUP(C2401,DATA!#REF!,2,FALSE),"")</f>
        <v/>
      </c>
    </row>
    <row r="2402" spans="3:4" s="230" customFormat="1">
      <c r="C2402" s="16" t="str">
        <f>IFERROR(VLOOKUP(DATA!#REF!,DATA!#REF!,1,FALSE),"")</f>
        <v/>
      </c>
      <c r="D2402" s="16" t="str">
        <f>IFERROR(VLOOKUP(C2402,DATA!#REF!,2,FALSE),"")</f>
        <v/>
      </c>
    </row>
    <row r="2403" spans="3:4" s="230" customFormat="1">
      <c r="C2403" s="16" t="str">
        <f>IFERROR(VLOOKUP(DATA!#REF!,DATA!#REF!,1,FALSE),"")</f>
        <v/>
      </c>
      <c r="D2403" s="16" t="str">
        <f>IFERROR(VLOOKUP(C2403,DATA!#REF!,2,FALSE),"")</f>
        <v/>
      </c>
    </row>
    <row r="2404" spans="3:4" s="230" customFormat="1">
      <c r="C2404" s="16" t="str">
        <f>IFERROR(VLOOKUP(DATA!#REF!,DATA!#REF!,1,FALSE),"")</f>
        <v/>
      </c>
      <c r="D2404" s="16" t="str">
        <f>IFERROR(VLOOKUP(C2404,DATA!#REF!,2,FALSE),"")</f>
        <v/>
      </c>
    </row>
    <row r="2405" spans="3:4" s="230" customFormat="1">
      <c r="C2405" s="16" t="str">
        <f>IFERROR(VLOOKUP(DATA!#REF!,DATA!#REF!,1,FALSE),"")</f>
        <v/>
      </c>
      <c r="D2405" s="16" t="str">
        <f>IFERROR(VLOOKUP(C2405,DATA!#REF!,2,FALSE),"")</f>
        <v/>
      </c>
    </row>
    <row r="2406" spans="3:4" s="230" customFormat="1">
      <c r="C2406" s="16" t="str">
        <f>IFERROR(VLOOKUP(DATA!#REF!,DATA!#REF!,1,FALSE),"")</f>
        <v/>
      </c>
      <c r="D2406" s="16" t="str">
        <f>IFERROR(VLOOKUP(C2406,DATA!#REF!,2,FALSE),"")</f>
        <v/>
      </c>
    </row>
    <row r="2407" spans="3:4" s="230" customFormat="1">
      <c r="C2407" s="16" t="str">
        <f>IFERROR(VLOOKUP(DATA!#REF!,DATA!#REF!,1,FALSE),"")</f>
        <v/>
      </c>
      <c r="D2407" s="16" t="str">
        <f>IFERROR(VLOOKUP(C2407,DATA!#REF!,2,FALSE),"")</f>
        <v/>
      </c>
    </row>
    <row r="2408" spans="3:4" s="230" customFormat="1">
      <c r="C2408" s="16" t="str">
        <f>IFERROR(VLOOKUP(DATA!#REF!,DATA!#REF!,1,FALSE),"")</f>
        <v/>
      </c>
      <c r="D2408" s="16" t="str">
        <f>IFERROR(VLOOKUP(C2408,DATA!#REF!,2,FALSE),"")</f>
        <v/>
      </c>
    </row>
    <row r="2409" spans="3:4" s="230" customFormat="1">
      <c r="C2409" s="16" t="str">
        <f>IFERROR(VLOOKUP(DATA!#REF!,DATA!#REF!,1,FALSE),"")</f>
        <v/>
      </c>
      <c r="D2409" s="16" t="str">
        <f>IFERROR(VLOOKUP(C2409,DATA!#REF!,2,FALSE),"")</f>
        <v/>
      </c>
    </row>
    <row r="2410" spans="3:4" s="230" customFormat="1">
      <c r="C2410" s="16" t="str">
        <f>IFERROR(VLOOKUP(DATA!#REF!,DATA!#REF!,1,FALSE),"")</f>
        <v/>
      </c>
      <c r="D2410" s="16" t="str">
        <f>IFERROR(VLOOKUP(C2410,DATA!#REF!,2,FALSE),"")</f>
        <v/>
      </c>
    </row>
    <row r="2411" spans="3:4" s="230" customFormat="1">
      <c r="C2411" s="16" t="str">
        <f>IFERROR(VLOOKUP(DATA!#REF!,DATA!#REF!,1,FALSE),"")</f>
        <v/>
      </c>
      <c r="D2411" s="16" t="str">
        <f>IFERROR(VLOOKUP(C2411,DATA!#REF!,2,FALSE),"")</f>
        <v/>
      </c>
    </row>
    <row r="2412" spans="3:4" s="230" customFormat="1">
      <c r="C2412" s="16" t="str">
        <f>IFERROR(VLOOKUP(DATA!#REF!,DATA!#REF!,1,FALSE),"")</f>
        <v/>
      </c>
      <c r="D2412" s="16" t="str">
        <f>IFERROR(VLOOKUP(C2412,DATA!#REF!,2,FALSE),"")</f>
        <v/>
      </c>
    </row>
    <row r="2413" spans="3:4" s="230" customFormat="1">
      <c r="C2413" s="16" t="str">
        <f>IFERROR(VLOOKUP(DATA!#REF!,DATA!#REF!,1,FALSE),"")</f>
        <v/>
      </c>
      <c r="D2413" s="16" t="str">
        <f>IFERROR(VLOOKUP(C2413,DATA!#REF!,2,FALSE),"")</f>
        <v/>
      </c>
    </row>
    <row r="2414" spans="3:4" s="230" customFormat="1">
      <c r="C2414" s="16" t="str">
        <f>IFERROR(VLOOKUP(DATA!#REF!,DATA!#REF!,1,FALSE),"")</f>
        <v/>
      </c>
      <c r="D2414" s="16" t="str">
        <f>IFERROR(VLOOKUP(C2414,DATA!#REF!,2,FALSE),"")</f>
        <v/>
      </c>
    </row>
    <row r="2415" spans="3:4" s="230" customFormat="1">
      <c r="C2415" s="16" t="str">
        <f>IFERROR(VLOOKUP(DATA!#REF!,DATA!#REF!,1,FALSE),"")</f>
        <v/>
      </c>
      <c r="D2415" s="16" t="str">
        <f>IFERROR(VLOOKUP(C2415,DATA!#REF!,2,FALSE),"")</f>
        <v/>
      </c>
    </row>
    <row r="2416" spans="3:4" s="230" customFormat="1">
      <c r="C2416" s="16" t="str">
        <f>IFERROR(VLOOKUP(DATA!#REF!,DATA!#REF!,1,FALSE),"")</f>
        <v/>
      </c>
      <c r="D2416" s="16" t="str">
        <f>IFERROR(VLOOKUP(C2416,DATA!#REF!,2,FALSE),"")</f>
        <v/>
      </c>
    </row>
    <row r="2417" spans="3:4" s="230" customFormat="1">
      <c r="C2417" s="16" t="str">
        <f>IFERROR(VLOOKUP(DATA!#REF!,DATA!#REF!,1,FALSE),"")</f>
        <v/>
      </c>
      <c r="D2417" s="16" t="str">
        <f>IFERROR(VLOOKUP(C2417,DATA!#REF!,2,FALSE),"")</f>
        <v/>
      </c>
    </row>
    <row r="2418" spans="3:4" s="230" customFormat="1">
      <c r="C2418" s="16" t="str">
        <f>IFERROR(VLOOKUP(DATA!#REF!,DATA!#REF!,1,FALSE),"")</f>
        <v/>
      </c>
      <c r="D2418" s="16" t="str">
        <f>IFERROR(VLOOKUP(C2418,DATA!#REF!,2,FALSE),"")</f>
        <v/>
      </c>
    </row>
    <row r="2419" spans="3:4" s="230" customFormat="1">
      <c r="C2419" s="16" t="str">
        <f>IFERROR(VLOOKUP(DATA!#REF!,DATA!#REF!,1,FALSE),"")</f>
        <v/>
      </c>
      <c r="D2419" s="16" t="str">
        <f>IFERROR(VLOOKUP(C2419,DATA!#REF!,2,FALSE),"")</f>
        <v/>
      </c>
    </row>
    <row r="2420" spans="3:4" s="230" customFormat="1">
      <c r="C2420" s="16" t="str">
        <f>IFERROR(VLOOKUP(DATA!#REF!,DATA!#REF!,1,FALSE),"")</f>
        <v/>
      </c>
      <c r="D2420" s="16" t="str">
        <f>IFERROR(VLOOKUP(C2420,DATA!#REF!,2,FALSE),"")</f>
        <v/>
      </c>
    </row>
    <row r="2421" spans="3:4" s="230" customFormat="1">
      <c r="C2421" s="16" t="str">
        <f>IFERROR(VLOOKUP(DATA!#REF!,DATA!#REF!,1,FALSE),"")</f>
        <v/>
      </c>
      <c r="D2421" s="16" t="str">
        <f>IFERROR(VLOOKUP(C2421,DATA!#REF!,2,FALSE),"")</f>
        <v/>
      </c>
    </row>
    <row r="2422" spans="3:4" s="230" customFormat="1">
      <c r="C2422" s="16" t="str">
        <f>IFERROR(VLOOKUP(DATA!#REF!,DATA!#REF!,1,FALSE),"")</f>
        <v/>
      </c>
      <c r="D2422" s="16" t="str">
        <f>IFERROR(VLOOKUP(C2422,DATA!#REF!,2,FALSE),"")</f>
        <v/>
      </c>
    </row>
    <row r="2423" spans="3:4" s="230" customFormat="1">
      <c r="C2423" s="16" t="str">
        <f>IFERROR(VLOOKUP(DATA!#REF!,DATA!#REF!,1,FALSE),"")</f>
        <v/>
      </c>
      <c r="D2423" s="16" t="str">
        <f>IFERROR(VLOOKUP(C2423,DATA!#REF!,2,FALSE),"")</f>
        <v/>
      </c>
    </row>
    <row r="2424" spans="3:4" s="230" customFormat="1">
      <c r="C2424" s="16" t="str">
        <f>IFERROR(VLOOKUP(DATA!#REF!,DATA!#REF!,1,FALSE),"")</f>
        <v/>
      </c>
      <c r="D2424" s="16" t="str">
        <f>IFERROR(VLOOKUP(C2424,DATA!#REF!,2,FALSE),"")</f>
        <v/>
      </c>
    </row>
    <row r="2425" spans="3:4" s="230" customFormat="1">
      <c r="C2425" s="16" t="str">
        <f>IFERROR(VLOOKUP(DATA!#REF!,DATA!#REF!,1,FALSE),"")</f>
        <v/>
      </c>
      <c r="D2425" s="16" t="str">
        <f>IFERROR(VLOOKUP(C2425,DATA!#REF!,2,FALSE),"")</f>
        <v/>
      </c>
    </row>
    <row r="2426" spans="3:4" s="230" customFormat="1">
      <c r="C2426" s="16" t="str">
        <f>IFERROR(VLOOKUP(DATA!#REF!,DATA!#REF!,1,FALSE),"")</f>
        <v/>
      </c>
      <c r="D2426" s="16" t="str">
        <f>IFERROR(VLOOKUP(C2426,DATA!#REF!,2,FALSE),"")</f>
        <v/>
      </c>
    </row>
    <row r="2427" spans="3:4" s="230" customFormat="1">
      <c r="C2427" s="16" t="str">
        <f>IFERROR(VLOOKUP(DATA!#REF!,DATA!#REF!,1,FALSE),"")</f>
        <v/>
      </c>
      <c r="D2427" s="16" t="str">
        <f>IFERROR(VLOOKUP(C2427,DATA!#REF!,2,FALSE),"")</f>
        <v/>
      </c>
    </row>
    <row r="2428" spans="3:4" s="230" customFormat="1">
      <c r="C2428" s="16" t="str">
        <f>IFERROR(VLOOKUP(DATA!#REF!,DATA!#REF!,1,FALSE),"")</f>
        <v/>
      </c>
      <c r="D2428" s="16" t="str">
        <f>IFERROR(VLOOKUP(C2428,DATA!#REF!,2,FALSE),"")</f>
        <v/>
      </c>
    </row>
    <row r="2429" spans="3:4" s="230" customFormat="1">
      <c r="C2429" s="16" t="str">
        <f>IFERROR(VLOOKUP(DATA!#REF!,DATA!#REF!,1,FALSE),"")</f>
        <v/>
      </c>
      <c r="D2429" s="16" t="str">
        <f>IFERROR(VLOOKUP(C2429,DATA!#REF!,2,FALSE),"")</f>
        <v/>
      </c>
    </row>
    <row r="2430" spans="3:4" s="230" customFormat="1">
      <c r="C2430" s="16" t="str">
        <f>IFERROR(VLOOKUP(DATA!#REF!,DATA!#REF!,1,FALSE),"")</f>
        <v/>
      </c>
      <c r="D2430" s="16" t="str">
        <f>IFERROR(VLOOKUP(C2430,DATA!#REF!,2,FALSE),"")</f>
        <v/>
      </c>
    </row>
    <row r="2431" spans="3:4" s="230" customFormat="1">
      <c r="C2431" s="16" t="str">
        <f>IFERROR(VLOOKUP(DATA!#REF!,DATA!#REF!,1,FALSE),"")</f>
        <v/>
      </c>
      <c r="D2431" s="16" t="str">
        <f>IFERROR(VLOOKUP(C2431,DATA!#REF!,2,FALSE),"")</f>
        <v/>
      </c>
    </row>
    <row r="2432" spans="3:4" s="230" customFormat="1">
      <c r="C2432" s="16" t="str">
        <f>IFERROR(VLOOKUP(DATA!#REF!,DATA!#REF!,1,FALSE),"")</f>
        <v/>
      </c>
      <c r="D2432" s="16" t="str">
        <f>IFERROR(VLOOKUP(C2432,DATA!#REF!,2,FALSE),"")</f>
        <v/>
      </c>
    </row>
    <row r="2433" spans="3:4" s="230" customFormat="1">
      <c r="C2433" s="16" t="str">
        <f>IFERROR(VLOOKUP(DATA!#REF!,DATA!#REF!,1,FALSE),"")</f>
        <v/>
      </c>
      <c r="D2433" s="16" t="str">
        <f>IFERROR(VLOOKUP(C2433,DATA!#REF!,2,FALSE),"")</f>
        <v/>
      </c>
    </row>
    <row r="2434" spans="3:4" s="230" customFormat="1">
      <c r="C2434" s="16" t="str">
        <f>IFERROR(VLOOKUP(DATA!#REF!,DATA!#REF!,1,FALSE),"")</f>
        <v/>
      </c>
      <c r="D2434" s="16" t="str">
        <f>IFERROR(VLOOKUP(C2434,DATA!#REF!,2,FALSE),"")</f>
        <v/>
      </c>
    </row>
    <row r="2435" spans="3:4" s="230" customFormat="1">
      <c r="C2435" s="16" t="str">
        <f>IFERROR(VLOOKUP(DATA!#REF!,DATA!#REF!,1,FALSE),"")</f>
        <v/>
      </c>
      <c r="D2435" s="16" t="str">
        <f>IFERROR(VLOOKUP(C2435,DATA!#REF!,2,FALSE),"")</f>
        <v/>
      </c>
    </row>
    <row r="2436" spans="3:4" s="230" customFormat="1">
      <c r="C2436" s="16" t="str">
        <f>IFERROR(VLOOKUP(DATA!#REF!,DATA!#REF!,1,FALSE),"")</f>
        <v/>
      </c>
      <c r="D2436" s="16" t="str">
        <f>IFERROR(VLOOKUP(C2436,DATA!#REF!,2,FALSE),"")</f>
        <v/>
      </c>
    </row>
    <row r="2437" spans="3:4" s="230" customFormat="1">
      <c r="C2437" s="16" t="str">
        <f>IFERROR(VLOOKUP(DATA!#REF!,DATA!#REF!,1,FALSE),"")</f>
        <v/>
      </c>
      <c r="D2437" s="16" t="str">
        <f>IFERROR(VLOOKUP(C2437,DATA!#REF!,2,FALSE),"")</f>
        <v/>
      </c>
    </row>
    <row r="2438" spans="3:4" s="230" customFormat="1">
      <c r="C2438" s="16" t="str">
        <f>IFERROR(VLOOKUP(DATA!#REF!,DATA!#REF!,1,FALSE),"")</f>
        <v/>
      </c>
      <c r="D2438" s="16" t="str">
        <f>IFERROR(VLOOKUP(C2438,DATA!#REF!,2,FALSE),"")</f>
        <v/>
      </c>
    </row>
    <row r="2439" spans="3:4" s="230" customFormat="1">
      <c r="C2439" s="16" t="str">
        <f>IFERROR(VLOOKUP(DATA!#REF!,DATA!#REF!,1,FALSE),"")</f>
        <v/>
      </c>
      <c r="D2439" s="16" t="str">
        <f>IFERROR(VLOOKUP(C2439,DATA!#REF!,2,FALSE),"")</f>
        <v/>
      </c>
    </row>
    <row r="2440" spans="3:4" s="230" customFormat="1">
      <c r="C2440" s="16" t="str">
        <f>IFERROR(VLOOKUP(DATA!#REF!,DATA!#REF!,1,FALSE),"")</f>
        <v/>
      </c>
      <c r="D2440" s="16" t="str">
        <f>IFERROR(VLOOKUP(C2440,DATA!#REF!,2,FALSE),"")</f>
        <v/>
      </c>
    </row>
    <row r="2441" spans="3:4" s="230" customFormat="1">
      <c r="C2441" s="16" t="str">
        <f>IFERROR(VLOOKUP(DATA!#REF!,DATA!#REF!,1,FALSE),"")</f>
        <v/>
      </c>
      <c r="D2441" s="16" t="str">
        <f>IFERROR(VLOOKUP(C2441,DATA!#REF!,2,FALSE),"")</f>
        <v/>
      </c>
    </row>
    <row r="2442" spans="3:4" s="230" customFormat="1">
      <c r="C2442" s="16" t="str">
        <f>IFERROR(VLOOKUP(DATA!#REF!,DATA!#REF!,1,FALSE),"")</f>
        <v/>
      </c>
      <c r="D2442" s="16" t="str">
        <f>IFERROR(VLOOKUP(C2442,DATA!#REF!,2,FALSE),"")</f>
        <v/>
      </c>
    </row>
    <row r="2443" spans="3:4" s="230" customFormat="1">
      <c r="C2443" s="16" t="str">
        <f>IFERROR(VLOOKUP(DATA!#REF!,DATA!#REF!,1,FALSE),"")</f>
        <v/>
      </c>
      <c r="D2443" s="16" t="str">
        <f>IFERROR(VLOOKUP(C2443,DATA!#REF!,2,FALSE),"")</f>
        <v/>
      </c>
    </row>
    <row r="2444" spans="3:4" s="230" customFormat="1">
      <c r="C2444" s="16" t="str">
        <f>IFERROR(VLOOKUP(DATA!#REF!,DATA!#REF!,1,FALSE),"")</f>
        <v/>
      </c>
      <c r="D2444" s="16" t="str">
        <f>IFERROR(VLOOKUP(C2444,DATA!#REF!,2,FALSE),"")</f>
        <v/>
      </c>
    </row>
    <row r="2445" spans="3:4" s="230" customFormat="1">
      <c r="C2445" s="16" t="str">
        <f>IFERROR(VLOOKUP(DATA!#REF!,DATA!#REF!,1,FALSE),"")</f>
        <v/>
      </c>
      <c r="D2445" s="16" t="str">
        <f>IFERROR(VLOOKUP(C2445,DATA!#REF!,2,FALSE),"")</f>
        <v/>
      </c>
    </row>
    <row r="2446" spans="3:4" s="230" customFormat="1">
      <c r="C2446" s="16" t="str">
        <f>IFERROR(VLOOKUP(DATA!#REF!,DATA!#REF!,1,FALSE),"")</f>
        <v/>
      </c>
      <c r="D2446" s="16" t="str">
        <f>IFERROR(VLOOKUP(C2446,DATA!#REF!,2,FALSE),"")</f>
        <v/>
      </c>
    </row>
    <row r="2447" spans="3:4" s="230" customFormat="1">
      <c r="C2447" s="16" t="str">
        <f>IFERROR(VLOOKUP(DATA!#REF!,DATA!#REF!,1,FALSE),"")</f>
        <v/>
      </c>
      <c r="D2447" s="16" t="str">
        <f>IFERROR(VLOOKUP(C2447,DATA!#REF!,2,FALSE),"")</f>
        <v/>
      </c>
    </row>
    <row r="2448" spans="3:4" s="230" customFormat="1">
      <c r="C2448" s="16" t="str">
        <f>IFERROR(VLOOKUP(DATA!#REF!,DATA!#REF!,1,FALSE),"")</f>
        <v/>
      </c>
      <c r="D2448" s="16" t="str">
        <f>IFERROR(VLOOKUP(C2448,DATA!#REF!,2,FALSE),"")</f>
        <v/>
      </c>
    </row>
    <row r="2449" spans="3:4" s="230" customFormat="1">
      <c r="C2449" s="16" t="str">
        <f>IFERROR(VLOOKUP(DATA!#REF!,DATA!#REF!,1,FALSE),"")</f>
        <v/>
      </c>
      <c r="D2449" s="16" t="str">
        <f>IFERROR(VLOOKUP(C2449,DATA!#REF!,2,FALSE),"")</f>
        <v/>
      </c>
    </row>
    <row r="2450" spans="3:4" s="230" customFormat="1">
      <c r="C2450" s="16" t="str">
        <f>IFERROR(VLOOKUP(DATA!#REF!,DATA!#REF!,1,FALSE),"")</f>
        <v/>
      </c>
      <c r="D2450" s="16" t="str">
        <f>IFERROR(VLOOKUP(C2450,DATA!#REF!,2,FALSE),"")</f>
        <v/>
      </c>
    </row>
    <row r="2451" spans="3:4" s="230" customFormat="1">
      <c r="C2451" s="16" t="str">
        <f>IFERROR(VLOOKUP(DATA!#REF!,DATA!#REF!,1,FALSE),"")</f>
        <v/>
      </c>
      <c r="D2451" s="16" t="str">
        <f>IFERROR(VLOOKUP(C2451,DATA!#REF!,2,FALSE),"")</f>
        <v/>
      </c>
    </row>
    <row r="2452" spans="3:4" s="230" customFormat="1">
      <c r="C2452" s="16" t="str">
        <f>IFERROR(VLOOKUP(DATA!#REF!,DATA!#REF!,1,FALSE),"")</f>
        <v/>
      </c>
      <c r="D2452" s="16" t="str">
        <f>IFERROR(VLOOKUP(C2452,DATA!#REF!,2,FALSE),"")</f>
        <v/>
      </c>
    </row>
    <row r="2453" spans="3:4" s="230" customFormat="1">
      <c r="C2453" s="16" t="str">
        <f>IFERROR(VLOOKUP(DATA!#REF!,DATA!#REF!,1,FALSE),"")</f>
        <v/>
      </c>
      <c r="D2453" s="16" t="str">
        <f>IFERROR(VLOOKUP(C2453,DATA!#REF!,2,FALSE),"")</f>
        <v/>
      </c>
    </row>
    <row r="2454" spans="3:4" s="230" customFormat="1">
      <c r="C2454" s="16" t="str">
        <f>IFERROR(VLOOKUP(DATA!#REF!,DATA!#REF!,1,FALSE),"")</f>
        <v/>
      </c>
      <c r="D2454" s="16" t="str">
        <f>IFERROR(VLOOKUP(C2454,DATA!#REF!,2,FALSE),"")</f>
        <v/>
      </c>
    </row>
    <row r="2455" spans="3:4" s="230" customFormat="1">
      <c r="C2455" s="16" t="str">
        <f>IFERROR(VLOOKUP(DATA!#REF!,DATA!#REF!,1,FALSE),"")</f>
        <v/>
      </c>
      <c r="D2455" s="16" t="str">
        <f>IFERROR(VLOOKUP(C2455,DATA!#REF!,2,FALSE),"")</f>
        <v/>
      </c>
    </row>
    <row r="2456" spans="3:4" s="230" customFormat="1">
      <c r="C2456" s="16" t="str">
        <f>IFERROR(VLOOKUP(DATA!#REF!,DATA!#REF!,1,FALSE),"")</f>
        <v/>
      </c>
      <c r="D2456" s="16" t="str">
        <f>IFERROR(VLOOKUP(C2456,DATA!#REF!,2,FALSE),"")</f>
        <v/>
      </c>
    </row>
    <row r="2457" spans="3:4" s="230" customFormat="1">
      <c r="C2457" s="16" t="str">
        <f>IFERROR(VLOOKUP(DATA!#REF!,DATA!#REF!,1,FALSE),"")</f>
        <v/>
      </c>
      <c r="D2457" s="16" t="str">
        <f>IFERROR(VLOOKUP(C2457,DATA!#REF!,2,FALSE),"")</f>
        <v/>
      </c>
    </row>
    <row r="2458" spans="3:4" s="230" customFormat="1">
      <c r="C2458" s="16" t="str">
        <f>IFERROR(VLOOKUP(DATA!#REF!,DATA!#REF!,1,FALSE),"")</f>
        <v/>
      </c>
      <c r="D2458" s="16" t="str">
        <f>IFERROR(VLOOKUP(C2458,DATA!#REF!,2,FALSE),"")</f>
        <v/>
      </c>
    </row>
    <row r="2459" spans="3:4" s="230" customFormat="1">
      <c r="C2459" s="16" t="str">
        <f>IFERROR(VLOOKUP(DATA!#REF!,DATA!#REF!,1,FALSE),"")</f>
        <v/>
      </c>
      <c r="D2459" s="16" t="str">
        <f>IFERROR(VLOOKUP(C2459,DATA!#REF!,2,FALSE),"")</f>
        <v/>
      </c>
    </row>
    <row r="2460" spans="3:4" s="230" customFormat="1">
      <c r="C2460" s="16" t="str">
        <f>IFERROR(VLOOKUP(DATA!#REF!,DATA!#REF!,1,FALSE),"")</f>
        <v/>
      </c>
      <c r="D2460" s="16" t="str">
        <f>IFERROR(VLOOKUP(C2460,DATA!#REF!,2,FALSE),"")</f>
        <v/>
      </c>
    </row>
    <row r="2461" spans="3:4" s="230" customFormat="1">
      <c r="C2461" s="16" t="str">
        <f>IFERROR(VLOOKUP(DATA!#REF!,DATA!#REF!,1,FALSE),"")</f>
        <v/>
      </c>
      <c r="D2461" s="16" t="str">
        <f>IFERROR(VLOOKUP(C2461,DATA!#REF!,2,FALSE),"")</f>
        <v/>
      </c>
    </row>
    <row r="2462" spans="3:4" s="230" customFormat="1">
      <c r="C2462" s="16" t="str">
        <f>IFERROR(VLOOKUP(DATA!#REF!,DATA!#REF!,1,FALSE),"")</f>
        <v/>
      </c>
      <c r="D2462" s="16" t="str">
        <f>IFERROR(VLOOKUP(C2462,DATA!#REF!,2,FALSE),"")</f>
        <v/>
      </c>
    </row>
    <row r="2463" spans="3:4" s="230" customFormat="1">
      <c r="C2463" s="16" t="str">
        <f>IFERROR(VLOOKUP(DATA!#REF!,DATA!#REF!,1,FALSE),"")</f>
        <v/>
      </c>
      <c r="D2463" s="16" t="str">
        <f>IFERROR(VLOOKUP(C2463,DATA!#REF!,2,FALSE),"")</f>
        <v/>
      </c>
    </row>
    <row r="2464" spans="3:4" s="230" customFormat="1">
      <c r="C2464" s="16" t="str">
        <f>IFERROR(VLOOKUP(DATA!#REF!,DATA!#REF!,1,FALSE),"")</f>
        <v/>
      </c>
      <c r="D2464" s="16" t="str">
        <f>IFERROR(VLOOKUP(C2464,DATA!#REF!,2,FALSE),"")</f>
        <v/>
      </c>
    </row>
    <row r="2465" spans="3:4" s="230" customFormat="1">
      <c r="C2465" s="16" t="str">
        <f>IFERROR(VLOOKUP(DATA!#REF!,DATA!#REF!,1,FALSE),"")</f>
        <v/>
      </c>
      <c r="D2465" s="16" t="str">
        <f>IFERROR(VLOOKUP(C2465,DATA!#REF!,2,FALSE),"")</f>
        <v/>
      </c>
    </row>
    <row r="2466" spans="3:4" s="230" customFormat="1">
      <c r="C2466" s="16" t="str">
        <f>IFERROR(VLOOKUP(DATA!#REF!,DATA!#REF!,1,FALSE),"")</f>
        <v/>
      </c>
      <c r="D2466" s="16" t="str">
        <f>IFERROR(VLOOKUP(C2466,DATA!#REF!,2,FALSE),"")</f>
        <v/>
      </c>
    </row>
    <row r="2467" spans="3:4" s="230" customFormat="1">
      <c r="C2467" s="16" t="str">
        <f>IFERROR(VLOOKUP(DATA!#REF!,DATA!#REF!,1,FALSE),"")</f>
        <v/>
      </c>
      <c r="D2467" s="16" t="str">
        <f>IFERROR(VLOOKUP(C2467,DATA!#REF!,2,FALSE),"")</f>
        <v/>
      </c>
    </row>
    <row r="2468" spans="3:4" s="230" customFormat="1">
      <c r="C2468" s="16" t="str">
        <f>IFERROR(VLOOKUP(DATA!#REF!,DATA!#REF!,1,FALSE),"")</f>
        <v/>
      </c>
      <c r="D2468" s="16" t="str">
        <f>IFERROR(VLOOKUP(C2468,DATA!#REF!,2,FALSE),"")</f>
        <v/>
      </c>
    </row>
    <row r="2469" spans="3:4" s="230" customFormat="1">
      <c r="C2469" s="16" t="str">
        <f>IFERROR(VLOOKUP(DATA!#REF!,DATA!#REF!,1,FALSE),"")</f>
        <v/>
      </c>
      <c r="D2469" s="16" t="str">
        <f>IFERROR(VLOOKUP(C2469,DATA!#REF!,2,FALSE),"")</f>
        <v/>
      </c>
    </row>
    <row r="2470" spans="3:4" s="230" customFormat="1">
      <c r="C2470" s="16" t="str">
        <f>IFERROR(VLOOKUP(DATA!#REF!,DATA!#REF!,1,FALSE),"")</f>
        <v/>
      </c>
      <c r="D2470" s="16" t="str">
        <f>IFERROR(VLOOKUP(C2470,DATA!#REF!,2,FALSE),"")</f>
        <v/>
      </c>
    </row>
    <row r="2471" spans="3:4" s="230" customFormat="1">
      <c r="C2471" s="16" t="str">
        <f>IFERROR(VLOOKUP(DATA!#REF!,DATA!#REF!,1,FALSE),"")</f>
        <v/>
      </c>
      <c r="D2471" s="16" t="str">
        <f>IFERROR(VLOOKUP(C2471,DATA!#REF!,2,FALSE),"")</f>
        <v/>
      </c>
    </row>
    <row r="2472" spans="3:4" s="230" customFormat="1">
      <c r="C2472" s="16" t="str">
        <f>IFERROR(VLOOKUP(DATA!#REF!,DATA!#REF!,1,FALSE),"")</f>
        <v/>
      </c>
      <c r="D2472" s="16" t="str">
        <f>IFERROR(VLOOKUP(C2472,DATA!#REF!,2,FALSE),"")</f>
        <v/>
      </c>
    </row>
    <row r="2473" spans="3:4" s="230" customFormat="1">
      <c r="C2473" s="16" t="str">
        <f>IFERROR(VLOOKUP(DATA!#REF!,DATA!#REF!,1,FALSE),"")</f>
        <v/>
      </c>
      <c r="D2473" s="16" t="str">
        <f>IFERROR(VLOOKUP(C2473,DATA!#REF!,2,FALSE),"")</f>
        <v/>
      </c>
    </row>
    <row r="2474" spans="3:4" s="230" customFormat="1">
      <c r="C2474" s="16" t="str">
        <f>IFERROR(VLOOKUP(DATA!#REF!,DATA!#REF!,1,FALSE),"")</f>
        <v/>
      </c>
      <c r="D2474" s="16" t="str">
        <f>IFERROR(VLOOKUP(C2474,DATA!#REF!,2,FALSE),"")</f>
        <v/>
      </c>
    </row>
    <row r="2475" spans="3:4" s="230" customFormat="1">
      <c r="C2475" s="16" t="str">
        <f>IFERROR(VLOOKUP(DATA!#REF!,DATA!#REF!,1,FALSE),"")</f>
        <v/>
      </c>
      <c r="D2475" s="16" t="str">
        <f>IFERROR(VLOOKUP(C2475,DATA!#REF!,2,FALSE),"")</f>
        <v/>
      </c>
    </row>
    <row r="2476" spans="3:4" s="230" customFormat="1">
      <c r="C2476" s="16" t="str">
        <f>IFERROR(VLOOKUP(DATA!#REF!,DATA!#REF!,1,FALSE),"")</f>
        <v/>
      </c>
      <c r="D2476" s="16" t="str">
        <f>IFERROR(VLOOKUP(C2476,DATA!#REF!,2,FALSE),"")</f>
        <v/>
      </c>
    </row>
    <row r="2477" spans="3:4" s="230" customFormat="1">
      <c r="C2477" s="16" t="str">
        <f>IFERROR(VLOOKUP(DATA!#REF!,DATA!#REF!,1,FALSE),"")</f>
        <v/>
      </c>
      <c r="D2477" s="16" t="str">
        <f>IFERROR(VLOOKUP(C2477,DATA!#REF!,2,FALSE),"")</f>
        <v/>
      </c>
    </row>
    <row r="2478" spans="3:4" s="230" customFormat="1">
      <c r="C2478" s="16" t="str">
        <f>IFERROR(VLOOKUP(DATA!#REF!,DATA!#REF!,1,FALSE),"")</f>
        <v/>
      </c>
      <c r="D2478" s="16" t="str">
        <f>IFERROR(VLOOKUP(C2478,DATA!#REF!,2,FALSE),"")</f>
        <v/>
      </c>
    </row>
    <row r="2479" spans="3:4" s="230" customFormat="1">
      <c r="C2479" s="16" t="str">
        <f>IFERROR(VLOOKUP(DATA!#REF!,DATA!#REF!,1,FALSE),"")</f>
        <v/>
      </c>
      <c r="D2479" s="16" t="str">
        <f>IFERROR(VLOOKUP(C2479,DATA!#REF!,2,FALSE),"")</f>
        <v/>
      </c>
    </row>
    <row r="2480" spans="3:4" s="230" customFormat="1">
      <c r="C2480" s="16" t="str">
        <f>IFERROR(VLOOKUP(DATA!#REF!,DATA!#REF!,1,FALSE),"")</f>
        <v/>
      </c>
      <c r="D2480" s="16" t="str">
        <f>IFERROR(VLOOKUP(C2480,DATA!#REF!,2,FALSE),"")</f>
        <v/>
      </c>
    </row>
    <row r="2481" spans="3:4" s="230" customFormat="1">
      <c r="C2481" s="16" t="str">
        <f>IFERROR(VLOOKUP(DATA!#REF!,DATA!#REF!,1,FALSE),"")</f>
        <v/>
      </c>
      <c r="D2481" s="16" t="str">
        <f>IFERROR(VLOOKUP(C2481,DATA!#REF!,2,FALSE),"")</f>
        <v/>
      </c>
    </row>
    <row r="2482" spans="3:4" s="230" customFormat="1">
      <c r="C2482" s="16" t="str">
        <f>IFERROR(VLOOKUP(DATA!#REF!,DATA!#REF!,1,FALSE),"")</f>
        <v/>
      </c>
      <c r="D2482" s="16" t="str">
        <f>IFERROR(VLOOKUP(C2482,DATA!#REF!,2,FALSE),"")</f>
        <v/>
      </c>
    </row>
    <row r="2483" spans="3:4" s="230" customFormat="1">
      <c r="C2483" s="16" t="str">
        <f>IFERROR(VLOOKUP(DATA!#REF!,DATA!#REF!,1,FALSE),"")</f>
        <v/>
      </c>
      <c r="D2483" s="16" t="str">
        <f>IFERROR(VLOOKUP(C2483,DATA!#REF!,2,FALSE),"")</f>
        <v/>
      </c>
    </row>
    <row r="2484" spans="3:4" s="230" customFormat="1">
      <c r="C2484" s="16" t="str">
        <f>IFERROR(VLOOKUP(DATA!#REF!,DATA!#REF!,1,FALSE),"")</f>
        <v/>
      </c>
      <c r="D2484" s="16" t="str">
        <f>IFERROR(VLOOKUP(C2484,DATA!#REF!,2,FALSE),"")</f>
        <v/>
      </c>
    </row>
    <row r="2485" spans="3:4" s="230" customFormat="1">
      <c r="C2485" s="16" t="str">
        <f>IFERROR(VLOOKUP(DATA!#REF!,DATA!#REF!,1,FALSE),"")</f>
        <v/>
      </c>
      <c r="D2485" s="16" t="str">
        <f>IFERROR(VLOOKUP(C2485,DATA!#REF!,2,FALSE),"")</f>
        <v/>
      </c>
    </row>
    <row r="2486" spans="3:4" s="230" customFormat="1">
      <c r="C2486" s="16" t="str">
        <f>IFERROR(VLOOKUP(DATA!#REF!,DATA!#REF!,1,FALSE),"")</f>
        <v/>
      </c>
      <c r="D2486" s="16" t="str">
        <f>IFERROR(VLOOKUP(C2486,DATA!#REF!,2,FALSE),"")</f>
        <v/>
      </c>
    </row>
    <row r="2487" spans="3:4" s="230" customFormat="1">
      <c r="C2487" s="16" t="str">
        <f>IFERROR(VLOOKUP(DATA!#REF!,DATA!#REF!,1,FALSE),"")</f>
        <v/>
      </c>
      <c r="D2487" s="16" t="str">
        <f>IFERROR(VLOOKUP(C2487,DATA!#REF!,2,FALSE),"")</f>
        <v/>
      </c>
    </row>
    <row r="2488" spans="3:4" s="230" customFormat="1">
      <c r="C2488" s="16" t="str">
        <f>IFERROR(VLOOKUP(DATA!#REF!,DATA!#REF!,1,FALSE),"")</f>
        <v/>
      </c>
      <c r="D2488" s="16" t="str">
        <f>IFERROR(VLOOKUP(C2488,DATA!#REF!,2,FALSE),"")</f>
        <v/>
      </c>
    </row>
    <row r="2489" spans="3:4" s="230" customFormat="1">
      <c r="C2489" s="16" t="str">
        <f>IFERROR(VLOOKUP(DATA!#REF!,DATA!#REF!,1,FALSE),"")</f>
        <v/>
      </c>
      <c r="D2489" s="16" t="str">
        <f>IFERROR(VLOOKUP(C2489,DATA!#REF!,2,FALSE),"")</f>
        <v/>
      </c>
    </row>
    <row r="2490" spans="3:4" s="230" customFormat="1">
      <c r="C2490" s="16" t="str">
        <f>IFERROR(VLOOKUP(DATA!#REF!,DATA!#REF!,1,FALSE),"")</f>
        <v/>
      </c>
      <c r="D2490" s="16" t="str">
        <f>IFERROR(VLOOKUP(C2490,DATA!#REF!,2,FALSE),"")</f>
        <v/>
      </c>
    </row>
    <row r="2491" spans="3:4" s="230" customFormat="1">
      <c r="C2491" s="16" t="str">
        <f>IFERROR(VLOOKUP(DATA!#REF!,DATA!#REF!,1,FALSE),"")</f>
        <v/>
      </c>
      <c r="D2491" s="16" t="str">
        <f>IFERROR(VLOOKUP(C2491,DATA!#REF!,2,FALSE),"")</f>
        <v/>
      </c>
    </row>
    <row r="2492" spans="3:4" s="230" customFormat="1">
      <c r="C2492" s="16" t="str">
        <f>IFERROR(VLOOKUP(DATA!#REF!,DATA!#REF!,1,FALSE),"")</f>
        <v/>
      </c>
      <c r="D2492" s="16" t="str">
        <f>IFERROR(VLOOKUP(C2492,DATA!#REF!,2,FALSE),"")</f>
        <v/>
      </c>
    </row>
    <row r="2493" spans="3:4" s="230" customFormat="1">
      <c r="C2493" s="16" t="str">
        <f>IFERROR(VLOOKUP(DATA!#REF!,DATA!#REF!,1,FALSE),"")</f>
        <v/>
      </c>
      <c r="D2493" s="16" t="str">
        <f>IFERROR(VLOOKUP(C2493,DATA!#REF!,2,FALSE),"")</f>
        <v/>
      </c>
    </row>
    <row r="2494" spans="3:4" s="230" customFormat="1">
      <c r="C2494" s="16" t="str">
        <f>IFERROR(VLOOKUP(DATA!#REF!,DATA!#REF!,1,FALSE),"")</f>
        <v/>
      </c>
      <c r="D2494" s="16" t="str">
        <f>IFERROR(VLOOKUP(C2494,DATA!#REF!,2,FALSE),"")</f>
        <v/>
      </c>
    </row>
    <row r="2495" spans="3:4" s="230" customFormat="1">
      <c r="C2495" s="16" t="str">
        <f>IFERROR(VLOOKUP(DATA!#REF!,DATA!#REF!,1,FALSE),"")</f>
        <v/>
      </c>
      <c r="D2495" s="16" t="str">
        <f>IFERROR(VLOOKUP(C2495,DATA!#REF!,2,FALSE),"")</f>
        <v/>
      </c>
    </row>
    <row r="2496" spans="3:4" s="230" customFormat="1">
      <c r="C2496" s="16" t="str">
        <f>IFERROR(VLOOKUP(DATA!#REF!,DATA!#REF!,1,FALSE),"")</f>
        <v/>
      </c>
      <c r="D2496" s="16" t="str">
        <f>IFERROR(VLOOKUP(C2496,DATA!#REF!,2,FALSE),"")</f>
        <v/>
      </c>
    </row>
    <row r="2497" spans="3:4" s="230" customFormat="1">
      <c r="C2497" s="16" t="str">
        <f>IFERROR(VLOOKUP(DATA!#REF!,DATA!#REF!,1,FALSE),"")</f>
        <v/>
      </c>
      <c r="D2497" s="16" t="str">
        <f>IFERROR(VLOOKUP(C2497,DATA!#REF!,2,FALSE),"")</f>
        <v/>
      </c>
    </row>
    <row r="2498" spans="3:4" s="230" customFormat="1">
      <c r="C2498" s="16" t="str">
        <f>IFERROR(VLOOKUP(DATA!#REF!,DATA!#REF!,1,FALSE),"")</f>
        <v/>
      </c>
      <c r="D2498" s="16" t="str">
        <f>IFERROR(VLOOKUP(C2498,DATA!#REF!,2,FALSE),"")</f>
        <v/>
      </c>
    </row>
    <row r="2499" spans="3:4" s="230" customFormat="1">
      <c r="C2499" s="16" t="str">
        <f>IFERROR(VLOOKUP(DATA!#REF!,DATA!#REF!,1,FALSE),"")</f>
        <v/>
      </c>
      <c r="D2499" s="16" t="str">
        <f>IFERROR(VLOOKUP(C2499,DATA!#REF!,2,FALSE),"")</f>
        <v/>
      </c>
    </row>
    <row r="2500" spans="3:4" s="230" customFormat="1">
      <c r="C2500" s="16" t="str">
        <f>IFERROR(VLOOKUP(DATA!#REF!,DATA!#REF!,1,FALSE),"")</f>
        <v/>
      </c>
      <c r="D2500" s="16" t="str">
        <f>IFERROR(VLOOKUP(C2500,DATA!#REF!,2,FALSE),"")</f>
        <v/>
      </c>
    </row>
    <row r="2501" spans="3:4" s="230" customFormat="1">
      <c r="C2501" s="16" t="str">
        <f>IFERROR(VLOOKUP(DATA!#REF!,DATA!#REF!,1,FALSE),"")</f>
        <v/>
      </c>
      <c r="D2501" s="16" t="str">
        <f>IFERROR(VLOOKUP(C2501,DATA!#REF!,2,FALSE),"")</f>
        <v/>
      </c>
    </row>
    <row r="2502" spans="3:4" s="230" customFormat="1">
      <c r="C2502" s="16" t="str">
        <f>IFERROR(VLOOKUP(DATA!#REF!,DATA!#REF!,1,FALSE),"")</f>
        <v/>
      </c>
      <c r="D2502" s="16" t="str">
        <f>IFERROR(VLOOKUP(C2502,DATA!#REF!,2,FALSE),"")</f>
        <v/>
      </c>
    </row>
    <row r="2503" spans="3:4" s="230" customFormat="1">
      <c r="C2503" s="16" t="str">
        <f>IFERROR(VLOOKUP(DATA!#REF!,DATA!#REF!,1,FALSE),"")</f>
        <v/>
      </c>
      <c r="D2503" s="16" t="str">
        <f>IFERROR(VLOOKUP(C2503,DATA!#REF!,2,FALSE),"")</f>
        <v/>
      </c>
    </row>
    <row r="2504" spans="3:4" s="230" customFormat="1">
      <c r="C2504" s="16" t="str">
        <f>IFERROR(VLOOKUP(DATA!#REF!,DATA!#REF!,1,FALSE),"")</f>
        <v/>
      </c>
      <c r="D2504" s="16" t="str">
        <f>IFERROR(VLOOKUP(C2504,DATA!#REF!,2,FALSE),"")</f>
        <v/>
      </c>
    </row>
    <row r="2505" spans="3:4" s="230" customFormat="1">
      <c r="C2505" s="16" t="str">
        <f>IFERROR(VLOOKUP(DATA!#REF!,DATA!#REF!,1,FALSE),"")</f>
        <v/>
      </c>
      <c r="D2505" s="16" t="str">
        <f>IFERROR(VLOOKUP(C2505,DATA!#REF!,2,FALSE),"")</f>
        <v/>
      </c>
    </row>
    <row r="2506" spans="3:4" s="230" customFormat="1">
      <c r="C2506" s="16" t="str">
        <f>IFERROR(VLOOKUP(DATA!#REF!,DATA!#REF!,1,FALSE),"")</f>
        <v/>
      </c>
      <c r="D2506" s="16" t="str">
        <f>IFERROR(VLOOKUP(C2506,DATA!#REF!,2,FALSE),"")</f>
        <v/>
      </c>
    </row>
    <row r="2507" spans="3:4" s="230" customFormat="1">
      <c r="C2507" s="16" t="str">
        <f>IFERROR(VLOOKUP(DATA!#REF!,DATA!#REF!,1,FALSE),"")</f>
        <v/>
      </c>
      <c r="D2507" s="16" t="str">
        <f>IFERROR(VLOOKUP(C2507,DATA!#REF!,2,FALSE),"")</f>
        <v/>
      </c>
    </row>
    <row r="2508" spans="3:4" s="230" customFormat="1">
      <c r="C2508" s="16" t="str">
        <f>IFERROR(VLOOKUP(DATA!#REF!,DATA!#REF!,1,FALSE),"")</f>
        <v/>
      </c>
      <c r="D2508" s="16" t="str">
        <f>IFERROR(VLOOKUP(C2508,DATA!#REF!,2,FALSE),"")</f>
        <v/>
      </c>
    </row>
    <row r="2509" spans="3:4" s="230" customFormat="1">
      <c r="C2509" s="16" t="str">
        <f>IFERROR(VLOOKUP(DATA!#REF!,DATA!#REF!,1,FALSE),"")</f>
        <v/>
      </c>
      <c r="D2509" s="16" t="str">
        <f>IFERROR(VLOOKUP(C2509,DATA!#REF!,2,FALSE),"")</f>
        <v/>
      </c>
    </row>
    <row r="2510" spans="3:4" s="230" customFormat="1">
      <c r="C2510" s="16" t="str">
        <f>IFERROR(VLOOKUP(DATA!#REF!,DATA!#REF!,1,FALSE),"")</f>
        <v/>
      </c>
      <c r="D2510" s="16" t="str">
        <f>IFERROR(VLOOKUP(C2510,DATA!#REF!,2,FALSE),"")</f>
        <v/>
      </c>
    </row>
    <row r="2511" spans="3:4" s="230" customFormat="1">
      <c r="C2511" s="16" t="str">
        <f>IFERROR(VLOOKUP(DATA!#REF!,DATA!#REF!,1,FALSE),"")</f>
        <v/>
      </c>
      <c r="D2511" s="16" t="str">
        <f>IFERROR(VLOOKUP(C2511,DATA!#REF!,2,FALSE),"")</f>
        <v/>
      </c>
    </row>
    <row r="2512" spans="3:4" s="230" customFormat="1">
      <c r="C2512" s="16" t="str">
        <f>IFERROR(VLOOKUP(DATA!#REF!,DATA!#REF!,1,FALSE),"")</f>
        <v/>
      </c>
      <c r="D2512" s="16" t="str">
        <f>IFERROR(VLOOKUP(C2512,DATA!#REF!,2,FALSE),"")</f>
        <v/>
      </c>
    </row>
    <row r="2513" spans="3:4" s="230" customFormat="1">
      <c r="C2513" s="16" t="str">
        <f>IFERROR(VLOOKUP(DATA!#REF!,DATA!#REF!,1,FALSE),"")</f>
        <v/>
      </c>
      <c r="D2513" s="16" t="str">
        <f>IFERROR(VLOOKUP(C2513,DATA!#REF!,2,FALSE),"")</f>
        <v/>
      </c>
    </row>
    <row r="2514" spans="3:4" s="230" customFormat="1">
      <c r="C2514" s="16" t="str">
        <f>IFERROR(VLOOKUP(DATA!#REF!,DATA!#REF!,1,FALSE),"")</f>
        <v/>
      </c>
      <c r="D2514" s="16" t="str">
        <f>IFERROR(VLOOKUP(C2514,DATA!#REF!,2,FALSE),"")</f>
        <v/>
      </c>
    </row>
    <row r="2515" spans="3:4" s="230" customFormat="1">
      <c r="C2515" s="16" t="str">
        <f>IFERROR(VLOOKUP(DATA!#REF!,DATA!#REF!,1,FALSE),"")</f>
        <v/>
      </c>
      <c r="D2515" s="16" t="str">
        <f>IFERROR(VLOOKUP(C2515,DATA!#REF!,2,FALSE),"")</f>
        <v/>
      </c>
    </row>
    <row r="2516" spans="3:4" s="230" customFormat="1">
      <c r="C2516" s="16" t="str">
        <f>IFERROR(VLOOKUP(DATA!#REF!,DATA!#REF!,1,FALSE),"")</f>
        <v/>
      </c>
      <c r="D2516" s="16" t="str">
        <f>IFERROR(VLOOKUP(C2516,DATA!#REF!,2,FALSE),"")</f>
        <v/>
      </c>
    </row>
    <row r="2517" spans="3:4" s="230" customFormat="1">
      <c r="C2517" s="16" t="str">
        <f>IFERROR(VLOOKUP(DATA!#REF!,DATA!#REF!,1,FALSE),"")</f>
        <v/>
      </c>
      <c r="D2517" s="16" t="str">
        <f>IFERROR(VLOOKUP(C2517,DATA!#REF!,2,FALSE),"")</f>
        <v/>
      </c>
    </row>
    <row r="2518" spans="3:4" s="230" customFormat="1">
      <c r="C2518" s="16" t="str">
        <f>IFERROR(VLOOKUP(DATA!#REF!,DATA!#REF!,1,FALSE),"")</f>
        <v/>
      </c>
      <c r="D2518" s="16" t="str">
        <f>IFERROR(VLOOKUP(C2518,DATA!#REF!,2,FALSE),"")</f>
        <v/>
      </c>
    </row>
    <row r="2519" spans="3:4" s="230" customFormat="1">
      <c r="C2519" s="16" t="str">
        <f>IFERROR(VLOOKUP(DATA!#REF!,DATA!#REF!,1,FALSE),"")</f>
        <v/>
      </c>
      <c r="D2519" s="16" t="str">
        <f>IFERROR(VLOOKUP(C2519,DATA!#REF!,2,FALSE),"")</f>
        <v/>
      </c>
    </row>
    <row r="2520" spans="3:4" s="230" customFormat="1">
      <c r="C2520" s="16" t="str">
        <f>IFERROR(VLOOKUP(DATA!#REF!,DATA!#REF!,1,FALSE),"")</f>
        <v/>
      </c>
      <c r="D2520" s="16" t="str">
        <f>IFERROR(VLOOKUP(C2520,DATA!#REF!,2,FALSE),"")</f>
        <v/>
      </c>
    </row>
    <row r="2521" spans="3:4" s="230" customFormat="1">
      <c r="C2521" s="16" t="str">
        <f>IFERROR(VLOOKUP(DATA!#REF!,DATA!#REF!,1,FALSE),"")</f>
        <v/>
      </c>
      <c r="D2521" s="16" t="str">
        <f>IFERROR(VLOOKUP(C2521,DATA!#REF!,2,FALSE),"")</f>
        <v/>
      </c>
    </row>
    <row r="2522" spans="3:4" s="230" customFormat="1">
      <c r="C2522" s="16" t="str">
        <f>IFERROR(VLOOKUP(DATA!#REF!,DATA!#REF!,1,FALSE),"")</f>
        <v/>
      </c>
      <c r="D2522" s="16" t="str">
        <f>IFERROR(VLOOKUP(C2522,DATA!#REF!,2,FALSE),"")</f>
        <v/>
      </c>
    </row>
    <row r="2523" spans="3:4" s="230" customFormat="1">
      <c r="C2523" s="16" t="str">
        <f>IFERROR(VLOOKUP(DATA!#REF!,DATA!#REF!,1,FALSE),"")</f>
        <v/>
      </c>
      <c r="D2523" s="16" t="str">
        <f>IFERROR(VLOOKUP(C2523,DATA!#REF!,2,FALSE),"")</f>
        <v/>
      </c>
    </row>
    <row r="2524" spans="3:4" s="230" customFormat="1">
      <c r="C2524" s="16" t="str">
        <f>IFERROR(VLOOKUP(DATA!#REF!,DATA!#REF!,1,FALSE),"")</f>
        <v/>
      </c>
      <c r="D2524" s="16" t="str">
        <f>IFERROR(VLOOKUP(C2524,DATA!#REF!,2,FALSE),"")</f>
        <v/>
      </c>
    </row>
    <row r="2525" spans="3:4" s="230" customFormat="1">
      <c r="C2525" s="16" t="str">
        <f>IFERROR(VLOOKUP(DATA!#REF!,DATA!#REF!,1,FALSE),"")</f>
        <v/>
      </c>
      <c r="D2525" s="16" t="str">
        <f>IFERROR(VLOOKUP(C2525,DATA!#REF!,2,FALSE),"")</f>
        <v/>
      </c>
    </row>
    <row r="2526" spans="3:4" s="230" customFormat="1">
      <c r="C2526" s="16" t="str">
        <f>IFERROR(VLOOKUP(DATA!#REF!,DATA!#REF!,1,FALSE),"")</f>
        <v/>
      </c>
      <c r="D2526" s="16" t="str">
        <f>IFERROR(VLOOKUP(C2526,DATA!#REF!,2,FALSE),"")</f>
        <v/>
      </c>
    </row>
    <row r="2527" spans="3:4" s="230" customFormat="1">
      <c r="C2527" s="16" t="str">
        <f>IFERROR(VLOOKUP(DATA!#REF!,DATA!#REF!,1,FALSE),"")</f>
        <v/>
      </c>
      <c r="D2527" s="16" t="str">
        <f>IFERROR(VLOOKUP(C2527,DATA!#REF!,2,FALSE),"")</f>
        <v/>
      </c>
    </row>
    <row r="2528" spans="3:4" s="230" customFormat="1">
      <c r="C2528" s="16" t="str">
        <f>IFERROR(VLOOKUP(DATA!#REF!,DATA!#REF!,1,FALSE),"")</f>
        <v/>
      </c>
      <c r="D2528" s="16" t="str">
        <f>IFERROR(VLOOKUP(C2528,DATA!#REF!,2,FALSE),"")</f>
        <v/>
      </c>
    </row>
    <row r="2529" spans="3:4" s="230" customFormat="1">
      <c r="C2529" s="16" t="str">
        <f>IFERROR(VLOOKUP(DATA!#REF!,DATA!#REF!,1,FALSE),"")</f>
        <v/>
      </c>
      <c r="D2529" s="16" t="str">
        <f>IFERROR(VLOOKUP(C2529,DATA!#REF!,2,FALSE),"")</f>
        <v/>
      </c>
    </row>
    <row r="2530" spans="3:4" s="230" customFormat="1">
      <c r="C2530" s="16" t="str">
        <f>IFERROR(VLOOKUP(DATA!#REF!,DATA!#REF!,1,FALSE),"")</f>
        <v/>
      </c>
      <c r="D2530" s="16" t="str">
        <f>IFERROR(VLOOKUP(C2530,DATA!#REF!,2,FALSE),"")</f>
        <v/>
      </c>
    </row>
    <row r="2531" spans="3:4" s="230" customFormat="1">
      <c r="C2531" s="16" t="str">
        <f>IFERROR(VLOOKUP(DATA!#REF!,DATA!#REF!,1,FALSE),"")</f>
        <v/>
      </c>
      <c r="D2531" s="16" t="str">
        <f>IFERROR(VLOOKUP(C2531,DATA!#REF!,2,FALSE),"")</f>
        <v/>
      </c>
    </row>
    <row r="2532" spans="3:4" s="230" customFormat="1">
      <c r="C2532" s="16" t="str">
        <f>IFERROR(VLOOKUP(DATA!#REF!,DATA!#REF!,1,FALSE),"")</f>
        <v/>
      </c>
      <c r="D2532" s="16" t="str">
        <f>IFERROR(VLOOKUP(C2532,DATA!#REF!,2,FALSE),"")</f>
        <v/>
      </c>
    </row>
    <row r="2533" spans="3:4" s="230" customFormat="1">
      <c r="C2533" s="16" t="str">
        <f>IFERROR(VLOOKUP(DATA!#REF!,DATA!#REF!,1,FALSE),"")</f>
        <v/>
      </c>
      <c r="D2533" s="16" t="str">
        <f>IFERROR(VLOOKUP(C2533,DATA!#REF!,2,FALSE),"")</f>
        <v/>
      </c>
    </row>
    <row r="2534" spans="3:4" s="230" customFormat="1">
      <c r="C2534" s="16" t="str">
        <f>IFERROR(VLOOKUP(DATA!#REF!,DATA!#REF!,1,FALSE),"")</f>
        <v/>
      </c>
      <c r="D2534" s="16" t="str">
        <f>IFERROR(VLOOKUP(C2534,DATA!#REF!,2,FALSE),"")</f>
        <v/>
      </c>
    </row>
    <row r="2535" spans="3:4" s="230" customFormat="1">
      <c r="C2535" s="16" t="str">
        <f>IFERROR(VLOOKUP(DATA!#REF!,DATA!#REF!,1,FALSE),"")</f>
        <v/>
      </c>
      <c r="D2535" s="16" t="str">
        <f>IFERROR(VLOOKUP(C2535,DATA!#REF!,2,FALSE),"")</f>
        <v/>
      </c>
    </row>
    <row r="2536" spans="3:4" s="230" customFormat="1">
      <c r="C2536" s="16" t="str">
        <f>IFERROR(VLOOKUP(DATA!#REF!,DATA!#REF!,1,FALSE),"")</f>
        <v/>
      </c>
      <c r="D2536" s="16" t="str">
        <f>IFERROR(VLOOKUP(C2536,DATA!#REF!,2,FALSE),"")</f>
        <v/>
      </c>
    </row>
    <row r="2537" spans="3:4" s="230" customFormat="1">
      <c r="C2537" s="16" t="str">
        <f>IFERROR(VLOOKUP(DATA!#REF!,DATA!#REF!,1,FALSE),"")</f>
        <v/>
      </c>
      <c r="D2537" s="16" t="str">
        <f>IFERROR(VLOOKUP(C2537,DATA!#REF!,2,FALSE),"")</f>
        <v/>
      </c>
    </row>
    <row r="2538" spans="3:4" s="230" customFormat="1">
      <c r="C2538" s="16" t="str">
        <f>IFERROR(VLOOKUP(DATA!#REF!,DATA!#REF!,1,FALSE),"")</f>
        <v/>
      </c>
      <c r="D2538" s="16" t="str">
        <f>IFERROR(VLOOKUP(C2538,DATA!#REF!,2,FALSE),"")</f>
        <v/>
      </c>
    </row>
    <row r="2539" spans="3:4" s="230" customFormat="1">
      <c r="C2539" s="16" t="str">
        <f>IFERROR(VLOOKUP(DATA!#REF!,DATA!#REF!,1,FALSE),"")</f>
        <v/>
      </c>
      <c r="D2539" s="16" t="str">
        <f>IFERROR(VLOOKUP(C2539,DATA!#REF!,2,FALSE),"")</f>
        <v/>
      </c>
    </row>
    <row r="2540" spans="3:4" s="230" customFormat="1">
      <c r="C2540" s="16" t="str">
        <f>IFERROR(VLOOKUP(DATA!#REF!,DATA!#REF!,1,FALSE),"")</f>
        <v/>
      </c>
      <c r="D2540" s="16" t="str">
        <f>IFERROR(VLOOKUP(C2540,DATA!#REF!,2,FALSE),"")</f>
        <v/>
      </c>
    </row>
    <row r="2541" spans="3:4" s="230" customFormat="1">
      <c r="C2541" s="16" t="str">
        <f>IFERROR(VLOOKUP(DATA!#REF!,DATA!#REF!,1,FALSE),"")</f>
        <v/>
      </c>
      <c r="D2541" s="16" t="str">
        <f>IFERROR(VLOOKUP(C2541,DATA!#REF!,2,FALSE),"")</f>
        <v/>
      </c>
    </row>
    <row r="2542" spans="3:4" s="230" customFormat="1">
      <c r="C2542" s="16" t="str">
        <f>IFERROR(VLOOKUP(DATA!#REF!,DATA!#REF!,1,FALSE),"")</f>
        <v/>
      </c>
      <c r="D2542" s="16" t="str">
        <f>IFERROR(VLOOKUP(C2542,DATA!#REF!,2,FALSE),"")</f>
        <v/>
      </c>
    </row>
    <row r="2543" spans="3:4" s="230" customFormat="1">
      <c r="C2543" s="16" t="str">
        <f>IFERROR(VLOOKUP(DATA!#REF!,DATA!#REF!,1,FALSE),"")</f>
        <v/>
      </c>
      <c r="D2543" s="16" t="str">
        <f>IFERROR(VLOOKUP(C2543,DATA!#REF!,2,FALSE),"")</f>
        <v/>
      </c>
    </row>
    <row r="2544" spans="3:4" s="230" customFormat="1">
      <c r="C2544" s="16" t="str">
        <f>IFERROR(VLOOKUP(DATA!#REF!,DATA!#REF!,1,FALSE),"")</f>
        <v/>
      </c>
      <c r="D2544" s="16" t="str">
        <f>IFERROR(VLOOKUP(C2544,DATA!#REF!,2,FALSE),"")</f>
        <v/>
      </c>
    </row>
    <row r="2545" spans="3:4" s="230" customFormat="1">
      <c r="C2545" s="16" t="str">
        <f>IFERROR(VLOOKUP(DATA!#REF!,DATA!#REF!,1,FALSE),"")</f>
        <v/>
      </c>
      <c r="D2545" s="16" t="str">
        <f>IFERROR(VLOOKUP(C2545,DATA!#REF!,2,FALSE),"")</f>
        <v/>
      </c>
    </row>
    <row r="2546" spans="3:4" s="230" customFormat="1">
      <c r="C2546" s="16" t="str">
        <f>IFERROR(VLOOKUP(DATA!#REF!,DATA!#REF!,1,FALSE),"")</f>
        <v/>
      </c>
      <c r="D2546" s="16" t="str">
        <f>IFERROR(VLOOKUP(C2546,DATA!#REF!,2,FALSE),"")</f>
        <v/>
      </c>
    </row>
    <row r="2547" spans="3:4" s="230" customFormat="1">
      <c r="C2547" s="16" t="str">
        <f>IFERROR(VLOOKUP(DATA!#REF!,DATA!#REF!,1,FALSE),"")</f>
        <v/>
      </c>
      <c r="D2547" s="16" t="str">
        <f>IFERROR(VLOOKUP(C2547,DATA!#REF!,2,FALSE),"")</f>
        <v/>
      </c>
    </row>
    <row r="2548" spans="3:4" s="230" customFormat="1">
      <c r="C2548" s="16" t="str">
        <f>IFERROR(VLOOKUP(DATA!#REF!,DATA!#REF!,1,FALSE),"")</f>
        <v/>
      </c>
      <c r="D2548" s="16" t="str">
        <f>IFERROR(VLOOKUP(C2548,DATA!#REF!,2,FALSE),"")</f>
        <v/>
      </c>
    </row>
    <row r="2549" spans="3:4" s="230" customFormat="1">
      <c r="C2549" s="16" t="str">
        <f>IFERROR(VLOOKUP(DATA!#REF!,DATA!#REF!,1,FALSE),"")</f>
        <v/>
      </c>
      <c r="D2549" s="16" t="str">
        <f>IFERROR(VLOOKUP(C2549,DATA!#REF!,2,FALSE),"")</f>
        <v/>
      </c>
    </row>
    <row r="2550" spans="3:4" s="230" customFormat="1">
      <c r="C2550" s="16" t="str">
        <f>IFERROR(VLOOKUP(DATA!#REF!,DATA!#REF!,1,FALSE),"")</f>
        <v/>
      </c>
      <c r="D2550" s="16" t="str">
        <f>IFERROR(VLOOKUP(C2550,DATA!#REF!,2,FALSE),"")</f>
        <v/>
      </c>
    </row>
    <row r="2551" spans="3:4" s="230" customFormat="1">
      <c r="C2551" s="16" t="str">
        <f>IFERROR(VLOOKUP(DATA!#REF!,DATA!#REF!,1,FALSE),"")</f>
        <v/>
      </c>
      <c r="D2551" s="16" t="str">
        <f>IFERROR(VLOOKUP(C2551,DATA!#REF!,2,FALSE),"")</f>
        <v/>
      </c>
    </row>
    <row r="2552" spans="3:4" s="230" customFormat="1">
      <c r="C2552" s="16" t="str">
        <f>IFERROR(VLOOKUP(DATA!#REF!,DATA!#REF!,1,FALSE),"")</f>
        <v/>
      </c>
      <c r="D2552" s="16" t="str">
        <f>IFERROR(VLOOKUP(C2552,DATA!#REF!,2,FALSE),"")</f>
        <v/>
      </c>
    </row>
    <row r="2553" spans="3:4" s="230" customFormat="1">
      <c r="C2553" s="16" t="str">
        <f>IFERROR(VLOOKUP(DATA!#REF!,DATA!#REF!,1,FALSE),"")</f>
        <v/>
      </c>
      <c r="D2553" s="16" t="str">
        <f>IFERROR(VLOOKUP(C2553,DATA!#REF!,2,FALSE),"")</f>
        <v/>
      </c>
    </row>
    <row r="2554" spans="3:4" s="230" customFormat="1">
      <c r="C2554" s="16" t="str">
        <f>IFERROR(VLOOKUP(DATA!#REF!,DATA!#REF!,1,FALSE),"")</f>
        <v/>
      </c>
      <c r="D2554" s="16" t="str">
        <f>IFERROR(VLOOKUP(C2554,DATA!#REF!,2,FALSE),"")</f>
        <v/>
      </c>
    </row>
    <row r="2555" spans="3:4" s="230" customFormat="1">
      <c r="C2555" s="16" t="str">
        <f>IFERROR(VLOOKUP(DATA!#REF!,DATA!#REF!,1,FALSE),"")</f>
        <v/>
      </c>
      <c r="D2555" s="16" t="str">
        <f>IFERROR(VLOOKUP(C2555,DATA!#REF!,2,FALSE),"")</f>
        <v/>
      </c>
    </row>
    <row r="2556" spans="3:4" s="230" customFormat="1">
      <c r="C2556" s="16" t="str">
        <f>IFERROR(VLOOKUP(DATA!#REF!,DATA!#REF!,1,FALSE),"")</f>
        <v/>
      </c>
      <c r="D2556" s="16" t="str">
        <f>IFERROR(VLOOKUP(C2556,DATA!#REF!,2,FALSE),"")</f>
        <v/>
      </c>
    </row>
    <row r="2557" spans="3:4" s="230" customFormat="1">
      <c r="C2557" s="16" t="str">
        <f>IFERROR(VLOOKUP(DATA!#REF!,DATA!#REF!,1,FALSE),"")</f>
        <v/>
      </c>
      <c r="D2557" s="16" t="str">
        <f>IFERROR(VLOOKUP(C2557,DATA!#REF!,2,FALSE),"")</f>
        <v/>
      </c>
    </row>
    <row r="2558" spans="3:4" s="230" customFormat="1">
      <c r="C2558" s="16" t="str">
        <f>IFERROR(VLOOKUP(DATA!#REF!,DATA!#REF!,1,FALSE),"")</f>
        <v/>
      </c>
      <c r="D2558" s="16" t="str">
        <f>IFERROR(VLOOKUP(C2558,DATA!#REF!,2,FALSE),"")</f>
        <v/>
      </c>
    </row>
    <row r="2559" spans="3:4" s="230" customFormat="1">
      <c r="C2559" s="16" t="str">
        <f>IFERROR(VLOOKUP(DATA!#REF!,DATA!#REF!,1,FALSE),"")</f>
        <v/>
      </c>
      <c r="D2559" s="16" t="str">
        <f>IFERROR(VLOOKUP(C2559,DATA!#REF!,2,FALSE),"")</f>
        <v/>
      </c>
    </row>
    <row r="2560" spans="3:4" s="230" customFormat="1">
      <c r="C2560" s="16" t="str">
        <f>IFERROR(VLOOKUP(DATA!#REF!,DATA!#REF!,1,FALSE),"")</f>
        <v/>
      </c>
      <c r="D2560" s="16" t="str">
        <f>IFERROR(VLOOKUP(C2560,DATA!#REF!,2,FALSE),"")</f>
        <v/>
      </c>
    </row>
    <row r="2561" spans="3:4" s="230" customFormat="1">
      <c r="C2561" s="16" t="str">
        <f>IFERROR(VLOOKUP(DATA!#REF!,DATA!#REF!,1,FALSE),"")</f>
        <v/>
      </c>
      <c r="D2561" s="16" t="str">
        <f>IFERROR(VLOOKUP(C2561,DATA!#REF!,2,FALSE),"")</f>
        <v/>
      </c>
    </row>
    <row r="2562" spans="3:4" s="230" customFormat="1">
      <c r="C2562" s="16" t="str">
        <f>IFERROR(VLOOKUP(DATA!#REF!,DATA!#REF!,1,FALSE),"")</f>
        <v/>
      </c>
      <c r="D2562" s="16" t="str">
        <f>IFERROR(VLOOKUP(C2562,DATA!#REF!,2,FALSE),"")</f>
        <v/>
      </c>
    </row>
    <row r="2563" spans="3:4" s="230" customFormat="1">
      <c r="C2563" s="16" t="str">
        <f>IFERROR(VLOOKUP(DATA!#REF!,DATA!#REF!,1,FALSE),"")</f>
        <v/>
      </c>
      <c r="D2563" s="16" t="str">
        <f>IFERROR(VLOOKUP(C2563,DATA!#REF!,2,FALSE),"")</f>
        <v/>
      </c>
    </row>
    <row r="2564" spans="3:4" s="230" customFormat="1">
      <c r="C2564" s="16" t="str">
        <f>IFERROR(VLOOKUP(DATA!#REF!,DATA!#REF!,1,FALSE),"")</f>
        <v/>
      </c>
      <c r="D2564" s="16" t="str">
        <f>IFERROR(VLOOKUP(C2564,DATA!#REF!,2,FALSE),"")</f>
        <v/>
      </c>
    </row>
    <row r="2565" spans="3:4" s="230" customFormat="1">
      <c r="C2565" s="16" t="str">
        <f>IFERROR(VLOOKUP(DATA!#REF!,DATA!#REF!,1,FALSE),"")</f>
        <v/>
      </c>
      <c r="D2565" s="16" t="str">
        <f>IFERROR(VLOOKUP(C2565,DATA!#REF!,2,FALSE),"")</f>
        <v/>
      </c>
    </row>
    <row r="2566" spans="3:4" s="230" customFormat="1">
      <c r="C2566" s="16" t="str">
        <f>IFERROR(VLOOKUP(DATA!#REF!,DATA!#REF!,1,FALSE),"")</f>
        <v/>
      </c>
      <c r="D2566" s="16" t="str">
        <f>IFERROR(VLOOKUP(C2566,DATA!#REF!,2,FALSE),"")</f>
        <v/>
      </c>
    </row>
    <row r="2567" spans="3:4" s="230" customFormat="1">
      <c r="C2567" s="16" t="str">
        <f>IFERROR(VLOOKUP(DATA!#REF!,DATA!#REF!,1,FALSE),"")</f>
        <v/>
      </c>
      <c r="D2567" s="16" t="str">
        <f>IFERROR(VLOOKUP(C2567,DATA!#REF!,2,FALSE),"")</f>
        <v/>
      </c>
    </row>
    <row r="2568" spans="3:4" s="230" customFormat="1">
      <c r="C2568" s="16" t="str">
        <f>IFERROR(VLOOKUP(DATA!#REF!,DATA!#REF!,1,FALSE),"")</f>
        <v/>
      </c>
      <c r="D2568" s="16" t="str">
        <f>IFERROR(VLOOKUP(C2568,DATA!#REF!,2,FALSE),"")</f>
        <v/>
      </c>
    </row>
    <row r="2569" spans="3:4" s="230" customFormat="1">
      <c r="C2569" s="16" t="str">
        <f>IFERROR(VLOOKUP(DATA!#REF!,DATA!#REF!,1,FALSE),"")</f>
        <v/>
      </c>
      <c r="D2569" s="16" t="str">
        <f>IFERROR(VLOOKUP(C2569,DATA!#REF!,2,FALSE),"")</f>
        <v/>
      </c>
    </row>
    <row r="2570" spans="3:4" s="230" customFormat="1">
      <c r="C2570" s="16" t="str">
        <f>IFERROR(VLOOKUP(DATA!#REF!,DATA!#REF!,1,FALSE),"")</f>
        <v/>
      </c>
      <c r="D2570" s="16" t="str">
        <f>IFERROR(VLOOKUP(C2570,DATA!#REF!,2,FALSE),"")</f>
        <v/>
      </c>
    </row>
    <row r="2571" spans="3:4" s="230" customFormat="1">
      <c r="C2571" s="16" t="str">
        <f>IFERROR(VLOOKUP(DATA!#REF!,DATA!#REF!,1,FALSE),"")</f>
        <v/>
      </c>
      <c r="D2571" s="16" t="str">
        <f>IFERROR(VLOOKUP(C2571,DATA!#REF!,2,FALSE),"")</f>
        <v/>
      </c>
    </row>
    <row r="2572" spans="3:4" s="230" customFormat="1">
      <c r="C2572" s="16" t="str">
        <f>IFERROR(VLOOKUP(DATA!#REF!,DATA!#REF!,1,FALSE),"")</f>
        <v/>
      </c>
      <c r="D2572" s="16" t="str">
        <f>IFERROR(VLOOKUP(C2572,DATA!#REF!,2,FALSE),"")</f>
        <v/>
      </c>
    </row>
    <row r="2573" spans="3:4" s="230" customFormat="1">
      <c r="C2573" s="16" t="str">
        <f>IFERROR(VLOOKUP(DATA!#REF!,DATA!#REF!,1,FALSE),"")</f>
        <v/>
      </c>
      <c r="D2573" s="16" t="str">
        <f>IFERROR(VLOOKUP(C2573,DATA!#REF!,2,FALSE),"")</f>
        <v/>
      </c>
    </row>
    <row r="2574" spans="3:4" s="230" customFormat="1">
      <c r="C2574" s="16" t="str">
        <f>IFERROR(VLOOKUP(DATA!#REF!,DATA!#REF!,1,FALSE),"")</f>
        <v/>
      </c>
      <c r="D2574" s="16" t="str">
        <f>IFERROR(VLOOKUP(C2574,DATA!#REF!,2,FALSE),"")</f>
        <v/>
      </c>
    </row>
    <row r="2575" spans="3:4" s="230" customFormat="1">
      <c r="C2575" s="16" t="str">
        <f>IFERROR(VLOOKUP(DATA!#REF!,DATA!#REF!,1,FALSE),"")</f>
        <v/>
      </c>
      <c r="D2575" s="16" t="str">
        <f>IFERROR(VLOOKUP(C2575,DATA!#REF!,2,FALSE),"")</f>
        <v/>
      </c>
    </row>
    <row r="2576" spans="3:4" s="230" customFormat="1">
      <c r="C2576" s="16" t="str">
        <f>IFERROR(VLOOKUP(DATA!#REF!,DATA!#REF!,1,FALSE),"")</f>
        <v/>
      </c>
      <c r="D2576" s="16" t="str">
        <f>IFERROR(VLOOKUP(C2576,DATA!#REF!,2,FALSE),"")</f>
        <v/>
      </c>
    </row>
    <row r="2577" spans="3:4" s="230" customFormat="1">
      <c r="C2577" s="16" t="str">
        <f>IFERROR(VLOOKUP(DATA!#REF!,DATA!#REF!,1,FALSE),"")</f>
        <v/>
      </c>
      <c r="D2577" s="16" t="str">
        <f>IFERROR(VLOOKUP(C2577,DATA!#REF!,2,FALSE),"")</f>
        <v/>
      </c>
    </row>
    <row r="2578" spans="3:4" s="230" customFormat="1">
      <c r="C2578" s="16" t="str">
        <f>IFERROR(VLOOKUP(DATA!#REF!,DATA!#REF!,1,FALSE),"")</f>
        <v/>
      </c>
      <c r="D2578" s="16" t="str">
        <f>IFERROR(VLOOKUP(C2578,DATA!#REF!,2,FALSE),"")</f>
        <v/>
      </c>
    </row>
    <row r="2579" spans="3:4" s="230" customFormat="1">
      <c r="C2579" s="16" t="str">
        <f>IFERROR(VLOOKUP(DATA!#REF!,DATA!#REF!,1,FALSE),"")</f>
        <v/>
      </c>
      <c r="D2579" s="16" t="str">
        <f>IFERROR(VLOOKUP(C2579,DATA!#REF!,2,FALSE),"")</f>
        <v/>
      </c>
    </row>
    <row r="2580" spans="3:4" s="230" customFormat="1">
      <c r="C2580" s="16" t="str">
        <f>IFERROR(VLOOKUP(DATA!#REF!,DATA!#REF!,1,FALSE),"")</f>
        <v/>
      </c>
      <c r="D2580" s="16" t="str">
        <f>IFERROR(VLOOKUP(C2580,DATA!#REF!,2,FALSE),"")</f>
        <v/>
      </c>
    </row>
    <row r="2581" spans="3:4" s="230" customFormat="1">
      <c r="C2581" s="16" t="str">
        <f>IFERROR(VLOOKUP(DATA!#REF!,DATA!#REF!,1,FALSE),"")</f>
        <v/>
      </c>
      <c r="D2581" s="16" t="str">
        <f>IFERROR(VLOOKUP(C2581,DATA!#REF!,2,FALSE),"")</f>
        <v/>
      </c>
    </row>
    <row r="2582" spans="3:4" s="230" customFormat="1">
      <c r="C2582" s="16" t="str">
        <f>IFERROR(VLOOKUP(DATA!#REF!,DATA!#REF!,1,FALSE),"")</f>
        <v/>
      </c>
      <c r="D2582" s="16" t="str">
        <f>IFERROR(VLOOKUP(C2582,DATA!#REF!,2,FALSE),"")</f>
        <v/>
      </c>
    </row>
    <row r="2583" spans="3:4" s="230" customFormat="1">
      <c r="C2583" s="16" t="str">
        <f>IFERROR(VLOOKUP(DATA!#REF!,DATA!#REF!,1,FALSE),"")</f>
        <v/>
      </c>
      <c r="D2583" s="16" t="str">
        <f>IFERROR(VLOOKUP(C2583,DATA!#REF!,2,FALSE),"")</f>
        <v/>
      </c>
    </row>
    <row r="2584" spans="3:4" s="230" customFormat="1">
      <c r="C2584" s="16" t="str">
        <f>IFERROR(VLOOKUP(DATA!#REF!,DATA!#REF!,1,FALSE),"")</f>
        <v/>
      </c>
      <c r="D2584" s="16" t="str">
        <f>IFERROR(VLOOKUP(C2584,DATA!#REF!,2,FALSE),"")</f>
        <v/>
      </c>
    </row>
    <row r="2585" spans="3:4" s="230" customFormat="1">
      <c r="C2585" s="16" t="str">
        <f>IFERROR(VLOOKUP(DATA!#REF!,DATA!#REF!,1,FALSE),"")</f>
        <v/>
      </c>
      <c r="D2585" s="16" t="str">
        <f>IFERROR(VLOOKUP(C2585,DATA!#REF!,2,FALSE),"")</f>
        <v/>
      </c>
    </row>
    <row r="2586" spans="3:4" s="230" customFormat="1">
      <c r="C2586" s="16" t="str">
        <f>IFERROR(VLOOKUP(DATA!#REF!,DATA!#REF!,1,FALSE),"")</f>
        <v/>
      </c>
      <c r="D2586" s="16" t="str">
        <f>IFERROR(VLOOKUP(C2586,DATA!#REF!,2,FALSE),"")</f>
        <v/>
      </c>
    </row>
    <row r="2587" spans="3:4" s="230" customFormat="1">
      <c r="C2587" s="16" t="str">
        <f>IFERROR(VLOOKUP(DATA!#REF!,DATA!#REF!,1,FALSE),"")</f>
        <v/>
      </c>
      <c r="D2587" s="16" t="str">
        <f>IFERROR(VLOOKUP(C2587,DATA!#REF!,2,FALSE),"")</f>
        <v/>
      </c>
    </row>
    <row r="2588" spans="3:4" s="230" customFormat="1">
      <c r="C2588" s="16" t="str">
        <f>IFERROR(VLOOKUP(DATA!#REF!,DATA!#REF!,1,FALSE),"")</f>
        <v/>
      </c>
      <c r="D2588" s="16" t="str">
        <f>IFERROR(VLOOKUP(C2588,DATA!#REF!,2,FALSE),"")</f>
        <v/>
      </c>
    </row>
    <row r="2589" spans="3:4" s="230" customFormat="1">
      <c r="C2589" s="16" t="str">
        <f>IFERROR(VLOOKUP(DATA!#REF!,DATA!#REF!,1,FALSE),"")</f>
        <v/>
      </c>
      <c r="D2589" s="16" t="str">
        <f>IFERROR(VLOOKUP(C2589,DATA!#REF!,2,FALSE),"")</f>
        <v/>
      </c>
    </row>
    <row r="2590" spans="3:4" s="230" customFormat="1">
      <c r="C2590" s="16" t="str">
        <f>IFERROR(VLOOKUP(DATA!#REF!,DATA!#REF!,1,FALSE),"")</f>
        <v/>
      </c>
      <c r="D2590" s="16" t="str">
        <f>IFERROR(VLOOKUP(C2590,DATA!#REF!,2,FALSE),"")</f>
        <v/>
      </c>
    </row>
    <row r="2591" spans="3:4" s="230" customFormat="1">
      <c r="C2591" s="16" t="str">
        <f>IFERROR(VLOOKUP(DATA!#REF!,DATA!#REF!,1,FALSE),"")</f>
        <v/>
      </c>
      <c r="D2591" s="16" t="str">
        <f>IFERROR(VLOOKUP(C2591,DATA!#REF!,2,FALSE),"")</f>
        <v/>
      </c>
    </row>
    <row r="2592" spans="3:4" s="230" customFormat="1">
      <c r="C2592" s="16" t="str">
        <f>IFERROR(VLOOKUP(DATA!#REF!,DATA!#REF!,1,FALSE),"")</f>
        <v/>
      </c>
      <c r="D2592" s="16" t="str">
        <f>IFERROR(VLOOKUP(C2592,DATA!#REF!,2,FALSE),"")</f>
        <v/>
      </c>
    </row>
    <row r="2593" spans="3:4" s="230" customFormat="1">
      <c r="C2593" s="16" t="str">
        <f>IFERROR(VLOOKUP(DATA!#REF!,DATA!#REF!,1,FALSE),"")</f>
        <v/>
      </c>
      <c r="D2593" s="16" t="str">
        <f>IFERROR(VLOOKUP(C2593,DATA!#REF!,2,FALSE),"")</f>
        <v/>
      </c>
    </row>
    <row r="2594" spans="3:4" s="230" customFormat="1">
      <c r="C2594" s="16" t="str">
        <f>IFERROR(VLOOKUP(DATA!#REF!,DATA!#REF!,1,FALSE),"")</f>
        <v/>
      </c>
      <c r="D2594" s="16" t="str">
        <f>IFERROR(VLOOKUP(C2594,DATA!#REF!,2,FALSE),"")</f>
        <v/>
      </c>
    </row>
    <row r="2595" spans="3:4" s="230" customFormat="1">
      <c r="C2595" s="16" t="str">
        <f>IFERROR(VLOOKUP(DATA!#REF!,DATA!#REF!,1,FALSE),"")</f>
        <v/>
      </c>
      <c r="D2595" s="16" t="str">
        <f>IFERROR(VLOOKUP(C2595,DATA!#REF!,2,FALSE),"")</f>
        <v/>
      </c>
    </row>
    <row r="2596" spans="3:4" s="230" customFormat="1">
      <c r="C2596" s="16" t="str">
        <f>IFERROR(VLOOKUP(DATA!#REF!,DATA!#REF!,1,FALSE),"")</f>
        <v/>
      </c>
      <c r="D2596" s="16" t="str">
        <f>IFERROR(VLOOKUP(C2596,DATA!#REF!,2,FALSE),"")</f>
        <v/>
      </c>
    </row>
    <row r="2597" spans="3:4" s="230" customFormat="1">
      <c r="C2597" s="16" t="str">
        <f>IFERROR(VLOOKUP(DATA!#REF!,DATA!#REF!,1,FALSE),"")</f>
        <v/>
      </c>
      <c r="D2597" s="16" t="str">
        <f>IFERROR(VLOOKUP(C2597,DATA!#REF!,2,FALSE),"")</f>
        <v/>
      </c>
    </row>
    <row r="2598" spans="3:4" s="230" customFormat="1">
      <c r="C2598" s="16" t="str">
        <f>IFERROR(VLOOKUP(DATA!#REF!,DATA!#REF!,1,FALSE),"")</f>
        <v/>
      </c>
      <c r="D2598" s="16" t="str">
        <f>IFERROR(VLOOKUP(C2598,DATA!#REF!,2,FALSE),"")</f>
        <v/>
      </c>
    </row>
    <row r="2599" spans="3:4" s="230" customFormat="1">
      <c r="C2599" s="16" t="str">
        <f>IFERROR(VLOOKUP(DATA!#REF!,DATA!#REF!,1,FALSE),"")</f>
        <v/>
      </c>
      <c r="D2599" s="16" t="str">
        <f>IFERROR(VLOOKUP(C2599,DATA!#REF!,2,FALSE),"")</f>
        <v/>
      </c>
    </row>
    <row r="2600" spans="3:4" s="230" customFormat="1">
      <c r="C2600" s="16" t="str">
        <f>IFERROR(VLOOKUP(DATA!#REF!,DATA!#REF!,1,FALSE),"")</f>
        <v/>
      </c>
      <c r="D2600" s="16" t="str">
        <f>IFERROR(VLOOKUP(C2600,DATA!#REF!,2,FALSE),"")</f>
        <v/>
      </c>
    </row>
    <row r="2601" spans="3:4" s="230" customFormat="1">
      <c r="C2601" s="16" t="str">
        <f>IFERROR(VLOOKUP(DATA!#REF!,DATA!#REF!,1,FALSE),"")</f>
        <v/>
      </c>
      <c r="D2601" s="16" t="str">
        <f>IFERROR(VLOOKUP(C2601,DATA!#REF!,2,FALSE),"")</f>
        <v/>
      </c>
    </row>
    <row r="2602" spans="3:4" s="230" customFormat="1">
      <c r="C2602" s="16" t="str">
        <f>IFERROR(VLOOKUP(DATA!#REF!,DATA!#REF!,1,FALSE),"")</f>
        <v/>
      </c>
      <c r="D2602" s="16" t="str">
        <f>IFERROR(VLOOKUP(C2602,DATA!#REF!,2,FALSE),"")</f>
        <v/>
      </c>
    </row>
    <row r="2603" spans="3:4" s="230" customFormat="1">
      <c r="C2603" s="16" t="str">
        <f>IFERROR(VLOOKUP(DATA!#REF!,DATA!#REF!,1,FALSE),"")</f>
        <v/>
      </c>
      <c r="D2603" s="16" t="str">
        <f>IFERROR(VLOOKUP(C2603,DATA!#REF!,2,FALSE),"")</f>
        <v/>
      </c>
    </row>
    <row r="2604" spans="3:4" s="230" customFormat="1">
      <c r="C2604" s="16" t="str">
        <f>IFERROR(VLOOKUP(DATA!#REF!,DATA!#REF!,1,FALSE),"")</f>
        <v/>
      </c>
      <c r="D2604" s="16" t="str">
        <f>IFERROR(VLOOKUP(C2604,DATA!#REF!,2,FALSE),"")</f>
        <v/>
      </c>
    </row>
    <row r="2605" spans="3:4" s="230" customFormat="1">
      <c r="C2605" s="16" t="str">
        <f>IFERROR(VLOOKUP(DATA!#REF!,DATA!#REF!,1,FALSE),"")</f>
        <v/>
      </c>
      <c r="D2605" s="16" t="str">
        <f>IFERROR(VLOOKUP(C2605,DATA!#REF!,2,FALSE),"")</f>
        <v/>
      </c>
    </row>
    <row r="2606" spans="3:4" s="230" customFormat="1">
      <c r="C2606" s="16" t="str">
        <f>IFERROR(VLOOKUP(DATA!#REF!,DATA!#REF!,1,FALSE),"")</f>
        <v/>
      </c>
      <c r="D2606" s="16" t="str">
        <f>IFERROR(VLOOKUP(C2606,DATA!#REF!,2,FALSE),"")</f>
        <v/>
      </c>
    </row>
    <row r="2607" spans="3:4" s="230" customFormat="1">
      <c r="C2607" s="16" t="str">
        <f>IFERROR(VLOOKUP(DATA!#REF!,DATA!#REF!,1,FALSE),"")</f>
        <v/>
      </c>
      <c r="D2607" s="16" t="str">
        <f>IFERROR(VLOOKUP(C2607,DATA!#REF!,2,FALSE),"")</f>
        <v/>
      </c>
    </row>
    <row r="2608" spans="3:4" s="230" customFormat="1">
      <c r="C2608" s="16" t="str">
        <f>IFERROR(VLOOKUP(DATA!#REF!,DATA!#REF!,1,FALSE),"")</f>
        <v/>
      </c>
      <c r="D2608" s="16" t="str">
        <f>IFERROR(VLOOKUP(C2608,DATA!#REF!,2,FALSE),"")</f>
        <v/>
      </c>
    </row>
    <row r="2609" spans="3:4" s="230" customFormat="1">
      <c r="C2609" s="16" t="str">
        <f>IFERROR(VLOOKUP(DATA!#REF!,DATA!#REF!,1,FALSE),"")</f>
        <v/>
      </c>
      <c r="D2609" s="16" t="str">
        <f>IFERROR(VLOOKUP(C2609,DATA!#REF!,2,FALSE),"")</f>
        <v/>
      </c>
    </row>
    <row r="2610" spans="3:4" s="230" customFormat="1">
      <c r="C2610" s="16" t="str">
        <f>IFERROR(VLOOKUP(DATA!#REF!,DATA!#REF!,1,FALSE),"")</f>
        <v/>
      </c>
      <c r="D2610" s="16" t="str">
        <f>IFERROR(VLOOKUP(C2610,DATA!#REF!,2,FALSE),"")</f>
        <v/>
      </c>
    </row>
    <row r="2611" spans="3:4" s="230" customFormat="1">
      <c r="C2611" s="16" t="str">
        <f>IFERROR(VLOOKUP(DATA!#REF!,DATA!#REF!,1,FALSE),"")</f>
        <v/>
      </c>
      <c r="D2611" s="16" t="str">
        <f>IFERROR(VLOOKUP(C2611,DATA!#REF!,2,FALSE),"")</f>
        <v/>
      </c>
    </row>
    <row r="2612" spans="3:4" s="230" customFormat="1">
      <c r="C2612" s="16" t="str">
        <f>IFERROR(VLOOKUP(DATA!#REF!,DATA!#REF!,1,FALSE),"")</f>
        <v/>
      </c>
      <c r="D2612" s="16" t="str">
        <f>IFERROR(VLOOKUP(C2612,DATA!#REF!,2,FALSE),"")</f>
        <v/>
      </c>
    </row>
    <row r="2613" spans="3:4" s="230" customFormat="1">
      <c r="C2613" s="16" t="str">
        <f>IFERROR(VLOOKUP(DATA!#REF!,DATA!#REF!,1,FALSE),"")</f>
        <v/>
      </c>
      <c r="D2613" s="16" t="str">
        <f>IFERROR(VLOOKUP(C2613,DATA!#REF!,2,FALSE),"")</f>
        <v/>
      </c>
    </row>
    <row r="2614" spans="3:4" s="230" customFormat="1">
      <c r="C2614" s="16" t="str">
        <f>IFERROR(VLOOKUP(DATA!#REF!,DATA!#REF!,1,FALSE),"")</f>
        <v/>
      </c>
      <c r="D2614" s="16" t="str">
        <f>IFERROR(VLOOKUP(C2614,DATA!#REF!,2,FALSE),"")</f>
        <v/>
      </c>
    </row>
    <row r="2615" spans="3:4" s="230" customFormat="1">
      <c r="C2615" s="16" t="str">
        <f>IFERROR(VLOOKUP(DATA!#REF!,DATA!#REF!,1,FALSE),"")</f>
        <v/>
      </c>
      <c r="D2615" s="16" t="str">
        <f>IFERROR(VLOOKUP(C2615,DATA!#REF!,2,FALSE),"")</f>
        <v/>
      </c>
    </row>
    <row r="2616" spans="3:4" s="230" customFormat="1">
      <c r="C2616" s="16" t="str">
        <f>IFERROR(VLOOKUP(DATA!#REF!,DATA!#REF!,1,FALSE),"")</f>
        <v/>
      </c>
      <c r="D2616" s="16" t="str">
        <f>IFERROR(VLOOKUP(C2616,DATA!#REF!,2,FALSE),"")</f>
        <v/>
      </c>
    </row>
    <row r="2617" spans="3:4" s="230" customFormat="1">
      <c r="C2617" s="16" t="str">
        <f>IFERROR(VLOOKUP(DATA!#REF!,DATA!#REF!,1,FALSE),"")</f>
        <v/>
      </c>
      <c r="D2617" s="16" t="str">
        <f>IFERROR(VLOOKUP(C2617,DATA!#REF!,2,FALSE),"")</f>
        <v/>
      </c>
    </row>
    <row r="2618" spans="3:4" s="230" customFormat="1">
      <c r="C2618" s="16" t="str">
        <f>IFERROR(VLOOKUP(DATA!#REF!,DATA!#REF!,1,FALSE),"")</f>
        <v/>
      </c>
      <c r="D2618" s="16" t="str">
        <f>IFERROR(VLOOKUP(C2618,DATA!#REF!,2,FALSE),"")</f>
        <v/>
      </c>
    </row>
    <row r="2619" spans="3:4" s="230" customFormat="1">
      <c r="C2619" s="16" t="str">
        <f>IFERROR(VLOOKUP(DATA!#REF!,DATA!#REF!,1,FALSE),"")</f>
        <v/>
      </c>
      <c r="D2619" s="16" t="str">
        <f>IFERROR(VLOOKUP(C2619,DATA!#REF!,2,FALSE),"")</f>
        <v/>
      </c>
    </row>
    <row r="2620" spans="3:4" s="230" customFormat="1">
      <c r="C2620" s="16" t="str">
        <f>IFERROR(VLOOKUP(DATA!#REF!,DATA!#REF!,1,FALSE),"")</f>
        <v/>
      </c>
      <c r="D2620" s="16" t="str">
        <f>IFERROR(VLOOKUP(C2620,DATA!#REF!,2,FALSE),"")</f>
        <v/>
      </c>
    </row>
    <row r="2621" spans="3:4" s="230" customFormat="1">
      <c r="C2621" s="16" t="str">
        <f>IFERROR(VLOOKUP(DATA!#REF!,DATA!#REF!,1,FALSE),"")</f>
        <v/>
      </c>
      <c r="D2621" s="16" t="str">
        <f>IFERROR(VLOOKUP(C2621,DATA!#REF!,2,FALSE),"")</f>
        <v/>
      </c>
    </row>
    <row r="2622" spans="3:4" s="230" customFormat="1">
      <c r="C2622" s="16" t="str">
        <f>IFERROR(VLOOKUP(DATA!#REF!,DATA!#REF!,1,FALSE),"")</f>
        <v/>
      </c>
      <c r="D2622" s="16" t="str">
        <f>IFERROR(VLOOKUP(C2622,DATA!#REF!,2,FALSE),"")</f>
        <v/>
      </c>
    </row>
    <row r="2623" spans="3:4" s="230" customFormat="1">
      <c r="C2623" s="16" t="str">
        <f>IFERROR(VLOOKUP(DATA!#REF!,DATA!#REF!,1,FALSE),"")</f>
        <v/>
      </c>
      <c r="D2623" s="16" t="str">
        <f>IFERROR(VLOOKUP(C2623,DATA!#REF!,2,FALSE),"")</f>
        <v/>
      </c>
    </row>
    <row r="2624" spans="3:4" s="230" customFormat="1">
      <c r="C2624" s="16" t="str">
        <f>IFERROR(VLOOKUP(DATA!#REF!,DATA!#REF!,1,FALSE),"")</f>
        <v/>
      </c>
      <c r="D2624" s="16" t="str">
        <f>IFERROR(VLOOKUP(C2624,DATA!#REF!,2,FALSE),"")</f>
        <v/>
      </c>
    </row>
    <row r="2625" spans="3:4" s="230" customFormat="1">
      <c r="C2625" s="16" t="str">
        <f>IFERROR(VLOOKUP(DATA!#REF!,DATA!#REF!,1,FALSE),"")</f>
        <v/>
      </c>
      <c r="D2625" s="16" t="str">
        <f>IFERROR(VLOOKUP(C2625,DATA!#REF!,2,FALSE),"")</f>
        <v/>
      </c>
    </row>
    <row r="2626" spans="3:4" s="230" customFormat="1">
      <c r="C2626" s="16" t="str">
        <f>IFERROR(VLOOKUP(DATA!#REF!,DATA!#REF!,1,FALSE),"")</f>
        <v/>
      </c>
      <c r="D2626" s="16" t="str">
        <f>IFERROR(VLOOKUP(C2626,DATA!#REF!,2,FALSE),"")</f>
        <v/>
      </c>
    </row>
    <row r="2627" spans="3:4" s="230" customFormat="1">
      <c r="C2627" s="16" t="str">
        <f>IFERROR(VLOOKUP(DATA!#REF!,DATA!#REF!,1,FALSE),"")</f>
        <v/>
      </c>
      <c r="D2627" s="16" t="str">
        <f>IFERROR(VLOOKUP(C2627,DATA!#REF!,2,FALSE),"")</f>
        <v/>
      </c>
    </row>
    <row r="2628" spans="3:4" s="230" customFormat="1">
      <c r="C2628" s="16" t="str">
        <f>IFERROR(VLOOKUP(DATA!#REF!,DATA!#REF!,1,FALSE),"")</f>
        <v/>
      </c>
      <c r="D2628" s="16" t="str">
        <f>IFERROR(VLOOKUP(C2628,DATA!#REF!,2,FALSE),"")</f>
        <v/>
      </c>
    </row>
    <row r="2629" spans="3:4" s="230" customFormat="1">
      <c r="C2629" s="16" t="str">
        <f>IFERROR(VLOOKUP(DATA!#REF!,DATA!#REF!,1,FALSE),"")</f>
        <v/>
      </c>
      <c r="D2629" s="16" t="str">
        <f>IFERROR(VLOOKUP(C2629,DATA!#REF!,2,FALSE),"")</f>
        <v/>
      </c>
    </row>
    <row r="2630" spans="3:4" s="230" customFormat="1">
      <c r="C2630" s="16" t="str">
        <f>IFERROR(VLOOKUP(DATA!#REF!,DATA!#REF!,1,FALSE),"")</f>
        <v/>
      </c>
      <c r="D2630" s="16" t="str">
        <f>IFERROR(VLOOKUP(C2630,DATA!#REF!,2,FALSE),"")</f>
        <v/>
      </c>
    </row>
    <row r="2631" spans="3:4" s="230" customFormat="1">
      <c r="C2631" s="16" t="str">
        <f>IFERROR(VLOOKUP(DATA!#REF!,DATA!#REF!,1,FALSE),"")</f>
        <v/>
      </c>
      <c r="D2631" s="16" t="str">
        <f>IFERROR(VLOOKUP(C2631,DATA!#REF!,2,FALSE),"")</f>
        <v/>
      </c>
    </row>
    <row r="2632" spans="3:4" s="230" customFormat="1">
      <c r="C2632" s="16" t="str">
        <f>IFERROR(VLOOKUP(DATA!#REF!,DATA!#REF!,1,FALSE),"")</f>
        <v/>
      </c>
      <c r="D2632" s="16" t="str">
        <f>IFERROR(VLOOKUP(C2632,DATA!#REF!,2,FALSE),"")</f>
        <v/>
      </c>
    </row>
    <row r="2633" spans="3:4" s="230" customFormat="1">
      <c r="C2633" s="16" t="str">
        <f>IFERROR(VLOOKUP(DATA!#REF!,DATA!#REF!,1,FALSE),"")</f>
        <v/>
      </c>
      <c r="D2633" s="16" t="str">
        <f>IFERROR(VLOOKUP(C2633,DATA!#REF!,2,FALSE),"")</f>
        <v/>
      </c>
    </row>
    <row r="2634" spans="3:4" s="230" customFormat="1">
      <c r="C2634" s="16" t="str">
        <f>IFERROR(VLOOKUP(DATA!#REF!,DATA!#REF!,1,FALSE),"")</f>
        <v/>
      </c>
      <c r="D2634" s="16" t="str">
        <f>IFERROR(VLOOKUP(C2634,DATA!#REF!,2,FALSE),"")</f>
        <v/>
      </c>
    </row>
    <row r="2635" spans="3:4" s="230" customFormat="1">
      <c r="C2635" s="16" t="str">
        <f>IFERROR(VLOOKUP(DATA!#REF!,DATA!#REF!,1,FALSE),"")</f>
        <v/>
      </c>
      <c r="D2635" s="16" t="str">
        <f>IFERROR(VLOOKUP(C2635,DATA!#REF!,2,FALSE),"")</f>
        <v/>
      </c>
    </row>
    <row r="2636" spans="3:4" s="230" customFormat="1">
      <c r="C2636" s="16" t="str">
        <f>IFERROR(VLOOKUP(DATA!#REF!,DATA!#REF!,1,FALSE),"")</f>
        <v/>
      </c>
      <c r="D2636" s="16" t="str">
        <f>IFERROR(VLOOKUP(C2636,DATA!#REF!,2,FALSE),"")</f>
        <v/>
      </c>
    </row>
    <row r="2637" spans="3:4" s="230" customFormat="1">
      <c r="C2637" s="16" t="str">
        <f>IFERROR(VLOOKUP(DATA!#REF!,DATA!#REF!,1,FALSE),"")</f>
        <v/>
      </c>
      <c r="D2637" s="16" t="str">
        <f>IFERROR(VLOOKUP(C2637,DATA!#REF!,2,FALSE),"")</f>
        <v/>
      </c>
    </row>
    <row r="2638" spans="3:4" s="230" customFormat="1">
      <c r="C2638" s="16" t="str">
        <f>IFERROR(VLOOKUP(DATA!#REF!,DATA!#REF!,1,FALSE),"")</f>
        <v/>
      </c>
      <c r="D2638" s="16" t="str">
        <f>IFERROR(VLOOKUP(C2638,DATA!#REF!,2,FALSE),"")</f>
        <v/>
      </c>
    </row>
    <row r="2639" spans="3:4" s="230" customFormat="1">
      <c r="C2639" s="16" t="str">
        <f>IFERROR(VLOOKUP(DATA!#REF!,DATA!#REF!,1,FALSE),"")</f>
        <v/>
      </c>
      <c r="D2639" s="16" t="str">
        <f>IFERROR(VLOOKUP(C2639,DATA!#REF!,2,FALSE),"")</f>
        <v/>
      </c>
    </row>
    <row r="2640" spans="3:4" s="230" customFormat="1">
      <c r="C2640" s="16" t="str">
        <f>IFERROR(VLOOKUP(DATA!#REF!,DATA!#REF!,1,FALSE),"")</f>
        <v/>
      </c>
      <c r="D2640" s="16" t="str">
        <f>IFERROR(VLOOKUP(C2640,DATA!#REF!,2,FALSE),"")</f>
        <v/>
      </c>
    </row>
    <row r="2641" spans="3:4" s="230" customFormat="1">
      <c r="C2641" s="16" t="str">
        <f>IFERROR(VLOOKUP(DATA!#REF!,DATA!#REF!,1,FALSE),"")</f>
        <v/>
      </c>
      <c r="D2641" s="16" t="str">
        <f>IFERROR(VLOOKUP(C2641,DATA!#REF!,2,FALSE),"")</f>
        <v/>
      </c>
    </row>
    <row r="2642" spans="3:4" s="230" customFormat="1">
      <c r="C2642" s="16" t="str">
        <f>IFERROR(VLOOKUP(DATA!#REF!,DATA!#REF!,1,FALSE),"")</f>
        <v/>
      </c>
      <c r="D2642" s="16" t="str">
        <f>IFERROR(VLOOKUP(C2642,DATA!#REF!,2,FALSE),"")</f>
        <v/>
      </c>
    </row>
    <row r="2643" spans="3:4" s="230" customFormat="1">
      <c r="C2643" s="16" t="str">
        <f>IFERROR(VLOOKUP(DATA!#REF!,DATA!#REF!,1,FALSE),"")</f>
        <v/>
      </c>
      <c r="D2643" s="16" t="str">
        <f>IFERROR(VLOOKUP(C2643,DATA!#REF!,2,FALSE),"")</f>
        <v/>
      </c>
    </row>
    <row r="2644" spans="3:4" s="230" customFormat="1">
      <c r="C2644" s="16" t="str">
        <f>IFERROR(VLOOKUP(DATA!#REF!,DATA!#REF!,1,FALSE),"")</f>
        <v/>
      </c>
      <c r="D2644" s="16" t="str">
        <f>IFERROR(VLOOKUP(C2644,DATA!#REF!,2,FALSE),"")</f>
        <v/>
      </c>
    </row>
    <row r="2645" spans="3:4" s="230" customFormat="1">
      <c r="C2645" s="16" t="str">
        <f>IFERROR(VLOOKUP(DATA!#REF!,DATA!#REF!,1,FALSE),"")</f>
        <v/>
      </c>
      <c r="D2645" s="16" t="str">
        <f>IFERROR(VLOOKUP(C2645,DATA!#REF!,2,FALSE),"")</f>
        <v/>
      </c>
    </row>
    <row r="2646" spans="3:4" s="230" customFormat="1">
      <c r="C2646" s="16" t="str">
        <f>IFERROR(VLOOKUP(DATA!#REF!,DATA!#REF!,1,FALSE),"")</f>
        <v/>
      </c>
      <c r="D2646" s="16" t="str">
        <f>IFERROR(VLOOKUP(C2646,DATA!#REF!,2,FALSE),"")</f>
        <v/>
      </c>
    </row>
    <row r="2647" spans="3:4" s="230" customFormat="1">
      <c r="C2647" s="16" t="str">
        <f>IFERROR(VLOOKUP(DATA!#REF!,DATA!#REF!,1,FALSE),"")</f>
        <v/>
      </c>
      <c r="D2647" s="16" t="str">
        <f>IFERROR(VLOOKUP(C2647,DATA!#REF!,2,FALSE),"")</f>
        <v/>
      </c>
    </row>
    <row r="2648" spans="3:4" s="230" customFormat="1">
      <c r="C2648" s="16" t="str">
        <f>IFERROR(VLOOKUP(DATA!#REF!,DATA!#REF!,1,FALSE),"")</f>
        <v/>
      </c>
      <c r="D2648" s="16" t="str">
        <f>IFERROR(VLOOKUP(C2648,DATA!#REF!,2,FALSE),"")</f>
        <v/>
      </c>
    </row>
    <row r="2649" spans="3:4" s="230" customFormat="1">
      <c r="C2649" s="16" t="str">
        <f>IFERROR(VLOOKUP(DATA!#REF!,DATA!#REF!,1,FALSE),"")</f>
        <v/>
      </c>
      <c r="D2649" s="16" t="str">
        <f>IFERROR(VLOOKUP(C2649,DATA!#REF!,2,FALSE),"")</f>
        <v/>
      </c>
    </row>
    <row r="2650" spans="3:4" s="230" customFormat="1">
      <c r="C2650" s="16" t="str">
        <f>IFERROR(VLOOKUP(DATA!#REF!,DATA!#REF!,1,FALSE),"")</f>
        <v/>
      </c>
      <c r="D2650" s="16" t="str">
        <f>IFERROR(VLOOKUP(C2650,DATA!#REF!,2,FALSE),"")</f>
        <v/>
      </c>
    </row>
    <row r="2651" spans="3:4" s="230" customFormat="1">
      <c r="C2651" s="16" t="str">
        <f>IFERROR(VLOOKUP(DATA!#REF!,DATA!#REF!,1,FALSE),"")</f>
        <v/>
      </c>
      <c r="D2651" s="16" t="str">
        <f>IFERROR(VLOOKUP(C2651,DATA!#REF!,2,FALSE),"")</f>
        <v/>
      </c>
    </row>
    <row r="2652" spans="3:4" s="230" customFormat="1">
      <c r="C2652" s="16" t="str">
        <f>IFERROR(VLOOKUP(DATA!#REF!,DATA!#REF!,1,FALSE),"")</f>
        <v/>
      </c>
      <c r="D2652" s="16" t="str">
        <f>IFERROR(VLOOKUP(C2652,DATA!#REF!,2,FALSE),"")</f>
        <v/>
      </c>
    </row>
    <row r="2653" spans="3:4" s="230" customFormat="1">
      <c r="C2653" s="16" t="str">
        <f>IFERROR(VLOOKUP(DATA!#REF!,DATA!#REF!,1,FALSE),"")</f>
        <v/>
      </c>
      <c r="D2653" s="16" t="str">
        <f>IFERROR(VLOOKUP(C2653,DATA!#REF!,2,FALSE),"")</f>
        <v/>
      </c>
    </row>
    <row r="2654" spans="3:4" s="230" customFormat="1">
      <c r="C2654" s="16" t="str">
        <f>IFERROR(VLOOKUP(DATA!#REF!,DATA!#REF!,1,FALSE),"")</f>
        <v/>
      </c>
      <c r="D2654" s="16" t="str">
        <f>IFERROR(VLOOKUP(C2654,DATA!#REF!,2,FALSE),"")</f>
        <v/>
      </c>
    </row>
    <row r="2655" spans="3:4" s="230" customFormat="1">
      <c r="C2655" s="16" t="str">
        <f>IFERROR(VLOOKUP(DATA!#REF!,DATA!#REF!,1,FALSE),"")</f>
        <v/>
      </c>
      <c r="D2655" s="16" t="str">
        <f>IFERROR(VLOOKUP(C2655,DATA!#REF!,2,FALSE),"")</f>
        <v/>
      </c>
    </row>
    <row r="2656" spans="3:4" s="230" customFormat="1">
      <c r="C2656" s="16" t="str">
        <f>IFERROR(VLOOKUP(DATA!#REF!,DATA!#REF!,1,FALSE),"")</f>
        <v/>
      </c>
      <c r="D2656" s="16" t="str">
        <f>IFERROR(VLOOKUP(C2656,DATA!#REF!,2,FALSE),"")</f>
        <v/>
      </c>
    </row>
    <row r="2657" spans="3:4" s="230" customFormat="1">
      <c r="C2657" s="16" t="str">
        <f>IFERROR(VLOOKUP(DATA!#REF!,DATA!#REF!,1,FALSE),"")</f>
        <v/>
      </c>
      <c r="D2657" s="16" t="str">
        <f>IFERROR(VLOOKUP(C2657,DATA!#REF!,2,FALSE),"")</f>
        <v/>
      </c>
    </row>
    <row r="2658" spans="3:4" s="230" customFormat="1">
      <c r="C2658" s="16" t="str">
        <f>IFERROR(VLOOKUP(DATA!#REF!,DATA!#REF!,1,FALSE),"")</f>
        <v/>
      </c>
      <c r="D2658" s="16" t="str">
        <f>IFERROR(VLOOKUP(C2658,DATA!#REF!,2,FALSE),"")</f>
        <v/>
      </c>
    </row>
    <row r="2659" spans="3:4" s="230" customFormat="1">
      <c r="C2659" s="16" t="str">
        <f>IFERROR(VLOOKUP(DATA!#REF!,DATA!#REF!,1,FALSE),"")</f>
        <v/>
      </c>
      <c r="D2659" s="16" t="str">
        <f>IFERROR(VLOOKUP(C2659,DATA!#REF!,2,FALSE),"")</f>
        <v/>
      </c>
    </row>
    <row r="2660" spans="3:4" s="230" customFormat="1">
      <c r="C2660" s="16" t="str">
        <f>IFERROR(VLOOKUP(DATA!#REF!,DATA!#REF!,1,FALSE),"")</f>
        <v/>
      </c>
      <c r="D2660" s="16" t="str">
        <f>IFERROR(VLOOKUP(C2660,DATA!#REF!,2,FALSE),"")</f>
        <v/>
      </c>
    </row>
    <row r="2661" spans="3:4" s="230" customFormat="1">
      <c r="C2661" s="16" t="str">
        <f>IFERROR(VLOOKUP(DATA!#REF!,DATA!#REF!,1,FALSE),"")</f>
        <v/>
      </c>
      <c r="D2661" s="16" t="str">
        <f>IFERROR(VLOOKUP(C2661,DATA!#REF!,2,FALSE),"")</f>
        <v/>
      </c>
    </row>
    <row r="2662" spans="3:4" s="230" customFormat="1">
      <c r="C2662" s="16" t="str">
        <f>IFERROR(VLOOKUP(DATA!#REF!,DATA!#REF!,1,FALSE),"")</f>
        <v/>
      </c>
      <c r="D2662" s="16" t="str">
        <f>IFERROR(VLOOKUP(C2662,DATA!#REF!,2,FALSE),"")</f>
        <v/>
      </c>
    </row>
    <row r="2663" spans="3:4" s="230" customFormat="1">
      <c r="C2663" s="16" t="str">
        <f>IFERROR(VLOOKUP(DATA!#REF!,DATA!#REF!,1,FALSE),"")</f>
        <v/>
      </c>
      <c r="D2663" s="16" t="str">
        <f>IFERROR(VLOOKUP(C2663,DATA!#REF!,2,FALSE),"")</f>
        <v/>
      </c>
    </row>
    <row r="2664" spans="3:4" s="230" customFormat="1">
      <c r="C2664" s="16" t="str">
        <f>IFERROR(VLOOKUP(DATA!#REF!,DATA!#REF!,1,FALSE),"")</f>
        <v/>
      </c>
      <c r="D2664" s="16" t="str">
        <f>IFERROR(VLOOKUP(C2664,DATA!#REF!,2,FALSE),"")</f>
        <v/>
      </c>
    </row>
    <row r="2665" spans="3:4" s="230" customFormat="1">
      <c r="C2665" s="16" t="str">
        <f>IFERROR(VLOOKUP(DATA!#REF!,DATA!#REF!,1,FALSE),"")</f>
        <v/>
      </c>
      <c r="D2665" s="16" t="str">
        <f>IFERROR(VLOOKUP(C2665,DATA!#REF!,2,FALSE),"")</f>
        <v/>
      </c>
    </row>
    <row r="2666" spans="3:4" s="230" customFormat="1">
      <c r="C2666" s="16" t="str">
        <f>IFERROR(VLOOKUP(DATA!#REF!,DATA!#REF!,1,FALSE),"")</f>
        <v/>
      </c>
      <c r="D2666" s="16" t="str">
        <f>IFERROR(VLOOKUP(C2666,DATA!#REF!,2,FALSE),"")</f>
        <v/>
      </c>
    </row>
    <row r="2667" spans="3:4" s="230" customFormat="1">
      <c r="C2667" s="16" t="str">
        <f>IFERROR(VLOOKUP(DATA!#REF!,DATA!#REF!,1,FALSE),"")</f>
        <v/>
      </c>
      <c r="D2667" s="16" t="str">
        <f>IFERROR(VLOOKUP(C2667,DATA!#REF!,2,FALSE),"")</f>
        <v/>
      </c>
    </row>
    <row r="2668" spans="3:4" s="230" customFormat="1">
      <c r="C2668" s="16" t="str">
        <f>IFERROR(VLOOKUP(DATA!#REF!,DATA!#REF!,1,FALSE),"")</f>
        <v/>
      </c>
      <c r="D2668" s="16" t="str">
        <f>IFERROR(VLOOKUP(C2668,DATA!#REF!,2,FALSE),"")</f>
        <v/>
      </c>
    </row>
    <row r="2669" spans="3:4" s="230" customFormat="1">
      <c r="C2669" s="16" t="str">
        <f>IFERROR(VLOOKUP(DATA!#REF!,DATA!#REF!,1,FALSE),"")</f>
        <v/>
      </c>
      <c r="D2669" s="16" t="str">
        <f>IFERROR(VLOOKUP(C2669,DATA!#REF!,2,FALSE),"")</f>
        <v/>
      </c>
    </row>
    <row r="2670" spans="3:4" s="230" customFormat="1">
      <c r="C2670" s="16" t="str">
        <f>IFERROR(VLOOKUP(DATA!#REF!,DATA!#REF!,1,FALSE),"")</f>
        <v/>
      </c>
      <c r="D2670" s="16" t="str">
        <f>IFERROR(VLOOKUP(C2670,DATA!#REF!,2,FALSE),"")</f>
        <v/>
      </c>
    </row>
    <row r="2671" spans="3:4" s="230" customFormat="1">
      <c r="C2671" s="16" t="str">
        <f>IFERROR(VLOOKUP(DATA!#REF!,DATA!#REF!,1,FALSE),"")</f>
        <v/>
      </c>
      <c r="D2671" s="16" t="str">
        <f>IFERROR(VLOOKUP(C2671,DATA!#REF!,2,FALSE),"")</f>
        <v/>
      </c>
    </row>
    <row r="2672" spans="3:4" s="230" customFormat="1">
      <c r="C2672" s="16" t="str">
        <f>IFERROR(VLOOKUP(DATA!#REF!,DATA!#REF!,1,FALSE),"")</f>
        <v/>
      </c>
      <c r="D2672" s="16" t="str">
        <f>IFERROR(VLOOKUP(C2672,DATA!#REF!,2,FALSE),"")</f>
        <v/>
      </c>
    </row>
    <row r="2673" spans="3:4" s="230" customFormat="1">
      <c r="C2673" s="16" t="str">
        <f>IFERROR(VLOOKUP(DATA!#REF!,DATA!#REF!,1,FALSE),"")</f>
        <v/>
      </c>
      <c r="D2673" s="16" t="str">
        <f>IFERROR(VLOOKUP(C2673,DATA!#REF!,2,FALSE),"")</f>
        <v/>
      </c>
    </row>
    <row r="2674" spans="3:4" s="230" customFormat="1">
      <c r="C2674" s="16" t="str">
        <f>IFERROR(VLOOKUP(DATA!#REF!,DATA!#REF!,1,FALSE),"")</f>
        <v/>
      </c>
      <c r="D2674" s="16" t="str">
        <f>IFERROR(VLOOKUP(C2674,DATA!#REF!,2,FALSE),"")</f>
        <v/>
      </c>
    </row>
    <row r="2675" spans="3:4" s="230" customFormat="1">
      <c r="C2675" s="16" t="str">
        <f>IFERROR(VLOOKUP(DATA!#REF!,DATA!#REF!,1,FALSE),"")</f>
        <v/>
      </c>
      <c r="D2675" s="16" t="str">
        <f>IFERROR(VLOOKUP(C2675,DATA!#REF!,2,FALSE),"")</f>
        <v/>
      </c>
    </row>
    <row r="2676" spans="3:4" s="230" customFormat="1">
      <c r="C2676" s="16" t="str">
        <f>IFERROR(VLOOKUP(DATA!#REF!,DATA!#REF!,1,FALSE),"")</f>
        <v/>
      </c>
      <c r="D2676" s="16" t="str">
        <f>IFERROR(VLOOKUP(C2676,DATA!#REF!,2,FALSE),"")</f>
        <v/>
      </c>
    </row>
    <row r="2677" spans="3:4" s="230" customFormat="1">
      <c r="C2677" s="16" t="str">
        <f>IFERROR(VLOOKUP(DATA!#REF!,DATA!#REF!,1,FALSE),"")</f>
        <v/>
      </c>
      <c r="D2677" s="16" t="str">
        <f>IFERROR(VLOOKUP(C2677,DATA!#REF!,2,FALSE),"")</f>
        <v/>
      </c>
    </row>
    <row r="2678" spans="3:4" s="230" customFormat="1">
      <c r="C2678" s="16" t="str">
        <f>IFERROR(VLOOKUP(DATA!#REF!,DATA!#REF!,1,FALSE),"")</f>
        <v/>
      </c>
      <c r="D2678" s="16" t="str">
        <f>IFERROR(VLOOKUP(C2678,DATA!#REF!,2,FALSE),"")</f>
        <v/>
      </c>
    </row>
    <row r="2679" spans="3:4" s="230" customFormat="1">
      <c r="C2679" s="16" t="str">
        <f>IFERROR(VLOOKUP(DATA!#REF!,DATA!#REF!,1,FALSE),"")</f>
        <v/>
      </c>
      <c r="D2679" s="16" t="str">
        <f>IFERROR(VLOOKUP(C2679,DATA!#REF!,2,FALSE),"")</f>
        <v/>
      </c>
    </row>
    <row r="2680" spans="3:4" s="230" customFormat="1">
      <c r="C2680" s="16" t="str">
        <f>IFERROR(VLOOKUP(DATA!#REF!,DATA!#REF!,1,FALSE),"")</f>
        <v/>
      </c>
      <c r="D2680" s="16" t="str">
        <f>IFERROR(VLOOKUP(C2680,DATA!#REF!,2,FALSE),"")</f>
        <v/>
      </c>
    </row>
    <row r="2681" spans="3:4" s="230" customFormat="1">
      <c r="C2681" s="16" t="str">
        <f>IFERROR(VLOOKUP(DATA!#REF!,DATA!#REF!,1,FALSE),"")</f>
        <v/>
      </c>
      <c r="D2681" s="16" t="str">
        <f>IFERROR(VLOOKUP(C2681,DATA!#REF!,2,FALSE),"")</f>
        <v/>
      </c>
    </row>
    <row r="2682" spans="3:4" s="230" customFormat="1">
      <c r="C2682" s="16" t="str">
        <f>IFERROR(VLOOKUP(DATA!#REF!,DATA!#REF!,1,FALSE),"")</f>
        <v/>
      </c>
      <c r="D2682" s="16" t="str">
        <f>IFERROR(VLOOKUP(C2682,DATA!#REF!,2,FALSE),"")</f>
        <v/>
      </c>
    </row>
    <row r="2683" spans="3:4" s="230" customFormat="1">
      <c r="C2683" s="16" t="str">
        <f>IFERROR(VLOOKUP(DATA!#REF!,DATA!#REF!,1,FALSE),"")</f>
        <v/>
      </c>
      <c r="D2683" s="16" t="str">
        <f>IFERROR(VLOOKUP(C2683,DATA!#REF!,2,FALSE),"")</f>
        <v/>
      </c>
    </row>
    <row r="2684" spans="3:4" s="230" customFormat="1">
      <c r="C2684" s="16" t="str">
        <f>IFERROR(VLOOKUP(DATA!#REF!,DATA!#REF!,1,FALSE),"")</f>
        <v/>
      </c>
      <c r="D2684" s="16" t="str">
        <f>IFERROR(VLOOKUP(C2684,DATA!#REF!,2,FALSE),"")</f>
        <v/>
      </c>
    </row>
    <row r="2685" spans="3:4" s="230" customFormat="1">
      <c r="C2685" s="16" t="str">
        <f>IFERROR(VLOOKUP(DATA!#REF!,DATA!#REF!,1,FALSE),"")</f>
        <v/>
      </c>
      <c r="D2685" s="16" t="str">
        <f>IFERROR(VLOOKUP(C2685,DATA!#REF!,2,FALSE),"")</f>
        <v/>
      </c>
    </row>
    <row r="2686" spans="3:4" s="230" customFormat="1">
      <c r="C2686" s="16" t="str">
        <f>IFERROR(VLOOKUP(DATA!#REF!,DATA!#REF!,1,FALSE),"")</f>
        <v/>
      </c>
      <c r="D2686" s="16" t="str">
        <f>IFERROR(VLOOKUP(C2686,DATA!#REF!,2,FALSE),"")</f>
        <v/>
      </c>
    </row>
    <row r="2687" spans="3:4" s="230" customFormat="1">
      <c r="C2687" s="16" t="str">
        <f>IFERROR(VLOOKUP(DATA!#REF!,DATA!#REF!,1,FALSE),"")</f>
        <v/>
      </c>
      <c r="D2687" s="16" t="str">
        <f>IFERROR(VLOOKUP(C2687,DATA!#REF!,2,FALSE),"")</f>
        <v/>
      </c>
    </row>
    <row r="2688" spans="3:4" s="230" customFormat="1">
      <c r="C2688" s="16" t="str">
        <f>IFERROR(VLOOKUP(DATA!#REF!,DATA!#REF!,1,FALSE),"")</f>
        <v/>
      </c>
      <c r="D2688" s="16" t="str">
        <f>IFERROR(VLOOKUP(C2688,DATA!#REF!,2,FALSE),"")</f>
        <v/>
      </c>
    </row>
    <row r="2689" spans="3:4" s="230" customFormat="1">
      <c r="C2689" s="16" t="str">
        <f>IFERROR(VLOOKUP(DATA!#REF!,DATA!#REF!,1,FALSE),"")</f>
        <v/>
      </c>
      <c r="D2689" s="16" t="str">
        <f>IFERROR(VLOOKUP(C2689,DATA!#REF!,2,FALSE),"")</f>
        <v/>
      </c>
    </row>
    <row r="2690" spans="3:4" s="230" customFormat="1">
      <c r="C2690" s="16" t="str">
        <f>IFERROR(VLOOKUP(DATA!#REF!,DATA!#REF!,1,FALSE),"")</f>
        <v/>
      </c>
      <c r="D2690" s="16" t="str">
        <f>IFERROR(VLOOKUP(C2690,DATA!#REF!,2,FALSE),"")</f>
        <v/>
      </c>
    </row>
    <row r="2691" spans="3:4" s="230" customFormat="1">
      <c r="C2691" s="16" t="str">
        <f>IFERROR(VLOOKUP(DATA!#REF!,DATA!#REF!,1,FALSE),"")</f>
        <v/>
      </c>
      <c r="D2691" s="16" t="str">
        <f>IFERROR(VLOOKUP(C2691,DATA!#REF!,2,FALSE),"")</f>
        <v/>
      </c>
    </row>
    <row r="2692" spans="3:4" s="230" customFormat="1">
      <c r="C2692" s="16" t="str">
        <f>IFERROR(VLOOKUP(DATA!#REF!,DATA!#REF!,1,FALSE),"")</f>
        <v/>
      </c>
      <c r="D2692" s="16" t="str">
        <f>IFERROR(VLOOKUP(C2692,DATA!#REF!,2,FALSE),"")</f>
        <v/>
      </c>
    </row>
    <row r="2693" spans="3:4" s="230" customFormat="1">
      <c r="C2693" s="16" t="str">
        <f>IFERROR(VLOOKUP(DATA!#REF!,DATA!#REF!,1,FALSE),"")</f>
        <v/>
      </c>
      <c r="D2693" s="16" t="str">
        <f>IFERROR(VLOOKUP(C2693,DATA!#REF!,2,FALSE),"")</f>
        <v/>
      </c>
    </row>
    <row r="2694" spans="3:4" s="230" customFormat="1">
      <c r="C2694" s="16" t="str">
        <f>IFERROR(VLOOKUP(DATA!#REF!,DATA!#REF!,1,FALSE),"")</f>
        <v/>
      </c>
      <c r="D2694" s="16" t="str">
        <f>IFERROR(VLOOKUP(C2694,DATA!#REF!,2,FALSE),"")</f>
        <v/>
      </c>
    </row>
    <row r="2695" spans="3:4" s="230" customFormat="1">
      <c r="C2695" s="16" t="str">
        <f>IFERROR(VLOOKUP(DATA!#REF!,DATA!#REF!,1,FALSE),"")</f>
        <v/>
      </c>
      <c r="D2695" s="16" t="str">
        <f>IFERROR(VLOOKUP(C2695,DATA!#REF!,2,FALSE),"")</f>
        <v/>
      </c>
    </row>
    <row r="2696" spans="3:4" s="230" customFormat="1">
      <c r="C2696" s="16" t="str">
        <f>IFERROR(VLOOKUP(DATA!#REF!,DATA!#REF!,1,FALSE),"")</f>
        <v/>
      </c>
      <c r="D2696" s="16" t="str">
        <f>IFERROR(VLOOKUP(C2696,DATA!#REF!,2,FALSE),"")</f>
        <v/>
      </c>
    </row>
    <row r="2697" spans="3:4" s="230" customFormat="1">
      <c r="C2697" s="16" t="str">
        <f>IFERROR(VLOOKUP(DATA!#REF!,DATA!#REF!,1,FALSE),"")</f>
        <v/>
      </c>
      <c r="D2697" s="16" t="str">
        <f>IFERROR(VLOOKUP(C2697,DATA!#REF!,2,FALSE),"")</f>
        <v/>
      </c>
    </row>
    <row r="2698" spans="3:4" s="230" customFormat="1">
      <c r="C2698" s="16" t="str">
        <f>IFERROR(VLOOKUP(DATA!#REF!,DATA!#REF!,1,FALSE),"")</f>
        <v/>
      </c>
      <c r="D2698" s="16" t="str">
        <f>IFERROR(VLOOKUP(C2698,DATA!#REF!,2,FALSE),"")</f>
        <v/>
      </c>
    </row>
    <row r="2699" spans="3:4" s="230" customFormat="1">
      <c r="C2699" s="16" t="str">
        <f>IFERROR(VLOOKUP(DATA!#REF!,DATA!#REF!,1,FALSE),"")</f>
        <v/>
      </c>
      <c r="D2699" s="16" t="str">
        <f>IFERROR(VLOOKUP(C2699,DATA!#REF!,2,FALSE),"")</f>
        <v/>
      </c>
    </row>
    <row r="2700" spans="3:4" s="230" customFormat="1">
      <c r="C2700" s="16" t="str">
        <f>IFERROR(VLOOKUP(DATA!#REF!,DATA!#REF!,1,FALSE),"")</f>
        <v/>
      </c>
      <c r="D2700" s="16" t="str">
        <f>IFERROR(VLOOKUP(C2700,DATA!#REF!,2,FALSE),"")</f>
        <v/>
      </c>
    </row>
    <row r="2701" spans="3:4" s="230" customFormat="1">
      <c r="C2701" s="16" t="str">
        <f>IFERROR(VLOOKUP(DATA!#REF!,DATA!#REF!,1,FALSE),"")</f>
        <v/>
      </c>
      <c r="D2701" s="16" t="str">
        <f>IFERROR(VLOOKUP(C2701,DATA!#REF!,2,FALSE),"")</f>
        <v/>
      </c>
    </row>
    <row r="2702" spans="3:4" s="230" customFormat="1">
      <c r="C2702" s="16" t="str">
        <f>IFERROR(VLOOKUP(DATA!#REF!,DATA!#REF!,1,FALSE),"")</f>
        <v/>
      </c>
      <c r="D2702" s="16" t="str">
        <f>IFERROR(VLOOKUP(C2702,DATA!#REF!,2,FALSE),"")</f>
        <v/>
      </c>
    </row>
    <row r="2703" spans="3:4" s="230" customFormat="1">
      <c r="C2703" s="16" t="str">
        <f>IFERROR(VLOOKUP(DATA!#REF!,DATA!#REF!,1,FALSE),"")</f>
        <v/>
      </c>
      <c r="D2703" s="16" t="str">
        <f>IFERROR(VLOOKUP(C2703,DATA!#REF!,2,FALSE),"")</f>
        <v/>
      </c>
    </row>
    <row r="2704" spans="3:4" s="230" customFormat="1">
      <c r="C2704" s="16" t="str">
        <f>IFERROR(VLOOKUP(DATA!#REF!,DATA!#REF!,1,FALSE),"")</f>
        <v/>
      </c>
      <c r="D2704" s="16" t="str">
        <f>IFERROR(VLOOKUP(C2704,DATA!#REF!,2,FALSE),"")</f>
        <v/>
      </c>
    </row>
    <row r="2705" spans="3:4" s="230" customFormat="1">
      <c r="C2705" s="16" t="str">
        <f>IFERROR(VLOOKUP(DATA!#REF!,DATA!#REF!,1,FALSE),"")</f>
        <v/>
      </c>
      <c r="D2705" s="16" t="str">
        <f>IFERROR(VLOOKUP(C2705,DATA!#REF!,2,FALSE),"")</f>
        <v/>
      </c>
    </row>
    <row r="2706" spans="3:4" s="230" customFormat="1">
      <c r="C2706" s="16" t="str">
        <f>IFERROR(VLOOKUP(DATA!#REF!,DATA!#REF!,1,FALSE),"")</f>
        <v/>
      </c>
      <c r="D2706" s="16" t="str">
        <f>IFERROR(VLOOKUP(C2706,DATA!#REF!,2,FALSE),"")</f>
        <v/>
      </c>
    </row>
    <row r="2707" spans="3:4" s="230" customFormat="1">
      <c r="C2707" s="16" t="str">
        <f>IFERROR(VLOOKUP(DATA!#REF!,DATA!#REF!,1,FALSE),"")</f>
        <v/>
      </c>
      <c r="D2707" s="16" t="str">
        <f>IFERROR(VLOOKUP(C2707,DATA!#REF!,2,FALSE),"")</f>
        <v/>
      </c>
    </row>
    <row r="2708" spans="3:4" s="230" customFormat="1">
      <c r="C2708" s="16" t="str">
        <f>IFERROR(VLOOKUP(DATA!#REF!,DATA!#REF!,1,FALSE),"")</f>
        <v/>
      </c>
      <c r="D2708" s="16" t="str">
        <f>IFERROR(VLOOKUP(C2708,DATA!#REF!,2,FALSE),"")</f>
        <v/>
      </c>
    </row>
    <row r="2709" spans="3:4" s="230" customFormat="1">
      <c r="C2709" s="16" t="str">
        <f>IFERROR(VLOOKUP(DATA!#REF!,DATA!#REF!,1,FALSE),"")</f>
        <v/>
      </c>
      <c r="D2709" s="16" t="str">
        <f>IFERROR(VLOOKUP(C2709,DATA!#REF!,2,FALSE),"")</f>
        <v/>
      </c>
    </row>
    <row r="2710" spans="3:4" s="230" customFormat="1">
      <c r="C2710" s="16" t="str">
        <f>IFERROR(VLOOKUP(DATA!#REF!,DATA!#REF!,1,FALSE),"")</f>
        <v/>
      </c>
      <c r="D2710" s="16" t="str">
        <f>IFERROR(VLOOKUP(C2710,DATA!#REF!,2,FALSE),"")</f>
        <v/>
      </c>
    </row>
    <row r="2711" spans="3:4" s="230" customFormat="1">
      <c r="C2711" s="16" t="str">
        <f>IFERROR(VLOOKUP(DATA!#REF!,DATA!#REF!,1,FALSE),"")</f>
        <v/>
      </c>
      <c r="D2711" s="16" t="str">
        <f>IFERROR(VLOOKUP(C2711,DATA!#REF!,2,FALSE),"")</f>
        <v/>
      </c>
    </row>
    <row r="2712" spans="3:4" s="230" customFormat="1">
      <c r="C2712" s="16" t="str">
        <f>IFERROR(VLOOKUP(DATA!#REF!,DATA!#REF!,1,FALSE),"")</f>
        <v/>
      </c>
      <c r="D2712" s="16" t="str">
        <f>IFERROR(VLOOKUP(C2712,DATA!#REF!,2,FALSE),"")</f>
        <v/>
      </c>
    </row>
    <row r="2713" spans="3:4" s="230" customFormat="1">
      <c r="C2713" s="16" t="str">
        <f>IFERROR(VLOOKUP(DATA!#REF!,DATA!#REF!,1,FALSE),"")</f>
        <v/>
      </c>
      <c r="D2713" s="16" t="str">
        <f>IFERROR(VLOOKUP(C2713,DATA!#REF!,2,FALSE),"")</f>
        <v/>
      </c>
    </row>
    <row r="2714" spans="3:4" s="230" customFormat="1">
      <c r="C2714" s="16" t="str">
        <f>IFERROR(VLOOKUP(DATA!#REF!,DATA!#REF!,1,FALSE),"")</f>
        <v/>
      </c>
      <c r="D2714" s="16" t="str">
        <f>IFERROR(VLOOKUP(C2714,DATA!#REF!,2,FALSE),"")</f>
        <v/>
      </c>
    </row>
    <row r="2715" spans="3:4" s="230" customFormat="1">
      <c r="C2715" s="16" t="str">
        <f>IFERROR(VLOOKUP(DATA!#REF!,DATA!#REF!,1,FALSE),"")</f>
        <v/>
      </c>
      <c r="D2715" s="16" t="str">
        <f>IFERROR(VLOOKUP(C2715,DATA!#REF!,2,FALSE),"")</f>
        <v/>
      </c>
    </row>
    <row r="2716" spans="3:4" s="230" customFormat="1">
      <c r="C2716" s="16" t="str">
        <f>IFERROR(VLOOKUP(DATA!#REF!,DATA!#REF!,1,FALSE),"")</f>
        <v/>
      </c>
      <c r="D2716" s="16" t="str">
        <f>IFERROR(VLOOKUP(C2716,DATA!#REF!,2,FALSE),"")</f>
        <v/>
      </c>
    </row>
    <row r="2717" spans="3:4" s="230" customFormat="1">
      <c r="C2717" s="16" t="str">
        <f>IFERROR(VLOOKUP(DATA!#REF!,DATA!#REF!,1,FALSE),"")</f>
        <v/>
      </c>
      <c r="D2717" s="16" t="str">
        <f>IFERROR(VLOOKUP(C2717,DATA!#REF!,2,FALSE),"")</f>
        <v/>
      </c>
    </row>
    <row r="2718" spans="3:4" s="230" customFormat="1">
      <c r="C2718" s="16" t="str">
        <f>IFERROR(VLOOKUP(DATA!#REF!,DATA!#REF!,1,FALSE),"")</f>
        <v/>
      </c>
      <c r="D2718" s="16" t="str">
        <f>IFERROR(VLOOKUP(C2718,DATA!#REF!,2,FALSE),"")</f>
        <v/>
      </c>
    </row>
    <row r="2719" spans="3:4" s="230" customFormat="1">
      <c r="C2719" s="16" t="str">
        <f>IFERROR(VLOOKUP(DATA!#REF!,DATA!#REF!,1,FALSE),"")</f>
        <v/>
      </c>
      <c r="D2719" s="16" t="str">
        <f>IFERROR(VLOOKUP(C2719,DATA!#REF!,2,FALSE),"")</f>
        <v/>
      </c>
    </row>
    <row r="2720" spans="3:4" s="230" customFormat="1">
      <c r="C2720" s="16" t="str">
        <f>IFERROR(VLOOKUP(DATA!#REF!,DATA!#REF!,1,FALSE),"")</f>
        <v/>
      </c>
      <c r="D2720" s="16" t="str">
        <f>IFERROR(VLOOKUP(C2720,DATA!#REF!,2,FALSE),"")</f>
        <v/>
      </c>
    </row>
    <row r="2721" spans="3:4" s="230" customFormat="1">
      <c r="C2721" s="16" t="str">
        <f>IFERROR(VLOOKUP(DATA!#REF!,DATA!#REF!,1,FALSE),"")</f>
        <v/>
      </c>
      <c r="D2721" s="16" t="str">
        <f>IFERROR(VLOOKUP(C2721,DATA!#REF!,2,FALSE),"")</f>
        <v/>
      </c>
    </row>
    <row r="2722" spans="3:4" s="230" customFormat="1">
      <c r="C2722" s="16" t="str">
        <f>IFERROR(VLOOKUP(DATA!#REF!,DATA!#REF!,1,FALSE),"")</f>
        <v/>
      </c>
      <c r="D2722" s="16" t="str">
        <f>IFERROR(VLOOKUP(C2722,DATA!#REF!,2,FALSE),"")</f>
        <v/>
      </c>
    </row>
    <row r="2723" spans="3:4" s="230" customFormat="1">
      <c r="C2723" s="16" t="str">
        <f>IFERROR(VLOOKUP(DATA!#REF!,DATA!#REF!,1,FALSE),"")</f>
        <v/>
      </c>
      <c r="D2723" s="16" t="str">
        <f>IFERROR(VLOOKUP(C2723,DATA!#REF!,2,FALSE),"")</f>
        <v/>
      </c>
    </row>
    <row r="2724" spans="3:4" s="230" customFormat="1">
      <c r="C2724" s="16" t="str">
        <f>IFERROR(VLOOKUP(DATA!#REF!,DATA!#REF!,1,FALSE),"")</f>
        <v/>
      </c>
      <c r="D2724" s="16" t="str">
        <f>IFERROR(VLOOKUP(C2724,DATA!#REF!,2,FALSE),"")</f>
        <v/>
      </c>
    </row>
    <row r="2725" spans="3:4" s="230" customFormat="1">
      <c r="C2725" s="16" t="str">
        <f>IFERROR(VLOOKUP(DATA!#REF!,DATA!#REF!,1,FALSE),"")</f>
        <v/>
      </c>
      <c r="D2725" s="16" t="str">
        <f>IFERROR(VLOOKUP(C2725,DATA!#REF!,2,FALSE),"")</f>
        <v/>
      </c>
    </row>
    <row r="2726" spans="3:4" s="230" customFormat="1">
      <c r="C2726" s="16" t="str">
        <f>IFERROR(VLOOKUP(DATA!#REF!,DATA!#REF!,1,FALSE),"")</f>
        <v/>
      </c>
      <c r="D2726" s="16" t="str">
        <f>IFERROR(VLOOKUP(C2726,DATA!#REF!,2,FALSE),"")</f>
        <v/>
      </c>
    </row>
    <row r="2727" spans="3:4" s="230" customFormat="1">
      <c r="C2727" s="16" t="str">
        <f>IFERROR(VLOOKUP(DATA!#REF!,DATA!#REF!,1,FALSE),"")</f>
        <v/>
      </c>
      <c r="D2727" s="16" t="str">
        <f>IFERROR(VLOOKUP(C2727,DATA!#REF!,2,FALSE),"")</f>
        <v/>
      </c>
    </row>
    <row r="2728" spans="3:4" s="230" customFormat="1">
      <c r="C2728" s="16" t="str">
        <f>IFERROR(VLOOKUP(DATA!#REF!,DATA!#REF!,1,FALSE),"")</f>
        <v/>
      </c>
      <c r="D2728" s="16" t="str">
        <f>IFERROR(VLOOKUP(C2728,DATA!#REF!,2,FALSE),"")</f>
        <v/>
      </c>
    </row>
    <row r="2729" spans="3:4" s="230" customFormat="1">
      <c r="C2729" s="16" t="str">
        <f>IFERROR(VLOOKUP(DATA!#REF!,DATA!#REF!,1,FALSE),"")</f>
        <v/>
      </c>
      <c r="D2729" s="16" t="str">
        <f>IFERROR(VLOOKUP(C2729,DATA!#REF!,2,FALSE),"")</f>
        <v/>
      </c>
    </row>
    <row r="2730" spans="3:4" s="230" customFormat="1">
      <c r="C2730" s="16" t="str">
        <f>IFERROR(VLOOKUP(DATA!#REF!,DATA!#REF!,1,FALSE),"")</f>
        <v/>
      </c>
      <c r="D2730" s="16" t="str">
        <f>IFERROR(VLOOKUP(C2730,DATA!#REF!,2,FALSE),"")</f>
        <v/>
      </c>
    </row>
    <row r="2731" spans="3:4" s="230" customFormat="1">
      <c r="C2731" s="16" t="str">
        <f>IFERROR(VLOOKUP(DATA!#REF!,DATA!#REF!,1,FALSE),"")</f>
        <v/>
      </c>
      <c r="D2731" s="16" t="str">
        <f>IFERROR(VLOOKUP(C2731,DATA!#REF!,2,FALSE),"")</f>
        <v/>
      </c>
    </row>
    <row r="2732" spans="3:4" s="230" customFormat="1">
      <c r="C2732" s="16" t="str">
        <f>IFERROR(VLOOKUP(DATA!#REF!,DATA!#REF!,1,FALSE),"")</f>
        <v/>
      </c>
      <c r="D2732" s="16" t="str">
        <f>IFERROR(VLOOKUP(C2732,DATA!#REF!,2,FALSE),"")</f>
        <v/>
      </c>
    </row>
    <row r="2733" spans="3:4" s="230" customFormat="1">
      <c r="C2733" s="16" t="str">
        <f>IFERROR(VLOOKUP(DATA!#REF!,DATA!#REF!,1,FALSE),"")</f>
        <v/>
      </c>
      <c r="D2733" s="16" t="str">
        <f>IFERROR(VLOOKUP(C2733,DATA!#REF!,2,FALSE),"")</f>
        <v/>
      </c>
    </row>
    <row r="2734" spans="3:4" s="230" customFormat="1">
      <c r="C2734" s="16" t="str">
        <f>IFERROR(VLOOKUP(DATA!#REF!,DATA!#REF!,1,FALSE),"")</f>
        <v/>
      </c>
      <c r="D2734" s="16" t="str">
        <f>IFERROR(VLOOKUP(C2734,DATA!#REF!,2,FALSE),"")</f>
        <v/>
      </c>
    </row>
    <row r="2735" spans="3:4" s="230" customFormat="1">
      <c r="C2735" s="16" t="str">
        <f>IFERROR(VLOOKUP(DATA!#REF!,DATA!#REF!,1,FALSE),"")</f>
        <v/>
      </c>
      <c r="D2735" s="16" t="str">
        <f>IFERROR(VLOOKUP(C2735,DATA!#REF!,2,FALSE),"")</f>
        <v/>
      </c>
    </row>
    <row r="2736" spans="3:4" s="230" customFormat="1">
      <c r="C2736" s="16" t="str">
        <f>IFERROR(VLOOKUP(DATA!#REF!,DATA!#REF!,1,FALSE),"")</f>
        <v/>
      </c>
      <c r="D2736" s="16" t="str">
        <f>IFERROR(VLOOKUP(C2736,DATA!#REF!,2,FALSE),"")</f>
        <v/>
      </c>
    </row>
    <row r="2737" spans="3:4" s="230" customFormat="1">
      <c r="C2737" s="16" t="str">
        <f>IFERROR(VLOOKUP(DATA!#REF!,DATA!#REF!,1,FALSE),"")</f>
        <v/>
      </c>
      <c r="D2737" s="16" t="str">
        <f>IFERROR(VLOOKUP(C2737,DATA!#REF!,2,FALSE),"")</f>
        <v/>
      </c>
    </row>
    <row r="2738" spans="3:4" s="230" customFormat="1">
      <c r="C2738" s="16" t="str">
        <f>IFERROR(VLOOKUP(DATA!#REF!,DATA!#REF!,1,FALSE),"")</f>
        <v/>
      </c>
      <c r="D2738" s="16" t="str">
        <f>IFERROR(VLOOKUP(C2738,DATA!#REF!,2,FALSE),"")</f>
        <v/>
      </c>
    </row>
    <row r="2739" spans="3:4" s="230" customFormat="1">
      <c r="C2739" s="16" t="str">
        <f>IFERROR(VLOOKUP(DATA!#REF!,DATA!#REF!,1,FALSE),"")</f>
        <v/>
      </c>
      <c r="D2739" s="16" t="str">
        <f>IFERROR(VLOOKUP(C2739,DATA!#REF!,2,FALSE),"")</f>
        <v/>
      </c>
    </row>
    <row r="2740" spans="3:4" s="230" customFormat="1">
      <c r="C2740" s="16" t="str">
        <f>IFERROR(VLOOKUP(DATA!#REF!,DATA!#REF!,1,FALSE),"")</f>
        <v/>
      </c>
      <c r="D2740" s="16" t="str">
        <f>IFERROR(VLOOKUP(C2740,DATA!#REF!,2,FALSE),"")</f>
        <v/>
      </c>
    </row>
    <row r="2741" spans="3:4" s="230" customFormat="1">
      <c r="C2741" s="16" t="str">
        <f>IFERROR(VLOOKUP(DATA!#REF!,DATA!#REF!,1,FALSE),"")</f>
        <v/>
      </c>
      <c r="D2741" s="16" t="str">
        <f>IFERROR(VLOOKUP(C2741,DATA!#REF!,2,FALSE),"")</f>
        <v/>
      </c>
    </row>
    <row r="2742" spans="3:4" s="230" customFormat="1">
      <c r="C2742" s="16" t="str">
        <f>IFERROR(VLOOKUP(DATA!#REF!,DATA!#REF!,1,FALSE),"")</f>
        <v/>
      </c>
      <c r="D2742" s="16" t="str">
        <f>IFERROR(VLOOKUP(C2742,DATA!#REF!,2,FALSE),"")</f>
        <v/>
      </c>
    </row>
    <row r="2743" spans="3:4" s="230" customFormat="1">
      <c r="C2743" s="16" t="str">
        <f>IFERROR(VLOOKUP(DATA!#REF!,DATA!#REF!,1,FALSE),"")</f>
        <v/>
      </c>
      <c r="D2743" s="16" t="str">
        <f>IFERROR(VLOOKUP(C2743,DATA!#REF!,2,FALSE),"")</f>
        <v/>
      </c>
    </row>
    <row r="2744" spans="3:4" s="230" customFormat="1">
      <c r="C2744" s="16" t="str">
        <f>IFERROR(VLOOKUP(DATA!#REF!,DATA!#REF!,1,FALSE),"")</f>
        <v/>
      </c>
      <c r="D2744" s="16" t="str">
        <f>IFERROR(VLOOKUP(C2744,DATA!#REF!,2,FALSE),"")</f>
        <v/>
      </c>
    </row>
    <row r="2745" spans="3:4" s="230" customFormat="1">
      <c r="C2745" s="16" t="str">
        <f>IFERROR(VLOOKUP(DATA!#REF!,DATA!#REF!,1,FALSE),"")</f>
        <v/>
      </c>
      <c r="D2745" s="16" t="str">
        <f>IFERROR(VLOOKUP(C2745,DATA!#REF!,2,FALSE),"")</f>
        <v/>
      </c>
    </row>
    <row r="2746" spans="3:4" s="230" customFormat="1">
      <c r="C2746" s="16" t="str">
        <f>IFERROR(VLOOKUP(DATA!#REF!,DATA!#REF!,1,FALSE),"")</f>
        <v/>
      </c>
      <c r="D2746" s="16" t="str">
        <f>IFERROR(VLOOKUP(C2746,DATA!#REF!,2,FALSE),"")</f>
        <v/>
      </c>
    </row>
    <row r="2747" spans="3:4" s="230" customFormat="1">
      <c r="C2747" s="16" t="str">
        <f>IFERROR(VLOOKUP(DATA!#REF!,DATA!#REF!,1,FALSE),"")</f>
        <v/>
      </c>
      <c r="D2747" s="16" t="str">
        <f>IFERROR(VLOOKUP(C2747,DATA!#REF!,2,FALSE),"")</f>
        <v/>
      </c>
    </row>
    <row r="2748" spans="3:4" s="230" customFormat="1">
      <c r="C2748" s="16" t="str">
        <f>IFERROR(VLOOKUP(DATA!#REF!,DATA!#REF!,1,FALSE),"")</f>
        <v/>
      </c>
      <c r="D2748" s="16" t="str">
        <f>IFERROR(VLOOKUP(C2748,DATA!#REF!,2,FALSE),"")</f>
        <v/>
      </c>
    </row>
    <row r="2749" spans="3:4" s="230" customFormat="1">
      <c r="C2749" s="16" t="str">
        <f>IFERROR(VLOOKUP(DATA!#REF!,DATA!#REF!,1,FALSE),"")</f>
        <v/>
      </c>
      <c r="D2749" s="16" t="str">
        <f>IFERROR(VLOOKUP(C2749,DATA!#REF!,2,FALSE),"")</f>
        <v/>
      </c>
    </row>
    <row r="2750" spans="3:4" s="230" customFormat="1">
      <c r="C2750" s="16" t="str">
        <f>IFERROR(VLOOKUP(DATA!#REF!,DATA!#REF!,1,FALSE),"")</f>
        <v/>
      </c>
      <c r="D2750" s="16" t="str">
        <f>IFERROR(VLOOKUP(C2750,DATA!#REF!,2,FALSE),"")</f>
        <v/>
      </c>
    </row>
    <row r="2751" spans="3:4" s="230" customFormat="1">
      <c r="C2751" s="16" t="str">
        <f>IFERROR(VLOOKUP(DATA!#REF!,DATA!#REF!,1,FALSE),"")</f>
        <v/>
      </c>
      <c r="D2751" s="16" t="str">
        <f>IFERROR(VLOOKUP(C2751,DATA!#REF!,2,FALSE),"")</f>
        <v/>
      </c>
    </row>
    <row r="2752" spans="3:4" s="230" customFormat="1">
      <c r="C2752" s="16" t="str">
        <f>IFERROR(VLOOKUP(DATA!#REF!,DATA!#REF!,1,FALSE),"")</f>
        <v/>
      </c>
      <c r="D2752" s="16" t="str">
        <f>IFERROR(VLOOKUP(C2752,DATA!#REF!,2,FALSE),"")</f>
        <v/>
      </c>
    </row>
    <row r="2753" spans="3:4" s="230" customFormat="1">
      <c r="C2753" s="16" t="str">
        <f>IFERROR(VLOOKUP(DATA!#REF!,DATA!#REF!,1,FALSE),"")</f>
        <v/>
      </c>
      <c r="D2753" s="16" t="str">
        <f>IFERROR(VLOOKUP(C2753,DATA!#REF!,2,FALSE),"")</f>
        <v/>
      </c>
    </row>
    <row r="2754" spans="3:4" s="230" customFormat="1">
      <c r="C2754" s="16" t="str">
        <f>IFERROR(VLOOKUP(DATA!#REF!,DATA!#REF!,1,FALSE),"")</f>
        <v/>
      </c>
      <c r="D2754" s="16" t="str">
        <f>IFERROR(VLOOKUP(C2754,DATA!#REF!,2,FALSE),"")</f>
        <v/>
      </c>
    </row>
    <row r="2755" spans="3:4" s="230" customFormat="1">
      <c r="C2755" s="16" t="str">
        <f>IFERROR(VLOOKUP(DATA!#REF!,DATA!#REF!,1,FALSE),"")</f>
        <v/>
      </c>
      <c r="D2755" s="16" t="str">
        <f>IFERROR(VLOOKUP(C2755,DATA!#REF!,2,FALSE),"")</f>
        <v/>
      </c>
    </row>
    <row r="2756" spans="3:4" s="230" customFormat="1">
      <c r="C2756" s="16" t="str">
        <f>IFERROR(VLOOKUP(DATA!#REF!,DATA!#REF!,1,FALSE),"")</f>
        <v/>
      </c>
      <c r="D2756" s="16" t="str">
        <f>IFERROR(VLOOKUP(C2756,DATA!#REF!,2,FALSE),"")</f>
        <v/>
      </c>
    </row>
    <row r="2757" spans="3:4" s="230" customFormat="1">
      <c r="C2757" s="16" t="str">
        <f>IFERROR(VLOOKUP(DATA!#REF!,DATA!#REF!,1,FALSE),"")</f>
        <v/>
      </c>
      <c r="D2757" s="16" t="str">
        <f>IFERROR(VLOOKUP(C2757,DATA!#REF!,2,FALSE),"")</f>
        <v/>
      </c>
    </row>
    <row r="2758" spans="3:4" s="230" customFormat="1">
      <c r="C2758" s="16" t="str">
        <f>IFERROR(VLOOKUP(DATA!#REF!,DATA!#REF!,1,FALSE),"")</f>
        <v/>
      </c>
      <c r="D2758" s="16" t="str">
        <f>IFERROR(VLOOKUP(C2758,DATA!#REF!,2,FALSE),"")</f>
        <v/>
      </c>
    </row>
    <row r="2759" spans="3:4" s="230" customFormat="1">
      <c r="C2759" s="16" t="str">
        <f>IFERROR(VLOOKUP(DATA!#REF!,DATA!#REF!,1,FALSE),"")</f>
        <v/>
      </c>
      <c r="D2759" s="16" t="str">
        <f>IFERROR(VLOOKUP(C2759,DATA!#REF!,2,FALSE),"")</f>
        <v/>
      </c>
    </row>
    <row r="2760" spans="3:4" s="230" customFormat="1">
      <c r="C2760" s="16" t="str">
        <f>IFERROR(VLOOKUP(DATA!#REF!,DATA!#REF!,1,FALSE),"")</f>
        <v/>
      </c>
      <c r="D2760" s="16" t="str">
        <f>IFERROR(VLOOKUP(C2760,DATA!#REF!,2,FALSE),"")</f>
        <v/>
      </c>
    </row>
    <row r="2761" spans="3:4" s="230" customFormat="1">
      <c r="C2761" s="16" t="str">
        <f>IFERROR(VLOOKUP(DATA!#REF!,DATA!#REF!,1,FALSE),"")</f>
        <v/>
      </c>
      <c r="D2761" s="16" t="str">
        <f>IFERROR(VLOOKUP(C2761,DATA!#REF!,2,FALSE),"")</f>
        <v/>
      </c>
    </row>
    <row r="2762" spans="3:4" s="230" customFormat="1">
      <c r="C2762" s="16" t="str">
        <f>IFERROR(VLOOKUP(DATA!#REF!,DATA!#REF!,1,FALSE),"")</f>
        <v/>
      </c>
      <c r="D2762" s="16" t="str">
        <f>IFERROR(VLOOKUP(C2762,DATA!#REF!,2,FALSE),"")</f>
        <v/>
      </c>
    </row>
    <row r="2763" spans="3:4" s="230" customFormat="1">
      <c r="C2763" s="16" t="str">
        <f>IFERROR(VLOOKUP(DATA!#REF!,DATA!#REF!,1,FALSE),"")</f>
        <v/>
      </c>
      <c r="D2763" s="16" t="str">
        <f>IFERROR(VLOOKUP(C2763,DATA!#REF!,2,FALSE),"")</f>
        <v/>
      </c>
    </row>
    <row r="2764" spans="3:4" s="230" customFormat="1">
      <c r="C2764" s="16" t="str">
        <f>IFERROR(VLOOKUP(DATA!#REF!,DATA!#REF!,1,FALSE),"")</f>
        <v/>
      </c>
      <c r="D2764" s="16" t="str">
        <f>IFERROR(VLOOKUP(C2764,DATA!#REF!,2,FALSE),"")</f>
        <v/>
      </c>
    </row>
    <row r="2765" spans="3:4" s="230" customFormat="1">
      <c r="C2765" s="16" t="str">
        <f>IFERROR(VLOOKUP(DATA!#REF!,DATA!#REF!,1,FALSE),"")</f>
        <v/>
      </c>
      <c r="D2765" s="16" t="str">
        <f>IFERROR(VLOOKUP(C2765,DATA!#REF!,2,FALSE),"")</f>
        <v/>
      </c>
    </row>
    <row r="2766" spans="3:4" s="230" customFormat="1">
      <c r="C2766" s="16" t="str">
        <f>IFERROR(VLOOKUP(DATA!#REF!,DATA!#REF!,1,FALSE),"")</f>
        <v/>
      </c>
      <c r="D2766" s="16" t="str">
        <f>IFERROR(VLOOKUP(C2766,DATA!#REF!,2,FALSE),"")</f>
        <v/>
      </c>
    </row>
    <row r="2767" spans="3:4" s="230" customFormat="1">
      <c r="C2767" s="16" t="str">
        <f>IFERROR(VLOOKUP(DATA!#REF!,DATA!#REF!,1,FALSE),"")</f>
        <v/>
      </c>
      <c r="D2767" s="16" t="str">
        <f>IFERROR(VLOOKUP(C2767,DATA!#REF!,2,FALSE),"")</f>
        <v/>
      </c>
    </row>
    <row r="2768" spans="3:4" s="230" customFormat="1">
      <c r="C2768" s="16" t="str">
        <f>IFERROR(VLOOKUP(DATA!#REF!,DATA!#REF!,1,FALSE),"")</f>
        <v/>
      </c>
      <c r="D2768" s="16" t="str">
        <f>IFERROR(VLOOKUP(C2768,DATA!#REF!,2,FALSE),"")</f>
        <v/>
      </c>
    </row>
    <row r="2769" spans="3:4" s="230" customFormat="1">
      <c r="C2769" s="16" t="str">
        <f>IFERROR(VLOOKUP(DATA!#REF!,DATA!#REF!,1,FALSE),"")</f>
        <v/>
      </c>
      <c r="D2769" s="16" t="str">
        <f>IFERROR(VLOOKUP(C2769,DATA!#REF!,2,FALSE),"")</f>
        <v/>
      </c>
    </row>
    <row r="2770" spans="3:4" s="230" customFormat="1">
      <c r="C2770" s="16" t="str">
        <f>IFERROR(VLOOKUP(DATA!#REF!,DATA!#REF!,1,FALSE),"")</f>
        <v/>
      </c>
      <c r="D2770" s="16" t="str">
        <f>IFERROR(VLOOKUP(C2770,DATA!#REF!,2,FALSE),"")</f>
        <v/>
      </c>
    </row>
    <row r="2771" spans="3:4" s="230" customFormat="1">
      <c r="C2771" s="16" t="str">
        <f>IFERROR(VLOOKUP(DATA!#REF!,DATA!#REF!,1,FALSE),"")</f>
        <v/>
      </c>
      <c r="D2771" s="16" t="str">
        <f>IFERROR(VLOOKUP(C2771,DATA!#REF!,2,FALSE),"")</f>
        <v/>
      </c>
    </row>
    <row r="2772" spans="3:4" s="230" customFormat="1">
      <c r="C2772" s="16" t="str">
        <f>IFERROR(VLOOKUP(DATA!#REF!,DATA!#REF!,1,FALSE),"")</f>
        <v/>
      </c>
      <c r="D2772" s="16" t="str">
        <f>IFERROR(VLOOKUP(C2772,DATA!#REF!,2,FALSE),"")</f>
        <v/>
      </c>
    </row>
    <row r="2773" spans="3:4" s="230" customFormat="1">
      <c r="C2773" s="16" t="str">
        <f>IFERROR(VLOOKUP(DATA!#REF!,DATA!#REF!,1,FALSE),"")</f>
        <v/>
      </c>
      <c r="D2773" s="16" t="str">
        <f>IFERROR(VLOOKUP(C2773,DATA!#REF!,2,FALSE),"")</f>
        <v/>
      </c>
    </row>
    <row r="2774" spans="3:4" s="230" customFormat="1">
      <c r="C2774" s="16" t="str">
        <f>IFERROR(VLOOKUP(DATA!#REF!,DATA!#REF!,1,FALSE),"")</f>
        <v/>
      </c>
      <c r="D2774" s="16" t="str">
        <f>IFERROR(VLOOKUP(C2774,DATA!#REF!,2,FALSE),"")</f>
        <v/>
      </c>
    </row>
    <row r="2775" spans="3:4" s="230" customFormat="1">
      <c r="C2775" s="16" t="str">
        <f>IFERROR(VLOOKUP(DATA!#REF!,DATA!#REF!,1,FALSE),"")</f>
        <v/>
      </c>
      <c r="D2775" s="16" t="str">
        <f>IFERROR(VLOOKUP(C2775,DATA!#REF!,2,FALSE),"")</f>
        <v/>
      </c>
    </row>
    <row r="2776" spans="3:4" s="230" customFormat="1">
      <c r="C2776" s="16" t="str">
        <f>IFERROR(VLOOKUP(DATA!#REF!,DATA!#REF!,1,FALSE),"")</f>
        <v/>
      </c>
      <c r="D2776" s="16" t="str">
        <f>IFERROR(VLOOKUP(C2776,DATA!#REF!,2,FALSE),"")</f>
        <v/>
      </c>
    </row>
    <row r="2777" spans="3:4" s="230" customFormat="1">
      <c r="C2777" s="16" t="str">
        <f>IFERROR(VLOOKUP(DATA!#REF!,DATA!#REF!,1,FALSE),"")</f>
        <v/>
      </c>
      <c r="D2777" s="16" t="str">
        <f>IFERROR(VLOOKUP(C2777,DATA!#REF!,2,FALSE),"")</f>
        <v/>
      </c>
    </row>
    <row r="2778" spans="3:4" s="230" customFormat="1">
      <c r="C2778" s="16" t="str">
        <f>IFERROR(VLOOKUP(DATA!#REF!,DATA!#REF!,1,FALSE),"")</f>
        <v/>
      </c>
      <c r="D2778" s="16" t="str">
        <f>IFERROR(VLOOKUP(C2778,DATA!#REF!,2,FALSE),"")</f>
        <v/>
      </c>
    </row>
    <row r="2779" spans="3:4" s="230" customFormat="1">
      <c r="C2779" s="16" t="str">
        <f>IFERROR(VLOOKUP(DATA!#REF!,DATA!#REF!,1,FALSE),"")</f>
        <v/>
      </c>
      <c r="D2779" s="16" t="str">
        <f>IFERROR(VLOOKUP(C2779,DATA!#REF!,2,FALSE),"")</f>
        <v/>
      </c>
    </row>
    <row r="2780" spans="3:4" s="230" customFormat="1">
      <c r="C2780" s="16" t="str">
        <f>IFERROR(VLOOKUP(DATA!#REF!,DATA!#REF!,1,FALSE),"")</f>
        <v/>
      </c>
      <c r="D2780" s="16" t="str">
        <f>IFERROR(VLOOKUP(C2780,DATA!#REF!,2,FALSE),"")</f>
        <v/>
      </c>
    </row>
    <row r="2781" spans="3:4" s="230" customFormat="1">
      <c r="C2781" s="16" t="str">
        <f>IFERROR(VLOOKUP(DATA!#REF!,DATA!#REF!,1,FALSE),"")</f>
        <v/>
      </c>
      <c r="D2781" s="16" t="str">
        <f>IFERROR(VLOOKUP(C2781,DATA!#REF!,2,FALSE),"")</f>
        <v/>
      </c>
    </row>
    <row r="2782" spans="3:4" s="230" customFormat="1">
      <c r="C2782" s="16" t="str">
        <f>IFERROR(VLOOKUP(DATA!#REF!,DATA!#REF!,1,FALSE),"")</f>
        <v/>
      </c>
      <c r="D2782" s="16" t="str">
        <f>IFERROR(VLOOKUP(C2782,DATA!#REF!,2,FALSE),"")</f>
        <v/>
      </c>
    </row>
    <row r="2783" spans="3:4" s="230" customFormat="1">
      <c r="C2783" s="16" t="str">
        <f>IFERROR(VLOOKUP(DATA!#REF!,DATA!#REF!,1,FALSE),"")</f>
        <v/>
      </c>
      <c r="D2783" s="16" t="str">
        <f>IFERROR(VLOOKUP(C2783,DATA!#REF!,2,FALSE),"")</f>
        <v/>
      </c>
    </row>
    <row r="2784" spans="3:4" s="230" customFormat="1">
      <c r="C2784" s="16" t="str">
        <f>IFERROR(VLOOKUP(DATA!#REF!,DATA!#REF!,1,FALSE),"")</f>
        <v/>
      </c>
      <c r="D2784" s="16" t="str">
        <f>IFERROR(VLOOKUP(C2784,DATA!#REF!,2,FALSE),"")</f>
        <v/>
      </c>
    </row>
    <row r="2785" spans="3:4" s="230" customFormat="1">
      <c r="C2785" s="16" t="str">
        <f>IFERROR(VLOOKUP(DATA!#REF!,DATA!#REF!,1,FALSE),"")</f>
        <v/>
      </c>
      <c r="D2785" s="16" t="str">
        <f>IFERROR(VLOOKUP(C2785,DATA!#REF!,2,FALSE),"")</f>
        <v/>
      </c>
    </row>
    <row r="2786" spans="3:4" s="230" customFormat="1">
      <c r="C2786" s="16" t="str">
        <f>IFERROR(VLOOKUP(DATA!#REF!,DATA!#REF!,1,FALSE),"")</f>
        <v/>
      </c>
      <c r="D2786" s="16" t="str">
        <f>IFERROR(VLOOKUP(C2786,DATA!#REF!,2,FALSE),"")</f>
        <v/>
      </c>
    </row>
    <row r="2787" spans="3:4" s="230" customFormat="1">
      <c r="C2787" s="16" t="str">
        <f>IFERROR(VLOOKUP(DATA!#REF!,DATA!#REF!,1,FALSE),"")</f>
        <v/>
      </c>
      <c r="D2787" s="16" t="str">
        <f>IFERROR(VLOOKUP(C2787,DATA!#REF!,2,FALSE),"")</f>
        <v/>
      </c>
    </row>
    <row r="2788" spans="3:4" s="230" customFormat="1">
      <c r="C2788" s="16" t="str">
        <f>IFERROR(VLOOKUP(DATA!#REF!,DATA!#REF!,1,FALSE),"")</f>
        <v/>
      </c>
      <c r="D2788" s="16" t="str">
        <f>IFERROR(VLOOKUP(C2788,DATA!#REF!,2,FALSE),"")</f>
        <v/>
      </c>
    </row>
    <row r="2789" spans="3:4" s="230" customFormat="1">
      <c r="C2789" s="16" t="str">
        <f>IFERROR(VLOOKUP(DATA!#REF!,DATA!#REF!,1,FALSE),"")</f>
        <v/>
      </c>
      <c r="D2789" s="16" t="str">
        <f>IFERROR(VLOOKUP(C2789,DATA!#REF!,2,FALSE),"")</f>
        <v/>
      </c>
    </row>
    <row r="2790" spans="3:4" s="230" customFormat="1">
      <c r="C2790" s="16" t="str">
        <f>IFERROR(VLOOKUP(DATA!#REF!,DATA!#REF!,1,FALSE),"")</f>
        <v/>
      </c>
      <c r="D2790" s="16" t="str">
        <f>IFERROR(VLOOKUP(C2790,DATA!#REF!,2,FALSE),"")</f>
        <v/>
      </c>
    </row>
    <row r="2791" spans="3:4" s="230" customFormat="1">
      <c r="C2791" s="16" t="str">
        <f>IFERROR(VLOOKUP(DATA!#REF!,DATA!#REF!,1,FALSE),"")</f>
        <v/>
      </c>
      <c r="D2791" s="16" t="str">
        <f>IFERROR(VLOOKUP(C2791,DATA!#REF!,2,FALSE),"")</f>
        <v/>
      </c>
    </row>
    <row r="2792" spans="3:4" s="230" customFormat="1">
      <c r="C2792" s="16" t="str">
        <f>IFERROR(VLOOKUP(DATA!#REF!,DATA!#REF!,1,FALSE),"")</f>
        <v/>
      </c>
      <c r="D2792" s="16" t="str">
        <f>IFERROR(VLOOKUP(C2792,DATA!#REF!,2,FALSE),"")</f>
        <v/>
      </c>
    </row>
    <row r="2793" spans="3:4" s="230" customFormat="1">
      <c r="C2793" s="16" t="str">
        <f>IFERROR(VLOOKUP(DATA!#REF!,DATA!#REF!,1,FALSE),"")</f>
        <v/>
      </c>
      <c r="D2793" s="16" t="str">
        <f>IFERROR(VLOOKUP(C2793,DATA!#REF!,2,FALSE),"")</f>
        <v/>
      </c>
    </row>
    <row r="2794" spans="3:4" s="230" customFormat="1">
      <c r="C2794" s="16" t="str">
        <f>IFERROR(VLOOKUP(DATA!#REF!,DATA!#REF!,1,FALSE),"")</f>
        <v/>
      </c>
      <c r="D2794" s="16" t="str">
        <f>IFERROR(VLOOKUP(C2794,DATA!#REF!,2,FALSE),"")</f>
        <v/>
      </c>
    </row>
    <row r="2795" spans="3:4" s="230" customFormat="1">
      <c r="C2795" s="16" t="str">
        <f>IFERROR(VLOOKUP(DATA!#REF!,DATA!#REF!,1,FALSE),"")</f>
        <v/>
      </c>
      <c r="D2795" s="16" t="str">
        <f>IFERROR(VLOOKUP(C2795,DATA!#REF!,2,FALSE),"")</f>
        <v/>
      </c>
    </row>
    <row r="2796" spans="3:4" s="230" customFormat="1">
      <c r="C2796" s="16" t="str">
        <f>IFERROR(VLOOKUP(DATA!#REF!,DATA!#REF!,1,FALSE),"")</f>
        <v/>
      </c>
      <c r="D2796" s="16" t="str">
        <f>IFERROR(VLOOKUP(C2796,DATA!#REF!,2,FALSE),"")</f>
        <v/>
      </c>
    </row>
    <row r="2797" spans="3:4" s="230" customFormat="1">
      <c r="C2797" s="16" t="str">
        <f>IFERROR(VLOOKUP(DATA!#REF!,DATA!#REF!,1,FALSE),"")</f>
        <v/>
      </c>
      <c r="D2797" s="16" t="str">
        <f>IFERROR(VLOOKUP(C2797,DATA!#REF!,2,FALSE),"")</f>
        <v/>
      </c>
    </row>
    <row r="2798" spans="3:4" s="230" customFormat="1">
      <c r="C2798" s="16" t="str">
        <f>IFERROR(VLOOKUP(DATA!#REF!,DATA!#REF!,1,FALSE),"")</f>
        <v/>
      </c>
      <c r="D2798" s="16" t="str">
        <f>IFERROR(VLOOKUP(C2798,DATA!#REF!,2,FALSE),"")</f>
        <v/>
      </c>
    </row>
    <row r="2799" spans="3:4" s="230" customFormat="1">
      <c r="C2799" s="16" t="str">
        <f>IFERROR(VLOOKUP(DATA!#REF!,DATA!#REF!,1,FALSE),"")</f>
        <v/>
      </c>
      <c r="D2799" s="16" t="str">
        <f>IFERROR(VLOOKUP(C2799,DATA!#REF!,2,FALSE),"")</f>
        <v/>
      </c>
    </row>
    <row r="2800" spans="3:4" s="230" customFormat="1">
      <c r="C2800" s="16" t="str">
        <f>IFERROR(VLOOKUP(DATA!#REF!,DATA!#REF!,1,FALSE),"")</f>
        <v/>
      </c>
      <c r="D2800" s="16" t="str">
        <f>IFERROR(VLOOKUP(C2800,DATA!#REF!,2,FALSE),"")</f>
        <v/>
      </c>
    </row>
    <row r="2801" spans="3:4" s="230" customFormat="1">
      <c r="C2801" s="16" t="str">
        <f>IFERROR(VLOOKUP(DATA!#REF!,DATA!#REF!,1,FALSE),"")</f>
        <v/>
      </c>
      <c r="D2801" s="16" t="str">
        <f>IFERROR(VLOOKUP(C2801,DATA!#REF!,2,FALSE),"")</f>
        <v/>
      </c>
    </row>
    <row r="2802" spans="3:4" s="230" customFormat="1">
      <c r="C2802" s="16" t="str">
        <f>IFERROR(VLOOKUP(DATA!#REF!,DATA!#REF!,1,FALSE),"")</f>
        <v/>
      </c>
      <c r="D2802" s="16" t="str">
        <f>IFERROR(VLOOKUP(C2802,DATA!#REF!,2,FALSE),"")</f>
        <v/>
      </c>
    </row>
    <row r="2803" spans="3:4" s="230" customFormat="1">
      <c r="C2803" s="16" t="str">
        <f>IFERROR(VLOOKUP(DATA!#REF!,DATA!#REF!,1,FALSE),"")</f>
        <v/>
      </c>
      <c r="D2803" s="16" t="str">
        <f>IFERROR(VLOOKUP(C2803,DATA!#REF!,2,FALSE),"")</f>
        <v/>
      </c>
    </row>
    <row r="2804" spans="3:4" s="230" customFormat="1">
      <c r="C2804" s="16" t="str">
        <f>IFERROR(VLOOKUP(DATA!#REF!,DATA!#REF!,1,FALSE),"")</f>
        <v/>
      </c>
      <c r="D2804" s="16" t="str">
        <f>IFERROR(VLOOKUP(C2804,DATA!#REF!,2,FALSE),"")</f>
        <v/>
      </c>
    </row>
    <row r="2805" spans="3:4" s="230" customFormat="1">
      <c r="C2805" s="16" t="str">
        <f>IFERROR(VLOOKUP(DATA!#REF!,DATA!#REF!,1,FALSE),"")</f>
        <v/>
      </c>
      <c r="D2805" s="16" t="str">
        <f>IFERROR(VLOOKUP(C2805,DATA!#REF!,2,FALSE),"")</f>
        <v/>
      </c>
    </row>
    <row r="2806" spans="3:4" s="230" customFormat="1">
      <c r="C2806" s="16" t="str">
        <f>IFERROR(VLOOKUP(DATA!#REF!,DATA!#REF!,1,FALSE),"")</f>
        <v/>
      </c>
      <c r="D2806" s="16" t="str">
        <f>IFERROR(VLOOKUP(C2806,DATA!#REF!,2,FALSE),"")</f>
        <v/>
      </c>
    </row>
    <row r="2807" spans="3:4" s="230" customFormat="1">
      <c r="C2807" s="16" t="str">
        <f>IFERROR(VLOOKUP(DATA!#REF!,DATA!#REF!,1,FALSE),"")</f>
        <v/>
      </c>
      <c r="D2807" s="16" t="str">
        <f>IFERROR(VLOOKUP(C2807,DATA!#REF!,2,FALSE),"")</f>
        <v/>
      </c>
    </row>
    <row r="2808" spans="3:4" s="230" customFormat="1">
      <c r="C2808" s="16" t="str">
        <f>IFERROR(VLOOKUP(DATA!#REF!,DATA!#REF!,1,FALSE),"")</f>
        <v/>
      </c>
      <c r="D2808" s="16" t="str">
        <f>IFERROR(VLOOKUP(C2808,DATA!#REF!,2,FALSE),"")</f>
        <v/>
      </c>
    </row>
    <row r="2809" spans="3:4" s="230" customFormat="1">
      <c r="C2809" s="16" t="str">
        <f>IFERROR(VLOOKUP(DATA!#REF!,DATA!#REF!,1,FALSE),"")</f>
        <v/>
      </c>
      <c r="D2809" s="16" t="str">
        <f>IFERROR(VLOOKUP(C2809,DATA!#REF!,2,FALSE),"")</f>
        <v/>
      </c>
    </row>
    <row r="2810" spans="3:4" s="230" customFormat="1">
      <c r="C2810" s="16" t="str">
        <f>IFERROR(VLOOKUP(DATA!#REF!,DATA!#REF!,1,FALSE),"")</f>
        <v/>
      </c>
      <c r="D2810" s="16" t="str">
        <f>IFERROR(VLOOKUP(C2810,DATA!#REF!,2,FALSE),"")</f>
        <v/>
      </c>
    </row>
    <row r="2811" spans="3:4" s="230" customFormat="1">
      <c r="C2811" s="16" t="str">
        <f>IFERROR(VLOOKUP(DATA!#REF!,DATA!#REF!,1,FALSE),"")</f>
        <v/>
      </c>
      <c r="D2811" s="16" t="str">
        <f>IFERROR(VLOOKUP(C2811,DATA!#REF!,2,FALSE),"")</f>
        <v/>
      </c>
    </row>
    <row r="2812" spans="3:4" s="230" customFormat="1">
      <c r="C2812" s="16" t="str">
        <f>IFERROR(VLOOKUP(DATA!#REF!,DATA!#REF!,1,FALSE),"")</f>
        <v/>
      </c>
      <c r="D2812" s="16" t="str">
        <f>IFERROR(VLOOKUP(C2812,DATA!#REF!,2,FALSE),"")</f>
        <v/>
      </c>
    </row>
    <row r="2813" spans="3:4" s="230" customFormat="1">
      <c r="C2813" s="16" t="str">
        <f>IFERROR(VLOOKUP(DATA!#REF!,DATA!#REF!,1,FALSE),"")</f>
        <v/>
      </c>
      <c r="D2813" s="16" t="str">
        <f>IFERROR(VLOOKUP(C2813,DATA!#REF!,2,FALSE),"")</f>
        <v/>
      </c>
    </row>
    <row r="2814" spans="3:4" s="230" customFormat="1">
      <c r="C2814" s="16" t="str">
        <f>IFERROR(VLOOKUP(DATA!#REF!,DATA!#REF!,1,FALSE),"")</f>
        <v/>
      </c>
      <c r="D2814" s="16" t="str">
        <f>IFERROR(VLOOKUP(C2814,DATA!#REF!,2,FALSE),"")</f>
        <v/>
      </c>
    </row>
    <row r="2815" spans="3:4" s="230" customFormat="1">
      <c r="C2815" s="16" t="str">
        <f>IFERROR(VLOOKUP(DATA!#REF!,DATA!#REF!,1,FALSE),"")</f>
        <v/>
      </c>
      <c r="D2815" s="16" t="str">
        <f>IFERROR(VLOOKUP(C2815,DATA!#REF!,2,FALSE),"")</f>
        <v/>
      </c>
    </row>
    <row r="2816" spans="3:4" s="230" customFormat="1">
      <c r="C2816" s="16" t="str">
        <f>IFERROR(VLOOKUP(DATA!#REF!,DATA!#REF!,1,FALSE),"")</f>
        <v/>
      </c>
      <c r="D2816" s="16" t="str">
        <f>IFERROR(VLOOKUP(C2816,DATA!#REF!,2,FALSE),"")</f>
        <v/>
      </c>
    </row>
    <row r="2817" spans="3:4" s="230" customFormat="1">
      <c r="C2817" s="16" t="str">
        <f>IFERROR(VLOOKUP(DATA!#REF!,DATA!#REF!,1,FALSE),"")</f>
        <v/>
      </c>
      <c r="D2817" s="16" t="str">
        <f>IFERROR(VLOOKUP(C2817,DATA!#REF!,2,FALSE),"")</f>
        <v/>
      </c>
    </row>
    <row r="2818" spans="3:4" s="230" customFormat="1">
      <c r="C2818" s="16" t="str">
        <f>IFERROR(VLOOKUP(DATA!#REF!,DATA!#REF!,1,FALSE),"")</f>
        <v/>
      </c>
      <c r="D2818" s="16" t="str">
        <f>IFERROR(VLOOKUP(C2818,DATA!#REF!,2,FALSE),"")</f>
        <v/>
      </c>
    </row>
    <row r="2819" spans="3:4" s="230" customFormat="1">
      <c r="C2819" s="16" t="str">
        <f>IFERROR(VLOOKUP(DATA!#REF!,DATA!#REF!,1,FALSE),"")</f>
        <v/>
      </c>
      <c r="D2819" s="16" t="str">
        <f>IFERROR(VLOOKUP(C2819,DATA!#REF!,2,FALSE),"")</f>
        <v/>
      </c>
    </row>
    <row r="2820" spans="3:4" s="230" customFormat="1">
      <c r="C2820" s="16" t="str">
        <f>IFERROR(VLOOKUP(DATA!#REF!,DATA!#REF!,1,FALSE),"")</f>
        <v/>
      </c>
      <c r="D2820" s="16" t="str">
        <f>IFERROR(VLOOKUP(C2820,DATA!#REF!,2,FALSE),"")</f>
        <v/>
      </c>
    </row>
    <row r="2821" spans="3:4" s="230" customFormat="1">
      <c r="C2821" s="16" t="str">
        <f>IFERROR(VLOOKUP(DATA!#REF!,DATA!#REF!,1,FALSE),"")</f>
        <v/>
      </c>
      <c r="D2821" s="16" t="str">
        <f>IFERROR(VLOOKUP(C2821,DATA!#REF!,2,FALSE),"")</f>
        <v/>
      </c>
    </row>
    <row r="2822" spans="3:4" s="230" customFormat="1">
      <c r="C2822" s="16" t="str">
        <f>IFERROR(VLOOKUP(DATA!#REF!,DATA!#REF!,1,FALSE),"")</f>
        <v/>
      </c>
      <c r="D2822" s="16" t="str">
        <f>IFERROR(VLOOKUP(C2822,DATA!#REF!,2,FALSE),"")</f>
        <v/>
      </c>
    </row>
    <row r="2823" spans="3:4" s="230" customFormat="1">
      <c r="C2823" s="16" t="str">
        <f>IFERROR(VLOOKUP(DATA!#REF!,DATA!#REF!,1,FALSE),"")</f>
        <v/>
      </c>
      <c r="D2823" s="16" t="str">
        <f>IFERROR(VLOOKUP(C2823,DATA!#REF!,2,FALSE),"")</f>
        <v/>
      </c>
    </row>
    <row r="2824" spans="3:4" s="230" customFormat="1">
      <c r="C2824" s="16" t="str">
        <f>IFERROR(VLOOKUP(DATA!#REF!,DATA!#REF!,1,FALSE),"")</f>
        <v/>
      </c>
      <c r="D2824" s="16" t="str">
        <f>IFERROR(VLOOKUP(C2824,DATA!#REF!,2,FALSE),"")</f>
        <v/>
      </c>
    </row>
    <row r="2825" spans="3:4" s="230" customFormat="1">
      <c r="C2825" s="16" t="str">
        <f>IFERROR(VLOOKUP(DATA!#REF!,DATA!#REF!,1,FALSE),"")</f>
        <v/>
      </c>
      <c r="D2825" s="16" t="str">
        <f>IFERROR(VLOOKUP(C2825,DATA!#REF!,2,FALSE),"")</f>
        <v/>
      </c>
    </row>
    <row r="2826" spans="3:4" s="230" customFormat="1">
      <c r="C2826" s="16" t="str">
        <f>IFERROR(VLOOKUP(DATA!#REF!,DATA!#REF!,1,FALSE),"")</f>
        <v/>
      </c>
      <c r="D2826" s="16" t="str">
        <f>IFERROR(VLOOKUP(C2826,DATA!#REF!,2,FALSE),"")</f>
        <v/>
      </c>
    </row>
    <row r="2827" spans="3:4" s="230" customFormat="1">
      <c r="C2827" s="16" t="str">
        <f>IFERROR(VLOOKUP(DATA!#REF!,DATA!#REF!,1,FALSE),"")</f>
        <v/>
      </c>
      <c r="D2827" s="16" t="str">
        <f>IFERROR(VLOOKUP(C2827,DATA!#REF!,2,FALSE),"")</f>
        <v/>
      </c>
    </row>
    <row r="2828" spans="3:4" s="230" customFormat="1">
      <c r="C2828" s="16" t="str">
        <f>IFERROR(VLOOKUP(DATA!#REF!,DATA!#REF!,1,FALSE),"")</f>
        <v/>
      </c>
      <c r="D2828" s="16" t="str">
        <f>IFERROR(VLOOKUP(C2828,DATA!#REF!,2,FALSE),"")</f>
        <v/>
      </c>
    </row>
    <row r="2829" spans="3:4" s="230" customFormat="1">
      <c r="C2829" s="16" t="str">
        <f>IFERROR(VLOOKUP(DATA!#REF!,DATA!#REF!,1,FALSE),"")</f>
        <v/>
      </c>
      <c r="D2829" s="16" t="str">
        <f>IFERROR(VLOOKUP(C2829,DATA!#REF!,2,FALSE),"")</f>
        <v/>
      </c>
    </row>
    <row r="2830" spans="3:4" s="230" customFormat="1">
      <c r="C2830" s="16" t="str">
        <f>IFERROR(VLOOKUP(DATA!#REF!,DATA!#REF!,1,FALSE),"")</f>
        <v/>
      </c>
      <c r="D2830" s="16" t="str">
        <f>IFERROR(VLOOKUP(C2830,DATA!#REF!,2,FALSE),"")</f>
        <v/>
      </c>
    </row>
    <row r="2831" spans="3:4" s="230" customFormat="1">
      <c r="C2831" s="16" t="str">
        <f>IFERROR(VLOOKUP(DATA!#REF!,DATA!#REF!,1,FALSE),"")</f>
        <v/>
      </c>
      <c r="D2831" s="16" t="str">
        <f>IFERROR(VLOOKUP(C2831,DATA!#REF!,2,FALSE),"")</f>
        <v/>
      </c>
    </row>
    <row r="2832" spans="3:4" s="230" customFormat="1">
      <c r="C2832" s="16" t="str">
        <f>IFERROR(VLOOKUP(DATA!#REF!,DATA!#REF!,1,FALSE),"")</f>
        <v/>
      </c>
      <c r="D2832" s="16" t="str">
        <f>IFERROR(VLOOKUP(C2832,DATA!#REF!,2,FALSE),"")</f>
        <v/>
      </c>
    </row>
    <row r="2833" spans="3:4" s="230" customFormat="1">
      <c r="C2833" s="16" t="str">
        <f>IFERROR(VLOOKUP(DATA!#REF!,DATA!#REF!,1,FALSE),"")</f>
        <v/>
      </c>
      <c r="D2833" s="16" t="str">
        <f>IFERROR(VLOOKUP(C2833,DATA!#REF!,2,FALSE),"")</f>
        <v/>
      </c>
    </row>
    <row r="2834" spans="3:4" s="230" customFormat="1">
      <c r="C2834" s="16" t="str">
        <f>IFERROR(VLOOKUP(DATA!#REF!,DATA!#REF!,1,FALSE),"")</f>
        <v/>
      </c>
      <c r="D2834" s="16" t="str">
        <f>IFERROR(VLOOKUP(C2834,DATA!#REF!,2,FALSE),"")</f>
        <v/>
      </c>
    </row>
    <row r="2835" spans="3:4" s="230" customFormat="1">
      <c r="C2835" s="16" t="str">
        <f>IFERROR(VLOOKUP(DATA!#REF!,DATA!#REF!,1,FALSE),"")</f>
        <v/>
      </c>
      <c r="D2835" s="16" t="str">
        <f>IFERROR(VLOOKUP(C2835,DATA!#REF!,2,FALSE),"")</f>
        <v/>
      </c>
    </row>
    <row r="2836" spans="3:4" s="230" customFormat="1">
      <c r="C2836" s="16" t="str">
        <f>IFERROR(VLOOKUP(DATA!#REF!,DATA!#REF!,1,FALSE),"")</f>
        <v/>
      </c>
      <c r="D2836" s="16" t="str">
        <f>IFERROR(VLOOKUP(C2836,DATA!#REF!,2,FALSE),"")</f>
        <v/>
      </c>
    </row>
    <row r="2837" spans="3:4" s="230" customFormat="1">
      <c r="C2837" s="16" t="str">
        <f>IFERROR(VLOOKUP(DATA!#REF!,DATA!#REF!,1,FALSE),"")</f>
        <v/>
      </c>
      <c r="D2837" s="16" t="str">
        <f>IFERROR(VLOOKUP(C2837,DATA!#REF!,2,FALSE),"")</f>
        <v/>
      </c>
    </row>
    <row r="2838" spans="3:4" s="230" customFormat="1">
      <c r="C2838" s="16" t="str">
        <f>IFERROR(VLOOKUP(DATA!#REF!,DATA!#REF!,1,FALSE),"")</f>
        <v/>
      </c>
      <c r="D2838" s="16" t="str">
        <f>IFERROR(VLOOKUP(C2838,DATA!#REF!,2,FALSE),"")</f>
        <v/>
      </c>
    </row>
    <row r="2839" spans="3:4" s="230" customFormat="1">
      <c r="C2839" s="16" t="str">
        <f>IFERROR(VLOOKUP(DATA!#REF!,DATA!#REF!,1,FALSE),"")</f>
        <v/>
      </c>
      <c r="D2839" s="16" t="str">
        <f>IFERROR(VLOOKUP(C2839,DATA!#REF!,2,FALSE),"")</f>
        <v/>
      </c>
    </row>
    <row r="2840" spans="3:4" s="230" customFormat="1">
      <c r="C2840" s="16" t="str">
        <f>IFERROR(VLOOKUP(DATA!#REF!,DATA!#REF!,1,FALSE),"")</f>
        <v/>
      </c>
      <c r="D2840" s="16" t="str">
        <f>IFERROR(VLOOKUP(C2840,DATA!#REF!,2,FALSE),"")</f>
        <v/>
      </c>
    </row>
    <row r="2841" spans="3:4" s="230" customFormat="1">
      <c r="C2841" s="16" t="str">
        <f>IFERROR(VLOOKUP(DATA!#REF!,DATA!#REF!,1,FALSE),"")</f>
        <v/>
      </c>
      <c r="D2841" s="16" t="str">
        <f>IFERROR(VLOOKUP(C2841,DATA!#REF!,2,FALSE),"")</f>
        <v/>
      </c>
    </row>
    <row r="2842" spans="3:4" s="230" customFormat="1">
      <c r="C2842" s="16" t="str">
        <f>IFERROR(VLOOKUP(DATA!#REF!,DATA!#REF!,1,FALSE),"")</f>
        <v/>
      </c>
      <c r="D2842" s="16" t="str">
        <f>IFERROR(VLOOKUP(C2842,DATA!#REF!,2,FALSE),"")</f>
        <v/>
      </c>
    </row>
    <row r="2843" spans="3:4" s="230" customFormat="1">
      <c r="C2843" s="16" t="str">
        <f>IFERROR(VLOOKUP(DATA!#REF!,DATA!#REF!,1,FALSE),"")</f>
        <v/>
      </c>
      <c r="D2843" s="16" t="str">
        <f>IFERROR(VLOOKUP(C2843,DATA!#REF!,2,FALSE),"")</f>
        <v/>
      </c>
    </row>
    <row r="2844" spans="3:4" s="230" customFormat="1">
      <c r="C2844" s="16" t="str">
        <f>IFERROR(VLOOKUP(DATA!#REF!,DATA!#REF!,1,FALSE),"")</f>
        <v/>
      </c>
      <c r="D2844" s="16" t="str">
        <f>IFERROR(VLOOKUP(C2844,DATA!#REF!,2,FALSE),"")</f>
        <v/>
      </c>
    </row>
    <row r="2845" spans="3:4" s="230" customFormat="1">
      <c r="C2845" s="16" t="str">
        <f>IFERROR(VLOOKUP(DATA!#REF!,DATA!#REF!,1,FALSE),"")</f>
        <v/>
      </c>
      <c r="D2845" s="16" t="str">
        <f>IFERROR(VLOOKUP(C2845,DATA!#REF!,2,FALSE),"")</f>
        <v/>
      </c>
    </row>
    <row r="2846" spans="3:4" s="230" customFormat="1">
      <c r="C2846" s="16" t="str">
        <f>IFERROR(VLOOKUP(DATA!#REF!,DATA!#REF!,1,FALSE),"")</f>
        <v/>
      </c>
      <c r="D2846" s="16" t="str">
        <f>IFERROR(VLOOKUP(C2846,DATA!#REF!,2,FALSE),"")</f>
        <v/>
      </c>
    </row>
    <row r="2847" spans="3:4" s="230" customFormat="1">
      <c r="C2847" s="16" t="str">
        <f>IFERROR(VLOOKUP(DATA!#REF!,DATA!#REF!,1,FALSE),"")</f>
        <v/>
      </c>
      <c r="D2847" s="16" t="str">
        <f>IFERROR(VLOOKUP(C2847,DATA!#REF!,2,FALSE),"")</f>
        <v/>
      </c>
    </row>
    <row r="2848" spans="3:4" s="230" customFormat="1">
      <c r="C2848" s="16" t="str">
        <f>IFERROR(VLOOKUP(DATA!#REF!,DATA!#REF!,1,FALSE),"")</f>
        <v/>
      </c>
      <c r="D2848" s="16" t="str">
        <f>IFERROR(VLOOKUP(C2848,DATA!#REF!,2,FALSE),"")</f>
        <v/>
      </c>
    </row>
    <row r="2849" spans="3:4" s="230" customFormat="1">
      <c r="C2849" s="16" t="str">
        <f>IFERROR(VLOOKUP(DATA!#REF!,DATA!#REF!,1,FALSE),"")</f>
        <v/>
      </c>
      <c r="D2849" s="16" t="str">
        <f>IFERROR(VLOOKUP(C2849,DATA!#REF!,2,FALSE),"")</f>
        <v/>
      </c>
    </row>
    <row r="2850" spans="3:4" s="230" customFormat="1">
      <c r="C2850" s="16" t="str">
        <f>IFERROR(VLOOKUP(DATA!#REF!,DATA!#REF!,1,FALSE),"")</f>
        <v/>
      </c>
      <c r="D2850" s="16" t="str">
        <f>IFERROR(VLOOKUP(C2850,DATA!#REF!,2,FALSE),"")</f>
        <v/>
      </c>
    </row>
    <row r="2851" spans="3:4" s="230" customFormat="1">
      <c r="C2851" s="16" t="str">
        <f>IFERROR(VLOOKUP(DATA!#REF!,DATA!#REF!,1,FALSE),"")</f>
        <v/>
      </c>
      <c r="D2851" s="16" t="str">
        <f>IFERROR(VLOOKUP(C2851,DATA!#REF!,2,FALSE),"")</f>
        <v/>
      </c>
    </row>
    <row r="2852" spans="3:4" s="230" customFormat="1">
      <c r="C2852" s="16" t="str">
        <f>IFERROR(VLOOKUP(DATA!#REF!,DATA!#REF!,1,FALSE),"")</f>
        <v/>
      </c>
      <c r="D2852" s="16" t="str">
        <f>IFERROR(VLOOKUP(C2852,DATA!#REF!,2,FALSE),"")</f>
        <v/>
      </c>
    </row>
    <row r="2853" spans="3:4" s="230" customFormat="1">
      <c r="C2853" s="16" t="str">
        <f>IFERROR(VLOOKUP(DATA!#REF!,DATA!#REF!,1,FALSE),"")</f>
        <v/>
      </c>
      <c r="D2853" s="16" t="str">
        <f>IFERROR(VLOOKUP(C2853,DATA!#REF!,2,FALSE),"")</f>
        <v/>
      </c>
    </row>
    <row r="2854" spans="3:4" s="230" customFormat="1">
      <c r="C2854" s="16" t="str">
        <f>IFERROR(VLOOKUP(DATA!#REF!,DATA!#REF!,1,FALSE),"")</f>
        <v/>
      </c>
      <c r="D2854" s="16" t="str">
        <f>IFERROR(VLOOKUP(C2854,DATA!#REF!,2,FALSE),"")</f>
        <v/>
      </c>
    </row>
    <row r="2855" spans="3:4" s="230" customFormat="1">
      <c r="C2855" s="16" t="str">
        <f>IFERROR(VLOOKUP(DATA!#REF!,DATA!#REF!,1,FALSE),"")</f>
        <v/>
      </c>
      <c r="D2855" s="16" t="str">
        <f>IFERROR(VLOOKUP(C2855,DATA!#REF!,2,FALSE),"")</f>
        <v/>
      </c>
    </row>
    <row r="2856" spans="3:4" s="230" customFormat="1">
      <c r="C2856" s="16" t="str">
        <f>IFERROR(VLOOKUP(DATA!#REF!,DATA!#REF!,1,FALSE),"")</f>
        <v/>
      </c>
      <c r="D2856" s="16" t="str">
        <f>IFERROR(VLOOKUP(C2856,DATA!#REF!,2,FALSE),"")</f>
        <v/>
      </c>
    </row>
    <row r="2857" spans="3:4" s="230" customFormat="1">
      <c r="C2857" s="16" t="str">
        <f>IFERROR(VLOOKUP(DATA!#REF!,DATA!#REF!,1,FALSE),"")</f>
        <v/>
      </c>
      <c r="D2857" s="16" t="str">
        <f>IFERROR(VLOOKUP(C2857,DATA!#REF!,2,FALSE),"")</f>
        <v/>
      </c>
    </row>
    <row r="2858" spans="3:4" s="230" customFormat="1">
      <c r="C2858" s="16" t="str">
        <f>IFERROR(VLOOKUP(DATA!#REF!,DATA!#REF!,1,FALSE),"")</f>
        <v/>
      </c>
      <c r="D2858" s="16" t="str">
        <f>IFERROR(VLOOKUP(C2858,DATA!#REF!,2,FALSE),"")</f>
        <v/>
      </c>
    </row>
    <row r="2859" spans="3:4" s="230" customFormat="1">
      <c r="C2859" s="16" t="str">
        <f>IFERROR(VLOOKUP(DATA!#REF!,DATA!#REF!,1,FALSE),"")</f>
        <v/>
      </c>
      <c r="D2859" s="16" t="str">
        <f>IFERROR(VLOOKUP(C2859,DATA!#REF!,2,FALSE),"")</f>
        <v/>
      </c>
    </row>
    <row r="2860" spans="3:4" s="230" customFormat="1">
      <c r="C2860" s="16" t="str">
        <f>IFERROR(VLOOKUP(DATA!#REF!,DATA!#REF!,1,FALSE),"")</f>
        <v/>
      </c>
      <c r="D2860" s="16" t="str">
        <f>IFERROR(VLOOKUP(C2860,DATA!#REF!,2,FALSE),"")</f>
        <v/>
      </c>
    </row>
    <row r="2861" spans="3:4" s="230" customFormat="1">
      <c r="C2861" s="16" t="str">
        <f>IFERROR(VLOOKUP(DATA!#REF!,DATA!#REF!,1,FALSE),"")</f>
        <v/>
      </c>
      <c r="D2861" s="16" t="str">
        <f>IFERROR(VLOOKUP(C2861,DATA!#REF!,2,FALSE),"")</f>
        <v/>
      </c>
    </row>
    <row r="2862" spans="3:4" s="230" customFormat="1">
      <c r="C2862" s="16" t="str">
        <f>IFERROR(VLOOKUP(DATA!#REF!,DATA!#REF!,1,FALSE),"")</f>
        <v/>
      </c>
      <c r="D2862" s="16" t="str">
        <f>IFERROR(VLOOKUP(C2862,DATA!#REF!,2,FALSE),"")</f>
        <v/>
      </c>
    </row>
    <row r="2863" spans="3:4" s="230" customFormat="1">
      <c r="C2863" s="16" t="str">
        <f>IFERROR(VLOOKUP(DATA!#REF!,DATA!#REF!,1,FALSE),"")</f>
        <v/>
      </c>
      <c r="D2863" s="16" t="str">
        <f>IFERROR(VLOOKUP(C2863,DATA!#REF!,2,FALSE),"")</f>
        <v/>
      </c>
    </row>
    <row r="2864" spans="3:4" s="230" customFormat="1">
      <c r="C2864" s="16" t="str">
        <f>IFERROR(VLOOKUP(DATA!#REF!,DATA!#REF!,1,FALSE),"")</f>
        <v/>
      </c>
      <c r="D2864" s="16" t="str">
        <f>IFERROR(VLOOKUP(C2864,DATA!#REF!,2,FALSE),"")</f>
        <v/>
      </c>
    </row>
    <row r="2865" spans="3:4" s="230" customFormat="1">
      <c r="C2865" s="16" t="str">
        <f>IFERROR(VLOOKUP(DATA!#REF!,DATA!#REF!,1,FALSE),"")</f>
        <v/>
      </c>
      <c r="D2865" s="16" t="str">
        <f>IFERROR(VLOOKUP(C2865,DATA!#REF!,2,FALSE),"")</f>
        <v/>
      </c>
    </row>
    <row r="2866" spans="3:4" s="230" customFormat="1">
      <c r="C2866" s="16" t="str">
        <f>IFERROR(VLOOKUP(DATA!#REF!,DATA!#REF!,1,FALSE),"")</f>
        <v/>
      </c>
      <c r="D2866" s="16" t="str">
        <f>IFERROR(VLOOKUP(C2866,DATA!#REF!,2,FALSE),"")</f>
        <v/>
      </c>
    </row>
    <row r="2867" spans="3:4" s="230" customFormat="1">
      <c r="C2867" s="16" t="str">
        <f>IFERROR(VLOOKUP(DATA!#REF!,DATA!#REF!,1,FALSE),"")</f>
        <v/>
      </c>
      <c r="D2867" s="16" t="str">
        <f>IFERROR(VLOOKUP(C2867,DATA!#REF!,2,FALSE),"")</f>
        <v/>
      </c>
    </row>
    <row r="2868" spans="3:4" s="230" customFormat="1">
      <c r="C2868" s="16" t="str">
        <f>IFERROR(VLOOKUP(DATA!#REF!,DATA!#REF!,1,FALSE),"")</f>
        <v/>
      </c>
      <c r="D2868" s="16" t="str">
        <f>IFERROR(VLOOKUP(C2868,DATA!#REF!,2,FALSE),"")</f>
        <v/>
      </c>
    </row>
    <row r="2869" spans="3:4" s="230" customFormat="1">
      <c r="C2869" s="16" t="str">
        <f>IFERROR(VLOOKUP(DATA!#REF!,DATA!#REF!,1,FALSE),"")</f>
        <v/>
      </c>
      <c r="D2869" s="16" t="str">
        <f>IFERROR(VLOOKUP(C2869,DATA!#REF!,2,FALSE),"")</f>
        <v/>
      </c>
    </row>
    <row r="2870" spans="3:4" s="230" customFormat="1">
      <c r="C2870" s="16" t="str">
        <f>IFERROR(VLOOKUP(DATA!#REF!,DATA!#REF!,1,FALSE),"")</f>
        <v/>
      </c>
      <c r="D2870" s="16" t="str">
        <f>IFERROR(VLOOKUP(C2870,DATA!#REF!,2,FALSE),"")</f>
        <v/>
      </c>
    </row>
    <row r="2871" spans="3:4" s="230" customFormat="1">
      <c r="C2871" s="16" t="str">
        <f>IFERROR(VLOOKUP(DATA!#REF!,DATA!#REF!,1,FALSE),"")</f>
        <v/>
      </c>
      <c r="D2871" s="16" t="str">
        <f>IFERROR(VLOOKUP(C2871,DATA!#REF!,2,FALSE),"")</f>
        <v/>
      </c>
    </row>
    <row r="2872" spans="3:4" s="230" customFormat="1">
      <c r="C2872" s="16" t="str">
        <f>IFERROR(VLOOKUP(DATA!#REF!,DATA!#REF!,1,FALSE),"")</f>
        <v/>
      </c>
      <c r="D2872" s="16" t="str">
        <f>IFERROR(VLOOKUP(C2872,DATA!#REF!,2,FALSE),"")</f>
        <v/>
      </c>
    </row>
    <row r="2873" spans="3:4" s="230" customFormat="1">
      <c r="C2873" s="16" t="str">
        <f>IFERROR(VLOOKUP(DATA!#REF!,DATA!#REF!,1,FALSE),"")</f>
        <v/>
      </c>
      <c r="D2873" s="16" t="str">
        <f>IFERROR(VLOOKUP(C2873,DATA!#REF!,2,FALSE),"")</f>
        <v/>
      </c>
    </row>
    <row r="2874" spans="3:4" s="230" customFormat="1">
      <c r="C2874" s="16" t="str">
        <f>IFERROR(VLOOKUP(DATA!#REF!,DATA!#REF!,1,FALSE),"")</f>
        <v/>
      </c>
      <c r="D2874" s="16" t="str">
        <f>IFERROR(VLOOKUP(C2874,DATA!#REF!,2,FALSE),"")</f>
        <v/>
      </c>
    </row>
    <row r="2875" spans="3:4" s="230" customFormat="1">
      <c r="C2875" s="16" t="str">
        <f>IFERROR(VLOOKUP(DATA!#REF!,DATA!#REF!,1,FALSE),"")</f>
        <v/>
      </c>
      <c r="D2875" s="16" t="str">
        <f>IFERROR(VLOOKUP(C2875,DATA!#REF!,2,FALSE),"")</f>
        <v/>
      </c>
    </row>
    <row r="2876" spans="3:4" s="230" customFormat="1">
      <c r="C2876" s="16" t="str">
        <f>IFERROR(VLOOKUP(DATA!#REF!,DATA!#REF!,1,FALSE),"")</f>
        <v/>
      </c>
      <c r="D2876" s="16" t="str">
        <f>IFERROR(VLOOKUP(C2876,DATA!#REF!,2,FALSE),"")</f>
        <v/>
      </c>
    </row>
    <row r="2877" spans="3:4" s="230" customFormat="1">
      <c r="C2877" s="16" t="str">
        <f>IFERROR(VLOOKUP(DATA!#REF!,DATA!#REF!,1,FALSE),"")</f>
        <v/>
      </c>
      <c r="D2877" s="16" t="str">
        <f>IFERROR(VLOOKUP(C2877,DATA!#REF!,2,FALSE),"")</f>
        <v/>
      </c>
    </row>
    <row r="2878" spans="3:4" s="230" customFormat="1">
      <c r="C2878" s="16" t="str">
        <f>IFERROR(VLOOKUP(DATA!#REF!,DATA!#REF!,1,FALSE),"")</f>
        <v/>
      </c>
      <c r="D2878" s="16" t="str">
        <f>IFERROR(VLOOKUP(C2878,DATA!#REF!,2,FALSE),"")</f>
        <v/>
      </c>
    </row>
    <row r="2879" spans="3:4" s="230" customFormat="1">
      <c r="C2879" s="16" t="str">
        <f>IFERROR(VLOOKUP(DATA!#REF!,DATA!#REF!,1,FALSE),"")</f>
        <v/>
      </c>
      <c r="D2879" s="16" t="str">
        <f>IFERROR(VLOOKUP(C2879,DATA!#REF!,2,FALSE),"")</f>
        <v/>
      </c>
    </row>
    <row r="2880" spans="3:4" s="230" customFormat="1">
      <c r="C2880" s="16" t="str">
        <f>IFERROR(VLOOKUP(DATA!#REF!,DATA!#REF!,1,FALSE),"")</f>
        <v/>
      </c>
      <c r="D2880" s="16" t="str">
        <f>IFERROR(VLOOKUP(C2880,DATA!#REF!,2,FALSE),"")</f>
        <v/>
      </c>
    </row>
    <row r="2881" spans="3:4" s="230" customFormat="1">
      <c r="C2881" s="16" t="str">
        <f>IFERROR(VLOOKUP(DATA!#REF!,DATA!#REF!,1,FALSE),"")</f>
        <v/>
      </c>
      <c r="D2881" s="16" t="str">
        <f>IFERROR(VLOOKUP(C2881,DATA!#REF!,2,FALSE),"")</f>
        <v/>
      </c>
    </row>
    <row r="2882" spans="3:4" s="230" customFormat="1">
      <c r="C2882" s="16" t="str">
        <f>IFERROR(VLOOKUP(DATA!#REF!,DATA!#REF!,1,FALSE),"")</f>
        <v/>
      </c>
      <c r="D2882" s="16" t="str">
        <f>IFERROR(VLOOKUP(C2882,DATA!#REF!,2,FALSE),"")</f>
        <v/>
      </c>
    </row>
    <row r="2883" spans="3:4" s="230" customFormat="1">
      <c r="C2883" s="16" t="str">
        <f>IFERROR(VLOOKUP(DATA!#REF!,DATA!#REF!,1,FALSE),"")</f>
        <v/>
      </c>
      <c r="D2883" s="16" t="str">
        <f>IFERROR(VLOOKUP(C2883,DATA!#REF!,2,FALSE),"")</f>
        <v/>
      </c>
    </row>
    <row r="2884" spans="3:4" s="230" customFormat="1">
      <c r="C2884" s="16" t="str">
        <f>IFERROR(VLOOKUP(DATA!#REF!,DATA!#REF!,1,FALSE),"")</f>
        <v/>
      </c>
      <c r="D2884" s="16" t="str">
        <f>IFERROR(VLOOKUP(C2884,DATA!#REF!,2,FALSE),"")</f>
        <v/>
      </c>
    </row>
    <row r="2885" spans="3:4" s="230" customFormat="1">
      <c r="C2885" s="16" t="str">
        <f>IFERROR(VLOOKUP(DATA!#REF!,DATA!#REF!,1,FALSE),"")</f>
        <v/>
      </c>
      <c r="D2885" s="16" t="str">
        <f>IFERROR(VLOOKUP(C2885,DATA!#REF!,2,FALSE),"")</f>
        <v/>
      </c>
    </row>
    <row r="2886" spans="3:4" s="230" customFormat="1">
      <c r="C2886" s="16" t="str">
        <f>IFERROR(VLOOKUP(DATA!#REF!,DATA!#REF!,1,FALSE),"")</f>
        <v/>
      </c>
      <c r="D2886" s="16" t="str">
        <f>IFERROR(VLOOKUP(C2886,DATA!#REF!,2,FALSE),"")</f>
        <v/>
      </c>
    </row>
    <row r="2887" spans="3:4" s="230" customFormat="1">
      <c r="C2887" s="16" t="str">
        <f>IFERROR(VLOOKUP(DATA!#REF!,DATA!#REF!,1,FALSE),"")</f>
        <v/>
      </c>
      <c r="D2887" s="16" t="str">
        <f>IFERROR(VLOOKUP(C2887,DATA!#REF!,2,FALSE),"")</f>
        <v/>
      </c>
    </row>
    <row r="2888" spans="3:4" s="230" customFormat="1">
      <c r="C2888" s="16" t="str">
        <f>IFERROR(VLOOKUP(DATA!#REF!,DATA!#REF!,1,FALSE),"")</f>
        <v/>
      </c>
      <c r="D2888" s="16" t="str">
        <f>IFERROR(VLOOKUP(C2888,DATA!#REF!,2,FALSE),"")</f>
        <v/>
      </c>
    </row>
    <row r="2889" spans="3:4" s="230" customFormat="1">
      <c r="C2889" s="16" t="str">
        <f>IFERROR(VLOOKUP(DATA!#REF!,DATA!#REF!,1,FALSE),"")</f>
        <v/>
      </c>
      <c r="D2889" s="16" t="str">
        <f>IFERROR(VLOOKUP(C2889,DATA!#REF!,2,FALSE),"")</f>
        <v/>
      </c>
    </row>
    <row r="2890" spans="3:4" s="230" customFormat="1">
      <c r="C2890" s="16" t="str">
        <f>IFERROR(VLOOKUP(DATA!#REF!,DATA!#REF!,1,FALSE),"")</f>
        <v/>
      </c>
      <c r="D2890" s="16" t="str">
        <f>IFERROR(VLOOKUP(C2890,DATA!#REF!,2,FALSE),"")</f>
        <v/>
      </c>
    </row>
    <row r="2891" spans="3:4" s="230" customFormat="1">
      <c r="C2891" s="16" t="str">
        <f>IFERROR(VLOOKUP(DATA!#REF!,DATA!#REF!,1,FALSE),"")</f>
        <v/>
      </c>
      <c r="D2891" s="16" t="str">
        <f>IFERROR(VLOOKUP(C2891,DATA!#REF!,2,FALSE),"")</f>
        <v/>
      </c>
    </row>
    <row r="2892" spans="3:4" s="230" customFormat="1">
      <c r="C2892" s="16" t="str">
        <f>IFERROR(VLOOKUP(DATA!#REF!,DATA!#REF!,1,FALSE),"")</f>
        <v/>
      </c>
      <c r="D2892" s="16" t="str">
        <f>IFERROR(VLOOKUP(C2892,DATA!#REF!,2,FALSE),"")</f>
        <v/>
      </c>
    </row>
    <row r="2893" spans="3:4" s="230" customFormat="1">
      <c r="C2893" s="16" t="str">
        <f>IFERROR(VLOOKUP(DATA!#REF!,DATA!#REF!,1,FALSE),"")</f>
        <v/>
      </c>
      <c r="D2893" s="16" t="str">
        <f>IFERROR(VLOOKUP(C2893,DATA!#REF!,2,FALSE),"")</f>
        <v/>
      </c>
    </row>
    <row r="2894" spans="3:4" s="230" customFormat="1">
      <c r="C2894" s="16" t="str">
        <f>IFERROR(VLOOKUP(DATA!#REF!,DATA!#REF!,1,FALSE),"")</f>
        <v/>
      </c>
      <c r="D2894" s="16" t="str">
        <f>IFERROR(VLOOKUP(C2894,DATA!#REF!,2,FALSE),"")</f>
        <v/>
      </c>
    </row>
    <row r="2895" spans="3:4" s="230" customFormat="1">
      <c r="C2895" s="16" t="str">
        <f>IFERROR(VLOOKUP(DATA!#REF!,DATA!#REF!,1,FALSE),"")</f>
        <v/>
      </c>
      <c r="D2895" s="16" t="str">
        <f>IFERROR(VLOOKUP(C2895,DATA!#REF!,2,FALSE),"")</f>
        <v/>
      </c>
    </row>
    <row r="2896" spans="3:4" s="230" customFormat="1">
      <c r="C2896" s="16" t="str">
        <f>IFERROR(VLOOKUP(DATA!#REF!,DATA!#REF!,1,FALSE),"")</f>
        <v/>
      </c>
      <c r="D2896" s="16" t="str">
        <f>IFERROR(VLOOKUP(C2896,DATA!#REF!,2,FALSE),"")</f>
        <v/>
      </c>
    </row>
    <row r="2897" spans="3:4" s="230" customFormat="1">
      <c r="C2897" s="16" t="str">
        <f>IFERROR(VLOOKUP(DATA!#REF!,DATA!#REF!,1,FALSE),"")</f>
        <v/>
      </c>
      <c r="D2897" s="16" t="str">
        <f>IFERROR(VLOOKUP(C2897,DATA!#REF!,2,FALSE),"")</f>
        <v/>
      </c>
    </row>
    <row r="2898" spans="3:4" s="230" customFormat="1">
      <c r="C2898" s="16" t="str">
        <f>IFERROR(VLOOKUP(DATA!#REF!,DATA!#REF!,1,FALSE),"")</f>
        <v/>
      </c>
      <c r="D2898" s="16" t="str">
        <f>IFERROR(VLOOKUP(C2898,DATA!#REF!,2,FALSE),"")</f>
        <v/>
      </c>
    </row>
    <row r="2899" spans="3:4" s="230" customFormat="1">
      <c r="C2899" s="16" t="str">
        <f>IFERROR(VLOOKUP(DATA!#REF!,DATA!#REF!,1,FALSE),"")</f>
        <v/>
      </c>
      <c r="D2899" s="16" t="str">
        <f>IFERROR(VLOOKUP(C2899,DATA!#REF!,2,FALSE),"")</f>
        <v/>
      </c>
    </row>
    <row r="2900" spans="3:4" s="230" customFormat="1">
      <c r="C2900" s="16" t="str">
        <f>IFERROR(VLOOKUP(DATA!#REF!,DATA!#REF!,1,FALSE),"")</f>
        <v/>
      </c>
      <c r="D2900" s="16" t="str">
        <f>IFERROR(VLOOKUP(C2900,DATA!#REF!,2,FALSE),"")</f>
        <v/>
      </c>
    </row>
    <row r="2901" spans="3:4" s="230" customFormat="1">
      <c r="C2901" s="16" t="str">
        <f>IFERROR(VLOOKUP(DATA!#REF!,DATA!#REF!,1,FALSE),"")</f>
        <v/>
      </c>
      <c r="D2901" s="16" t="str">
        <f>IFERROR(VLOOKUP(C2901,DATA!#REF!,2,FALSE),"")</f>
        <v/>
      </c>
    </row>
    <row r="2902" spans="3:4" s="230" customFormat="1">
      <c r="C2902" s="16" t="str">
        <f>IFERROR(VLOOKUP(DATA!#REF!,DATA!#REF!,1,FALSE),"")</f>
        <v/>
      </c>
      <c r="D2902" s="16" t="str">
        <f>IFERROR(VLOOKUP(C2902,DATA!#REF!,2,FALSE),"")</f>
        <v/>
      </c>
    </row>
    <row r="2903" spans="3:4" s="230" customFormat="1">
      <c r="C2903" s="16" t="str">
        <f>IFERROR(VLOOKUP(DATA!#REF!,DATA!#REF!,1,FALSE),"")</f>
        <v/>
      </c>
      <c r="D2903" s="16" t="str">
        <f>IFERROR(VLOOKUP(C2903,DATA!#REF!,2,FALSE),"")</f>
        <v/>
      </c>
    </row>
    <row r="2904" spans="3:4" s="230" customFormat="1">
      <c r="C2904" s="16" t="str">
        <f>IFERROR(VLOOKUP(DATA!#REF!,DATA!#REF!,1,FALSE),"")</f>
        <v/>
      </c>
      <c r="D2904" s="16" t="str">
        <f>IFERROR(VLOOKUP(C2904,DATA!#REF!,2,FALSE),"")</f>
        <v/>
      </c>
    </row>
    <row r="2905" spans="3:4" s="230" customFormat="1">
      <c r="C2905" s="16" t="str">
        <f>IFERROR(VLOOKUP(DATA!#REF!,DATA!#REF!,1,FALSE),"")</f>
        <v/>
      </c>
      <c r="D2905" s="16" t="str">
        <f>IFERROR(VLOOKUP(C2905,DATA!#REF!,2,FALSE),"")</f>
        <v/>
      </c>
    </row>
    <row r="2906" spans="3:4" s="230" customFormat="1">
      <c r="C2906" s="16" t="str">
        <f>IFERROR(VLOOKUP(DATA!#REF!,DATA!#REF!,1,FALSE),"")</f>
        <v/>
      </c>
      <c r="D2906" s="16" t="str">
        <f>IFERROR(VLOOKUP(C2906,DATA!#REF!,2,FALSE),"")</f>
        <v/>
      </c>
    </row>
    <row r="2907" spans="3:4" s="230" customFormat="1">
      <c r="C2907" s="16" t="str">
        <f>IFERROR(VLOOKUP(DATA!#REF!,DATA!#REF!,1,FALSE),"")</f>
        <v/>
      </c>
      <c r="D2907" s="16" t="str">
        <f>IFERROR(VLOOKUP(C2907,DATA!#REF!,2,FALSE),"")</f>
        <v/>
      </c>
    </row>
    <row r="2908" spans="3:4" s="230" customFormat="1">
      <c r="C2908" s="16" t="str">
        <f>IFERROR(VLOOKUP(DATA!#REF!,DATA!#REF!,1,FALSE),"")</f>
        <v/>
      </c>
      <c r="D2908" s="16" t="str">
        <f>IFERROR(VLOOKUP(C2908,DATA!#REF!,2,FALSE),"")</f>
        <v/>
      </c>
    </row>
    <row r="2909" spans="3:4" s="230" customFormat="1">
      <c r="C2909" s="16" t="str">
        <f>IFERROR(VLOOKUP(DATA!#REF!,DATA!#REF!,1,FALSE),"")</f>
        <v/>
      </c>
      <c r="D2909" s="16" t="str">
        <f>IFERROR(VLOOKUP(C2909,DATA!#REF!,2,FALSE),"")</f>
        <v/>
      </c>
    </row>
    <row r="2910" spans="3:4" s="230" customFormat="1">
      <c r="C2910" s="16" t="str">
        <f>IFERROR(VLOOKUP(DATA!#REF!,DATA!#REF!,1,FALSE),"")</f>
        <v/>
      </c>
      <c r="D2910" s="16" t="str">
        <f>IFERROR(VLOOKUP(C2910,DATA!#REF!,2,FALSE),"")</f>
        <v/>
      </c>
    </row>
    <row r="2911" spans="3:4" s="230" customFormat="1">
      <c r="C2911" s="16" t="str">
        <f>IFERROR(VLOOKUP(DATA!#REF!,DATA!#REF!,1,FALSE),"")</f>
        <v/>
      </c>
      <c r="D2911" s="16" t="str">
        <f>IFERROR(VLOOKUP(C2911,DATA!#REF!,2,FALSE),"")</f>
        <v/>
      </c>
    </row>
    <row r="2912" spans="3:4" s="230" customFormat="1">
      <c r="C2912" s="16" t="str">
        <f>IFERROR(VLOOKUP(DATA!#REF!,DATA!#REF!,1,FALSE),"")</f>
        <v/>
      </c>
      <c r="D2912" s="16" t="str">
        <f>IFERROR(VLOOKUP(C2912,DATA!#REF!,2,FALSE),"")</f>
        <v/>
      </c>
    </row>
    <row r="2913" spans="3:4" s="230" customFormat="1">
      <c r="C2913" s="16" t="str">
        <f>IFERROR(VLOOKUP(DATA!#REF!,DATA!#REF!,1,FALSE),"")</f>
        <v/>
      </c>
      <c r="D2913" s="16" t="str">
        <f>IFERROR(VLOOKUP(C2913,DATA!#REF!,2,FALSE),"")</f>
        <v/>
      </c>
    </row>
    <row r="2914" spans="3:4" s="230" customFormat="1">
      <c r="C2914" s="16" t="str">
        <f>IFERROR(VLOOKUP(DATA!#REF!,DATA!#REF!,1,FALSE),"")</f>
        <v/>
      </c>
      <c r="D2914" s="16" t="str">
        <f>IFERROR(VLOOKUP(C2914,DATA!#REF!,2,FALSE),"")</f>
        <v/>
      </c>
    </row>
    <row r="2915" spans="3:4" s="230" customFormat="1">
      <c r="C2915" s="16" t="str">
        <f>IFERROR(VLOOKUP(DATA!#REF!,DATA!#REF!,1,FALSE),"")</f>
        <v/>
      </c>
      <c r="D2915" s="16" t="str">
        <f>IFERROR(VLOOKUP(C2915,DATA!#REF!,2,FALSE),"")</f>
        <v/>
      </c>
    </row>
    <row r="2916" spans="3:4" s="230" customFormat="1">
      <c r="C2916" s="16" t="str">
        <f>IFERROR(VLOOKUP(DATA!#REF!,DATA!#REF!,1,FALSE),"")</f>
        <v/>
      </c>
      <c r="D2916" s="16" t="str">
        <f>IFERROR(VLOOKUP(C2916,DATA!#REF!,2,FALSE),"")</f>
        <v/>
      </c>
    </row>
    <row r="2917" spans="3:4" s="230" customFormat="1">
      <c r="C2917" s="16" t="str">
        <f>IFERROR(VLOOKUP(DATA!#REF!,DATA!#REF!,1,FALSE),"")</f>
        <v/>
      </c>
      <c r="D2917" s="16" t="str">
        <f>IFERROR(VLOOKUP(C2917,DATA!#REF!,2,FALSE),"")</f>
        <v/>
      </c>
    </row>
    <row r="2918" spans="3:4" s="230" customFormat="1">
      <c r="C2918" s="16" t="str">
        <f>IFERROR(VLOOKUP(DATA!#REF!,DATA!#REF!,1,FALSE),"")</f>
        <v/>
      </c>
      <c r="D2918" s="16" t="str">
        <f>IFERROR(VLOOKUP(C2918,DATA!#REF!,2,FALSE),"")</f>
        <v/>
      </c>
    </row>
    <row r="2919" spans="3:4" s="230" customFormat="1">
      <c r="C2919" s="16" t="str">
        <f>IFERROR(VLOOKUP(DATA!#REF!,DATA!#REF!,1,FALSE),"")</f>
        <v/>
      </c>
      <c r="D2919" s="16" t="str">
        <f>IFERROR(VLOOKUP(C2919,DATA!#REF!,2,FALSE),"")</f>
        <v/>
      </c>
    </row>
    <row r="2920" spans="3:4" s="230" customFormat="1">
      <c r="C2920" s="16" t="str">
        <f>IFERROR(VLOOKUP(DATA!#REF!,DATA!#REF!,1,FALSE),"")</f>
        <v/>
      </c>
      <c r="D2920" s="16" t="str">
        <f>IFERROR(VLOOKUP(C2920,DATA!#REF!,2,FALSE),"")</f>
        <v/>
      </c>
    </row>
    <row r="2921" spans="3:4" s="230" customFormat="1">
      <c r="C2921" s="16" t="str">
        <f>IFERROR(VLOOKUP(DATA!#REF!,DATA!#REF!,1,FALSE),"")</f>
        <v/>
      </c>
      <c r="D2921" s="16" t="str">
        <f>IFERROR(VLOOKUP(C2921,DATA!#REF!,2,FALSE),"")</f>
        <v/>
      </c>
    </row>
    <row r="2922" spans="3:4" s="230" customFormat="1">
      <c r="C2922" s="16" t="str">
        <f>IFERROR(VLOOKUP(DATA!#REF!,DATA!#REF!,1,FALSE),"")</f>
        <v/>
      </c>
      <c r="D2922" s="16" t="str">
        <f>IFERROR(VLOOKUP(C2922,DATA!#REF!,2,FALSE),"")</f>
        <v/>
      </c>
    </row>
    <row r="2923" spans="3:4" s="230" customFormat="1">
      <c r="C2923" s="16" t="str">
        <f>IFERROR(VLOOKUP(DATA!#REF!,DATA!#REF!,1,FALSE),"")</f>
        <v/>
      </c>
      <c r="D2923" s="16" t="str">
        <f>IFERROR(VLOOKUP(C2923,DATA!#REF!,2,FALSE),"")</f>
        <v/>
      </c>
    </row>
    <row r="2924" spans="3:4" s="230" customFormat="1">
      <c r="C2924" s="16" t="str">
        <f>IFERROR(VLOOKUP(DATA!#REF!,DATA!#REF!,1,FALSE),"")</f>
        <v/>
      </c>
      <c r="D2924" s="16" t="str">
        <f>IFERROR(VLOOKUP(C2924,DATA!#REF!,2,FALSE),"")</f>
        <v/>
      </c>
    </row>
    <row r="2925" spans="3:4" s="230" customFormat="1">
      <c r="C2925" s="16" t="str">
        <f>IFERROR(VLOOKUP(DATA!#REF!,DATA!#REF!,1,FALSE),"")</f>
        <v/>
      </c>
      <c r="D2925" s="16" t="str">
        <f>IFERROR(VLOOKUP(C2925,DATA!#REF!,2,FALSE),"")</f>
        <v/>
      </c>
    </row>
    <row r="2926" spans="3:4" s="230" customFormat="1">
      <c r="C2926" s="16" t="str">
        <f>IFERROR(VLOOKUP(DATA!#REF!,DATA!#REF!,1,FALSE),"")</f>
        <v/>
      </c>
      <c r="D2926" s="16" t="str">
        <f>IFERROR(VLOOKUP(C2926,DATA!#REF!,2,FALSE),"")</f>
        <v/>
      </c>
    </row>
    <row r="2927" spans="3:4" s="230" customFormat="1">
      <c r="C2927" s="16" t="str">
        <f>IFERROR(VLOOKUP(DATA!#REF!,DATA!#REF!,1,FALSE),"")</f>
        <v/>
      </c>
      <c r="D2927" s="16" t="str">
        <f>IFERROR(VLOOKUP(C2927,DATA!#REF!,2,FALSE),"")</f>
        <v/>
      </c>
    </row>
    <row r="2928" spans="3:4" s="230" customFormat="1">
      <c r="C2928" s="16" t="str">
        <f>IFERROR(VLOOKUP(DATA!#REF!,DATA!#REF!,1,FALSE),"")</f>
        <v/>
      </c>
      <c r="D2928" s="16" t="str">
        <f>IFERROR(VLOOKUP(C2928,DATA!#REF!,2,FALSE),"")</f>
        <v/>
      </c>
    </row>
    <row r="2929" spans="3:4" s="230" customFormat="1">
      <c r="C2929" s="16" t="str">
        <f>IFERROR(VLOOKUP(DATA!#REF!,DATA!#REF!,1,FALSE),"")</f>
        <v/>
      </c>
      <c r="D2929" s="16" t="str">
        <f>IFERROR(VLOOKUP(C2929,DATA!#REF!,2,FALSE),"")</f>
        <v/>
      </c>
    </row>
    <row r="2930" spans="3:4" s="230" customFormat="1">
      <c r="C2930" s="16" t="str">
        <f>IFERROR(VLOOKUP(DATA!#REF!,DATA!#REF!,1,FALSE),"")</f>
        <v/>
      </c>
      <c r="D2930" s="16" t="str">
        <f>IFERROR(VLOOKUP(C2930,DATA!#REF!,2,FALSE),"")</f>
        <v/>
      </c>
    </row>
    <row r="2931" spans="3:4" s="230" customFormat="1">
      <c r="C2931" s="16" t="str">
        <f>IFERROR(VLOOKUP(DATA!#REF!,DATA!#REF!,1,FALSE),"")</f>
        <v/>
      </c>
      <c r="D2931" s="16" t="str">
        <f>IFERROR(VLOOKUP(C2931,DATA!#REF!,2,FALSE),"")</f>
        <v/>
      </c>
    </row>
    <row r="2932" spans="3:4" s="230" customFormat="1">
      <c r="C2932" s="16" t="str">
        <f>IFERROR(VLOOKUP(DATA!#REF!,DATA!#REF!,1,FALSE),"")</f>
        <v/>
      </c>
      <c r="D2932" s="16" t="str">
        <f>IFERROR(VLOOKUP(C2932,DATA!#REF!,2,FALSE),"")</f>
        <v/>
      </c>
    </row>
    <row r="2933" spans="3:4" s="230" customFormat="1">
      <c r="C2933" s="16" t="str">
        <f>IFERROR(VLOOKUP(DATA!#REF!,DATA!#REF!,1,FALSE),"")</f>
        <v/>
      </c>
      <c r="D2933" s="16" t="str">
        <f>IFERROR(VLOOKUP(C2933,DATA!#REF!,2,FALSE),"")</f>
        <v/>
      </c>
    </row>
    <row r="2934" spans="3:4" s="230" customFormat="1">
      <c r="C2934" s="16" t="str">
        <f>IFERROR(VLOOKUP(DATA!#REF!,DATA!#REF!,1,FALSE),"")</f>
        <v/>
      </c>
      <c r="D2934" s="16" t="str">
        <f>IFERROR(VLOOKUP(C2934,DATA!#REF!,2,FALSE),"")</f>
        <v/>
      </c>
    </row>
    <row r="2935" spans="3:4" s="230" customFormat="1">
      <c r="C2935" s="16" t="str">
        <f>IFERROR(VLOOKUP(DATA!#REF!,DATA!#REF!,1,FALSE),"")</f>
        <v/>
      </c>
      <c r="D2935" s="16" t="str">
        <f>IFERROR(VLOOKUP(C2935,DATA!#REF!,2,FALSE),"")</f>
        <v/>
      </c>
    </row>
    <row r="2936" spans="3:4" s="230" customFormat="1">
      <c r="C2936" s="16" t="str">
        <f>IFERROR(VLOOKUP(DATA!#REF!,DATA!#REF!,1,FALSE),"")</f>
        <v/>
      </c>
      <c r="D2936" s="16" t="str">
        <f>IFERROR(VLOOKUP(C2936,DATA!#REF!,2,FALSE),"")</f>
        <v/>
      </c>
    </row>
    <row r="2937" spans="3:4" s="230" customFormat="1">
      <c r="C2937" s="16" t="str">
        <f>IFERROR(VLOOKUP(DATA!#REF!,DATA!#REF!,1,FALSE),"")</f>
        <v/>
      </c>
      <c r="D2937" s="16" t="str">
        <f>IFERROR(VLOOKUP(C2937,DATA!#REF!,2,FALSE),"")</f>
        <v/>
      </c>
    </row>
    <row r="2938" spans="3:4" s="230" customFormat="1">
      <c r="C2938" s="16" t="str">
        <f>IFERROR(VLOOKUP(DATA!#REF!,DATA!#REF!,1,FALSE),"")</f>
        <v/>
      </c>
      <c r="D2938" s="16" t="str">
        <f>IFERROR(VLOOKUP(C2938,DATA!#REF!,2,FALSE),"")</f>
        <v/>
      </c>
    </row>
    <row r="2939" spans="3:4" s="230" customFormat="1">
      <c r="C2939" s="16" t="str">
        <f>IFERROR(VLOOKUP(DATA!#REF!,DATA!#REF!,1,FALSE),"")</f>
        <v/>
      </c>
      <c r="D2939" s="16" t="str">
        <f>IFERROR(VLOOKUP(C2939,DATA!#REF!,2,FALSE),"")</f>
        <v/>
      </c>
    </row>
    <row r="2940" spans="3:4" s="230" customFormat="1">
      <c r="C2940" s="16" t="str">
        <f>IFERROR(VLOOKUP(DATA!#REF!,DATA!#REF!,1,FALSE),"")</f>
        <v/>
      </c>
      <c r="D2940" s="16" t="str">
        <f>IFERROR(VLOOKUP(C2940,DATA!#REF!,2,FALSE),"")</f>
        <v/>
      </c>
    </row>
    <row r="2941" spans="3:4" s="230" customFormat="1">
      <c r="C2941" s="16" t="str">
        <f>IFERROR(VLOOKUP(DATA!#REF!,DATA!#REF!,1,FALSE),"")</f>
        <v/>
      </c>
      <c r="D2941" s="16" t="str">
        <f>IFERROR(VLOOKUP(C2941,DATA!#REF!,2,FALSE),"")</f>
        <v/>
      </c>
    </row>
    <row r="2942" spans="3:4" s="230" customFormat="1">
      <c r="C2942" s="16" t="str">
        <f>IFERROR(VLOOKUP(DATA!#REF!,DATA!#REF!,1,FALSE),"")</f>
        <v/>
      </c>
      <c r="D2942" s="16" t="str">
        <f>IFERROR(VLOOKUP(C2942,DATA!#REF!,2,FALSE),"")</f>
        <v/>
      </c>
    </row>
    <row r="2943" spans="3:4" s="230" customFormat="1">
      <c r="C2943" s="16" t="str">
        <f>IFERROR(VLOOKUP(DATA!#REF!,DATA!#REF!,1,FALSE),"")</f>
        <v/>
      </c>
      <c r="D2943" s="16" t="str">
        <f>IFERROR(VLOOKUP(C2943,DATA!#REF!,2,FALSE),"")</f>
        <v/>
      </c>
    </row>
    <row r="2944" spans="3:4" s="230" customFormat="1">
      <c r="C2944" s="16" t="str">
        <f>IFERROR(VLOOKUP(DATA!#REF!,DATA!#REF!,1,FALSE),"")</f>
        <v/>
      </c>
      <c r="D2944" s="16" t="str">
        <f>IFERROR(VLOOKUP(C2944,DATA!#REF!,2,FALSE),"")</f>
        <v/>
      </c>
    </row>
    <row r="2945" spans="3:4" s="230" customFormat="1">
      <c r="C2945" s="16" t="str">
        <f>IFERROR(VLOOKUP(DATA!#REF!,DATA!#REF!,1,FALSE),"")</f>
        <v/>
      </c>
      <c r="D2945" s="16" t="str">
        <f>IFERROR(VLOOKUP(C2945,DATA!#REF!,2,FALSE),"")</f>
        <v/>
      </c>
    </row>
    <row r="2946" spans="3:4" s="230" customFormat="1">
      <c r="C2946" s="16" t="str">
        <f>IFERROR(VLOOKUP(DATA!#REF!,DATA!#REF!,1,FALSE),"")</f>
        <v/>
      </c>
      <c r="D2946" s="16" t="str">
        <f>IFERROR(VLOOKUP(C2946,DATA!#REF!,2,FALSE),"")</f>
        <v/>
      </c>
    </row>
    <row r="2947" spans="3:4" s="230" customFormat="1">
      <c r="C2947" s="16" t="str">
        <f>IFERROR(VLOOKUP(DATA!#REF!,DATA!#REF!,1,FALSE),"")</f>
        <v/>
      </c>
      <c r="D2947" s="16" t="str">
        <f>IFERROR(VLOOKUP(C2947,DATA!#REF!,2,FALSE),"")</f>
        <v/>
      </c>
    </row>
    <row r="2948" spans="3:4" s="230" customFormat="1">
      <c r="C2948" s="16" t="str">
        <f>IFERROR(VLOOKUP(DATA!#REF!,DATA!#REF!,1,FALSE),"")</f>
        <v/>
      </c>
      <c r="D2948" s="16" t="str">
        <f>IFERROR(VLOOKUP(C2948,DATA!#REF!,2,FALSE),"")</f>
        <v/>
      </c>
    </row>
    <row r="2949" spans="3:4" s="230" customFormat="1">
      <c r="C2949" s="16" t="str">
        <f>IFERROR(VLOOKUP(DATA!#REF!,DATA!#REF!,1,FALSE),"")</f>
        <v/>
      </c>
      <c r="D2949" s="16" t="str">
        <f>IFERROR(VLOOKUP(C2949,DATA!#REF!,2,FALSE),"")</f>
        <v/>
      </c>
    </row>
    <row r="2950" spans="3:4" s="230" customFormat="1">
      <c r="C2950" s="16" t="str">
        <f>IFERROR(VLOOKUP(DATA!#REF!,DATA!#REF!,1,FALSE),"")</f>
        <v/>
      </c>
      <c r="D2950" s="16" t="str">
        <f>IFERROR(VLOOKUP(C2950,DATA!#REF!,2,FALSE),"")</f>
        <v/>
      </c>
    </row>
    <row r="2951" spans="3:4" s="230" customFormat="1">
      <c r="C2951" s="16" t="str">
        <f>IFERROR(VLOOKUP(DATA!#REF!,DATA!#REF!,1,FALSE),"")</f>
        <v/>
      </c>
      <c r="D2951" s="16" t="str">
        <f>IFERROR(VLOOKUP(C2951,DATA!#REF!,2,FALSE),"")</f>
        <v/>
      </c>
    </row>
    <row r="2952" spans="3:4" s="230" customFormat="1">
      <c r="C2952" s="16" t="str">
        <f>IFERROR(VLOOKUP(DATA!#REF!,DATA!#REF!,1,FALSE),"")</f>
        <v/>
      </c>
      <c r="D2952" s="16" t="str">
        <f>IFERROR(VLOOKUP(C2952,DATA!#REF!,2,FALSE),"")</f>
        <v/>
      </c>
    </row>
    <row r="2953" spans="3:4" s="230" customFormat="1">
      <c r="C2953" s="16" t="str">
        <f>IFERROR(VLOOKUP(DATA!#REF!,DATA!#REF!,1,FALSE),"")</f>
        <v/>
      </c>
      <c r="D2953" s="16" t="str">
        <f>IFERROR(VLOOKUP(C2953,DATA!#REF!,2,FALSE),"")</f>
        <v/>
      </c>
    </row>
    <row r="2954" spans="3:4" s="230" customFormat="1">
      <c r="C2954" s="16" t="str">
        <f>IFERROR(VLOOKUP(DATA!#REF!,DATA!#REF!,1,FALSE),"")</f>
        <v/>
      </c>
      <c r="D2954" s="16" t="str">
        <f>IFERROR(VLOOKUP(C2954,DATA!#REF!,2,FALSE),"")</f>
        <v/>
      </c>
    </row>
    <row r="2955" spans="3:4" s="230" customFormat="1">
      <c r="C2955" s="16" t="str">
        <f>IFERROR(VLOOKUP(DATA!#REF!,DATA!#REF!,1,FALSE),"")</f>
        <v/>
      </c>
      <c r="D2955" s="16" t="str">
        <f>IFERROR(VLOOKUP(C2955,DATA!#REF!,2,FALSE),"")</f>
        <v/>
      </c>
    </row>
    <row r="2956" spans="3:4" s="230" customFormat="1">
      <c r="C2956" s="16" t="str">
        <f>IFERROR(VLOOKUP(DATA!#REF!,DATA!#REF!,1,FALSE),"")</f>
        <v/>
      </c>
      <c r="D2956" s="16" t="str">
        <f>IFERROR(VLOOKUP(C2956,DATA!#REF!,2,FALSE),"")</f>
        <v/>
      </c>
    </row>
    <row r="2957" spans="3:4" s="230" customFormat="1">
      <c r="C2957" s="16" t="str">
        <f>IFERROR(VLOOKUP(DATA!#REF!,DATA!#REF!,1,FALSE),"")</f>
        <v/>
      </c>
      <c r="D2957" s="16" t="str">
        <f>IFERROR(VLOOKUP(C2957,DATA!#REF!,2,FALSE),"")</f>
        <v/>
      </c>
    </row>
    <row r="2958" spans="3:4" s="230" customFormat="1">
      <c r="C2958" s="16" t="str">
        <f>IFERROR(VLOOKUP(DATA!#REF!,DATA!#REF!,1,FALSE),"")</f>
        <v/>
      </c>
      <c r="D2958" s="16" t="str">
        <f>IFERROR(VLOOKUP(C2958,DATA!#REF!,2,FALSE),"")</f>
        <v/>
      </c>
    </row>
    <row r="2959" spans="3:4" s="230" customFormat="1">
      <c r="C2959" s="16" t="str">
        <f>IFERROR(VLOOKUP(DATA!#REF!,DATA!#REF!,1,FALSE),"")</f>
        <v/>
      </c>
      <c r="D2959" s="16" t="str">
        <f>IFERROR(VLOOKUP(C2959,DATA!#REF!,2,FALSE),"")</f>
        <v/>
      </c>
    </row>
    <row r="2960" spans="3:4" s="230" customFormat="1">
      <c r="C2960" s="16" t="str">
        <f>IFERROR(VLOOKUP(DATA!#REF!,DATA!#REF!,1,FALSE),"")</f>
        <v/>
      </c>
      <c r="D2960" s="16" t="str">
        <f>IFERROR(VLOOKUP(C2960,DATA!#REF!,2,FALSE),"")</f>
        <v/>
      </c>
    </row>
    <row r="2961" spans="3:4" s="230" customFormat="1">
      <c r="C2961" s="16" t="str">
        <f>IFERROR(VLOOKUP(DATA!#REF!,DATA!#REF!,1,FALSE),"")</f>
        <v/>
      </c>
      <c r="D2961" s="16" t="str">
        <f>IFERROR(VLOOKUP(C2961,DATA!#REF!,2,FALSE),"")</f>
        <v/>
      </c>
    </row>
    <row r="2962" spans="3:4" s="230" customFormat="1">
      <c r="C2962" s="16" t="str">
        <f>IFERROR(VLOOKUP(DATA!#REF!,DATA!#REF!,1,FALSE),"")</f>
        <v/>
      </c>
      <c r="D2962" s="16" t="str">
        <f>IFERROR(VLOOKUP(C2962,DATA!#REF!,2,FALSE),"")</f>
        <v/>
      </c>
    </row>
    <row r="2963" spans="3:4" s="230" customFormat="1">
      <c r="C2963" s="16" t="str">
        <f>IFERROR(VLOOKUP(DATA!#REF!,DATA!#REF!,1,FALSE),"")</f>
        <v/>
      </c>
      <c r="D2963" s="16" t="str">
        <f>IFERROR(VLOOKUP(C2963,DATA!#REF!,2,FALSE),"")</f>
        <v/>
      </c>
    </row>
    <row r="2964" spans="3:4" s="230" customFormat="1">
      <c r="C2964" s="16" t="str">
        <f>IFERROR(VLOOKUP(DATA!#REF!,DATA!#REF!,1,FALSE),"")</f>
        <v/>
      </c>
      <c r="D2964" s="16" t="str">
        <f>IFERROR(VLOOKUP(C2964,DATA!#REF!,2,FALSE),"")</f>
        <v/>
      </c>
    </row>
    <row r="2965" spans="3:4" s="230" customFormat="1">
      <c r="C2965" s="16" t="str">
        <f>IFERROR(VLOOKUP(DATA!#REF!,DATA!#REF!,1,FALSE),"")</f>
        <v/>
      </c>
      <c r="D2965" s="16" t="str">
        <f>IFERROR(VLOOKUP(C2965,DATA!#REF!,2,FALSE),"")</f>
        <v/>
      </c>
    </row>
    <row r="2966" spans="3:4" s="230" customFormat="1">
      <c r="C2966" s="16" t="str">
        <f>IFERROR(VLOOKUP(DATA!#REF!,DATA!#REF!,1,FALSE),"")</f>
        <v/>
      </c>
      <c r="D2966" s="16" t="str">
        <f>IFERROR(VLOOKUP(C2966,DATA!#REF!,2,FALSE),"")</f>
        <v/>
      </c>
    </row>
    <row r="2967" spans="3:4" s="230" customFormat="1">
      <c r="C2967" s="16" t="str">
        <f>IFERROR(VLOOKUP(DATA!#REF!,DATA!#REF!,1,FALSE),"")</f>
        <v/>
      </c>
      <c r="D2967" s="16" t="str">
        <f>IFERROR(VLOOKUP(C2967,DATA!#REF!,2,FALSE),"")</f>
        <v/>
      </c>
    </row>
    <row r="2968" spans="3:4" s="230" customFormat="1">
      <c r="C2968" s="16" t="str">
        <f>IFERROR(VLOOKUP(DATA!#REF!,DATA!#REF!,1,FALSE),"")</f>
        <v/>
      </c>
      <c r="D2968" s="16" t="str">
        <f>IFERROR(VLOOKUP(C2968,DATA!#REF!,2,FALSE),"")</f>
        <v/>
      </c>
    </row>
    <row r="2969" spans="3:4" s="230" customFormat="1">
      <c r="C2969" s="16" t="str">
        <f>IFERROR(VLOOKUP(DATA!#REF!,DATA!#REF!,1,FALSE),"")</f>
        <v/>
      </c>
      <c r="D2969" s="16" t="str">
        <f>IFERROR(VLOOKUP(C2969,DATA!#REF!,2,FALSE),"")</f>
        <v/>
      </c>
    </row>
    <row r="2970" spans="3:4" s="230" customFormat="1">
      <c r="C2970" s="16" t="str">
        <f>IFERROR(VLOOKUP(DATA!#REF!,DATA!#REF!,1,FALSE),"")</f>
        <v/>
      </c>
      <c r="D2970" s="16" t="str">
        <f>IFERROR(VLOOKUP(C2970,DATA!#REF!,2,FALSE),"")</f>
        <v/>
      </c>
    </row>
    <row r="2971" spans="3:4" s="230" customFormat="1">
      <c r="C2971" s="16" t="str">
        <f>IFERROR(VLOOKUP(DATA!#REF!,DATA!#REF!,1,FALSE),"")</f>
        <v/>
      </c>
      <c r="D2971" s="16" t="str">
        <f>IFERROR(VLOOKUP(C2971,DATA!#REF!,2,FALSE),"")</f>
        <v/>
      </c>
    </row>
    <row r="2972" spans="3:4" s="230" customFormat="1">
      <c r="C2972" s="16" t="str">
        <f>IFERROR(VLOOKUP(DATA!#REF!,DATA!#REF!,1,FALSE),"")</f>
        <v/>
      </c>
      <c r="D2972" s="16" t="str">
        <f>IFERROR(VLOOKUP(C2972,DATA!#REF!,2,FALSE),"")</f>
        <v/>
      </c>
    </row>
    <row r="2973" spans="3:4" s="230" customFormat="1">
      <c r="C2973" s="16" t="str">
        <f>IFERROR(VLOOKUP(DATA!#REF!,DATA!#REF!,1,FALSE),"")</f>
        <v/>
      </c>
      <c r="D2973" s="16" t="str">
        <f>IFERROR(VLOOKUP(C2973,DATA!#REF!,2,FALSE),"")</f>
        <v/>
      </c>
    </row>
    <row r="2974" spans="3:4" s="230" customFormat="1">
      <c r="C2974" s="16" t="str">
        <f>IFERROR(VLOOKUP(DATA!#REF!,DATA!#REF!,1,FALSE),"")</f>
        <v/>
      </c>
      <c r="D2974" s="16" t="str">
        <f>IFERROR(VLOOKUP(C2974,DATA!#REF!,2,FALSE),"")</f>
        <v/>
      </c>
    </row>
    <row r="2975" spans="3:4" s="230" customFormat="1">
      <c r="C2975" s="16" t="str">
        <f>IFERROR(VLOOKUP(DATA!#REF!,DATA!#REF!,1,FALSE),"")</f>
        <v/>
      </c>
      <c r="D2975" s="16" t="str">
        <f>IFERROR(VLOOKUP(C2975,DATA!#REF!,2,FALSE),"")</f>
        <v/>
      </c>
    </row>
    <row r="2976" spans="3:4" s="230" customFormat="1">
      <c r="C2976" s="16" t="str">
        <f>IFERROR(VLOOKUP(DATA!#REF!,DATA!#REF!,1,FALSE),"")</f>
        <v/>
      </c>
      <c r="D2976" s="16" t="str">
        <f>IFERROR(VLOOKUP(C2976,DATA!#REF!,2,FALSE),"")</f>
        <v/>
      </c>
    </row>
    <row r="2977" spans="3:4" s="230" customFormat="1">
      <c r="C2977" s="16" t="str">
        <f>IFERROR(VLOOKUP(DATA!#REF!,DATA!#REF!,1,FALSE),"")</f>
        <v/>
      </c>
      <c r="D2977" s="16" t="str">
        <f>IFERROR(VLOOKUP(C2977,DATA!#REF!,2,FALSE),"")</f>
        <v/>
      </c>
    </row>
    <row r="2978" spans="3:4" s="230" customFormat="1">
      <c r="C2978" s="16" t="str">
        <f>IFERROR(VLOOKUP(DATA!#REF!,DATA!#REF!,1,FALSE),"")</f>
        <v/>
      </c>
      <c r="D2978" s="16" t="str">
        <f>IFERROR(VLOOKUP(C2978,DATA!#REF!,2,FALSE),"")</f>
        <v/>
      </c>
    </row>
    <row r="2979" spans="3:4" s="230" customFormat="1">
      <c r="C2979" s="16" t="str">
        <f>IFERROR(VLOOKUP(DATA!#REF!,DATA!#REF!,1,FALSE),"")</f>
        <v/>
      </c>
      <c r="D2979" s="16" t="str">
        <f>IFERROR(VLOOKUP(C2979,DATA!#REF!,2,FALSE),"")</f>
        <v/>
      </c>
    </row>
    <row r="2980" spans="3:4" s="230" customFormat="1">
      <c r="C2980" s="16" t="str">
        <f>IFERROR(VLOOKUP(DATA!#REF!,DATA!#REF!,1,FALSE),"")</f>
        <v/>
      </c>
      <c r="D2980" s="16" t="str">
        <f>IFERROR(VLOOKUP(C2980,DATA!#REF!,2,FALSE),"")</f>
        <v/>
      </c>
    </row>
    <row r="2981" spans="3:4" s="230" customFormat="1">
      <c r="C2981" s="16" t="str">
        <f>IFERROR(VLOOKUP(DATA!#REF!,DATA!#REF!,1,FALSE),"")</f>
        <v/>
      </c>
      <c r="D2981" s="16" t="str">
        <f>IFERROR(VLOOKUP(C2981,DATA!#REF!,2,FALSE),"")</f>
        <v/>
      </c>
    </row>
    <row r="2982" spans="3:4" s="230" customFormat="1">
      <c r="C2982" s="16" t="str">
        <f>IFERROR(VLOOKUP(DATA!#REF!,DATA!#REF!,1,FALSE),"")</f>
        <v/>
      </c>
      <c r="D2982" s="16" t="str">
        <f>IFERROR(VLOOKUP(C2982,DATA!#REF!,2,FALSE),"")</f>
        <v/>
      </c>
    </row>
    <row r="2983" spans="3:4" s="230" customFormat="1">
      <c r="C2983" s="16" t="str">
        <f>IFERROR(VLOOKUP(DATA!#REF!,DATA!#REF!,1,FALSE),"")</f>
        <v/>
      </c>
      <c r="D2983" s="16" t="str">
        <f>IFERROR(VLOOKUP(C2983,DATA!#REF!,2,FALSE),"")</f>
        <v/>
      </c>
    </row>
    <row r="2984" spans="3:4" s="230" customFormat="1">
      <c r="C2984" s="16" t="str">
        <f>IFERROR(VLOOKUP(DATA!#REF!,DATA!#REF!,1,FALSE),"")</f>
        <v/>
      </c>
      <c r="D2984" s="16" t="str">
        <f>IFERROR(VLOOKUP(C2984,DATA!#REF!,2,FALSE),"")</f>
        <v/>
      </c>
    </row>
    <row r="2985" spans="3:4" s="230" customFormat="1">
      <c r="C2985" s="16" t="str">
        <f>IFERROR(VLOOKUP(DATA!#REF!,DATA!#REF!,1,FALSE),"")</f>
        <v/>
      </c>
      <c r="D2985" s="16" t="str">
        <f>IFERROR(VLOOKUP(C2985,DATA!#REF!,2,FALSE),"")</f>
        <v/>
      </c>
    </row>
    <row r="2986" spans="3:4" s="230" customFormat="1">
      <c r="C2986" s="16" t="str">
        <f>IFERROR(VLOOKUP(DATA!#REF!,DATA!#REF!,1,FALSE),"")</f>
        <v/>
      </c>
      <c r="D2986" s="16" t="str">
        <f>IFERROR(VLOOKUP(C2986,DATA!#REF!,2,FALSE),"")</f>
        <v/>
      </c>
    </row>
    <row r="2987" spans="3:4" s="230" customFormat="1">
      <c r="C2987" s="16" t="str">
        <f>IFERROR(VLOOKUP(DATA!#REF!,DATA!#REF!,1,FALSE),"")</f>
        <v/>
      </c>
      <c r="D2987" s="16" t="str">
        <f>IFERROR(VLOOKUP(C2987,DATA!#REF!,2,FALSE),"")</f>
        <v/>
      </c>
    </row>
    <row r="2988" spans="3:4" s="230" customFormat="1">
      <c r="C2988" s="16" t="str">
        <f>IFERROR(VLOOKUP(DATA!#REF!,DATA!#REF!,1,FALSE),"")</f>
        <v/>
      </c>
      <c r="D2988" s="16" t="str">
        <f>IFERROR(VLOOKUP(C2988,DATA!#REF!,2,FALSE),"")</f>
        <v/>
      </c>
    </row>
    <row r="2989" spans="3:4" s="230" customFormat="1">
      <c r="C2989" s="16" t="str">
        <f>IFERROR(VLOOKUP(DATA!#REF!,DATA!#REF!,1,FALSE),"")</f>
        <v/>
      </c>
      <c r="D2989" s="16" t="str">
        <f>IFERROR(VLOOKUP(C2989,DATA!#REF!,2,FALSE),"")</f>
        <v/>
      </c>
    </row>
    <row r="2990" spans="3:4" s="230" customFormat="1">
      <c r="C2990" s="16" t="str">
        <f>IFERROR(VLOOKUP(DATA!#REF!,DATA!#REF!,1,FALSE),"")</f>
        <v/>
      </c>
      <c r="D2990" s="16" t="str">
        <f>IFERROR(VLOOKUP(C2990,DATA!#REF!,2,FALSE),"")</f>
        <v/>
      </c>
    </row>
    <row r="2991" spans="3:4" s="230" customFormat="1">
      <c r="C2991" s="16" t="str">
        <f>IFERROR(VLOOKUP(DATA!#REF!,DATA!#REF!,1,FALSE),"")</f>
        <v/>
      </c>
      <c r="D2991" s="16" t="str">
        <f>IFERROR(VLOOKUP(C2991,DATA!#REF!,2,FALSE),"")</f>
        <v/>
      </c>
    </row>
    <row r="2992" spans="3:4" s="230" customFormat="1">
      <c r="C2992" s="16" t="str">
        <f>IFERROR(VLOOKUP(DATA!#REF!,DATA!#REF!,1,FALSE),"")</f>
        <v/>
      </c>
      <c r="D2992" s="16" t="str">
        <f>IFERROR(VLOOKUP(C2992,DATA!#REF!,2,FALSE),"")</f>
        <v/>
      </c>
    </row>
    <row r="2993" spans="3:4" s="230" customFormat="1">
      <c r="C2993" s="16" t="str">
        <f>IFERROR(VLOOKUP(DATA!#REF!,DATA!#REF!,1,FALSE),"")</f>
        <v/>
      </c>
      <c r="D2993" s="16" t="str">
        <f>IFERROR(VLOOKUP(C2993,DATA!#REF!,2,FALSE),"")</f>
        <v/>
      </c>
    </row>
    <row r="2994" spans="3:4" s="230" customFormat="1">
      <c r="C2994" s="16" t="str">
        <f>IFERROR(VLOOKUP(DATA!#REF!,DATA!#REF!,1,FALSE),"")</f>
        <v/>
      </c>
      <c r="D2994" s="16" t="str">
        <f>IFERROR(VLOOKUP(C2994,DATA!#REF!,2,FALSE),"")</f>
        <v/>
      </c>
    </row>
    <row r="2995" spans="3:4" s="230" customFormat="1">
      <c r="C2995" s="16" t="str">
        <f>IFERROR(VLOOKUP(DATA!#REF!,DATA!#REF!,1,FALSE),"")</f>
        <v/>
      </c>
      <c r="D2995" s="16" t="str">
        <f>IFERROR(VLOOKUP(C2995,DATA!#REF!,2,FALSE),"")</f>
        <v/>
      </c>
    </row>
    <row r="2996" spans="3:4" s="230" customFormat="1">
      <c r="C2996" s="16" t="str">
        <f>IFERROR(VLOOKUP(DATA!#REF!,DATA!#REF!,1,FALSE),"")</f>
        <v/>
      </c>
      <c r="D2996" s="16" t="str">
        <f>IFERROR(VLOOKUP(C2996,DATA!#REF!,2,FALSE),"")</f>
        <v/>
      </c>
    </row>
    <row r="2997" spans="3:4" s="230" customFormat="1">
      <c r="C2997" s="16" t="str">
        <f>IFERROR(VLOOKUP(DATA!#REF!,DATA!#REF!,1,FALSE),"")</f>
        <v/>
      </c>
      <c r="D2997" s="16" t="str">
        <f>IFERROR(VLOOKUP(C2997,DATA!#REF!,2,FALSE),"")</f>
        <v/>
      </c>
    </row>
    <row r="2998" spans="3:4" s="230" customFormat="1">
      <c r="C2998" s="16" t="str">
        <f>IFERROR(VLOOKUP(DATA!#REF!,DATA!#REF!,1,FALSE),"")</f>
        <v/>
      </c>
      <c r="D2998" s="16" t="str">
        <f>IFERROR(VLOOKUP(C2998,DATA!#REF!,2,FALSE),"")</f>
        <v/>
      </c>
    </row>
    <row r="2999" spans="3:4" s="230" customFormat="1">
      <c r="C2999" s="16" t="str">
        <f>IFERROR(VLOOKUP(DATA!#REF!,DATA!#REF!,1,FALSE),"")</f>
        <v/>
      </c>
      <c r="D2999" s="16" t="str">
        <f>IFERROR(VLOOKUP(C2999,DATA!#REF!,2,FALSE),"")</f>
        <v/>
      </c>
    </row>
    <row r="3000" spans="3:4" s="230" customFormat="1">
      <c r="C3000" s="16" t="str">
        <f>IFERROR(VLOOKUP(DATA!#REF!,DATA!#REF!,1,FALSE),"")</f>
        <v/>
      </c>
      <c r="D3000" s="16" t="str">
        <f>IFERROR(VLOOKUP(C3000,DATA!#REF!,2,FALSE),"")</f>
        <v/>
      </c>
    </row>
    <row r="3001" spans="3:4" s="230" customFormat="1">
      <c r="C3001" s="16" t="str">
        <f>IFERROR(VLOOKUP(DATA!#REF!,DATA!#REF!,1,FALSE),"")</f>
        <v/>
      </c>
      <c r="D3001" s="16" t="str">
        <f>IFERROR(VLOOKUP(C3001,DATA!#REF!,2,FALSE),"")</f>
        <v/>
      </c>
    </row>
    <row r="3002" spans="3:4" s="230" customFormat="1">
      <c r="C3002" s="16" t="str">
        <f>IFERROR(VLOOKUP(DATA!#REF!,DATA!#REF!,1,FALSE),"")</f>
        <v/>
      </c>
      <c r="D3002" s="16" t="str">
        <f>IFERROR(VLOOKUP(C3002,DATA!#REF!,2,FALSE),"")</f>
        <v/>
      </c>
    </row>
    <row r="3003" spans="3:4" s="230" customFormat="1">
      <c r="C3003" s="16" t="str">
        <f>IFERROR(VLOOKUP(DATA!#REF!,DATA!#REF!,1,FALSE),"")</f>
        <v/>
      </c>
      <c r="D3003" s="16" t="str">
        <f>IFERROR(VLOOKUP(C3003,DATA!#REF!,2,FALSE),"")</f>
        <v/>
      </c>
    </row>
    <row r="3004" spans="3:4" s="230" customFormat="1">
      <c r="C3004" s="16" t="str">
        <f>IFERROR(VLOOKUP(DATA!#REF!,DATA!#REF!,1,FALSE),"")</f>
        <v/>
      </c>
      <c r="D3004" s="16" t="str">
        <f>IFERROR(VLOOKUP(C3004,DATA!#REF!,2,FALSE),"")</f>
        <v/>
      </c>
    </row>
    <row r="3005" spans="3:4" s="230" customFormat="1">
      <c r="C3005" s="16" t="str">
        <f>IFERROR(VLOOKUP(DATA!#REF!,DATA!#REF!,1,FALSE),"")</f>
        <v/>
      </c>
      <c r="D3005" s="16" t="str">
        <f>IFERROR(VLOOKUP(C3005,DATA!#REF!,2,FALSE),"")</f>
        <v/>
      </c>
    </row>
    <row r="3006" spans="3:4" s="230" customFormat="1">
      <c r="C3006" s="16" t="str">
        <f>IFERROR(VLOOKUP(DATA!#REF!,DATA!#REF!,1,FALSE),"")</f>
        <v/>
      </c>
      <c r="D3006" s="16" t="str">
        <f>IFERROR(VLOOKUP(C3006,DATA!#REF!,2,FALSE),"")</f>
        <v/>
      </c>
    </row>
    <row r="3007" spans="3:4" s="230" customFormat="1">
      <c r="C3007" s="16" t="str">
        <f>IFERROR(VLOOKUP(DATA!#REF!,DATA!#REF!,1,FALSE),"")</f>
        <v/>
      </c>
      <c r="D3007" s="16" t="str">
        <f>IFERROR(VLOOKUP(C3007,DATA!#REF!,2,FALSE),"")</f>
        <v/>
      </c>
    </row>
    <row r="3008" spans="3:4" s="230" customFormat="1">
      <c r="C3008" s="16" t="str">
        <f>IFERROR(VLOOKUP(DATA!#REF!,DATA!#REF!,1,FALSE),"")</f>
        <v/>
      </c>
      <c r="D3008" s="16" t="str">
        <f>IFERROR(VLOOKUP(C3008,DATA!#REF!,2,FALSE),"")</f>
        <v/>
      </c>
    </row>
    <row r="3009" spans="3:4" s="230" customFormat="1">
      <c r="C3009" s="16" t="str">
        <f>IFERROR(VLOOKUP(DATA!#REF!,DATA!#REF!,1,FALSE),"")</f>
        <v/>
      </c>
      <c r="D3009" s="16" t="str">
        <f>IFERROR(VLOOKUP(C3009,DATA!#REF!,2,FALSE),"")</f>
        <v/>
      </c>
    </row>
    <row r="3010" spans="3:4" s="230" customFormat="1">
      <c r="C3010" s="16" t="str">
        <f>IFERROR(VLOOKUP(DATA!#REF!,DATA!#REF!,1,FALSE),"")</f>
        <v/>
      </c>
      <c r="D3010" s="16" t="str">
        <f>IFERROR(VLOOKUP(C3010,DATA!#REF!,2,FALSE),"")</f>
        <v/>
      </c>
    </row>
    <row r="3011" spans="3:4" s="230" customFormat="1">
      <c r="C3011" s="16" t="str">
        <f>IFERROR(VLOOKUP(DATA!#REF!,DATA!#REF!,1,FALSE),"")</f>
        <v/>
      </c>
      <c r="D3011" s="16" t="str">
        <f>IFERROR(VLOOKUP(C3011,DATA!#REF!,2,FALSE),"")</f>
        <v/>
      </c>
    </row>
    <row r="3012" spans="3:4" s="230" customFormat="1">
      <c r="C3012" s="16" t="str">
        <f>IFERROR(VLOOKUP(DATA!#REF!,DATA!#REF!,1,FALSE),"")</f>
        <v/>
      </c>
      <c r="D3012" s="16" t="str">
        <f>IFERROR(VLOOKUP(C3012,DATA!#REF!,2,FALSE),"")</f>
        <v/>
      </c>
    </row>
    <row r="3013" spans="3:4" s="230" customFormat="1">
      <c r="C3013" s="16" t="str">
        <f>IFERROR(VLOOKUP(DATA!#REF!,DATA!#REF!,1,FALSE),"")</f>
        <v/>
      </c>
      <c r="D3013" s="16" t="str">
        <f>IFERROR(VLOOKUP(C3013,DATA!#REF!,2,FALSE),"")</f>
        <v/>
      </c>
    </row>
    <row r="3014" spans="3:4" s="230" customFormat="1">
      <c r="C3014" s="16" t="str">
        <f>IFERROR(VLOOKUP(DATA!#REF!,DATA!#REF!,1,FALSE),"")</f>
        <v/>
      </c>
      <c r="D3014" s="16" t="str">
        <f>IFERROR(VLOOKUP(C3014,DATA!#REF!,2,FALSE),"")</f>
        <v/>
      </c>
    </row>
    <row r="3015" spans="3:4" s="230" customFormat="1">
      <c r="C3015" s="16" t="str">
        <f>IFERROR(VLOOKUP(DATA!#REF!,DATA!#REF!,1,FALSE),"")</f>
        <v/>
      </c>
      <c r="D3015" s="16" t="str">
        <f>IFERROR(VLOOKUP(C3015,DATA!#REF!,2,FALSE),"")</f>
        <v/>
      </c>
    </row>
    <row r="3016" spans="3:4" s="230" customFormat="1">
      <c r="C3016" s="16" t="str">
        <f>IFERROR(VLOOKUP(DATA!#REF!,DATA!#REF!,1,FALSE),"")</f>
        <v/>
      </c>
      <c r="D3016" s="16" t="str">
        <f>IFERROR(VLOOKUP(C3016,DATA!#REF!,2,FALSE),"")</f>
        <v/>
      </c>
    </row>
    <row r="3017" spans="3:4" s="230" customFormat="1">
      <c r="C3017" s="16" t="str">
        <f>IFERROR(VLOOKUP(DATA!#REF!,DATA!#REF!,1,FALSE),"")</f>
        <v/>
      </c>
      <c r="D3017" s="16" t="str">
        <f>IFERROR(VLOOKUP(C3017,DATA!#REF!,2,FALSE),"")</f>
        <v/>
      </c>
    </row>
    <row r="3018" spans="3:4" s="230" customFormat="1">
      <c r="C3018" s="16" t="str">
        <f>IFERROR(VLOOKUP(DATA!#REF!,DATA!#REF!,1,FALSE),"")</f>
        <v/>
      </c>
      <c r="D3018" s="16" t="str">
        <f>IFERROR(VLOOKUP(C3018,DATA!#REF!,2,FALSE),"")</f>
        <v/>
      </c>
    </row>
    <row r="3019" spans="3:4" s="230" customFormat="1">
      <c r="C3019" s="16" t="str">
        <f>IFERROR(VLOOKUP(DATA!#REF!,DATA!#REF!,1,FALSE),"")</f>
        <v/>
      </c>
      <c r="D3019" s="16" t="str">
        <f>IFERROR(VLOOKUP(C3019,DATA!#REF!,2,FALSE),"")</f>
        <v/>
      </c>
    </row>
    <row r="3020" spans="3:4" s="230" customFormat="1">
      <c r="C3020" s="16" t="str">
        <f>IFERROR(VLOOKUP(DATA!#REF!,DATA!#REF!,1,FALSE),"")</f>
        <v/>
      </c>
      <c r="D3020" s="16" t="str">
        <f>IFERROR(VLOOKUP(C3020,DATA!#REF!,2,FALSE),"")</f>
        <v/>
      </c>
    </row>
    <row r="3021" spans="3:4" s="230" customFormat="1">
      <c r="C3021" s="16" t="str">
        <f>IFERROR(VLOOKUP(DATA!#REF!,DATA!#REF!,1,FALSE),"")</f>
        <v/>
      </c>
      <c r="D3021" s="16" t="str">
        <f>IFERROR(VLOOKUP(C3021,DATA!#REF!,2,FALSE),"")</f>
        <v/>
      </c>
    </row>
    <row r="3022" spans="3:4" s="230" customFormat="1">
      <c r="C3022" s="16" t="str">
        <f>IFERROR(VLOOKUP(DATA!#REF!,DATA!#REF!,1,FALSE),"")</f>
        <v/>
      </c>
      <c r="D3022" s="16" t="str">
        <f>IFERROR(VLOOKUP(C3022,DATA!#REF!,2,FALSE),"")</f>
        <v/>
      </c>
    </row>
    <row r="3023" spans="3:4" s="230" customFormat="1">
      <c r="C3023" s="16" t="str">
        <f>IFERROR(VLOOKUP(DATA!#REF!,DATA!#REF!,1,FALSE),"")</f>
        <v/>
      </c>
      <c r="D3023" s="16" t="str">
        <f>IFERROR(VLOOKUP(C3023,DATA!#REF!,2,FALSE),"")</f>
        <v/>
      </c>
    </row>
    <row r="3024" spans="3:4" s="230" customFormat="1">
      <c r="C3024" s="16" t="str">
        <f>IFERROR(VLOOKUP(DATA!#REF!,DATA!#REF!,1,FALSE),"")</f>
        <v/>
      </c>
      <c r="D3024" s="16" t="str">
        <f>IFERROR(VLOOKUP(C3024,DATA!#REF!,2,FALSE),"")</f>
        <v/>
      </c>
    </row>
    <row r="3025" spans="3:4" s="230" customFormat="1">
      <c r="C3025" s="16" t="str">
        <f>IFERROR(VLOOKUP(DATA!#REF!,DATA!#REF!,1,FALSE),"")</f>
        <v/>
      </c>
      <c r="D3025" s="16" t="str">
        <f>IFERROR(VLOOKUP(C3025,DATA!#REF!,2,FALSE),"")</f>
        <v/>
      </c>
    </row>
    <row r="3026" spans="3:4" s="230" customFormat="1">
      <c r="C3026" s="16" t="str">
        <f>IFERROR(VLOOKUP(DATA!#REF!,DATA!#REF!,1,FALSE),"")</f>
        <v/>
      </c>
      <c r="D3026" s="16" t="str">
        <f>IFERROR(VLOOKUP(C3026,DATA!#REF!,2,FALSE),"")</f>
        <v/>
      </c>
    </row>
    <row r="3027" spans="3:4" s="230" customFormat="1">
      <c r="C3027" s="16" t="str">
        <f>IFERROR(VLOOKUP(DATA!#REF!,DATA!#REF!,1,FALSE),"")</f>
        <v/>
      </c>
      <c r="D3027" s="16" t="str">
        <f>IFERROR(VLOOKUP(C3027,DATA!#REF!,2,FALSE),"")</f>
        <v/>
      </c>
    </row>
    <row r="3028" spans="3:4" s="230" customFormat="1">
      <c r="C3028" s="16" t="str">
        <f>IFERROR(VLOOKUP(DATA!#REF!,DATA!#REF!,1,FALSE),"")</f>
        <v/>
      </c>
      <c r="D3028" s="16" t="str">
        <f>IFERROR(VLOOKUP(C3028,DATA!#REF!,2,FALSE),"")</f>
        <v/>
      </c>
    </row>
    <row r="3029" spans="3:4" s="230" customFormat="1">
      <c r="C3029" s="16" t="str">
        <f>IFERROR(VLOOKUP(DATA!#REF!,DATA!#REF!,1,FALSE),"")</f>
        <v/>
      </c>
      <c r="D3029" s="16" t="str">
        <f>IFERROR(VLOOKUP(C3029,DATA!#REF!,2,FALSE),"")</f>
        <v/>
      </c>
    </row>
    <row r="3030" spans="3:4" s="230" customFormat="1">
      <c r="C3030" s="16" t="str">
        <f>IFERROR(VLOOKUP(DATA!#REF!,DATA!#REF!,1,FALSE),"")</f>
        <v/>
      </c>
      <c r="D3030" s="16" t="str">
        <f>IFERROR(VLOOKUP(C3030,DATA!#REF!,2,FALSE),"")</f>
        <v/>
      </c>
    </row>
    <row r="3031" spans="3:4" s="230" customFormat="1">
      <c r="C3031" s="16" t="str">
        <f>IFERROR(VLOOKUP(DATA!#REF!,DATA!#REF!,1,FALSE),"")</f>
        <v/>
      </c>
      <c r="D3031" s="16" t="str">
        <f>IFERROR(VLOOKUP(C3031,DATA!#REF!,2,FALSE),"")</f>
        <v/>
      </c>
    </row>
    <row r="3032" spans="3:4" s="230" customFormat="1">
      <c r="C3032" s="16" t="str">
        <f>IFERROR(VLOOKUP(DATA!#REF!,DATA!#REF!,1,FALSE),"")</f>
        <v/>
      </c>
      <c r="D3032" s="16" t="str">
        <f>IFERROR(VLOOKUP(C3032,DATA!#REF!,2,FALSE),"")</f>
        <v/>
      </c>
    </row>
    <row r="3033" spans="3:4" s="230" customFormat="1">
      <c r="C3033" s="16" t="str">
        <f>IFERROR(VLOOKUP(DATA!#REF!,DATA!#REF!,1,FALSE),"")</f>
        <v/>
      </c>
      <c r="D3033" s="16" t="str">
        <f>IFERROR(VLOOKUP(C3033,DATA!#REF!,2,FALSE),"")</f>
        <v/>
      </c>
    </row>
    <row r="3034" spans="3:4" s="230" customFormat="1">
      <c r="C3034" s="16" t="str">
        <f>IFERROR(VLOOKUP(DATA!#REF!,DATA!#REF!,1,FALSE),"")</f>
        <v/>
      </c>
      <c r="D3034" s="16" t="str">
        <f>IFERROR(VLOOKUP(C3034,DATA!#REF!,2,FALSE),"")</f>
        <v/>
      </c>
    </row>
    <row r="3035" spans="3:4" s="230" customFormat="1">
      <c r="C3035" s="16" t="str">
        <f>IFERROR(VLOOKUP(DATA!#REF!,DATA!#REF!,1,FALSE),"")</f>
        <v/>
      </c>
      <c r="D3035" s="16" t="str">
        <f>IFERROR(VLOOKUP(C3035,DATA!#REF!,2,FALSE),"")</f>
        <v/>
      </c>
    </row>
    <row r="3036" spans="3:4" s="230" customFormat="1">
      <c r="C3036" s="16" t="str">
        <f>IFERROR(VLOOKUP(DATA!#REF!,DATA!#REF!,1,FALSE),"")</f>
        <v/>
      </c>
      <c r="D3036" s="16" t="str">
        <f>IFERROR(VLOOKUP(C3036,DATA!#REF!,2,FALSE),"")</f>
        <v/>
      </c>
    </row>
    <row r="3037" spans="3:4" s="230" customFormat="1">
      <c r="C3037" s="16" t="str">
        <f>IFERROR(VLOOKUP(DATA!#REF!,DATA!#REF!,1,FALSE),"")</f>
        <v/>
      </c>
      <c r="D3037" s="16" t="str">
        <f>IFERROR(VLOOKUP(C3037,DATA!#REF!,2,FALSE),"")</f>
        <v/>
      </c>
    </row>
    <row r="3038" spans="3:4" s="230" customFormat="1">
      <c r="C3038" s="16" t="str">
        <f>IFERROR(VLOOKUP(DATA!#REF!,DATA!#REF!,1,FALSE),"")</f>
        <v/>
      </c>
      <c r="D3038" s="16" t="str">
        <f>IFERROR(VLOOKUP(C3038,DATA!#REF!,2,FALSE),"")</f>
        <v/>
      </c>
    </row>
    <row r="3039" spans="3:4" s="230" customFormat="1">
      <c r="C3039" s="16" t="str">
        <f>IFERROR(VLOOKUP(DATA!#REF!,DATA!#REF!,1,FALSE),"")</f>
        <v/>
      </c>
      <c r="D3039" s="16" t="str">
        <f>IFERROR(VLOOKUP(C3039,DATA!#REF!,2,FALSE),"")</f>
        <v/>
      </c>
    </row>
    <row r="3040" spans="3:4" s="230" customFormat="1">
      <c r="C3040" s="16" t="str">
        <f>IFERROR(VLOOKUP(DATA!#REF!,DATA!#REF!,1,FALSE),"")</f>
        <v/>
      </c>
      <c r="D3040" s="16" t="str">
        <f>IFERROR(VLOOKUP(C3040,DATA!#REF!,2,FALSE),"")</f>
        <v/>
      </c>
    </row>
    <row r="3041" spans="3:4" s="230" customFormat="1">
      <c r="C3041" s="16" t="str">
        <f>IFERROR(VLOOKUP(DATA!#REF!,DATA!#REF!,1,FALSE),"")</f>
        <v/>
      </c>
      <c r="D3041" s="16" t="str">
        <f>IFERROR(VLOOKUP(C3041,DATA!#REF!,2,FALSE),"")</f>
        <v/>
      </c>
    </row>
    <row r="3042" spans="3:4" s="230" customFormat="1">
      <c r="C3042" s="16" t="str">
        <f>IFERROR(VLOOKUP(DATA!#REF!,DATA!#REF!,1,FALSE),"")</f>
        <v/>
      </c>
      <c r="D3042" s="16" t="str">
        <f>IFERROR(VLOOKUP(C3042,DATA!#REF!,2,FALSE),"")</f>
        <v/>
      </c>
    </row>
    <row r="3043" spans="3:4" s="230" customFormat="1">
      <c r="C3043" s="16" t="str">
        <f>IFERROR(VLOOKUP(DATA!#REF!,DATA!#REF!,1,FALSE),"")</f>
        <v/>
      </c>
      <c r="D3043" s="16" t="str">
        <f>IFERROR(VLOOKUP(C3043,DATA!#REF!,2,FALSE),"")</f>
        <v/>
      </c>
    </row>
    <row r="3044" spans="3:4" s="230" customFormat="1">
      <c r="C3044" s="16" t="str">
        <f>IFERROR(VLOOKUP(DATA!#REF!,DATA!#REF!,1,FALSE),"")</f>
        <v/>
      </c>
      <c r="D3044" s="16" t="str">
        <f>IFERROR(VLOOKUP(C3044,DATA!#REF!,2,FALSE),"")</f>
        <v/>
      </c>
    </row>
    <row r="3045" spans="3:4" s="230" customFormat="1">
      <c r="C3045" s="16" t="str">
        <f>IFERROR(VLOOKUP(DATA!#REF!,DATA!#REF!,1,FALSE),"")</f>
        <v/>
      </c>
      <c r="D3045" s="16" t="str">
        <f>IFERROR(VLOOKUP(C3045,DATA!#REF!,2,FALSE),"")</f>
        <v/>
      </c>
    </row>
    <row r="3046" spans="3:4" s="230" customFormat="1">
      <c r="C3046" s="16" t="str">
        <f>IFERROR(VLOOKUP(DATA!#REF!,DATA!#REF!,1,FALSE),"")</f>
        <v/>
      </c>
      <c r="D3046" s="16" t="str">
        <f>IFERROR(VLOOKUP(C3046,DATA!#REF!,2,FALSE),"")</f>
        <v/>
      </c>
    </row>
    <row r="3047" spans="3:4" s="230" customFormat="1">
      <c r="C3047" s="16" t="str">
        <f>IFERROR(VLOOKUP(DATA!#REF!,DATA!#REF!,1,FALSE),"")</f>
        <v/>
      </c>
      <c r="D3047" s="16" t="str">
        <f>IFERROR(VLOOKUP(C3047,DATA!#REF!,2,FALSE),"")</f>
        <v/>
      </c>
    </row>
    <row r="3048" spans="3:4" s="230" customFormat="1">
      <c r="C3048" s="16" t="str">
        <f>IFERROR(VLOOKUP(DATA!#REF!,DATA!#REF!,1,FALSE),"")</f>
        <v/>
      </c>
      <c r="D3048" s="16" t="str">
        <f>IFERROR(VLOOKUP(C3048,DATA!#REF!,2,FALSE),"")</f>
        <v/>
      </c>
    </row>
    <row r="3049" spans="3:4" s="230" customFormat="1">
      <c r="C3049" s="16" t="str">
        <f>IFERROR(VLOOKUP(DATA!#REF!,DATA!#REF!,1,FALSE),"")</f>
        <v/>
      </c>
      <c r="D3049" s="16" t="str">
        <f>IFERROR(VLOOKUP(C3049,DATA!#REF!,2,FALSE),"")</f>
        <v/>
      </c>
    </row>
    <row r="3050" spans="3:4" s="230" customFormat="1">
      <c r="C3050" s="16" t="str">
        <f>IFERROR(VLOOKUP(DATA!#REF!,DATA!#REF!,1,FALSE),"")</f>
        <v/>
      </c>
      <c r="D3050" s="16" t="str">
        <f>IFERROR(VLOOKUP(C3050,DATA!#REF!,2,FALSE),"")</f>
        <v/>
      </c>
    </row>
    <row r="3051" spans="3:4" s="230" customFormat="1">
      <c r="C3051" s="16" t="str">
        <f>IFERROR(VLOOKUP(DATA!#REF!,DATA!#REF!,1,FALSE),"")</f>
        <v/>
      </c>
      <c r="D3051" s="16" t="str">
        <f>IFERROR(VLOOKUP(C3051,DATA!#REF!,2,FALSE),"")</f>
        <v/>
      </c>
    </row>
    <row r="3052" spans="3:4" s="230" customFormat="1">
      <c r="C3052" s="16" t="str">
        <f>IFERROR(VLOOKUP(DATA!#REF!,DATA!#REF!,1,FALSE),"")</f>
        <v/>
      </c>
      <c r="D3052" s="16" t="str">
        <f>IFERROR(VLOOKUP(C3052,DATA!#REF!,2,FALSE),"")</f>
        <v/>
      </c>
    </row>
    <row r="3053" spans="3:4" s="230" customFormat="1">
      <c r="C3053" s="16" t="str">
        <f>IFERROR(VLOOKUP(DATA!#REF!,DATA!#REF!,1,FALSE),"")</f>
        <v/>
      </c>
      <c r="D3053" s="16" t="str">
        <f>IFERROR(VLOOKUP(C3053,DATA!#REF!,2,FALSE),"")</f>
        <v/>
      </c>
    </row>
    <row r="3054" spans="3:4" s="230" customFormat="1">
      <c r="C3054" s="16" t="str">
        <f>IFERROR(VLOOKUP(DATA!#REF!,DATA!#REF!,1,FALSE),"")</f>
        <v/>
      </c>
      <c r="D3054" s="16" t="str">
        <f>IFERROR(VLOOKUP(C3054,DATA!#REF!,2,FALSE),"")</f>
        <v/>
      </c>
    </row>
    <row r="3055" spans="3:4" s="230" customFormat="1">
      <c r="C3055" s="16" t="str">
        <f>IFERROR(VLOOKUP(DATA!#REF!,DATA!#REF!,1,FALSE),"")</f>
        <v/>
      </c>
      <c r="D3055" s="16" t="str">
        <f>IFERROR(VLOOKUP(C3055,DATA!#REF!,2,FALSE),"")</f>
        <v/>
      </c>
    </row>
    <row r="3056" spans="3:4" s="230" customFormat="1">
      <c r="C3056" s="16" t="str">
        <f>IFERROR(VLOOKUP(DATA!#REF!,DATA!#REF!,1,FALSE),"")</f>
        <v/>
      </c>
      <c r="D3056" s="16" t="str">
        <f>IFERROR(VLOOKUP(C3056,DATA!#REF!,2,FALSE),"")</f>
        <v/>
      </c>
    </row>
    <row r="3057" spans="3:4" s="230" customFormat="1">
      <c r="C3057" s="16" t="str">
        <f>IFERROR(VLOOKUP(DATA!#REF!,DATA!#REF!,1,FALSE),"")</f>
        <v/>
      </c>
      <c r="D3057" s="16" t="str">
        <f>IFERROR(VLOOKUP(C3057,DATA!#REF!,2,FALSE),"")</f>
        <v/>
      </c>
    </row>
    <row r="3058" spans="3:4" s="230" customFormat="1">
      <c r="C3058" s="16" t="str">
        <f>IFERROR(VLOOKUP(DATA!#REF!,DATA!#REF!,1,FALSE),"")</f>
        <v/>
      </c>
      <c r="D3058" s="16" t="str">
        <f>IFERROR(VLOOKUP(C3058,DATA!#REF!,2,FALSE),"")</f>
        <v/>
      </c>
    </row>
    <row r="3059" spans="3:4" s="230" customFormat="1">
      <c r="C3059" s="16" t="str">
        <f>IFERROR(VLOOKUP(DATA!#REF!,DATA!#REF!,1,FALSE),"")</f>
        <v/>
      </c>
      <c r="D3059" s="16" t="str">
        <f>IFERROR(VLOOKUP(C3059,DATA!#REF!,2,FALSE),"")</f>
        <v/>
      </c>
    </row>
    <row r="3060" spans="3:4" s="230" customFormat="1">
      <c r="C3060" s="16" t="str">
        <f>IFERROR(VLOOKUP(DATA!#REF!,DATA!#REF!,1,FALSE),"")</f>
        <v/>
      </c>
      <c r="D3060" s="16" t="str">
        <f>IFERROR(VLOOKUP(C3060,DATA!#REF!,2,FALSE),"")</f>
        <v/>
      </c>
    </row>
    <row r="3061" spans="3:4" s="230" customFormat="1">
      <c r="C3061" s="16" t="str">
        <f>IFERROR(VLOOKUP(DATA!#REF!,DATA!#REF!,1,FALSE),"")</f>
        <v/>
      </c>
      <c r="D3061" s="16" t="str">
        <f>IFERROR(VLOOKUP(C3061,DATA!#REF!,2,FALSE),"")</f>
        <v/>
      </c>
    </row>
    <row r="3062" spans="3:4" s="230" customFormat="1">
      <c r="C3062" s="16" t="str">
        <f>IFERROR(VLOOKUP(DATA!#REF!,DATA!#REF!,1,FALSE),"")</f>
        <v/>
      </c>
      <c r="D3062" s="16" t="str">
        <f>IFERROR(VLOOKUP(C3062,DATA!#REF!,2,FALSE),"")</f>
        <v/>
      </c>
    </row>
    <row r="3063" spans="3:4" s="230" customFormat="1">
      <c r="C3063" s="16" t="str">
        <f>IFERROR(VLOOKUP(DATA!#REF!,DATA!#REF!,1,FALSE),"")</f>
        <v/>
      </c>
      <c r="D3063" s="16" t="str">
        <f>IFERROR(VLOOKUP(C3063,DATA!#REF!,2,FALSE),"")</f>
        <v/>
      </c>
    </row>
    <row r="3064" spans="3:4" s="230" customFormat="1">
      <c r="C3064" s="16" t="str">
        <f>IFERROR(VLOOKUP(DATA!#REF!,DATA!#REF!,1,FALSE),"")</f>
        <v/>
      </c>
      <c r="D3064" s="16" t="str">
        <f>IFERROR(VLOOKUP(C3064,DATA!#REF!,2,FALSE),"")</f>
        <v/>
      </c>
    </row>
    <row r="3065" spans="3:4" s="230" customFormat="1">
      <c r="C3065" s="16" t="str">
        <f>IFERROR(VLOOKUP(DATA!#REF!,DATA!#REF!,1,FALSE),"")</f>
        <v/>
      </c>
      <c r="D3065" s="16" t="str">
        <f>IFERROR(VLOOKUP(C3065,DATA!#REF!,2,FALSE),"")</f>
        <v/>
      </c>
    </row>
    <row r="3066" spans="3:4" s="230" customFormat="1">
      <c r="C3066" s="16" t="str">
        <f>IFERROR(VLOOKUP(DATA!#REF!,DATA!#REF!,1,FALSE),"")</f>
        <v/>
      </c>
      <c r="D3066" s="16" t="str">
        <f>IFERROR(VLOOKUP(C3066,DATA!#REF!,2,FALSE),"")</f>
        <v/>
      </c>
    </row>
    <row r="3067" spans="3:4" s="230" customFormat="1">
      <c r="C3067" s="16" t="str">
        <f>IFERROR(VLOOKUP(DATA!#REF!,DATA!#REF!,1,FALSE),"")</f>
        <v/>
      </c>
      <c r="D3067" s="16" t="str">
        <f>IFERROR(VLOOKUP(C3067,DATA!#REF!,2,FALSE),"")</f>
        <v/>
      </c>
    </row>
    <row r="3068" spans="3:4" s="230" customFormat="1">
      <c r="C3068" s="16" t="str">
        <f>IFERROR(VLOOKUP(DATA!#REF!,DATA!#REF!,1,FALSE),"")</f>
        <v/>
      </c>
      <c r="D3068" s="16" t="str">
        <f>IFERROR(VLOOKUP(C3068,DATA!#REF!,2,FALSE),"")</f>
        <v/>
      </c>
    </row>
    <row r="3069" spans="3:4" s="230" customFormat="1">
      <c r="C3069" s="16" t="str">
        <f>IFERROR(VLOOKUP(DATA!#REF!,DATA!#REF!,1,FALSE),"")</f>
        <v/>
      </c>
      <c r="D3069" s="16" t="str">
        <f>IFERROR(VLOOKUP(C3069,DATA!#REF!,2,FALSE),"")</f>
        <v/>
      </c>
    </row>
    <row r="3070" spans="3:4" s="230" customFormat="1">
      <c r="C3070" s="16" t="str">
        <f>IFERROR(VLOOKUP(DATA!#REF!,DATA!#REF!,1,FALSE),"")</f>
        <v/>
      </c>
      <c r="D3070" s="16" t="str">
        <f>IFERROR(VLOOKUP(C3070,DATA!#REF!,2,FALSE),"")</f>
        <v/>
      </c>
    </row>
    <row r="3071" spans="3:4" s="230" customFormat="1">
      <c r="C3071" s="16" t="str">
        <f>IFERROR(VLOOKUP(DATA!#REF!,DATA!#REF!,1,FALSE),"")</f>
        <v/>
      </c>
      <c r="D3071" s="16" t="str">
        <f>IFERROR(VLOOKUP(C3071,DATA!#REF!,2,FALSE),"")</f>
        <v/>
      </c>
    </row>
    <row r="3072" spans="3:4" s="230" customFormat="1">
      <c r="C3072" s="16" t="str">
        <f>IFERROR(VLOOKUP(DATA!#REF!,DATA!#REF!,1,FALSE),"")</f>
        <v/>
      </c>
      <c r="D3072" s="16" t="str">
        <f>IFERROR(VLOOKUP(C3072,DATA!#REF!,2,FALSE),"")</f>
        <v/>
      </c>
    </row>
    <row r="3073" spans="3:4" s="230" customFormat="1">
      <c r="C3073" s="16" t="str">
        <f>IFERROR(VLOOKUP(DATA!#REF!,DATA!#REF!,1,FALSE),"")</f>
        <v/>
      </c>
      <c r="D3073" s="16" t="str">
        <f>IFERROR(VLOOKUP(C3073,DATA!#REF!,2,FALSE),"")</f>
        <v/>
      </c>
    </row>
    <row r="3074" spans="3:4" s="230" customFormat="1">
      <c r="C3074" s="16" t="str">
        <f>IFERROR(VLOOKUP(DATA!#REF!,DATA!#REF!,1,FALSE),"")</f>
        <v/>
      </c>
      <c r="D3074" s="16" t="str">
        <f>IFERROR(VLOOKUP(C3074,DATA!#REF!,2,FALSE),"")</f>
        <v/>
      </c>
    </row>
    <row r="3075" spans="3:4" s="230" customFormat="1">
      <c r="C3075" s="16" t="str">
        <f>IFERROR(VLOOKUP(DATA!#REF!,DATA!#REF!,1,FALSE),"")</f>
        <v/>
      </c>
      <c r="D3075" s="16" t="str">
        <f>IFERROR(VLOOKUP(C3075,DATA!#REF!,2,FALSE),"")</f>
        <v/>
      </c>
    </row>
    <row r="3076" spans="3:4" s="230" customFormat="1">
      <c r="C3076" s="16" t="str">
        <f>IFERROR(VLOOKUP(DATA!#REF!,DATA!#REF!,1,FALSE),"")</f>
        <v/>
      </c>
      <c r="D3076" s="16" t="str">
        <f>IFERROR(VLOOKUP(C3076,DATA!#REF!,2,FALSE),"")</f>
        <v/>
      </c>
    </row>
    <row r="3077" spans="3:4" s="230" customFormat="1">
      <c r="C3077" s="16" t="str">
        <f>IFERROR(VLOOKUP(DATA!#REF!,DATA!#REF!,1,FALSE),"")</f>
        <v/>
      </c>
      <c r="D3077" s="16" t="str">
        <f>IFERROR(VLOOKUP(C3077,DATA!#REF!,2,FALSE),"")</f>
        <v/>
      </c>
    </row>
    <row r="3078" spans="3:4" s="230" customFormat="1">
      <c r="C3078" s="16" t="str">
        <f>IFERROR(VLOOKUP(DATA!#REF!,DATA!#REF!,1,FALSE),"")</f>
        <v/>
      </c>
      <c r="D3078" s="16" t="str">
        <f>IFERROR(VLOOKUP(C3078,DATA!#REF!,2,FALSE),"")</f>
        <v/>
      </c>
    </row>
    <row r="3079" spans="3:4" s="230" customFormat="1">
      <c r="C3079" s="16" t="str">
        <f>IFERROR(VLOOKUP(DATA!#REF!,DATA!#REF!,1,FALSE),"")</f>
        <v/>
      </c>
      <c r="D3079" s="16" t="str">
        <f>IFERROR(VLOOKUP(C3079,DATA!#REF!,2,FALSE),"")</f>
        <v/>
      </c>
    </row>
    <row r="3080" spans="3:4" s="230" customFormat="1">
      <c r="C3080" s="16" t="str">
        <f>IFERROR(VLOOKUP(DATA!#REF!,DATA!#REF!,1,FALSE),"")</f>
        <v/>
      </c>
      <c r="D3080" s="16" t="str">
        <f>IFERROR(VLOOKUP(C3080,DATA!#REF!,2,FALSE),"")</f>
        <v/>
      </c>
    </row>
    <row r="3081" spans="3:4" s="230" customFormat="1">
      <c r="C3081" s="16" t="str">
        <f>IFERROR(VLOOKUP(DATA!#REF!,DATA!#REF!,1,FALSE),"")</f>
        <v/>
      </c>
      <c r="D3081" s="16" t="str">
        <f>IFERROR(VLOOKUP(C3081,DATA!#REF!,2,FALSE),"")</f>
        <v/>
      </c>
    </row>
    <row r="3082" spans="3:4" s="230" customFormat="1">
      <c r="C3082" s="16" t="str">
        <f>IFERROR(VLOOKUP(DATA!#REF!,DATA!#REF!,1,FALSE),"")</f>
        <v/>
      </c>
      <c r="D3082" s="16" t="str">
        <f>IFERROR(VLOOKUP(C3082,DATA!#REF!,2,FALSE),"")</f>
        <v/>
      </c>
    </row>
    <row r="3083" spans="3:4" s="230" customFormat="1">
      <c r="C3083" s="16" t="str">
        <f>IFERROR(VLOOKUP(DATA!#REF!,DATA!#REF!,1,FALSE),"")</f>
        <v/>
      </c>
      <c r="D3083" s="16" t="str">
        <f>IFERROR(VLOOKUP(C3083,DATA!#REF!,2,FALSE),"")</f>
        <v/>
      </c>
    </row>
    <row r="3084" spans="3:4" s="230" customFormat="1">
      <c r="C3084" s="16" t="str">
        <f>IFERROR(VLOOKUP(DATA!#REF!,DATA!#REF!,1,FALSE),"")</f>
        <v/>
      </c>
      <c r="D3084" s="16" t="str">
        <f>IFERROR(VLOOKUP(C3084,DATA!#REF!,2,FALSE),"")</f>
        <v/>
      </c>
    </row>
    <row r="3085" spans="3:4" s="230" customFormat="1">
      <c r="C3085" s="16" t="str">
        <f>IFERROR(VLOOKUP(DATA!#REF!,DATA!#REF!,1,FALSE),"")</f>
        <v/>
      </c>
      <c r="D3085" s="16" t="str">
        <f>IFERROR(VLOOKUP(C3085,DATA!#REF!,2,FALSE),"")</f>
        <v/>
      </c>
    </row>
    <row r="3086" spans="3:4" s="230" customFormat="1">
      <c r="C3086" s="16" t="str">
        <f>IFERROR(VLOOKUP(DATA!#REF!,DATA!#REF!,1,FALSE),"")</f>
        <v/>
      </c>
      <c r="D3086" s="16" t="str">
        <f>IFERROR(VLOOKUP(C3086,DATA!#REF!,2,FALSE),"")</f>
        <v/>
      </c>
    </row>
    <row r="3087" spans="3:4" s="230" customFormat="1">
      <c r="C3087" s="16" t="str">
        <f>IFERROR(VLOOKUP(DATA!#REF!,DATA!#REF!,1,FALSE),"")</f>
        <v/>
      </c>
      <c r="D3087" s="16" t="str">
        <f>IFERROR(VLOOKUP(C3087,DATA!#REF!,2,FALSE),"")</f>
        <v/>
      </c>
    </row>
    <row r="3088" spans="3:4" s="230" customFormat="1">
      <c r="C3088" s="16" t="str">
        <f>IFERROR(VLOOKUP(DATA!#REF!,DATA!#REF!,1,FALSE),"")</f>
        <v/>
      </c>
      <c r="D3088" s="16" t="str">
        <f>IFERROR(VLOOKUP(C3088,DATA!#REF!,2,FALSE),"")</f>
        <v/>
      </c>
    </row>
    <row r="3089" spans="3:4" s="230" customFormat="1">
      <c r="C3089" s="16" t="str">
        <f>IFERROR(VLOOKUP(DATA!#REF!,DATA!#REF!,1,FALSE),"")</f>
        <v/>
      </c>
      <c r="D3089" s="16" t="str">
        <f>IFERROR(VLOOKUP(C3089,DATA!#REF!,2,FALSE),"")</f>
        <v/>
      </c>
    </row>
    <row r="3090" spans="3:4" s="230" customFormat="1">
      <c r="C3090" s="16" t="str">
        <f>IFERROR(VLOOKUP(DATA!#REF!,DATA!#REF!,1,FALSE),"")</f>
        <v/>
      </c>
      <c r="D3090" s="16" t="str">
        <f>IFERROR(VLOOKUP(C3090,DATA!#REF!,2,FALSE),"")</f>
        <v/>
      </c>
    </row>
    <row r="3091" spans="3:4" s="230" customFormat="1">
      <c r="C3091" s="16" t="str">
        <f>IFERROR(VLOOKUP(DATA!#REF!,DATA!#REF!,1,FALSE),"")</f>
        <v/>
      </c>
      <c r="D3091" s="16" t="str">
        <f>IFERROR(VLOOKUP(C3091,DATA!#REF!,2,FALSE),"")</f>
        <v/>
      </c>
    </row>
    <row r="3092" spans="3:4" s="230" customFormat="1">
      <c r="C3092" s="16" t="str">
        <f>IFERROR(VLOOKUP(DATA!#REF!,DATA!#REF!,1,FALSE),"")</f>
        <v/>
      </c>
      <c r="D3092" s="16" t="str">
        <f>IFERROR(VLOOKUP(C3092,DATA!#REF!,2,FALSE),"")</f>
        <v/>
      </c>
    </row>
    <row r="3093" spans="3:4" s="230" customFormat="1">
      <c r="C3093" s="16" t="str">
        <f>IFERROR(VLOOKUP(DATA!#REF!,DATA!#REF!,1,FALSE),"")</f>
        <v/>
      </c>
      <c r="D3093" s="16" t="str">
        <f>IFERROR(VLOOKUP(C3093,DATA!#REF!,2,FALSE),"")</f>
        <v/>
      </c>
    </row>
    <row r="3094" spans="3:4" s="230" customFormat="1">
      <c r="C3094" s="16" t="str">
        <f>IFERROR(VLOOKUP(DATA!#REF!,DATA!#REF!,1,FALSE),"")</f>
        <v/>
      </c>
      <c r="D3094" s="16" t="str">
        <f>IFERROR(VLOOKUP(C3094,DATA!#REF!,2,FALSE),"")</f>
        <v/>
      </c>
    </row>
    <row r="3095" spans="3:4" s="230" customFormat="1">
      <c r="C3095" s="16" t="str">
        <f>IFERROR(VLOOKUP(DATA!#REF!,DATA!#REF!,1,FALSE),"")</f>
        <v/>
      </c>
      <c r="D3095" s="16" t="str">
        <f>IFERROR(VLOOKUP(C3095,DATA!#REF!,2,FALSE),"")</f>
        <v/>
      </c>
    </row>
    <row r="3096" spans="3:4" s="230" customFormat="1">
      <c r="C3096" s="16" t="str">
        <f>IFERROR(VLOOKUP(DATA!#REF!,DATA!#REF!,1,FALSE),"")</f>
        <v/>
      </c>
      <c r="D3096" s="16" t="str">
        <f>IFERROR(VLOOKUP(C3096,DATA!#REF!,2,FALSE),"")</f>
        <v/>
      </c>
    </row>
    <row r="3097" spans="3:4" s="230" customFormat="1">
      <c r="C3097" s="16" t="str">
        <f>IFERROR(VLOOKUP(DATA!#REF!,DATA!#REF!,1,FALSE),"")</f>
        <v/>
      </c>
      <c r="D3097" s="16" t="str">
        <f>IFERROR(VLOOKUP(C3097,DATA!#REF!,2,FALSE),"")</f>
        <v/>
      </c>
    </row>
    <row r="3098" spans="3:4" s="230" customFormat="1">
      <c r="C3098" s="16" t="str">
        <f>IFERROR(VLOOKUP(DATA!#REF!,DATA!#REF!,1,FALSE),"")</f>
        <v/>
      </c>
      <c r="D3098" s="16" t="str">
        <f>IFERROR(VLOOKUP(C3098,DATA!#REF!,2,FALSE),"")</f>
        <v/>
      </c>
    </row>
    <row r="3099" spans="3:4" s="230" customFormat="1">
      <c r="C3099" s="16" t="str">
        <f>IFERROR(VLOOKUP(DATA!#REF!,DATA!#REF!,1,FALSE),"")</f>
        <v/>
      </c>
      <c r="D3099" s="16" t="str">
        <f>IFERROR(VLOOKUP(C3099,DATA!#REF!,2,FALSE),"")</f>
        <v/>
      </c>
    </row>
    <row r="3100" spans="3:4" s="230" customFormat="1">
      <c r="C3100" s="16" t="str">
        <f>IFERROR(VLOOKUP(DATA!#REF!,DATA!#REF!,1,FALSE),"")</f>
        <v/>
      </c>
      <c r="D3100" s="16" t="str">
        <f>IFERROR(VLOOKUP(C3100,DATA!#REF!,2,FALSE),"")</f>
        <v/>
      </c>
    </row>
    <row r="3101" spans="3:4" s="230" customFormat="1">
      <c r="C3101" s="16" t="str">
        <f>IFERROR(VLOOKUP(DATA!#REF!,DATA!#REF!,1,FALSE),"")</f>
        <v/>
      </c>
      <c r="D3101" s="16" t="str">
        <f>IFERROR(VLOOKUP(C3101,DATA!#REF!,2,FALSE),"")</f>
        <v/>
      </c>
    </row>
    <row r="3102" spans="3:4" s="230" customFormat="1">
      <c r="C3102" s="16" t="str">
        <f>IFERROR(VLOOKUP(DATA!#REF!,DATA!#REF!,1,FALSE),"")</f>
        <v/>
      </c>
      <c r="D3102" s="16" t="str">
        <f>IFERROR(VLOOKUP(C3102,DATA!#REF!,2,FALSE),"")</f>
        <v/>
      </c>
    </row>
    <row r="3103" spans="3:4" s="230" customFormat="1">
      <c r="C3103" s="16" t="str">
        <f>IFERROR(VLOOKUP(DATA!#REF!,DATA!#REF!,1,FALSE),"")</f>
        <v/>
      </c>
      <c r="D3103" s="16" t="str">
        <f>IFERROR(VLOOKUP(C3103,DATA!#REF!,2,FALSE),"")</f>
        <v/>
      </c>
    </row>
    <row r="3104" spans="3:4" s="230" customFormat="1">
      <c r="C3104" s="16" t="str">
        <f>IFERROR(VLOOKUP(DATA!#REF!,DATA!#REF!,1,FALSE),"")</f>
        <v/>
      </c>
      <c r="D3104" s="16" t="str">
        <f>IFERROR(VLOOKUP(C3104,DATA!#REF!,2,FALSE),"")</f>
        <v/>
      </c>
    </row>
    <row r="3105" spans="3:4" s="230" customFormat="1">
      <c r="C3105" s="16" t="str">
        <f>IFERROR(VLOOKUP(DATA!#REF!,DATA!#REF!,1,FALSE),"")</f>
        <v/>
      </c>
      <c r="D3105" s="16" t="str">
        <f>IFERROR(VLOOKUP(C3105,DATA!#REF!,2,FALSE),"")</f>
        <v/>
      </c>
    </row>
    <row r="3106" spans="3:4" s="230" customFormat="1">
      <c r="C3106" s="16" t="str">
        <f>IFERROR(VLOOKUP(DATA!#REF!,DATA!#REF!,1,FALSE),"")</f>
        <v/>
      </c>
      <c r="D3106" s="16" t="str">
        <f>IFERROR(VLOOKUP(C3106,DATA!#REF!,2,FALSE),"")</f>
        <v/>
      </c>
    </row>
    <row r="3107" spans="3:4" s="230" customFormat="1">
      <c r="C3107" s="16" t="str">
        <f>IFERROR(VLOOKUP(DATA!#REF!,DATA!#REF!,1,FALSE),"")</f>
        <v/>
      </c>
      <c r="D3107" s="16" t="str">
        <f>IFERROR(VLOOKUP(C3107,DATA!#REF!,2,FALSE),"")</f>
        <v/>
      </c>
    </row>
    <row r="3108" spans="3:4" s="230" customFormat="1">
      <c r="C3108" s="16" t="str">
        <f>IFERROR(VLOOKUP(DATA!#REF!,DATA!#REF!,1,FALSE),"")</f>
        <v/>
      </c>
      <c r="D3108" s="16" t="str">
        <f>IFERROR(VLOOKUP(C3108,DATA!#REF!,2,FALSE),"")</f>
        <v/>
      </c>
    </row>
    <row r="3109" spans="3:4" s="230" customFormat="1">
      <c r="C3109" s="16" t="str">
        <f>IFERROR(VLOOKUP(DATA!#REF!,DATA!#REF!,1,FALSE),"")</f>
        <v/>
      </c>
      <c r="D3109" s="16" t="str">
        <f>IFERROR(VLOOKUP(C3109,DATA!#REF!,2,FALSE),"")</f>
        <v/>
      </c>
    </row>
    <row r="3110" spans="3:4" s="230" customFormat="1">
      <c r="C3110" s="16" t="str">
        <f>IFERROR(VLOOKUP(DATA!#REF!,DATA!#REF!,1,FALSE),"")</f>
        <v/>
      </c>
      <c r="D3110" s="16" t="str">
        <f>IFERROR(VLOOKUP(C3110,DATA!#REF!,2,FALSE),"")</f>
        <v/>
      </c>
    </row>
    <row r="3111" spans="3:4" s="230" customFormat="1">
      <c r="C3111" s="16" t="str">
        <f>IFERROR(VLOOKUP(DATA!#REF!,DATA!#REF!,1,FALSE),"")</f>
        <v/>
      </c>
      <c r="D3111" s="16" t="str">
        <f>IFERROR(VLOOKUP(C3111,DATA!#REF!,2,FALSE),"")</f>
        <v/>
      </c>
    </row>
    <row r="3112" spans="3:4" s="230" customFormat="1">
      <c r="C3112" s="16" t="str">
        <f>IFERROR(VLOOKUP(DATA!#REF!,DATA!#REF!,1,FALSE),"")</f>
        <v/>
      </c>
      <c r="D3112" s="16" t="str">
        <f>IFERROR(VLOOKUP(C3112,DATA!#REF!,2,FALSE),"")</f>
        <v/>
      </c>
    </row>
    <row r="3113" spans="3:4" s="230" customFormat="1">
      <c r="C3113" s="16" t="str">
        <f>IFERROR(VLOOKUP(DATA!#REF!,DATA!#REF!,1,FALSE),"")</f>
        <v/>
      </c>
      <c r="D3113" s="16" t="str">
        <f>IFERROR(VLOOKUP(C3113,DATA!#REF!,2,FALSE),"")</f>
        <v/>
      </c>
    </row>
    <row r="3114" spans="3:4" s="230" customFormat="1">
      <c r="C3114" s="16" t="str">
        <f>IFERROR(VLOOKUP(DATA!#REF!,DATA!#REF!,1,FALSE),"")</f>
        <v/>
      </c>
      <c r="D3114" s="16" t="str">
        <f>IFERROR(VLOOKUP(C3114,DATA!#REF!,2,FALSE),"")</f>
        <v/>
      </c>
    </row>
    <row r="3115" spans="3:4" s="230" customFormat="1">
      <c r="C3115" s="16" t="str">
        <f>IFERROR(VLOOKUP(DATA!#REF!,DATA!#REF!,1,FALSE),"")</f>
        <v/>
      </c>
      <c r="D3115" s="16" t="str">
        <f>IFERROR(VLOOKUP(C3115,DATA!#REF!,2,FALSE),"")</f>
        <v/>
      </c>
    </row>
    <row r="3116" spans="3:4" s="230" customFormat="1">
      <c r="C3116" s="16" t="str">
        <f>IFERROR(VLOOKUP(DATA!#REF!,DATA!#REF!,1,FALSE),"")</f>
        <v/>
      </c>
      <c r="D3116" s="16" t="str">
        <f>IFERROR(VLOOKUP(C3116,DATA!#REF!,2,FALSE),"")</f>
        <v/>
      </c>
    </row>
    <row r="3117" spans="3:4" s="230" customFormat="1">
      <c r="C3117" s="16" t="str">
        <f>IFERROR(VLOOKUP(DATA!#REF!,DATA!#REF!,1,FALSE),"")</f>
        <v/>
      </c>
      <c r="D3117" s="16" t="str">
        <f>IFERROR(VLOOKUP(C3117,DATA!#REF!,2,FALSE),"")</f>
        <v/>
      </c>
    </row>
    <row r="3118" spans="3:4" s="230" customFormat="1">
      <c r="C3118" s="16" t="str">
        <f>IFERROR(VLOOKUP(DATA!#REF!,DATA!#REF!,1,FALSE),"")</f>
        <v/>
      </c>
      <c r="D3118" s="16" t="str">
        <f>IFERROR(VLOOKUP(C3118,DATA!#REF!,2,FALSE),"")</f>
        <v/>
      </c>
    </row>
    <row r="3119" spans="3:4" s="230" customFormat="1">
      <c r="C3119" s="16" t="str">
        <f>IFERROR(VLOOKUP(DATA!#REF!,DATA!#REF!,1,FALSE),"")</f>
        <v/>
      </c>
      <c r="D3119" s="16" t="str">
        <f>IFERROR(VLOOKUP(C3119,DATA!#REF!,2,FALSE),"")</f>
        <v/>
      </c>
    </row>
    <row r="3120" spans="3:4" s="230" customFormat="1">
      <c r="C3120" s="16" t="str">
        <f>IFERROR(VLOOKUP(DATA!#REF!,DATA!#REF!,1,FALSE),"")</f>
        <v/>
      </c>
      <c r="D3120" s="16" t="str">
        <f>IFERROR(VLOOKUP(C3120,DATA!#REF!,2,FALSE),"")</f>
        <v/>
      </c>
    </row>
    <row r="3121" spans="3:4" s="230" customFormat="1">
      <c r="C3121" s="16" t="str">
        <f>IFERROR(VLOOKUP(DATA!#REF!,DATA!#REF!,1,FALSE),"")</f>
        <v/>
      </c>
      <c r="D3121" s="16" t="str">
        <f>IFERROR(VLOOKUP(C3121,DATA!#REF!,2,FALSE),"")</f>
        <v/>
      </c>
    </row>
    <row r="3122" spans="3:4" s="230" customFormat="1">
      <c r="C3122" s="16" t="str">
        <f>IFERROR(VLOOKUP(DATA!#REF!,DATA!#REF!,1,FALSE),"")</f>
        <v/>
      </c>
      <c r="D3122" s="16" t="str">
        <f>IFERROR(VLOOKUP(C3122,DATA!#REF!,2,FALSE),"")</f>
        <v/>
      </c>
    </row>
    <row r="3123" spans="3:4" s="230" customFormat="1">
      <c r="C3123" s="16" t="str">
        <f>IFERROR(VLOOKUP(DATA!#REF!,DATA!#REF!,1,FALSE),"")</f>
        <v/>
      </c>
      <c r="D3123" s="16" t="str">
        <f>IFERROR(VLOOKUP(C3123,DATA!#REF!,2,FALSE),"")</f>
        <v/>
      </c>
    </row>
    <row r="3124" spans="3:4" s="230" customFormat="1">
      <c r="C3124" s="16" t="str">
        <f>IFERROR(VLOOKUP(DATA!#REF!,DATA!#REF!,1,FALSE),"")</f>
        <v/>
      </c>
      <c r="D3124" s="16" t="str">
        <f>IFERROR(VLOOKUP(C3124,DATA!#REF!,2,FALSE),"")</f>
        <v/>
      </c>
    </row>
    <row r="3125" spans="3:4" s="230" customFormat="1">
      <c r="C3125" s="16" t="str">
        <f>IFERROR(VLOOKUP(DATA!#REF!,DATA!#REF!,1,FALSE),"")</f>
        <v/>
      </c>
      <c r="D3125" s="16" t="str">
        <f>IFERROR(VLOOKUP(C3125,DATA!#REF!,2,FALSE),"")</f>
        <v/>
      </c>
    </row>
    <row r="3126" spans="3:4" s="230" customFormat="1">
      <c r="C3126" s="16" t="str">
        <f>IFERROR(VLOOKUP(DATA!#REF!,DATA!#REF!,1,FALSE),"")</f>
        <v/>
      </c>
      <c r="D3126" s="16" t="str">
        <f>IFERROR(VLOOKUP(C3126,DATA!#REF!,2,FALSE),"")</f>
        <v/>
      </c>
    </row>
    <row r="3127" spans="3:4" s="230" customFormat="1">
      <c r="C3127" s="16" t="str">
        <f>IFERROR(VLOOKUP(DATA!#REF!,DATA!#REF!,1,FALSE),"")</f>
        <v/>
      </c>
      <c r="D3127" s="16" t="str">
        <f>IFERROR(VLOOKUP(C3127,DATA!#REF!,2,FALSE),"")</f>
        <v/>
      </c>
    </row>
    <row r="3128" spans="3:4" s="230" customFormat="1">
      <c r="C3128" s="16" t="str">
        <f>IFERROR(VLOOKUP(DATA!#REF!,DATA!#REF!,1,FALSE),"")</f>
        <v/>
      </c>
      <c r="D3128" s="16" t="str">
        <f>IFERROR(VLOOKUP(C3128,DATA!#REF!,2,FALSE),"")</f>
        <v/>
      </c>
    </row>
    <row r="3129" spans="3:4" s="230" customFormat="1">
      <c r="C3129" s="16" t="str">
        <f>IFERROR(VLOOKUP(DATA!#REF!,DATA!#REF!,1,FALSE),"")</f>
        <v/>
      </c>
      <c r="D3129" s="16" t="str">
        <f>IFERROR(VLOOKUP(C3129,DATA!#REF!,2,FALSE),"")</f>
        <v/>
      </c>
    </row>
    <row r="3130" spans="3:4" s="230" customFormat="1">
      <c r="C3130" s="16" t="str">
        <f>IFERROR(VLOOKUP(DATA!#REF!,DATA!#REF!,1,FALSE),"")</f>
        <v/>
      </c>
      <c r="D3130" s="16" t="str">
        <f>IFERROR(VLOOKUP(C3130,DATA!#REF!,2,FALSE),"")</f>
        <v/>
      </c>
    </row>
    <row r="3131" spans="3:4" s="230" customFormat="1">
      <c r="C3131" s="16" t="str">
        <f>IFERROR(VLOOKUP(DATA!#REF!,DATA!#REF!,1,FALSE),"")</f>
        <v/>
      </c>
      <c r="D3131" s="16" t="str">
        <f>IFERROR(VLOOKUP(C3131,DATA!#REF!,2,FALSE),"")</f>
        <v/>
      </c>
    </row>
    <row r="3132" spans="3:4" s="230" customFormat="1">
      <c r="C3132" s="16" t="str">
        <f>IFERROR(VLOOKUP(DATA!#REF!,DATA!#REF!,1,FALSE),"")</f>
        <v/>
      </c>
      <c r="D3132" s="16" t="str">
        <f>IFERROR(VLOOKUP(C3132,DATA!#REF!,2,FALSE),"")</f>
        <v/>
      </c>
    </row>
    <row r="3133" spans="3:4" s="230" customFormat="1">
      <c r="C3133" s="16" t="str">
        <f>IFERROR(VLOOKUP(DATA!#REF!,DATA!#REF!,1,FALSE),"")</f>
        <v/>
      </c>
      <c r="D3133" s="16" t="str">
        <f>IFERROR(VLOOKUP(C3133,DATA!#REF!,2,FALSE),"")</f>
        <v/>
      </c>
    </row>
    <row r="3134" spans="3:4" s="230" customFormat="1">
      <c r="C3134" s="16" t="str">
        <f>IFERROR(VLOOKUP(DATA!#REF!,DATA!#REF!,1,FALSE),"")</f>
        <v/>
      </c>
      <c r="D3134" s="16" t="str">
        <f>IFERROR(VLOOKUP(C3134,DATA!#REF!,2,FALSE),"")</f>
        <v/>
      </c>
    </row>
    <row r="3135" spans="3:4" s="230" customFormat="1">
      <c r="C3135" s="16" t="str">
        <f>IFERROR(VLOOKUP(DATA!#REF!,DATA!#REF!,1,FALSE),"")</f>
        <v/>
      </c>
      <c r="D3135" s="16" t="str">
        <f>IFERROR(VLOOKUP(C3135,DATA!#REF!,2,FALSE),"")</f>
        <v/>
      </c>
    </row>
    <row r="3136" spans="3:4" s="230" customFormat="1">
      <c r="C3136" s="16" t="str">
        <f>IFERROR(VLOOKUP(DATA!#REF!,DATA!#REF!,1,FALSE),"")</f>
        <v/>
      </c>
      <c r="D3136" s="16" t="str">
        <f>IFERROR(VLOOKUP(C3136,DATA!#REF!,2,FALSE),"")</f>
        <v/>
      </c>
    </row>
    <row r="3137" spans="3:4" s="230" customFormat="1">
      <c r="C3137" s="16" t="str">
        <f>IFERROR(VLOOKUP(DATA!#REF!,DATA!#REF!,1,FALSE),"")</f>
        <v/>
      </c>
      <c r="D3137" s="16" t="str">
        <f>IFERROR(VLOOKUP(C3137,DATA!#REF!,2,FALSE),"")</f>
        <v/>
      </c>
    </row>
    <row r="3138" spans="3:4" s="230" customFormat="1">
      <c r="C3138" s="16" t="str">
        <f>IFERROR(VLOOKUP(DATA!#REF!,DATA!#REF!,1,FALSE),"")</f>
        <v/>
      </c>
      <c r="D3138" s="16" t="str">
        <f>IFERROR(VLOOKUP(C3138,DATA!#REF!,2,FALSE),"")</f>
        <v/>
      </c>
    </row>
    <row r="3139" spans="3:4" s="230" customFormat="1">
      <c r="C3139" s="16" t="str">
        <f>IFERROR(VLOOKUP(DATA!#REF!,DATA!#REF!,1,FALSE),"")</f>
        <v/>
      </c>
      <c r="D3139" s="16" t="str">
        <f>IFERROR(VLOOKUP(C3139,DATA!#REF!,2,FALSE),"")</f>
        <v/>
      </c>
    </row>
    <row r="3140" spans="3:4" s="230" customFormat="1">
      <c r="C3140" s="16" t="str">
        <f>IFERROR(VLOOKUP(DATA!#REF!,DATA!#REF!,1,FALSE),"")</f>
        <v/>
      </c>
      <c r="D3140" s="16" t="str">
        <f>IFERROR(VLOOKUP(C3140,DATA!#REF!,2,FALSE),"")</f>
        <v/>
      </c>
    </row>
    <row r="3141" spans="3:4" s="230" customFormat="1">
      <c r="C3141" s="16" t="str">
        <f>IFERROR(VLOOKUP(DATA!#REF!,DATA!#REF!,1,FALSE),"")</f>
        <v/>
      </c>
      <c r="D3141" s="16" t="str">
        <f>IFERROR(VLOOKUP(C3141,DATA!#REF!,2,FALSE),"")</f>
        <v/>
      </c>
    </row>
    <row r="3142" spans="3:4" s="230" customFormat="1">
      <c r="C3142" s="16" t="str">
        <f>IFERROR(VLOOKUP(DATA!#REF!,DATA!#REF!,1,FALSE),"")</f>
        <v/>
      </c>
      <c r="D3142" s="16" t="str">
        <f>IFERROR(VLOOKUP(C3142,DATA!#REF!,2,FALSE),"")</f>
        <v/>
      </c>
    </row>
    <row r="3143" spans="3:4" s="230" customFormat="1">
      <c r="C3143" s="16" t="str">
        <f>IFERROR(VLOOKUP(DATA!#REF!,DATA!#REF!,1,FALSE),"")</f>
        <v/>
      </c>
      <c r="D3143" s="16" t="str">
        <f>IFERROR(VLOOKUP(C3143,DATA!#REF!,2,FALSE),"")</f>
        <v/>
      </c>
    </row>
    <row r="3144" spans="3:4" s="230" customFormat="1">
      <c r="C3144" s="16" t="str">
        <f>IFERROR(VLOOKUP(DATA!#REF!,DATA!#REF!,1,FALSE),"")</f>
        <v/>
      </c>
      <c r="D3144" s="16" t="str">
        <f>IFERROR(VLOOKUP(C3144,DATA!#REF!,2,FALSE),"")</f>
        <v/>
      </c>
    </row>
    <row r="3145" spans="3:4" s="230" customFormat="1">
      <c r="C3145" s="16" t="str">
        <f>IFERROR(VLOOKUP(DATA!#REF!,DATA!#REF!,1,FALSE),"")</f>
        <v/>
      </c>
      <c r="D3145" s="16" t="str">
        <f>IFERROR(VLOOKUP(C3145,DATA!#REF!,2,FALSE),"")</f>
        <v/>
      </c>
    </row>
    <row r="3146" spans="3:4" s="230" customFormat="1">
      <c r="C3146" s="16" t="str">
        <f>IFERROR(VLOOKUP(DATA!#REF!,DATA!#REF!,1,FALSE),"")</f>
        <v/>
      </c>
      <c r="D3146" s="16" t="str">
        <f>IFERROR(VLOOKUP(C3146,DATA!#REF!,2,FALSE),"")</f>
        <v/>
      </c>
    </row>
    <row r="3147" spans="3:4" s="230" customFormat="1">
      <c r="C3147" s="16" t="str">
        <f>IFERROR(VLOOKUP(DATA!#REF!,DATA!#REF!,1,FALSE),"")</f>
        <v/>
      </c>
      <c r="D3147" s="16" t="str">
        <f>IFERROR(VLOOKUP(C3147,DATA!#REF!,2,FALSE),"")</f>
        <v/>
      </c>
    </row>
    <row r="3148" spans="3:4" s="230" customFormat="1">
      <c r="C3148" s="16" t="str">
        <f>IFERROR(VLOOKUP(DATA!#REF!,DATA!#REF!,1,FALSE),"")</f>
        <v/>
      </c>
      <c r="D3148" s="16" t="str">
        <f>IFERROR(VLOOKUP(C3148,DATA!#REF!,2,FALSE),"")</f>
        <v/>
      </c>
    </row>
    <row r="3149" spans="3:4" s="230" customFormat="1">
      <c r="C3149" s="16" t="str">
        <f>IFERROR(VLOOKUP(DATA!#REF!,DATA!#REF!,1,FALSE),"")</f>
        <v/>
      </c>
      <c r="D3149" s="16" t="str">
        <f>IFERROR(VLOOKUP(C3149,DATA!#REF!,2,FALSE),"")</f>
        <v/>
      </c>
    </row>
    <row r="3150" spans="3:4" s="230" customFormat="1">
      <c r="C3150" s="16" t="str">
        <f>IFERROR(VLOOKUP(DATA!#REF!,DATA!#REF!,1,FALSE),"")</f>
        <v/>
      </c>
      <c r="D3150" s="16" t="str">
        <f>IFERROR(VLOOKUP(C3150,DATA!#REF!,2,FALSE),"")</f>
        <v/>
      </c>
    </row>
    <row r="3151" spans="3:4" s="230" customFormat="1">
      <c r="C3151" s="16" t="str">
        <f>IFERROR(VLOOKUP(DATA!#REF!,DATA!#REF!,1,FALSE),"")</f>
        <v/>
      </c>
      <c r="D3151" s="16" t="str">
        <f>IFERROR(VLOOKUP(C3151,DATA!#REF!,2,FALSE),"")</f>
        <v/>
      </c>
    </row>
    <row r="3152" spans="3:4" s="230" customFormat="1">
      <c r="C3152" s="16" t="str">
        <f>IFERROR(VLOOKUP(DATA!#REF!,DATA!#REF!,1,FALSE),"")</f>
        <v/>
      </c>
      <c r="D3152" s="16" t="str">
        <f>IFERROR(VLOOKUP(C3152,DATA!#REF!,2,FALSE),"")</f>
        <v/>
      </c>
    </row>
    <row r="3153" spans="3:4" s="230" customFormat="1">
      <c r="C3153" s="16" t="str">
        <f>IFERROR(VLOOKUP(DATA!#REF!,DATA!#REF!,1,FALSE),"")</f>
        <v/>
      </c>
      <c r="D3153" s="16" t="str">
        <f>IFERROR(VLOOKUP(C3153,DATA!#REF!,2,FALSE),"")</f>
        <v/>
      </c>
    </row>
    <row r="3154" spans="3:4" s="230" customFormat="1">
      <c r="C3154" s="16" t="str">
        <f>IFERROR(VLOOKUP(DATA!#REF!,DATA!#REF!,1,FALSE),"")</f>
        <v/>
      </c>
      <c r="D3154" s="16" t="str">
        <f>IFERROR(VLOOKUP(C3154,DATA!#REF!,2,FALSE),"")</f>
        <v/>
      </c>
    </row>
    <row r="3155" spans="3:4" s="230" customFormat="1">
      <c r="C3155" s="16" t="str">
        <f>IFERROR(VLOOKUP(DATA!#REF!,DATA!#REF!,1,FALSE),"")</f>
        <v/>
      </c>
      <c r="D3155" s="16" t="str">
        <f>IFERROR(VLOOKUP(C3155,DATA!#REF!,2,FALSE),"")</f>
        <v/>
      </c>
    </row>
    <row r="3156" spans="3:4" s="230" customFormat="1">
      <c r="C3156" s="16" t="str">
        <f>IFERROR(VLOOKUP(DATA!#REF!,DATA!#REF!,1,FALSE),"")</f>
        <v/>
      </c>
      <c r="D3156" s="16" t="str">
        <f>IFERROR(VLOOKUP(C3156,DATA!#REF!,2,FALSE),"")</f>
        <v/>
      </c>
    </row>
    <row r="3157" spans="3:4" s="230" customFormat="1">
      <c r="C3157" s="16" t="str">
        <f>IFERROR(VLOOKUP(DATA!#REF!,DATA!#REF!,1,FALSE),"")</f>
        <v/>
      </c>
      <c r="D3157" s="16" t="str">
        <f>IFERROR(VLOOKUP(C3157,DATA!#REF!,2,FALSE),"")</f>
        <v/>
      </c>
    </row>
    <row r="3158" spans="3:4" s="230" customFormat="1">
      <c r="C3158" s="16" t="str">
        <f>IFERROR(VLOOKUP(DATA!#REF!,DATA!#REF!,1,FALSE),"")</f>
        <v/>
      </c>
      <c r="D3158" s="16" t="str">
        <f>IFERROR(VLOOKUP(C3158,DATA!#REF!,2,FALSE),"")</f>
        <v/>
      </c>
    </row>
    <row r="3159" spans="3:4" s="230" customFormat="1">
      <c r="C3159" s="16" t="str">
        <f>IFERROR(VLOOKUP(DATA!#REF!,DATA!#REF!,1,FALSE),"")</f>
        <v/>
      </c>
      <c r="D3159" s="16" t="str">
        <f>IFERROR(VLOOKUP(C3159,DATA!#REF!,2,FALSE),"")</f>
        <v/>
      </c>
    </row>
    <row r="3160" spans="3:4" s="230" customFormat="1">
      <c r="C3160" s="16" t="str">
        <f>IFERROR(VLOOKUP(DATA!#REF!,DATA!#REF!,1,FALSE),"")</f>
        <v/>
      </c>
      <c r="D3160" s="16" t="str">
        <f>IFERROR(VLOOKUP(C3160,DATA!#REF!,2,FALSE),"")</f>
        <v/>
      </c>
    </row>
    <row r="3161" spans="3:4" s="230" customFormat="1">
      <c r="C3161" s="16" t="str">
        <f>IFERROR(VLOOKUP(DATA!#REF!,DATA!#REF!,1,FALSE),"")</f>
        <v/>
      </c>
      <c r="D3161" s="16" t="str">
        <f>IFERROR(VLOOKUP(C3161,DATA!#REF!,2,FALSE),"")</f>
        <v/>
      </c>
    </row>
    <row r="3162" spans="3:4" s="230" customFormat="1">
      <c r="C3162" s="16" t="str">
        <f>IFERROR(VLOOKUP(DATA!#REF!,DATA!#REF!,1,FALSE),"")</f>
        <v/>
      </c>
      <c r="D3162" s="16" t="str">
        <f>IFERROR(VLOOKUP(C3162,DATA!#REF!,2,FALSE),"")</f>
        <v/>
      </c>
    </row>
    <row r="3163" spans="3:4" s="230" customFormat="1">
      <c r="C3163" s="16" t="str">
        <f>IFERROR(VLOOKUP(DATA!#REF!,DATA!#REF!,1,FALSE),"")</f>
        <v/>
      </c>
      <c r="D3163" s="16" t="str">
        <f>IFERROR(VLOOKUP(C3163,DATA!#REF!,2,FALSE),"")</f>
        <v/>
      </c>
    </row>
    <row r="3164" spans="3:4" s="230" customFormat="1">
      <c r="C3164" s="16" t="str">
        <f>IFERROR(VLOOKUP(DATA!#REF!,DATA!#REF!,1,FALSE),"")</f>
        <v/>
      </c>
      <c r="D3164" s="16" t="str">
        <f>IFERROR(VLOOKUP(C3164,DATA!#REF!,2,FALSE),"")</f>
        <v/>
      </c>
    </row>
    <row r="3165" spans="3:4" s="230" customFormat="1">
      <c r="C3165" s="16" t="str">
        <f>IFERROR(VLOOKUP(DATA!#REF!,DATA!#REF!,1,FALSE),"")</f>
        <v/>
      </c>
      <c r="D3165" s="16" t="str">
        <f>IFERROR(VLOOKUP(C3165,DATA!#REF!,2,FALSE),"")</f>
        <v/>
      </c>
    </row>
    <row r="3166" spans="3:4" s="230" customFormat="1">
      <c r="C3166" s="16" t="str">
        <f>IFERROR(VLOOKUP(DATA!#REF!,DATA!#REF!,1,FALSE),"")</f>
        <v/>
      </c>
      <c r="D3166" s="16" t="str">
        <f>IFERROR(VLOOKUP(C3166,DATA!#REF!,2,FALSE),"")</f>
        <v/>
      </c>
    </row>
    <row r="3167" spans="3:4" s="230" customFormat="1">
      <c r="C3167" s="16" t="str">
        <f>IFERROR(VLOOKUP(DATA!#REF!,DATA!#REF!,1,FALSE),"")</f>
        <v/>
      </c>
      <c r="D3167" s="16" t="str">
        <f>IFERROR(VLOOKUP(C3167,DATA!#REF!,2,FALSE),"")</f>
        <v/>
      </c>
    </row>
    <row r="3168" spans="3:4" s="230" customFormat="1">
      <c r="C3168" s="16" t="str">
        <f>IFERROR(VLOOKUP(DATA!#REF!,DATA!#REF!,1,FALSE),"")</f>
        <v/>
      </c>
      <c r="D3168" s="16" t="str">
        <f>IFERROR(VLOOKUP(C3168,DATA!#REF!,2,FALSE),"")</f>
        <v/>
      </c>
    </row>
    <row r="3169" spans="3:4" s="230" customFormat="1">
      <c r="C3169" s="16" t="str">
        <f>IFERROR(VLOOKUP(DATA!#REF!,DATA!#REF!,1,FALSE),"")</f>
        <v/>
      </c>
      <c r="D3169" s="16" t="str">
        <f>IFERROR(VLOOKUP(C3169,DATA!#REF!,2,FALSE),"")</f>
        <v/>
      </c>
    </row>
    <row r="3170" spans="3:4" s="230" customFormat="1">
      <c r="C3170" s="16" t="str">
        <f>IFERROR(VLOOKUP(DATA!#REF!,DATA!#REF!,1,FALSE),"")</f>
        <v/>
      </c>
      <c r="D3170" s="16" t="str">
        <f>IFERROR(VLOOKUP(C3170,DATA!#REF!,2,FALSE),"")</f>
        <v/>
      </c>
    </row>
    <row r="3171" spans="3:4" s="230" customFormat="1">
      <c r="C3171" s="16" t="str">
        <f>IFERROR(VLOOKUP(DATA!#REF!,DATA!#REF!,1,FALSE),"")</f>
        <v/>
      </c>
      <c r="D3171" s="16" t="str">
        <f>IFERROR(VLOOKUP(C3171,DATA!#REF!,2,FALSE),"")</f>
        <v/>
      </c>
    </row>
    <row r="3172" spans="3:4" s="230" customFormat="1">
      <c r="C3172" s="16" t="str">
        <f>IFERROR(VLOOKUP(DATA!#REF!,DATA!#REF!,1,FALSE),"")</f>
        <v/>
      </c>
      <c r="D3172" s="16" t="str">
        <f>IFERROR(VLOOKUP(C3172,DATA!#REF!,2,FALSE),"")</f>
        <v/>
      </c>
    </row>
    <row r="3173" spans="3:4" s="230" customFormat="1">
      <c r="C3173" s="16" t="str">
        <f>IFERROR(VLOOKUP(DATA!#REF!,DATA!#REF!,1,FALSE),"")</f>
        <v/>
      </c>
      <c r="D3173" s="16" t="str">
        <f>IFERROR(VLOOKUP(C3173,DATA!#REF!,2,FALSE),"")</f>
        <v/>
      </c>
    </row>
    <row r="3174" spans="3:4" s="230" customFormat="1">
      <c r="C3174" s="16" t="str">
        <f>IFERROR(VLOOKUP(DATA!#REF!,DATA!#REF!,1,FALSE),"")</f>
        <v/>
      </c>
      <c r="D3174" s="16" t="str">
        <f>IFERROR(VLOOKUP(C3174,DATA!#REF!,2,FALSE),"")</f>
        <v/>
      </c>
    </row>
    <row r="3175" spans="3:4" s="230" customFormat="1">
      <c r="C3175" s="16" t="str">
        <f>IFERROR(VLOOKUP(DATA!#REF!,DATA!#REF!,1,FALSE),"")</f>
        <v/>
      </c>
      <c r="D3175" s="16" t="str">
        <f>IFERROR(VLOOKUP(C3175,DATA!#REF!,2,FALSE),"")</f>
        <v/>
      </c>
    </row>
    <row r="3176" spans="3:4" s="230" customFormat="1">
      <c r="C3176" s="16" t="str">
        <f>IFERROR(VLOOKUP(DATA!#REF!,DATA!#REF!,1,FALSE),"")</f>
        <v/>
      </c>
      <c r="D3176" s="16" t="str">
        <f>IFERROR(VLOOKUP(C3176,DATA!#REF!,2,FALSE),"")</f>
        <v/>
      </c>
    </row>
    <row r="3177" spans="3:4" s="230" customFormat="1">
      <c r="C3177" s="16" t="str">
        <f>IFERROR(VLOOKUP(DATA!#REF!,DATA!#REF!,1,FALSE),"")</f>
        <v/>
      </c>
      <c r="D3177" s="16" t="str">
        <f>IFERROR(VLOOKUP(C3177,DATA!#REF!,2,FALSE),"")</f>
        <v/>
      </c>
    </row>
    <row r="3178" spans="3:4" s="230" customFormat="1">
      <c r="C3178" s="16" t="str">
        <f>IFERROR(VLOOKUP(DATA!#REF!,DATA!#REF!,1,FALSE),"")</f>
        <v/>
      </c>
      <c r="D3178" s="16" t="str">
        <f>IFERROR(VLOOKUP(C3178,DATA!#REF!,2,FALSE),"")</f>
        <v/>
      </c>
    </row>
    <row r="3179" spans="3:4" s="230" customFormat="1">
      <c r="C3179" s="16" t="str">
        <f>IFERROR(VLOOKUP(DATA!#REF!,DATA!#REF!,1,FALSE),"")</f>
        <v/>
      </c>
      <c r="D3179" s="16" t="str">
        <f>IFERROR(VLOOKUP(C3179,DATA!#REF!,2,FALSE),"")</f>
        <v/>
      </c>
    </row>
    <row r="3180" spans="3:4" s="230" customFormat="1">
      <c r="C3180" s="16" t="str">
        <f>IFERROR(VLOOKUP(DATA!#REF!,DATA!#REF!,1,FALSE),"")</f>
        <v/>
      </c>
      <c r="D3180" s="16" t="str">
        <f>IFERROR(VLOOKUP(C3180,DATA!#REF!,2,FALSE),"")</f>
        <v/>
      </c>
    </row>
    <row r="3181" spans="3:4" s="230" customFormat="1">
      <c r="C3181" s="16" t="str">
        <f>IFERROR(VLOOKUP(DATA!#REF!,DATA!#REF!,1,FALSE),"")</f>
        <v/>
      </c>
      <c r="D3181" s="16" t="str">
        <f>IFERROR(VLOOKUP(C3181,DATA!#REF!,2,FALSE),"")</f>
        <v/>
      </c>
    </row>
    <row r="3182" spans="3:4" s="230" customFormat="1">
      <c r="C3182" s="16" t="str">
        <f>IFERROR(VLOOKUP(DATA!#REF!,DATA!#REF!,1,FALSE),"")</f>
        <v/>
      </c>
      <c r="D3182" s="16" t="str">
        <f>IFERROR(VLOOKUP(C3182,DATA!#REF!,2,FALSE),"")</f>
        <v/>
      </c>
    </row>
    <row r="3183" spans="3:4" s="230" customFormat="1">
      <c r="C3183" s="16" t="str">
        <f>IFERROR(VLOOKUP(DATA!#REF!,DATA!#REF!,1,FALSE),"")</f>
        <v/>
      </c>
      <c r="D3183" s="16" t="str">
        <f>IFERROR(VLOOKUP(C3183,DATA!#REF!,2,FALSE),"")</f>
        <v/>
      </c>
    </row>
    <row r="3184" spans="3:4" s="230" customFormat="1">
      <c r="C3184" s="16" t="str">
        <f>IFERROR(VLOOKUP(DATA!#REF!,DATA!#REF!,1,FALSE),"")</f>
        <v/>
      </c>
      <c r="D3184" s="16" t="str">
        <f>IFERROR(VLOOKUP(C3184,DATA!#REF!,2,FALSE),"")</f>
        <v/>
      </c>
    </row>
    <row r="3185" spans="3:4" s="230" customFormat="1">
      <c r="C3185" s="16" t="str">
        <f>IFERROR(VLOOKUP(DATA!#REF!,DATA!#REF!,1,FALSE),"")</f>
        <v/>
      </c>
      <c r="D3185" s="16" t="str">
        <f>IFERROR(VLOOKUP(C3185,DATA!#REF!,2,FALSE),"")</f>
        <v/>
      </c>
    </row>
    <row r="3186" spans="3:4" s="230" customFormat="1">
      <c r="C3186" s="16" t="str">
        <f>IFERROR(VLOOKUP(DATA!#REF!,DATA!#REF!,1,FALSE),"")</f>
        <v/>
      </c>
      <c r="D3186" s="16" t="str">
        <f>IFERROR(VLOOKUP(C3186,DATA!#REF!,2,FALSE),"")</f>
        <v/>
      </c>
    </row>
    <row r="3187" spans="3:4" s="230" customFormat="1">
      <c r="C3187" s="16" t="str">
        <f>IFERROR(VLOOKUP(DATA!#REF!,DATA!#REF!,1,FALSE),"")</f>
        <v/>
      </c>
      <c r="D3187" s="16" t="str">
        <f>IFERROR(VLOOKUP(C3187,DATA!#REF!,2,FALSE),"")</f>
        <v/>
      </c>
    </row>
    <row r="3188" spans="3:4" s="230" customFormat="1">
      <c r="C3188" s="16" t="str">
        <f>IFERROR(VLOOKUP(DATA!#REF!,DATA!#REF!,1,FALSE),"")</f>
        <v/>
      </c>
      <c r="D3188" s="16" t="str">
        <f>IFERROR(VLOOKUP(C3188,DATA!#REF!,2,FALSE),"")</f>
        <v/>
      </c>
    </row>
    <row r="3189" spans="3:4" s="230" customFormat="1">
      <c r="C3189" s="16" t="str">
        <f>IFERROR(VLOOKUP(DATA!#REF!,DATA!#REF!,1,FALSE),"")</f>
        <v/>
      </c>
      <c r="D3189" s="16" t="str">
        <f>IFERROR(VLOOKUP(C3189,DATA!#REF!,2,FALSE),"")</f>
        <v/>
      </c>
    </row>
    <row r="3190" spans="3:4" s="230" customFormat="1">
      <c r="C3190" s="16" t="str">
        <f>IFERROR(VLOOKUP(DATA!#REF!,DATA!#REF!,1,FALSE),"")</f>
        <v/>
      </c>
      <c r="D3190" s="16" t="str">
        <f>IFERROR(VLOOKUP(C3190,DATA!#REF!,2,FALSE),"")</f>
        <v/>
      </c>
    </row>
    <row r="3191" spans="3:4" s="230" customFormat="1">
      <c r="C3191" s="16" t="str">
        <f>IFERROR(VLOOKUP(DATA!#REF!,DATA!#REF!,1,FALSE),"")</f>
        <v/>
      </c>
      <c r="D3191" s="16" t="str">
        <f>IFERROR(VLOOKUP(C3191,DATA!#REF!,2,FALSE),"")</f>
        <v/>
      </c>
    </row>
    <row r="3192" spans="3:4" s="230" customFormat="1">
      <c r="C3192" s="16" t="str">
        <f>IFERROR(VLOOKUP(DATA!#REF!,DATA!#REF!,1,FALSE),"")</f>
        <v/>
      </c>
      <c r="D3192" s="16" t="str">
        <f>IFERROR(VLOOKUP(C3192,DATA!#REF!,2,FALSE),"")</f>
        <v/>
      </c>
    </row>
    <row r="3193" spans="3:4" s="230" customFormat="1">
      <c r="C3193" s="16" t="str">
        <f>IFERROR(VLOOKUP(DATA!#REF!,DATA!#REF!,1,FALSE),"")</f>
        <v/>
      </c>
      <c r="D3193" s="16" t="str">
        <f>IFERROR(VLOOKUP(C3193,DATA!#REF!,2,FALSE),"")</f>
        <v/>
      </c>
    </row>
    <row r="3194" spans="3:4" s="230" customFormat="1">
      <c r="C3194" s="16" t="str">
        <f>IFERROR(VLOOKUP(DATA!#REF!,DATA!#REF!,1,FALSE),"")</f>
        <v/>
      </c>
      <c r="D3194" s="16" t="str">
        <f>IFERROR(VLOOKUP(C3194,DATA!#REF!,2,FALSE),"")</f>
        <v/>
      </c>
    </row>
    <row r="3195" spans="3:4" s="230" customFormat="1">
      <c r="C3195" s="16" t="str">
        <f>IFERROR(VLOOKUP(DATA!#REF!,DATA!#REF!,1,FALSE),"")</f>
        <v/>
      </c>
      <c r="D3195" s="16" t="str">
        <f>IFERROR(VLOOKUP(C3195,DATA!#REF!,2,FALSE),"")</f>
        <v/>
      </c>
    </row>
    <row r="3196" spans="3:4" s="230" customFormat="1">
      <c r="C3196" s="16" t="str">
        <f>IFERROR(VLOOKUP(DATA!#REF!,DATA!#REF!,1,FALSE),"")</f>
        <v/>
      </c>
      <c r="D3196" s="16" t="str">
        <f>IFERROR(VLOOKUP(C3196,DATA!#REF!,2,FALSE),"")</f>
        <v/>
      </c>
    </row>
    <row r="3197" spans="3:4" s="230" customFormat="1">
      <c r="C3197" s="16" t="str">
        <f>IFERROR(VLOOKUP(DATA!#REF!,DATA!#REF!,1,FALSE),"")</f>
        <v/>
      </c>
      <c r="D3197" s="16" t="str">
        <f>IFERROR(VLOOKUP(C3197,DATA!#REF!,2,FALSE),"")</f>
        <v/>
      </c>
    </row>
    <row r="3198" spans="3:4" s="230" customFormat="1">
      <c r="C3198" s="16" t="str">
        <f>IFERROR(VLOOKUP(DATA!#REF!,DATA!#REF!,1,FALSE),"")</f>
        <v/>
      </c>
      <c r="D3198" s="16" t="str">
        <f>IFERROR(VLOOKUP(C3198,DATA!#REF!,2,FALSE),"")</f>
        <v/>
      </c>
    </row>
    <row r="3199" spans="3:4" s="230" customFormat="1">
      <c r="C3199" s="16" t="str">
        <f>IFERROR(VLOOKUP(DATA!#REF!,DATA!#REF!,1,FALSE),"")</f>
        <v/>
      </c>
      <c r="D3199" s="16" t="str">
        <f>IFERROR(VLOOKUP(C3199,DATA!#REF!,2,FALSE),"")</f>
        <v/>
      </c>
    </row>
    <row r="3200" spans="3:4" s="230" customFormat="1">
      <c r="C3200" s="16" t="str">
        <f>IFERROR(VLOOKUP(DATA!#REF!,DATA!#REF!,1,FALSE),"")</f>
        <v/>
      </c>
      <c r="D3200" s="16" t="str">
        <f>IFERROR(VLOOKUP(C3200,DATA!#REF!,2,FALSE),"")</f>
        <v/>
      </c>
    </row>
    <row r="3201" spans="3:4" s="230" customFormat="1">
      <c r="C3201" s="16" t="str">
        <f>IFERROR(VLOOKUP(DATA!#REF!,DATA!#REF!,1,FALSE),"")</f>
        <v/>
      </c>
      <c r="D3201" s="16" t="str">
        <f>IFERROR(VLOOKUP(C3201,DATA!#REF!,2,FALSE),"")</f>
        <v/>
      </c>
    </row>
    <row r="3202" spans="3:4" s="230" customFormat="1">
      <c r="C3202" s="16" t="str">
        <f>IFERROR(VLOOKUP(DATA!#REF!,DATA!#REF!,1,FALSE),"")</f>
        <v/>
      </c>
      <c r="D3202" s="16" t="str">
        <f>IFERROR(VLOOKUP(C3202,DATA!#REF!,2,FALSE),"")</f>
        <v/>
      </c>
    </row>
    <row r="3203" spans="3:4" s="230" customFormat="1">
      <c r="C3203" s="16" t="str">
        <f>IFERROR(VLOOKUP(DATA!#REF!,DATA!#REF!,1,FALSE),"")</f>
        <v/>
      </c>
      <c r="D3203" s="16" t="str">
        <f>IFERROR(VLOOKUP(C3203,DATA!#REF!,2,FALSE),"")</f>
        <v/>
      </c>
    </row>
    <row r="3204" spans="3:4" s="230" customFormat="1">
      <c r="C3204" s="16" t="str">
        <f>IFERROR(VLOOKUP(DATA!#REF!,DATA!#REF!,1,FALSE),"")</f>
        <v/>
      </c>
      <c r="D3204" s="16" t="str">
        <f>IFERROR(VLOOKUP(C3204,DATA!#REF!,2,FALSE),"")</f>
        <v/>
      </c>
    </row>
    <row r="3205" spans="3:4" s="230" customFormat="1">
      <c r="C3205" s="16" t="str">
        <f>IFERROR(VLOOKUP(DATA!#REF!,DATA!#REF!,1,FALSE),"")</f>
        <v/>
      </c>
      <c r="D3205" s="16" t="str">
        <f>IFERROR(VLOOKUP(C3205,DATA!#REF!,2,FALSE),"")</f>
        <v/>
      </c>
    </row>
    <row r="3206" spans="3:4" s="230" customFormat="1">
      <c r="C3206" s="16" t="str">
        <f>IFERROR(VLOOKUP(DATA!#REF!,DATA!#REF!,1,FALSE),"")</f>
        <v/>
      </c>
      <c r="D3206" s="16" t="str">
        <f>IFERROR(VLOOKUP(C3206,DATA!#REF!,2,FALSE),"")</f>
        <v/>
      </c>
    </row>
    <row r="3207" spans="3:4" s="230" customFormat="1">
      <c r="C3207" s="16" t="str">
        <f>IFERROR(VLOOKUP(DATA!#REF!,DATA!#REF!,1,FALSE),"")</f>
        <v/>
      </c>
      <c r="D3207" s="16" t="str">
        <f>IFERROR(VLOOKUP(C3207,DATA!#REF!,2,FALSE),"")</f>
        <v/>
      </c>
    </row>
    <row r="3208" spans="3:4" s="230" customFormat="1">
      <c r="C3208" s="16" t="str">
        <f>IFERROR(VLOOKUP(DATA!#REF!,DATA!#REF!,1,FALSE),"")</f>
        <v/>
      </c>
      <c r="D3208" s="16" t="str">
        <f>IFERROR(VLOOKUP(C3208,DATA!#REF!,2,FALSE),"")</f>
        <v/>
      </c>
    </row>
    <row r="3209" spans="3:4" s="230" customFormat="1">
      <c r="C3209" s="16" t="str">
        <f>IFERROR(VLOOKUP(DATA!#REF!,DATA!#REF!,1,FALSE),"")</f>
        <v/>
      </c>
      <c r="D3209" s="16" t="str">
        <f>IFERROR(VLOOKUP(C3209,DATA!#REF!,2,FALSE),"")</f>
        <v/>
      </c>
    </row>
    <row r="3210" spans="3:4" s="230" customFormat="1">
      <c r="C3210" s="16" t="str">
        <f>IFERROR(VLOOKUP(DATA!#REF!,DATA!#REF!,1,FALSE),"")</f>
        <v/>
      </c>
      <c r="D3210" s="16" t="str">
        <f>IFERROR(VLOOKUP(C3210,DATA!#REF!,2,FALSE),"")</f>
        <v/>
      </c>
    </row>
    <row r="3211" spans="3:4" s="230" customFormat="1">
      <c r="C3211" s="16" t="str">
        <f>IFERROR(VLOOKUP(DATA!#REF!,DATA!#REF!,1,FALSE),"")</f>
        <v/>
      </c>
      <c r="D3211" s="16" t="str">
        <f>IFERROR(VLOOKUP(C3211,DATA!#REF!,2,FALSE),"")</f>
        <v/>
      </c>
    </row>
    <row r="3212" spans="3:4" s="230" customFormat="1">
      <c r="C3212" s="16" t="str">
        <f>IFERROR(VLOOKUP(DATA!#REF!,DATA!#REF!,1,FALSE),"")</f>
        <v/>
      </c>
      <c r="D3212" s="16" t="str">
        <f>IFERROR(VLOOKUP(C3212,DATA!#REF!,2,FALSE),"")</f>
        <v/>
      </c>
    </row>
    <row r="3213" spans="3:4" s="230" customFormat="1">
      <c r="C3213" s="16" t="str">
        <f>IFERROR(VLOOKUP(DATA!#REF!,DATA!#REF!,1,FALSE),"")</f>
        <v/>
      </c>
      <c r="D3213" s="16" t="str">
        <f>IFERROR(VLOOKUP(C3213,DATA!#REF!,2,FALSE),"")</f>
        <v/>
      </c>
    </row>
    <row r="3214" spans="3:4" s="230" customFormat="1">
      <c r="C3214" s="16" t="str">
        <f>IFERROR(VLOOKUP(DATA!#REF!,DATA!#REF!,1,FALSE),"")</f>
        <v/>
      </c>
      <c r="D3214" s="16" t="str">
        <f>IFERROR(VLOOKUP(C3214,DATA!#REF!,2,FALSE),"")</f>
        <v/>
      </c>
    </row>
    <row r="3215" spans="3:4" s="230" customFormat="1">
      <c r="C3215" s="16" t="str">
        <f>IFERROR(VLOOKUP(DATA!#REF!,DATA!#REF!,1,FALSE),"")</f>
        <v/>
      </c>
      <c r="D3215" s="16" t="str">
        <f>IFERROR(VLOOKUP(C3215,DATA!#REF!,2,FALSE),"")</f>
        <v/>
      </c>
    </row>
    <row r="3216" spans="3:4" s="230" customFormat="1">
      <c r="C3216" s="16" t="str">
        <f>IFERROR(VLOOKUP(DATA!#REF!,DATA!#REF!,1,FALSE),"")</f>
        <v/>
      </c>
      <c r="D3216" s="16" t="str">
        <f>IFERROR(VLOOKUP(C3216,DATA!#REF!,2,FALSE),"")</f>
        <v/>
      </c>
    </row>
    <row r="3217" spans="3:4" s="230" customFormat="1">
      <c r="C3217" s="16" t="str">
        <f>IFERROR(VLOOKUP(DATA!#REF!,DATA!#REF!,1,FALSE),"")</f>
        <v/>
      </c>
      <c r="D3217" s="16" t="str">
        <f>IFERROR(VLOOKUP(C3217,DATA!#REF!,2,FALSE),"")</f>
        <v/>
      </c>
    </row>
    <row r="3218" spans="3:4" s="230" customFormat="1">
      <c r="C3218" s="16" t="str">
        <f>IFERROR(VLOOKUP(DATA!#REF!,DATA!#REF!,1,FALSE),"")</f>
        <v/>
      </c>
      <c r="D3218" s="16" t="str">
        <f>IFERROR(VLOOKUP(C3218,DATA!#REF!,2,FALSE),"")</f>
        <v/>
      </c>
    </row>
    <row r="3219" spans="3:4" s="230" customFormat="1">
      <c r="C3219" s="16" t="str">
        <f>IFERROR(VLOOKUP(DATA!#REF!,DATA!#REF!,1,FALSE),"")</f>
        <v/>
      </c>
      <c r="D3219" s="16" t="str">
        <f>IFERROR(VLOOKUP(C3219,DATA!#REF!,2,FALSE),"")</f>
        <v/>
      </c>
    </row>
    <row r="3220" spans="3:4" s="230" customFormat="1">
      <c r="C3220" s="16" t="str">
        <f>IFERROR(VLOOKUP(DATA!#REF!,DATA!#REF!,1,FALSE),"")</f>
        <v/>
      </c>
      <c r="D3220" s="16" t="str">
        <f>IFERROR(VLOOKUP(C3220,DATA!#REF!,2,FALSE),"")</f>
        <v/>
      </c>
    </row>
    <row r="3221" spans="3:4" s="230" customFormat="1">
      <c r="C3221" s="16" t="str">
        <f>IFERROR(VLOOKUP(DATA!#REF!,DATA!#REF!,1,FALSE),"")</f>
        <v/>
      </c>
      <c r="D3221" s="16" t="str">
        <f>IFERROR(VLOOKUP(C3221,DATA!#REF!,2,FALSE),"")</f>
        <v/>
      </c>
    </row>
    <row r="3222" spans="3:4" s="230" customFormat="1">
      <c r="C3222" s="16" t="str">
        <f>IFERROR(VLOOKUP(DATA!#REF!,DATA!#REF!,1,FALSE),"")</f>
        <v/>
      </c>
      <c r="D3222" s="16" t="str">
        <f>IFERROR(VLOOKUP(C3222,DATA!#REF!,2,FALSE),"")</f>
        <v/>
      </c>
    </row>
    <row r="3223" spans="3:4" s="230" customFormat="1">
      <c r="C3223" s="16" t="str">
        <f>IFERROR(VLOOKUP(DATA!#REF!,DATA!#REF!,1,FALSE),"")</f>
        <v/>
      </c>
      <c r="D3223" s="16" t="str">
        <f>IFERROR(VLOOKUP(C3223,DATA!#REF!,2,FALSE),"")</f>
        <v/>
      </c>
    </row>
    <row r="3224" spans="3:4" s="230" customFormat="1">
      <c r="C3224" s="16" t="str">
        <f>IFERROR(VLOOKUP(DATA!#REF!,DATA!#REF!,1,FALSE),"")</f>
        <v/>
      </c>
      <c r="D3224" s="16" t="str">
        <f>IFERROR(VLOOKUP(C3224,DATA!#REF!,2,FALSE),"")</f>
        <v/>
      </c>
    </row>
    <row r="3225" spans="3:4" s="230" customFormat="1">
      <c r="C3225" s="16" t="str">
        <f>IFERROR(VLOOKUP(DATA!#REF!,DATA!#REF!,1,FALSE),"")</f>
        <v/>
      </c>
      <c r="D3225" s="16" t="str">
        <f>IFERROR(VLOOKUP(C3225,DATA!#REF!,2,FALSE),"")</f>
        <v/>
      </c>
    </row>
    <row r="3226" spans="3:4" s="230" customFormat="1">
      <c r="C3226" s="16" t="str">
        <f>IFERROR(VLOOKUP(DATA!#REF!,DATA!#REF!,1,FALSE),"")</f>
        <v/>
      </c>
      <c r="D3226" s="16" t="str">
        <f>IFERROR(VLOOKUP(C3226,DATA!#REF!,2,FALSE),"")</f>
        <v/>
      </c>
    </row>
    <row r="3227" spans="3:4" s="230" customFormat="1">
      <c r="C3227" s="16" t="str">
        <f>IFERROR(VLOOKUP(DATA!#REF!,DATA!#REF!,1,FALSE),"")</f>
        <v/>
      </c>
      <c r="D3227" s="16" t="str">
        <f>IFERROR(VLOOKUP(C3227,DATA!#REF!,2,FALSE),"")</f>
        <v/>
      </c>
    </row>
    <row r="3228" spans="3:4" s="230" customFormat="1">
      <c r="C3228" s="16" t="str">
        <f>IFERROR(VLOOKUP(DATA!#REF!,DATA!#REF!,1,FALSE),"")</f>
        <v/>
      </c>
      <c r="D3228" s="16" t="str">
        <f>IFERROR(VLOOKUP(C3228,DATA!#REF!,2,FALSE),"")</f>
        <v/>
      </c>
    </row>
    <row r="3229" spans="3:4" s="230" customFormat="1">
      <c r="C3229" s="16" t="str">
        <f>IFERROR(VLOOKUP(DATA!#REF!,DATA!#REF!,1,FALSE),"")</f>
        <v/>
      </c>
      <c r="D3229" s="16" t="str">
        <f>IFERROR(VLOOKUP(C3229,DATA!#REF!,2,FALSE),"")</f>
        <v/>
      </c>
    </row>
    <row r="3230" spans="3:4" s="230" customFormat="1">
      <c r="C3230" s="16" t="str">
        <f>IFERROR(VLOOKUP(DATA!#REF!,DATA!#REF!,1,FALSE),"")</f>
        <v/>
      </c>
      <c r="D3230" s="16" t="str">
        <f>IFERROR(VLOOKUP(C3230,DATA!#REF!,2,FALSE),"")</f>
        <v/>
      </c>
    </row>
    <row r="3231" spans="3:4" s="230" customFormat="1">
      <c r="C3231" s="16" t="str">
        <f>IFERROR(VLOOKUP(DATA!#REF!,DATA!#REF!,1,FALSE),"")</f>
        <v/>
      </c>
      <c r="D3231" s="16" t="str">
        <f>IFERROR(VLOOKUP(C3231,DATA!#REF!,2,FALSE),"")</f>
        <v/>
      </c>
    </row>
    <row r="3232" spans="3:4" s="230" customFormat="1">
      <c r="C3232" s="16" t="str">
        <f>IFERROR(VLOOKUP(DATA!#REF!,DATA!#REF!,1,FALSE),"")</f>
        <v/>
      </c>
      <c r="D3232" s="16" t="str">
        <f>IFERROR(VLOOKUP(C3232,DATA!#REF!,2,FALSE),"")</f>
        <v/>
      </c>
    </row>
    <row r="3233" spans="3:4" s="230" customFormat="1">
      <c r="C3233" s="16" t="str">
        <f>IFERROR(VLOOKUP(DATA!#REF!,DATA!#REF!,1,FALSE),"")</f>
        <v/>
      </c>
      <c r="D3233" s="16" t="str">
        <f>IFERROR(VLOOKUP(C3233,DATA!#REF!,2,FALSE),"")</f>
        <v/>
      </c>
    </row>
    <row r="3234" spans="3:4" s="230" customFormat="1">
      <c r="C3234" s="16" t="str">
        <f>IFERROR(VLOOKUP(DATA!#REF!,DATA!#REF!,1,FALSE),"")</f>
        <v/>
      </c>
      <c r="D3234" s="16" t="str">
        <f>IFERROR(VLOOKUP(C3234,DATA!#REF!,2,FALSE),"")</f>
        <v/>
      </c>
    </row>
    <row r="3235" spans="3:4" s="230" customFormat="1">
      <c r="C3235" s="16" t="str">
        <f>IFERROR(VLOOKUP(DATA!#REF!,DATA!#REF!,1,FALSE),"")</f>
        <v/>
      </c>
      <c r="D3235" s="16" t="str">
        <f>IFERROR(VLOOKUP(C3235,DATA!#REF!,2,FALSE),"")</f>
        <v/>
      </c>
    </row>
    <row r="3236" spans="3:4" s="230" customFormat="1">
      <c r="C3236" s="16" t="str">
        <f>IFERROR(VLOOKUP(DATA!#REF!,DATA!#REF!,1,FALSE),"")</f>
        <v/>
      </c>
      <c r="D3236" s="16" t="str">
        <f>IFERROR(VLOOKUP(C3236,DATA!#REF!,2,FALSE),"")</f>
        <v/>
      </c>
    </row>
    <row r="3237" spans="3:4" s="230" customFormat="1">
      <c r="C3237" s="16" t="str">
        <f>IFERROR(VLOOKUP(DATA!#REF!,DATA!#REF!,1,FALSE),"")</f>
        <v/>
      </c>
      <c r="D3237" s="16" t="str">
        <f>IFERROR(VLOOKUP(C3237,DATA!#REF!,2,FALSE),"")</f>
        <v/>
      </c>
    </row>
    <row r="3238" spans="3:4" s="230" customFormat="1">
      <c r="C3238" s="16" t="str">
        <f>IFERROR(VLOOKUP(DATA!#REF!,DATA!#REF!,1,FALSE),"")</f>
        <v/>
      </c>
      <c r="D3238" s="16" t="str">
        <f>IFERROR(VLOOKUP(C3238,DATA!#REF!,2,FALSE),"")</f>
        <v/>
      </c>
    </row>
    <row r="3239" spans="3:4" s="230" customFormat="1">
      <c r="C3239" s="16" t="str">
        <f>IFERROR(VLOOKUP(DATA!#REF!,DATA!#REF!,1,FALSE),"")</f>
        <v/>
      </c>
      <c r="D3239" s="16" t="str">
        <f>IFERROR(VLOOKUP(C3239,DATA!#REF!,2,FALSE),"")</f>
        <v/>
      </c>
    </row>
    <row r="3240" spans="3:4" s="230" customFormat="1">
      <c r="C3240" s="16" t="str">
        <f>IFERROR(VLOOKUP(DATA!#REF!,DATA!#REF!,1,FALSE),"")</f>
        <v/>
      </c>
      <c r="D3240" s="16" t="str">
        <f>IFERROR(VLOOKUP(C3240,DATA!#REF!,2,FALSE),"")</f>
        <v/>
      </c>
    </row>
    <row r="3241" spans="3:4" s="230" customFormat="1">
      <c r="C3241" s="16" t="str">
        <f>IFERROR(VLOOKUP(DATA!#REF!,DATA!#REF!,1,FALSE),"")</f>
        <v/>
      </c>
      <c r="D3241" s="16" t="str">
        <f>IFERROR(VLOOKUP(C3241,DATA!#REF!,2,FALSE),"")</f>
        <v/>
      </c>
    </row>
    <row r="3242" spans="3:4" s="230" customFormat="1">
      <c r="C3242" s="16" t="str">
        <f>IFERROR(VLOOKUP(DATA!#REF!,DATA!#REF!,1,FALSE),"")</f>
        <v/>
      </c>
      <c r="D3242" s="16" t="str">
        <f>IFERROR(VLOOKUP(C3242,DATA!#REF!,2,FALSE),"")</f>
        <v/>
      </c>
    </row>
    <row r="3243" spans="3:4" s="230" customFormat="1">
      <c r="C3243" s="16" t="str">
        <f>IFERROR(VLOOKUP(DATA!#REF!,DATA!#REF!,1,FALSE),"")</f>
        <v/>
      </c>
      <c r="D3243" s="16" t="str">
        <f>IFERROR(VLOOKUP(C3243,DATA!#REF!,2,FALSE),"")</f>
        <v/>
      </c>
    </row>
    <row r="3244" spans="3:4" s="230" customFormat="1">
      <c r="C3244" s="16" t="str">
        <f>IFERROR(VLOOKUP(DATA!#REF!,DATA!#REF!,1,FALSE),"")</f>
        <v/>
      </c>
      <c r="D3244" s="16" t="str">
        <f>IFERROR(VLOOKUP(C3244,DATA!#REF!,2,FALSE),"")</f>
        <v/>
      </c>
    </row>
    <row r="3245" spans="3:4" s="230" customFormat="1">
      <c r="C3245" s="16" t="str">
        <f>IFERROR(VLOOKUP(DATA!#REF!,DATA!#REF!,1,FALSE),"")</f>
        <v/>
      </c>
      <c r="D3245" s="16" t="str">
        <f>IFERROR(VLOOKUP(C3245,DATA!#REF!,2,FALSE),"")</f>
        <v/>
      </c>
    </row>
    <row r="3246" spans="3:4" s="230" customFormat="1">
      <c r="C3246" s="16" t="str">
        <f>IFERROR(VLOOKUP(DATA!#REF!,DATA!#REF!,1,FALSE),"")</f>
        <v/>
      </c>
      <c r="D3246" s="16" t="str">
        <f>IFERROR(VLOOKUP(C3246,DATA!#REF!,2,FALSE),"")</f>
        <v/>
      </c>
    </row>
    <row r="3247" spans="3:4" s="230" customFormat="1">
      <c r="C3247" s="16" t="str">
        <f>IFERROR(VLOOKUP(DATA!#REF!,DATA!#REF!,1,FALSE),"")</f>
        <v/>
      </c>
      <c r="D3247" s="16" t="str">
        <f>IFERROR(VLOOKUP(C3247,DATA!#REF!,2,FALSE),"")</f>
        <v/>
      </c>
    </row>
    <row r="3248" spans="3:4" s="230" customFormat="1">
      <c r="C3248" s="16" t="str">
        <f>IFERROR(VLOOKUP(DATA!#REF!,DATA!#REF!,1,FALSE),"")</f>
        <v/>
      </c>
      <c r="D3248" s="16" t="str">
        <f>IFERROR(VLOOKUP(C3248,DATA!#REF!,2,FALSE),"")</f>
        <v/>
      </c>
    </row>
    <row r="3249" spans="3:4" s="230" customFormat="1">
      <c r="C3249" s="16" t="str">
        <f>IFERROR(VLOOKUP(DATA!#REF!,DATA!#REF!,1,FALSE),"")</f>
        <v/>
      </c>
      <c r="D3249" s="16" t="str">
        <f>IFERROR(VLOOKUP(C3249,DATA!#REF!,2,FALSE),"")</f>
        <v/>
      </c>
    </row>
    <row r="3250" spans="3:4" s="230" customFormat="1">
      <c r="C3250" s="16" t="str">
        <f>IFERROR(VLOOKUP(DATA!#REF!,DATA!#REF!,1,FALSE),"")</f>
        <v/>
      </c>
      <c r="D3250" s="16" t="str">
        <f>IFERROR(VLOOKUP(C3250,DATA!#REF!,2,FALSE),"")</f>
        <v/>
      </c>
    </row>
    <row r="3251" spans="3:4" s="230" customFormat="1">
      <c r="C3251" s="16" t="str">
        <f>IFERROR(VLOOKUP(DATA!#REF!,DATA!#REF!,1,FALSE),"")</f>
        <v/>
      </c>
      <c r="D3251" s="16" t="str">
        <f>IFERROR(VLOOKUP(C3251,DATA!#REF!,2,FALSE),"")</f>
        <v/>
      </c>
    </row>
    <row r="3252" spans="3:4" s="230" customFormat="1">
      <c r="C3252" s="16" t="str">
        <f>IFERROR(VLOOKUP(DATA!#REF!,DATA!#REF!,1,FALSE),"")</f>
        <v/>
      </c>
      <c r="D3252" s="16" t="str">
        <f>IFERROR(VLOOKUP(C3252,DATA!#REF!,2,FALSE),"")</f>
        <v/>
      </c>
    </row>
    <row r="3253" spans="3:4" s="230" customFormat="1">
      <c r="C3253" s="16" t="str">
        <f>IFERROR(VLOOKUP(DATA!#REF!,DATA!#REF!,1,FALSE),"")</f>
        <v/>
      </c>
      <c r="D3253" s="16" t="str">
        <f>IFERROR(VLOOKUP(C3253,DATA!#REF!,2,FALSE),"")</f>
        <v/>
      </c>
    </row>
    <row r="3254" spans="3:4" s="230" customFormat="1">
      <c r="C3254" s="16" t="str">
        <f>IFERROR(VLOOKUP(DATA!#REF!,DATA!#REF!,1,FALSE),"")</f>
        <v/>
      </c>
      <c r="D3254" s="16" t="str">
        <f>IFERROR(VLOOKUP(C3254,DATA!#REF!,2,FALSE),"")</f>
        <v/>
      </c>
    </row>
    <row r="3255" spans="3:4" s="230" customFormat="1">
      <c r="C3255" s="16" t="str">
        <f>IFERROR(VLOOKUP(DATA!#REF!,DATA!#REF!,1,FALSE),"")</f>
        <v/>
      </c>
      <c r="D3255" s="16" t="str">
        <f>IFERROR(VLOOKUP(C3255,DATA!#REF!,2,FALSE),"")</f>
        <v/>
      </c>
    </row>
    <row r="3256" spans="3:4" s="230" customFormat="1">
      <c r="C3256" s="16" t="str">
        <f>IFERROR(VLOOKUP(DATA!#REF!,DATA!#REF!,1,FALSE),"")</f>
        <v/>
      </c>
      <c r="D3256" s="16" t="str">
        <f>IFERROR(VLOOKUP(C3256,DATA!#REF!,2,FALSE),"")</f>
        <v/>
      </c>
    </row>
    <row r="3257" spans="3:4" s="230" customFormat="1">
      <c r="C3257" s="16" t="str">
        <f>IFERROR(VLOOKUP(DATA!#REF!,DATA!#REF!,1,FALSE),"")</f>
        <v/>
      </c>
      <c r="D3257" s="16" t="str">
        <f>IFERROR(VLOOKUP(C3257,DATA!#REF!,2,FALSE),"")</f>
        <v/>
      </c>
    </row>
    <row r="3258" spans="3:4" s="230" customFormat="1">
      <c r="C3258" s="16" t="str">
        <f>IFERROR(VLOOKUP(DATA!#REF!,DATA!#REF!,1,FALSE),"")</f>
        <v/>
      </c>
      <c r="D3258" s="16" t="str">
        <f>IFERROR(VLOOKUP(C3258,DATA!#REF!,2,FALSE),"")</f>
        <v/>
      </c>
    </row>
    <row r="3259" spans="3:4" s="230" customFormat="1">
      <c r="C3259" s="16" t="str">
        <f>IFERROR(VLOOKUP(DATA!#REF!,DATA!#REF!,1,FALSE),"")</f>
        <v/>
      </c>
      <c r="D3259" s="16" t="str">
        <f>IFERROR(VLOOKUP(C3259,DATA!#REF!,2,FALSE),"")</f>
        <v/>
      </c>
    </row>
    <row r="3260" spans="3:4" s="230" customFormat="1">
      <c r="C3260" s="16" t="str">
        <f>IFERROR(VLOOKUP(DATA!#REF!,DATA!#REF!,1,FALSE),"")</f>
        <v/>
      </c>
      <c r="D3260" s="16" t="str">
        <f>IFERROR(VLOOKUP(C3260,DATA!#REF!,2,FALSE),"")</f>
        <v/>
      </c>
    </row>
    <row r="3261" spans="3:4" s="230" customFormat="1">
      <c r="C3261" s="16" t="str">
        <f>IFERROR(VLOOKUP(DATA!#REF!,DATA!#REF!,1,FALSE),"")</f>
        <v/>
      </c>
      <c r="D3261" s="16" t="str">
        <f>IFERROR(VLOOKUP(C3261,DATA!#REF!,2,FALSE),"")</f>
        <v/>
      </c>
    </row>
    <row r="3262" spans="3:4" s="230" customFormat="1">
      <c r="C3262" s="16" t="str">
        <f>IFERROR(VLOOKUP(DATA!#REF!,DATA!#REF!,1,FALSE),"")</f>
        <v/>
      </c>
      <c r="D3262" s="16" t="str">
        <f>IFERROR(VLOOKUP(C3262,DATA!#REF!,2,FALSE),"")</f>
        <v/>
      </c>
    </row>
    <row r="3263" spans="3:4" s="230" customFormat="1">
      <c r="C3263" s="16" t="str">
        <f>IFERROR(VLOOKUP(DATA!#REF!,DATA!#REF!,1,FALSE),"")</f>
        <v/>
      </c>
      <c r="D3263" s="16" t="str">
        <f>IFERROR(VLOOKUP(C3263,DATA!#REF!,2,FALSE),"")</f>
        <v/>
      </c>
    </row>
    <row r="3264" spans="3:4" s="230" customFormat="1">
      <c r="C3264" s="16" t="str">
        <f>IFERROR(VLOOKUP(DATA!#REF!,DATA!#REF!,1,FALSE),"")</f>
        <v/>
      </c>
      <c r="D3264" s="16" t="str">
        <f>IFERROR(VLOOKUP(C3264,DATA!#REF!,2,FALSE),"")</f>
        <v/>
      </c>
    </row>
    <row r="3265" spans="3:4" s="230" customFormat="1">
      <c r="C3265" s="16" t="str">
        <f>IFERROR(VLOOKUP(DATA!#REF!,DATA!#REF!,1,FALSE),"")</f>
        <v/>
      </c>
      <c r="D3265" s="16" t="str">
        <f>IFERROR(VLOOKUP(C3265,DATA!#REF!,2,FALSE),"")</f>
        <v/>
      </c>
    </row>
    <row r="3266" spans="3:4" s="230" customFormat="1">
      <c r="C3266" s="16" t="str">
        <f>IFERROR(VLOOKUP(DATA!#REF!,DATA!#REF!,1,FALSE),"")</f>
        <v/>
      </c>
      <c r="D3266" s="16" t="str">
        <f>IFERROR(VLOOKUP(C3266,DATA!#REF!,2,FALSE),"")</f>
        <v/>
      </c>
    </row>
    <row r="3267" spans="3:4" s="230" customFormat="1">
      <c r="C3267" s="16" t="str">
        <f>IFERROR(VLOOKUP(DATA!#REF!,DATA!#REF!,1,FALSE),"")</f>
        <v/>
      </c>
      <c r="D3267" s="16" t="str">
        <f>IFERROR(VLOOKUP(C3267,DATA!#REF!,2,FALSE),"")</f>
        <v/>
      </c>
    </row>
    <row r="3268" spans="3:4" s="230" customFormat="1">
      <c r="C3268" s="16" t="str">
        <f>IFERROR(VLOOKUP(DATA!#REF!,DATA!#REF!,1,FALSE),"")</f>
        <v/>
      </c>
      <c r="D3268" s="16" t="str">
        <f>IFERROR(VLOOKUP(C3268,DATA!#REF!,2,FALSE),"")</f>
        <v/>
      </c>
    </row>
    <row r="3269" spans="3:4" s="230" customFormat="1">
      <c r="C3269" s="16" t="str">
        <f>IFERROR(VLOOKUP(DATA!#REF!,DATA!#REF!,1,FALSE),"")</f>
        <v/>
      </c>
      <c r="D3269" s="16" t="str">
        <f>IFERROR(VLOOKUP(C3269,DATA!#REF!,2,FALSE),"")</f>
        <v/>
      </c>
    </row>
    <row r="3270" spans="3:4" s="230" customFormat="1">
      <c r="C3270" s="16" t="str">
        <f>IFERROR(VLOOKUP(DATA!#REF!,DATA!#REF!,1,FALSE),"")</f>
        <v/>
      </c>
      <c r="D3270" s="16" t="str">
        <f>IFERROR(VLOOKUP(C3270,DATA!#REF!,2,FALSE),"")</f>
        <v/>
      </c>
    </row>
    <row r="3271" spans="3:4" s="230" customFormat="1">
      <c r="C3271" s="16" t="str">
        <f>IFERROR(VLOOKUP(DATA!#REF!,DATA!#REF!,1,FALSE),"")</f>
        <v/>
      </c>
      <c r="D3271" s="16" t="str">
        <f>IFERROR(VLOOKUP(C3271,DATA!#REF!,2,FALSE),"")</f>
        <v/>
      </c>
    </row>
    <row r="3272" spans="3:4" s="230" customFormat="1">
      <c r="C3272" s="16" t="str">
        <f>IFERROR(VLOOKUP(DATA!#REF!,DATA!#REF!,1,FALSE),"")</f>
        <v/>
      </c>
      <c r="D3272" s="16" t="str">
        <f>IFERROR(VLOOKUP(C3272,DATA!#REF!,2,FALSE),"")</f>
        <v/>
      </c>
    </row>
    <row r="3273" spans="3:4" s="230" customFormat="1">
      <c r="C3273" s="16" t="str">
        <f>IFERROR(VLOOKUP(DATA!#REF!,DATA!#REF!,1,FALSE),"")</f>
        <v/>
      </c>
      <c r="D3273" s="16" t="str">
        <f>IFERROR(VLOOKUP(C3273,DATA!#REF!,2,FALSE),"")</f>
        <v/>
      </c>
    </row>
    <row r="3274" spans="3:4" s="230" customFormat="1">
      <c r="C3274" s="16" t="str">
        <f>IFERROR(VLOOKUP(DATA!#REF!,DATA!#REF!,1,FALSE),"")</f>
        <v/>
      </c>
      <c r="D3274" s="16" t="str">
        <f>IFERROR(VLOOKUP(C3274,DATA!#REF!,2,FALSE),"")</f>
        <v/>
      </c>
    </row>
    <row r="3275" spans="3:4" s="230" customFormat="1">
      <c r="C3275" s="16" t="str">
        <f>IFERROR(VLOOKUP(DATA!#REF!,DATA!#REF!,1,FALSE),"")</f>
        <v/>
      </c>
      <c r="D3275" s="16" t="str">
        <f>IFERROR(VLOOKUP(C3275,DATA!#REF!,2,FALSE),"")</f>
        <v/>
      </c>
    </row>
    <row r="3276" spans="3:4" s="230" customFormat="1">
      <c r="C3276" s="16" t="str">
        <f>IFERROR(VLOOKUP(DATA!#REF!,DATA!#REF!,1,FALSE),"")</f>
        <v/>
      </c>
      <c r="D3276" s="16" t="str">
        <f>IFERROR(VLOOKUP(C3276,DATA!#REF!,2,FALSE),"")</f>
        <v/>
      </c>
    </row>
    <row r="3277" spans="3:4" s="230" customFormat="1">
      <c r="C3277" s="16" t="str">
        <f>IFERROR(VLOOKUP(DATA!#REF!,DATA!#REF!,1,FALSE),"")</f>
        <v/>
      </c>
      <c r="D3277" s="16" t="str">
        <f>IFERROR(VLOOKUP(C3277,DATA!#REF!,2,FALSE),"")</f>
        <v/>
      </c>
    </row>
    <row r="3278" spans="3:4" s="230" customFormat="1">
      <c r="C3278" s="16" t="str">
        <f>IFERROR(VLOOKUP(DATA!#REF!,DATA!#REF!,1,FALSE),"")</f>
        <v/>
      </c>
      <c r="D3278" s="16" t="str">
        <f>IFERROR(VLOOKUP(C3278,DATA!#REF!,2,FALSE),"")</f>
        <v/>
      </c>
    </row>
    <row r="3279" spans="3:4" s="230" customFormat="1">
      <c r="C3279" s="16" t="str">
        <f>IFERROR(VLOOKUP(DATA!#REF!,DATA!#REF!,1,FALSE),"")</f>
        <v/>
      </c>
      <c r="D3279" s="16" t="str">
        <f>IFERROR(VLOOKUP(C3279,DATA!#REF!,2,FALSE),"")</f>
        <v/>
      </c>
    </row>
    <row r="3280" spans="3:4" s="230" customFormat="1">
      <c r="C3280" s="16" t="str">
        <f>IFERROR(VLOOKUP(DATA!#REF!,DATA!#REF!,1,FALSE),"")</f>
        <v/>
      </c>
      <c r="D3280" s="16" t="str">
        <f>IFERROR(VLOOKUP(C3280,DATA!#REF!,2,FALSE),"")</f>
        <v/>
      </c>
    </row>
    <row r="3281" spans="3:4" s="230" customFormat="1">
      <c r="C3281" s="16" t="str">
        <f>IFERROR(VLOOKUP(DATA!#REF!,DATA!#REF!,1,FALSE),"")</f>
        <v/>
      </c>
      <c r="D3281" s="16" t="str">
        <f>IFERROR(VLOOKUP(C3281,DATA!#REF!,2,FALSE),"")</f>
        <v/>
      </c>
    </row>
    <row r="3282" spans="3:4" s="230" customFormat="1">
      <c r="C3282" s="16" t="str">
        <f>IFERROR(VLOOKUP(DATA!#REF!,DATA!#REF!,1,FALSE),"")</f>
        <v/>
      </c>
      <c r="D3282" s="16" t="str">
        <f>IFERROR(VLOOKUP(C3282,DATA!#REF!,2,FALSE),"")</f>
        <v/>
      </c>
    </row>
    <row r="3283" spans="3:4" s="230" customFormat="1">
      <c r="C3283" s="16" t="str">
        <f>IFERROR(VLOOKUP(DATA!#REF!,DATA!#REF!,1,FALSE),"")</f>
        <v/>
      </c>
      <c r="D3283" s="16" t="str">
        <f>IFERROR(VLOOKUP(C3283,DATA!#REF!,2,FALSE),"")</f>
        <v/>
      </c>
    </row>
    <row r="3284" spans="3:4" s="230" customFormat="1">
      <c r="C3284" s="16" t="str">
        <f>IFERROR(VLOOKUP(DATA!#REF!,DATA!#REF!,1,FALSE),"")</f>
        <v/>
      </c>
      <c r="D3284" s="16" t="str">
        <f>IFERROR(VLOOKUP(C3284,DATA!#REF!,2,FALSE),"")</f>
        <v/>
      </c>
    </row>
    <row r="3285" spans="3:4" s="230" customFormat="1">
      <c r="C3285" s="16" t="str">
        <f>IFERROR(VLOOKUP(DATA!#REF!,DATA!#REF!,1,FALSE),"")</f>
        <v/>
      </c>
      <c r="D3285" s="16" t="str">
        <f>IFERROR(VLOOKUP(C3285,DATA!#REF!,2,FALSE),"")</f>
        <v/>
      </c>
    </row>
    <row r="3286" spans="3:4" s="230" customFormat="1">
      <c r="C3286" s="16" t="str">
        <f>IFERROR(VLOOKUP(DATA!#REF!,DATA!#REF!,1,FALSE),"")</f>
        <v/>
      </c>
      <c r="D3286" s="16" t="str">
        <f>IFERROR(VLOOKUP(C3286,DATA!#REF!,2,FALSE),"")</f>
        <v/>
      </c>
    </row>
    <row r="3287" spans="3:4" s="230" customFormat="1">
      <c r="C3287" s="16" t="str">
        <f>IFERROR(VLOOKUP(DATA!#REF!,DATA!#REF!,1,FALSE),"")</f>
        <v/>
      </c>
      <c r="D3287" s="16" t="str">
        <f>IFERROR(VLOOKUP(C3287,DATA!#REF!,2,FALSE),"")</f>
        <v/>
      </c>
    </row>
    <row r="3288" spans="3:4" s="230" customFormat="1">
      <c r="C3288" s="16" t="str">
        <f>IFERROR(VLOOKUP(DATA!#REF!,DATA!#REF!,1,FALSE),"")</f>
        <v/>
      </c>
      <c r="D3288" s="16" t="str">
        <f>IFERROR(VLOOKUP(C3288,DATA!#REF!,2,FALSE),"")</f>
        <v/>
      </c>
    </row>
    <row r="3289" spans="3:4" s="230" customFormat="1">
      <c r="C3289" s="16" t="str">
        <f>IFERROR(VLOOKUP(DATA!#REF!,DATA!#REF!,1,FALSE),"")</f>
        <v/>
      </c>
      <c r="D3289" s="16" t="str">
        <f>IFERROR(VLOOKUP(C3289,DATA!#REF!,2,FALSE),"")</f>
        <v/>
      </c>
    </row>
    <row r="3290" spans="3:4" s="230" customFormat="1">
      <c r="C3290" s="16" t="str">
        <f>IFERROR(VLOOKUP(DATA!#REF!,DATA!#REF!,1,FALSE),"")</f>
        <v/>
      </c>
      <c r="D3290" s="16" t="str">
        <f>IFERROR(VLOOKUP(C3290,DATA!#REF!,2,FALSE),"")</f>
        <v/>
      </c>
    </row>
    <row r="3291" spans="3:4" s="230" customFormat="1">
      <c r="C3291" s="16" t="str">
        <f>IFERROR(VLOOKUP(DATA!#REF!,DATA!#REF!,1,FALSE),"")</f>
        <v/>
      </c>
      <c r="D3291" s="16" t="str">
        <f>IFERROR(VLOOKUP(C3291,DATA!#REF!,2,FALSE),"")</f>
        <v/>
      </c>
    </row>
    <row r="3292" spans="3:4" s="230" customFormat="1">
      <c r="C3292" s="16" t="str">
        <f>IFERROR(VLOOKUP(DATA!#REF!,DATA!#REF!,1,FALSE),"")</f>
        <v/>
      </c>
      <c r="D3292" s="16" t="str">
        <f>IFERROR(VLOOKUP(C3292,DATA!#REF!,2,FALSE),"")</f>
        <v/>
      </c>
    </row>
    <row r="3293" spans="3:4" s="230" customFormat="1">
      <c r="C3293" s="16" t="str">
        <f>IFERROR(VLOOKUP(DATA!#REF!,DATA!#REF!,1,FALSE),"")</f>
        <v/>
      </c>
      <c r="D3293" s="16" t="str">
        <f>IFERROR(VLOOKUP(C3293,DATA!#REF!,2,FALSE),"")</f>
        <v/>
      </c>
    </row>
    <row r="3294" spans="3:4" s="230" customFormat="1">
      <c r="C3294" s="16" t="str">
        <f>IFERROR(VLOOKUP(DATA!#REF!,DATA!#REF!,1,FALSE),"")</f>
        <v/>
      </c>
      <c r="D3294" s="16" t="str">
        <f>IFERROR(VLOOKUP(C3294,DATA!#REF!,2,FALSE),"")</f>
        <v/>
      </c>
    </row>
    <row r="3295" spans="3:4" s="230" customFormat="1">
      <c r="C3295" s="16" t="str">
        <f>IFERROR(VLOOKUP(DATA!#REF!,DATA!#REF!,1,FALSE),"")</f>
        <v/>
      </c>
      <c r="D3295" s="16" t="str">
        <f>IFERROR(VLOOKUP(C3295,DATA!#REF!,2,FALSE),"")</f>
        <v/>
      </c>
    </row>
    <row r="3296" spans="3:4" s="230" customFormat="1">
      <c r="C3296" s="16" t="str">
        <f>IFERROR(VLOOKUP(DATA!#REF!,DATA!#REF!,1,FALSE),"")</f>
        <v/>
      </c>
      <c r="D3296" s="16" t="str">
        <f>IFERROR(VLOOKUP(C3296,DATA!#REF!,2,FALSE),"")</f>
        <v/>
      </c>
    </row>
    <row r="3297" spans="3:4" s="230" customFormat="1">
      <c r="C3297" s="16" t="str">
        <f>IFERROR(VLOOKUP(DATA!#REF!,DATA!#REF!,1,FALSE),"")</f>
        <v/>
      </c>
      <c r="D3297" s="16" t="str">
        <f>IFERROR(VLOOKUP(C3297,DATA!#REF!,2,FALSE),"")</f>
        <v/>
      </c>
    </row>
    <row r="3298" spans="3:4" s="230" customFormat="1">
      <c r="C3298" s="16" t="str">
        <f>IFERROR(VLOOKUP(DATA!#REF!,DATA!#REF!,1,FALSE),"")</f>
        <v/>
      </c>
      <c r="D3298" s="16" t="str">
        <f>IFERROR(VLOOKUP(C3298,DATA!#REF!,2,FALSE),"")</f>
        <v/>
      </c>
    </row>
    <row r="3299" spans="3:4" s="230" customFormat="1">
      <c r="C3299" s="16" t="str">
        <f>IFERROR(VLOOKUP(DATA!#REF!,DATA!#REF!,1,FALSE),"")</f>
        <v/>
      </c>
      <c r="D3299" s="16" t="str">
        <f>IFERROR(VLOOKUP(C3299,DATA!#REF!,2,FALSE),"")</f>
        <v/>
      </c>
    </row>
    <row r="3300" spans="3:4" s="230" customFormat="1">
      <c r="C3300" s="16" t="str">
        <f>IFERROR(VLOOKUP(DATA!#REF!,DATA!#REF!,1,FALSE),"")</f>
        <v/>
      </c>
      <c r="D3300" s="16" t="str">
        <f>IFERROR(VLOOKUP(C3300,DATA!#REF!,2,FALSE),"")</f>
        <v/>
      </c>
    </row>
    <row r="3301" spans="3:4" s="230" customFormat="1">
      <c r="C3301" s="16" t="str">
        <f>IFERROR(VLOOKUP(DATA!#REF!,DATA!#REF!,1,FALSE),"")</f>
        <v/>
      </c>
      <c r="D3301" s="16" t="str">
        <f>IFERROR(VLOOKUP(C3301,DATA!#REF!,2,FALSE),"")</f>
        <v/>
      </c>
    </row>
    <row r="3302" spans="3:4" s="230" customFormat="1">
      <c r="C3302" s="16" t="str">
        <f>IFERROR(VLOOKUP(DATA!#REF!,DATA!#REF!,1,FALSE),"")</f>
        <v/>
      </c>
      <c r="D3302" s="16" t="str">
        <f>IFERROR(VLOOKUP(C3302,DATA!#REF!,2,FALSE),"")</f>
        <v/>
      </c>
    </row>
    <row r="3303" spans="3:4" s="230" customFormat="1">
      <c r="C3303" s="16" t="str">
        <f>IFERROR(VLOOKUP(DATA!#REF!,DATA!#REF!,1,FALSE),"")</f>
        <v/>
      </c>
      <c r="D3303" s="16" t="str">
        <f>IFERROR(VLOOKUP(C3303,DATA!#REF!,2,FALSE),"")</f>
        <v/>
      </c>
    </row>
    <row r="3304" spans="3:4" s="230" customFormat="1">
      <c r="C3304" s="16" t="str">
        <f>IFERROR(VLOOKUP(DATA!#REF!,DATA!#REF!,1,FALSE),"")</f>
        <v/>
      </c>
      <c r="D3304" s="16" t="str">
        <f>IFERROR(VLOOKUP(C3304,DATA!#REF!,2,FALSE),"")</f>
        <v/>
      </c>
    </row>
    <row r="3305" spans="3:4" s="230" customFormat="1">
      <c r="C3305" s="16" t="str">
        <f>IFERROR(VLOOKUP(DATA!#REF!,DATA!#REF!,1,FALSE),"")</f>
        <v/>
      </c>
      <c r="D3305" s="16" t="str">
        <f>IFERROR(VLOOKUP(C3305,DATA!#REF!,2,FALSE),"")</f>
        <v/>
      </c>
    </row>
    <row r="3306" spans="3:4" s="230" customFormat="1">
      <c r="C3306" s="16" t="str">
        <f>IFERROR(VLOOKUP(DATA!#REF!,DATA!#REF!,1,FALSE),"")</f>
        <v/>
      </c>
      <c r="D3306" s="16" t="str">
        <f>IFERROR(VLOOKUP(C3306,DATA!#REF!,2,FALSE),"")</f>
        <v/>
      </c>
    </row>
    <row r="3307" spans="3:4" s="230" customFormat="1">
      <c r="C3307" s="16" t="str">
        <f>IFERROR(VLOOKUP(DATA!#REF!,DATA!#REF!,1,FALSE),"")</f>
        <v/>
      </c>
      <c r="D3307" s="16" t="str">
        <f>IFERROR(VLOOKUP(C3307,DATA!#REF!,2,FALSE),"")</f>
        <v/>
      </c>
    </row>
    <row r="3308" spans="3:4" s="230" customFormat="1">
      <c r="C3308" s="16" t="str">
        <f>IFERROR(VLOOKUP(DATA!#REF!,DATA!#REF!,1,FALSE),"")</f>
        <v/>
      </c>
      <c r="D3308" s="16" t="str">
        <f>IFERROR(VLOOKUP(C3308,DATA!#REF!,2,FALSE),"")</f>
        <v/>
      </c>
    </row>
    <row r="3309" spans="3:4" s="230" customFormat="1">
      <c r="C3309" s="16" t="str">
        <f>IFERROR(VLOOKUP(DATA!#REF!,DATA!#REF!,1,FALSE),"")</f>
        <v/>
      </c>
      <c r="D3309" s="16" t="str">
        <f>IFERROR(VLOOKUP(C3309,DATA!#REF!,2,FALSE),"")</f>
        <v/>
      </c>
    </row>
    <row r="3310" spans="3:4" s="230" customFormat="1">
      <c r="C3310" s="16" t="str">
        <f>IFERROR(VLOOKUP(DATA!#REF!,DATA!#REF!,1,FALSE),"")</f>
        <v/>
      </c>
      <c r="D3310" s="16" t="str">
        <f>IFERROR(VLOOKUP(C3310,DATA!#REF!,2,FALSE),"")</f>
        <v/>
      </c>
    </row>
    <row r="3311" spans="3:4" s="230" customFormat="1">
      <c r="C3311" s="16" t="str">
        <f>IFERROR(VLOOKUP(DATA!#REF!,DATA!#REF!,1,FALSE),"")</f>
        <v/>
      </c>
      <c r="D3311" s="16" t="str">
        <f>IFERROR(VLOOKUP(C3311,DATA!#REF!,2,FALSE),"")</f>
        <v/>
      </c>
    </row>
    <row r="3312" spans="3:4" s="230" customFormat="1">
      <c r="C3312" s="16" t="str">
        <f>IFERROR(VLOOKUP(DATA!#REF!,DATA!#REF!,1,FALSE),"")</f>
        <v/>
      </c>
      <c r="D3312" s="16" t="str">
        <f>IFERROR(VLOOKUP(C3312,DATA!#REF!,2,FALSE),"")</f>
        <v/>
      </c>
    </row>
    <row r="3313" spans="3:4" s="230" customFormat="1">
      <c r="C3313" s="16" t="str">
        <f>IFERROR(VLOOKUP(DATA!#REF!,DATA!#REF!,1,FALSE),"")</f>
        <v/>
      </c>
      <c r="D3313" s="16" t="str">
        <f>IFERROR(VLOOKUP(C3313,DATA!#REF!,2,FALSE),"")</f>
        <v/>
      </c>
    </row>
    <row r="3314" spans="3:4" s="230" customFormat="1">
      <c r="C3314" s="16" t="str">
        <f>IFERROR(VLOOKUP(DATA!#REF!,DATA!#REF!,1,FALSE),"")</f>
        <v/>
      </c>
      <c r="D3314" s="16" t="str">
        <f>IFERROR(VLOOKUP(C3314,DATA!#REF!,2,FALSE),"")</f>
        <v/>
      </c>
    </row>
    <row r="3315" spans="3:4" s="230" customFormat="1">
      <c r="C3315" s="16" t="str">
        <f>IFERROR(VLOOKUP(DATA!#REF!,DATA!#REF!,1,FALSE),"")</f>
        <v/>
      </c>
      <c r="D3315" s="16" t="str">
        <f>IFERROR(VLOOKUP(C3315,DATA!#REF!,2,FALSE),"")</f>
        <v/>
      </c>
    </row>
    <row r="3316" spans="3:4" s="230" customFormat="1">
      <c r="C3316" s="16" t="str">
        <f>IFERROR(VLOOKUP(DATA!#REF!,DATA!#REF!,1,FALSE),"")</f>
        <v/>
      </c>
      <c r="D3316" s="16" t="str">
        <f>IFERROR(VLOOKUP(C3316,DATA!#REF!,2,FALSE),"")</f>
        <v/>
      </c>
    </row>
    <row r="3317" spans="3:4" s="230" customFormat="1">
      <c r="C3317" s="16" t="str">
        <f>IFERROR(VLOOKUP(DATA!#REF!,DATA!#REF!,1,FALSE),"")</f>
        <v/>
      </c>
      <c r="D3317" s="16" t="str">
        <f>IFERROR(VLOOKUP(C3317,DATA!#REF!,2,FALSE),"")</f>
        <v/>
      </c>
    </row>
    <row r="3318" spans="3:4" s="230" customFormat="1">
      <c r="C3318" s="16" t="str">
        <f>IFERROR(VLOOKUP(DATA!#REF!,DATA!#REF!,1,FALSE),"")</f>
        <v/>
      </c>
      <c r="D3318" s="16" t="str">
        <f>IFERROR(VLOOKUP(C3318,DATA!#REF!,2,FALSE),"")</f>
        <v/>
      </c>
    </row>
    <row r="3319" spans="3:4" s="230" customFormat="1">
      <c r="C3319" s="16" t="str">
        <f>IFERROR(VLOOKUP(DATA!#REF!,DATA!#REF!,1,FALSE),"")</f>
        <v/>
      </c>
      <c r="D3319" s="16" t="str">
        <f>IFERROR(VLOOKUP(C3319,DATA!#REF!,2,FALSE),"")</f>
        <v/>
      </c>
    </row>
    <row r="3320" spans="3:4" s="230" customFormat="1">
      <c r="C3320" s="16" t="str">
        <f>IFERROR(VLOOKUP(DATA!#REF!,DATA!#REF!,1,FALSE),"")</f>
        <v/>
      </c>
      <c r="D3320" s="16" t="str">
        <f>IFERROR(VLOOKUP(C3320,DATA!#REF!,2,FALSE),"")</f>
        <v/>
      </c>
    </row>
    <row r="3321" spans="3:4" s="230" customFormat="1">
      <c r="C3321" s="16" t="str">
        <f>IFERROR(VLOOKUP(DATA!#REF!,DATA!#REF!,1,FALSE),"")</f>
        <v/>
      </c>
      <c r="D3321" s="16" t="str">
        <f>IFERROR(VLOOKUP(C3321,DATA!#REF!,2,FALSE),"")</f>
        <v/>
      </c>
    </row>
    <row r="3322" spans="3:4" s="230" customFormat="1">
      <c r="C3322" s="16" t="str">
        <f>IFERROR(VLOOKUP(DATA!#REF!,DATA!#REF!,1,FALSE),"")</f>
        <v/>
      </c>
      <c r="D3322" s="16" t="str">
        <f>IFERROR(VLOOKUP(C3322,DATA!#REF!,2,FALSE),"")</f>
        <v/>
      </c>
    </row>
    <row r="3323" spans="3:4" s="230" customFormat="1">
      <c r="C3323" s="16" t="str">
        <f>IFERROR(VLOOKUP(DATA!#REF!,DATA!#REF!,1,FALSE),"")</f>
        <v/>
      </c>
      <c r="D3323" s="16" t="str">
        <f>IFERROR(VLOOKUP(C3323,DATA!#REF!,2,FALSE),"")</f>
        <v/>
      </c>
    </row>
    <row r="3324" spans="3:4" s="230" customFormat="1">
      <c r="C3324" s="16" t="str">
        <f>IFERROR(VLOOKUP(DATA!#REF!,DATA!#REF!,1,FALSE),"")</f>
        <v/>
      </c>
      <c r="D3324" s="16" t="str">
        <f>IFERROR(VLOOKUP(C3324,DATA!#REF!,2,FALSE),"")</f>
        <v/>
      </c>
    </row>
    <row r="3325" spans="3:4" s="230" customFormat="1">
      <c r="C3325" s="16" t="str">
        <f>IFERROR(VLOOKUP(DATA!#REF!,DATA!#REF!,1,FALSE),"")</f>
        <v/>
      </c>
      <c r="D3325" s="16" t="str">
        <f>IFERROR(VLOOKUP(C3325,DATA!#REF!,2,FALSE),"")</f>
        <v/>
      </c>
    </row>
    <row r="3326" spans="3:4" s="230" customFormat="1">
      <c r="C3326" s="16" t="str">
        <f>IFERROR(VLOOKUP(DATA!#REF!,DATA!#REF!,1,FALSE),"")</f>
        <v/>
      </c>
      <c r="D3326" s="16" t="str">
        <f>IFERROR(VLOOKUP(C3326,DATA!#REF!,2,FALSE),"")</f>
        <v/>
      </c>
    </row>
    <row r="3327" spans="3:4" s="230" customFormat="1">
      <c r="C3327" s="16" t="str">
        <f>IFERROR(VLOOKUP(DATA!#REF!,DATA!#REF!,1,FALSE),"")</f>
        <v/>
      </c>
      <c r="D3327" s="16" t="str">
        <f>IFERROR(VLOOKUP(C3327,DATA!#REF!,2,FALSE),"")</f>
        <v/>
      </c>
    </row>
    <row r="3328" spans="3:4" s="230" customFormat="1">
      <c r="C3328" s="16" t="str">
        <f>IFERROR(VLOOKUP(DATA!#REF!,DATA!#REF!,1,FALSE),"")</f>
        <v/>
      </c>
      <c r="D3328" s="16" t="str">
        <f>IFERROR(VLOOKUP(C3328,DATA!#REF!,2,FALSE),"")</f>
        <v/>
      </c>
    </row>
    <row r="3329" spans="3:4" s="230" customFormat="1">
      <c r="C3329" s="16" t="str">
        <f>IFERROR(VLOOKUP(DATA!#REF!,DATA!#REF!,1,FALSE),"")</f>
        <v/>
      </c>
      <c r="D3329" s="16" t="str">
        <f>IFERROR(VLOOKUP(C3329,DATA!#REF!,2,FALSE),"")</f>
        <v/>
      </c>
    </row>
    <row r="3330" spans="3:4" s="230" customFormat="1">
      <c r="C3330" s="16" t="str">
        <f>IFERROR(VLOOKUP(DATA!#REF!,DATA!#REF!,1,FALSE),"")</f>
        <v/>
      </c>
      <c r="D3330" s="16" t="str">
        <f>IFERROR(VLOOKUP(C3330,DATA!#REF!,2,FALSE),"")</f>
        <v/>
      </c>
    </row>
    <row r="3331" spans="3:4" s="230" customFormat="1">
      <c r="C3331" s="16" t="str">
        <f>IFERROR(VLOOKUP(DATA!#REF!,DATA!#REF!,1,FALSE),"")</f>
        <v/>
      </c>
      <c r="D3331" s="16" t="str">
        <f>IFERROR(VLOOKUP(C3331,DATA!#REF!,2,FALSE),"")</f>
        <v/>
      </c>
    </row>
    <row r="3332" spans="3:4" s="230" customFormat="1">
      <c r="C3332" s="16" t="str">
        <f>IFERROR(VLOOKUP(DATA!#REF!,DATA!#REF!,1,FALSE),"")</f>
        <v/>
      </c>
      <c r="D3332" s="16" t="str">
        <f>IFERROR(VLOOKUP(C3332,DATA!#REF!,2,FALSE),"")</f>
        <v/>
      </c>
    </row>
    <row r="3333" spans="3:4" s="230" customFormat="1">
      <c r="C3333" s="16" t="str">
        <f>IFERROR(VLOOKUP(DATA!#REF!,DATA!#REF!,1,FALSE),"")</f>
        <v/>
      </c>
      <c r="D3333" s="16" t="str">
        <f>IFERROR(VLOOKUP(C3333,DATA!#REF!,2,FALSE),"")</f>
        <v/>
      </c>
    </row>
    <row r="3334" spans="3:4" s="230" customFormat="1">
      <c r="C3334" s="16" t="str">
        <f>IFERROR(VLOOKUP(DATA!#REF!,DATA!#REF!,1,FALSE),"")</f>
        <v/>
      </c>
      <c r="D3334" s="16" t="str">
        <f>IFERROR(VLOOKUP(C3334,DATA!#REF!,2,FALSE),"")</f>
        <v/>
      </c>
    </row>
    <row r="3335" spans="3:4" s="230" customFormat="1">
      <c r="C3335" s="16" t="str">
        <f>IFERROR(VLOOKUP(DATA!#REF!,DATA!#REF!,1,FALSE),"")</f>
        <v/>
      </c>
      <c r="D3335" s="16" t="str">
        <f>IFERROR(VLOOKUP(C3335,DATA!#REF!,2,FALSE),"")</f>
        <v/>
      </c>
    </row>
    <row r="3336" spans="3:4" s="230" customFormat="1">
      <c r="C3336" s="16" t="str">
        <f>IFERROR(VLOOKUP(DATA!#REF!,DATA!#REF!,1,FALSE),"")</f>
        <v/>
      </c>
      <c r="D3336" s="16" t="str">
        <f>IFERROR(VLOOKUP(C3336,DATA!#REF!,2,FALSE),"")</f>
        <v/>
      </c>
    </row>
    <row r="3337" spans="3:4" s="230" customFormat="1">
      <c r="C3337" s="16" t="str">
        <f>IFERROR(VLOOKUP(DATA!#REF!,DATA!#REF!,1,FALSE),"")</f>
        <v/>
      </c>
      <c r="D3337" s="16" t="str">
        <f>IFERROR(VLOOKUP(C3337,DATA!#REF!,2,FALSE),"")</f>
        <v/>
      </c>
    </row>
    <row r="3338" spans="3:4" s="230" customFormat="1">
      <c r="C3338" s="16" t="str">
        <f>IFERROR(VLOOKUP(DATA!#REF!,DATA!#REF!,1,FALSE),"")</f>
        <v/>
      </c>
      <c r="D3338" s="16" t="str">
        <f>IFERROR(VLOOKUP(C3338,DATA!#REF!,2,FALSE),"")</f>
        <v/>
      </c>
    </row>
    <row r="3339" spans="3:4" s="230" customFormat="1">
      <c r="C3339" s="16" t="str">
        <f>IFERROR(VLOOKUP(DATA!#REF!,DATA!#REF!,1,FALSE),"")</f>
        <v/>
      </c>
      <c r="D3339" s="16" t="str">
        <f>IFERROR(VLOOKUP(C3339,DATA!#REF!,2,FALSE),"")</f>
        <v/>
      </c>
    </row>
    <row r="3340" spans="3:4" s="230" customFormat="1">
      <c r="C3340" s="16" t="str">
        <f>IFERROR(VLOOKUP(DATA!#REF!,DATA!#REF!,1,FALSE),"")</f>
        <v/>
      </c>
      <c r="D3340" s="16" t="str">
        <f>IFERROR(VLOOKUP(C3340,DATA!#REF!,2,FALSE),"")</f>
        <v/>
      </c>
    </row>
    <row r="3341" spans="3:4" s="230" customFormat="1">
      <c r="C3341" s="16" t="str">
        <f>IFERROR(VLOOKUP(DATA!#REF!,DATA!#REF!,1,FALSE),"")</f>
        <v/>
      </c>
      <c r="D3341" s="16" t="str">
        <f>IFERROR(VLOOKUP(C3341,DATA!#REF!,2,FALSE),"")</f>
        <v/>
      </c>
    </row>
    <row r="3342" spans="3:4" s="230" customFormat="1">
      <c r="C3342" s="16" t="str">
        <f>IFERROR(VLOOKUP(DATA!#REF!,DATA!#REF!,1,FALSE),"")</f>
        <v/>
      </c>
      <c r="D3342" s="16" t="str">
        <f>IFERROR(VLOOKUP(C3342,DATA!#REF!,2,FALSE),"")</f>
        <v/>
      </c>
    </row>
    <row r="3343" spans="3:4" s="230" customFormat="1">
      <c r="C3343" s="16" t="str">
        <f>IFERROR(VLOOKUP(DATA!#REF!,DATA!#REF!,1,FALSE),"")</f>
        <v/>
      </c>
      <c r="D3343" s="16" t="str">
        <f>IFERROR(VLOOKUP(C3343,DATA!#REF!,2,FALSE),"")</f>
        <v/>
      </c>
    </row>
    <row r="3344" spans="3:4" s="230" customFormat="1">
      <c r="C3344" s="16" t="str">
        <f>IFERROR(VLOOKUP(DATA!#REF!,DATA!#REF!,1,FALSE),"")</f>
        <v/>
      </c>
      <c r="D3344" s="16" t="str">
        <f>IFERROR(VLOOKUP(C3344,DATA!#REF!,2,FALSE),"")</f>
        <v/>
      </c>
    </row>
    <row r="3345" spans="3:4" s="230" customFormat="1">
      <c r="C3345" s="16" t="str">
        <f>IFERROR(VLOOKUP(DATA!#REF!,DATA!#REF!,1,FALSE),"")</f>
        <v/>
      </c>
      <c r="D3345" s="16" t="str">
        <f>IFERROR(VLOOKUP(C3345,DATA!#REF!,2,FALSE),"")</f>
        <v/>
      </c>
    </row>
    <row r="3346" spans="3:4" s="230" customFormat="1">
      <c r="C3346" s="16" t="str">
        <f>IFERROR(VLOOKUP(DATA!#REF!,DATA!#REF!,1,FALSE),"")</f>
        <v/>
      </c>
      <c r="D3346" s="16" t="str">
        <f>IFERROR(VLOOKUP(C3346,DATA!#REF!,2,FALSE),"")</f>
        <v/>
      </c>
    </row>
    <row r="3347" spans="3:4" s="230" customFormat="1">
      <c r="C3347" s="16" t="str">
        <f>IFERROR(VLOOKUP(DATA!#REF!,DATA!#REF!,1,FALSE),"")</f>
        <v/>
      </c>
      <c r="D3347" s="16" t="str">
        <f>IFERROR(VLOOKUP(C3347,DATA!#REF!,2,FALSE),"")</f>
        <v/>
      </c>
    </row>
    <row r="3348" spans="3:4" s="230" customFormat="1">
      <c r="C3348" s="16" t="str">
        <f>IFERROR(VLOOKUP(DATA!#REF!,DATA!#REF!,1,FALSE),"")</f>
        <v/>
      </c>
      <c r="D3348" s="16" t="str">
        <f>IFERROR(VLOOKUP(C3348,DATA!#REF!,2,FALSE),"")</f>
        <v/>
      </c>
    </row>
    <row r="3349" spans="3:4" s="230" customFormat="1">
      <c r="C3349" s="16" t="str">
        <f>IFERROR(VLOOKUP(DATA!#REF!,DATA!#REF!,1,FALSE),"")</f>
        <v/>
      </c>
      <c r="D3349" s="16" t="str">
        <f>IFERROR(VLOOKUP(C3349,DATA!#REF!,2,FALSE),"")</f>
        <v/>
      </c>
    </row>
    <row r="3350" spans="3:4" s="230" customFormat="1">
      <c r="C3350" s="16" t="str">
        <f>IFERROR(VLOOKUP(DATA!#REF!,DATA!#REF!,1,FALSE),"")</f>
        <v/>
      </c>
      <c r="D3350" s="16" t="str">
        <f>IFERROR(VLOOKUP(C3350,DATA!#REF!,2,FALSE),"")</f>
        <v/>
      </c>
    </row>
    <row r="3351" spans="3:4" s="230" customFormat="1">
      <c r="C3351" s="16" t="str">
        <f>IFERROR(VLOOKUP(DATA!#REF!,DATA!#REF!,1,FALSE),"")</f>
        <v/>
      </c>
      <c r="D3351" s="16" t="str">
        <f>IFERROR(VLOOKUP(C3351,DATA!#REF!,2,FALSE),"")</f>
        <v/>
      </c>
    </row>
    <row r="3352" spans="3:4" s="230" customFormat="1">
      <c r="C3352" s="16" t="str">
        <f>IFERROR(VLOOKUP(DATA!#REF!,DATA!#REF!,1,FALSE),"")</f>
        <v/>
      </c>
      <c r="D3352" s="16" t="str">
        <f>IFERROR(VLOOKUP(C3352,DATA!#REF!,2,FALSE),"")</f>
        <v/>
      </c>
    </row>
    <row r="3353" spans="3:4" s="230" customFormat="1">
      <c r="C3353" s="16" t="str">
        <f>IFERROR(VLOOKUP(DATA!#REF!,DATA!#REF!,1,FALSE),"")</f>
        <v/>
      </c>
      <c r="D3353" s="16" t="str">
        <f>IFERROR(VLOOKUP(C3353,DATA!#REF!,2,FALSE),"")</f>
        <v/>
      </c>
    </row>
    <row r="3354" spans="3:4" s="230" customFormat="1">
      <c r="C3354" s="16" t="str">
        <f>IFERROR(VLOOKUP(DATA!#REF!,DATA!#REF!,1,FALSE),"")</f>
        <v/>
      </c>
      <c r="D3354" s="16" t="str">
        <f>IFERROR(VLOOKUP(C3354,DATA!#REF!,2,FALSE),"")</f>
        <v/>
      </c>
    </row>
    <row r="3355" spans="3:4" s="230" customFormat="1">
      <c r="C3355" s="16" t="str">
        <f>IFERROR(VLOOKUP(DATA!#REF!,DATA!#REF!,1,FALSE),"")</f>
        <v/>
      </c>
      <c r="D3355" s="16" t="str">
        <f>IFERROR(VLOOKUP(C3355,DATA!#REF!,2,FALSE),"")</f>
        <v/>
      </c>
    </row>
    <row r="3356" spans="3:4" s="230" customFormat="1">
      <c r="C3356" s="16" t="str">
        <f>IFERROR(VLOOKUP(DATA!#REF!,DATA!#REF!,1,FALSE),"")</f>
        <v/>
      </c>
      <c r="D3356" s="16" t="str">
        <f>IFERROR(VLOOKUP(C3356,DATA!#REF!,2,FALSE),"")</f>
        <v/>
      </c>
    </row>
    <row r="3357" spans="3:4" s="230" customFormat="1">
      <c r="C3357" s="16" t="str">
        <f>IFERROR(VLOOKUP(DATA!#REF!,DATA!#REF!,1,FALSE),"")</f>
        <v/>
      </c>
      <c r="D3357" s="16" t="str">
        <f>IFERROR(VLOOKUP(C3357,DATA!#REF!,2,FALSE),"")</f>
        <v/>
      </c>
    </row>
    <row r="3358" spans="3:4" s="230" customFormat="1">
      <c r="C3358" s="16" t="str">
        <f>IFERROR(VLOOKUP(DATA!#REF!,DATA!#REF!,1,FALSE),"")</f>
        <v/>
      </c>
      <c r="D3358" s="16" t="str">
        <f>IFERROR(VLOOKUP(C3358,DATA!#REF!,2,FALSE),"")</f>
        <v/>
      </c>
    </row>
    <row r="3359" spans="3:4" s="230" customFormat="1">
      <c r="C3359" s="16" t="str">
        <f>IFERROR(VLOOKUP(DATA!#REF!,DATA!#REF!,1,FALSE),"")</f>
        <v/>
      </c>
      <c r="D3359" s="16" t="str">
        <f>IFERROR(VLOOKUP(C3359,DATA!#REF!,2,FALSE),"")</f>
        <v/>
      </c>
    </row>
    <row r="3360" spans="3:4" s="230" customFormat="1">
      <c r="C3360" s="16" t="str">
        <f>IFERROR(VLOOKUP(DATA!#REF!,DATA!#REF!,1,FALSE),"")</f>
        <v/>
      </c>
      <c r="D3360" s="16" t="str">
        <f>IFERROR(VLOOKUP(C3360,DATA!#REF!,2,FALSE),"")</f>
        <v/>
      </c>
    </row>
    <row r="3361" spans="3:4" s="230" customFormat="1">
      <c r="C3361" s="16" t="str">
        <f>IFERROR(VLOOKUP(DATA!#REF!,DATA!#REF!,1,FALSE),"")</f>
        <v/>
      </c>
      <c r="D3361" s="16" t="str">
        <f>IFERROR(VLOOKUP(C3361,DATA!#REF!,2,FALSE),"")</f>
        <v/>
      </c>
    </row>
    <row r="3362" spans="3:4" s="230" customFormat="1">
      <c r="C3362" s="16" t="str">
        <f>IFERROR(VLOOKUP(DATA!#REF!,DATA!#REF!,1,FALSE),"")</f>
        <v/>
      </c>
      <c r="D3362" s="16" t="str">
        <f>IFERROR(VLOOKUP(C3362,DATA!#REF!,2,FALSE),"")</f>
        <v/>
      </c>
    </row>
    <row r="3363" spans="3:4" s="230" customFormat="1">
      <c r="C3363" s="16" t="str">
        <f>IFERROR(VLOOKUP(DATA!#REF!,DATA!#REF!,1,FALSE),"")</f>
        <v/>
      </c>
      <c r="D3363" s="16" t="str">
        <f>IFERROR(VLOOKUP(C3363,DATA!#REF!,2,FALSE),"")</f>
        <v/>
      </c>
    </row>
    <row r="3364" spans="3:4" s="230" customFormat="1">
      <c r="C3364" s="16" t="str">
        <f>IFERROR(VLOOKUP(DATA!#REF!,DATA!#REF!,1,FALSE),"")</f>
        <v/>
      </c>
      <c r="D3364" s="16" t="str">
        <f>IFERROR(VLOOKUP(C3364,DATA!#REF!,2,FALSE),"")</f>
        <v/>
      </c>
    </row>
    <row r="3365" spans="3:4" s="230" customFormat="1">
      <c r="C3365" s="16" t="str">
        <f>IFERROR(VLOOKUP(DATA!#REF!,DATA!#REF!,1,FALSE),"")</f>
        <v/>
      </c>
      <c r="D3365" s="16" t="str">
        <f>IFERROR(VLOOKUP(C3365,DATA!#REF!,2,FALSE),"")</f>
        <v/>
      </c>
    </row>
    <row r="3366" spans="3:4" s="230" customFormat="1">
      <c r="C3366" s="16" t="str">
        <f>IFERROR(VLOOKUP(DATA!#REF!,DATA!#REF!,1,FALSE),"")</f>
        <v/>
      </c>
      <c r="D3366" s="16" t="str">
        <f>IFERROR(VLOOKUP(C3366,DATA!#REF!,2,FALSE),"")</f>
        <v/>
      </c>
    </row>
    <row r="3367" spans="3:4" s="230" customFormat="1">
      <c r="C3367" s="16" t="str">
        <f>IFERROR(VLOOKUP(DATA!#REF!,DATA!#REF!,1,FALSE),"")</f>
        <v/>
      </c>
      <c r="D3367" s="16" t="str">
        <f>IFERROR(VLOOKUP(C3367,DATA!#REF!,2,FALSE),"")</f>
        <v/>
      </c>
    </row>
    <row r="3368" spans="3:4" s="230" customFormat="1">
      <c r="C3368" s="16" t="str">
        <f>IFERROR(VLOOKUP(DATA!#REF!,DATA!#REF!,1,FALSE),"")</f>
        <v/>
      </c>
      <c r="D3368" s="16" t="str">
        <f>IFERROR(VLOOKUP(C3368,DATA!#REF!,2,FALSE),"")</f>
        <v/>
      </c>
    </row>
    <row r="3369" spans="3:4" s="230" customFormat="1">
      <c r="C3369" s="16" t="str">
        <f>IFERROR(VLOOKUP(DATA!#REF!,DATA!#REF!,1,FALSE),"")</f>
        <v/>
      </c>
      <c r="D3369" s="16" t="str">
        <f>IFERROR(VLOOKUP(C3369,DATA!#REF!,2,FALSE),"")</f>
        <v/>
      </c>
    </row>
    <row r="3370" spans="3:4" s="230" customFormat="1">
      <c r="C3370" s="16" t="str">
        <f>IFERROR(VLOOKUP(DATA!#REF!,DATA!#REF!,1,FALSE),"")</f>
        <v/>
      </c>
      <c r="D3370" s="16" t="str">
        <f>IFERROR(VLOOKUP(C3370,DATA!#REF!,2,FALSE),"")</f>
        <v/>
      </c>
    </row>
    <row r="3371" spans="3:4" s="230" customFormat="1">
      <c r="C3371" s="16" t="str">
        <f>IFERROR(VLOOKUP(DATA!#REF!,DATA!#REF!,1,FALSE),"")</f>
        <v/>
      </c>
      <c r="D3371" s="16" t="str">
        <f>IFERROR(VLOOKUP(C3371,DATA!#REF!,2,FALSE),"")</f>
        <v/>
      </c>
    </row>
    <row r="3372" spans="3:4" s="230" customFormat="1">
      <c r="C3372" s="16" t="str">
        <f>IFERROR(VLOOKUP(DATA!#REF!,DATA!#REF!,1,FALSE),"")</f>
        <v/>
      </c>
      <c r="D3372" s="16" t="str">
        <f>IFERROR(VLOOKUP(C3372,DATA!#REF!,2,FALSE),"")</f>
        <v/>
      </c>
    </row>
    <row r="3373" spans="3:4" s="230" customFormat="1">
      <c r="C3373" s="16" t="str">
        <f>IFERROR(VLOOKUP(DATA!#REF!,DATA!#REF!,1,FALSE),"")</f>
        <v/>
      </c>
      <c r="D3373" s="16" t="str">
        <f>IFERROR(VLOOKUP(C3373,DATA!#REF!,2,FALSE),"")</f>
        <v/>
      </c>
    </row>
    <row r="3374" spans="3:4" s="230" customFormat="1">
      <c r="C3374" s="16" t="str">
        <f>IFERROR(VLOOKUP(DATA!#REF!,DATA!#REF!,1,FALSE),"")</f>
        <v/>
      </c>
      <c r="D3374" s="16" t="str">
        <f>IFERROR(VLOOKUP(C3374,DATA!#REF!,2,FALSE),"")</f>
        <v/>
      </c>
    </row>
    <row r="3375" spans="3:4" s="230" customFormat="1">
      <c r="C3375" s="16" t="str">
        <f>IFERROR(VLOOKUP(DATA!#REF!,DATA!#REF!,1,FALSE),"")</f>
        <v/>
      </c>
      <c r="D3375" s="16" t="str">
        <f>IFERROR(VLOOKUP(C3375,DATA!#REF!,2,FALSE),"")</f>
        <v/>
      </c>
    </row>
    <row r="3376" spans="3:4" s="230" customFormat="1">
      <c r="C3376" s="16" t="str">
        <f>IFERROR(VLOOKUP(DATA!#REF!,DATA!#REF!,1,FALSE),"")</f>
        <v/>
      </c>
      <c r="D3376" s="16" t="str">
        <f>IFERROR(VLOOKUP(C3376,DATA!#REF!,2,FALSE),"")</f>
        <v/>
      </c>
    </row>
    <row r="3377" spans="3:4" s="230" customFormat="1">
      <c r="C3377" s="16" t="str">
        <f>IFERROR(VLOOKUP(DATA!#REF!,DATA!#REF!,1,FALSE),"")</f>
        <v/>
      </c>
      <c r="D3377" s="16" t="str">
        <f>IFERROR(VLOOKUP(C3377,DATA!#REF!,2,FALSE),"")</f>
        <v/>
      </c>
    </row>
    <row r="3378" spans="3:4" s="230" customFormat="1">
      <c r="C3378" s="16" t="str">
        <f>IFERROR(VLOOKUP(DATA!#REF!,DATA!#REF!,1,FALSE),"")</f>
        <v/>
      </c>
      <c r="D3378" s="16" t="str">
        <f>IFERROR(VLOOKUP(C3378,DATA!#REF!,2,FALSE),"")</f>
        <v/>
      </c>
    </row>
    <row r="3379" spans="3:4" s="230" customFormat="1">
      <c r="C3379" s="16" t="str">
        <f>IFERROR(VLOOKUP(DATA!#REF!,DATA!#REF!,1,FALSE),"")</f>
        <v/>
      </c>
      <c r="D3379" s="16" t="str">
        <f>IFERROR(VLOOKUP(C3379,DATA!#REF!,2,FALSE),"")</f>
        <v/>
      </c>
    </row>
    <row r="3380" spans="3:4" s="230" customFormat="1">
      <c r="C3380" s="16" t="str">
        <f>IFERROR(VLOOKUP(DATA!#REF!,DATA!#REF!,1,FALSE),"")</f>
        <v/>
      </c>
      <c r="D3380" s="16" t="str">
        <f>IFERROR(VLOOKUP(C3380,DATA!#REF!,2,FALSE),"")</f>
        <v/>
      </c>
    </row>
    <row r="3381" spans="3:4" s="230" customFormat="1">
      <c r="C3381" s="16" t="str">
        <f>IFERROR(VLOOKUP(DATA!#REF!,DATA!#REF!,1,FALSE),"")</f>
        <v/>
      </c>
      <c r="D3381" s="16" t="str">
        <f>IFERROR(VLOOKUP(C3381,DATA!#REF!,2,FALSE),"")</f>
        <v/>
      </c>
    </row>
    <row r="3382" spans="3:4" s="230" customFormat="1">
      <c r="C3382" s="16" t="str">
        <f>IFERROR(VLOOKUP(DATA!#REF!,DATA!#REF!,1,FALSE),"")</f>
        <v/>
      </c>
      <c r="D3382" s="16" t="str">
        <f>IFERROR(VLOOKUP(C3382,DATA!#REF!,2,FALSE),"")</f>
        <v/>
      </c>
    </row>
    <row r="3383" spans="3:4" s="230" customFormat="1">
      <c r="C3383" s="16" t="str">
        <f>IFERROR(VLOOKUP(DATA!#REF!,DATA!#REF!,1,FALSE),"")</f>
        <v/>
      </c>
      <c r="D3383" s="16" t="str">
        <f>IFERROR(VLOOKUP(C3383,DATA!#REF!,2,FALSE),"")</f>
        <v/>
      </c>
    </row>
    <row r="3384" spans="3:4" s="230" customFormat="1">
      <c r="C3384" s="16" t="str">
        <f>IFERROR(VLOOKUP(DATA!#REF!,DATA!#REF!,1,FALSE),"")</f>
        <v/>
      </c>
      <c r="D3384" s="16" t="str">
        <f>IFERROR(VLOOKUP(C3384,DATA!#REF!,2,FALSE),"")</f>
        <v/>
      </c>
    </row>
    <row r="3385" spans="3:4" s="230" customFormat="1">
      <c r="C3385" s="16" t="str">
        <f>IFERROR(VLOOKUP(DATA!#REF!,DATA!#REF!,1,FALSE),"")</f>
        <v/>
      </c>
      <c r="D3385" s="16" t="str">
        <f>IFERROR(VLOOKUP(C3385,DATA!#REF!,2,FALSE),"")</f>
        <v/>
      </c>
    </row>
    <row r="3386" spans="3:4" s="230" customFormat="1">
      <c r="C3386" s="16" t="str">
        <f>IFERROR(VLOOKUP(DATA!#REF!,DATA!#REF!,1,FALSE),"")</f>
        <v/>
      </c>
      <c r="D3386" s="16" t="str">
        <f>IFERROR(VLOOKUP(C3386,DATA!#REF!,2,FALSE),"")</f>
        <v/>
      </c>
    </row>
    <row r="3387" spans="3:4" s="230" customFormat="1">
      <c r="C3387" s="16" t="str">
        <f>IFERROR(VLOOKUP(DATA!#REF!,DATA!#REF!,1,FALSE),"")</f>
        <v/>
      </c>
      <c r="D3387" s="16" t="str">
        <f>IFERROR(VLOOKUP(C3387,DATA!#REF!,2,FALSE),"")</f>
        <v/>
      </c>
    </row>
    <row r="3388" spans="3:4" s="230" customFormat="1">
      <c r="C3388" s="16" t="str">
        <f>IFERROR(VLOOKUP(DATA!#REF!,DATA!#REF!,1,FALSE),"")</f>
        <v/>
      </c>
      <c r="D3388" s="16" t="str">
        <f>IFERROR(VLOOKUP(C3388,DATA!#REF!,2,FALSE),"")</f>
        <v/>
      </c>
    </row>
    <row r="3389" spans="3:4" s="230" customFormat="1">
      <c r="C3389" s="16" t="str">
        <f>IFERROR(VLOOKUP(DATA!#REF!,DATA!#REF!,1,FALSE),"")</f>
        <v/>
      </c>
      <c r="D3389" s="16" t="str">
        <f>IFERROR(VLOOKUP(C3389,DATA!#REF!,2,FALSE),"")</f>
        <v/>
      </c>
    </row>
    <row r="3390" spans="3:4" s="230" customFormat="1">
      <c r="C3390" s="16" t="str">
        <f>IFERROR(VLOOKUP(DATA!#REF!,DATA!#REF!,1,FALSE),"")</f>
        <v/>
      </c>
      <c r="D3390" s="16" t="str">
        <f>IFERROR(VLOOKUP(C3390,DATA!#REF!,2,FALSE),"")</f>
        <v/>
      </c>
    </row>
    <row r="3391" spans="3:4" s="230" customFormat="1">
      <c r="C3391" s="16" t="str">
        <f>IFERROR(VLOOKUP(DATA!#REF!,DATA!#REF!,1,FALSE),"")</f>
        <v/>
      </c>
      <c r="D3391" s="16" t="str">
        <f>IFERROR(VLOOKUP(C3391,DATA!#REF!,2,FALSE),"")</f>
        <v/>
      </c>
    </row>
    <row r="3392" spans="3:4" s="230" customFormat="1">
      <c r="C3392" s="16" t="str">
        <f>IFERROR(VLOOKUP(DATA!#REF!,DATA!#REF!,1,FALSE),"")</f>
        <v/>
      </c>
      <c r="D3392" s="16" t="str">
        <f>IFERROR(VLOOKUP(C3392,DATA!#REF!,2,FALSE),"")</f>
        <v/>
      </c>
    </row>
    <row r="3393" spans="3:4" s="230" customFormat="1">
      <c r="C3393" s="16" t="str">
        <f>IFERROR(VLOOKUP(DATA!#REF!,DATA!#REF!,1,FALSE),"")</f>
        <v/>
      </c>
      <c r="D3393" s="16" t="str">
        <f>IFERROR(VLOOKUP(C3393,DATA!#REF!,2,FALSE),"")</f>
        <v/>
      </c>
    </row>
    <row r="3394" spans="3:4" s="230" customFormat="1">
      <c r="C3394" s="16" t="str">
        <f>IFERROR(VLOOKUP(DATA!#REF!,DATA!#REF!,1,FALSE),"")</f>
        <v/>
      </c>
      <c r="D3394" s="16" t="str">
        <f>IFERROR(VLOOKUP(C3394,DATA!#REF!,2,FALSE),"")</f>
        <v/>
      </c>
    </row>
    <row r="3395" spans="3:4" s="230" customFormat="1">
      <c r="C3395" s="16" t="str">
        <f>IFERROR(VLOOKUP(DATA!#REF!,DATA!#REF!,1,FALSE),"")</f>
        <v/>
      </c>
      <c r="D3395" s="16" t="str">
        <f>IFERROR(VLOOKUP(C3395,DATA!#REF!,2,FALSE),"")</f>
        <v/>
      </c>
    </row>
    <row r="3396" spans="3:4" s="230" customFormat="1">
      <c r="C3396" s="16" t="str">
        <f>IFERROR(VLOOKUP(DATA!#REF!,DATA!#REF!,1,FALSE),"")</f>
        <v/>
      </c>
      <c r="D3396" s="16" t="str">
        <f>IFERROR(VLOOKUP(C3396,DATA!#REF!,2,FALSE),"")</f>
        <v/>
      </c>
    </row>
    <row r="3397" spans="3:4" s="230" customFormat="1">
      <c r="C3397" s="16" t="str">
        <f>IFERROR(VLOOKUP(DATA!#REF!,DATA!#REF!,1,FALSE),"")</f>
        <v/>
      </c>
      <c r="D3397" s="16" t="str">
        <f>IFERROR(VLOOKUP(C3397,DATA!#REF!,2,FALSE),"")</f>
        <v/>
      </c>
    </row>
    <row r="3398" spans="3:4" s="230" customFormat="1">
      <c r="C3398" s="16" t="str">
        <f>IFERROR(VLOOKUP(DATA!#REF!,DATA!#REF!,1,FALSE),"")</f>
        <v/>
      </c>
      <c r="D3398" s="16" t="str">
        <f>IFERROR(VLOOKUP(C3398,DATA!#REF!,2,FALSE),"")</f>
        <v/>
      </c>
    </row>
    <row r="3399" spans="3:4" s="230" customFormat="1">
      <c r="C3399" s="16" t="str">
        <f>IFERROR(VLOOKUP(DATA!#REF!,DATA!#REF!,1,FALSE),"")</f>
        <v/>
      </c>
      <c r="D3399" s="16" t="str">
        <f>IFERROR(VLOOKUP(C3399,DATA!#REF!,2,FALSE),"")</f>
        <v/>
      </c>
    </row>
    <row r="3400" spans="3:4" s="230" customFormat="1">
      <c r="C3400" s="16" t="str">
        <f>IFERROR(VLOOKUP(DATA!#REF!,DATA!#REF!,1,FALSE),"")</f>
        <v/>
      </c>
      <c r="D3400" s="16" t="str">
        <f>IFERROR(VLOOKUP(C3400,DATA!#REF!,2,FALSE),"")</f>
        <v/>
      </c>
    </row>
    <row r="3401" spans="3:4" s="230" customFormat="1">
      <c r="C3401" s="16" t="str">
        <f>IFERROR(VLOOKUP(DATA!#REF!,DATA!#REF!,1,FALSE),"")</f>
        <v/>
      </c>
      <c r="D3401" s="16" t="str">
        <f>IFERROR(VLOOKUP(C3401,DATA!#REF!,2,FALSE),"")</f>
        <v/>
      </c>
    </row>
    <row r="3402" spans="3:4" s="230" customFormat="1">
      <c r="C3402" s="16" t="str">
        <f>IFERROR(VLOOKUP(DATA!#REF!,DATA!#REF!,1,FALSE),"")</f>
        <v/>
      </c>
      <c r="D3402" s="16" t="str">
        <f>IFERROR(VLOOKUP(C3402,DATA!#REF!,2,FALSE),"")</f>
        <v/>
      </c>
    </row>
    <row r="3403" spans="3:4" s="230" customFormat="1">
      <c r="C3403" s="16" t="str">
        <f>IFERROR(VLOOKUP(DATA!#REF!,DATA!#REF!,1,FALSE),"")</f>
        <v/>
      </c>
      <c r="D3403" s="16" t="str">
        <f>IFERROR(VLOOKUP(C3403,DATA!#REF!,2,FALSE),"")</f>
        <v/>
      </c>
    </row>
    <row r="3404" spans="3:4" s="230" customFormat="1">
      <c r="C3404" s="16" t="str">
        <f>IFERROR(VLOOKUP(DATA!#REF!,DATA!#REF!,1,FALSE),"")</f>
        <v/>
      </c>
      <c r="D3404" s="16" t="str">
        <f>IFERROR(VLOOKUP(C3404,DATA!#REF!,2,FALSE),"")</f>
        <v/>
      </c>
    </row>
    <row r="3405" spans="3:4" s="230" customFormat="1">
      <c r="C3405" s="16" t="str">
        <f>IFERROR(VLOOKUP(DATA!#REF!,DATA!#REF!,1,FALSE),"")</f>
        <v/>
      </c>
      <c r="D3405" s="16" t="str">
        <f>IFERROR(VLOOKUP(C3405,DATA!#REF!,2,FALSE),"")</f>
        <v/>
      </c>
    </row>
    <row r="3406" spans="3:4" s="230" customFormat="1">
      <c r="C3406" s="16" t="str">
        <f>IFERROR(VLOOKUP(DATA!#REF!,DATA!#REF!,1,FALSE),"")</f>
        <v/>
      </c>
      <c r="D3406" s="16" t="str">
        <f>IFERROR(VLOOKUP(C3406,DATA!#REF!,2,FALSE),"")</f>
        <v/>
      </c>
    </row>
    <row r="3407" spans="3:4" s="230" customFormat="1">
      <c r="C3407" s="16" t="str">
        <f>IFERROR(VLOOKUP(DATA!#REF!,DATA!#REF!,1,FALSE),"")</f>
        <v/>
      </c>
      <c r="D3407" s="16" t="str">
        <f>IFERROR(VLOOKUP(C3407,DATA!#REF!,2,FALSE),"")</f>
        <v/>
      </c>
    </row>
    <row r="3408" spans="3:4" s="230" customFormat="1">
      <c r="C3408" s="16" t="str">
        <f>IFERROR(VLOOKUP(DATA!#REF!,DATA!#REF!,1,FALSE),"")</f>
        <v/>
      </c>
      <c r="D3408" s="16" t="str">
        <f>IFERROR(VLOOKUP(C3408,DATA!#REF!,2,FALSE),"")</f>
        <v/>
      </c>
    </row>
    <row r="3409" spans="3:4" s="230" customFormat="1">
      <c r="C3409" s="16" t="str">
        <f>IFERROR(VLOOKUP(DATA!#REF!,DATA!#REF!,1,FALSE),"")</f>
        <v/>
      </c>
      <c r="D3409" s="16" t="str">
        <f>IFERROR(VLOOKUP(C3409,DATA!#REF!,2,FALSE),"")</f>
        <v/>
      </c>
    </row>
    <row r="3410" spans="3:4" s="230" customFormat="1">
      <c r="C3410" s="16" t="str">
        <f>IFERROR(VLOOKUP(DATA!#REF!,DATA!#REF!,1,FALSE),"")</f>
        <v/>
      </c>
      <c r="D3410" s="16" t="str">
        <f>IFERROR(VLOOKUP(C3410,DATA!#REF!,2,FALSE),"")</f>
        <v/>
      </c>
    </row>
    <row r="3411" spans="3:4" s="230" customFormat="1">
      <c r="C3411" s="16" t="str">
        <f>IFERROR(VLOOKUP(DATA!#REF!,DATA!#REF!,1,FALSE),"")</f>
        <v/>
      </c>
      <c r="D3411" s="16" t="str">
        <f>IFERROR(VLOOKUP(C3411,DATA!#REF!,2,FALSE),"")</f>
        <v/>
      </c>
    </row>
    <row r="3412" spans="3:4" s="230" customFormat="1">
      <c r="C3412" s="16" t="str">
        <f>IFERROR(VLOOKUP(DATA!#REF!,DATA!#REF!,1,FALSE),"")</f>
        <v/>
      </c>
      <c r="D3412" s="16" t="str">
        <f>IFERROR(VLOOKUP(C3412,DATA!#REF!,2,FALSE),"")</f>
        <v/>
      </c>
    </row>
    <row r="3413" spans="3:4" s="230" customFormat="1">
      <c r="C3413" s="16" t="str">
        <f>IFERROR(VLOOKUP(DATA!#REF!,DATA!#REF!,1,FALSE),"")</f>
        <v/>
      </c>
      <c r="D3413" s="16" t="str">
        <f>IFERROR(VLOOKUP(C3413,DATA!#REF!,2,FALSE),"")</f>
        <v/>
      </c>
    </row>
    <row r="3414" spans="3:4" s="230" customFormat="1">
      <c r="C3414" s="16" t="str">
        <f>IFERROR(VLOOKUP(DATA!#REF!,DATA!#REF!,1,FALSE),"")</f>
        <v/>
      </c>
      <c r="D3414" s="16" t="str">
        <f>IFERROR(VLOOKUP(C3414,DATA!#REF!,2,FALSE),"")</f>
        <v/>
      </c>
    </row>
    <row r="3415" spans="3:4" s="230" customFormat="1">
      <c r="C3415" s="16" t="str">
        <f>IFERROR(VLOOKUP(DATA!#REF!,DATA!#REF!,1,FALSE),"")</f>
        <v/>
      </c>
      <c r="D3415" s="16" t="str">
        <f>IFERROR(VLOOKUP(C3415,DATA!#REF!,2,FALSE),"")</f>
        <v/>
      </c>
    </row>
    <row r="3416" spans="3:4" s="230" customFormat="1">
      <c r="C3416" s="16" t="str">
        <f>IFERROR(VLOOKUP(DATA!#REF!,DATA!#REF!,1,FALSE),"")</f>
        <v/>
      </c>
      <c r="D3416" s="16" t="str">
        <f>IFERROR(VLOOKUP(C3416,DATA!#REF!,2,FALSE),"")</f>
        <v/>
      </c>
    </row>
    <row r="3417" spans="3:4" s="230" customFormat="1">
      <c r="C3417" s="16" t="str">
        <f>IFERROR(VLOOKUP(DATA!#REF!,DATA!#REF!,1,FALSE),"")</f>
        <v/>
      </c>
      <c r="D3417" s="16" t="str">
        <f>IFERROR(VLOOKUP(C3417,DATA!#REF!,2,FALSE),"")</f>
        <v/>
      </c>
    </row>
    <row r="3418" spans="3:4" s="230" customFormat="1">
      <c r="C3418" s="16" t="str">
        <f>IFERROR(VLOOKUP(DATA!#REF!,DATA!#REF!,1,FALSE),"")</f>
        <v/>
      </c>
      <c r="D3418" s="16" t="str">
        <f>IFERROR(VLOOKUP(C3418,DATA!#REF!,2,FALSE),"")</f>
        <v/>
      </c>
    </row>
    <row r="3419" spans="3:4" s="230" customFormat="1">
      <c r="C3419" s="16" t="str">
        <f>IFERROR(VLOOKUP(DATA!#REF!,DATA!#REF!,1,FALSE),"")</f>
        <v/>
      </c>
      <c r="D3419" s="16" t="str">
        <f>IFERROR(VLOOKUP(C3419,DATA!#REF!,2,FALSE),"")</f>
        <v/>
      </c>
    </row>
    <row r="3420" spans="3:4" s="230" customFormat="1">
      <c r="C3420" s="16" t="str">
        <f>IFERROR(VLOOKUP(DATA!#REF!,DATA!#REF!,1,FALSE),"")</f>
        <v/>
      </c>
      <c r="D3420" s="16" t="str">
        <f>IFERROR(VLOOKUP(C3420,DATA!#REF!,2,FALSE),"")</f>
        <v/>
      </c>
    </row>
    <row r="3421" spans="3:4" s="230" customFormat="1">
      <c r="C3421" s="16" t="str">
        <f>IFERROR(VLOOKUP(DATA!#REF!,DATA!#REF!,1,FALSE),"")</f>
        <v/>
      </c>
      <c r="D3421" s="16" t="str">
        <f>IFERROR(VLOOKUP(C3421,DATA!#REF!,2,FALSE),"")</f>
        <v/>
      </c>
    </row>
    <row r="3422" spans="3:4" s="230" customFormat="1">
      <c r="C3422" s="16" t="str">
        <f>IFERROR(VLOOKUP(DATA!#REF!,DATA!#REF!,1,FALSE),"")</f>
        <v/>
      </c>
      <c r="D3422" s="16" t="str">
        <f>IFERROR(VLOOKUP(C3422,DATA!#REF!,2,FALSE),"")</f>
        <v/>
      </c>
    </row>
    <row r="3423" spans="3:4" s="230" customFormat="1">
      <c r="C3423" s="16" t="str">
        <f>IFERROR(VLOOKUP(DATA!#REF!,DATA!#REF!,1,FALSE),"")</f>
        <v/>
      </c>
      <c r="D3423" s="16" t="str">
        <f>IFERROR(VLOOKUP(C3423,DATA!#REF!,2,FALSE),"")</f>
        <v/>
      </c>
    </row>
    <row r="3424" spans="3:4" s="230" customFormat="1">
      <c r="C3424" s="16" t="str">
        <f>IFERROR(VLOOKUP(DATA!#REF!,DATA!#REF!,1,FALSE),"")</f>
        <v/>
      </c>
      <c r="D3424" s="16" t="str">
        <f>IFERROR(VLOOKUP(C3424,DATA!#REF!,2,FALSE),"")</f>
        <v/>
      </c>
    </row>
    <row r="3425" spans="3:4" s="230" customFormat="1">
      <c r="C3425" s="16" t="str">
        <f>IFERROR(VLOOKUP(DATA!#REF!,DATA!#REF!,1,FALSE),"")</f>
        <v/>
      </c>
      <c r="D3425" s="16" t="str">
        <f>IFERROR(VLOOKUP(C3425,DATA!#REF!,2,FALSE),"")</f>
        <v/>
      </c>
    </row>
    <row r="3426" spans="3:4" s="230" customFormat="1">
      <c r="C3426" s="16" t="str">
        <f>IFERROR(VLOOKUP(DATA!#REF!,DATA!#REF!,1,FALSE),"")</f>
        <v/>
      </c>
      <c r="D3426" s="16" t="str">
        <f>IFERROR(VLOOKUP(C3426,DATA!#REF!,2,FALSE),"")</f>
        <v/>
      </c>
    </row>
    <row r="3427" spans="3:4" s="230" customFormat="1">
      <c r="C3427" s="16" t="str">
        <f>IFERROR(VLOOKUP(DATA!#REF!,DATA!#REF!,1,FALSE),"")</f>
        <v/>
      </c>
      <c r="D3427" s="16" t="str">
        <f>IFERROR(VLOOKUP(C3427,DATA!#REF!,2,FALSE),"")</f>
        <v/>
      </c>
    </row>
    <row r="3428" spans="3:4" s="230" customFormat="1">
      <c r="C3428" s="16" t="str">
        <f>IFERROR(VLOOKUP(DATA!#REF!,DATA!#REF!,1,FALSE),"")</f>
        <v/>
      </c>
      <c r="D3428" s="16" t="str">
        <f>IFERROR(VLOOKUP(C3428,DATA!#REF!,2,FALSE),"")</f>
        <v/>
      </c>
    </row>
    <row r="3429" spans="3:4" s="230" customFormat="1">
      <c r="C3429" s="16" t="str">
        <f>IFERROR(VLOOKUP(DATA!#REF!,DATA!#REF!,1,FALSE),"")</f>
        <v/>
      </c>
      <c r="D3429" s="16" t="str">
        <f>IFERROR(VLOOKUP(C3429,DATA!#REF!,2,FALSE),"")</f>
        <v/>
      </c>
    </row>
    <row r="3430" spans="3:4" s="230" customFormat="1">
      <c r="C3430" s="16" t="str">
        <f>IFERROR(VLOOKUP(DATA!#REF!,DATA!#REF!,1,FALSE),"")</f>
        <v/>
      </c>
      <c r="D3430" s="16" t="str">
        <f>IFERROR(VLOOKUP(C3430,DATA!#REF!,2,FALSE),"")</f>
        <v/>
      </c>
    </row>
    <row r="3431" spans="3:4" s="230" customFormat="1">
      <c r="C3431" s="16" t="str">
        <f>IFERROR(VLOOKUP(DATA!#REF!,DATA!#REF!,1,FALSE),"")</f>
        <v/>
      </c>
      <c r="D3431" s="16" t="str">
        <f>IFERROR(VLOOKUP(C3431,DATA!#REF!,2,FALSE),"")</f>
        <v/>
      </c>
    </row>
    <row r="3432" spans="3:4" s="230" customFormat="1">
      <c r="C3432" s="16" t="str">
        <f>IFERROR(VLOOKUP(DATA!#REF!,DATA!#REF!,1,FALSE),"")</f>
        <v/>
      </c>
      <c r="D3432" s="16" t="str">
        <f>IFERROR(VLOOKUP(C3432,DATA!#REF!,2,FALSE),"")</f>
        <v/>
      </c>
    </row>
    <row r="3433" spans="3:4" s="230" customFormat="1">
      <c r="C3433" s="16" t="str">
        <f>IFERROR(VLOOKUP(DATA!#REF!,DATA!#REF!,1,FALSE),"")</f>
        <v/>
      </c>
      <c r="D3433" s="16" t="str">
        <f>IFERROR(VLOOKUP(C3433,DATA!#REF!,2,FALSE),"")</f>
        <v/>
      </c>
    </row>
    <row r="3434" spans="3:4" s="230" customFormat="1">
      <c r="C3434" s="16" t="str">
        <f>IFERROR(VLOOKUP(DATA!#REF!,DATA!#REF!,1,FALSE),"")</f>
        <v/>
      </c>
      <c r="D3434" s="16" t="str">
        <f>IFERROR(VLOOKUP(C3434,DATA!#REF!,2,FALSE),"")</f>
        <v/>
      </c>
    </row>
    <row r="3435" spans="3:4" s="230" customFormat="1">
      <c r="C3435" s="16" t="str">
        <f>IFERROR(VLOOKUP(DATA!#REF!,DATA!#REF!,1,FALSE),"")</f>
        <v/>
      </c>
      <c r="D3435" s="16" t="str">
        <f>IFERROR(VLOOKUP(C3435,DATA!#REF!,2,FALSE),"")</f>
        <v/>
      </c>
    </row>
    <row r="3436" spans="3:4" s="230" customFormat="1">
      <c r="C3436" s="16" t="str">
        <f>IFERROR(VLOOKUP(DATA!#REF!,DATA!#REF!,1,FALSE),"")</f>
        <v/>
      </c>
      <c r="D3436" s="16" t="str">
        <f>IFERROR(VLOOKUP(C3436,DATA!#REF!,2,FALSE),"")</f>
        <v/>
      </c>
    </row>
    <row r="3437" spans="3:4" s="230" customFormat="1">
      <c r="C3437" s="16" t="str">
        <f>IFERROR(VLOOKUP(DATA!#REF!,DATA!#REF!,1,FALSE),"")</f>
        <v/>
      </c>
      <c r="D3437" s="16" t="str">
        <f>IFERROR(VLOOKUP(C3437,DATA!#REF!,2,FALSE),"")</f>
        <v/>
      </c>
    </row>
    <row r="3438" spans="3:4" s="230" customFormat="1">
      <c r="C3438" s="16" t="str">
        <f>IFERROR(VLOOKUP(DATA!#REF!,DATA!#REF!,1,FALSE),"")</f>
        <v/>
      </c>
      <c r="D3438" s="16" t="str">
        <f>IFERROR(VLOOKUP(C3438,DATA!#REF!,2,FALSE),"")</f>
        <v/>
      </c>
    </row>
    <row r="3439" spans="3:4" s="230" customFormat="1">
      <c r="C3439" s="16" t="str">
        <f>IFERROR(VLOOKUP(DATA!#REF!,DATA!#REF!,1,FALSE),"")</f>
        <v/>
      </c>
      <c r="D3439" s="16" t="str">
        <f>IFERROR(VLOOKUP(C3439,DATA!#REF!,2,FALSE),"")</f>
        <v/>
      </c>
    </row>
    <row r="3440" spans="3:4" s="230" customFormat="1">
      <c r="C3440" s="16" t="str">
        <f>IFERROR(VLOOKUP(DATA!#REF!,DATA!#REF!,1,FALSE),"")</f>
        <v/>
      </c>
      <c r="D3440" s="16" t="str">
        <f>IFERROR(VLOOKUP(C3440,DATA!#REF!,2,FALSE),"")</f>
        <v/>
      </c>
    </row>
    <row r="3441" spans="3:4" s="230" customFormat="1">
      <c r="C3441" s="16" t="str">
        <f>IFERROR(VLOOKUP(DATA!#REF!,DATA!#REF!,1,FALSE),"")</f>
        <v/>
      </c>
      <c r="D3441" s="16" t="str">
        <f>IFERROR(VLOOKUP(C3441,DATA!#REF!,2,FALSE),"")</f>
        <v/>
      </c>
    </row>
    <row r="3442" spans="3:4" s="230" customFormat="1">
      <c r="C3442" s="16" t="str">
        <f>IFERROR(VLOOKUP(DATA!#REF!,DATA!#REF!,1,FALSE),"")</f>
        <v/>
      </c>
      <c r="D3442" s="16" t="str">
        <f>IFERROR(VLOOKUP(C3442,DATA!#REF!,2,FALSE),"")</f>
        <v/>
      </c>
    </row>
    <row r="3443" spans="3:4" s="230" customFormat="1">
      <c r="C3443" s="16" t="str">
        <f>IFERROR(VLOOKUP(DATA!#REF!,DATA!#REF!,1,FALSE),"")</f>
        <v/>
      </c>
      <c r="D3443" s="16" t="str">
        <f>IFERROR(VLOOKUP(C3443,DATA!#REF!,2,FALSE),"")</f>
        <v/>
      </c>
    </row>
    <row r="3444" spans="3:4" s="230" customFormat="1">
      <c r="C3444" s="16" t="str">
        <f>IFERROR(VLOOKUP(DATA!#REF!,DATA!#REF!,1,FALSE),"")</f>
        <v/>
      </c>
      <c r="D3444" s="16" t="str">
        <f>IFERROR(VLOOKUP(C3444,DATA!#REF!,2,FALSE),"")</f>
        <v/>
      </c>
    </row>
    <row r="3445" spans="3:4" s="230" customFormat="1">
      <c r="C3445" s="16" t="str">
        <f>IFERROR(VLOOKUP(DATA!#REF!,DATA!#REF!,1,FALSE),"")</f>
        <v/>
      </c>
      <c r="D3445" s="16" t="str">
        <f>IFERROR(VLOOKUP(C3445,DATA!#REF!,2,FALSE),"")</f>
        <v/>
      </c>
    </row>
    <row r="3446" spans="3:4" s="230" customFormat="1">
      <c r="C3446" s="16" t="str">
        <f>IFERROR(VLOOKUP(DATA!#REF!,DATA!#REF!,1,FALSE),"")</f>
        <v/>
      </c>
      <c r="D3446" s="16" t="str">
        <f>IFERROR(VLOOKUP(C3446,DATA!#REF!,2,FALSE),"")</f>
        <v/>
      </c>
    </row>
    <row r="3447" spans="3:4" s="230" customFormat="1">
      <c r="C3447" s="16" t="str">
        <f>IFERROR(VLOOKUP(DATA!#REF!,DATA!#REF!,1,FALSE),"")</f>
        <v/>
      </c>
      <c r="D3447" s="16" t="str">
        <f>IFERROR(VLOOKUP(C3447,DATA!#REF!,2,FALSE),"")</f>
        <v/>
      </c>
    </row>
    <row r="3448" spans="3:4" s="230" customFormat="1">
      <c r="C3448" s="16" t="str">
        <f>IFERROR(VLOOKUP(DATA!#REF!,DATA!#REF!,1,FALSE),"")</f>
        <v/>
      </c>
      <c r="D3448" s="16" t="str">
        <f>IFERROR(VLOOKUP(C3448,DATA!#REF!,2,FALSE),"")</f>
        <v/>
      </c>
    </row>
    <row r="3449" spans="3:4" s="230" customFormat="1">
      <c r="C3449" s="16" t="str">
        <f>IFERROR(VLOOKUP(DATA!#REF!,DATA!#REF!,1,FALSE),"")</f>
        <v/>
      </c>
      <c r="D3449" s="16" t="str">
        <f>IFERROR(VLOOKUP(C3449,DATA!#REF!,2,FALSE),"")</f>
        <v/>
      </c>
    </row>
    <row r="3450" spans="3:4" s="230" customFormat="1">
      <c r="C3450" s="16" t="str">
        <f>IFERROR(VLOOKUP(DATA!#REF!,DATA!#REF!,1,FALSE),"")</f>
        <v/>
      </c>
      <c r="D3450" s="16" t="str">
        <f>IFERROR(VLOOKUP(C3450,DATA!#REF!,2,FALSE),"")</f>
        <v/>
      </c>
    </row>
    <row r="3451" spans="3:4" s="230" customFormat="1">
      <c r="C3451" s="16" t="str">
        <f>IFERROR(VLOOKUP(DATA!#REF!,DATA!#REF!,1,FALSE),"")</f>
        <v/>
      </c>
      <c r="D3451" s="16" t="str">
        <f>IFERROR(VLOOKUP(C3451,DATA!#REF!,2,FALSE),"")</f>
        <v/>
      </c>
    </row>
    <row r="3452" spans="3:4" s="230" customFormat="1">
      <c r="C3452" s="16" t="str">
        <f>IFERROR(VLOOKUP(DATA!#REF!,DATA!#REF!,1,FALSE),"")</f>
        <v/>
      </c>
      <c r="D3452" s="16" t="str">
        <f>IFERROR(VLOOKUP(C3452,DATA!#REF!,2,FALSE),"")</f>
        <v/>
      </c>
    </row>
    <row r="3453" spans="3:4" s="230" customFormat="1">
      <c r="C3453" s="16" t="str">
        <f>IFERROR(VLOOKUP(DATA!#REF!,DATA!#REF!,1,FALSE),"")</f>
        <v/>
      </c>
      <c r="D3453" s="16" t="str">
        <f>IFERROR(VLOOKUP(C3453,DATA!#REF!,2,FALSE),"")</f>
        <v/>
      </c>
    </row>
    <row r="3454" spans="3:4" s="230" customFormat="1">
      <c r="C3454" s="16" t="str">
        <f>IFERROR(VLOOKUP(DATA!#REF!,DATA!#REF!,1,FALSE),"")</f>
        <v/>
      </c>
      <c r="D3454" s="16" t="str">
        <f>IFERROR(VLOOKUP(C3454,DATA!#REF!,2,FALSE),"")</f>
        <v/>
      </c>
    </row>
    <row r="3455" spans="3:4" s="230" customFormat="1">
      <c r="C3455" s="16" t="str">
        <f>IFERROR(VLOOKUP(DATA!#REF!,DATA!#REF!,1,FALSE),"")</f>
        <v/>
      </c>
      <c r="D3455" s="16" t="str">
        <f>IFERROR(VLOOKUP(C3455,DATA!#REF!,2,FALSE),"")</f>
        <v/>
      </c>
    </row>
    <row r="3456" spans="3:4" s="230" customFormat="1">
      <c r="C3456" s="16" t="str">
        <f>IFERROR(VLOOKUP(DATA!#REF!,DATA!#REF!,1,FALSE),"")</f>
        <v/>
      </c>
      <c r="D3456" s="16" t="str">
        <f>IFERROR(VLOOKUP(C3456,DATA!#REF!,2,FALSE),"")</f>
        <v/>
      </c>
    </row>
    <row r="3457" spans="3:4" s="230" customFormat="1">
      <c r="C3457" s="16" t="str">
        <f>IFERROR(VLOOKUP(DATA!#REF!,DATA!#REF!,1,FALSE),"")</f>
        <v/>
      </c>
      <c r="D3457" s="16" t="str">
        <f>IFERROR(VLOOKUP(C3457,DATA!#REF!,2,FALSE),"")</f>
        <v/>
      </c>
    </row>
    <row r="3458" spans="3:4" s="230" customFormat="1">
      <c r="C3458" s="16" t="str">
        <f>IFERROR(VLOOKUP(DATA!#REF!,DATA!#REF!,1,FALSE),"")</f>
        <v/>
      </c>
      <c r="D3458" s="16" t="str">
        <f>IFERROR(VLOOKUP(C3458,DATA!#REF!,2,FALSE),"")</f>
        <v/>
      </c>
    </row>
    <row r="3459" spans="3:4" s="230" customFormat="1">
      <c r="C3459" s="16" t="str">
        <f>IFERROR(VLOOKUP(DATA!#REF!,DATA!#REF!,1,FALSE),"")</f>
        <v/>
      </c>
      <c r="D3459" s="16" t="str">
        <f>IFERROR(VLOOKUP(C3459,DATA!#REF!,2,FALSE),"")</f>
        <v/>
      </c>
    </row>
    <row r="3460" spans="3:4" s="230" customFormat="1">
      <c r="C3460" s="16" t="str">
        <f>IFERROR(VLOOKUP(DATA!#REF!,DATA!#REF!,1,FALSE),"")</f>
        <v/>
      </c>
      <c r="D3460" s="16" t="str">
        <f>IFERROR(VLOOKUP(C3460,DATA!#REF!,2,FALSE),"")</f>
        <v/>
      </c>
    </row>
    <row r="3461" spans="3:4" s="230" customFormat="1">
      <c r="C3461" s="16" t="str">
        <f>IFERROR(VLOOKUP(DATA!#REF!,DATA!#REF!,1,FALSE),"")</f>
        <v/>
      </c>
      <c r="D3461" s="16" t="str">
        <f>IFERROR(VLOOKUP(C3461,DATA!#REF!,2,FALSE),"")</f>
        <v/>
      </c>
    </row>
    <row r="3462" spans="3:4" s="230" customFormat="1">
      <c r="C3462" s="16" t="str">
        <f>IFERROR(VLOOKUP(DATA!#REF!,DATA!#REF!,1,FALSE),"")</f>
        <v/>
      </c>
      <c r="D3462" s="16" t="str">
        <f>IFERROR(VLOOKUP(C3462,DATA!#REF!,2,FALSE),"")</f>
        <v/>
      </c>
    </row>
    <row r="3463" spans="3:4" s="230" customFormat="1">
      <c r="C3463" s="16" t="str">
        <f>IFERROR(VLOOKUP(DATA!#REF!,DATA!#REF!,1,FALSE),"")</f>
        <v/>
      </c>
      <c r="D3463" s="16" t="str">
        <f>IFERROR(VLOOKUP(C3463,DATA!#REF!,2,FALSE),"")</f>
        <v/>
      </c>
    </row>
    <row r="3464" spans="3:4" s="230" customFormat="1">
      <c r="C3464" s="16" t="str">
        <f>IFERROR(VLOOKUP(DATA!#REF!,DATA!#REF!,1,FALSE),"")</f>
        <v/>
      </c>
      <c r="D3464" s="16" t="str">
        <f>IFERROR(VLOOKUP(C3464,DATA!#REF!,2,FALSE),"")</f>
        <v/>
      </c>
    </row>
    <row r="3465" spans="3:4" s="230" customFormat="1">
      <c r="C3465" s="16" t="str">
        <f>IFERROR(VLOOKUP(DATA!#REF!,DATA!#REF!,1,FALSE),"")</f>
        <v/>
      </c>
      <c r="D3465" s="16" t="str">
        <f>IFERROR(VLOOKUP(C3465,DATA!#REF!,2,FALSE),"")</f>
        <v/>
      </c>
    </row>
    <row r="3466" spans="3:4" s="230" customFormat="1">
      <c r="C3466" s="16" t="str">
        <f>IFERROR(VLOOKUP(DATA!#REF!,DATA!#REF!,1,FALSE),"")</f>
        <v/>
      </c>
      <c r="D3466" s="16" t="str">
        <f>IFERROR(VLOOKUP(C3466,DATA!#REF!,2,FALSE),"")</f>
        <v/>
      </c>
    </row>
    <row r="3467" spans="3:4" s="230" customFormat="1">
      <c r="C3467" s="16" t="str">
        <f>IFERROR(VLOOKUP(DATA!#REF!,DATA!#REF!,1,FALSE),"")</f>
        <v/>
      </c>
      <c r="D3467" s="16" t="str">
        <f>IFERROR(VLOOKUP(C3467,DATA!#REF!,2,FALSE),"")</f>
        <v/>
      </c>
    </row>
    <row r="3468" spans="3:4" s="230" customFormat="1">
      <c r="C3468" s="16" t="str">
        <f>IFERROR(VLOOKUP(DATA!#REF!,DATA!#REF!,1,FALSE),"")</f>
        <v/>
      </c>
      <c r="D3468" s="16" t="str">
        <f>IFERROR(VLOOKUP(C3468,DATA!#REF!,2,FALSE),"")</f>
        <v/>
      </c>
    </row>
    <row r="3469" spans="3:4" s="230" customFormat="1">
      <c r="C3469" s="16" t="str">
        <f>IFERROR(VLOOKUP(DATA!#REF!,DATA!#REF!,1,FALSE),"")</f>
        <v/>
      </c>
      <c r="D3469" s="16" t="str">
        <f>IFERROR(VLOOKUP(C3469,DATA!#REF!,2,FALSE),"")</f>
        <v/>
      </c>
    </row>
    <row r="3470" spans="3:4" s="230" customFormat="1">
      <c r="C3470" s="16" t="str">
        <f>IFERROR(VLOOKUP(DATA!#REF!,DATA!#REF!,1,FALSE),"")</f>
        <v/>
      </c>
      <c r="D3470" s="16" t="str">
        <f>IFERROR(VLOOKUP(C3470,DATA!#REF!,2,FALSE),"")</f>
        <v/>
      </c>
    </row>
    <row r="3471" spans="3:4" s="230" customFormat="1">
      <c r="C3471" s="16" t="str">
        <f>IFERROR(VLOOKUP(DATA!#REF!,DATA!#REF!,1,FALSE),"")</f>
        <v/>
      </c>
      <c r="D3471" s="16" t="str">
        <f>IFERROR(VLOOKUP(C3471,DATA!#REF!,2,FALSE),"")</f>
        <v/>
      </c>
    </row>
    <row r="3472" spans="3:4" s="230" customFormat="1">
      <c r="C3472" s="16" t="str">
        <f>IFERROR(VLOOKUP(DATA!#REF!,DATA!#REF!,1,FALSE),"")</f>
        <v/>
      </c>
      <c r="D3472" s="16" t="str">
        <f>IFERROR(VLOOKUP(C3472,DATA!#REF!,2,FALSE),"")</f>
        <v/>
      </c>
    </row>
    <row r="3473" spans="3:4" s="230" customFormat="1">
      <c r="C3473" s="16" t="str">
        <f>IFERROR(VLOOKUP(DATA!#REF!,DATA!#REF!,1,FALSE),"")</f>
        <v/>
      </c>
      <c r="D3473" s="16" t="str">
        <f>IFERROR(VLOOKUP(C3473,DATA!#REF!,2,FALSE),"")</f>
        <v/>
      </c>
    </row>
    <row r="3474" spans="3:4" s="230" customFormat="1">
      <c r="C3474" s="16" t="str">
        <f>IFERROR(VLOOKUP(DATA!#REF!,DATA!#REF!,1,FALSE),"")</f>
        <v/>
      </c>
      <c r="D3474" s="16" t="str">
        <f>IFERROR(VLOOKUP(C3474,DATA!#REF!,2,FALSE),"")</f>
        <v/>
      </c>
    </row>
    <row r="3475" spans="3:4" s="230" customFormat="1">
      <c r="C3475" s="16" t="str">
        <f>IFERROR(VLOOKUP(DATA!#REF!,DATA!#REF!,1,FALSE),"")</f>
        <v/>
      </c>
      <c r="D3475" s="16" t="str">
        <f>IFERROR(VLOOKUP(C3475,DATA!#REF!,2,FALSE),"")</f>
        <v/>
      </c>
    </row>
    <row r="3476" spans="3:4" s="230" customFormat="1">
      <c r="C3476" s="16" t="str">
        <f>IFERROR(VLOOKUP(DATA!#REF!,DATA!#REF!,1,FALSE),"")</f>
        <v/>
      </c>
      <c r="D3476" s="16" t="str">
        <f>IFERROR(VLOOKUP(C3476,DATA!#REF!,2,FALSE),"")</f>
        <v/>
      </c>
    </row>
    <row r="3477" spans="3:4" s="230" customFormat="1">
      <c r="C3477" s="16" t="str">
        <f>IFERROR(VLOOKUP(DATA!#REF!,DATA!#REF!,1,FALSE),"")</f>
        <v/>
      </c>
      <c r="D3477" s="16" t="str">
        <f>IFERROR(VLOOKUP(C3477,DATA!#REF!,2,FALSE),"")</f>
        <v/>
      </c>
    </row>
    <row r="3478" spans="3:4" s="230" customFormat="1">
      <c r="C3478" s="16" t="str">
        <f>IFERROR(VLOOKUP(DATA!#REF!,DATA!#REF!,1,FALSE),"")</f>
        <v/>
      </c>
      <c r="D3478" s="16" t="str">
        <f>IFERROR(VLOOKUP(C3478,DATA!#REF!,2,FALSE),"")</f>
        <v/>
      </c>
    </row>
    <row r="3479" spans="3:4" s="230" customFormat="1">
      <c r="C3479" s="16" t="str">
        <f>IFERROR(VLOOKUP(DATA!#REF!,DATA!#REF!,1,FALSE),"")</f>
        <v/>
      </c>
      <c r="D3479" s="16" t="str">
        <f>IFERROR(VLOOKUP(C3479,DATA!#REF!,2,FALSE),"")</f>
        <v/>
      </c>
    </row>
    <row r="3480" spans="3:4" s="230" customFormat="1">
      <c r="C3480" s="16" t="str">
        <f>IFERROR(VLOOKUP(DATA!#REF!,DATA!#REF!,1,FALSE),"")</f>
        <v/>
      </c>
      <c r="D3480" s="16" t="str">
        <f>IFERROR(VLOOKUP(C3480,DATA!#REF!,2,FALSE),"")</f>
        <v/>
      </c>
    </row>
    <row r="3481" spans="3:4" s="230" customFormat="1">
      <c r="C3481" s="16" t="str">
        <f>IFERROR(VLOOKUP(DATA!#REF!,DATA!#REF!,1,FALSE),"")</f>
        <v/>
      </c>
      <c r="D3481" s="16" t="str">
        <f>IFERROR(VLOOKUP(C3481,DATA!#REF!,2,FALSE),"")</f>
        <v/>
      </c>
    </row>
    <row r="3482" spans="3:4" s="230" customFormat="1">
      <c r="C3482" s="16" t="str">
        <f>IFERROR(VLOOKUP(DATA!#REF!,DATA!#REF!,1,FALSE),"")</f>
        <v/>
      </c>
      <c r="D3482" s="16" t="str">
        <f>IFERROR(VLOOKUP(C3482,DATA!#REF!,2,FALSE),"")</f>
        <v/>
      </c>
    </row>
    <row r="3483" spans="3:4" s="230" customFormat="1">
      <c r="C3483" s="16" t="str">
        <f>IFERROR(VLOOKUP(DATA!#REF!,DATA!#REF!,1,FALSE),"")</f>
        <v/>
      </c>
      <c r="D3483" s="16" t="str">
        <f>IFERROR(VLOOKUP(C3483,DATA!#REF!,2,FALSE),"")</f>
        <v/>
      </c>
    </row>
    <row r="3484" spans="3:4" s="230" customFormat="1">
      <c r="C3484" s="16" t="str">
        <f>IFERROR(VLOOKUP(DATA!#REF!,DATA!#REF!,1,FALSE),"")</f>
        <v/>
      </c>
      <c r="D3484" s="16" t="str">
        <f>IFERROR(VLOOKUP(C3484,DATA!#REF!,2,FALSE),"")</f>
        <v/>
      </c>
    </row>
    <row r="3485" spans="3:4" s="230" customFormat="1">
      <c r="C3485" s="16" t="str">
        <f>IFERROR(VLOOKUP(DATA!#REF!,DATA!#REF!,1,FALSE),"")</f>
        <v/>
      </c>
      <c r="D3485" s="16" t="str">
        <f>IFERROR(VLOOKUP(C3485,DATA!#REF!,2,FALSE),"")</f>
        <v/>
      </c>
    </row>
    <row r="3486" spans="3:4" s="230" customFormat="1">
      <c r="C3486" s="16" t="str">
        <f>IFERROR(VLOOKUP(DATA!#REF!,DATA!#REF!,1,FALSE),"")</f>
        <v/>
      </c>
      <c r="D3486" s="16" t="str">
        <f>IFERROR(VLOOKUP(C3486,DATA!#REF!,2,FALSE),"")</f>
        <v/>
      </c>
    </row>
    <row r="3487" spans="3:4" s="230" customFormat="1">
      <c r="C3487" s="16" t="str">
        <f>IFERROR(VLOOKUP(DATA!#REF!,DATA!#REF!,1,FALSE),"")</f>
        <v/>
      </c>
      <c r="D3487" s="16" t="str">
        <f>IFERROR(VLOOKUP(C3487,DATA!#REF!,2,FALSE),"")</f>
        <v/>
      </c>
    </row>
    <row r="3488" spans="3:4" s="230" customFormat="1">
      <c r="C3488" s="16" t="str">
        <f>IFERROR(VLOOKUP(DATA!#REF!,DATA!#REF!,1,FALSE),"")</f>
        <v/>
      </c>
      <c r="D3488" s="16" t="str">
        <f>IFERROR(VLOOKUP(C3488,DATA!#REF!,2,FALSE),"")</f>
        <v/>
      </c>
    </row>
    <row r="3489" spans="3:4" s="230" customFormat="1">
      <c r="C3489" s="16" t="str">
        <f>IFERROR(VLOOKUP(DATA!#REF!,DATA!#REF!,1,FALSE),"")</f>
        <v/>
      </c>
      <c r="D3489" s="16" t="str">
        <f>IFERROR(VLOOKUP(C3489,DATA!#REF!,2,FALSE),"")</f>
        <v/>
      </c>
    </row>
    <row r="3490" spans="3:4" s="230" customFormat="1">
      <c r="C3490" s="16" t="str">
        <f>IFERROR(VLOOKUP(DATA!#REF!,DATA!#REF!,1,FALSE),"")</f>
        <v/>
      </c>
      <c r="D3490" s="16" t="str">
        <f>IFERROR(VLOOKUP(C3490,DATA!#REF!,2,FALSE),"")</f>
        <v/>
      </c>
    </row>
    <row r="3491" spans="3:4" s="230" customFormat="1">
      <c r="C3491" s="16" t="str">
        <f>IFERROR(VLOOKUP(DATA!#REF!,DATA!#REF!,1,FALSE),"")</f>
        <v/>
      </c>
      <c r="D3491" s="16" t="str">
        <f>IFERROR(VLOOKUP(C3491,DATA!#REF!,2,FALSE),"")</f>
        <v/>
      </c>
    </row>
    <row r="3492" spans="3:4" s="230" customFormat="1">
      <c r="C3492" s="16" t="str">
        <f>IFERROR(VLOOKUP(DATA!#REF!,DATA!#REF!,1,FALSE),"")</f>
        <v/>
      </c>
      <c r="D3492" s="16" t="str">
        <f>IFERROR(VLOOKUP(C3492,DATA!#REF!,2,FALSE),"")</f>
        <v/>
      </c>
    </row>
    <row r="3493" spans="3:4" s="230" customFormat="1">
      <c r="C3493" s="16" t="str">
        <f>IFERROR(VLOOKUP(DATA!#REF!,DATA!#REF!,1,FALSE),"")</f>
        <v/>
      </c>
      <c r="D3493" s="16" t="str">
        <f>IFERROR(VLOOKUP(C3493,DATA!#REF!,2,FALSE),"")</f>
        <v/>
      </c>
    </row>
    <row r="3494" spans="3:4" s="230" customFormat="1">
      <c r="C3494" s="16" t="str">
        <f>IFERROR(VLOOKUP(DATA!#REF!,DATA!#REF!,1,FALSE),"")</f>
        <v/>
      </c>
      <c r="D3494" s="16" t="str">
        <f>IFERROR(VLOOKUP(C3494,DATA!#REF!,2,FALSE),"")</f>
        <v/>
      </c>
    </row>
    <row r="3495" spans="3:4" s="230" customFormat="1">
      <c r="C3495" s="16" t="str">
        <f>IFERROR(VLOOKUP(DATA!#REF!,DATA!#REF!,1,FALSE),"")</f>
        <v/>
      </c>
      <c r="D3495" s="16" t="str">
        <f>IFERROR(VLOOKUP(C3495,DATA!#REF!,2,FALSE),"")</f>
        <v/>
      </c>
    </row>
    <row r="3496" spans="3:4" s="230" customFormat="1">
      <c r="C3496" s="16" t="str">
        <f>IFERROR(VLOOKUP(DATA!#REF!,DATA!#REF!,1,FALSE),"")</f>
        <v/>
      </c>
      <c r="D3496" s="16" t="str">
        <f>IFERROR(VLOOKUP(C3496,DATA!#REF!,2,FALSE),"")</f>
        <v/>
      </c>
    </row>
    <row r="3497" spans="3:4" s="230" customFormat="1">
      <c r="C3497" s="16" t="str">
        <f>IFERROR(VLOOKUP(DATA!#REF!,DATA!#REF!,1,FALSE),"")</f>
        <v/>
      </c>
      <c r="D3497" s="16" t="str">
        <f>IFERROR(VLOOKUP(C3497,DATA!#REF!,2,FALSE),"")</f>
        <v/>
      </c>
    </row>
    <row r="3498" spans="3:4" s="230" customFormat="1">
      <c r="C3498" s="16" t="str">
        <f>IFERROR(VLOOKUP(DATA!#REF!,DATA!#REF!,1,FALSE),"")</f>
        <v/>
      </c>
      <c r="D3498" s="16" t="str">
        <f>IFERROR(VLOOKUP(C3498,DATA!#REF!,2,FALSE),"")</f>
        <v/>
      </c>
    </row>
    <row r="3499" spans="3:4" s="230" customFormat="1">
      <c r="C3499" s="16" t="str">
        <f>IFERROR(VLOOKUP(DATA!#REF!,DATA!#REF!,1,FALSE),"")</f>
        <v/>
      </c>
      <c r="D3499" s="16" t="str">
        <f>IFERROR(VLOOKUP(C3499,DATA!#REF!,2,FALSE),"")</f>
        <v/>
      </c>
    </row>
    <row r="3500" spans="3:4" s="230" customFormat="1">
      <c r="C3500" s="16" t="str">
        <f>IFERROR(VLOOKUP(DATA!#REF!,DATA!#REF!,1,FALSE),"")</f>
        <v/>
      </c>
      <c r="D3500" s="16" t="str">
        <f>IFERROR(VLOOKUP(C3500,DATA!#REF!,2,FALSE),"")</f>
        <v/>
      </c>
    </row>
    <row r="3501" spans="3:4" s="230" customFormat="1">
      <c r="C3501" s="16" t="str">
        <f>IFERROR(VLOOKUP(DATA!#REF!,DATA!#REF!,1,FALSE),"")</f>
        <v/>
      </c>
      <c r="D3501" s="16" t="str">
        <f>IFERROR(VLOOKUP(C3501,DATA!#REF!,2,FALSE),"")</f>
        <v/>
      </c>
    </row>
    <row r="3502" spans="3:4" s="230" customFormat="1">
      <c r="C3502" s="16" t="str">
        <f>IFERROR(VLOOKUP(DATA!#REF!,DATA!#REF!,1,FALSE),"")</f>
        <v/>
      </c>
      <c r="D3502" s="16" t="str">
        <f>IFERROR(VLOOKUP(C3502,DATA!#REF!,2,FALSE),"")</f>
        <v/>
      </c>
    </row>
    <row r="3503" spans="3:4" s="230" customFormat="1">
      <c r="C3503" s="16" t="str">
        <f>IFERROR(VLOOKUP(DATA!#REF!,DATA!#REF!,1,FALSE),"")</f>
        <v/>
      </c>
      <c r="D3503" s="16" t="str">
        <f>IFERROR(VLOOKUP(C3503,DATA!#REF!,2,FALSE),"")</f>
        <v/>
      </c>
    </row>
    <row r="3504" spans="3:4" s="230" customFormat="1">
      <c r="C3504" s="16" t="str">
        <f>IFERROR(VLOOKUP(DATA!#REF!,DATA!#REF!,1,FALSE),"")</f>
        <v/>
      </c>
      <c r="D3504" s="16" t="str">
        <f>IFERROR(VLOOKUP(C3504,DATA!#REF!,2,FALSE),"")</f>
        <v/>
      </c>
    </row>
    <row r="3505" spans="3:4" s="230" customFormat="1">
      <c r="C3505" s="16" t="str">
        <f>IFERROR(VLOOKUP(DATA!#REF!,DATA!#REF!,1,FALSE),"")</f>
        <v/>
      </c>
      <c r="D3505" s="16" t="str">
        <f>IFERROR(VLOOKUP(C3505,DATA!#REF!,2,FALSE),"")</f>
        <v/>
      </c>
    </row>
    <row r="3506" spans="3:4" s="230" customFormat="1">
      <c r="C3506" s="16" t="str">
        <f>IFERROR(VLOOKUP(DATA!#REF!,DATA!#REF!,1,FALSE),"")</f>
        <v/>
      </c>
      <c r="D3506" s="16" t="str">
        <f>IFERROR(VLOOKUP(C3506,DATA!#REF!,2,FALSE),"")</f>
        <v/>
      </c>
    </row>
    <row r="3507" spans="3:4" s="230" customFormat="1">
      <c r="C3507" s="16" t="str">
        <f>IFERROR(VLOOKUP(DATA!#REF!,DATA!#REF!,1,FALSE),"")</f>
        <v/>
      </c>
      <c r="D3507" s="16" t="str">
        <f>IFERROR(VLOOKUP(C3507,DATA!#REF!,2,FALSE),"")</f>
        <v/>
      </c>
    </row>
    <row r="3508" spans="3:4" s="230" customFormat="1">
      <c r="C3508" s="16" t="str">
        <f>IFERROR(VLOOKUP(DATA!#REF!,DATA!#REF!,1,FALSE),"")</f>
        <v/>
      </c>
      <c r="D3508" s="16" t="str">
        <f>IFERROR(VLOOKUP(C3508,DATA!#REF!,2,FALSE),"")</f>
        <v/>
      </c>
    </row>
    <row r="3509" spans="3:4" s="230" customFormat="1">
      <c r="C3509" s="16" t="str">
        <f>IFERROR(VLOOKUP(DATA!#REF!,DATA!#REF!,1,FALSE),"")</f>
        <v/>
      </c>
      <c r="D3509" s="16" t="str">
        <f>IFERROR(VLOOKUP(C3509,DATA!#REF!,2,FALSE),"")</f>
        <v/>
      </c>
    </row>
    <row r="3510" spans="3:4" s="230" customFormat="1">
      <c r="C3510" s="16" t="str">
        <f>IFERROR(VLOOKUP(DATA!#REF!,DATA!#REF!,1,FALSE),"")</f>
        <v/>
      </c>
      <c r="D3510" s="16" t="str">
        <f>IFERROR(VLOOKUP(C3510,DATA!#REF!,2,FALSE),"")</f>
        <v/>
      </c>
    </row>
    <row r="3511" spans="3:4" s="230" customFormat="1">
      <c r="C3511" s="16" t="str">
        <f>IFERROR(VLOOKUP(DATA!#REF!,DATA!#REF!,1,FALSE),"")</f>
        <v/>
      </c>
      <c r="D3511" s="16" t="str">
        <f>IFERROR(VLOOKUP(C3511,DATA!#REF!,2,FALSE),"")</f>
        <v/>
      </c>
    </row>
    <row r="3512" spans="3:4" s="230" customFormat="1">
      <c r="C3512" s="16" t="str">
        <f>IFERROR(VLOOKUP(DATA!#REF!,DATA!#REF!,1,FALSE),"")</f>
        <v/>
      </c>
      <c r="D3512" s="16" t="str">
        <f>IFERROR(VLOOKUP(C3512,DATA!#REF!,2,FALSE),"")</f>
        <v/>
      </c>
    </row>
    <row r="3513" spans="3:4" s="230" customFormat="1">
      <c r="C3513" s="16" t="str">
        <f>IFERROR(VLOOKUP(DATA!#REF!,DATA!#REF!,1,FALSE),"")</f>
        <v/>
      </c>
      <c r="D3513" s="16" t="str">
        <f>IFERROR(VLOOKUP(C3513,DATA!#REF!,2,FALSE),"")</f>
        <v/>
      </c>
    </row>
    <row r="3514" spans="3:4" s="230" customFormat="1">
      <c r="C3514" s="16" t="str">
        <f>IFERROR(VLOOKUP(DATA!#REF!,DATA!#REF!,1,FALSE),"")</f>
        <v/>
      </c>
      <c r="D3514" s="16" t="str">
        <f>IFERROR(VLOOKUP(C3514,DATA!#REF!,2,FALSE),"")</f>
        <v/>
      </c>
    </row>
    <row r="3515" spans="3:4" s="230" customFormat="1">
      <c r="C3515" s="16" t="str">
        <f>IFERROR(VLOOKUP(DATA!#REF!,DATA!#REF!,1,FALSE),"")</f>
        <v/>
      </c>
      <c r="D3515" s="16" t="str">
        <f>IFERROR(VLOOKUP(C3515,DATA!#REF!,2,FALSE),"")</f>
        <v/>
      </c>
    </row>
    <row r="3516" spans="3:4" s="230" customFormat="1">
      <c r="C3516" s="16" t="str">
        <f>IFERROR(VLOOKUP(DATA!#REF!,DATA!#REF!,1,FALSE),"")</f>
        <v/>
      </c>
      <c r="D3516" s="16" t="str">
        <f>IFERROR(VLOOKUP(C3516,DATA!#REF!,2,FALSE),"")</f>
        <v/>
      </c>
    </row>
    <row r="3517" spans="3:4" s="230" customFormat="1">
      <c r="C3517" s="16" t="str">
        <f>IFERROR(VLOOKUP(DATA!#REF!,DATA!#REF!,1,FALSE),"")</f>
        <v/>
      </c>
      <c r="D3517" s="16" t="str">
        <f>IFERROR(VLOOKUP(C3517,DATA!#REF!,2,FALSE),"")</f>
        <v/>
      </c>
    </row>
    <row r="3518" spans="3:4" s="230" customFormat="1">
      <c r="C3518" s="16" t="str">
        <f>IFERROR(VLOOKUP(DATA!#REF!,DATA!#REF!,1,FALSE),"")</f>
        <v/>
      </c>
      <c r="D3518" s="16" t="str">
        <f>IFERROR(VLOOKUP(C3518,DATA!#REF!,2,FALSE),"")</f>
        <v/>
      </c>
    </row>
    <row r="3519" spans="3:4" s="230" customFormat="1">
      <c r="C3519" s="16" t="str">
        <f>IFERROR(VLOOKUP(DATA!#REF!,DATA!#REF!,1,FALSE),"")</f>
        <v/>
      </c>
      <c r="D3519" s="16" t="str">
        <f>IFERROR(VLOOKUP(C3519,DATA!#REF!,2,FALSE),"")</f>
        <v/>
      </c>
    </row>
    <row r="3520" spans="3:4" s="230" customFormat="1">
      <c r="C3520" s="16" t="str">
        <f>IFERROR(VLOOKUP(DATA!#REF!,DATA!#REF!,1,FALSE),"")</f>
        <v/>
      </c>
      <c r="D3520" s="16" t="str">
        <f>IFERROR(VLOOKUP(C3520,DATA!#REF!,2,FALSE),"")</f>
        <v/>
      </c>
    </row>
    <row r="3521" spans="3:4" s="230" customFormat="1">
      <c r="C3521" s="16" t="str">
        <f>IFERROR(VLOOKUP(DATA!#REF!,DATA!#REF!,1,FALSE),"")</f>
        <v/>
      </c>
      <c r="D3521" s="16" t="str">
        <f>IFERROR(VLOOKUP(C3521,DATA!#REF!,2,FALSE),"")</f>
        <v/>
      </c>
    </row>
    <row r="3522" spans="3:4" s="230" customFormat="1">
      <c r="C3522" s="16" t="str">
        <f>IFERROR(VLOOKUP(DATA!#REF!,DATA!#REF!,1,FALSE),"")</f>
        <v/>
      </c>
      <c r="D3522" s="16" t="str">
        <f>IFERROR(VLOOKUP(C3522,DATA!#REF!,2,FALSE),"")</f>
        <v/>
      </c>
    </row>
    <row r="3523" spans="3:4" s="230" customFormat="1">
      <c r="C3523" s="16" t="str">
        <f>IFERROR(VLOOKUP(DATA!#REF!,DATA!#REF!,1,FALSE),"")</f>
        <v/>
      </c>
      <c r="D3523" s="16" t="str">
        <f>IFERROR(VLOOKUP(C3523,DATA!#REF!,2,FALSE),"")</f>
        <v/>
      </c>
    </row>
    <row r="3524" spans="3:4" s="230" customFormat="1">
      <c r="C3524" s="16" t="str">
        <f>IFERROR(VLOOKUP(DATA!#REF!,DATA!#REF!,1,FALSE),"")</f>
        <v/>
      </c>
      <c r="D3524" s="16" t="str">
        <f>IFERROR(VLOOKUP(C3524,DATA!#REF!,2,FALSE),"")</f>
        <v/>
      </c>
    </row>
    <row r="3525" spans="3:4" s="230" customFormat="1">
      <c r="C3525" s="16" t="str">
        <f>IFERROR(VLOOKUP(DATA!#REF!,DATA!#REF!,1,FALSE),"")</f>
        <v/>
      </c>
      <c r="D3525" s="16" t="str">
        <f>IFERROR(VLOOKUP(C3525,DATA!#REF!,2,FALSE),"")</f>
        <v/>
      </c>
    </row>
    <row r="3526" spans="3:4" s="230" customFormat="1">
      <c r="C3526" s="16" t="str">
        <f>IFERROR(VLOOKUP(DATA!#REF!,DATA!#REF!,1,FALSE),"")</f>
        <v/>
      </c>
      <c r="D3526" s="16" t="str">
        <f>IFERROR(VLOOKUP(C3526,DATA!#REF!,2,FALSE),"")</f>
        <v/>
      </c>
    </row>
    <row r="3527" spans="3:4" s="230" customFormat="1">
      <c r="C3527" s="16" t="str">
        <f>IFERROR(VLOOKUP(DATA!#REF!,DATA!#REF!,1,FALSE),"")</f>
        <v/>
      </c>
      <c r="D3527" s="16" t="str">
        <f>IFERROR(VLOOKUP(C3527,DATA!#REF!,2,FALSE),"")</f>
        <v/>
      </c>
    </row>
    <row r="3528" spans="3:4" s="230" customFormat="1">
      <c r="C3528" s="16" t="str">
        <f>IFERROR(VLOOKUP(DATA!#REF!,DATA!#REF!,1,FALSE),"")</f>
        <v/>
      </c>
      <c r="D3528" s="16" t="str">
        <f>IFERROR(VLOOKUP(C3528,DATA!#REF!,2,FALSE),"")</f>
        <v/>
      </c>
    </row>
    <row r="3529" spans="3:4" s="230" customFormat="1">
      <c r="C3529" s="16" t="str">
        <f>IFERROR(VLOOKUP(DATA!#REF!,DATA!#REF!,1,FALSE),"")</f>
        <v/>
      </c>
      <c r="D3529" s="16" t="str">
        <f>IFERROR(VLOOKUP(C3529,DATA!#REF!,2,FALSE),"")</f>
        <v/>
      </c>
    </row>
    <row r="3530" spans="3:4" s="230" customFormat="1">
      <c r="C3530" s="16" t="str">
        <f>IFERROR(VLOOKUP(DATA!#REF!,DATA!#REF!,1,FALSE),"")</f>
        <v/>
      </c>
      <c r="D3530" s="16" t="str">
        <f>IFERROR(VLOOKUP(C3530,DATA!#REF!,2,FALSE),"")</f>
        <v/>
      </c>
    </row>
    <row r="3531" spans="3:4" s="230" customFormat="1">
      <c r="C3531" s="16" t="str">
        <f>IFERROR(VLOOKUP(DATA!#REF!,DATA!#REF!,1,FALSE),"")</f>
        <v/>
      </c>
      <c r="D3531" s="16" t="str">
        <f>IFERROR(VLOOKUP(C3531,DATA!#REF!,2,FALSE),"")</f>
        <v/>
      </c>
    </row>
    <row r="3532" spans="3:4" s="230" customFormat="1">
      <c r="C3532" s="16" t="str">
        <f>IFERROR(VLOOKUP(DATA!#REF!,DATA!#REF!,1,FALSE),"")</f>
        <v/>
      </c>
      <c r="D3532" s="16" t="str">
        <f>IFERROR(VLOOKUP(C3532,DATA!#REF!,2,FALSE),"")</f>
        <v/>
      </c>
    </row>
    <row r="3533" spans="3:4" s="230" customFormat="1">
      <c r="C3533" s="16" t="str">
        <f>IFERROR(VLOOKUP(DATA!#REF!,DATA!#REF!,1,FALSE),"")</f>
        <v/>
      </c>
      <c r="D3533" s="16" t="str">
        <f>IFERROR(VLOOKUP(C3533,DATA!#REF!,2,FALSE),"")</f>
        <v/>
      </c>
    </row>
    <row r="3534" spans="3:4" s="230" customFormat="1">
      <c r="C3534" s="16" t="str">
        <f>IFERROR(VLOOKUP(DATA!#REF!,DATA!#REF!,1,FALSE),"")</f>
        <v/>
      </c>
      <c r="D3534" s="16" t="str">
        <f>IFERROR(VLOOKUP(C3534,DATA!#REF!,2,FALSE),"")</f>
        <v/>
      </c>
    </row>
    <row r="3535" spans="3:4" s="230" customFormat="1">
      <c r="C3535" s="16" t="str">
        <f>IFERROR(VLOOKUP(DATA!#REF!,DATA!#REF!,1,FALSE),"")</f>
        <v/>
      </c>
      <c r="D3535" s="16" t="str">
        <f>IFERROR(VLOOKUP(C3535,DATA!#REF!,2,FALSE),"")</f>
        <v/>
      </c>
    </row>
    <row r="3536" spans="3:4" s="230" customFormat="1">
      <c r="C3536" s="16" t="str">
        <f>IFERROR(VLOOKUP(DATA!#REF!,DATA!#REF!,1,FALSE),"")</f>
        <v/>
      </c>
      <c r="D3536" s="16" t="str">
        <f>IFERROR(VLOOKUP(C3536,DATA!#REF!,2,FALSE),"")</f>
        <v/>
      </c>
    </row>
    <row r="3537" spans="3:4" s="230" customFormat="1">
      <c r="C3537" s="16" t="str">
        <f>IFERROR(VLOOKUP(DATA!#REF!,DATA!#REF!,1,FALSE),"")</f>
        <v/>
      </c>
      <c r="D3537" s="16" t="str">
        <f>IFERROR(VLOOKUP(C3537,DATA!#REF!,2,FALSE),"")</f>
        <v/>
      </c>
    </row>
    <row r="3538" spans="3:4" s="230" customFormat="1">
      <c r="C3538" s="16" t="str">
        <f>IFERROR(VLOOKUP(DATA!#REF!,DATA!#REF!,1,FALSE),"")</f>
        <v/>
      </c>
      <c r="D3538" s="16" t="str">
        <f>IFERROR(VLOOKUP(C3538,DATA!#REF!,2,FALSE),"")</f>
        <v/>
      </c>
    </row>
    <row r="3539" spans="3:4" s="230" customFormat="1">
      <c r="C3539" s="16" t="str">
        <f>IFERROR(VLOOKUP(DATA!#REF!,DATA!#REF!,1,FALSE),"")</f>
        <v/>
      </c>
      <c r="D3539" s="16" t="str">
        <f>IFERROR(VLOOKUP(C3539,DATA!#REF!,2,FALSE),"")</f>
        <v/>
      </c>
    </row>
    <row r="3540" spans="3:4" s="230" customFormat="1">
      <c r="C3540" s="16" t="str">
        <f>IFERROR(VLOOKUP(DATA!#REF!,DATA!#REF!,1,FALSE),"")</f>
        <v/>
      </c>
      <c r="D3540" s="16" t="str">
        <f>IFERROR(VLOOKUP(C3540,DATA!#REF!,2,FALSE),"")</f>
        <v/>
      </c>
    </row>
    <row r="3541" spans="3:4" s="230" customFormat="1">
      <c r="C3541" s="16" t="str">
        <f>IFERROR(VLOOKUP(DATA!#REF!,DATA!#REF!,1,FALSE),"")</f>
        <v/>
      </c>
      <c r="D3541" s="16" t="str">
        <f>IFERROR(VLOOKUP(C3541,DATA!#REF!,2,FALSE),"")</f>
        <v/>
      </c>
    </row>
    <row r="3542" spans="3:4" s="230" customFormat="1">
      <c r="C3542" s="16" t="str">
        <f>IFERROR(VLOOKUP(DATA!#REF!,DATA!#REF!,1,FALSE),"")</f>
        <v/>
      </c>
      <c r="D3542" s="16" t="str">
        <f>IFERROR(VLOOKUP(C3542,DATA!#REF!,2,FALSE),"")</f>
        <v/>
      </c>
    </row>
    <row r="3543" spans="3:4" s="230" customFormat="1">
      <c r="C3543" s="16" t="str">
        <f>IFERROR(VLOOKUP(DATA!#REF!,DATA!#REF!,1,FALSE),"")</f>
        <v/>
      </c>
      <c r="D3543" s="16" t="str">
        <f>IFERROR(VLOOKUP(C3543,DATA!#REF!,2,FALSE),"")</f>
        <v/>
      </c>
    </row>
    <row r="3544" spans="3:4" s="230" customFormat="1">
      <c r="C3544" s="16" t="str">
        <f>IFERROR(VLOOKUP(DATA!#REF!,DATA!#REF!,1,FALSE),"")</f>
        <v/>
      </c>
      <c r="D3544" s="16" t="str">
        <f>IFERROR(VLOOKUP(C3544,DATA!#REF!,2,FALSE),"")</f>
        <v/>
      </c>
    </row>
    <row r="3545" spans="3:4" s="230" customFormat="1">
      <c r="C3545" s="16" t="str">
        <f>IFERROR(VLOOKUP(DATA!#REF!,DATA!#REF!,1,FALSE),"")</f>
        <v/>
      </c>
      <c r="D3545" s="16" t="str">
        <f>IFERROR(VLOOKUP(C3545,DATA!#REF!,2,FALSE),"")</f>
        <v/>
      </c>
    </row>
    <row r="3546" spans="3:4" s="230" customFormat="1">
      <c r="C3546" s="16" t="str">
        <f>IFERROR(VLOOKUP(DATA!#REF!,DATA!#REF!,1,FALSE),"")</f>
        <v/>
      </c>
      <c r="D3546" s="16" t="str">
        <f>IFERROR(VLOOKUP(C3546,DATA!#REF!,2,FALSE),"")</f>
        <v/>
      </c>
    </row>
    <row r="3547" spans="3:4" s="230" customFormat="1">
      <c r="C3547" s="16" t="str">
        <f>IFERROR(VLOOKUP(DATA!#REF!,DATA!#REF!,1,FALSE),"")</f>
        <v/>
      </c>
      <c r="D3547" s="16" t="str">
        <f>IFERROR(VLOOKUP(C3547,DATA!#REF!,2,FALSE),"")</f>
        <v/>
      </c>
    </row>
    <row r="3548" spans="3:4" s="230" customFormat="1">
      <c r="C3548" s="16" t="str">
        <f>IFERROR(VLOOKUP(DATA!#REF!,DATA!#REF!,1,FALSE),"")</f>
        <v/>
      </c>
      <c r="D3548" s="16" t="str">
        <f>IFERROR(VLOOKUP(C3548,DATA!#REF!,2,FALSE),"")</f>
        <v/>
      </c>
    </row>
    <row r="3549" spans="3:4" s="230" customFormat="1">
      <c r="C3549" s="16" t="str">
        <f>IFERROR(VLOOKUP(DATA!#REF!,DATA!#REF!,1,FALSE),"")</f>
        <v/>
      </c>
      <c r="D3549" s="16" t="str">
        <f>IFERROR(VLOOKUP(C3549,DATA!#REF!,2,FALSE),"")</f>
        <v/>
      </c>
    </row>
    <row r="3550" spans="3:4" s="230" customFormat="1">
      <c r="C3550" s="16" t="str">
        <f>IFERROR(VLOOKUP(DATA!#REF!,DATA!#REF!,1,FALSE),"")</f>
        <v/>
      </c>
      <c r="D3550" s="16" t="str">
        <f>IFERROR(VLOOKUP(C3550,DATA!#REF!,2,FALSE),"")</f>
        <v/>
      </c>
    </row>
    <row r="3551" spans="3:4" s="230" customFormat="1">
      <c r="C3551" s="16" t="str">
        <f>IFERROR(VLOOKUP(DATA!#REF!,DATA!#REF!,1,FALSE),"")</f>
        <v/>
      </c>
      <c r="D3551" s="16" t="str">
        <f>IFERROR(VLOOKUP(C3551,DATA!#REF!,2,FALSE),"")</f>
        <v/>
      </c>
    </row>
    <row r="3552" spans="3:4" s="230" customFormat="1">
      <c r="C3552" s="16" t="str">
        <f>IFERROR(VLOOKUP(DATA!#REF!,DATA!#REF!,1,FALSE),"")</f>
        <v/>
      </c>
      <c r="D3552" s="16" t="str">
        <f>IFERROR(VLOOKUP(C3552,DATA!#REF!,2,FALSE),"")</f>
        <v/>
      </c>
    </row>
    <row r="3553" spans="3:4" s="230" customFormat="1">
      <c r="C3553" s="16" t="str">
        <f>IFERROR(VLOOKUP(DATA!#REF!,DATA!#REF!,1,FALSE),"")</f>
        <v/>
      </c>
      <c r="D3553" s="16" t="str">
        <f>IFERROR(VLOOKUP(C3553,DATA!#REF!,2,FALSE),"")</f>
        <v/>
      </c>
    </row>
    <row r="3554" spans="3:4" s="230" customFormat="1">
      <c r="C3554" s="16" t="str">
        <f>IFERROR(VLOOKUP(DATA!#REF!,DATA!#REF!,1,FALSE),"")</f>
        <v/>
      </c>
      <c r="D3554" s="16" t="str">
        <f>IFERROR(VLOOKUP(C3554,DATA!#REF!,2,FALSE),"")</f>
        <v/>
      </c>
    </row>
    <row r="3555" spans="3:4" s="230" customFormat="1">
      <c r="C3555" s="16" t="str">
        <f>IFERROR(VLOOKUP(DATA!#REF!,DATA!#REF!,1,FALSE),"")</f>
        <v/>
      </c>
      <c r="D3555" s="16" t="str">
        <f>IFERROR(VLOOKUP(C3555,DATA!#REF!,2,FALSE),"")</f>
        <v/>
      </c>
    </row>
    <row r="3556" spans="3:4" s="230" customFormat="1">
      <c r="C3556" s="16" t="str">
        <f>IFERROR(VLOOKUP(DATA!#REF!,DATA!#REF!,1,FALSE),"")</f>
        <v/>
      </c>
      <c r="D3556" s="16" t="str">
        <f>IFERROR(VLOOKUP(C3556,DATA!#REF!,2,FALSE),"")</f>
        <v/>
      </c>
    </row>
    <row r="3557" spans="3:4" s="230" customFormat="1">
      <c r="C3557" s="16" t="str">
        <f>IFERROR(VLOOKUP(DATA!#REF!,DATA!#REF!,1,FALSE),"")</f>
        <v/>
      </c>
      <c r="D3557" s="16" t="str">
        <f>IFERROR(VLOOKUP(C3557,DATA!#REF!,2,FALSE),"")</f>
        <v/>
      </c>
    </row>
    <row r="3558" spans="3:4" s="230" customFormat="1">
      <c r="C3558" s="16" t="str">
        <f>IFERROR(VLOOKUP(DATA!#REF!,DATA!#REF!,1,FALSE),"")</f>
        <v/>
      </c>
      <c r="D3558" s="16" t="str">
        <f>IFERROR(VLOOKUP(C3558,DATA!#REF!,2,FALSE),"")</f>
        <v/>
      </c>
    </row>
    <row r="3559" spans="3:4" s="230" customFormat="1">
      <c r="C3559" s="16" t="str">
        <f>IFERROR(VLOOKUP(DATA!#REF!,DATA!#REF!,1,FALSE),"")</f>
        <v/>
      </c>
      <c r="D3559" s="16" t="str">
        <f>IFERROR(VLOOKUP(C3559,DATA!#REF!,2,FALSE),"")</f>
        <v/>
      </c>
    </row>
    <row r="3560" spans="3:4" s="230" customFormat="1">
      <c r="C3560" s="16" t="str">
        <f>IFERROR(VLOOKUP(DATA!#REF!,DATA!#REF!,1,FALSE),"")</f>
        <v/>
      </c>
      <c r="D3560" s="16" t="str">
        <f>IFERROR(VLOOKUP(C3560,DATA!#REF!,2,FALSE),"")</f>
        <v/>
      </c>
    </row>
    <row r="3561" spans="3:4" s="230" customFormat="1">
      <c r="C3561" s="16" t="str">
        <f>IFERROR(VLOOKUP(DATA!#REF!,DATA!#REF!,1,FALSE),"")</f>
        <v/>
      </c>
      <c r="D3561" s="16" t="str">
        <f>IFERROR(VLOOKUP(C3561,DATA!#REF!,2,FALSE),"")</f>
        <v/>
      </c>
    </row>
    <row r="3562" spans="3:4" s="230" customFormat="1">
      <c r="C3562" s="16" t="str">
        <f>IFERROR(VLOOKUP(DATA!#REF!,DATA!#REF!,1,FALSE),"")</f>
        <v/>
      </c>
      <c r="D3562" s="16" t="str">
        <f>IFERROR(VLOOKUP(C3562,DATA!#REF!,2,FALSE),"")</f>
        <v/>
      </c>
    </row>
    <row r="3563" spans="3:4" s="230" customFormat="1">
      <c r="C3563" s="16" t="str">
        <f>IFERROR(VLOOKUP(DATA!#REF!,DATA!#REF!,1,FALSE),"")</f>
        <v/>
      </c>
      <c r="D3563" s="16" t="str">
        <f>IFERROR(VLOOKUP(C3563,DATA!#REF!,2,FALSE),"")</f>
        <v/>
      </c>
    </row>
    <row r="3564" spans="3:4" s="230" customFormat="1">
      <c r="C3564" s="16" t="str">
        <f>IFERROR(VLOOKUP(DATA!#REF!,DATA!#REF!,1,FALSE),"")</f>
        <v/>
      </c>
      <c r="D3564" s="16" t="str">
        <f>IFERROR(VLOOKUP(C3564,DATA!#REF!,2,FALSE),"")</f>
        <v/>
      </c>
    </row>
    <row r="3565" spans="3:4" s="230" customFormat="1">
      <c r="C3565" s="16" t="str">
        <f>IFERROR(VLOOKUP(DATA!#REF!,DATA!#REF!,1,FALSE),"")</f>
        <v/>
      </c>
      <c r="D3565" s="16" t="str">
        <f>IFERROR(VLOOKUP(C3565,DATA!#REF!,2,FALSE),"")</f>
        <v/>
      </c>
    </row>
    <row r="3566" spans="3:4" s="230" customFormat="1">
      <c r="C3566" s="16" t="str">
        <f>IFERROR(VLOOKUP(DATA!#REF!,DATA!#REF!,1,FALSE),"")</f>
        <v/>
      </c>
      <c r="D3566" s="16" t="str">
        <f>IFERROR(VLOOKUP(C3566,DATA!#REF!,2,FALSE),"")</f>
        <v/>
      </c>
    </row>
    <row r="3567" spans="3:4" s="230" customFormat="1">
      <c r="C3567" s="16" t="str">
        <f>IFERROR(VLOOKUP(DATA!#REF!,DATA!#REF!,1,FALSE),"")</f>
        <v/>
      </c>
      <c r="D3567" s="16" t="str">
        <f>IFERROR(VLOOKUP(C3567,DATA!#REF!,2,FALSE),"")</f>
        <v/>
      </c>
    </row>
    <row r="3568" spans="3:4" s="230" customFormat="1">
      <c r="C3568" s="16" t="str">
        <f>IFERROR(VLOOKUP(DATA!#REF!,DATA!#REF!,1,FALSE),"")</f>
        <v/>
      </c>
      <c r="D3568" s="16" t="str">
        <f>IFERROR(VLOOKUP(C3568,DATA!#REF!,2,FALSE),"")</f>
        <v/>
      </c>
    </row>
    <row r="3569" spans="3:4" s="230" customFormat="1">
      <c r="C3569" s="16" t="str">
        <f>IFERROR(VLOOKUP(DATA!#REF!,DATA!#REF!,1,FALSE),"")</f>
        <v/>
      </c>
      <c r="D3569" s="16" t="str">
        <f>IFERROR(VLOOKUP(C3569,DATA!#REF!,2,FALSE),"")</f>
        <v/>
      </c>
    </row>
    <row r="3570" spans="3:4" s="230" customFormat="1">
      <c r="C3570" s="16" t="str">
        <f>IFERROR(VLOOKUP(DATA!#REF!,DATA!#REF!,1,FALSE),"")</f>
        <v/>
      </c>
      <c r="D3570" s="16" t="str">
        <f>IFERROR(VLOOKUP(C3570,DATA!#REF!,2,FALSE),"")</f>
        <v/>
      </c>
    </row>
    <row r="3571" spans="3:4" s="230" customFormat="1">
      <c r="C3571" s="16" t="str">
        <f>IFERROR(VLOOKUP(DATA!#REF!,DATA!#REF!,1,FALSE),"")</f>
        <v/>
      </c>
      <c r="D3571" s="16" t="str">
        <f>IFERROR(VLOOKUP(C3571,DATA!#REF!,2,FALSE),"")</f>
        <v/>
      </c>
    </row>
    <row r="3572" spans="3:4" s="230" customFormat="1">
      <c r="C3572" s="16" t="str">
        <f>IFERROR(VLOOKUP(DATA!#REF!,DATA!#REF!,1,FALSE),"")</f>
        <v/>
      </c>
      <c r="D3572" s="16" t="str">
        <f>IFERROR(VLOOKUP(C3572,DATA!#REF!,2,FALSE),"")</f>
        <v/>
      </c>
    </row>
    <row r="3573" spans="3:4" s="230" customFormat="1">
      <c r="C3573" s="16" t="str">
        <f>IFERROR(VLOOKUP(DATA!#REF!,DATA!#REF!,1,FALSE),"")</f>
        <v/>
      </c>
      <c r="D3573" s="16" t="str">
        <f>IFERROR(VLOOKUP(C3573,DATA!#REF!,2,FALSE),"")</f>
        <v/>
      </c>
    </row>
    <row r="3574" spans="3:4" s="230" customFormat="1">
      <c r="C3574" s="16" t="str">
        <f>IFERROR(VLOOKUP(DATA!#REF!,DATA!#REF!,1,FALSE),"")</f>
        <v/>
      </c>
      <c r="D3574" s="16" t="str">
        <f>IFERROR(VLOOKUP(C3574,DATA!#REF!,2,FALSE),"")</f>
        <v/>
      </c>
    </row>
    <row r="3575" spans="3:4" s="230" customFormat="1">
      <c r="C3575" s="16" t="str">
        <f>IFERROR(VLOOKUP(DATA!#REF!,DATA!#REF!,1,FALSE),"")</f>
        <v/>
      </c>
      <c r="D3575" s="16" t="str">
        <f>IFERROR(VLOOKUP(C3575,DATA!#REF!,2,FALSE),"")</f>
        <v/>
      </c>
    </row>
    <row r="3576" spans="3:4" s="230" customFormat="1">
      <c r="C3576" s="16" t="str">
        <f>IFERROR(VLOOKUP(DATA!#REF!,DATA!#REF!,1,FALSE),"")</f>
        <v/>
      </c>
      <c r="D3576" s="16" t="str">
        <f>IFERROR(VLOOKUP(C3576,DATA!#REF!,2,FALSE),"")</f>
        <v/>
      </c>
    </row>
    <row r="3577" spans="3:4" s="230" customFormat="1">
      <c r="C3577" s="16" t="str">
        <f>IFERROR(VLOOKUP(DATA!#REF!,DATA!#REF!,1,FALSE),"")</f>
        <v/>
      </c>
      <c r="D3577" s="16" t="str">
        <f>IFERROR(VLOOKUP(C3577,DATA!#REF!,2,FALSE),"")</f>
        <v/>
      </c>
    </row>
    <row r="3578" spans="3:4" s="230" customFormat="1">
      <c r="C3578" s="16" t="str">
        <f>IFERROR(VLOOKUP(DATA!#REF!,DATA!#REF!,1,FALSE),"")</f>
        <v/>
      </c>
      <c r="D3578" s="16" t="str">
        <f>IFERROR(VLOOKUP(C3578,DATA!#REF!,2,FALSE),"")</f>
        <v/>
      </c>
    </row>
    <row r="3579" spans="3:4" s="230" customFormat="1">
      <c r="C3579" s="16" t="str">
        <f>IFERROR(VLOOKUP(DATA!#REF!,DATA!#REF!,1,FALSE),"")</f>
        <v/>
      </c>
      <c r="D3579" s="16" t="str">
        <f>IFERROR(VLOOKUP(C3579,DATA!#REF!,2,FALSE),"")</f>
        <v/>
      </c>
    </row>
    <row r="3580" spans="3:4" s="230" customFormat="1">
      <c r="C3580" s="16" t="str">
        <f>IFERROR(VLOOKUP(DATA!#REF!,DATA!#REF!,1,FALSE),"")</f>
        <v/>
      </c>
      <c r="D3580" s="16" t="str">
        <f>IFERROR(VLOOKUP(C3580,DATA!#REF!,2,FALSE),"")</f>
        <v/>
      </c>
    </row>
    <row r="3581" spans="3:4" s="230" customFormat="1">
      <c r="C3581" s="16" t="str">
        <f>IFERROR(VLOOKUP(DATA!#REF!,DATA!#REF!,1,FALSE),"")</f>
        <v/>
      </c>
      <c r="D3581" s="16" t="str">
        <f>IFERROR(VLOOKUP(C3581,DATA!#REF!,2,FALSE),"")</f>
        <v/>
      </c>
    </row>
    <row r="3582" spans="3:4" s="230" customFormat="1">
      <c r="C3582" s="16" t="str">
        <f>IFERROR(VLOOKUP(DATA!#REF!,DATA!#REF!,1,FALSE),"")</f>
        <v/>
      </c>
      <c r="D3582" s="16" t="str">
        <f>IFERROR(VLOOKUP(C3582,DATA!#REF!,2,FALSE),"")</f>
        <v/>
      </c>
    </row>
    <row r="3583" spans="3:4" s="230" customFormat="1">
      <c r="C3583" s="16" t="str">
        <f>IFERROR(VLOOKUP(DATA!#REF!,DATA!#REF!,1,FALSE),"")</f>
        <v/>
      </c>
      <c r="D3583" s="16" t="str">
        <f>IFERROR(VLOOKUP(C3583,DATA!#REF!,2,FALSE),"")</f>
        <v/>
      </c>
    </row>
    <row r="3584" spans="3:4" s="230" customFormat="1">
      <c r="C3584" s="16" t="str">
        <f>IFERROR(VLOOKUP(DATA!#REF!,DATA!#REF!,1,FALSE),"")</f>
        <v/>
      </c>
      <c r="D3584" s="16" t="str">
        <f>IFERROR(VLOOKUP(C3584,DATA!#REF!,2,FALSE),"")</f>
        <v/>
      </c>
    </row>
    <row r="3585" spans="3:4" s="230" customFormat="1">
      <c r="C3585" s="16" t="str">
        <f>IFERROR(VLOOKUP(DATA!#REF!,DATA!#REF!,1,FALSE),"")</f>
        <v/>
      </c>
      <c r="D3585" s="16" t="str">
        <f>IFERROR(VLOOKUP(C3585,DATA!#REF!,2,FALSE),"")</f>
        <v/>
      </c>
    </row>
    <row r="3586" spans="3:4" s="230" customFormat="1">
      <c r="C3586" s="16" t="str">
        <f>IFERROR(VLOOKUP(DATA!#REF!,DATA!#REF!,1,FALSE),"")</f>
        <v/>
      </c>
      <c r="D3586" s="16" t="str">
        <f>IFERROR(VLOOKUP(C3586,DATA!#REF!,2,FALSE),"")</f>
        <v/>
      </c>
    </row>
    <row r="3587" spans="3:4" s="230" customFormat="1">
      <c r="C3587" s="16" t="str">
        <f>IFERROR(VLOOKUP(DATA!#REF!,DATA!#REF!,1,FALSE),"")</f>
        <v/>
      </c>
      <c r="D3587" s="16" t="str">
        <f>IFERROR(VLOOKUP(C3587,DATA!#REF!,2,FALSE),"")</f>
        <v/>
      </c>
    </row>
    <row r="3588" spans="3:4" s="230" customFormat="1">
      <c r="C3588" s="16" t="str">
        <f>IFERROR(VLOOKUP(DATA!#REF!,DATA!#REF!,1,FALSE),"")</f>
        <v/>
      </c>
      <c r="D3588" s="16" t="str">
        <f>IFERROR(VLOOKUP(C3588,DATA!#REF!,2,FALSE),"")</f>
        <v/>
      </c>
    </row>
    <row r="3589" spans="3:4" s="230" customFormat="1">
      <c r="C3589" s="16" t="str">
        <f>IFERROR(VLOOKUP(DATA!#REF!,DATA!#REF!,1,FALSE),"")</f>
        <v/>
      </c>
      <c r="D3589" s="16" t="str">
        <f>IFERROR(VLOOKUP(C3589,DATA!#REF!,2,FALSE),"")</f>
        <v/>
      </c>
    </row>
    <row r="3590" spans="3:4" s="230" customFormat="1">
      <c r="C3590" s="16" t="str">
        <f>IFERROR(VLOOKUP(DATA!#REF!,DATA!#REF!,1,FALSE),"")</f>
        <v/>
      </c>
      <c r="D3590" s="16" t="str">
        <f>IFERROR(VLOOKUP(C3590,DATA!#REF!,2,FALSE),"")</f>
        <v/>
      </c>
    </row>
    <row r="3591" spans="3:4" s="230" customFormat="1">
      <c r="C3591" s="16" t="str">
        <f>IFERROR(VLOOKUP(DATA!#REF!,DATA!#REF!,1,FALSE),"")</f>
        <v/>
      </c>
      <c r="D3591" s="16" t="str">
        <f>IFERROR(VLOOKUP(C3591,DATA!#REF!,2,FALSE),"")</f>
        <v/>
      </c>
    </row>
    <row r="3592" spans="3:4" s="230" customFormat="1">
      <c r="C3592" s="16" t="str">
        <f>IFERROR(VLOOKUP(DATA!#REF!,DATA!#REF!,1,FALSE),"")</f>
        <v/>
      </c>
      <c r="D3592" s="16" t="str">
        <f>IFERROR(VLOOKUP(C3592,DATA!#REF!,2,FALSE),"")</f>
        <v/>
      </c>
    </row>
    <row r="3593" spans="3:4" s="230" customFormat="1">
      <c r="C3593" s="16" t="str">
        <f>IFERROR(VLOOKUP(DATA!#REF!,DATA!#REF!,1,FALSE),"")</f>
        <v/>
      </c>
      <c r="D3593" s="16" t="str">
        <f>IFERROR(VLOOKUP(C3593,DATA!#REF!,2,FALSE),"")</f>
        <v/>
      </c>
    </row>
    <row r="3594" spans="3:4" s="230" customFormat="1">
      <c r="C3594" s="16" t="str">
        <f>IFERROR(VLOOKUP(DATA!#REF!,DATA!#REF!,1,FALSE),"")</f>
        <v/>
      </c>
      <c r="D3594" s="16" t="str">
        <f>IFERROR(VLOOKUP(C3594,DATA!#REF!,2,FALSE),"")</f>
        <v/>
      </c>
    </row>
    <row r="3595" spans="3:4" s="230" customFormat="1">
      <c r="C3595" s="16" t="str">
        <f>IFERROR(VLOOKUP(DATA!#REF!,DATA!#REF!,1,FALSE),"")</f>
        <v/>
      </c>
      <c r="D3595" s="16" t="str">
        <f>IFERROR(VLOOKUP(C3595,DATA!#REF!,2,FALSE),"")</f>
        <v/>
      </c>
    </row>
    <row r="3596" spans="3:4" s="230" customFormat="1">
      <c r="C3596" s="16" t="str">
        <f>IFERROR(VLOOKUP(DATA!#REF!,DATA!#REF!,1,FALSE),"")</f>
        <v/>
      </c>
      <c r="D3596" s="16" t="str">
        <f>IFERROR(VLOOKUP(C3596,DATA!#REF!,2,FALSE),"")</f>
        <v/>
      </c>
    </row>
    <row r="3597" spans="3:4" s="230" customFormat="1">
      <c r="C3597" s="16" t="str">
        <f>IFERROR(VLOOKUP(DATA!#REF!,DATA!#REF!,1,FALSE),"")</f>
        <v/>
      </c>
      <c r="D3597" s="16" t="str">
        <f>IFERROR(VLOOKUP(C3597,DATA!#REF!,2,FALSE),"")</f>
        <v/>
      </c>
    </row>
    <row r="3598" spans="3:4" s="230" customFormat="1">
      <c r="C3598" s="16" t="str">
        <f>IFERROR(VLOOKUP(DATA!#REF!,DATA!#REF!,1,FALSE),"")</f>
        <v/>
      </c>
      <c r="D3598" s="16" t="str">
        <f>IFERROR(VLOOKUP(C3598,DATA!#REF!,2,FALSE),"")</f>
        <v/>
      </c>
    </row>
    <row r="3599" spans="3:4" s="230" customFormat="1">
      <c r="C3599" s="16" t="str">
        <f>IFERROR(VLOOKUP(DATA!#REF!,DATA!#REF!,1,FALSE),"")</f>
        <v/>
      </c>
      <c r="D3599" s="16" t="str">
        <f>IFERROR(VLOOKUP(C3599,DATA!#REF!,2,FALSE),"")</f>
        <v/>
      </c>
    </row>
    <row r="3600" spans="3:4" s="230" customFormat="1">
      <c r="C3600" s="16" t="str">
        <f>IFERROR(VLOOKUP(DATA!#REF!,DATA!#REF!,1,FALSE),"")</f>
        <v/>
      </c>
      <c r="D3600" s="16" t="str">
        <f>IFERROR(VLOOKUP(C3600,DATA!#REF!,2,FALSE),"")</f>
        <v/>
      </c>
    </row>
    <row r="3601" spans="3:4" s="230" customFormat="1">
      <c r="C3601" s="16" t="str">
        <f>IFERROR(VLOOKUP(DATA!#REF!,DATA!#REF!,1,FALSE),"")</f>
        <v/>
      </c>
      <c r="D3601" s="16" t="str">
        <f>IFERROR(VLOOKUP(C3601,DATA!#REF!,2,FALSE),"")</f>
        <v/>
      </c>
    </row>
    <row r="3602" spans="3:4" s="230" customFormat="1">
      <c r="C3602" s="16" t="str">
        <f>IFERROR(VLOOKUP(DATA!#REF!,DATA!#REF!,1,FALSE),"")</f>
        <v/>
      </c>
      <c r="D3602" s="16" t="str">
        <f>IFERROR(VLOOKUP(C3602,DATA!#REF!,2,FALSE),"")</f>
        <v/>
      </c>
    </row>
    <row r="3603" spans="3:4" s="230" customFormat="1">
      <c r="C3603" s="16" t="str">
        <f>IFERROR(VLOOKUP(DATA!#REF!,DATA!#REF!,1,FALSE),"")</f>
        <v/>
      </c>
      <c r="D3603" s="16" t="str">
        <f>IFERROR(VLOOKUP(C3603,DATA!#REF!,2,FALSE),"")</f>
        <v/>
      </c>
    </row>
    <row r="3604" spans="3:4" s="230" customFormat="1">
      <c r="C3604" s="16" t="str">
        <f>IFERROR(VLOOKUP(DATA!#REF!,DATA!#REF!,1,FALSE),"")</f>
        <v/>
      </c>
      <c r="D3604" s="16" t="str">
        <f>IFERROR(VLOOKUP(C3604,DATA!#REF!,2,FALSE),"")</f>
        <v/>
      </c>
    </row>
    <row r="3605" spans="3:4" s="230" customFormat="1">
      <c r="C3605" s="16" t="str">
        <f>IFERROR(VLOOKUP(DATA!#REF!,DATA!#REF!,1,FALSE),"")</f>
        <v/>
      </c>
      <c r="D3605" s="16" t="str">
        <f>IFERROR(VLOOKUP(C3605,DATA!#REF!,2,FALSE),"")</f>
        <v/>
      </c>
    </row>
    <row r="3606" spans="3:4" s="230" customFormat="1">
      <c r="C3606" s="16" t="str">
        <f>IFERROR(VLOOKUP(DATA!#REF!,DATA!#REF!,1,FALSE),"")</f>
        <v/>
      </c>
      <c r="D3606" s="16" t="str">
        <f>IFERROR(VLOOKUP(C3606,DATA!#REF!,2,FALSE),"")</f>
        <v/>
      </c>
    </row>
    <row r="3607" spans="3:4" s="230" customFormat="1">
      <c r="C3607" s="16" t="str">
        <f>IFERROR(VLOOKUP(DATA!#REF!,DATA!#REF!,1,FALSE),"")</f>
        <v/>
      </c>
      <c r="D3607" s="16" t="str">
        <f>IFERROR(VLOOKUP(C3607,DATA!#REF!,2,FALSE),"")</f>
        <v/>
      </c>
    </row>
    <row r="3608" spans="3:4" s="230" customFormat="1">
      <c r="C3608" s="16" t="str">
        <f>IFERROR(VLOOKUP(DATA!#REF!,DATA!#REF!,1,FALSE),"")</f>
        <v/>
      </c>
      <c r="D3608" s="16" t="str">
        <f>IFERROR(VLOOKUP(C3608,DATA!#REF!,2,FALSE),"")</f>
        <v/>
      </c>
    </row>
    <row r="3609" spans="3:4" s="230" customFormat="1">
      <c r="C3609" s="16" t="str">
        <f>IFERROR(VLOOKUP(DATA!#REF!,DATA!#REF!,1,FALSE),"")</f>
        <v/>
      </c>
      <c r="D3609" s="16" t="str">
        <f>IFERROR(VLOOKUP(C3609,DATA!#REF!,2,FALSE),"")</f>
        <v/>
      </c>
    </row>
    <row r="3610" spans="3:4" s="230" customFormat="1">
      <c r="C3610" s="16" t="str">
        <f>IFERROR(VLOOKUP(DATA!#REF!,DATA!#REF!,1,FALSE),"")</f>
        <v/>
      </c>
      <c r="D3610" s="16" t="str">
        <f>IFERROR(VLOOKUP(C3610,DATA!#REF!,2,FALSE),"")</f>
        <v/>
      </c>
    </row>
    <row r="3611" spans="3:4" s="230" customFormat="1">
      <c r="C3611" s="16" t="str">
        <f>IFERROR(VLOOKUP(DATA!#REF!,DATA!#REF!,1,FALSE),"")</f>
        <v/>
      </c>
      <c r="D3611" s="16" t="str">
        <f>IFERROR(VLOOKUP(C3611,DATA!#REF!,2,FALSE),"")</f>
        <v/>
      </c>
    </row>
    <row r="3612" spans="3:4" s="230" customFormat="1">
      <c r="C3612" s="16" t="str">
        <f>IFERROR(VLOOKUP(DATA!#REF!,DATA!#REF!,1,FALSE),"")</f>
        <v/>
      </c>
      <c r="D3612" s="16" t="str">
        <f>IFERROR(VLOOKUP(C3612,DATA!#REF!,2,FALSE),"")</f>
        <v/>
      </c>
    </row>
    <row r="3613" spans="3:4" s="230" customFormat="1">
      <c r="C3613" s="16" t="str">
        <f>IFERROR(VLOOKUP(DATA!#REF!,DATA!#REF!,1,FALSE),"")</f>
        <v/>
      </c>
      <c r="D3613" s="16" t="str">
        <f>IFERROR(VLOOKUP(C3613,DATA!#REF!,2,FALSE),"")</f>
        <v/>
      </c>
    </row>
    <row r="3614" spans="3:4" s="230" customFormat="1">
      <c r="C3614" s="16" t="str">
        <f>IFERROR(VLOOKUP(DATA!#REF!,DATA!#REF!,1,FALSE),"")</f>
        <v/>
      </c>
      <c r="D3614" s="16" t="str">
        <f>IFERROR(VLOOKUP(C3614,DATA!#REF!,2,FALSE),"")</f>
        <v/>
      </c>
    </row>
    <row r="3615" spans="3:4" s="230" customFormat="1">
      <c r="C3615" s="16" t="str">
        <f>IFERROR(VLOOKUP(DATA!#REF!,DATA!#REF!,1,FALSE),"")</f>
        <v/>
      </c>
      <c r="D3615" s="16" t="str">
        <f>IFERROR(VLOOKUP(C3615,DATA!#REF!,2,FALSE),"")</f>
        <v/>
      </c>
    </row>
    <row r="3616" spans="3:4" s="230" customFormat="1">
      <c r="C3616" s="16" t="str">
        <f>IFERROR(VLOOKUP(DATA!#REF!,DATA!#REF!,1,FALSE),"")</f>
        <v/>
      </c>
      <c r="D3616" s="16" t="str">
        <f>IFERROR(VLOOKUP(C3616,DATA!#REF!,2,FALSE),"")</f>
        <v/>
      </c>
    </row>
    <row r="3617" spans="3:4" s="230" customFormat="1">
      <c r="C3617" s="16" t="str">
        <f>IFERROR(VLOOKUP(DATA!#REF!,DATA!#REF!,1,FALSE),"")</f>
        <v/>
      </c>
      <c r="D3617" s="16" t="str">
        <f>IFERROR(VLOOKUP(C3617,DATA!#REF!,2,FALSE),"")</f>
        <v/>
      </c>
    </row>
    <row r="3618" spans="3:4" s="230" customFormat="1">
      <c r="C3618" s="16" t="str">
        <f>IFERROR(VLOOKUP(DATA!#REF!,DATA!#REF!,1,FALSE),"")</f>
        <v/>
      </c>
      <c r="D3618" s="16" t="str">
        <f>IFERROR(VLOOKUP(C3618,DATA!#REF!,2,FALSE),"")</f>
        <v/>
      </c>
    </row>
    <row r="3619" spans="3:4" s="230" customFormat="1">
      <c r="C3619" s="16" t="str">
        <f>IFERROR(VLOOKUP(DATA!#REF!,DATA!#REF!,1,FALSE),"")</f>
        <v/>
      </c>
      <c r="D3619" s="16" t="str">
        <f>IFERROR(VLOOKUP(C3619,DATA!#REF!,2,FALSE),"")</f>
        <v/>
      </c>
    </row>
    <row r="3620" spans="3:4" s="230" customFormat="1">
      <c r="C3620" s="16" t="str">
        <f>IFERROR(VLOOKUP(DATA!#REF!,DATA!#REF!,1,FALSE),"")</f>
        <v/>
      </c>
      <c r="D3620" s="16" t="str">
        <f>IFERROR(VLOOKUP(C3620,DATA!#REF!,2,FALSE),"")</f>
        <v/>
      </c>
    </row>
    <row r="3621" spans="3:4" s="230" customFormat="1">
      <c r="C3621" s="16" t="str">
        <f>IFERROR(VLOOKUP(DATA!#REF!,DATA!#REF!,1,FALSE),"")</f>
        <v/>
      </c>
      <c r="D3621" s="16" t="str">
        <f>IFERROR(VLOOKUP(C3621,DATA!#REF!,2,FALSE),"")</f>
        <v/>
      </c>
    </row>
    <row r="3622" spans="3:4" s="230" customFormat="1">
      <c r="C3622" s="16" t="str">
        <f>IFERROR(VLOOKUP(DATA!#REF!,DATA!#REF!,1,FALSE),"")</f>
        <v/>
      </c>
      <c r="D3622" s="16" t="str">
        <f>IFERROR(VLOOKUP(C3622,DATA!#REF!,2,FALSE),"")</f>
        <v/>
      </c>
    </row>
    <row r="3623" spans="3:4" s="230" customFormat="1">
      <c r="C3623" s="16" t="str">
        <f>IFERROR(VLOOKUP(DATA!#REF!,DATA!#REF!,1,FALSE),"")</f>
        <v/>
      </c>
      <c r="D3623" s="16" t="str">
        <f>IFERROR(VLOOKUP(C3623,DATA!#REF!,2,FALSE),"")</f>
        <v/>
      </c>
    </row>
    <row r="3624" spans="3:4" s="230" customFormat="1">
      <c r="C3624" s="16" t="str">
        <f>IFERROR(VLOOKUP(DATA!#REF!,DATA!#REF!,1,FALSE),"")</f>
        <v/>
      </c>
      <c r="D3624" s="16" t="str">
        <f>IFERROR(VLOOKUP(C3624,DATA!#REF!,2,FALSE),"")</f>
        <v/>
      </c>
    </row>
    <row r="3625" spans="3:4" s="230" customFormat="1">
      <c r="C3625" s="16" t="str">
        <f>IFERROR(VLOOKUP(DATA!#REF!,DATA!#REF!,1,FALSE),"")</f>
        <v/>
      </c>
      <c r="D3625" s="16" t="str">
        <f>IFERROR(VLOOKUP(C3625,DATA!#REF!,2,FALSE),"")</f>
        <v/>
      </c>
    </row>
    <row r="3626" spans="3:4" s="230" customFormat="1">
      <c r="C3626" s="16" t="str">
        <f>IFERROR(VLOOKUP(DATA!#REF!,DATA!#REF!,1,FALSE),"")</f>
        <v/>
      </c>
      <c r="D3626" s="16" t="str">
        <f>IFERROR(VLOOKUP(C3626,DATA!#REF!,2,FALSE),"")</f>
        <v/>
      </c>
    </row>
    <row r="3627" spans="3:4" s="230" customFormat="1">
      <c r="C3627" s="16" t="str">
        <f>IFERROR(VLOOKUP(DATA!#REF!,DATA!#REF!,1,FALSE),"")</f>
        <v/>
      </c>
      <c r="D3627" s="16" t="str">
        <f>IFERROR(VLOOKUP(C3627,DATA!#REF!,2,FALSE),"")</f>
        <v/>
      </c>
    </row>
    <row r="3628" spans="3:4" s="230" customFormat="1">
      <c r="C3628" s="16" t="str">
        <f>IFERROR(VLOOKUP(DATA!#REF!,DATA!#REF!,1,FALSE),"")</f>
        <v/>
      </c>
      <c r="D3628" s="16" t="str">
        <f>IFERROR(VLOOKUP(C3628,DATA!#REF!,2,FALSE),"")</f>
        <v/>
      </c>
    </row>
    <row r="3629" spans="3:4" s="230" customFormat="1">
      <c r="C3629" s="16" t="str">
        <f>IFERROR(VLOOKUP(DATA!#REF!,DATA!#REF!,1,FALSE),"")</f>
        <v/>
      </c>
      <c r="D3629" s="16" t="str">
        <f>IFERROR(VLOOKUP(C3629,DATA!#REF!,2,FALSE),"")</f>
        <v/>
      </c>
    </row>
    <row r="3630" spans="3:4" s="230" customFormat="1">
      <c r="C3630" s="16" t="str">
        <f>IFERROR(VLOOKUP(DATA!#REF!,DATA!#REF!,1,FALSE),"")</f>
        <v/>
      </c>
      <c r="D3630" s="16" t="str">
        <f>IFERROR(VLOOKUP(C3630,DATA!#REF!,2,FALSE),"")</f>
        <v/>
      </c>
    </row>
    <row r="3631" spans="3:4" s="230" customFormat="1">
      <c r="C3631" s="16" t="str">
        <f>IFERROR(VLOOKUP(DATA!#REF!,DATA!#REF!,1,FALSE),"")</f>
        <v/>
      </c>
      <c r="D3631" s="16" t="str">
        <f>IFERROR(VLOOKUP(C3631,DATA!#REF!,2,FALSE),"")</f>
        <v/>
      </c>
    </row>
    <row r="3632" spans="3:4" s="230" customFormat="1">
      <c r="C3632" s="16" t="str">
        <f>IFERROR(VLOOKUP(DATA!#REF!,DATA!#REF!,1,FALSE),"")</f>
        <v/>
      </c>
      <c r="D3632" s="16" t="str">
        <f>IFERROR(VLOOKUP(C3632,DATA!#REF!,2,FALSE),"")</f>
        <v/>
      </c>
    </row>
    <row r="3633" spans="3:4" s="230" customFormat="1">
      <c r="C3633" s="16" t="str">
        <f>IFERROR(VLOOKUP(DATA!#REF!,DATA!#REF!,1,FALSE),"")</f>
        <v/>
      </c>
      <c r="D3633" s="16" t="str">
        <f>IFERROR(VLOOKUP(C3633,DATA!#REF!,2,FALSE),"")</f>
        <v/>
      </c>
    </row>
    <row r="3634" spans="3:4" s="230" customFormat="1">
      <c r="C3634" s="16" t="str">
        <f>IFERROR(VLOOKUP(DATA!#REF!,DATA!#REF!,1,FALSE),"")</f>
        <v/>
      </c>
      <c r="D3634" s="16" t="str">
        <f>IFERROR(VLOOKUP(C3634,DATA!#REF!,2,FALSE),"")</f>
        <v/>
      </c>
    </row>
    <row r="3635" spans="3:4" s="230" customFormat="1">
      <c r="C3635" s="16" t="str">
        <f>IFERROR(VLOOKUP(DATA!#REF!,DATA!#REF!,1,FALSE),"")</f>
        <v/>
      </c>
      <c r="D3635" s="16" t="str">
        <f>IFERROR(VLOOKUP(C3635,DATA!#REF!,2,FALSE),"")</f>
        <v/>
      </c>
    </row>
    <row r="3636" spans="3:4" s="230" customFormat="1">
      <c r="C3636" s="16" t="str">
        <f>IFERROR(VLOOKUP(DATA!#REF!,DATA!#REF!,1,FALSE),"")</f>
        <v/>
      </c>
      <c r="D3636" s="16" t="str">
        <f>IFERROR(VLOOKUP(C3636,DATA!#REF!,2,FALSE),"")</f>
        <v/>
      </c>
    </row>
    <row r="3637" spans="3:4" s="230" customFormat="1">
      <c r="C3637" s="16" t="str">
        <f>IFERROR(VLOOKUP(DATA!#REF!,DATA!#REF!,1,FALSE),"")</f>
        <v/>
      </c>
      <c r="D3637" s="16" t="str">
        <f>IFERROR(VLOOKUP(C3637,DATA!#REF!,2,FALSE),"")</f>
        <v/>
      </c>
    </row>
    <row r="3638" spans="3:4" s="230" customFormat="1">
      <c r="C3638" s="16" t="str">
        <f>IFERROR(VLOOKUP(DATA!#REF!,DATA!#REF!,1,FALSE),"")</f>
        <v/>
      </c>
      <c r="D3638" s="16" t="str">
        <f>IFERROR(VLOOKUP(C3638,DATA!#REF!,2,FALSE),"")</f>
        <v/>
      </c>
    </row>
    <row r="3639" spans="3:4" s="230" customFormat="1">
      <c r="C3639" s="16" t="str">
        <f>IFERROR(VLOOKUP(DATA!#REF!,DATA!#REF!,1,FALSE),"")</f>
        <v/>
      </c>
      <c r="D3639" s="16" t="str">
        <f>IFERROR(VLOOKUP(C3639,DATA!#REF!,2,FALSE),"")</f>
        <v/>
      </c>
    </row>
    <row r="3640" spans="3:4" s="230" customFormat="1">
      <c r="C3640" s="16" t="str">
        <f>IFERROR(VLOOKUP(DATA!#REF!,DATA!#REF!,1,FALSE),"")</f>
        <v/>
      </c>
      <c r="D3640" s="16" t="str">
        <f>IFERROR(VLOOKUP(C3640,DATA!#REF!,2,FALSE),"")</f>
        <v/>
      </c>
    </row>
    <row r="3641" spans="3:4" s="230" customFormat="1">
      <c r="C3641" s="16" t="str">
        <f>IFERROR(VLOOKUP(DATA!#REF!,DATA!#REF!,1,FALSE),"")</f>
        <v/>
      </c>
      <c r="D3641" s="16" t="str">
        <f>IFERROR(VLOOKUP(C3641,DATA!#REF!,2,FALSE),"")</f>
        <v/>
      </c>
    </row>
    <row r="3642" spans="3:4" s="230" customFormat="1">
      <c r="C3642" s="16" t="str">
        <f>IFERROR(VLOOKUP(DATA!#REF!,DATA!#REF!,1,FALSE),"")</f>
        <v/>
      </c>
      <c r="D3642" s="16" t="str">
        <f>IFERROR(VLOOKUP(C3642,DATA!#REF!,2,FALSE),"")</f>
        <v/>
      </c>
    </row>
    <row r="3643" spans="3:4" s="230" customFormat="1">
      <c r="C3643" s="16" t="str">
        <f>IFERROR(VLOOKUP(DATA!#REF!,DATA!#REF!,1,FALSE),"")</f>
        <v/>
      </c>
      <c r="D3643" s="16" t="str">
        <f>IFERROR(VLOOKUP(C3643,DATA!#REF!,2,FALSE),"")</f>
        <v/>
      </c>
    </row>
    <row r="3644" spans="3:4" s="230" customFormat="1">
      <c r="C3644" s="16" t="str">
        <f>IFERROR(VLOOKUP(DATA!#REF!,DATA!#REF!,1,FALSE),"")</f>
        <v/>
      </c>
      <c r="D3644" s="16" t="str">
        <f>IFERROR(VLOOKUP(C3644,DATA!#REF!,2,FALSE),"")</f>
        <v/>
      </c>
    </row>
    <row r="3645" spans="3:4" s="230" customFormat="1">
      <c r="C3645" s="16" t="str">
        <f>IFERROR(VLOOKUP(DATA!#REF!,DATA!#REF!,1,FALSE),"")</f>
        <v/>
      </c>
      <c r="D3645" s="16" t="str">
        <f>IFERROR(VLOOKUP(C3645,DATA!#REF!,2,FALSE),"")</f>
        <v/>
      </c>
    </row>
    <row r="3646" spans="3:4" s="230" customFormat="1">
      <c r="C3646" s="16" t="str">
        <f>IFERROR(VLOOKUP(DATA!#REF!,DATA!#REF!,1,FALSE),"")</f>
        <v/>
      </c>
      <c r="D3646" s="16" t="str">
        <f>IFERROR(VLOOKUP(C3646,DATA!#REF!,2,FALSE),"")</f>
        <v/>
      </c>
    </row>
    <row r="3647" spans="3:4" s="230" customFormat="1">
      <c r="C3647" s="16" t="str">
        <f>IFERROR(VLOOKUP(DATA!#REF!,DATA!#REF!,1,FALSE),"")</f>
        <v/>
      </c>
      <c r="D3647" s="16" t="str">
        <f>IFERROR(VLOOKUP(C3647,DATA!#REF!,2,FALSE),"")</f>
        <v/>
      </c>
    </row>
    <row r="3648" spans="3:4" s="230" customFormat="1">
      <c r="C3648" s="16" t="str">
        <f>IFERROR(VLOOKUP(DATA!#REF!,DATA!#REF!,1,FALSE),"")</f>
        <v/>
      </c>
      <c r="D3648" s="16" t="str">
        <f>IFERROR(VLOOKUP(C3648,DATA!#REF!,2,FALSE),"")</f>
        <v/>
      </c>
    </row>
    <row r="3649" spans="3:4" s="230" customFormat="1">
      <c r="C3649" s="16" t="str">
        <f>IFERROR(VLOOKUP(DATA!#REF!,DATA!#REF!,1,FALSE),"")</f>
        <v/>
      </c>
      <c r="D3649" s="16" t="str">
        <f>IFERROR(VLOOKUP(C3649,DATA!#REF!,2,FALSE),"")</f>
        <v/>
      </c>
    </row>
    <row r="3650" spans="3:4" s="230" customFormat="1">
      <c r="C3650" s="16" t="str">
        <f>IFERROR(VLOOKUP(DATA!#REF!,DATA!#REF!,1,FALSE),"")</f>
        <v/>
      </c>
      <c r="D3650" s="16" t="str">
        <f>IFERROR(VLOOKUP(C3650,DATA!#REF!,2,FALSE),"")</f>
        <v/>
      </c>
    </row>
    <row r="3651" spans="3:4" s="230" customFormat="1">
      <c r="C3651" s="16" t="str">
        <f>IFERROR(VLOOKUP(DATA!#REF!,DATA!#REF!,1,FALSE),"")</f>
        <v/>
      </c>
      <c r="D3651" s="16" t="str">
        <f>IFERROR(VLOOKUP(C3651,DATA!#REF!,2,FALSE),"")</f>
        <v/>
      </c>
    </row>
    <row r="3652" spans="3:4" s="230" customFormat="1">
      <c r="C3652" s="16" t="str">
        <f>IFERROR(VLOOKUP(DATA!#REF!,DATA!#REF!,1,FALSE),"")</f>
        <v/>
      </c>
      <c r="D3652" s="16" t="str">
        <f>IFERROR(VLOOKUP(C3652,DATA!#REF!,2,FALSE),"")</f>
        <v/>
      </c>
    </row>
    <row r="3653" spans="3:4" s="230" customFormat="1">
      <c r="C3653" s="16" t="str">
        <f>IFERROR(VLOOKUP(DATA!#REF!,DATA!#REF!,1,FALSE),"")</f>
        <v/>
      </c>
      <c r="D3653" s="16" t="str">
        <f>IFERROR(VLOOKUP(C3653,DATA!#REF!,2,FALSE),"")</f>
        <v/>
      </c>
    </row>
    <row r="3654" spans="3:4" s="230" customFormat="1">
      <c r="C3654" s="16" t="str">
        <f>IFERROR(VLOOKUP(DATA!#REF!,DATA!#REF!,1,FALSE),"")</f>
        <v/>
      </c>
      <c r="D3654" s="16" t="str">
        <f>IFERROR(VLOOKUP(C3654,DATA!#REF!,2,FALSE),"")</f>
        <v/>
      </c>
    </row>
    <row r="3655" spans="3:4" s="230" customFormat="1">
      <c r="C3655" s="16" t="str">
        <f>IFERROR(VLOOKUP(DATA!#REF!,DATA!#REF!,1,FALSE),"")</f>
        <v/>
      </c>
      <c r="D3655" s="16" t="str">
        <f>IFERROR(VLOOKUP(C3655,DATA!#REF!,2,FALSE),"")</f>
        <v/>
      </c>
    </row>
    <row r="3656" spans="3:4" s="230" customFormat="1">
      <c r="C3656" s="16" t="str">
        <f>IFERROR(VLOOKUP(DATA!#REF!,DATA!#REF!,1,FALSE),"")</f>
        <v/>
      </c>
      <c r="D3656" s="16" t="str">
        <f>IFERROR(VLOOKUP(C3656,DATA!#REF!,2,FALSE),"")</f>
        <v/>
      </c>
    </row>
    <row r="3657" spans="3:4" s="230" customFormat="1">
      <c r="C3657" s="16" t="str">
        <f>IFERROR(VLOOKUP(DATA!#REF!,DATA!#REF!,1,FALSE),"")</f>
        <v/>
      </c>
      <c r="D3657" s="16" t="str">
        <f>IFERROR(VLOOKUP(C3657,DATA!#REF!,2,FALSE),"")</f>
        <v/>
      </c>
    </row>
    <row r="3658" spans="3:4" s="230" customFormat="1">
      <c r="C3658" s="16" t="str">
        <f>IFERROR(VLOOKUP(DATA!#REF!,DATA!#REF!,1,FALSE),"")</f>
        <v/>
      </c>
      <c r="D3658" s="16" t="str">
        <f>IFERROR(VLOOKUP(C3658,DATA!#REF!,2,FALSE),"")</f>
        <v/>
      </c>
    </row>
    <row r="3659" spans="3:4" s="230" customFormat="1">
      <c r="C3659" s="16" t="str">
        <f>IFERROR(VLOOKUP(DATA!#REF!,DATA!#REF!,1,FALSE),"")</f>
        <v/>
      </c>
      <c r="D3659" s="16" t="str">
        <f>IFERROR(VLOOKUP(C3659,DATA!#REF!,2,FALSE),"")</f>
        <v/>
      </c>
    </row>
    <row r="3660" spans="3:4" s="230" customFormat="1">
      <c r="C3660" s="16" t="str">
        <f>IFERROR(VLOOKUP(DATA!#REF!,DATA!#REF!,1,FALSE),"")</f>
        <v/>
      </c>
      <c r="D3660" s="16" t="str">
        <f>IFERROR(VLOOKUP(C3660,DATA!#REF!,2,FALSE),"")</f>
        <v/>
      </c>
    </row>
    <row r="3661" spans="3:4" s="230" customFormat="1">
      <c r="C3661" s="16" t="str">
        <f>IFERROR(VLOOKUP(DATA!#REF!,DATA!#REF!,1,FALSE),"")</f>
        <v/>
      </c>
      <c r="D3661" s="16" t="str">
        <f>IFERROR(VLOOKUP(C3661,DATA!#REF!,2,FALSE),"")</f>
        <v/>
      </c>
    </row>
    <row r="3662" spans="3:4" s="230" customFormat="1">
      <c r="C3662" s="16" t="str">
        <f>IFERROR(VLOOKUP(DATA!#REF!,DATA!#REF!,1,FALSE),"")</f>
        <v/>
      </c>
      <c r="D3662" s="16" t="str">
        <f>IFERROR(VLOOKUP(C3662,DATA!#REF!,2,FALSE),"")</f>
        <v/>
      </c>
    </row>
    <row r="3663" spans="3:4" s="230" customFormat="1">
      <c r="C3663" s="16" t="str">
        <f>IFERROR(VLOOKUP(DATA!#REF!,DATA!#REF!,1,FALSE),"")</f>
        <v/>
      </c>
      <c r="D3663" s="16" t="str">
        <f>IFERROR(VLOOKUP(C3663,DATA!#REF!,2,FALSE),"")</f>
        <v/>
      </c>
    </row>
    <row r="3664" spans="3:4" s="230" customFormat="1">
      <c r="C3664" s="16" t="str">
        <f>IFERROR(VLOOKUP(DATA!#REF!,DATA!#REF!,1,FALSE),"")</f>
        <v/>
      </c>
      <c r="D3664" s="16" t="str">
        <f>IFERROR(VLOOKUP(C3664,DATA!#REF!,2,FALSE),"")</f>
        <v/>
      </c>
    </row>
    <row r="3665" spans="3:4" s="230" customFormat="1">
      <c r="C3665" s="16" t="str">
        <f>IFERROR(VLOOKUP(DATA!#REF!,DATA!#REF!,1,FALSE),"")</f>
        <v/>
      </c>
      <c r="D3665" s="16" t="str">
        <f>IFERROR(VLOOKUP(C3665,DATA!#REF!,2,FALSE),"")</f>
        <v/>
      </c>
    </row>
    <row r="3666" spans="3:4" s="230" customFormat="1">
      <c r="C3666" s="16" t="str">
        <f>IFERROR(VLOOKUP(DATA!#REF!,DATA!#REF!,1,FALSE),"")</f>
        <v/>
      </c>
      <c r="D3666" s="16" t="str">
        <f>IFERROR(VLOOKUP(C3666,DATA!#REF!,2,FALSE),"")</f>
        <v/>
      </c>
    </row>
    <row r="3667" spans="3:4" s="230" customFormat="1">
      <c r="C3667" s="16" t="str">
        <f>IFERROR(VLOOKUP(DATA!#REF!,DATA!#REF!,1,FALSE),"")</f>
        <v/>
      </c>
      <c r="D3667" s="16" t="str">
        <f>IFERROR(VLOOKUP(C3667,DATA!#REF!,2,FALSE),"")</f>
        <v/>
      </c>
    </row>
    <row r="3668" spans="3:4" s="230" customFormat="1">
      <c r="C3668" s="16" t="str">
        <f>IFERROR(VLOOKUP(DATA!#REF!,DATA!#REF!,1,FALSE),"")</f>
        <v/>
      </c>
      <c r="D3668" s="16" t="str">
        <f>IFERROR(VLOOKUP(C3668,DATA!#REF!,2,FALSE),"")</f>
        <v/>
      </c>
    </row>
    <row r="3669" spans="3:4" s="230" customFormat="1">
      <c r="C3669" s="16" t="str">
        <f>IFERROR(VLOOKUP(DATA!#REF!,DATA!#REF!,1,FALSE),"")</f>
        <v/>
      </c>
      <c r="D3669" s="16" t="str">
        <f>IFERROR(VLOOKUP(C3669,DATA!#REF!,2,FALSE),"")</f>
        <v/>
      </c>
    </row>
    <row r="3670" spans="3:4" s="230" customFormat="1">
      <c r="C3670" s="16" t="str">
        <f>IFERROR(VLOOKUP(DATA!#REF!,DATA!#REF!,1,FALSE),"")</f>
        <v/>
      </c>
      <c r="D3670" s="16" t="str">
        <f>IFERROR(VLOOKUP(C3670,DATA!#REF!,2,FALSE),"")</f>
        <v/>
      </c>
    </row>
    <row r="3671" spans="3:4" s="230" customFormat="1">
      <c r="C3671" s="16" t="str">
        <f>IFERROR(VLOOKUP(DATA!#REF!,DATA!#REF!,1,FALSE),"")</f>
        <v/>
      </c>
      <c r="D3671" s="16" t="str">
        <f>IFERROR(VLOOKUP(C3671,DATA!#REF!,2,FALSE),"")</f>
        <v/>
      </c>
    </row>
    <row r="3672" spans="3:4" s="230" customFormat="1">
      <c r="C3672" s="16" t="str">
        <f>IFERROR(VLOOKUP(DATA!#REF!,DATA!#REF!,1,FALSE),"")</f>
        <v/>
      </c>
      <c r="D3672" s="16" t="str">
        <f>IFERROR(VLOOKUP(C3672,DATA!#REF!,2,FALSE),"")</f>
        <v/>
      </c>
    </row>
    <row r="3673" spans="3:4" s="230" customFormat="1">
      <c r="C3673" s="16" t="str">
        <f>IFERROR(VLOOKUP(DATA!#REF!,DATA!#REF!,1,FALSE),"")</f>
        <v/>
      </c>
      <c r="D3673" s="16" t="str">
        <f>IFERROR(VLOOKUP(C3673,DATA!#REF!,2,FALSE),"")</f>
        <v/>
      </c>
    </row>
    <row r="3674" spans="3:4" s="230" customFormat="1">
      <c r="C3674" s="16" t="str">
        <f>IFERROR(VLOOKUP(DATA!#REF!,DATA!#REF!,1,FALSE),"")</f>
        <v/>
      </c>
      <c r="D3674" s="16" t="str">
        <f>IFERROR(VLOOKUP(C3674,DATA!#REF!,2,FALSE),"")</f>
        <v/>
      </c>
    </row>
    <row r="3675" spans="3:4" s="230" customFormat="1">
      <c r="C3675" s="16" t="str">
        <f>IFERROR(VLOOKUP(DATA!#REF!,DATA!#REF!,1,FALSE),"")</f>
        <v/>
      </c>
      <c r="D3675" s="16" t="str">
        <f>IFERROR(VLOOKUP(C3675,DATA!#REF!,2,FALSE),"")</f>
        <v/>
      </c>
    </row>
    <row r="3676" spans="3:4" s="230" customFormat="1">
      <c r="C3676" s="16" t="str">
        <f>IFERROR(VLOOKUP(DATA!#REF!,DATA!#REF!,1,FALSE),"")</f>
        <v/>
      </c>
      <c r="D3676" s="16" t="str">
        <f>IFERROR(VLOOKUP(C3676,DATA!#REF!,2,FALSE),"")</f>
        <v/>
      </c>
    </row>
    <row r="3677" spans="3:4" s="230" customFormat="1">
      <c r="C3677" s="16" t="str">
        <f>IFERROR(VLOOKUP(DATA!#REF!,DATA!#REF!,1,FALSE),"")</f>
        <v/>
      </c>
      <c r="D3677" s="16" t="str">
        <f>IFERROR(VLOOKUP(C3677,DATA!#REF!,2,FALSE),"")</f>
        <v/>
      </c>
    </row>
    <row r="3678" spans="3:4" s="230" customFormat="1">
      <c r="C3678" s="16" t="str">
        <f>IFERROR(VLOOKUP(DATA!#REF!,DATA!#REF!,1,FALSE),"")</f>
        <v/>
      </c>
      <c r="D3678" s="16" t="str">
        <f>IFERROR(VLOOKUP(C3678,DATA!#REF!,2,FALSE),"")</f>
        <v/>
      </c>
    </row>
    <row r="3679" spans="3:4" s="230" customFormat="1">
      <c r="C3679" s="16" t="str">
        <f>IFERROR(VLOOKUP(DATA!#REF!,DATA!#REF!,1,FALSE),"")</f>
        <v/>
      </c>
      <c r="D3679" s="16" t="str">
        <f>IFERROR(VLOOKUP(C3679,DATA!#REF!,2,FALSE),"")</f>
        <v/>
      </c>
    </row>
    <row r="3680" spans="3:4" s="230" customFormat="1">
      <c r="C3680" s="16" t="str">
        <f>IFERROR(VLOOKUP(DATA!#REF!,DATA!#REF!,1,FALSE),"")</f>
        <v/>
      </c>
      <c r="D3680" s="16" t="str">
        <f>IFERROR(VLOOKUP(C3680,DATA!#REF!,2,FALSE),"")</f>
        <v/>
      </c>
    </row>
    <row r="3681" spans="3:4" s="230" customFormat="1">
      <c r="C3681" s="16" t="str">
        <f>IFERROR(VLOOKUP(DATA!#REF!,DATA!#REF!,1,FALSE),"")</f>
        <v/>
      </c>
      <c r="D3681" s="16" t="str">
        <f>IFERROR(VLOOKUP(C3681,DATA!#REF!,2,FALSE),"")</f>
        <v/>
      </c>
    </row>
    <row r="3682" spans="3:4" s="230" customFormat="1">
      <c r="C3682" s="16" t="str">
        <f>IFERROR(VLOOKUP(DATA!#REF!,DATA!#REF!,1,FALSE),"")</f>
        <v/>
      </c>
      <c r="D3682" s="16" t="str">
        <f>IFERROR(VLOOKUP(C3682,DATA!#REF!,2,FALSE),"")</f>
        <v/>
      </c>
    </row>
    <row r="3683" spans="3:4" s="230" customFormat="1">
      <c r="C3683" s="16" t="str">
        <f>IFERROR(VLOOKUP(DATA!#REF!,DATA!#REF!,1,FALSE),"")</f>
        <v/>
      </c>
      <c r="D3683" s="16" t="str">
        <f>IFERROR(VLOOKUP(C3683,DATA!#REF!,2,FALSE),"")</f>
        <v/>
      </c>
    </row>
    <row r="3684" spans="3:4" s="230" customFormat="1">
      <c r="C3684" s="16" t="str">
        <f>IFERROR(VLOOKUP(DATA!#REF!,DATA!#REF!,1,FALSE),"")</f>
        <v/>
      </c>
      <c r="D3684" s="16" t="str">
        <f>IFERROR(VLOOKUP(C3684,DATA!#REF!,2,FALSE),"")</f>
        <v/>
      </c>
    </row>
    <row r="3685" spans="3:4" s="230" customFormat="1">
      <c r="C3685" s="16" t="str">
        <f>IFERROR(VLOOKUP(DATA!#REF!,DATA!#REF!,1,FALSE),"")</f>
        <v/>
      </c>
      <c r="D3685" s="16" t="str">
        <f>IFERROR(VLOOKUP(C3685,DATA!#REF!,2,FALSE),"")</f>
        <v/>
      </c>
    </row>
    <row r="3686" spans="3:4" s="230" customFormat="1">
      <c r="C3686" s="16" t="str">
        <f>IFERROR(VLOOKUP(DATA!#REF!,DATA!#REF!,1,FALSE),"")</f>
        <v/>
      </c>
      <c r="D3686" s="16" t="str">
        <f>IFERROR(VLOOKUP(C3686,DATA!#REF!,2,FALSE),"")</f>
        <v/>
      </c>
    </row>
    <row r="3687" spans="3:4" s="230" customFormat="1">
      <c r="C3687" s="16" t="str">
        <f>IFERROR(VLOOKUP(DATA!#REF!,DATA!#REF!,1,FALSE),"")</f>
        <v/>
      </c>
      <c r="D3687" s="16" t="str">
        <f>IFERROR(VLOOKUP(C3687,DATA!#REF!,2,FALSE),"")</f>
        <v/>
      </c>
    </row>
    <row r="3688" spans="3:4" s="230" customFormat="1">
      <c r="C3688" s="16" t="str">
        <f>IFERROR(VLOOKUP(DATA!#REF!,DATA!#REF!,1,FALSE),"")</f>
        <v/>
      </c>
      <c r="D3688" s="16" t="str">
        <f>IFERROR(VLOOKUP(C3688,DATA!#REF!,2,FALSE),"")</f>
        <v/>
      </c>
    </row>
    <row r="3689" spans="3:4" s="230" customFormat="1">
      <c r="C3689" s="16" t="str">
        <f>IFERROR(VLOOKUP(DATA!#REF!,DATA!#REF!,1,FALSE),"")</f>
        <v/>
      </c>
      <c r="D3689" s="16" t="str">
        <f>IFERROR(VLOOKUP(C3689,DATA!#REF!,2,FALSE),"")</f>
        <v/>
      </c>
    </row>
    <row r="3690" spans="3:4" s="230" customFormat="1">
      <c r="C3690" s="16" t="str">
        <f>IFERROR(VLOOKUP(DATA!#REF!,DATA!#REF!,1,FALSE),"")</f>
        <v/>
      </c>
      <c r="D3690" s="16" t="str">
        <f>IFERROR(VLOOKUP(C3690,DATA!#REF!,2,FALSE),"")</f>
        <v/>
      </c>
    </row>
    <row r="3691" spans="3:4" s="230" customFormat="1">
      <c r="C3691" s="16" t="str">
        <f>IFERROR(VLOOKUP(DATA!#REF!,DATA!#REF!,1,FALSE),"")</f>
        <v/>
      </c>
      <c r="D3691" s="16" t="str">
        <f>IFERROR(VLOOKUP(C3691,DATA!#REF!,2,FALSE),"")</f>
        <v/>
      </c>
    </row>
    <row r="3692" spans="3:4" s="230" customFormat="1">
      <c r="C3692" s="16" t="str">
        <f>IFERROR(VLOOKUP(DATA!#REF!,DATA!#REF!,1,FALSE),"")</f>
        <v/>
      </c>
      <c r="D3692" s="16" t="str">
        <f>IFERROR(VLOOKUP(C3692,DATA!#REF!,2,FALSE),"")</f>
        <v/>
      </c>
    </row>
    <row r="3693" spans="3:4" s="230" customFormat="1">
      <c r="C3693" s="16" t="str">
        <f>IFERROR(VLOOKUP(DATA!#REF!,DATA!#REF!,1,FALSE),"")</f>
        <v/>
      </c>
      <c r="D3693" s="16" t="str">
        <f>IFERROR(VLOOKUP(C3693,DATA!#REF!,2,FALSE),"")</f>
        <v/>
      </c>
    </row>
    <row r="3694" spans="3:4" s="230" customFormat="1">
      <c r="C3694" s="16" t="str">
        <f>IFERROR(VLOOKUP(DATA!#REF!,DATA!#REF!,1,FALSE),"")</f>
        <v/>
      </c>
      <c r="D3694" s="16" t="str">
        <f>IFERROR(VLOOKUP(C3694,DATA!#REF!,2,FALSE),"")</f>
        <v/>
      </c>
    </row>
    <row r="3695" spans="3:4" s="230" customFormat="1">
      <c r="C3695" s="16" t="str">
        <f>IFERROR(VLOOKUP(DATA!#REF!,DATA!#REF!,1,FALSE),"")</f>
        <v/>
      </c>
      <c r="D3695" s="16" t="str">
        <f>IFERROR(VLOOKUP(C3695,DATA!#REF!,2,FALSE),"")</f>
        <v/>
      </c>
    </row>
    <row r="3696" spans="3:4" s="230" customFormat="1">
      <c r="C3696" s="16" t="str">
        <f>IFERROR(VLOOKUP(DATA!#REF!,DATA!#REF!,1,FALSE),"")</f>
        <v/>
      </c>
      <c r="D3696" s="16" t="str">
        <f>IFERROR(VLOOKUP(C3696,DATA!#REF!,2,FALSE),"")</f>
        <v/>
      </c>
    </row>
    <row r="3697" spans="3:4" s="230" customFormat="1">
      <c r="C3697" s="16" t="str">
        <f>IFERROR(VLOOKUP(DATA!#REF!,DATA!#REF!,1,FALSE),"")</f>
        <v/>
      </c>
      <c r="D3697" s="16" t="str">
        <f>IFERROR(VLOOKUP(C3697,DATA!#REF!,2,FALSE),"")</f>
        <v/>
      </c>
    </row>
    <row r="3698" spans="3:4" s="230" customFormat="1">
      <c r="C3698" s="16" t="str">
        <f>IFERROR(VLOOKUP(DATA!#REF!,DATA!#REF!,1,FALSE),"")</f>
        <v/>
      </c>
      <c r="D3698" s="16" t="str">
        <f>IFERROR(VLOOKUP(C3698,DATA!#REF!,2,FALSE),"")</f>
        <v/>
      </c>
    </row>
    <row r="3699" spans="3:4" s="230" customFormat="1">
      <c r="C3699" s="16" t="str">
        <f>IFERROR(VLOOKUP(DATA!#REF!,DATA!#REF!,1,FALSE),"")</f>
        <v/>
      </c>
      <c r="D3699" s="16" t="str">
        <f>IFERROR(VLOOKUP(C3699,DATA!#REF!,2,FALSE),"")</f>
        <v/>
      </c>
    </row>
    <row r="3700" spans="3:4" s="230" customFormat="1">
      <c r="C3700" s="16" t="str">
        <f>IFERROR(VLOOKUP(DATA!#REF!,DATA!#REF!,1,FALSE),"")</f>
        <v/>
      </c>
      <c r="D3700" s="16" t="str">
        <f>IFERROR(VLOOKUP(C3700,DATA!#REF!,2,FALSE),"")</f>
        <v/>
      </c>
    </row>
    <row r="3701" spans="3:4" s="230" customFormat="1">
      <c r="C3701" s="16" t="str">
        <f>IFERROR(VLOOKUP(DATA!#REF!,DATA!#REF!,1,FALSE),"")</f>
        <v/>
      </c>
      <c r="D3701" s="16" t="str">
        <f>IFERROR(VLOOKUP(C3701,DATA!#REF!,2,FALSE),"")</f>
        <v/>
      </c>
    </row>
    <row r="3702" spans="3:4" s="230" customFormat="1">
      <c r="C3702" s="16" t="str">
        <f>IFERROR(VLOOKUP(DATA!#REF!,DATA!#REF!,1,FALSE),"")</f>
        <v/>
      </c>
      <c r="D3702" s="16" t="str">
        <f>IFERROR(VLOOKUP(C3702,DATA!#REF!,2,FALSE),"")</f>
        <v/>
      </c>
    </row>
    <row r="3703" spans="3:4" s="230" customFormat="1">
      <c r="C3703" s="16" t="str">
        <f>IFERROR(VLOOKUP(DATA!#REF!,DATA!#REF!,1,FALSE),"")</f>
        <v/>
      </c>
      <c r="D3703" s="16" t="str">
        <f>IFERROR(VLOOKUP(C3703,DATA!#REF!,2,FALSE),"")</f>
        <v/>
      </c>
    </row>
    <row r="3704" spans="3:4" s="230" customFormat="1">
      <c r="C3704" s="16" t="str">
        <f>IFERROR(VLOOKUP(DATA!#REF!,DATA!#REF!,1,FALSE),"")</f>
        <v/>
      </c>
      <c r="D3704" s="16" t="str">
        <f>IFERROR(VLOOKUP(C3704,DATA!#REF!,2,FALSE),"")</f>
        <v/>
      </c>
    </row>
    <row r="3705" spans="3:4" s="230" customFormat="1">
      <c r="C3705" s="16" t="str">
        <f>IFERROR(VLOOKUP(DATA!#REF!,DATA!#REF!,1,FALSE),"")</f>
        <v/>
      </c>
      <c r="D3705" s="16" t="str">
        <f>IFERROR(VLOOKUP(C3705,DATA!#REF!,2,FALSE),"")</f>
        <v/>
      </c>
    </row>
    <row r="3706" spans="3:4" s="230" customFormat="1">
      <c r="C3706" s="16" t="str">
        <f>IFERROR(VLOOKUP(DATA!#REF!,DATA!#REF!,1,FALSE),"")</f>
        <v/>
      </c>
      <c r="D3706" s="16" t="str">
        <f>IFERROR(VLOOKUP(C3706,DATA!#REF!,2,FALSE),"")</f>
        <v/>
      </c>
    </row>
    <row r="3707" spans="3:4" s="230" customFormat="1">
      <c r="C3707" s="16" t="str">
        <f>IFERROR(VLOOKUP(DATA!#REF!,DATA!#REF!,1,FALSE),"")</f>
        <v/>
      </c>
      <c r="D3707" s="16" t="str">
        <f>IFERROR(VLOOKUP(C3707,DATA!#REF!,2,FALSE),"")</f>
        <v/>
      </c>
    </row>
    <row r="3708" spans="3:4" s="230" customFormat="1">
      <c r="C3708" s="16" t="str">
        <f>IFERROR(VLOOKUP(DATA!#REF!,DATA!#REF!,1,FALSE),"")</f>
        <v/>
      </c>
      <c r="D3708" s="16" t="str">
        <f>IFERROR(VLOOKUP(C3708,DATA!#REF!,2,FALSE),"")</f>
        <v/>
      </c>
    </row>
    <row r="3709" spans="3:4" s="230" customFormat="1">
      <c r="C3709" s="16" t="str">
        <f>IFERROR(VLOOKUP(DATA!#REF!,DATA!#REF!,1,FALSE),"")</f>
        <v/>
      </c>
      <c r="D3709" s="16" t="str">
        <f>IFERROR(VLOOKUP(C3709,DATA!#REF!,2,FALSE),"")</f>
        <v/>
      </c>
    </row>
    <row r="3710" spans="3:4" s="230" customFormat="1">
      <c r="C3710" s="16" t="str">
        <f>IFERROR(VLOOKUP(DATA!#REF!,DATA!#REF!,1,FALSE),"")</f>
        <v/>
      </c>
      <c r="D3710" s="16" t="str">
        <f>IFERROR(VLOOKUP(C3710,DATA!#REF!,2,FALSE),"")</f>
        <v/>
      </c>
    </row>
    <row r="3711" spans="3:4" s="230" customFormat="1">
      <c r="C3711" s="16" t="str">
        <f>IFERROR(VLOOKUP(DATA!#REF!,DATA!#REF!,1,FALSE),"")</f>
        <v/>
      </c>
      <c r="D3711" s="16" t="str">
        <f>IFERROR(VLOOKUP(C3711,DATA!#REF!,2,FALSE),"")</f>
        <v/>
      </c>
    </row>
    <row r="3712" spans="3:4" s="230" customFormat="1">
      <c r="C3712" s="16" t="str">
        <f>IFERROR(VLOOKUP(DATA!#REF!,DATA!#REF!,1,FALSE),"")</f>
        <v/>
      </c>
      <c r="D3712" s="16" t="str">
        <f>IFERROR(VLOOKUP(C3712,DATA!#REF!,2,FALSE),"")</f>
        <v/>
      </c>
    </row>
    <row r="3713" spans="3:4" s="230" customFormat="1">
      <c r="C3713" s="16" t="str">
        <f>IFERROR(VLOOKUP(DATA!#REF!,DATA!#REF!,1,FALSE),"")</f>
        <v/>
      </c>
      <c r="D3713" s="16" t="str">
        <f>IFERROR(VLOOKUP(C3713,DATA!#REF!,2,FALSE),"")</f>
        <v/>
      </c>
    </row>
    <row r="3714" spans="3:4" s="230" customFormat="1">
      <c r="C3714" s="16" t="str">
        <f>IFERROR(VLOOKUP(DATA!#REF!,DATA!#REF!,1,FALSE),"")</f>
        <v/>
      </c>
      <c r="D3714" s="16" t="str">
        <f>IFERROR(VLOOKUP(C3714,DATA!#REF!,2,FALSE),"")</f>
        <v/>
      </c>
    </row>
    <row r="3715" spans="3:4" s="230" customFormat="1">
      <c r="C3715" s="16" t="str">
        <f>IFERROR(VLOOKUP(DATA!#REF!,DATA!#REF!,1,FALSE),"")</f>
        <v/>
      </c>
      <c r="D3715" s="16" t="str">
        <f>IFERROR(VLOOKUP(C3715,DATA!#REF!,2,FALSE),"")</f>
        <v/>
      </c>
    </row>
    <row r="3716" spans="3:4" s="230" customFormat="1">
      <c r="C3716" s="16" t="str">
        <f>IFERROR(VLOOKUP(DATA!#REF!,DATA!#REF!,1,FALSE),"")</f>
        <v/>
      </c>
      <c r="D3716" s="16" t="str">
        <f>IFERROR(VLOOKUP(C3716,DATA!#REF!,2,FALSE),"")</f>
        <v/>
      </c>
    </row>
    <row r="3717" spans="3:4" s="230" customFormat="1">
      <c r="C3717" s="16" t="str">
        <f>IFERROR(VLOOKUP(DATA!#REF!,DATA!#REF!,1,FALSE),"")</f>
        <v/>
      </c>
      <c r="D3717" s="16" t="str">
        <f>IFERROR(VLOOKUP(C3717,DATA!#REF!,2,FALSE),"")</f>
        <v/>
      </c>
    </row>
    <row r="3718" spans="3:4" s="230" customFormat="1">
      <c r="C3718" s="16" t="str">
        <f>IFERROR(VLOOKUP(DATA!#REF!,DATA!#REF!,1,FALSE),"")</f>
        <v/>
      </c>
      <c r="D3718" s="16" t="str">
        <f>IFERROR(VLOOKUP(C3718,DATA!#REF!,2,FALSE),"")</f>
        <v/>
      </c>
    </row>
    <row r="3719" spans="3:4" s="230" customFormat="1">
      <c r="C3719" s="16" t="str">
        <f>IFERROR(VLOOKUP(DATA!#REF!,DATA!#REF!,1,FALSE),"")</f>
        <v/>
      </c>
      <c r="D3719" s="16" t="str">
        <f>IFERROR(VLOOKUP(C3719,DATA!#REF!,2,FALSE),"")</f>
        <v/>
      </c>
    </row>
    <row r="3720" spans="3:4" s="230" customFormat="1">
      <c r="C3720" s="16" t="str">
        <f>IFERROR(VLOOKUP(DATA!#REF!,DATA!#REF!,1,FALSE),"")</f>
        <v/>
      </c>
      <c r="D3720" s="16" t="str">
        <f>IFERROR(VLOOKUP(C3720,DATA!#REF!,2,FALSE),"")</f>
        <v/>
      </c>
    </row>
    <row r="3721" spans="3:4" s="230" customFormat="1">
      <c r="C3721" s="16" t="str">
        <f>IFERROR(VLOOKUP(DATA!#REF!,DATA!#REF!,1,FALSE),"")</f>
        <v/>
      </c>
      <c r="D3721" s="16" t="str">
        <f>IFERROR(VLOOKUP(C3721,DATA!#REF!,2,FALSE),"")</f>
        <v/>
      </c>
    </row>
    <row r="3722" spans="3:4" s="230" customFormat="1">
      <c r="C3722" s="16" t="str">
        <f>IFERROR(VLOOKUP(DATA!#REF!,DATA!#REF!,1,FALSE),"")</f>
        <v/>
      </c>
      <c r="D3722" s="16" t="str">
        <f>IFERROR(VLOOKUP(C3722,DATA!#REF!,2,FALSE),"")</f>
        <v/>
      </c>
    </row>
    <row r="3723" spans="3:4" s="230" customFormat="1">
      <c r="C3723" s="16" t="str">
        <f>IFERROR(VLOOKUP(DATA!#REF!,DATA!#REF!,1,FALSE),"")</f>
        <v/>
      </c>
      <c r="D3723" s="16" t="str">
        <f>IFERROR(VLOOKUP(C3723,DATA!#REF!,2,FALSE),"")</f>
        <v/>
      </c>
    </row>
    <row r="3724" spans="3:4" s="230" customFormat="1">
      <c r="C3724" s="16" t="str">
        <f>IFERROR(VLOOKUP(DATA!#REF!,DATA!#REF!,1,FALSE),"")</f>
        <v/>
      </c>
      <c r="D3724" s="16" t="str">
        <f>IFERROR(VLOOKUP(C3724,DATA!#REF!,2,FALSE),"")</f>
        <v/>
      </c>
    </row>
    <row r="3725" spans="3:4" s="230" customFormat="1">
      <c r="C3725" s="16" t="str">
        <f>IFERROR(VLOOKUP(DATA!#REF!,DATA!#REF!,1,FALSE),"")</f>
        <v/>
      </c>
      <c r="D3725" s="16" t="str">
        <f>IFERROR(VLOOKUP(C3725,DATA!#REF!,2,FALSE),"")</f>
        <v/>
      </c>
    </row>
    <row r="3726" spans="3:4" s="230" customFormat="1">
      <c r="C3726" s="16" t="str">
        <f>IFERROR(VLOOKUP(DATA!#REF!,DATA!#REF!,1,FALSE),"")</f>
        <v/>
      </c>
      <c r="D3726" s="16" t="str">
        <f>IFERROR(VLOOKUP(C3726,DATA!#REF!,2,FALSE),"")</f>
        <v/>
      </c>
    </row>
    <row r="3727" spans="3:4" s="230" customFormat="1">
      <c r="C3727" s="16" t="str">
        <f>IFERROR(VLOOKUP(DATA!#REF!,DATA!#REF!,1,FALSE),"")</f>
        <v/>
      </c>
      <c r="D3727" s="16" t="str">
        <f>IFERROR(VLOOKUP(C3727,DATA!#REF!,2,FALSE),"")</f>
        <v/>
      </c>
    </row>
    <row r="3728" spans="3:4" s="230" customFormat="1">
      <c r="C3728" s="16" t="str">
        <f>IFERROR(VLOOKUP(DATA!#REF!,DATA!#REF!,1,FALSE),"")</f>
        <v/>
      </c>
      <c r="D3728" s="16" t="str">
        <f>IFERROR(VLOOKUP(C3728,DATA!#REF!,2,FALSE),"")</f>
        <v/>
      </c>
    </row>
    <row r="3729" spans="3:4" s="230" customFormat="1">
      <c r="C3729" s="16" t="str">
        <f>IFERROR(VLOOKUP(DATA!#REF!,DATA!#REF!,1,FALSE),"")</f>
        <v/>
      </c>
      <c r="D3729" s="16" t="str">
        <f>IFERROR(VLOOKUP(C3729,DATA!#REF!,2,FALSE),"")</f>
        <v/>
      </c>
    </row>
    <row r="3730" spans="3:4" s="230" customFormat="1">
      <c r="C3730" s="16" t="str">
        <f>IFERROR(VLOOKUP(DATA!#REF!,DATA!#REF!,1,FALSE),"")</f>
        <v/>
      </c>
      <c r="D3730" s="16" t="str">
        <f>IFERROR(VLOOKUP(C3730,DATA!#REF!,2,FALSE),"")</f>
        <v/>
      </c>
    </row>
    <row r="3731" spans="3:4" s="230" customFormat="1">
      <c r="C3731" s="16" t="str">
        <f>IFERROR(VLOOKUP(DATA!#REF!,DATA!#REF!,1,FALSE),"")</f>
        <v/>
      </c>
      <c r="D3731" s="16" t="str">
        <f>IFERROR(VLOOKUP(C3731,DATA!#REF!,2,FALSE),"")</f>
        <v/>
      </c>
    </row>
    <row r="3732" spans="3:4" s="230" customFormat="1">
      <c r="C3732" s="16" t="str">
        <f>IFERROR(VLOOKUP(DATA!#REF!,DATA!#REF!,1,FALSE),"")</f>
        <v/>
      </c>
      <c r="D3732" s="16" t="str">
        <f>IFERROR(VLOOKUP(C3732,DATA!#REF!,2,FALSE),"")</f>
        <v/>
      </c>
    </row>
    <row r="3733" spans="3:4" s="230" customFormat="1">
      <c r="C3733" s="16" t="str">
        <f>IFERROR(VLOOKUP(DATA!#REF!,DATA!#REF!,1,FALSE),"")</f>
        <v/>
      </c>
      <c r="D3733" s="16" t="str">
        <f>IFERROR(VLOOKUP(C3733,DATA!#REF!,2,FALSE),"")</f>
        <v/>
      </c>
    </row>
    <row r="3734" spans="3:4" s="230" customFormat="1">
      <c r="C3734" s="16" t="str">
        <f>IFERROR(VLOOKUP(DATA!#REF!,DATA!#REF!,1,FALSE),"")</f>
        <v/>
      </c>
      <c r="D3734" s="16" t="str">
        <f>IFERROR(VLOOKUP(C3734,DATA!#REF!,2,FALSE),"")</f>
        <v/>
      </c>
    </row>
    <row r="3735" spans="3:4" s="230" customFormat="1">
      <c r="C3735" s="16" t="str">
        <f>IFERROR(VLOOKUP(DATA!#REF!,DATA!#REF!,1,FALSE),"")</f>
        <v/>
      </c>
      <c r="D3735" s="16" t="str">
        <f>IFERROR(VLOOKUP(C3735,DATA!#REF!,2,FALSE),"")</f>
        <v/>
      </c>
    </row>
    <row r="3736" spans="3:4" s="230" customFormat="1">
      <c r="C3736" s="16" t="str">
        <f>IFERROR(VLOOKUP(DATA!#REF!,DATA!#REF!,1,FALSE),"")</f>
        <v/>
      </c>
      <c r="D3736" s="16" t="str">
        <f>IFERROR(VLOOKUP(C3736,DATA!#REF!,2,FALSE),"")</f>
        <v/>
      </c>
    </row>
    <row r="3737" spans="3:4" s="230" customFormat="1">
      <c r="C3737" s="16" t="str">
        <f>IFERROR(VLOOKUP(DATA!#REF!,DATA!#REF!,1,FALSE),"")</f>
        <v/>
      </c>
      <c r="D3737" s="16" t="str">
        <f>IFERROR(VLOOKUP(C3737,DATA!#REF!,2,FALSE),"")</f>
        <v/>
      </c>
    </row>
    <row r="3738" spans="3:4" s="230" customFormat="1">
      <c r="C3738" s="16" t="str">
        <f>IFERROR(VLOOKUP(DATA!#REF!,DATA!#REF!,1,FALSE),"")</f>
        <v/>
      </c>
      <c r="D3738" s="16" t="str">
        <f>IFERROR(VLOOKUP(C3738,DATA!#REF!,2,FALSE),"")</f>
        <v/>
      </c>
    </row>
    <row r="3739" spans="3:4" s="230" customFormat="1">
      <c r="C3739" s="16" t="str">
        <f>IFERROR(VLOOKUP(DATA!#REF!,DATA!#REF!,1,FALSE),"")</f>
        <v/>
      </c>
      <c r="D3739" s="16" t="str">
        <f>IFERROR(VLOOKUP(C3739,DATA!#REF!,2,FALSE),"")</f>
        <v/>
      </c>
    </row>
    <row r="3740" spans="3:4" s="230" customFormat="1">
      <c r="C3740" s="16" t="str">
        <f>IFERROR(VLOOKUP(DATA!#REF!,DATA!#REF!,1,FALSE),"")</f>
        <v/>
      </c>
      <c r="D3740" s="16" t="str">
        <f>IFERROR(VLOOKUP(C3740,DATA!#REF!,2,FALSE),"")</f>
        <v/>
      </c>
    </row>
    <row r="3741" spans="3:4" s="230" customFormat="1">
      <c r="C3741" s="16" t="str">
        <f>IFERROR(VLOOKUP(DATA!#REF!,DATA!#REF!,1,FALSE),"")</f>
        <v/>
      </c>
      <c r="D3741" s="16" t="str">
        <f>IFERROR(VLOOKUP(C3741,DATA!#REF!,2,FALSE),"")</f>
        <v/>
      </c>
    </row>
    <row r="3742" spans="3:4" s="230" customFormat="1">
      <c r="C3742" s="16" t="str">
        <f>IFERROR(VLOOKUP(DATA!#REF!,DATA!#REF!,1,FALSE),"")</f>
        <v/>
      </c>
      <c r="D3742" s="16" t="str">
        <f>IFERROR(VLOOKUP(C3742,DATA!#REF!,2,FALSE),"")</f>
        <v/>
      </c>
    </row>
    <row r="3743" spans="3:4" s="230" customFormat="1">
      <c r="C3743" s="16" t="str">
        <f>IFERROR(VLOOKUP(DATA!#REF!,DATA!#REF!,1,FALSE),"")</f>
        <v/>
      </c>
      <c r="D3743" s="16" t="str">
        <f>IFERROR(VLOOKUP(C3743,DATA!#REF!,2,FALSE),"")</f>
        <v/>
      </c>
    </row>
    <row r="3744" spans="3:4" s="230" customFormat="1">
      <c r="C3744" s="16" t="str">
        <f>IFERROR(VLOOKUP(DATA!#REF!,DATA!#REF!,1,FALSE),"")</f>
        <v/>
      </c>
      <c r="D3744" s="16" t="str">
        <f>IFERROR(VLOOKUP(C3744,DATA!#REF!,2,FALSE),"")</f>
        <v/>
      </c>
    </row>
    <row r="3745" spans="3:4" s="230" customFormat="1">
      <c r="C3745" s="16" t="str">
        <f>IFERROR(VLOOKUP(DATA!#REF!,DATA!#REF!,1,FALSE),"")</f>
        <v/>
      </c>
      <c r="D3745" s="16" t="str">
        <f>IFERROR(VLOOKUP(C3745,DATA!#REF!,2,FALSE),"")</f>
        <v/>
      </c>
    </row>
    <row r="3746" spans="3:4" s="230" customFormat="1">
      <c r="C3746" s="16" t="str">
        <f>IFERROR(VLOOKUP(DATA!#REF!,DATA!#REF!,1,FALSE),"")</f>
        <v/>
      </c>
      <c r="D3746" s="16" t="str">
        <f>IFERROR(VLOOKUP(C3746,DATA!#REF!,2,FALSE),"")</f>
        <v/>
      </c>
    </row>
    <row r="3747" spans="3:4" s="230" customFormat="1">
      <c r="C3747" s="16" t="str">
        <f>IFERROR(VLOOKUP(DATA!#REF!,DATA!#REF!,1,FALSE),"")</f>
        <v/>
      </c>
      <c r="D3747" s="16" t="str">
        <f>IFERROR(VLOOKUP(C3747,DATA!#REF!,2,FALSE),"")</f>
        <v/>
      </c>
    </row>
    <row r="3748" spans="3:4" s="230" customFormat="1">
      <c r="C3748" s="16" t="str">
        <f>IFERROR(VLOOKUP(DATA!#REF!,DATA!#REF!,1,FALSE),"")</f>
        <v/>
      </c>
      <c r="D3748" s="16" t="str">
        <f>IFERROR(VLOOKUP(C3748,DATA!#REF!,2,FALSE),"")</f>
        <v/>
      </c>
    </row>
    <row r="3749" spans="3:4" s="230" customFormat="1">
      <c r="C3749" s="16" t="str">
        <f>IFERROR(VLOOKUP(DATA!#REF!,DATA!#REF!,1,FALSE),"")</f>
        <v/>
      </c>
      <c r="D3749" s="16" t="str">
        <f>IFERROR(VLOOKUP(C3749,DATA!#REF!,2,FALSE),"")</f>
        <v/>
      </c>
    </row>
    <row r="3750" spans="3:4" s="230" customFormat="1">
      <c r="C3750" s="16" t="str">
        <f>IFERROR(VLOOKUP(DATA!#REF!,DATA!#REF!,1,FALSE),"")</f>
        <v/>
      </c>
      <c r="D3750" s="16" t="str">
        <f>IFERROR(VLOOKUP(C3750,DATA!#REF!,2,FALSE),"")</f>
        <v/>
      </c>
    </row>
    <row r="3751" spans="3:4" s="230" customFormat="1">
      <c r="C3751" s="16" t="str">
        <f>IFERROR(VLOOKUP(DATA!#REF!,DATA!#REF!,1,FALSE),"")</f>
        <v/>
      </c>
      <c r="D3751" s="16" t="str">
        <f>IFERROR(VLOOKUP(C3751,DATA!#REF!,2,FALSE),"")</f>
        <v/>
      </c>
    </row>
    <row r="3752" spans="3:4" s="230" customFormat="1">
      <c r="C3752" s="16" t="str">
        <f>IFERROR(VLOOKUP(DATA!#REF!,DATA!#REF!,1,FALSE),"")</f>
        <v/>
      </c>
      <c r="D3752" s="16" t="str">
        <f>IFERROR(VLOOKUP(C3752,DATA!#REF!,2,FALSE),"")</f>
        <v/>
      </c>
    </row>
    <row r="3753" spans="3:4" s="230" customFormat="1">
      <c r="C3753" s="16" t="str">
        <f>IFERROR(VLOOKUP(DATA!#REF!,DATA!#REF!,1,FALSE),"")</f>
        <v/>
      </c>
      <c r="D3753" s="16" t="str">
        <f>IFERROR(VLOOKUP(C3753,DATA!#REF!,2,FALSE),"")</f>
        <v/>
      </c>
    </row>
    <row r="3754" spans="3:4" s="230" customFormat="1">
      <c r="C3754" s="16" t="str">
        <f>IFERROR(VLOOKUP(DATA!#REF!,DATA!#REF!,1,FALSE),"")</f>
        <v/>
      </c>
      <c r="D3754" s="16" t="str">
        <f>IFERROR(VLOOKUP(C3754,DATA!#REF!,2,FALSE),"")</f>
        <v/>
      </c>
    </row>
    <row r="3755" spans="3:4" s="230" customFormat="1">
      <c r="C3755" s="16" t="str">
        <f>IFERROR(VLOOKUP(DATA!#REF!,DATA!#REF!,1,FALSE),"")</f>
        <v/>
      </c>
      <c r="D3755" s="16" t="str">
        <f>IFERROR(VLOOKUP(C3755,DATA!#REF!,2,FALSE),"")</f>
        <v/>
      </c>
    </row>
    <row r="3756" spans="3:4" s="230" customFormat="1">
      <c r="C3756" s="16" t="str">
        <f>IFERROR(VLOOKUP(DATA!#REF!,DATA!#REF!,1,FALSE),"")</f>
        <v/>
      </c>
      <c r="D3756" s="16" t="str">
        <f>IFERROR(VLOOKUP(C3756,DATA!#REF!,2,FALSE),"")</f>
        <v/>
      </c>
    </row>
    <row r="3757" spans="3:4" s="230" customFormat="1">
      <c r="C3757" s="16" t="str">
        <f>IFERROR(VLOOKUP(DATA!#REF!,DATA!#REF!,1,FALSE),"")</f>
        <v/>
      </c>
      <c r="D3757" s="16" t="str">
        <f>IFERROR(VLOOKUP(C3757,DATA!#REF!,2,FALSE),"")</f>
        <v/>
      </c>
    </row>
    <row r="3758" spans="3:4" s="230" customFormat="1">
      <c r="C3758" s="16" t="str">
        <f>IFERROR(VLOOKUP(DATA!#REF!,DATA!#REF!,1,FALSE),"")</f>
        <v/>
      </c>
      <c r="D3758" s="16" t="str">
        <f>IFERROR(VLOOKUP(C3758,DATA!#REF!,2,FALSE),"")</f>
        <v/>
      </c>
    </row>
    <row r="3759" spans="3:4" s="230" customFormat="1">
      <c r="C3759" s="16" t="str">
        <f>IFERROR(VLOOKUP(DATA!#REF!,DATA!#REF!,1,FALSE),"")</f>
        <v/>
      </c>
      <c r="D3759" s="16" t="str">
        <f>IFERROR(VLOOKUP(C3759,DATA!#REF!,2,FALSE),"")</f>
        <v/>
      </c>
    </row>
    <row r="3760" spans="3:4" s="230" customFormat="1">
      <c r="C3760" s="16" t="str">
        <f>IFERROR(VLOOKUP(DATA!#REF!,DATA!#REF!,1,FALSE),"")</f>
        <v/>
      </c>
      <c r="D3760" s="16" t="str">
        <f>IFERROR(VLOOKUP(C3760,DATA!#REF!,2,FALSE),"")</f>
        <v/>
      </c>
    </row>
    <row r="3761" spans="3:4" s="230" customFormat="1">
      <c r="C3761" s="16" t="str">
        <f>IFERROR(VLOOKUP(DATA!#REF!,DATA!#REF!,1,FALSE),"")</f>
        <v/>
      </c>
      <c r="D3761" s="16" t="str">
        <f>IFERROR(VLOOKUP(C3761,DATA!#REF!,2,FALSE),"")</f>
        <v/>
      </c>
    </row>
    <row r="3762" spans="3:4" s="230" customFormat="1">
      <c r="C3762" s="16" t="str">
        <f>IFERROR(VLOOKUP(DATA!#REF!,DATA!#REF!,1,FALSE),"")</f>
        <v/>
      </c>
      <c r="D3762" s="16" t="str">
        <f>IFERROR(VLOOKUP(C3762,DATA!#REF!,2,FALSE),"")</f>
        <v/>
      </c>
    </row>
    <row r="3763" spans="3:4" s="230" customFormat="1">
      <c r="C3763" s="16" t="str">
        <f>IFERROR(VLOOKUP(DATA!#REF!,DATA!#REF!,1,FALSE),"")</f>
        <v/>
      </c>
      <c r="D3763" s="16" t="str">
        <f>IFERROR(VLOOKUP(C3763,DATA!#REF!,2,FALSE),"")</f>
        <v/>
      </c>
    </row>
    <row r="3764" spans="3:4" s="230" customFormat="1">
      <c r="C3764" s="16" t="str">
        <f>IFERROR(VLOOKUP(DATA!#REF!,DATA!#REF!,1,FALSE),"")</f>
        <v/>
      </c>
      <c r="D3764" s="16" t="str">
        <f>IFERROR(VLOOKUP(C3764,DATA!#REF!,2,FALSE),"")</f>
        <v/>
      </c>
    </row>
    <row r="3765" spans="3:4" s="230" customFormat="1">
      <c r="C3765" s="16" t="str">
        <f>IFERROR(VLOOKUP(DATA!#REF!,DATA!#REF!,1,FALSE),"")</f>
        <v/>
      </c>
      <c r="D3765" s="16" t="str">
        <f>IFERROR(VLOOKUP(C3765,DATA!#REF!,2,FALSE),"")</f>
        <v/>
      </c>
    </row>
    <row r="3766" spans="3:4" s="230" customFormat="1">
      <c r="C3766" s="16" t="str">
        <f>IFERROR(VLOOKUP(DATA!#REF!,DATA!#REF!,1,FALSE),"")</f>
        <v/>
      </c>
      <c r="D3766" s="16" t="str">
        <f>IFERROR(VLOOKUP(C3766,DATA!#REF!,2,FALSE),"")</f>
        <v/>
      </c>
    </row>
    <row r="3767" spans="3:4" s="230" customFormat="1">
      <c r="C3767" s="16" t="str">
        <f>IFERROR(VLOOKUP(DATA!#REF!,DATA!#REF!,1,FALSE),"")</f>
        <v/>
      </c>
      <c r="D3767" s="16" t="str">
        <f>IFERROR(VLOOKUP(C3767,DATA!#REF!,2,FALSE),"")</f>
        <v/>
      </c>
    </row>
    <row r="3768" spans="3:4" s="230" customFormat="1">
      <c r="C3768" s="16" t="str">
        <f>IFERROR(VLOOKUP(DATA!#REF!,DATA!#REF!,1,FALSE),"")</f>
        <v/>
      </c>
      <c r="D3768" s="16" t="str">
        <f>IFERROR(VLOOKUP(C3768,DATA!#REF!,2,FALSE),"")</f>
        <v/>
      </c>
    </row>
    <row r="3769" spans="3:4" s="230" customFormat="1">
      <c r="C3769" s="16" t="str">
        <f>IFERROR(VLOOKUP(DATA!#REF!,DATA!#REF!,1,FALSE),"")</f>
        <v/>
      </c>
      <c r="D3769" s="16" t="str">
        <f>IFERROR(VLOOKUP(C3769,DATA!#REF!,2,FALSE),"")</f>
        <v/>
      </c>
    </row>
    <row r="3770" spans="3:4" s="230" customFormat="1">
      <c r="C3770" s="16" t="str">
        <f>IFERROR(VLOOKUP(DATA!#REF!,DATA!#REF!,1,FALSE),"")</f>
        <v/>
      </c>
      <c r="D3770" s="16" t="str">
        <f>IFERROR(VLOOKUP(C3770,DATA!#REF!,2,FALSE),"")</f>
        <v/>
      </c>
    </row>
    <row r="3771" spans="3:4" s="230" customFormat="1">
      <c r="C3771" s="16" t="str">
        <f>IFERROR(VLOOKUP(DATA!#REF!,DATA!#REF!,1,FALSE),"")</f>
        <v/>
      </c>
      <c r="D3771" s="16" t="str">
        <f>IFERROR(VLOOKUP(C3771,DATA!#REF!,2,FALSE),"")</f>
        <v/>
      </c>
    </row>
    <row r="3772" spans="3:4" s="230" customFormat="1">
      <c r="C3772" s="16" t="str">
        <f>IFERROR(VLOOKUP(DATA!#REF!,DATA!#REF!,1,FALSE),"")</f>
        <v/>
      </c>
      <c r="D3772" s="16" t="str">
        <f>IFERROR(VLOOKUP(C3772,DATA!#REF!,2,FALSE),"")</f>
        <v/>
      </c>
    </row>
    <row r="3773" spans="3:4" s="230" customFormat="1">
      <c r="C3773" s="16" t="str">
        <f>IFERROR(VLOOKUP(DATA!#REF!,DATA!#REF!,1,FALSE),"")</f>
        <v/>
      </c>
      <c r="D3773" s="16" t="str">
        <f>IFERROR(VLOOKUP(C3773,DATA!#REF!,2,FALSE),"")</f>
        <v/>
      </c>
    </row>
    <row r="3774" spans="3:4" s="230" customFormat="1">
      <c r="C3774" s="16" t="str">
        <f>IFERROR(VLOOKUP(DATA!#REF!,DATA!#REF!,1,FALSE),"")</f>
        <v/>
      </c>
      <c r="D3774" s="16" t="str">
        <f>IFERROR(VLOOKUP(C3774,DATA!#REF!,2,FALSE),"")</f>
        <v/>
      </c>
    </row>
    <row r="3775" spans="3:4" s="230" customFormat="1">
      <c r="C3775" s="16" t="str">
        <f>IFERROR(VLOOKUP(DATA!#REF!,DATA!#REF!,1,FALSE),"")</f>
        <v/>
      </c>
      <c r="D3775" s="16" t="str">
        <f>IFERROR(VLOOKUP(C3775,DATA!#REF!,2,FALSE),"")</f>
        <v/>
      </c>
    </row>
    <row r="3776" spans="3:4" s="230" customFormat="1">
      <c r="C3776" s="16" t="str">
        <f>IFERROR(VLOOKUP(DATA!#REF!,DATA!#REF!,1,FALSE),"")</f>
        <v/>
      </c>
      <c r="D3776" s="16" t="str">
        <f>IFERROR(VLOOKUP(C3776,DATA!#REF!,2,FALSE),"")</f>
        <v/>
      </c>
    </row>
    <row r="3777" spans="3:4" s="230" customFormat="1">
      <c r="C3777" s="16" t="str">
        <f>IFERROR(VLOOKUP(DATA!#REF!,DATA!#REF!,1,FALSE),"")</f>
        <v/>
      </c>
      <c r="D3777" s="16" t="str">
        <f>IFERROR(VLOOKUP(C3777,DATA!#REF!,2,FALSE),"")</f>
        <v/>
      </c>
    </row>
    <row r="3778" spans="3:4" s="230" customFormat="1">
      <c r="C3778" s="16" t="str">
        <f>IFERROR(VLOOKUP(DATA!#REF!,DATA!#REF!,1,FALSE),"")</f>
        <v/>
      </c>
      <c r="D3778" s="16" t="str">
        <f>IFERROR(VLOOKUP(C3778,DATA!#REF!,2,FALSE),"")</f>
        <v/>
      </c>
    </row>
    <row r="3779" spans="3:4" s="230" customFormat="1">
      <c r="C3779" s="16" t="str">
        <f>IFERROR(VLOOKUP(DATA!#REF!,DATA!#REF!,1,FALSE),"")</f>
        <v/>
      </c>
      <c r="D3779" s="16" t="str">
        <f>IFERROR(VLOOKUP(C3779,DATA!#REF!,2,FALSE),"")</f>
        <v/>
      </c>
    </row>
    <row r="3780" spans="3:4" s="230" customFormat="1">
      <c r="C3780" s="16" t="str">
        <f>IFERROR(VLOOKUP(DATA!#REF!,DATA!#REF!,1,FALSE),"")</f>
        <v/>
      </c>
      <c r="D3780" s="16" t="str">
        <f>IFERROR(VLOOKUP(C3780,DATA!#REF!,2,FALSE),"")</f>
        <v/>
      </c>
    </row>
    <row r="3781" spans="3:4" s="230" customFormat="1">
      <c r="C3781" s="16" t="str">
        <f>IFERROR(VLOOKUP(DATA!#REF!,DATA!#REF!,1,FALSE),"")</f>
        <v/>
      </c>
      <c r="D3781" s="16" t="str">
        <f>IFERROR(VLOOKUP(C3781,DATA!#REF!,2,FALSE),"")</f>
        <v/>
      </c>
    </row>
    <row r="3782" spans="3:4" s="230" customFormat="1">
      <c r="C3782" s="16" t="str">
        <f>IFERROR(VLOOKUP(DATA!#REF!,DATA!#REF!,1,FALSE),"")</f>
        <v/>
      </c>
      <c r="D3782" s="16" t="str">
        <f>IFERROR(VLOOKUP(C3782,DATA!#REF!,2,FALSE),"")</f>
        <v/>
      </c>
    </row>
    <row r="3783" spans="3:4" s="230" customFormat="1">
      <c r="C3783" s="16" t="str">
        <f>IFERROR(VLOOKUP(DATA!#REF!,DATA!#REF!,1,FALSE),"")</f>
        <v/>
      </c>
      <c r="D3783" s="16" t="str">
        <f>IFERROR(VLOOKUP(C3783,DATA!#REF!,2,FALSE),"")</f>
        <v/>
      </c>
    </row>
    <row r="3784" spans="3:4" s="230" customFormat="1">
      <c r="C3784" s="16" t="str">
        <f>IFERROR(VLOOKUP(DATA!#REF!,DATA!#REF!,1,FALSE),"")</f>
        <v/>
      </c>
      <c r="D3784" s="16" t="str">
        <f>IFERROR(VLOOKUP(C3784,DATA!#REF!,2,FALSE),"")</f>
        <v/>
      </c>
    </row>
    <row r="3785" spans="3:4" s="230" customFormat="1">
      <c r="C3785" s="16" t="str">
        <f>IFERROR(VLOOKUP(DATA!#REF!,DATA!#REF!,1,FALSE),"")</f>
        <v/>
      </c>
      <c r="D3785" s="16" t="str">
        <f>IFERROR(VLOOKUP(C3785,DATA!#REF!,2,FALSE),"")</f>
        <v/>
      </c>
    </row>
    <row r="3786" spans="3:4" s="230" customFormat="1">
      <c r="C3786" s="16" t="str">
        <f>IFERROR(VLOOKUP(DATA!#REF!,DATA!#REF!,1,FALSE),"")</f>
        <v/>
      </c>
      <c r="D3786" s="16" t="str">
        <f>IFERROR(VLOOKUP(C3786,DATA!#REF!,2,FALSE),"")</f>
        <v/>
      </c>
    </row>
    <row r="3787" spans="3:4" s="230" customFormat="1">
      <c r="C3787" s="16" t="str">
        <f>IFERROR(VLOOKUP(DATA!#REF!,DATA!#REF!,1,FALSE),"")</f>
        <v/>
      </c>
      <c r="D3787" s="16" t="str">
        <f>IFERROR(VLOOKUP(C3787,DATA!#REF!,2,FALSE),"")</f>
        <v/>
      </c>
    </row>
    <row r="3788" spans="3:4" s="230" customFormat="1">
      <c r="C3788" s="16" t="str">
        <f>IFERROR(VLOOKUP(DATA!#REF!,DATA!#REF!,1,FALSE),"")</f>
        <v/>
      </c>
      <c r="D3788" s="16" t="str">
        <f>IFERROR(VLOOKUP(C3788,DATA!#REF!,2,FALSE),"")</f>
        <v/>
      </c>
    </row>
    <row r="3789" spans="3:4" s="230" customFormat="1">
      <c r="C3789" s="16" t="str">
        <f>IFERROR(VLOOKUP(DATA!#REF!,DATA!#REF!,1,FALSE),"")</f>
        <v/>
      </c>
      <c r="D3789" s="16" t="str">
        <f>IFERROR(VLOOKUP(C3789,DATA!#REF!,2,FALSE),"")</f>
        <v/>
      </c>
    </row>
    <row r="3790" spans="3:4" s="230" customFormat="1">
      <c r="C3790" s="16" t="str">
        <f>IFERROR(VLOOKUP(DATA!#REF!,DATA!#REF!,1,FALSE),"")</f>
        <v/>
      </c>
      <c r="D3790" s="16" t="str">
        <f>IFERROR(VLOOKUP(C3790,DATA!#REF!,2,FALSE),"")</f>
        <v/>
      </c>
    </row>
    <row r="3791" spans="3:4" s="230" customFormat="1">
      <c r="C3791" s="16" t="str">
        <f>IFERROR(VLOOKUP(DATA!#REF!,DATA!#REF!,1,FALSE),"")</f>
        <v/>
      </c>
      <c r="D3791" s="16" t="str">
        <f>IFERROR(VLOOKUP(C3791,DATA!#REF!,2,FALSE),"")</f>
        <v/>
      </c>
    </row>
    <row r="3792" spans="3:4" s="230" customFormat="1">
      <c r="C3792" s="16" t="str">
        <f>IFERROR(VLOOKUP(DATA!#REF!,DATA!#REF!,1,FALSE),"")</f>
        <v/>
      </c>
      <c r="D3792" s="16" t="str">
        <f>IFERROR(VLOOKUP(C3792,DATA!#REF!,2,FALSE),"")</f>
        <v/>
      </c>
    </row>
    <row r="3793" spans="3:4" s="230" customFormat="1">
      <c r="C3793" s="16" t="str">
        <f>IFERROR(VLOOKUP(DATA!#REF!,DATA!#REF!,1,FALSE),"")</f>
        <v/>
      </c>
      <c r="D3793" s="16" t="str">
        <f>IFERROR(VLOOKUP(C3793,DATA!#REF!,2,FALSE),"")</f>
        <v/>
      </c>
    </row>
    <row r="3794" spans="3:4" s="230" customFormat="1">
      <c r="C3794" s="16" t="str">
        <f>IFERROR(VLOOKUP(DATA!#REF!,DATA!#REF!,1,FALSE),"")</f>
        <v/>
      </c>
      <c r="D3794" s="16" t="str">
        <f>IFERROR(VLOOKUP(C3794,DATA!#REF!,2,FALSE),"")</f>
        <v/>
      </c>
    </row>
    <row r="3795" spans="3:4" s="230" customFormat="1">
      <c r="C3795" s="16" t="str">
        <f>IFERROR(VLOOKUP(DATA!#REF!,DATA!#REF!,1,FALSE),"")</f>
        <v/>
      </c>
      <c r="D3795" s="16" t="str">
        <f>IFERROR(VLOOKUP(C3795,DATA!#REF!,2,FALSE),"")</f>
        <v/>
      </c>
    </row>
    <row r="3796" spans="3:4" s="230" customFormat="1">
      <c r="C3796" s="16" t="str">
        <f>IFERROR(VLOOKUP(DATA!#REF!,DATA!#REF!,1,FALSE),"")</f>
        <v/>
      </c>
      <c r="D3796" s="16" t="str">
        <f>IFERROR(VLOOKUP(C3796,DATA!#REF!,2,FALSE),"")</f>
        <v/>
      </c>
    </row>
    <row r="3797" spans="3:4" s="230" customFormat="1">
      <c r="C3797" s="16" t="str">
        <f>IFERROR(VLOOKUP(DATA!#REF!,DATA!#REF!,1,FALSE),"")</f>
        <v/>
      </c>
      <c r="D3797" s="16" t="str">
        <f>IFERROR(VLOOKUP(C3797,DATA!#REF!,2,FALSE),"")</f>
        <v/>
      </c>
    </row>
    <row r="3798" spans="3:4" s="230" customFormat="1">
      <c r="C3798" s="16" t="str">
        <f>IFERROR(VLOOKUP(DATA!#REF!,DATA!#REF!,1,FALSE),"")</f>
        <v/>
      </c>
      <c r="D3798" s="16" t="str">
        <f>IFERROR(VLOOKUP(C3798,DATA!#REF!,2,FALSE),"")</f>
        <v/>
      </c>
    </row>
    <row r="3799" spans="3:4" s="230" customFormat="1">
      <c r="C3799" s="16" t="str">
        <f>IFERROR(VLOOKUP(DATA!#REF!,DATA!#REF!,1,FALSE),"")</f>
        <v/>
      </c>
      <c r="D3799" s="16" t="str">
        <f>IFERROR(VLOOKUP(C3799,DATA!#REF!,2,FALSE),"")</f>
        <v/>
      </c>
    </row>
    <row r="3800" spans="3:4" s="230" customFormat="1">
      <c r="C3800" s="16" t="str">
        <f>IFERROR(VLOOKUP(DATA!#REF!,DATA!#REF!,1,FALSE),"")</f>
        <v/>
      </c>
      <c r="D3800" s="16" t="str">
        <f>IFERROR(VLOOKUP(C3800,DATA!#REF!,2,FALSE),"")</f>
        <v/>
      </c>
    </row>
    <row r="3801" spans="3:4" s="230" customFormat="1">
      <c r="C3801" s="16" t="str">
        <f>IFERROR(VLOOKUP(DATA!#REF!,DATA!#REF!,1,FALSE),"")</f>
        <v/>
      </c>
      <c r="D3801" s="16" t="str">
        <f>IFERROR(VLOOKUP(C3801,DATA!#REF!,2,FALSE),"")</f>
        <v/>
      </c>
    </row>
    <row r="3802" spans="3:4" s="230" customFormat="1">
      <c r="C3802" s="16" t="str">
        <f>IFERROR(VLOOKUP(DATA!#REF!,DATA!#REF!,1,FALSE),"")</f>
        <v/>
      </c>
      <c r="D3802" s="16" t="str">
        <f>IFERROR(VLOOKUP(C3802,DATA!#REF!,2,FALSE),"")</f>
        <v/>
      </c>
    </row>
    <row r="3803" spans="3:4" s="230" customFormat="1">
      <c r="C3803" s="16" t="str">
        <f>IFERROR(VLOOKUP(DATA!#REF!,DATA!#REF!,1,FALSE),"")</f>
        <v/>
      </c>
      <c r="D3803" s="16" t="str">
        <f>IFERROR(VLOOKUP(C3803,DATA!#REF!,2,FALSE),"")</f>
        <v/>
      </c>
    </row>
    <row r="3804" spans="3:4" s="230" customFormat="1">
      <c r="C3804" s="16" t="str">
        <f>IFERROR(VLOOKUP(DATA!#REF!,DATA!#REF!,1,FALSE),"")</f>
        <v/>
      </c>
      <c r="D3804" s="16" t="str">
        <f>IFERROR(VLOOKUP(C3804,DATA!#REF!,2,FALSE),"")</f>
        <v/>
      </c>
    </row>
    <row r="3805" spans="3:4" s="230" customFormat="1">
      <c r="C3805" s="16" t="str">
        <f>IFERROR(VLOOKUP(DATA!#REF!,DATA!#REF!,1,FALSE),"")</f>
        <v/>
      </c>
      <c r="D3805" s="16" t="str">
        <f>IFERROR(VLOOKUP(C3805,DATA!#REF!,2,FALSE),"")</f>
        <v/>
      </c>
    </row>
    <row r="3806" spans="3:4" s="230" customFormat="1">
      <c r="C3806" s="16" t="str">
        <f>IFERROR(VLOOKUP(DATA!#REF!,DATA!#REF!,1,FALSE),"")</f>
        <v/>
      </c>
      <c r="D3806" s="16" t="str">
        <f>IFERROR(VLOOKUP(C3806,DATA!#REF!,2,FALSE),"")</f>
        <v/>
      </c>
    </row>
    <row r="3807" spans="3:4" s="230" customFormat="1">
      <c r="C3807" s="16" t="str">
        <f>IFERROR(VLOOKUP(DATA!#REF!,DATA!#REF!,1,FALSE),"")</f>
        <v/>
      </c>
      <c r="D3807" s="16" t="str">
        <f>IFERROR(VLOOKUP(C3807,DATA!#REF!,2,FALSE),"")</f>
        <v/>
      </c>
    </row>
    <row r="3808" spans="3:4" s="230" customFormat="1">
      <c r="C3808" s="16" t="str">
        <f>IFERROR(VLOOKUP(DATA!#REF!,DATA!#REF!,1,FALSE),"")</f>
        <v/>
      </c>
      <c r="D3808" s="16" t="str">
        <f>IFERROR(VLOOKUP(C3808,DATA!#REF!,2,FALSE),"")</f>
        <v/>
      </c>
    </row>
    <row r="3809" spans="3:4" s="230" customFormat="1">
      <c r="C3809" s="16" t="str">
        <f>IFERROR(VLOOKUP(DATA!#REF!,DATA!#REF!,1,FALSE),"")</f>
        <v/>
      </c>
      <c r="D3809" s="16" t="str">
        <f>IFERROR(VLOOKUP(C3809,DATA!#REF!,2,FALSE),"")</f>
        <v/>
      </c>
    </row>
    <row r="3810" spans="3:4" s="230" customFormat="1">
      <c r="C3810" s="16" t="str">
        <f>IFERROR(VLOOKUP(DATA!#REF!,DATA!#REF!,1,FALSE),"")</f>
        <v/>
      </c>
      <c r="D3810" s="16" t="str">
        <f>IFERROR(VLOOKUP(C3810,DATA!#REF!,2,FALSE),"")</f>
        <v/>
      </c>
    </row>
    <row r="3811" spans="3:4" s="230" customFormat="1">
      <c r="C3811" s="16" t="str">
        <f>IFERROR(VLOOKUP(DATA!#REF!,DATA!#REF!,1,FALSE),"")</f>
        <v/>
      </c>
      <c r="D3811" s="16" t="str">
        <f>IFERROR(VLOOKUP(C3811,DATA!#REF!,2,FALSE),"")</f>
        <v/>
      </c>
    </row>
    <row r="3812" spans="3:4" s="230" customFormat="1">
      <c r="C3812" s="16" t="str">
        <f>IFERROR(VLOOKUP(DATA!#REF!,DATA!#REF!,1,FALSE),"")</f>
        <v/>
      </c>
      <c r="D3812" s="16" t="str">
        <f>IFERROR(VLOOKUP(C3812,DATA!#REF!,2,FALSE),"")</f>
        <v/>
      </c>
    </row>
    <row r="3813" spans="3:4" s="230" customFormat="1">
      <c r="C3813" s="16" t="str">
        <f>IFERROR(VLOOKUP(DATA!#REF!,DATA!#REF!,1,FALSE),"")</f>
        <v/>
      </c>
      <c r="D3813" s="16" t="str">
        <f>IFERROR(VLOOKUP(C3813,DATA!#REF!,2,FALSE),"")</f>
        <v/>
      </c>
    </row>
    <row r="3814" spans="3:4" s="230" customFormat="1">
      <c r="C3814" s="16" t="str">
        <f>IFERROR(VLOOKUP(DATA!#REF!,DATA!#REF!,1,FALSE),"")</f>
        <v/>
      </c>
      <c r="D3814" s="16" t="str">
        <f>IFERROR(VLOOKUP(C3814,DATA!#REF!,2,FALSE),"")</f>
        <v/>
      </c>
    </row>
    <row r="3815" spans="3:4" s="230" customFormat="1">
      <c r="C3815" s="16" t="str">
        <f>IFERROR(VLOOKUP(DATA!#REF!,DATA!#REF!,1,FALSE),"")</f>
        <v/>
      </c>
      <c r="D3815" s="16" t="str">
        <f>IFERROR(VLOOKUP(C3815,DATA!#REF!,2,FALSE),"")</f>
        <v/>
      </c>
    </row>
    <row r="3816" spans="3:4" s="230" customFormat="1">
      <c r="C3816" s="16" t="str">
        <f>IFERROR(VLOOKUP(DATA!#REF!,DATA!#REF!,1,FALSE),"")</f>
        <v/>
      </c>
      <c r="D3816" s="16" t="str">
        <f>IFERROR(VLOOKUP(C3816,DATA!#REF!,2,FALSE),"")</f>
        <v/>
      </c>
    </row>
    <row r="3817" spans="3:4" s="230" customFormat="1">
      <c r="C3817" s="16" t="str">
        <f>IFERROR(VLOOKUP(DATA!#REF!,DATA!#REF!,1,FALSE),"")</f>
        <v/>
      </c>
      <c r="D3817" s="16" t="str">
        <f>IFERROR(VLOOKUP(C3817,DATA!#REF!,2,FALSE),"")</f>
        <v/>
      </c>
    </row>
    <row r="3818" spans="3:4" s="230" customFormat="1">
      <c r="C3818" s="16" t="str">
        <f>IFERROR(VLOOKUP(DATA!#REF!,DATA!#REF!,1,FALSE),"")</f>
        <v/>
      </c>
      <c r="D3818" s="16" t="str">
        <f>IFERROR(VLOOKUP(C3818,DATA!#REF!,2,FALSE),"")</f>
        <v/>
      </c>
    </row>
    <row r="3819" spans="3:4" s="230" customFormat="1">
      <c r="C3819" s="16" t="str">
        <f>IFERROR(VLOOKUP(DATA!#REF!,DATA!#REF!,1,FALSE),"")</f>
        <v/>
      </c>
      <c r="D3819" s="16" t="str">
        <f>IFERROR(VLOOKUP(C3819,DATA!#REF!,2,FALSE),"")</f>
        <v/>
      </c>
    </row>
    <row r="3820" spans="3:4" s="230" customFormat="1">
      <c r="C3820" s="16" t="str">
        <f>IFERROR(VLOOKUP(DATA!#REF!,DATA!#REF!,1,FALSE),"")</f>
        <v/>
      </c>
      <c r="D3820" s="16" t="str">
        <f>IFERROR(VLOOKUP(C3820,DATA!#REF!,2,FALSE),"")</f>
        <v/>
      </c>
    </row>
    <row r="3821" spans="3:4" s="230" customFormat="1">
      <c r="C3821" s="16" t="str">
        <f>IFERROR(VLOOKUP(DATA!#REF!,DATA!#REF!,1,FALSE),"")</f>
        <v/>
      </c>
      <c r="D3821" s="16" t="str">
        <f>IFERROR(VLOOKUP(C3821,DATA!#REF!,2,FALSE),"")</f>
        <v/>
      </c>
    </row>
    <row r="3822" spans="3:4" s="230" customFormat="1">
      <c r="C3822" s="16" t="str">
        <f>IFERROR(VLOOKUP(DATA!#REF!,DATA!#REF!,1,FALSE),"")</f>
        <v/>
      </c>
      <c r="D3822" s="16" t="str">
        <f>IFERROR(VLOOKUP(C3822,DATA!#REF!,2,FALSE),"")</f>
        <v/>
      </c>
    </row>
    <row r="3823" spans="3:4" s="230" customFormat="1">
      <c r="C3823" s="16" t="str">
        <f>IFERROR(VLOOKUP(DATA!#REF!,DATA!#REF!,1,FALSE),"")</f>
        <v/>
      </c>
      <c r="D3823" s="16" t="str">
        <f>IFERROR(VLOOKUP(C3823,DATA!#REF!,2,FALSE),"")</f>
        <v/>
      </c>
    </row>
    <row r="3824" spans="3:4" s="230" customFormat="1">
      <c r="C3824" s="16" t="str">
        <f>IFERROR(VLOOKUP(DATA!#REF!,DATA!#REF!,1,FALSE),"")</f>
        <v/>
      </c>
      <c r="D3824" s="16" t="str">
        <f>IFERROR(VLOOKUP(C3824,DATA!#REF!,2,FALSE),"")</f>
        <v/>
      </c>
    </row>
    <row r="3825" spans="3:4" s="230" customFormat="1">
      <c r="C3825" s="16" t="str">
        <f>IFERROR(VLOOKUP(DATA!#REF!,DATA!#REF!,1,FALSE),"")</f>
        <v/>
      </c>
      <c r="D3825" s="16" t="str">
        <f>IFERROR(VLOOKUP(C3825,DATA!#REF!,2,FALSE),"")</f>
        <v/>
      </c>
    </row>
    <row r="3826" spans="3:4" s="230" customFormat="1">
      <c r="C3826" s="16" t="str">
        <f>IFERROR(VLOOKUP(DATA!#REF!,DATA!#REF!,1,FALSE),"")</f>
        <v/>
      </c>
      <c r="D3826" s="16" t="str">
        <f>IFERROR(VLOOKUP(C3826,DATA!#REF!,2,FALSE),"")</f>
        <v/>
      </c>
    </row>
    <row r="3827" spans="3:4" s="230" customFormat="1">
      <c r="C3827" s="16" t="str">
        <f>IFERROR(VLOOKUP(DATA!#REF!,DATA!#REF!,1,FALSE),"")</f>
        <v/>
      </c>
      <c r="D3827" s="16" t="str">
        <f>IFERROR(VLOOKUP(C3827,DATA!#REF!,2,FALSE),"")</f>
        <v/>
      </c>
    </row>
    <row r="3828" spans="3:4" s="230" customFormat="1">
      <c r="C3828" s="16" t="str">
        <f>IFERROR(VLOOKUP(DATA!#REF!,DATA!#REF!,1,FALSE),"")</f>
        <v/>
      </c>
      <c r="D3828" s="16" t="str">
        <f>IFERROR(VLOOKUP(C3828,DATA!#REF!,2,FALSE),"")</f>
        <v/>
      </c>
    </row>
    <row r="3829" spans="3:4" s="230" customFormat="1">
      <c r="C3829" s="16" t="str">
        <f>IFERROR(VLOOKUP(DATA!#REF!,DATA!#REF!,1,FALSE),"")</f>
        <v/>
      </c>
      <c r="D3829" s="16" t="str">
        <f>IFERROR(VLOOKUP(C3829,DATA!#REF!,2,FALSE),"")</f>
        <v/>
      </c>
    </row>
    <row r="3830" spans="3:4" s="230" customFormat="1">
      <c r="C3830" s="16" t="str">
        <f>IFERROR(VLOOKUP(DATA!#REF!,DATA!#REF!,1,FALSE),"")</f>
        <v/>
      </c>
      <c r="D3830" s="16" t="str">
        <f>IFERROR(VLOOKUP(C3830,DATA!#REF!,2,FALSE),"")</f>
        <v/>
      </c>
    </row>
    <row r="3831" spans="3:4" s="230" customFormat="1">
      <c r="C3831" s="16" t="str">
        <f>IFERROR(VLOOKUP(DATA!#REF!,DATA!#REF!,1,FALSE),"")</f>
        <v/>
      </c>
      <c r="D3831" s="16" t="str">
        <f>IFERROR(VLOOKUP(C3831,DATA!#REF!,2,FALSE),"")</f>
        <v/>
      </c>
    </row>
    <row r="3832" spans="3:4" s="230" customFormat="1">
      <c r="C3832" s="16" t="str">
        <f>IFERROR(VLOOKUP(DATA!#REF!,DATA!#REF!,1,FALSE),"")</f>
        <v/>
      </c>
      <c r="D3832" s="16" t="str">
        <f>IFERROR(VLOOKUP(C3832,DATA!#REF!,2,FALSE),"")</f>
        <v/>
      </c>
    </row>
    <row r="3833" spans="3:4" s="230" customFormat="1">
      <c r="C3833" s="16" t="str">
        <f>IFERROR(VLOOKUP(DATA!#REF!,DATA!#REF!,1,FALSE),"")</f>
        <v/>
      </c>
      <c r="D3833" s="16" t="str">
        <f>IFERROR(VLOOKUP(C3833,DATA!#REF!,2,FALSE),"")</f>
        <v/>
      </c>
    </row>
    <row r="3834" spans="3:4" s="230" customFormat="1">
      <c r="C3834" s="16" t="str">
        <f>IFERROR(VLOOKUP(DATA!#REF!,DATA!#REF!,1,FALSE),"")</f>
        <v/>
      </c>
      <c r="D3834" s="16" t="str">
        <f>IFERROR(VLOOKUP(C3834,DATA!#REF!,2,FALSE),"")</f>
        <v/>
      </c>
    </row>
    <row r="3835" spans="3:4" s="230" customFormat="1">
      <c r="C3835" s="16" t="str">
        <f>IFERROR(VLOOKUP(DATA!#REF!,DATA!#REF!,1,FALSE),"")</f>
        <v/>
      </c>
      <c r="D3835" s="16" t="str">
        <f>IFERROR(VLOOKUP(C3835,DATA!#REF!,2,FALSE),"")</f>
        <v/>
      </c>
    </row>
    <row r="3836" spans="3:4" s="230" customFormat="1">
      <c r="C3836" s="16" t="str">
        <f>IFERROR(VLOOKUP(DATA!#REF!,DATA!#REF!,1,FALSE),"")</f>
        <v/>
      </c>
      <c r="D3836" s="16" t="str">
        <f>IFERROR(VLOOKUP(C3836,DATA!#REF!,2,FALSE),"")</f>
        <v/>
      </c>
    </row>
    <row r="3837" spans="3:4" s="230" customFormat="1">
      <c r="C3837" s="16" t="str">
        <f>IFERROR(VLOOKUP(DATA!#REF!,DATA!#REF!,1,FALSE),"")</f>
        <v/>
      </c>
      <c r="D3837" s="16" t="str">
        <f>IFERROR(VLOOKUP(C3837,DATA!#REF!,2,FALSE),"")</f>
        <v/>
      </c>
    </row>
    <row r="3838" spans="3:4" s="230" customFormat="1">
      <c r="C3838" s="16" t="str">
        <f>IFERROR(VLOOKUP(DATA!#REF!,DATA!#REF!,1,FALSE),"")</f>
        <v/>
      </c>
      <c r="D3838" s="16" t="str">
        <f>IFERROR(VLOOKUP(C3838,DATA!#REF!,2,FALSE),"")</f>
        <v/>
      </c>
    </row>
    <row r="3839" spans="3:4" s="230" customFormat="1">
      <c r="C3839" s="16" t="str">
        <f>IFERROR(VLOOKUP(DATA!#REF!,DATA!#REF!,1,FALSE),"")</f>
        <v/>
      </c>
      <c r="D3839" s="16" t="str">
        <f>IFERROR(VLOOKUP(C3839,DATA!#REF!,2,FALSE),"")</f>
        <v/>
      </c>
    </row>
    <row r="3840" spans="3:4" s="230" customFormat="1">
      <c r="C3840" s="16" t="str">
        <f>IFERROR(VLOOKUP(DATA!#REF!,DATA!#REF!,1,FALSE),"")</f>
        <v/>
      </c>
      <c r="D3840" s="16" t="str">
        <f>IFERROR(VLOOKUP(C3840,DATA!#REF!,2,FALSE),"")</f>
        <v/>
      </c>
    </row>
    <row r="3841" spans="3:4" s="230" customFormat="1">
      <c r="C3841" s="16" t="str">
        <f>IFERROR(VLOOKUP(DATA!#REF!,DATA!#REF!,1,FALSE),"")</f>
        <v/>
      </c>
      <c r="D3841" s="16" t="str">
        <f>IFERROR(VLOOKUP(C3841,DATA!#REF!,2,FALSE),"")</f>
        <v/>
      </c>
    </row>
    <row r="3842" spans="3:4" s="230" customFormat="1">
      <c r="C3842" s="16" t="str">
        <f>IFERROR(VLOOKUP(DATA!#REF!,DATA!#REF!,1,FALSE),"")</f>
        <v/>
      </c>
      <c r="D3842" s="16" t="str">
        <f>IFERROR(VLOOKUP(C3842,DATA!#REF!,2,FALSE),"")</f>
        <v/>
      </c>
    </row>
    <row r="3843" spans="3:4" s="230" customFormat="1">
      <c r="C3843" s="16" t="str">
        <f>IFERROR(VLOOKUP(DATA!#REF!,DATA!#REF!,1,FALSE),"")</f>
        <v/>
      </c>
      <c r="D3843" s="16" t="str">
        <f>IFERROR(VLOOKUP(C3843,DATA!#REF!,2,FALSE),"")</f>
        <v/>
      </c>
    </row>
    <row r="3844" spans="3:4" s="230" customFormat="1">
      <c r="C3844" s="16" t="str">
        <f>IFERROR(VLOOKUP(DATA!#REF!,DATA!#REF!,1,FALSE),"")</f>
        <v/>
      </c>
      <c r="D3844" s="16" t="str">
        <f>IFERROR(VLOOKUP(C3844,DATA!#REF!,2,FALSE),"")</f>
        <v/>
      </c>
    </row>
    <row r="3845" spans="3:4" s="230" customFormat="1">
      <c r="C3845" s="16" t="str">
        <f>IFERROR(VLOOKUP(DATA!#REF!,DATA!#REF!,1,FALSE),"")</f>
        <v/>
      </c>
      <c r="D3845" s="16" t="str">
        <f>IFERROR(VLOOKUP(C3845,DATA!#REF!,2,FALSE),"")</f>
        <v/>
      </c>
    </row>
    <row r="3846" spans="3:4" s="230" customFormat="1">
      <c r="C3846" s="16" t="str">
        <f>IFERROR(VLOOKUP(DATA!#REF!,DATA!#REF!,1,FALSE),"")</f>
        <v/>
      </c>
      <c r="D3846" s="16" t="str">
        <f>IFERROR(VLOOKUP(C3846,DATA!#REF!,2,FALSE),"")</f>
        <v/>
      </c>
    </row>
    <row r="3847" spans="3:4" s="230" customFormat="1">
      <c r="C3847" s="16" t="str">
        <f>IFERROR(VLOOKUP(DATA!#REF!,DATA!#REF!,1,FALSE),"")</f>
        <v/>
      </c>
      <c r="D3847" s="16" t="str">
        <f>IFERROR(VLOOKUP(C3847,DATA!#REF!,2,FALSE),"")</f>
        <v/>
      </c>
    </row>
    <row r="3848" spans="3:4" s="230" customFormat="1">
      <c r="C3848" s="16" t="str">
        <f>IFERROR(VLOOKUP(DATA!#REF!,DATA!#REF!,1,FALSE),"")</f>
        <v/>
      </c>
      <c r="D3848" s="16" t="str">
        <f>IFERROR(VLOOKUP(C3848,DATA!#REF!,2,FALSE),"")</f>
        <v/>
      </c>
    </row>
    <row r="3849" spans="3:4" s="230" customFormat="1">
      <c r="C3849" s="16" t="str">
        <f>IFERROR(VLOOKUP(DATA!#REF!,DATA!#REF!,1,FALSE),"")</f>
        <v/>
      </c>
      <c r="D3849" s="16" t="str">
        <f>IFERROR(VLOOKUP(C3849,DATA!#REF!,2,FALSE),"")</f>
        <v/>
      </c>
    </row>
    <row r="3850" spans="3:4" s="230" customFormat="1">
      <c r="C3850" s="16" t="str">
        <f>IFERROR(VLOOKUP(DATA!#REF!,DATA!#REF!,1,FALSE),"")</f>
        <v/>
      </c>
      <c r="D3850" s="16" t="str">
        <f>IFERROR(VLOOKUP(C3850,DATA!#REF!,2,FALSE),"")</f>
        <v/>
      </c>
    </row>
    <row r="3851" spans="3:4" s="230" customFormat="1">
      <c r="C3851" s="16" t="str">
        <f>IFERROR(VLOOKUP(DATA!#REF!,DATA!#REF!,1,FALSE),"")</f>
        <v/>
      </c>
      <c r="D3851" s="16" t="str">
        <f>IFERROR(VLOOKUP(C3851,DATA!#REF!,2,FALSE),"")</f>
        <v/>
      </c>
    </row>
    <row r="3852" spans="3:4" s="230" customFormat="1">
      <c r="C3852" s="16" t="str">
        <f>IFERROR(VLOOKUP(DATA!#REF!,DATA!#REF!,1,FALSE),"")</f>
        <v/>
      </c>
      <c r="D3852" s="16" t="str">
        <f>IFERROR(VLOOKUP(C3852,DATA!#REF!,2,FALSE),"")</f>
        <v/>
      </c>
    </row>
    <row r="3853" spans="3:4" s="230" customFormat="1">
      <c r="C3853" s="16" t="str">
        <f>IFERROR(VLOOKUP(DATA!#REF!,DATA!#REF!,1,FALSE),"")</f>
        <v/>
      </c>
      <c r="D3853" s="16" t="str">
        <f>IFERROR(VLOOKUP(C3853,DATA!#REF!,2,FALSE),"")</f>
        <v/>
      </c>
    </row>
    <row r="3854" spans="3:4" s="230" customFormat="1">
      <c r="C3854" s="16" t="str">
        <f>IFERROR(VLOOKUP(DATA!#REF!,DATA!#REF!,1,FALSE),"")</f>
        <v/>
      </c>
      <c r="D3854" s="16" t="str">
        <f>IFERROR(VLOOKUP(C3854,DATA!#REF!,2,FALSE),"")</f>
        <v/>
      </c>
    </row>
    <row r="3855" spans="3:4" s="230" customFormat="1">
      <c r="C3855" s="16" t="str">
        <f>IFERROR(VLOOKUP(DATA!#REF!,DATA!#REF!,1,FALSE),"")</f>
        <v/>
      </c>
      <c r="D3855" s="16" t="str">
        <f>IFERROR(VLOOKUP(C3855,DATA!#REF!,2,FALSE),"")</f>
        <v/>
      </c>
    </row>
    <row r="3856" spans="3:4" s="230" customFormat="1">
      <c r="C3856" s="16" t="str">
        <f>IFERROR(VLOOKUP(DATA!#REF!,DATA!#REF!,1,FALSE),"")</f>
        <v/>
      </c>
      <c r="D3856" s="16" t="str">
        <f>IFERROR(VLOOKUP(C3856,DATA!#REF!,2,FALSE),"")</f>
        <v/>
      </c>
    </row>
    <row r="3857" spans="3:4" s="230" customFormat="1">
      <c r="C3857" s="16" t="str">
        <f>IFERROR(VLOOKUP(DATA!#REF!,DATA!#REF!,1,FALSE),"")</f>
        <v/>
      </c>
      <c r="D3857" s="16" t="str">
        <f>IFERROR(VLOOKUP(C3857,DATA!#REF!,2,FALSE),"")</f>
        <v/>
      </c>
    </row>
    <row r="3858" spans="3:4" s="230" customFormat="1">
      <c r="C3858" s="16" t="str">
        <f>IFERROR(VLOOKUP(DATA!#REF!,DATA!#REF!,1,FALSE),"")</f>
        <v/>
      </c>
      <c r="D3858" s="16" t="str">
        <f>IFERROR(VLOOKUP(C3858,DATA!#REF!,2,FALSE),"")</f>
        <v/>
      </c>
    </row>
    <row r="3859" spans="3:4" s="230" customFormat="1">
      <c r="C3859" s="16" t="str">
        <f>IFERROR(VLOOKUP(DATA!#REF!,DATA!#REF!,1,FALSE),"")</f>
        <v/>
      </c>
      <c r="D3859" s="16" t="str">
        <f>IFERROR(VLOOKUP(C3859,DATA!#REF!,2,FALSE),"")</f>
        <v/>
      </c>
    </row>
    <row r="3860" spans="3:4" s="230" customFormat="1">
      <c r="C3860" s="16" t="str">
        <f>IFERROR(VLOOKUP(DATA!#REF!,DATA!#REF!,1,FALSE),"")</f>
        <v/>
      </c>
      <c r="D3860" s="16" t="str">
        <f>IFERROR(VLOOKUP(C3860,DATA!#REF!,2,FALSE),"")</f>
        <v/>
      </c>
    </row>
    <row r="3861" spans="3:4" s="230" customFormat="1">
      <c r="C3861" s="16" t="str">
        <f>IFERROR(VLOOKUP(DATA!#REF!,DATA!#REF!,1,FALSE),"")</f>
        <v/>
      </c>
      <c r="D3861" s="16" t="str">
        <f>IFERROR(VLOOKUP(C3861,DATA!#REF!,2,FALSE),"")</f>
        <v/>
      </c>
    </row>
    <row r="3862" spans="3:4" s="230" customFormat="1">
      <c r="C3862" s="16" t="str">
        <f>IFERROR(VLOOKUP(DATA!#REF!,DATA!#REF!,1,FALSE),"")</f>
        <v/>
      </c>
      <c r="D3862" s="16" t="str">
        <f>IFERROR(VLOOKUP(C3862,DATA!#REF!,2,FALSE),"")</f>
        <v/>
      </c>
    </row>
    <row r="3863" spans="3:4" s="230" customFormat="1">
      <c r="C3863" s="16" t="str">
        <f>IFERROR(VLOOKUP(DATA!#REF!,DATA!#REF!,1,FALSE),"")</f>
        <v/>
      </c>
      <c r="D3863" s="16" t="str">
        <f>IFERROR(VLOOKUP(C3863,DATA!#REF!,2,FALSE),"")</f>
        <v/>
      </c>
    </row>
    <row r="3864" spans="3:4" s="230" customFormat="1">
      <c r="C3864" s="16" t="str">
        <f>IFERROR(VLOOKUP(DATA!#REF!,DATA!#REF!,1,FALSE),"")</f>
        <v/>
      </c>
      <c r="D3864" s="16" t="str">
        <f>IFERROR(VLOOKUP(C3864,DATA!#REF!,2,FALSE),"")</f>
        <v/>
      </c>
    </row>
    <row r="3865" spans="3:4" s="230" customFormat="1">
      <c r="C3865" s="16" t="str">
        <f>IFERROR(VLOOKUP(DATA!#REF!,DATA!#REF!,1,FALSE),"")</f>
        <v/>
      </c>
      <c r="D3865" s="16" t="str">
        <f>IFERROR(VLOOKUP(C3865,DATA!#REF!,2,FALSE),"")</f>
        <v/>
      </c>
    </row>
    <row r="3866" spans="3:4" s="230" customFormat="1">
      <c r="C3866" s="16" t="str">
        <f>IFERROR(VLOOKUP(DATA!#REF!,DATA!#REF!,1,FALSE),"")</f>
        <v/>
      </c>
      <c r="D3866" s="16" t="str">
        <f>IFERROR(VLOOKUP(C3866,DATA!#REF!,2,FALSE),"")</f>
        <v/>
      </c>
    </row>
    <row r="3867" spans="3:4" s="230" customFormat="1">
      <c r="C3867" s="16" t="str">
        <f>IFERROR(VLOOKUP(DATA!#REF!,DATA!#REF!,1,FALSE),"")</f>
        <v/>
      </c>
      <c r="D3867" s="16" t="str">
        <f>IFERROR(VLOOKUP(C3867,DATA!#REF!,2,FALSE),"")</f>
        <v/>
      </c>
    </row>
    <row r="3868" spans="3:4" s="230" customFormat="1">
      <c r="C3868" s="16" t="str">
        <f>IFERROR(VLOOKUP(DATA!#REF!,DATA!#REF!,1,FALSE),"")</f>
        <v/>
      </c>
      <c r="D3868" s="16" t="str">
        <f>IFERROR(VLOOKUP(C3868,DATA!#REF!,2,FALSE),"")</f>
        <v/>
      </c>
    </row>
    <row r="3869" spans="3:4" s="230" customFormat="1">
      <c r="C3869" s="16" t="str">
        <f>IFERROR(VLOOKUP(DATA!#REF!,DATA!#REF!,1,FALSE),"")</f>
        <v/>
      </c>
      <c r="D3869" s="16" t="str">
        <f>IFERROR(VLOOKUP(C3869,DATA!#REF!,2,FALSE),"")</f>
        <v/>
      </c>
    </row>
    <row r="3870" spans="3:4" s="230" customFormat="1">
      <c r="C3870" s="16" t="str">
        <f>IFERROR(VLOOKUP(DATA!#REF!,DATA!#REF!,1,FALSE),"")</f>
        <v/>
      </c>
      <c r="D3870" s="16" t="str">
        <f>IFERROR(VLOOKUP(C3870,DATA!#REF!,2,FALSE),"")</f>
        <v/>
      </c>
    </row>
    <row r="3871" spans="3:4" s="230" customFormat="1">
      <c r="C3871" s="16" t="str">
        <f>IFERROR(VLOOKUP(DATA!#REF!,DATA!#REF!,1,FALSE),"")</f>
        <v/>
      </c>
      <c r="D3871" s="16" t="str">
        <f>IFERROR(VLOOKUP(C3871,DATA!#REF!,2,FALSE),"")</f>
        <v/>
      </c>
    </row>
    <row r="3872" spans="3:4" s="230" customFormat="1">
      <c r="C3872" s="16" t="str">
        <f>IFERROR(VLOOKUP(DATA!#REF!,DATA!#REF!,1,FALSE),"")</f>
        <v/>
      </c>
      <c r="D3872" s="16" t="str">
        <f>IFERROR(VLOOKUP(C3872,DATA!#REF!,2,FALSE),"")</f>
        <v/>
      </c>
    </row>
    <row r="3873" spans="3:4" s="230" customFormat="1">
      <c r="C3873" s="16" t="str">
        <f>IFERROR(VLOOKUP(DATA!#REF!,DATA!#REF!,1,FALSE),"")</f>
        <v/>
      </c>
      <c r="D3873" s="16" t="str">
        <f>IFERROR(VLOOKUP(C3873,DATA!#REF!,2,FALSE),"")</f>
        <v/>
      </c>
    </row>
    <row r="3874" spans="3:4" s="230" customFormat="1">
      <c r="C3874" s="16" t="str">
        <f>IFERROR(VLOOKUP(DATA!#REF!,DATA!#REF!,1,FALSE),"")</f>
        <v/>
      </c>
      <c r="D3874" s="16" t="str">
        <f>IFERROR(VLOOKUP(C3874,DATA!#REF!,2,FALSE),"")</f>
        <v/>
      </c>
    </row>
    <row r="3875" spans="3:4" s="230" customFormat="1">
      <c r="C3875" s="16" t="str">
        <f>IFERROR(VLOOKUP(DATA!#REF!,DATA!#REF!,1,FALSE),"")</f>
        <v/>
      </c>
      <c r="D3875" s="16" t="str">
        <f>IFERROR(VLOOKUP(C3875,DATA!#REF!,2,FALSE),"")</f>
        <v/>
      </c>
    </row>
    <row r="3876" spans="3:4" s="230" customFormat="1">
      <c r="C3876" s="16" t="str">
        <f>IFERROR(VLOOKUP(DATA!#REF!,DATA!#REF!,1,FALSE),"")</f>
        <v/>
      </c>
      <c r="D3876" s="16" t="str">
        <f>IFERROR(VLOOKUP(C3876,DATA!#REF!,2,FALSE),"")</f>
        <v/>
      </c>
    </row>
    <row r="3877" spans="3:4" s="230" customFormat="1">
      <c r="C3877" s="16" t="str">
        <f>IFERROR(VLOOKUP(DATA!#REF!,DATA!#REF!,1,FALSE),"")</f>
        <v/>
      </c>
      <c r="D3877" s="16" t="str">
        <f>IFERROR(VLOOKUP(C3877,DATA!#REF!,2,FALSE),"")</f>
        <v/>
      </c>
    </row>
    <row r="3878" spans="3:4" s="230" customFormat="1">
      <c r="C3878" s="16" t="str">
        <f>IFERROR(VLOOKUP(DATA!#REF!,DATA!#REF!,1,FALSE),"")</f>
        <v/>
      </c>
      <c r="D3878" s="16" t="str">
        <f>IFERROR(VLOOKUP(C3878,DATA!#REF!,2,FALSE),"")</f>
        <v/>
      </c>
    </row>
    <row r="3879" spans="3:4" s="230" customFormat="1">
      <c r="C3879" s="16" t="str">
        <f>IFERROR(VLOOKUP(DATA!#REF!,DATA!#REF!,1,FALSE),"")</f>
        <v/>
      </c>
      <c r="D3879" s="16" t="str">
        <f>IFERROR(VLOOKUP(C3879,DATA!#REF!,2,FALSE),"")</f>
        <v/>
      </c>
    </row>
    <row r="3880" spans="3:4" s="230" customFormat="1">
      <c r="C3880" s="16" t="str">
        <f>IFERROR(VLOOKUP(DATA!#REF!,DATA!#REF!,1,FALSE),"")</f>
        <v/>
      </c>
      <c r="D3880" s="16" t="str">
        <f>IFERROR(VLOOKUP(C3880,DATA!#REF!,2,FALSE),"")</f>
        <v/>
      </c>
    </row>
    <row r="3881" spans="3:4" s="230" customFormat="1">
      <c r="C3881" s="16" t="str">
        <f>IFERROR(VLOOKUP(DATA!#REF!,DATA!#REF!,1,FALSE),"")</f>
        <v/>
      </c>
      <c r="D3881" s="16" t="str">
        <f>IFERROR(VLOOKUP(C3881,DATA!#REF!,2,FALSE),"")</f>
        <v/>
      </c>
    </row>
    <row r="3882" spans="3:4" s="230" customFormat="1">
      <c r="C3882" s="16" t="str">
        <f>IFERROR(VLOOKUP(DATA!#REF!,DATA!#REF!,1,FALSE),"")</f>
        <v/>
      </c>
      <c r="D3882" s="16" t="str">
        <f>IFERROR(VLOOKUP(C3882,DATA!#REF!,2,FALSE),"")</f>
        <v/>
      </c>
    </row>
    <row r="3883" spans="3:4" s="230" customFormat="1">
      <c r="C3883" s="16" t="str">
        <f>IFERROR(VLOOKUP(DATA!#REF!,DATA!#REF!,1,FALSE),"")</f>
        <v/>
      </c>
      <c r="D3883" s="16" t="str">
        <f>IFERROR(VLOOKUP(C3883,DATA!#REF!,2,FALSE),"")</f>
        <v/>
      </c>
    </row>
    <row r="3884" spans="3:4" s="230" customFormat="1">
      <c r="C3884" s="16" t="str">
        <f>IFERROR(VLOOKUP(DATA!#REF!,DATA!#REF!,1,FALSE),"")</f>
        <v/>
      </c>
      <c r="D3884" s="16" t="str">
        <f>IFERROR(VLOOKUP(C3884,DATA!#REF!,2,FALSE),"")</f>
        <v/>
      </c>
    </row>
    <row r="3885" spans="3:4" s="230" customFormat="1">
      <c r="C3885" s="16" t="str">
        <f>IFERROR(VLOOKUP(DATA!#REF!,DATA!#REF!,1,FALSE),"")</f>
        <v/>
      </c>
      <c r="D3885" s="16" t="str">
        <f>IFERROR(VLOOKUP(C3885,DATA!#REF!,2,FALSE),"")</f>
        <v/>
      </c>
    </row>
    <row r="3886" spans="3:4" s="230" customFormat="1">
      <c r="C3886" s="16" t="str">
        <f>IFERROR(VLOOKUP(DATA!#REF!,DATA!#REF!,1,FALSE),"")</f>
        <v/>
      </c>
      <c r="D3886" s="16" t="str">
        <f>IFERROR(VLOOKUP(C3886,DATA!#REF!,2,FALSE),"")</f>
        <v/>
      </c>
    </row>
    <row r="3887" spans="3:4" s="230" customFormat="1">
      <c r="C3887" s="16" t="str">
        <f>IFERROR(VLOOKUP(DATA!#REF!,DATA!#REF!,1,FALSE),"")</f>
        <v/>
      </c>
      <c r="D3887" s="16" t="str">
        <f>IFERROR(VLOOKUP(C3887,DATA!#REF!,2,FALSE),"")</f>
        <v/>
      </c>
    </row>
    <row r="3888" spans="3:4" s="230" customFormat="1">
      <c r="C3888" s="16" t="str">
        <f>IFERROR(VLOOKUP(DATA!#REF!,DATA!#REF!,1,FALSE),"")</f>
        <v/>
      </c>
      <c r="D3888" s="16" t="str">
        <f>IFERROR(VLOOKUP(C3888,DATA!#REF!,2,FALSE),"")</f>
        <v/>
      </c>
    </row>
    <row r="3889" spans="3:4" s="230" customFormat="1">
      <c r="C3889" s="16" t="str">
        <f>IFERROR(VLOOKUP(DATA!#REF!,DATA!#REF!,1,FALSE),"")</f>
        <v/>
      </c>
      <c r="D3889" s="16" t="str">
        <f>IFERROR(VLOOKUP(C3889,DATA!#REF!,2,FALSE),"")</f>
        <v/>
      </c>
    </row>
    <row r="3890" spans="3:4" s="230" customFormat="1">
      <c r="C3890" s="16" t="str">
        <f>IFERROR(VLOOKUP(DATA!#REF!,DATA!#REF!,1,FALSE),"")</f>
        <v/>
      </c>
      <c r="D3890" s="16" t="str">
        <f>IFERROR(VLOOKUP(C3890,DATA!#REF!,2,FALSE),"")</f>
        <v/>
      </c>
    </row>
    <row r="3891" spans="3:4" s="230" customFormat="1">
      <c r="C3891" s="16" t="str">
        <f>IFERROR(VLOOKUP(DATA!#REF!,DATA!#REF!,1,FALSE),"")</f>
        <v/>
      </c>
      <c r="D3891" s="16" t="str">
        <f>IFERROR(VLOOKUP(C3891,DATA!#REF!,2,FALSE),"")</f>
        <v/>
      </c>
    </row>
    <row r="3892" spans="3:4" s="230" customFormat="1">
      <c r="C3892" s="16" t="str">
        <f>IFERROR(VLOOKUP(DATA!#REF!,DATA!#REF!,1,FALSE),"")</f>
        <v/>
      </c>
      <c r="D3892" s="16" t="str">
        <f>IFERROR(VLOOKUP(C3892,DATA!#REF!,2,FALSE),"")</f>
        <v/>
      </c>
    </row>
    <row r="3893" spans="3:4" s="230" customFormat="1">
      <c r="C3893" s="16" t="str">
        <f>IFERROR(VLOOKUP(DATA!#REF!,DATA!#REF!,1,FALSE),"")</f>
        <v/>
      </c>
      <c r="D3893" s="16" t="str">
        <f>IFERROR(VLOOKUP(C3893,DATA!#REF!,2,FALSE),"")</f>
        <v/>
      </c>
    </row>
    <row r="3894" spans="3:4" s="230" customFormat="1">
      <c r="C3894" s="16" t="str">
        <f>IFERROR(VLOOKUP(DATA!#REF!,DATA!#REF!,1,FALSE),"")</f>
        <v/>
      </c>
      <c r="D3894" s="16" t="str">
        <f>IFERROR(VLOOKUP(C3894,DATA!#REF!,2,FALSE),"")</f>
        <v/>
      </c>
    </row>
    <row r="3895" spans="3:4" s="230" customFormat="1">
      <c r="C3895" s="16" t="str">
        <f>IFERROR(VLOOKUP(DATA!#REF!,DATA!#REF!,1,FALSE),"")</f>
        <v/>
      </c>
      <c r="D3895" s="16" t="str">
        <f>IFERROR(VLOOKUP(C3895,DATA!#REF!,2,FALSE),"")</f>
        <v/>
      </c>
    </row>
    <row r="3896" spans="3:4" s="230" customFormat="1">
      <c r="C3896" s="16" t="str">
        <f>IFERROR(VLOOKUP(DATA!#REF!,DATA!#REF!,1,FALSE),"")</f>
        <v/>
      </c>
      <c r="D3896" s="16" t="str">
        <f>IFERROR(VLOOKUP(C3896,DATA!#REF!,2,FALSE),"")</f>
        <v/>
      </c>
    </row>
    <row r="3897" spans="3:4" s="230" customFormat="1">
      <c r="C3897" s="16" t="str">
        <f>IFERROR(VLOOKUP(DATA!#REF!,DATA!#REF!,1,FALSE),"")</f>
        <v/>
      </c>
      <c r="D3897" s="16" t="str">
        <f>IFERROR(VLOOKUP(C3897,DATA!#REF!,2,FALSE),"")</f>
        <v/>
      </c>
    </row>
    <row r="3898" spans="3:4" s="230" customFormat="1">
      <c r="C3898" s="16" t="str">
        <f>IFERROR(VLOOKUP(DATA!#REF!,DATA!#REF!,1,FALSE),"")</f>
        <v/>
      </c>
      <c r="D3898" s="16" t="str">
        <f>IFERROR(VLOOKUP(C3898,DATA!#REF!,2,FALSE),"")</f>
        <v/>
      </c>
    </row>
    <row r="3899" spans="3:4" s="230" customFormat="1">
      <c r="C3899" s="16" t="str">
        <f>IFERROR(VLOOKUP(DATA!#REF!,DATA!#REF!,1,FALSE),"")</f>
        <v/>
      </c>
      <c r="D3899" s="16" t="str">
        <f>IFERROR(VLOOKUP(C3899,DATA!#REF!,2,FALSE),"")</f>
        <v/>
      </c>
    </row>
    <row r="3900" spans="3:4" s="230" customFormat="1">
      <c r="C3900" s="16" t="str">
        <f>IFERROR(VLOOKUP(DATA!#REF!,DATA!#REF!,1,FALSE),"")</f>
        <v/>
      </c>
      <c r="D3900" s="16" t="str">
        <f>IFERROR(VLOOKUP(C3900,DATA!#REF!,2,FALSE),"")</f>
        <v/>
      </c>
    </row>
    <row r="3901" spans="3:4" s="230" customFormat="1">
      <c r="C3901" s="16" t="str">
        <f>IFERROR(VLOOKUP(DATA!#REF!,DATA!#REF!,1,FALSE),"")</f>
        <v/>
      </c>
      <c r="D3901" s="16" t="str">
        <f>IFERROR(VLOOKUP(C3901,DATA!#REF!,2,FALSE),"")</f>
        <v/>
      </c>
    </row>
    <row r="3902" spans="3:4" s="230" customFormat="1">
      <c r="C3902" s="16" t="str">
        <f>IFERROR(VLOOKUP(DATA!#REF!,DATA!#REF!,1,FALSE),"")</f>
        <v/>
      </c>
      <c r="D3902" s="16" t="str">
        <f>IFERROR(VLOOKUP(C3902,DATA!#REF!,2,FALSE),"")</f>
        <v/>
      </c>
    </row>
    <row r="3903" spans="3:4" s="230" customFormat="1">
      <c r="C3903" s="16" t="str">
        <f>IFERROR(VLOOKUP(DATA!#REF!,DATA!#REF!,1,FALSE),"")</f>
        <v/>
      </c>
      <c r="D3903" s="16" t="str">
        <f>IFERROR(VLOOKUP(C3903,DATA!#REF!,2,FALSE),"")</f>
        <v/>
      </c>
    </row>
    <row r="3904" spans="3:4" s="230" customFormat="1">
      <c r="C3904" s="16" t="str">
        <f>IFERROR(VLOOKUP(DATA!#REF!,DATA!#REF!,1,FALSE),"")</f>
        <v/>
      </c>
      <c r="D3904" s="16" t="str">
        <f>IFERROR(VLOOKUP(C3904,DATA!#REF!,2,FALSE),"")</f>
        <v/>
      </c>
    </row>
    <row r="3905" spans="3:4" s="230" customFormat="1">
      <c r="C3905" s="16" t="str">
        <f>IFERROR(VLOOKUP(DATA!#REF!,DATA!#REF!,1,FALSE),"")</f>
        <v/>
      </c>
      <c r="D3905" s="16" t="str">
        <f>IFERROR(VLOOKUP(C3905,DATA!#REF!,2,FALSE),"")</f>
        <v/>
      </c>
    </row>
    <row r="3906" spans="3:4" s="230" customFormat="1">
      <c r="C3906" s="16" t="str">
        <f>IFERROR(VLOOKUP(DATA!#REF!,DATA!#REF!,1,FALSE),"")</f>
        <v/>
      </c>
      <c r="D3906" s="16" t="str">
        <f>IFERROR(VLOOKUP(C3906,DATA!#REF!,2,FALSE),"")</f>
        <v/>
      </c>
    </row>
    <row r="3907" spans="3:4" s="230" customFormat="1">
      <c r="C3907" s="16" t="str">
        <f>IFERROR(VLOOKUP(DATA!#REF!,DATA!#REF!,1,FALSE),"")</f>
        <v/>
      </c>
      <c r="D3907" s="16" t="str">
        <f>IFERROR(VLOOKUP(C3907,DATA!#REF!,2,FALSE),"")</f>
        <v/>
      </c>
    </row>
    <row r="3908" spans="3:4" s="230" customFormat="1">
      <c r="C3908" s="16" t="str">
        <f>IFERROR(VLOOKUP(DATA!#REF!,DATA!#REF!,1,FALSE),"")</f>
        <v/>
      </c>
      <c r="D3908" s="16" t="str">
        <f>IFERROR(VLOOKUP(C3908,DATA!#REF!,2,FALSE),"")</f>
        <v/>
      </c>
    </row>
    <row r="3909" spans="3:4" s="230" customFormat="1">
      <c r="C3909" s="16" t="str">
        <f>IFERROR(VLOOKUP(DATA!#REF!,DATA!#REF!,1,FALSE),"")</f>
        <v/>
      </c>
      <c r="D3909" s="16" t="str">
        <f>IFERROR(VLOOKUP(C3909,DATA!#REF!,2,FALSE),"")</f>
        <v/>
      </c>
    </row>
    <row r="3910" spans="3:4" s="230" customFormat="1">
      <c r="C3910" s="16" t="str">
        <f>IFERROR(VLOOKUP(DATA!#REF!,DATA!#REF!,1,FALSE),"")</f>
        <v/>
      </c>
      <c r="D3910" s="16" t="str">
        <f>IFERROR(VLOOKUP(C3910,DATA!#REF!,2,FALSE),"")</f>
        <v/>
      </c>
    </row>
    <row r="3911" spans="3:4" s="230" customFormat="1">
      <c r="C3911" s="16" t="str">
        <f>IFERROR(VLOOKUP(DATA!#REF!,DATA!#REF!,1,FALSE),"")</f>
        <v/>
      </c>
      <c r="D3911" s="16" t="str">
        <f>IFERROR(VLOOKUP(C3911,DATA!#REF!,2,FALSE),"")</f>
        <v/>
      </c>
    </row>
    <row r="3912" spans="3:4" s="230" customFormat="1">
      <c r="C3912" s="16" t="str">
        <f>IFERROR(VLOOKUP(DATA!#REF!,DATA!#REF!,1,FALSE),"")</f>
        <v/>
      </c>
      <c r="D3912" s="16" t="str">
        <f>IFERROR(VLOOKUP(C3912,DATA!#REF!,2,FALSE),"")</f>
        <v/>
      </c>
    </row>
    <row r="3913" spans="3:4" s="230" customFormat="1">
      <c r="C3913" s="16" t="str">
        <f>IFERROR(VLOOKUP(DATA!#REF!,DATA!#REF!,1,FALSE),"")</f>
        <v/>
      </c>
      <c r="D3913" s="16" t="str">
        <f>IFERROR(VLOOKUP(C3913,DATA!#REF!,2,FALSE),"")</f>
        <v/>
      </c>
    </row>
    <row r="3914" spans="3:4" s="230" customFormat="1">
      <c r="C3914" s="16" t="str">
        <f>IFERROR(VLOOKUP(DATA!#REF!,DATA!#REF!,1,FALSE),"")</f>
        <v/>
      </c>
      <c r="D3914" s="16" t="str">
        <f>IFERROR(VLOOKUP(C3914,DATA!#REF!,2,FALSE),"")</f>
        <v/>
      </c>
    </row>
    <row r="3915" spans="3:4" s="230" customFormat="1">
      <c r="C3915" s="16" t="str">
        <f>IFERROR(VLOOKUP(DATA!#REF!,DATA!#REF!,1,FALSE),"")</f>
        <v/>
      </c>
      <c r="D3915" s="16" t="str">
        <f>IFERROR(VLOOKUP(C3915,DATA!#REF!,2,FALSE),"")</f>
        <v/>
      </c>
    </row>
    <row r="3916" spans="3:4" s="230" customFormat="1">
      <c r="C3916" s="16" t="str">
        <f>IFERROR(VLOOKUP(DATA!#REF!,DATA!#REF!,1,FALSE),"")</f>
        <v/>
      </c>
      <c r="D3916" s="16" t="str">
        <f>IFERROR(VLOOKUP(C3916,DATA!#REF!,2,FALSE),"")</f>
        <v/>
      </c>
    </row>
    <row r="3917" spans="3:4" s="230" customFormat="1">
      <c r="C3917" s="16" t="str">
        <f>IFERROR(VLOOKUP(DATA!#REF!,DATA!#REF!,1,FALSE),"")</f>
        <v/>
      </c>
      <c r="D3917" s="16" t="str">
        <f>IFERROR(VLOOKUP(C3917,DATA!#REF!,2,FALSE),"")</f>
        <v/>
      </c>
    </row>
    <row r="3918" spans="3:4" s="230" customFormat="1">
      <c r="C3918" s="16" t="str">
        <f>IFERROR(VLOOKUP(DATA!#REF!,DATA!#REF!,1,FALSE),"")</f>
        <v/>
      </c>
      <c r="D3918" s="16" t="str">
        <f>IFERROR(VLOOKUP(C3918,DATA!#REF!,2,FALSE),"")</f>
        <v/>
      </c>
    </row>
    <row r="3919" spans="3:4" s="230" customFormat="1">
      <c r="C3919" s="16" t="str">
        <f>IFERROR(VLOOKUP(DATA!#REF!,DATA!#REF!,1,FALSE),"")</f>
        <v/>
      </c>
      <c r="D3919" s="16" t="str">
        <f>IFERROR(VLOOKUP(C3919,DATA!#REF!,2,FALSE),"")</f>
        <v/>
      </c>
    </row>
    <row r="3920" spans="3:4" s="230" customFormat="1">
      <c r="C3920" s="16" t="str">
        <f>IFERROR(VLOOKUP(DATA!#REF!,DATA!#REF!,1,FALSE),"")</f>
        <v/>
      </c>
      <c r="D3920" s="16" t="str">
        <f>IFERROR(VLOOKUP(C3920,DATA!#REF!,2,FALSE),"")</f>
        <v/>
      </c>
    </row>
    <row r="3921" spans="3:4" s="230" customFormat="1">
      <c r="C3921" s="16" t="str">
        <f>IFERROR(VLOOKUP(DATA!#REF!,DATA!#REF!,1,FALSE),"")</f>
        <v/>
      </c>
      <c r="D3921" s="16" t="str">
        <f>IFERROR(VLOOKUP(C3921,DATA!#REF!,2,FALSE),"")</f>
        <v/>
      </c>
    </row>
    <row r="3922" spans="3:4" s="230" customFormat="1">
      <c r="C3922" s="16" t="str">
        <f>IFERROR(VLOOKUP(DATA!#REF!,DATA!#REF!,1,FALSE),"")</f>
        <v/>
      </c>
      <c r="D3922" s="16" t="str">
        <f>IFERROR(VLOOKUP(C3922,DATA!#REF!,2,FALSE),"")</f>
        <v/>
      </c>
    </row>
    <row r="3923" spans="3:4" s="230" customFormat="1">
      <c r="C3923" s="16" t="str">
        <f>IFERROR(VLOOKUP(DATA!#REF!,DATA!#REF!,1,FALSE),"")</f>
        <v/>
      </c>
      <c r="D3923" s="16" t="str">
        <f>IFERROR(VLOOKUP(C3923,DATA!#REF!,2,FALSE),"")</f>
        <v/>
      </c>
    </row>
    <row r="3924" spans="3:4" s="230" customFormat="1">
      <c r="C3924" s="16" t="str">
        <f>IFERROR(VLOOKUP(DATA!#REF!,DATA!#REF!,1,FALSE),"")</f>
        <v/>
      </c>
      <c r="D3924" s="16" t="str">
        <f>IFERROR(VLOOKUP(C3924,DATA!#REF!,2,FALSE),"")</f>
        <v/>
      </c>
    </row>
    <row r="3925" spans="3:4" s="230" customFormat="1">
      <c r="C3925" s="16" t="str">
        <f>IFERROR(VLOOKUP(DATA!#REF!,DATA!#REF!,1,FALSE),"")</f>
        <v/>
      </c>
      <c r="D3925" s="16" t="str">
        <f>IFERROR(VLOOKUP(C3925,DATA!#REF!,2,FALSE),"")</f>
        <v/>
      </c>
    </row>
    <row r="3926" spans="3:4" s="230" customFormat="1">
      <c r="C3926" s="16" t="str">
        <f>IFERROR(VLOOKUP(DATA!#REF!,DATA!#REF!,1,FALSE),"")</f>
        <v/>
      </c>
      <c r="D3926" s="16" t="str">
        <f>IFERROR(VLOOKUP(C3926,DATA!#REF!,2,FALSE),"")</f>
        <v/>
      </c>
    </row>
    <row r="3927" spans="3:4" s="230" customFormat="1">
      <c r="C3927" s="16" t="str">
        <f>IFERROR(VLOOKUP(DATA!#REF!,DATA!#REF!,1,FALSE),"")</f>
        <v/>
      </c>
      <c r="D3927" s="16" t="str">
        <f>IFERROR(VLOOKUP(C3927,DATA!#REF!,2,FALSE),"")</f>
        <v/>
      </c>
    </row>
    <row r="3928" spans="3:4" s="230" customFormat="1">
      <c r="C3928" s="16" t="str">
        <f>IFERROR(VLOOKUP(DATA!#REF!,DATA!#REF!,1,FALSE),"")</f>
        <v/>
      </c>
      <c r="D3928" s="16" t="str">
        <f>IFERROR(VLOOKUP(C3928,DATA!#REF!,2,FALSE),"")</f>
        <v/>
      </c>
    </row>
    <row r="3929" spans="3:4" s="230" customFormat="1">
      <c r="C3929" s="16" t="str">
        <f>IFERROR(VLOOKUP(DATA!#REF!,DATA!#REF!,1,FALSE),"")</f>
        <v/>
      </c>
      <c r="D3929" s="16" t="str">
        <f>IFERROR(VLOOKUP(C3929,DATA!#REF!,2,FALSE),"")</f>
        <v/>
      </c>
    </row>
    <row r="3930" spans="3:4" s="230" customFormat="1">
      <c r="C3930" s="16" t="str">
        <f>IFERROR(VLOOKUP(DATA!#REF!,DATA!#REF!,1,FALSE),"")</f>
        <v/>
      </c>
      <c r="D3930" s="16" t="str">
        <f>IFERROR(VLOOKUP(C3930,DATA!#REF!,2,FALSE),"")</f>
        <v/>
      </c>
    </row>
    <row r="3931" spans="3:4" s="230" customFormat="1">
      <c r="C3931" s="16" t="str">
        <f>IFERROR(VLOOKUP(DATA!#REF!,DATA!#REF!,1,FALSE),"")</f>
        <v/>
      </c>
      <c r="D3931" s="16" t="str">
        <f>IFERROR(VLOOKUP(C3931,DATA!#REF!,2,FALSE),"")</f>
        <v/>
      </c>
    </row>
    <row r="3932" spans="3:4" s="230" customFormat="1">
      <c r="C3932" s="16" t="str">
        <f>IFERROR(VLOOKUP(DATA!#REF!,DATA!#REF!,1,FALSE),"")</f>
        <v/>
      </c>
      <c r="D3932" s="16" t="str">
        <f>IFERROR(VLOOKUP(C3932,DATA!#REF!,2,FALSE),"")</f>
        <v/>
      </c>
    </row>
    <row r="3933" spans="3:4" s="230" customFormat="1">
      <c r="C3933" s="16" t="str">
        <f>IFERROR(VLOOKUP(DATA!#REF!,DATA!#REF!,1,FALSE),"")</f>
        <v/>
      </c>
      <c r="D3933" s="16" t="str">
        <f>IFERROR(VLOOKUP(C3933,DATA!#REF!,2,FALSE),"")</f>
        <v/>
      </c>
    </row>
    <row r="3934" spans="3:4" s="230" customFormat="1">
      <c r="C3934" s="16" t="str">
        <f>IFERROR(VLOOKUP(DATA!#REF!,DATA!#REF!,1,FALSE),"")</f>
        <v/>
      </c>
      <c r="D3934" s="16" t="str">
        <f>IFERROR(VLOOKUP(C3934,DATA!#REF!,2,FALSE),"")</f>
        <v/>
      </c>
    </row>
    <row r="3935" spans="3:4" s="230" customFormat="1">
      <c r="C3935" s="16" t="str">
        <f>IFERROR(VLOOKUP(DATA!#REF!,DATA!#REF!,1,FALSE),"")</f>
        <v/>
      </c>
      <c r="D3935" s="16" t="str">
        <f>IFERROR(VLOOKUP(C3935,DATA!#REF!,2,FALSE),"")</f>
        <v/>
      </c>
    </row>
    <row r="3936" spans="3:4" s="230" customFormat="1">
      <c r="C3936" s="16" t="str">
        <f>IFERROR(VLOOKUP(DATA!#REF!,DATA!#REF!,1,FALSE),"")</f>
        <v/>
      </c>
      <c r="D3936" s="16" t="str">
        <f>IFERROR(VLOOKUP(C3936,DATA!#REF!,2,FALSE),"")</f>
        <v/>
      </c>
    </row>
    <row r="3937" spans="3:4" s="230" customFormat="1">
      <c r="C3937" s="16" t="str">
        <f>IFERROR(VLOOKUP(DATA!#REF!,DATA!#REF!,1,FALSE),"")</f>
        <v/>
      </c>
      <c r="D3937" s="16" t="str">
        <f>IFERROR(VLOOKUP(C3937,DATA!#REF!,2,FALSE),"")</f>
        <v/>
      </c>
    </row>
    <row r="3938" spans="3:4" s="230" customFormat="1">
      <c r="C3938" s="16" t="str">
        <f>IFERROR(VLOOKUP(DATA!#REF!,DATA!#REF!,1,FALSE),"")</f>
        <v/>
      </c>
      <c r="D3938" s="16" t="str">
        <f>IFERROR(VLOOKUP(C3938,DATA!#REF!,2,FALSE),"")</f>
        <v/>
      </c>
    </row>
    <row r="3939" spans="3:4" s="230" customFormat="1">
      <c r="C3939" s="16" t="str">
        <f>IFERROR(VLOOKUP(DATA!#REF!,DATA!#REF!,1,FALSE),"")</f>
        <v/>
      </c>
      <c r="D3939" s="16" t="str">
        <f>IFERROR(VLOOKUP(C3939,DATA!#REF!,2,FALSE),"")</f>
        <v/>
      </c>
    </row>
    <row r="3940" spans="3:4" s="230" customFormat="1">
      <c r="C3940" s="16" t="str">
        <f>IFERROR(VLOOKUP(DATA!#REF!,DATA!#REF!,1,FALSE),"")</f>
        <v/>
      </c>
      <c r="D3940" s="16" t="str">
        <f>IFERROR(VLOOKUP(C3940,DATA!#REF!,2,FALSE),"")</f>
        <v/>
      </c>
    </row>
    <row r="3941" spans="3:4" s="230" customFormat="1">
      <c r="C3941" s="16" t="str">
        <f>IFERROR(VLOOKUP(DATA!#REF!,DATA!#REF!,1,FALSE),"")</f>
        <v/>
      </c>
      <c r="D3941" s="16" t="str">
        <f>IFERROR(VLOOKUP(C3941,DATA!#REF!,2,FALSE),"")</f>
        <v/>
      </c>
    </row>
    <row r="3942" spans="3:4" s="230" customFormat="1">
      <c r="C3942" s="16" t="str">
        <f>IFERROR(VLOOKUP(DATA!#REF!,DATA!#REF!,1,FALSE),"")</f>
        <v/>
      </c>
      <c r="D3942" s="16" t="str">
        <f>IFERROR(VLOOKUP(C3942,DATA!#REF!,2,FALSE),"")</f>
        <v/>
      </c>
    </row>
    <row r="3943" spans="3:4" s="230" customFormat="1">
      <c r="C3943" s="16" t="str">
        <f>IFERROR(VLOOKUP(DATA!#REF!,DATA!#REF!,1,FALSE),"")</f>
        <v/>
      </c>
      <c r="D3943" s="16" t="str">
        <f>IFERROR(VLOOKUP(C3943,DATA!#REF!,2,FALSE),"")</f>
        <v/>
      </c>
    </row>
    <row r="3944" spans="3:4" s="230" customFormat="1">
      <c r="C3944" s="16" t="str">
        <f>IFERROR(VLOOKUP(DATA!#REF!,DATA!#REF!,1,FALSE),"")</f>
        <v/>
      </c>
      <c r="D3944" s="16" t="str">
        <f>IFERROR(VLOOKUP(C3944,DATA!#REF!,2,FALSE),"")</f>
        <v/>
      </c>
    </row>
    <row r="3945" spans="3:4" s="230" customFormat="1">
      <c r="C3945" s="16" t="str">
        <f>IFERROR(VLOOKUP(DATA!#REF!,DATA!#REF!,1,FALSE),"")</f>
        <v/>
      </c>
      <c r="D3945" s="16" t="str">
        <f>IFERROR(VLOOKUP(C3945,DATA!#REF!,2,FALSE),"")</f>
        <v/>
      </c>
    </row>
    <row r="3946" spans="3:4" s="230" customFormat="1">
      <c r="C3946" s="16" t="str">
        <f>IFERROR(VLOOKUP(DATA!#REF!,DATA!#REF!,1,FALSE),"")</f>
        <v/>
      </c>
      <c r="D3946" s="16" t="str">
        <f>IFERROR(VLOOKUP(C3946,DATA!#REF!,2,FALSE),"")</f>
        <v/>
      </c>
    </row>
    <row r="3947" spans="3:4" s="230" customFormat="1">
      <c r="C3947" s="16" t="str">
        <f>IFERROR(VLOOKUP(DATA!#REF!,DATA!#REF!,1,FALSE),"")</f>
        <v/>
      </c>
      <c r="D3947" s="16" t="str">
        <f>IFERROR(VLOOKUP(C3947,DATA!#REF!,2,FALSE),"")</f>
        <v/>
      </c>
    </row>
    <row r="3948" spans="3:4" s="230" customFormat="1">
      <c r="C3948" s="16" t="str">
        <f>IFERROR(VLOOKUP(DATA!#REF!,DATA!#REF!,1,FALSE),"")</f>
        <v/>
      </c>
      <c r="D3948" s="16" t="str">
        <f>IFERROR(VLOOKUP(C3948,DATA!#REF!,2,FALSE),"")</f>
        <v/>
      </c>
    </row>
    <row r="3949" spans="3:4" s="230" customFormat="1">
      <c r="C3949" s="16" t="str">
        <f>IFERROR(VLOOKUP(DATA!#REF!,DATA!#REF!,1,FALSE),"")</f>
        <v/>
      </c>
      <c r="D3949" s="16" t="str">
        <f>IFERROR(VLOOKUP(C3949,DATA!#REF!,2,FALSE),"")</f>
        <v/>
      </c>
    </row>
    <row r="3950" spans="3:4" s="230" customFormat="1">
      <c r="C3950" s="16" t="str">
        <f>IFERROR(VLOOKUP(DATA!#REF!,DATA!#REF!,1,FALSE),"")</f>
        <v/>
      </c>
      <c r="D3950" s="16" t="str">
        <f>IFERROR(VLOOKUP(C3950,DATA!#REF!,2,FALSE),"")</f>
        <v/>
      </c>
    </row>
    <row r="3951" spans="3:4" s="230" customFormat="1">
      <c r="C3951" s="16" t="str">
        <f>IFERROR(VLOOKUP(DATA!#REF!,DATA!#REF!,1,FALSE),"")</f>
        <v/>
      </c>
      <c r="D3951" s="16" t="str">
        <f>IFERROR(VLOOKUP(C3951,DATA!#REF!,2,FALSE),"")</f>
        <v/>
      </c>
    </row>
    <row r="3952" spans="3:4" s="230" customFormat="1">
      <c r="C3952" s="16" t="str">
        <f>IFERROR(VLOOKUP(DATA!#REF!,DATA!#REF!,1,FALSE),"")</f>
        <v/>
      </c>
      <c r="D3952" s="16" t="str">
        <f>IFERROR(VLOOKUP(C3952,DATA!#REF!,2,FALSE),"")</f>
        <v/>
      </c>
    </row>
    <row r="3953" spans="3:4" s="230" customFormat="1">
      <c r="C3953" s="16" t="str">
        <f>IFERROR(VLOOKUP(DATA!#REF!,DATA!#REF!,1,FALSE),"")</f>
        <v/>
      </c>
      <c r="D3953" s="16" t="str">
        <f>IFERROR(VLOOKUP(C3953,DATA!#REF!,2,FALSE),"")</f>
        <v/>
      </c>
    </row>
    <row r="3954" spans="3:4" s="230" customFormat="1">
      <c r="C3954" s="16" t="str">
        <f>IFERROR(VLOOKUP(DATA!#REF!,DATA!#REF!,1,FALSE),"")</f>
        <v/>
      </c>
      <c r="D3954" s="16" t="str">
        <f>IFERROR(VLOOKUP(C3954,DATA!#REF!,2,FALSE),"")</f>
        <v/>
      </c>
    </row>
    <row r="3955" spans="3:4" s="230" customFormat="1">
      <c r="C3955" s="16" t="str">
        <f>IFERROR(VLOOKUP(DATA!#REF!,DATA!#REF!,1,FALSE),"")</f>
        <v/>
      </c>
      <c r="D3955" s="16" t="str">
        <f>IFERROR(VLOOKUP(C3955,DATA!#REF!,2,FALSE),"")</f>
        <v/>
      </c>
    </row>
    <row r="3956" spans="3:4" s="230" customFormat="1">
      <c r="C3956" s="16" t="str">
        <f>IFERROR(VLOOKUP(DATA!#REF!,DATA!#REF!,1,FALSE),"")</f>
        <v/>
      </c>
      <c r="D3956" s="16" t="str">
        <f>IFERROR(VLOOKUP(C3956,DATA!#REF!,2,FALSE),"")</f>
        <v/>
      </c>
    </row>
    <row r="3957" spans="3:4" s="230" customFormat="1">
      <c r="C3957" s="16" t="str">
        <f>IFERROR(VLOOKUP(DATA!#REF!,DATA!#REF!,1,FALSE),"")</f>
        <v/>
      </c>
      <c r="D3957" s="16" t="str">
        <f>IFERROR(VLOOKUP(C3957,DATA!#REF!,2,FALSE),"")</f>
        <v/>
      </c>
    </row>
    <row r="3958" spans="3:4" s="230" customFormat="1">
      <c r="C3958" s="16" t="str">
        <f>IFERROR(VLOOKUP(DATA!#REF!,DATA!#REF!,1,FALSE),"")</f>
        <v/>
      </c>
      <c r="D3958" s="16" t="str">
        <f>IFERROR(VLOOKUP(C3958,DATA!#REF!,2,FALSE),"")</f>
        <v/>
      </c>
    </row>
    <row r="3959" spans="3:4" s="230" customFormat="1">
      <c r="C3959" s="16" t="str">
        <f>IFERROR(VLOOKUP(DATA!#REF!,DATA!#REF!,1,FALSE),"")</f>
        <v/>
      </c>
      <c r="D3959" s="16" t="str">
        <f>IFERROR(VLOOKUP(C3959,DATA!#REF!,2,FALSE),"")</f>
        <v/>
      </c>
    </row>
    <row r="3960" spans="3:4" s="230" customFormat="1">
      <c r="C3960" s="16" t="str">
        <f>IFERROR(VLOOKUP(DATA!#REF!,DATA!#REF!,1,FALSE),"")</f>
        <v/>
      </c>
      <c r="D3960" s="16" t="str">
        <f>IFERROR(VLOOKUP(C3960,DATA!#REF!,2,FALSE),"")</f>
        <v/>
      </c>
    </row>
    <row r="3961" spans="3:4" s="230" customFormat="1">
      <c r="C3961" s="16" t="str">
        <f>IFERROR(VLOOKUP(DATA!#REF!,DATA!#REF!,1,FALSE),"")</f>
        <v/>
      </c>
      <c r="D3961" s="16" t="str">
        <f>IFERROR(VLOOKUP(C3961,DATA!#REF!,2,FALSE),"")</f>
        <v/>
      </c>
    </row>
    <row r="3962" spans="3:4" s="230" customFormat="1">
      <c r="C3962" s="16" t="str">
        <f>IFERROR(VLOOKUP(DATA!#REF!,DATA!#REF!,1,FALSE),"")</f>
        <v/>
      </c>
      <c r="D3962" s="16" t="str">
        <f>IFERROR(VLOOKUP(C3962,DATA!#REF!,2,FALSE),"")</f>
        <v/>
      </c>
    </row>
    <row r="3963" spans="3:4" s="230" customFormat="1">
      <c r="C3963" s="16" t="str">
        <f>IFERROR(VLOOKUP(DATA!#REF!,DATA!#REF!,1,FALSE),"")</f>
        <v/>
      </c>
      <c r="D3963" s="16" t="str">
        <f>IFERROR(VLOOKUP(C3963,DATA!#REF!,2,FALSE),"")</f>
        <v/>
      </c>
    </row>
    <row r="3964" spans="3:4" s="230" customFormat="1">
      <c r="C3964" s="16" t="str">
        <f>IFERROR(VLOOKUP(DATA!#REF!,DATA!#REF!,1,FALSE),"")</f>
        <v/>
      </c>
      <c r="D3964" s="16" t="str">
        <f>IFERROR(VLOOKUP(C3964,DATA!#REF!,2,FALSE),"")</f>
        <v/>
      </c>
    </row>
    <row r="3965" spans="3:4" s="230" customFormat="1">
      <c r="C3965" s="16" t="str">
        <f>IFERROR(VLOOKUP(DATA!#REF!,DATA!#REF!,1,FALSE),"")</f>
        <v/>
      </c>
      <c r="D3965" s="16" t="str">
        <f>IFERROR(VLOOKUP(C3965,DATA!#REF!,2,FALSE),"")</f>
        <v/>
      </c>
    </row>
    <row r="3966" spans="3:4" s="230" customFormat="1">
      <c r="C3966" s="16" t="str">
        <f>IFERROR(VLOOKUP(DATA!#REF!,DATA!#REF!,1,FALSE),"")</f>
        <v/>
      </c>
      <c r="D3966" s="16" t="str">
        <f>IFERROR(VLOOKUP(C3966,DATA!#REF!,2,FALSE),"")</f>
        <v/>
      </c>
    </row>
    <row r="3967" spans="3:4" s="230" customFormat="1">
      <c r="C3967" s="16" t="str">
        <f>IFERROR(VLOOKUP(DATA!#REF!,DATA!#REF!,1,FALSE),"")</f>
        <v/>
      </c>
      <c r="D3967" s="16" t="str">
        <f>IFERROR(VLOOKUP(C3967,DATA!#REF!,2,FALSE),"")</f>
        <v/>
      </c>
    </row>
    <row r="3968" spans="3:4" s="230" customFormat="1">
      <c r="C3968" s="16" t="str">
        <f>IFERROR(VLOOKUP(DATA!#REF!,DATA!#REF!,1,FALSE),"")</f>
        <v/>
      </c>
      <c r="D3968" s="16" t="str">
        <f>IFERROR(VLOOKUP(C3968,DATA!#REF!,2,FALSE),"")</f>
        <v/>
      </c>
    </row>
    <row r="3969" spans="3:4" s="230" customFormat="1">
      <c r="C3969" s="16" t="str">
        <f>IFERROR(VLOOKUP(DATA!#REF!,DATA!#REF!,1,FALSE),"")</f>
        <v/>
      </c>
      <c r="D3969" s="16" t="str">
        <f>IFERROR(VLOOKUP(C3969,DATA!#REF!,2,FALSE),"")</f>
        <v/>
      </c>
    </row>
    <row r="3970" spans="3:4" s="230" customFormat="1">
      <c r="C3970" s="16" t="str">
        <f>IFERROR(VLOOKUP(DATA!#REF!,DATA!#REF!,1,FALSE),"")</f>
        <v/>
      </c>
      <c r="D3970" s="16" t="str">
        <f>IFERROR(VLOOKUP(C3970,DATA!#REF!,2,FALSE),"")</f>
        <v/>
      </c>
    </row>
    <row r="3971" spans="3:4" s="230" customFormat="1">
      <c r="C3971" s="16" t="str">
        <f>IFERROR(VLOOKUP(DATA!#REF!,DATA!#REF!,1,FALSE),"")</f>
        <v/>
      </c>
      <c r="D3971" s="16" t="str">
        <f>IFERROR(VLOOKUP(C3971,DATA!#REF!,2,FALSE),"")</f>
        <v/>
      </c>
    </row>
    <row r="3972" spans="3:4" s="230" customFormat="1">
      <c r="C3972" s="16" t="str">
        <f>IFERROR(VLOOKUP(DATA!#REF!,DATA!#REF!,1,FALSE),"")</f>
        <v/>
      </c>
      <c r="D3972" s="16" t="str">
        <f>IFERROR(VLOOKUP(C3972,DATA!#REF!,2,FALSE),"")</f>
        <v/>
      </c>
    </row>
    <row r="3973" spans="3:4" s="230" customFormat="1">
      <c r="C3973" s="16" t="str">
        <f>IFERROR(VLOOKUP(DATA!#REF!,DATA!#REF!,1,FALSE),"")</f>
        <v/>
      </c>
      <c r="D3973" s="16" t="str">
        <f>IFERROR(VLOOKUP(C3973,DATA!#REF!,2,FALSE),"")</f>
        <v/>
      </c>
    </row>
    <row r="3974" spans="3:4" s="230" customFormat="1">
      <c r="C3974" s="16" t="str">
        <f>IFERROR(VLOOKUP(DATA!#REF!,DATA!#REF!,1,FALSE),"")</f>
        <v/>
      </c>
      <c r="D3974" s="16" t="str">
        <f>IFERROR(VLOOKUP(C3974,DATA!#REF!,2,FALSE),"")</f>
        <v/>
      </c>
    </row>
    <row r="3975" spans="3:4" s="230" customFormat="1">
      <c r="C3975" s="16" t="str">
        <f>IFERROR(VLOOKUP(DATA!#REF!,DATA!#REF!,1,FALSE),"")</f>
        <v/>
      </c>
      <c r="D3975" s="16" t="str">
        <f>IFERROR(VLOOKUP(C3975,DATA!#REF!,2,FALSE),"")</f>
        <v/>
      </c>
    </row>
    <row r="3976" spans="3:4" s="230" customFormat="1">
      <c r="C3976" s="16" t="str">
        <f>IFERROR(VLOOKUP(DATA!#REF!,DATA!#REF!,1,FALSE),"")</f>
        <v/>
      </c>
      <c r="D3976" s="16" t="str">
        <f>IFERROR(VLOOKUP(C3976,DATA!#REF!,2,FALSE),"")</f>
        <v/>
      </c>
    </row>
    <row r="3977" spans="3:4" s="230" customFormat="1">
      <c r="C3977" s="16" t="str">
        <f>IFERROR(VLOOKUP(DATA!#REF!,DATA!#REF!,1,FALSE),"")</f>
        <v/>
      </c>
      <c r="D3977" s="16" t="str">
        <f>IFERROR(VLOOKUP(C3977,DATA!#REF!,2,FALSE),"")</f>
        <v/>
      </c>
    </row>
    <row r="3978" spans="3:4" s="230" customFormat="1">
      <c r="C3978" s="16" t="str">
        <f>IFERROR(VLOOKUP(DATA!#REF!,DATA!#REF!,1,FALSE),"")</f>
        <v/>
      </c>
      <c r="D3978" s="16" t="str">
        <f>IFERROR(VLOOKUP(C3978,DATA!#REF!,2,FALSE),"")</f>
        <v/>
      </c>
    </row>
    <row r="3979" spans="3:4" s="230" customFormat="1">
      <c r="C3979" s="16" t="str">
        <f>IFERROR(VLOOKUP(DATA!#REF!,DATA!#REF!,1,FALSE),"")</f>
        <v/>
      </c>
      <c r="D3979" s="16" t="str">
        <f>IFERROR(VLOOKUP(C3979,DATA!#REF!,2,FALSE),"")</f>
        <v/>
      </c>
    </row>
    <row r="3980" spans="3:4" s="230" customFormat="1">
      <c r="C3980" s="16" t="str">
        <f>IFERROR(VLOOKUP(DATA!#REF!,DATA!#REF!,1,FALSE),"")</f>
        <v/>
      </c>
      <c r="D3980" s="16" t="str">
        <f>IFERROR(VLOOKUP(C3980,DATA!#REF!,2,FALSE),"")</f>
        <v/>
      </c>
    </row>
    <row r="3981" spans="3:4" s="230" customFormat="1">
      <c r="C3981" s="16" t="str">
        <f>IFERROR(VLOOKUP(DATA!#REF!,DATA!#REF!,1,FALSE),"")</f>
        <v/>
      </c>
      <c r="D3981" s="16" t="str">
        <f>IFERROR(VLOOKUP(C3981,DATA!#REF!,2,FALSE),"")</f>
        <v/>
      </c>
    </row>
    <row r="3982" spans="3:4" s="230" customFormat="1">
      <c r="C3982" s="16" t="str">
        <f>IFERROR(VLOOKUP(DATA!#REF!,DATA!#REF!,1,FALSE),"")</f>
        <v/>
      </c>
      <c r="D3982" s="16" t="str">
        <f>IFERROR(VLOOKUP(C3982,DATA!#REF!,2,FALSE),"")</f>
        <v/>
      </c>
    </row>
    <row r="3983" spans="3:4" s="230" customFormat="1">
      <c r="C3983" s="16" t="str">
        <f>IFERROR(VLOOKUP(DATA!#REF!,DATA!#REF!,1,FALSE),"")</f>
        <v/>
      </c>
      <c r="D3983" s="16" t="str">
        <f>IFERROR(VLOOKUP(C3983,DATA!#REF!,2,FALSE),"")</f>
        <v/>
      </c>
    </row>
    <row r="3984" spans="3:4" s="230" customFormat="1">
      <c r="C3984" s="16" t="str">
        <f>IFERROR(VLOOKUP(DATA!#REF!,DATA!#REF!,1,FALSE),"")</f>
        <v/>
      </c>
      <c r="D3984" s="16" t="str">
        <f>IFERROR(VLOOKUP(C3984,DATA!#REF!,2,FALSE),"")</f>
        <v/>
      </c>
    </row>
    <row r="3985" spans="3:4" s="230" customFormat="1">
      <c r="C3985" s="16" t="str">
        <f>IFERROR(VLOOKUP(DATA!#REF!,DATA!#REF!,1,FALSE),"")</f>
        <v/>
      </c>
      <c r="D3985" s="16" t="str">
        <f>IFERROR(VLOOKUP(C3985,DATA!#REF!,2,FALSE),"")</f>
        <v/>
      </c>
    </row>
    <row r="3986" spans="3:4" s="230" customFormat="1">
      <c r="C3986" s="16" t="str">
        <f>IFERROR(VLOOKUP(DATA!#REF!,DATA!#REF!,1,FALSE),"")</f>
        <v/>
      </c>
      <c r="D3986" s="16" t="str">
        <f>IFERROR(VLOOKUP(C3986,DATA!#REF!,2,FALSE),"")</f>
        <v/>
      </c>
    </row>
    <row r="3987" spans="3:4" s="230" customFormat="1">
      <c r="C3987" s="16" t="str">
        <f>IFERROR(VLOOKUP(DATA!#REF!,DATA!#REF!,1,FALSE),"")</f>
        <v/>
      </c>
      <c r="D3987" s="16" t="str">
        <f>IFERROR(VLOOKUP(C3987,DATA!#REF!,2,FALSE),"")</f>
        <v/>
      </c>
    </row>
    <row r="3988" spans="3:4" s="230" customFormat="1">
      <c r="C3988" s="16" t="str">
        <f>IFERROR(VLOOKUP(DATA!#REF!,DATA!#REF!,1,FALSE),"")</f>
        <v/>
      </c>
      <c r="D3988" s="16" t="str">
        <f>IFERROR(VLOOKUP(C3988,DATA!#REF!,2,FALSE),"")</f>
        <v/>
      </c>
    </row>
    <row r="3989" spans="3:4" s="230" customFormat="1">
      <c r="C3989" s="16" t="str">
        <f>IFERROR(VLOOKUP(DATA!#REF!,DATA!#REF!,1,FALSE),"")</f>
        <v/>
      </c>
      <c r="D3989" s="16" t="str">
        <f>IFERROR(VLOOKUP(C3989,DATA!#REF!,2,FALSE),"")</f>
        <v/>
      </c>
    </row>
    <row r="3990" spans="3:4" s="230" customFormat="1">
      <c r="C3990" s="16" t="str">
        <f>IFERROR(VLOOKUP(DATA!#REF!,DATA!#REF!,1,FALSE),"")</f>
        <v/>
      </c>
      <c r="D3990" s="16" t="str">
        <f>IFERROR(VLOOKUP(C3990,DATA!#REF!,2,FALSE),"")</f>
        <v/>
      </c>
    </row>
    <row r="3991" spans="3:4" s="230" customFormat="1">
      <c r="C3991" s="16" t="str">
        <f>IFERROR(VLOOKUP(DATA!#REF!,DATA!#REF!,1,FALSE),"")</f>
        <v/>
      </c>
      <c r="D3991" s="16" t="str">
        <f>IFERROR(VLOOKUP(C3991,DATA!#REF!,2,FALSE),"")</f>
        <v/>
      </c>
    </row>
    <row r="3992" spans="3:4" s="230" customFormat="1">
      <c r="C3992" s="16" t="str">
        <f>IFERROR(VLOOKUP(DATA!#REF!,DATA!#REF!,1,FALSE),"")</f>
        <v/>
      </c>
      <c r="D3992" s="16" t="str">
        <f>IFERROR(VLOOKUP(C3992,DATA!#REF!,2,FALSE),"")</f>
        <v/>
      </c>
    </row>
    <row r="3993" spans="3:4" s="230" customFormat="1">
      <c r="C3993" s="16" t="str">
        <f>IFERROR(VLOOKUP(DATA!#REF!,DATA!#REF!,1,FALSE),"")</f>
        <v/>
      </c>
      <c r="D3993" s="16" t="str">
        <f>IFERROR(VLOOKUP(C3993,DATA!#REF!,2,FALSE),"")</f>
        <v/>
      </c>
    </row>
    <row r="3994" spans="3:4" s="230" customFormat="1">
      <c r="C3994" s="16" t="str">
        <f>IFERROR(VLOOKUP(DATA!#REF!,DATA!#REF!,1,FALSE),"")</f>
        <v/>
      </c>
      <c r="D3994" s="16" t="str">
        <f>IFERROR(VLOOKUP(C3994,DATA!#REF!,2,FALSE),"")</f>
        <v/>
      </c>
    </row>
    <row r="3995" spans="3:4" s="230" customFormat="1">
      <c r="C3995" s="16" t="str">
        <f>IFERROR(VLOOKUP(DATA!#REF!,DATA!#REF!,1,FALSE),"")</f>
        <v/>
      </c>
      <c r="D3995" s="16" t="str">
        <f>IFERROR(VLOOKUP(C3995,DATA!#REF!,2,FALSE),"")</f>
        <v/>
      </c>
    </row>
    <row r="3996" spans="3:4" s="230" customFormat="1">
      <c r="C3996" s="16" t="str">
        <f>IFERROR(VLOOKUP(DATA!#REF!,DATA!#REF!,1,FALSE),"")</f>
        <v/>
      </c>
      <c r="D3996" s="16" t="str">
        <f>IFERROR(VLOOKUP(C3996,DATA!#REF!,2,FALSE),"")</f>
        <v/>
      </c>
    </row>
    <row r="3997" spans="3:4" s="230" customFormat="1">
      <c r="C3997" s="16" t="str">
        <f>IFERROR(VLOOKUP(DATA!#REF!,DATA!#REF!,1,FALSE),"")</f>
        <v/>
      </c>
      <c r="D3997" s="16" t="str">
        <f>IFERROR(VLOOKUP(C3997,DATA!#REF!,2,FALSE),"")</f>
        <v/>
      </c>
    </row>
    <row r="3998" spans="3:4" s="230" customFormat="1">
      <c r="C3998" s="16" t="str">
        <f>IFERROR(VLOOKUP(DATA!#REF!,DATA!#REF!,1,FALSE),"")</f>
        <v/>
      </c>
      <c r="D3998" s="16" t="str">
        <f>IFERROR(VLOOKUP(C3998,DATA!#REF!,2,FALSE),"")</f>
        <v/>
      </c>
    </row>
    <row r="3999" spans="3:4" s="230" customFormat="1">
      <c r="C3999" s="16" t="str">
        <f>IFERROR(VLOOKUP(DATA!#REF!,DATA!#REF!,1,FALSE),"")</f>
        <v/>
      </c>
      <c r="D3999" s="16" t="str">
        <f>IFERROR(VLOOKUP(C3999,DATA!#REF!,2,FALSE),"")</f>
        <v/>
      </c>
    </row>
    <row r="4000" spans="3:4" s="230" customFormat="1">
      <c r="C4000" s="16" t="str">
        <f>IFERROR(VLOOKUP(DATA!#REF!,DATA!#REF!,1,FALSE),"")</f>
        <v/>
      </c>
      <c r="D4000" s="16" t="str">
        <f>IFERROR(VLOOKUP(C4000,DATA!#REF!,2,FALSE),"")</f>
        <v/>
      </c>
    </row>
    <row r="4001" spans="3:4" s="230" customFormat="1">
      <c r="C4001" s="16" t="str">
        <f>IFERROR(VLOOKUP(DATA!#REF!,DATA!#REF!,1,FALSE),"")</f>
        <v/>
      </c>
      <c r="D4001" s="16" t="str">
        <f>IFERROR(VLOOKUP(C4001,DATA!#REF!,2,FALSE),"")</f>
        <v/>
      </c>
    </row>
    <row r="4002" spans="3:4" s="230" customFormat="1">
      <c r="C4002" s="16" t="str">
        <f>IFERROR(VLOOKUP(DATA!#REF!,DATA!#REF!,1,FALSE),"")</f>
        <v/>
      </c>
      <c r="D4002" s="16" t="str">
        <f>IFERROR(VLOOKUP(C4002,DATA!#REF!,2,FALSE),"")</f>
        <v/>
      </c>
    </row>
    <row r="4003" spans="3:4" s="230" customFormat="1">
      <c r="C4003" s="16" t="str">
        <f>IFERROR(VLOOKUP(DATA!#REF!,DATA!#REF!,1,FALSE),"")</f>
        <v/>
      </c>
      <c r="D4003" s="16" t="str">
        <f>IFERROR(VLOOKUP(C4003,DATA!#REF!,2,FALSE),"")</f>
        <v/>
      </c>
    </row>
    <row r="4004" spans="3:4" s="230" customFormat="1">
      <c r="C4004" s="16" t="str">
        <f>IFERROR(VLOOKUP(DATA!#REF!,DATA!#REF!,1,FALSE),"")</f>
        <v/>
      </c>
      <c r="D4004" s="16" t="str">
        <f>IFERROR(VLOOKUP(C4004,DATA!#REF!,2,FALSE),"")</f>
        <v/>
      </c>
    </row>
    <row r="4005" spans="3:4" s="230" customFormat="1">
      <c r="C4005" s="16" t="str">
        <f>IFERROR(VLOOKUP(DATA!#REF!,DATA!#REF!,1,FALSE),"")</f>
        <v/>
      </c>
      <c r="D4005" s="16" t="str">
        <f>IFERROR(VLOOKUP(C4005,DATA!#REF!,2,FALSE),"")</f>
        <v/>
      </c>
    </row>
    <row r="4006" spans="3:4" s="230" customFormat="1">
      <c r="C4006" s="16" t="str">
        <f>IFERROR(VLOOKUP(DATA!#REF!,DATA!#REF!,1,FALSE),"")</f>
        <v/>
      </c>
      <c r="D4006" s="16" t="str">
        <f>IFERROR(VLOOKUP(C4006,DATA!#REF!,2,FALSE),"")</f>
        <v/>
      </c>
    </row>
    <row r="4007" spans="3:4" s="230" customFormat="1">
      <c r="C4007" s="16" t="str">
        <f>IFERROR(VLOOKUP(DATA!#REF!,DATA!#REF!,1,FALSE),"")</f>
        <v/>
      </c>
      <c r="D4007" s="16" t="str">
        <f>IFERROR(VLOOKUP(C4007,DATA!#REF!,2,FALSE),"")</f>
        <v/>
      </c>
    </row>
    <row r="4008" spans="3:4" s="230" customFormat="1">
      <c r="C4008" s="16" t="str">
        <f>IFERROR(VLOOKUP(DATA!#REF!,DATA!#REF!,1,FALSE),"")</f>
        <v/>
      </c>
      <c r="D4008" s="16" t="str">
        <f>IFERROR(VLOOKUP(C4008,DATA!#REF!,2,FALSE),"")</f>
        <v/>
      </c>
    </row>
    <row r="4009" spans="3:4" s="230" customFormat="1">
      <c r="C4009" s="16" t="str">
        <f>IFERROR(VLOOKUP(DATA!#REF!,DATA!#REF!,1,FALSE),"")</f>
        <v/>
      </c>
      <c r="D4009" s="16" t="str">
        <f>IFERROR(VLOOKUP(C4009,DATA!#REF!,2,FALSE),"")</f>
        <v/>
      </c>
    </row>
    <row r="4010" spans="3:4" s="230" customFormat="1">
      <c r="C4010" s="16" t="str">
        <f>IFERROR(VLOOKUP(DATA!#REF!,DATA!#REF!,1,FALSE),"")</f>
        <v/>
      </c>
      <c r="D4010" s="16" t="str">
        <f>IFERROR(VLOOKUP(C4010,DATA!#REF!,2,FALSE),"")</f>
        <v/>
      </c>
    </row>
    <row r="4011" spans="3:4" s="230" customFormat="1">
      <c r="C4011" s="16" t="str">
        <f>IFERROR(VLOOKUP(DATA!#REF!,DATA!#REF!,1,FALSE),"")</f>
        <v/>
      </c>
      <c r="D4011" s="16" t="str">
        <f>IFERROR(VLOOKUP(C4011,DATA!#REF!,2,FALSE),"")</f>
        <v/>
      </c>
    </row>
    <row r="4012" spans="3:4" s="230" customFormat="1">
      <c r="C4012" s="16" t="str">
        <f>IFERROR(VLOOKUP(DATA!#REF!,DATA!#REF!,1,FALSE),"")</f>
        <v/>
      </c>
      <c r="D4012" s="16" t="str">
        <f>IFERROR(VLOOKUP(C4012,DATA!#REF!,2,FALSE),"")</f>
        <v/>
      </c>
    </row>
    <row r="4013" spans="3:4" s="230" customFormat="1">
      <c r="C4013" s="16" t="str">
        <f>IFERROR(VLOOKUP(DATA!#REF!,DATA!#REF!,1,FALSE),"")</f>
        <v/>
      </c>
      <c r="D4013" s="16" t="str">
        <f>IFERROR(VLOOKUP(C4013,DATA!#REF!,2,FALSE),"")</f>
        <v/>
      </c>
    </row>
    <row r="4014" spans="3:4" s="230" customFormat="1">
      <c r="C4014" s="16" t="str">
        <f>IFERROR(VLOOKUP(DATA!#REF!,DATA!#REF!,1,FALSE),"")</f>
        <v/>
      </c>
      <c r="D4014" s="16" t="str">
        <f>IFERROR(VLOOKUP(C4014,DATA!#REF!,2,FALSE),"")</f>
        <v/>
      </c>
    </row>
    <row r="4015" spans="3:4" s="230" customFormat="1">
      <c r="C4015" s="16" t="str">
        <f>IFERROR(VLOOKUP(DATA!#REF!,DATA!#REF!,1,FALSE),"")</f>
        <v/>
      </c>
      <c r="D4015" s="16" t="str">
        <f>IFERROR(VLOOKUP(C4015,DATA!#REF!,2,FALSE),"")</f>
        <v/>
      </c>
    </row>
    <row r="4016" spans="3:4" s="230" customFormat="1">
      <c r="C4016" s="16" t="str">
        <f>IFERROR(VLOOKUP(DATA!#REF!,DATA!#REF!,1,FALSE),"")</f>
        <v/>
      </c>
      <c r="D4016" s="16" t="str">
        <f>IFERROR(VLOOKUP(C4016,DATA!#REF!,2,FALSE),"")</f>
        <v/>
      </c>
    </row>
    <row r="4017" spans="3:4" s="230" customFormat="1">
      <c r="C4017" s="16" t="str">
        <f>IFERROR(VLOOKUP(DATA!#REF!,DATA!#REF!,1,FALSE),"")</f>
        <v/>
      </c>
      <c r="D4017" s="16" t="str">
        <f>IFERROR(VLOOKUP(C4017,DATA!#REF!,2,FALSE),"")</f>
        <v/>
      </c>
    </row>
    <row r="4018" spans="3:4" s="230" customFormat="1">
      <c r="C4018" s="16" t="str">
        <f>IFERROR(VLOOKUP(DATA!#REF!,DATA!#REF!,1,FALSE),"")</f>
        <v/>
      </c>
      <c r="D4018" s="16" t="str">
        <f>IFERROR(VLOOKUP(C4018,DATA!#REF!,2,FALSE),"")</f>
        <v/>
      </c>
    </row>
    <row r="4019" spans="3:4" s="230" customFormat="1">
      <c r="C4019" s="16" t="str">
        <f>IFERROR(VLOOKUP(DATA!#REF!,DATA!#REF!,1,FALSE),"")</f>
        <v/>
      </c>
      <c r="D4019" s="16" t="str">
        <f>IFERROR(VLOOKUP(C4019,DATA!#REF!,2,FALSE),"")</f>
        <v/>
      </c>
    </row>
    <row r="4020" spans="3:4" s="230" customFormat="1">
      <c r="C4020" s="16" t="str">
        <f>IFERROR(VLOOKUP(DATA!#REF!,DATA!#REF!,1,FALSE),"")</f>
        <v/>
      </c>
      <c r="D4020" s="16" t="str">
        <f>IFERROR(VLOOKUP(C4020,DATA!#REF!,2,FALSE),"")</f>
        <v/>
      </c>
    </row>
    <row r="4021" spans="3:4" s="230" customFormat="1">
      <c r="C4021" s="16" t="str">
        <f>IFERROR(VLOOKUP(DATA!#REF!,DATA!#REF!,1,FALSE),"")</f>
        <v/>
      </c>
      <c r="D4021" s="16" t="str">
        <f>IFERROR(VLOOKUP(C4021,DATA!#REF!,2,FALSE),"")</f>
        <v/>
      </c>
    </row>
    <row r="4022" spans="3:4" s="230" customFormat="1">
      <c r="C4022" s="16" t="str">
        <f>IFERROR(VLOOKUP(DATA!#REF!,DATA!#REF!,1,FALSE),"")</f>
        <v/>
      </c>
      <c r="D4022" s="16" t="str">
        <f>IFERROR(VLOOKUP(C4022,DATA!#REF!,2,FALSE),"")</f>
        <v/>
      </c>
    </row>
    <row r="4023" spans="3:4" s="230" customFormat="1">
      <c r="C4023" s="16" t="str">
        <f>IFERROR(VLOOKUP(DATA!#REF!,DATA!#REF!,1,FALSE),"")</f>
        <v/>
      </c>
      <c r="D4023" s="16" t="str">
        <f>IFERROR(VLOOKUP(C4023,DATA!#REF!,2,FALSE),"")</f>
        <v/>
      </c>
    </row>
    <row r="4024" spans="3:4" s="230" customFormat="1">
      <c r="C4024" s="16" t="str">
        <f>IFERROR(VLOOKUP(DATA!#REF!,DATA!#REF!,1,FALSE),"")</f>
        <v/>
      </c>
      <c r="D4024" s="16" t="str">
        <f>IFERROR(VLOOKUP(C4024,DATA!#REF!,2,FALSE),"")</f>
        <v/>
      </c>
    </row>
    <row r="4025" spans="3:4" s="230" customFormat="1">
      <c r="C4025" s="16" t="str">
        <f>IFERROR(VLOOKUP(DATA!#REF!,DATA!#REF!,1,FALSE),"")</f>
        <v/>
      </c>
      <c r="D4025" s="16" t="str">
        <f>IFERROR(VLOOKUP(C4025,DATA!#REF!,2,FALSE),"")</f>
        <v/>
      </c>
    </row>
    <row r="4026" spans="3:4" s="230" customFormat="1">
      <c r="C4026" s="16" t="str">
        <f>IFERROR(VLOOKUP(DATA!#REF!,DATA!#REF!,1,FALSE),"")</f>
        <v/>
      </c>
      <c r="D4026" s="16" t="str">
        <f>IFERROR(VLOOKUP(C4026,DATA!#REF!,2,FALSE),"")</f>
        <v/>
      </c>
    </row>
    <row r="4027" spans="3:4" s="230" customFormat="1">
      <c r="C4027" s="16" t="str">
        <f>IFERROR(VLOOKUP(DATA!#REF!,DATA!#REF!,1,FALSE),"")</f>
        <v/>
      </c>
      <c r="D4027" s="16" t="str">
        <f>IFERROR(VLOOKUP(C4027,DATA!#REF!,2,FALSE),"")</f>
        <v/>
      </c>
    </row>
    <row r="4028" spans="3:4" s="230" customFormat="1">
      <c r="C4028" s="16" t="str">
        <f>IFERROR(VLOOKUP(DATA!#REF!,DATA!#REF!,1,FALSE),"")</f>
        <v/>
      </c>
      <c r="D4028" s="16" t="str">
        <f>IFERROR(VLOOKUP(C4028,DATA!#REF!,2,FALSE),"")</f>
        <v/>
      </c>
    </row>
    <row r="4029" spans="3:4" s="230" customFormat="1">
      <c r="C4029" s="16" t="str">
        <f>IFERROR(VLOOKUP(DATA!#REF!,DATA!#REF!,1,FALSE),"")</f>
        <v/>
      </c>
      <c r="D4029" s="16" t="str">
        <f>IFERROR(VLOOKUP(C4029,DATA!#REF!,2,FALSE),"")</f>
        <v/>
      </c>
    </row>
    <row r="4030" spans="3:4" s="230" customFormat="1">
      <c r="C4030" s="16" t="str">
        <f>IFERROR(VLOOKUP(DATA!#REF!,DATA!#REF!,1,FALSE),"")</f>
        <v/>
      </c>
      <c r="D4030" s="16" t="str">
        <f>IFERROR(VLOOKUP(C4030,DATA!#REF!,2,FALSE),"")</f>
        <v/>
      </c>
    </row>
    <row r="4031" spans="3:4" s="230" customFormat="1">
      <c r="C4031" s="16" t="str">
        <f>IFERROR(VLOOKUP(DATA!#REF!,DATA!#REF!,1,FALSE),"")</f>
        <v/>
      </c>
      <c r="D4031" s="16" t="str">
        <f>IFERROR(VLOOKUP(C4031,DATA!#REF!,2,FALSE),"")</f>
        <v/>
      </c>
    </row>
    <row r="4032" spans="3:4" s="230" customFormat="1">
      <c r="C4032" s="16" t="str">
        <f>IFERROR(VLOOKUP(DATA!#REF!,DATA!#REF!,1,FALSE),"")</f>
        <v/>
      </c>
      <c r="D4032" s="16" t="str">
        <f>IFERROR(VLOOKUP(C4032,DATA!#REF!,2,FALSE),"")</f>
        <v/>
      </c>
    </row>
    <row r="4033" spans="3:4" s="230" customFormat="1">
      <c r="C4033" s="16" t="str">
        <f>IFERROR(VLOOKUP(DATA!#REF!,DATA!#REF!,1,FALSE),"")</f>
        <v/>
      </c>
      <c r="D4033" s="16" t="str">
        <f>IFERROR(VLOOKUP(C4033,DATA!#REF!,2,FALSE),"")</f>
        <v/>
      </c>
    </row>
    <row r="4034" spans="3:4" s="230" customFormat="1">
      <c r="C4034" s="16" t="str">
        <f>IFERROR(VLOOKUP(DATA!#REF!,DATA!#REF!,1,FALSE),"")</f>
        <v/>
      </c>
      <c r="D4034" s="16" t="str">
        <f>IFERROR(VLOOKUP(C4034,DATA!#REF!,2,FALSE),"")</f>
        <v/>
      </c>
    </row>
    <row r="4035" spans="3:4" s="230" customFormat="1">
      <c r="C4035" s="16" t="str">
        <f>IFERROR(VLOOKUP(DATA!#REF!,DATA!#REF!,1,FALSE),"")</f>
        <v/>
      </c>
      <c r="D4035" s="16" t="str">
        <f>IFERROR(VLOOKUP(C4035,DATA!#REF!,2,FALSE),"")</f>
        <v/>
      </c>
    </row>
    <row r="4036" spans="3:4" s="230" customFormat="1">
      <c r="C4036" s="16" t="str">
        <f>IFERROR(VLOOKUP(DATA!#REF!,DATA!#REF!,1,FALSE),"")</f>
        <v/>
      </c>
      <c r="D4036" s="16" t="str">
        <f>IFERROR(VLOOKUP(C4036,DATA!#REF!,2,FALSE),"")</f>
        <v/>
      </c>
    </row>
    <row r="4037" spans="3:4" s="230" customFormat="1">
      <c r="C4037" s="16" t="str">
        <f>IFERROR(VLOOKUP(DATA!#REF!,DATA!#REF!,1,FALSE),"")</f>
        <v/>
      </c>
      <c r="D4037" s="16" t="str">
        <f>IFERROR(VLOOKUP(C4037,DATA!#REF!,2,FALSE),"")</f>
        <v/>
      </c>
    </row>
    <row r="4038" spans="3:4" s="230" customFormat="1">
      <c r="C4038" s="16" t="str">
        <f>IFERROR(VLOOKUP(DATA!#REF!,DATA!#REF!,1,FALSE),"")</f>
        <v/>
      </c>
      <c r="D4038" s="16" t="str">
        <f>IFERROR(VLOOKUP(C4038,DATA!#REF!,2,FALSE),"")</f>
        <v/>
      </c>
    </row>
    <row r="4039" spans="3:4" s="230" customFormat="1">
      <c r="C4039" s="16" t="str">
        <f>IFERROR(VLOOKUP(DATA!#REF!,DATA!#REF!,1,FALSE),"")</f>
        <v/>
      </c>
      <c r="D4039" s="16" t="str">
        <f>IFERROR(VLOOKUP(C4039,DATA!#REF!,2,FALSE),"")</f>
        <v/>
      </c>
    </row>
    <row r="4040" spans="3:4" s="230" customFormat="1">
      <c r="C4040" s="16" t="str">
        <f>IFERROR(VLOOKUP(DATA!#REF!,DATA!#REF!,1,FALSE),"")</f>
        <v/>
      </c>
      <c r="D4040" s="16" t="str">
        <f>IFERROR(VLOOKUP(C4040,DATA!#REF!,2,FALSE),"")</f>
        <v/>
      </c>
    </row>
    <row r="4041" spans="3:4" s="230" customFormat="1">
      <c r="C4041" s="16" t="str">
        <f>IFERROR(VLOOKUP(DATA!#REF!,DATA!#REF!,1,FALSE),"")</f>
        <v/>
      </c>
      <c r="D4041" s="16" t="str">
        <f>IFERROR(VLOOKUP(C4041,DATA!#REF!,2,FALSE),"")</f>
        <v/>
      </c>
    </row>
    <row r="4042" spans="3:4" s="230" customFormat="1">
      <c r="C4042" s="16" t="str">
        <f>IFERROR(VLOOKUP(DATA!#REF!,DATA!#REF!,1,FALSE),"")</f>
        <v/>
      </c>
      <c r="D4042" s="16" t="str">
        <f>IFERROR(VLOOKUP(C4042,DATA!#REF!,2,FALSE),"")</f>
        <v/>
      </c>
    </row>
    <row r="4043" spans="3:4" s="230" customFormat="1">
      <c r="C4043" s="16" t="str">
        <f>IFERROR(VLOOKUP(DATA!#REF!,DATA!#REF!,1,FALSE),"")</f>
        <v/>
      </c>
      <c r="D4043" s="16" t="str">
        <f>IFERROR(VLOOKUP(C4043,DATA!#REF!,2,FALSE),"")</f>
        <v/>
      </c>
    </row>
    <row r="4044" spans="3:4" s="230" customFormat="1">
      <c r="C4044" s="16" t="str">
        <f>IFERROR(VLOOKUP(DATA!#REF!,DATA!#REF!,1,FALSE),"")</f>
        <v/>
      </c>
      <c r="D4044" s="16" t="str">
        <f>IFERROR(VLOOKUP(C4044,DATA!#REF!,2,FALSE),"")</f>
        <v/>
      </c>
    </row>
    <row r="4045" spans="3:4" s="230" customFormat="1">
      <c r="C4045" s="16" t="str">
        <f>IFERROR(VLOOKUP(DATA!#REF!,DATA!#REF!,1,FALSE),"")</f>
        <v/>
      </c>
      <c r="D4045" s="16" t="str">
        <f>IFERROR(VLOOKUP(C4045,DATA!#REF!,2,FALSE),"")</f>
        <v/>
      </c>
    </row>
    <row r="4046" spans="3:4" s="230" customFormat="1">
      <c r="C4046" s="16" t="str">
        <f>IFERROR(VLOOKUP(DATA!#REF!,DATA!#REF!,1,FALSE),"")</f>
        <v/>
      </c>
      <c r="D4046" s="16" t="str">
        <f>IFERROR(VLOOKUP(C4046,DATA!#REF!,2,FALSE),"")</f>
        <v/>
      </c>
    </row>
    <row r="4047" spans="3:4" s="230" customFormat="1">
      <c r="C4047" s="16" t="str">
        <f>IFERROR(VLOOKUP(DATA!#REF!,DATA!#REF!,1,FALSE),"")</f>
        <v/>
      </c>
      <c r="D4047" s="16" t="str">
        <f>IFERROR(VLOOKUP(C4047,DATA!#REF!,2,FALSE),"")</f>
        <v/>
      </c>
    </row>
    <row r="4048" spans="3:4" s="230" customFormat="1">
      <c r="C4048" s="16" t="str">
        <f>IFERROR(VLOOKUP(DATA!#REF!,DATA!#REF!,1,FALSE),"")</f>
        <v/>
      </c>
      <c r="D4048" s="16" t="str">
        <f>IFERROR(VLOOKUP(C4048,DATA!#REF!,2,FALSE),"")</f>
        <v/>
      </c>
    </row>
    <row r="4049" spans="3:4" s="230" customFormat="1">
      <c r="C4049" s="16" t="str">
        <f>IFERROR(VLOOKUP(DATA!#REF!,DATA!#REF!,1,FALSE),"")</f>
        <v/>
      </c>
      <c r="D4049" s="16" t="str">
        <f>IFERROR(VLOOKUP(C4049,DATA!#REF!,2,FALSE),"")</f>
        <v/>
      </c>
    </row>
    <row r="4050" spans="3:4" s="230" customFormat="1">
      <c r="C4050" s="16" t="str">
        <f>IFERROR(VLOOKUP(DATA!#REF!,DATA!#REF!,1,FALSE),"")</f>
        <v/>
      </c>
      <c r="D4050" s="16" t="str">
        <f>IFERROR(VLOOKUP(C4050,DATA!#REF!,2,FALSE),"")</f>
        <v/>
      </c>
    </row>
    <row r="4051" spans="3:4" s="230" customFormat="1">
      <c r="C4051" s="16" t="str">
        <f>IFERROR(VLOOKUP(DATA!#REF!,DATA!#REF!,1,FALSE),"")</f>
        <v/>
      </c>
      <c r="D4051" s="16" t="str">
        <f>IFERROR(VLOOKUP(C4051,DATA!#REF!,2,FALSE),"")</f>
        <v/>
      </c>
    </row>
    <row r="4052" spans="3:4" s="230" customFormat="1">
      <c r="C4052" s="16" t="str">
        <f>IFERROR(VLOOKUP(DATA!#REF!,DATA!#REF!,1,FALSE),"")</f>
        <v/>
      </c>
      <c r="D4052" s="16" t="str">
        <f>IFERROR(VLOOKUP(C4052,DATA!#REF!,2,FALSE),"")</f>
        <v/>
      </c>
    </row>
    <row r="4053" spans="3:4" s="230" customFormat="1">
      <c r="C4053" s="16" t="str">
        <f>IFERROR(VLOOKUP(DATA!#REF!,DATA!#REF!,1,FALSE),"")</f>
        <v/>
      </c>
      <c r="D4053" s="16" t="str">
        <f>IFERROR(VLOOKUP(C4053,DATA!#REF!,2,FALSE),"")</f>
        <v/>
      </c>
    </row>
    <row r="4054" spans="3:4" s="230" customFormat="1">
      <c r="C4054" s="16" t="str">
        <f>IFERROR(VLOOKUP(DATA!#REF!,DATA!#REF!,1,FALSE),"")</f>
        <v/>
      </c>
      <c r="D4054" s="16" t="str">
        <f>IFERROR(VLOOKUP(C4054,DATA!#REF!,2,FALSE),"")</f>
        <v/>
      </c>
    </row>
    <row r="4055" spans="3:4" s="230" customFormat="1">
      <c r="C4055" s="16" t="str">
        <f>IFERROR(VLOOKUP(DATA!#REF!,DATA!#REF!,1,FALSE),"")</f>
        <v/>
      </c>
      <c r="D4055" s="16" t="str">
        <f>IFERROR(VLOOKUP(C4055,DATA!#REF!,2,FALSE),"")</f>
        <v/>
      </c>
    </row>
    <row r="4056" spans="3:4" s="230" customFormat="1">
      <c r="C4056" s="16" t="str">
        <f>IFERROR(VLOOKUP(DATA!#REF!,DATA!#REF!,1,FALSE),"")</f>
        <v/>
      </c>
      <c r="D4056" s="16" t="str">
        <f>IFERROR(VLOOKUP(C4056,DATA!#REF!,2,FALSE),"")</f>
        <v/>
      </c>
    </row>
    <row r="4057" spans="3:4" s="230" customFormat="1">
      <c r="C4057" s="16" t="str">
        <f>IFERROR(VLOOKUP(DATA!#REF!,DATA!#REF!,1,FALSE),"")</f>
        <v/>
      </c>
      <c r="D4057" s="16" t="str">
        <f>IFERROR(VLOOKUP(C4057,DATA!#REF!,2,FALSE),"")</f>
        <v/>
      </c>
    </row>
    <row r="4058" spans="3:4" s="230" customFormat="1">
      <c r="C4058" s="16" t="str">
        <f>IFERROR(VLOOKUP(DATA!#REF!,DATA!#REF!,1,FALSE),"")</f>
        <v/>
      </c>
      <c r="D4058" s="16" t="str">
        <f>IFERROR(VLOOKUP(C4058,DATA!#REF!,2,FALSE),"")</f>
        <v/>
      </c>
    </row>
    <row r="4059" spans="3:4" s="230" customFormat="1">
      <c r="C4059" s="16" t="str">
        <f>IFERROR(VLOOKUP(DATA!#REF!,DATA!#REF!,1,FALSE),"")</f>
        <v/>
      </c>
      <c r="D4059" s="16" t="str">
        <f>IFERROR(VLOOKUP(C4059,DATA!#REF!,2,FALSE),"")</f>
        <v/>
      </c>
    </row>
    <row r="4060" spans="3:4" s="230" customFormat="1">
      <c r="C4060" s="16" t="str">
        <f>IFERROR(VLOOKUP(DATA!#REF!,DATA!#REF!,1,FALSE),"")</f>
        <v/>
      </c>
      <c r="D4060" s="16" t="str">
        <f>IFERROR(VLOOKUP(C4060,DATA!#REF!,2,FALSE),"")</f>
        <v/>
      </c>
    </row>
    <row r="4061" spans="3:4" s="230" customFormat="1">
      <c r="C4061" s="16" t="str">
        <f>IFERROR(VLOOKUP(DATA!#REF!,DATA!#REF!,1,FALSE),"")</f>
        <v/>
      </c>
      <c r="D4061" s="16" t="str">
        <f>IFERROR(VLOOKUP(C4061,DATA!#REF!,2,FALSE),"")</f>
        <v/>
      </c>
    </row>
    <row r="4062" spans="3:4" s="230" customFormat="1">
      <c r="C4062" s="16" t="str">
        <f>IFERROR(VLOOKUP(DATA!#REF!,DATA!#REF!,1,FALSE),"")</f>
        <v/>
      </c>
      <c r="D4062" s="16" t="str">
        <f>IFERROR(VLOOKUP(C4062,DATA!#REF!,2,FALSE),"")</f>
        <v/>
      </c>
    </row>
    <row r="4063" spans="3:4" s="230" customFormat="1">
      <c r="C4063" s="16" t="str">
        <f>IFERROR(VLOOKUP(DATA!#REF!,DATA!#REF!,1,FALSE),"")</f>
        <v/>
      </c>
      <c r="D4063" s="16" t="str">
        <f>IFERROR(VLOOKUP(C4063,DATA!#REF!,2,FALSE),"")</f>
        <v/>
      </c>
    </row>
    <row r="4064" spans="3:4" s="230" customFormat="1">
      <c r="C4064" s="16" t="str">
        <f>IFERROR(VLOOKUP(DATA!#REF!,DATA!#REF!,1,FALSE),"")</f>
        <v/>
      </c>
      <c r="D4064" s="16" t="str">
        <f>IFERROR(VLOOKUP(C4064,DATA!#REF!,2,FALSE),"")</f>
        <v/>
      </c>
    </row>
    <row r="4065" spans="3:4" s="230" customFormat="1">
      <c r="C4065" s="16" t="str">
        <f>IFERROR(VLOOKUP(DATA!#REF!,DATA!#REF!,1,FALSE),"")</f>
        <v/>
      </c>
      <c r="D4065" s="16" t="str">
        <f>IFERROR(VLOOKUP(C4065,DATA!#REF!,2,FALSE),"")</f>
        <v/>
      </c>
    </row>
    <row r="4066" spans="3:4" s="230" customFormat="1">
      <c r="C4066" s="16" t="str">
        <f>IFERROR(VLOOKUP(DATA!#REF!,DATA!#REF!,1,FALSE),"")</f>
        <v/>
      </c>
      <c r="D4066" s="16" t="str">
        <f>IFERROR(VLOOKUP(C4066,DATA!#REF!,2,FALSE),"")</f>
        <v/>
      </c>
    </row>
    <row r="4067" spans="3:4" s="230" customFormat="1">
      <c r="C4067" s="16" t="str">
        <f>IFERROR(VLOOKUP(DATA!#REF!,DATA!#REF!,1,FALSE),"")</f>
        <v/>
      </c>
      <c r="D4067" s="16" t="str">
        <f>IFERROR(VLOOKUP(C4067,DATA!#REF!,2,FALSE),"")</f>
        <v/>
      </c>
    </row>
    <row r="4068" spans="3:4" s="230" customFormat="1">
      <c r="C4068" s="16" t="str">
        <f>IFERROR(VLOOKUP(DATA!#REF!,DATA!#REF!,1,FALSE),"")</f>
        <v/>
      </c>
      <c r="D4068" s="16" t="str">
        <f>IFERROR(VLOOKUP(C4068,DATA!#REF!,2,FALSE),"")</f>
        <v/>
      </c>
    </row>
    <row r="4069" spans="3:4" s="230" customFormat="1">
      <c r="C4069" s="16" t="str">
        <f>IFERROR(VLOOKUP(DATA!#REF!,DATA!#REF!,1,FALSE),"")</f>
        <v/>
      </c>
      <c r="D4069" s="16" t="str">
        <f>IFERROR(VLOOKUP(C4069,DATA!#REF!,2,FALSE),"")</f>
        <v/>
      </c>
    </row>
    <row r="4070" spans="3:4" s="230" customFormat="1">
      <c r="C4070" s="16" t="str">
        <f>IFERROR(VLOOKUP(DATA!#REF!,DATA!#REF!,1,FALSE),"")</f>
        <v/>
      </c>
      <c r="D4070" s="16" t="str">
        <f>IFERROR(VLOOKUP(C4070,DATA!#REF!,2,FALSE),"")</f>
        <v/>
      </c>
    </row>
    <row r="4071" spans="3:4" s="230" customFormat="1">
      <c r="C4071" s="16" t="str">
        <f>IFERROR(VLOOKUP(DATA!#REF!,DATA!#REF!,1,FALSE),"")</f>
        <v/>
      </c>
      <c r="D4071" s="16" t="str">
        <f>IFERROR(VLOOKUP(C4071,DATA!#REF!,2,FALSE),"")</f>
        <v/>
      </c>
    </row>
    <row r="4072" spans="3:4" s="230" customFormat="1">
      <c r="C4072" s="16" t="str">
        <f>IFERROR(VLOOKUP(DATA!#REF!,DATA!#REF!,1,FALSE),"")</f>
        <v/>
      </c>
      <c r="D4072" s="16" t="str">
        <f>IFERROR(VLOOKUP(C4072,DATA!#REF!,2,FALSE),"")</f>
        <v/>
      </c>
    </row>
    <row r="4073" spans="3:4" s="230" customFormat="1">
      <c r="C4073" s="16" t="str">
        <f>IFERROR(VLOOKUP(DATA!#REF!,DATA!#REF!,1,FALSE),"")</f>
        <v/>
      </c>
      <c r="D4073" s="16" t="str">
        <f>IFERROR(VLOOKUP(C4073,DATA!#REF!,2,FALSE),"")</f>
        <v/>
      </c>
    </row>
    <row r="4074" spans="3:4" s="230" customFormat="1">
      <c r="C4074" s="16" t="str">
        <f>IFERROR(VLOOKUP(DATA!#REF!,DATA!#REF!,1,FALSE),"")</f>
        <v/>
      </c>
      <c r="D4074" s="16" t="str">
        <f>IFERROR(VLOOKUP(C4074,DATA!#REF!,2,FALSE),"")</f>
        <v/>
      </c>
    </row>
    <row r="4075" spans="3:4" s="230" customFormat="1">
      <c r="C4075" s="16" t="str">
        <f>IFERROR(VLOOKUP(DATA!#REF!,DATA!#REF!,1,FALSE),"")</f>
        <v/>
      </c>
      <c r="D4075" s="16" t="str">
        <f>IFERROR(VLOOKUP(C4075,DATA!#REF!,2,FALSE),"")</f>
        <v/>
      </c>
    </row>
    <row r="4076" spans="3:4" s="230" customFormat="1">
      <c r="C4076" s="16" t="str">
        <f>IFERROR(VLOOKUP(DATA!#REF!,DATA!#REF!,1,FALSE),"")</f>
        <v/>
      </c>
      <c r="D4076" s="16" t="str">
        <f>IFERROR(VLOOKUP(C4076,DATA!#REF!,2,FALSE),"")</f>
        <v/>
      </c>
    </row>
    <row r="4077" spans="3:4" s="230" customFormat="1">
      <c r="C4077" s="16" t="str">
        <f>IFERROR(VLOOKUP(DATA!#REF!,DATA!#REF!,1,FALSE),"")</f>
        <v/>
      </c>
      <c r="D4077" s="16" t="str">
        <f>IFERROR(VLOOKUP(C4077,DATA!#REF!,2,FALSE),"")</f>
        <v/>
      </c>
    </row>
    <row r="4078" spans="3:4" s="230" customFormat="1">
      <c r="C4078" s="16" t="str">
        <f>IFERROR(VLOOKUP(DATA!#REF!,DATA!#REF!,1,FALSE),"")</f>
        <v/>
      </c>
      <c r="D4078" s="16" t="str">
        <f>IFERROR(VLOOKUP(C4078,DATA!#REF!,2,FALSE),"")</f>
        <v/>
      </c>
    </row>
    <row r="4079" spans="3:4" s="230" customFormat="1">
      <c r="C4079" s="16" t="str">
        <f>IFERROR(VLOOKUP(DATA!#REF!,DATA!#REF!,1,FALSE),"")</f>
        <v/>
      </c>
      <c r="D4079" s="16" t="str">
        <f>IFERROR(VLOOKUP(C4079,DATA!#REF!,2,FALSE),"")</f>
        <v/>
      </c>
    </row>
    <row r="4080" spans="3:4" s="230" customFormat="1">
      <c r="C4080" s="16" t="str">
        <f>IFERROR(VLOOKUP(DATA!#REF!,DATA!#REF!,1,FALSE),"")</f>
        <v/>
      </c>
      <c r="D4080" s="16" t="str">
        <f>IFERROR(VLOOKUP(C4080,DATA!#REF!,2,FALSE),"")</f>
        <v/>
      </c>
    </row>
    <row r="4081" spans="3:4" s="230" customFormat="1">
      <c r="C4081" s="16" t="str">
        <f>IFERROR(VLOOKUP(DATA!#REF!,DATA!#REF!,1,FALSE),"")</f>
        <v/>
      </c>
      <c r="D4081" s="16" t="str">
        <f>IFERROR(VLOOKUP(C4081,DATA!#REF!,2,FALSE),"")</f>
        <v/>
      </c>
    </row>
    <row r="4082" spans="3:4" s="230" customFormat="1">
      <c r="C4082" s="16" t="str">
        <f>IFERROR(VLOOKUP(DATA!#REF!,DATA!#REF!,1,FALSE),"")</f>
        <v/>
      </c>
      <c r="D4082" s="16" t="str">
        <f>IFERROR(VLOOKUP(C4082,DATA!#REF!,2,FALSE),"")</f>
        <v/>
      </c>
    </row>
    <row r="4083" spans="3:4" s="230" customFormat="1">
      <c r="C4083" s="16" t="str">
        <f>IFERROR(VLOOKUP(DATA!#REF!,DATA!#REF!,1,FALSE),"")</f>
        <v/>
      </c>
      <c r="D4083" s="16" t="str">
        <f>IFERROR(VLOOKUP(C4083,DATA!#REF!,2,FALSE),"")</f>
        <v/>
      </c>
    </row>
    <row r="4084" spans="3:4" s="230" customFormat="1">
      <c r="C4084" s="16" t="str">
        <f>IFERROR(VLOOKUP(DATA!#REF!,DATA!#REF!,1,FALSE),"")</f>
        <v/>
      </c>
      <c r="D4084" s="16" t="str">
        <f>IFERROR(VLOOKUP(C4084,DATA!#REF!,2,FALSE),"")</f>
        <v/>
      </c>
    </row>
    <row r="4085" spans="3:4" s="230" customFormat="1">
      <c r="C4085" s="16" t="str">
        <f>IFERROR(VLOOKUP(DATA!#REF!,DATA!#REF!,1,FALSE),"")</f>
        <v/>
      </c>
      <c r="D4085" s="16" t="str">
        <f>IFERROR(VLOOKUP(C4085,DATA!#REF!,2,FALSE),"")</f>
        <v/>
      </c>
    </row>
    <row r="4086" spans="3:4" s="230" customFormat="1">
      <c r="C4086" s="16" t="str">
        <f>IFERROR(VLOOKUP(DATA!#REF!,DATA!#REF!,1,FALSE),"")</f>
        <v/>
      </c>
      <c r="D4086" s="16" t="str">
        <f>IFERROR(VLOOKUP(C4086,DATA!#REF!,2,FALSE),"")</f>
        <v/>
      </c>
    </row>
    <row r="4087" spans="3:4" s="230" customFormat="1">
      <c r="C4087" s="16" t="str">
        <f>IFERROR(VLOOKUP(DATA!#REF!,DATA!#REF!,1,FALSE),"")</f>
        <v/>
      </c>
      <c r="D4087" s="16" t="str">
        <f>IFERROR(VLOOKUP(C4087,DATA!#REF!,2,FALSE),"")</f>
        <v/>
      </c>
    </row>
    <row r="4088" spans="3:4" s="230" customFormat="1">
      <c r="C4088" s="16" t="str">
        <f>IFERROR(VLOOKUP(DATA!#REF!,DATA!#REF!,1,FALSE),"")</f>
        <v/>
      </c>
      <c r="D4088" s="16" t="str">
        <f>IFERROR(VLOOKUP(C4088,DATA!#REF!,2,FALSE),"")</f>
        <v/>
      </c>
    </row>
    <row r="4089" spans="3:4" s="230" customFormat="1">
      <c r="C4089" s="16" t="str">
        <f>IFERROR(VLOOKUP(DATA!#REF!,DATA!#REF!,1,FALSE),"")</f>
        <v/>
      </c>
      <c r="D4089" s="16" t="str">
        <f>IFERROR(VLOOKUP(C4089,DATA!#REF!,2,FALSE),"")</f>
        <v/>
      </c>
    </row>
    <row r="4090" spans="3:4" s="230" customFormat="1">
      <c r="C4090" s="16" t="str">
        <f>IFERROR(VLOOKUP(DATA!#REF!,DATA!#REF!,1,FALSE),"")</f>
        <v/>
      </c>
      <c r="D4090" s="16" t="str">
        <f>IFERROR(VLOOKUP(C4090,DATA!#REF!,2,FALSE),"")</f>
        <v/>
      </c>
    </row>
    <row r="4091" spans="3:4" s="230" customFormat="1">
      <c r="C4091" s="16" t="str">
        <f>IFERROR(VLOOKUP(DATA!#REF!,DATA!#REF!,1,FALSE),"")</f>
        <v/>
      </c>
      <c r="D4091" s="16" t="str">
        <f>IFERROR(VLOOKUP(C4091,DATA!#REF!,2,FALSE),"")</f>
        <v/>
      </c>
    </row>
    <row r="4092" spans="3:4" s="230" customFormat="1">
      <c r="C4092" s="16" t="str">
        <f>IFERROR(VLOOKUP(DATA!#REF!,DATA!#REF!,1,FALSE),"")</f>
        <v/>
      </c>
      <c r="D4092" s="16" t="str">
        <f>IFERROR(VLOOKUP(C4092,DATA!#REF!,2,FALSE),"")</f>
        <v/>
      </c>
    </row>
    <row r="4093" spans="3:4" s="230" customFormat="1">
      <c r="C4093" s="16" t="str">
        <f>IFERROR(VLOOKUP(DATA!#REF!,DATA!#REF!,1,FALSE),"")</f>
        <v/>
      </c>
      <c r="D4093" s="16" t="str">
        <f>IFERROR(VLOOKUP(C4093,DATA!#REF!,2,FALSE),"")</f>
        <v/>
      </c>
    </row>
    <row r="4094" spans="3:4" s="230" customFormat="1">
      <c r="C4094" s="16" t="str">
        <f>IFERROR(VLOOKUP(DATA!#REF!,DATA!#REF!,1,FALSE),"")</f>
        <v/>
      </c>
      <c r="D4094" s="16" t="str">
        <f>IFERROR(VLOOKUP(C4094,DATA!#REF!,2,FALSE),"")</f>
        <v/>
      </c>
    </row>
    <row r="4095" spans="3:4" s="230" customFormat="1">
      <c r="C4095" s="16" t="str">
        <f>IFERROR(VLOOKUP(DATA!#REF!,DATA!#REF!,1,FALSE),"")</f>
        <v/>
      </c>
      <c r="D4095" s="16" t="str">
        <f>IFERROR(VLOOKUP(C4095,DATA!#REF!,2,FALSE),"")</f>
        <v/>
      </c>
    </row>
    <row r="4096" spans="3:4" s="230" customFormat="1">
      <c r="C4096" s="16" t="str">
        <f>IFERROR(VLOOKUP(DATA!#REF!,DATA!#REF!,1,FALSE),"")</f>
        <v/>
      </c>
      <c r="D4096" s="16" t="str">
        <f>IFERROR(VLOOKUP(C4096,DATA!#REF!,2,FALSE),"")</f>
        <v/>
      </c>
    </row>
    <row r="4097" spans="3:4" s="230" customFormat="1">
      <c r="C4097" s="16" t="str">
        <f>IFERROR(VLOOKUP(DATA!#REF!,DATA!#REF!,1,FALSE),"")</f>
        <v/>
      </c>
      <c r="D4097" s="16" t="str">
        <f>IFERROR(VLOOKUP(C4097,DATA!#REF!,2,FALSE),"")</f>
        <v/>
      </c>
    </row>
    <row r="4098" spans="3:4" s="230" customFormat="1">
      <c r="C4098" s="16" t="str">
        <f>IFERROR(VLOOKUP(DATA!#REF!,DATA!#REF!,1,FALSE),"")</f>
        <v/>
      </c>
      <c r="D4098" s="16" t="str">
        <f>IFERROR(VLOOKUP(C4098,DATA!#REF!,2,FALSE),"")</f>
        <v/>
      </c>
    </row>
    <row r="4099" spans="3:4" s="230" customFormat="1">
      <c r="C4099" s="16" t="str">
        <f>IFERROR(VLOOKUP(DATA!#REF!,DATA!#REF!,1,FALSE),"")</f>
        <v/>
      </c>
      <c r="D4099" s="16" t="str">
        <f>IFERROR(VLOOKUP(C4099,DATA!#REF!,2,FALSE),"")</f>
        <v/>
      </c>
    </row>
    <row r="4100" spans="3:4" s="230" customFormat="1">
      <c r="C4100" s="16" t="str">
        <f>IFERROR(VLOOKUP(DATA!#REF!,DATA!#REF!,1,FALSE),"")</f>
        <v/>
      </c>
      <c r="D4100" s="16" t="str">
        <f>IFERROR(VLOOKUP(C4100,DATA!#REF!,2,FALSE),"")</f>
        <v/>
      </c>
    </row>
    <row r="4101" spans="3:4" s="230" customFormat="1">
      <c r="C4101" s="16" t="str">
        <f>IFERROR(VLOOKUP(DATA!#REF!,DATA!#REF!,1,FALSE),"")</f>
        <v/>
      </c>
      <c r="D4101" s="16" t="str">
        <f>IFERROR(VLOOKUP(C4101,DATA!#REF!,2,FALSE),"")</f>
        <v/>
      </c>
    </row>
    <row r="4102" spans="3:4" s="230" customFormat="1">
      <c r="C4102" s="16" t="str">
        <f>IFERROR(VLOOKUP(DATA!#REF!,DATA!#REF!,1,FALSE),"")</f>
        <v/>
      </c>
      <c r="D4102" s="16" t="str">
        <f>IFERROR(VLOOKUP(C4102,DATA!#REF!,2,FALSE),"")</f>
        <v/>
      </c>
    </row>
    <row r="4103" spans="3:4" s="230" customFormat="1">
      <c r="C4103" s="16" t="str">
        <f>IFERROR(VLOOKUP(DATA!#REF!,DATA!#REF!,1,FALSE),"")</f>
        <v/>
      </c>
      <c r="D4103" s="16" t="str">
        <f>IFERROR(VLOOKUP(C4103,DATA!#REF!,2,FALSE),"")</f>
        <v/>
      </c>
    </row>
    <row r="4104" spans="3:4" s="230" customFormat="1">
      <c r="C4104" s="16" t="str">
        <f>IFERROR(VLOOKUP(DATA!#REF!,DATA!#REF!,1,FALSE),"")</f>
        <v/>
      </c>
      <c r="D4104" s="16" t="str">
        <f>IFERROR(VLOOKUP(C4104,DATA!#REF!,2,FALSE),"")</f>
        <v/>
      </c>
    </row>
    <row r="4105" spans="3:4" s="230" customFormat="1">
      <c r="C4105" s="16" t="str">
        <f>IFERROR(VLOOKUP(DATA!#REF!,DATA!#REF!,1,FALSE),"")</f>
        <v/>
      </c>
      <c r="D4105" s="16" t="str">
        <f>IFERROR(VLOOKUP(C4105,DATA!#REF!,2,FALSE),"")</f>
        <v/>
      </c>
    </row>
    <row r="4106" spans="3:4" s="230" customFormat="1">
      <c r="C4106" s="16" t="str">
        <f>IFERROR(VLOOKUP(DATA!#REF!,DATA!#REF!,1,FALSE),"")</f>
        <v/>
      </c>
      <c r="D4106" s="16" t="str">
        <f>IFERROR(VLOOKUP(C4106,DATA!#REF!,2,FALSE),"")</f>
        <v/>
      </c>
    </row>
    <row r="4107" spans="3:4" s="230" customFormat="1">
      <c r="C4107" s="16" t="str">
        <f>IFERROR(VLOOKUP(DATA!#REF!,DATA!#REF!,1,FALSE),"")</f>
        <v/>
      </c>
      <c r="D4107" s="16" t="str">
        <f>IFERROR(VLOOKUP(C4107,DATA!#REF!,2,FALSE),"")</f>
        <v/>
      </c>
    </row>
    <row r="4108" spans="3:4" s="230" customFormat="1">
      <c r="C4108" s="16" t="str">
        <f>IFERROR(VLOOKUP(DATA!#REF!,DATA!#REF!,1,FALSE),"")</f>
        <v/>
      </c>
      <c r="D4108" s="16" t="str">
        <f>IFERROR(VLOOKUP(C4108,DATA!#REF!,2,FALSE),"")</f>
        <v/>
      </c>
    </row>
    <row r="4109" spans="3:4" s="230" customFormat="1">
      <c r="C4109" s="16" t="str">
        <f>IFERROR(VLOOKUP(DATA!#REF!,DATA!#REF!,1,FALSE),"")</f>
        <v/>
      </c>
      <c r="D4109" s="16" t="str">
        <f>IFERROR(VLOOKUP(C4109,DATA!#REF!,2,FALSE),"")</f>
        <v/>
      </c>
    </row>
    <row r="4110" spans="3:4" s="230" customFormat="1">
      <c r="C4110" s="16" t="str">
        <f>IFERROR(VLOOKUP(DATA!#REF!,DATA!#REF!,1,FALSE),"")</f>
        <v/>
      </c>
      <c r="D4110" s="16" t="str">
        <f>IFERROR(VLOOKUP(C4110,DATA!#REF!,2,FALSE),"")</f>
        <v/>
      </c>
    </row>
    <row r="4111" spans="3:4" s="230" customFormat="1">
      <c r="C4111" s="16" t="str">
        <f>IFERROR(VLOOKUP(DATA!#REF!,DATA!#REF!,1,FALSE),"")</f>
        <v/>
      </c>
      <c r="D4111" s="16" t="str">
        <f>IFERROR(VLOOKUP(C4111,DATA!#REF!,2,FALSE),"")</f>
        <v/>
      </c>
    </row>
    <row r="4112" spans="3:4" s="230" customFormat="1">
      <c r="C4112" s="16" t="str">
        <f>IFERROR(VLOOKUP(DATA!#REF!,DATA!#REF!,1,FALSE),"")</f>
        <v/>
      </c>
      <c r="D4112" s="16" t="str">
        <f>IFERROR(VLOOKUP(C4112,DATA!#REF!,2,FALSE),"")</f>
        <v/>
      </c>
    </row>
    <row r="4113" spans="3:4" s="230" customFormat="1">
      <c r="C4113" s="16" t="str">
        <f>IFERROR(VLOOKUP(DATA!#REF!,DATA!#REF!,1,FALSE),"")</f>
        <v/>
      </c>
      <c r="D4113" s="16" t="str">
        <f>IFERROR(VLOOKUP(C4113,DATA!#REF!,2,FALSE),"")</f>
        <v/>
      </c>
    </row>
    <row r="4114" spans="3:4" s="230" customFormat="1">
      <c r="C4114" s="16" t="str">
        <f>IFERROR(VLOOKUP(DATA!#REF!,DATA!#REF!,1,FALSE),"")</f>
        <v/>
      </c>
      <c r="D4114" s="16" t="str">
        <f>IFERROR(VLOOKUP(C4114,DATA!#REF!,2,FALSE),"")</f>
        <v/>
      </c>
    </row>
    <row r="4115" spans="3:4" s="230" customFormat="1">
      <c r="C4115" s="16" t="str">
        <f>IFERROR(VLOOKUP(DATA!#REF!,DATA!#REF!,1,FALSE),"")</f>
        <v/>
      </c>
      <c r="D4115" s="16" t="str">
        <f>IFERROR(VLOOKUP(C4115,DATA!#REF!,2,FALSE),"")</f>
        <v/>
      </c>
    </row>
    <row r="4116" spans="3:4" s="230" customFormat="1">
      <c r="C4116" s="16" t="str">
        <f>IFERROR(VLOOKUP(DATA!#REF!,DATA!#REF!,1,FALSE),"")</f>
        <v/>
      </c>
      <c r="D4116" s="16" t="str">
        <f>IFERROR(VLOOKUP(C4116,DATA!#REF!,2,FALSE),"")</f>
        <v/>
      </c>
    </row>
    <row r="4117" spans="3:4" s="230" customFormat="1">
      <c r="C4117" s="16" t="str">
        <f>IFERROR(VLOOKUP(DATA!#REF!,DATA!#REF!,1,FALSE),"")</f>
        <v/>
      </c>
      <c r="D4117" s="16" t="str">
        <f>IFERROR(VLOOKUP(C4117,DATA!#REF!,2,FALSE),"")</f>
        <v/>
      </c>
    </row>
    <row r="4118" spans="3:4" s="230" customFormat="1">
      <c r="C4118" s="16" t="str">
        <f>IFERROR(VLOOKUP(DATA!#REF!,DATA!#REF!,1,FALSE),"")</f>
        <v/>
      </c>
      <c r="D4118" s="16" t="str">
        <f>IFERROR(VLOOKUP(C4118,DATA!#REF!,2,FALSE),"")</f>
        <v/>
      </c>
    </row>
    <row r="4119" spans="3:4" s="230" customFormat="1">
      <c r="C4119" s="16" t="str">
        <f>IFERROR(VLOOKUP(DATA!#REF!,DATA!#REF!,1,FALSE),"")</f>
        <v/>
      </c>
      <c r="D4119" s="16" t="str">
        <f>IFERROR(VLOOKUP(C4119,DATA!#REF!,2,FALSE),"")</f>
        <v/>
      </c>
    </row>
    <row r="4120" spans="3:4" s="230" customFormat="1">
      <c r="C4120" s="16" t="str">
        <f>IFERROR(VLOOKUP(DATA!#REF!,DATA!#REF!,1,FALSE),"")</f>
        <v/>
      </c>
      <c r="D4120" s="16" t="str">
        <f>IFERROR(VLOOKUP(C4120,DATA!#REF!,2,FALSE),"")</f>
        <v/>
      </c>
    </row>
    <row r="4121" spans="3:4" s="230" customFormat="1">
      <c r="C4121" s="16" t="str">
        <f>IFERROR(VLOOKUP(DATA!#REF!,DATA!#REF!,1,FALSE),"")</f>
        <v/>
      </c>
      <c r="D4121" s="16" t="str">
        <f>IFERROR(VLOOKUP(C4121,DATA!#REF!,2,FALSE),"")</f>
        <v/>
      </c>
    </row>
    <row r="4122" spans="3:4" s="230" customFormat="1">
      <c r="C4122" s="16" t="str">
        <f>IFERROR(VLOOKUP(DATA!#REF!,DATA!#REF!,1,FALSE),"")</f>
        <v/>
      </c>
      <c r="D4122" s="16" t="str">
        <f>IFERROR(VLOOKUP(C4122,DATA!#REF!,2,FALSE),"")</f>
        <v/>
      </c>
    </row>
    <row r="4123" spans="3:4" s="230" customFormat="1">
      <c r="C4123" s="16" t="str">
        <f>IFERROR(VLOOKUP(DATA!#REF!,DATA!#REF!,1,FALSE),"")</f>
        <v/>
      </c>
      <c r="D4123" s="16" t="str">
        <f>IFERROR(VLOOKUP(C4123,DATA!#REF!,2,FALSE),"")</f>
        <v/>
      </c>
    </row>
    <row r="4124" spans="3:4" s="230" customFormat="1">
      <c r="C4124" s="16" t="str">
        <f>IFERROR(VLOOKUP(DATA!#REF!,DATA!#REF!,1,FALSE),"")</f>
        <v/>
      </c>
      <c r="D4124" s="16" t="str">
        <f>IFERROR(VLOOKUP(C4124,DATA!#REF!,2,FALSE),"")</f>
        <v/>
      </c>
    </row>
    <row r="4125" spans="3:4" s="230" customFormat="1">
      <c r="C4125" s="16" t="str">
        <f>IFERROR(VLOOKUP(DATA!#REF!,DATA!#REF!,1,FALSE),"")</f>
        <v/>
      </c>
      <c r="D4125" s="16" t="str">
        <f>IFERROR(VLOOKUP(C4125,DATA!#REF!,2,FALSE),"")</f>
        <v/>
      </c>
    </row>
    <row r="4126" spans="3:4" s="230" customFormat="1">
      <c r="C4126" s="16" t="str">
        <f>IFERROR(VLOOKUP(DATA!#REF!,DATA!#REF!,1,FALSE),"")</f>
        <v/>
      </c>
      <c r="D4126" s="16" t="str">
        <f>IFERROR(VLOOKUP(C4126,DATA!#REF!,2,FALSE),"")</f>
        <v/>
      </c>
    </row>
    <row r="4127" spans="3:4" s="230" customFormat="1">
      <c r="C4127" s="16" t="str">
        <f>IFERROR(VLOOKUP(DATA!#REF!,DATA!#REF!,1,FALSE),"")</f>
        <v/>
      </c>
      <c r="D4127" s="16" t="str">
        <f>IFERROR(VLOOKUP(C4127,DATA!#REF!,2,FALSE),"")</f>
        <v/>
      </c>
    </row>
    <row r="4128" spans="3:4" s="230" customFormat="1">
      <c r="C4128" s="16" t="str">
        <f>IFERROR(VLOOKUP(DATA!#REF!,DATA!#REF!,1,FALSE),"")</f>
        <v/>
      </c>
      <c r="D4128" s="16" t="str">
        <f>IFERROR(VLOOKUP(C4128,DATA!#REF!,2,FALSE),"")</f>
        <v/>
      </c>
    </row>
    <row r="4129" spans="3:4" s="230" customFormat="1">
      <c r="C4129" s="16" t="str">
        <f>IFERROR(VLOOKUP(DATA!#REF!,DATA!#REF!,1,FALSE),"")</f>
        <v/>
      </c>
      <c r="D4129" s="16" t="str">
        <f>IFERROR(VLOOKUP(C4129,DATA!#REF!,2,FALSE),"")</f>
        <v/>
      </c>
    </row>
    <row r="4130" spans="3:4" s="230" customFormat="1">
      <c r="C4130" s="16" t="str">
        <f>IFERROR(VLOOKUP(DATA!#REF!,DATA!#REF!,1,FALSE),"")</f>
        <v/>
      </c>
      <c r="D4130" s="16" t="str">
        <f>IFERROR(VLOOKUP(C4130,DATA!#REF!,2,FALSE),"")</f>
        <v/>
      </c>
    </row>
    <row r="4131" spans="3:4" s="230" customFormat="1">
      <c r="C4131" s="16" t="str">
        <f>IFERROR(VLOOKUP(DATA!#REF!,DATA!#REF!,1,FALSE),"")</f>
        <v/>
      </c>
      <c r="D4131" s="16" t="str">
        <f>IFERROR(VLOOKUP(C4131,DATA!#REF!,2,FALSE),"")</f>
        <v/>
      </c>
    </row>
    <row r="4132" spans="3:4" s="230" customFormat="1">
      <c r="C4132" s="16" t="str">
        <f>IFERROR(VLOOKUP(DATA!#REF!,DATA!#REF!,1,FALSE),"")</f>
        <v/>
      </c>
      <c r="D4132" s="16" t="str">
        <f>IFERROR(VLOOKUP(C4132,DATA!#REF!,2,FALSE),"")</f>
        <v/>
      </c>
    </row>
    <row r="4133" spans="3:4" s="230" customFormat="1">
      <c r="C4133" s="16" t="str">
        <f>IFERROR(VLOOKUP(DATA!#REF!,DATA!#REF!,1,FALSE),"")</f>
        <v/>
      </c>
      <c r="D4133" s="16" t="str">
        <f>IFERROR(VLOOKUP(C4133,DATA!#REF!,2,FALSE),"")</f>
        <v/>
      </c>
    </row>
    <row r="4134" spans="3:4" s="230" customFormat="1">
      <c r="C4134" s="16" t="str">
        <f>IFERROR(VLOOKUP(DATA!#REF!,DATA!#REF!,1,FALSE),"")</f>
        <v/>
      </c>
      <c r="D4134" s="16" t="str">
        <f>IFERROR(VLOOKUP(C4134,DATA!#REF!,2,FALSE),"")</f>
        <v/>
      </c>
    </row>
    <row r="4135" spans="3:4" s="230" customFormat="1">
      <c r="C4135" s="16" t="str">
        <f>IFERROR(VLOOKUP(DATA!#REF!,DATA!#REF!,1,FALSE),"")</f>
        <v/>
      </c>
      <c r="D4135" s="16" t="str">
        <f>IFERROR(VLOOKUP(C4135,DATA!#REF!,2,FALSE),"")</f>
        <v/>
      </c>
    </row>
    <row r="4136" spans="3:4" s="230" customFormat="1">
      <c r="C4136" s="16" t="str">
        <f>IFERROR(VLOOKUP(DATA!#REF!,DATA!#REF!,1,FALSE),"")</f>
        <v/>
      </c>
      <c r="D4136" s="16" t="str">
        <f>IFERROR(VLOOKUP(C4136,DATA!#REF!,2,FALSE),"")</f>
        <v/>
      </c>
    </row>
    <row r="4137" spans="3:4" s="230" customFormat="1">
      <c r="C4137" s="16" t="str">
        <f>IFERROR(VLOOKUP(DATA!#REF!,DATA!#REF!,1,FALSE),"")</f>
        <v/>
      </c>
      <c r="D4137" s="16" t="str">
        <f>IFERROR(VLOOKUP(C4137,DATA!#REF!,2,FALSE),"")</f>
        <v/>
      </c>
    </row>
    <row r="4138" spans="3:4" s="230" customFormat="1">
      <c r="C4138" s="16" t="str">
        <f>IFERROR(VLOOKUP(DATA!#REF!,DATA!#REF!,1,FALSE),"")</f>
        <v/>
      </c>
      <c r="D4138" s="16" t="str">
        <f>IFERROR(VLOOKUP(C4138,DATA!#REF!,2,FALSE),"")</f>
        <v/>
      </c>
    </row>
    <row r="4139" spans="3:4" s="230" customFormat="1">
      <c r="C4139" s="16" t="str">
        <f>IFERROR(VLOOKUP(DATA!#REF!,DATA!#REF!,1,FALSE),"")</f>
        <v/>
      </c>
      <c r="D4139" s="16" t="str">
        <f>IFERROR(VLOOKUP(C4139,DATA!#REF!,2,FALSE),"")</f>
        <v/>
      </c>
    </row>
    <row r="4140" spans="3:4" s="230" customFormat="1">
      <c r="C4140" s="16" t="str">
        <f>IFERROR(VLOOKUP(DATA!#REF!,DATA!#REF!,1,FALSE),"")</f>
        <v/>
      </c>
      <c r="D4140" s="16" t="str">
        <f>IFERROR(VLOOKUP(C4140,DATA!#REF!,2,FALSE),"")</f>
        <v/>
      </c>
    </row>
    <row r="4141" spans="3:4" s="230" customFormat="1">
      <c r="C4141" s="16" t="str">
        <f>IFERROR(VLOOKUP(DATA!#REF!,DATA!#REF!,1,FALSE),"")</f>
        <v/>
      </c>
      <c r="D4141" s="16" t="str">
        <f>IFERROR(VLOOKUP(C4141,DATA!#REF!,2,FALSE),"")</f>
        <v/>
      </c>
    </row>
    <row r="4142" spans="3:4" s="230" customFormat="1">
      <c r="C4142" s="16" t="str">
        <f>IFERROR(VLOOKUP(DATA!#REF!,DATA!#REF!,1,FALSE),"")</f>
        <v/>
      </c>
      <c r="D4142" s="16" t="str">
        <f>IFERROR(VLOOKUP(C4142,DATA!#REF!,2,FALSE),"")</f>
        <v/>
      </c>
    </row>
    <row r="4143" spans="3:4" s="230" customFormat="1">
      <c r="C4143" s="16" t="str">
        <f>IFERROR(VLOOKUP(DATA!#REF!,DATA!#REF!,1,FALSE),"")</f>
        <v/>
      </c>
      <c r="D4143" s="16" t="str">
        <f>IFERROR(VLOOKUP(C4143,DATA!#REF!,2,FALSE),"")</f>
        <v/>
      </c>
    </row>
    <row r="4144" spans="3:4" s="230" customFormat="1">
      <c r="C4144" s="16" t="str">
        <f>IFERROR(VLOOKUP(DATA!#REF!,DATA!#REF!,1,FALSE),"")</f>
        <v/>
      </c>
      <c r="D4144" s="16" t="str">
        <f>IFERROR(VLOOKUP(C4144,DATA!#REF!,2,FALSE),"")</f>
        <v/>
      </c>
    </row>
    <row r="4145" spans="3:4" s="230" customFormat="1">
      <c r="C4145" s="16" t="str">
        <f>IFERROR(VLOOKUP(DATA!#REF!,DATA!#REF!,1,FALSE),"")</f>
        <v/>
      </c>
      <c r="D4145" s="16" t="str">
        <f>IFERROR(VLOOKUP(C4145,DATA!#REF!,2,FALSE),"")</f>
        <v/>
      </c>
    </row>
    <row r="4146" spans="3:4" s="230" customFormat="1">
      <c r="C4146" s="16" t="str">
        <f>IFERROR(VLOOKUP(DATA!#REF!,DATA!#REF!,1,FALSE),"")</f>
        <v/>
      </c>
      <c r="D4146" s="16" t="str">
        <f>IFERROR(VLOOKUP(C4146,DATA!#REF!,2,FALSE),"")</f>
        <v/>
      </c>
    </row>
    <row r="4147" spans="3:4" s="230" customFormat="1">
      <c r="C4147" s="16" t="str">
        <f>IFERROR(VLOOKUP(DATA!#REF!,DATA!#REF!,1,FALSE),"")</f>
        <v/>
      </c>
      <c r="D4147" s="16" t="str">
        <f>IFERROR(VLOOKUP(C4147,DATA!#REF!,2,FALSE),"")</f>
        <v/>
      </c>
    </row>
    <row r="4148" spans="3:4" s="230" customFormat="1">
      <c r="C4148" s="16" t="str">
        <f>IFERROR(VLOOKUP(DATA!#REF!,DATA!#REF!,1,FALSE),"")</f>
        <v/>
      </c>
      <c r="D4148" s="16" t="str">
        <f>IFERROR(VLOOKUP(C4148,DATA!#REF!,2,FALSE),"")</f>
        <v/>
      </c>
    </row>
    <row r="4149" spans="3:4" s="230" customFormat="1">
      <c r="C4149" s="16" t="str">
        <f>IFERROR(VLOOKUP(DATA!#REF!,DATA!#REF!,1,FALSE),"")</f>
        <v/>
      </c>
      <c r="D4149" s="16" t="str">
        <f>IFERROR(VLOOKUP(C4149,DATA!#REF!,2,FALSE),"")</f>
        <v/>
      </c>
    </row>
    <row r="4150" spans="3:4" s="230" customFormat="1">
      <c r="C4150" s="16" t="str">
        <f>IFERROR(VLOOKUP(DATA!#REF!,DATA!#REF!,1,FALSE),"")</f>
        <v/>
      </c>
      <c r="D4150" s="16" t="str">
        <f>IFERROR(VLOOKUP(C4150,DATA!#REF!,2,FALSE),"")</f>
        <v/>
      </c>
    </row>
    <row r="4151" spans="3:4" s="230" customFormat="1">
      <c r="C4151" s="16" t="str">
        <f>IFERROR(VLOOKUP(DATA!#REF!,DATA!#REF!,1,FALSE),"")</f>
        <v/>
      </c>
      <c r="D4151" s="16" t="str">
        <f>IFERROR(VLOOKUP(C4151,DATA!#REF!,2,FALSE),"")</f>
        <v/>
      </c>
    </row>
    <row r="4152" spans="3:4" s="230" customFormat="1">
      <c r="C4152" s="16" t="str">
        <f>IFERROR(VLOOKUP(DATA!#REF!,DATA!#REF!,1,FALSE),"")</f>
        <v/>
      </c>
      <c r="D4152" s="16" t="str">
        <f>IFERROR(VLOOKUP(C4152,DATA!#REF!,2,FALSE),"")</f>
        <v/>
      </c>
    </row>
    <row r="4153" spans="3:4" s="230" customFormat="1">
      <c r="C4153" s="16" t="str">
        <f>IFERROR(VLOOKUP(DATA!#REF!,DATA!#REF!,1,FALSE),"")</f>
        <v/>
      </c>
      <c r="D4153" s="16" t="str">
        <f>IFERROR(VLOOKUP(C4153,DATA!#REF!,2,FALSE),"")</f>
        <v/>
      </c>
    </row>
    <row r="4154" spans="3:4" s="230" customFormat="1">
      <c r="C4154" s="16" t="str">
        <f>IFERROR(VLOOKUP(DATA!#REF!,DATA!#REF!,1,FALSE),"")</f>
        <v/>
      </c>
      <c r="D4154" s="16" t="str">
        <f>IFERROR(VLOOKUP(C4154,DATA!#REF!,2,FALSE),"")</f>
        <v/>
      </c>
    </row>
    <row r="4155" spans="3:4" s="230" customFormat="1">
      <c r="C4155" s="16" t="str">
        <f>IFERROR(VLOOKUP(DATA!#REF!,DATA!#REF!,1,FALSE),"")</f>
        <v/>
      </c>
      <c r="D4155" s="16" t="str">
        <f>IFERROR(VLOOKUP(C4155,DATA!#REF!,2,FALSE),"")</f>
        <v/>
      </c>
    </row>
    <row r="4156" spans="3:4" s="230" customFormat="1">
      <c r="C4156" s="16" t="str">
        <f>IFERROR(VLOOKUP(DATA!#REF!,DATA!#REF!,1,FALSE),"")</f>
        <v/>
      </c>
      <c r="D4156" s="16" t="str">
        <f>IFERROR(VLOOKUP(C4156,DATA!#REF!,2,FALSE),"")</f>
        <v/>
      </c>
    </row>
    <row r="4157" spans="3:4" s="230" customFormat="1">
      <c r="C4157" s="16" t="str">
        <f>IFERROR(VLOOKUP(DATA!#REF!,DATA!#REF!,1,FALSE),"")</f>
        <v/>
      </c>
      <c r="D4157" s="16" t="str">
        <f>IFERROR(VLOOKUP(C4157,DATA!#REF!,2,FALSE),"")</f>
        <v/>
      </c>
    </row>
    <row r="4158" spans="3:4" s="230" customFormat="1">
      <c r="C4158" s="16" t="str">
        <f>IFERROR(VLOOKUP(DATA!#REF!,DATA!#REF!,1,FALSE),"")</f>
        <v/>
      </c>
      <c r="D4158" s="16" t="str">
        <f>IFERROR(VLOOKUP(C4158,DATA!#REF!,2,FALSE),"")</f>
        <v/>
      </c>
    </row>
    <row r="4159" spans="3:4" s="230" customFormat="1">
      <c r="C4159" s="16" t="str">
        <f>IFERROR(VLOOKUP(DATA!#REF!,DATA!#REF!,1,FALSE),"")</f>
        <v/>
      </c>
      <c r="D4159" s="16" t="str">
        <f>IFERROR(VLOOKUP(C4159,DATA!#REF!,2,FALSE),"")</f>
        <v/>
      </c>
    </row>
    <row r="4160" spans="3:4" s="230" customFormat="1">
      <c r="C4160" s="16" t="str">
        <f>IFERROR(VLOOKUP(DATA!#REF!,DATA!#REF!,1,FALSE),"")</f>
        <v/>
      </c>
      <c r="D4160" s="16" t="str">
        <f>IFERROR(VLOOKUP(C4160,DATA!#REF!,2,FALSE),"")</f>
        <v/>
      </c>
    </row>
    <row r="4161" spans="3:4" s="230" customFormat="1">
      <c r="C4161" s="16" t="str">
        <f>IFERROR(VLOOKUP(DATA!#REF!,DATA!#REF!,1,FALSE),"")</f>
        <v/>
      </c>
      <c r="D4161" s="16" t="str">
        <f>IFERROR(VLOOKUP(C4161,DATA!#REF!,2,FALSE),"")</f>
        <v/>
      </c>
    </row>
    <row r="4162" spans="3:4" s="230" customFormat="1">
      <c r="C4162" s="16" t="str">
        <f>IFERROR(VLOOKUP(DATA!#REF!,DATA!#REF!,1,FALSE),"")</f>
        <v/>
      </c>
      <c r="D4162" s="16" t="str">
        <f>IFERROR(VLOOKUP(C4162,DATA!#REF!,2,FALSE),"")</f>
        <v/>
      </c>
    </row>
    <row r="4163" spans="3:4" s="230" customFormat="1">
      <c r="C4163" s="16" t="str">
        <f>IFERROR(VLOOKUP(DATA!#REF!,DATA!#REF!,1,FALSE),"")</f>
        <v/>
      </c>
      <c r="D4163" s="16" t="str">
        <f>IFERROR(VLOOKUP(C4163,DATA!#REF!,2,FALSE),"")</f>
        <v/>
      </c>
    </row>
    <row r="4164" spans="3:4" s="230" customFormat="1">
      <c r="C4164" s="16" t="str">
        <f>IFERROR(VLOOKUP(DATA!#REF!,DATA!#REF!,1,FALSE),"")</f>
        <v/>
      </c>
      <c r="D4164" s="16" t="str">
        <f>IFERROR(VLOOKUP(C4164,DATA!#REF!,2,FALSE),"")</f>
        <v/>
      </c>
    </row>
    <row r="4165" spans="3:4" s="230" customFormat="1">
      <c r="C4165" s="16" t="str">
        <f>IFERROR(VLOOKUP(DATA!#REF!,DATA!#REF!,1,FALSE),"")</f>
        <v/>
      </c>
      <c r="D4165" s="16" t="str">
        <f>IFERROR(VLOOKUP(C4165,DATA!#REF!,2,FALSE),"")</f>
        <v/>
      </c>
    </row>
    <row r="4166" spans="3:4" s="230" customFormat="1">
      <c r="C4166" s="16" t="str">
        <f>IFERROR(VLOOKUP(DATA!#REF!,DATA!#REF!,1,FALSE),"")</f>
        <v/>
      </c>
      <c r="D4166" s="16" t="str">
        <f>IFERROR(VLOOKUP(C4166,DATA!#REF!,2,FALSE),"")</f>
        <v/>
      </c>
    </row>
    <row r="4167" spans="3:4" s="230" customFormat="1">
      <c r="C4167" s="16" t="str">
        <f>IFERROR(VLOOKUP(DATA!#REF!,DATA!#REF!,1,FALSE),"")</f>
        <v/>
      </c>
      <c r="D4167" s="16" t="str">
        <f>IFERROR(VLOOKUP(C4167,DATA!#REF!,2,FALSE),"")</f>
        <v/>
      </c>
    </row>
    <row r="4168" spans="3:4" s="230" customFormat="1">
      <c r="C4168" s="16" t="str">
        <f>IFERROR(VLOOKUP(DATA!#REF!,DATA!#REF!,1,FALSE),"")</f>
        <v/>
      </c>
      <c r="D4168" s="16" t="str">
        <f>IFERROR(VLOOKUP(C4168,DATA!#REF!,2,FALSE),"")</f>
        <v/>
      </c>
    </row>
    <row r="4169" spans="3:4" s="230" customFormat="1">
      <c r="C4169" s="16" t="str">
        <f>IFERROR(VLOOKUP(DATA!#REF!,DATA!#REF!,1,FALSE),"")</f>
        <v/>
      </c>
      <c r="D4169" s="16" t="str">
        <f>IFERROR(VLOOKUP(C4169,DATA!#REF!,2,FALSE),"")</f>
        <v/>
      </c>
    </row>
    <row r="4170" spans="3:4" s="230" customFormat="1">
      <c r="C4170" s="16" t="str">
        <f>IFERROR(VLOOKUP(DATA!#REF!,DATA!#REF!,1,FALSE),"")</f>
        <v/>
      </c>
      <c r="D4170" s="16" t="str">
        <f>IFERROR(VLOOKUP(C4170,DATA!#REF!,2,FALSE),"")</f>
        <v/>
      </c>
    </row>
    <row r="4171" spans="3:4" s="230" customFormat="1">
      <c r="C4171" s="16" t="str">
        <f>IFERROR(VLOOKUP(DATA!#REF!,DATA!#REF!,1,FALSE),"")</f>
        <v/>
      </c>
      <c r="D4171" s="16" t="str">
        <f>IFERROR(VLOOKUP(C4171,DATA!#REF!,2,FALSE),"")</f>
        <v/>
      </c>
    </row>
    <row r="4172" spans="3:4" s="230" customFormat="1">
      <c r="C4172" s="16" t="str">
        <f>IFERROR(VLOOKUP(DATA!#REF!,DATA!#REF!,1,FALSE),"")</f>
        <v/>
      </c>
      <c r="D4172" s="16" t="str">
        <f>IFERROR(VLOOKUP(C4172,DATA!#REF!,2,FALSE),"")</f>
        <v/>
      </c>
    </row>
    <row r="4173" spans="3:4" s="230" customFormat="1">
      <c r="C4173" s="16" t="str">
        <f>IFERROR(VLOOKUP(DATA!#REF!,DATA!#REF!,1,FALSE),"")</f>
        <v/>
      </c>
      <c r="D4173" s="16" t="str">
        <f>IFERROR(VLOOKUP(C4173,DATA!#REF!,2,FALSE),"")</f>
        <v/>
      </c>
    </row>
    <row r="4174" spans="3:4" s="230" customFormat="1">
      <c r="C4174" s="16" t="str">
        <f>IFERROR(VLOOKUP(DATA!#REF!,DATA!#REF!,1,FALSE),"")</f>
        <v/>
      </c>
      <c r="D4174" s="16" t="str">
        <f>IFERROR(VLOOKUP(C4174,DATA!#REF!,2,FALSE),"")</f>
        <v/>
      </c>
    </row>
    <row r="4175" spans="3:4" s="230" customFormat="1">
      <c r="C4175" s="16" t="str">
        <f>IFERROR(VLOOKUP(DATA!#REF!,DATA!#REF!,1,FALSE),"")</f>
        <v/>
      </c>
      <c r="D4175" s="16" t="str">
        <f>IFERROR(VLOOKUP(C4175,DATA!#REF!,2,FALSE),"")</f>
        <v/>
      </c>
    </row>
    <row r="4176" spans="3:4" s="230" customFormat="1">
      <c r="C4176" s="16" t="str">
        <f>IFERROR(VLOOKUP(DATA!#REF!,DATA!#REF!,1,FALSE),"")</f>
        <v/>
      </c>
      <c r="D4176" s="16" t="str">
        <f>IFERROR(VLOOKUP(C4176,DATA!#REF!,2,FALSE),"")</f>
        <v/>
      </c>
    </row>
    <row r="4177" spans="3:4" s="230" customFormat="1">
      <c r="C4177" s="16" t="str">
        <f>IFERROR(VLOOKUP(DATA!#REF!,DATA!#REF!,1,FALSE),"")</f>
        <v/>
      </c>
      <c r="D4177" s="16" t="str">
        <f>IFERROR(VLOOKUP(C4177,DATA!#REF!,2,FALSE),"")</f>
        <v/>
      </c>
    </row>
    <row r="4178" spans="3:4" s="230" customFormat="1">
      <c r="C4178" s="16" t="str">
        <f>IFERROR(VLOOKUP(DATA!#REF!,DATA!#REF!,1,FALSE),"")</f>
        <v/>
      </c>
      <c r="D4178" s="16" t="str">
        <f>IFERROR(VLOOKUP(C4178,DATA!#REF!,2,FALSE),"")</f>
        <v/>
      </c>
    </row>
    <row r="4179" spans="3:4" s="230" customFormat="1">
      <c r="C4179" s="16" t="str">
        <f>IFERROR(VLOOKUP(DATA!#REF!,DATA!#REF!,1,FALSE),"")</f>
        <v/>
      </c>
      <c r="D4179" s="16" t="str">
        <f>IFERROR(VLOOKUP(C4179,DATA!#REF!,2,FALSE),"")</f>
        <v/>
      </c>
    </row>
    <row r="4180" spans="3:4" s="230" customFormat="1">
      <c r="C4180" s="16" t="str">
        <f>IFERROR(VLOOKUP(DATA!#REF!,DATA!#REF!,1,FALSE),"")</f>
        <v/>
      </c>
      <c r="D4180" s="16" t="str">
        <f>IFERROR(VLOOKUP(C4180,DATA!#REF!,2,FALSE),"")</f>
        <v/>
      </c>
    </row>
    <row r="4181" spans="3:4" s="230" customFormat="1">
      <c r="C4181" s="16" t="str">
        <f>IFERROR(VLOOKUP(DATA!#REF!,DATA!#REF!,1,FALSE),"")</f>
        <v/>
      </c>
      <c r="D4181" s="16" t="str">
        <f>IFERROR(VLOOKUP(C4181,DATA!#REF!,2,FALSE),"")</f>
        <v/>
      </c>
    </row>
    <row r="4182" spans="3:4" s="230" customFormat="1">
      <c r="C4182" s="16" t="str">
        <f>IFERROR(VLOOKUP(DATA!#REF!,DATA!#REF!,1,FALSE),"")</f>
        <v/>
      </c>
      <c r="D4182" s="16" t="str">
        <f>IFERROR(VLOOKUP(C4182,DATA!#REF!,2,FALSE),"")</f>
        <v/>
      </c>
    </row>
    <row r="4183" spans="3:4" s="230" customFormat="1">
      <c r="C4183" s="16" t="str">
        <f>IFERROR(VLOOKUP(DATA!#REF!,DATA!#REF!,1,FALSE),"")</f>
        <v/>
      </c>
      <c r="D4183" s="16" t="str">
        <f>IFERROR(VLOOKUP(C4183,DATA!#REF!,2,FALSE),"")</f>
        <v/>
      </c>
    </row>
    <row r="4184" spans="3:4" s="230" customFormat="1">
      <c r="C4184" s="16" t="str">
        <f>IFERROR(VLOOKUP(DATA!#REF!,DATA!#REF!,1,FALSE),"")</f>
        <v/>
      </c>
      <c r="D4184" s="16" t="str">
        <f>IFERROR(VLOOKUP(C4184,DATA!#REF!,2,FALSE),"")</f>
        <v/>
      </c>
    </row>
    <row r="4185" spans="3:4" s="230" customFormat="1">
      <c r="C4185" s="16" t="str">
        <f>IFERROR(VLOOKUP(DATA!#REF!,DATA!#REF!,1,FALSE),"")</f>
        <v/>
      </c>
      <c r="D4185" s="16" t="str">
        <f>IFERROR(VLOOKUP(C4185,DATA!#REF!,2,FALSE),"")</f>
        <v/>
      </c>
    </row>
    <row r="4186" spans="3:4" s="230" customFormat="1">
      <c r="C4186" s="16" t="str">
        <f>IFERROR(VLOOKUP(DATA!#REF!,DATA!#REF!,1,FALSE),"")</f>
        <v/>
      </c>
      <c r="D4186" s="16" t="str">
        <f>IFERROR(VLOOKUP(C4186,DATA!#REF!,2,FALSE),"")</f>
        <v/>
      </c>
    </row>
    <row r="4187" spans="3:4" s="230" customFormat="1">
      <c r="C4187" s="16" t="str">
        <f>IFERROR(VLOOKUP(DATA!#REF!,DATA!#REF!,1,FALSE),"")</f>
        <v/>
      </c>
      <c r="D4187" s="16" t="str">
        <f>IFERROR(VLOOKUP(C4187,DATA!#REF!,2,FALSE),"")</f>
        <v/>
      </c>
    </row>
    <row r="4188" spans="3:4" s="230" customFormat="1">
      <c r="C4188" s="16" t="str">
        <f>IFERROR(VLOOKUP(DATA!#REF!,DATA!#REF!,1,FALSE),"")</f>
        <v/>
      </c>
      <c r="D4188" s="16" t="str">
        <f>IFERROR(VLOOKUP(C4188,DATA!#REF!,2,FALSE),"")</f>
        <v/>
      </c>
    </row>
    <row r="4189" spans="3:4" s="230" customFormat="1">
      <c r="C4189" s="16" t="str">
        <f>IFERROR(VLOOKUP(DATA!#REF!,DATA!#REF!,1,FALSE),"")</f>
        <v/>
      </c>
      <c r="D4189" s="16" t="str">
        <f>IFERROR(VLOOKUP(C4189,DATA!#REF!,2,FALSE),"")</f>
        <v/>
      </c>
    </row>
    <row r="4190" spans="3:4" s="230" customFormat="1">
      <c r="C4190" s="16" t="str">
        <f>IFERROR(VLOOKUP(DATA!#REF!,DATA!#REF!,1,FALSE),"")</f>
        <v/>
      </c>
      <c r="D4190" s="16" t="str">
        <f>IFERROR(VLOOKUP(C4190,DATA!#REF!,2,FALSE),"")</f>
        <v/>
      </c>
    </row>
    <row r="4191" spans="3:4" s="230" customFormat="1">
      <c r="C4191" s="16" t="str">
        <f>IFERROR(VLOOKUP(DATA!#REF!,DATA!#REF!,1,FALSE),"")</f>
        <v/>
      </c>
      <c r="D4191" s="16" t="str">
        <f>IFERROR(VLOOKUP(C4191,DATA!#REF!,2,FALSE),"")</f>
        <v/>
      </c>
    </row>
    <row r="4192" spans="3:4" s="230" customFormat="1">
      <c r="C4192" s="16" t="str">
        <f>IFERROR(VLOOKUP(DATA!#REF!,DATA!#REF!,1,FALSE),"")</f>
        <v/>
      </c>
      <c r="D4192" s="16" t="str">
        <f>IFERROR(VLOOKUP(C4192,DATA!#REF!,2,FALSE),"")</f>
        <v/>
      </c>
    </row>
    <row r="4193" spans="3:4" s="230" customFormat="1">
      <c r="C4193" s="16" t="str">
        <f>IFERROR(VLOOKUP(DATA!#REF!,DATA!#REF!,1,FALSE),"")</f>
        <v/>
      </c>
      <c r="D4193" s="16" t="str">
        <f>IFERROR(VLOOKUP(C4193,DATA!#REF!,2,FALSE),"")</f>
        <v/>
      </c>
    </row>
    <row r="4194" spans="3:4" s="230" customFormat="1">
      <c r="C4194" s="16" t="str">
        <f>IFERROR(VLOOKUP(DATA!#REF!,DATA!#REF!,1,FALSE),"")</f>
        <v/>
      </c>
      <c r="D4194" s="16" t="str">
        <f>IFERROR(VLOOKUP(C4194,DATA!#REF!,2,FALSE),"")</f>
        <v/>
      </c>
    </row>
    <row r="4195" spans="3:4" s="230" customFormat="1">
      <c r="C4195" s="16" t="str">
        <f>IFERROR(VLOOKUP(DATA!#REF!,DATA!#REF!,1,FALSE),"")</f>
        <v/>
      </c>
      <c r="D4195" s="16" t="str">
        <f>IFERROR(VLOOKUP(C4195,DATA!#REF!,2,FALSE),"")</f>
        <v/>
      </c>
    </row>
    <row r="4196" spans="3:4" s="230" customFormat="1">
      <c r="C4196" s="16" t="str">
        <f>IFERROR(VLOOKUP(DATA!#REF!,DATA!#REF!,1,FALSE),"")</f>
        <v/>
      </c>
      <c r="D4196" s="16" t="str">
        <f>IFERROR(VLOOKUP(C4196,DATA!#REF!,2,FALSE),"")</f>
        <v/>
      </c>
    </row>
    <row r="4197" spans="3:4" s="230" customFormat="1">
      <c r="C4197" s="16" t="str">
        <f>IFERROR(VLOOKUP(DATA!#REF!,DATA!#REF!,1,FALSE),"")</f>
        <v/>
      </c>
      <c r="D4197" s="16" t="str">
        <f>IFERROR(VLOOKUP(C4197,DATA!#REF!,2,FALSE),"")</f>
        <v/>
      </c>
    </row>
    <row r="4198" spans="3:4" s="230" customFormat="1">
      <c r="C4198" s="16" t="str">
        <f>IFERROR(VLOOKUP(DATA!#REF!,DATA!#REF!,1,FALSE),"")</f>
        <v/>
      </c>
      <c r="D4198" s="16" t="str">
        <f>IFERROR(VLOOKUP(C4198,DATA!#REF!,2,FALSE),"")</f>
        <v/>
      </c>
    </row>
    <row r="4199" spans="3:4" s="230" customFormat="1">
      <c r="C4199" s="16" t="str">
        <f>IFERROR(VLOOKUP(DATA!#REF!,DATA!#REF!,1,FALSE),"")</f>
        <v/>
      </c>
      <c r="D4199" s="16" t="str">
        <f>IFERROR(VLOOKUP(C4199,DATA!#REF!,2,FALSE),"")</f>
        <v/>
      </c>
    </row>
    <row r="4200" spans="3:4" s="230" customFormat="1">
      <c r="C4200" s="16" t="str">
        <f>IFERROR(VLOOKUP(DATA!#REF!,DATA!#REF!,1,FALSE),"")</f>
        <v/>
      </c>
      <c r="D4200" s="16" t="str">
        <f>IFERROR(VLOOKUP(C4200,DATA!#REF!,2,FALSE),"")</f>
        <v/>
      </c>
    </row>
    <row r="4201" spans="3:4" s="230" customFormat="1">
      <c r="C4201" s="16" t="str">
        <f>IFERROR(VLOOKUP(DATA!#REF!,DATA!#REF!,1,FALSE),"")</f>
        <v/>
      </c>
      <c r="D4201" s="16" t="str">
        <f>IFERROR(VLOOKUP(C4201,DATA!#REF!,2,FALSE),"")</f>
        <v/>
      </c>
    </row>
    <row r="4202" spans="3:4" s="230" customFormat="1">
      <c r="C4202" s="16" t="str">
        <f>IFERROR(VLOOKUP(DATA!#REF!,DATA!#REF!,1,FALSE),"")</f>
        <v/>
      </c>
      <c r="D4202" s="16" t="str">
        <f>IFERROR(VLOOKUP(C4202,DATA!#REF!,2,FALSE),"")</f>
        <v/>
      </c>
    </row>
    <row r="4203" spans="3:4" s="230" customFormat="1">
      <c r="C4203" s="16" t="str">
        <f>IFERROR(VLOOKUP(DATA!#REF!,DATA!#REF!,1,FALSE),"")</f>
        <v/>
      </c>
      <c r="D4203" s="16" t="str">
        <f>IFERROR(VLOOKUP(C4203,DATA!#REF!,2,FALSE),"")</f>
        <v/>
      </c>
    </row>
    <row r="4204" spans="3:4" s="230" customFormat="1">
      <c r="C4204" s="16" t="str">
        <f>IFERROR(VLOOKUP(DATA!#REF!,DATA!#REF!,1,FALSE),"")</f>
        <v/>
      </c>
      <c r="D4204" s="16" t="str">
        <f>IFERROR(VLOOKUP(C4204,DATA!#REF!,2,FALSE),"")</f>
        <v/>
      </c>
    </row>
    <row r="4205" spans="3:4" s="230" customFormat="1">
      <c r="C4205" s="16" t="str">
        <f>IFERROR(VLOOKUP(DATA!#REF!,DATA!#REF!,1,FALSE),"")</f>
        <v/>
      </c>
      <c r="D4205" s="16" t="str">
        <f>IFERROR(VLOOKUP(C4205,DATA!#REF!,2,FALSE),"")</f>
        <v/>
      </c>
    </row>
    <row r="4206" spans="3:4" s="230" customFormat="1">
      <c r="C4206" s="16" t="str">
        <f>IFERROR(VLOOKUP(DATA!#REF!,DATA!#REF!,1,FALSE),"")</f>
        <v/>
      </c>
      <c r="D4206" s="16" t="str">
        <f>IFERROR(VLOOKUP(C4206,DATA!#REF!,2,FALSE),"")</f>
        <v/>
      </c>
    </row>
    <row r="4207" spans="3:4" s="230" customFormat="1">
      <c r="C4207" s="16" t="str">
        <f>IFERROR(VLOOKUP(DATA!#REF!,DATA!#REF!,1,FALSE),"")</f>
        <v/>
      </c>
      <c r="D4207" s="16" t="str">
        <f>IFERROR(VLOOKUP(C4207,DATA!#REF!,2,FALSE),"")</f>
        <v/>
      </c>
    </row>
    <row r="4208" spans="3:4" s="230" customFormat="1">
      <c r="C4208" s="16" t="str">
        <f>IFERROR(VLOOKUP(DATA!#REF!,DATA!#REF!,1,FALSE),"")</f>
        <v/>
      </c>
      <c r="D4208" s="16" t="str">
        <f>IFERROR(VLOOKUP(C4208,DATA!#REF!,2,FALSE),"")</f>
        <v/>
      </c>
    </row>
    <row r="4209" spans="3:4" s="230" customFormat="1">
      <c r="C4209" s="16" t="str">
        <f>IFERROR(VLOOKUP(DATA!#REF!,DATA!#REF!,1,FALSE),"")</f>
        <v/>
      </c>
      <c r="D4209" s="16" t="str">
        <f>IFERROR(VLOOKUP(C4209,DATA!#REF!,2,FALSE),"")</f>
        <v/>
      </c>
    </row>
    <row r="4210" spans="3:4" s="230" customFormat="1">
      <c r="C4210" s="16" t="str">
        <f>IFERROR(VLOOKUP(DATA!#REF!,DATA!#REF!,1,FALSE),"")</f>
        <v/>
      </c>
      <c r="D4210" s="16" t="str">
        <f>IFERROR(VLOOKUP(C4210,DATA!#REF!,2,FALSE),"")</f>
        <v/>
      </c>
    </row>
    <row r="4211" spans="3:4" s="230" customFormat="1">
      <c r="C4211" s="16" t="str">
        <f>IFERROR(VLOOKUP(DATA!#REF!,DATA!#REF!,1,FALSE),"")</f>
        <v/>
      </c>
      <c r="D4211" s="16" t="str">
        <f>IFERROR(VLOOKUP(C4211,DATA!#REF!,2,FALSE),"")</f>
        <v/>
      </c>
    </row>
    <row r="4212" spans="3:4" s="230" customFormat="1">
      <c r="C4212" s="16" t="str">
        <f>IFERROR(VLOOKUP(DATA!#REF!,DATA!#REF!,1,FALSE),"")</f>
        <v/>
      </c>
      <c r="D4212" s="16" t="str">
        <f>IFERROR(VLOOKUP(C4212,DATA!#REF!,2,FALSE),"")</f>
        <v/>
      </c>
    </row>
    <row r="4213" spans="3:4" s="230" customFormat="1">
      <c r="C4213" s="16" t="str">
        <f>IFERROR(VLOOKUP(DATA!#REF!,DATA!#REF!,1,FALSE),"")</f>
        <v/>
      </c>
      <c r="D4213" s="16" t="str">
        <f>IFERROR(VLOOKUP(C4213,DATA!#REF!,2,FALSE),"")</f>
        <v/>
      </c>
    </row>
    <row r="4214" spans="3:4" s="230" customFormat="1">
      <c r="C4214" s="16" t="str">
        <f>IFERROR(VLOOKUP(DATA!#REF!,DATA!#REF!,1,FALSE),"")</f>
        <v/>
      </c>
      <c r="D4214" s="16" t="str">
        <f>IFERROR(VLOOKUP(C4214,DATA!#REF!,2,FALSE),"")</f>
        <v/>
      </c>
    </row>
    <row r="4215" spans="3:4" s="230" customFormat="1">
      <c r="C4215" s="16" t="str">
        <f>IFERROR(VLOOKUP(DATA!#REF!,DATA!#REF!,1,FALSE),"")</f>
        <v/>
      </c>
      <c r="D4215" s="16" t="str">
        <f>IFERROR(VLOOKUP(C4215,DATA!#REF!,2,FALSE),"")</f>
        <v/>
      </c>
    </row>
    <row r="4216" spans="3:4" s="230" customFormat="1">
      <c r="C4216" s="16" t="str">
        <f>IFERROR(VLOOKUP(DATA!#REF!,DATA!#REF!,1,FALSE),"")</f>
        <v/>
      </c>
      <c r="D4216" s="16" t="str">
        <f>IFERROR(VLOOKUP(C4216,DATA!#REF!,2,FALSE),"")</f>
        <v/>
      </c>
    </row>
    <row r="4217" spans="3:4" s="230" customFormat="1">
      <c r="C4217" s="16" t="str">
        <f>IFERROR(VLOOKUP(DATA!#REF!,DATA!#REF!,1,FALSE),"")</f>
        <v/>
      </c>
      <c r="D4217" s="16" t="str">
        <f>IFERROR(VLOOKUP(C4217,DATA!#REF!,2,FALSE),"")</f>
        <v/>
      </c>
    </row>
    <row r="4218" spans="3:4" s="230" customFormat="1">
      <c r="C4218" s="16" t="str">
        <f>IFERROR(VLOOKUP(DATA!#REF!,DATA!#REF!,1,FALSE),"")</f>
        <v/>
      </c>
      <c r="D4218" s="16" t="str">
        <f>IFERROR(VLOOKUP(C4218,DATA!#REF!,2,FALSE),"")</f>
        <v/>
      </c>
    </row>
    <row r="4219" spans="3:4" s="230" customFormat="1">
      <c r="C4219" s="16" t="str">
        <f>IFERROR(VLOOKUP(DATA!#REF!,DATA!#REF!,1,FALSE),"")</f>
        <v/>
      </c>
      <c r="D4219" s="16" t="str">
        <f>IFERROR(VLOOKUP(C4219,DATA!#REF!,2,FALSE),"")</f>
        <v/>
      </c>
    </row>
    <row r="4220" spans="3:4" s="230" customFormat="1">
      <c r="C4220" s="16" t="str">
        <f>IFERROR(VLOOKUP(DATA!#REF!,DATA!#REF!,1,FALSE),"")</f>
        <v/>
      </c>
      <c r="D4220" s="16" t="str">
        <f>IFERROR(VLOOKUP(C4220,DATA!#REF!,2,FALSE),"")</f>
        <v/>
      </c>
    </row>
    <row r="4221" spans="3:4" s="230" customFormat="1">
      <c r="C4221" s="16" t="str">
        <f>IFERROR(VLOOKUP(DATA!#REF!,DATA!#REF!,1,FALSE),"")</f>
        <v/>
      </c>
      <c r="D4221" s="16" t="str">
        <f>IFERROR(VLOOKUP(C4221,DATA!#REF!,2,FALSE),"")</f>
        <v/>
      </c>
    </row>
    <row r="4222" spans="3:4" s="230" customFormat="1">
      <c r="C4222" s="16" t="str">
        <f>IFERROR(VLOOKUP(DATA!#REF!,DATA!#REF!,1,FALSE),"")</f>
        <v/>
      </c>
      <c r="D4222" s="16" t="str">
        <f>IFERROR(VLOOKUP(C4222,DATA!#REF!,2,FALSE),"")</f>
        <v/>
      </c>
    </row>
    <row r="4223" spans="3:4" s="230" customFormat="1">
      <c r="C4223" s="16" t="str">
        <f>IFERROR(VLOOKUP(DATA!#REF!,DATA!#REF!,1,FALSE),"")</f>
        <v/>
      </c>
      <c r="D4223" s="16" t="str">
        <f>IFERROR(VLOOKUP(C4223,DATA!#REF!,2,FALSE),"")</f>
        <v/>
      </c>
    </row>
    <row r="4224" spans="3:4" s="230" customFormat="1">
      <c r="C4224" s="16" t="str">
        <f>IFERROR(VLOOKUP(DATA!#REF!,DATA!#REF!,1,FALSE),"")</f>
        <v/>
      </c>
      <c r="D4224" s="16" t="str">
        <f>IFERROR(VLOOKUP(C4224,DATA!#REF!,2,FALSE),"")</f>
        <v/>
      </c>
    </row>
    <row r="4225" spans="3:4" s="230" customFormat="1">
      <c r="C4225" s="16" t="str">
        <f>IFERROR(VLOOKUP(DATA!#REF!,DATA!#REF!,1,FALSE),"")</f>
        <v/>
      </c>
      <c r="D4225" s="16" t="str">
        <f>IFERROR(VLOOKUP(C4225,DATA!#REF!,2,FALSE),"")</f>
        <v/>
      </c>
    </row>
    <row r="4226" spans="3:4" s="230" customFormat="1">
      <c r="C4226" s="16" t="str">
        <f>IFERROR(VLOOKUP(DATA!#REF!,DATA!#REF!,1,FALSE),"")</f>
        <v/>
      </c>
      <c r="D4226" s="16" t="str">
        <f>IFERROR(VLOOKUP(C4226,DATA!#REF!,2,FALSE),"")</f>
        <v/>
      </c>
    </row>
    <row r="4227" spans="3:4" s="230" customFormat="1">
      <c r="C4227" s="16" t="str">
        <f>IFERROR(VLOOKUP(DATA!#REF!,DATA!#REF!,1,FALSE),"")</f>
        <v/>
      </c>
      <c r="D4227" s="16" t="str">
        <f>IFERROR(VLOOKUP(C4227,DATA!#REF!,2,FALSE),"")</f>
        <v/>
      </c>
    </row>
    <row r="4228" spans="3:4" s="230" customFormat="1">
      <c r="C4228" s="16" t="str">
        <f>IFERROR(VLOOKUP(DATA!#REF!,DATA!#REF!,1,FALSE),"")</f>
        <v/>
      </c>
      <c r="D4228" s="16" t="str">
        <f>IFERROR(VLOOKUP(C4228,DATA!#REF!,2,FALSE),"")</f>
        <v/>
      </c>
    </row>
    <row r="4229" spans="3:4" s="230" customFormat="1">
      <c r="C4229" s="16" t="str">
        <f>IFERROR(VLOOKUP(DATA!#REF!,DATA!#REF!,1,FALSE),"")</f>
        <v/>
      </c>
      <c r="D4229" s="16" t="str">
        <f>IFERROR(VLOOKUP(C4229,DATA!#REF!,2,FALSE),"")</f>
        <v/>
      </c>
    </row>
    <row r="4230" spans="3:4" s="230" customFormat="1">
      <c r="C4230" s="16" t="str">
        <f>IFERROR(VLOOKUP(DATA!#REF!,DATA!#REF!,1,FALSE),"")</f>
        <v/>
      </c>
      <c r="D4230" s="16" t="str">
        <f>IFERROR(VLOOKUP(C4230,DATA!#REF!,2,FALSE),"")</f>
        <v/>
      </c>
    </row>
    <row r="4231" spans="3:4" s="230" customFormat="1">
      <c r="C4231" s="16" t="str">
        <f>IFERROR(VLOOKUP(DATA!#REF!,DATA!#REF!,1,FALSE),"")</f>
        <v/>
      </c>
      <c r="D4231" s="16" t="str">
        <f>IFERROR(VLOOKUP(C4231,DATA!#REF!,2,FALSE),"")</f>
        <v/>
      </c>
    </row>
    <row r="4232" spans="3:4" s="230" customFormat="1">
      <c r="C4232" s="16" t="str">
        <f>IFERROR(VLOOKUP(DATA!#REF!,DATA!#REF!,1,FALSE),"")</f>
        <v/>
      </c>
      <c r="D4232" s="16" t="str">
        <f>IFERROR(VLOOKUP(C4232,DATA!#REF!,2,FALSE),"")</f>
        <v/>
      </c>
    </row>
    <row r="4233" spans="3:4" s="230" customFormat="1">
      <c r="C4233" s="16" t="str">
        <f>IFERROR(VLOOKUP(DATA!#REF!,DATA!#REF!,1,FALSE),"")</f>
        <v/>
      </c>
      <c r="D4233" s="16" t="str">
        <f>IFERROR(VLOOKUP(C4233,DATA!#REF!,2,FALSE),"")</f>
        <v/>
      </c>
    </row>
    <row r="4234" spans="3:4" s="230" customFormat="1">
      <c r="C4234" s="16" t="str">
        <f>IFERROR(VLOOKUP(DATA!#REF!,DATA!#REF!,1,FALSE),"")</f>
        <v/>
      </c>
      <c r="D4234" s="16" t="str">
        <f>IFERROR(VLOOKUP(C4234,DATA!#REF!,2,FALSE),"")</f>
        <v/>
      </c>
    </row>
    <row r="4235" spans="3:4" s="230" customFormat="1">
      <c r="C4235" s="16" t="str">
        <f>IFERROR(VLOOKUP(DATA!#REF!,DATA!#REF!,1,FALSE),"")</f>
        <v/>
      </c>
      <c r="D4235" s="16" t="str">
        <f>IFERROR(VLOOKUP(C4235,DATA!#REF!,2,FALSE),"")</f>
        <v/>
      </c>
    </row>
    <row r="4236" spans="3:4" s="230" customFormat="1">
      <c r="C4236" s="16" t="str">
        <f>IFERROR(VLOOKUP(DATA!#REF!,DATA!#REF!,1,FALSE),"")</f>
        <v/>
      </c>
      <c r="D4236" s="16" t="str">
        <f>IFERROR(VLOOKUP(C4236,DATA!#REF!,2,FALSE),"")</f>
        <v/>
      </c>
    </row>
    <row r="4237" spans="3:4" s="230" customFormat="1">
      <c r="C4237" s="16" t="str">
        <f>IFERROR(VLOOKUP(DATA!#REF!,DATA!#REF!,1,FALSE),"")</f>
        <v/>
      </c>
      <c r="D4237" s="16" t="str">
        <f>IFERROR(VLOOKUP(C4237,DATA!#REF!,2,FALSE),"")</f>
        <v/>
      </c>
    </row>
    <row r="4238" spans="3:4" s="230" customFormat="1">
      <c r="C4238" s="16" t="str">
        <f>IFERROR(VLOOKUP(DATA!#REF!,DATA!#REF!,1,FALSE),"")</f>
        <v/>
      </c>
      <c r="D4238" s="16" t="str">
        <f>IFERROR(VLOOKUP(C4238,DATA!#REF!,2,FALSE),"")</f>
        <v/>
      </c>
    </row>
    <row r="4239" spans="3:4" s="230" customFormat="1">
      <c r="C4239" s="16" t="str">
        <f>IFERROR(VLOOKUP(DATA!#REF!,DATA!#REF!,1,FALSE),"")</f>
        <v/>
      </c>
      <c r="D4239" s="16" t="str">
        <f>IFERROR(VLOOKUP(C4239,DATA!#REF!,2,FALSE),"")</f>
        <v/>
      </c>
    </row>
    <row r="4240" spans="3:4" s="230" customFormat="1">
      <c r="C4240" s="16" t="str">
        <f>IFERROR(VLOOKUP(DATA!#REF!,DATA!#REF!,1,FALSE),"")</f>
        <v/>
      </c>
      <c r="D4240" s="16" t="str">
        <f>IFERROR(VLOOKUP(C4240,DATA!#REF!,2,FALSE),"")</f>
        <v/>
      </c>
    </row>
    <row r="4241" spans="3:4" s="230" customFormat="1">
      <c r="C4241" s="16" t="str">
        <f>IFERROR(VLOOKUP(DATA!#REF!,DATA!#REF!,1,FALSE),"")</f>
        <v/>
      </c>
      <c r="D4241" s="16" t="str">
        <f>IFERROR(VLOOKUP(C4241,DATA!#REF!,2,FALSE),"")</f>
        <v/>
      </c>
    </row>
    <row r="4242" spans="3:4" s="230" customFormat="1">
      <c r="C4242" s="16" t="str">
        <f>IFERROR(VLOOKUP(DATA!#REF!,DATA!#REF!,1,FALSE),"")</f>
        <v/>
      </c>
      <c r="D4242" s="16" t="str">
        <f>IFERROR(VLOOKUP(C4242,DATA!#REF!,2,FALSE),"")</f>
        <v/>
      </c>
    </row>
    <row r="4243" spans="3:4" s="230" customFormat="1">
      <c r="C4243" s="16" t="str">
        <f>IFERROR(VLOOKUP(DATA!#REF!,DATA!#REF!,1,FALSE),"")</f>
        <v/>
      </c>
      <c r="D4243" s="16" t="str">
        <f>IFERROR(VLOOKUP(C4243,DATA!#REF!,2,FALSE),"")</f>
        <v/>
      </c>
    </row>
    <row r="4244" spans="3:4" s="230" customFormat="1">
      <c r="C4244" s="16" t="str">
        <f>IFERROR(VLOOKUP(DATA!#REF!,DATA!#REF!,1,FALSE),"")</f>
        <v/>
      </c>
      <c r="D4244" s="16" t="str">
        <f>IFERROR(VLOOKUP(C4244,DATA!#REF!,2,FALSE),"")</f>
        <v/>
      </c>
    </row>
    <row r="4245" spans="3:4" s="230" customFormat="1">
      <c r="C4245" s="16" t="str">
        <f>IFERROR(VLOOKUP(DATA!#REF!,DATA!#REF!,1,FALSE),"")</f>
        <v/>
      </c>
      <c r="D4245" s="16" t="str">
        <f>IFERROR(VLOOKUP(C4245,DATA!#REF!,2,FALSE),"")</f>
        <v/>
      </c>
    </row>
    <row r="4246" spans="3:4" s="230" customFormat="1">
      <c r="C4246" s="16" t="str">
        <f>IFERROR(VLOOKUP(DATA!#REF!,DATA!#REF!,1,FALSE),"")</f>
        <v/>
      </c>
      <c r="D4246" s="16" t="str">
        <f>IFERROR(VLOOKUP(C4246,DATA!#REF!,2,FALSE),"")</f>
        <v/>
      </c>
    </row>
    <row r="4247" spans="3:4" s="230" customFormat="1">
      <c r="C4247" s="16" t="str">
        <f>IFERROR(VLOOKUP(DATA!#REF!,DATA!#REF!,1,FALSE),"")</f>
        <v/>
      </c>
      <c r="D4247" s="16" t="str">
        <f>IFERROR(VLOOKUP(C4247,DATA!#REF!,2,FALSE),"")</f>
        <v/>
      </c>
    </row>
    <row r="4248" spans="3:4" s="230" customFormat="1">
      <c r="C4248" s="16" t="str">
        <f>IFERROR(VLOOKUP(DATA!#REF!,DATA!#REF!,1,FALSE),"")</f>
        <v/>
      </c>
      <c r="D4248" s="16" t="str">
        <f>IFERROR(VLOOKUP(C4248,DATA!#REF!,2,FALSE),"")</f>
        <v/>
      </c>
    </row>
    <row r="4249" spans="3:4" s="230" customFormat="1">
      <c r="C4249" s="16" t="str">
        <f>IFERROR(VLOOKUP(DATA!#REF!,DATA!#REF!,1,FALSE),"")</f>
        <v/>
      </c>
      <c r="D4249" s="16" t="str">
        <f>IFERROR(VLOOKUP(C4249,DATA!#REF!,2,FALSE),"")</f>
        <v/>
      </c>
    </row>
    <row r="4250" spans="3:4" s="230" customFormat="1">
      <c r="C4250" s="16" t="str">
        <f>IFERROR(VLOOKUP(DATA!#REF!,DATA!#REF!,1,FALSE),"")</f>
        <v/>
      </c>
      <c r="D4250" s="16" t="str">
        <f>IFERROR(VLOOKUP(C4250,DATA!#REF!,2,FALSE),"")</f>
        <v/>
      </c>
    </row>
    <row r="4251" spans="3:4" s="230" customFormat="1">
      <c r="C4251" s="16" t="str">
        <f>IFERROR(VLOOKUP(DATA!#REF!,DATA!#REF!,1,FALSE),"")</f>
        <v/>
      </c>
      <c r="D4251" s="16" t="str">
        <f>IFERROR(VLOOKUP(C4251,DATA!#REF!,2,FALSE),"")</f>
        <v/>
      </c>
    </row>
    <row r="4252" spans="3:4" s="230" customFormat="1">
      <c r="C4252" s="16" t="str">
        <f>IFERROR(VLOOKUP(DATA!#REF!,DATA!#REF!,1,FALSE),"")</f>
        <v/>
      </c>
      <c r="D4252" s="16" t="str">
        <f>IFERROR(VLOOKUP(C4252,DATA!#REF!,2,FALSE),"")</f>
        <v/>
      </c>
    </row>
    <row r="4253" spans="3:4" s="230" customFormat="1">
      <c r="C4253" s="16" t="str">
        <f>IFERROR(VLOOKUP(DATA!#REF!,DATA!#REF!,1,FALSE),"")</f>
        <v/>
      </c>
      <c r="D4253" s="16" t="str">
        <f>IFERROR(VLOOKUP(C4253,DATA!#REF!,2,FALSE),"")</f>
        <v/>
      </c>
    </row>
    <row r="4254" spans="3:4" s="230" customFormat="1">
      <c r="C4254" s="16" t="str">
        <f>IFERROR(VLOOKUP(DATA!#REF!,DATA!#REF!,1,FALSE),"")</f>
        <v/>
      </c>
      <c r="D4254" s="16" t="str">
        <f>IFERROR(VLOOKUP(C4254,DATA!#REF!,2,FALSE),"")</f>
        <v/>
      </c>
    </row>
    <row r="4255" spans="3:4" s="230" customFormat="1">
      <c r="C4255" s="16" t="str">
        <f>IFERROR(VLOOKUP(DATA!#REF!,DATA!#REF!,1,FALSE),"")</f>
        <v/>
      </c>
      <c r="D4255" s="16" t="str">
        <f>IFERROR(VLOOKUP(C4255,DATA!#REF!,2,FALSE),"")</f>
        <v/>
      </c>
    </row>
    <row r="4256" spans="3:4" s="230" customFormat="1">
      <c r="C4256" s="16" t="str">
        <f>IFERROR(VLOOKUP(DATA!#REF!,DATA!#REF!,1,FALSE),"")</f>
        <v/>
      </c>
      <c r="D4256" s="16" t="str">
        <f>IFERROR(VLOOKUP(C4256,DATA!#REF!,2,FALSE),"")</f>
        <v/>
      </c>
    </row>
    <row r="4257" spans="3:4" s="230" customFormat="1">
      <c r="C4257" s="16" t="str">
        <f>IFERROR(VLOOKUP(DATA!#REF!,DATA!#REF!,1,FALSE),"")</f>
        <v/>
      </c>
      <c r="D4257" s="16" t="str">
        <f>IFERROR(VLOOKUP(C4257,DATA!#REF!,2,FALSE),"")</f>
        <v/>
      </c>
    </row>
    <row r="4258" spans="3:4" s="230" customFormat="1">
      <c r="C4258" s="16" t="str">
        <f>IFERROR(VLOOKUP(DATA!#REF!,DATA!#REF!,1,FALSE),"")</f>
        <v/>
      </c>
      <c r="D4258" s="16" t="str">
        <f>IFERROR(VLOOKUP(C4258,DATA!#REF!,2,FALSE),"")</f>
        <v/>
      </c>
    </row>
    <row r="4259" spans="3:4" s="230" customFormat="1">
      <c r="C4259" s="16" t="str">
        <f>IFERROR(VLOOKUP(DATA!#REF!,DATA!#REF!,1,FALSE),"")</f>
        <v/>
      </c>
      <c r="D4259" s="16" t="str">
        <f>IFERROR(VLOOKUP(C4259,DATA!#REF!,2,FALSE),"")</f>
        <v/>
      </c>
    </row>
    <row r="4260" spans="3:4" s="230" customFormat="1">
      <c r="C4260" s="16" t="str">
        <f>IFERROR(VLOOKUP(DATA!#REF!,DATA!#REF!,1,FALSE),"")</f>
        <v/>
      </c>
      <c r="D4260" s="16" t="str">
        <f>IFERROR(VLOOKUP(C4260,DATA!#REF!,2,FALSE),"")</f>
        <v/>
      </c>
    </row>
    <row r="4261" spans="3:4" s="230" customFormat="1">
      <c r="C4261" s="16" t="str">
        <f>IFERROR(VLOOKUP(DATA!#REF!,DATA!#REF!,1,FALSE),"")</f>
        <v/>
      </c>
      <c r="D4261" s="16" t="str">
        <f>IFERROR(VLOOKUP(C4261,DATA!#REF!,2,FALSE),"")</f>
        <v/>
      </c>
    </row>
    <row r="4262" spans="3:4" s="230" customFormat="1">
      <c r="C4262" s="16" t="str">
        <f>IFERROR(VLOOKUP(DATA!#REF!,DATA!#REF!,1,FALSE),"")</f>
        <v/>
      </c>
      <c r="D4262" s="16" t="str">
        <f>IFERROR(VLOOKUP(C4262,DATA!#REF!,2,FALSE),"")</f>
        <v/>
      </c>
    </row>
    <row r="4263" spans="3:4" s="230" customFormat="1">
      <c r="C4263" s="16" t="str">
        <f>IFERROR(VLOOKUP(DATA!#REF!,DATA!#REF!,1,FALSE),"")</f>
        <v/>
      </c>
      <c r="D4263" s="16" t="str">
        <f>IFERROR(VLOOKUP(C4263,DATA!#REF!,2,FALSE),"")</f>
        <v/>
      </c>
    </row>
    <row r="4264" spans="3:4" s="230" customFormat="1">
      <c r="C4264" s="16" t="str">
        <f>IFERROR(VLOOKUP(DATA!#REF!,DATA!#REF!,1,FALSE),"")</f>
        <v/>
      </c>
      <c r="D4264" s="16" t="str">
        <f>IFERROR(VLOOKUP(C4264,DATA!#REF!,2,FALSE),"")</f>
        <v/>
      </c>
    </row>
    <row r="4265" spans="3:4" s="230" customFormat="1">
      <c r="C4265" s="16" t="str">
        <f>IFERROR(VLOOKUP(DATA!#REF!,DATA!#REF!,1,FALSE),"")</f>
        <v/>
      </c>
      <c r="D4265" s="16" t="str">
        <f>IFERROR(VLOOKUP(C4265,DATA!#REF!,2,FALSE),"")</f>
        <v/>
      </c>
    </row>
    <row r="4266" spans="3:4" s="230" customFormat="1">
      <c r="C4266" s="16" t="str">
        <f>IFERROR(VLOOKUP(DATA!#REF!,DATA!#REF!,1,FALSE),"")</f>
        <v/>
      </c>
      <c r="D4266" s="16" t="str">
        <f>IFERROR(VLOOKUP(C4266,DATA!#REF!,2,FALSE),"")</f>
        <v/>
      </c>
    </row>
    <row r="4267" spans="3:4" s="230" customFormat="1">
      <c r="C4267" s="16" t="str">
        <f>IFERROR(VLOOKUP(DATA!#REF!,DATA!#REF!,1,FALSE),"")</f>
        <v/>
      </c>
      <c r="D4267" s="16" t="str">
        <f>IFERROR(VLOOKUP(C4267,DATA!#REF!,2,FALSE),"")</f>
        <v/>
      </c>
    </row>
    <row r="4268" spans="3:4" s="230" customFormat="1">
      <c r="C4268" s="16" t="str">
        <f>IFERROR(VLOOKUP(DATA!#REF!,DATA!#REF!,1,FALSE),"")</f>
        <v/>
      </c>
      <c r="D4268" s="16" t="str">
        <f>IFERROR(VLOOKUP(C4268,DATA!#REF!,2,FALSE),"")</f>
        <v/>
      </c>
    </row>
    <row r="4269" spans="3:4" s="230" customFormat="1">
      <c r="C4269" s="16" t="str">
        <f>IFERROR(VLOOKUP(DATA!#REF!,DATA!#REF!,1,FALSE),"")</f>
        <v/>
      </c>
      <c r="D4269" s="16" t="str">
        <f>IFERROR(VLOOKUP(C4269,DATA!#REF!,2,FALSE),"")</f>
        <v/>
      </c>
    </row>
    <row r="4270" spans="3:4" s="230" customFormat="1">
      <c r="C4270" s="16" t="str">
        <f>IFERROR(VLOOKUP(DATA!#REF!,DATA!#REF!,1,FALSE),"")</f>
        <v/>
      </c>
      <c r="D4270" s="16" t="str">
        <f>IFERROR(VLOOKUP(C4270,DATA!#REF!,2,FALSE),"")</f>
        <v/>
      </c>
    </row>
    <row r="4271" spans="3:4" s="230" customFormat="1">
      <c r="C4271" s="16" t="str">
        <f>IFERROR(VLOOKUP(DATA!#REF!,DATA!#REF!,1,FALSE),"")</f>
        <v/>
      </c>
      <c r="D4271" s="16" t="str">
        <f>IFERROR(VLOOKUP(C4271,DATA!#REF!,2,FALSE),"")</f>
        <v/>
      </c>
    </row>
    <row r="4272" spans="3:4" s="230" customFormat="1">
      <c r="C4272" s="16" t="str">
        <f>IFERROR(VLOOKUP(DATA!#REF!,DATA!#REF!,1,FALSE),"")</f>
        <v/>
      </c>
      <c r="D4272" s="16" t="str">
        <f>IFERROR(VLOOKUP(C4272,DATA!#REF!,2,FALSE),"")</f>
        <v/>
      </c>
    </row>
    <row r="4273" spans="3:4" s="230" customFormat="1">
      <c r="C4273" s="16" t="str">
        <f>IFERROR(VLOOKUP(DATA!#REF!,DATA!#REF!,1,FALSE),"")</f>
        <v/>
      </c>
      <c r="D4273" s="16" t="str">
        <f>IFERROR(VLOOKUP(C4273,DATA!#REF!,2,FALSE),"")</f>
        <v/>
      </c>
    </row>
    <row r="4274" spans="3:4" s="230" customFormat="1">
      <c r="C4274" s="16" t="str">
        <f>IFERROR(VLOOKUP(DATA!#REF!,DATA!#REF!,1,FALSE),"")</f>
        <v/>
      </c>
      <c r="D4274" s="16" t="str">
        <f>IFERROR(VLOOKUP(C4274,DATA!#REF!,2,FALSE),"")</f>
        <v/>
      </c>
    </row>
    <row r="4275" spans="3:4" s="230" customFormat="1">
      <c r="C4275" s="16" t="str">
        <f>IFERROR(VLOOKUP(DATA!#REF!,DATA!#REF!,1,FALSE),"")</f>
        <v/>
      </c>
      <c r="D4275" s="16" t="str">
        <f>IFERROR(VLOOKUP(C4275,DATA!#REF!,2,FALSE),"")</f>
        <v/>
      </c>
    </row>
    <row r="4276" spans="3:4" s="230" customFormat="1">
      <c r="C4276" s="16" t="str">
        <f>IFERROR(VLOOKUP(DATA!#REF!,DATA!#REF!,1,FALSE),"")</f>
        <v/>
      </c>
      <c r="D4276" s="16" t="str">
        <f>IFERROR(VLOOKUP(C4276,DATA!#REF!,2,FALSE),"")</f>
        <v/>
      </c>
    </row>
    <row r="4277" spans="3:4" s="230" customFormat="1">
      <c r="C4277" s="16" t="str">
        <f>IFERROR(VLOOKUP(DATA!#REF!,DATA!#REF!,1,FALSE),"")</f>
        <v/>
      </c>
      <c r="D4277" s="16" t="str">
        <f>IFERROR(VLOOKUP(C4277,DATA!#REF!,2,FALSE),"")</f>
        <v/>
      </c>
    </row>
    <row r="4278" spans="3:4" s="230" customFormat="1">
      <c r="C4278" s="16" t="str">
        <f>IFERROR(VLOOKUP(DATA!#REF!,DATA!#REF!,1,FALSE),"")</f>
        <v/>
      </c>
      <c r="D4278" s="16" t="str">
        <f>IFERROR(VLOOKUP(C4278,DATA!#REF!,2,FALSE),"")</f>
        <v/>
      </c>
    </row>
    <row r="4279" spans="3:4" s="230" customFormat="1">
      <c r="C4279" s="16" t="str">
        <f>IFERROR(VLOOKUP(DATA!#REF!,DATA!#REF!,1,FALSE),"")</f>
        <v/>
      </c>
      <c r="D4279" s="16" t="str">
        <f>IFERROR(VLOOKUP(C4279,DATA!#REF!,2,FALSE),"")</f>
        <v/>
      </c>
    </row>
    <row r="4280" spans="3:4" s="230" customFormat="1">
      <c r="C4280" s="16" t="str">
        <f>IFERROR(VLOOKUP(DATA!#REF!,DATA!#REF!,1,FALSE),"")</f>
        <v/>
      </c>
      <c r="D4280" s="16" t="str">
        <f>IFERROR(VLOOKUP(C4280,DATA!#REF!,2,FALSE),"")</f>
        <v/>
      </c>
    </row>
    <row r="4281" spans="3:4" s="230" customFormat="1">
      <c r="C4281" s="16" t="str">
        <f>IFERROR(VLOOKUP(DATA!#REF!,DATA!#REF!,1,FALSE),"")</f>
        <v/>
      </c>
      <c r="D4281" s="16" t="str">
        <f>IFERROR(VLOOKUP(C4281,DATA!#REF!,2,FALSE),"")</f>
        <v/>
      </c>
    </row>
    <row r="4282" spans="3:4" s="230" customFormat="1">
      <c r="C4282" s="16" t="str">
        <f>IFERROR(VLOOKUP(DATA!#REF!,DATA!#REF!,1,FALSE),"")</f>
        <v/>
      </c>
      <c r="D4282" s="16" t="str">
        <f>IFERROR(VLOOKUP(C4282,DATA!#REF!,2,FALSE),"")</f>
        <v/>
      </c>
    </row>
    <row r="4283" spans="3:4" s="230" customFormat="1">
      <c r="C4283" s="16" t="str">
        <f>IFERROR(VLOOKUP(DATA!#REF!,DATA!#REF!,1,FALSE),"")</f>
        <v/>
      </c>
      <c r="D4283" s="16" t="str">
        <f>IFERROR(VLOOKUP(C4283,DATA!#REF!,2,FALSE),"")</f>
        <v/>
      </c>
    </row>
    <row r="4284" spans="3:4" s="230" customFormat="1">
      <c r="C4284" s="16" t="str">
        <f>IFERROR(VLOOKUP(DATA!#REF!,DATA!#REF!,1,FALSE),"")</f>
        <v/>
      </c>
      <c r="D4284" s="16" t="str">
        <f>IFERROR(VLOOKUP(C4284,DATA!#REF!,2,FALSE),"")</f>
        <v/>
      </c>
    </row>
    <row r="4285" spans="3:4" s="230" customFormat="1">
      <c r="C4285" s="16" t="str">
        <f>IFERROR(VLOOKUP(DATA!#REF!,DATA!#REF!,1,FALSE),"")</f>
        <v/>
      </c>
      <c r="D4285" s="16" t="str">
        <f>IFERROR(VLOOKUP(C4285,DATA!#REF!,2,FALSE),"")</f>
        <v/>
      </c>
    </row>
    <row r="4286" spans="3:4" s="230" customFormat="1">
      <c r="C4286" s="16" t="str">
        <f>IFERROR(VLOOKUP(DATA!#REF!,DATA!#REF!,1,FALSE),"")</f>
        <v/>
      </c>
      <c r="D4286" s="16" t="str">
        <f>IFERROR(VLOOKUP(C4286,DATA!#REF!,2,FALSE),"")</f>
        <v/>
      </c>
    </row>
    <row r="4287" spans="3:4" s="230" customFormat="1">
      <c r="C4287" s="16" t="str">
        <f>IFERROR(VLOOKUP(DATA!#REF!,DATA!#REF!,1,FALSE),"")</f>
        <v/>
      </c>
      <c r="D4287" s="16" t="str">
        <f>IFERROR(VLOOKUP(C4287,DATA!#REF!,2,FALSE),"")</f>
        <v/>
      </c>
    </row>
    <row r="4288" spans="3:4" s="230" customFormat="1">
      <c r="C4288" s="16" t="str">
        <f>IFERROR(VLOOKUP(DATA!#REF!,DATA!#REF!,1,FALSE),"")</f>
        <v/>
      </c>
      <c r="D4288" s="16" t="str">
        <f>IFERROR(VLOOKUP(C4288,DATA!#REF!,2,FALSE),"")</f>
        <v/>
      </c>
    </row>
    <row r="4289" spans="3:4" s="230" customFormat="1">
      <c r="C4289" s="16" t="str">
        <f>IFERROR(VLOOKUP(DATA!#REF!,DATA!#REF!,1,FALSE),"")</f>
        <v/>
      </c>
      <c r="D4289" s="16" t="str">
        <f>IFERROR(VLOOKUP(C4289,DATA!#REF!,2,FALSE),"")</f>
        <v/>
      </c>
    </row>
    <row r="4290" spans="3:4" s="230" customFormat="1">
      <c r="C4290" s="16" t="str">
        <f>IFERROR(VLOOKUP(DATA!#REF!,DATA!#REF!,1,FALSE),"")</f>
        <v/>
      </c>
      <c r="D4290" s="16" t="str">
        <f>IFERROR(VLOOKUP(C4290,DATA!#REF!,2,FALSE),"")</f>
        <v/>
      </c>
    </row>
    <row r="4291" spans="3:4" s="230" customFormat="1">
      <c r="C4291" s="16" t="str">
        <f>IFERROR(VLOOKUP(DATA!#REF!,DATA!#REF!,1,FALSE),"")</f>
        <v/>
      </c>
      <c r="D4291" s="16" t="str">
        <f>IFERROR(VLOOKUP(C4291,DATA!#REF!,2,FALSE),"")</f>
        <v/>
      </c>
    </row>
    <row r="4292" spans="3:4" s="230" customFormat="1">
      <c r="C4292" s="16" t="str">
        <f>IFERROR(VLOOKUP(DATA!#REF!,DATA!#REF!,1,FALSE),"")</f>
        <v/>
      </c>
      <c r="D4292" s="16" t="str">
        <f>IFERROR(VLOOKUP(C4292,DATA!#REF!,2,FALSE),"")</f>
        <v/>
      </c>
    </row>
    <row r="4293" spans="3:4" s="230" customFormat="1">
      <c r="C4293" s="16" t="str">
        <f>IFERROR(VLOOKUP(DATA!#REF!,DATA!#REF!,1,FALSE),"")</f>
        <v/>
      </c>
      <c r="D4293" s="16" t="str">
        <f>IFERROR(VLOOKUP(C4293,DATA!#REF!,2,FALSE),"")</f>
        <v/>
      </c>
    </row>
    <row r="4294" spans="3:4" s="230" customFormat="1">
      <c r="C4294" s="16" t="str">
        <f>IFERROR(VLOOKUP(DATA!#REF!,DATA!#REF!,1,FALSE),"")</f>
        <v/>
      </c>
      <c r="D4294" s="16" t="str">
        <f>IFERROR(VLOOKUP(C4294,DATA!#REF!,2,FALSE),"")</f>
        <v/>
      </c>
    </row>
    <row r="4295" spans="3:4" s="230" customFormat="1">
      <c r="C4295" s="16" t="str">
        <f>IFERROR(VLOOKUP(DATA!#REF!,DATA!#REF!,1,FALSE),"")</f>
        <v/>
      </c>
      <c r="D4295" s="16" t="str">
        <f>IFERROR(VLOOKUP(C4295,DATA!#REF!,2,FALSE),"")</f>
        <v/>
      </c>
    </row>
    <row r="4296" spans="3:4" s="230" customFormat="1">
      <c r="C4296" s="16" t="str">
        <f>IFERROR(VLOOKUP(DATA!#REF!,DATA!#REF!,1,FALSE),"")</f>
        <v/>
      </c>
      <c r="D4296" s="16" t="str">
        <f>IFERROR(VLOOKUP(C4296,DATA!#REF!,2,FALSE),"")</f>
        <v/>
      </c>
    </row>
    <row r="4297" spans="3:4" s="230" customFormat="1">
      <c r="C4297" s="16" t="str">
        <f>IFERROR(VLOOKUP(DATA!#REF!,DATA!#REF!,1,FALSE),"")</f>
        <v/>
      </c>
      <c r="D4297" s="16" t="str">
        <f>IFERROR(VLOOKUP(C4297,DATA!#REF!,2,FALSE),"")</f>
        <v/>
      </c>
    </row>
    <row r="4298" spans="3:4" s="230" customFormat="1">
      <c r="C4298" s="16" t="str">
        <f>IFERROR(VLOOKUP(DATA!#REF!,DATA!#REF!,1,FALSE),"")</f>
        <v/>
      </c>
      <c r="D4298" s="16" t="str">
        <f>IFERROR(VLOOKUP(C4298,DATA!#REF!,2,FALSE),"")</f>
        <v/>
      </c>
    </row>
    <row r="4299" spans="3:4" s="230" customFormat="1">
      <c r="C4299" s="16" t="str">
        <f>IFERROR(VLOOKUP(DATA!#REF!,DATA!#REF!,1,FALSE),"")</f>
        <v/>
      </c>
      <c r="D4299" s="16" t="str">
        <f>IFERROR(VLOOKUP(C4299,DATA!#REF!,2,FALSE),"")</f>
        <v/>
      </c>
    </row>
    <row r="4300" spans="3:4" s="230" customFormat="1">
      <c r="C4300" s="16" t="str">
        <f>IFERROR(VLOOKUP(DATA!#REF!,DATA!#REF!,1,FALSE),"")</f>
        <v/>
      </c>
      <c r="D4300" s="16" t="str">
        <f>IFERROR(VLOOKUP(C4300,DATA!#REF!,2,FALSE),"")</f>
        <v/>
      </c>
    </row>
    <row r="4301" spans="3:4" s="230" customFormat="1">
      <c r="C4301" s="16" t="str">
        <f>IFERROR(VLOOKUP(DATA!#REF!,DATA!#REF!,1,FALSE),"")</f>
        <v/>
      </c>
      <c r="D4301" s="16" t="str">
        <f>IFERROR(VLOOKUP(C4301,DATA!#REF!,2,FALSE),"")</f>
        <v/>
      </c>
    </row>
    <row r="4302" spans="3:4" s="230" customFormat="1">
      <c r="C4302" s="16" t="str">
        <f>IFERROR(VLOOKUP(DATA!#REF!,DATA!#REF!,1,FALSE),"")</f>
        <v/>
      </c>
      <c r="D4302" s="16" t="str">
        <f>IFERROR(VLOOKUP(C4302,DATA!#REF!,2,FALSE),"")</f>
        <v/>
      </c>
    </row>
    <row r="4303" spans="3:4" s="230" customFormat="1">
      <c r="C4303" s="16" t="str">
        <f>IFERROR(VLOOKUP(DATA!#REF!,DATA!#REF!,1,FALSE),"")</f>
        <v/>
      </c>
      <c r="D4303" s="16" t="str">
        <f>IFERROR(VLOOKUP(C4303,DATA!#REF!,2,FALSE),"")</f>
        <v/>
      </c>
    </row>
    <row r="4304" spans="3:4" s="230" customFormat="1">
      <c r="C4304" s="16" t="str">
        <f>IFERROR(VLOOKUP(DATA!#REF!,DATA!#REF!,1,FALSE),"")</f>
        <v/>
      </c>
      <c r="D4304" s="16" t="str">
        <f>IFERROR(VLOOKUP(C4304,DATA!#REF!,2,FALSE),"")</f>
        <v/>
      </c>
    </row>
    <row r="4305" spans="3:4" s="230" customFormat="1">
      <c r="C4305" s="16" t="str">
        <f>IFERROR(VLOOKUP(DATA!#REF!,DATA!#REF!,1,FALSE),"")</f>
        <v/>
      </c>
      <c r="D4305" s="16" t="str">
        <f>IFERROR(VLOOKUP(C4305,DATA!#REF!,2,FALSE),"")</f>
        <v/>
      </c>
    </row>
    <row r="4306" spans="3:4" s="230" customFormat="1">
      <c r="C4306" s="16" t="str">
        <f>IFERROR(VLOOKUP(DATA!#REF!,DATA!#REF!,1,FALSE),"")</f>
        <v/>
      </c>
      <c r="D4306" s="16" t="str">
        <f>IFERROR(VLOOKUP(C4306,DATA!#REF!,2,FALSE),"")</f>
        <v/>
      </c>
    </row>
    <row r="4307" spans="3:4" s="230" customFormat="1">
      <c r="C4307" s="16" t="str">
        <f>IFERROR(VLOOKUP(DATA!#REF!,DATA!#REF!,1,FALSE),"")</f>
        <v/>
      </c>
      <c r="D4307" s="16" t="str">
        <f>IFERROR(VLOOKUP(C4307,DATA!#REF!,2,FALSE),"")</f>
        <v/>
      </c>
    </row>
    <row r="4308" spans="3:4" s="230" customFormat="1">
      <c r="C4308" s="16" t="str">
        <f>IFERROR(VLOOKUP(DATA!#REF!,DATA!#REF!,1,FALSE),"")</f>
        <v/>
      </c>
      <c r="D4308" s="16" t="str">
        <f>IFERROR(VLOOKUP(C4308,DATA!#REF!,2,FALSE),"")</f>
        <v/>
      </c>
    </row>
    <row r="4309" spans="3:4" s="230" customFormat="1">
      <c r="C4309" s="16" t="str">
        <f>IFERROR(VLOOKUP(DATA!#REF!,DATA!#REF!,1,FALSE),"")</f>
        <v/>
      </c>
      <c r="D4309" s="16" t="str">
        <f>IFERROR(VLOOKUP(C4309,DATA!#REF!,2,FALSE),"")</f>
        <v/>
      </c>
    </row>
    <row r="4310" spans="3:4" s="230" customFormat="1">
      <c r="C4310" s="16" t="str">
        <f>IFERROR(VLOOKUP(DATA!#REF!,DATA!#REF!,1,FALSE),"")</f>
        <v/>
      </c>
      <c r="D4310" s="16" t="str">
        <f>IFERROR(VLOOKUP(C4310,DATA!#REF!,2,FALSE),"")</f>
        <v/>
      </c>
    </row>
    <row r="4311" spans="3:4" s="230" customFormat="1">
      <c r="C4311" s="16" t="str">
        <f>IFERROR(VLOOKUP(DATA!#REF!,DATA!#REF!,1,FALSE),"")</f>
        <v/>
      </c>
      <c r="D4311" s="16" t="str">
        <f>IFERROR(VLOOKUP(C4311,DATA!#REF!,2,FALSE),"")</f>
        <v/>
      </c>
    </row>
    <row r="4312" spans="3:4" s="230" customFormat="1">
      <c r="C4312" s="16" t="str">
        <f>IFERROR(VLOOKUP(DATA!#REF!,DATA!#REF!,1,FALSE),"")</f>
        <v/>
      </c>
      <c r="D4312" s="16" t="str">
        <f>IFERROR(VLOOKUP(C4312,DATA!#REF!,2,FALSE),"")</f>
        <v/>
      </c>
    </row>
    <row r="4313" spans="3:4" s="230" customFormat="1">
      <c r="C4313" s="16" t="str">
        <f>IFERROR(VLOOKUP(DATA!#REF!,DATA!#REF!,1,FALSE),"")</f>
        <v/>
      </c>
      <c r="D4313" s="16" t="str">
        <f>IFERROR(VLOOKUP(C4313,DATA!#REF!,2,FALSE),"")</f>
        <v/>
      </c>
    </row>
    <row r="4314" spans="3:4" s="230" customFormat="1">
      <c r="C4314" s="16" t="str">
        <f>IFERROR(VLOOKUP(DATA!#REF!,DATA!#REF!,1,FALSE),"")</f>
        <v/>
      </c>
      <c r="D4314" s="16" t="str">
        <f>IFERROR(VLOOKUP(C4314,DATA!#REF!,2,FALSE),"")</f>
        <v/>
      </c>
    </row>
    <row r="4315" spans="3:4" s="230" customFormat="1">
      <c r="C4315" s="16" t="str">
        <f>IFERROR(VLOOKUP(DATA!#REF!,DATA!#REF!,1,FALSE),"")</f>
        <v/>
      </c>
      <c r="D4315" s="16" t="str">
        <f>IFERROR(VLOOKUP(C4315,DATA!#REF!,2,FALSE),"")</f>
        <v/>
      </c>
    </row>
    <row r="4316" spans="3:4" s="230" customFormat="1">
      <c r="C4316" s="16" t="str">
        <f>IFERROR(VLOOKUP(DATA!#REF!,DATA!#REF!,1,FALSE),"")</f>
        <v/>
      </c>
      <c r="D4316" s="16" t="str">
        <f>IFERROR(VLOOKUP(C4316,DATA!#REF!,2,FALSE),"")</f>
        <v/>
      </c>
    </row>
    <row r="4317" spans="3:4" s="230" customFormat="1">
      <c r="C4317" s="16" t="str">
        <f>IFERROR(VLOOKUP(DATA!#REF!,DATA!#REF!,1,FALSE),"")</f>
        <v/>
      </c>
      <c r="D4317" s="16" t="str">
        <f>IFERROR(VLOOKUP(C4317,DATA!#REF!,2,FALSE),"")</f>
        <v/>
      </c>
    </row>
    <row r="4318" spans="3:4" s="230" customFormat="1">
      <c r="C4318" s="16" t="str">
        <f>IFERROR(VLOOKUP(DATA!#REF!,DATA!#REF!,1,FALSE),"")</f>
        <v/>
      </c>
      <c r="D4318" s="16" t="str">
        <f>IFERROR(VLOOKUP(C4318,DATA!#REF!,2,FALSE),"")</f>
        <v/>
      </c>
    </row>
    <row r="4319" spans="3:4" s="230" customFormat="1">
      <c r="C4319" s="16" t="str">
        <f>IFERROR(VLOOKUP(DATA!#REF!,DATA!#REF!,1,FALSE),"")</f>
        <v/>
      </c>
      <c r="D4319" s="16" t="str">
        <f>IFERROR(VLOOKUP(C4319,DATA!#REF!,2,FALSE),"")</f>
        <v/>
      </c>
    </row>
    <row r="4320" spans="3:4" s="230" customFormat="1">
      <c r="C4320" s="16" t="str">
        <f>IFERROR(VLOOKUP(DATA!#REF!,DATA!#REF!,1,FALSE),"")</f>
        <v/>
      </c>
      <c r="D4320" s="16" t="str">
        <f>IFERROR(VLOOKUP(C4320,DATA!#REF!,2,FALSE),"")</f>
        <v/>
      </c>
    </row>
    <row r="4321" spans="3:4" s="230" customFormat="1">
      <c r="C4321" s="16" t="str">
        <f>IFERROR(VLOOKUP(DATA!#REF!,DATA!#REF!,1,FALSE),"")</f>
        <v/>
      </c>
      <c r="D4321" s="16" t="str">
        <f>IFERROR(VLOOKUP(C4321,DATA!#REF!,2,FALSE),"")</f>
        <v/>
      </c>
    </row>
    <row r="4322" spans="3:4" s="230" customFormat="1">
      <c r="C4322" s="16" t="str">
        <f>IFERROR(VLOOKUP(DATA!#REF!,DATA!#REF!,1,FALSE),"")</f>
        <v/>
      </c>
      <c r="D4322" s="16" t="str">
        <f>IFERROR(VLOOKUP(C4322,DATA!#REF!,2,FALSE),"")</f>
        <v/>
      </c>
    </row>
    <row r="4323" spans="3:4" s="230" customFormat="1">
      <c r="C4323" s="16" t="str">
        <f>IFERROR(VLOOKUP(DATA!#REF!,DATA!#REF!,1,FALSE),"")</f>
        <v/>
      </c>
      <c r="D4323" s="16" t="str">
        <f>IFERROR(VLOOKUP(C4323,DATA!#REF!,2,FALSE),"")</f>
        <v/>
      </c>
    </row>
    <row r="4324" spans="3:4" s="230" customFormat="1">
      <c r="C4324" s="16" t="str">
        <f>IFERROR(VLOOKUP(DATA!#REF!,DATA!#REF!,1,FALSE),"")</f>
        <v/>
      </c>
      <c r="D4324" s="16" t="str">
        <f>IFERROR(VLOOKUP(C4324,DATA!#REF!,2,FALSE),"")</f>
        <v/>
      </c>
    </row>
    <row r="4325" spans="3:4" s="230" customFormat="1">
      <c r="C4325" s="16" t="str">
        <f>IFERROR(VLOOKUP(DATA!#REF!,DATA!#REF!,1,FALSE),"")</f>
        <v/>
      </c>
      <c r="D4325" s="16" t="str">
        <f>IFERROR(VLOOKUP(C4325,DATA!#REF!,2,FALSE),"")</f>
        <v/>
      </c>
    </row>
    <row r="4326" spans="3:4" s="230" customFormat="1">
      <c r="C4326" s="16" t="str">
        <f>IFERROR(VLOOKUP(DATA!#REF!,DATA!#REF!,1,FALSE),"")</f>
        <v/>
      </c>
      <c r="D4326" s="16" t="str">
        <f>IFERROR(VLOOKUP(C4326,DATA!#REF!,2,FALSE),"")</f>
        <v/>
      </c>
    </row>
    <row r="4327" spans="3:4" s="230" customFormat="1">
      <c r="C4327" s="16" t="str">
        <f>IFERROR(VLOOKUP(DATA!#REF!,DATA!#REF!,1,FALSE),"")</f>
        <v/>
      </c>
      <c r="D4327" s="16" t="str">
        <f>IFERROR(VLOOKUP(C4327,DATA!#REF!,2,FALSE),"")</f>
        <v/>
      </c>
    </row>
    <row r="4328" spans="3:4" s="230" customFormat="1">
      <c r="C4328" s="16" t="str">
        <f>IFERROR(VLOOKUP(DATA!#REF!,DATA!#REF!,1,FALSE),"")</f>
        <v/>
      </c>
      <c r="D4328" s="16" t="str">
        <f>IFERROR(VLOOKUP(C4328,DATA!#REF!,2,FALSE),"")</f>
        <v/>
      </c>
    </row>
    <row r="4329" spans="3:4" s="230" customFormat="1">
      <c r="C4329" s="16" t="str">
        <f>IFERROR(VLOOKUP(DATA!#REF!,DATA!#REF!,1,FALSE),"")</f>
        <v/>
      </c>
      <c r="D4329" s="16" t="str">
        <f>IFERROR(VLOOKUP(C4329,DATA!#REF!,2,FALSE),"")</f>
        <v/>
      </c>
    </row>
    <row r="4330" spans="3:4" s="230" customFormat="1">
      <c r="C4330" s="16" t="str">
        <f>IFERROR(VLOOKUP(DATA!#REF!,DATA!#REF!,1,FALSE),"")</f>
        <v/>
      </c>
      <c r="D4330" s="16" t="str">
        <f>IFERROR(VLOOKUP(C4330,DATA!#REF!,2,FALSE),"")</f>
        <v/>
      </c>
    </row>
    <row r="4331" spans="3:4" s="230" customFormat="1">
      <c r="C4331" s="16" t="str">
        <f>IFERROR(VLOOKUP(DATA!#REF!,DATA!#REF!,1,FALSE),"")</f>
        <v/>
      </c>
      <c r="D4331" s="16" t="str">
        <f>IFERROR(VLOOKUP(C4331,DATA!#REF!,2,FALSE),"")</f>
        <v/>
      </c>
    </row>
    <row r="4332" spans="3:4" s="230" customFormat="1">
      <c r="C4332" s="16" t="str">
        <f>IFERROR(VLOOKUP(DATA!#REF!,DATA!#REF!,1,FALSE),"")</f>
        <v/>
      </c>
      <c r="D4332" s="16" t="str">
        <f>IFERROR(VLOOKUP(C4332,DATA!#REF!,2,FALSE),"")</f>
        <v/>
      </c>
    </row>
    <row r="4333" spans="3:4" s="230" customFormat="1">
      <c r="C4333" s="16" t="str">
        <f>IFERROR(VLOOKUP(DATA!#REF!,DATA!#REF!,1,FALSE),"")</f>
        <v/>
      </c>
      <c r="D4333" s="16" t="str">
        <f>IFERROR(VLOOKUP(C4333,DATA!#REF!,2,FALSE),"")</f>
        <v/>
      </c>
    </row>
    <row r="4334" spans="3:4" s="230" customFormat="1">
      <c r="C4334" s="16" t="str">
        <f>IFERROR(VLOOKUP(DATA!#REF!,DATA!#REF!,1,FALSE),"")</f>
        <v/>
      </c>
      <c r="D4334" s="16" t="str">
        <f>IFERROR(VLOOKUP(C4334,DATA!#REF!,2,FALSE),"")</f>
        <v/>
      </c>
    </row>
    <row r="4335" spans="3:4" s="230" customFormat="1">
      <c r="C4335" s="16" t="str">
        <f>IFERROR(VLOOKUP(DATA!#REF!,DATA!#REF!,1,FALSE),"")</f>
        <v/>
      </c>
      <c r="D4335" s="16" t="str">
        <f>IFERROR(VLOOKUP(C4335,DATA!#REF!,2,FALSE),"")</f>
        <v/>
      </c>
    </row>
    <row r="4336" spans="3:4" s="230" customFormat="1">
      <c r="C4336" s="16" t="str">
        <f>IFERROR(VLOOKUP(DATA!#REF!,DATA!#REF!,1,FALSE),"")</f>
        <v/>
      </c>
      <c r="D4336" s="16" t="str">
        <f>IFERROR(VLOOKUP(C4336,DATA!#REF!,2,FALSE),"")</f>
        <v/>
      </c>
    </row>
    <row r="4337" spans="3:4" s="230" customFormat="1">
      <c r="C4337" s="16" t="str">
        <f>IFERROR(VLOOKUP(DATA!#REF!,DATA!#REF!,1,FALSE),"")</f>
        <v/>
      </c>
      <c r="D4337" s="16" t="str">
        <f>IFERROR(VLOOKUP(C4337,DATA!#REF!,2,FALSE),"")</f>
        <v/>
      </c>
    </row>
    <row r="4338" spans="3:4" s="230" customFormat="1">
      <c r="C4338" s="16" t="str">
        <f>IFERROR(VLOOKUP(DATA!#REF!,DATA!#REF!,1,FALSE),"")</f>
        <v/>
      </c>
      <c r="D4338" s="16" t="str">
        <f>IFERROR(VLOOKUP(C4338,DATA!#REF!,2,FALSE),"")</f>
        <v/>
      </c>
    </row>
    <row r="4339" spans="3:4" s="230" customFormat="1">
      <c r="C4339" s="16" t="str">
        <f>IFERROR(VLOOKUP(DATA!#REF!,DATA!#REF!,1,FALSE),"")</f>
        <v/>
      </c>
      <c r="D4339" s="16" t="str">
        <f>IFERROR(VLOOKUP(C4339,DATA!#REF!,2,FALSE),"")</f>
        <v/>
      </c>
    </row>
    <row r="4340" spans="3:4" s="230" customFormat="1">
      <c r="C4340" s="16" t="str">
        <f>IFERROR(VLOOKUP(DATA!#REF!,DATA!#REF!,1,FALSE),"")</f>
        <v/>
      </c>
      <c r="D4340" s="16" t="str">
        <f>IFERROR(VLOOKUP(C4340,DATA!#REF!,2,FALSE),"")</f>
        <v/>
      </c>
    </row>
    <row r="4341" spans="3:4" s="230" customFormat="1">
      <c r="C4341" s="16" t="str">
        <f>IFERROR(VLOOKUP(DATA!#REF!,DATA!#REF!,1,FALSE),"")</f>
        <v/>
      </c>
      <c r="D4341" s="16" t="str">
        <f>IFERROR(VLOOKUP(C4341,DATA!#REF!,2,FALSE),"")</f>
        <v/>
      </c>
    </row>
    <row r="4342" spans="3:4" s="230" customFormat="1">
      <c r="C4342" s="16" t="str">
        <f>IFERROR(VLOOKUP(DATA!#REF!,DATA!#REF!,1,FALSE),"")</f>
        <v/>
      </c>
      <c r="D4342" s="16" t="str">
        <f>IFERROR(VLOOKUP(C4342,DATA!#REF!,2,FALSE),"")</f>
        <v/>
      </c>
    </row>
    <row r="4343" spans="3:4" s="230" customFormat="1">
      <c r="C4343" s="16" t="str">
        <f>IFERROR(VLOOKUP(DATA!#REF!,DATA!#REF!,1,FALSE),"")</f>
        <v/>
      </c>
      <c r="D4343" s="16" t="str">
        <f>IFERROR(VLOOKUP(C4343,DATA!#REF!,2,FALSE),"")</f>
        <v/>
      </c>
    </row>
    <row r="4344" spans="3:4" s="230" customFormat="1">
      <c r="C4344" s="16" t="str">
        <f>IFERROR(VLOOKUP(DATA!#REF!,DATA!#REF!,1,FALSE),"")</f>
        <v/>
      </c>
      <c r="D4344" s="16" t="str">
        <f>IFERROR(VLOOKUP(C4344,DATA!#REF!,2,FALSE),"")</f>
        <v/>
      </c>
    </row>
    <row r="4345" spans="3:4" s="230" customFormat="1">
      <c r="C4345" s="16" t="str">
        <f>IFERROR(VLOOKUP(DATA!#REF!,DATA!#REF!,1,FALSE),"")</f>
        <v/>
      </c>
      <c r="D4345" s="16" t="str">
        <f>IFERROR(VLOOKUP(C4345,DATA!#REF!,2,FALSE),"")</f>
        <v/>
      </c>
    </row>
    <row r="4346" spans="3:4" s="230" customFormat="1">
      <c r="C4346" s="16" t="str">
        <f>IFERROR(VLOOKUP(DATA!#REF!,DATA!#REF!,1,FALSE),"")</f>
        <v/>
      </c>
      <c r="D4346" s="16" t="str">
        <f>IFERROR(VLOOKUP(C4346,DATA!#REF!,2,FALSE),"")</f>
        <v/>
      </c>
    </row>
    <row r="4347" spans="3:4" s="230" customFormat="1">
      <c r="C4347" s="16" t="str">
        <f>IFERROR(VLOOKUP(DATA!#REF!,DATA!#REF!,1,FALSE),"")</f>
        <v/>
      </c>
      <c r="D4347" s="16" t="str">
        <f>IFERROR(VLOOKUP(C4347,DATA!#REF!,2,FALSE),"")</f>
        <v/>
      </c>
    </row>
    <row r="4348" spans="3:4" s="230" customFormat="1">
      <c r="C4348" s="16" t="str">
        <f>IFERROR(VLOOKUP(DATA!#REF!,DATA!#REF!,1,FALSE),"")</f>
        <v/>
      </c>
      <c r="D4348" s="16" t="str">
        <f>IFERROR(VLOOKUP(C4348,DATA!#REF!,2,FALSE),"")</f>
        <v/>
      </c>
    </row>
    <row r="4349" spans="3:4" s="230" customFormat="1">
      <c r="C4349" s="16" t="str">
        <f>IFERROR(VLOOKUP(DATA!#REF!,DATA!#REF!,1,FALSE),"")</f>
        <v/>
      </c>
      <c r="D4349" s="16" t="str">
        <f>IFERROR(VLOOKUP(C4349,DATA!#REF!,2,FALSE),"")</f>
        <v/>
      </c>
    </row>
    <row r="4350" spans="3:4" s="230" customFormat="1">
      <c r="C4350" s="16" t="str">
        <f>IFERROR(VLOOKUP(DATA!#REF!,DATA!#REF!,1,FALSE),"")</f>
        <v/>
      </c>
      <c r="D4350" s="16" t="str">
        <f>IFERROR(VLOOKUP(C4350,DATA!#REF!,2,FALSE),"")</f>
        <v/>
      </c>
    </row>
    <row r="4351" spans="3:4" s="230" customFormat="1">
      <c r="C4351" s="16" t="str">
        <f>IFERROR(VLOOKUP(DATA!#REF!,DATA!#REF!,1,FALSE),"")</f>
        <v/>
      </c>
      <c r="D4351" s="16" t="str">
        <f>IFERROR(VLOOKUP(C4351,DATA!#REF!,2,FALSE),"")</f>
        <v/>
      </c>
    </row>
    <row r="4352" spans="3:4" s="230" customFormat="1">
      <c r="C4352" s="16" t="str">
        <f>IFERROR(VLOOKUP(DATA!#REF!,DATA!#REF!,1,FALSE),"")</f>
        <v/>
      </c>
      <c r="D4352" s="16" t="str">
        <f>IFERROR(VLOOKUP(C4352,DATA!#REF!,2,FALSE),"")</f>
        <v/>
      </c>
    </row>
    <row r="4353" spans="3:4" s="230" customFormat="1">
      <c r="C4353" s="16" t="str">
        <f>IFERROR(VLOOKUP(DATA!#REF!,DATA!#REF!,1,FALSE),"")</f>
        <v/>
      </c>
      <c r="D4353" s="16" t="str">
        <f>IFERROR(VLOOKUP(C4353,DATA!#REF!,2,FALSE),"")</f>
        <v/>
      </c>
    </row>
    <row r="4354" spans="3:4" s="230" customFormat="1">
      <c r="C4354" s="16" t="str">
        <f>IFERROR(VLOOKUP(DATA!#REF!,DATA!#REF!,1,FALSE),"")</f>
        <v/>
      </c>
      <c r="D4354" s="16" t="str">
        <f>IFERROR(VLOOKUP(C4354,DATA!#REF!,2,FALSE),"")</f>
        <v/>
      </c>
    </row>
    <row r="4355" spans="3:4" s="230" customFormat="1">
      <c r="C4355" s="16" t="str">
        <f>IFERROR(VLOOKUP(DATA!#REF!,DATA!#REF!,1,FALSE),"")</f>
        <v/>
      </c>
      <c r="D4355" s="16" t="str">
        <f>IFERROR(VLOOKUP(C4355,DATA!#REF!,2,FALSE),"")</f>
        <v/>
      </c>
    </row>
    <row r="4356" spans="3:4" s="230" customFormat="1">
      <c r="C4356" s="16" t="str">
        <f>IFERROR(VLOOKUP(DATA!#REF!,DATA!#REF!,1,FALSE),"")</f>
        <v/>
      </c>
      <c r="D4356" s="16" t="str">
        <f>IFERROR(VLOOKUP(C4356,DATA!#REF!,2,FALSE),"")</f>
        <v/>
      </c>
    </row>
    <row r="4357" spans="3:4" s="230" customFormat="1">
      <c r="C4357" s="16" t="str">
        <f>IFERROR(VLOOKUP(DATA!#REF!,DATA!#REF!,1,FALSE),"")</f>
        <v/>
      </c>
      <c r="D4357" s="16" t="str">
        <f>IFERROR(VLOOKUP(C4357,DATA!#REF!,2,FALSE),"")</f>
        <v/>
      </c>
    </row>
    <row r="4358" spans="3:4" s="230" customFormat="1">
      <c r="C4358" s="16" t="str">
        <f>IFERROR(VLOOKUP(DATA!#REF!,DATA!#REF!,1,FALSE),"")</f>
        <v/>
      </c>
      <c r="D4358" s="16" t="str">
        <f>IFERROR(VLOOKUP(C4358,DATA!#REF!,2,FALSE),"")</f>
        <v/>
      </c>
    </row>
    <row r="4359" spans="3:4" s="230" customFormat="1">
      <c r="C4359" s="16" t="str">
        <f>IFERROR(VLOOKUP(DATA!#REF!,DATA!#REF!,1,FALSE),"")</f>
        <v/>
      </c>
      <c r="D4359" s="16" t="str">
        <f>IFERROR(VLOOKUP(C4359,DATA!#REF!,2,FALSE),"")</f>
        <v/>
      </c>
    </row>
    <row r="4360" spans="3:4" s="230" customFormat="1">
      <c r="C4360" s="16" t="str">
        <f>IFERROR(VLOOKUP(DATA!#REF!,DATA!#REF!,1,FALSE),"")</f>
        <v/>
      </c>
      <c r="D4360" s="16" t="str">
        <f>IFERROR(VLOOKUP(C4360,DATA!#REF!,2,FALSE),"")</f>
        <v/>
      </c>
    </row>
    <row r="4361" spans="3:4" s="230" customFormat="1">
      <c r="C4361" s="16" t="str">
        <f>IFERROR(VLOOKUP(DATA!#REF!,DATA!#REF!,1,FALSE),"")</f>
        <v/>
      </c>
      <c r="D4361" s="16" t="str">
        <f>IFERROR(VLOOKUP(C4361,DATA!#REF!,2,FALSE),"")</f>
        <v/>
      </c>
    </row>
    <row r="4362" spans="3:4" s="230" customFormat="1">
      <c r="C4362" s="16" t="str">
        <f>IFERROR(VLOOKUP(DATA!#REF!,DATA!#REF!,1,FALSE),"")</f>
        <v/>
      </c>
      <c r="D4362" s="16" t="str">
        <f>IFERROR(VLOOKUP(C4362,DATA!#REF!,2,FALSE),"")</f>
        <v/>
      </c>
    </row>
    <row r="4363" spans="3:4" s="230" customFormat="1">
      <c r="C4363" s="16" t="str">
        <f>IFERROR(VLOOKUP(DATA!#REF!,DATA!#REF!,1,FALSE),"")</f>
        <v/>
      </c>
      <c r="D4363" s="16" t="str">
        <f>IFERROR(VLOOKUP(C4363,DATA!#REF!,2,FALSE),"")</f>
        <v/>
      </c>
    </row>
    <row r="4364" spans="3:4" s="230" customFormat="1">
      <c r="C4364" s="16" t="str">
        <f>IFERROR(VLOOKUP(DATA!#REF!,DATA!#REF!,1,FALSE),"")</f>
        <v/>
      </c>
      <c r="D4364" s="16" t="str">
        <f>IFERROR(VLOOKUP(C4364,DATA!#REF!,2,FALSE),"")</f>
        <v/>
      </c>
    </row>
    <row r="4365" spans="3:4" s="230" customFormat="1">
      <c r="C4365" s="16" t="str">
        <f>IFERROR(VLOOKUP(DATA!#REF!,DATA!#REF!,1,FALSE),"")</f>
        <v/>
      </c>
      <c r="D4365" s="16" t="str">
        <f>IFERROR(VLOOKUP(C4365,DATA!#REF!,2,FALSE),"")</f>
        <v/>
      </c>
    </row>
    <row r="4366" spans="3:4" s="230" customFormat="1">
      <c r="C4366" s="16" t="str">
        <f>IFERROR(VLOOKUP(DATA!#REF!,DATA!#REF!,1,FALSE),"")</f>
        <v/>
      </c>
      <c r="D4366" s="16" t="str">
        <f>IFERROR(VLOOKUP(C4366,DATA!#REF!,2,FALSE),"")</f>
        <v/>
      </c>
    </row>
    <row r="4367" spans="3:4" s="230" customFormat="1">
      <c r="C4367" s="16" t="str">
        <f>IFERROR(VLOOKUP(DATA!#REF!,DATA!#REF!,1,FALSE),"")</f>
        <v/>
      </c>
      <c r="D4367" s="16" t="str">
        <f>IFERROR(VLOOKUP(C4367,DATA!#REF!,2,FALSE),"")</f>
        <v/>
      </c>
    </row>
    <row r="4368" spans="3:4" s="230" customFormat="1">
      <c r="C4368" s="16" t="str">
        <f>IFERROR(VLOOKUP(DATA!#REF!,DATA!#REF!,1,FALSE),"")</f>
        <v/>
      </c>
      <c r="D4368" s="16" t="str">
        <f>IFERROR(VLOOKUP(C4368,DATA!#REF!,2,FALSE),"")</f>
        <v/>
      </c>
    </row>
    <row r="4369" spans="3:4" s="230" customFormat="1">
      <c r="C4369" s="16" t="str">
        <f>IFERROR(VLOOKUP(DATA!#REF!,DATA!#REF!,1,FALSE),"")</f>
        <v/>
      </c>
      <c r="D4369" s="16" t="str">
        <f>IFERROR(VLOOKUP(C4369,DATA!#REF!,2,FALSE),"")</f>
        <v/>
      </c>
    </row>
    <row r="4370" spans="3:4" s="230" customFormat="1">
      <c r="C4370" s="16" t="str">
        <f>IFERROR(VLOOKUP(DATA!#REF!,DATA!#REF!,1,FALSE),"")</f>
        <v/>
      </c>
      <c r="D4370" s="16" t="str">
        <f>IFERROR(VLOOKUP(C4370,DATA!#REF!,2,FALSE),"")</f>
        <v/>
      </c>
    </row>
    <row r="4371" spans="3:4" s="230" customFormat="1">
      <c r="C4371" s="16" t="str">
        <f>IFERROR(VLOOKUP(DATA!#REF!,DATA!#REF!,1,FALSE),"")</f>
        <v/>
      </c>
      <c r="D4371" s="16" t="str">
        <f>IFERROR(VLOOKUP(C4371,DATA!#REF!,2,FALSE),"")</f>
        <v/>
      </c>
    </row>
    <row r="4372" spans="3:4" s="230" customFormat="1">
      <c r="C4372" s="16" t="str">
        <f>IFERROR(VLOOKUP(DATA!#REF!,DATA!#REF!,1,FALSE),"")</f>
        <v/>
      </c>
      <c r="D4372" s="16" t="str">
        <f>IFERROR(VLOOKUP(C4372,DATA!#REF!,2,FALSE),"")</f>
        <v/>
      </c>
    </row>
    <row r="4373" spans="3:4" s="230" customFormat="1">
      <c r="C4373" s="16" t="str">
        <f>IFERROR(VLOOKUP(DATA!#REF!,DATA!#REF!,1,FALSE),"")</f>
        <v/>
      </c>
      <c r="D4373" s="16" t="str">
        <f>IFERROR(VLOOKUP(C4373,DATA!#REF!,2,FALSE),"")</f>
        <v/>
      </c>
    </row>
    <row r="4374" spans="3:4" s="230" customFormat="1">
      <c r="C4374" s="16" t="str">
        <f>IFERROR(VLOOKUP(DATA!#REF!,DATA!#REF!,1,FALSE),"")</f>
        <v/>
      </c>
      <c r="D4374" s="16" t="str">
        <f>IFERROR(VLOOKUP(C4374,DATA!#REF!,2,FALSE),"")</f>
        <v/>
      </c>
    </row>
    <row r="4375" spans="3:4" s="230" customFormat="1">
      <c r="C4375" s="16" t="str">
        <f>IFERROR(VLOOKUP(DATA!#REF!,DATA!#REF!,1,FALSE),"")</f>
        <v/>
      </c>
      <c r="D4375" s="16" t="str">
        <f>IFERROR(VLOOKUP(C4375,DATA!#REF!,2,FALSE),"")</f>
        <v/>
      </c>
    </row>
    <row r="4376" spans="3:4" s="230" customFormat="1">
      <c r="C4376" s="16" t="str">
        <f>IFERROR(VLOOKUP(DATA!#REF!,DATA!#REF!,1,FALSE),"")</f>
        <v/>
      </c>
      <c r="D4376" s="16" t="str">
        <f>IFERROR(VLOOKUP(C4376,DATA!#REF!,2,FALSE),"")</f>
        <v/>
      </c>
    </row>
    <row r="4377" spans="3:4" s="230" customFormat="1">
      <c r="C4377" s="16" t="str">
        <f>IFERROR(VLOOKUP(DATA!#REF!,DATA!#REF!,1,FALSE),"")</f>
        <v/>
      </c>
      <c r="D4377" s="16" t="str">
        <f>IFERROR(VLOOKUP(C4377,DATA!#REF!,2,FALSE),"")</f>
        <v/>
      </c>
    </row>
    <row r="4378" spans="3:4" s="230" customFormat="1">
      <c r="C4378" s="16" t="str">
        <f>IFERROR(VLOOKUP(DATA!#REF!,DATA!#REF!,1,FALSE),"")</f>
        <v/>
      </c>
      <c r="D4378" s="16" t="str">
        <f>IFERROR(VLOOKUP(C4378,DATA!#REF!,2,FALSE),"")</f>
        <v/>
      </c>
    </row>
    <row r="4379" spans="3:4" s="230" customFormat="1">
      <c r="C4379" s="16" t="str">
        <f>IFERROR(VLOOKUP(DATA!#REF!,DATA!#REF!,1,FALSE),"")</f>
        <v/>
      </c>
      <c r="D4379" s="16" t="str">
        <f>IFERROR(VLOOKUP(C4379,DATA!#REF!,2,FALSE),"")</f>
        <v/>
      </c>
    </row>
    <row r="4380" spans="3:4" s="230" customFormat="1">
      <c r="C4380" s="16" t="str">
        <f>IFERROR(VLOOKUP(DATA!#REF!,DATA!#REF!,1,FALSE),"")</f>
        <v/>
      </c>
      <c r="D4380" s="16" t="str">
        <f>IFERROR(VLOOKUP(C4380,DATA!#REF!,2,FALSE),"")</f>
        <v/>
      </c>
    </row>
    <row r="4381" spans="3:4" s="230" customFormat="1">
      <c r="C4381" s="16" t="str">
        <f>IFERROR(VLOOKUP(DATA!#REF!,DATA!#REF!,1,FALSE),"")</f>
        <v/>
      </c>
      <c r="D4381" s="16" t="str">
        <f>IFERROR(VLOOKUP(C4381,DATA!#REF!,2,FALSE),"")</f>
        <v/>
      </c>
    </row>
    <row r="4382" spans="3:4" s="230" customFormat="1">
      <c r="C4382" s="16" t="str">
        <f>IFERROR(VLOOKUP(DATA!#REF!,DATA!#REF!,1,FALSE),"")</f>
        <v/>
      </c>
      <c r="D4382" s="16" t="str">
        <f>IFERROR(VLOOKUP(C4382,DATA!#REF!,2,FALSE),"")</f>
        <v/>
      </c>
    </row>
    <row r="4383" spans="3:4" s="230" customFormat="1">
      <c r="C4383" s="16" t="str">
        <f>IFERROR(VLOOKUP(DATA!#REF!,DATA!#REF!,1,FALSE),"")</f>
        <v/>
      </c>
      <c r="D4383" s="16" t="str">
        <f>IFERROR(VLOOKUP(C4383,DATA!#REF!,2,FALSE),"")</f>
        <v/>
      </c>
    </row>
    <row r="4384" spans="3:4" s="230" customFormat="1">
      <c r="C4384" s="16" t="str">
        <f>IFERROR(VLOOKUP(DATA!#REF!,DATA!#REF!,1,FALSE),"")</f>
        <v/>
      </c>
      <c r="D4384" s="16" t="str">
        <f>IFERROR(VLOOKUP(C4384,DATA!#REF!,2,FALSE),"")</f>
        <v/>
      </c>
    </row>
    <row r="4385" spans="3:4" s="230" customFormat="1">
      <c r="C4385" s="16" t="str">
        <f>IFERROR(VLOOKUP(DATA!#REF!,DATA!#REF!,1,FALSE),"")</f>
        <v/>
      </c>
      <c r="D4385" s="16" t="str">
        <f>IFERROR(VLOOKUP(C4385,DATA!#REF!,2,FALSE),"")</f>
        <v/>
      </c>
    </row>
    <row r="4386" spans="3:4" s="230" customFormat="1">
      <c r="C4386" s="16" t="str">
        <f>IFERROR(VLOOKUP(DATA!#REF!,DATA!#REF!,1,FALSE),"")</f>
        <v/>
      </c>
      <c r="D4386" s="16" t="str">
        <f>IFERROR(VLOOKUP(C4386,DATA!#REF!,2,FALSE),"")</f>
        <v/>
      </c>
    </row>
    <row r="4387" spans="3:4" s="230" customFormat="1">
      <c r="C4387" s="16" t="str">
        <f>IFERROR(VLOOKUP(DATA!#REF!,DATA!#REF!,1,FALSE),"")</f>
        <v/>
      </c>
      <c r="D4387" s="16" t="str">
        <f>IFERROR(VLOOKUP(C4387,DATA!#REF!,2,FALSE),"")</f>
        <v/>
      </c>
    </row>
    <row r="4388" spans="3:4" s="230" customFormat="1">
      <c r="C4388" s="16" t="str">
        <f>IFERROR(VLOOKUP(DATA!#REF!,DATA!#REF!,1,FALSE),"")</f>
        <v/>
      </c>
      <c r="D4388" s="16" t="str">
        <f>IFERROR(VLOOKUP(C4388,DATA!#REF!,2,FALSE),"")</f>
        <v/>
      </c>
    </row>
    <row r="4389" spans="3:4" s="230" customFormat="1">
      <c r="C4389" s="16" t="str">
        <f>IFERROR(VLOOKUP(DATA!#REF!,DATA!#REF!,1,FALSE),"")</f>
        <v/>
      </c>
      <c r="D4389" s="16" t="str">
        <f>IFERROR(VLOOKUP(C4389,DATA!#REF!,2,FALSE),"")</f>
        <v/>
      </c>
    </row>
    <row r="4390" spans="3:4" s="230" customFormat="1">
      <c r="C4390" s="16" t="str">
        <f>IFERROR(VLOOKUP(DATA!#REF!,DATA!#REF!,1,FALSE),"")</f>
        <v/>
      </c>
      <c r="D4390" s="16" t="str">
        <f>IFERROR(VLOOKUP(C4390,DATA!#REF!,2,FALSE),"")</f>
        <v/>
      </c>
    </row>
    <row r="4391" spans="3:4" s="230" customFormat="1">
      <c r="C4391" s="16" t="str">
        <f>IFERROR(VLOOKUP(DATA!#REF!,DATA!#REF!,1,FALSE),"")</f>
        <v/>
      </c>
      <c r="D4391" s="16" t="str">
        <f>IFERROR(VLOOKUP(C4391,DATA!#REF!,2,FALSE),"")</f>
        <v/>
      </c>
    </row>
    <row r="4392" spans="3:4" s="230" customFormat="1">
      <c r="C4392" s="16" t="str">
        <f>IFERROR(VLOOKUP(DATA!#REF!,DATA!#REF!,1,FALSE),"")</f>
        <v/>
      </c>
      <c r="D4392" s="16" t="str">
        <f>IFERROR(VLOOKUP(C4392,DATA!#REF!,2,FALSE),"")</f>
        <v/>
      </c>
    </row>
    <row r="4393" spans="3:4" s="230" customFormat="1">
      <c r="C4393" s="16" t="str">
        <f>IFERROR(VLOOKUP(DATA!#REF!,DATA!#REF!,1,FALSE),"")</f>
        <v/>
      </c>
      <c r="D4393" s="16" t="str">
        <f>IFERROR(VLOOKUP(C4393,DATA!#REF!,2,FALSE),"")</f>
        <v/>
      </c>
    </row>
    <row r="4394" spans="3:4" s="230" customFormat="1">
      <c r="C4394" s="16" t="str">
        <f>IFERROR(VLOOKUP(DATA!#REF!,DATA!#REF!,1,FALSE),"")</f>
        <v/>
      </c>
      <c r="D4394" s="16" t="str">
        <f>IFERROR(VLOOKUP(C4394,DATA!#REF!,2,FALSE),"")</f>
        <v/>
      </c>
    </row>
    <row r="4395" spans="3:4" s="230" customFormat="1">
      <c r="C4395" s="16" t="str">
        <f>IFERROR(VLOOKUP(DATA!#REF!,DATA!#REF!,1,FALSE),"")</f>
        <v/>
      </c>
      <c r="D4395" s="16" t="str">
        <f>IFERROR(VLOOKUP(C4395,DATA!#REF!,2,FALSE),"")</f>
        <v/>
      </c>
    </row>
    <row r="4396" spans="3:4" s="230" customFormat="1">
      <c r="C4396" s="16" t="str">
        <f>IFERROR(VLOOKUP(DATA!#REF!,DATA!#REF!,1,FALSE),"")</f>
        <v/>
      </c>
      <c r="D4396" s="16" t="str">
        <f>IFERROR(VLOOKUP(C4396,DATA!#REF!,2,FALSE),"")</f>
        <v/>
      </c>
    </row>
    <row r="4397" spans="3:4" s="230" customFormat="1">
      <c r="C4397" s="16" t="str">
        <f>IFERROR(VLOOKUP(DATA!#REF!,DATA!#REF!,1,FALSE),"")</f>
        <v/>
      </c>
      <c r="D4397" s="16" t="str">
        <f>IFERROR(VLOOKUP(C4397,DATA!#REF!,2,FALSE),"")</f>
        <v/>
      </c>
    </row>
    <row r="4398" spans="3:4" s="230" customFormat="1">
      <c r="C4398" s="16" t="str">
        <f>IFERROR(VLOOKUP(DATA!#REF!,DATA!#REF!,1,FALSE),"")</f>
        <v/>
      </c>
      <c r="D4398" s="16" t="str">
        <f>IFERROR(VLOOKUP(C4398,DATA!#REF!,2,FALSE),"")</f>
        <v/>
      </c>
    </row>
    <row r="4399" spans="3:4" s="230" customFormat="1">
      <c r="C4399" s="16" t="str">
        <f>IFERROR(VLOOKUP(DATA!#REF!,DATA!#REF!,1,FALSE),"")</f>
        <v/>
      </c>
      <c r="D4399" s="16" t="str">
        <f>IFERROR(VLOOKUP(C4399,DATA!#REF!,2,FALSE),"")</f>
        <v/>
      </c>
    </row>
    <row r="4400" spans="3:4" s="230" customFormat="1">
      <c r="C4400" s="16" t="str">
        <f>IFERROR(VLOOKUP(DATA!#REF!,DATA!#REF!,1,FALSE),"")</f>
        <v/>
      </c>
      <c r="D4400" s="16" t="str">
        <f>IFERROR(VLOOKUP(C4400,DATA!#REF!,2,FALSE),"")</f>
        <v/>
      </c>
    </row>
    <row r="4401" spans="3:4" s="230" customFormat="1">
      <c r="C4401" s="16" t="str">
        <f>IFERROR(VLOOKUP(DATA!#REF!,DATA!#REF!,1,FALSE),"")</f>
        <v/>
      </c>
      <c r="D4401" s="16" t="str">
        <f>IFERROR(VLOOKUP(C4401,DATA!#REF!,2,FALSE),"")</f>
        <v/>
      </c>
    </row>
    <row r="4402" spans="3:4" s="230" customFormat="1">
      <c r="C4402" s="16" t="str">
        <f>IFERROR(VLOOKUP(DATA!#REF!,DATA!#REF!,1,FALSE),"")</f>
        <v/>
      </c>
      <c r="D4402" s="16" t="str">
        <f>IFERROR(VLOOKUP(C4402,DATA!#REF!,2,FALSE),"")</f>
        <v/>
      </c>
    </row>
    <row r="4403" spans="3:4" s="230" customFormat="1">
      <c r="C4403" s="16" t="str">
        <f>IFERROR(VLOOKUP(DATA!#REF!,DATA!#REF!,1,FALSE),"")</f>
        <v/>
      </c>
      <c r="D4403" s="16" t="str">
        <f>IFERROR(VLOOKUP(C4403,DATA!#REF!,2,FALSE),"")</f>
        <v/>
      </c>
    </row>
    <row r="4404" spans="3:4" s="230" customFormat="1">
      <c r="C4404" s="16" t="str">
        <f>IFERROR(VLOOKUP(DATA!#REF!,DATA!#REF!,1,FALSE),"")</f>
        <v/>
      </c>
      <c r="D4404" s="16" t="str">
        <f>IFERROR(VLOOKUP(C4404,DATA!#REF!,2,FALSE),"")</f>
        <v/>
      </c>
    </row>
    <row r="4405" spans="3:4" s="230" customFormat="1">
      <c r="C4405" s="16" t="str">
        <f>IFERROR(VLOOKUP(DATA!#REF!,DATA!#REF!,1,FALSE),"")</f>
        <v/>
      </c>
      <c r="D4405" s="16" t="str">
        <f>IFERROR(VLOOKUP(C4405,DATA!#REF!,2,FALSE),"")</f>
        <v/>
      </c>
    </row>
    <row r="4406" spans="3:4" s="230" customFormat="1">
      <c r="C4406" s="16" t="str">
        <f>IFERROR(VLOOKUP(DATA!#REF!,DATA!#REF!,1,FALSE),"")</f>
        <v/>
      </c>
      <c r="D4406" s="16" t="str">
        <f>IFERROR(VLOOKUP(C4406,DATA!#REF!,2,FALSE),"")</f>
        <v/>
      </c>
    </row>
    <row r="4407" spans="3:4" s="230" customFormat="1">
      <c r="C4407" s="16" t="str">
        <f>IFERROR(VLOOKUP(DATA!#REF!,DATA!#REF!,1,FALSE),"")</f>
        <v/>
      </c>
      <c r="D4407" s="16" t="str">
        <f>IFERROR(VLOOKUP(C4407,DATA!#REF!,2,FALSE),"")</f>
        <v/>
      </c>
    </row>
    <row r="4408" spans="3:4" s="230" customFormat="1">
      <c r="C4408" s="16" t="str">
        <f>IFERROR(VLOOKUP(DATA!#REF!,DATA!#REF!,1,FALSE),"")</f>
        <v/>
      </c>
      <c r="D4408" s="16" t="str">
        <f>IFERROR(VLOOKUP(C4408,DATA!#REF!,2,FALSE),"")</f>
        <v/>
      </c>
    </row>
    <row r="4409" spans="3:4" s="230" customFormat="1">
      <c r="C4409" s="16" t="str">
        <f>IFERROR(VLOOKUP(DATA!#REF!,DATA!#REF!,1,FALSE),"")</f>
        <v/>
      </c>
      <c r="D4409" s="16" t="str">
        <f>IFERROR(VLOOKUP(C4409,DATA!#REF!,2,FALSE),"")</f>
        <v/>
      </c>
    </row>
    <row r="4410" spans="3:4" s="230" customFormat="1">
      <c r="C4410" s="16" t="str">
        <f>IFERROR(VLOOKUP(DATA!#REF!,DATA!#REF!,1,FALSE),"")</f>
        <v/>
      </c>
      <c r="D4410" s="16" t="str">
        <f>IFERROR(VLOOKUP(C4410,DATA!#REF!,2,FALSE),"")</f>
        <v/>
      </c>
    </row>
    <row r="4411" spans="3:4" s="230" customFormat="1">
      <c r="C4411" s="16" t="str">
        <f>IFERROR(VLOOKUP(DATA!#REF!,DATA!#REF!,1,FALSE),"")</f>
        <v/>
      </c>
      <c r="D4411" s="16" t="str">
        <f>IFERROR(VLOOKUP(C4411,DATA!#REF!,2,FALSE),"")</f>
        <v/>
      </c>
    </row>
    <row r="4412" spans="3:4" s="230" customFormat="1">
      <c r="C4412" s="16" t="str">
        <f>IFERROR(VLOOKUP(DATA!#REF!,DATA!#REF!,1,FALSE),"")</f>
        <v/>
      </c>
      <c r="D4412" s="16" t="str">
        <f>IFERROR(VLOOKUP(C4412,DATA!#REF!,2,FALSE),"")</f>
        <v/>
      </c>
    </row>
    <row r="4413" spans="3:4" s="230" customFormat="1">
      <c r="C4413" s="16" t="str">
        <f>IFERROR(VLOOKUP(DATA!#REF!,DATA!#REF!,1,FALSE),"")</f>
        <v/>
      </c>
      <c r="D4413" s="16" t="str">
        <f>IFERROR(VLOOKUP(C4413,DATA!#REF!,2,FALSE),"")</f>
        <v/>
      </c>
    </row>
    <row r="4414" spans="3:4" s="230" customFormat="1">
      <c r="C4414" s="16" t="str">
        <f>IFERROR(VLOOKUP(DATA!#REF!,DATA!#REF!,1,FALSE),"")</f>
        <v/>
      </c>
      <c r="D4414" s="16" t="str">
        <f>IFERROR(VLOOKUP(C4414,DATA!#REF!,2,FALSE),"")</f>
        <v/>
      </c>
    </row>
    <row r="4415" spans="3:4" s="230" customFormat="1">
      <c r="C4415" s="16" t="str">
        <f>IFERROR(VLOOKUP(DATA!#REF!,DATA!#REF!,1,FALSE),"")</f>
        <v/>
      </c>
      <c r="D4415" s="16" t="str">
        <f>IFERROR(VLOOKUP(C4415,DATA!#REF!,2,FALSE),"")</f>
        <v/>
      </c>
    </row>
    <row r="4416" spans="3:4" s="230" customFormat="1">
      <c r="C4416" s="16" t="str">
        <f>IFERROR(VLOOKUP(DATA!#REF!,DATA!#REF!,1,FALSE),"")</f>
        <v/>
      </c>
      <c r="D4416" s="16" t="str">
        <f>IFERROR(VLOOKUP(C4416,DATA!#REF!,2,FALSE),"")</f>
        <v/>
      </c>
    </row>
    <row r="4417" spans="3:4" s="230" customFormat="1">
      <c r="C4417" s="16" t="str">
        <f>IFERROR(VLOOKUP(DATA!#REF!,DATA!#REF!,1,FALSE),"")</f>
        <v/>
      </c>
      <c r="D4417" s="16" t="str">
        <f>IFERROR(VLOOKUP(C4417,DATA!#REF!,2,FALSE),"")</f>
        <v/>
      </c>
    </row>
    <row r="4418" spans="3:4" s="230" customFormat="1">
      <c r="C4418" s="16" t="str">
        <f>IFERROR(VLOOKUP(DATA!#REF!,DATA!#REF!,1,FALSE),"")</f>
        <v/>
      </c>
      <c r="D4418" s="16" t="str">
        <f>IFERROR(VLOOKUP(C4418,DATA!#REF!,2,FALSE),"")</f>
        <v/>
      </c>
    </row>
    <row r="4419" spans="3:4" s="230" customFormat="1">
      <c r="C4419" s="16" t="str">
        <f>IFERROR(VLOOKUP(DATA!#REF!,DATA!#REF!,1,FALSE),"")</f>
        <v/>
      </c>
      <c r="D4419" s="16" t="str">
        <f>IFERROR(VLOOKUP(C4419,DATA!#REF!,2,FALSE),"")</f>
        <v/>
      </c>
    </row>
    <row r="4420" spans="3:4" s="230" customFormat="1">
      <c r="C4420" s="16" t="str">
        <f>IFERROR(VLOOKUP(DATA!#REF!,DATA!#REF!,1,FALSE),"")</f>
        <v/>
      </c>
      <c r="D4420" s="16" t="str">
        <f>IFERROR(VLOOKUP(C4420,DATA!#REF!,2,FALSE),"")</f>
        <v/>
      </c>
    </row>
    <row r="4421" spans="3:4" s="230" customFormat="1">
      <c r="C4421" s="16" t="str">
        <f>IFERROR(VLOOKUP(DATA!#REF!,DATA!#REF!,1,FALSE),"")</f>
        <v/>
      </c>
      <c r="D4421" s="16" t="str">
        <f>IFERROR(VLOOKUP(C4421,DATA!#REF!,2,FALSE),"")</f>
        <v/>
      </c>
    </row>
    <row r="4422" spans="3:4" s="230" customFormat="1">
      <c r="C4422" s="16" t="str">
        <f>IFERROR(VLOOKUP(DATA!#REF!,DATA!#REF!,1,FALSE),"")</f>
        <v/>
      </c>
      <c r="D4422" s="16" t="str">
        <f>IFERROR(VLOOKUP(C4422,DATA!#REF!,2,FALSE),"")</f>
        <v/>
      </c>
    </row>
    <row r="4423" spans="3:4" s="230" customFormat="1">
      <c r="C4423" s="16" t="str">
        <f>IFERROR(VLOOKUP(DATA!#REF!,DATA!#REF!,1,FALSE),"")</f>
        <v/>
      </c>
      <c r="D4423" s="16" t="str">
        <f>IFERROR(VLOOKUP(C4423,DATA!#REF!,2,FALSE),"")</f>
        <v/>
      </c>
    </row>
    <row r="4424" spans="3:4" s="230" customFormat="1">
      <c r="C4424" s="16" t="str">
        <f>IFERROR(VLOOKUP(DATA!#REF!,DATA!#REF!,1,FALSE),"")</f>
        <v/>
      </c>
      <c r="D4424" s="16" t="str">
        <f>IFERROR(VLOOKUP(C4424,DATA!#REF!,2,FALSE),"")</f>
        <v/>
      </c>
    </row>
    <row r="4425" spans="3:4" s="230" customFormat="1">
      <c r="C4425" s="16" t="str">
        <f>IFERROR(VLOOKUP(DATA!#REF!,DATA!#REF!,1,FALSE),"")</f>
        <v/>
      </c>
      <c r="D4425" s="16" t="str">
        <f>IFERROR(VLOOKUP(C4425,DATA!#REF!,2,FALSE),"")</f>
        <v/>
      </c>
    </row>
    <row r="4426" spans="3:4" s="230" customFormat="1">
      <c r="C4426" s="16" t="str">
        <f>IFERROR(VLOOKUP(DATA!#REF!,DATA!#REF!,1,FALSE),"")</f>
        <v/>
      </c>
      <c r="D4426" s="16" t="str">
        <f>IFERROR(VLOOKUP(C4426,DATA!#REF!,2,FALSE),"")</f>
        <v/>
      </c>
    </row>
    <row r="4427" spans="3:4" s="230" customFormat="1">
      <c r="C4427" s="16" t="str">
        <f>IFERROR(VLOOKUP(DATA!#REF!,DATA!#REF!,1,FALSE),"")</f>
        <v/>
      </c>
      <c r="D4427" s="16" t="str">
        <f>IFERROR(VLOOKUP(C4427,DATA!#REF!,2,FALSE),"")</f>
        <v/>
      </c>
    </row>
    <row r="4428" spans="3:4" s="230" customFormat="1">
      <c r="C4428" s="16" t="str">
        <f>IFERROR(VLOOKUP(DATA!#REF!,DATA!#REF!,1,FALSE),"")</f>
        <v/>
      </c>
      <c r="D4428" s="16" t="str">
        <f>IFERROR(VLOOKUP(C4428,DATA!#REF!,2,FALSE),"")</f>
        <v/>
      </c>
    </row>
    <row r="4429" spans="3:4" s="230" customFormat="1">
      <c r="C4429" s="16" t="str">
        <f>IFERROR(VLOOKUP(DATA!#REF!,DATA!#REF!,1,FALSE),"")</f>
        <v/>
      </c>
      <c r="D4429" s="16" t="str">
        <f>IFERROR(VLOOKUP(C4429,DATA!#REF!,2,FALSE),"")</f>
        <v/>
      </c>
    </row>
    <row r="4430" spans="3:4" s="230" customFormat="1">
      <c r="C4430" s="16" t="str">
        <f>IFERROR(VLOOKUP(DATA!#REF!,DATA!#REF!,1,FALSE),"")</f>
        <v/>
      </c>
      <c r="D4430" s="16" t="str">
        <f>IFERROR(VLOOKUP(C4430,DATA!#REF!,2,FALSE),"")</f>
        <v/>
      </c>
    </row>
    <row r="4431" spans="3:4" s="230" customFormat="1">
      <c r="C4431" s="16" t="str">
        <f>IFERROR(VLOOKUP(DATA!#REF!,DATA!#REF!,1,FALSE),"")</f>
        <v/>
      </c>
      <c r="D4431" s="16" t="str">
        <f>IFERROR(VLOOKUP(C4431,DATA!#REF!,2,FALSE),"")</f>
        <v/>
      </c>
    </row>
    <row r="4432" spans="3:4" s="230" customFormat="1">
      <c r="C4432" s="16" t="str">
        <f>IFERROR(VLOOKUP(DATA!#REF!,DATA!#REF!,1,FALSE),"")</f>
        <v/>
      </c>
      <c r="D4432" s="16" t="str">
        <f>IFERROR(VLOOKUP(C4432,DATA!#REF!,2,FALSE),"")</f>
        <v/>
      </c>
    </row>
    <row r="4433" spans="3:4" s="230" customFormat="1">
      <c r="C4433" s="16" t="str">
        <f>IFERROR(VLOOKUP(DATA!#REF!,DATA!#REF!,1,FALSE),"")</f>
        <v/>
      </c>
      <c r="D4433" s="16" t="str">
        <f>IFERROR(VLOOKUP(C4433,DATA!#REF!,2,FALSE),"")</f>
        <v/>
      </c>
    </row>
    <row r="4434" spans="3:4" s="230" customFormat="1">
      <c r="C4434" s="16" t="str">
        <f>IFERROR(VLOOKUP(DATA!#REF!,DATA!#REF!,1,FALSE),"")</f>
        <v/>
      </c>
      <c r="D4434" s="16" t="str">
        <f>IFERROR(VLOOKUP(C4434,DATA!#REF!,2,FALSE),"")</f>
        <v/>
      </c>
    </row>
    <row r="4435" spans="3:4" s="230" customFormat="1">
      <c r="C4435" s="16" t="str">
        <f>IFERROR(VLOOKUP(DATA!#REF!,DATA!#REF!,1,FALSE),"")</f>
        <v/>
      </c>
      <c r="D4435" s="16" t="str">
        <f>IFERROR(VLOOKUP(C4435,DATA!#REF!,2,FALSE),"")</f>
        <v/>
      </c>
    </row>
    <row r="4436" spans="3:4" s="230" customFormat="1">
      <c r="C4436" s="16" t="str">
        <f>IFERROR(VLOOKUP(DATA!#REF!,DATA!#REF!,1,FALSE),"")</f>
        <v/>
      </c>
      <c r="D4436" s="16" t="str">
        <f>IFERROR(VLOOKUP(C4436,DATA!#REF!,2,FALSE),"")</f>
        <v/>
      </c>
    </row>
    <row r="4437" spans="3:4" s="230" customFormat="1">
      <c r="C4437" s="16" t="str">
        <f>IFERROR(VLOOKUP(DATA!#REF!,DATA!#REF!,1,FALSE),"")</f>
        <v/>
      </c>
      <c r="D4437" s="16" t="str">
        <f>IFERROR(VLOOKUP(C4437,DATA!#REF!,2,FALSE),"")</f>
        <v/>
      </c>
    </row>
    <row r="4438" spans="3:4" s="230" customFormat="1">
      <c r="C4438" s="16" t="str">
        <f>IFERROR(VLOOKUP(DATA!#REF!,DATA!#REF!,1,FALSE),"")</f>
        <v/>
      </c>
      <c r="D4438" s="16" t="str">
        <f>IFERROR(VLOOKUP(C4438,DATA!#REF!,2,FALSE),"")</f>
        <v/>
      </c>
    </row>
    <row r="4439" spans="3:4" s="230" customFormat="1">
      <c r="C4439" s="16" t="str">
        <f>IFERROR(VLOOKUP(DATA!#REF!,DATA!#REF!,1,FALSE),"")</f>
        <v/>
      </c>
      <c r="D4439" s="16" t="str">
        <f>IFERROR(VLOOKUP(C4439,DATA!#REF!,2,FALSE),"")</f>
        <v/>
      </c>
    </row>
    <row r="4440" spans="3:4" s="230" customFormat="1">
      <c r="C4440" s="16" t="str">
        <f>IFERROR(VLOOKUP(DATA!#REF!,DATA!#REF!,1,FALSE),"")</f>
        <v/>
      </c>
      <c r="D4440" s="16" t="str">
        <f>IFERROR(VLOOKUP(C4440,DATA!#REF!,2,FALSE),"")</f>
        <v/>
      </c>
    </row>
    <row r="4441" spans="3:4" s="230" customFormat="1">
      <c r="C4441" s="16" t="str">
        <f>IFERROR(VLOOKUP(DATA!#REF!,DATA!#REF!,1,FALSE),"")</f>
        <v/>
      </c>
      <c r="D4441" s="16" t="str">
        <f>IFERROR(VLOOKUP(C4441,DATA!#REF!,2,FALSE),"")</f>
        <v/>
      </c>
    </row>
    <row r="4442" spans="3:4" s="230" customFormat="1">
      <c r="C4442" s="16" t="str">
        <f>IFERROR(VLOOKUP(DATA!#REF!,DATA!#REF!,1,FALSE),"")</f>
        <v/>
      </c>
      <c r="D4442" s="16" t="str">
        <f>IFERROR(VLOOKUP(C4442,DATA!#REF!,2,FALSE),"")</f>
        <v/>
      </c>
    </row>
    <row r="4443" spans="3:4" s="230" customFormat="1">
      <c r="C4443" s="16" t="str">
        <f>IFERROR(VLOOKUP(DATA!#REF!,DATA!#REF!,1,FALSE),"")</f>
        <v/>
      </c>
      <c r="D4443" s="16" t="str">
        <f>IFERROR(VLOOKUP(C4443,DATA!#REF!,2,FALSE),"")</f>
        <v/>
      </c>
    </row>
    <row r="4444" spans="3:4" s="230" customFormat="1">
      <c r="C4444" s="16" t="str">
        <f>IFERROR(VLOOKUP(DATA!#REF!,DATA!#REF!,1,FALSE),"")</f>
        <v/>
      </c>
      <c r="D4444" s="16" t="str">
        <f>IFERROR(VLOOKUP(C4444,DATA!#REF!,2,FALSE),"")</f>
        <v/>
      </c>
    </row>
    <row r="4445" spans="3:4" s="230" customFormat="1">
      <c r="C4445" s="16" t="str">
        <f>IFERROR(VLOOKUP(DATA!#REF!,DATA!#REF!,1,FALSE),"")</f>
        <v/>
      </c>
      <c r="D4445" s="16" t="str">
        <f>IFERROR(VLOOKUP(C4445,DATA!#REF!,2,FALSE),"")</f>
        <v/>
      </c>
    </row>
    <row r="4446" spans="3:4" s="230" customFormat="1">
      <c r="C4446" s="16" t="str">
        <f>IFERROR(VLOOKUP(DATA!#REF!,DATA!#REF!,1,FALSE),"")</f>
        <v/>
      </c>
      <c r="D4446" s="16" t="str">
        <f>IFERROR(VLOOKUP(C4446,DATA!#REF!,2,FALSE),"")</f>
        <v/>
      </c>
    </row>
    <row r="4447" spans="3:4" s="230" customFormat="1">
      <c r="C4447" s="16" t="str">
        <f>IFERROR(VLOOKUP(DATA!#REF!,DATA!#REF!,1,FALSE),"")</f>
        <v/>
      </c>
      <c r="D4447" s="16" t="str">
        <f>IFERROR(VLOOKUP(C4447,DATA!#REF!,2,FALSE),"")</f>
        <v/>
      </c>
    </row>
    <row r="4448" spans="3:4" s="230" customFormat="1">
      <c r="C4448" s="16" t="str">
        <f>IFERROR(VLOOKUP(DATA!#REF!,DATA!#REF!,1,FALSE),"")</f>
        <v/>
      </c>
      <c r="D4448" s="16" t="str">
        <f>IFERROR(VLOOKUP(C4448,DATA!#REF!,2,FALSE),"")</f>
        <v/>
      </c>
    </row>
    <row r="4449" spans="3:4" s="230" customFormat="1">
      <c r="C4449" s="16" t="str">
        <f>IFERROR(VLOOKUP(DATA!#REF!,DATA!#REF!,1,FALSE),"")</f>
        <v/>
      </c>
      <c r="D4449" s="16" t="str">
        <f>IFERROR(VLOOKUP(C4449,DATA!#REF!,2,FALSE),"")</f>
        <v/>
      </c>
    </row>
    <row r="4450" spans="3:4" s="230" customFormat="1">
      <c r="C4450" s="16" t="str">
        <f>IFERROR(VLOOKUP(DATA!#REF!,DATA!#REF!,1,FALSE),"")</f>
        <v/>
      </c>
      <c r="D4450" s="16" t="str">
        <f>IFERROR(VLOOKUP(C4450,DATA!#REF!,2,FALSE),"")</f>
        <v/>
      </c>
    </row>
    <row r="4451" spans="3:4" s="230" customFormat="1">
      <c r="C4451" s="16" t="str">
        <f>IFERROR(VLOOKUP(DATA!#REF!,DATA!#REF!,1,FALSE),"")</f>
        <v/>
      </c>
      <c r="D4451" s="16" t="str">
        <f>IFERROR(VLOOKUP(C4451,DATA!#REF!,2,FALSE),"")</f>
        <v/>
      </c>
    </row>
    <row r="4452" spans="3:4" s="230" customFormat="1">
      <c r="C4452" s="16" t="str">
        <f>IFERROR(VLOOKUP(DATA!#REF!,DATA!#REF!,1,FALSE),"")</f>
        <v/>
      </c>
      <c r="D4452" s="16" t="str">
        <f>IFERROR(VLOOKUP(C4452,DATA!#REF!,2,FALSE),"")</f>
        <v/>
      </c>
    </row>
    <row r="4453" spans="3:4" s="230" customFormat="1">
      <c r="C4453" s="16" t="str">
        <f>IFERROR(VLOOKUP(DATA!#REF!,DATA!#REF!,1,FALSE),"")</f>
        <v/>
      </c>
      <c r="D4453" s="16" t="str">
        <f>IFERROR(VLOOKUP(C4453,DATA!#REF!,2,FALSE),"")</f>
        <v/>
      </c>
    </row>
    <row r="4454" spans="3:4" s="230" customFormat="1">
      <c r="C4454" s="16" t="str">
        <f>IFERROR(VLOOKUP(DATA!#REF!,DATA!#REF!,1,FALSE),"")</f>
        <v/>
      </c>
      <c r="D4454" s="16" t="str">
        <f>IFERROR(VLOOKUP(C4454,DATA!#REF!,2,FALSE),"")</f>
        <v/>
      </c>
    </row>
    <row r="4455" spans="3:4" s="230" customFormat="1">
      <c r="C4455" s="16" t="str">
        <f>IFERROR(VLOOKUP(DATA!#REF!,DATA!#REF!,1,FALSE),"")</f>
        <v/>
      </c>
      <c r="D4455" s="16" t="str">
        <f>IFERROR(VLOOKUP(C4455,DATA!#REF!,2,FALSE),"")</f>
        <v/>
      </c>
    </row>
    <row r="4456" spans="3:4" s="230" customFormat="1">
      <c r="C4456" s="16" t="str">
        <f>IFERROR(VLOOKUP(DATA!#REF!,DATA!#REF!,1,FALSE),"")</f>
        <v/>
      </c>
      <c r="D4456" s="16" t="str">
        <f>IFERROR(VLOOKUP(C4456,DATA!#REF!,2,FALSE),"")</f>
        <v/>
      </c>
    </row>
    <row r="4457" spans="3:4" s="230" customFormat="1">
      <c r="C4457" s="16" t="str">
        <f>IFERROR(VLOOKUP(DATA!#REF!,DATA!#REF!,1,FALSE),"")</f>
        <v/>
      </c>
      <c r="D4457" s="16" t="str">
        <f>IFERROR(VLOOKUP(C4457,DATA!#REF!,2,FALSE),"")</f>
        <v/>
      </c>
    </row>
    <row r="4458" spans="3:4" s="230" customFormat="1">
      <c r="C4458" s="16" t="str">
        <f>IFERROR(VLOOKUP(DATA!#REF!,DATA!#REF!,1,FALSE),"")</f>
        <v/>
      </c>
      <c r="D4458" s="16" t="str">
        <f>IFERROR(VLOOKUP(C4458,DATA!#REF!,2,FALSE),"")</f>
        <v/>
      </c>
    </row>
    <row r="4459" spans="3:4" s="230" customFormat="1">
      <c r="C4459" s="16" t="str">
        <f>IFERROR(VLOOKUP(DATA!#REF!,DATA!#REF!,1,FALSE),"")</f>
        <v/>
      </c>
      <c r="D4459" s="16" t="str">
        <f>IFERROR(VLOOKUP(C4459,DATA!#REF!,2,FALSE),"")</f>
        <v/>
      </c>
    </row>
    <row r="4460" spans="3:4" s="230" customFormat="1">
      <c r="C4460" s="16" t="str">
        <f>IFERROR(VLOOKUP(DATA!#REF!,DATA!#REF!,1,FALSE),"")</f>
        <v/>
      </c>
      <c r="D4460" s="16" t="str">
        <f>IFERROR(VLOOKUP(C4460,DATA!#REF!,2,FALSE),"")</f>
        <v/>
      </c>
    </row>
    <row r="4461" spans="3:4" s="230" customFormat="1">
      <c r="C4461" s="16" t="str">
        <f>IFERROR(VLOOKUP(DATA!#REF!,DATA!#REF!,1,FALSE),"")</f>
        <v/>
      </c>
      <c r="D4461" s="16" t="str">
        <f>IFERROR(VLOOKUP(C4461,DATA!#REF!,2,FALSE),"")</f>
        <v/>
      </c>
    </row>
    <row r="4462" spans="3:4" s="230" customFormat="1">
      <c r="C4462" s="16" t="str">
        <f>IFERROR(VLOOKUP(DATA!#REF!,DATA!#REF!,1,FALSE),"")</f>
        <v/>
      </c>
      <c r="D4462" s="16" t="str">
        <f>IFERROR(VLOOKUP(C4462,DATA!#REF!,2,FALSE),"")</f>
        <v/>
      </c>
    </row>
    <row r="4463" spans="3:4" s="230" customFormat="1">
      <c r="C4463" s="16" t="str">
        <f>IFERROR(VLOOKUP(DATA!#REF!,DATA!#REF!,1,FALSE),"")</f>
        <v/>
      </c>
      <c r="D4463" s="16" t="str">
        <f>IFERROR(VLOOKUP(C4463,DATA!#REF!,2,FALSE),"")</f>
        <v/>
      </c>
    </row>
    <row r="4464" spans="3:4" s="230" customFormat="1">
      <c r="C4464" s="16" t="str">
        <f>IFERROR(VLOOKUP(DATA!#REF!,DATA!#REF!,1,FALSE),"")</f>
        <v/>
      </c>
      <c r="D4464" s="16" t="str">
        <f>IFERROR(VLOOKUP(C4464,DATA!#REF!,2,FALSE),"")</f>
        <v/>
      </c>
    </row>
    <row r="4465" spans="3:4" s="230" customFormat="1">
      <c r="C4465" s="16" t="str">
        <f>IFERROR(VLOOKUP(DATA!#REF!,DATA!#REF!,1,FALSE),"")</f>
        <v/>
      </c>
      <c r="D4465" s="16" t="str">
        <f>IFERROR(VLOOKUP(C4465,DATA!#REF!,2,FALSE),"")</f>
        <v/>
      </c>
    </row>
    <row r="4466" spans="3:4" s="230" customFormat="1">
      <c r="C4466" s="16" t="str">
        <f>IFERROR(VLOOKUP(DATA!#REF!,DATA!#REF!,1,FALSE),"")</f>
        <v/>
      </c>
      <c r="D4466" s="16" t="str">
        <f>IFERROR(VLOOKUP(C4466,DATA!#REF!,2,FALSE),"")</f>
        <v/>
      </c>
    </row>
    <row r="4467" spans="3:4" s="230" customFormat="1">
      <c r="C4467" s="16" t="str">
        <f>IFERROR(VLOOKUP(DATA!#REF!,DATA!#REF!,1,FALSE),"")</f>
        <v/>
      </c>
      <c r="D4467" s="16" t="str">
        <f>IFERROR(VLOOKUP(C4467,DATA!#REF!,2,FALSE),"")</f>
        <v/>
      </c>
    </row>
    <row r="4468" spans="3:4" s="230" customFormat="1">
      <c r="C4468" s="16" t="str">
        <f>IFERROR(VLOOKUP(DATA!#REF!,DATA!#REF!,1,FALSE),"")</f>
        <v/>
      </c>
      <c r="D4468" s="16" t="str">
        <f>IFERROR(VLOOKUP(C4468,DATA!#REF!,2,FALSE),"")</f>
        <v/>
      </c>
    </row>
    <row r="4469" spans="3:4" s="230" customFormat="1">
      <c r="C4469" s="16" t="str">
        <f>IFERROR(VLOOKUP(DATA!#REF!,DATA!#REF!,1,FALSE),"")</f>
        <v/>
      </c>
      <c r="D4469" s="16" t="str">
        <f>IFERROR(VLOOKUP(C4469,DATA!#REF!,2,FALSE),"")</f>
        <v/>
      </c>
    </row>
    <row r="4470" spans="3:4" s="230" customFormat="1">
      <c r="C4470" s="16" t="str">
        <f>IFERROR(VLOOKUP(DATA!#REF!,DATA!#REF!,1,FALSE),"")</f>
        <v/>
      </c>
      <c r="D4470" s="16" t="str">
        <f>IFERROR(VLOOKUP(C4470,DATA!#REF!,2,FALSE),"")</f>
        <v/>
      </c>
    </row>
    <row r="4471" spans="3:4" s="230" customFormat="1">
      <c r="C4471" s="16" t="str">
        <f>IFERROR(VLOOKUP(DATA!#REF!,DATA!#REF!,1,FALSE),"")</f>
        <v/>
      </c>
      <c r="D4471" s="16" t="str">
        <f>IFERROR(VLOOKUP(C4471,DATA!#REF!,2,FALSE),"")</f>
        <v/>
      </c>
    </row>
    <row r="4472" spans="3:4" s="230" customFormat="1">
      <c r="C4472" s="16" t="str">
        <f>IFERROR(VLOOKUP(DATA!#REF!,DATA!#REF!,1,FALSE),"")</f>
        <v/>
      </c>
      <c r="D4472" s="16" t="str">
        <f>IFERROR(VLOOKUP(C4472,DATA!#REF!,2,FALSE),"")</f>
        <v/>
      </c>
    </row>
    <row r="4473" spans="3:4" s="230" customFormat="1">
      <c r="C4473" s="16" t="str">
        <f>IFERROR(VLOOKUP(DATA!#REF!,DATA!#REF!,1,FALSE),"")</f>
        <v/>
      </c>
      <c r="D4473" s="16" t="str">
        <f>IFERROR(VLOOKUP(C4473,DATA!#REF!,2,FALSE),"")</f>
        <v/>
      </c>
    </row>
    <row r="4474" spans="3:4" s="230" customFormat="1">
      <c r="C4474" s="16" t="str">
        <f>IFERROR(VLOOKUP(DATA!#REF!,DATA!#REF!,1,FALSE),"")</f>
        <v/>
      </c>
      <c r="D4474" s="16" t="str">
        <f>IFERROR(VLOOKUP(C4474,DATA!#REF!,2,FALSE),"")</f>
        <v/>
      </c>
    </row>
    <row r="4475" spans="3:4" s="230" customFormat="1">
      <c r="C4475" s="16" t="str">
        <f>IFERROR(VLOOKUP(DATA!#REF!,DATA!#REF!,1,FALSE),"")</f>
        <v/>
      </c>
      <c r="D4475" s="16" t="str">
        <f>IFERROR(VLOOKUP(C4475,DATA!#REF!,2,FALSE),"")</f>
        <v/>
      </c>
    </row>
    <row r="4476" spans="3:4" s="230" customFormat="1">
      <c r="C4476" s="16" t="str">
        <f>IFERROR(VLOOKUP(DATA!#REF!,DATA!#REF!,1,FALSE),"")</f>
        <v/>
      </c>
      <c r="D4476" s="16" t="str">
        <f>IFERROR(VLOOKUP(C4476,DATA!#REF!,2,FALSE),"")</f>
        <v/>
      </c>
    </row>
    <row r="4477" spans="3:4" s="230" customFormat="1">
      <c r="C4477" s="16" t="str">
        <f>IFERROR(VLOOKUP(DATA!#REF!,DATA!#REF!,1,FALSE),"")</f>
        <v/>
      </c>
      <c r="D4477" s="16" t="str">
        <f>IFERROR(VLOOKUP(C4477,DATA!#REF!,2,FALSE),"")</f>
        <v/>
      </c>
    </row>
    <row r="4478" spans="3:4" s="230" customFormat="1">
      <c r="C4478" s="16" t="str">
        <f>IFERROR(VLOOKUP(DATA!#REF!,DATA!#REF!,1,FALSE),"")</f>
        <v/>
      </c>
      <c r="D4478" s="16" t="str">
        <f>IFERROR(VLOOKUP(C4478,DATA!#REF!,2,FALSE),"")</f>
        <v/>
      </c>
    </row>
    <row r="4479" spans="3:4" s="230" customFormat="1">
      <c r="C4479" s="16" t="str">
        <f>IFERROR(VLOOKUP(DATA!#REF!,DATA!#REF!,1,FALSE),"")</f>
        <v/>
      </c>
      <c r="D4479" s="16" t="str">
        <f>IFERROR(VLOOKUP(C4479,DATA!#REF!,2,FALSE),"")</f>
        <v/>
      </c>
    </row>
    <row r="4480" spans="3:4" s="230" customFormat="1">
      <c r="C4480" s="16" t="str">
        <f>IFERROR(VLOOKUP(DATA!#REF!,DATA!#REF!,1,FALSE),"")</f>
        <v/>
      </c>
      <c r="D4480" s="16" t="str">
        <f>IFERROR(VLOOKUP(C4480,DATA!#REF!,2,FALSE),"")</f>
        <v/>
      </c>
    </row>
    <row r="4481" spans="3:4" s="230" customFormat="1">
      <c r="C4481" s="16" t="str">
        <f>IFERROR(VLOOKUP(DATA!#REF!,DATA!#REF!,1,FALSE),"")</f>
        <v/>
      </c>
      <c r="D4481" s="16" t="str">
        <f>IFERROR(VLOOKUP(C4481,DATA!#REF!,2,FALSE),"")</f>
        <v/>
      </c>
    </row>
    <row r="4482" spans="3:4" s="230" customFormat="1">
      <c r="C4482" s="16" t="str">
        <f>IFERROR(VLOOKUP(DATA!#REF!,DATA!#REF!,1,FALSE),"")</f>
        <v/>
      </c>
      <c r="D4482" s="16" t="str">
        <f>IFERROR(VLOOKUP(C4482,DATA!#REF!,2,FALSE),"")</f>
        <v/>
      </c>
    </row>
    <row r="4483" spans="3:4" s="230" customFormat="1">
      <c r="C4483" s="16" t="str">
        <f>IFERROR(VLOOKUP(DATA!#REF!,DATA!#REF!,1,FALSE),"")</f>
        <v/>
      </c>
      <c r="D4483" s="16" t="str">
        <f>IFERROR(VLOOKUP(C4483,DATA!#REF!,2,FALSE),"")</f>
        <v/>
      </c>
    </row>
    <row r="4484" spans="3:4" s="230" customFormat="1">
      <c r="C4484" s="16" t="str">
        <f>IFERROR(VLOOKUP(DATA!#REF!,DATA!#REF!,1,FALSE),"")</f>
        <v/>
      </c>
      <c r="D4484" s="16" t="str">
        <f>IFERROR(VLOOKUP(C4484,DATA!#REF!,2,FALSE),"")</f>
        <v/>
      </c>
    </row>
    <row r="4485" spans="3:4" s="230" customFormat="1">
      <c r="C4485" s="16" t="str">
        <f>IFERROR(VLOOKUP(DATA!#REF!,DATA!#REF!,1,FALSE),"")</f>
        <v/>
      </c>
      <c r="D4485" s="16" t="str">
        <f>IFERROR(VLOOKUP(C4485,DATA!#REF!,2,FALSE),"")</f>
        <v/>
      </c>
    </row>
    <row r="4486" spans="3:4" s="230" customFormat="1">
      <c r="C4486" s="16" t="str">
        <f>IFERROR(VLOOKUP(DATA!#REF!,DATA!#REF!,1,FALSE),"")</f>
        <v/>
      </c>
      <c r="D4486" s="16" t="str">
        <f>IFERROR(VLOOKUP(C4486,DATA!#REF!,2,FALSE),"")</f>
        <v/>
      </c>
    </row>
    <row r="4487" spans="3:4" s="230" customFormat="1">
      <c r="C4487" s="16" t="str">
        <f>IFERROR(VLOOKUP(DATA!#REF!,DATA!#REF!,1,FALSE),"")</f>
        <v/>
      </c>
      <c r="D4487" s="16" t="str">
        <f>IFERROR(VLOOKUP(C4487,DATA!#REF!,2,FALSE),"")</f>
        <v/>
      </c>
    </row>
    <row r="4488" spans="3:4" s="230" customFormat="1">
      <c r="C4488" s="16" t="str">
        <f>IFERROR(VLOOKUP(DATA!#REF!,DATA!#REF!,1,FALSE),"")</f>
        <v/>
      </c>
      <c r="D4488" s="16" t="str">
        <f>IFERROR(VLOOKUP(C4488,DATA!#REF!,2,FALSE),"")</f>
        <v/>
      </c>
    </row>
    <row r="4489" spans="3:4" s="230" customFormat="1">
      <c r="C4489" s="16" t="str">
        <f>IFERROR(VLOOKUP(DATA!#REF!,DATA!#REF!,1,FALSE),"")</f>
        <v/>
      </c>
      <c r="D4489" s="16" t="str">
        <f>IFERROR(VLOOKUP(C4489,DATA!#REF!,2,FALSE),"")</f>
        <v/>
      </c>
    </row>
    <row r="4490" spans="3:4" s="230" customFormat="1">
      <c r="C4490" s="16" t="str">
        <f>IFERROR(VLOOKUP(DATA!#REF!,DATA!#REF!,1,FALSE),"")</f>
        <v/>
      </c>
      <c r="D4490" s="16" t="str">
        <f>IFERROR(VLOOKUP(C4490,DATA!#REF!,2,FALSE),"")</f>
        <v/>
      </c>
    </row>
    <row r="4491" spans="3:4" s="230" customFormat="1">
      <c r="C4491" s="16" t="str">
        <f>IFERROR(VLOOKUP(DATA!#REF!,DATA!#REF!,1,FALSE),"")</f>
        <v/>
      </c>
      <c r="D4491" s="16" t="str">
        <f>IFERROR(VLOOKUP(C4491,DATA!#REF!,2,FALSE),"")</f>
        <v/>
      </c>
    </row>
    <row r="4492" spans="3:4" s="230" customFormat="1">
      <c r="C4492" s="16" t="str">
        <f>IFERROR(VLOOKUP(DATA!#REF!,DATA!#REF!,1,FALSE),"")</f>
        <v/>
      </c>
      <c r="D4492" s="16" t="str">
        <f>IFERROR(VLOOKUP(C4492,DATA!#REF!,2,FALSE),"")</f>
        <v/>
      </c>
    </row>
    <row r="4493" spans="3:4" s="230" customFormat="1">
      <c r="C4493" s="16" t="str">
        <f>IFERROR(VLOOKUP(DATA!#REF!,DATA!#REF!,1,FALSE),"")</f>
        <v/>
      </c>
      <c r="D4493" s="16" t="str">
        <f>IFERROR(VLOOKUP(C4493,DATA!#REF!,2,FALSE),"")</f>
        <v/>
      </c>
    </row>
    <row r="4494" spans="3:4" s="230" customFormat="1">
      <c r="C4494" s="16" t="str">
        <f>IFERROR(VLOOKUP(DATA!#REF!,DATA!#REF!,1,FALSE),"")</f>
        <v/>
      </c>
      <c r="D4494" s="16" t="str">
        <f>IFERROR(VLOOKUP(C4494,DATA!#REF!,2,FALSE),"")</f>
        <v/>
      </c>
    </row>
    <row r="4495" spans="3:4" s="230" customFormat="1">
      <c r="C4495" s="16" t="str">
        <f>IFERROR(VLOOKUP(DATA!#REF!,DATA!#REF!,1,FALSE),"")</f>
        <v/>
      </c>
      <c r="D4495" s="16" t="str">
        <f>IFERROR(VLOOKUP(C4495,DATA!#REF!,2,FALSE),"")</f>
        <v/>
      </c>
    </row>
    <row r="4496" spans="3:4" s="230" customFormat="1">
      <c r="C4496" s="16" t="str">
        <f>IFERROR(VLOOKUP(DATA!#REF!,DATA!#REF!,1,FALSE),"")</f>
        <v/>
      </c>
      <c r="D4496" s="16" t="str">
        <f>IFERROR(VLOOKUP(C4496,DATA!#REF!,2,FALSE),"")</f>
        <v/>
      </c>
    </row>
    <row r="4497" spans="3:4" s="230" customFormat="1">
      <c r="C4497" s="16" t="str">
        <f>IFERROR(VLOOKUP(DATA!#REF!,DATA!#REF!,1,FALSE),"")</f>
        <v/>
      </c>
      <c r="D4497" s="16" t="str">
        <f>IFERROR(VLOOKUP(C4497,DATA!#REF!,2,FALSE),"")</f>
        <v/>
      </c>
    </row>
    <row r="4498" spans="3:4" s="230" customFormat="1">
      <c r="C4498" s="16" t="str">
        <f>IFERROR(VLOOKUP(DATA!#REF!,DATA!#REF!,1,FALSE),"")</f>
        <v/>
      </c>
      <c r="D4498" s="16" t="str">
        <f>IFERROR(VLOOKUP(C4498,DATA!#REF!,2,FALSE),"")</f>
        <v/>
      </c>
    </row>
    <row r="4499" spans="3:4" s="230" customFormat="1">
      <c r="C4499" s="16" t="str">
        <f>IFERROR(VLOOKUP(DATA!#REF!,DATA!#REF!,1,FALSE),"")</f>
        <v/>
      </c>
      <c r="D4499" s="16" t="str">
        <f>IFERROR(VLOOKUP(C4499,DATA!#REF!,2,FALSE),"")</f>
        <v/>
      </c>
    </row>
    <row r="4500" spans="3:4" s="230" customFormat="1">
      <c r="C4500" s="16" t="str">
        <f>IFERROR(VLOOKUP(DATA!#REF!,DATA!#REF!,1,FALSE),"")</f>
        <v/>
      </c>
      <c r="D4500" s="16" t="str">
        <f>IFERROR(VLOOKUP(C4500,DATA!#REF!,2,FALSE),"")</f>
        <v/>
      </c>
    </row>
    <row r="4501" spans="3:4" s="230" customFormat="1">
      <c r="C4501" s="16" t="str">
        <f>IFERROR(VLOOKUP(DATA!#REF!,DATA!#REF!,1,FALSE),"")</f>
        <v/>
      </c>
      <c r="D4501" s="16" t="str">
        <f>IFERROR(VLOOKUP(C4501,DATA!#REF!,2,FALSE),"")</f>
        <v/>
      </c>
    </row>
    <row r="4502" spans="3:4" s="230" customFormat="1">
      <c r="C4502" s="16" t="str">
        <f>IFERROR(VLOOKUP(DATA!#REF!,DATA!#REF!,1,FALSE),"")</f>
        <v/>
      </c>
      <c r="D4502" s="16" t="str">
        <f>IFERROR(VLOOKUP(C4502,DATA!#REF!,2,FALSE),"")</f>
        <v/>
      </c>
    </row>
    <row r="4503" spans="3:4" s="230" customFormat="1">
      <c r="C4503" s="16" t="str">
        <f>IFERROR(VLOOKUP(DATA!#REF!,DATA!#REF!,1,FALSE),"")</f>
        <v/>
      </c>
      <c r="D4503" s="16" t="str">
        <f>IFERROR(VLOOKUP(C4503,DATA!#REF!,2,FALSE),"")</f>
        <v/>
      </c>
    </row>
    <row r="4504" spans="3:4" s="230" customFormat="1">
      <c r="C4504" s="16" t="str">
        <f>IFERROR(VLOOKUP(DATA!#REF!,DATA!#REF!,1,FALSE),"")</f>
        <v/>
      </c>
      <c r="D4504" s="16" t="str">
        <f>IFERROR(VLOOKUP(C4504,DATA!#REF!,2,FALSE),"")</f>
        <v/>
      </c>
    </row>
    <row r="4505" spans="3:4" s="230" customFormat="1">
      <c r="C4505" s="16" t="str">
        <f>IFERROR(VLOOKUP(DATA!#REF!,DATA!#REF!,1,FALSE),"")</f>
        <v/>
      </c>
      <c r="D4505" s="16" t="str">
        <f>IFERROR(VLOOKUP(C4505,DATA!#REF!,2,FALSE),"")</f>
        <v/>
      </c>
    </row>
    <row r="4506" spans="3:4" s="230" customFormat="1">
      <c r="C4506" s="16" t="str">
        <f>IFERROR(VLOOKUP(DATA!#REF!,DATA!#REF!,1,FALSE),"")</f>
        <v/>
      </c>
      <c r="D4506" s="16" t="str">
        <f>IFERROR(VLOOKUP(C4506,DATA!#REF!,2,FALSE),"")</f>
        <v/>
      </c>
    </row>
    <row r="4507" spans="3:4" s="230" customFormat="1">
      <c r="C4507" s="16" t="str">
        <f>IFERROR(VLOOKUP(DATA!#REF!,DATA!#REF!,1,FALSE),"")</f>
        <v/>
      </c>
      <c r="D4507" s="16" t="str">
        <f>IFERROR(VLOOKUP(C4507,DATA!#REF!,2,FALSE),"")</f>
        <v/>
      </c>
    </row>
    <row r="4508" spans="3:4" s="230" customFormat="1">
      <c r="C4508" s="16" t="str">
        <f>IFERROR(VLOOKUP(DATA!#REF!,DATA!#REF!,1,FALSE),"")</f>
        <v/>
      </c>
      <c r="D4508" s="16" t="str">
        <f>IFERROR(VLOOKUP(C4508,DATA!#REF!,2,FALSE),"")</f>
        <v/>
      </c>
    </row>
    <row r="4509" spans="3:4" s="230" customFormat="1">
      <c r="C4509" s="16" t="str">
        <f>IFERROR(VLOOKUP(DATA!#REF!,DATA!#REF!,1,FALSE),"")</f>
        <v/>
      </c>
      <c r="D4509" s="16" t="str">
        <f>IFERROR(VLOOKUP(C4509,DATA!#REF!,2,FALSE),"")</f>
        <v/>
      </c>
    </row>
    <row r="4510" spans="3:4" s="230" customFormat="1">
      <c r="C4510" s="16" t="str">
        <f>IFERROR(VLOOKUP(DATA!#REF!,DATA!#REF!,1,FALSE),"")</f>
        <v/>
      </c>
      <c r="D4510" s="16" t="str">
        <f>IFERROR(VLOOKUP(C4510,DATA!#REF!,2,FALSE),"")</f>
        <v/>
      </c>
    </row>
    <row r="4511" spans="3:4" s="230" customFormat="1">
      <c r="C4511" s="16" t="str">
        <f>IFERROR(VLOOKUP(DATA!#REF!,DATA!#REF!,1,FALSE),"")</f>
        <v/>
      </c>
      <c r="D4511" s="16" t="str">
        <f>IFERROR(VLOOKUP(C4511,DATA!#REF!,2,FALSE),"")</f>
        <v/>
      </c>
    </row>
    <row r="4512" spans="3:4" s="230" customFormat="1">
      <c r="C4512" s="16" t="str">
        <f>IFERROR(VLOOKUP(DATA!#REF!,DATA!#REF!,1,FALSE),"")</f>
        <v/>
      </c>
      <c r="D4512" s="16" t="str">
        <f>IFERROR(VLOOKUP(C4512,DATA!#REF!,2,FALSE),"")</f>
        <v/>
      </c>
    </row>
    <row r="4513" spans="3:4" s="230" customFormat="1">
      <c r="C4513" s="16" t="str">
        <f>IFERROR(VLOOKUP(DATA!#REF!,DATA!#REF!,1,FALSE),"")</f>
        <v/>
      </c>
      <c r="D4513" s="16" t="str">
        <f>IFERROR(VLOOKUP(C4513,DATA!#REF!,2,FALSE),"")</f>
        <v/>
      </c>
    </row>
    <row r="4514" spans="3:4" s="230" customFormat="1">
      <c r="C4514" s="16" t="str">
        <f>IFERROR(VLOOKUP(DATA!#REF!,DATA!#REF!,1,FALSE),"")</f>
        <v/>
      </c>
      <c r="D4514" s="16" t="str">
        <f>IFERROR(VLOOKUP(C4514,DATA!#REF!,2,FALSE),"")</f>
        <v/>
      </c>
    </row>
    <row r="4515" spans="3:4" s="230" customFormat="1">
      <c r="C4515" s="16" t="str">
        <f>IFERROR(VLOOKUP(DATA!#REF!,DATA!#REF!,1,FALSE),"")</f>
        <v/>
      </c>
      <c r="D4515" s="16" t="str">
        <f>IFERROR(VLOOKUP(C4515,DATA!#REF!,2,FALSE),"")</f>
        <v/>
      </c>
    </row>
    <row r="4516" spans="3:4" s="230" customFormat="1">
      <c r="C4516" s="16" t="str">
        <f>IFERROR(VLOOKUP(DATA!#REF!,DATA!#REF!,1,FALSE),"")</f>
        <v/>
      </c>
      <c r="D4516" s="16" t="str">
        <f>IFERROR(VLOOKUP(C4516,DATA!#REF!,2,FALSE),"")</f>
        <v/>
      </c>
    </row>
    <row r="4517" spans="3:4" s="230" customFormat="1">
      <c r="C4517" s="16" t="str">
        <f>IFERROR(VLOOKUP(DATA!#REF!,DATA!#REF!,1,FALSE),"")</f>
        <v/>
      </c>
      <c r="D4517" s="16" t="str">
        <f>IFERROR(VLOOKUP(C4517,DATA!#REF!,2,FALSE),"")</f>
        <v/>
      </c>
    </row>
    <row r="4518" spans="3:4" s="230" customFormat="1">
      <c r="C4518" s="16" t="str">
        <f>IFERROR(VLOOKUP(DATA!#REF!,DATA!#REF!,1,FALSE),"")</f>
        <v/>
      </c>
      <c r="D4518" s="16" t="str">
        <f>IFERROR(VLOOKUP(C4518,DATA!#REF!,2,FALSE),"")</f>
        <v/>
      </c>
    </row>
    <row r="4519" spans="3:4" s="230" customFormat="1">
      <c r="C4519" s="16" t="str">
        <f>IFERROR(VLOOKUP(DATA!#REF!,DATA!#REF!,1,FALSE),"")</f>
        <v/>
      </c>
      <c r="D4519" s="16" t="str">
        <f>IFERROR(VLOOKUP(C4519,DATA!#REF!,2,FALSE),"")</f>
        <v/>
      </c>
    </row>
    <row r="4520" spans="3:4" s="230" customFormat="1">
      <c r="C4520" s="16" t="str">
        <f>IFERROR(VLOOKUP(DATA!#REF!,DATA!#REF!,1,FALSE),"")</f>
        <v/>
      </c>
      <c r="D4520" s="16" t="str">
        <f>IFERROR(VLOOKUP(C4520,DATA!#REF!,2,FALSE),"")</f>
        <v/>
      </c>
    </row>
    <row r="4521" spans="3:4" s="230" customFormat="1">
      <c r="C4521" s="16" t="str">
        <f>IFERROR(VLOOKUP(DATA!#REF!,DATA!#REF!,1,FALSE),"")</f>
        <v/>
      </c>
      <c r="D4521" s="16" t="str">
        <f>IFERROR(VLOOKUP(C4521,DATA!#REF!,2,FALSE),"")</f>
        <v/>
      </c>
    </row>
    <row r="4522" spans="3:4" s="230" customFormat="1">
      <c r="C4522" s="16" t="str">
        <f>IFERROR(VLOOKUP(DATA!#REF!,DATA!#REF!,1,FALSE),"")</f>
        <v/>
      </c>
      <c r="D4522" s="16" t="str">
        <f>IFERROR(VLOOKUP(C4522,DATA!#REF!,2,FALSE),"")</f>
        <v/>
      </c>
    </row>
    <row r="4523" spans="3:4" s="230" customFormat="1">
      <c r="C4523" s="16" t="str">
        <f>IFERROR(VLOOKUP(DATA!#REF!,DATA!#REF!,1,FALSE),"")</f>
        <v/>
      </c>
      <c r="D4523" s="16" t="str">
        <f>IFERROR(VLOOKUP(C4523,DATA!#REF!,2,FALSE),"")</f>
        <v/>
      </c>
    </row>
    <row r="4524" spans="3:4" s="230" customFormat="1">
      <c r="C4524" s="16" t="str">
        <f>IFERROR(VLOOKUP(DATA!#REF!,DATA!#REF!,1,FALSE),"")</f>
        <v/>
      </c>
      <c r="D4524" s="16" t="str">
        <f>IFERROR(VLOOKUP(C4524,DATA!#REF!,2,FALSE),"")</f>
        <v/>
      </c>
    </row>
    <row r="4525" spans="3:4" s="230" customFormat="1">
      <c r="C4525" s="16" t="str">
        <f>IFERROR(VLOOKUP(DATA!#REF!,DATA!#REF!,1,FALSE),"")</f>
        <v/>
      </c>
      <c r="D4525" s="16" t="str">
        <f>IFERROR(VLOOKUP(C4525,DATA!#REF!,2,FALSE),"")</f>
        <v/>
      </c>
    </row>
    <row r="4526" spans="3:4" s="230" customFormat="1">
      <c r="C4526" s="16" t="str">
        <f>IFERROR(VLOOKUP(DATA!#REF!,DATA!#REF!,1,FALSE),"")</f>
        <v/>
      </c>
      <c r="D4526" s="16" t="str">
        <f>IFERROR(VLOOKUP(C4526,DATA!#REF!,2,FALSE),"")</f>
        <v/>
      </c>
    </row>
    <row r="4527" spans="3:4" s="230" customFormat="1">
      <c r="C4527" s="16" t="str">
        <f>IFERROR(VLOOKUP(DATA!#REF!,DATA!#REF!,1,FALSE),"")</f>
        <v/>
      </c>
      <c r="D4527" s="16" t="str">
        <f>IFERROR(VLOOKUP(C4527,DATA!#REF!,2,FALSE),"")</f>
        <v/>
      </c>
    </row>
    <row r="4528" spans="3:4" s="230" customFormat="1">
      <c r="C4528" s="16" t="str">
        <f>IFERROR(VLOOKUP(DATA!#REF!,DATA!#REF!,1,FALSE),"")</f>
        <v/>
      </c>
      <c r="D4528" s="16" t="str">
        <f>IFERROR(VLOOKUP(C4528,DATA!#REF!,2,FALSE),"")</f>
        <v/>
      </c>
    </row>
    <row r="4529" spans="3:4" s="230" customFormat="1">
      <c r="C4529" s="16" t="str">
        <f>IFERROR(VLOOKUP(DATA!#REF!,DATA!#REF!,1,FALSE),"")</f>
        <v/>
      </c>
      <c r="D4529" s="16" t="str">
        <f>IFERROR(VLOOKUP(C4529,DATA!#REF!,2,FALSE),"")</f>
        <v/>
      </c>
    </row>
    <row r="4530" spans="3:4" s="230" customFormat="1">
      <c r="C4530" s="16" t="str">
        <f>IFERROR(VLOOKUP(DATA!#REF!,DATA!#REF!,1,FALSE),"")</f>
        <v/>
      </c>
      <c r="D4530" s="16" t="str">
        <f>IFERROR(VLOOKUP(C4530,DATA!#REF!,2,FALSE),"")</f>
        <v/>
      </c>
    </row>
    <row r="4531" spans="3:4" s="230" customFormat="1">
      <c r="C4531" s="16" t="str">
        <f>IFERROR(VLOOKUP(DATA!#REF!,DATA!#REF!,1,FALSE),"")</f>
        <v/>
      </c>
      <c r="D4531" s="16" t="str">
        <f>IFERROR(VLOOKUP(C4531,DATA!#REF!,2,FALSE),"")</f>
        <v/>
      </c>
    </row>
    <row r="4532" spans="3:4" s="230" customFormat="1">
      <c r="C4532" s="16" t="str">
        <f>IFERROR(VLOOKUP(DATA!#REF!,DATA!#REF!,1,FALSE),"")</f>
        <v/>
      </c>
      <c r="D4532" s="16" t="str">
        <f>IFERROR(VLOOKUP(C4532,DATA!#REF!,2,FALSE),"")</f>
        <v/>
      </c>
    </row>
    <row r="4533" spans="3:4" s="230" customFormat="1">
      <c r="C4533" s="16" t="str">
        <f>IFERROR(VLOOKUP(DATA!#REF!,DATA!#REF!,1,FALSE),"")</f>
        <v/>
      </c>
      <c r="D4533" s="16" t="str">
        <f>IFERROR(VLOOKUP(C4533,DATA!#REF!,2,FALSE),"")</f>
        <v/>
      </c>
    </row>
    <row r="4534" spans="3:4" s="230" customFormat="1">
      <c r="C4534" s="16" t="str">
        <f>IFERROR(VLOOKUP(DATA!#REF!,DATA!#REF!,1,FALSE),"")</f>
        <v/>
      </c>
      <c r="D4534" s="16" t="str">
        <f>IFERROR(VLOOKUP(C4534,DATA!#REF!,2,FALSE),"")</f>
        <v/>
      </c>
    </row>
    <row r="4535" spans="3:4" s="230" customFormat="1">
      <c r="C4535" s="16" t="str">
        <f>IFERROR(VLOOKUP(DATA!#REF!,DATA!#REF!,1,FALSE),"")</f>
        <v/>
      </c>
      <c r="D4535" s="16" t="str">
        <f>IFERROR(VLOOKUP(C4535,DATA!#REF!,2,FALSE),"")</f>
        <v/>
      </c>
    </row>
    <row r="4536" spans="3:4" s="230" customFormat="1">
      <c r="C4536" s="16" t="str">
        <f>IFERROR(VLOOKUP(DATA!#REF!,DATA!#REF!,1,FALSE),"")</f>
        <v/>
      </c>
      <c r="D4536" s="16" t="str">
        <f>IFERROR(VLOOKUP(C4536,DATA!#REF!,2,FALSE),"")</f>
        <v/>
      </c>
    </row>
    <row r="4537" spans="3:4" s="230" customFormat="1">
      <c r="C4537" s="16" t="str">
        <f>IFERROR(VLOOKUP(DATA!#REF!,DATA!#REF!,1,FALSE),"")</f>
        <v/>
      </c>
      <c r="D4537" s="16" t="str">
        <f>IFERROR(VLOOKUP(C4537,DATA!#REF!,2,FALSE),"")</f>
        <v/>
      </c>
    </row>
    <row r="4538" spans="3:4" s="230" customFormat="1">
      <c r="C4538" s="16" t="str">
        <f>IFERROR(VLOOKUP(DATA!#REF!,DATA!#REF!,1,FALSE),"")</f>
        <v/>
      </c>
      <c r="D4538" s="16" t="str">
        <f>IFERROR(VLOOKUP(C4538,DATA!#REF!,2,FALSE),"")</f>
        <v/>
      </c>
    </row>
    <row r="4539" spans="3:4" s="230" customFormat="1">
      <c r="C4539" s="16" t="str">
        <f>IFERROR(VLOOKUP(DATA!#REF!,DATA!#REF!,1,FALSE),"")</f>
        <v/>
      </c>
      <c r="D4539" s="16" t="str">
        <f>IFERROR(VLOOKUP(C4539,DATA!#REF!,2,FALSE),"")</f>
        <v/>
      </c>
    </row>
    <row r="4540" spans="3:4" s="230" customFormat="1">
      <c r="C4540" s="16" t="str">
        <f>IFERROR(VLOOKUP(DATA!#REF!,DATA!#REF!,1,FALSE),"")</f>
        <v/>
      </c>
      <c r="D4540" s="16" t="str">
        <f>IFERROR(VLOOKUP(C4540,DATA!#REF!,2,FALSE),"")</f>
        <v/>
      </c>
    </row>
    <row r="4541" spans="3:4" s="230" customFormat="1">
      <c r="C4541" s="16" t="str">
        <f>IFERROR(VLOOKUP(DATA!#REF!,DATA!#REF!,1,FALSE),"")</f>
        <v/>
      </c>
      <c r="D4541" s="16" t="str">
        <f>IFERROR(VLOOKUP(C4541,DATA!#REF!,2,FALSE),"")</f>
        <v/>
      </c>
    </row>
    <row r="4542" spans="3:4" s="230" customFormat="1">
      <c r="C4542" s="16" t="str">
        <f>IFERROR(VLOOKUP(DATA!#REF!,DATA!#REF!,1,FALSE),"")</f>
        <v/>
      </c>
      <c r="D4542" s="16" t="str">
        <f>IFERROR(VLOOKUP(C4542,DATA!#REF!,2,FALSE),"")</f>
        <v/>
      </c>
    </row>
    <row r="4543" spans="3:4" s="230" customFormat="1">
      <c r="C4543" s="16" t="str">
        <f>IFERROR(VLOOKUP(DATA!#REF!,DATA!#REF!,1,FALSE),"")</f>
        <v/>
      </c>
      <c r="D4543" s="16" t="str">
        <f>IFERROR(VLOOKUP(C4543,DATA!#REF!,2,FALSE),"")</f>
        <v/>
      </c>
    </row>
    <row r="4544" spans="3:4" s="230" customFormat="1">
      <c r="C4544" s="16" t="str">
        <f>IFERROR(VLOOKUP(DATA!#REF!,DATA!#REF!,1,FALSE),"")</f>
        <v/>
      </c>
      <c r="D4544" s="16" t="str">
        <f>IFERROR(VLOOKUP(C4544,DATA!#REF!,2,FALSE),"")</f>
        <v/>
      </c>
    </row>
    <row r="4545" spans="3:4" s="230" customFormat="1">
      <c r="C4545" s="16" t="str">
        <f>IFERROR(VLOOKUP(DATA!#REF!,DATA!#REF!,1,FALSE),"")</f>
        <v/>
      </c>
      <c r="D4545" s="16" t="str">
        <f>IFERROR(VLOOKUP(C4545,DATA!#REF!,2,FALSE),"")</f>
        <v/>
      </c>
    </row>
    <row r="4546" spans="3:4" s="230" customFormat="1">
      <c r="C4546" s="16" t="str">
        <f>IFERROR(VLOOKUP(DATA!#REF!,DATA!#REF!,1,FALSE),"")</f>
        <v/>
      </c>
      <c r="D4546" s="16" t="str">
        <f>IFERROR(VLOOKUP(C4546,DATA!#REF!,2,FALSE),"")</f>
        <v/>
      </c>
    </row>
    <row r="4547" spans="3:4" s="230" customFormat="1">
      <c r="C4547" s="16" t="str">
        <f>IFERROR(VLOOKUP(DATA!#REF!,DATA!#REF!,1,FALSE),"")</f>
        <v/>
      </c>
      <c r="D4547" s="16" t="str">
        <f>IFERROR(VLOOKUP(C4547,DATA!#REF!,2,FALSE),"")</f>
        <v/>
      </c>
    </row>
    <row r="4548" spans="3:4" s="230" customFormat="1">
      <c r="C4548" s="16" t="str">
        <f>IFERROR(VLOOKUP(DATA!#REF!,DATA!#REF!,1,FALSE),"")</f>
        <v/>
      </c>
      <c r="D4548" s="16" t="str">
        <f>IFERROR(VLOOKUP(C4548,DATA!#REF!,2,FALSE),"")</f>
        <v/>
      </c>
    </row>
    <row r="4549" spans="3:4" s="230" customFormat="1">
      <c r="C4549" s="16" t="str">
        <f>IFERROR(VLOOKUP(DATA!#REF!,DATA!#REF!,1,FALSE),"")</f>
        <v/>
      </c>
      <c r="D4549" s="16" t="str">
        <f>IFERROR(VLOOKUP(C4549,DATA!#REF!,2,FALSE),"")</f>
        <v/>
      </c>
    </row>
    <row r="4550" spans="3:4" s="230" customFormat="1">
      <c r="C4550" s="16" t="str">
        <f>IFERROR(VLOOKUP(DATA!#REF!,DATA!#REF!,1,FALSE),"")</f>
        <v/>
      </c>
      <c r="D4550" s="16" t="str">
        <f>IFERROR(VLOOKUP(C4550,DATA!#REF!,2,FALSE),"")</f>
        <v/>
      </c>
    </row>
    <row r="4551" spans="3:4" s="230" customFormat="1">
      <c r="C4551" s="16" t="str">
        <f>IFERROR(VLOOKUP(DATA!#REF!,DATA!#REF!,1,FALSE),"")</f>
        <v/>
      </c>
      <c r="D4551" s="16" t="str">
        <f>IFERROR(VLOOKUP(C4551,DATA!#REF!,2,FALSE),"")</f>
        <v/>
      </c>
    </row>
    <row r="4552" spans="3:4" s="230" customFormat="1">
      <c r="C4552" s="16" t="str">
        <f>IFERROR(VLOOKUP(DATA!#REF!,DATA!#REF!,1,FALSE),"")</f>
        <v/>
      </c>
      <c r="D4552" s="16" t="str">
        <f>IFERROR(VLOOKUP(C4552,DATA!#REF!,2,FALSE),"")</f>
        <v/>
      </c>
    </row>
    <row r="4553" spans="3:4" s="230" customFormat="1">
      <c r="C4553" s="16" t="str">
        <f>IFERROR(VLOOKUP(DATA!#REF!,DATA!#REF!,1,FALSE),"")</f>
        <v/>
      </c>
      <c r="D4553" s="16" t="str">
        <f>IFERROR(VLOOKUP(C4553,DATA!#REF!,2,FALSE),"")</f>
        <v/>
      </c>
    </row>
    <row r="4554" spans="3:4" s="230" customFormat="1">
      <c r="C4554" s="16" t="str">
        <f>IFERROR(VLOOKUP(DATA!#REF!,DATA!#REF!,1,FALSE),"")</f>
        <v/>
      </c>
      <c r="D4554" s="16" t="str">
        <f>IFERROR(VLOOKUP(C4554,DATA!#REF!,2,FALSE),"")</f>
        <v/>
      </c>
    </row>
    <row r="4555" spans="3:4" s="230" customFormat="1">
      <c r="C4555" s="16" t="str">
        <f>IFERROR(VLOOKUP(DATA!#REF!,DATA!#REF!,1,FALSE),"")</f>
        <v/>
      </c>
      <c r="D4555" s="16" t="str">
        <f>IFERROR(VLOOKUP(C4555,DATA!#REF!,2,FALSE),"")</f>
        <v/>
      </c>
    </row>
    <row r="4556" spans="3:4" s="230" customFormat="1">
      <c r="C4556" s="16" t="str">
        <f>IFERROR(VLOOKUP(DATA!#REF!,DATA!#REF!,1,FALSE),"")</f>
        <v/>
      </c>
      <c r="D4556" s="16" t="str">
        <f>IFERROR(VLOOKUP(C4556,DATA!#REF!,2,FALSE),"")</f>
        <v/>
      </c>
    </row>
    <row r="4557" spans="3:4" s="230" customFormat="1">
      <c r="C4557" s="16" t="str">
        <f>IFERROR(VLOOKUP(DATA!#REF!,DATA!#REF!,1,FALSE),"")</f>
        <v/>
      </c>
      <c r="D4557" s="16" t="str">
        <f>IFERROR(VLOOKUP(C4557,DATA!#REF!,2,FALSE),"")</f>
        <v/>
      </c>
    </row>
    <row r="4558" spans="3:4" s="230" customFormat="1">
      <c r="C4558" s="16" t="str">
        <f>IFERROR(VLOOKUP(DATA!#REF!,DATA!#REF!,1,FALSE),"")</f>
        <v/>
      </c>
      <c r="D4558" s="16" t="str">
        <f>IFERROR(VLOOKUP(C4558,DATA!#REF!,2,FALSE),"")</f>
        <v/>
      </c>
    </row>
    <row r="4559" spans="3:4" s="230" customFormat="1">
      <c r="C4559" s="16" t="str">
        <f>IFERROR(VLOOKUP(DATA!#REF!,DATA!#REF!,1,FALSE),"")</f>
        <v/>
      </c>
      <c r="D4559" s="16" t="str">
        <f>IFERROR(VLOOKUP(C4559,DATA!#REF!,2,FALSE),"")</f>
        <v/>
      </c>
    </row>
    <row r="4560" spans="3:4" s="230" customFormat="1">
      <c r="C4560" s="16" t="str">
        <f>IFERROR(VLOOKUP(DATA!#REF!,DATA!#REF!,1,FALSE),"")</f>
        <v/>
      </c>
      <c r="D4560" s="16" t="str">
        <f>IFERROR(VLOOKUP(C4560,DATA!#REF!,2,FALSE),"")</f>
        <v/>
      </c>
    </row>
    <row r="4561" spans="3:4" s="230" customFormat="1">
      <c r="C4561" s="16" t="str">
        <f>IFERROR(VLOOKUP(DATA!#REF!,DATA!#REF!,1,FALSE),"")</f>
        <v/>
      </c>
      <c r="D4561" s="16" t="str">
        <f>IFERROR(VLOOKUP(C4561,DATA!#REF!,2,FALSE),"")</f>
        <v/>
      </c>
    </row>
    <row r="4562" spans="3:4" s="230" customFormat="1">
      <c r="C4562" s="16" t="str">
        <f>IFERROR(VLOOKUP(DATA!#REF!,DATA!#REF!,1,FALSE),"")</f>
        <v/>
      </c>
      <c r="D4562" s="16" t="str">
        <f>IFERROR(VLOOKUP(C4562,DATA!#REF!,2,FALSE),"")</f>
        <v/>
      </c>
    </row>
    <row r="4563" spans="3:4" s="230" customFormat="1">
      <c r="C4563" s="16" t="str">
        <f>IFERROR(VLOOKUP(DATA!#REF!,DATA!#REF!,1,FALSE),"")</f>
        <v/>
      </c>
      <c r="D4563" s="16" t="str">
        <f>IFERROR(VLOOKUP(C4563,DATA!#REF!,2,FALSE),"")</f>
        <v/>
      </c>
    </row>
    <row r="4564" spans="3:4" s="230" customFormat="1">
      <c r="C4564" s="16" t="str">
        <f>IFERROR(VLOOKUP(DATA!#REF!,DATA!#REF!,1,FALSE),"")</f>
        <v/>
      </c>
      <c r="D4564" s="16" t="str">
        <f>IFERROR(VLOOKUP(C4564,DATA!#REF!,2,FALSE),"")</f>
        <v/>
      </c>
    </row>
    <row r="4565" spans="3:4" s="230" customFormat="1">
      <c r="C4565" s="16" t="str">
        <f>IFERROR(VLOOKUP(DATA!#REF!,DATA!#REF!,1,FALSE),"")</f>
        <v/>
      </c>
      <c r="D4565" s="16" t="str">
        <f>IFERROR(VLOOKUP(C4565,DATA!#REF!,2,FALSE),"")</f>
        <v/>
      </c>
    </row>
    <row r="4566" spans="3:4" s="230" customFormat="1">
      <c r="C4566" s="16" t="str">
        <f>IFERROR(VLOOKUP(DATA!#REF!,DATA!#REF!,1,FALSE),"")</f>
        <v/>
      </c>
      <c r="D4566" s="16" t="str">
        <f>IFERROR(VLOOKUP(C4566,DATA!#REF!,2,FALSE),"")</f>
        <v/>
      </c>
    </row>
    <row r="4567" spans="3:4" s="230" customFormat="1">
      <c r="C4567" s="16" t="str">
        <f>IFERROR(VLOOKUP(DATA!#REF!,DATA!#REF!,1,FALSE),"")</f>
        <v/>
      </c>
      <c r="D4567" s="16" t="str">
        <f>IFERROR(VLOOKUP(C4567,DATA!#REF!,2,FALSE),"")</f>
        <v/>
      </c>
    </row>
    <row r="4568" spans="3:4" s="230" customFormat="1">
      <c r="C4568" s="16" t="str">
        <f>IFERROR(VLOOKUP(DATA!#REF!,DATA!#REF!,1,FALSE),"")</f>
        <v/>
      </c>
      <c r="D4568" s="16" t="str">
        <f>IFERROR(VLOOKUP(C4568,DATA!#REF!,2,FALSE),"")</f>
        <v/>
      </c>
    </row>
    <row r="4569" spans="3:4" s="230" customFormat="1">
      <c r="C4569" s="16" t="str">
        <f>IFERROR(VLOOKUP(DATA!#REF!,DATA!#REF!,1,FALSE),"")</f>
        <v/>
      </c>
      <c r="D4569" s="16" t="str">
        <f>IFERROR(VLOOKUP(C4569,DATA!#REF!,2,FALSE),"")</f>
        <v/>
      </c>
    </row>
    <row r="4570" spans="3:4" s="230" customFormat="1">
      <c r="C4570" s="16" t="str">
        <f>IFERROR(VLOOKUP(DATA!#REF!,DATA!#REF!,1,FALSE),"")</f>
        <v/>
      </c>
      <c r="D4570" s="16" t="str">
        <f>IFERROR(VLOOKUP(C4570,DATA!#REF!,2,FALSE),"")</f>
        <v/>
      </c>
    </row>
    <row r="4571" spans="3:4" s="230" customFormat="1">
      <c r="C4571" s="16" t="str">
        <f>IFERROR(VLOOKUP(DATA!#REF!,DATA!#REF!,1,FALSE),"")</f>
        <v/>
      </c>
      <c r="D4571" s="16" t="str">
        <f>IFERROR(VLOOKUP(C4571,DATA!#REF!,2,FALSE),"")</f>
        <v/>
      </c>
    </row>
    <row r="4572" spans="3:4" s="230" customFormat="1">
      <c r="C4572" s="16" t="str">
        <f>IFERROR(VLOOKUP(DATA!#REF!,DATA!#REF!,1,FALSE),"")</f>
        <v/>
      </c>
      <c r="D4572" s="16" t="str">
        <f>IFERROR(VLOOKUP(C4572,DATA!#REF!,2,FALSE),"")</f>
        <v/>
      </c>
    </row>
    <row r="4573" spans="3:4" s="230" customFormat="1">
      <c r="C4573" s="16" t="str">
        <f>IFERROR(VLOOKUP(DATA!#REF!,DATA!#REF!,1,FALSE),"")</f>
        <v/>
      </c>
      <c r="D4573" s="16" t="str">
        <f>IFERROR(VLOOKUP(C4573,DATA!#REF!,2,FALSE),"")</f>
        <v/>
      </c>
    </row>
    <row r="4574" spans="3:4" s="230" customFormat="1">
      <c r="C4574" s="16" t="str">
        <f>IFERROR(VLOOKUP(DATA!#REF!,DATA!#REF!,1,FALSE),"")</f>
        <v/>
      </c>
      <c r="D4574" s="16" t="str">
        <f>IFERROR(VLOOKUP(C4574,DATA!#REF!,2,FALSE),"")</f>
        <v/>
      </c>
    </row>
    <row r="4575" spans="3:4" s="230" customFormat="1">
      <c r="C4575" s="16" t="str">
        <f>IFERROR(VLOOKUP(DATA!#REF!,DATA!#REF!,1,FALSE),"")</f>
        <v/>
      </c>
      <c r="D4575" s="16" t="str">
        <f>IFERROR(VLOOKUP(C4575,DATA!#REF!,2,FALSE),"")</f>
        <v/>
      </c>
    </row>
    <row r="4576" spans="3:4" s="230" customFormat="1">
      <c r="C4576" s="16" t="str">
        <f>IFERROR(VLOOKUP(DATA!#REF!,DATA!#REF!,1,FALSE),"")</f>
        <v/>
      </c>
      <c r="D4576" s="16" t="str">
        <f>IFERROR(VLOOKUP(C4576,DATA!#REF!,2,FALSE),"")</f>
        <v/>
      </c>
    </row>
    <row r="4577" spans="3:4" s="230" customFormat="1">
      <c r="C4577" s="16" t="str">
        <f>IFERROR(VLOOKUP(DATA!#REF!,DATA!#REF!,1,FALSE),"")</f>
        <v/>
      </c>
      <c r="D4577" s="16" t="str">
        <f>IFERROR(VLOOKUP(C4577,DATA!#REF!,2,FALSE),"")</f>
        <v/>
      </c>
    </row>
    <row r="4578" spans="3:4" s="230" customFormat="1">
      <c r="C4578" s="16" t="str">
        <f>IFERROR(VLOOKUP(DATA!#REF!,DATA!#REF!,1,FALSE),"")</f>
        <v/>
      </c>
      <c r="D4578" s="16" t="str">
        <f>IFERROR(VLOOKUP(C4578,DATA!#REF!,2,FALSE),"")</f>
        <v/>
      </c>
    </row>
    <row r="4579" spans="3:4" s="230" customFormat="1">
      <c r="C4579" s="16" t="str">
        <f>IFERROR(VLOOKUP(DATA!#REF!,DATA!#REF!,1,FALSE),"")</f>
        <v/>
      </c>
      <c r="D4579" s="16" t="str">
        <f>IFERROR(VLOOKUP(C4579,DATA!#REF!,2,FALSE),"")</f>
        <v/>
      </c>
    </row>
    <row r="4580" spans="3:4" s="230" customFormat="1">
      <c r="C4580" s="16" t="str">
        <f>IFERROR(VLOOKUP(DATA!#REF!,DATA!#REF!,1,FALSE),"")</f>
        <v/>
      </c>
      <c r="D4580" s="16" t="str">
        <f>IFERROR(VLOOKUP(C4580,DATA!#REF!,2,FALSE),"")</f>
        <v/>
      </c>
    </row>
    <row r="4581" spans="3:4" s="230" customFormat="1">
      <c r="C4581" s="16" t="str">
        <f>IFERROR(VLOOKUP(DATA!#REF!,DATA!#REF!,1,FALSE),"")</f>
        <v/>
      </c>
      <c r="D4581" s="16" t="str">
        <f>IFERROR(VLOOKUP(C4581,DATA!#REF!,2,FALSE),"")</f>
        <v/>
      </c>
    </row>
    <row r="4582" spans="3:4" s="230" customFormat="1">
      <c r="C4582" s="16" t="str">
        <f>IFERROR(VLOOKUP(DATA!#REF!,DATA!#REF!,1,FALSE),"")</f>
        <v/>
      </c>
      <c r="D4582" s="16" t="str">
        <f>IFERROR(VLOOKUP(C4582,DATA!#REF!,2,FALSE),"")</f>
        <v/>
      </c>
    </row>
    <row r="4583" spans="3:4" s="230" customFormat="1">
      <c r="C4583" s="16" t="str">
        <f>IFERROR(VLOOKUP(DATA!#REF!,DATA!#REF!,1,FALSE),"")</f>
        <v/>
      </c>
      <c r="D4583" s="16" t="str">
        <f>IFERROR(VLOOKUP(C4583,DATA!#REF!,2,FALSE),"")</f>
        <v/>
      </c>
    </row>
    <row r="4584" spans="3:4" s="230" customFormat="1">
      <c r="C4584" s="16" t="str">
        <f>IFERROR(VLOOKUP(DATA!#REF!,DATA!#REF!,1,FALSE),"")</f>
        <v/>
      </c>
      <c r="D4584" s="16" t="str">
        <f>IFERROR(VLOOKUP(C4584,DATA!#REF!,2,FALSE),"")</f>
        <v/>
      </c>
    </row>
    <row r="4585" spans="3:4" s="230" customFormat="1">
      <c r="C4585" s="16" t="str">
        <f>IFERROR(VLOOKUP(DATA!#REF!,DATA!#REF!,1,FALSE),"")</f>
        <v/>
      </c>
      <c r="D4585" s="16" t="str">
        <f>IFERROR(VLOOKUP(C4585,DATA!#REF!,2,FALSE),"")</f>
        <v/>
      </c>
    </row>
    <row r="4586" spans="3:4" s="230" customFormat="1">
      <c r="C4586" s="16" t="str">
        <f>IFERROR(VLOOKUP(DATA!#REF!,DATA!#REF!,1,FALSE),"")</f>
        <v/>
      </c>
      <c r="D4586" s="16" t="str">
        <f>IFERROR(VLOOKUP(C4586,DATA!#REF!,2,FALSE),"")</f>
        <v/>
      </c>
    </row>
    <row r="4587" spans="3:4" s="230" customFormat="1">
      <c r="C4587" s="16" t="str">
        <f>IFERROR(VLOOKUP(DATA!#REF!,DATA!#REF!,1,FALSE),"")</f>
        <v/>
      </c>
      <c r="D4587" s="16" t="str">
        <f>IFERROR(VLOOKUP(C4587,DATA!#REF!,2,FALSE),"")</f>
        <v/>
      </c>
    </row>
    <row r="4588" spans="3:4" s="230" customFormat="1">
      <c r="C4588" s="16" t="str">
        <f>IFERROR(VLOOKUP(DATA!#REF!,DATA!#REF!,1,FALSE),"")</f>
        <v/>
      </c>
      <c r="D4588" s="16" t="str">
        <f>IFERROR(VLOOKUP(C4588,DATA!#REF!,2,FALSE),"")</f>
        <v/>
      </c>
    </row>
    <row r="4589" spans="3:4" s="230" customFormat="1">
      <c r="C4589" s="16" t="str">
        <f>IFERROR(VLOOKUP(DATA!#REF!,DATA!#REF!,1,FALSE),"")</f>
        <v/>
      </c>
      <c r="D4589" s="16" t="str">
        <f>IFERROR(VLOOKUP(C4589,DATA!#REF!,2,FALSE),"")</f>
        <v/>
      </c>
    </row>
    <row r="4590" spans="3:4" s="230" customFormat="1">
      <c r="C4590" s="16" t="str">
        <f>IFERROR(VLOOKUP(DATA!#REF!,DATA!#REF!,1,FALSE),"")</f>
        <v/>
      </c>
      <c r="D4590" s="16" t="str">
        <f>IFERROR(VLOOKUP(C4590,DATA!#REF!,2,FALSE),"")</f>
        <v/>
      </c>
    </row>
    <row r="4591" spans="3:4" s="230" customFormat="1">
      <c r="C4591" s="16" t="str">
        <f>IFERROR(VLOOKUP(DATA!#REF!,DATA!#REF!,1,FALSE),"")</f>
        <v/>
      </c>
      <c r="D4591" s="16" t="str">
        <f>IFERROR(VLOOKUP(C4591,DATA!#REF!,2,FALSE),"")</f>
        <v/>
      </c>
    </row>
    <row r="4592" spans="3:4" s="230" customFormat="1">
      <c r="C4592" s="16" t="str">
        <f>IFERROR(VLOOKUP(DATA!#REF!,DATA!#REF!,1,FALSE),"")</f>
        <v/>
      </c>
      <c r="D4592" s="16" t="str">
        <f>IFERROR(VLOOKUP(C4592,DATA!#REF!,2,FALSE),"")</f>
        <v/>
      </c>
    </row>
    <row r="4593" spans="3:4" s="230" customFormat="1">
      <c r="C4593" s="16" t="str">
        <f>IFERROR(VLOOKUP(DATA!#REF!,DATA!#REF!,1,FALSE),"")</f>
        <v/>
      </c>
      <c r="D4593" s="16" t="str">
        <f>IFERROR(VLOOKUP(C4593,DATA!#REF!,2,FALSE),"")</f>
        <v/>
      </c>
    </row>
    <row r="4594" spans="3:4" s="230" customFormat="1">
      <c r="C4594" s="16" t="str">
        <f>IFERROR(VLOOKUP(DATA!#REF!,DATA!#REF!,1,FALSE),"")</f>
        <v/>
      </c>
      <c r="D4594" s="16" t="str">
        <f>IFERROR(VLOOKUP(C4594,DATA!#REF!,2,FALSE),"")</f>
        <v/>
      </c>
    </row>
    <row r="4595" spans="3:4" s="230" customFormat="1">
      <c r="C4595" s="16" t="str">
        <f>IFERROR(VLOOKUP(DATA!#REF!,DATA!#REF!,1,FALSE),"")</f>
        <v/>
      </c>
      <c r="D4595" s="16" t="str">
        <f>IFERROR(VLOOKUP(C4595,DATA!#REF!,2,FALSE),"")</f>
        <v/>
      </c>
    </row>
    <row r="4596" spans="3:4" s="230" customFormat="1">
      <c r="C4596" s="16" t="str">
        <f>IFERROR(VLOOKUP(DATA!#REF!,DATA!#REF!,1,FALSE),"")</f>
        <v/>
      </c>
      <c r="D4596" s="16" t="str">
        <f>IFERROR(VLOOKUP(C4596,DATA!#REF!,2,FALSE),"")</f>
        <v/>
      </c>
    </row>
    <row r="4597" spans="3:4" s="230" customFormat="1">
      <c r="C4597" s="16" t="str">
        <f>IFERROR(VLOOKUP(DATA!#REF!,DATA!#REF!,1,FALSE),"")</f>
        <v/>
      </c>
      <c r="D4597" s="16" t="str">
        <f>IFERROR(VLOOKUP(C4597,DATA!#REF!,2,FALSE),"")</f>
        <v/>
      </c>
    </row>
    <row r="4598" spans="3:4" s="230" customFormat="1">
      <c r="C4598" s="16" t="str">
        <f>IFERROR(VLOOKUP(DATA!#REF!,DATA!#REF!,1,FALSE),"")</f>
        <v/>
      </c>
      <c r="D4598" s="16" t="str">
        <f>IFERROR(VLOOKUP(C4598,DATA!#REF!,2,FALSE),"")</f>
        <v/>
      </c>
    </row>
    <row r="4599" spans="3:4" s="230" customFormat="1">
      <c r="C4599" s="16" t="str">
        <f>IFERROR(VLOOKUP(DATA!#REF!,DATA!#REF!,1,FALSE),"")</f>
        <v/>
      </c>
      <c r="D4599" s="16" t="str">
        <f>IFERROR(VLOOKUP(C4599,DATA!#REF!,2,FALSE),"")</f>
        <v/>
      </c>
    </row>
    <row r="4600" spans="3:4" s="230" customFormat="1">
      <c r="C4600" s="16" t="str">
        <f>IFERROR(VLOOKUP(DATA!#REF!,DATA!#REF!,1,FALSE),"")</f>
        <v/>
      </c>
      <c r="D4600" s="16" t="str">
        <f>IFERROR(VLOOKUP(C4600,DATA!#REF!,2,FALSE),"")</f>
        <v/>
      </c>
    </row>
    <row r="4601" spans="3:4" s="230" customFormat="1">
      <c r="C4601" s="16" t="str">
        <f>IFERROR(VLOOKUP(DATA!#REF!,DATA!#REF!,1,FALSE),"")</f>
        <v/>
      </c>
      <c r="D4601" s="16" t="str">
        <f>IFERROR(VLOOKUP(C4601,DATA!#REF!,2,FALSE),"")</f>
        <v/>
      </c>
    </row>
    <row r="4602" spans="3:4" s="230" customFormat="1">
      <c r="C4602" s="16" t="str">
        <f>IFERROR(VLOOKUP(DATA!#REF!,DATA!#REF!,1,FALSE),"")</f>
        <v/>
      </c>
      <c r="D4602" s="16" t="str">
        <f>IFERROR(VLOOKUP(C4602,DATA!#REF!,2,FALSE),"")</f>
        <v/>
      </c>
    </row>
    <row r="4603" spans="3:4" s="230" customFormat="1">
      <c r="C4603" s="16" t="str">
        <f>IFERROR(VLOOKUP(DATA!#REF!,DATA!#REF!,1,FALSE),"")</f>
        <v/>
      </c>
      <c r="D4603" s="16" t="str">
        <f>IFERROR(VLOOKUP(C4603,DATA!#REF!,2,FALSE),"")</f>
        <v/>
      </c>
    </row>
    <row r="4604" spans="3:4" s="230" customFormat="1">
      <c r="C4604" s="16" t="str">
        <f>IFERROR(VLOOKUP(DATA!#REF!,DATA!#REF!,1,FALSE),"")</f>
        <v/>
      </c>
      <c r="D4604" s="16" t="str">
        <f>IFERROR(VLOOKUP(C4604,DATA!#REF!,2,FALSE),"")</f>
        <v/>
      </c>
    </row>
    <row r="4605" spans="3:4" s="230" customFormat="1">
      <c r="C4605" s="16" t="str">
        <f>IFERROR(VLOOKUP(DATA!#REF!,DATA!#REF!,1,FALSE),"")</f>
        <v/>
      </c>
      <c r="D4605" s="16" t="str">
        <f>IFERROR(VLOOKUP(C4605,DATA!#REF!,2,FALSE),"")</f>
        <v/>
      </c>
    </row>
    <row r="4606" spans="3:4" s="230" customFormat="1">
      <c r="C4606" s="16" t="str">
        <f>IFERROR(VLOOKUP(DATA!#REF!,DATA!#REF!,1,FALSE),"")</f>
        <v/>
      </c>
      <c r="D4606" s="16" t="str">
        <f>IFERROR(VLOOKUP(C4606,DATA!#REF!,2,FALSE),"")</f>
        <v/>
      </c>
    </row>
    <row r="4607" spans="3:4" s="230" customFormat="1">
      <c r="C4607" s="16" t="str">
        <f>IFERROR(VLOOKUP(DATA!#REF!,DATA!#REF!,1,FALSE),"")</f>
        <v/>
      </c>
      <c r="D4607" s="16" t="str">
        <f>IFERROR(VLOOKUP(C4607,DATA!#REF!,2,FALSE),"")</f>
        <v/>
      </c>
    </row>
    <row r="4608" spans="3:4" s="230" customFormat="1">
      <c r="C4608" s="16" t="str">
        <f>IFERROR(VLOOKUP(DATA!#REF!,DATA!#REF!,1,FALSE),"")</f>
        <v/>
      </c>
      <c r="D4608" s="16" t="str">
        <f>IFERROR(VLOOKUP(C4608,DATA!#REF!,2,FALSE),"")</f>
        <v/>
      </c>
    </row>
    <row r="4609" spans="3:4" s="230" customFormat="1">
      <c r="C4609" s="16" t="str">
        <f>IFERROR(VLOOKUP(DATA!#REF!,DATA!#REF!,1,FALSE),"")</f>
        <v/>
      </c>
      <c r="D4609" s="16" t="str">
        <f>IFERROR(VLOOKUP(C4609,DATA!#REF!,2,FALSE),"")</f>
        <v/>
      </c>
    </row>
    <row r="4610" spans="3:4" s="230" customFormat="1">
      <c r="C4610" s="16" t="str">
        <f>IFERROR(VLOOKUP(DATA!#REF!,DATA!#REF!,1,FALSE),"")</f>
        <v/>
      </c>
      <c r="D4610" s="16" t="str">
        <f>IFERROR(VLOOKUP(C4610,DATA!#REF!,2,FALSE),"")</f>
        <v/>
      </c>
    </row>
    <row r="4611" spans="3:4" s="230" customFormat="1">
      <c r="C4611" s="16" t="str">
        <f>IFERROR(VLOOKUP(DATA!#REF!,DATA!#REF!,1,FALSE),"")</f>
        <v/>
      </c>
      <c r="D4611" s="16" t="str">
        <f>IFERROR(VLOOKUP(C4611,DATA!#REF!,2,FALSE),"")</f>
        <v/>
      </c>
    </row>
    <row r="4612" spans="3:4" s="230" customFormat="1">
      <c r="C4612" s="16" t="str">
        <f>IFERROR(VLOOKUP(DATA!#REF!,DATA!#REF!,1,FALSE),"")</f>
        <v/>
      </c>
      <c r="D4612" s="16" t="str">
        <f>IFERROR(VLOOKUP(C4612,DATA!#REF!,2,FALSE),"")</f>
        <v/>
      </c>
    </row>
    <row r="4613" spans="3:4" s="230" customFormat="1">
      <c r="C4613" s="16" t="str">
        <f>IFERROR(VLOOKUP(DATA!#REF!,DATA!#REF!,1,FALSE),"")</f>
        <v/>
      </c>
      <c r="D4613" s="16" t="str">
        <f>IFERROR(VLOOKUP(C4613,DATA!#REF!,2,FALSE),"")</f>
        <v/>
      </c>
    </row>
    <row r="4614" spans="3:4" s="230" customFormat="1">
      <c r="C4614" s="16" t="str">
        <f>IFERROR(VLOOKUP(DATA!#REF!,DATA!#REF!,1,FALSE),"")</f>
        <v/>
      </c>
      <c r="D4614" s="16" t="str">
        <f>IFERROR(VLOOKUP(C4614,DATA!#REF!,2,FALSE),"")</f>
        <v/>
      </c>
    </row>
    <row r="4615" spans="3:4" s="230" customFormat="1">
      <c r="C4615" s="16" t="str">
        <f>IFERROR(VLOOKUP(DATA!#REF!,DATA!#REF!,1,FALSE),"")</f>
        <v/>
      </c>
      <c r="D4615" s="16" t="str">
        <f>IFERROR(VLOOKUP(C4615,DATA!#REF!,2,FALSE),"")</f>
        <v/>
      </c>
    </row>
    <row r="4616" spans="3:4" s="230" customFormat="1">
      <c r="C4616" s="16" t="str">
        <f>IFERROR(VLOOKUP(DATA!#REF!,DATA!#REF!,1,FALSE),"")</f>
        <v/>
      </c>
      <c r="D4616" s="16" t="str">
        <f>IFERROR(VLOOKUP(C4616,DATA!#REF!,2,FALSE),"")</f>
        <v/>
      </c>
    </row>
    <row r="4617" spans="3:4" s="230" customFormat="1">
      <c r="C4617" s="16" t="str">
        <f>IFERROR(VLOOKUP(DATA!#REF!,DATA!#REF!,1,FALSE),"")</f>
        <v/>
      </c>
      <c r="D4617" s="16" t="str">
        <f>IFERROR(VLOOKUP(C4617,DATA!#REF!,2,FALSE),"")</f>
        <v/>
      </c>
    </row>
    <row r="4618" spans="3:4" s="230" customFormat="1">
      <c r="C4618" s="16" t="str">
        <f>IFERROR(VLOOKUP(DATA!#REF!,DATA!#REF!,1,FALSE),"")</f>
        <v/>
      </c>
      <c r="D4618" s="16" t="str">
        <f>IFERROR(VLOOKUP(C4618,DATA!#REF!,2,FALSE),"")</f>
        <v/>
      </c>
    </row>
    <row r="4619" spans="3:4" s="230" customFormat="1">
      <c r="C4619" s="16" t="str">
        <f>IFERROR(VLOOKUP(DATA!#REF!,DATA!#REF!,1,FALSE),"")</f>
        <v/>
      </c>
      <c r="D4619" s="16" t="str">
        <f>IFERROR(VLOOKUP(C4619,DATA!#REF!,2,FALSE),"")</f>
        <v/>
      </c>
    </row>
    <row r="4620" spans="3:4" s="230" customFormat="1">
      <c r="C4620" s="16" t="str">
        <f>IFERROR(VLOOKUP(DATA!#REF!,DATA!#REF!,1,FALSE),"")</f>
        <v/>
      </c>
      <c r="D4620" s="16" t="str">
        <f>IFERROR(VLOOKUP(C4620,DATA!#REF!,2,FALSE),"")</f>
        <v/>
      </c>
    </row>
    <row r="4621" spans="3:4" s="230" customFormat="1">
      <c r="C4621" s="16" t="str">
        <f>IFERROR(VLOOKUP(DATA!#REF!,DATA!#REF!,1,FALSE),"")</f>
        <v/>
      </c>
      <c r="D4621" s="16" t="str">
        <f>IFERROR(VLOOKUP(C4621,DATA!#REF!,2,FALSE),"")</f>
        <v/>
      </c>
    </row>
    <row r="4622" spans="3:4" s="230" customFormat="1">
      <c r="C4622" s="16" t="str">
        <f>IFERROR(VLOOKUP(DATA!#REF!,DATA!#REF!,1,FALSE),"")</f>
        <v/>
      </c>
      <c r="D4622" s="16" t="str">
        <f>IFERROR(VLOOKUP(C4622,DATA!#REF!,2,FALSE),"")</f>
        <v/>
      </c>
    </row>
    <row r="4623" spans="3:4" s="230" customFormat="1">
      <c r="C4623" s="16" t="str">
        <f>IFERROR(VLOOKUP(DATA!#REF!,DATA!#REF!,1,FALSE),"")</f>
        <v/>
      </c>
      <c r="D4623" s="16" t="str">
        <f>IFERROR(VLOOKUP(C4623,DATA!#REF!,2,FALSE),"")</f>
        <v/>
      </c>
    </row>
    <row r="4624" spans="3:4" s="230" customFormat="1">
      <c r="C4624" s="16" t="str">
        <f>IFERROR(VLOOKUP(DATA!#REF!,DATA!#REF!,1,FALSE),"")</f>
        <v/>
      </c>
      <c r="D4624" s="16" t="str">
        <f>IFERROR(VLOOKUP(C4624,DATA!#REF!,2,FALSE),"")</f>
        <v/>
      </c>
    </row>
    <row r="4625" spans="3:4" s="230" customFormat="1">
      <c r="C4625" s="16" t="str">
        <f>IFERROR(VLOOKUP(DATA!#REF!,DATA!#REF!,1,FALSE),"")</f>
        <v/>
      </c>
      <c r="D4625" s="16" t="str">
        <f>IFERROR(VLOOKUP(C4625,DATA!#REF!,2,FALSE),"")</f>
        <v/>
      </c>
    </row>
    <row r="4626" spans="3:4" s="230" customFormat="1">
      <c r="C4626" s="16" t="str">
        <f>IFERROR(VLOOKUP(DATA!#REF!,DATA!#REF!,1,FALSE),"")</f>
        <v/>
      </c>
      <c r="D4626" s="16" t="str">
        <f>IFERROR(VLOOKUP(C4626,DATA!#REF!,2,FALSE),"")</f>
        <v/>
      </c>
    </row>
    <row r="4627" spans="3:4" s="230" customFormat="1">
      <c r="C4627" s="16" t="str">
        <f>IFERROR(VLOOKUP(DATA!#REF!,DATA!#REF!,1,FALSE),"")</f>
        <v/>
      </c>
      <c r="D4627" s="16" t="str">
        <f>IFERROR(VLOOKUP(C4627,DATA!#REF!,2,FALSE),"")</f>
        <v/>
      </c>
    </row>
    <row r="4628" spans="3:4" s="230" customFormat="1">
      <c r="C4628" s="16" t="str">
        <f>IFERROR(VLOOKUP(DATA!#REF!,DATA!#REF!,1,FALSE),"")</f>
        <v/>
      </c>
      <c r="D4628" s="16" t="str">
        <f>IFERROR(VLOOKUP(C4628,DATA!#REF!,2,FALSE),"")</f>
        <v/>
      </c>
    </row>
    <row r="4629" spans="3:4" s="230" customFormat="1">
      <c r="C4629" s="16" t="str">
        <f>IFERROR(VLOOKUP(DATA!#REF!,DATA!#REF!,1,FALSE),"")</f>
        <v/>
      </c>
      <c r="D4629" s="16" t="str">
        <f>IFERROR(VLOOKUP(C4629,DATA!#REF!,2,FALSE),"")</f>
        <v/>
      </c>
    </row>
    <row r="4630" spans="3:4" s="230" customFormat="1">
      <c r="C4630" s="16" t="str">
        <f>IFERROR(VLOOKUP(DATA!#REF!,DATA!#REF!,1,FALSE),"")</f>
        <v/>
      </c>
      <c r="D4630" s="16" t="str">
        <f>IFERROR(VLOOKUP(C4630,DATA!#REF!,2,FALSE),"")</f>
        <v/>
      </c>
    </row>
    <row r="4631" spans="3:4" s="230" customFormat="1">
      <c r="C4631" s="16" t="str">
        <f>IFERROR(VLOOKUP(DATA!#REF!,DATA!#REF!,1,FALSE),"")</f>
        <v/>
      </c>
      <c r="D4631" s="16" t="str">
        <f>IFERROR(VLOOKUP(C4631,DATA!#REF!,2,FALSE),"")</f>
        <v/>
      </c>
    </row>
    <row r="4632" spans="3:4" s="230" customFormat="1">
      <c r="C4632" s="16" t="str">
        <f>IFERROR(VLOOKUP(DATA!#REF!,DATA!#REF!,1,FALSE),"")</f>
        <v/>
      </c>
      <c r="D4632" s="16" t="str">
        <f>IFERROR(VLOOKUP(C4632,DATA!#REF!,2,FALSE),"")</f>
        <v/>
      </c>
    </row>
    <row r="4633" spans="3:4" s="230" customFormat="1">
      <c r="C4633" s="16" t="str">
        <f>IFERROR(VLOOKUP(DATA!#REF!,DATA!#REF!,1,FALSE),"")</f>
        <v/>
      </c>
      <c r="D4633" s="16" t="str">
        <f>IFERROR(VLOOKUP(C4633,DATA!#REF!,2,FALSE),"")</f>
        <v/>
      </c>
    </row>
    <row r="4634" spans="3:4" s="230" customFormat="1">
      <c r="C4634" s="16" t="str">
        <f>IFERROR(VLOOKUP(DATA!#REF!,DATA!#REF!,1,FALSE),"")</f>
        <v/>
      </c>
      <c r="D4634" s="16" t="str">
        <f>IFERROR(VLOOKUP(C4634,DATA!#REF!,2,FALSE),"")</f>
        <v/>
      </c>
    </row>
    <row r="4635" spans="3:4" s="230" customFormat="1">
      <c r="C4635" s="16" t="str">
        <f>IFERROR(VLOOKUP(DATA!#REF!,DATA!#REF!,1,FALSE),"")</f>
        <v/>
      </c>
      <c r="D4635" s="16" t="str">
        <f>IFERROR(VLOOKUP(C4635,DATA!#REF!,2,FALSE),"")</f>
        <v/>
      </c>
    </row>
    <row r="4636" spans="3:4" s="230" customFormat="1">
      <c r="C4636" s="16" t="str">
        <f>IFERROR(VLOOKUP(DATA!#REF!,DATA!#REF!,1,FALSE),"")</f>
        <v/>
      </c>
      <c r="D4636" s="16" t="str">
        <f>IFERROR(VLOOKUP(C4636,DATA!#REF!,2,FALSE),"")</f>
        <v/>
      </c>
    </row>
    <row r="4637" spans="3:4" s="230" customFormat="1">
      <c r="C4637" s="16" t="str">
        <f>IFERROR(VLOOKUP(DATA!#REF!,DATA!#REF!,1,FALSE),"")</f>
        <v/>
      </c>
      <c r="D4637" s="16" t="str">
        <f>IFERROR(VLOOKUP(C4637,DATA!#REF!,2,FALSE),"")</f>
        <v/>
      </c>
    </row>
    <row r="4638" spans="3:4" s="230" customFormat="1">
      <c r="C4638" s="16" t="str">
        <f>IFERROR(VLOOKUP(DATA!#REF!,DATA!#REF!,1,FALSE),"")</f>
        <v/>
      </c>
      <c r="D4638" s="16" t="str">
        <f>IFERROR(VLOOKUP(C4638,DATA!#REF!,2,FALSE),"")</f>
        <v/>
      </c>
    </row>
    <row r="4639" spans="3:4" s="230" customFormat="1">
      <c r="C4639" s="16" t="str">
        <f>IFERROR(VLOOKUP(DATA!#REF!,DATA!#REF!,1,FALSE),"")</f>
        <v/>
      </c>
      <c r="D4639" s="16" t="str">
        <f>IFERROR(VLOOKUP(C4639,DATA!#REF!,2,FALSE),"")</f>
        <v/>
      </c>
    </row>
    <row r="4640" spans="3:4" s="230" customFormat="1">
      <c r="C4640" s="16" t="str">
        <f>IFERROR(VLOOKUP(DATA!#REF!,DATA!#REF!,1,FALSE),"")</f>
        <v/>
      </c>
      <c r="D4640" s="16" t="str">
        <f>IFERROR(VLOOKUP(C4640,DATA!#REF!,2,FALSE),"")</f>
        <v/>
      </c>
    </row>
    <row r="4641" spans="3:4" s="230" customFormat="1">
      <c r="C4641" s="16" t="str">
        <f>IFERROR(VLOOKUP(DATA!#REF!,DATA!#REF!,1,FALSE),"")</f>
        <v/>
      </c>
      <c r="D4641" s="16" t="str">
        <f>IFERROR(VLOOKUP(C4641,DATA!#REF!,2,FALSE),"")</f>
        <v/>
      </c>
    </row>
    <row r="4642" spans="3:4" s="230" customFormat="1">
      <c r="C4642" s="16" t="str">
        <f>IFERROR(VLOOKUP(DATA!#REF!,DATA!#REF!,1,FALSE),"")</f>
        <v/>
      </c>
      <c r="D4642" s="16" t="str">
        <f>IFERROR(VLOOKUP(C4642,DATA!#REF!,2,FALSE),"")</f>
        <v/>
      </c>
    </row>
    <row r="4643" spans="3:4" s="230" customFormat="1">
      <c r="C4643" s="16" t="str">
        <f>IFERROR(VLOOKUP(DATA!#REF!,DATA!#REF!,1,FALSE),"")</f>
        <v/>
      </c>
      <c r="D4643" s="16" t="str">
        <f>IFERROR(VLOOKUP(C4643,DATA!#REF!,2,FALSE),"")</f>
        <v/>
      </c>
    </row>
    <row r="4644" spans="3:4" s="230" customFormat="1">
      <c r="C4644" s="16" t="str">
        <f>IFERROR(VLOOKUP(DATA!#REF!,DATA!#REF!,1,FALSE),"")</f>
        <v/>
      </c>
      <c r="D4644" s="16" t="str">
        <f>IFERROR(VLOOKUP(C4644,DATA!#REF!,2,FALSE),"")</f>
        <v/>
      </c>
    </row>
    <row r="4645" spans="3:4" s="230" customFormat="1">
      <c r="C4645" s="16" t="str">
        <f>IFERROR(VLOOKUP(DATA!#REF!,DATA!#REF!,1,FALSE),"")</f>
        <v/>
      </c>
      <c r="D4645" s="16" t="str">
        <f>IFERROR(VLOOKUP(C4645,DATA!#REF!,2,FALSE),"")</f>
        <v/>
      </c>
    </row>
    <row r="4646" spans="3:4" s="230" customFormat="1">
      <c r="C4646" s="16" t="str">
        <f>IFERROR(VLOOKUP(DATA!#REF!,DATA!#REF!,1,FALSE),"")</f>
        <v/>
      </c>
      <c r="D4646" s="16" t="str">
        <f>IFERROR(VLOOKUP(C4646,DATA!#REF!,2,FALSE),"")</f>
        <v/>
      </c>
    </row>
    <row r="4647" spans="3:4" s="230" customFormat="1">
      <c r="C4647" s="16" t="str">
        <f>IFERROR(VLOOKUP(DATA!#REF!,DATA!#REF!,1,FALSE),"")</f>
        <v/>
      </c>
      <c r="D4647" s="16" t="str">
        <f>IFERROR(VLOOKUP(C4647,DATA!#REF!,2,FALSE),"")</f>
        <v/>
      </c>
    </row>
    <row r="4648" spans="3:4" s="230" customFormat="1">
      <c r="C4648" s="16" t="str">
        <f>IFERROR(VLOOKUP(DATA!#REF!,DATA!#REF!,1,FALSE),"")</f>
        <v/>
      </c>
      <c r="D4648" s="16" t="str">
        <f>IFERROR(VLOOKUP(C4648,DATA!#REF!,2,FALSE),"")</f>
        <v/>
      </c>
    </row>
    <row r="4649" spans="3:4" s="230" customFormat="1">
      <c r="C4649" s="16" t="str">
        <f>IFERROR(VLOOKUP(DATA!#REF!,DATA!#REF!,1,FALSE),"")</f>
        <v/>
      </c>
      <c r="D4649" s="16" t="str">
        <f>IFERROR(VLOOKUP(C4649,DATA!#REF!,2,FALSE),"")</f>
        <v/>
      </c>
    </row>
    <row r="4650" spans="3:4" s="230" customFormat="1">
      <c r="C4650" s="16" t="str">
        <f>IFERROR(VLOOKUP(DATA!#REF!,DATA!#REF!,1,FALSE),"")</f>
        <v/>
      </c>
      <c r="D4650" s="16" t="str">
        <f>IFERROR(VLOOKUP(C4650,DATA!#REF!,2,FALSE),"")</f>
        <v/>
      </c>
    </row>
    <row r="4651" spans="3:4" s="230" customFormat="1">
      <c r="C4651" s="16" t="str">
        <f>IFERROR(VLOOKUP(DATA!#REF!,DATA!#REF!,1,FALSE),"")</f>
        <v/>
      </c>
      <c r="D4651" s="16" t="str">
        <f>IFERROR(VLOOKUP(C4651,DATA!#REF!,2,FALSE),"")</f>
        <v/>
      </c>
    </row>
    <row r="4652" spans="3:4" s="230" customFormat="1">
      <c r="C4652" s="16" t="str">
        <f>IFERROR(VLOOKUP(DATA!#REF!,DATA!#REF!,1,FALSE),"")</f>
        <v/>
      </c>
      <c r="D4652" s="16" t="str">
        <f>IFERROR(VLOOKUP(C4652,DATA!#REF!,2,FALSE),"")</f>
        <v/>
      </c>
    </row>
    <row r="4653" spans="3:4" s="230" customFormat="1">
      <c r="C4653" s="16" t="str">
        <f>IFERROR(VLOOKUP(DATA!#REF!,DATA!#REF!,1,FALSE),"")</f>
        <v/>
      </c>
      <c r="D4653" s="16" t="str">
        <f>IFERROR(VLOOKUP(C4653,DATA!#REF!,2,FALSE),"")</f>
        <v/>
      </c>
    </row>
    <row r="4654" spans="3:4" s="230" customFormat="1">
      <c r="C4654" s="16" t="str">
        <f>IFERROR(VLOOKUP(DATA!#REF!,DATA!#REF!,1,FALSE),"")</f>
        <v/>
      </c>
      <c r="D4654" s="16" t="str">
        <f>IFERROR(VLOOKUP(C4654,DATA!#REF!,2,FALSE),"")</f>
        <v/>
      </c>
    </row>
    <row r="4655" spans="3:4" s="230" customFormat="1">
      <c r="C4655" s="16" t="str">
        <f>IFERROR(VLOOKUP(DATA!#REF!,DATA!#REF!,1,FALSE),"")</f>
        <v/>
      </c>
      <c r="D4655" s="16" t="str">
        <f>IFERROR(VLOOKUP(C4655,DATA!#REF!,2,FALSE),"")</f>
        <v/>
      </c>
    </row>
    <row r="4656" spans="3:4" s="230" customFormat="1">
      <c r="C4656" s="16" t="str">
        <f>IFERROR(VLOOKUP(DATA!#REF!,DATA!#REF!,1,FALSE),"")</f>
        <v/>
      </c>
      <c r="D4656" s="16" t="str">
        <f>IFERROR(VLOOKUP(C4656,DATA!#REF!,2,FALSE),"")</f>
        <v/>
      </c>
    </row>
    <row r="4657" spans="3:4" s="230" customFormat="1">
      <c r="C4657" s="16" t="str">
        <f>IFERROR(VLOOKUP(DATA!#REF!,DATA!#REF!,1,FALSE),"")</f>
        <v/>
      </c>
      <c r="D4657" s="16" t="str">
        <f>IFERROR(VLOOKUP(C4657,DATA!#REF!,2,FALSE),"")</f>
        <v/>
      </c>
    </row>
    <row r="4658" spans="3:4" s="230" customFormat="1">
      <c r="C4658" s="16" t="str">
        <f>IFERROR(VLOOKUP(DATA!#REF!,DATA!#REF!,1,FALSE),"")</f>
        <v/>
      </c>
      <c r="D4658" s="16" t="str">
        <f>IFERROR(VLOOKUP(C4658,DATA!#REF!,2,FALSE),"")</f>
        <v/>
      </c>
    </row>
    <row r="4659" spans="3:4" s="230" customFormat="1">
      <c r="C4659" s="16" t="str">
        <f>IFERROR(VLOOKUP(DATA!#REF!,DATA!#REF!,1,FALSE),"")</f>
        <v/>
      </c>
      <c r="D4659" s="16" t="str">
        <f>IFERROR(VLOOKUP(C4659,DATA!#REF!,2,FALSE),"")</f>
        <v/>
      </c>
    </row>
    <row r="4660" spans="3:4" s="230" customFormat="1">
      <c r="C4660" s="16" t="str">
        <f>IFERROR(VLOOKUP(DATA!#REF!,DATA!#REF!,1,FALSE),"")</f>
        <v/>
      </c>
      <c r="D4660" s="16" t="str">
        <f>IFERROR(VLOOKUP(C4660,DATA!#REF!,2,FALSE),"")</f>
        <v/>
      </c>
    </row>
    <row r="4661" spans="3:4" s="230" customFormat="1">
      <c r="C4661" s="16" t="str">
        <f>IFERROR(VLOOKUP(DATA!#REF!,DATA!#REF!,1,FALSE),"")</f>
        <v/>
      </c>
      <c r="D4661" s="16" t="str">
        <f>IFERROR(VLOOKUP(C4661,DATA!#REF!,2,FALSE),"")</f>
        <v/>
      </c>
    </row>
    <row r="4662" spans="3:4" s="230" customFormat="1">
      <c r="C4662" s="16" t="str">
        <f>IFERROR(VLOOKUP(DATA!#REF!,DATA!#REF!,1,FALSE),"")</f>
        <v/>
      </c>
      <c r="D4662" s="16" t="str">
        <f>IFERROR(VLOOKUP(C4662,DATA!#REF!,2,FALSE),"")</f>
        <v/>
      </c>
    </row>
    <row r="4663" spans="3:4" s="230" customFormat="1">
      <c r="C4663" s="16" t="str">
        <f>IFERROR(VLOOKUP(DATA!#REF!,DATA!#REF!,1,FALSE),"")</f>
        <v/>
      </c>
      <c r="D4663" s="16" t="str">
        <f>IFERROR(VLOOKUP(C4663,DATA!#REF!,2,FALSE),"")</f>
        <v/>
      </c>
    </row>
    <row r="4664" spans="3:4" s="230" customFormat="1">
      <c r="C4664" s="16" t="str">
        <f>IFERROR(VLOOKUP(DATA!#REF!,DATA!#REF!,1,FALSE),"")</f>
        <v/>
      </c>
      <c r="D4664" s="16" t="str">
        <f>IFERROR(VLOOKUP(C4664,DATA!#REF!,2,FALSE),"")</f>
        <v/>
      </c>
    </row>
    <row r="4665" spans="3:4" s="230" customFormat="1">
      <c r="C4665" s="16" t="str">
        <f>IFERROR(VLOOKUP(DATA!#REF!,DATA!#REF!,1,FALSE),"")</f>
        <v/>
      </c>
      <c r="D4665" s="16" t="str">
        <f>IFERROR(VLOOKUP(C4665,DATA!#REF!,2,FALSE),"")</f>
        <v/>
      </c>
    </row>
    <row r="4666" spans="3:4" s="230" customFormat="1">
      <c r="C4666" s="16" t="str">
        <f>IFERROR(VLOOKUP(DATA!#REF!,DATA!#REF!,1,FALSE),"")</f>
        <v/>
      </c>
      <c r="D4666" s="16" t="str">
        <f>IFERROR(VLOOKUP(C4666,DATA!#REF!,2,FALSE),"")</f>
        <v/>
      </c>
    </row>
    <row r="4667" spans="3:4" s="230" customFormat="1">
      <c r="C4667" s="16" t="str">
        <f>IFERROR(VLOOKUP(DATA!#REF!,DATA!#REF!,1,FALSE),"")</f>
        <v/>
      </c>
      <c r="D4667" s="16" t="str">
        <f>IFERROR(VLOOKUP(C4667,DATA!#REF!,2,FALSE),"")</f>
        <v/>
      </c>
    </row>
    <row r="4668" spans="3:4" s="230" customFormat="1">
      <c r="C4668" s="16" t="str">
        <f>IFERROR(VLOOKUP(DATA!#REF!,DATA!#REF!,1,FALSE),"")</f>
        <v/>
      </c>
      <c r="D4668" s="16" t="str">
        <f>IFERROR(VLOOKUP(C4668,DATA!#REF!,2,FALSE),"")</f>
        <v/>
      </c>
    </row>
    <row r="4669" spans="3:4" s="230" customFormat="1">
      <c r="C4669" s="16" t="str">
        <f>IFERROR(VLOOKUP(DATA!#REF!,DATA!#REF!,1,FALSE),"")</f>
        <v/>
      </c>
      <c r="D4669" s="16" t="str">
        <f>IFERROR(VLOOKUP(C4669,DATA!#REF!,2,FALSE),"")</f>
        <v/>
      </c>
    </row>
    <row r="4670" spans="3:4" s="230" customFormat="1">
      <c r="C4670" s="16" t="str">
        <f>IFERROR(VLOOKUP(DATA!#REF!,DATA!#REF!,1,FALSE),"")</f>
        <v/>
      </c>
      <c r="D4670" s="16" t="str">
        <f>IFERROR(VLOOKUP(C4670,DATA!#REF!,2,FALSE),"")</f>
        <v/>
      </c>
    </row>
    <row r="4671" spans="3:4" s="230" customFormat="1">
      <c r="C4671" s="16" t="str">
        <f>IFERROR(VLOOKUP(DATA!#REF!,DATA!#REF!,1,FALSE),"")</f>
        <v/>
      </c>
      <c r="D4671" s="16" t="str">
        <f>IFERROR(VLOOKUP(C4671,DATA!#REF!,2,FALSE),"")</f>
        <v/>
      </c>
    </row>
    <row r="4672" spans="3:4" s="230" customFormat="1">
      <c r="C4672" s="16" t="str">
        <f>IFERROR(VLOOKUP(DATA!#REF!,DATA!#REF!,1,FALSE),"")</f>
        <v/>
      </c>
      <c r="D4672" s="16" t="str">
        <f>IFERROR(VLOOKUP(C4672,DATA!#REF!,2,FALSE),"")</f>
        <v/>
      </c>
    </row>
    <row r="4673" spans="3:4" s="230" customFormat="1">
      <c r="C4673" s="16" t="str">
        <f>IFERROR(VLOOKUP(DATA!#REF!,DATA!#REF!,1,FALSE),"")</f>
        <v/>
      </c>
      <c r="D4673" s="16" t="str">
        <f>IFERROR(VLOOKUP(C4673,DATA!#REF!,2,FALSE),"")</f>
        <v/>
      </c>
    </row>
    <row r="4674" spans="3:4" s="230" customFormat="1">
      <c r="C4674" s="16" t="str">
        <f>IFERROR(VLOOKUP(DATA!#REF!,DATA!#REF!,1,FALSE),"")</f>
        <v/>
      </c>
      <c r="D4674" s="16" t="str">
        <f>IFERROR(VLOOKUP(C4674,DATA!#REF!,2,FALSE),"")</f>
        <v/>
      </c>
    </row>
    <row r="4675" spans="3:4" s="230" customFormat="1">
      <c r="C4675" s="16" t="str">
        <f>IFERROR(VLOOKUP(DATA!#REF!,DATA!#REF!,1,FALSE),"")</f>
        <v/>
      </c>
      <c r="D4675" s="16" t="str">
        <f>IFERROR(VLOOKUP(C4675,DATA!#REF!,2,FALSE),"")</f>
        <v/>
      </c>
    </row>
    <row r="4676" spans="3:4" s="230" customFormat="1">
      <c r="C4676" s="16" t="str">
        <f>IFERROR(VLOOKUP(DATA!#REF!,DATA!#REF!,1,FALSE),"")</f>
        <v/>
      </c>
      <c r="D4676" s="16" t="str">
        <f>IFERROR(VLOOKUP(C4676,DATA!#REF!,2,FALSE),"")</f>
        <v/>
      </c>
    </row>
    <row r="4677" spans="3:4" s="230" customFormat="1">
      <c r="C4677" s="16" t="str">
        <f>IFERROR(VLOOKUP(DATA!#REF!,DATA!#REF!,1,FALSE),"")</f>
        <v/>
      </c>
      <c r="D4677" s="16" t="str">
        <f>IFERROR(VLOOKUP(C4677,DATA!#REF!,2,FALSE),"")</f>
        <v/>
      </c>
    </row>
    <row r="4678" spans="3:4" s="230" customFormat="1">
      <c r="C4678" s="16" t="str">
        <f>IFERROR(VLOOKUP(DATA!#REF!,DATA!#REF!,1,FALSE),"")</f>
        <v/>
      </c>
      <c r="D4678" s="16" t="str">
        <f>IFERROR(VLOOKUP(C4678,DATA!#REF!,2,FALSE),"")</f>
        <v/>
      </c>
    </row>
    <row r="4679" spans="3:4" s="230" customFormat="1">
      <c r="C4679" s="16" t="str">
        <f>IFERROR(VLOOKUP(DATA!#REF!,DATA!#REF!,1,FALSE),"")</f>
        <v/>
      </c>
      <c r="D4679" s="16" t="str">
        <f>IFERROR(VLOOKUP(C4679,DATA!#REF!,2,FALSE),"")</f>
        <v/>
      </c>
    </row>
    <row r="4680" spans="3:4" s="230" customFormat="1">
      <c r="C4680" s="16" t="str">
        <f>IFERROR(VLOOKUP(DATA!#REF!,DATA!#REF!,1,FALSE),"")</f>
        <v/>
      </c>
      <c r="D4680" s="16" t="str">
        <f>IFERROR(VLOOKUP(C4680,DATA!#REF!,2,FALSE),"")</f>
        <v/>
      </c>
    </row>
    <row r="4681" spans="3:4" s="230" customFormat="1">
      <c r="C4681" s="16" t="str">
        <f>IFERROR(VLOOKUP(DATA!#REF!,DATA!#REF!,1,FALSE),"")</f>
        <v/>
      </c>
      <c r="D4681" s="16" t="str">
        <f>IFERROR(VLOOKUP(C4681,DATA!#REF!,2,FALSE),"")</f>
        <v/>
      </c>
    </row>
    <row r="4682" spans="3:4" s="230" customFormat="1">
      <c r="C4682" s="16" t="str">
        <f>IFERROR(VLOOKUP(DATA!#REF!,DATA!#REF!,1,FALSE),"")</f>
        <v/>
      </c>
      <c r="D4682" s="16" t="str">
        <f>IFERROR(VLOOKUP(C4682,DATA!#REF!,2,FALSE),"")</f>
        <v/>
      </c>
    </row>
    <row r="4683" spans="3:4" s="230" customFormat="1">
      <c r="C4683" s="16" t="str">
        <f>IFERROR(VLOOKUP(DATA!#REF!,DATA!#REF!,1,FALSE),"")</f>
        <v/>
      </c>
      <c r="D4683" s="16" t="str">
        <f>IFERROR(VLOOKUP(C4683,DATA!#REF!,2,FALSE),"")</f>
        <v/>
      </c>
    </row>
    <row r="4684" spans="3:4" s="230" customFormat="1">
      <c r="C4684" s="16" t="str">
        <f>IFERROR(VLOOKUP(DATA!#REF!,DATA!#REF!,1,FALSE),"")</f>
        <v/>
      </c>
      <c r="D4684" s="16" t="str">
        <f>IFERROR(VLOOKUP(C4684,DATA!#REF!,2,FALSE),"")</f>
        <v/>
      </c>
    </row>
    <row r="4685" spans="3:4" s="230" customFormat="1">
      <c r="C4685" s="16" t="str">
        <f>IFERROR(VLOOKUP(DATA!#REF!,DATA!#REF!,1,FALSE),"")</f>
        <v/>
      </c>
      <c r="D4685" s="16" t="str">
        <f>IFERROR(VLOOKUP(C4685,DATA!#REF!,2,FALSE),"")</f>
        <v/>
      </c>
    </row>
    <row r="4686" spans="3:4" s="230" customFormat="1">
      <c r="C4686" s="16" t="str">
        <f>IFERROR(VLOOKUP(DATA!#REF!,DATA!#REF!,1,FALSE),"")</f>
        <v/>
      </c>
      <c r="D4686" s="16" t="str">
        <f>IFERROR(VLOOKUP(C4686,DATA!#REF!,2,FALSE),"")</f>
        <v/>
      </c>
    </row>
    <row r="4687" spans="3:4" s="230" customFormat="1">
      <c r="C4687" s="16" t="str">
        <f>IFERROR(VLOOKUP(DATA!#REF!,DATA!#REF!,1,FALSE),"")</f>
        <v/>
      </c>
      <c r="D4687" s="16" t="str">
        <f>IFERROR(VLOOKUP(C4687,DATA!#REF!,2,FALSE),"")</f>
        <v/>
      </c>
    </row>
    <row r="4688" spans="3:4" s="230" customFormat="1">
      <c r="C4688" s="16" t="str">
        <f>IFERROR(VLOOKUP(DATA!#REF!,DATA!#REF!,1,FALSE),"")</f>
        <v/>
      </c>
      <c r="D4688" s="16" t="str">
        <f>IFERROR(VLOOKUP(C4688,DATA!#REF!,2,FALSE),"")</f>
        <v/>
      </c>
    </row>
    <row r="4689" spans="3:4" s="230" customFormat="1">
      <c r="C4689" s="16" t="str">
        <f>IFERROR(VLOOKUP(DATA!#REF!,DATA!#REF!,1,FALSE),"")</f>
        <v/>
      </c>
      <c r="D4689" s="16" t="str">
        <f>IFERROR(VLOOKUP(C4689,DATA!#REF!,2,FALSE),"")</f>
        <v/>
      </c>
    </row>
    <row r="4690" spans="3:4" s="230" customFormat="1">
      <c r="C4690" s="16" t="str">
        <f>IFERROR(VLOOKUP(DATA!#REF!,DATA!#REF!,1,FALSE),"")</f>
        <v/>
      </c>
      <c r="D4690" s="16" t="str">
        <f>IFERROR(VLOOKUP(C4690,DATA!#REF!,2,FALSE),"")</f>
        <v/>
      </c>
    </row>
    <row r="4691" spans="3:4" s="230" customFormat="1">
      <c r="C4691" s="16" t="str">
        <f>IFERROR(VLOOKUP(DATA!#REF!,DATA!#REF!,1,FALSE),"")</f>
        <v/>
      </c>
      <c r="D4691" s="16" t="str">
        <f>IFERROR(VLOOKUP(C4691,DATA!#REF!,2,FALSE),"")</f>
        <v/>
      </c>
    </row>
    <row r="4692" spans="3:4" s="230" customFormat="1">
      <c r="C4692" s="16" t="str">
        <f>IFERROR(VLOOKUP(DATA!#REF!,DATA!#REF!,1,FALSE),"")</f>
        <v/>
      </c>
      <c r="D4692" s="16" t="str">
        <f>IFERROR(VLOOKUP(C4692,DATA!#REF!,2,FALSE),"")</f>
        <v/>
      </c>
    </row>
    <row r="4693" spans="3:4" s="230" customFormat="1">
      <c r="C4693" s="16" t="str">
        <f>IFERROR(VLOOKUP(DATA!#REF!,DATA!#REF!,1,FALSE),"")</f>
        <v/>
      </c>
      <c r="D4693" s="16" t="str">
        <f>IFERROR(VLOOKUP(C4693,DATA!#REF!,2,FALSE),"")</f>
        <v/>
      </c>
    </row>
    <row r="4694" spans="3:4" s="230" customFormat="1">
      <c r="C4694" s="16" t="str">
        <f>IFERROR(VLOOKUP(DATA!#REF!,DATA!#REF!,1,FALSE),"")</f>
        <v/>
      </c>
      <c r="D4694" s="16" t="str">
        <f>IFERROR(VLOOKUP(C4694,DATA!#REF!,2,FALSE),"")</f>
        <v/>
      </c>
    </row>
    <row r="4695" spans="3:4" s="230" customFormat="1">
      <c r="C4695" s="16" t="str">
        <f>IFERROR(VLOOKUP(DATA!#REF!,DATA!#REF!,1,FALSE),"")</f>
        <v/>
      </c>
      <c r="D4695" s="16" t="str">
        <f>IFERROR(VLOOKUP(C4695,DATA!#REF!,2,FALSE),"")</f>
        <v/>
      </c>
    </row>
    <row r="4696" spans="3:4" s="230" customFormat="1">
      <c r="C4696" s="16" t="str">
        <f>IFERROR(VLOOKUP(DATA!#REF!,DATA!#REF!,1,FALSE),"")</f>
        <v/>
      </c>
      <c r="D4696" s="16" t="str">
        <f>IFERROR(VLOOKUP(C4696,DATA!#REF!,2,FALSE),"")</f>
        <v/>
      </c>
    </row>
    <row r="4697" spans="3:4" s="230" customFormat="1">
      <c r="C4697" s="16" t="str">
        <f>IFERROR(VLOOKUP(DATA!#REF!,DATA!#REF!,1,FALSE),"")</f>
        <v/>
      </c>
      <c r="D4697" s="16" t="str">
        <f>IFERROR(VLOOKUP(C4697,DATA!#REF!,2,FALSE),"")</f>
        <v/>
      </c>
    </row>
    <row r="4698" spans="3:4" s="230" customFormat="1">
      <c r="C4698" s="16" t="str">
        <f>IFERROR(VLOOKUP(DATA!#REF!,DATA!#REF!,1,FALSE),"")</f>
        <v/>
      </c>
      <c r="D4698" s="16" t="str">
        <f>IFERROR(VLOOKUP(C4698,DATA!#REF!,2,FALSE),"")</f>
        <v/>
      </c>
    </row>
    <row r="4699" spans="3:4" s="230" customFormat="1">
      <c r="C4699" s="16" t="str">
        <f>IFERROR(VLOOKUP(DATA!#REF!,DATA!#REF!,1,FALSE),"")</f>
        <v/>
      </c>
      <c r="D4699" s="16" t="str">
        <f>IFERROR(VLOOKUP(C4699,DATA!#REF!,2,FALSE),"")</f>
        <v/>
      </c>
    </row>
    <row r="4700" spans="3:4" s="230" customFormat="1">
      <c r="C4700" s="16" t="str">
        <f>IFERROR(VLOOKUP(DATA!#REF!,DATA!#REF!,1,FALSE),"")</f>
        <v/>
      </c>
      <c r="D4700" s="16" t="str">
        <f>IFERROR(VLOOKUP(C4700,DATA!#REF!,2,FALSE),"")</f>
        <v/>
      </c>
    </row>
    <row r="4701" spans="3:4" s="230" customFormat="1">
      <c r="C4701" s="16" t="str">
        <f>IFERROR(VLOOKUP(DATA!#REF!,DATA!#REF!,1,FALSE),"")</f>
        <v/>
      </c>
      <c r="D4701" s="16" t="str">
        <f>IFERROR(VLOOKUP(C4701,DATA!#REF!,2,FALSE),"")</f>
        <v/>
      </c>
    </row>
    <row r="4702" spans="3:4" s="230" customFormat="1">
      <c r="C4702" s="16" t="str">
        <f>IFERROR(VLOOKUP(DATA!#REF!,DATA!#REF!,1,FALSE),"")</f>
        <v/>
      </c>
      <c r="D4702" s="16" t="str">
        <f>IFERROR(VLOOKUP(C4702,DATA!#REF!,2,FALSE),"")</f>
        <v/>
      </c>
    </row>
    <row r="4703" spans="3:4" s="230" customFormat="1">
      <c r="C4703" s="16" t="str">
        <f>IFERROR(VLOOKUP(DATA!#REF!,DATA!#REF!,1,FALSE),"")</f>
        <v/>
      </c>
      <c r="D4703" s="16" t="str">
        <f>IFERROR(VLOOKUP(C4703,DATA!#REF!,2,FALSE),"")</f>
        <v/>
      </c>
    </row>
    <row r="4704" spans="3:4" s="230" customFormat="1">
      <c r="C4704" s="16" t="str">
        <f>IFERROR(VLOOKUP(DATA!#REF!,DATA!#REF!,1,FALSE),"")</f>
        <v/>
      </c>
      <c r="D4704" s="16" t="str">
        <f>IFERROR(VLOOKUP(C4704,DATA!#REF!,2,FALSE),"")</f>
        <v/>
      </c>
    </row>
    <row r="4705" spans="3:4" s="230" customFormat="1">
      <c r="C4705" s="16" t="str">
        <f>IFERROR(VLOOKUP(DATA!#REF!,DATA!#REF!,1,FALSE),"")</f>
        <v/>
      </c>
      <c r="D4705" s="16" t="str">
        <f>IFERROR(VLOOKUP(C4705,DATA!#REF!,2,FALSE),"")</f>
        <v/>
      </c>
    </row>
    <row r="4706" spans="3:4" s="230" customFormat="1">
      <c r="C4706" s="16" t="str">
        <f>IFERROR(VLOOKUP(DATA!#REF!,DATA!#REF!,1,FALSE),"")</f>
        <v/>
      </c>
      <c r="D4706" s="16" t="str">
        <f>IFERROR(VLOOKUP(C4706,DATA!#REF!,2,FALSE),"")</f>
        <v/>
      </c>
    </row>
    <row r="4707" spans="3:4" s="230" customFormat="1">
      <c r="C4707" s="16" t="str">
        <f>IFERROR(VLOOKUP(DATA!#REF!,DATA!#REF!,1,FALSE),"")</f>
        <v/>
      </c>
      <c r="D4707" s="16" t="str">
        <f>IFERROR(VLOOKUP(C4707,DATA!#REF!,2,FALSE),"")</f>
        <v/>
      </c>
    </row>
    <row r="4708" spans="3:4" s="230" customFormat="1">
      <c r="C4708" s="16" t="str">
        <f>IFERROR(VLOOKUP(DATA!#REF!,DATA!#REF!,1,FALSE),"")</f>
        <v/>
      </c>
      <c r="D4708" s="16" t="str">
        <f>IFERROR(VLOOKUP(C4708,DATA!#REF!,2,FALSE),"")</f>
        <v/>
      </c>
    </row>
    <row r="4709" spans="3:4" s="230" customFormat="1">
      <c r="C4709" s="16" t="str">
        <f>IFERROR(VLOOKUP(DATA!#REF!,DATA!#REF!,1,FALSE),"")</f>
        <v/>
      </c>
      <c r="D4709" s="16" t="str">
        <f>IFERROR(VLOOKUP(C4709,DATA!#REF!,2,FALSE),"")</f>
        <v/>
      </c>
    </row>
    <row r="4710" spans="3:4" s="230" customFormat="1">
      <c r="C4710" s="16" t="str">
        <f>IFERROR(VLOOKUP(DATA!#REF!,DATA!#REF!,1,FALSE),"")</f>
        <v/>
      </c>
      <c r="D4710" s="16" t="str">
        <f>IFERROR(VLOOKUP(C4710,DATA!#REF!,2,FALSE),"")</f>
        <v/>
      </c>
    </row>
    <row r="4711" spans="3:4" s="230" customFormat="1">
      <c r="C4711" s="16" t="str">
        <f>IFERROR(VLOOKUP(DATA!#REF!,DATA!#REF!,1,FALSE),"")</f>
        <v/>
      </c>
      <c r="D4711" s="16" t="str">
        <f>IFERROR(VLOOKUP(C4711,DATA!#REF!,2,FALSE),"")</f>
        <v/>
      </c>
    </row>
    <row r="4712" spans="3:4" s="230" customFormat="1">
      <c r="C4712" s="16" t="str">
        <f>IFERROR(VLOOKUP(DATA!#REF!,DATA!#REF!,1,FALSE),"")</f>
        <v/>
      </c>
      <c r="D4712" s="16" t="str">
        <f>IFERROR(VLOOKUP(C4712,DATA!#REF!,2,FALSE),"")</f>
        <v/>
      </c>
    </row>
    <row r="4713" spans="3:4" s="230" customFormat="1">
      <c r="C4713" s="16" t="str">
        <f>IFERROR(VLOOKUP(DATA!#REF!,DATA!#REF!,1,FALSE),"")</f>
        <v/>
      </c>
      <c r="D4713" s="16" t="str">
        <f>IFERROR(VLOOKUP(C4713,DATA!#REF!,2,FALSE),"")</f>
        <v/>
      </c>
    </row>
    <row r="4714" spans="3:4" s="230" customFormat="1">
      <c r="C4714" s="16" t="str">
        <f>IFERROR(VLOOKUP(DATA!#REF!,DATA!#REF!,1,FALSE),"")</f>
        <v/>
      </c>
      <c r="D4714" s="16" t="str">
        <f>IFERROR(VLOOKUP(C4714,DATA!#REF!,2,FALSE),"")</f>
        <v/>
      </c>
    </row>
    <row r="4715" spans="3:4" s="230" customFormat="1">
      <c r="C4715" s="16" t="str">
        <f>IFERROR(VLOOKUP(DATA!#REF!,DATA!#REF!,1,FALSE),"")</f>
        <v/>
      </c>
      <c r="D4715" s="16" t="str">
        <f>IFERROR(VLOOKUP(C4715,DATA!#REF!,2,FALSE),"")</f>
        <v/>
      </c>
    </row>
    <row r="4716" spans="3:4" s="230" customFormat="1">
      <c r="C4716" s="16" t="str">
        <f>IFERROR(VLOOKUP(DATA!#REF!,DATA!#REF!,1,FALSE),"")</f>
        <v/>
      </c>
      <c r="D4716" s="16" t="str">
        <f>IFERROR(VLOOKUP(C4716,DATA!#REF!,2,FALSE),"")</f>
        <v/>
      </c>
    </row>
    <row r="4717" spans="3:4" s="230" customFormat="1">
      <c r="C4717" s="16" t="str">
        <f>IFERROR(VLOOKUP(DATA!#REF!,DATA!#REF!,1,FALSE),"")</f>
        <v/>
      </c>
      <c r="D4717" s="16" t="str">
        <f>IFERROR(VLOOKUP(C4717,DATA!#REF!,2,FALSE),"")</f>
        <v/>
      </c>
    </row>
    <row r="4718" spans="3:4" s="230" customFormat="1">
      <c r="C4718" s="16" t="str">
        <f>IFERROR(VLOOKUP(DATA!#REF!,DATA!#REF!,1,FALSE),"")</f>
        <v/>
      </c>
      <c r="D4718" s="16" t="str">
        <f>IFERROR(VLOOKUP(C4718,DATA!#REF!,2,FALSE),"")</f>
        <v/>
      </c>
    </row>
    <row r="4719" spans="3:4" s="230" customFormat="1">
      <c r="C4719" s="16" t="str">
        <f>IFERROR(VLOOKUP(DATA!#REF!,DATA!#REF!,1,FALSE),"")</f>
        <v/>
      </c>
      <c r="D4719" s="16" t="str">
        <f>IFERROR(VLOOKUP(C4719,DATA!#REF!,2,FALSE),"")</f>
        <v/>
      </c>
    </row>
    <row r="4720" spans="3:4" s="230" customFormat="1">
      <c r="C4720" s="16" t="str">
        <f>IFERROR(VLOOKUP(DATA!#REF!,DATA!#REF!,1,FALSE),"")</f>
        <v/>
      </c>
      <c r="D4720" s="16" t="str">
        <f>IFERROR(VLOOKUP(C4720,DATA!#REF!,2,FALSE),"")</f>
        <v/>
      </c>
    </row>
    <row r="4721" spans="3:4" s="230" customFormat="1">
      <c r="C4721" s="16" t="str">
        <f>IFERROR(VLOOKUP(DATA!#REF!,DATA!#REF!,1,FALSE),"")</f>
        <v/>
      </c>
      <c r="D4721" s="16" t="str">
        <f>IFERROR(VLOOKUP(C4721,DATA!#REF!,2,FALSE),"")</f>
        <v/>
      </c>
    </row>
    <row r="4722" spans="3:4" s="230" customFormat="1">
      <c r="C4722" s="16" t="str">
        <f>IFERROR(VLOOKUP(DATA!#REF!,DATA!#REF!,1,FALSE),"")</f>
        <v/>
      </c>
      <c r="D4722" s="16" t="str">
        <f>IFERROR(VLOOKUP(C4722,DATA!#REF!,2,FALSE),"")</f>
        <v/>
      </c>
    </row>
    <row r="4723" spans="3:4" s="230" customFormat="1">
      <c r="C4723" s="16" t="str">
        <f>IFERROR(VLOOKUP(DATA!#REF!,DATA!#REF!,1,FALSE),"")</f>
        <v/>
      </c>
      <c r="D4723" s="16" t="str">
        <f>IFERROR(VLOOKUP(C4723,DATA!#REF!,2,FALSE),"")</f>
        <v/>
      </c>
    </row>
    <row r="4724" spans="3:4" s="230" customFormat="1">
      <c r="C4724" s="16" t="str">
        <f>IFERROR(VLOOKUP(DATA!#REF!,DATA!#REF!,1,FALSE),"")</f>
        <v/>
      </c>
      <c r="D4724" s="16" t="str">
        <f>IFERROR(VLOOKUP(C4724,DATA!#REF!,2,FALSE),"")</f>
        <v/>
      </c>
    </row>
    <row r="4725" spans="3:4" s="230" customFormat="1">
      <c r="C4725" s="16" t="str">
        <f>IFERROR(VLOOKUP(DATA!#REF!,DATA!#REF!,1,FALSE),"")</f>
        <v/>
      </c>
      <c r="D4725" s="16" t="str">
        <f>IFERROR(VLOOKUP(C4725,DATA!#REF!,2,FALSE),"")</f>
        <v/>
      </c>
    </row>
    <row r="4726" spans="3:4" s="230" customFormat="1">
      <c r="C4726" s="16" t="str">
        <f>IFERROR(VLOOKUP(DATA!#REF!,DATA!#REF!,1,FALSE),"")</f>
        <v/>
      </c>
      <c r="D4726" s="16" t="str">
        <f>IFERROR(VLOOKUP(C4726,DATA!#REF!,2,FALSE),"")</f>
        <v/>
      </c>
    </row>
    <row r="4727" spans="3:4" s="230" customFormat="1">
      <c r="C4727" s="16" t="str">
        <f>IFERROR(VLOOKUP(DATA!#REF!,DATA!#REF!,1,FALSE),"")</f>
        <v/>
      </c>
      <c r="D4727" s="16" t="str">
        <f>IFERROR(VLOOKUP(C4727,DATA!#REF!,2,FALSE),"")</f>
        <v/>
      </c>
    </row>
    <row r="4728" spans="3:4" s="230" customFormat="1">
      <c r="C4728" s="16" t="str">
        <f>IFERROR(VLOOKUP(DATA!#REF!,DATA!#REF!,1,FALSE),"")</f>
        <v/>
      </c>
      <c r="D4728" s="16" t="str">
        <f>IFERROR(VLOOKUP(C4728,DATA!#REF!,2,FALSE),"")</f>
        <v/>
      </c>
    </row>
    <row r="4729" spans="3:4" s="230" customFormat="1">
      <c r="C4729" s="16" t="str">
        <f>IFERROR(VLOOKUP(DATA!#REF!,DATA!#REF!,1,FALSE),"")</f>
        <v/>
      </c>
      <c r="D4729" s="16" t="str">
        <f>IFERROR(VLOOKUP(C4729,DATA!#REF!,2,FALSE),"")</f>
        <v/>
      </c>
    </row>
    <row r="4730" spans="3:4" s="230" customFormat="1">
      <c r="C4730" s="16" t="str">
        <f>IFERROR(VLOOKUP(DATA!#REF!,DATA!#REF!,1,FALSE),"")</f>
        <v/>
      </c>
      <c r="D4730" s="16" t="str">
        <f>IFERROR(VLOOKUP(C4730,DATA!#REF!,2,FALSE),"")</f>
        <v/>
      </c>
    </row>
    <row r="4731" spans="3:4" s="230" customFormat="1">
      <c r="C4731" s="16" t="str">
        <f>IFERROR(VLOOKUP(DATA!#REF!,DATA!#REF!,1,FALSE),"")</f>
        <v/>
      </c>
      <c r="D4731" s="16" t="str">
        <f>IFERROR(VLOOKUP(C4731,DATA!#REF!,2,FALSE),"")</f>
        <v/>
      </c>
    </row>
    <row r="4732" spans="3:4" s="230" customFormat="1">
      <c r="C4732" s="16" t="str">
        <f>IFERROR(VLOOKUP(DATA!#REF!,DATA!#REF!,1,FALSE),"")</f>
        <v/>
      </c>
      <c r="D4732" s="16" t="str">
        <f>IFERROR(VLOOKUP(C4732,DATA!#REF!,2,FALSE),"")</f>
        <v/>
      </c>
    </row>
    <row r="4733" spans="3:4" s="230" customFormat="1">
      <c r="C4733" s="16" t="str">
        <f>IFERROR(VLOOKUP(DATA!#REF!,DATA!#REF!,1,FALSE),"")</f>
        <v/>
      </c>
      <c r="D4733" s="16" t="str">
        <f>IFERROR(VLOOKUP(C4733,DATA!#REF!,2,FALSE),"")</f>
        <v/>
      </c>
    </row>
    <row r="4734" spans="3:4" s="230" customFormat="1">
      <c r="C4734" s="16" t="str">
        <f>IFERROR(VLOOKUP(DATA!#REF!,DATA!#REF!,1,FALSE),"")</f>
        <v/>
      </c>
      <c r="D4734" s="16" t="str">
        <f>IFERROR(VLOOKUP(C4734,DATA!#REF!,2,FALSE),"")</f>
        <v/>
      </c>
    </row>
    <row r="4735" spans="3:4" s="230" customFormat="1">
      <c r="C4735" s="16" t="str">
        <f>IFERROR(VLOOKUP(DATA!#REF!,DATA!#REF!,1,FALSE),"")</f>
        <v/>
      </c>
      <c r="D4735" s="16" t="str">
        <f>IFERROR(VLOOKUP(C4735,DATA!#REF!,2,FALSE),"")</f>
        <v/>
      </c>
    </row>
    <row r="4736" spans="3:4" s="230" customFormat="1">
      <c r="C4736" s="16" t="str">
        <f>IFERROR(VLOOKUP(DATA!#REF!,DATA!#REF!,1,FALSE),"")</f>
        <v/>
      </c>
      <c r="D4736" s="16" t="str">
        <f>IFERROR(VLOOKUP(C4736,DATA!#REF!,2,FALSE),"")</f>
        <v/>
      </c>
    </row>
    <row r="4737" spans="3:4" s="230" customFormat="1">
      <c r="C4737" s="16" t="str">
        <f>IFERROR(VLOOKUP(DATA!#REF!,DATA!#REF!,1,FALSE),"")</f>
        <v/>
      </c>
      <c r="D4737" s="16" t="str">
        <f>IFERROR(VLOOKUP(C4737,DATA!#REF!,2,FALSE),"")</f>
        <v/>
      </c>
    </row>
    <row r="4738" spans="3:4" s="230" customFormat="1">
      <c r="C4738" s="16" t="str">
        <f>IFERROR(VLOOKUP(DATA!#REF!,DATA!#REF!,1,FALSE),"")</f>
        <v/>
      </c>
      <c r="D4738" s="16" t="str">
        <f>IFERROR(VLOOKUP(C4738,DATA!#REF!,2,FALSE),"")</f>
        <v/>
      </c>
    </row>
    <row r="4739" spans="3:4" s="230" customFormat="1">
      <c r="C4739" s="16" t="str">
        <f>IFERROR(VLOOKUP(DATA!#REF!,DATA!#REF!,1,FALSE),"")</f>
        <v/>
      </c>
      <c r="D4739" s="16" t="str">
        <f>IFERROR(VLOOKUP(C4739,DATA!#REF!,2,FALSE),"")</f>
        <v/>
      </c>
    </row>
    <row r="4740" spans="3:4" s="230" customFormat="1">
      <c r="C4740" s="16" t="str">
        <f>IFERROR(VLOOKUP(DATA!#REF!,DATA!#REF!,1,FALSE),"")</f>
        <v/>
      </c>
      <c r="D4740" s="16" t="str">
        <f>IFERROR(VLOOKUP(C4740,DATA!#REF!,2,FALSE),"")</f>
        <v/>
      </c>
    </row>
    <row r="4741" spans="3:4" s="230" customFormat="1">
      <c r="C4741" s="16" t="str">
        <f>IFERROR(VLOOKUP(DATA!#REF!,DATA!#REF!,1,FALSE),"")</f>
        <v/>
      </c>
      <c r="D4741" s="16" t="str">
        <f>IFERROR(VLOOKUP(C4741,DATA!#REF!,2,FALSE),"")</f>
        <v/>
      </c>
    </row>
    <row r="4742" spans="3:4" s="230" customFormat="1">
      <c r="C4742" s="16" t="str">
        <f>IFERROR(VLOOKUP(DATA!#REF!,DATA!#REF!,1,FALSE),"")</f>
        <v/>
      </c>
      <c r="D4742" s="16" t="str">
        <f>IFERROR(VLOOKUP(C4742,DATA!#REF!,2,FALSE),"")</f>
        <v/>
      </c>
    </row>
    <row r="4743" spans="3:4" s="230" customFormat="1">
      <c r="C4743" s="16" t="str">
        <f>IFERROR(VLOOKUP(DATA!#REF!,DATA!#REF!,1,FALSE),"")</f>
        <v/>
      </c>
      <c r="D4743" s="16" t="str">
        <f>IFERROR(VLOOKUP(C4743,DATA!#REF!,2,FALSE),"")</f>
        <v/>
      </c>
    </row>
    <row r="4744" spans="3:4" s="230" customFormat="1">
      <c r="C4744" s="16" t="str">
        <f>IFERROR(VLOOKUP(DATA!#REF!,DATA!#REF!,1,FALSE),"")</f>
        <v/>
      </c>
      <c r="D4744" s="16" t="str">
        <f>IFERROR(VLOOKUP(C4744,DATA!#REF!,2,FALSE),"")</f>
        <v/>
      </c>
    </row>
    <row r="4745" spans="3:4" s="230" customFormat="1">
      <c r="C4745" s="16" t="str">
        <f>IFERROR(VLOOKUP(DATA!#REF!,DATA!#REF!,1,FALSE),"")</f>
        <v/>
      </c>
      <c r="D4745" s="16" t="str">
        <f>IFERROR(VLOOKUP(C4745,DATA!#REF!,2,FALSE),"")</f>
        <v/>
      </c>
    </row>
    <row r="4746" spans="3:4" s="230" customFormat="1">
      <c r="C4746" s="16" t="str">
        <f>IFERROR(VLOOKUP(DATA!#REF!,DATA!#REF!,1,FALSE),"")</f>
        <v/>
      </c>
      <c r="D4746" s="16" t="str">
        <f>IFERROR(VLOOKUP(C4746,DATA!#REF!,2,FALSE),"")</f>
        <v/>
      </c>
    </row>
    <row r="4747" spans="3:4" s="230" customFormat="1">
      <c r="C4747" s="16" t="str">
        <f>IFERROR(VLOOKUP(DATA!#REF!,DATA!#REF!,1,FALSE),"")</f>
        <v/>
      </c>
      <c r="D4747" s="16" t="str">
        <f>IFERROR(VLOOKUP(C4747,DATA!#REF!,2,FALSE),"")</f>
        <v/>
      </c>
    </row>
    <row r="4748" spans="3:4" s="230" customFormat="1">
      <c r="C4748" s="16" t="str">
        <f>IFERROR(VLOOKUP(DATA!#REF!,DATA!#REF!,1,FALSE),"")</f>
        <v/>
      </c>
      <c r="D4748" s="16" t="str">
        <f>IFERROR(VLOOKUP(C4748,DATA!#REF!,2,FALSE),"")</f>
        <v/>
      </c>
    </row>
    <row r="4749" spans="3:4" s="230" customFormat="1">
      <c r="C4749" s="16" t="str">
        <f>IFERROR(VLOOKUP(DATA!#REF!,DATA!#REF!,1,FALSE),"")</f>
        <v/>
      </c>
      <c r="D4749" s="16" t="str">
        <f>IFERROR(VLOOKUP(C4749,DATA!#REF!,2,FALSE),"")</f>
        <v/>
      </c>
    </row>
    <row r="4750" spans="3:4" s="230" customFormat="1">
      <c r="C4750" s="16" t="str">
        <f>IFERROR(VLOOKUP(DATA!#REF!,DATA!#REF!,1,FALSE),"")</f>
        <v/>
      </c>
      <c r="D4750" s="16" t="str">
        <f>IFERROR(VLOOKUP(C4750,DATA!#REF!,2,FALSE),"")</f>
        <v/>
      </c>
    </row>
    <row r="4751" spans="3:4" s="230" customFormat="1">
      <c r="C4751" s="16" t="str">
        <f>IFERROR(VLOOKUP(DATA!#REF!,DATA!#REF!,1,FALSE),"")</f>
        <v/>
      </c>
      <c r="D4751" s="16" t="str">
        <f>IFERROR(VLOOKUP(C4751,DATA!#REF!,2,FALSE),"")</f>
        <v/>
      </c>
    </row>
    <row r="4752" spans="3:4" s="230" customFormat="1">
      <c r="C4752" s="16" t="str">
        <f>IFERROR(VLOOKUP(DATA!#REF!,DATA!#REF!,1,FALSE),"")</f>
        <v/>
      </c>
      <c r="D4752" s="16" t="str">
        <f>IFERROR(VLOOKUP(C4752,DATA!#REF!,2,FALSE),"")</f>
        <v/>
      </c>
    </row>
    <row r="4753" spans="3:4" s="230" customFormat="1">
      <c r="C4753" s="16" t="str">
        <f>IFERROR(VLOOKUP(DATA!#REF!,DATA!#REF!,1,FALSE),"")</f>
        <v/>
      </c>
      <c r="D4753" s="16" t="str">
        <f>IFERROR(VLOOKUP(C4753,DATA!#REF!,2,FALSE),"")</f>
        <v/>
      </c>
    </row>
    <row r="4754" spans="3:4" s="230" customFormat="1">
      <c r="C4754" s="16" t="str">
        <f>IFERROR(VLOOKUP(DATA!#REF!,DATA!#REF!,1,FALSE),"")</f>
        <v/>
      </c>
      <c r="D4754" s="16" t="str">
        <f>IFERROR(VLOOKUP(C4754,DATA!#REF!,2,FALSE),"")</f>
        <v/>
      </c>
    </row>
    <row r="4755" spans="3:4" s="230" customFormat="1">
      <c r="C4755" s="16" t="str">
        <f>IFERROR(VLOOKUP(DATA!#REF!,DATA!#REF!,1,FALSE),"")</f>
        <v/>
      </c>
      <c r="D4755" s="16" t="str">
        <f>IFERROR(VLOOKUP(C4755,DATA!#REF!,2,FALSE),"")</f>
        <v/>
      </c>
    </row>
    <row r="4756" spans="3:4" s="230" customFormat="1">
      <c r="C4756" s="16" t="str">
        <f>IFERROR(VLOOKUP(DATA!#REF!,DATA!#REF!,1,FALSE),"")</f>
        <v/>
      </c>
      <c r="D4756" s="16" t="str">
        <f>IFERROR(VLOOKUP(C4756,DATA!#REF!,2,FALSE),"")</f>
        <v/>
      </c>
    </row>
    <row r="4757" spans="3:4" s="230" customFormat="1">
      <c r="C4757" s="16" t="str">
        <f>IFERROR(VLOOKUP(DATA!#REF!,DATA!#REF!,1,FALSE),"")</f>
        <v/>
      </c>
      <c r="D4757" s="16" t="str">
        <f>IFERROR(VLOOKUP(C4757,DATA!#REF!,2,FALSE),"")</f>
        <v/>
      </c>
    </row>
    <row r="4758" spans="3:4" s="230" customFormat="1">
      <c r="C4758" s="16" t="str">
        <f>IFERROR(VLOOKUP(DATA!#REF!,DATA!#REF!,1,FALSE),"")</f>
        <v/>
      </c>
      <c r="D4758" s="16" t="str">
        <f>IFERROR(VLOOKUP(C4758,DATA!#REF!,2,FALSE),"")</f>
        <v/>
      </c>
    </row>
    <row r="4759" spans="3:4" s="230" customFormat="1">
      <c r="C4759" s="16" t="str">
        <f>IFERROR(VLOOKUP(DATA!#REF!,DATA!#REF!,1,FALSE),"")</f>
        <v/>
      </c>
      <c r="D4759" s="16" t="str">
        <f>IFERROR(VLOOKUP(C4759,DATA!#REF!,2,FALSE),"")</f>
        <v/>
      </c>
    </row>
    <row r="4760" spans="3:4" s="230" customFormat="1">
      <c r="C4760" s="16" t="str">
        <f>IFERROR(VLOOKUP(DATA!#REF!,DATA!#REF!,1,FALSE),"")</f>
        <v/>
      </c>
      <c r="D4760" s="16" t="str">
        <f>IFERROR(VLOOKUP(C4760,DATA!#REF!,2,FALSE),"")</f>
        <v/>
      </c>
    </row>
    <row r="4761" spans="3:4" s="230" customFormat="1">
      <c r="C4761" s="16" t="str">
        <f>IFERROR(VLOOKUP(DATA!#REF!,DATA!#REF!,1,FALSE),"")</f>
        <v/>
      </c>
      <c r="D4761" s="16" t="str">
        <f>IFERROR(VLOOKUP(C4761,DATA!#REF!,2,FALSE),"")</f>
        <v/>
      </c>
    </row>
    <row r="4762" spans="3:4" s="230" customFormat="1">
      <c r="C4762" s="16" t="str">
        <f>IFERROR(VLOOKUP(DATA!#REF!,DATA!#REF!,1,FALSE),"")</f>
        <v/>
      </c>
      <c r="D4762" s="16" t="str">
        <f>IFERROR(VLOOKUP(C4762,DATA!#REF!,2,FALSE),"")</f>
        <v/>
      </c>
    </row>
    <row r="4763" spans="3:4" s="230" customFormat="1">
      <c r="C4763" s="16" t="str">
        <f>IFERROR(VLOOKUP(DATA!#REF!,DATA!#REF!,1,FALSE),"")</f>
        <v/>
      </c>
      <c r="D4763" s="16" t="str">
        <f>IFERROR(VLOOKUP(C4763,DATA!#REF!,2,FALSE),"")</f>
        <v/>
      </c>
    </row>
    <row r="4764" spans="3:4" s="230" customFormat="1">
      <c r="C4764" s="16" t="str">
        <f>IFERROR(VLOOKUP(DATA!#REF!,DATA!#REF!,1,FALSE),"")</f>
        <v/>
      </c>
      <c r="D4764" s="16" t="str">
        <f>IFERROR(VLOOKUP(C4764,DATA!#REF!,2,FALSE),"")</f>
        <v/>
      </c>
    </row>
    <row r="4765" spans="3:4" s="230" customFormat="1">
      <c r="C4765" s="16" t="str">
        <f>IFERROR(VLOOKUP(DATA!#REF!,DATA!#REF!,1,FALSE),"")</f>
        <v/>
      </c>
      <c r="D4765" s="16" t="str">
        <f>IFERROR(VLOOKUP(C4765,DATA!#REF!,2,FALSE),"")</f>
        <v/>
      </c>
    </row>
    <row r="4766" spans="3:4" s="230" customFormat="1">
      <c r="C4766" s="16" t="str">
        <f>IFERROR(VLOOKUP(DATA!#REF!,DATA!#REF!,1,FALSE),"")</f>
        <v/>
      </c>
      <c r="D4766" s="16" t="str">
        <f>IFERROR(VLOOKUP(C4766,DATA!#REF!,2,FALSE),"")</f>
        <v/>
      </c>
    </row>
    <row r="4767" spans="3:4" s="230" customFormat="1">
      <c r="C4767" s="16" t="str">
        <f>IFERROR(VLOOKUP(DATA!#REF!,DATA!#REF!,1,FALSE),"")</f>
        <v/>
      </c>
      <c r="D4767" s="16" t="str">
        <f>IFERROR(VLOOKUP(C4767,DATA!#REF!,2,FALSE),"")</f>
        <v/>
      </c>
    </row>
    <row r="4768" spans="3:4" s="230" customFormat="1">
      <c r="C4768" s="16" t="str">
        <f>IFERROR(VLOOKUP(DATA!#REF!,DATA!#REF!,1,FALSE),"")</f>
        <v/>
      </c>
      <c r="D4768" s="16" t="str">
        <f>IFERROR(VLOOKUP(C4768,DATA!#REF!,2,FALSE),"")</f>
        <v/>
      </c>
    </row>
    <row r="4769" spans="3:4" s="230" customFormat="1">
      <c r="C4769" s="16" t="str">
        <f>IFERROR(VLOOKUP(DATA!#REF!,DATA!#REF!,1,FALSE),"")</f>
        <v/>
      </c>
      <c r="D4769" s="16" t="str">
        <f>IFERROR(VLOOKUP(C4769,DATA!#REF!,2,FALSE),"")</f>
        <v/>
      </c>
    </row>
    <row r="4770" spans="3:4" s="230" customFormat="1">
      <c r="C4770" s="16" t="str">
        <f>IFERROR(VLOOKUP(DATA!#REF!,DATA!#REF!,1,FALSE),"")</f>
        <v/>
      </c>
      <c r="D4770" s="16" t="str">
        <f>IFERROR(VLOOKUP(C4770,DATA!#REF!,2,FALSE),"")</f>
        <v/>
      </c>
    </row>
    <row r="4771" spans="3:4" s="230" customFormat="1">
      <c r="C4771" s="16" t="str">
        <f>IFERROR(VLOOKUP(DATA!#REF!,DATA!#REF!,1,FALSE),"")</f>
        <v/>
      </c>
      <c r="D4771" s="16" t="str">
        <f>IFERROR(VLOOKUP(C4771,DATA!#REF!,2,FALSE),"")</f>
        <v/>
      </c>
    </row>
    <row r="4772" spans="3:4" s="230" customFormat="1">
      <c r="C4772" s="16" t="str">
        <f>IFERROR(VLOOKUP(DATA!#REF!,DATA!#REF!,1,FALSE),"")</f>
        <v/>
      </c>
      <c r="D4772" s="16" t="str">
        <f>IFERROR(VLOOKUP(C4772,DATA!#REF!,2,FALSE),"")</f>
        <v/>
      </c>
    </row>
    <row r="4773" spans="3:4" s="230" customFormat="1">
      <c r="C4773" s="16" t="str">
        <f>IFERROR(VLOOKUP(DATA!#REF!,DATA!#REF!,1,FALSE),"")</f>
        <v/>
      </c>
      <c r="D4773" s="16" t="str">
        <f>IFERROR(VLOOKUP(C4773,DATA!#REF!,2,FALSE),"")</f>
        <v/>
      </c>
    </row>
    <row r="4774" spans="3:4" s="230" customFormat="1">
      <c r="C4774" s="16" t="str">
        <f>IFERROR(VLOOKUP(DATA!#REF!,DATA!#REF!,1,FALSE),"")</f>
        <v/>
      </c>
      <c r="D4774" s="16" t="str">
        <f>IFERROR(VLOOKUP(C4774,DATA!#REF!,2,FALSE),"")</f>
        <v/>
      </c>
    </row>
    <row r="4775" spans="3:4" s="230" customFormat="1">
      <c r="C4775" s="16" t="str">
        <f>IFERROR(VLOOKUP(DATA!#REF!,DATA!#REF!,1,FALSE),"")</f>
        <v/>
      </c>
      <c r="D4775" s="16" t="str">
        <f>IFERROR(VLOOKUP(C4775,DATA!#REF!,2,FALSE),"")</f>
        <v/>
      </c>
    </row>
    <row r="4776" spans="3:4" s="230" customFormat="1">
      <c r="C4776" s="16" t="str">
        <f>IFERROR(VLOOKUP(DATA!#REF!,DATA!#REF!,1,FALSE),"")</f>
        <v/>
      </c>
      <c r="D4776" s="16" t="str">
        <f>IFERROR(VLOOKUP(C4776,DATA!#REF!,2,FALSE),"")</f>
        <v/>
      </c>
    </row>
    <row r="4777" spans="3:4" s="230" customFormat="1">
      <c r="C4777" s="16" t="str">
        <f>IFERROR(VLOOKUP(DATA!#REF!,DATA!#REF!,1,FALSE),"")</f>
        <v/>
      </c>
      <c r="D4777" s="16" t="str">
        <f>IFERROR(VLOOKUP(C4777,DATA!#REF!,2,FALSE),"")</f>
        <v/>
      </c>
    </row>
    <row r="4778" spans="3:4" s="230" customFormat="1">
      <c r="C4778" s="16" t="str">
        <f>IFERROR(VLOOKUP(DATA!#REF!,DATA!#REF!,1,FALSE),"")</f>
        <v/>
      </c>
      <c r="D4778" s="16" t="str">
        <f>IFERROR(VLOOKUP(C4778,DATA!#REF!,2,FALSE),"")</f>
        <v/>
      </c>
    </row>
    <row r="4779" spans="3:4" s="230" customFormat="1">
      <c r="C4779" s="16" t="str">
        <f>IFERROR(VLOOKUP(DATA!#REF!,DATA!#REF!,1,FALSE),"")</f>
        <v/>
      </c>
      <c r="D4779" s="16" t="str">
        <f>IFERROR(VLOOKUP(C4779,DATA!#REF!,2,FALSE),"")</f>
        <v/>
      </c>
    </row>
    <row r="4780" spans="3:4" s="230" customFormat="1">
      <c r="C4780" s="16" t="str">
        <f>IFERROR(VLOOKUP(DATA!#REF!,DATA!#REF!,1,FALSE),"")</f>
        <v/>
      </c>
      <c r="D4780" s="16" t="str">
        <f>IFERROR(VLOOKUP(C4780,DATA!#REF!,2,FALSE),"")</f>
        <v/>
      </c>
    </row>
    <row r="4781" spans="3:4" s="230" customFormat="1">
      <c r="C4781" s="16" t="str">
        <f>IFERROR(VLOOKUP(DATA!#REF!,DATA!#REF!,1,FALSE),"")</f>
        <v/>
      </c>
      <c r="D4781" s="16" t="str">
        <f>IFERROR(VLOOKUP(C4781,DATA!#REF!,2,FALSE),"")</f>
        <v/>
      </c>
    </row>
    <row r="4782" spans="3:4" s="230" customFormat="1">
      <c r="C4782" s="16" t="str">
        <f>IFERROR(VLOOKUP(DATA!#REF!,DATA!#REF!,1,FALSE),"")</f>
        <v/>
      </c>
      <c r="D4782" s="16" t="str">
        <f>IFERROR(VLOOKUP(C4782,DATA!#REF!,2,FALSE),"")</f>
        <v/>
      </c>
    </row>
    <row r="4783" spans="3:4" s="230" customFormat="1">
      <c r="C4783" s="16" t="str">
        <f>IFERROR(VLOOKUP(DATA!#REF!,DATA!#REF!,1,FALSE),"")</f>
        <v/>
      </c>
      <c r="D4783" s="16" t="str">
        <f>IFERROR(VLOOKUP(C4783,DATA!#REF!,2,FALSE),"")</f>
        <v/>
      </c>
    </row>
    <row r="4784" spans="3:4" s="230" customFormat="1">
      <c r="C4784" s="16" t="str">
        <f>IFERROR(VLOOKUP(DATA!#REF!,DATA!#REF!,1,FALSE),"")</f>
        <v/>
      </c>
      <c r="D4784" s="16" t="str">
        <f>IFERROR(VLOOKUP(C4784,DATA!#REF!,2,FALSE),"")</f>
        <v/>
      </c>
    </row>
    <row r="4785" spans="3:4" s="230" customFormat="1">
      <c r="C4785" s="16" t="str">
        <f>IFERROR(VLOOKUP(DATA!#REF!,DATA!#REF!,1,FALSE),"")</f>
        <v/>
      </c>
      <c r="D4785" s="16" t="str">
        <f>IFERROR(VLOOKUP(C4785,DATA!#REF!,2,FALSE),"")</f>
        <v/>
      </c>
    </row>
    <row r="4786" spans="3:4" s="230" customFormat="1">
      <c r="C4786" s="16" t="str">
        <f>IFERROR(VLOOKUP(DATA!#REF!,DATA!#REF!,1,FALSE),"")</f>
        <v/>
      </c>
      <c r="D4786" s="16" t="str">
        <f>IFERROR(VLOOKUP(C4786,DATA!#REF!,2,FALSE),"")</f>
        <v/>
      </c>
    </row>
    <row r="4787" spans="3:4" s="230" customFormat="1">
      <c r="C4787" s="16" t="str">
        <f>IFERROR(VLOOKUP(DATA!#REF!,DATA!#REF!,1,FALSE),"")</f>
        <v/>
      </c>
      <c r="D4787" s="16" t="str">
        <f>IFERROR(VLOOKUP(C4787,DATA!#REF!,2,FALSE),"")</f>
        <v/>
      </c>
    </row>
    <row r="4788" spans="3:4" s="230" customFormat="1">
      <c r="C4788" s="16" t="str">
        <f>IFERROR(VLOOKUP(DATA!#REF!,DATA!#REF!,1,FALSE),"")</f>
        <v/>
      </c>
      <c r="D4788" s="16" t="str">
        <f>IFERROR(VLOOKUP(C4788,DATA!#REF!,2,FALSE),"")</f>
        <v/>
      </c>
    </row>
    <row r="4789" spans="3:4" s="230" customFormat="1">
      <c r="C4789" s="16" t="str">
        <f>IFERROR(VLOOKUP(DATA!#REF!,DATA!#REF!,1,FALSE),"")</f>
        <v/>
      </c>
      <c r="D4789" s="16" t="str">
        <f>IFERROR(VLOOKUP(C4789,DATA!#REF!,2,FALSE),"")</f>
        <v/>
      </c>
    </row>
    <row r="4790" spans="3:4" s="230" customFormat="1">
      <c r="C4790" s="16" t="str">
        <f>IFERROR(VLOOKUP(DATA!#REF!,DATA!#REF!,1,FALSE),"")</f>
        <v/>
      </c>
      <c r="D4790" s="16" t="str">
        <f>IFERROR(VLOOKUP(C4790,DATA!#REF!,2,FALSE),"")</f>
        <v/>
      </c>
    </row>
    <row r="4791" spans="3:4" s="230" customFormat="1">
      <c r="C4791" s="16" t="str">
        <f>IFERROR(VLOOKUP(DATA!#REF!,DATA!#REF!,1,FALSE),"")</f>
        <v/>
      </c>
      <c r="D4791" s="16" t="str">
        <f>IFERROR(VLOOKUP(C4791,DATA!#REF!,2,FALSE),"")</f>
        <v/>
      </c>
    </row>
    <row r="4792" spans="3:4" s="230" customFormat="1">
      <c r="C4792" s="16" t="str">
        <f>IFERROR(VLOOKUP(DATA!#REF!,DATA!#REF!,1,FALSE),"")</f>
        <v/>
      </c>
      <c r="D4792" s="16" t="str">
        <f>IFERROR(VLOOKUP(C4792,DATA!#REF!,2,FALSE),"")</f>
        <v/>
      </c>
    </row>
    <row r="4793" spans="3:4" s="230" customFormat="1">
      <c r="C4793" s="16" t="str">
        <f>IFERROR(VLOOKUP(DATA!#REF!,DATA!#REF!,1,FALSE),"")</f>
        <v/>
      </c>
      <c r="D4793" s="16" t="str">
        <f>IFERROR(VLOOKUP(C4793,DATA!#REF!,2,FALSE),"")</f>
        <v/>
      </c>
    </row>
    <row r="4794" spans="3:4" s="230" customFormat="1">
      <c r="C4794" s="16" t="str">
        <f>IFERROR(VLOOKUP(DATA!#REF!,DATA!#REF!,1,FALSE),"")</f>
        <v/>
      </c>
      <c r="D4794" s="16" t="str">
        <f>IFERROR(VLOOKUP(C4794,DATA!#REF!,2,FALSE),"")</f>
        <v/>
      </c>
    </row>
    <row r="4795" spans="3:4" s="230" customFormat="1">
      <c r="C4795" s="16" t="str">
        <f>IFERROR(VLOOKUP(DATA!#REF!,DATA!#REF!,1,FALSE),"")</f>
        <v/>
      </c>
      <c r="D4795" s="16" t="str">
        <f>IFERROR(VLOOKUP(C4795,DATA!#REF!,2,FALSE),"")</f>
        <v/>
      </c>
    </row>
    <row r="4796" spans="3:4" s="230" customFormat="1">
      <c r="C4796" s="16" t="str">
        <f>IFERROR(VLOOKUP(DATA!#REF!,DATA!#REF!,1,FALSE),"")</f>
        <v/>
      </c>
      <c r="D4796" s="16" t="str">
        <f>IFERROR(VLOOKUP(C4796,DATA!#REF!,2,FALSE),"")</f>
        <v/>
      </c>
    </row>
    <row r="4797" spans="3:4" s="230" customFormat="1">
      <c r="C4797" s="16" t="str">
        <f>IFERROR(VLOOKUP(DATA!#REF!,DATA!#REF!,1,FALSE),"")</f>
        <v/>
      </c>
      <c r="D4797" s="16" t="str">
        <f>IFERROR(VLOOKUP(C4797,DATA!#REF!,2,FALSE),"")</f>
        <v/>
      </c>
    </row>
    <row r="4798" spans="3:4" s="230" customFormat="1">
      <c r="C4798" s="16" t="str">
        <f>IFERROR(VLOOKUP(DATA!#REF!,DATA!#REF!,1,FALSE),"")</f>
        <v/>
      </c>
      <c r="D4798" s="16" t="str">
        <f>IFERROR(VLOOKUP(C4798,DATA!#REF!,2,FALSE),"")</f>
        <v/>
      </c>
    </row>
    <row r="4799" spans="3:4" s="230" customFormat="1">
      <c r="C4799" s="16" t="str">
        <f>IFERROR(VLOOKUP(DATA!#REF!,DATA!#REF!,1,FALSE),"")</f>
        <v/>
      </c>
      <c r="D4799" s="16" t="str">
        <f>IFERROR(VLOOKUP(C4799,DATA!#REF!,2,FALSE),"")</f>
        <v/>
      </c>
    </row>
    <row r="4800" spans="3:4" s="230" customFormat="1">
      <c r="C4800" s="16" t="str">
        <f>IFERROR(VLOOKUP(DATA!#REF!,DATA!#REF!,1,FALSE),"")</f>
        <v/>
      </c>
      <c r="D4800" s="16" t="str">
        <f>IFERROR(VLOOKUP(C4800,DATA!#REF!,2,FALSE),"")</f>
        <v/>
      </c>
    </row>
    <row r="4801" spans="3:4" s="230" customFormat="1">
      <c r="C4801" s="16" t="str">
        <f>IFERROR(VLOOKUP(DATA!#REF!,DATA!#REF!,1,FALSE),"")</f>
        <v/>
      </c>
      <c r="D4801" s="16" t="str">
        <f>IFERROR(VLOOKUP(C4801,DATA!#REF!,2,FALSE),"")</f>
        <v/>
      </c>
    </row>
    <row r="4802" spans="3:4" s="230" customFormat="1">
      <c r="C4802" s="16" t="str">
        <f>IFERROR(VLOOKUP(DATA!#REF!,DATA!#REF!,1,FALSE),"")</f>
        <v/>
      </c>
      <c r="D4802" s="16" t="str">
        <f>IFERROR(VLOOKUP(C4802,DATA!#REF!,2,FALSE),"")</f>
        <v/>
      </c>
    </row>
    <row r="4803" spans="3:4" s="230" customFormat="1">
      <c r="C4803" s="16" t="str">
        <f>IFERROR(VLOOKUP(DATA!#REF!,DATA!#REF!,1,FALSE),"")</f>
        <v/>
      </c>
      <c r="D4803" s="16" t="str">
        <f>IFERROR(VLOOKUP(C4803,DATA!#REF!,2,FALSE),"")</f>
        <v/>
      </c>
    </row>
    <row r="4804" spans="3:4" s="230" customFormat="1">
      <c r="C4804" s="16" t="str">
        <f>IFERROR(VLOOKUP(DATA!#REF!,DATA!#REF!,1,FALSE),"")</f>
        <v/>
      </c>
      <c r="D4804" s="16" t="str">
        <f>IFERROR(VLOOKUP(C4804,DATA!#REF!,2,FALSE),"")</f>
        <v/>
      </c>
    </row>
    <row r="4805" spans="3:4" s="230" customFormat="1">
      <c r="C4805" s="16" t="str">
        <f>IFERROR(VLOOKUP(DATA!#REF!,DATA!#REF!,1,FALSE),"")</f>
        <v/>
      </c>
      <c r="D4805" s="16" t="str">
        <f>IFERROR(VLOOKUP(C4805,DATA!#REF!,2,FALSE),"")</f>
        <v/>
      </c>
    </row>
    <row r="4806" spans="3:4" s="230" customFormat="1">
      <c r="C4806" s="16" t="str">
        <f>IFERROR(VLOOKUP(DATA!#REF!,DATA!#REF!,1,FALSE),"")</f>
        <v/>
      </c>
      <c r="D4806" s="16" t="str">
        <f>IFERROR(VLOOKUP(C4806,DATA!#REF!,2,FALSE),"")</f>
        <v/>
      </c>
    </row>
    <row r="4807" spans="3:4" s="230" customFormat="1">
      <c r="C4807" s="16" t="str">
        <f>IFERROR(VLOOKUP(DATA!#REF!,DATA!#REF!,1,FALSE),"")</f>
        <v/>
      </c>
      <c r="D4807" s="16" t="str">
        <f>IFERROR(VLOOKUP(C4807,DATA!#REF!,2,FALSE),"")</f>
        <v/>
      </c>
    </row>
    <row r="4808" spans="3:4" s="230" customFormat="1">
      <c r="C4808" s="16" t="str">
        <f>IFERROR(VLOOKUP(DATA!#REF!,DATA!#REF!,1,FALSE),"")</f>
        <v/>
      </c>
      <c r="D4808" s="16" t="str">
        <f>IFERROR(VLOOKUP(C4808,DATA!#REF!,2,FALSE),"")</f>
        <v/>
      </c>
    </row>
    <row r="4809" spans="3:4" s="230" customFormat="1">
      <c r="C4809" s="16" t="str">
        <f>IFERROR(VLOOKUP(DATA!#REF!,DATA!#REF!,1,FALSE),"")</f>
        <v/>
      </c>
      <c r="D4809" s="16" t="str">
        <f>IFERROR(VLOOKUP(C4809,DATA!#REF!,2,FALSE),"")</f>
        <v/>
      </c>
    </row>
    <row r="4810" spans="3:4" s="230" customFormat="1">
      <c r="C4810" s="16" t="str">
        <f>IFERROR(VLOOKUP(DATA!#REF!,DATA!#REF!,1,FALSE),"")</f>
        <v/>
      </c>
      <c r="D4810" s="16" t="str">
        <f>IFERROR(VLOOKUP(C4810,DATA!#REF!,2,FALSE),"")</f>
        <v/>
      </c>
    </row>
    <row r="4811" spans="3:4" s="230" customFormat="1">
      <c r="C4811" s="16" t="str">
        <f>IFERROR(VLOOKUP(DATA!#REF!,DATA!#REF!,1,FALSE),"")</f>
        <v/>
      </c>
      <c r="D4811" s="16" t="str">
        <f>IFERROR(VLOOKUP(C4811,DATA!#REF!,2,FALSE),"")</f>
        <v/>
      </c>
    </row>
    <row r="4812" spans="3:4" s="230" customFormat="1">
      <c r="C4812" s="16" t="str">
        <f>IFERROR(VLOOKUP(DATA!#REF!,DATA!#REF!,1,FALSE),"")</f>
        <v/>
      </c>
      <c r="D4812" s="16" t="str">
        <f>IFERROR(VLOOKUP(C4812,DATA!#REF!,2,FALSE),"")</f>
        <v/>
      </c>
    </row>
    <row r="4813" spans="3:4" s="230" customFormat="1">
      <c r="C4813" s="16" t="str">
        <f>IFERROR(VLOOKUP(DATA!#REF!,DATA!#REF!,1,FALSE),"")</f>
        <v/>
      </c>
      <c r="D4813" s="16" t="str">
        <f>IFERROR(VLOOKUP(C4813,DATA!#REF!,2,FALSE),"")</f>
        <v/>
      </c>
    </row>
    <row r="4814" spans="3:4" s="230" customFormat="1">
      <c r="C4814" s="16" t="str">
        <f>IFERROR(VLOOKUP(DATA!#REF!,DATA!#REF!,1,FALSE),"")</f>
        <v/>
      </c>
      <c r="D4814" s="16" t="str">
        <f>IFERROR(VLOOKUP(C4814,DATA!#REF!,2,FALSE),"")</f>
        <v/>
      </c>
    </row>
    <row r="4815" spans="3:4" s="230" customFormat="1">
      <c r="C4815" s="16" t="str">
        <f>IFERROR(VLOOKUP(DATA!#REF!,DATA!#REF!,1,FALSE),"")</f>
        <v/>
      </c>
      <c r="D4815" s="16" t="str">
        <f>IFERROR(VLOOKUP(C4815,DATA!#REF!,2,FALSE),"")</f>
        <v/>
      </c>
    </row>
    <row r="4816" spans="3:4" s="230" customFormat="1">
      <c r="C4816" s="16" t="str">
        <f>IFERROR(VLOOKUP(DATA!#REF!,DATA!#REF!,1,FALSE),"")</f>
        <v/>
      </c>
      <c r="D4816" s="16" t="str">
        <f>IFERROR(VLOOKUP(C4816,DATA!#REF!,2,FALSE),"")</f>
        <v/>
      </c>
    </row>
    <row r="4817" spans="3:4" s="230" customFormat="1">
      <c r="C4817" s="16" t="str">
        <f>IFERROR(VLOOKUP(DATA!#REF!,DATA!#REF!,1,FALSE),"")</f>
        <v/>
      </c>
      <c r="D4817" s="16" t="str">
        <f>IFERROR(VLOOKUP(C4817,DATA!#REF!,2,FALSE),"")</f>
        <v/>
      </c>
    </row>
    <row r="4818" spans="3:4" s="230" customFormat="1">
      <c r="C4818" s="16" t="str">
        <f>IFERROR(VLOOKUP(DATA!#REF!,DATA!#REF!,1,FALSE),"")</f>
        <v/>
      </c>
      <c r="D4818" s="16" t="str">
        <f>IFERROR(VLOOKUP(C4818,DATA!#REF!,2,FALSE),"")</f>
        <v/>
      </c>
    </row>
    <row r="4819" spans="3:4" s="230" customFormat="1">
      <c r="C4819" s="16" t="str">
        <f>IFERROR(VLOOKUP(DATA!#REF!,DATA!#REF!,1,FALSE),"")</f>
        <v/>
      </c>
      <c r="D4819" s="16" t="str">
        <f>IFERROR(VLOOKUP(C4819,DATA!#REF!,2,FALSE),"")</f>
        <v/>
      </c>
    </row>
    <row r="4820" spans="3:4" s="230" customFormat="1">
      <c r="C4820" s="16" t="str">
        <f>IFERROR(VLOOKUP(DATA!#REF!,DATA!#REF!,1,FALSE),"")</f>
        <v/>
      </c>
      <c r="D4820" s="16" t="str">
        <f>IFERROR(VLOOKUP(C4820,DATA!#REF!,2,FALSE),"")</f>
        <v/>
      </c>
    </row>
    <row r="4821" spans="3:4" s="230" customFormat="1">
      <c r="C4821" s="16" t="str">
        <f>IFERROR(VLOOKUP(DATA!#REF!,DATA!#REF!,1,FALSE),"")</f>
        <v/>
      </c>
      <c r="D4821" s="16" t="str">
        <f>IFERROR(VLOOKUP(C4821,DATA!#REF!,2,FALSE),"")</f>
        <v/>
      </c>
    </row>
    <row r="4822" spans="3:4" s="230" customFormat="1">
      <c r="C4822" s="16" t="str">
        <f>IFERROR(VLOOKUP(DATA!#REF!,DATA!#REF!,1,FALSE),"")</f>
        <v/>
      </c>
      <c r="D4822" s="16" t="str">
        <f>IFERROR(VLOOKUP(C4822,DATA!#REF!,2,FALSE),"")</f>
        <v/>
      </c>
    </row>
    <row r="4823" spans="3:4" s="230" customFormat="1">
      <c r="C4823" s="16" t="str">
        <f>IFERROR(VLOOKUP(DATA!#REF!,DATA!#REF!,1,FALSE),"")</f>
        <v/>
      </c>
      <c r="D4823" s="16" t="str">
        <f>IFERROR(VLOOKUP(C4823,DATA!#REF!,2,FALSE),"")</f>
        <v/>
      </c>
    </row>
    <row r="4824" spans="3:4" s="230" customFormat="1">
      <c r="C4824" s="16" t="str">
        <f>IFERROR(VLOOKUP(DATA!#REF!,DATA!#REF!,1,FALSE),"")</f>
        <v/>
      </c>
      <c r="D4824" s="16" t="str">
        <f>IFERROR(VLOOKUP(C4824,DATA!#REF!,2,FALSE),"")</f>
        <v/>
      </c>
    </row>
    <row r="4825" spans="3:4" s="230" customFormat="1">
      <c r="C4825" s="16" t="str">
        <f>IFERROR(VLOOKUP(DATA!#REF!,DATA!#REF!,1,FALSE),"")</f>
        <v/>
      </c>
      <c r="D4825" s="16" t="str">
        <f>IFERROR(VLOOKUP(C4825,DATA!#REF!,2,FALSE),"")</f>
        <v/>
      </c>
    </row>
    <row r="4826" spans="3:4" s="230" customFormat="1">
      <c r="C4826" s="16" t="str">
        <f>IFERROR(VLOOKUP(DATA!#REF!,DATA!#REF!,1,FALSE),"")</f>
        <v/>
      </c>
      <c r="D4826" s="16" t="str">
        <f>IFERROR(VLOOKUP(C4826,DATA!#REF!,2,FALSE),"")</f>
        <v/>
      </c>
    </row>
    <row r="4827" spans="3:4" s="230" customFormat="1">
      <c r="C4827" s="16" t="str">
        <f>IFERROR(VLOOKUP(DATA!#REF!,DATA!#REF!,1,FALSE),"")</f>
        <v/>
      </c>
      <c r="D4827" s="16" t="str">
        <f>IFERROR(VLOOKUP(C4827,DATA!#REF!,2,FALSE),"")</f>
        <v/>
      </c>
    </row>
    <row r="4828" spans="3:4" s="230" customFormat="1">
      <c r="C4828" s="16" t="str">
        <f>IFERROR(VLOOKUP(DATA!#REF!,DATA!#REF!,1,FALSE),"")</f>
        <v/>
      </c>
      <c r="D4828" s="16" t="str">
        <f>IFERROR(VLOOKUP(C4828,DATA!#REF!,2,FALSE),"")</f>
        <v/>
      </c>
    </row>
    <row r="4829" spans="3:4" s="230" customFormat="1">
      <c r="C4829" s="16" t="str">
        <f>IFERROR(VLOOKUP(DATA!#REF!,DATA!#REF!,1,FALSE),"")</f>
        <v/>
      </c>
      <c r="D4829" s="16" t="str">
        <f>IFERROR(VLOOKUP(C4829,DATA!#REF!,2,FALSE),"")</f>
        <v/>
      </c>
    </row>
    <row r="4830" spans="3:4" s="230" customFormat="1">
      <c r="C4830" s="16" t="str">
        <f>IFERROR(VLOOKUP(DATA!#REF!,DATA!#REF!,1,FALSE),"")</f>
        <v/>
      </c>
      <c r="D4830" s="16" t="str">
        <f>IFERROR(VLOOKUP(C4830,DATA!#REF!,2,FALSE),"")</f>
        <v/>
      </c>
    </row>
    <row r="4831" spans="3:4" s="230" customFormat="1">
      <c r="C4831" s="16" t="str">
        <f>IFERROR(VLOOKUP(DATA!#REF!,DATA!#REF!,1,FALSE),"")</f>
        <v/>
      </c>
      <c r="D4831" s="16" t="str">
        <f>IFERROR(VLOOKUP(C4831,DATA!#REF!,2,FALSE),"")</f>
        <v/>
      </c>
    </row>
    <row r="4832" spans="3:4" s="230" customFormat="1">
      <c r="C4832" s="16" t="str">
        <f>IFERROR(VLOOKUP(DATA!#REF!,DATA!#REF!,1,FALSE),"")</f>
        <v/>
      </c>
      <c r="D4832" s="16" t="str">
        <f>IFERROR(VLOOKUP(C4832,DATA!#REF!,2,FALSE),"")</f>
        <v/>
      </c>
    </row>
    <row r="4833" spans="3:4" s="230" customFormat="1">
      <c r="C4833" s="16" t="str">
        <f>IFERROR(VLOOKUP(DATA!#REF!,DATA!#REF!,1,FALSE),"")</f>
        <v/>
      </c>
      <c r="D4833" s="16" t="str">
        <f>IFERROR(VLOOKUP(C4833,DATA!#REF!,2,FALSE),"")</f>
        <v/>
      </c>
    </row>
    <row r="4834" spans="3:4" s="230" customFormat="1">
      <c r="C4834" s="16" t="str">
        <f>IFERROR(VLOOKUP(DATA!#REF!,DATA!#REF!,1,FALSE),"")</f>
        <v/>
      </c>
      <c r="D4834" s="16" t="str">
        <f>IFERROR(VLOOKUP(C4834,DATA!#REF!,2,FALSE),"")</f>
        <v/>
      </c>
    </row>
    <row r="4835" spans="3:4" s="230" customFormat="1">
      <c r="C4835" s="16" t="str">
        <f>IFERROR(VLOOKUP(DATA!#REF!,DATA!#REF!,1,FALSE),"")</f>
        <v/>
      </c>
      <c r="D4835" s="16" t="str">
        <f>IFERROR(VLOOKUP(C4835,DATA!#REF!,2,FALSE),"")</f>
        <v/>
      </c>
    </row>
    <row r="4836" spans="3:4" s="230" customFormat="1">
      <c r="C4836" s="16" t="str">
        <f>IFERROR(VLOOKUP(DATA!#REF!,DATA!#REF!,1,FALSE),"")</f>
        <v/>
      </c>
      <c r="D4836" s="16" t="str">
        <f>IFERROR(VLOOKUP(C4836,DATA!#REF!,2,FALSE),"")</f>
        <v/>
      </c>
    </row>
    <row r="4837" spans="3:4" s="230" customFormat="1">
      <c r="C4837" s="16" t="str">
        <f>IFERROR(VLOOKUP(DATA!#REF!,DATA!#REF!,1,FALSE),"")</f>
        <v/>
      </c>
      <c r="D4837" s="16" t="str">
        <f>IFERROR(VLOOKUP(C4837,DATA!#REF!,2,FALSE),"")</f>
        <v/>
      </c>
    </row>
    <row r="4838" spans="3:4" s="230" customFormat="1">
      <c r="C4838" s="16" t="str">
        <f>IFERROR(VLOOKUP(DATA!#REF!,DATA!#REF!,1,FALSE),"")</f>
        <v/>
      </c>
      <c r="D4838" s="16" t="str">
        <f>IFERROR(VLOOKUP(C4838,DATA!#REF!,2,FALSE),"")</f>
        <v/>
      </c>
    </row>
    <row r="4839" spans="3:4" s="230" customFormat="1">
      <c r="C4839" s="16" t="str">
        <f>IFERROR(VLOOKUP(DATA!#REF!,DATA!#REF!,1,FALSE),"")</f>
        <v/>
      </c>
      <c r="D4839" s="16" t="str">
        <f>IFERROR(VLOOKUP(C4839,DATA!#REF!,2,FALSE),"")</f>
        <v/>
      </c>
    </row>
    <row r="4840" spans="3:4" s="230" customFormat="1">
      <c r="C4840" s="16" t="str">
        <f>IFERROR(VLOOKUP(DATA!#REF!,DATA!#REF!,1,FALSE),"")</f>
        <v/>
      </c>
      <c r="D4840" s="16" t="str">
        <f>IFERROR(VLOOKUP(C4840,DATA!#REF!,2,FALSE),"")</f>
        <v/>
      </c>
    </row>
    <row r="4841" spans="3:4" s="230" customFormat="1">
      <c r="C4841" s="16" t="str">
        <f>IFERROR(VLOOKUP(DATA!#REF!,DATA!#REF!,1,FALSE),"")</f>
        <v/>
      </c>
      <c r="D4841" s="16" t="str">
        <f>IFERROR(VLOOKUP(C4841,DATA!#REF!,2,FALSE),"")</f>
        <v/>
      </c>
    </row>
    <row r="4842" spans="3:4" s="230" customFormat="1">
      <c r="C4842" s="16" t="str">
        <f>IFERROR(VLOOKUP(DATA!#REF!,DATA!#REF!,1,FALSE),"")</f>
        <v/>
      </c>
      <c r="D4842" s="16" t="str">
        <f>IFERROR(VLOOKUP(C4842,DATA!#REF!,2,FALSE),"")</f>
        <v/>
      </c>
    </row>
    <row r="4843" spans="3:4" s="230" customFormat="1">
      <c r="C4843" s="16" t="str">
        <f>IFERROR(VLOOKUP(DATA!#REF!,DATA!#REF!,1,FALSE),"")</f>
        <v/>
      </c>
      <c r="D4843" s="16" t="str">
        <f>IFERROR(VLOOKUP(C4843,DATA!#REF!,2,FALSE),"")</f>
        <v/>
      </c>
    </row>
    <row r="4844" spans="3:4" s="230" customFormat="1">
      <c r="C4844" s="16" t="str">
        <f>IFERROR(VLOOKUP(DATA!#REF!,DATA!#REF!,1,FALSE),"")</f>
        <v/>
      </c>
      <c r="D4844" s="16" t="str">
        <f>IFERROR(VLOOKUP(C4844,DATA!#REF!,2,FALSE),"")</f>
        <v/>
      </c>
    </row>
    <row r="4845" spans="3:4" s="230" customFormat="1">
      <c r="C4845" s="16" t="str">
        <f>IFERROR(VLOOKUP(DATA!#REF!,DATA!#REF!,1,FALSE),"")</f>
        <v/>
      </c>
      <c r="D4845" s="16" t="str">
        <f>IFERROR(VLOOKUP(C4845,DATA!#REF!,2,FALSE),"")</f>
        <v/>
      </c>
    </row>
    <row r="4846" spans="3:4" s="230" customFormat="1">
      <c r="C4846" s="16" t="str">
        <f>IFERROR(VLOOKUP(DATA!#REF!,DATA!#REF!,1,FALSE),"")</f>
        <v/>
      </c>
      <c r="D4846" s="16" t="str">
        <f>IFERROR(VLOOKUP(C4846,DATA!#REF!,2,FALSE),"")</f>
        <v/>
      </c>
    </row>
    <row r="4847" spans="3:4" s="230" customFormat="1">
      <c r="C4847" s="16" t="str">
        <f>IFERROR(VLOOKUP(DATA!#REF!,DATA!#REF!,1,FALSE),"")</f>
        <v/>
      </c>
      <c r="D4847" s="16" t="str">
        <f>IFERROR(VLOOKUP(C4847,DATA!#REF!,2,FALSE),"")</f>
        <v/>
      </c>
    </row>
    <row r="4848" spans="3:4" s="230" customFormat="1">
      <c r="C4848" s="16" t="str">
        <f>IFERROR(VLOOKUP(DATA!#REF!,DATA!#REF!,1,FALSE),"")</f>
        <v/>
      </c>
      <c r="D4848" s="16" t="str">
        <f>IFERROR(VLOOKUP(C4848,DATA!#REF!,2,FALSE),"")</f>
        <v/>
      </c>
    </row>
    <row r="4849" spans="3:4" s="230" customFormat="1">
      <c r="C4849" s="16" t="str">
        <f>IFERROR(VLOOKUP(DATA!#REF!,DATA!#REF!,1,FALSE),"")</f>
        <v/>
      </c>
      <c r="D4849" s="16" t="str">
        <f>IFERROR(VLOOKUP(C4849,DATA!#REF!,2,FALSE),"")</f>
        <v/>
      </c>
    </row>
    <row r="4850" spans="3:4" s="230" customFormat="1">
      <c r="C4850" s="16" t="str">
        <f>IFERROR(VLOOKUP(DATA!#REF!,DATA!#REF!,1,FALSE),"")</f>
        <v/>
      </c>
      <c r="D4850" s="16" t="str">
        <f>IFERROR(VLOOKUP(C4850,DATA!#REF!,2,FALSE),"")</f>
        <v/>
      </c>
    </row>
    <row r="4851" spans="3:4" s="230" customFormat="1">
      <c r="C4851" s="16" t="str">
        <f>IFERROR(VLOOKUP(DATA!#REF!,DATA!#REF!,1,FALSE),"")</f>
        <v/>
      </c>
      <c r="D4851" s="16" t="str">
        <f>IFERROR(VLOOKUP(C4851,DATA!#REF!,2,FALSE),"")</f>
        <v/>
      </c>
    </row>
    <row r="4852" spans="3:4" s="230" customFormat="1">
      <c r="C4852" s="16" t="str">
        <f>IFERROR(VLOOKUP(DATA!#REF!,DATA!#REF!,1,FALSE),"")</f>
        <v/>
      </c>
      <c r="D4852" s="16" t="str">
        <f>IFERROR(VLOOKUP(C4852,DATA!#REF!,2,FALSE),"")</f>
        <v/>
      </c>
    </row>
    <row r="4853" spans="3:4" s="230" customFormat="1">
      <c r="C4853" s="16" t="str">
        <f>IFERROR(VLOOKUP(DATA!#REF!,DATA!#REF!,1,FALSE),"")</f>
        <v/>
      </c>
      <c r="D4853" s="16" t="str">
        <f>IFERROR(VLOOKUP(C4853,DATA!#REF!,2,FALSE),"")</f>
        <v/>
      </c>
    </row>
    <row r="4854" spans="3:4" s="230" customFormat="1">
      <c r="C4854" s="16" t="str">
        <f>IFERROR(VLOOKUP(DATA!#REF!,DATA!#REF!,1,FALSE),"")</f>
        <v/>
      </c>
      <c r="D4854" s="16" t="str">
        <f>IFERROR(VLOOKUP(C4854,DATA!#REF!,2,FALSE),"")</f>
        <v/>
      </c>
    </row>
    <row r="4855" spans="3:4" s="230" customFormat="1">
      <c r="C4855" s="16" t="str">
        <f>IFERROR(VLOOKUP(DATA!#REF!,DATA!#REF!,1,FALSE),"")</f>
        <v/>
      </c>
      <c r="D4855" s="16" t="str">
        <f>IFERROR(VLOOKUP(C4855,DATA!#REF!,2,FALSE),"")</f>
        <v/>
      </c>
    </row>
    <row r="4856" spans="3:4" s="230" customFormat="1">
      <c r="C4856" s="16" t="str">
        <f>IFERROR(VLOOKUP(DATA!#REF!,DATA!#REF!,1,FALSE),"")</f>
        <v/>
      </c>
      <c r="D4856" s="16" t="str">
        <f>IFERROR(VLOOKUP(C4856,DATA!#REF!,2,FALSE),"")</f>
        <v/>
      </c>
    </row>
    <row r="4857" spans="3:4" s="230" customFormat="1">
      <c r="C4857" s="16" t="str">
        <f>IFERROR(VLOOKUP(DATA!#REF!,DATA!#REF!,1,FALSE),"")</f>
        <v/>
      </c>
      <c r="D4857" s="16" t="str">
        <f>IFERROR(VLOOKUP(C4857,DATA!#REF!,2,FALSE),"")</f>
        <v/>
      </c>
    </row>
    <row r="4858" spans="3:4" s="230" customFormat="1">
      <c r="C4858" s="16" t="str">
        <f>IFERROR(VLOOKUP(DATA!#REF!,DATA!#REF!,1,FALSE),"")</f>
        <v/>
      </c>
      <c r="D4858" s="16" t="str">
        <f>IFERROR(VLOOKUP(C4858,DATA!#REF!,2,FALSE),"")</f>
        <v/>
      </c>
    </row>
    <row r="4859" spans="3:4" s="230" customFormat="1">
      <c r="C4859" s="16" t="str">
        <f>IFERROR(VLOOKUP(DATA!#REF!,DATA!#REF!,1,FALSE),"")</f>
        <v/>
      </c>
      <c r="D4859" s="16" t="str">
        <f>IFERROR(VLOOKUP(C4859,DATA!#REF!,2,FALSE),"")</f>
        <v/>
      </c>
    </row>
    <row r="4860" spans="3:4" s="230" customFormat="1">
      <c r="C4860" s="16" t="str">
        <f>IFERROR(VLOOKUP(DATA!#REF!,DATA!#REF!,1,FALSE),"")</f>
        <v/>
      </c>
      <c r="D4860" s="16" t="str">
        <f>IFERROR(VLOOKUP(C4860,DATA!#REF!,2,FALSE),"")</f>
        <v/>
      </c>
    </row>
    <row r="4861" spans="3:4" s="230" customFormat="1">
      <c r="C4861" s="16" t="str">
        <f>IFERROR(VLOOKUP(DATA!#REF!,DATA!#REF!,1,FALSE),"")</f>
        <v/>
      </c>
      <c r="D4861" s="16" t="str">
        <f>IFERROR(VLOOKUP(C4861,DATA!#REF!,2,FALSE),"")</f>
        <v/>
      </c>
    </row>
    <row r="4862" spans="3:4" s="230" customFormat="1">
      <c r="C4862" s="16" t="str">
        <f>IFERROR(VLOOKUP(DATA!#REF!,DATA!#REF!,1,FALSE),"")</f>
        <v/>
      </c>
      <c r="D4862" s="16" t="str">
        <f>IFERROR(VLOOKUP(C4862,DATA!#REF!,2,FALSE),"")</f>
        <v/>
      </c>
    </row>
    <row r="4863" spans="3:4" s="230" customFormat="1">
      <c r="C4863" s="16" t="str">
        <f>IFERROR(VLOOKUP(DATA!#REF!,DATA!#REF!,1,FALSE),"")</f>
        <v/>
      </c>
      <c r="D4863" s="16" t="str">
        <f>IFERROR(VLOOKUP(C4863,DATA!#REF!,2,FALSE),"")</f>
        <v/>
      </c>
    </row>
    <row r="4864" spans="3:4" s="230" customFormat="1">
      <c r="C4864" s="16" t="str">
        <f>IFERROR(VLOOKUP(DATA!#REF!,DATA!#REF!,1,FALSE),"")</f>
        <v/>
      </c>
      <c r="D4864" s="16" t="str">
        <f>IFERROR(VLOOKUP(C4864,DATA!#REF!,2,FALSE),"")</f>
        <v/>
      </c>
    </row>
    <row r="4865" spans="3:4" s="230" customFormat="1">
      <c r="C4865" s="16" t="str">
        <f>IFERROR(VLOOKUP(DATA!#REF!,DATA!#REF!,1,FALSE),"")</f>
        <v/>
      </c>
      <c r="D4865" s="16" t="str">
        <f>IFERROR(VLOOKUP(C4865,DATA!#REF!,2,FALSE),"")</f>
        <v/>
      </c>
    </row>
    <row r="4866" spans="3:4" s="230" customFormat="1">
      <c r="C4866" s="16" t="str">
        <f>IFERROR(VLOOKUP(DATA!#REF!,DATA!#REF!,1,FALSE),"")</f>
        <v/>
      </c>
      <c r="D4866" s="16" t="str">
        <f>IFERROR(VLOOKUP(C4866,DATA!#REF!,2,FALSE),"")</f>
        <v/>
      </c>
    </row>
    <row r="4867" spans="3:4" s="230" customFormat="1">
      <c r="C4867" s="16" t="str">
        <f>IFERROR(VLOOKUP(DATA!#REF!,DATA!#REF!,1,FALSE),"")</f>
        <v/>
      </c>
      <c r="D4867" s="16" t="str">
        <f>IFERROR(VLOOKUP(C4867,DATA!#REF!,2,FALSE),"")</f>
        <v/>
      </c>
    </row>
    <row r="4868" spans="3:4" s="230" customFormat="1">
      <c r="C4868" s="16" t="str">
        <f>IFERROR(VLOOKUP(DATA!#REF!,DATA!#REF!,1,FALSE),"")</f>
        <v/>
      </c>
      <c r="D4868" s="16" t="str">
        <f>IFERROR(VLOOKUP(C4868,DATA!#REF!,2,FALSE),"")</f>
        <v/>
      </c>
    </row>
    <row r="4869" spans="3:4" s="230" customFormat="1">
      <c r="C4869" s="16" t="str">
        <f>IFERROR(VLOOKUP(DATA!#REF!,DATA!#REF!,1,FALSE),"")</f>
        <v/>
      </c>
      <c r="D4869" s="16" t="str">
        <f>IFERROR(VLOOKUP(C4869,DATA!#REF!,2,FALSE),"")</f>
        <v/>
      </c>
    </row>
    <row r="4870" spans="3:4" s="230" customFormat="1">
      <c r="C4870" s="16" t="str">
        <f>IFERROR(VLOOKUP(DATA!#REF!,DATA!#REF!,1,FALSE),"")</f>
        <v/>
      </c>
      <c r="D4870" s="16" t="str">
        <f>IFERROR(VLOOKUP(C4870,DATA!#REF!,2,FALSE),"")</f>
        <v/>
      </c>
    </row>
    <row r="4871" spans="3:4" s="230" customFormat="1">
      <c r="C4871" s="16" t="str">
        <f>IFERROR(VLOOKUP(DATA!#REF!,DATA!#REF!,1,FALSE),"")</f>
        <v/>
      </c>
      <c r="D4871" s="16" t="str">
        <f>IFERROR(VLOOKUP(C4871,DATA!#REF!,2,FALSE),"")</f>
        <v/>
      </c>
    </row>
    <row r="4872" spans="3:4" s="230" customFormat="1">
      <c r="C4872" s="16" t="str">
        <f>IFERROR(VLOOKUP(DATA!#REF!,DATA!#REF!,1,FALSE),"")</f>
        <v/>
      </c>
      <c r="D4872" s="16" t="str">
        <f>IFERROR(VLOOKUP(C4872,DATA!#REF!,2,FALSE),"")</f>
        <v/>
      </c>
    </row>
    <row r="4873" spans="3:4" s="230" customFormat="1">
      <c r="C4873" s="16" t="str">
        <f>IFERROR(VLOOKUP(DATA!#REF!,DATA!#REF!,1,FALSE),"")</f>
        <v/>
      </c>
      <c r="D4873" s="16" t="str">
        <f>IFERROR(VLOOKUP(C4873,DATA!#REF!,2,FALSE),"")</f>
        <v/>
      </c>
    </row>
    <row r="4874" spans="3:4" s="230" customFormat="1">
      <c r="C4874" s="16" t="str">
        <f>IFERROR(VLOOKUP(DATA!#REF!,DATA!#REF!,1,FALSE),"")</f>
        <v/>
      </c>
      <c r="D4874" s="16" t="str">
        <f>IFERROR(VLOOKUP(C4874,DATA!#REF!,2,FALSE),"")</f>
        <v/>
      </c>
    </row>
    <row r="4875" spans="3:4" s="230" customFormat="1">
      <c r="C4875" s="16" t="str">
        <f>IFERROR(VLOOKUP(DATA!#REF!,DATA!#REF!,1,FALSE),"")</f>
        <v/>
      </c>
      <c r="D4875" s="16" t="str">
        <f>IFERROR(VLOOKUP(C4875,DATA!#REF!,2,FALSE),"")</f>
        <v/>
      </c>
    </row>
    <row r="4876" spans="3:4" s="230" customFormat="1">
      <c r="C4876" s="16" t="str">
        <f>IFERROR(VLOOKUP(DATA!#REF!,DATA!#REF!,1,FALSE),"")</f>
        <v/>
      </c>
      <c r="D4876" s="16" t="str">
        <f>IFERROR(VLOOKUP(C4876,DATA!#REF!,2,FALSE),"")</f>
        <v/>
      </c>
    </row>
    <row r="4877" spans="3:4" s="230" customFormat="1">
      <c r="C4877" s="16" t="str">
        <f>IFERROR(VLOOKUP(DATA!#REF!,DATA!#REF!,1,FALSE),"")</f>
        <v/>
      </c>
      <c r="D4877" s="16" t="str">
        <f>IFERROR(VLOOKUP(C4877,DATA!#REF!,2,FALSE),"")</f>
        <v/>
      </c>
    </row>
    <row r="4878" spans="3:4" s="230" customFormat="1">
      <c r="C4878" s="16" t="str">
        <f>IFERROR(VLOOKUP(DATA!#REF!,DATA!#REF!,1,FALSE),"")</f>
        <v/>
      </c>
      <c r="D4878" s="16" t="str">
        <f>IFERROR(VLOOKUP(C4878,DATA!#REF!,2,FALSE),"")</f>
        <v/>
      </c>
    </row>
    <row r="4879" spans="3:4" s="230" customFormat="1">
      <c r="C4879" s="16" t="str">
        <f>IFERROR(VLOOKUP(DATA!#REF!,DATA!#REF!,1,FALSE),"")</f>
        <v/>
      </c>
      <c r="D4879" s="16" t="str">
        <f>IFERROR(VLOOKUP(C4879,DATA!#REF!,2,FALSE),"")</f>
        <v/>
      </c>
    </row>
    <row r="4880" spans="3:4" s="230" customFormat="1">
      <c r="C4880" s="16" t="str">
        <f>IFERROR(VLOOKUP(DATA!#REF!,DATA!#REF!,1,FALSE),"")</f>
        <v/>
      </c>
      <c r="D4880" s="16" t="str">
        <f>IFERROR(VLOOKUP(C4880,DATA!#REF!,2,FALSE),"")</f>
        <v/>
      </c>
    </row>
    <row r="4881" spans="3:4" s="230" customFormat="1">
      <c r="C4881" s="16" t="str">
        <f>IFERROR(VLOOKUP(DATA!#REF!,DATA!#REF!,1,FALSE),"")</f>
        <v/>
      </c>
      <c r="D4881" s="16" t="str">
        <f>IFERROR(VLOOKUP(C4881,DATA!#REF!,2,FALSE),"")</f>
        <v/>
      </c>
    </row>
    <row r="4882" spans="3:4" s="230" customFormat="1">
      <c r="C4882" s="16" t="str">
        <f>IFERROR(VLOOKUP(DATA!#REF!,DATA!#REF!,1,FALSE),"")</f>
        <v/>
      </c>
      <c r="D4882" s="16" t="str">
        <f>IFERROR(VLOOKUP(C4882,DATA!#REF!,2,FALSE),"")</f>
        <v/>
      </c>
    </row>
    <row r="4883" spans="3:4" s="230" customFormat="1">
      <c r="C4883" s="16" t="str">
        <f>IFERROR(VLOOKUP(DATA!#REF!,DATA!#REF!,1,FALSE),"")</f>
        <v/>
      </c>
      <c r="D4883" s="16" t="str">
        <f>IFERROR(VLOOKUP(C4883,DATA!#REF!,2,FALSE),"")</f>
        <v/>
      </c>
    </row>
    <row r="4884" spans="3:4" s="230" customFormat="1">
      <c r="C4884" s="16" t="str">
        <f>IFERROR(VLOOKUP(DATA!#REF!,DATA!#REF!,1,FALSE),"")</f>
        <v/>
      </c>
      <c r="D4884" s="16" t="str">
        <f>IFERROR(VLOOKUP(C4884,DATA!#REF!,2,FALSE),"")</f>
        <v/>
      </c>
    </row>
    <row r="4885" spans="3:4" s="230" customFormat="1">
      <c r="C4885" s="16" t="str">
        <f>IFERROR(VLOOKUP(DATA!#REF!,DATA!#REF!,1,FALSE),"")</f>
        <v/>
      </c>
      <c r="D4885" s="16" t="str">
        <f>IFERROR(VLOOKUP(C4885,DATA!#REF!,2,FALSE),"")</f>
        <v/>
      </c>
    </row>
    <row r="4886" spans="3:4" s="230" customFormat="1">
      <c r="C4886" s="16" t="str">
        <f>IFERROR(VLOOKUP(DATA!#REF!,DATA!#REF!,1,FALSE),"")</f>
        <v/>
      </c>
      <c r="D4886" s="16" t="str">
        <f>IFERROR(VLOOKUP(C4886,DATA!#REF!,2,FALSE),"")</f>
        <v/>
      </c>
    </row>
    <row r="4887" spans="3:4" s="230" customFormat="1">
      <c r="C4887" s="16" t="str">
        <f>IFERROR(VLOOKUP(DATA!#REF!,DATA!#REF!,1,FALSE),"")</f>
        <v/>
      </c>
      <c r="D4887" s="16" t="str">
        <f>IFERROR(VLOOKUP(C4887,DATA!#REF!,2,FALSE),"")</f>
        <v/>
      </c>
    </row>
    <row r="4888" spans="3:4" s="230" customFormat="1">
      <c r="C4888" s="16" t="str">
        <f>IFERROR(VLOOKUP(DATA!#REF!,DATA!#REF!,1,FALSE),"")</f>
        <v/>
      </c>
      <c r="D4888" s="16" t="str">
        <f>IFERROR(VLOOKUP(C4888,DATA!#REF!,2,FALSE),"")</f>
        <v/>
      </c>
    </row>
    <row r="4889" spans="3:4" s="230" customFormat="1">
      <c r="C4889" s="16" t="str">
        <f>IFERROR(VLOOKUP(DATA!#REF!,DATA!#REF!,1,FALSE),"")</f>
        <v/>
      </c>
      <c r="D4889" s="16" t="str">
        <f>IFERROR(VLOOKUP(C4889,DATA!#REF!,2,FALSE),"")</f>
        <v/>
      </c>
    </row>
    <row r="4890" spans="3:4" s="230" customFormat="1">
      <c r="C4890" s="16" t="str">
        <f>IFERROR(VLOOKUP(DATA!#REF!,DATA!#REF!,1,FALSE),"")</f>
        <v/>
      </c>
      <c r="D4890" s="16" t="str">
        <f>IFERROR(VLOOKUP(C4890,DATA!#REF!,2,FALSE),"")</f>
        <v/>
      </c>
    </row>
    <row r="4891" spans="3:4" s="230" customFormat="1">
      <c r="C4891" s="16" t="str">
        <f>IFERROR(VLOOKUP(DATA!#REF!,DATA!#REF!,1,FALSE),"")</f>
        <v/>
      </c>
      <c r="D4891" s="16" t="str">
        <f>IFERROR(VLOOKUP(C4891,DATA!#REF!,2,FALSE),"")</f>
        <v/>
      </c>
    </row>
    <row r="4892" spans="3:4" s="230" customFormat="1">
      <c r="C4892" s="16" t="str">
        <f>IFERROR(VLOOKUP(DATA!#REF!,DATA!#REF!,1,FALSE),"")</f>
        <v/>
      </c>
      <c r="D4892" s="16" t="str">
        <f>IFERROR(VLOOKUP(C4892,DATA!#REF!,2,FALSE),"")</f>
        <v/>
      </c>
    </row>
    <row r="4893" spans="3:4" s="230" customFormat="1">
      <c r="C4893" s="16" t="str">
        <f>IFERROR(VLOOKUP(DATA!#REF!,DATA!#REF!,1,FALSE),"")</f>
        <v/>
      </c>
      <c r="D4893" s="16" t="str">
        <f>IFERROR(VLOOKUP(C4893,DATA!#REF!,2,FALSE),"")</f>
        <v/>
      </c>
    </row>
    <row r="4894" spans="3:4" s="230" customFormat="1">
      <c r="C4894" s="16" t="str">
        <f>IFERROR(VLOOKUP(DATA!#REF!,DATA!#REF!,1,FALSE),"")</f>
        <v/>
      </c>
      <c r="D4894" s="16" t="str">
        <f>IFERROR(VLOOKUP(C4894,DATA!#REF!,2,FALSE),"")</f>
        <v/>
      </c>
    </row>
    <row r="4895" spans="3:4" s="230" customFormat="1">
      <c r="C4895" s="16" t="str">
        <f>IFERROR(VLOOKUP(DATA!#REF!,DATA!#REF!,1,FALSE),"")</f>
        <v/>
      </c>
      <c r="D4895" s="16" t="str">
        <f>IFERROR(VLOOKUP(C4895,DATA!#REF!,2,FALSE),"")</f>
        <v/>
      </c>
    </row>
    <row r="4896" spans="3:4" s="230" customFormat="1">
      <c r="C4896" s="16" t="str">
        <f>IFERROR(VLOOKUP(DATA!#REF!,DATA!#REF!,1,FALSE),"")</f>
        <v/>
      </c>
      <c r="D4896" s="16" t="str">
        <f>IFERROR(VLOOKUP(C4896,DATA!#REF!,2,FALSE),"")</f>
        <v/>
      </c>
    </row>
    <row r="4897" spans="3:4" s="230" customFormat="1">
      <c r="C4897" s="16" t="str">
        <f>IFERROR(VLOOKUP(DATA!#REF!,DATA!#REF!,1,FALSE),"")</f>
        <v/>
      </c>
      <c r="D4897" s="16" t="str">
        <f>IFERROR(VLOOKUP(C4897,DATA!#REF!,2,FALSE),"")</f>
        <v/>
      </c>
    </row>
    <row r="4898" spans="3:4" s="230" customFormat="1">
      <c r="C4898" s="16" t="str">
        <f>IFERROR(VLOOKUP(DATA!#REF!,DATA!#REF!,1,FALSE),"")</f>
        <v/>
      </c>
      <c r="D4898" s="16" t="str">
        <f>IFERROR(VLOOKUP(C4898,DATA!#REF!,2,FALSE),"")</f>
        <v/>
      </c>
    </row>
    <row r="4899" spans="3:4" s="230" customFormat="1">
      <c r="C4899" s="16" t="str">
        <f>IFERROR(VLOOKUP(DATA!#REF!,DATA!#REF!,1,FALSE),"")</f>
        <v/>
      </c>
      <c r="D4899" s="16" t="str">
        <f>IFERROR(VLOOKUP(C4899,DATA!#REF!,2,FALSE),"")</f>
        <v/>
      </c>
    </row>
    <row r="4900" spans="3:4" s="230" customFormat="1">
      <c r="C4900" s="16" t="str">
        <f>IFERROR(VLOOKUP(DATA!#REF!,DATA!#REF!,1,FALSE),"")</f>
        <v/>
      </c>
      <c r="D4900" s="16" t="str">
        <f>IFERROR(VLOOKUP(C4900,DATA!#REF!,2,FALSE),"")</f>
        <v/>
      </c>
    </row>
    <row r="4901" spans="3:4" s="230" customFormat="1">
      <c r="C4901" s="16" t="str">
        <f>IFERROR(VLOOKUP(DATA!#REF!,DATA!#REF!,1,FALSE),"")</f>
        <v/>
      </c>
      <c r="D4901" s="16" t="str">
        <f>IFERROR(VLOOKUP(C4901,DATA!#REF!,2,FALSE),"")</f>
        <v/>
      </c>
    </row>
    <row r="4902" spans="3:4" s="230" customFormat="1">
      <c r="C4902" s="16" t="str">
        <f>IFERROR(VLOOKUP(DATA!#REF!,DATA!#REF!,1,FALSE),"")</f>
        <v/>
      </c>
      <c r="D4902" s="16" t="str">
        <f>IFERROR(VLOOKUP(C4902,DATA!#REF!,2,FALSE),"")</f>
        <v/>
      </c>
    </row>
    <row r="4903" spans="3:4" s="230" customFormat="1">
      <c r="C4903" s="16" t="str">
        <f>IFERROR(VLOOKUP(DATA!#REF!,DATA!#REF!,1,FALSE),"")</f>
        <v/>
      </c>
      <c r="D4903" s="16" t="str">
        <f>IFERROR(VLOOKUP(C4903,DATA!#REF!,2,FALSE),"")</f>
        <v/>
      </c>
    </row>
    <row r="4904" spans="3:4" s="230" customFormat="1">
      <c r="C4904" s="16" t="str">
        <f>IFERROR(VLOOKUP(DATA!#REF!,DATA!#REF!,1,FALSE),"")</f>
        <v/>
      </c>
      <c r="D4904" s="16" t="str">
        <f>IFERROR(VLOOKUP(C4904,DATA!#REF!,2,FALSE),"")</f>
        <v/>
      </c>
    </row>
    <row r="4905" spans="3:4" s="230" customFormat="1">
      <c r="C4905" s="16" t="str">
        <f>IFERROR(VLOOKUP(DATA!#REF!,DATA!#REF!,1,FALSE),"")</f>
        <v/>
      </c>
      <c r="D4905" s="16" t="str">
        <f>IFERROR(VLOOKUP(C4905,DATA!#REF!,2,FALSE),"")</f>
        <v/>
      </c>
    </row>
    <row r="4906" spans="3:4" s="230" customFormat="1">
      <c r="C4906" s="16" t="str">
        <f>IFERROR(VLOOKUP(DATA!#REF!,DATA!#REF!,1,FALSE),"")</f>
        <v/>
      </c>
      <c r="D4906" s="16" t="str">
        <f>IFERROR(VLOOKUP(C4906,DATA!#REF!,2,FALSE),"")</f>
        <v/>
      </c>
    </row>
    <row r="4907" spans="3:4" s="230" customFormat="1">
      <c r="C4907" s="16" t="str">
        <f>IFERROR(VLOOKUP(DATA!#REF!,DATA!#REF!,1,FALSE),"")</f>
        <v/>
      </c>
      <c r="D4907" s="16" t="str">
        <f>IFERROR(VLOOKUP(C4907,DATA!#REF!,2,FALSE),"")</f>
        <v/>
      </c>
    </row>
    <row r="4908" spans="3:4" s="230" customFormat="1">
      <c r="C4908" s="16" t="str">
        <f>IFERROR(VLOOKUP(DATA!#REF!,DATA!#REF!,1,FALSE),"")</f>
        <v/>
      </c>
      <c r="D4908" s="16" t="str">
        <f>IFERROR(VLOOKUP(C4908,DATA!#REF!,2,FALSE),"")</f>
        <v/>
      </c>
    </row>
    <row r="4909" spans="3:4" s="230" customFormat="1">
      <c r="C4909" s="16" t="str">
        <f>IFERROR(VLOOKUP(DATA!#REF!,DATA!#REF!,1,FALSE),"")</f>
        <v/>
      </c>
      <c r="D4909" s="16" t="str">
        <f>IFERROR(VLOOKUP(C4909,DATA!#REF!,2,FALSE),"")</f>
        <v/>
      </c>
    </row>
    <row r="4910" spans="3:4" s="230" customFormat="1">
      <c r="C4910" s="16" t="str">
        <f>IFERROR(VLOOKUP(DATA!#REF!,DATA!#REF!,1,FALSE),"")</f>
        <v/>
      </c>
      <c r="D4910" s="16" t="str">
        <f>IFERROR(VLOOKUP(C4910,DATA!#REF!,2,FALSE),"")</f>
        <v/>
      </c>
    </row>
    <row r="4911" spans="3:4" s="230" customFormat="1">
      <c r="C4911" s="16" t="str">
        <f>IFERROR(VLOOKUP(DATA!#REF!,DATA!#REF!,1,FALSE),"")</f>
        <v/>
      </c>
      <c r="D4911" s="16" t="str">
        <f>IFERROR(VLOOKUP(C4911,DATA!#REF!,2,FALSE),"")</f>
        <v/>
      </c>
    </row>
    <row r="4912" spans="3:4" s="230" customFormat="1">
      <c r="C4912" s="16" t="str">
        <f>IFERROR(VLOOKUP(DATA!#REF!,DATA!#REF!,1,FALSE),"")</f>
        <v/>
      </c>
      <c r="D4912" s="16" t="str">
        <f>IFERROR(VLOOKUP(C4912,DATA!#REF!,2,FALSE),"")</f>
        <v/>
      </c>
    </row>
    <row r="4913" spans="3:4" s="230" customFormat="1">
      <c r="C4913" s="16" t="str">
        <f>IFERROR(VLOOKUP(DATA!#REF!,DATA!#REF!,1,FALSE),"")</f>
        <v/>
      </c>
      <c r="D4913" s="16" t="str">
        <f>IFERROR(VLOOKUP(C4913,DATA!#REF!,2,FALSE),"")</f>
        <v/>
      </c>
    </row>
    <row r="4914" spans="3:4" s="230" customFormat="1">
      <c r="C4914" s="16" t="str">
        <f>IFERROR(VLOOKUP(DATA!#REF!,DATA!#REF!,1,FALSE),"")</f>
        <v/>
      </c>
      <c r="D4914" s="16" t="str">
        <f>IFERROR(VLOOKUP(C4914,DATA!#REF!,2,FALSE),"")</f>
        <v/>
      </c>
    </row>
    <row r="4915" spans="3:4" s="230" customFormat="1">
      <c r="C4915" s="16" t="str">
        <f>IFERROR(VLOOKUP(DATA!#REF!,DATA!#REF!,1,FALSE),"")</f>
        <v/>
      </c>
      <c r="D4915" s="16" t="str">
        <f>IFERROR(VLOOKUP(C4915,DATA!#REF!,2,FALSE),"")</f>
        <v/>
      </c>
    </row>
    <row r="4916" spans="3:4" s="230" customFormat="1">
      <c r="C4916" s="16" t="str">
        <f>IFERROR(VLOOKUP(DATA!#REF!,DATA!#REF!,1,FALSE),"")</f>
        <v/>
      </c>
      <c r="D4916" s="16" t="str">
        <f>IFERROR(VLOOKUP(C4916,DATA!#REF!,2,FALSE),"")</f>
        <v/>
      </c>
    </row>
    <row r="4917" spans="3:4" s="230" customFormat="1">
      <c r="C4917" s="16" t="str">
        <f>IFERROR(VLOOKUP(DATA!#REF!,DATA!#REF!,1,FALSE),"")</f>
        <v/>
      </c>
      <c r="D4917" s="16" t="str">
        <f>IFERROR(VLOOKUP(C4917,DATA!#REF!,2,FALSE),"")</f>
        <v/>
      </c>
    </row>
    <row r="4918" spans="3:4" s="230" customFormat="1">
      <c r="C4918" s="16" t="str">
        <f>IFERROR(VLOOKUP(DATA!#REF!,DATA!#REF!,1,FALSE),"")</f>
        <v/>
      </c>
      <c r="D4918" s="16" t="str">
        <f>IFERROR(VLOOKUP(C4918,DATA!#REF!,2,FALSE),"")</f>
        <v/>
      </c>
    </row>
    <row r="4919" spans="3:4" s="230" customFormat="1">
      <c r="C4919" s="16" t="str">
        <f>IFERROR(VLOOKUP(DATA!#REF!,DATA!#REF!,1,FALSE),"")</f>
        <v/>
      </c>
      <c r="D4919" s="16" t="str">
        <f>IFERROR(VLOOKUP(C4919,DATA!#REF!,2,FALSE),"")</f>
        <v/>
      </c>
    </row>
    <row r="4920" spans="3:4" s="230" customFormat="1">
      <c r="C4920" s="16" t="str">
        <f>IFERROR(VLOOKUP(DATA!#REF!,DATA!#REF!,1,FALSE),"")</f>
        <v/>
      </c>
      <c r="D4920" s="16" t="str">
        <f>IFERROR(VLOOKUP(C4920,DATA!#REF!,2,FALSE),"")</f>
        <v/>
      </c>
    </row>
    <row r="4921" spans="3:4" s="230" customFormat="1">
      <c r="C4921" s="16" t="str">
        <f>IFERROR(VLOOKUP(DATA!#REF!,DATA!#REF!,1,FALSE),"")</f>
        <v/>
      </c>
      <c r="D4921" s="16" t="str">
        <f>IFERROR(VLOOKUP(C4921,DATA!#REF!,2,FALSE),"")</f>
        <v/>
      </c>
    </row>
    <row r="4922" spans="3:4" s="230" customFormat="1">
      <c r="C4922" s="16" t="str">
        <f>IFERROR(VLOOKUP(DATA!#REF!,DATA!#REF!,1,FALSE),"")</f>
        <v/>
      </c>
      <c r="D4922" s="16" t="str">
        <f>IFERROR(VLOOKUP(C4922,DATA!#REF!,2,FALSE),"")</f>
        <v/>
      </c>
    </row>
    <row r="4923" spans="3:4" s="230" customFormat="1">
      <c r="C4923" s="16" t="str">
        <f>IFERROR(VLOOKUP(DATA!#REF!,DATA!#REF!,1,FALSE),"")</f>
        <v/>
      </c>
      <c r="D4923" s="16" t="str">
        <f>IFERROR(VLOOKUP(C4923,DATA!#REF!,2,FALSE),"")</f>
        <v/>
      </c>
    </row>
    <row r="4924" spans="3:4" s="230" customFormat="1">
      <c r="C4924" s="16" t="str">
        <f>IFERROR(VLOOKUP(DATA!#REF!,DATA!#REF!,1,FALSE),"")</f>
        <v/>
      </c>
      <c r="D4924" s="16" t="str">
        <f>IFERROR(VLOOKUP(C4924,DATA!#REF!,2,FALSE),"")</f>
        <v/>
      </c>
    </row>
    <row r="4925" spans="3:4" s="230" customFormat="1">
      <c r="C4925" s="16" t="str">
        <f>IFERROR(VLOOKUP(DATA!#REF!,DATA!#REF!,1,FALSE),"")</f>
        <v/>
      </c>
      <c r="D4925" s="16" t="str">
        <f>IFERROR(VLOOKUP(C4925,DATA!#REF!,2,FALSE),"")</f>
        <v/>
      </c>
    </row>
    <row r="4926" spans="3:4" s="230" customFormat="1">
      <c r="C4926" s="16" t="str">
        <f>IFERROR(VLOOKUP(DATA!#REF!,DATA!#REF!,1,FALSE),"")</f>
        <v/>
      </c>
      <c r="D4926" s="16" t="str">
        <f>IFERROR(VLOOKUP(C4926,DATA!#REF!,2,FALSE),"")</f>
        <v/>
      </c>
    </row>
    <row r="4927" spans="3:4" s="230" customFormat="1">
      <c r="C4927" s="16" t="str">
        <f>IFERROR(VLOOKUP(DATA!#REF!,DATA!#REF!,1,FALSE),"")</f>
        <v/>
      </c>
      <c r="D4927" s="16" t="str">
        <f>IFERROR(VLOOKUP(C4927,DATA!#REF!,2,FALSE),"")</f>
        <v/>
      </c>
    </row>
    <row r="4928" spans="3:4" s="230" customFormat="1">
      <c r="C4928" s="16" t="str">
        <f>IFERROR(VLOOKUP(DATA!#REF!,DATA!#REF!,1,FALSE),"")</f>
        <v/>
      </c>
      <c r="D4928" s="16" t="str">
        <f>IFERROR(VLOOKUP(C4928,DATA!#REF!,2,FALSE),"")</f>
        <v/>
      </c>
    </row>
    <row r="4929" spans="3:4" s="230" customFormat="1">
      <c r="C4929" s="16" t="str">
        <f>IFERROR(VLOOKUP(DATA!#REF!,DATA!#REF!,1,FALSE),"")</f>
        <v/>
      </c>
      <c r="D4929" s="16" t="str">
        <f>IFERROR(VLOOKUP(C4929,DATA!#REF!,2,FALSE),"")</f>
        <v/>
      </c>
    </row>
    <row r="4930" spans="3:4" s="230" customFormat="1">
      <c r="C4930" s="16" t="str">
        <f>IFERROR(VLOOKUP(DATA!#REF!,DATA!#REF!,1,FALSE),"")</f>
        <v/>
      </c>
      <c r="D4930" s="16" t="str">
        <f>IFERROR(VLOOKUP(C4930,DATA!#REF!,2,FALSE),"")</f>
        <v/>
      </c>
    </row>
    <row r="4931" spans="3:4" s="230" customFormat="1">
      <c r="C4931" s="16" t="str">
        <f>IFERROR(VLOOKUP(DATA!#REF!,DATA!#REF!,1,FALSE),"")</f>
        <v/>
      </c>
      <c r="D4931" s="16" t="str">
        <f>IFERROR(VLOOKUP(C4931,DATA!#REF!,2,FALSE),"")</f>
        <v/>
      </c>
    </row>
    <row r="4932" spans="3:4" s="230" customFormat="1">
      <c r="C4932" s="16" t="str">
        <f>IFERROR(VLOOKUP(DATA!#REF!,DATA!#REF!,1,FALSE),"")</f>
        <v/>
      </c>
      <c r="D4932" s="16" t="str">
        <f>IFERROR(VLOOKUP(C4932,DATA!#REF!,2,FALSE),"")</f>
        <v/>
      </c>
    </row>
    <row r="4933" spans="3:4" s="230" customFormat="1">
      <c r="C4933" s="16" t="str">
        <f>IFERROR(VLOOKUP(DATA!#REF!,DATA!#REF!,1,FALSE),"")</f>
        <v/>
      </c>
      <c r="D4933" s="16" t="str">
        <f>IFERROR(VLOOKUP(C4933,DATA!#REF!,2,FALSE),"")</f>
        <v/>
      </c>
    </row>
    <row r="4934" spans="3:4" s="230" customFormat="1">
      <c r="C4934" s="16" t="str">
        <f>IFERROR(VLOOKUP(DATA!#REF!,DATA!#REF!,1,FALSE),"")</f>
        <v/>
      </c>
      <c r="D4934" s="16" t="str">
        <f>IFERROR(VLOOKUP(C4934,DATA!#REF!,2,FALSE),"")</f>
        <v/>
      </c>
    </row>
    <row r="4935" spans="3:4" s="230" customFormat="1">
      <c r="C4935" s="16" t="str">
        <f>IFERROR(VLOOKUP(DATA!#REF!,DATA!#REF!,1,FALSE),"")</f>
        <v/>
      </c>
      <c r="D4935" s="16" t="str">
        <f>IFERROR(VLOOKUP(C4935,DATA!#REF!,2,FALSE),"")</f>
        <v/>
      </c>
    </row>
    <row r="4936" spans="3:4" s="230" customFormat="1">
      <c r="C4936" s="16" t="str">
        <f>IFERROR(VLOOKUP(DATA!#REF!,DATA!#REF!,1,FALSE),"")</f>
        <v/>
      </c>
      <c r="D4936" s="16" t="str">
        <f>IFERROR(VLOOKUP(C4936,DATA!#REF!,2,FALSE),"")</f>
        <v/>
      </c>
    </row>
    <row r="4937" spans="3:4" s="230" customFormat="1">
      <c r="C4937" s="16" t="str">
        <f>IFERROR(VLOOKUP(DATA!#REF!,DATA!#REF!,1,FALSE),"")</f>
        <v/>
      </c>
      <c r="D4937" s="16" t="str">
        <f>IFERROR(VLOOKUP(C4937,DATA!#REF!,2,FALSE),"")</f>
        <v/>
      </c>
    </row>
    <row r="4938" spans="3:4" s="230" customFormat="1">
      <c r="C4938" s="16" t="str">
        <f>IFERROR(VLOOKUP(DATA!#REF!,DATA!#REF!,1,FALSE),"")</f>
        <v/>
      </c>
      <c r="D4938" s="16" t="str">
        <f>IFERROR(VLOOKUP(C4938,DATA!#REF!,2,FALSE),"")</f>
        <v/>
      </c>
    </row>
    <row r="4939" spans="3:4" s="230" customFormat="1">
      <c r="C4939" s="16" t="str">
        <f>IFERROR(VLOOKUP(DATA!#REF!,DATA!#REF!,1,FALSE),"")</f>
        <v/>
      </c>
      <c r="D4939" s="16" t="str">
        <f>IFERROR(VLOOKUP(C4939,DATA!#REF!,2,FALSE),"")</f>
        <v/>
      </c>
    </row>
    <row r="4940" spans="3:4" s="230" customFormat="1">
      <c r="C4940" s="16" t="str">
        <f>IFERROR(VLOOKUP(DATA!#REF!,DATA!#REF!,1,FALSE),"")</f>
        <v/>
      </c>
      <c r="D4940" s="16" t="str">
        <f>IFERROR(VLOOKUP(C4940,DATA!#REF!,2,FALSE),"")</f>
        <v/>
      </c>
    </row>
    <row r="4941" spans="3:4" s="230" customFormat="1">
      <c r="C4941" s="16" t="str">
        <f>IFERROR(VLOOKUP(DATA!#REF!,DATA!#REF!,1,FALSE),"")</f>
        <v/>
      </c>
      <c r="D4941" s="16" t="str">
        <f>IFERROR(VLOOKUP(C4941,DATA!#REF!,2,FALSE),"")</f>
        <v/>
      </c>
    </row>
    <row r="4942" spans="3:4" s="230" customFormat="1">
      <c r="C4942" s="16" t="str">
        <f>IFERROR(VLOOKUP(DATA!#REF!,DATA!#REF!,1,FALSE),"")</f>
        <v/>
      </c>
      <c r="D4942" s="16" t="str">
        <f>IFERROR(VLOOKUP(C4942,DATA!#REF!,2,FALSE),"")</f>
        <v/>
      </c>
    </row>
    <row r="4943" spans="3:4" s="230" customFormat="1">
      <c r="C4943" s="16" t="str">
        <f>IFERROR(VLOOKUP(DATA!#REF!,DATA!#REF!,1,FALSE),"")</f>
        <v/>
      </c>
      <c r="D4943" s="16" t="str">
        <f>IFERROR(VLOOKUP(C4943,DATA!#REF!,2,FALSE),"")</f>
        <v/>
      </c>
    </row>
    <row r="4944" spans="3:4" s="230" customFormat="1">
      <c r="C4944" s="16" t="str">
        <f>IFERROR(VLOOKUP(DATA!#REF!,DATA!#REF!,1,FALSE),"")</f>
        <v/>
      </c>
      <c r="D4944" s="16" t="str">
        <f>IFERROR(VLOOKUP(C4944,DATA!#REF!,2,FALSE),"")</f>
        <v/>
      </c>
    </row>
    <row r="4945" spans="3:4" s="230" customFormat="1">
      <c r="C4945" s="16" t="str">
        <f>IFERROR(VLOOKUP(DATA!#REF!,DATA!#REF!,1,FALSE),"")</f>
        <v/>
      </c>
      <c r="D4945" s="16" t="str">
        <f>IFERROR(VLOOKUP(C4945,DATA!#REF!,2,FALSE),"")</f>
        <v/>
      </c>
    </row>
    <row r="4946" spans="3:4" s="230" customFormat="1">
      <c r="C4946" s="16" t="str">
        <f>IFERROR(VLOOKUP(DATA!#REF!,DATA!#REF!,1,FALSE),"")</f>
        <v/>
      </c>
      <c r="D4946" s="16" t="str">
        <f>IFERROR(VLOOKUP(C4946,DATA!#REF!,2,FALSE),"")</f>
        <v/>
      </c>
    </row>
    <row r="4947" spans="3:4" s="230" customFormat="1">
      <c r="C4947" s="16" t="str">
        <f>IFERROR(VLOOKUP(DATA!#REF!,DATA!#REF!,1,FALSE),"")</f>
        <v/>
      </c>
      <c r="D4947" s="16" t="str">
        <f>IFERROR(VLOOKUP(C4947,DATA!#REF!,2,FALSE),"")</f>
        <v/>
      </c>
    </row>
    <row r="4948" spans="3:4" s="230" customFormat="1">
      <c r="C4948" s="16" t="str">
        <f>IFERROR(VLOOKUP(DATA!#REF!,DATA!#REF!,1,FALSE),"")</f>
        <v/>
      </c>
      <c r="D4948" s="16" t="str">
        <f>IFERROR(VLOOKUP(C4948,DATA!#REF!,2,FALSE),"")</f>
        <v/>
      </c>
    </row>
    <row r="4949" spans="3:4" s="230" customFormat="1">
      <c r="C4949" s="16" t="str">
        <f>IFERROR(VLOOKUP(DATA!#REF!,DATA!#REF!,1,FALSE),"")</f>
        <v/>
      </c>
      <c r="D4949" s="16" t="str">
        <f>IFERROR(VLOOKUP(C4949,DATA!#REF!,2,FALSE),"")</f>
        <v/>
      </c>
    </row>
    <row r="4950" spans="3:4" s="230" customFormat="1">
      <c r="C4950" s="16" t="str">
        <f>IFERROR(VLOOKUP(DATA!#REF!,DATA!#REF!,1,FALSE),"")</f>
        <v/>
      </c>
      <c r="D4950" s="16" t="str">
        <f>IFERROR(VLOOKUP(C4950,DATA!#REF!,2,FALSE),"")</f>
        <v/>
      </c>
    </row>
    <row r="4951" spans="3:4" s="230" customFormat="1">
      <c r="C4951" s="16" t="str">
        <f>IFERROR(VLOOKUP(DATA!#REF!,DATA!#REF!,1,FALSE),"")</f>
        <v/>
      </c>
      <c r="D4951" s="16" t="str">
        <f>IFERROR(VLOOKUP(C4951,DATA!#REF!,2,FALSE),"")</f>
        <v/>
      </c>
    </row>
    <row r="4952" spans="3:4" s="230" customFormat="1">
      <c r="C4952" s="16" t="str">
        <f>IFERROR(VLOOKUP(DATA!#REF!,DATA!#REF!,1,FALSE),"")</f>
        <v/>
      </c>
      <c r="D4952" s="16" t="str">
        <f>IFERROR(VLOOKUP(C4952,DATA!#REF!,2,FALSE),"")</f>
        <v/>
      </c>
    </row>
    <row r="4953" spans="3:4" s="230" customFormat="1">
      <c r="C4953" s="16" t="str">
        <f>IFERROR(VLOOKUP(DATA!#REF!,DATA!#REF!,1,FALSE),"")</f>
        <v/>
      </c>
      <c r="D4953" s="16" t="str">
        <f>IFERROR(VLOOKUP(C4953,DATA!#REF!,2,FALSE),"")</f>
        <v/>
      </c>
    </row>
    <row r="4954" spans="3:4" s="230" customFormat="1">
      <c r="C4954" s="16" t="str">
        <f>IFERROR(VLOOKUP(DATA!#REF!,DATA!#REF!,1,FALSE),"")</f>
        <v/>
      </c>
      <c r="D4954" s="16" t="str">
        <f>IFERROR(VLOOKUP(C4954,DATA!#REF!,2,FALSE),"")</f>
        <v/>
      </c>
    </row>
    <row r="4955" spans="3:4" s="230" customFormat="1">
      <c r="C4955" s="16" t="str">
        <f>IFERROR(VLOOKUP(DATA!#REF!,DATA!#REF!,1,FALSE),"")</f>
        <v/>
      </c>
      <c r="D4955" s="16" t="str">
        <f>IFERROR(VLOOKUP(C4955,DATA!#REF!,2,FALSE),"")</f>
        <v/>
      </c>
    </row>
    <row r="4956" spans="3:4" s="230" customFormat="1">
      <c r="C4956" s="16" t="str">
        <f>IFERROR(VLOOKUP(DATA!#REF!,DATA!#REF!,1,FALSE),"")</f>
        <v/>
      </c>
      <c r="D4956" s="16" t="str">
        <f>IFERROR(VLOOKUP(C4956,DATA!#REF!,2,FALSE),"")</f>
        <v/>
      </c>
    </row>
    <row r="4957" spans="3:4" s="230" customFormat="1">
      <c r="C4957" s="16" t="str">
        <f>IFERROR(VLOOKUP(DATA!#REF!,DATA!#REF!,1,FALSE),"")</f>
        <v/>
      </c>
      <c r="D4957" s="16" t="str">
        <f>IFERROR(VLOOKUP(C4957,DATA!#REF!,2,FALSE),"")</f>
        <v/>
      </c>
    </row>
    <row r="4958" spans="3:4" s="230" customFormat="1">
      <c r="C4958" s="16" t="str">
        <f>IFERROR(VLOOKUP(DATA!#REF!,DATA!#REF!,1,FALSE),"")</f>
        <v/>
      </c>
      <c r="D4958" s="16" t="str">
        <f>IFERROR(VLOOKUP(C4958,DATA!#REF!,2,FALSE),"")</f>
        <v/>
      </c>
    </row>
    <row r="4959" spans="3:4" s="230" customFormat="1">
      <c r="C4959" s="16" t="str">
        <f>IFERROR(VLOOKUP(DATA!#REF!,DATA!#REF!,1,FALSE),"")</f>
        <v/>
      </c>
      <c r="D4959" s="16" t="str">
        <f>IFERROR(VLOOKUP(C4959,DATA!#REF!,2,FALSE),"")</f>
        <v/>
      </c>
    </row>
    <row r="4960" spans="3:4" s="230" customFormat="1">
      <c r="C4960" s="16" t="str">
        <f>IFERROR(VLOOKUP(DATA!#REF!,DATA!#REF!,1,FALSE),"")</f>
        <v/>
      </c>
      <c r="D4960" s="16" t="str">
        <f>IFERROR(VLOOKUP(C4960,DATA!#REF!,2,FALSE),"")</f>
        <v/>
      </c>
    </row>
    <row r="4961" spans="3:4" s="230" customFormat="1">
      <c r="C4961" s="16" t="str">
        <f>IFERROR(VLOOKUP(DATA!#REF!,DATA!#REF!,1,FALSE),"")</f>
        <v/>
      </c>
      <c r="D4961" s="16" t="str">
        <f>IFERROR(VLOOKUP(C4961,DATA!#REF!,2,FALSE),"")</f>
        <v/>
      </c>
    </row>
    <row r="4962" spans="3:4" s="230" customFormat="1">
      <c r="C4962" s="16" t="str">
        <f>IFERROR(VLOOKUP(DATA!#REF!,DATA!#REF!,1,FALSE),"")</f>
        <v/>
      </c>
      <c r="D4962" s="16" t="str">
        <f>IFERROR(VLOOKUP(C4962,DATA!#REF!,2,FALSE),"")</f>
        <v/>
      </c>
    </row>
    <row r="4963" spans="3:4" s="230" customFormat="1">
      <c r="C4963" s="16" t="str">
        <f>IFERROR(VLOOKUP(DATA!#REF!,DATA!#REF!,1,FALSE),"")</f>
        <v/>
      </c>
      <c r="D4963" s="16" t="str">
        <f>IFERROR(VLOOKUP(C4963,DATA!#REF!,2,FALSE),"")</f>
        <v/>
      </c>
    </row>
    <row r="4964" spans="3:4" s="230" customFormat="1">
      <c r="C4964" s="16" t="str">
        <f>IFERROR(VLOOKUP(DATA!#REF!,DATA!#REF!,1,FALSE),"")</f>
        <v/>
      </c>
      <c r="D4964" s="16" t="str">
        <f>IFERROR(VLOOKUP(C4964,DATA!#REF!,2,FALSE),"")</f>
        <v/>
      </c>
    </row>
    <row r="4965" spans="3:4" s="230" customFormat="1">
      <c r="C4965" s="16" t="str">
        <f>IFERROR(VLOOKUP(DATA!#REF!,DATA!#REF!,1,FALSE),"")</f>
        <v/>
      </c>
      <c r="D4965" s="16" t="str">
        <f>IFERROR(VLOOKUP(C4965,DATA!#REF!,2,FALSE),"")</f>
        <v/>
      </c>
    </row>
    <row r="4966" spans="3:4" s="230" customFormat="1">
      <c r="C4966" s="16" t="str">
        <f>IFERROR(VLOOKUP(DATA!#REF!,DATA!#REF!,1,FALSE),"")</f>
        <v/>
      </c>
      <c r="D4966" s="16" t="str">
        <f>IFERROR(VLOOKUP(C4966,DATA!#REF!,2,FALSE),"")</f>
        <v/>
      </c>
    </row>
    <row r="4967" spans="3:4" s="230" customFormat="1">
      <c r="C4967" s="16" t="str">
        <f>IFERROR(VLOOKUP(DATA!#REF!,DATA!#REF!,1,FALSE),"")</f>
        <v/>
      </c>
      <c r="D4967" s="16" t="str">
        <f>IFERROR(VLOOKUP(C4967,DATA!#REF!,2,FALSE),"")</f>
        <v/>
      </c>
    </row>
    <row r="4968" spans="3:4" s="230" customFormat="1">
      <c r="C4968" s="16" t="str">
        <f>IFERROR(VLOOKUP(DATA!#REF!,DATA!#REF!,1,FALSE),"")</f>
        <v/>
      </c>
      <c r="D4968" s="16" t="str">
        <f>IFERROR(VLOOKUP(C4968,DATA!#REF!,2,FALSE),"")</f>
        <v/>
      </c>
    </row>
    <row r="4969" spans="3:4" s="230" customFormat="1">
      <c r="C4969" s="16" t="str">
        <f>IFERROR(VLOOKUP(DATA!#REF!,DATA!#REF!,1,FALSE),"")</f>
        <v/>
      </c>
      <c r="D4969" s="16" t="str">
        <f>IFERROR(VLOOKUP(C4969,DATA!#REF!,2,FALSE),"")</f>
        <v/>
      </c>
    </row>
    <row r="4970" spans="3:4" s="230" customFormat="1">
      <c r="C4970" s="16" t="str">
        <f>IFERROR(VLOOKUP(DATA!#REF!,DATA!#REF!,1,FALSE),"")</f>
        <v/>
      </c>
      <c r="D4970" s="16" t="str">
        <f>IFERROR(VLOOKUP(C4970,DATA!#REF!,2,FALSE),"")</f>
        <v/>
      </c>
    </row>
    <row r="4971" spans="3:4" s="230" customFormat="1">
      <c r="C4971" s="16" t="str">
        <f>IFERROR(VLOOKUP(DATA!#REF!,DATA!#REF!,1,FALSE),"")</f>
        <v/>
      </c>
      <c r="D4971" s="16" t="str">
        <f>IFERROR(VLOOKUP(C4971,DATA!#REF!,2,FALSE),"")</f>
        <v/>
      </c>
    </row>
    <row r="4972" spans="3:4" s="230" customFormat="1">
      <c r="C4972" s="16" t="str">
        <f>IFERROR(VLOOKUP(DATA!#REF!,DATA!#REF!,1,FALSE),"")</f>
        <v/>
      </c>
      <c r="D4972" s="16" t="str">
        <f>IFERROR(VLOOKUP(C4972,DATA!#REF!,2,FALSE),"")</f>
        <v/>
      </c>
    </row>
    <row r="4973" spans="3:4" s="230" customFormat="1">
      <c r="C4973" s="16" t="str">
        <f>IFERROR(VLOOKUP(DATA!#REF!,DATA!#REF!,1,FALSE),"")</f>
        <v/>
      </c>
      <c r="D4973" s="16" t="str">
        <f>IFERROR(VLOOKUP(C4973,DATA!#REF!,2,FALSE),"")</f>
        <v/>
      </c>
    </row>
    <row r="4974" spans="3:4" s="230" customFormat="1">
      <c r="C4974" s="16" t="str">
        <f>IFERROR(VLOOKUP(DATA!#REF!,DATA!#REF!,1,FALSE),"")</f>
        <v/>
      </c>
      <c r="D4974" s="16" t="str">
        <f>IFERROR(VLOOKUP(C4974,DATA!#REF!,2,FALSE),"")</f>
        <v/>
      </c>
    </row>
    <row r="4975" spans="3:4" s="230" customFormat="1">
      <c r="C4975" s="16" t="str">
        <f>IFERROR(VLOOKUP(DATA!#REF!,DATA!#REF!,1,FALSE),"")</f>
        <v/>
      </c>
      <c r="D4975" s="16" t="str">
        <f>IFERROR(VLOOKUP(C4975,DATA!#REF!,2,FALSE),"")</f>
        <v/>
      </c>
    </row>
    <row r="4976" spans="3:4" s="230" customFormat="1">
      <c r="C4976" s="16" t="str">
        <f>IFERROR(VLOOKUP(DATA!#REF!,DATA!#REF!,1,FALSE),"")</f>
        <v/>
      </c>
      <c r="D4976" s="16" t="str">
        <f>IFERROR(VLOOKUP(C4976,DATA!#REF!,2,FALSE),"")</f>
        <v/>
      </c>
    </row>
    <row r="4977" spans="3:4" s="230" customFormat="1">
      <c r="C4977" s="16" t="str">
        <f>IFERROR(VLOOKUP(DATA!#REF!,DATA!#REF!,1,FALSE),"")</f>
        <v/>
      </c>
      <c r="D4977" s="16" t="str">
        <f>IFERROR(VLOOKUP(C4977,DATA!#REF!,2,FALSE),"")</f>
        <v/>
      </c>
    </row>
    <row r="4978" spans="3:4" s="230" customFormat="1">
      <c r="C4978" s="16" t="str">
        <f>IFERROR(VLOOKUP(DATA!#REF!,DATA!#REF!,1,FALSE),"")</f>
        <v/>
      </c>
      <c r="D4978" s="16" t="str">
        <f>IFERROR(VLOOKUP(C4978,DATA!#REF!,2,FALSE),"")</f>
        <v/>
      </c>
    </row>
    <row r="4979" spans="3:4" s="230" customFormat="1">
      <c r="C4979" s="16" t="str">
        <f>IFERROR(VLOOKUP(DATA!#REF!,DATA!#REF!,1,FALSE),"")</f>
        <v/>
      </c>
      <c r="D4979" s="16" t="str">
        <f>IFERROR(VLOOKUP(C4979,DATA!#REF!,2,FALSE),"")</f>
        <v/>
      </c>
    </row>
    <row r="4980" spans="3:4" s="230" customFormat="1">
      <c r="C4980" s="16" t="str">
        <f>IFERROR(VLOOKUP(DATA!#REF!,DATA!#REF!,1,FALSE),"")</f>
        <v/>
      </c>
      <c r="D4980" s="16" t="str">
        <f>IFERROR(VLOOKUP(C4980,DATA!#REF!,2,FALSE),"")</f>
        <v/>
      </c>
    </row>
    <row r="4981" spans="3:4" s="230" customFormat="1">
      <c r="C4981" s="16" t="str">
        <f>IFERROR(VLOOKUP(DATA!#REF!,DATA!#REF!,1,FALSE),"")</f>
        <v/>
      </c>
      <c r="D4981" s="16" t="str">
        <f>IFERROR(VLOOKUP(C4981,DATA!#REF!,2,FALSE),"")</f>
        <v/>
      </c>
    </row>
    <row r="4982" spans="3:4" s="230" customFormat="1">
      <c r="C4982" s="16" t="str">
        <f>IFERROR(VLOOKUP(DATA!#REF!,DATA!#REF!,1,FALSE),"")</f>
        <v/>
      </c>
      <c r="D4982" s="16" t="str">
        <f>IFERROR(VLOOKUP(C4982,DATA!#REF!,2,FALSE),"")</f>
        <v/>
      </c>
    </row>
    <row r="4983" spans="3:4" s="230" customFormat="1">
      <c r="C4983" s="16" t="str">
        <f>IFERROR(VLOOKUP(DATA!#REF!,DATA!#REF!,1,FALSE),"")</f>
        <v/>
      </c>
      <c r="D4983" s="16" t="str">
        <f>IFERROR(VLOOKUP(C4983,DATA!#REF!,2,FALSE),"")</f>
        <v/>
      </c>
    </row>
    <row r="4984" spans="3:4" s="230" customFormat="1">
      <c r="C4984" s="16" t="str">
        <f>IFERROR(VLOOKUP(DATA!#REF!,DATA!#REF!,1,FALSE),"")</f>
        <v/>
      </c>
      <c r="D4984" s="16" t="str">
        <f>IFERROR(VLOOKUP(C4984,DATA!#REF!,2,FALSE),"")</f>
        <v/>
      </c>
    </row>
    <row r="4985" spans="3:4" s="230" customFormat="1">
      <c r="C4985" s="16" t="str">
        <f>IFERROR(VLOOKUP(DATA!#REF!,DATA!#REF!,1,FALSE),"")</f>
        <v/>
      </c>
      <c r="D4985" s="16" t="str">
        <f>IFERROR(VLOOKUP(C4985,DATA!#REF!,2,FALSE),"")</f>
        <v/>
      </c>
    </row>
    <row r="4986" spans="3:4" s="230" customFormat="1">
      <c r="C4986" s="16" t="str">
        <f>IFERROR(VLOOKUP(DATA!#REF!,DATA!#REF!,1,FALSE),"")</f>
        <v/>
      </c>
      <c r="D4986" s="16" t="str">
        <f>IFERROR(VLOOKUP(C4986,DATA!#REF!,2,FALSE),"")</f>
        <v/>
      </c>
    </row>
    <row r="4987" spans="3:4" s="230" customFormat="1">
      <c r="C4987" s="16" t="str">
        <f>IFERROR(VLOOKUP(DATA!#REF!,DATA!#REF!,1,FALSE),"")</f>
        <v/>
      </c>
      <c r="D4987" s="16" t="str">
        <f>IFERROR(VLOOKUP(C4987,DATA!#REF!,2,FALSE),"")</f>
        <v/>
      </c>
    </row>
    <row r="4988" spans="3:4" s="230" customFormat="1">
      <c r="C4988" s="16" t="str">
        <f>IFERROR(VLOOKUP(DATA!#REF!,DATA!#REF!,1,FALSE),"")</f>
        <v/>
      </c>
      <c r="D4988" s="16" t="str">
        <f>IFERROR(VLOOKUP(C4988,DATA!#REF!,2,FALSE),"")</f>
        <v/>
      </c>
    </row>
    <row r="4989" spans="3:4" s="230" customFormat="1">
      <c r="C4989" s="16" t="str">
        <f>IFERROR(VLOOKUP(DATA!#REF!,DATA!#REF!,1,FALSE),"")</f>
        <v/>
      </c>
      <c r="D4989" s="16" t="str">
        <f>IFERROR(VLOOKUP(C4989,DATA!#REF!,2,FALSE),"")</f>
        <v/>
      </c>
    </row>
    <row r="4990" spans="3:4" s="230" customFormat="1">
      <c r="C4990" s="16" t="str">
        <f>IFERROR(VLOOKUP(DATA!#REF!,DATA!#REF!,1,FALSE),"")</f>
        <v/>
      </c>
      <c r="D4990" s="16" t="str">
        <f>IFERROR(VLOOKUP(C4990,DATA!#REF!,2,FALSE),"")</f>
        <v/>
      </c>
    </row>
    <row r="4991" spans="3:4" s="230" customFormat="1">
      <c r="C4991" s="16" t="str">
        <f>IFERROR(VLOOKUP(DATA!#REF!,DATA!#REF!,1,FALSE),"")</f>
        <v/>
      </c>
      <c r="D4991" s="16" t="str">
        <f>IFERROR(VLOOKUP(C4991,DATA!#REF!,2,FALSE),"")</f>
        <v/>
      </c>
    </row>
    <row r="4992" spans="3:4" s="230" customFormat="1">
      <c r="C4992" s="16" t="str">
        <f>IFERROR(VLOOKUP(DATA!#REF!,DATA!#REF!,1,FALSE),"")</f>
        <v/>
      </c>
      <c r="D4992" s="16" t="str">
        <f>IFERROR(VLOOKUP(C4992,DATA!#REF!,2,FALSE),"")</f>
        <v/>
      </c>
    </row>
    <row r="4993" spans="3:4" s="230" customFormat="1">
      <c r="C4993" s="16" t="str">
        <f>IFERROR(VLOOKUP(DATA!#REF!,DATA!#REF!,1,FALSE),"")</f>
        <v/>
      </c>
      <c r="D4993" s="16" t="str">
        <f>IFERROR(VLOOKUP(C4993,DATA!#REF!,2,FALSE),"")</f>
        <v/>
      </c>
    </row>
    <row r="4994" spans="3:4" s="230" customFormat="1">
      <c r="C4994" s="16" t="str">
        <f>IFERROR(VLOOKUP(DATA!#REF!,DATA!#REF!,1,FALSE),"")</f>
        <v/>
      </c>
      <c r="D4994" s="16" t="str">
        <f>IFERROR(VLOOKUP(C4994,DATA!#REF!,2,FALSE),"")</f>
        <v/>
      </c>
    </row>
    <row r="4995" spans="3:4" s="230" customFormat="1">
      <c r="C4995" s="16" t="str">
        <f>IFERROR(VLOOKUP(DATA!#REF!,DATA!#REF!,1,FALSE),"")</f>
        <v/>
      </c>
      <c r="D4995" s="16" t="str">
        <f>IFERROR(VLOOKUP(C4995,DATA!#REF!,2,FALSE),"")</f>
        <v/>
      </c>
    </row>
    <row r="4996" spans="3:4" s="230" customFormat="1">
      <c r="C4996" s="16" t="str">
        <f>IFERROR(VLOOKUP(DATA!#REF!,DATA!#REF!,1,FALSE),"")</f>
        <v/>
      </c>
      <c r="D4996" s="16" t="str">
        <f>IFERROR(VLOOKUP(C4996,DATA!#REF!,2,FALSE),"")</f>
        <v/>
      </c>
    </row>
    <row r="4997" spans="3:4" s="230" customFormat="1">
      <c r="C4997" s="16" t="str">
        <f>IFERROR(VLOOKUP(DATA!#REF!,DATA!#REF!,1,FALSE),"")</f>
        <v/>
      </c>
      <c r="D4997" s="16" t="str">
        <f>IFERROR(VLOOKUP(C4997,DATA!#REF!,2,FALSE),"")</f>
        <v/>
      </c>
    </row>
    <row r="4998" spans="3:4" s="230" customFormat="1">
      <c r="C4998" s="16" t="str">
        <f>IFERROR(VLOOKUP(DATA!#REF!,DATA!#REF!,1,FALSE),"")</f>
        <v/>
      </c>
      <c r="D4998" s="16" t="str">
        <f>IFERROR(VLOOKUP(C4998,DATA!#REF!,2,FALSE),"")</f>
        <v/>
      </c>
    </row>
    <row r="4999" spans="3:4" s="230" customFormat="1">
      <c r="C4999" s="16" t="str">
        <f>IFERROR(VLOOKUP(DATA!#REF!,DATA!#REF!,1,FALSE),"")</f>
        <v/>
      </c>
      <c r="D4999" s="16" t="str">
        <f>IFERROR(VLOOKUP(C4999,DATA!#REF!,2,FALSE),"")</f>
        <v/>
      </c>
    </row>
    <row r="5000" spans="3:4" s="230" customFormat="1">
      <c r="C5000" s="16" t="str">
        <f>IFERROR(VLOOKUP(DATA!#REF!,DATA!#REF!,1,FALSE),"")</f>
        <v/>
      </c>
      <c r="D5000" s="16" t="str">
        <f>IFERROR(VLOOKUP(C5000,DATA!#REF!,2,FALSE),"")</f>
        <v/>
      </c>
    </row>
    <row r="5001" spans="3:4" s="230" customFormat="1">
      <c r="C5001" s="16" t="str">
        <f>IFERROR(VLOOKUP(DATA!#REF!,DATA!#REF!,1,FALSE),"")</f>
        <v/>
      </c>
      <c r="D5001" s="16" t="str">
        <f>IFERROR(VLOOKUP(C5001,DATA!#REF!,2,FALSE),"")</f>
        <v/>
      </c>
    </row>
    <row r="5002" spans="3:4" s="230" customFormat="1">
      <c r="C5002" s="16" t="str">
        <f>IFERROR(VLOOKUP(DATA!#REF!,DATA!#REF!,1,FALSE),"")</f>
        <v/>
      </c>
      <c r="D5002" s="16" t="str">
        <f>IFERROR(VLOOKUP(C5002,DATA!#REF!,2,FALSE),"")</f>
        <v/>
      </c>
    </row>
    <row r="5003" spans="3:4" s="230" customFormat="1">
      <c r="C5003" s="16" t="str">
        <f>IFERROR(VLOOKUP(DATA!#REF!,DATA!#REF!,1,FALSE),"")</f>
        <v/>
      </c>
      <c r="D5003" s="16" t="str">
        <f>IFERROR(VLOOKUP(C5003,DATA!#REF!,2,FALSE),"")</f>
        <v/>
      </c>
    </row>
    <row r="5004" spans="3:4" s="230" customFormat="1">
      <c r="C5004" s="16" t="str">
        <f>IFERROR(VLOOKUP(DATA!#REF!,DATA!#REF!,1,FALSE),"")</f>
        <v/>
      </c>
      <c r="D5004" s="16" t="str">
        <f>IFERROR(VLOOKUP(C5004,DATA!#REF!,2,FALSE),"")</f>
        <v/>
      </c>
    </row>
    <row r="5005" spans="3:4" s="230" customFormat="1">
      <c r="C5005" s="16" t="str">
        <f>IFERROR(VLOOKUP(DATA!#REF!,DATA!#REF!,1,FALSE),"")</f>
        <v/>
      </c>
      <c r="D5005" s="16" t="str">
        <f>IFERROR(VLOOKUP(C5005,DATA!#REF!,2,FALSE),"")</f>
        <v/>
      </c>
    </row>
    <row r="5006" spans="3:4" s="230" customFormat="1">
      <c r="C5006" s="16" t="str">
        <f>IFERROR(VLOOKUP(DATA!#REF!,DATA!#REF!,1,FALSE),"")</f>
        <v/>
      </c>
      <c r="D5006" s="16" t="str">
        <f>IFERROR(VLOOKUP(C5006,DATA!#REF!,2,FALSE),"")</f>
        <v/>
      </c>
    </row>
    <row r="5007" spans="3:4" s="230" customFormat="1">
      <c r="C5007" s="16" t="str">
        <f>IFERROR(VLOOKUP(DATA!#REF!,DATA!#REF!,1,FALSE),"")</f>
        <v/>
      </c>
      <c r="D5007" s="16" t="str">
        <f>IFERROR(VLOOKUP(C5007,DATA!#REF!,2,FALSE),"")</f>
        <v/>
      </c>
    </row>
    <row r="5008" spans="3:4" s="230" customFormat="1">
      <c r="C5008" s="16" t="str">
        <f>IFERROR(VLOOKUP(DATA!#REF!,DATA!#REF!,1,FALSE),"")</f>
        <v/>
      </c>
      <c r="D5008" s="16" t="str">
        <f>IFERROR(VLOOKUP(C5008,DATA!#REF!,2,FALSE),"")</f>
        <v/>
      </c>
    </row>
    <row r="5009" spans="3:4" s="230" customFormat="1">
      <c r="C5009" s="16" t="str">
        <f>IFERROR(VLOOKUP(DATA!#REF!,DATA!#REF!,1,FALSE),"")</f>
        <v/>
      </c>
      <c r="D5009" s="16" t="str">
        <f>IFERROR(VLOOKUP(C5009,DATA!#REF!,2,FALSE),"")</f>
        <v/>
      </c>
    </row>
    <row r="5010" spans="3:4" s="230" customFormat="1">
      <c r="C5010" s="16" t="str">
        <f>IFERROR(VLOOKUP(DATA!#REF!,DATA!#REF!,1,FALSE),"")</f>
        <v/>
      </c>
      <c r="D5010" s="16" t="str">
        <f>IFERROR(VLOOKUP(C5010,DATA!#REF!,2,FALSE),"")</f>
        <v/>
      </c>
    </row>
    <row r="5011" spans="3:4" s="230" customFormat="1">
      <c r="C5011" s="16" t="str">
        <f>IFERROR(VLOOKUP(DATA!#REF!,DATA!#REF!,1,FALSE),"")</f>
        <v/>
      </c>
      <c r="D5011" s="16" t="str">
        <f>IFERROR(VLOOKUP(C5011,DATA!#REF!,2,FALSE),"")</f>
        <v/>
      </c>
    </row>
    <row r="5012" spans="3:4" s="230" customFormat="1">
      <c r="C5012" s="16" t="str">
        <f>IFERROR(VLOOKUP(DATA!#REF!,DATA!#REF!,1,FALSE),"")</f>
        <v/>
      </c>
      <c r="D5012" s="16" t="str">
        <f>IFERROR(VLOOKUP(C5012,DATA!#REF!,2,FALSE),"")</f>
        <v/>
      </c>
    </row>
    <row r="5013" spans="3:4" s="230" customFormat="1">
      <c r="C5013" s="16" t="str">
        <f>IFERROR(VLOOKUP(DATA!#REF!,DATA!#REF!,1,FALSE),"")</f>
        <v/>
      </c>
      <c r="D5013" s="16" t="str">
        <f>IFERROR(VLOOKUP(C5013,DATA!#REF!,2,FALSE),"")</f>
        <v/>
      </c>
    </row>
    <row r="5014" spans="3:4" s="230" customFormat="1">
      <c r="C5014" s="16" t="str">
        <f>IFERROR(VLOOKUP(DATA!#REF!,DATA!#REF!,1,FALSE),"")</f>
        <v/>
      </c>
      <c r="D5014" s="16" t="str">
        <f>IFERROR(VLOOKUP(C5014,DATA!#REF!,2,FALSE),"")</f>
        <v/>
      </c>
    </row>
    <row r="5015" spans="3:4" s="230" customFormat="1">
      <c r="C5015" s="16" t="str">
        <f>IFERROR(VLOOKUP(DATA!#REF!,DATA!#REF!,1,FALSE),"")</f>
        <v/>
      </c>
      <c r="D5015" s="16" t="str">
        <f>IFERROR(VLOOKUP(C5015,DATA!#REF!,2,FALSE),"")</f>
        <v/>
      </c>
    </row>
    <row r="5016" spans="3:4" s="230" customFormat="1">
      <c r="C5016" s="16" t="str">
        <f>IFERROR(VLOOKUP(DATA!#REF!,DATA!#REF!,1,FALSE),"")</f>
        <v/>
      </c>
      <c r="D5016" s="16" t="str">
        <f>IFERROR(VLOOKUP(C5016,DATA!#REF!,2,FALSE),"")</f>
        <v/>
      </c>
    </row>
    <row r="5017" spans="3:4" s="230" customFormat="1">
      <c r="C5017" s="16" t="str">
        <f>IFERROR(VLOOKUP(DATA!#REF!,DATA!#REF!,1,FALSE),"")</f>
        <v/>
      </c>
      <c r="D5017" s="16" t="str">
        <f>IFERROR(VLOOKUP(C5017,DATA!#REF!,2,FALSE),"")</f>
        <v/>
      </c>
    </row>
    <row r="5018" spans="3:4" s="230" customFormat="1">
      <c r="C5018" s="16" t="str">
        <f>IFERROR(VLOOKUP(DATA!#REF!,DATA!#REF!,1,FALSE),"")</f>
        <v/>
      </c>
      <c r="D5018" s="16" t="str">
        <f>IFERROR(VLOOKUP(C5018,DATA!#REF!,2,FALSE),"")</f>
        <v/>
      </c>
    </row>
    <row r="5019" spans="3:4" s="230" customFormat="1">
      <c r="C5019" s="16" t="str">
        <f>IFERROR(VLOOKUP(DATA!#REF!,DATA!#REF!,1,FALSE),"")</f>
        <v/>
      </c>
      <c r="D5019" s="16" t="str">
        <f>IFERROR(VLOOKUP(C5019,DATA!#REF!,2,FALSE),"")</f>
        <v/>
      </c>
    </row>
    <row r="5020" spans="3:4" s="230" customFormat="1">
      <c r="C5020" s="16" t="str">
        <f>IFERROR(VLOOKUP(DATA!#REF!,DATA!#REF!,1,FALSE),"")</f>
        <v/>
      </c>
      <c r="D5020" s="16" t="str">
        <f>IFERROR(VLOOKUP(C5020,DATA!#REF!,2,FALSE),"")</f>
        <v/>
      </c>
    </row>
    <row r="5021" spans="3:4" s="230" customFormat="1">
      <c r="C5021" s="16" t="str">
        <f>IFERROR(VLOOKUP(DATA!#REF!,DATA!#REF!,1,FALSE),"")</f>
        <v/>
      </c>
      <c r="D5021" s="16" t="str">
        <f>IFERROR(VLOOKUP(C5021,DATA!#REF!,2,FALSE),"")</f>
        <v/>
      </c>
    </row>
    <row r="5022" spans="3:4" s="230" customFormat="1">
      <c r="C5022" s="16" t="str">
        <f>IFERROR(VLOOKUP(DATA!#REF!,DATA!#REF!,1,FALSE),"")</f>
        <v/>
      </c>
      <c r="D5022" s="16" t="str">
        <f>IFERROR(VLOOKUP(C5022,DATA!#REF!,2,FALSE),"")</f>
        <v/>
      </c>
    </row>
    <row r="5023" spans="3:4" s="230" customFormat="1">
      <c r="C5023" s="16" t="str">
        <f>IFERROR(VLOOKUP(DATA!#REF!,DATA!#REF!,1,FALSE),"")</f>
        <v/>
      </c>
      <c r="D5023" s="16" t="str">
        <f>IFERROR(VLOOKUP(C5023,DATA!#REF!,2,FALSE),"")</f>
        <v/>
      </c>
    </row>
    <row r="5024" spans="3:4" s="230" customFormat="1">
      <c r="C5024" s="16" t="str">
        <f>IFERROR(VLOOKUP(DATA!#REF!,DATA!#REF!,1,FALSE),"")</f>
        <v/>
      </c>
      <c r="D5024" s="16" t="str">
        <f>IFERROR(VLOOKUP(C5024,DATA!#REF!,2,FALSE),"")</f>
        <v/>
      </c>
    </row>
    <row r="5025" spans="3:4" s="230" customFormat="1">
      <c r="C5025" s="16" t="str">
        <f>IFERROR(VLOOKUP(DATA!#REF!,DATA!#REF!,1,FALSE),"")</f>
        <v/>
      </c>
      <c r="D5025" s="16" t="str">
        <f>IFERROR(VLOOKUP(C5025,DATA!#REF!,2,FALSE),"")</f>
        <v/>
      </c>
    </row>
    <row r="5026" spans="3:4" s="230" customFormat="1">
      <c r="C5026" s="16" t="str">
        <f>IFERROR(VLOOKUP(DATA!#REF!,DATA!#REF!,1,FALSE),"")</f>
        <v/>
      </c>
      <c r="D5026" s="16" t="str">
        <f>IFERROR(VLOOKUP(C5026,DATA!#REF!,2,FALSE),"")</f>
        <v/>
      </c>
    </row>
    <row r="5027" spans="3:4" s="230" customFormat="1">
      <c r="C5027" s="16" t="str">
        <f>IFERROR(VLOOKUP(DATA!#REF!,DATA!#REF!,1,FALSE),"")</f>
        <v/>
      </c>
      <c r="D5027" s="16" t="str">
        <f>IFERROR(VLOOKUP(C5027,DATA!#REF!,2,FALSE),"")</f>
        <v/>
      </c>
    </row>
    <row r="5028" spans="3:4" s="230" customFormat="1">
      <c r="C5028" s="16" t="str">
        <f>IFERROR(VLOOKUP(DATA!#REF!,DATA!#REF!,1,FALSE),"")</f>
        <v/>
      </c>
      <c r="D5028" s="16" t="str">
        <f>IFERROR(VLOOKUP(C5028,DATA!#REF!,2,FALSE),"")</f>
        <v/>
      </c>
    </row>
    <row r="5029" spans="3:4" s="230" customFormat="1">
      <c r="C5029" s="16" t="str">
        <f>IFERROR(VLOOKUP(DATA!#REF!,DATA!#REF!,1,FALSE),"")</f>
        <v/>
      </c>
      <c r="D5029" s="16" t="str">
        <f>IFERROR(VLOOKUP(C5029,DATA!#REF!,2,FALSE),"")</f>
        <v/>
      </c>
    </row>
    <row r="5030" spans="3:4" s="230" customFormat="1">
      <c r="C5030" s="16" t="str">
        <f>IFERROR(VLOOKUP(DATA!#REF!,DATA!#REF!,1,FALSE),"")</f>
        <v/>
      </c>
      <c r="D5030" s="16" t="str">
        <f>IFERROR(VLOOKUP(C5030,DATA!#REF!,2,FALSE),"")</f>
        <v/>
      </c>
    </row>
    <row r="5031" spans="3:4" s="230" customFormat="1">
      <c r="C5031" s="16" t="str">
        <f>IFERROR(VLOOKUP(DATA!#REF!,DATA!#REF!,1,FALSE),"")</f>
        <v/>
      </c>
      <c r="D5031" s="16" t="str">
        <f>IFERROR(VLOOKUP(C5031,DATA!#REF!,2,FALSE),"")</f>
        <v/>
      </c>
    </row>
    <row r="5032" spans="3:4" s="230" customFormat="1">
      <c r="C5032" s="16" t="str">
        <f>IFERROR(VLOOKUP(DATA!#REF!,DATA!#REF!,1,FALSE),"")</f>
        <v/>
      </c>
      <c r="D5032" s="16" t="str">
        <f>IFERROR(VLOOKUP(C5032,DATA!#REF!,2,FALSE),"")</f>
        <v/>
      </c>
    </row>
    <row r="5033" spans="3:4" s="230" customFormat="1">
      <c r="C5033" s="16" t="str">
        <f>IFERROR(VLOOKUP(DATA!#REF!,DATA!#REF!,1,FALSE),"")</f>
        <v/>
      </c>
      <c r="D5033" s="16" t="str">
        <f>IFERROR(VLOOKUP(C5033,DATA!#REF!,2,FALSE),"")</f>
        <v/>
      </c>
    </row>
    <row r="5034" spans="3:4" s="230" customFormat="1">
      <c r="C5034" s="16" t="str">
        <f>IFERROR(VLOOKUP(DATA!#REF!,DATA!#REF!,1,FALSE),"")</f>
        <v/>
      </c>
      <c r="D5034" s="16" t="str">
        <f>IFERROR(VLOOKUP(C5034,DATA!#REF!,2,FALSE),"")</f>
        <v/>
      </c>
    </row>
    <row r="5035" spans="3:4" s="230" customFormat="1">
      <c r="C5035" s="16" t="str">
        <f>IFERROR(VLOOKUP(DATA!#REF!,DATA!#REF!,1,FALSE),"")</f>
        <v/>
      </c>
      <c r="D5035" s="16" t="str">
        <f>IFERROR(VLOOKUP(C5035,DATA!#REF!,2,FALSE),"")</f>
        <v/>
      </c>
    </row>
    <row r="5036" spans="3:4" s="230" customFormat="1">
      <c r="C5036" s="16" t="str">
        <f>IFERROR(VLOOKUP(DATA!#REF!,DATA!#REF!,1,FALSE),"")</f>
        <v/>
      </c>
      <c r="D5036" s="16" t="str">
        <f>IFERROR(VLOOKUP(C5036,DATA!#REF!,2,FALSE),"")</f>
        <v/>
      </c>
    </row>
    <row r="5037" spans="3:4" s="230" customFormat="1">
      <c r="C5037" s="16" t="str">
        <f>IFERROR(VLOOKUP(DATA!#REF!,DATA!#REF!,1,FALSE),"")</f>
        <v/>
      </c>
      <c r="D5037" s="16" t="str">
        <f>IFERROR(VLOOKUP(C5037,DATA!#REF!,2,FALSE),"")</f>
        <v/>
      </c>
    </row>
    <row r="5038" spans="3:4" s="230" customFormat="1">
      <c r="C5038" s="16" t="str">
        <f>IFERROR(VLOOKUP(DATA!#REF!,DATA!#REF!,1,FALSE),"")</f>
        <v/>
      </c>
      <c r="D5038" s="16" t="str">
        <f>IFERROR(VLOOKUP(C5038,DATA!#REF!,2,FALSE),"")</f>
        <v/>
      </c>
    </row>
    <row r="5039" spans="3:4" s="230" customFormat="1">
      <c r="C5039" s="16" t="str">
        <f>IFERROR(VLOOKUP(DATA!#REF!,DATA!#REF!,1,FALSE),"")</f>
        <v/>
      </c>
      <c r="D5039" s="16" t="str">
        <f>IFERROR(VLOOKUP(C5039,DATA!#REF!,2,FALSE),"")</f>
        <v/>
      </c>
    </row>
    <row r="5040" spans="3:4" s="230" customFormat="1">
      <c r="C5040" s="16" t="str">
        <f>IFERROR(VLOOKUP(DATA!#REF!,DATA!#REF!,1,FALSE),"")</f>
        <v/>
      </c>
      <c r="D5040" s="16" t="str">
        <f>IFERROR(VLOOKUP(C5040,DATA!#REF!,2,FALSE),"")</f>
        <v/>
      </c>
    </row>
    <row r="5041" spans="3:4" s="230" customFormat="1">
      <c r="C5041" s="16" t="str">
        <f>IFERROR(VLOOKUP(DATA!#REF!,DATA!#REF!,1,FALSE),"")</f>
        <v/>
      </c>
      <c r="D5041" s="16" t="str">
        <f>IFERROR(VLOOKUP(C5041,DATA!#REF!,2,FALSE),"")</f>
        <v/>
      </c>
    </row>
    <row r="5042" spans="3:4" s="230" customFormat="1">
      <c r="C5042" s="16" t="str">
        <f>IFERROR(VLOOKUP(DATA!#REF!,DATA!#REF!,1,FALSE),"")</f>
        <v/>
      </c>
      <c r="D5042" s="16" t="str">
        <f>IFERROR(VLOOKUP(C5042,DATA!#REF!,2,FALSE),"")</f>
        <v/>
      </c>
    </row>
    <row r="5043" spans="3:4" s="230" customFormat="1">
      <c r="C5043" s="16" t="str">
        <f>IFERROR(VLOOKUP(DATA!#REF!,DATA!#REF!,1,FALSE),"")</f>
        <v/>
      </c>
      <c r="D5043" s="16" t="str">
        <f>IFERROR(VLOOKUP(C5043,DATA!#REF!,2,FALSE),"")</f>
        <v/>
      </c>
    </row>
    <row r="5044" spans="3:4" s="230" customFormat="1">
      <c r="C5044" s="16" t="str">
        <f>IFERROR(VLOOKUP(DATA!#REF!,DATA!#REF!,1,FALSE),"")</f>
        <v/>
      </c>
      <c r="D5044" s="16" t="str">
        <f>IFERROR(VLOOKUP(C5044,DATA!#REF!,2,FALSE),"")</f>
        <v/>
      </c>
    </row>
    <row r="5045" spans="3:4" s="230" customFormat="1">
      <c r="C5045" s="16" t="str">
        <f>IFERROR(VLOOKUP(DATA!#REF!,DATA!#REF!,1,FALSE),"")</f>
        <v/>
      </c>
      <c r="D5045" s="16" t="str">
        <f>IFERROR(VLOOKUP(C5045,DATA!#REF!,2,FALSE),"")</f>
        <v/>
      </c>
    </row>
    <row r="5046" spans="3:4" s="230" customFormat="1">
      <c r="C5046" s="16" t="str">
        <f>IFERROR(VLOOKUP(DATA!#REF!,DATA!#REF!,1,FALSE),"")</f>
        <v/>
      </c>
      <c r="D5046" s="16" t="str">
        <f>IFERROR(VLOOKUP(C5046,DATA!#REF!,2,FALSE),"")</f>
        <v/>
      </c>
    </row>
    <row r="5047" spans="3:4" s="230" customFormat="1">
      <c r="C5047" s="16" t="str">
        <f>IFERROR(VLOOKUP(DATA!#REF!,DATA!#REF!,1,FALSE),"")</f>
        <v/>
      </c>
      <c r="D5047" s="16" t="str">
        <f>IFERROR(VLOOKUP(C5047,DATA!#REF!,2,FALSE),"")</f>
        <v/>
      </c>
    </row>
    <row r="5048" spans="3:4" s="230" customFormat="1">
      <c r="C5048" s="16" t="str">
        <f>IFERROR(VLOOKUP(DATA!#REF!,DATA!#REF!,1,FALSE),"")</f>
        <v/>
      </c>
      <c r="D5048" s="16" t="str">
        <f>IFERROR(VLOOKUP(C5048,DATA!#REF!,2,FALSE),"")</f>
        <v/>
      </c>
    </row>
    <row r="5049" spans="3:4" s="230" customFormat="1">
      <c r="C5049" s="16" t="str">
        <f>IFERROR(VLOOKUP(DATA!#REF!,DATA!#REF!,1,FALSE),"")</f>
        <v/>
      </c>
      <c r="D5049" s="16" t="str">
        <f>IFERROR(VLOOKUP(C5049,DATA!#REF!,2,FALSE),"")</f>
        <v/>
      </c>
    </row>
    <row r="5050" spans="3:4" s="230" customFormat="1">
      <c r="C5050" s="16" t="str">
        <f>IFERROR(VLOOKUP(DATA!#REF!,DATA!#REF!,1,FALSE),"")</f>
        <v/>
      </c>
      <c r="D5050" s="16" t="str">
        <f>IFERROR(VLOOKUP(C5050,DATA!#REF!,2,FALSE),"")</f>
        <v/>
      </c>
    </row>
    <row r="5051" spans="3:4" s="230" customFormat="1">
      <c r="C5051" s="16" t="str">
        <f>IFERROR(VLOOKUP(DATA!#REF!,DATA!#REF!,1,FALSE),"")</f>
        <v/>
      </c>
      <c r="D5051" s="16" t="str">
        <f>IFERROR(VLOOKUP(C5051,DATA!#REF!,2,FALSE),"")</f>
        <v/>
      </c>
    </row>
    <row r="5052" spans="3:4" s="230" customFormat="1">
      <c r="C5052" s="16" t="str">
        <f>IFERROR(VLOOKUP(DATA!#REF!,DATA!#REF!,1,FALSE),"")</f>
        <v/>
      </c>
      <c r="D5052" s="16" t="str">
        <f>IFERROR(VLOOKUP(C5052,DATA!#REF!,2,FALSE),"")</f>
        <v/>
      </c>
    </row>
    <row r="5053" spans="3:4" s="230" customFormat="1">
      <c r="C5053" s="16" t="str">
        <f>IFERROR(VLOOKUP(DATA!#REF!,DATA!#REF!,1,FALSE),"")</f>
        <v/>
      </c>
      <c r="D5053" s="16" t="str">
        <f>IFERROR(VLOOKUP(C5053,DATA!#REF!,2,FALSE),"")</f>
        <v/>
      </c>
    </row>
    <row r="5054" spans="3:4" s="230" customFormat="1">
      <c r="C5054" s="16" t="str">
        <f>IFERROR(VLOOKUP(DATA!#REF!,DATA!#REF!,1,FALSE),"")</f>
        <v/>
      </c>
      <c r="D5054" s="16" t="str">
        <f>IFERROR(VLOOKUP(C5054,DATA!#REF!,2,FALSE),"")</f>
        <v/>
      </c>
    </row>
    <row r="5055" spans="3:4" s="230" customFormat="1">
      <c r="C5055" s="16" t="str">
        <f>IFERROR(VLOOKUP(DATA!#REF!,DATA!#REF!,1,FALSE),"")</f>
        <v/>
      </c>
      <c r="D5055" s="16" t="str">
        <f>IFERROR(VLOOKUP(C5055,DATA!#REF!,2,FALSE),"")</f>
        <v/>
      </c>
    </row>
    <row r="5056" spans="3:4" s="230" customFormat="1">
      <c r="C5056" s="16" t="str">
        <f>IFERROR(VLOOKUP(DATA!#REF!,DATA!#REF!,1,FALSE),"")</f>
        <v/>
      </c>
      <c r="D5056" s="16" t="str">
        <f>IFERROR(VLOOKUP(C5056,DATA!#REF!,2,FALSE),"")</f>
        <v/>
      </c>
    </row>
    <row r="5057" spans="3:4" s="230" customFormat="1">
      <c r="C5057" s="16" t="str">
        <f>IFERROR(VLOOKUP(DATA!#REF!,DATA!#REF!,1,FALSE),"")</f>
        <v/>
      </c>
      <c r="D5057" s="16" t="str">
        <f>IFERROR(VLOOKUP(C5057,DATA!#REF!,2,FALSE),"")</f>
        <v/>
      </c>
    </row>
    <row r="5058" spans="3:4" s="230" customFormat="1">
      <c r="C5058" s="16" t="str">
        <f>IFERROR(VLOOKUP(DATA!#REF!,DATA!#REF!,1,FALSE),"")</f>
        <v/>
      </c>
      <c r="D5058" s="16" t="str">
        <f>IFERROR(VLOOKUP(C5058,DATA!#REF!,2,FALSE),"")</f>
        <v/>
      </c>
    </row>
    <row r="5059" spans="3:4" s="230" customFormat="1">
      <c r="C5059" s="16" t="str">
        <f>IFERROR(VLOOKUP(DATA!#REF!,DATA!#REF!,1,FALSE),"")</f>
        <v/>
      </c>
      <c r="D5059" s="16" t="str">
        <f>IFERROR(VLOOKUP(C5059,DATA!#REF!,2,FALSE),"")</f>
        <v/>
      </c>
    </row>
    <row r="5060" spans="3:4" s="230" customFormat="1">
      <c r="C5060" s="16" t="str">
        <f>IFERROR(VLOOKUP(DATA!#REF!,DATA!#REF!,1,FALSE),"")</f>
        <v/>
      </c>
      <c r="D5060" s="16" t="str">
        <f>IFERROR(VLOOKUP(C5060,DATA!#REF!,2,FALSE),"")</f>
        <v/>
      </c>
    </row>
    <row r="5061" spans="3:4" s="230" customFormat="1">
      <c r="C5061" s="16" t="str">
        <f>IFERROR(VLOOKUP(DATA!#REF!,DATA!#REF!,1,FALSE),"")</f>
        <v/>
      </c>
      <c r="D5061" s="16" t="str">
        <f>IFERROR(VLOOKUP(C5061,DATA!#REF!,2,FALSE),"")</f>
        <v/>
      </c>
    </row>
    <row r="5062" spans="3:4" s="230" customFormat="1">
      <c r="C5062" s="16" t="str">
        <f>IFERROR(VLOOKUP(DATA!#REF!,DATA!#REF!,1,FALSE),"")</f>
        <v/>
      </c>
      <c r="D5062" s="16" t="str">
        <f>IFERROR(VLOOKUP(C5062,DATA!#REF!,2,FALSE),"")</f>
        <v/>
      </c>
    </row>
    <row r="5063" spans="3:4" s="230" customFormat="1">
      <c r="C5063" s="16" t="str">
        <f>IFERROR(VLOOKUP(DATA!#REF!,DATA!#REF!,1,FALSE),"")</f>
        <v/>
      </c>
      <c r="D5063" s="16" t="str">
        <f>IFERROR(VLOOKUP(C5063,DATA!#REF!,2,FALSE),"")</f>
        <v/>
      </c>
    </row>
    <row r="5064" spans="3:4" s="230" customFormat="1">
      <c r="C5064" s="16" t="str">
        <f>IFERROR(VLOOKUP(DATA!#REF!,DATA!#REF!,1,FALSE),"")</f>
        <v/>
      </c>
      <c r="D5064" s="16" t="str">
        <f>IFERROR(VLOOKUP(C5064,DATA!#REF!,2,FALSE),"")</f>
        <v/>
      </c>
    </row>
    <row r="5065" spans="3:4" s="230" customFormat="1">
      <c r="C5065" s="16" t="str">
        <f>IFERROR(VLOOKUP(DATA!#REF!,DATA!#REF!,1,FALSE),"")</f>
        <v/>
      </c>
      <c r="D5065" s="16" t="str">
        <f>IFERROR(VLOOKUP(C5065,DATA!#REF!,2,FALSE),"")</f>
        <v/>
      </c>
    </row>
    <row r="5066" spans="3:4" s="230" customFormat="1">
      <c r="C5066" s="16" t="str">
        <f>IFERROR(VLOOKUP(DATA!#REF!,DATA!#REF!,1,FALSE),"")</f>
        <v/>
      </c>
      <c r="D5066" s="16" t="str">
        <f>IFERROR(VLOOKUP(C5066,DATA!#REF!,2,FALSE),"")</f>
        <v/>
      </c>
    </row>
    <row r="5067" spans="3:4" s="230" customFormat="1">
      <c r="C5067" s="16" t="str">
        <f>IFERROR(VLOOKUP(DATA!#REF!,DATA!#REF!,1,FALSE),"")</f>
        <v/>
      </c>
      <c r="D5067" s="16" t="str">
        <f>IFERROR(VLOOKUP(C5067,DATA!#REF!,2,FALSE),"")</f>
        <v/>
      </c>
    </row>
    <row r="5068" spans="3:4" s="230" customFormat="1">
      <c r="C5068" s="16" t="str">
        <f>IFERROR(VLOOKUP(DATA!#REF!,DATA!#REF!,1,FALSE),"")</f>
        <v/>
      </c>
      <c r="D5068" s="16" t="str">
        <f>IFERROR(VLOOKUP(C5068,DATA!#REF!,2,FALSE),"")</f>
        <v/>
      </c>
    </row>
    <row r="5069" spans="3:4" s="230" customFormat="1">
      <c r="C5069" s="16" t="str">
        <f>IFERROR(VLOOKUP(DATA!#REF!,DATA!#REF!,1,FALSE),"")</f>
        <v/>
      </c>
      <c r="D5069" s="16" t="str">
        <f>IFERROR(VLOOKUP(C5069,DATA!#REF!,2,FALSE),"")</f>
        <v/>
      </c>
    </row>
    <row r="5070" spans="3:4" s="230" customFormat="1">
      <c r="C5070" s="16" t="str">
        <f>IFERROR(VLOOKUP(DATA!#REF!,DATA!#REF!,1,FALSE),"")</f>
        <v/>
      </c>
      <c r="D5070" s="16" t="str">
        <f>IFERROR(VLOOKUP(C5070,DATA!#REF!,2,FALSE),"")</f>
        <v/>
      </c>
    </row>
    <row r="5071" spans="3:4" s="230" customFormat="1">
      <c r="C5071" s="16" t="str">
        <f>IFERROR(VLOOKUP(DATA!#REF!,DATA!#REF!,1,FALSE),"")</f>
        <v/>
      </c>
      <c r="D5071" s="16" t="str">
        <f>IFERROR(VLOOKUP(C5071,DATA!#REF!,2,FALSE),"")</f>
        <v/>
      </c>
    </row>
    <row r="5072" spans="3:4" s="230" customFormat="1">
      <c r="C5072" s="16" t="str">
        <f>IFERROR(VLOOKUP(DATA!#REF!,DATA!#REF!,1,FALSE),"")</f>
        <v/>
      </c>
      <c r="D5072" s="16" t="str">
        <f>IFERROR(VLOOKUP(C5072,DATA!#REF!,2,FALSE),"")</f>
        <v/>
      </c>
    </row>
    <row r="5073" spans="3:4" s="230" customFormat="1">
      <c r="C5073" s="16" t="str">
        <f>IFERROR(VLOOKUP(DATA!#REF!,DATA!#REF!,1,FALSE),"")</f>
        <v/>
      </c>
      <c r="D5073" s="16" t="str">
        <f>IFERROR(VLOOKUP(C5073,DATA!#REF!,2,FALSE),"")</f>
        <v/>
      </c>
    </row>
    <row r="5074" spans="3:4" s="230" customFormat="1">
      <c r="C5074" s="16" t="str">
        <f>IFERROR(VLOOKUP(DATA!#REF!,DATA!#REF!,1,FALSE),"")</f>
        <v/>
      </c>
      <c r="D5074" s="16" t="str">
        <f>IFERROR(VLOOKUP(C5074,DATA!#REF!,2,FALSE),"")</f>
        <v/>
      </c>
    </row>
    <row r="5075" spans="3:4" s="230" customFormat="1">
      <c r="C5075" s="16" t="str">
        <f>IFERROR(VLOOKUP(DATA!#REF!,DATA!#REF!,1,FALSE),"")</f>
        <v/>
      </c>
      <c r="D5075" s="16" t="str">
        <f>IFERROR(VLOOKUP(C5075,DATA!#REF!,2,FALSE),"")</f>
        <v/>
      </c>
    </row>
    <row r="5076" spans="3:4" s="230" customFormat="1">
      <c r="C5076" s="16" t="str">
        <f>IFERROR(VLOOKUP(DATA!#REF!,DATA!#REF!,1,FALSE),"")</f>
        <v/>
      </c>
      <c r="D5076" s="16" t="str">
        <f>IFERROR(VLOOKUP(C5076,DATA!#REF!,2,FALSE),"")</f>
        <v/>
      </c>
    </row>
    <row r="5077" spans="3:4" s="230" customFormat="1">
      <c r="C5077" s="16" t="str">
        <f>IFERROR(VLOOKUP(DATA!#REF!,DATA!#REF!,1,FALSE),"")</f>
        <v/>
      </c>
      <c r="D5077" s="16" t="str">
        <f>IFERROR(VLOOKUP(C5077,DATA!#REF!,2,FALSE),"")</f>
        <v/>
      </c>
    </row>
    <row r="5078" spans="3:4" s="230" customFormat="1">
      <c r="C5078" s="16" t="str">
        <f>IFERROR(VLOOKUP(DATA!#REF!,DATA!#REF!,1,FALSE),"")</f>
        <v/>
      </c>
      <c r="D5078" s="16" t="str">
        <f>IFERROR(VLOOKUP(C5078,DATA!#REF!,2,FALSE),"")</f>
        <v/>
      </c>
    </row>
    <row r="5079" spans="3:4" s="230" customFormat="1">
      <c r="C5079" s="16" t="str">
        <f>IFERROR(VLOOKUP(DATA!#REF!,DATA!#REF!,1,FALSE),"")</f>
        <v/>
      </c>
      <c r="D5079" s="16" t="str">
        <f>IFERROR(VLOOKUP(C5079,DATA!#REF!,2,FALSE),"")</f>
        <v/>
      </c>
    </row>
    <row r="5080" spans="3:4" s="230" customFormat="1">
      <c r="C5080" s="16" t="str">
        <f>IFERROR(VLOOKUP(DATA!#REF!,DATA!#REF!,1,FALSE),"")</f>
        <v/>
      </c>
      <c r="D5080" s="16" t="str">
        <f>IFERROR(VLOOKUP(C5080,DATA!#REF!,2,FALSE),"")</f>
        <v/>
      </c>
    </row>
    <row r="5081" spans="3:4" s="230" customFormat="1">
      <c r="C5081" s="16" t="str">
        <f>IFERROR(VLOOKUP(DATA!#REF!,DATA!#REF!,1,FALSE),"")</f>
        <v/>
      </c>
      <c r="D5081" s="16" t="str">
        <f>IFERROR(VLOOKUP(C5081,DATA!#REF!,2,FALSE),"")</f>
        <v/>
      </c>
    </row>
    <row r="5082" spans="3:4" s="230" customFormat="1">
      <c r="C5082" s="16" t="str">
        <f>IFERROR(VLOOKUP(DATA!#REF!,DATA!#REF!,1,FALSE),"")</f>
        <v/>
      </c>
      <c r="D5082" s="16" t="str">
        <f>IFERROR(VLOOKUP(C5082,DATA!#REF!,2,FALSE),"")</f>
        <v/>
      </c>
    </row>
    <row r="5083" spans="3:4" s="230" customFormat="1">
      <c r="C5083" s="16" t="str">
        <f>IFERROR(VLOOKUP(DATA!#REF!,DATA!#REF!,1,FALSE),"")</f>
        <v/>
      </c>
      <c r="D5083" s="16" t="str">
        <f>IFERROR(VLOOKUP(C5083,DATA!#REF!,2,FALSE),"")</f>
        <v/>
      </c>
    </row>
    <row r="5084" spans="3:4" s="230" customFormat="1">
      <c r="C5084" s="16" t="str">
        <f>IFERROR(VLOOKUP(DATA!#REF!,DATA!#REF!,1,FALSE),"")</f>
        <v/>
      </c>
      <c r="D5084" s="16" t="str">
        <f>IFERROR(VLOOKUP(C5084,DATA!#REF!,2,FALSE),"")</f>
        <v/>
      </c>
    </row>
    <row r="5085" spans="3:4" s="230" customFormat="1">
      <c r="C5085" s="16" t="str">
        <f>IFERROR(VLOOKUP(DATA!#REF!,DATA!#REF!,1,FALSE),"")</f>
        <v/>
      </c>
      <c r="D5085" s="16" t="str">
        <f>IFERROR(VLOOKUP(C5085,DATA!#REF!,2,FALSE),"")</f>
        <v/>
      </c>
    </row>
    <row r="5086" spans="3:4" s="230" customFormat="1">
      <c r="C5086" s="16" t="str">
        <f>IFERROR(VLOOKUP(DATA!#REF!,DATA!#REF!,1,FALSE),"")</f>
        <v/>
      </c>
      <c r="D5086" s="16" t="str">
        <f>IFERROR(VLOOKUP(C5086,DATA!#REF!,2,FALSE),"")</f>
        <v/>
      </c>
    </row>
    <row r="5087" spans="3:4" s="230" customFormat="1">
      <c r="C5087" s="16" t="str">
        <f>IFERROR(VLOOKUP(DATA!#REF!,DATA!#REF!,1,FALSE),"")</f>
        <v/>
      </c>
      <c r="D5087" s="16" t="str">
        <f>IFERROR(VLOOKUP(C5087,DATA!#REF!,2,FALSE),"")</f>
        <v/>
      </c>
    </row>
    <row r="5088" spans="3:4" s="230" customFormat="1">
      <c r="C5088" s="16" t="str">
        <f>IFERROR(VLOOKUP(DATA!#REF!,DATA!#REF!,1,FALSE),"")</f>
        <v/>
      </c>
      <c r="D5088" s="16" t="str">
        <f>IFERROR(VLOOKUP(C5088,DATA!#REF!,2,FALSE),"")</f>
        <v/>
      </c>
    </row>
    <row r="5089" spans="3:4" s="230" customFormat="1">
      <c r="C5089" s="16" t="str">
        <f>IFERROR(VLOOKUP(DATA!#REF!,DATA!#REF!,1,FALSE),"")</f>
        <v/>
      </c>
      <c r="D5089" s="16" t="str">
        <f>IFERROR(VLOOKUP(C5089,DATA!#REF!,2,FALSE),"")</f>
        <v/>
      </c>
    </row>
    <row r="5090" spans="3:4" s="230" customFormat="1">
      <c r="C5090" s="16" t="str">
        <f>IFERROR(VLOOKUP(DATA!#REF!,DATA!#REF!,1,FALSE),"")</f>
        <v/>
      </c>
      <c r="D5090" s="16" t="str">
        <f>IFERROR(VLOOKUP(C5090,DATA!#REF!,2,FALSE),"")</f>
        <v/>
      </c>
    </row>
    <row r="5091" spans="3:4" s="230" customFormat="1">
      <c r="C5091" s="16" t="str">
        <f>IFERROR(VLOOKUP(DATA!#REF!,DATA!#REF!,1,FALSE),"")</f>
        <v/>
      </c>
      <c r="D5091" s="16" t="str">
        <f>IFERROR(VLOOKUP(C5091,DATA!#REF!,2,FALSE),"")</f>
        <v/>
      </c>
    </row>
    <row r="5092" spans="3:4" s="230" customFormat="1">
      <c r="C5092" s="16" t="str">
        <f>IFERROR(VLOOKUP(DATA!#REF!,DATA!#REF!,1,FALSE),"")</f>
        <v/>
      </c>
      <c r="D5092" s="16" t="str">
        <f>IFERROR(VLOOKUP(C5092,DATA!#REF!,2,FALSE),"")</f>
        <v/>
      </c>
    </row>
    <row r="5093" spans="3:4" s="230" customFormat="1">
      <c r="C5093" s="16" t="str">
        <f>IFERROR(VLOOKUP(DATA!#REF!,DATA!#REF!,1,FALSE),"")</f>
        <v/>
      </c>
      <c r="D5093" s="16" t="str">
        <f>IFERROR(VLOOKUP(C5093,DATA!#REF!,2,FALSE),"")</f>
        <v/>
      </c>
    </row>
    <row r="5094" spans="3:4" s="230" customFormat="1">
      <c r="C5094" s="16" t="str">
        <f>IFERROR(VLOOKUP(DATA!#REF!,DATA!#REF!,1,FALSE),"")</f>
        <v/>
      </c>
      <c r="D5094" s="16" t="str">
        <f>IFERROR(VLOOKUP(C5094,DATA!#REF!,2,FALSE),"")</f>
        <v/>
      </c>
    </row>
    <row r="5095" spans="3:4" s="230" customFormat="1">
      <c r="C5095" s="16" t="str">
        <f>IFERROR(VLOOKUP(DATA!#REF!,DATA!#REF!,1,FALSE),"")</f>
        <v/>
      </c>
      <c r="D5095" s="16" t="str">
        <f>IFERROR(VLOOKUP(C5095,DATA!#REF!,2,FALSE),"")</f>
        <v/>
      </c>
    </row>
    <row r="5096" spans="3:4" s="230" customFormat="1">
      <c r="C5096" s="16" t="str">
        <f>IFERROR(VLOOKUP(DATA!#REF!,DATA!#REF!,1,FALSE),"")</f>
        <v/>
      </c>
      <c r="D5096" s="16" t="str">
        <f>IFERROR(VLOOKUP(C5096,DATA!#REF!,2,FALSE),"")</f>
        <v/>
      </c>
    </row>
    <row r="5097" spans="3:4" s="230" customFormat="1">
      <c r="C5097" s="16" t="str">
        <f>IFERROR(VLOOKUP(DATA!#REF!,DATA!#REF!,1,FALSE),"")</f>
        <v/>
      </c>
      <c r="D5097" s="16" t="str">
        <f>IFERROR(VLOOKUP(C5097,DATA!#REF!,2,FALSE),"")</f>
        <v/>
      </c>
    </row>
    <row r="5098" spans="3:4" s="230" customFormat="1">
      <c r="C5098" s="16" t="str">
        <f>IFERROR(VLOOKUP(DATA!#REF!,DATA!#REF!,1,FALSE),"")</f>
        <v/>
      </c>
      <c r="D5098" s="16" t="str">
        <f>IFERROR(VLOOKUP(C5098,DATA!#REF!,2,FALSE),"")</f>
        <v/>
      </c>
    </row>
    <row r="5099" spans="3:4" s="230" customFormat="1">
      <c r="C5099" s="16" t="str">
        <f>IFERROR(VLOOKUP(DATA!#REF!,DATA!#REF!,1,FALSE),"")</f>
        <v/>
      </c>
      <c r="D5099" s="16" t="str">
        <f>IFERROR(VLOOKUP(C5099,DATA!#REF!,2,FALSE),"")</f>
        <v/>
      </c>
    </row>
    <row r="5100" spans="3:4" s="230" customFormat="1">
      <c r="C5100" s="16" t="str">
        <f>IFERROR(VLOOKUP(DATA!#REF!,DATA!#REF!,1,FALSE),"")</f>
        <v/>
      </c>
      <c r="D5100" s="16" t="str">
        <f>IFERROR(VLOOKUP(C5100,DATA!#REF!,2,FALSE),"")</f>
        <v/>
      </c>
    </row>
    <row r="5101" spans="3:4" s="230" customFormat="1">
      <c r="C5101" s="16" t="str">
        <f>IFERROR(VLOOKUP(DATA!#REF!,DATA!#REF!,1,FALSE),"")</f>
        <v/>
      </c>
      <c r="D5101" s="16" t="str">
        <f>IFERROR(VLOOKUP(C5101,DATA!#REF!,2,FALSE),"")</f>
        <v/>
      </c>
    </row>
    <row r="5102" spans="3:4" s="230" customFormat="1">
      <c r="C5102" s="16" t="str">
        <f>IFERROR(VLOOKUP(DATA!#REF!,DATA!#REF!,1,FALSE),"")</f>
        <v/>
      </c>
      <c r="D5102" s="16" t="str">
        <f>IFERROR(VLOOKUP(C5102,DATA!#REF!,2,FALSE),"")</f>
        <v/>
      </c>
    </row>
    <row r="5103" spans="3:4" s="230" customFormat="1">
      <c r="C5103" s="16" t="str">
        <f>IFERROR(VLOOKUP(DATA!#REF!,DATA!#REF!,1,FALSE),"")</f>
        <v/>
      </c>
      <c r="D5103" s="16" t="str">
        <f>IFERROR(VLOOKUP(C5103,DATA!#REF!,2,FALSE),"")</f>
        <v/>
      </c>
    </row>
    <row r="5104" spans="3:4" s="230" customFormat="1">
      <c r="C5104" s="16" t="str">
        <f>IFERROR(VLOOKUP(DATA!#REF!,DATA!#REF!,1,FALSE),"")</f>
        <v/>
      </c>
      <c r="D5104" s="16" t="str">
        <f>IFERROR(VLOOKUP(C5104,DATA!#REF!,2,FALSE),"")</f>
        <v/>
      </c>
    </row>
    <row r="5105" spans="3:4" s="230" customFormat="1">
      <c r="C5105" s="16" t="str">
        <f>IFERROR(VLOOKUP(DATA!#REF!,DATA!#REF!,1,FALSE),"")</f>
        <v/>
      </c>
      <c r="D5105" s="16" t="str">
        <f>IFERROR(VLOOKUP(C5105,DATA!#REF!,2,FALSE),"")</f>
        <v/>
      </c>
    </row>
    <row r="5106" spans="3:4" s="230" customFormat="1">
      <c r="C5106" s="16" t="str">
        <f>IFERROR(VLOOKUP(DATA!#REF!,DATA!#REF!,1,FALSE),"")</f>
        <v/>
      </c>
      <c r="D5106" s="16" t="str">
        <f>IFERROR(VLOOKUP(C5106,DATA!#REF!,2,FALSE),"")</f>
        <v/>
      </c>
    </row>
    <row r="5107" spans="3:4" s="230" customFormat="1">
      <c r="C5107" s="16" t="str">
        <f>IFERROR(VLOOKUP(DATA!#REF!,DATA!#REF!,1,FALSE),"")</f>
        <v/>
      </c>
      <c r="D5107" s="16" t="str">
        <f>IFERROR(VLOOKUP(C5107,DATA!#REF!,2,FALSE),"")</f>
        <v/>
      </c>
    </row>
    <row r="5108" spans="3:4" s="230" customFormat="1">
      <c r="C5108" s="16" t="str">
        <f>IFERROR(VLOOKUP(DATA!#REF!,DATA!#REF!,1,FALSE),"")</f>
        <v/>
      </c>
      <c r="D5108" s="16" t="str">
        <f>IFERROR(VLOOKUP(C5108,DATA!#REF!,2,FALSE),"")</f>
        <v/>
      </c>
    </row>
    <row r="5109" spans="3:4" s="230" customFormat="1">
      <c r="C5109" s="16" t="str">
        <f>IFERROR(VLOOKUP(DATA!#REF!,DATA!#REF!,1,FALSE),"")</f>
        <v/>
      </c>
      <c r="D5109" s="16" t="str">
        <f>IFERROR(VLOOKUP(C5109,DATA!#REF!,2,FALSE),"")</f>
        <v/>
      </c>
    </row>
    <row r="5110" spans="3:4" s="230" customFormat="1">
      <c r="C5110" s="16" t="str">
        <f>IFERROR(VLOOKUP(DATA!#REF!,DATA!#REF!,1,FALSE),"")</f>
        <v/>
      </c>
      <c r="D5110" s="16" t="str">
        <f>IFERROR(VLOOKUP(C5110,DATA!#REF!,2,FALSE),"")</f>
        <v/>
      </c>
    </row>
    <row r="5111" spans="3:4" s="230" customFormat="1">
      <c r="C5111" s="16" t="str">
        <f>IFERROR(VLOOKUP(DATA!#REF!,DATA!#REF!,1,FALSE),"")</f>
        <v/>
      </c>
      <c r="D5111" s="16" t="str">
        <f>IFERROR(VLOOKUP(C5111,DATA!#REF!,2,FALSE),"")</f>
        <v/>
      </c>
    </row>
    <row r="5112" spans="3:4" s="230" customFormat="1">
      <c r="C5112" s="16" t="str">
        <f>IFERROR(VLOOKUP(DATA!#REF!,DATA!#REF!,1,FALSE),"")</f>
        <v/>
      </c>
      <c r="D5112" s="16" t="str">
        <f>IFERROR(VLOOKUP(C5112,DATA!#REF!,2,FALSE),"")</f>
        <v/>
      </c>
    </row>
    <row r="5113" spans="3:4" s="230" customFormat="1">
      <c r="C5113" s="16" t="str">
        <f>IFERROR(VLOOKUP(DATA!#REF!,DATA!#REF!,1,FALSE),"")</f>
        <v/>
      </c>
      <c r="D5113" s="16" t="str">
        <f>IFERROR(VLOOKUP(C5113,DATA!#REF!,2,FALSE),"")</f>
        <v/>
      </c>
    </row>
    <row r="5114" spans="3:4" s="230" customFormat="1">
      <c r="C5114" s="16" t="str">
        <f>IFERROR(VLOOKUP(DATA!#REF!,DATA!#REF!,1,FALSE),"")</f>
        <v/>
      </c>
      <c r="D5114" s="16" t="str">
        <f>IFERROR(VLOOKUP(C5114,DATA!#REF!,2,FALSE),"")</f>
        <v/>
      </c>
    </row>
    <row r="5115" spans="3:4" s="230" customFormat="1">
      <c r="C5115" s="16" t="str">
        <f>IFERROR(VLOOKUP(DATA!#REF!,DATA!#REF!,1,FALSE),"")</f>
        <v/>
      </c>
      <c r="D5115" s="16" t="str">
        <f>IFERROR(VLOOKUP(C5115,DATA!#REF!,2,FALSE),"")</f>
        <v/>
      </c>
    </row>
    <row r="5116" spans="3:4" s="230" customFormat="1">
      <c r="C5116" s="16" t="str">
        <f>IFERROR(VLOOKUP(DATA!#REF!,DATA!#REF!,1,FALSE),"")</f>
        <v/>
      </c>
      <c r="D5116" s="16" t="str">
        <f>IFERROR(VLOOKUP(C5116,DATA!#REF!,2,FALSE),"")</f>
        <v/>
      </c>
    </row>
    <row r="5117" spans="3:4" s="230" customFormat="1">
      <c r="C5117" s="16" t="str">
        <f>IFERROR(VLOOKUP(DATA!#REF!,DATA!#REF!,1,FALSE),"")</f>
        <v/>
      </c>
      <c r="D5117" s="16" t="str">
        <f>IFERROR(VLOOKUP(C5117,DATA!#REF!,2,FALSE),"")</f>
        <v/>
      </c>
    </row>
    <row r="5118" spans="3:4" s="230" customFormat="1">
      <c r="C5118" s="16" t="str">
        <f>IFERROR(VLOOKUP(DATA!#REF!,DATA!#REF!,1,FALSE),"")</f>
        <v/>
      </c>
      <c r="D5118" s="16" t="str">
        <f>IFERROR(VLOOKUP(C5118,DATA!#REF!,2,FALSE),"")</f>
        <v/>
      </c>
    </row>
    <row r="5119" spans="3:4" s="230" customFormat="1">
      <c r="C5119" s="16" t="str">
        <f>IFERROR(VLOOKUP(DATA!#REF!,DATA!#REF!,1,FALSE),"")</f>
        <v/>
      </c>
      <c r="D5119" s="16" t="str">
        <f>IFERROR(VLOOKUP(C5119,DATA!#REF!,2,FALSE),"")</f>
        <v/>
      </c>
    </row>
    <row r="5120" spans="3:4" s="230" customFormat="1">
      <c r="C5120" s="16" t="str">
        <f>IFERROR(VLOOKUP(DATA!#REF!,DATA!#REF!,1,FALSE),"")</f>
        <v/>
      </c>
      <c r="D5120" s="16" t="str">
        <f>IFERROR(VLOOKUP(C5120,DATA!#REF!,2,FALSE),"")</f>
        <v/>
      </c>
    </row>
    <row r="5121" spans="3:4" s="230" customFormat="1">
      <c r="C5121" s="16" t="str">
        <f>IFERROR(VLOOKUP(DATA!#REF!,DATA!#REF!,1,FALSE),"")</f>
        <v/>
      </c>
      <c r="D5121" s="16" t="str">
        <f>IFERROR(VLOOKUP(C5121,DATA!#REF!,2,FALSE),"")</f>
        <v/>
      </c>
    </row>
    <row r="5122" spans="3:4" s="230" customFormat="1">
      <c r="C5122" s="16" t="str">
        <f>IFERROR(VLOOKUP(DATA!#REF!,DATA!#REF!,1,FALSE),"")</f>
        <v/>
      </c>
      <c r="D5122" s="16" t="str">
        <f>IFERROR(VLOOKUP(C5122,DATA!#REF!,2,FALSE),"")</f>
        <v/>
      </c>
    </row>
    <row r="5123" spans="3:4" s="230" customFormat="1">
      <c r="C5123" s="16" t="str">
        <f>IFERROR(VLOOKUP(DATA!#REF!,DATA!#REF!,1,FALSE),"")</f>
        <v/>
      </c>
      <c r="D5123" s="16" t="str">
        <f>IFERROR(VLOOKUP(C5123,DATA!#REF!,2,FALSE),"")</f>
        <v/>
      </c>
    </row>
    <row r="5124" spans="3:4" s="230" customFormat="1">
      <c r="C5124" s="16" t="str">
        <f>IFERROR(VLOOKUP(DATA!#REF!,DATA!#REF!,1,FALSE),"")</f>
        <v/>
      </c>
      <c r="D5124" s="16" t="str">
        <f>IFERROR(VLOOKUP(C5124,DATA!#REF!,2,FALSE),"")</f>
        <v/>
      </c>
    </row>
    <row r="5125" spans="3:4" s="230" customFormat="1">
      <c r="C5125" s="16" t="str">
        <f>IFERROR(VLOOKUP(DATA!#REF!,DATA!#REF!,1,FALSE),"")</f>
        <v/>
      </c>
      <c r="D5125" s="16" t="str">
        <f>IFERROR(VLOOKUP(C5125,DATA!#REF!,2,FALSE),"")</f>
        <v/>
      </c>
    </row>
    <row r="5126" spans="3:4" s="230" customFormat="1">
      <c r="C5126" s="16" t="str">
        <f>IFERROR(VLOOKUP(DATA!#REF!,DATA!#REF!,1,FALSE),"")</f>
        <v/>
      </c>
      <c r="D5126" s="16" t="str">
        <f>IFERROR(VLOOKUP(C5126,DATA!#REF!,2,FALSE),"")</f>
        <v/>
      </c>
    </row>
    <row r="5127" spans="3:4" s="230" customFormat="1">
      <c r="C5127" s="16" t="str">
        <f>IFERROR(VLOOKUP(DATA!#REF!,DATA!#REF!,1,FALSE),"")</f>
        <v/>
      </c>
      <c r="D5127" s="16" t="str">
        <f>IFERROR(VLOOKUP(C5127,DATA!#REF!,2,FALSE),"")</f>
        <v/>
      </c>
    </row>
    <row r="5128" spans="3:4" s="230" customFormat="1">
      <c r="C5128" s="16" t="str">
        <f>IFERROR(VLOOKUP(DATA!#REF!,DATA!#REF!,1,FALSE),"")</f>
        <v/>
      </c>
      <c r="D5128" s="16" t="str">
        <f>IFERROR(VLOOKUP(C5128,DATA!#REF!,2,FALSE),"")</f>
        <v/>
      </c>
    </row>
    <row r="5129" spans="3:4" s="230" customFormat="1">
      <c r="C5129" s="16" t="str">
        <f>IFERROR(VLOOKUP(DATA!#REF!,DATA!#REF!,1,FALSE),"")</f>
        <v/>
      </c>
      <c r="D5129" s="16" t="str">
        <f>IFERROR(VLOOKUP(C5129,DATA!#REF!,2,FALSE),"")</f>
        <v/>
      </c>
    </row>
    <row r="5130" spans="3:4" s="230" customFormat="1">
      <c r="C5130" s="16" t="str">
        <f>IFERROR(VLOOKUP(DATA!#REF!,DATA!#REF!,1,FALSE),"")</f>
        <v/>
      </c>
      <c r="D5130" s="16" t="str">
        <f>IFERROR(VLOOKUP(C5130,DATA!#REF!,2,FALSE),"")</f>
        <v/>
      </c>
    </row>
    <row r="5131" spans="3:4" s="230" customFormat="1">
      <c r="C5131" s="16" t="str">
        <f>IFERROR(VLOOKUP(DATA!#REF!,DATA!#REF!,1,FALSE),"")</f>
        <v/>
      </c>
      <c r="D5131" s="16" t="str">
        <f>IFERROR(VLOOKUP(C5131,DATA!#REF!,2,FALSE),"")</f>
        <v/>
      </c>
    </row>
    <row r="5132" spans="3:4" s="230" customFormat="1">
      <c r="C5132" s="16" t="str">
        <f>IFERROR(VLOOKUP(DATA!#REF!,DATA!#REF!,1,FALSE),"")</f>
        <v/>
      </c>
      <c r="D5132" s="16" t="str">
        <f>IFERROR(VLOOKUP(C5132,DATA!#REF!,2,FALSE),"")</f>
        <v/>
      </c>
    </row>
    <row r="5133" spans="3:4" s="230" customFormat="1">
      <c r="C5133" s="16" t="str">
        <f>IFERROR(VLOOKUP(DATA!#REF!,DATA!#REF!,1,FALSE),"")</f>
        <v/>
      </c>
      <c r="D5133" s="16" t="str">
        <f>IFERROR(VLOOKUP(C5133,DATA!#REF!,2,FALSE),"")</f>
        <v/>
      </c>
    </row>
    <row r="5134" spans="3:4" s="230" customFormat="1">
      <c r="C5134" s="16" t="str">
        <f>IFERROR(VLOOKUP(DATA!#REF!,DATA!#REF!,1,FALSE),"")</f>
        <v/>
      </c>
      <c r="D5134" s="16" t="str">
        <f>IFERROR(VLOOKUP(C5134,DATA!#REF!,2,FALSE),"")</f>
        <v/>
      </c>
    </row>
    <row r="5135" spans="3:4" s="230" customFormat="1">
      <c r="C5135" s="16" t="str">
        <f>IFERROR(VLOOKUP(DATA!#REF!,DATA!#REF!,1,FALSE),"")</f>
        <v/>
      </c>
      <c r="D5135" s="16" t="str">
        <f>IFERROR(VLOOKUP(C5135,DATA!#REF!,2,FALSE),"")</f>
        <v/>
      </c>
    </row>
    <row r="5136" spans="3:4" s="230" customFormat="1">
      <c r="C5136" s="16" t="str">
        <f>IFERROR(VLOOKUP(DATA!#REF!,DATA!#REF!,1,FALSE),"")</f>
        <v/>
      </c>
      <c r="D5136" s="16" t="str">
        <f>IFERROR(VLOOKUP(C5136,DATA!#REF!,2,FALSE),"")</f>
        <v/>
      </c>
    </row>
    <row r="5137" spans="3:4" s="230" customFormat="1">
      <c r="C5137" s="16" t="str">
        <f>IFERROR(VLOOKUP(DATA!#REF!,DATA!#REF!,1,FALSE),"")</f>
        <v/>
      </c>
      <c r="D5137" s="16" t="str">
        <f>IFERROR(VLOOKUP(C5137,DATA!#REF!,2,FALSE),"")</f>
        <v/>
      </c>
    </row>
    <row r="5138" spans="3:4" s="230" customFormat="1">
      <c r="C5138" s="16" t="str">
        <f>IFERROR(VLOOKUP(DATA!#REF!,DATA!#REF!,1,FALSE),"")</f>
        <v/>
      </c>
      <c r="D5138" s="16" t="str">
        <f>IFERROR(VLOOKUP(C5138,DATA!#REF!,2,FALSE),"")</f>
        <v/>
      </c>
    </row>
    <row r="5139" spans="3:4" s="230" customFormat="1">
      <c r="C5139" s="16" t="str">
        <f>IFERROR(VLOOKUP(DATA!#REF!,DATA!#REF!,1,FALSE),"")</f>
        <v/>
      </c>
      <c r="D5139" s="16" t="str">
        <f>IFERROR(VLOOKUP(C5139,DATA!#REF!,2,FALSE),"")</f>
        <v/>
      </c>
    </row>
    <row r="5140" spans="3:4" s="230" customFormat="1">
      <c r="C5140" s="16" t="str">
        <f>IFERROR(VLOOKUP(DATA!#REF!,DATA!#REF!,1,FALSE),"")</f>
        <v/>
      </c>
      <c r="D5140" s="16" t="str">
        <f>IFERROR(VLOOKUP(C5140,DATA!#REF!,2,FALSE),"")</f>
        <v/>
      </c>
    </row>
    <row r="5141" spans="3:4" s="230" customFormat="1">
      <c r="C5141" s="16" t="str">
        <f>IFERROR(VLOOKUP(DATA!#REF!,DATA!#REF!,1,FALSE),"")</f>
        <v/>
      </c>
      <c r="D5141" s="16" t="str">
        <f>IFERROR(VLOOKUP(C5141,DATA!#REF!,2,FALSE),"")</f>
        <v/>
      </c>
    </row>
    <row r="5142" spans="3:4" s="230" customFormat="1">
      <c r="C5142" s="16" t="str">
        <f>IFERROR(VLOOKUP(DATA!#REF!,DATA!#REF!,1,FALSE),"")</f>
        <v/>
      </c>
      <c r="D5142" s="16" t="str">
        <f>IFERROR(VLOOKUP(C5142,DATA!#REF!,2,FALSE),"")</f>
        <v/>
      </c>
    </row>
    <row r="5143" spans="3:4" s="230" customFormat="1">
      <c r="C5143" s="16" t="str">
        <f>IFERROR(VLOOKUP(DATA!#REF!,DATA!#REF!,1,FALSE),"")</f>
        <v/>
      </c>
      <c r="D5143" s="16" t="str">
        <f>IFERROR(VLOOKUP(C5143,DATA!#REF!,2,FALSE),"")</f>
        <v/>
      </c>
    </row>
    <row r="5144" spans="3:4" s="230" customFormat="1">
      <c r="C5144" s="16" t="str">
        <f>IFERROR(VLOOKUP(DATA!#REF!,DATA!#REF!,1,FALSE),"")</f>
        <v/>
      </c>
      <c r="D5144" s="16" t="str">
        <f>IFERROR(VLOOKUP(C5144,DATA!#REF!,2,FALSE),"")</f>
        <v/>
      </c>
    </row>
    <row r="5145" spans="3:4" s="230" customFormat="1">
      <c r="C5145" s="16" t="str">
        <f>IFERROR(VLOOKUP(DATA!#REF!,DATA!#REF!,1,FALSE),"")</f>
        <v/>
      </c>
      <c r="D5145" s="16" t="str">
        <f>IFERROR(VLOOKUP(C5145,DATA!#REF!,2,FALSE),"")</f>
        <v/>
      </c>
    </row>
    <row r="5146" spans="3:4" s="230" customFormat="1">
      <c r="C5146" s="16" t="str">
        <f>IFERROR(VLOOKUP(DATA!#REF!,DATA!#REF!,1,FALSE),"")</f>
        <v/>
      </c>
      <c r="D5146" s="16" t="str">
        <f>IFERROR(VLOOKUP(C5146,DATA!#REF!,2,FALSE),"")</f>
        <v/>
      </c>
    </row>
    <row r="5147" spans="3:4" s="230" customFormat="1">
      <c r="C5147" s="16" t="str">
        <f>IFERROR(VLOOKUP(DATA!#REF!,DATA!#REF!,1,FALSE),"")</f>
        <v/>
      </c>
      <c r="D5147" s="16" t="str">
        <f>IFERROR(VLOOKUP(C5147,DATA!#REF!,2,FALSE),"")</f>
        <v/>
      </c>
    </row>
    <row r="5148" spans="3:4" s="230" customFormat="1">
      <c r="C5148" s="16" t="str">
        <f>IFERROR(VLOOKUP(DATA!#REF!,DATA!#REF!,1,FALSE),"")</f>
        <v/>
      </c>
      <c r="D5148" s="16" t="str">
        <f>IFERROR(VLOOKUP(C5148,DATA!#REF!,2,FALSE),"")</f>
        <v/>
      </c>
    </row>
    <row r="5149" spans="3:4" s="230" customFormat="1">
      <c r="C5149" s="16" t="str">
        <f>IFERROR(VLOOKUP(DATA!#REF!,DATA!#REF!,1,FALSE),"")</f>
        <v/>
      </c>
      <c r="D5149" s="16" t="str">
        <f>IFERROR(VLOOKUP(C5149,DATA!#REF!,2,FALSE),"")</f>
        <v/>
      </c>
    </row>
    <row r="5150" spans="3:4" s="230" customFormat="1">
      <c r="C5150" s="16" t="str">
        <f>IFERROR(VLOOKUP(DATA!#REF!,DATA!#REF!,1,FALSE),"")</f>
        <v/>
      </c>
      <c r="D5150" s="16" t="str">
        <f>IFERROR(VLOOKUP(C5150,DATA!#REF!,2,FALSE),"")</f>
        <v/>
      </c>
    </row>
    <row r="5151" spans="3:4" s="230" customFormat="1">
      <c r="C5151" s="16" t="str">
        <f>IFERROR(VLOOKUP(DATA!#REF!,DATA!#REF!,1,FALSE),"")</f>
        <v/>
      </c>
      <c r="D5151" s="16" t="str">
        <f>IFERROR(VLOOKUP(C5151,DATA!#REF!,2,FALSE),"")</f>
        <v/>
      </c>
    </row>
    <row r="5152" spans="3:4" s="230" customFormat="1">
      <c r="C5152" s="16" t="str">
        <f>IFERROR(VLOOKUP(DATA!#REF!,DATA!#REF!,1,FALSE),"")</f>
        <v/>
      </c>
      <c r="D5152" s="16" t="str">
        <f>IFERROR(VLOOKUP(C5152,DATA!#REF!,2,FALSE),"")</f>
        <v/>
      </c>
    </row>
    <row r="5153" spans="3:4" s="230" customFormat="1">
      <c r="C5153" s="16" t="str">
        <f>IFERROR(VLOOKUP(DATA!#REF!,DATA!#REF!,1,FALSE),"")</f>
        <v/>
      </c>
      <c r="D5153" s="16" t="str">
        <f>IFERROR(VLOOKUP(C5153,DATA!#REF!,2,FALSE),"")</f>
        <v/>
      </c>
    </row>
    <row r="5154" spans="3:4" s="230" customFormat="1">
      <c r="C5154" s="16" t="str">
        <f>IFERROR(VLOOKUP(DATA!#REF!,DATA!#REF!,1,FALSE),"")</f>
        <v/>
      </c>
      <c r="D5154" s="16" t="str">
        <f>IFERROR(VLOOKUP(C5154,DATA!#REF!,2,FALSE),"")</f>
        <v/>
      </c>
    </row>
    <row r="5155" spans="3:4" s="230" customFormat="1">
      <c r="C5155" s="16" t="str">
        <f>IFERROR(VLOOKUP(DATA!#REF!,DATA!#REF!,1,FALSE),"")</f>
        <v/>
      </c>
      <c r="D5155" s="16" t="str">
        <f>IFERROR(VLOOKUP(C5155,DATA!#REF!,2,FALSE),"")</f>
        <v/>
      </c>
    </row>
    <row r="5156" spans="3:4" s="230" customFormat="1">
      <c r="C5156" s="16" t="str">
        <f>IFERROR(VLOOKUP(DATA!#REF!,DATA!#REF!,1,FALSE),"")</f>
        <v/>
      </c>
      <c r="D5156" s="16" t="str">
        <f>IFERROR(VLOOKUP(C5156,DATA!#REF!,2,FALSE),"")</f>
        <v/>
      </c>
    </row>
    <row r="5157" spans="3:4" s="230" customFormat="1">
      <c r="C5157" s="16" t="str">
        <f>IFERROR(VLOOKUP(DATA!#REF!,DATA!#REF!,1,FALSE),"")</f>
        <v/>
      </c>
      <c r="D5157" s="16" t="str">
        <f>IFERROR(VLOOKUP(C5157,DATA!#REF!,2,FALSE),"")</f>
        <v/>
      </c>
    </row>
    <row r="5158" spans="3:4" s="230" customFormat="1">
      <c r="C5158" s="16" t="str">
        <f>IFERROR(VLOOKUP(DATA!#REF!,DATA!#REF!,1,FALSE),"")</f>
        <v/>
      </c>
      <c r="D5158" s="16" t="str">
        <f>IFERROR(VLOOKUP(C5158,DATA!#REF!,2,FALSE),"")</f>
        <v/>
      </c>
    </row>
    <row r="5159" spans="3:4" s="230" customFormat="1">
      <c r="C5159" s="16" t="str">
        <f>IFERROR(VLOOKUP(DATA!#REF!,DATA!#REF!,1,FALSE),"")</f>
        <v/>
      </c>
      <c r="D5159" s="16" t="str">
        <f>IFERROR(VLOOKUP(C5159,DATA!#REF!,2,FALSE),"")</f>
        <v/>
      </c>
    </row>
    <row r="5160" spans="3:4" s="230" customFormat="1">
      <c r="C5160" s="16" t="str">
        <f>IFERROR(VLOOKUP(DATA!#REF!,DATA!#REF!,1,FALSE),"")</f>
        <v/>
      </c>
      <c r="D5160" s="16" t="str">
        <f>IFERROR(VLOOKUP(C5160,DATA!#REF!,2,FALSE),"")</f>
        <v/>
      </c>
    </row>
    <row r="5161" spans="3:4" s="230" customFormat="1">
      <c r="C5161" s="16" t="str">
        <f>IFERROR(VLOOKUP(DATA!#REF!,DATA!#REF!,1,FALSE),"")</f>
        <v/>
      </c>
      <c r="D5161" s="16" t="str">
        <f>IFERROR(VLOOKUP(C5161,DATA!#REF!,2,FALSE),"")</f>
        <v/>
      </c>
    </row>
    <row r="5162" spans="3:4" s="230" customFormat="1">
      <c r="C5162" s="16" t="str">
        <f>IFERROR(VLOOKUP(DATA!#REF!,DATA!#REF!,1,FALSE),"")</f>
        <v/>
      </c>
      <c r="D5162" s="16" t="str">
        <f>IFERROR(VLOOKUP(C5162,DATA!#REF!,2,FALSE),"")</f>
        <v/>
      </c>
    </row>
    <row r="5163" spans="3:4" s="230" customFormat="1">
      <c r="C5163" s="16" t="str">
        <f>IFERROR(VLOOKUP(DATA!#REF!,DATA!#REF!,1,FALSE),"")</f>
        <v/>
      </c>
      <c r="D5163" s="16" t="str">
        <f>IFERROR(VLOOKUP(C5163,DATA!#REF!,2,FALSE),"")</f>
        <v/>
      </c>
    </row>
    <row r="5164" spans="3:4" s="230" customFormat="1">
      <c r="C5164" s="16" t="str">
        <f>IFERROR(VLOOKUP(DATA!#REF!,DATA!#REF!,1,FALSE),"")</f>
        <v/>
      </c>
      <c r="D5164" s="16" t="str">
        <f>IFERROR(VLOOKUP(C5164,DATA!#REF!,2,FALSE),"")</f>
        <v/>
      </c>
    </row>
    <row r="5165" spans="3:4" s="230" customFormat="1">
      <c r="C5165" s="16" t="str">
        <f>IFERROR(VLOOKUP(DATA!#REF!,DATA!#REF!,1,FALSE),"")</f>
        <v/>
      </c>
      <c r="D5165" s="16" t="str">
        <f>IFERROR(VLOOKUP(C5165,DATA!#REF!,2,FALSE),"")</f>
        <v/>
      </c>
    </row>
    <row r="5166" spans="3:4" s="230" customFormat="1">
      <c r="C5166" s="16" t="str">
        <f>IFERROR(VLOOKUP(DATA!#REF!,DATA!#REF!,1,FALSE),"")</f>
        <v/>
      </c>
      <c r="D5166" s="16" t="str">
        <f>IFERROR(VLOOKUP(C5166,DATA!#REF!,2,FALSE),"")</f>
        <v/>
      </c>
    </row>
    <row r="5167" spans="3:4" s="230" customFormat="1">
      <c r="C5167" s="16" t="str">
        <f>IFERROR(VLOOKUP(DATA!#REF!,DATA!#REF!,1,FALSE),"")</f>
        <v/>
      </c>
      <c r="D5167" s="16" t="str">
        <f>IFERROR(VLOOKUP(C5167,DATA!#REF!,2,FALSE),"")</f>
        <v/>
      </c>
    </row>
    <row r="5168" spans="3:4" s="230" customFormat="1">
      <c r="C5168" s="16" t="str">
        <f>IFERROR(VLOOKUP(DATA!#REF!,DATA!#REF!,1,FALSE),"")</f>
        <v/>
      </c>
      <c r="D5168" s="16" t="str">
        <f>IFERROR(VLOOKUP(C5168,DATA!#REF!,2,FALSE),"")</f>
        <v/>
      </c>
    </row>
    <row r="5169" spans="3:4" s="230" customFormat="1">
      <c r="C5169" s="16" t="str">
        <f>IFERROR(VLOOKUP(DATA!#REF!,DATA!#REF!,1,FALSE),"")</f>
        <v/>
      </c>
      <c r="D5169" s="16" t="str">
        <f>IFERROR(VLOOKUP(C5169,DATA!#REF!,2,FALSE),"")</f>
        <v/>
      </c>
    </row>
    <row r="5170" spans="3:4" s="230" customFormat="1">
      <c r="C5170" s="16" t="str">
        <f>IFERROR(VLOOKUP(DATA!#REF!,DATA!#REF!,1,FALSE),"")</f>
        <v/>
      </c>
      <c r="D5170" s="16" t="str">
        <f>IFERROR(VLOOKUP(C5170,DATA!#REF!,2,FALSE),"")</f>
        <v/>
      </c>
    </row>
    <row r="5171" spans="3:4" s="230" customFormat="1">
      <c r="C5171" s="16" t="str">
        <f>IFERROR(VLOOKUP(DATA!#REF!,DATA!#REF!,1,FALSE),"")</f>
        <v/>
      </c>
      <c r="D5171" s="16" t="str">
        <f>IFERROR(VLOOKUP(C5171,DATA!#REF!,2,FALSE),"")</f>
        <v/>
      </c>
    </row>
    <row r="5172" spans="3:4" s="230" customFormat="1">
      <c r="C5172" s="16" t="str">
        <f>IFERROR(VLOOKUP(DATA!#REF!,DATA!#REF!,1,FALSE),"")</f>
        <v/>
      </c>
      <c r="D5172" s="16" t="str">
        <f>IFERROR(VLOOKUP(C5172,DATA!#REF!,2,FALSE),"")</f>
        <v/>
      </c>
    </row>
    <row r="5173" spans="3:4" s="230" customFormat="1">
      <c r="C5173" s="16" t="str">
        <f>IFERROR(VLOOKUP(DATA!#REF!,DATA!#REF!,1,FALSE),"")</f>
        <v/>
      </c>
      <c r="D5173" s="16" t="str">
        <f>IFERROR(VLOOKUP(C5173,DATA!#REF!,2,FALSE),"")</f>
        <v/>
      </c>
    </row>
    <row r="5174" spans="3:4" s="230" customFormat="1">
      <c r="C5174" s="16" t="str">
        <f>IFERROR(VLOOKUP(DATA!#REF!,DATA!#REF!,1,FALSE),"")</f>
        <v/>
      </c>
      <c r="D5174" s="16" t="str">
        <f>IFERROR(VLOOKUP(C5174,DATA!#REF!,2,FALSE),"")</f>
        <v/>
      </c>
    </row>
    <row r="5175" spans="3:4" s="230" customFormat="1">
      <c r="C5175" s="16" t="str">
        <f>IFERROR(VLOOKUP(DATA!#REF!,DATA!#REF!,1,FALSE),"")</f>
        <v/>
      </c>
      <c r="D5175" s="16" t="str">
        <f>IFERROR(VLOOKUP(C5175,DATA!#REF!,2,FALSE),"")</f>
        <v/>
      </c>
    </row>
    <row r="5176" spans="3:4" s="230" customFormat="1">
      <c r="C5176" s="16" t="str">
        <f>IFERROR(VLOOKUP(DATA!#REF!,DATA!#REF!,1,FALSE),"")</f>
        <v/>
      </c>
      <c r="D5176" s="16" t="str">
        <f>IFERROR(VLOOKUP(C5176,DATA!#REF!,2,FALSE),"")</f>
        <v/>
      </c>
    </row>
    <row r="5177" spans="3:4" s="230" customFormat="1">
      <c r="C5177" s="16" t="str">
        <f>IFERROR(VLOOKUP(DATA!#REF!,DATA!#REF!,1,FALSE),"")</f>
        <v/>
      </c>
      <c r="D5177" s="16" t="str">
        <f>IFERROR(VLOOKUP(C5177,DATA!#REF!,2,FALSE),"")</f>
        <v/>
      </c>
    </row>
    <row r="5178" spans="3:4" s="230" customFormat="1">
      <c r="C5178" s="16" t="str">
        <f>IFERROR(VLOOKUP(DATA!#REF!,DATA!#REF!,1,FALSE),"")</f>
        <v/>
      </c>
      <c r="D5178" s="16" t="str">
        <f>IFERROR(VLOOKUP(C5178,DATA!#REF!,2,FALSE),"")</f>
        <v/>
      </c>
    </row>
    <row r="5179" spans="3:4" s="230" customFormat="1">
      <c r="C5179" s="16" t="str">
        <f>IFERROR(VLOOKUP(DATA!#REF!,DATA!#REF!,1,FALSE),"")</f>
        <v/>
      </c>
      <c r="D5179" s="16" t="str">
        <f>IFERROR(VLOOKUP(C5179,DATA!#REF!,2,FALSE),"")</f>
        <v/>
      </c>
    </row>
    <row r="5180" spans="3:4" s="230" customFormat="1">
      <c r="C5180" s="16" t="str">
        <f>IFERROR(VLOOKUP(DATA!#REF!,DATA!#REF!,1,FALSE),"")</f>
        <v/>
      </c>
      <c r="D5180" s="16" t="str">
        <f>IFERROR(VLOOKUP(C5180,DATA!#REF!,2,FALSE),"")</f>
        <v/>
      </c>
    </row>
    <row r="5181" spans="3:4" s="230" customFormat="1">
      <c r="C5181" s="16" t="str">
        <f>IFERROR(VLOOKUP(DATA!#REF!,DATA!#REF!,1,FALSE),"")</f>
        <v/>
      </c>
      <c r="D5181" s="16" t="str">
        <f>IFERROR(VLOOKUP(C5181,DATA!#REF!,2,FALSE),"")</f>
        <v/>
      </c>
    </row>
    <row r="5182" spans="3:4" s="230" customFormat="1">
      <c r="C5182" s="16" t="str">
        <f>IFERROR(VLOOKUP(DATA!#REF!,DATA!#REF!,1,FALSE),"")</f>
        <v/>
      </c>
      <c r="D5182" s="16" t="str">
        <f>IFERROR(VLOOKUP(C5182,DATA!#REF!,2,FALSE),"")</f>
        <v/>
      </c>
    </row>
    <row r="5183" spans="3:4" s="230" customFormat="1">
      <c r="C5183" s="16" t="str">
        <f>IFERROR(VLOOKUP(DATA!#REF!,DATA!#REF!,1,FALSE),"")</f>
        <v/>
      </c>
      <c r="D5183" s="16" t="str">
        <f>IFERROR(VLOOKUP(C5183,DATA!#REF!,2,FALSE),"")</f>
        <v/>
      </c>
    </row>
    <row r="5184" spans="3:4" s="230" customFormat="1">
      <c r="C5184" s="16" t="str">
        <f>IFERROR(VLOOKUP(DATA!#REF!,DATA!#REF!,1,FALSE),"")</f>
        <v/>
      </c>
      <c r="D5184" s="16" t="str">
        <f>IFERROR(VLOOKUP(C5184,DATA!#REF!,2,FALSE),"")</f>
        <v/>
      </c>
    </row>
    <row r="5185" spans="3:4" s="230" customFormat="1">
      <c r="C5185" s="16" t="str">
        <f>IFERROR(VLOOKUP(DATA!#REF!,DATA!#REF!,1,FALSE),"")</f>
        <v/>
      </c>
      <c r="D5185" s="16" t="str">
        <f>IFERROR(VLOOKUP(C5185,DATA!#REF!,2,FALSE),"")</f>
        <v/>
      </c>
    </row>
    <row r="5186" spans="3:4" s="230" customFormat="1">
      <c r="C5186" s="16" t="str">
        <f>IFERROR(VLOOKUP(DATA!#REF!,DATA!#REF!,1,FALSE),"")</f>
        <v/>
      </c>
      <c r="D5186" s="16" t="str">
        <f>IFERROR(VLOOKUP(C5186,DATA!#REF!,2,FALSE),"")</f>
        <v/>
      </c>
    </row>
    <row r="5187" spans="3:4" s="230" customFormat="1">
      <c r="C5187" s="16" t="str">
        <f>IFERROR(VLOOKUP(DATA!#REF!,DATA!#REF!,1,FALSE),"")</f>
        <v/>
      </c>
      <c r="D5187" s="16" t="str">
        <f>IFERROR(VLOOKUP(C5187,DATA!#REF!,2,FALSE),"")</f>
        <v/>
      </c>
    </row>
    <row r="5188" spans="3:4" s="230" customFormat="1">
      <c r="C5188" s="16" t="str">
        <f>IFERROR(VLOOKUP(DATA!#REF!,DATA!#REF!,1,FALSE),"")</f>
        <v/>
      </c>
      <c r="D5188" s="16" t="str">
        <f>IFERROR(VLOOKUP(C5188,DATA!#REF!,2,FALSE),"")</f>
        <v/>
      </c>
    </row>
    <row r="5189" spans="3:4" s="230" customFormat="1">
      <c r="C5189" s="16" t="str">
        <f>IFERROR(VLOOKUP(DATA!#REF!,DATA!#REF!,1,FALSE),"")</f>
        <v/>
      </c>
      <c r="D5189" s="16" t="str">
        <f>IFERROR(VLOOKUP(C5189,DATA!#REF!,2,FALSE),"")</f>
        <v/>
      </c>
    </row>
    <row r="5190" spans="3:4" s="230" customFormat="1">
      <c r="C5190" s="16" t="str">
        <f>IFERROR(VLOOKUP(DATA!#REF!,DATA!#REF!,1,FALSE),"")</f>
        <v/>
      </c>
      <c r="D5190" s="16" t="str">
        <f>IFERROR(VLOOKUP(C5190,DATA!#REF!,2,FALSE),"")</f>
        <v/>
      </c>
    </row>
    <row r="5191" spans="3:4" s="230" customFormat="1">
      <c r="C5191" s="16" t="str">
        <f>IFERROR(VLOOKUP(DATA!#REF!,DATA!#REF!,1,FALSE),"")</f>
        <v/>
      </c>
      <c r="D5191" s="16" t="str">
        <f>IFERROR(VLOOKUP(C5191,DATA!#REF!,2,FALSE),"")</f>
        <v/>
      </c>
    </row>
    <row r="5192" spans="3:4" s="230" customFormat="1">
      <c r="C5192" s="16" t="str">
        <f>IFERROR(VLOOKUP(DATA!#REF!,DATA!#REF!,1,FALSE),"")</f>
        <v/>
      </c>
      <c r="D5192" s="16" t="str">
        <f>IFERROR(VLOOKUP(C5192,DATA!#REF!,2,FALSE),"")</f>
        <v/>
      </c>
    </row>
    <row r="5193" spans="3:4" s="230" customFormat="1">
      <c r="C5193" s="16" t="str">
        <f>IFERROR(VLOOKUP(DATA!#REF!,DATA!#REF!,1,FALSE),"")</f>
        <v/>
      </c>
      <c r="D5193" s="16" t="str">
        <f>IFERROR(VLOOKUP(C5193,DATA!#REF!,2,FALSE),"")</f>
        <v/>
      </c>
    </row>
    <row r="5194" spans="3:4" s="230" customFormat="1">
      <c r="C5194" s="16" t="str">
        <f>IFERROR(VLOOKUP(DATA!#REF!,DATA!#REF!,1,FALSE),"")</f>
        <v/>
      </c>
      <c r="D5194" s="16" t="str">
        <f>IFERROR(VLOOKUP(C5194,DATA!#REF!,2,FALSE),"")</f>
        <v/>
      </c>
    </row>
    <row r="5195" spans="3:4" s="230" customFormat="1">
      <c r="C5195" s="16" t="str">
        <f>IFERROR(VLOOKUP(DATA!#REF!,DATA!#REF!,1,FALSE),"")</f>
        <v/>
      </c>
      <c r="D5195" s="16" t="str">
        <f>IFERROR(VLOOKUP(C5195,DATA!#REF!,2,FALSE),"")</f>
        <v/>
      </c>
    </row>
    <row r="5196" spans="3:4" s="230" customFormat="1">
      <c r="C5196" s="16" t="str">
        <f>IFERROR(VLOOKUP(DATA!#REF!,DATA!#REF!,1,FALSE),"")</f>
        <v/>
      </c>
      <c r="D5196" s="16" t="str">
        <f>IFERROR(VLOOKUP(C5196,DATA!#REF!,2,FALSE),"")</f>
        <v/>
      </c>
    </row>
    <row r="5197" spans="3:4" s="230" customFormat="1">
      <c r="C5197" s="16" t="str">
        <f>IFERROR(VLOOKUP(DATA!#REF!,DATA!#REF!,1,FALSE),"")</f>
        <v/>
      </c>
      <c r="D5197" s="16" t="str">
        <f>IFERROR(VLOOKUP(C5197,DATA!#REF!,2,FALSE),"")</f>
        <v/>
      </c>
    </row>
    <row r="5198" spans="3:4" s="230" customFormat="1">
      <c r="C5198" s="16" t="str">
        <f>IFERROR(VLOOKUP(DATA!#REF!,DATA!#REF!,1,FALSE),"")</f>
        <v/>
      </c>
      <c r="D5198" s="16" t="str">
        <f>IFERROR(VLOOKUP(C5198,DATA!#REF!,2,FALSE),"")</f>
        <v/>
      </c>
    </row>
    <row r="5199" spans="3:4" s="230" customFormat="1">
      <c r="C5199" s="16" t="str">
        <f>IFERROR(VLOOKUP(DATA!#REF!,DATA!#REF!,1,FALSE),"")</f>
        <v/>
      </c>
      <c r="D5199" s="16" t="str">
        <f>IFERROR(VLOOKUP(C5199,DATA!#REF!,2,FALSE),"")</f>
        <v/>
      </c>
    </row>
    <row r="5200" spans="3:4" s="230" customFormat="1">
      <c r="C5200" s="16" t="str">
        <f>IFERROR(VLOOKUP(DATA!#REF!,DATA!#REF!,1,FALSE),"")</f>
        <v/>
      </c>
      <c r="D5200" s="16" t="str">
        <f>IFERROR(VLOOKUP(C5200,DATA!#REF!,2,FALSE),"")</f>
        <v/>
      </c>
    </row>
    <row r="5201" spans="3:4" s="230" customFormat="1">
      <c r="C5201" s="16" t="str">
        <f>IFERROR(VLOOKUP(DATA!#REF!,DATA!#REF!,1,FALSE),"")</f>
        <v/>
      </c>
      <c r="D5201" s="16" t="str">
        <f>IFERROR(VLOOKUP(C5201,DATA!#REF!,2,FALSE),"")</f>
        <v/>
      </c>
    </row>
    <row r="5202" spans="3:4" s="230" customFormat="1">
      <c r="C5202" s="16" t="str">
        <f>IFERROR(VLOOKUP(DATA!#REF!,DATA!#REF!,1,FALSE),"")</f>
        <v/>
      </c>
      <c r="D5202" s="16" t="str">
        <f>IFERROR(VLOOKUP(C5202,DATA!#REF!,2,FALSE),"")</f>
        <v/>
      </c>
    </row>
    <row r="5203" spans="3:4" s="230" customFormat="1">
      <c r="C5203" s="16" t="str">
        <f>IFERROR(VLOOKUP(DATA!#REF!,DATA!#REF!,1,FALSE),"")</f>
        <v/>
      </c>
      <c r="D5203" s="16" t="str">
        <f>IFERROR(VLOOKUP(C5203,DATA!#REF!,2,FALSE),"")</f>
        <v/>
      </c>
    </row>
    <row r="5204" spans="3:4" s="230" customFormat="1">
      <c r="C5204" s="16" t="str">
        <f>IFERROR(VLOOKUP(DATA!#REF!,DATA!#REF!,1,FALSE),"")</f>
        <v/>
      </c>
      <c r="D5204" s="16" t="str">
        <f>IFERROR(VLOOKUP(C5204,DATA!#REF!,2,FALSE),"")</f>
        <v/>
      </c>
    </row>
    <row r="5205" spans="3:4" s="230" customFormat="1">
      <c r="C5205" s="16" t="str">
        <f>IFERROR(VLOOKUP(DATA!#REF!,DATA!#REF!,1,FALSE),"")</f>
        <v/>
      </c>
      <c r="D5205" s="16" t="str">
        <f>IFERROR(VLOOKUP(C5205,DATA!#REF!,2,FALSE),"")</f>
        <v/>
      </c>
    </row>
    <row r="5206" spans="3:4" s="230" customFormat="1">
      <c r="C5206" s="16" t="str">
        <f>IFERROR(VLOOKUP(DATA!#REF!,DATA!#REF!,1,FALSE),"")</f>
        <v/>
      </c>
      <c r="D5206" s="16" t="str">
        <f>IFERROR(VLOOKUP(C5206,DATA!#REF!,2,FALSE),"")</f>
        <v/>
      </c>
    </row>
    <row r="5207" spans="3:4" s="230" customFormat="1">
      <c r="C5207" s="16" t="str">
        <f>IFERROR(VLOOKUP(DATA!#REF!,DATA!#REF!,1,FALSE),"")</f>
        <v/>
      </c>
      <c r="D5207" s="16" t="str">
        <f>IFERROR(VLOOKUP(C5207,DATA!#REF!,2,FALSE),"")</f>
        <v/>
      </c>
    </row>
    <row r="5208" spans="3:4" s="230" customFormat="1">
      <c r="C5208" s="16" t="str">
        <f>IFERROR(VLOOKUP(DATA!#REF!,DATA!#REF!,1,FALSE),"")</f>
        <v/>
      </c>
      <c r="D5208" s="16" t="str">
        <f>IFERROR(VLOOKUP(C5208,DATA!#REF!,2,FALSE),"")</f>
        <v/>
      </c>
    </row>
    <row r="5209" spans="3:4" s="230" customFormat="1">
      <c r="C5209" s="16" t="str">
        <f>IFERROR(VLOOKUP(DATA!#REF!,DATA!#REF!,1,FALSE),"")</f>
        <v/>
      </c>
      <c r="D5209" s="16" t="str">
        <f>IFERROR(VLOOKUP(C5209,DATA!#REF!,2,FALSE),"")</f>
        <v/>
      </c>
    </row>
    <row r="5210" spans="3:4" s="230" customFormat="1">
      <c r="C5210" s="16" t="str">
        <f>IFERROR(VLOOKUP(DATA!#REF!,DATA!#REF!,1,FALSE),"")</f>
        <v/>
      </c>
      <c r="D5210" s="16" t="str">
        <f>IFERROR(VLOOKUP(C5210,DATA!#REF!,2,FALSE),"")</f>
        <v/>
      </c>
    </row>
    <row r="5211" spans="3:4" s="230" customFormat="1">
      <c r="C5211" s="16" t="str">
        <f>IFERROR(VLOOKUP(DATA!#REF!,DATA!#REF!,1,FALSE),"")</f>
        <v/>
      </c>
      <c r="D5211" s="16" t="str">
        <f>IFERROR(VLOOKUP(C5211,DATA!#REF!,2,FALSE),"")</f>
        <v/>
      </c>
    </row>
    <row r="5212" spans="3:4" s="230" customFormat="1">
      <c r="C5212" s="16" t="str">
        <f>IFERROR(VLOOKUP(DATA!#REF!,DATA!#REF!,1,FALSE),"")</f>
        <v/>
      </c>
      <c r="D5212" s="16" t="str">
        <f>IFERROR(VLOOKUP(C5212,DATA!#REF!,2,FALSE),"")</f>
        <v/>
      </c>
    </row>
    <row r="5213" spans="3:4" s="230" customFormat="1">
      <c r="C5213" s="16" t="str">
        <f>IFERROR(VLOOKUP(DATA!#REF!,DATA!#REF!,1,FALSE),"")</f>
        <v/>
      </c>
      <c r="D5213" s="16" t="str">
        <f>IFERROR(VLOOKUP(C5213,DATA!#REF!,2,FALSE),"")</f>
        <v/>
      </c>
    </row>
    <row r="5214" spans="3:4" s="230" customFormat="1">
      <c r="C5214" s="16" t="str">
        <f>IFERROR(VLOOKUP(DATA!#REF!,DATA!#REF!,1,FALSE),"")</f>
        <v/>
      </c>
      <c r="D5214" s="16" t="str">
        <f>IFERROR(VLOOKUP(C5214,DATA!#REF!,2,FALSE),"")</f>
        <v/>
      </c>
    </row>
    <row r="5215" spans="3:4" s="230" customFormat="1">
      <c r="C5215" s="16" t="str">
        <f>IFERROR(VLOOKUP(DATA!#REF!,DATA!#REF!,1,FALSE),"")</f>
        <v/>
      </c>
      <c r="D5215" s="16" t="str">
        <f>IFERROR(VLOOKUP(C5215,DATA!#REF!,2,FALSE),"")</f>
        <v/>
      </c>
    </row>
    <row r="5216" spans="3:4" s="230" customFormat="1">
      <c r="C5216" s="16" t="str">
        <f>IFERROR(VLOOKUP(DATA!#REF!,DATA!#REF!,1,FALSE),"")</f>
        <v/>
      </c>
      <c r="D5216" s="16" t="str">
        <f>IFERROR(VLOOKUP(C5216,DATA!#REF!,2,FALSE),"")</f>
        <v/>
      </c>
    </row>
    <row r="5217" spans="3:4" s="230" customFormat="1">
      <c r="C5217" s="16" t="str">
        <f>IFERROR(VLOOKUP(DATA!#REF!,DATA!#REF!,1,FALSE),"")</f>
        <v/>
      </c>
      <c r="D5217" s="16" t="str">
        <f>IFERROR(VLOOKUP(C5217,DATA!#REF!,2,FALSE),"")</f>
        <v/>
      </c>
    </row>
    <row r="5218" spans="3:4" s="230" customFormat="1">
      <c r="C5218" s="16" t="str">
        <f>IFERROR(VLOOKUP(DATA!#REF!,DATA!#REF!,1,FALSE),"")</f>
        <v/>
      </c>
      <c r="D5218" s="16" t="str">
        <f>IFERROR(VLOOKUP(C5218,DATA!#REF!,2,FALSE),"")</f>
        <v/>
      </c>
    </row>
    <row r="5219" spans="3:4" s="230" customFormat="1">
      <c r="C5219" s="16" t="str">
        <f>IFERROR(VLOOKUP(DATA!#REF!,DATA!#REF!,1,FALSE),"")</f>
        <v/>
      </c>
      <c r="D5219" s="16" t="str">
        <f>IFERROR(VLOOKUP(C5219,DATA!#REF!,2,FALSE),"")</f>
        <v/>
      </c>
    </row>
    <row r="5220" spans="3:4" s="230" customFormat="1">
      <c r="C5220" s="16" t="str">
        <f>IFERROR(VLOOKUP(DATA!#REF!,DATA!#REF!,1,FALSE),"")</f>
        <v/>
      </c>
      <c r="D5220" s="16" t="str">
        <f>IFERROR(VLOOKUP(C5220,DATA!#REF!,2,FALSE),"")</f>
        <v/>
      </c>
    </row>
    <row r="5221" spans="3:4" s="230" customFormat="1">
      <c r="C5221" s="16" t="str">
        <f>IFERROR(VLOOKUP(DATA!#REF!,DATA!#REF!,1,FALSE),"")</f>
        <v/>
      </c>
      <c r="D5221" s="16" t="str">
        <f>IFERROR(VLOOKUP(C5221,DATA!#REF!,2,FALSE),"")</f>
        <v/>
      </c>
    </row>
    <row r="5222" spans="3:4" s="230" customFormat="1">
      <c r="C5222" s="16" t="str">
        <f>IFERROR(VLOOKUP(DATA!#REF!,DATA!#REF!,1,FALSE),"")</f>
        <v/>
      </c>
      <c r="D5222" s="16" t="str">
        <f>IFERROR(VLOOKUP(C5222,DATA!#REF!,2,FALSE),"")</f>
        <v/>
      </c>
    </row>
    <row r="5223" spans="3:4" s="230" customFormat="1">
      <c r="C5223" s="16" t="str">
        <f>IFERROR(VLOOKUP(DATA!#REF!,DATA!#REF!,1,FALSE),"")</f>
        <v/>
      </c>
      <c r="D5223" s="16" t="str">
        <f>IFERROR(VLOOKUP(C5223,DATA!#REF!,2,FALSE),"")</f>
        <v/>
      </c>
    </row>
    <row r="5224" spans="3:4" s="230" customFormat="1">
      <c r="C5224" s="16" t="str">
        <f>IFERROR(VLOOKUP(DATA!#REF!,DATA!#REF!,1,FALSE),"")</f>
        <v/>
      </c>
      <c r="D5224" s="16" t="str">
        <f>IFERROR(VLOOKUP(C5224,DATA!#REF!,2,FALSE),"")</f>
        <v/>
      </c>
    </row>
    <row r="5225" spans="3:4" s="230" customFormat="1">
      <c r="C5225" s="16" t="str">
        <f>IFERROR(VLOOKUP(DATA!#REF!,DATA!#REF!,1,FALSE),"")</f>
        <v/>
      </c>
      <c r="D5225" s="16" t="str">
        <f>IFERROR(VLOOKUP(C5225,DATA!#REF!,2,FALSE),"")</f>
        <v/>
      </c>
    </row>
    <row r="5226" spans="3:4" s="230" customFormat="1">
      <c r="C5226" s="16" t="str">
        <f>IFERROR(VLOOKUP(DATA!#REF!,DATA!#REF!,1,FALSE),"")</f>
        <v/>
      </c>
      <c r="D5226" s="16" t="str">
        <f>IFERROR(VLOOKUP(C5226,DATA!#REF!,2,FALSE),"")</f>
        <v/>
      </c>
    </row>
    <row r="5227" spans="3:4" s="230" customFormat="1">
      <c r="C5227" s="16" t="str">
        <f>IFERROR(VLOOKUP(DATA!#REF!,DATA!#REF!,1,FALSE),"")</f>
        <v/>
      </c>
      <c r="D5227" s="16" t="str">
        <f>IFERROR(VLOOKUP(C5227,DATA!#REF!,2,FALSE),"")</f>
        <v/>
      </c>
    </row>
    <row r="5228" spans="3:4" s="230" customFormat="1">
      <c r="C5228" s="16" t="str">
        <f>IFERROR(VLOOKUP(DATA!#REF!,DATA!#REF!,1,FALSE),"")</f>
        <v/>
      </c>
      <c r="D5228" s="16" t="str">
        <f>IFERROR(VLOOKUP(C5228,DATA!#REF!,2,FALSE),"")</f>
        <v/>
      </c>
    </row>
    <row r="5229" spans="3:4" s="230" customFormat="1">
      <c r="C5229" s="16" t="str">
        <f>IFERROR(VLOOKUP(DATA!#REF!,DATA!#REF!,1,FALSE),"")</f>
        <v/>
      </c>
      <c r="D5229" s="16" t="str">
        <f>IFERROR(VLOOKUP(C5229,DATA!#REF!,2,FALSE),"")</f>
        <v/>
      </c>
    </row>
    <row r="5230" spans="3:4" s="230" customFormat="1">
      <c r="C5230" s="16" t="str">
        <f>IFERROR(VLOOKUP(DATA!#REF!,DATA!#REF!,1,FALSE),"")</f>
        <v/>
      </c>
      <c r="D5230" s="16" t="str">
        <f>IFERROR(VLOOKUP(C5230,DATA!#REF!,2,FALSE),"")</f>
        <v/>
      </c>
    </row>
    <row r="5231" spans="3:4" s="230" customFormat="1">
      <c r="C5231" s="16" t="str">
        <f>IFERROR(VLOOKUP(DATA!#REF!,DATA!#REF!,1,FALSE),"")</f>
        <v/>
      </c>
      <c r="D5231" s="16" t="str">
        <f>IFERROR(VLOOKUP(C5231,DATA!#REF!,2,FALSE),"")</f>
        <v/>
      </c>
    </row>
    <row r="5232" spans="3:4" s="230" customFormat="1">
      <c r="C5232" s="16" t="str">
        <f>IFERROR(VLOOKUP(DATA!#REF!,DATA!#REF!,1,FALSE),"")</f>
        <v/>
      </c>
      <c r="D5232" s="16" t="str">
        <f>IFERROR(VLOOKUP(C5232,DATA!#REF!,2,FALSE),"")</f>
        <v/>
      </c>
    </row>
    <row r="5233" spans="3:4" s="230" customFormat="1">
      <c r="C5233" s="16" t="str">
        <f>IFERROR(VLOOKUP(DATA!#REF!,DATA!#REF!,1,FALSE),"")</f>
        <v/>
      </c>
      <c r="D5233" s="16" t="str">
        <f>IFERROR(VLOOKUP(C5233,DATA!#REF!,2,FALSE),"")</f>
        <v/>
      </c>
    </row>
    <row r="5234" spans="3:4" s="230" customFormat="1">
      <c r="C5234" s="16" t="str">
        <f>IFERROR(VLOOKUP(DATA!#REF!,DATA!#REF!,1,FALSE),"")</f>
        <v/>
      </c>
      <c r="D5234" s="16" t="str">
        <f>IFERROR(VLOOKUP(C5234,DATA!#REF!,2,FALSE),"")</f>
        <v/>
      </c>
    </row>
    <row r="5235" spans="3:4" s="230" customFormat="1">
      <c r="C5235" s="16" t="str">
        <f>IFERROR(VLOOKUP(DATA!#REF!,DATA!#REF!,1,FALSE),"")</f>
        <v/>
      </c>
      <c r="D5235" s="16" t="str">
        <f>IFERROR(VLOOKUP(C5235,DATA!#REF!,2,FALSE),"")</f>
        <v/>
      </c>
    </row>
    <row r="5236" spans="3:4" s="230" customFormat="1">
      <c r="C5236" s="16" t="str">
        <f>IFERROR(VLOOKUP(DATA!#REF!,DATA!#REF!,1,FALSE),"")</f>
        <v/>
      </c>
      <c r="D5236" s="16" t="str">
        <f>IFERROR(VLOOKUP(C5236,DATA!#REF!,2,FALSE),"")</f>
        <v/>
      </c>
    </row>
    <row r="5237" spans="3:4" s="230" customFormat="1">
      <c r="C5237" s="16" t="str">
        <f>IFERROR(VLOOKUP(DATA!#REF!,DATA!#REF!,1,FALSE),"")</f>
        <v/>
      </c>
      <c r="D5237" s="16" t="str">
        <f>IFERROR(VLOOKUP(C5237,DATA!#REF!,2,FALSE),"")</f>
        <v/>
      </c>
    </row>
    <row r="5238" spans="3:4" s="230" customFormat="1">
      <c r="C5238" s="16" t="str">
        <f>IFERROR(VLOOKUP(DATA!#REF!,DATA!#REF!,1,FALSE),"")</f>
        <v/>
      </c>
      <c r="D5238" s="16" t="str">
        <f>IFERROR(VLOOKUP(C5238,DATA!#REF!,2,FALSE),"")</f>
        <v/>
      </c>
    </row>
    <row r="5239" spans="3:4" s="230" customFormat="1">
      <c r="C5239" s="16" t="str">
        <f>IFERROR(VLOOKUP(DATA!#REF!,DATA!#REF!,1,FALSE),"")</f>
        <v/>
      </c>
      <c r="D5239" s="16" t="str">
        <f>IFERROR(VLOOKUP(C5239,DATA!#REF!,2,FALSE),"")</f>
        <v/>
      </c>
    </row>
    <row r="5240" spans="3:4" s="230" customFormat="1">
      <c r="C5240" s="16" t="str">
        <f>IFERROR(VLOOKUP(DATA!#REF!,DATA!#REF!,1,FALSE),"")</f>
        <v/>
      </c>
      <c r="D5240" s="16" t="str">
        <f>IFERROR(VLOOKUP(C5240,DATA!#REF!,2,FALSE),"")</f>
        <v/>
      </c>
    </row>
    <row r="5241" spans="3:4" s="230" customFormat="1">
      <c r="C5241" s="16" t="str">
        <f>IFERROR(VLOOKUP(DATA!#REF!,DATA!#REF!,1,FALSE),"")</f>
        <v/>
      </c>
      <c r="D5241" s="16" t="str">
        <f>IFERROR(VLOOKUP(C5241,DATA!#REF!,2,FALSE),"")</f>
        <v/>
      </c>
    </row>
    <row r="5242" spans="3:4" s="230" customFormat="1">
      <c r="C5242" s="16" t="str">
        <f>IFERROR(VLOOKUP(DATA!#REF!,DATA!#REF!,1,FALSE),"")</f>
        <v/>
      </c>
      <c r="D5242" s="16" t="str">
        <f>IFERROR(VLOOKUP(C5242,DATA!#REF!,2,FALSE),"")</f>
        <v/>
      </c>
    </row>
    <row r="5243" spans="3:4" s="230" customFormat="1">
      <c r="C5243" s="16" t="str">
        <f>IFERROR(VLOOKUP(DATA!#REF!,DATA!#REF!,1,FALSE),"")</f>
        <v/>
      </c>
      <c r="D5243" s="16" t="str">
        <f>IFERROR(VLOOKUP(C5243,DATA!#REF!,2,FALSE),"")</f>
        <v/>
      </c>
    </row>
    <row r="5244" spans="3:4" s="230" customFormat="1">
      <c r="C5244" s="16" t="str">
        <f>IFERROR(VLOOKUP(DATA!#REF!,DATA!#REF!,1,FALSE),"")</f>
        <v/>
      </c>
      <c r="D5244" s="16" t="str">
        <f>IFERROR(VLOOKUP(C5244,DATA!#REF!,2,FALSE),"")</f>
        <v/>
      </c>
    </row>
    <row r="5245" spans="3:4" s="230" customFormat="1">
      <c r="C5245" s="16" t="str">
        <f>IFERROR(VLOOKUP(DATA!#REF!,DATA!#REF!,1,FALSE),"")</f>
        <v/>
      </c>
      <c r="D5245" s="16" t="str">
        <f>IFERROR(VLOOKUP(C5245,DATA!#REF!,2,FALSE),"")</f>
        <v/>
      </c>
    </row>
    <row r="5246" spans="3:4" s="230" customFormat="1">
      <c r="C5246" s="16" t="str">
        <f>IFERROR(VLOOKUP(DATA!#REF!,DATA!#REF!,1,FALSE),"")</f>
        <v/>
      </c>
      <c r="D5246" s="16" t="str">
        <f>IFERROR(VLOOKUP(C5246,DATA!#REF!,2,FALSE),"")</f>
        <v/>
      </c>
    </row>
    <row r="5247" spans="3:4" s="230" customFormat="1">
      <c r="C5247" s="16" t="str">
        <f>IFERROR(VLOOKUP(DATA!#REF!,DATA!#REF!,1,FALSE),"")</f>
        <v/>
      </c>
      <c r="D5247" s="16" t="str">
        <f>IFERROR(VLOOKUP(C5247,DATA!#REF!,2,FALSE),"")</f>
        <v/>
      </c>
    </row>
    <row r="5248" spans="3:4" s="230" customFormat="1">
      <c r="C5248" s="16" t="str">
        <f>IFERROR(VLOOKUP(DATA!#REF!,DATA!#REF!,1,FALSE),"")</f>
        <v/>
      </c>
      <c r="D5248" s="16" t="str">
        <f>IFERROR(VLOOKUP(C5248,DATA!#REF!,2,FALSE),"")</f>
        <v/>
      </c>
    </row>
    <row r="5249" spans="3:4" s="230" customFormat="1">
      <c r="C5249" s="16" t="str">
        <f>IFERROR(VLOOKUP(DATA!#REF!,DATA!#REF!,1,FALSE),"")</f>
        <v/>
      </c>
      <c r="D5249" s="16" t="str">
        <f>IFERROR(VLOOKUP(C5249,DATA!#REF!,2,FALSE),"")</f>
        <v/>
      </c>
    </row>
    <row r="5250" spans="3:4" s="230" customFormat="1">
      <c r="C5250" s="16" t="str">
        <f>IFERROR(VLOOKUP(DATA!#REF!,DATA!#REF!,1,FALSE),"")</f>
        <v/>
      </c>
      <c r="D5250" s="16" t="str">
        <f>IFERROR(VLOOKUP(C5250,DATA!#REF!,2,FALSE),"")</f>
        <v/>
      </c>
    </row>
    <row r="5251" spans="3:4" s="230" customFormat="1">
      <c r="C5251" s="16" t="str">
        <f>IFERROR(VLOOKUP(DATA!#REF!,DATA!#REF!,1,FALSE),"")</f>
        <v/>
      </c>
      <c r="D5251" s="16" t="str">
        <f>IFERROR(VLOOKUP(C5251,DATA!#REF!,2,FALSE),"")</f>
        <v/>
      </c>
    </row>
    <row r="5252" spans="3:4" s="230" customFormat="1">
      <c r="C5252" s="16" t="str">
        <f>IFERROR(VLOOKUP(DATA!#REF!,DATA!#REF!,1,FALSE),"")</f>
        <v/>
      </c>
      <c r="D5252" s="16" t="str">
        <f>IFERROR(VLOOKUP(C5252,DATA!#REF!,2,FALSE),"")</f>
        <v/>
      </c>
    </row>
    <row r="5253" spans="3:4" s="230" customFormat="1">
      <c r="C5253" s="16" t="str">
        <f>IFERROR(VLOOKUP(DATA!#REF!,DATA!#REF!,1,FALSE),"")</f>
        <v/>
      </c>
      <c r="D5253" s="16" t="str">
        <f>IFERROR(VLOOKUP(C5253,DATA!#REF!,2,FALSE),"")</f>
        <v/>
      </c>
    </row>
    <row r="5254" spans="3:4" s="230" customFormat="1">
      <c r="C5254" s="16" t="str">
        <f>IFERROR(VLOOKUP(DATA!#REF!,DATA!#REF!,1,FALSE),"")</f>
        <v/>
      </c>
      <c r="D5254" s="16" t="str">
        <f>IFERROR(VLOOKUP(C5254,DATA!#REF!,2,FALSE),"")</f>
        <v/>
      </c>
    </row>
    <row r="5255" spans="3:4" s="230" customFormat="1">
      <c r="C5255" s="16" t="str">
        <f>IFERROR(VLOOKUP(DATA!#REF!,DATA!#REF!,1,FALSE),"")</f>
        <v/>
      </c>
      <c r="D5255" s="16" t="str">
        <f>IFERROR(VLOOKUP(C5255,DATA!#REF!,2,FALSE),"")</f>
        <v/>
      </c>
    </row>
    <row r="5256" spans="3:4" s="230" customFormat="1">
      <c r="C5256" s="16" t="str">
        <f>IFERROR(VLOOKUP(DATA!#REF!,DATA!#REF!,1,FALSE),"")</f>
        <v/>
      </c>
      <c r="D5256" s="16" t="str">
        <f>IFERROR(VLOOKUP(C5256,DATA!#REF!,2,FALSE),"")</f>
        <v/>
      </c>
    </row>
    <row r="5257" spans="3:4" s="230" customFormat="1">
      <c r="C5257" s="16" t="str">
        <f>IFERROR(VLOOKUP(DATA!#REF!,DATA!#REF!,1,FALSE),"")</f>
        <v/>
      </c>
      <c r="D5257" s="16" t="str">
        <f>IFERROR(VLOOKUP(C5257,DATA!#REF!,2,FALSE),"")</f>
        <v/>
      </c>
    </row>
    <row r="5258" spans="3:4" s="230" customFormat="1">
      <c r="C5258" s="16" t="str">
        <f>IFERROR(VLOOKUP(DATA!#REF!,DATA!#REF!,1,FALSE),"")</f>
        <v/>
      </c>
      <c r="D5258" s="16" t="str">
        <f>IFERROR(VLOOKUP(C5258,DATA!#REF!,2,FALSE),"")</f>
        <v/>
      </c>
    </row>
    <row r="5259" spans="3:4" s="230" customFormat="1">
      <c r="C5259" s="16" t="str">
        <f>IFERROR(VLOOKUP(DATA!#REF!,DATA!#REF!,1,FALSE),"")</f>
        <v/>
      </c>
      <c r="D5259" s="16" t="str">
        <f>IFERROR(VLOOKUP(C5259,DATA!#REF!,2,FALSE),"")</f>
        <v/>
      </c>
    </row>
    <row r="5260" spans="3:4" s="230" customFormat="1">
      <c r="C5260" s="16" t="str">
        <f>IFERROR(VLOOKUP(DATA!#REF!,DATA!#REF!,1,FALSE),"")</f>
        <v/>
      </c>
      <c r="D5260" s="16" t="str">
        <f>IFERROR(VLOOKUP(C5260,DATA!#REF!,2,FALSE),"")</f>
        <v/>
      </c>
    </row>
    <row r="5261" spans="3:4" s="230" customFormat="1">
      <c r="C5261" s="16" t="str">
        <f>IFERROR(VLOOKUP(DATA!#REF!,DATA!#REF!,1,FALSE),"")</f>
        <v/>
      </c>
      <c r="D5261" s="16" t="str">
        <f>IFERROR(VLOOKUP(C5261,DATA!#REF!,2,FALSE),"")</f>
        <v/>
      </c>
    </row>
    <row r="5262" spans="3:4" s="230" customFormat="1">
      <c r="C5262" s="16" t="str">
        <f>IFERROR(VLOOKUP(DATA!#REF!,DATA!#REF!,1,FALSE),"")</f>
        <v/>
      </c>
      <c r="D5262" s="16" t="str">
        <f>IFERROR(VLOOKUP(C5262,DATA!#REF!,2,FALSE),"")</f>
        <v/>
      </c>
    </row>
    <row r="5263" spans="3:4" s="230" customFormat="1">
      <c r="C5263" s="16" t="str">
        <f>IFERROR(VLOOKUP(DATA!#REF!,DATA!#REF!,1,FALSE),"")</f>
        <v/>
      </c>
      <c r="D5263" s="16" t="str">
        <f>IFERROR(VLOOKUP(C5263,DATA!#REF!,2,FALSE),"")</f>
        <v/>
      </c>
    </row>
    <row r="5264" spans="3:4" s="230" customFormat="1">
      <c r="C5264" s="16" t="str">
        <f>IFERROR(VLOOKUP(DATA!#REF!,DATA!#REF!,1,FALSE),"")</f>
        <v/>
      </c>
      <c r="D5264" s="16" t="str">
        <f>IFERROR(VLOOKUP(C5264,DATA!#REF!,2,FALSE),"")</f>
        <v/>
      </c>
    </row>
    <row r="5265" spans="3:4" s="230" customFormat="1">
      <c r="C5265" s="16" t="str">
        <f>IFERROR(VLOOKUP(DATA!#REF!,DATA!#REF!,1,FALSE),"")</f>
        <v/>
      </c>
      <c r="D5265" s="16" t="str">
        <f>IFERROR(VLOOKUP(C5265,DATA!#REF!,2,FALSE),"")</f>
        <v/>
      </c>
    </row>
    <row r="5266" spans="3:4" s="230" customFormat="1">
      <c r="C5266" s="16" t="str">
        <f>IFERROR(VLOOKUP(DATA!#REF!,DATA!#REF!,1,FALSE),"")</f>
        <v/>
      </c>
      <c r="D5266" s="16" t="str">
        <f>IFERROR(VLOOKUP(C5266,DATA!#REF!,2,FALSE),"")</f>
        <v/>
      </c>
    </row>
    <row r="5267" spans="3:4" s="230" customFormat="1">
      <c r="C5267" s="16" t="str">
        <f>IFERROR(VLOOKUP(DATA!#REF!,DATA!#REF!,1,FALSE),"")</f>
        <v/>
      </c>
      <c r="D5267" s="16" t="str">
        <f>IFERROR(VLOOKUP(C5267,DATA!#REF!,2,FALSE),"")</f>
        <v/>
      </c>
    </row>
    <row r="5268" spans="3:4" s="230" customFormat="1">
      <c r="C5268" s="16" t="str">
        <f>IFERROR(VLOOKUP(DATA!#REF!,DATA!#REF!,1,FALSE),"")</f>
        <v/>
      </c>
      <c r="D5268" s="16" t="str">
        <f>IFERROR(VLOOKUP(C5268,DATA!#REF!,2,FALSE),"")</f>
        <v/>
      </c>
    </row>
    <row r="5269" spans="3:4" s="230" customFormat="1">
      <c r="C5269" s="16" t="str">
        <f>IFERROR(VLOOKUP(DATA!#REF!,DATA!#REF!,1,FALSE),"")</f>
        <v/>
      </c>
      <c r="D5269" s="16" t="str">
        <f>IFERROR(VLOOKUP(C5269,DATA!#REF!,2,FALSE),"")</f>
        <v/>
      </c>
    </row>
    <row r="5270" spans="3:4" s="230" customFormat="1">
      <c r="C5270" s="16" t="str">
        <f>IFERROR(VLOOKUP(DATA!#REF!,DATA!#REF!,1,FALSE),"")</f>
        <v/>
      </c>
      <c r="D5270" s="16" t="str">
        <f>IFERROR(VLOOKUP(C5270,DATA!#REF!,2,FALSE),"")</f>
        <v/>
      </c>
    </row>
    <row r="5271" spans="3:4" s="230" customFormat="1">
      <c r="C5271" s="16" t="str">
        <f>IFERROR(VLOOKUP(DATA!#REF!,DATA!#REF!,1,FALSE),"")</f>
        <v/>
      </c>
      <c r="D5271" s="16" t="str">
        <f>IFERROR(VLOOKUP(C5271,DATA!#REF!,2,FALSE),"")</f>
        <v/>
      </c>
    </row>
    <row r="5272" spans="3:4" s="230" customFormat="1">
      <c r="C5272" s="16" t="str">
        <f>IFERROR(VLOOKUP(DATA!#REF!,DATA!#REF!,1,FALSE),"")</f>
        <v/>
      </c>
      <c r="D5272" s="16" t="str">
        <f>IFERROR(VLOOKUP(C5272,DATA!#REF!,2,FALSE),"")</f>
        <v/>
      </c>
    </row>
    <row r="5273" spans="3:4" s="230" customFormat="1">
      <c r="C5273" s="16" t="str">
        <f>IFERROR(VLOOKUP(DATA!#REF!,DATA!#REF!,1,FALSE),"")</f>
        <v/>
      </c>
      <c r="D5273" s="16" t="str">
        <f>IFERROR(VLOOKUP(C5273,DATA!#REF!,2,FALSE),"")</f>
        <v/>
      </c>
    </row>
    <row r="5274" spans="3:4" s="230" customFormat="1">
      <c r="C5274" s="16" t="str">
        <f>IFERROR(VLOOKUP(DATA!#REF!,DATA!#REF!,1,FALSE),"")</f>
        <v/>
      </c>
      <c r="D5274" s="16" t="str">
        <f>IFERROR(VLOOKUP(C5274,DATA!#REF!,2,FALSE),"")</f>
        <v/>
      </c>
    </row>
    <row r="5275" spans="3:4" s="230" customFormat="1">
      <c r="C5275" s="16" t="str">
        <f>IFERROR(VLOOKUP(DATA!#REF!,DATA!#REF!,1,FALSE),"")</f>
        <v/>
      </c>
      <c r="D5275" s="16" t="str">
        <f>IFERROR(VLOOKUP(C5275,DATA!#REF!,2,FALSE),"")</f>
        <v/>
      </c>
    </row>
    <row r="5276" spans="3:4" s="230" customFormat="1">
      <c r="C5276" s="16" t="str">
        <f>IFERROR(VLOOKUP(DATA!#REF!,DATA!#REF!,1,FALSE),"")</f>
        <v/>
      </c>
      <c r="D5276" s="16" t="str">
        <f>IFERROR(VLOOKUP(C5276,DATA!#REF!,2,FALSE),"")</f>
        <v/>
      </c>
    </row>
    <row r="5277" spans="3:4" s="230" customFormat="1">
      <c r="C5277" s="16" t="str">
        <f>IFERROR(VLOOKUP(DATA!#REF!,DATA!#REF!,1,FALSE),"")</f>
        <v/>
      </c>
      <c r="D5277" s="16" t="str">
        <f>IFERROR(VLOOKUP(C5277,DATA!#REF!,2,FALSE),"")</f>
        <v/>
      </c>
    </row>
    <row r="5278" spans="3:4" s="230" customFormat="1">
      <c r="C5278" s="16" t="str">
        <f>IFERROR(VLOOKUP(DATA!#REF!,DATA!#REF!,1,FALSE),"")</f>
        <v/>
      </c>
      <c r="D5278" s="16" t="str">
        <f>IFERROR(VLOOKUP(C5278,DATA!#REF!,2,FALSE),"")</f>
        <v/>
      </c>
    </row>
    <row r="5279" spans="3:4" s="230" customFormat="1">
      <c r="C5279" s="16" t="str">
        <f>IFERROR(VLOOKUP(DATA!#REF!,DATA!#REF!,1,FALSE),"")</f>
        <v/>
      </c>
      <c r="D5279" s="16" t="str">
        <f>IFERROR(VLOOKUP(C5279,DATA!#REF!,2,FALSE),"")</f>
        <v/>
      </c>
    </row>
    <row r="5280" spans="3:4" s="230" customFormat="1">
      <c r="C5280" s="16" t="str">
        <f>IFERROR(VLOOKUP(DATA!#REF!,DATA!#REF!,1,FALSE),"")</f>
        <v/>
      </c>
      <c r="D5280" s="16" t="str">
        <f>IFERROR(VLOOKUP(C5280,DATA!#REF!,2,FALSE),"")</f>
        <v/>
      </c>
    </row>
    <row r="5281" spans="3:4" s="230" customFormat="1">
      <c r="C5281" s="16" t="str">
        <f>IFERROR(VLOOKUP(DATA!#REF!,DATA!#REF!,1,FALSE),"")</f>
        <v/>
      </c>
      <c r="D5281" s="16" t="str">
        <f>IFERROR(VLOOKUP(C5281,DATA!#REF!,2,FALSE),"")</f>
        <v/>
      </c>
    </row>
    <row r="5282" spans="3:4" s="230" customFormat="1">
      <c r="C5282" s="16" t="str">
        <f>IFERROR(VLOOKUP(DATA!#REF!,DATA!#REF!,1,FALSE),"")</f>
        <v/>
      </c>
      <c r="D5282" s="16" t="str">
        <f>IFERROR(VLOOKUP(C5282,DATA!#REF!,2,FALSE),"")</f>
        <v/>
      </c>
    </row>
    <row r="5283" spans="3:4" s="230" customFormat="1">
      <c r="C5283" s="16" t="str">
        <f>IFERROR(VLOOKUP(DATA!#REF!,DATA!#REF!,1,FALSE),"")</f>
        <v/>
      </c>
      <c r="D5283" s="16" t="str">
        <f>IFERROR(VLOOKUP(C5283,DATA!#REF!,2,FALSE),"")</f>
        <v/>
      </c>
    </row>
    <row r="5284" spans="3:4" s="230" customFormat="1">
      <c r="C5284" s="16" t="str">
        <f>IFERROR(VLOOKUP(DATA!#REF!,DATA!#REF!,1,FALSE),"")</f>
        <v/>
      </c>
      <c r="D5284" s="16" t="str">
        <f>IFERROR(VLOOKUP(C5284,DATA!#REF!,2,FALSE),"")</f>
        <v/>
      </c>
    </row>
    <row r="5285" spans="3:4" s="230" customFormat="1">
      <c r="C5285" s="16" t="str">
        <f>IFERROR(VLOOKUP(DATA!#REF!,DATA!#REF!,1,FALSE),"")</f>
        <v/>
      </c>
      <c r="D5285" s="16" t="str">
        <f>IFERROR(VLOOKUP(C5285,DATA!#REF!,2,FALSE),"")</f>
        <v/>
      </c>
    </row>
    <row r="5286" spans="3:4" s="230" customFormat="1">
      <c r="C5286" s="16" t="str">
        <f>IFERROR(VLOOKUP(DATA!#REF!,DATA!#REF!,1,FALSE),"")</f>
        <v/>
      </c>
      <c r="D5286" s="16" t="str">
        <f>IFERROR(VLOOKUP(C5286,DATA!#REF!,2,FALSE),"")</f>
        <v/>
      </c>
    </row>
    <row r="5287" spans="3:4" s="230" customFormat="1">
      <c r="C5287" s="16" t="str">
        <f>IFERROR(VLOOKUP(DATA!#REF!,DATA!#REF!,1,FALSE),"")</f>
        <v/>
      </c>
      <c r="D5287" s="16" t="str">
        <f>IFERROR(VLOOKUP(C5287,DATA!#REF!,2,FALSE),"")</f>
        <v/>
      </c>
    </row>
    <row r="5288" spans="3:4" s="230" customFormat="1">
      <c r="C5288" s="16" t="str">
        <f>IFERROR(VLOOKUP(DATA!#REF!,DATA!#REF!,1,FALSE),"")</f>
        <v/>
      </c>
      <c r="D5288" s="16" t="str">
        <f>IFERROR(VLOOKUP(C5288,DATA!#REF!,2,FALSE),"")</f>
        <v/>
      </c>
    </row>
    <row r="5289" spans="3:4" s="230" customFormat="1">
      <c r="C5289" s="16" t="str">
        <f>IFERROR(VLOOKUP(DATA!#REF!,DATA!#REF!,1,FALSE),"")</f>
        <v/>
      </c>
      <c r="D5289" s="16" t="str">
        <f>IFERROR(VLOOKUP(C5289,DATA!#REF!,2,FALSE),"")</f>
        <v/>
      </c>
    </row>
    <row r="5290" spans="3:4" s="230" customFormat="1">
      <c r="C5290" s="16" t="str">
        <f>IFERROR(VLOOKUP(DATA!#REF!,DATA!#REF!,1,FALSE),"")</f>
        <v/>
      </c>
      <c r="D5290" s="16" t="str">
        <f>IFERROR(VLOOKUP(C5290,DATA!#REF!,2,FALSE),"")</f>
        <v/>
      </c>
    </row>
    <row r="5291" spans="3:4" s="230" customFormat="1">
      <c r="C5291" s="16" t="str">
        <f>IFERROR(VLOOKUP(DATA!#REF!,DATA!#REF!,1,FALSE),"")</f>
        <v/>
      </c>
      <c r="D5291" s="16" t="str">
        <f>IFERROR(VLOOKUP(C5291,DATA!#REF!,2,FALSE),"")</f>
        <v/>
      </c>
    </row>
    <row r="5292" spans="3:4" s="230" customFormat="1">
      <c r="C5292" s="16" t="str">
        <f>IFERROR(VLOOKUP(DATA!#REF!,DATA!#REF!,1,FALSE),"")</f>
        <v/>
      </c>
      <c r="D5292" s="16" t="str">
        <f>IFERROR(VLOOKUP(C5292,DATA!#REF!,2,FALSE),"")</f>
        <v/>
      </c>
    </row>
    <row r="5293" spans="3:4" s="230" customFormat="1">
      <c r="C5293" s="16" t="str">
        <f>IFERROR(VLOOKUP(DATA!#REF!,DATA!#REF!,1,FALSE),"")</f>
        <v/>
      </c>
      <c r="D5293" s="16" t="str">
        <f>IFERROR(VLOOKUP(C5293,DATA!#REF!,2,FALSE),"")</f>
        <v/>
      </c>
    </row>
    <row r="5294" spans="3:4" s="230" customFormat="1">
      <c r="C5294" s="16" t="str">
        <f>IFERROR(VLOOKUP(DATA!#REF!,DATA!#REF!,1,FALSE),"")</f>
        <v/>
      </c>
      <c r="D5294" s="16" t="str">
        <f>IFERROR(VLOOKUP(C5294,DATA!#REF!,2,FALSE),"")</f>
        <v/>
      </c>
    </row>
    <row r="5295" spans="3:4" s="230" customFormat="1">
      <c r="C5295" s="16" t="str">
        <f>IFERROR(VLOOKUP(DATA!#REF!,DATA!#REF!,1,FALSE),"")</f>
        <v/>
      </c>
      <c r="D5295" s="16" t="str">
        <f>IFERROR(VLOOKUP(C5295,DATA!#REF!,2,FALSE),"")</f>
        <v/>
      </c>
    </row>
    <row r="5296" spans="3:4" s="230" customFormat="1">
      <c r="C5296" s="16" t="str">
        <f>IFERROR(VLOOKUP(DATA!#REF!,DATA!#REF!,1,FALSE),"")</f>
        <v/>
      </c>
      <c r="D5296" s="16" t="str">
        <f>IFERROR(VLOOKUP(C5296,DATA!#REF!,2,FALSE),"")</f>
        <v/>
      </c>
    </row>
    <row r="5297" spans="3:4" s="230" customFormat="1">
      <c r="C5297" s="16" t="str">
        <f>IFERROR(VLOOKUP(DATA!#REF!,DATA!#REF!,1,FALSE),"")</f>
        <v/>
      </c>
      <c r="D5297" s="16" t="str">
        <f>IFERROR(VLOOKUP(C5297,DATA!#REF!,2,FALSE),"")</f>
        <v/>
      </c>
    </row>
    <row r="5298" spans="3:4" s="230" customFormat="1">
      <c r="C5298" s="16" t="str">
        <f>IFERROR(VLOOKUP(DATA!#REF!,DATA!#REF!,1,FALSE),"")</f>
        <v/>
      </c>
      <c r="D5298" s="16" t="str">
        <f>IFERROR(VLOOKUP(C5298,DATA!#REF!,2,FALSE),"")</f>
        <v/>
      </c>
    </row>
    <row r="5299" spans="3:4" s="230" customFormat="1">
      <c r="C5299" s="16" t="str">
        <f>IFERROR(VLOOKUP(DATA!#REF!,DATA!#REF!,1,FALSE),"")</f>
        <v/>
      </c>
      <c r="D5299" s="16" t="str">
        <f>IFERROR(VLOOKUP(C5299,DATA!#REF!,2,FALSE),"")</f>
        <v/>
      </c>
    </row>
    <row r="5300" spans="3:4" s="230" customFormat="1">
      <c r="C5300" s="16" t="str">
        <f>IFERROR(VLOOKUP(DATA!#REF!,DATA!#REF!,1,FALSE),"")</f>
        <v/>
      </c>
      <c r="D5300" s="16" t="str">
        <f>IFERROR(VLOOKUP(C5300,DATA!#REF!,2,FALSE),"")</f>
        <v/>
      </c>
    </row>
    <row r="5301" spans="3:4" s="230" customFormat="1">
      <c r="C5301" s="16" t="str">
        <f>IFERROR(VLOOKUP(DATA!#REF!,DATA!#REF!,1,FALSE),"")</f>
        <v/>
      </c>
      <c r="D5301" s="16" t="str">
        <f>IFERROR(VLOOKUP(C5301,DATA!#REF!,2,FALSE),"")</f>
        <v/>
      </c>
    </row>
    <row r="5302" spans="3:4" s="230" customFormat="1">
      <c r="C5302" s="16" t="str">
        <f>IFERROR(VLOOKUP(DATA!#REF!,DATA!#REF!,1,FALSE),"")</f>
        <v/>
      </c>
      <c r="D5302" s="16" t="str">
        <f>IFERROR(VLOOKUP(C5302,DATA!#REF!,2,FALSE),"")</f>
        <v/>
      </c>
    </row>
    <row r="5303" spans="3:4" s="230" customFormat="1">
      <c r="C5303" s="16" t="str">
        <f>IFERROR(VLOOKUP(DATA!#REF!,DATA!#REF!,1,FALSE),"")</f>
        <v/>
      </c>
      <c r="D5303" s="16" t="str">
        <f>IFERROR(VLOOKUP(C5303,DATA!#REF!,2,FALSE),"")</f>
        <v/>
      </c>
    </row>
    <row r="5304" spans="3:4" s="230" customFormat="1">
      <c r="C5304" s="16" t="str">
        <f>IFERROR(VLOOKUP(DATA!#REF!,DATA!#REF!,1,FALSE),"")</f>
        <v/>
      </c>
      <c r="D5304" s="16" t="str">
        <f>IFERROR(VLOOKUP(C5304,DATA!#REF!,2,FALSE),"")</f>
        <v/>
      </c>
    </row>
    <row r="5305" spans="3:4" s="230" customFormat="1">
      <c r="C5305" s="16" t="str">
        <f>IFERROR(VLOOKUP(DATA!#REF!,DATA!#REF!,1,FALSE),"")</f>
        <v/>
      </c>
      <c r="D5305" s="16" t="str">
        <f>IFERROR(VLOOKUP(C5305,DATA!#REF!,2,FALSE),"")</f>
        <v/>
      </c>
    </row>
    <row r="5306" spans="3:4" s="230" customFormat="1">
      <c r="C5306" s="16" t="str">
        <f>IFERROR(VLOOKUP(DATA!#REF!,DATA!#REF!,1,FALSE),"")</f>
        <v/>
      </c>
      <c r="D5306" s="16" t="str">
        <f>IFERROR(VLOOKUP(C5306,DATA!#REF!,2,FALSE),"")</f>
        <v/>
      </c>
    </row>
    <row r="5307" spans="3:4" s="230" customFormat="1">
      <c r="C5307" s="16" t="str">
        <f>IFERROR(VLOOKUP(DATA!#REF!,DATA!#REF!,1,FALSE),"")</f>
        <v/>
      </c>
      <c r="D5307" s="16" t="str">
        <f>IFERROR(VLOOKUP(C5307,DATA!#REF!,2,FALSE),"")</f>
        <v/>
      </c>
    </row>
    <row r="5308" spans="3:4" s="230" customFormat="1">
      <c r="C5308" s="16" t="str">
        <f>IFERROR(VLOOKUP(DATA!#REF!,DATA!#REF!,1,FALSE),"")</f>
        <v/>
      </c>
      <c r="D5308" s="16" t="str">
        <f>IFERROR(VLOOKUP(C5308,DATA!#REF!,2,FALSE),"")</f>
        <v/>
      </c>
    </row>
    <row r="5309" spans="3:4" s="230" customFormat="1">
      <c r="C5309" s="16" t="str">
        <f>IFERROR(VLOOKUP(DATA!#REF!,DATA!#REF!,1,FALSE),"")</f>
        <v/>
      </c>
      <c r="D5309" s="16" t="str">
        <f>IFERROR(VLOOKUP(C5309,DATA!#REF!,2,FALSE),"")</f>
        <v/>
      </c>
    </row>
    <row r="5310" spans="3:4" s="230" customFormat="1">
      <c r="C5310" s="16" t="str">
        <f>IFERROR(VLOOKUP(DATA!#REF!,DATA!#REF!,1,FALSE),"")</f>
        <v/>
      </c>
      <c r="D5310" s="16" t="str">
        <f>IFERROR(VLOOKUP(C5310,DATA!#REF!,2,FALSE),"")</f>
        <v/>
      </c>
    </row>
    <row r="5311" spans="3:4" s="230" customFormat="1">
      <c r="C5311" s="16" t="str">
        <f>IFERROR(VLOOKUP(DATA!#REF!,DATA!#REF!,1,FALSE),"")</f>
        <v/>
      </c>
      <c r="D5311" s="16" t="str">
        <f>IFERROR(VLOOKUP(C5311,DATA!#REF!,2,FALSE),"")</f>
        <v/>
      </c>
    </row>
    <row r="5312" spans="3:4" s="230" customFormat="1">
      <c r="C5312" s="16" t="str">
        <f>IFERROR(VLOOKUP(DATA!#REF!,DATA!#REF!,1,FALSE),"")</f>
        <v/>
      </c>
      <c r="D5312" s="16" t="str">
        <f>IFERROR(VLOOKUP(C5312,DATA!#REF!,2,FALSE),"")</f>
        <v/>
      </c>
    </row>
    <row r="5313" spans="3:4" s="230" customFormat="1">
      <c r="C5313" s="16" t="str">
        <f>IFERROR(VLOOKUP(DATA!#REF!,DATA!#REF!,1,FALSE),"")</f>
        <v/>
      </c>
      <c r="D5313" s="16" t="str">
        <f>IFERROR(VLOOKUP(C5313,DATA!#REF!,2,FALSE),"")</f>
        <v/>
      </c>
    </row>
    <row r="5314" spans="3:4" s="230" customFormat="1">
      <c r="C5314" s="16" t="str">
        <f>IFERROR(VLOOKUP(DATA!#REF!,DATA!#REF!,1,FALSE),"")</f>
        <v/>
      </c>
      <c r="D5314" s="16" t="str">
        <f>IFERROR(VLOOKUP(C5314,DATA!#REF!,2,FALSE),"")</f>
        <v/>
      </c>
    </row>
    <row r="5315" spans="3:4" s="230" customFormat="1">
      <c r="C5315" s="16" t="str">
        <f>IFERROR(VLOOKUP(DATA!#REF!,DATA!#REF!,1,FALSE),"")</f>
        <v/>
      </c>
      <c r="D5315" s="16" t="str">
        <f>IFERROR(VLOOKUP(C5315,DATA!#REF!,2,FALSE),"")</f>
        <v/>
      </c>
    </row>
    <row r="5316" spans="3:4" s="230" customFormat="1">
      <c r="C5316" s="16" t="str">
        <f>IFERROR(VLOOKUP(DATA!#REF!,DATA!#REF!,1,FALSE),"")</f>
        <v/>
      </c>
      <c r="D5316" s="16" t="str">
        <f>IFERROR(VLOOKUP(C5316,DATA!#REF!,2,FALSE),"")</f>
        <v/>
      </c>
    </row>
    <row r="5317" spans="3:4" s="230" customFormat="1">
      <c r="C5317" s="16" t="str">
        <f>IFERROR(VLOOKUP(DATA!#REF!,DATA!#REF!,1,FALSE),"")</f>
        <v/>
      </c>
      <c r="D5317" s="16" t="str">
        <f>IFERROR(VLOOKUP(C5317,DATA!#REF!,2,FALSE),"")</f>
        <v/>
      </c>
    </row>
    <row r="5318" spans="3:4" s="230" customFormat="1">
      <c r="C5318" s="16" t="str">
        <f>IFERROR(VLOOKUP(DATA!#REF!,DATA!#REF!,1,FALSE),"")</f>
        <v/>
      </c>
      <c r="D5318" s="16" t="str">
        <f>IFERROR(VLOOKUP(C5318,DATA!#REF!,2,FALSE),"")</f>
        <v/>
      </c>
    </row>
    <row r="5319" spans="3:4" s="230" customFormat="1">
      <c r="C5319" s="16" t="str">
        <f>IFERROR(VLOOKUP(DATA!#REF!,DATA!#REF!,1,FALSE),"")</f>
        <v/>
      </c>
      <c r="D5319" s="16" t="str">
        <f>IFERROR(VLOOKUP(C5319,DATA!#REF!,2,FALSE),"")</f>
        <v/>
      </c>
    </row>
    <row r="5320" spans="3:4" s="230" customFormat="1">
      <c r="C5320" s="16" t="str">
        <f>IFERROR(VLOOKUP(DATA!#REF!,DATA!#REF!,1,FALSE),"")</f>
        <v/>
      </c>
      <c r="D5320" s="16" t="str">
        <f>IFERROR(VLOOKUP(C5320,DATA!#REF!,2,FALSE),"")</f>
        <v/>
      </c>
    </row>
    <row r="5321" spans="3:4" s="230" customFormat="1">
      <c r="C5321" s="16" t="str">
        <f>IFERROR(VLOOKUP(DATA!#REF!,DATA!#REF!,1,FALSE),"")</f>
        <v/>
      </c>
      <c r="D5321" s="16" t="str">
        <f>IFERROR(VLOOKUP(C5321,DATA!#REF!,2,FALSE),"")</f>
        <v/>
      </c>
    </row>
    <row r="5322" spans="3:4" s="230" customFormat="1">
      <c r="C5322" s="16" t="str">
        <f>IFERROR(VLOOKUP(DATA!#REF!,DATA!#REF!,1,FALSE),"")</f>
        <v/>
      </c>
      <c r="D5322" s="16" t="str">
        <f>IFERROR(VLOOKUP(C5322,DATA!#REF!,2,FALSE),"")</f>
        <v/>
      </c>
    </row>
    <row r="5323" spans="3:4" s="230" customFormat="1">
      <c r="C5323" s="16" t="str">
        <f>IFERROR(VLOOKUP(DATA!#REF!,DATA!#REF!,1,FALSE),"")</f>
        <v/>
      </c>
      <c r="D5323" s="16" t="str">
        <f>IFERROR(VLOOKUP(C5323,DATA!#REF!,2,FALSE),"")</f>
        <v/>
      </c>
    </row>
    <row r="5324" spans="3:4" s="230" customFormat="1">
      <c r="C5324" s="16" t="str">
        <f>IFERROR(VLOOKUP(DATA!#REF!,DATA!#REF!,1,FALSE),"")</f>
        <v/>
      </c>
      <c r="D5324" s="16" t="str">
        <f>IFERROR(VLOOKUP(C5324,DATA!#REF!,2,FALSE),"")</f>
        <v/>
      </c>
    </row>
    <row r="5325" spans="3:4" s="230" customFormat="1">
      <c r="C5325" s="16" t="str">
        <f>IFERROR(VLOOKUP(DATA!#REF!,DATA!#REF!,1,FALSE),"")</f>
        <v/>
      </c>
      <c r="D5325" s="16" t="str">
        <f>IFERROR(VLOOKUP(C5325,DATA!#REF!,2,FALSE),"")</f>
        <v/>
      </c>
    </row>
    <row r="5326" spans="3:4" s="230" customFormat="1">
      <c r="C5326" s="16" t="str">
        <f>IFERROR(VLOOKUP(DATA!#REF!,DATA!#REF!,1,FALSE),"")</f>
        <v/>
      </c>
      <c r="D5326" s="16" t="str">
        <f>IFERROR(VLOOKUP(C5326,DATA!#REF!,2,FALSE),"")</f>
        <v/>
      </c>
    </row>
    <row r="5327" spans="3:4" s="230" customFormat="1">
      <c r="C5327" s="16" t="str">
        <f>IFERROR(VLOOKUP(DATA!#REF!,DATA!#REF!,1,FALSE),"")</f>
        <v/>
      </c>
      <c r="D5327" s="16" t="str">
        <f>IFERROR(VLOOKUP(C5327,DATA!#REF!,2,FALSE),"")</f>
        <v/>
      </c>
    </row>
    <row r="5328" spans="3:4" s="230" customFormat="1">
      <c r="C5328" s="16" t="str">
        <f>IFERROR(VLOOKUP(DATA!#REF!,DATA!#REF!,1,FALSE),"")</f>
        <v/>
      </c>
      <c r="D5328" s="16" t="str">
        <f>IFERROR(VLOOKUP(C5328,DATA!#REF!,2,FALSE),"")</f>
        <v/>
      </c>
    </row>
    <row r="5329" spans="3:4" s="230" customFormat="1">
      <c r="C5329" s="16" t="str">
        <f>IFERROR(VLOOKUP(DATA!#REF!,DATA!#REF!,1,FALSE),"")</f>
        <v/>
      </c>
      <c r="D5329" s="16" t="str">
        <f>IFERROR(VLOOKUP(C5329,DATA!#REF!,2,FALSE),"")</f>
        <v/>
      </c>
    </row>
    <row r="5330" spans="3:4" s="230" customFormat="1">
      <c r="C5330" s="16" t="str">
        <f>IFERROR(VLOOKUP(DATA!#REF!,DATA!#REF!,1,FALSE),"")</f>
        <v/>
      </c>
      <c r="D5330" s="16" t="str">
        <f>IFERROR(VLOOKUP(C5330,DATA!#REF!,2,FALSE),"")</f>
        <v/>
      </c>
    </row>
    <row r="5331" spans="3:4" s="230" customFormat="1">
      <c r="C5331" s="16" t="str">
        <f>IFERROR(VLOOKUP(DATA!#REF!,DATA!#REF!,1,FALSE),"")</f>
        <v/>
      </c>
      <c r="D5331" s="16" t="str">
        <f>IFERROR(VLOOKUP(C5331,DATA!#REF!,2,FALSE),"")</f>
        <v/>
      </c>
    </row>
    <row r="5332" spans="3:4" s="230" customFormat="1">
      <c r="C5332" s="16" t="str">
        <f>IFERROR(VLOOKUP(DATA!#REF!,DATA!#REF!,1,FALSE),"")</f>
        <v/>
      </c>
      <c r="D5332" s="16" t="str">
        <f>IFERROR(VLOOKUP(C5332,DATA!#REF!,2,FALSE),"")</f>
        <v/>
      </c>
    </row>
    <row r="5333" spans="3:4" s="230" customFormat="1">
      <c r="C5333" s="16" t="str">
        <f>IFERROR(VLOOKUP(DATA!#REF!,DATA!#REF!,1,FALSE),"")</f>
        <v/>
      </c>
      <c r="D5333" s="16" t="str">
        <f>IFERROR(VLOOKUP(C5333,DATA!#REF!,2,FALSE),"")</f>
        <v/>
      </c>
    </row>
    <row r="5334" spans="3:4" s="230" customFormat="1">
      <c r="C5334" s="16" t="str">
        <f>IFERROR(VLOOKUP(DATA!#REF!,DATA!#REF!,1,FALSE),"")</f>
        <v/>
      </c>
      <c r="D5334" s="16" t="str">
        <f>IFERROR(VLOOKUP(C5334,DATA!#REF!,2,FALSE),"")</f>
        <v/>
      </c>
    </row>
    <row r="5335" spans="3:4" s="230" customFormat="1">
      <c r="C5335" s="16" t="str">
        <f>IFERROR(VLOOKUP(DATA!#REF!,DATA!#REF!,1,FALSE),"")</f>
        <v/>
      </c>
      <c r="D5335" s="16" t="str">
        <f>IFERROR(VLOOKUP(C5335,DATA!#REF!,2,FALSE),"")</f>
        <v/>
      </c>
    </row>
    <row r="5336" spans="3:4" s="230" customFormat="1">
      <c r="C5336" s="16" t="str">
        <f>IFERROR(VLOOKUP(DATA!#REF!,DATA!#REF!,1,FALSE),"")</f>
        <v/>
      </c>
      <c r="D5336" s="16" t="str">
        <f>IFERROR(VLOOKUP(C5336,DATA!#REF!,2,FALSE),"")</f>
        <v/>
      </c>
    </row>
    <row r="5337" spans="3:4" s="230" customFormat="1">
      <c r="C5337" s="16" t="str">
        <f>IFERROR(VLOOKUP(DATA!#REF!,DATA!#REF!,1,FALSE),"")</f>
        <v/>
      </c>
      <c r="D5337" s="16" t="str">
        <f>IFERROR(VLOOKUP(C5337,DATA!#REF!,2,FALSE),"")</f>
        <v/>
      </c>
    </row>
    <row r="5338" spans="3:4" s="230" customFormat="1">
      <c r="C5338" s="16" t="str">
        <f>IFERROR(VLOOKUP(DATA!#REF!,DATA!#REF!,1,FALSE),"")</f>
        <v/>
      </c>
      <c r="D5338" s="16" t="str">
        <f>IFERROR(VLOOKUP(C5338,DATA!#REF!,2,FALSE),"")</f>
        <v/>
      </c>
    </row>
    <row r="5339" spans="3:4" s="230" customFormat="1">
      <c r="C5339" s="16" t="str">
        <f>IFERROR(VLOOKUP(DATA!#REF!,DATA!#REF!,1,FALSE),"")</f>
        <v/>
      </c>
      <c r="D5339" s="16" t="str">
        <f>IFERROR(VLOOKUP(C5339,DATA!#REF!,2,FALSE),"")</f>
        <v/>
      </c>
    </row>
    <row r="5340" spans="3:4" s="230" customFormat="1">
      <c r="C5340" s="16" t="str">
        <f>IFERROR(VLOOKUP(DATA!#REF!,DATA!#REF!,1,FALSE),"")</f>
        <v/>
      </c>
      <c r="D5340" s="16" t="str">
        <f>IFERROR(VLOOKUP(C5340,DATA!#REF!,2,FALSE),"")</f>
        <v/>
      </c>
    </row>
    <row r="5341" spans="3:4" s="230" customFormat="1">
      <c r="C5341" s="16" t="str">
        <f>IFERROR(VLOOKUP(DATA!#REF!,DATA!#REF!,1,FALSE),"")</f>
        <v/>
      </c>
      <c r="D5341" s="16" t="str">
        <f>IFERROR(VLOOKUP(C5341,DATA!#REF!,2,FALSE),"")</f>
        <v/>
      </c>
    </row>
    <row r="5342" spans="3:4" s="230" customFormat="1">
      <c r="C5342" s="16" t="str">
        <f>IFERROR(VLOOKUP(DATA!#REF!,DATA!#REF!,1,FALSE),"")</f>
        <v/>
      </c>
      <c r="D5342" s="16" t="str">
        <f>IFERROR(VLOOKUP(C5342,DATA!#REF!,2,FALSE),"")</f>
        <v/>
      </c>
    </row>
    <row r="5343" spans="3:4" s="230" customFormat="1">
      <c r="C5343" s="16" t="str">
        <f>IFERROR(VLOOKUP(DATA!#REF!,DATA!#REF!,1,FALSE),"")</f>
        <v/>
      </c>
      <c r="D5343" s="16" t="str">
        <f>IFERROR(VLOOKUP(C5343,DATA!#REF!,2,FALSE),"")</f>
        <v/>
      </c>
    </row>
    <row r="5344" spans="3:4" s="230" customFormat="1">
      <c r="C5344" s="16" t="str">
        <f>IFERROR(VLOOKUP(DATA!#REF!,DATA!#REF!,1,FALSE),"")</f>
        <v/>
      </c>
      <c r="D5344" s="16" t="str">
        <f>IFERROR(VLOOKUP(C5344,DATA!#REF!,2,FALSE),"")</f>
        <v/>
      </c>
    </row>
    <row r="5345" spans="3:4" s="230" customFormat="1">
      <c r="C5345" s="16" t="str">
        <f>IFERROR(VLOOKUP(DATA!#REF!,DATA!#REF!,1,FALSE),"")</f>
        <v/>
      </c>
      <c r="D5345" s="16" t="str">
        <f>IFERROR(VLOOKUP(C5345,DATA!#REF!,2,FALSE),"")</f>
        <v/>
      </c>
    </row>
    <row r="5346" spans="3:4" s="230" customFormat="1">
      <c r="C5346" s="16" t="str">
        <f>IFERROR(VLOOKUP(DATA!#REF!,DATA!#REF!,1,FALSE),"")</f>
        <v/>
      </c>
      <c r="D5346" s="16" t="str">
        <f>IFERROR(VLOOKUP(C5346,DATA!#REF!,2,FALSE),"")</f>
        <v/>
      </c>
    </row>
    <row r="5347" spans="3:4" s="230" customFormat="1">
      <c r="C5347" s="16" t="str">
        <f>IFERROR(VLOOKUP(DATA!#REF!,DATA!#REF!,1,FALSE),"")</f>
        <v/>
      </c>
      <c r="D5347" s="16" t="str">
        <f>IFERROR(VLOOKUP(C5347,DATA!#REF!,2,FALSE),"")</f>
        <v/>
      </c>
    </row>
    <row r="5348" spans="3:4" s="230" customFormat="1">
      <c r="C5348" s="16" t="str">
        <f>IFERROR(VLOOKUP(DATA!#REF!,DATA!#REF!,1,FALSE),"")</f>
        <v/>
      </c>
      <c r="D5348" s="16" t="str">
        <f>IFERROR(VLOOKUP(C5348,DATA!#REF!,2,FALSE),"")</f>
        <v/>
      </c>
    </row>
    <row r="5349" spans="3:4" s="230" customFormat="1">
      <c r="C5349" s="16" t="str">
        <f>IFERROR(VLOOKUP(DATA!#REF!,DATA!#REF!,1,FALSE),"")</f>
        <v/>
      </c>
      <c r="D5349" s="16" t="str">
        <f>IFERROR(VLOOKUP(C5349,DATA!#REF!,2,FALSE),"")</f>
        <v/>
      </c>
    </row>
    <row r="5350" spans="3:4" s="230" customFormat="1">
      <c r="C5350" s="16" t="str">
        <f>IFERROR(VLOOKUP(DATA!#REF!,DATA!#REF!,1,FALSE),"")</f>
        <v/>
      </c>
      <c r="D5350" s="16" t="str">
        <f>IFERROR(VLOOKUP(C5350,DATA!#REF!,2,FALSE),"")</f>
        <v/>
      </c>
    </row>
    <row r="5351" spans="3:4" s="230" customFormat="1">
      <c r="C5351" s="16" t="str">
        <f>IFERROR(VLOOKUP(DATA!#REF!,DATA!#REF!,1,FALSE),"")</f>
        <v/>
      </c>
      <c r="D5351" s="16" t="str">
        <f>IFERROR(VLOOKUP(C5351,DATA!#REF!,2,FALSE),"")</f>
        <v/>
      </c>
    </row>
    <row r="5352" spans="3:4" s="230" customFormat="1">
      <c r="C5352" s="16" t="str">
        <f>IFERROR(VLOOKUP(DATA!#REF!,DATA!#REF!,1,FALSE),"")</f>
        <v/>
      </c>
      <c r="D5352" s="16" t="str">
        <f>IFERROR(VLOOKUP(C5352,DATA!#REF!,2,FALSE),"")</f>
        <v/>
      </c>
    </row>
    <row r="5353" spans="3:4" s="230" customFormat="1">
      <c r="C5353" s="16" t="str">
        <f>IFERROR(VLOOKUP(DATA!#REF!,DATA!#REF!,1,FALSE),"")</f>
        <v/>
      </c>
      <c r="D5353" s="16" t="str">
        <f>IFERROR(VLOOKUP(C5353,DATA!#REF!,2,FALSE),"")</f>
        <v/>
      </c>
    </row>
    <row r="5354" spans="3:4" s="230" customFormat="1">
      <c r="C5354" s="16" t="str">
        <f>IFERROR(VLOOKUP(DATA!#REF!,DATA!#REF!,1,FALSE),"")</f>
        <v/>
      </c>
      <c r="D5354" s="16" t="str">
        <f>IFERROR(VLOOKUP(C5354,DATA!#REF!,2,FALSE),"")</f>
        <v/>
      </c>
    </row>
    <row r="5355" spans="3:4" s="230" customFormat="1">
      <c r="C5355" s="16" t="str">
        <f>IFERROR(VLOOKUP(DATA!#REF!,DATA!#REF!,1,FALSE),"")</f>
        <v/>
      </c>
      <c r="D5355" s="16" t="str">
        <f>IFERROR(VLOOKUP(C5355,DATA!#REF!,2,FALSE),"")</f>
        <v/>
      </c>
    </row>
    <row r="5356" spans="3:4" s="230" customFormat="1">
      <c r="C5356" s="16" t="str">
        <f>IFERROR(VLOOKUP(DATA!#REF!,DATA!#REF!,1,FALSE),"")</f>
        <v/>
      </c>
      <c r="D5356" s="16" t="str">
        <f>IFERROR(VLOOKUP(C5356,DATA!#REF!,2,FALSE),"")</f>
        <v/>
      </c>
    </row>
    <row r="5357" spans="3:4" s="230" customFormat="1">
      <c r="C5357" s="16" t="str">
        <f>IFERROR(VLOOKUP(DATA!#REF!,DATA!#REF!,1,FALSE),"")</f>
        <v/>
      </c>
      <c r="D5357" s="16" t="str">
        <f>IFERROR(VLOOKUP(C5357,DATA!#REF!,2,FALSE),"")</f>
        <v/>
      </c>
    </row>
    <row r="5358" spans="3:4" s="230" customFormat="1">
      <c r="C5358" s="16" t="str">
        <f>IFERROR(VLOOKUP(DATA!#REF!,DATA!#REF!,1,FALSE),"")</f>
        <v/>
      </c>
      <c r="D5358" s="16" t="str">
        <f>IFERROR(VLOOKUP(C5358,DATA!#REF!,2,FALSE),"")</f>
        <v/>
      </c>
    </row>
    <row r="5359" spans="3:4" s="230" customFormat="1">
      <c r="C5359" s="16" t="str">
        <f>IFERROR(VLOOKUP(DATA!#REF!,DATA!#REF!,1,FALSE),"")</f>
        <v/>
      </c>
      <c r="D5359" s="16" t="str">
        <f>IFERROR(VLOOKUP(C5359,DATA!#REF!,2,FALSE),"")</f>
        <v/>
      </c>
    </row>
    <row r="5360" spans="3:4" s="230" customFormat="1">
      <c r="C5360" s="16" t="str">
        <f>IFERROR(VLOOKUP(DATA!#REF!,DATA!#REF!,1,FALSE),"")</f>
        <v/>
      </c>
      <c r="D5360" s="16" t="str">
        <f>IFERROR(VLOOKUP(C5360,DATA!#REF!,2,FALSE),"")</f>
        <v/>
      </c>
    </row>
    <row r="5361" spans="3:4" s="230" customFormat="1">
      <c r="C5361" s="16" t="str">
        <f>IFERROR(VLOOKUP(DATA!#REF!,DATA!#REF!,1,FALSE),"")</f>
        <v/>
      </c>
      <c r="D5361" s="16" t="str">
        <f>IFERROR(VLOOKUP(C5361,DATA!#REF!,2,FALSE),"")</f>
        <v/>
      </c>
    </row>
    <row r="5362" spans="3:4" s="230" customFormat="1">
      <c r="C5362" s="16" t="str">
        <f>IFERROR(VLOOKUP(DATA!#REF!,DATA!#REF!,1,FALSE),"")</f>
        <v/>
      </c>
      <c r="D5362" s="16" t="str">
        <f>IFERROR(VLOOKUP(C5362,DATA!#REF!,2,FALSE),"")</f>
        <v/>
      </c>
    </row>
    <row r="5363" spans="3:4" s="230" customFormat="1">
      <c r="C5363" s="16" t="str">
        <f>IFERROR(VLOOKUP(DATA!#REF!,DATA!#REF!,1,FALSE),"")</f>
        <v/>
      </c>
      <c r="D5363" s="16" t="str">
        <f>IFERROR(VLOOKUP(C5363,DATA!#REF!,2,FALSE),"")</f>
        <v/>
      </c>
    </row>
    <row r="5364" spans="3:4" s="230" customFormat="1">
      <c r="C5364" s="16" t="str">
        <f>IFERROR(VLOOKUP(DATA!#REF!,DATA!#REF!,1,FALSE),"")</f>
        <v/>
      </c>
      <c r="D5364" s="16" t="str">
        <f>IFERROR(VLOOKUP(C5364,DATA!#REF!,2,FALSE),"")</f>
        <v/>
      </c>
    </row>
    <row r="5365" spans="3:4" s="230" customFormat="1">
      <c r="C5365" s="16" t="str">
        <f>IFERROR(VLOOKUP(DATA!#REF!,DATA!#REF!,1,FALSE),"")</f>
        <v/>
      </c>
      <c r="D5365" s="16" t="str">
        <f>IFERROR(VLOOKUP(C5365,DATA!#REF!,2,FALSE),"")</f>
        <v/>
      </c>
    </row>
    <row r="5366" spans="3:4" s="230" customFormat="1">
      <c r="C5366" s="16" t="str">
        <f>IFERROR(VLOOKUP(DATA!#REF!,DATA!#REF!,1,FALSE),"")</f>
        <v/>
      </c>
      <c r="D5366" s="16" t="str">
        <f>IFERROR(VLOOKUP(C5366,DATA!#REF!,2,FALSE),"")</f>
        <v/>
      </c>
    </row>
    <row r="5367" spans="3:4" s="230" customFormat="1">
      <c r="C5367" s="16" t="str">
        <f>IFERROR(VLOOKUP(DATA!#REF!,DATA!#REF!,1,FALSE),"")</f>
        <v/>
      </c>
      <c r="D5367" s="16" t="str">
        <f>IFERROR(VLOOKUP(C5367,DATA!#REF!,2,FALSE),"")</f>
        <v/>
      </c>
    </row>
    <row r="5368" spans="3:4" s="230" customFormat="1">
      <c r="C5368" s="16" t="str">
        <f>IFERROR(VLOOKUP(DATA!#REF!,DATA!#REF!,1,FALSE),"")</f>
        <v/>
      </c>
      <c r="D5368" s="16" t="str">
        <f>IFERROR(VLOOKUP(C5368,DATA!#REF!,2,FALSE),"")</f>
        <v/>
      </c>
    </row>
    <row r="5369" spans="3:4" s="230" customFormat="1">
      <c r="C5369" s="16" t="str">
        <f>IFERROR(VLOOKUP(DATA!#REF!,DATA!#REF!,1,FALSE),"")</f>
        <v/>
      </c>
      <c r="D5369" s="16" t="str">
        <f>IFERROR(VLOOKUP(C5369,DATA!#REF!,2,FALSE),"")</f>
        <v/>
      </c>
    </row>
    <row r="5370" spans="3:4" s="230" customFormat="1">
      <c r="C5370" s="16" t="str">
        <f>IFERROR(VLOOKUP(DATA!#REF!,DATA!#REF!,1,FALSE),"")</f>
        <v/>
      </c>
      <c r="D5370" s="16" t="str">
        <f>IFERROR(VLOOKUP(C5370,DATA!#REF!,2,FALSE),"")</f>
        <v/>
      </c>
    </row>
    <row r="5371" spans="3:4" s="230" customFormat="1">
      <c r="C5371" s="16" t="str">
        <f>IFERROR(VLOOKUP(DATA!#REF!,DATA!#REF!,1,FALSE),"")</f>
        <v/>
      </c>
      <c r="D5371" s="16" t="str">
        <f>IFERROR(VLOOKUP(C5371,DATA!#REF!,2,FALSE),"")</f>
        <v/>
      </c>
    </row>
    <row r="5372" spans="3:4" s="230" customFormat="1">
      <c r="C5372" s="16" t="str">
        <f>IFERROR(VLOOKUP(DATA!#REF!,DATA!#REF!,1,FALSE),"")</f>
        <v/>
      </c>
      <c r="D5372" s="16" t="str">
        <f>IFERROR(VLOOKUP(C5372,DATA!#REF!,2,FALSE),"")</f>
        <v/>
      </c>
    </row>
    <row r="5373" spans="3:4" s="230" customFormat="1">
      <c r="C5373" s="16" t="str">
        <f>IFERROR(VLOOKUP(DATA!#REF!,DATA!#REF!,1,FALSE),"")</f>
        <v/>
      </c>
      <c r="D5373" s="16" t="str">
        <f>IFERROR(VLOOKUP(C5373,DATA!#REF!,2,FALSE),"")</f>
        <v/>
      </c>
    </row>
    <row r="5374" spans="3:4" s="230" customFormat="1">
      <c r="C5374" s="16" t="str">
        <f>IFERROR(VLOOKUP(DATA!#REF!,DATA!#REF!,1,FALSE),"")</f>
        <v/>
      </c>
      <c r="D5374" s="16" t="str">
        <f>IFERROR(VLOOKUP(C5374,DATA!#REF!,2,FALSE),"")</f>
        <v/>
      </c>
    </row>
    <row r="5375" spans="3:4" s="230" customFormat="1">
      <c r="C5375" s="16" t="str">
        <f>IFERROR(VLOOKUP(DATA!#REF!,DATA!#REF!,1,FALSE),"")</f>
        <v/>
      </c>
      <c r="D5375" s="16" t="str">
        <f>IFERROR(VLOOKUP(C5375,DATA!#REF!,2,FALSE),"")</f>
        <v/>
      </c>
    </row>
    <row r="5376" spans="3:4" s="230" customFormat="1">
      <c r="C5376" s="16" t="str">
        <f>IFERROR(VLOOKUP(DATA!#REF!,DATA!#REF!,1,FALSE),"")</f>
        <v/>
      </c>
      <c r="D5376" s="16" t="str">
        <f>IFERROR(VLOOKUP(C5376,DATA!#REF!,2,FALSE),"")</f>
        <v/>
      </c>
    </row>
    <row r="5377" spans="3:4" s="230" customFormat="1">
      <c r="C5377" s="16" t="str">
        <f>IFERROR(VLOOKUP(DATA!#REF!,DATA!#REF!,1,FALSE),"")</f>
        <v/>
      </c>
      <c r="D5377" s="16" t="str">
        <f>IFERROR(VLOOKUP(C5377,DATA!#REF!,2,FALSE),"")</f>
        <v/>
      </c>
    </row>
    <row r="5378" spans="3:4" s="230" customFormat="1">
      <c r="C5378" s="16" t="str">
        <f>IFERROR(VLOOKUP(DATA!#REF!,DATA!#REF!,1,FALSE),"")</f>
        <v/>
      </c>
      <c r="D5378" s="16" t="str">
        <f>IFERROR(VLOOKUP(C5378,DATA!#REF!,2,FALSE),"")</f>
        <v/>
      </c>
    </row>
    <row r="5379" spans="3:4" s="230" customFormat="1">
      <c r="C5379" s="16" t="str">
        <f>IFERROR(VLOOKUP(DATA!#REF!,DATA!#REF!,1,FALSE),"")</f>
        <v/>
      </c>
      <c r="D5379" s="16" t="str">
        <f>IFERROR(VLOOKUP(C5379,DATA!#REF!,2,FALSE),"")</f>
        <v/>
      </c>
    </row>
    <row r="5380" spans="3:4" s="230" customFormat="1">
      <c r="C5380" s="16" t="str">
        <f>IFERROR(VLOOKUP(DATA!#REF!,DATA!#REF!,1,FALSE),"")</f>
        <v/>
      </c>
      <c r="D5380" s="16" t="str">
        <f>IFERROR(VLOOKUP(C5380,DATA!#REF!,2,FALSE),"")</f>
        <v/>
      </c>
    </row>
    <row r="5381" spans="3:4" s="230" customFormat="1">
      <c r="C5381" s="16" t="str">
        <f>IFERROR(VLOOKUP(DATA!#REF!,DATA!#REF!,1,FALSE),"")</f>
        <v/>
      </c>
      <c r="D5381" s="16" t="str">
        <f>IFERROR(VLOOKUP(C5381,DATA!#REF!,2,FALSE),"")</f>
        <v/>
      </c>
    </row>
    <row r="5382" spans="3:4" s="230" customFormat="1">
      <c r="C5382" s="16" t="str">
        <f>IFERROR(VLOOKUP(DATA!#REF!,DATA!#REF!,1,FALSE),"")</f>
        <v/>
      </c>
      <c r="D5382" s="16" t="str">
        <f>IFERROR(VLOOKUP(C5382,DATA!#REF!,2,FALSE),"")</f>
        <v/>
      </c>
    </row>
    <row r="5383" spans="3:4" s="230" customFormat="1">
      <c r="C5383" s="16" t="str">
        <f>IFERROR(VLOOKUP(DATA!#REF!,DATA!#REF!,1,FALSE),"")</f>
        <v/>
      </c>
      <c r="D5383" s="16" t="str">
        <f>IFERROR(VLOOKUP(C5383,DATA!#REF!,2,FALSE),"")</f>
        <v/>
      </c>
    </row>
    <row r="5384" spans="3:4" s="230" customFormat="1">
      <c r="C5384" s="16" t="str">
        <f>IFERROR(VLOOKUP(DATA!#REF!,DATA!#REF!,1,FALSE),"")</f>
        <v/>
      </c>
      <c r="D5384" s="16" t="str">
        <f>IFERROR(VLOOKUP(C5384,DATA!#REF!,2,FALSE),"")</f>
        <v/>
      </c>
    </row>
    <row r="5385" spans="3:4" s="230" customFormat="1">
      <c r="C5385" s="16" t="str">
        <f>IFERROR(VLOOKUP(DATA!#REF!,DATA!#REF!,1,FALSE),"")</f>
        <v/>
      </c>
      <c r="D5385" s="16" t="str">
        <f>IFERROR(VLOOKUP(C5385,DATA!#REF!,2,FALSE),"")</f>
        <v/>
      </c>
    </row>
    <row r="5386" spans="3:4" s="230" customFormat="1">
      <c r="C5386" s="16" t="str">
        <f>IFERROR(VLOOKUP(DATA!#REF!,DATA!#REF!,1,FALSE),"")</f>
        <v/>
      </c>
      <c r="D5386" s="16" t="str">
        <f>IFERROR(VLOOKUP(C5386,DATA!#REF!,2,FALSE),"")</f>
        <v/>
      </c>
    </row>
    <row r="5387" spans="3:4" s="230" customFormat="1">
      <c r="C5387" s="16" t="str">
        <f>IFERROR(VLOOKUP(DATA!#REF!,DATA!#REF!,1,FALSE),"")</f>
        <v/>
      </c>
      <c r="D5387" s="16" t="str">
        <f>IFERROR(VLOOKUP(C5387,DATA!#REF!,2,FALSE),"")</f>
        <v/>
      </c>
    </row>
    <row r="5388" spans="3:4" s="230" customFormat="1">
      <c r="C5388" s="16" t="str">
        <f>IFERROR(VLOOKUP(DATA!#REF!,DATA!#REF!,1,FALSE),"")</f>
        <v/>
      </c>
      <c r="D5388" s="16" t="str">
        <f>IFERROR(VLOOKUP(C5388,DATA!#REF!,2,FALSE),"")</f>
        <v/>
      </c>
    </row>
    <row r="5389" spans="3:4" s="230" customFormat="1">
      <c r="C5389" s="16" t="str">
        <f>IFERROR(VLOOKUP(DATA!#REF!,DATA!#REF!,1,FALSE),"")</f>
        <v/>
      </c>
      <c r="D5389" s="16" t="str">
        <f>IFERROR(VLOOKUP(C5389,DATA!#REF!,2,FALSE),"")</f>
        <v/>
      </c>
    </row>
    <row r="5390" spans="3:4" s="230" customFormat="1">
      <c r="C5390" s="16" t="str">
        <f>IFERROR(VLOOKUP(DATA!#REF!,DATA!#REF!,1,FALSE),"")</f>
        <v/>
      </c>
      <c r="D5390" s="16" t="str">
        <f>IFERROR(VLOOKUP(C5390,DATA!#REF!,2,FALSE),"")</f>
        <v/>
      </c>
    </row>
    <row r="5391" spans="3:4" s="230" customFormat="1">
      <c r="C5391" s="16" t="str">
        <f>IFERROR(VLOOKUP(DATA!#REF!,DATA!#REF!,1,FALSE),"")</f>
        <v/>
      </c>
      <c r="D5391" s="16" t="str">
        <f>IFERROR(VLOOKUP(C5391,DATA!#REF!,2,FALSE),"")</f>
        <v/>
      </c>
    </row>
    <row r="5392" spans="3:4" s="230" customFormat="1">
      <c r="C5392" s="16" t="str">
        <f>IFERROR(VLOOKUP(DATA!#REF!,DATA!#REF!,1,FALSE),"")</f>
        <v/>
      </c>
      <c r="D5392" s="16" t="str">
        <f>IFERROR(VLOOKUP(C5392,DATA!#REF!,2,FALSE),"")</f>
        <v/>
      </c>
    </row>
    <row r="5393" spans="3:4" s="230" customFormat="1">
      <c r="C5393" s="16" t="str">
        <f>IFERROR(VLOOKUP(DATA!#REF!,DATA!#REF!,1,FALSE),"")</f>
        <v/>
      </c>
      <c r="D5393" s="16" t="str">
        <f>IFERROR(VLOOKUP(C5393,DATA!#REF!,2,FALSE),"")</f>
        <v/>
      </c>
    </row>
    <row r="5394" spans="3:4" s="230" customFormat="1">
      <c r="C5394" s="16" t="str">
        <f>IFERROR(VLOOKUP(DATA!#REF!,DATA!#REF!,1,FALSE),"")</f>
        <v/>
      </c>
      <c r="D5394" s="16" t="str">
        <f>IFERROR(VLOOKUP(C5394,DATA!#REF!,2,FALSE),"")</f>
        <v/>
      </c>
    </row>
    <row r="5395" spans="3:4" s="230" customFormat="1">
      <c r="C5395" s="16" t="str">
        <f>IFERROR(VLOOKUP(DATA!#REF!,DATA!#REF!,1,FALSE),"")</f>
        <v/>
      </c>
      <c r="D5395" s="16" t="str">
        <f>IFERROR(VLOOKUP(C5395,DATA!#REF!,2,FALSE),"")</f>
        <v/>
      </c>
    </row>
    <row r="5396" spans="3:4" s="230" customFormat="1">
      <c r="C5396" s="16" t="str">
        <f>IFERROR(VLOOKUP(DATA!#REF!,DATA!#REF!,1,FALSE),"")</f>
        <v/>
      </c>
      <c r="D5396" s="16" t="str">
        <f>IFERROR(VLOOKUP(C5396,DATA!#REF!,2,FALSE),"")</f>
        <v/>
      </c>
    </row>
    <row r="5397" spans="3:4" s="230" customFormat="1">
      <c r="C5397" s="16" t="str">
        <f>IFERROR(VLOOKUP(DATA!#REF!,DATA!#REF!,1,FALSE),"")</f>
        <v/>
      </c>
      <c r="D5397" s="16" t="str">
        <f>IFERROR(VLOOKUP(C5397,DATA!#REF!,2,FALSE),"")</f>
        <v/>
      </c>
    </row>
    <row r="5398" spans="3:4" s="230" customFormat="1">
      <c r="C5398" s="16" t="str">
        <f>IFERROR(VLOOKUP(DATA!#REF!,DATA!#REF!,1,FALSE),"")</f>
        <v/>
      </c>
      <c r="D5398" s="16" t="str">
        <f>IFERROR(VLOOKUP(C5398,DATA!#REF!,2,FALSE),"")</f>
        <v/>
      </c>
    </row>
    <row r="5399" spans="3:4" s="230" customFormat="1">
      <c r="C5399" s="16" t="str">
        <f>IFERROR(VLOOKUP(DATA!#REF!,DATA!#REF!,1,FALSE),"")</f>
        <v/>
      </c>
      <c r="D5399" s="16" t="str">
        <f>IFERROR(VLOOKUP(C5399,DATA!#REF!,2,FALSE),"")</f>
        <v/>
      </c>
    </row>
    <row r="5400" spans="3:4" s="230" customFormat="1">
      <c r="C5400" s="16" t="str">
        <f>IFERROR(VLOOKUP(DATA!#REF!,DATA!#REF!,1,FALSE),"")</f>
        <v/>
      </c>
      <c r="D5400" s="16" t="str">
        <f>IFERROR(VLOOKUP(C5400,DATA!#REF!,2,FALSE),"")</f>
        <v/>
      </c>
    </row>
    <row r="5401" spans="3:4" s="230" customFormat="1">
      <c r="C5401" s="16" t="str">
        <f>IFERROR(VLOOKUP(DATA!#REF!,DATA!#REF!,1,FALSE),"")</f>
        <v/>
      </c>
      <c r="D5401" s="16" t="str">
        <f>IFERROR(VLOOKUP(C5401,DATA!#REF!,2,FALSE),"")</f>
        <v/>
      </c>
    </row>
    <row r="5402" spans="3:4" s="230" customFormat="1">
      <c r="C5402" s="16" t="str">
        <f>IFERROR(VLOOKUP(DATA!#REF!,DATA!#REF!,1,FALSE),"")</f>
        <v/>
      </c>
      <c r="D5402" s="16" t="str">
        <f>IFERROR(VLOOKUP(C5402,DATA!#REF!,2,FALSE),"")</f>
        <v/>
      </c>
    </row>
    <row r="5403" spans="3:4" s="230" customFormat="1">
      <c r="C5403" s="16" t="str">
        <f>IFERROR(VLOOKUP(DATA!#REF!,DATA!#REF!,1,FALSE),"")</f>
        <v/>
      </c>
      <c r="D5403" s="16" t="str">
        <f>IFERROR(VLOOKUP(C5403,DATA!#REF!,2,FALSE),"")</f>
        <v/>
      </c>
    </row>
    <row r="5404" spans="3:4" s="230" customFormat="1">
      <c r="C5404" s="16" t="str">
        <f>IFERROR(VLOOKUP(DATA!#REF!,DATA!#REF!,1,FALSE),"")</f>
        <v/>
      </c>
      <c r="D5404" s="16" t="str">
        <f>IFERROR(VLOOKUP(C5404,DATA!#REF!,2,FALSE),"")</f>
        <v/>
      </c>
    </row>
    <row r="5405" spans="3:4" s="230" customFormat="1">
      <c r="C5405" s="16" t="str">
        <f>IFERROR(VLOOKUP(DATA!#REF!,DATA!#REF!,1,FALSE),"")</f>
        <v/>
      </c>
      <c r="D5405" s="16" t="str">
        <f>IFERROR(VLOOKUP(C5405,DATA!#REF!,2,FALSE),"")</f>
        <v/>
      </c>
    </row>
    <row r="5406" spans="3:4" s="230" customFormat="1">
      <c r="C5406" s="16" t="str">
        <f>IFERROR(VLOOKUP(DATA!#REF!,DATA!#REF!,1,FALSE),"")</f>
        <v/>
      </c>
      <c r="D5406" s="16" t="str">
        <f>IFERROR(VLOOKUP(C5406,DATA!#REF!,2,FALSE),"")</f>
        <v/>
      </c>
    </row>
    <row r="5407" spans="3:4" s="230" customFormat="1">
      <c r="C5407" s="16" t="str">
        <f>IFERROR(VLOOKUP(DATA!#REF!,DATA!#REF!,1,FALSE),"")</f>
        <v/>
      </c>
      <c r="D5407" s="16" t="str">
        <f>IFERROR(VLOOKUP(C5407,DATA!#REF!,2,FALSE),"")</f>
        <v/>
      </c>
    </row>
    <row r="5408" spans="3:4" s="230" customFormat="1">
      <c r="C5408" s="16" t="str">
        <f>IFERROR(VLOOKUP(DATA!#REF!,DATA!#REF!,1,FALSE),"")</f>
        <v/>
      </c>
      <c r="D5408" s="16" t="str">
        <f>IFERROR(VLOOKUP(C5408,DATA!#REF!,2,FALSE),"")</f>
        <v/>
      </c>
    </row>
    <row r="5409" spans="3:4" s="230" customFormat="1">
      <c r="C5409" s="16" t="str">
        <f>IFERROR(VLOOKUP(DATA!#REF!,DATA!#REF!,1,FALSE),"")</f>
        <v/>
      </c>
      <c r="D5409" s="16" t="str">
        <f>IFERROR(VLOOKUP(C5409,DATA!#REF!,2,FALSE),"")</f>
        <v/>
      </c>
    </row>
    <row r="5410" spans="3:4" s="230" customFormat="1">
      <c r="C5410" s="16" t="str">
        <f>IFERROR(VLOOKUP(DATA!#REF!,DATA!#REF!,1,FALSE),"")</f>
        <v/>
      </c>
      <c r="D5410" s="16" t="str">
        <f>IFERROR(VLOOKUP(C5410,DATA!#REF!,2,FALSE),"")</f>
        <v/>
      </c>
    </row>
    <row r="5411" spans="3:4" s="230" customFormat="1">
      <c r="C5411" s="16" t="str">
        <f>IFERROR(VLOOKUP(DATA!#REF!,DATA!#REF!,1,FALSE),"")</f>
        <v/>
      </c>
      <c r="D5411" s="16" t="str">
        <f>IFERROR(VLOOKUP(C5411,DATA!#REF!,2,FALSE),"")</f>
        <v/>
      </c>
    </row>
    <row r="5412" spans="3:4" s="230" customFormat="1">
      <c r="C5412" s="16" t="str">
        <f>IFERROR(VLOOKUP(DATA!#REF!,DATA!#REF!,1,FALSE),"")</f>
        <v/>
      </c>
      <c r="D5412" s="16" t="str">
        <f>IFERROR(VLOOKUP(C5412,DATA!#REF!,2,FALSE),"")</f>
        <v/>
      </c>
    </row>
    <row r="5413" spans="3:4" s="230" customFormat="1">
      <c r="C5413" s="16" t="str">
        <f>IFERROR(VLOOKUP(DATA!#REF!,DATA!#REF!,1,FALSE),"")</f>
        <v/>
      </c>
      <c r="D5413" s="16" t="str">
        <f>IFERROR(VLOOKUP(C5413,DATA!#REF!,2,FALSE),"")</f>
        <v/>
      </c>
    </row>
    <row r="5414" spans="3:4" s="230" customFormat="1">
      <c r="C5414" s="16" t="str">
        <f>IFERROR(VLOOKUP(DATA!#REF!,DATA!#REF!,1,FALSE),"")</f>
        <v/>
      </c>
      <c r="D5414" s="16" t="str">
        <f>IFERROR(VLOOKUP(C5414,DATA!#REF!,2,FALSE),"")</f>
        <v/>
      </c>
    </row>
    <row r="5415" spans="3:4" s="230" customFormat="1">
      <c r="C5415" s="16" t="str">
        <f>IFERROR(VLOOKUP(DATA!#REF!,DATA!#REF!,1,FALSE),"")</f>
        <v/>
      </c>
      <c r="D5415" s="16" t="str">
        <f>IFERROR(VLOOKUP(C5415,DATA!#REF!,2,FALSE),"")</f>
        <v/>
      </c>
    </row>
    <row r="5416" spans="3:4" s="230" customFormat="1">
      <c r="C5416" s="16" t="str">
        <f>IFERROR(VLOOKUP(DATA!#REF!,DATA!#REF!,1,FALSE),"")</f>
        <v/>
      </c>
      <c r="D5416" s="16" t="str">
        <f>IFERROR(VLOOKUP(C5416,DATA!#REF!,2,FALSE),"")</f>
        <v/>
      </c>
    </row>
    <row r="5417" spans="3:4" s="230" customFormat="1">
      <c r="C5417" s="16" t="str">
        <f>IFERROR(VLOOKUP(DATA!#REF!,DATA!#REF!,1,FALSE),"")</f>
        <v/>
      </c>
      <c r="D5417" s="16" t="str">
        <f>IFERROR(VLOOKUP(C5417,DATA!#REF!,2,FALSE),"")</f>
        <v/>
      </c>
    </row>
    <row r="5418" spans="3:4" s="230" customFormat="1">
      <c r="C5418" s="16" t="str">
        <f>IFERROR(VLOOKUP(DATA!#REF!,DATA!#REF!,1,FALSE),"")</f>
        <v/>
      </c>
      <c r="D5418" s="16" t="str">
        <f>IFERROR(VLOOKUP(C5418,DATA!#REF!,2,FALSE),"")</f>
        <v/>
      </c>
    </row>
    <row r="5419" spans="3:4" s="230" customFormat="1">
      <c r="C5419" s="16" t="str">
        <f>IFERROR(VLOOKUP(DATA!#REF!,DATA!#REF!,1,FALSE),"")</f>
        <v/>
      </c>
      <c r="D5419" s="16" t="str">
        <f>IFERROR(VLOOKUP(C5419,DATA!#REF!,2,FALSE),"")</f>
        <v/>
      </c>
    </row>
    <row r="5420" spans="3:4" s="230" customFormat="1">
      <c r="C5420" s="16" t="str">
        <f>IFERROR(VLOOKUP(DATA!#REF!,DATA!#REF!,1,FALSE),"")</f>
        <v/>
      </c>
      <c r="D5420" s="16" t="str">
        <f>IFERROR(VLOOKUP(C5420,DATA!#REF!,2,FALSE),"")</f>
        <v/>
      </c>
    </row>
    <row r="5421" spans="3:4" s="230" customFormat="1">
      <c r="C5421" s="16" t="str">
        <f>IFERROR(VLOOKUP(DATA!#REF!,DATA!#REF!,1,FALSE),"")</f>
        <v/>
      </c>
      <c r="D5421" s="16" t="str">
        <f>IFERROR(VLOOKUP(C5421,DATA!#REF!,2,FALSE),"")</f>
        <v/>
      </c>
    </row>
    <row r="5422" spans="3:4" s="230" customFormat="1">
      <c r="C5422" s="16" t="str">
        <f>IFERROR(VLOOKUP(DATA!#REF!,DATA!#REF!,1,FALSE),"")</f>
        <v/>
      </c>
      <c r="D5422" s="16" t="str">
        <f>IFERROR(VLOOKUP(C5422,DATA!#REF!,2,FALSE),"")</f>
        <v/>
      </c>
    </row>
    <row r="5423" spans="3:4" s="230" customFormat="1">
      <c r="C5423" s="16" t="str">
        <f>IFERROR(VLOOKUP(DATA!#REF!,DATA!#REF!,1,FALSE),"")</f>
        <v/>
      </c>
      <c r="D5423" s="16" t="str">
        <f>IFERROR(VLOOKUP(C5423,DATA!#REF!,2,FALSE),"")</f>
        <v/>
      </c>
    </row>
    <row r="5424" spans="3:4" s="230" customFormat="1">
      <c r="C5424" s="16" t="str">
        <f>IFERROR(VLOOKUP(DATA!#REF!,DATA!#REF!,1,FALSE),"")</f>
        <v/>
      </c>
      <c r="D5424" s="16" t="str">
        <f>IFERROR(VLOOKUP(C5424,DATA!#REF!,2,FALSE),"")</f>
        <v/>
      </c>
    </row>
    <row r="5425" spans="3:4" s="230" customFormat="1">
      <c r="C5425" s="16" t="str">
        <f>IFERROR(VLOOKUP(DATA!#REF!,DATA!#REF!,1,FALSE),"")</f>
        <v/>
      </c>
      <c r="D5425" s="16" t="str">
        <f>IFERROR(VLOOKUP(C5425,DATA!#REF!,2,FALSE),"")</f>
        <v/>
      </c>
    </row>
    <row r="5426" spans="3:4" s="230" customFormat="1">
      <c r="C5426" s="16" t="str">
        <f>IFERROR(VLOOKUP(DATA!#REF!,DATA!#REF!,1,FALSE),"")</f>
        <v/>
      </c>
      <c r="D5426" s="16" t="str">
        <f>IFERROR(VLOOKUP(C5426,DATA!#REF!,2,FALSE),"")</f>
        <v/>
      </c>
    </row>
    <row r="5427" spans="3:4" s="230" customFormat="1">
      <c r="C5427" s="16" t="str">
        <f>IFERROR(VLOOKUP(DATA!#REF!,DATA!#REF!,1,FALSE),"")</f>
        <v/>
      </c>
      <c r="D5427" s="16" t="str">
        <f>IFERROR(VLOOKUP(C5427,DATA!#REF!,2,FALSE),"")</f>
        <v/>
      </c>
    </row>
    <row r="5428" spans="3:4" s="230" customFormat="1">
      <c r="C5428" s="16" t="str">
        <f>IFERROR(VLOOKUP(DATA!#REF!,DATA!#REF!,1,FALSE),"")</f>
        <v/>
      </c>
      <c r="D5428" s="16" t="str">
        <f>IFERROR(VLOOKUP(C5428,DATA!#REF!,2,FALSE),"")</f>
        <v/>
      </c>
    </row>
    <row r="5429" spans="3:4" s="230" customFormat="1">
      <c r="C5429" s="16" t="str">
        <f>IFERROR(VLOOKUP(DATA!#REF!,DATA!#REF!,1,FALSE),"")</f>
        <v/>
      </c>
      <c r="D5429" s="16" t="str">
        <f>IFERROR(VLOOKUP(C5429,DATA!#REF!,2,FALSE),"")</f>
        <v/>
      </c>
    </row>
    <row r="5430" spans="3:4" s="230" customFormat="1">
      <c r="C5430" s="16" t="str">
        <f>IFERROR(VLOOKUP(DATA!#REF!,DATA!#REF!,1,FALSE),"")</f>
        <v/>
      </c>
      <c r="D5430" s="16" t="str">
        <f>IFERROR(VLOOKUP(C5430,DATA!#REF!,2,FALSE),"")</f>
        <v/>
      </c>
    </row>
    <row r="5431" spans="3:4" s="230" customFormat="1">
      <c r="C5431" s="16" t="str">
        <f>IFERROR(VLOOKUP(DATA!#REF!,DATA!#REF!,1,FALSE),"")</f>
        <v/>
      </c>
      <c r="D5431" s="16" t="str">
        <f>IFERROR(VLOOKUP(C5431,DATA!#REF!,2,FALSE),"")</f>
        <v/>
      </c>
    </row>
    <row r="5432" spans="3:4" s="230" customFormat="1">
      <c r="C5432" s="16" t="str">
        <f>IFERROR(VLOOKUP(DATA!#REF!,DATA!#REF!,1,FALSE),"")</f>
        <v/>
      </c>
      <c r="D5432" s="16" t="str">
        <f>IFERROR(VLOOKUP(C5432,DATA!#REF!,2,FALSE),"")</f>
        <v/>
      </c>
    </row>
    <row r="5433" spans="3:4" s="230" customFormat="1">
      <c r="C5433" s="16" t="str">
        <f>IFERROR(VLOOKUP(DATA!#REF!,DATA!#REF!,1,FALSE),"")</f>
        <v/>
      </c>
      <c r="D5433" s="16" t="str">
        <f>IFERROR(VLOOKUP(C5433,DATA!#REF!,2,FALSE),"")</f>
        <v/>
      </c>
    </row>
    <row r="5434" spans="3:4" s="230" customFormat="1">
      <c r="C5434" s="16" t="str">
        <f>IFERROR(VLOOKUP(DATA!#REF!,DATA!#REF!,1,FALSE),"")</f>
        <v/>
      </c>
      <c r="D5434" s="16" t="str">
        <f>IFERROR(VLOOKUP(C5434,DATA!#REF!,2,FALSE),"")</f>
        <v/>
      </c>
    </row>
    <row r="5435" spans="3:4" s="230" customFormat="1">
      <c r="C5435" s="16" t="str">
        <f>IFERROR(VLOOKUP(DATA!#REF!,DATA!#REF!,1,FALSE),"")</f>
        <v/>
      </c>
      <c r="D5435" s="16" t="str">
        <f>IFERROR(VLOOKUP(C5435,DATA!#REF!,2,FALSE),"")</f>
        <v/>
      </c>
    </row>
    <row r="5436" spans="3:4" s="230" customFormat="1">
      <c r="C5436" s="16" t="str">
        <f>IFERROR(VLOOKUP(DATA!#REF!,DATA!#REF!,1,FALSE),"")</f>
        <v/>
      </c>
      <c r="D5436" s="16" t="str">
        <f>IFERROR(VLOOKUP(C5436,DATA!#REF!,2,FALSE),"")</f>
        <v/>
      </c>
    </row>
    <row r="5437" spans="3:4" s="230" customFormat="1">
      <c r="C5437" s="16" t="str">
        <f>IFERROR(VLOOKUP(DATA!#REF!,DATA!#REF!,1,FALSE),"")</f>
        <v/>
      </c>
      <c r="D5437" s="16" t="str">
        <f>IFERROR(VLOOKUP(C5437,DATA!#REF!,2,FALSE),"")</f>
        <v/>
      </c>
    </row>
    <row r="5438" spans="3:4" s="230" customFormat="1">
      <c r="C5438" s="16" t="str">
        <f>IFERROR(VLOOKUP(DATA!#REF!,DATA!#REF!,1,FALSE),"")</f>
        <v/>
      </c>
      <c r="D5438" s="16" t="str">
        <f>IFERROR(VLOOKUP(C5438,DATA!#REF!,2,FALSE),"")</f>
        <v/>
      </c>
    </row>
    <row r="5439" spans="3:4" s="230" customFormat="1">
      <c r="C5439" s="16" t="str">
        <f>IFERROR(VLOOKUP(DATA!#REF!,DATA!#REF!,1,FALSE),"")</f>
        <v/>
      </c>
      <c r="D5439" s="16" t="str">
        <f>IFERROR(VLOOKUP(C5439,DATA!#REF!,2,FALSE),"")</f>
        <v/>
      </c>
    </row>
    <row r="5440" spans="3:4" s="230" customFormat="1">
      <c r="C5440" s="16" t="str">
        <f>IFERROR(VLOOKUP(DATA!#REF!,DATA!#REF!,1,FALSE),"")</f>
        <v/>
      </c>
      <c r="D5440" s="16" t="str">
        <f>IFERROR(VLOOKUP(C5440,DATA!#REF!,2,FALSE),"")</f>
        <v/>
      </c>
    </row>
    <row r="5441" spans="3:4" s="230" customFormat="1">
      <c r="C5441" s="16" t="str">
        <f>IFERROR(VLOOKUP(DATA!#REF!,DATA!#REF!,1,FALSE),"")</f>
        <v/>
      </c>
      <c r="D5441" s="16" t="str">
        <f>IFERROR(VLOOKUP(C5441,DATA!#REF!,2,FALSE),"")</f>
        <v/>
      </c>
    </row>
    <row r="5442" spans="3:4" s="230" customFormat="1">
      <c r="C5442" s="16" t="str">
        <f>IFERROR(VLOOKUP(DATA!#REF!,DATA!#REF!,1,FALSE),"")</f>
        <v/>
      </c>
      <c r="D5442" s="16" t="str">
        <f>IFERROR(VLOOKUP(C5442,DATA!#REF!,2,FALSE),"")</f>
        <v/>
      </c>
    </row>
    <row r="5443" spans="3:4" s="230" customFormat="1">
      <c r="C5443" s="16" t="str">
        <f>IFERROR(VLOOKUP(DATA!#REF!,DATA!#REF!,1,FALSE),"")</f>
        <v/>
      </c>
      <c r="D5443" s="16" t="str">
        <f>IFERROR(VLOOKUP(C5443,DATA!#REF!,2,FALSE),"")</f>
        <v/>
      </c>
    </row>
    <row r="5444" spans="3:4" s="230" customFormat="1">
      <c r="C5444" s="16" t="str">
        <f>IFERROR(VLOOKUP(DATA!#REF!,DATA!#REF!,1,FALSE),"")</f>
        <v/>
      </c>
      <c r="D5444" s="16" t="str">
        <f>IFERROR(VLOOKUP(C5444,DATA!#REF!,2,FALSE),"")</f>
        <v/>
      </c>
    </row>
    <row r="5445" spans="3:4" s="230" customFormat="1">
      <c r="C5445" s="16" t="str">
        <f>IFERROR(VLOOKUP(DATA!#REF!,DATA!#REF!,1,FALSE),"")</f>
        <v/>
      </c>
      <c r="D5445" s="16" t="str">
        <f>IFERROR(VLOOKUP(C5445,DATA!#REF!,2,FALSE),"")</f>
        <v/>
      </c>
    </row>
    <row r="5446" spans="3:4" s="230" customFormat="1">
      <c r="C5446" s="16" t="str">
        <f>IFERROR(VLOOKUP(DATA!#REF!,DATA!#REF!,1,FALSE),"")</f>
        <v/>
      </c>
      <c r="D5446" s="16" t="str">
        <f>IFERROR(VLOOKUP(C5446,DATA!#REF!,2,FALSE),"")</f>
        <v/>
      </c>
    </row>
    <row r="5447" spans="3:4" s="230" customFormat="1">
      <c r="C5447" s="16" t="str">
        <f>IFERROR(VLOOKUP(DATA!#REF!,DATA!#REF!,1,FALSE),"")</f>
        <v/>
      </c>
      <c r="D5447" s="16" t="str">
        <f>IFERROR(VLOOKUP(C5447,DATA!#REF!,2,FALSE),"")</f>
        <v/>
      </c>
    </row>
    <row r="5448" spans="3:4" s="230" customFormat="1">
      <c r="C5448" s="16" t="str">
        <f>IFERROR(VLOOKUP(DATA!#REF!,DATA!#REF!,1,FALSE),"")</f>
        <v/>
      </c>
      <c r="D5448" s="16" t="str">
        <f>IFERROR(VLOOKUP(C5448,DATA!#REF!,2,FALSE),"")</f>
        <v/>
      </c>
    </row>
    <row r="5449" spans="3:4" s="230" customFormat="1">
      <c r="C5449" s="16" t="str">
        <f>IFERROR(VLOOKUP(DATA!#REF!,DATA!#REF!,1,FALSE),"")</f>
        <v/>
      </c>
      <c r="D5449" s="16" t="str">
        <f>IFERROR(VLOOKUP(C5449,DATA!#REF!,2,FALSE),"")</f>
        <v/>
      </c>
    </row>
    <row r="5450" spans="3:4" s="230" customFormat="1">
      <c r="C5450" s="16" t="str">
        <f>IFERROR(VLOOKUP(DATA!#REF!,DATA!#REF!,1,FALSE),"")</f>
        <v/>
      </c>
      <c r="D5450" s="16" t="str">
        <f>IFERROR(VLOOKUP(C5450,DATA!#REF!,2,FALSE),"")</f>
        <v/>
      </c>
    </row>
    <row r="5451" spans="3:4" s="230" customFormat="1">
      <c r="C5451" s="16" t="str">
        <f>IFERROR(VLOOKUP(DATA!#REF!,DATA!#REF!,1,FALSE),"")</f>
        <v/>
      </c>
      <c r="D5451" s="16" t="str">
        <f>IFERROR(VLOOKUP(C5451,DATA!#REF!,2,FALSE),"")</f>
        <v/>
      </c>
    </row>
    <row r="5452" spans="3:4" s="230" customFormat="1">
      <c r="C5452" s="16" t="str">
        <f>IFERROR(VLOOKUP(DATA!#REF!,DATA!#REF!,1,FALSE),"")</f>
        <v/>
      </c>
      <c r="D5452" s="16" t="str">
        <f>IFERROR(VLOOKUP(C5452,DATA!#REF!,2,FALSE),"")</f>
        <v/>
      </c>
    </row>
    <row r="5453" spans="3:4" s="230" customFormat="1">
      <c r="C5453" s="16" t="str">
        <f>IFERROR(VLOOKUP(DATA!#REF!,DATA!#REF!,1,FALSE),"")</f>
        <v/>
      </c>
      <c r="D5453" s="16" t="str">
        <f>IFERROR(VLOOKUP(C5453,DATA!#REF!,2,FALSE),"")</f>
        <v/>
      </c>
    </row>
    <row r="5454" spans="3:4" s="230" customFormat="1">
      <c r="C5454" s="16" t="str">
        <f>IFERROR(VLOOKUP(DATA!#REF!,DATA!#REF!,1,FALSE),"")</f>
        <v/>
      </c>
      <c r="D5454" s="16" t="str">
        <f>IFERROR(VLOOKUP(C5454,DATA!#REF!,2,FALSE),"")</f>
        <v/>
      </c>
    </row>
    <row r="5455" spans="3:4" s="230" customFormat="1">
      <c r="C5455" s="16" t="str">
        <f>IFERROR(VLOOKUP(DATA!#REF!,DATA!#REF!,1,FALSE),"")</f>
        <v/>
      </c>
      <c r="D5455" s="16" t="str">
        <f>IFERROR(VLOOKUP(C5455,DATA!#REF!,2,FALSE),"")</f>
        <v/>
      </c>
    </row>
    <row r="5456" spans="3:4" s="230" customFormat="1">
      <c r="C5456" s="16" t="str">
        <f>IFERROR(VLOOKUP(DATA!#REF!,DATA!#REF!,1,FALSE),"")</f>
        <v/>
      </c>
      <c r="D5456" s="16" t="str">
        <f>IFERROR(VLOOKUP(C5456,DATA!#REF!,2,FALSE),"")</f>
        <v/>
      </c>
    </row>
    <row r="5457" spans="3:4" s="230" customFormat="1">
      <c r="C5457" s="16" t="str">
        <f>IFERROR(VLOOKUP(DATA!#REF!,DATA!#REF!,1,FALSE),"")</f>
        <v/>
      </c>
      <c r="D5457" s="16" t="str">
        <f>IFERROR(VLOOKUP(C5457,DATA!#REF!,2,FALSE),"")</f>
        <v/>
      </c>
    </row>
    <row r="5458" spans="3:4" s="230" customFormat="1">
      <c r="C5458" s="16" t="str">
        <f>IFERROR(VLOOKUP(DATA!#REF!,DATA!#REF!,1,FALSE),"")</f>
        <v/>
      </c>
      <c r="D5458" s="16" t="str">
        <f>IFERROR(VLOOKUP(C5458,DATA!#REF!,2,FALSE),"")</f>
        <v/>
      </c>
    </row>
    <row r="5459" spans="3:4" s="230" customFormat="1">
      <c r="C5459" s="16" t="str">
        <f>IFERROR(VLOOKUP(DATA!#REF!,DATA!#REF!,1,FALSE),"")</f>
        <v/>
      </c>
      <c r="D5459" s="16" t="str">
        <f>IFERROR(VLOOKUP(C5459,DATA!#REF!,2,FALSE),"")</f>
        <v/>
      </c>
    </row>
    <row r="5460" spans="3:4" s="230" customFormat="1">
      <c r="C5460" s="16" t="str">
        <f>IFERROR(VLOOKUP(DATA!#REF!,DATA!#REF!,1,FALSE),"")</f>
        <v/>
      </c>
      <c r="D5460" s="16" t="str">
        <f>IFERROR(VLOOKUP(C5460,DATA!#REF!,2,FALSE),"")</f>
        <v/>
      </c>
    </row>
    <row r="5461" spans="3:4" s="230" customFormat="1">
      <c r="C5461" s="16" t="str">
        <f>IFERROR(VLOOKUP(DATA!#REF!,DATA!#REF!,1,FALSE),"")</f>
        <v/>
      </c>
      <c r="D5461" s="16" t="str">
        <f>IFERROR(VLOOKUP(C5461,DATA!#REF!,2,FALSE),"")</f>
        <v/>
      </c>
    </row>
    <row r="5462" spans="3:4" s="230" customFormat="1">
      <c r="C5462" s="16" t="str">
        <f>IFERROR(VLOOKUP(DATA!#REF!,DATA!#REF!,1,FALSE),"")</f>
        <v/>
      </c>
      <c r="D5462" s="16" t="str">
        <f>IFERROR(VLOOKUP(C5462,DATA!#REF!,2,FALSE),"")</f>
        <v/>
      </c>
    </row>
    <row r="5463" spans="3:4" s="230" customFormat="1">
      <c r="C5463" s="16" t="str">
        <f>IFERROR(VLOOKUP(DATA!#REF!,DATA!#REF!,1,FALSE),"")</f>
        <v/>
      </c>
      <c r="D5463" s="16" t="str">
        <f>IFERROR(VLOOKUP(C5463,DATA!#REF!,2,FALSE),"")</f>
        <v/>
      </c>
    </row>
    <row r="5464" spans="3:4" s="230" customFormat="1">
      <c r="C5464" s="16" t="str">
        <f>IFERROR(VLOOKUP(DATA!#REF!,DATA!#REF!,1,FALSE),"")</f>
        <v/>
      </c>
      <c r="D5464" s="16" t="str">
        <f>IFERROR(VLOOKUP(C5464,DATA!#REF!,2,FALSE),"")</f>
        <v/>
      </c>
    </row>
    <row r="5465" spans="3:4" s="230" customFormat="1">
      <c r="C5465" s="16" t="str">
        <f>IFERROR(VLOOKUP(DATA!#REF!,DATA!#REF!,1,FALSE),"")</f>
        <v/>
      </c>
      <c r="D5465" s="16" t="str">
        <f>IFERROR(VLOOKUP(C5465,DATA!#REF!,2,FALSE),"")</f>
        <v/>
      </c>
    </row>
    <row r="5466" spans="3:4" s="230" customFormat="1">
      <c r="C5466" s="16" t="str">
        <f>IFERROR(VLOOKUP(DATA!#REF!,DATA!#REF!,1,FALSE),"")</f>
        <v/>
      </c>
      <c r="D5466" s="16" t="str">
        <f>IFERROR(VLOOKUP(C5466,DATA!#REF!,2,FALSE),"")</f>
        <v/>
      </c>
    </row>
    <row r="5467" spans="3:4" s="230" customFormat="1">
      <c r="C5467" s="16" t="str">
        <f>IFERROR(VLOOKUP(DATA!#REF!,DATA!#REF!,1,FALSE),"")</f>
        <v/>
      </c>
      <c r="D5467" s="16" t="str">
        <f>IFERROR(VLOOKUP(C5467,DATA!#REF!,2,FALSE),"")</f>
        <v/>
      </c>
    </row>
    <row r="5468" spans="3:4" s="230" customFormat="1">
      <c r="C5468" s="16" t="str">
        <f>IFERROR(VLOOKUP(DATA!#REF!,DATA!#REF!,1,FALSE),"")</f>
        <v/>
      </c>
      <c r="D5468" s="16" t="str">
        <f>IFERROR(VLOOKUP(C5468,DATA!#REF!,2,FALSE),"")</f>
        <v/>
      </c>
    </row>
    <row r="5469" spans="3:4" s="230" customFormat="1">
      <c r="C5469" s="16" t="str">
        <f>IFERROR(VLOOKUP(DATA!#REF!,DATA!#REF!,1,FALSE),"")</f>
        <v/>
      </c>
      <c r="D5469" s="16" t="str">
        <f>IFERROR(VLOOKUP(C5469,DATA!#REF!,2,FALSE),"")</f>
        <v/>
      </c>
    </row>
    <row r="5470" spans="3:4" s="230" customFormat="1">
      <c r="C5470" s="16" t="str">
        <f>IFERROR(VLOOKUP(DATA!#REF!,DATA!#REF!,1,FALSE),"")</f>
        <v/>
      </c>
      <c r="D5470" s="16" t="str">
        <f>IFERROR(VLOOKUP(C5470,DATA!#REF!,2,FALSE),"")</f>
        <v/>
      </c>
    </row>
    <row r="5471" spans="3:4" s="230" customFormat="1">
      <c r="C5471" s="16" t="str">
        <f>IFERROR(VLOOKUP(DATA!#REF!,DATA!#REF!,1,FALSE),"")</f>
        <v/>
      </c>
      <c r="D5471" s="16" t="str">
        <f>IFERROR(VLOOKUP(C5471,DATA!#REF!,2,FALSE),"")</f>
        <v/>
      </c>
    </row>
    <row r="5472" spans="3:4" s="230" customFormat="1">
      <c r="C5472" s="16" t="str">
        <f>IFERROR(VLOOKUP(DATA!#REF!,DATA!#REF!,1,FALSE),"")</f>
        <v/>
      </c>
      <c r="D5472" s="16" t="str">
        <f>IFERROR(VLOOKUP(C5472,DATA!#REF!,2,FALSE),"")</f>
        <v/>
      </c>
    </row>
    <row r="5473" spans="3:4" s="230" customFormat="1">
      <c r="C5473" s="16" t="str">
        <f>IFERROR(VLOOKUP(DATA!#REF!,DATA!#REF!,1,FALSE),"")</f>
        <v/>
      </c>
      <c r="D5473" s="16" t="str">
        <f>IFERROR(VLOOKUP(C5473,DATA!#REF!,2,FALSE),"")</f>
        <v/>
      </c>
    </row>
    <row r="5474" spans="3:4" s="230" customFormat="1">
      <c r="C5474" s="16" t="str">
        <f>IFERROR(VLOOKUP(DATA!#REF!,DATA!#REF!,1,FALSE),"")</f>
        <v/>
      </c>
      <c r="D5474" s="16" t="str">
        <f>IFERROR(VLOOKUP(C5474,DATA!#REF!,2,FALSE),"")</f>
        <v/>
      </c>
    </row>
    <row r="5475" spans="3:4" s="230" customFormat="1">
      <c r="C5475" s="16" t="str">
        <f>IFERROR(VLOOKUP(DATA!#REF!,DATA!#REF!,1,FALSE),"")</f>
        <v/>
      </c>
      <c r="D5475" s="16" t="str">
        <f>IFERROR(VLOOKUP(C5475,DATA!#REF!,2,FALSE),"")</f>
        <v/>
      </c>
    </row>
    <row r="5476" spans="3:4" s="230" customFormat="1">
      <c r="C5476" s="16" t="str">
        <f>IFERROR(VLOOKUP(DATA!#REF!,DATA!#REF!,1,FALSE),"")</f>
        <v/>
      </c>
      <c r="D5476" s="16" t="str">
        <f>IFERROR(VLOOKUP(C5476,DATA!#REF!,2,FALSE),"")</f>
        <v/>
      </c>
    </row>
    <row r="5477" spans="3:4" s="230" customFormat="1">
      <c r="C5477" s="16" t="str">
        <f>IFERROR(VLOOKUP(DATA!#REF!,DATA!#REF!,1,FALSE),"")</f>
        <v/>
      </c>
      <c r="D5477" s="16" t="str">
        <f>IFERROR(VLOOKUP(C5477,DATA!#REF!,2,FALSE),"")</f>
        <v/>
      </c>
    </row>
    <row r="5478" spans="3:4" s="230" customFormat="1">
      <c r="C5478" s="16" t="str">
        <f>IFERROR(VLOOKUP(DATA!#REF!,DATA!#REF!,1,FALSE),"")</f>
        <v/>
      </c>
      <c r="D5478" s="16" t="str">
        <f>IFERROR(VLOOKUP(C5478,DATA!#REF!,2,FALSE),"")</f>
        <v/>
      </c>
    </row>
    <row r="5479" spans="3:4" s="230" customFormat="1">
      <c r="C5479" s="16" t="str">
        <f>IFERROR(VLOOKUP(DATA!#REF!,DATA!#REF!,1,FALSE),"")</f>
        <v/>
      </c>
      <c r="D5479" s="16" t="str">
        <f>IFERROR(VLOOKUP(C5479,DATA!#REF!,2,FALSE),"")</f>
        <v/>
      </c>
    </row>
    <row r="5480" spans="3:4" s="230" customFormat="1">
      <c r="C5480" s="16" t="str">
        <f>IFERROR(VLOOKUP(DATA!#REF!,DATA!#REF!,1,FALSE),"")</f>
        <v/>
      </c>
      <c r="D5480" s="16" t="str">
        <f>IFERROR(VLOOKUP(C5480,DATA!#REF!,2,FALSE),"")</f>
        <v/>
      </c>
    </row>
    <row r="5481" spans="3:4" s="230" customFormat="1">
      <c r="C5481" s="16" t="str">
        <f>IFERROR(VLOOKUP(DATA!#REF!,DATA!#REF!,1,FALSE),"")</f>
        <v/>
      </c>
      <c r="D5481" s="16" t="str">
        <f>IFERROR(VLOOKUP(C5481,DATA!#REF!,2,FALSE),"")</f>
        <v/>
      </c>
    </row>
    <row r="5482" spans="3:4" s="230" customFormat="1">
      <c r="C5482" s="16" t="str">
        <f>IFERROR(VLOOKUP(DATA!#REF!,DATA!#REF!,1,FALSE),"")</f>
        <v/>
      </c>
      <c r="D5482" s="16" t="str">
        <f>IFERROR(VLOOKUP(C5482,DATA!#REF!,2,FALSE),"")</f>
        <v/>
      </c>
    </row>
    <row r="5483" spans="3:4" s="230" customFormat="1">
      <c r="C5483" s="16" t="str">
        <f>IFERROR(VLOOKUP(DATA!#REF!,DATA!#REF!,1,FALSE),"")</f>
        <v/>
      </c>
      <c r="D5483" s="16" t="str">
        <f>IFERROR(VLOOKUP(C5483,DATA!#REF!,2,FALSE),"")</f>
        <v/>
      </c>
    </row>
    <row r="5484" spans="3:4" s="230" customFormat="1">
      <c r="C5484" s="16" t="str">
        <f>IFERROR(VLOOKUP(DATA!#REF!,DATA!#REF!,1,FALSE),"")</f>
        <v/>
      </c>
      <c r="D5484" s="16" t="str">
        <f>IFERROR(VLOOKUP(C5484,DATA!#REF!,2,FALSE),"")</f>
        <v/>
      </c>
    </row>
    <row r="5485" spans="3:4" s="230" customFormat="1">
      <c r="C5485" s="16" t="str">
        <f>IFERROR(VLOOKUP(DATA!#REF!,DATA!#REF!,1,FALSE),"")</f>
        <v/>
      </c>
      <c r="D5485" s="16" t="str">
        <f>IFERROR(VLOOKUP(C5485,DATA!#REF!,2,FALSE),"")</f>
        <v/>
      </c>
    </row>
    <row r="5486" spans="3:4" s="230" customFormat="1">
      <c r="C5486" s="16" t="str">
        <f>IFERROR(VLOOKUP(DATA!#REF!,DATA!#REF!,1,FALSE),"")</f>
        <v/>
      </c>
      <c r="D5486" s="16" t="str">
        <f>IFERROR(VLOOKUP(C5486,DATA!#REF!,2,FALSE),"")</f>
        <v/>
      </c>
    </row>
    <row r="5487" spans="3:4" s="230" customFormat="1">
      <c r="C5487" s="16" t="str">
        <f>IFERROR(VLOOKUP(DATA!#REF!,DATA!#REF!,1,FALSE),"")</f>
        <v/>
      </c>
      <c r="D5487" s="16" t="str">
        <f>IFERROR(VLOOKUP(C5487,DATA!#REF!,2,FALSE),"")</f>
        <v/>
      </c>
    </row>
    <row r="5488" spans="3:4" s="230" customFormat="1">
      <c r="C5488" s="16" t="str">
        <f>IFERROR(VLOOKUP(DATA!#REF!,DATA!#REF!,1,FALSE),"")</f>
        <v/>
      </c>
      <c r="D5488" s="16" t="str">
        <f>IFERROR(VLOOKUP(C5488,DATA!#REF!,2,FALSE),"")</f>
        <v/>
      </c>
    </row>
    <row r="5489" spans="3:4" s="230" customFormat="1">
      <c r="C5489" s="16" t="str">
        <f>IFERROR(VLOOKUP(DATA!#REF!,DATA!#REF!,1,FALSE),"")</f>
        <v/>
      </c>
      <c r="D5489" s="16" t="str">
        <f>IFERROR(VLOOKUP(C5489,DATA!#REF!,2,FALSE),"")</f>
        <v/>
      </c>
    </row>
    <row r="5490" spans="3:4" s="230" customFormat="1">
      <c r="C5490" s="16" t="str">
        <f>IFERROR(VLOOKUP(DATA!#REF!,DATA!#REF!,1,FALSE),"")</f>
        <v/>
      </c>
      <c r="D5490" s="16" t="str">
        <f>IFERROR(VLOOKUP(C5490,DATA!#REF!,2,FALSE),"")</f>
        <v/>
      </c>
    </row>
    <row r="5491" spans="3:4" s="230" customFormat="1">
      <c r="C5491" s="16" t="str">
        <f>IFERROR(VLOOKUP(DATA!#REF!,DATA!#REF!,1,FALSE),"")</f>
        <v/>
      </c>
      <c r="D5491" s="16" t="str">
        <f>IFERROR(VLOOKUP(C5491,DATA!#REF!,2,FALSE),"")</f>
        <v/>
      </c>
    </row>
    <row r="5492" spans="3:4" s="230" customFormat="1">
      <c r="C5492" s="16" t="str">
        <f>IFERROR(VLOOKUP(DATA!#REF!,DATA!#REF!,1,FALSE),"")</f>
        <v/>
      </c>
      <c r="D5492" s="16" t="str">
        <f>IFERROR(VLOOKUP(C5492,DATA!#REF!,2,FALSE),"")</f>
        <v/>
      </c>
    </row>
    <row r="5493" spans="3:4" s="230" customFormat="1">
      <c r="C5493" s="16" t="str">
        <f>IFERROR(VLOOKUP(DATA!#REF!,DATA!#REF!,1,FALSE),"")</f>
        <v/>
      </c>
      <c r="D5493" s="16" t="str">
        <f>IFERROR(VLOOKUP(C5493,DATA!#REF!,2,FALSE),"")</f>
        <v/>
      </c>
    </row>
    <row r="5494" spans="3:4" s="230" customFormat="1">
      <c r="C5494" s="16" t="str">
        <f>IFERROR(VLOOKUP(DATA!#REF!,DATA!#REF!,1,FALSE),"")</f>
        <v/>
      </c>
      <c r="D5494" s="16" t="str">
        <f>IFERROR(VLOOKUP(C5494,DATA!#REF!,2,FALSE),"")</f>
        <v/>
      </c>
    </row>
    <row r="5495" spans="3:4" s="230" customFormat="1">
      <c r="C5495" s="16" t="str">
        <f>IFERROR(VLOOKUP(DATA!#REF!,DATA!#REF!,1,FALSE),"")</f>
        <v/>
      </c>
      <c r="D5495" s="16" t="str">
        <f>IFERROR(VLOOKUP(C5495,DATA!#REF!,2,FALSE),"")</f>
        <v/>
      </c>
    </row>
    <row r="5496" spans="3:4" s="230" customFormat="1">
      <c r="C5496" s="16" t="str">
        <f>IFERROR(VLOOKUP(DATA!#REF!,DATA!#REF!,1,FALSE),"")</f>
        <v/>
      </c>
      <c r="D5496" s="16" t="str">
        <f>IFERROR(VLOOKUP(C5496,DATA!#REF!,2,FALSE),"")</f>
        <v/>
      </c>
    </row>
    <row r="5497" spans="3:4" s="230" customFormat="1">
      <c r="C5497" s="16" t="str">
        <f>IFERROR(VLOOKUP(DATA!#REF!,DATA!#REF!,1,FALSE),"")</f>
        <v/>
      </c>
      <c r="D5497" s="16" t="str">
        <f>IFERROR(VLOOKUP(C5497,DATA!#REF!,2,FALSE),"")</f>
        <v/>
      </c>
    </row>
    <row r="5498" spans="3:4" s="230" customFormat="1">
      <c r="C5498" s="16" t="str">
        <f>IFERROR(VLOOKUP(DATA!#REF!,DATA!#REF!,1,FALSE),"")</f>
        <v/>
      </c>
      <c r="D5498" s="16" t="str">
        <f>IFERROR(VLOOKUP(C5498,DATA!#REF!,2,FALSE),"")</f>
        <v/>
      </c>
    </row>
    <row r="5499" spans="3:4" s="230" customFormat="1">
      <c r="C5499" s="16" t="str">
        <f>IFERROR(VLOOKUP(DATA!#REF!,DATA!#REF!,1,FALSE),"")</f>
        <v/>
      </c>
      <c r="D5499" s="16" t="str">
        <f>IFERROR(VLOOKUP(C5499,DATA!#REF!,2,FALSE),"")</f>
        <v/>
      </c>
    </row>
    <row r="5500" spans="3:4" s="230" customFormat="1">
      <c r="C5500" s="16" t="str">
        <f>IFERROR(VLOOKUP(DATA!#REF!,DATA!#REF!,1,FALSE),"")</f>
        <v/>
      </c>
      <c r="D5500" s="16" t="str">
        <f>IFERROR(VLOOKUP(C5500,DATA!#REF!,2,FALSE),"")</f>
        <v/>
      </c>
    </row>
    <row r="5501" spans="3:4" s="230" customFormat="1">
      <c r="C5501" s="16" t="str">
        <f>IFERROR(VLOOKUP(DATA!#REF!,DATA!#REF!,1,FALSE),"")</f>
        <v/>
      </c>
      <c r="D5501" s="16" t="str">
        <f>IFERROR(VLOOKUP(C5501,DATA!#REF!,2,FALSE),"")</f>
        <v/>
      </c>
    </row>
    <row r="5502" spans="3:4" s="230" customFormat="1">
      <c r="C5502" s="16" t="str">
        <f>IFERROR(VLOOKUP(DATA!#REF!,DATA!#REF!,1,FALSE),"")</f>
        <v/>
      </c>
      <c r="D5502" s="16" t="str">
        <f>IFERROR(VLOOKUP(C5502,DATA!#REF!,2,FALSE),"")</f>
        <v/>
      </c>
    </row>
    <row r="5503" spans="3:4" s="230" customFormat="1">
      <c r="C5503" s="16" t="str">
        <f>IFERROR(VLOOKUP(DATA!#REF!,DATA!#REF!,1,FALSE),"")</f>
        <v/>
      </c>
      <c r="D5503" s="16" t="str">
        <f>IFERROR(VLOOKUP(C5503,DATA!#REF!,2,FALSE),"")</f>
        <v/>
      </c>
    </row>
    <row r="5504" spans="3:4" s="230" customFormat="1">
      <c r="C5504" s="16" t="str">
        <f>IFERROR(VLOOKUP(DATA!#REF!,DATA!#REF!,1,FALSE),"")</f>
        <v/>
      </c>
      <c r="D5504" s="16" t="str">
        <f>IFERROR(VLOOKUP(C5504,DATA!#REF!,2,FALSE),"")</f>
        <v/>
      </c>
    </row>
    <row r="5505" spans="3:4" s="230" customFormat="1">
      <c r="C5505" s="16" t="str">
        <f>IFERROR(VLOOKUP(DATA!#REF!,DATA!#REF!,1,FALSE),"")</f>
        <v/>
      </c>
      <c r="D5505" s="16" t="str">
        <f>IFERROR(VLOOKUP(C5505,DATA!#REF!,2,FALSE),"")</f>
        <v/>
      </c>
    </row>
    <row r="5506" spans="3:4" s="230" customFormat="1">
      <c r="C5506" s="16" t="str">
        <f>IFERROR(VLOOKUP(DATA!#REF!,DATA!#REF!,1,FALSE),"")</f>
        <v/>
      </c>
      <c r="D5506" s="16" t="str">
        <f>IFERROR(VLOOKUP(C5506,DATA!#REF!,2,FALSE),"")</f>
        <v/>
      </c>
    </row>
    <row r="5507" spans="3:4" s="230" customFormat="1">
      <c r="C5507" s="16" t="str">
        <f>IFERROR(VLOOKUP(DATA!#REF!,DATA!#REF!,1,FALSE),"")</f>
        <v/>
      </c>
      <c r="D5507" s="16" t="str">
        <f>IFERROR(VLOOKUP(C5507,DATA!#REF!,2,FALSE),"")</f>
        <v/>
      </c>
    </row>
    <row r="5508" spans="3:4" s="230" customFormat="1">
      <c r="C5508" s="16" t="str">
        <f>IFERROR(VLOOKUP(DATA!#REF!,DATA!#REF!,1,FALSE),"")</f>
        <v/>
      </c>
      <c r="D5508" s="16" t="str">
        <f>IFERROR(VLOOKUP(C5508,DATA!#REF!,2,FALSE),"")</f>
        <v/>
      </c>
    </row>
    <row r="5509" spans="3:4" s="230" customFormat="1">
      <c r="C5509" s="16" t="str">
        <f>IFERROR(VLOOKUP(DATA!#REF!,DATA!#REF!,1,FALSE),"")</f>
        <v/>
      </c>
      <c r="D5509" s="16" t="str">
        <f>IFERROR(VLOOKUP(C5509,DATA!#REF!,2,FALSE),"")</f>
        <v/>
      </c>
    </row>
    <row r="5510" spans="3:4" s="230" customFormat="1">
      <c r="C5510" s="16" t="str">
        <f>IFERROR(VLOOKUP(DATA!#REF!,DATA!#REF!,1,FALSE),"")</f>
        <v/>
      </c>
      <c r="D5510" s="16" t="str">
        <f>IFERROR(VLOOKUP(C5510,DATA!#REF!,2,FALSE),"")</f>
        <v/>
      </c>
    </row>
    <row r="5511" spans="3:4" s="230" customFormat="1">
      <c r="C5511" s="16" t="str">
        <f>IFERROR(VLOOKUP(DATA!#REF!,DATA!#REF!,1,FALSE),"")</f>
        <v/>
      </c>
      <c r="D5511" s="16" t="str">
        <f>IFERROR(VLOOKUP(C5511,DATA!#REF!,2,FALSE),"")</f>
        <v/>
      </c>
    </row>
    <row r="5512" spans="3:4" s="230" customFormat="1">
      <c r="C5512" s="16" t="str">
        <f>IFERROR(VLOOKUP(DATA!#REF!,DATA!#REF!,1,FALSE),"")</f>
        <v/>
      </c>
      <c r="D5512" s="16" t="str">
        <f>IFERROR(VLOOKUP(C5512,DATA!#REF!,2,FALSE),"")</f>
        <v/>
      </c>
    </row>
    <row r="5513" spans="3:4" s="230" customFormat="1">
      <c r="C5513" s="16" t="str">
        <f>IFERROR(VLOOKUP(DATA!#REF!,DATA!#REF!,1,FALSE),"")</f>
        <v/>
      </c>
      <c r="D5513" s="16" t="str">
        <f>IFERROR(VLOOKUP(C5513,DATA!#REF!,2,FALSE),"")</f>
        <v/>
      </c>
    </row>
    <row r="5514" spans="3:4" s="230" customFormat="1">
      <c r="C5514" s="16" t="str">
        <f>IFERROR(VLOOKUP(DATA!#REF!,DATA!#REF!,1,FALSE),"")</f>
        <v/>
      </c>
      <c r="D5514" s="16" t="str">
        <f>IFERROR(VLOOKUP(C5514,DATA!#REF!,2,FALSE),"")</f>
        <v/>
      </c>
    </row>
    <row r="5515" spans="3:4" s="230" customFormat="1">
      <c r="C5515" s="16" t="str">
        <f>IFERROR(VLOOKUP(DATA!#REF!,DATA!#REF!,1,FALSE),"")</f>
        <v/>
      </c>
      <c r="D5515" s="16" t="str">
        <f>IFERROR(VLOOKUP(C5515,DATA!#REF!,2,FALSE),"")</f>
        <v/>
      </c>
    </row>
    <row r="5516" spans="3:4" s="230" customFormat="1">
      <c r="C5516" s="16" t="str">
        <f>IFERROR(VLOOKUP(DATA!#REF!,DATA!#REF!,1,FALSE),"")</f>
        <v/>
      </c>
      <c r="D5516" s="16" t="str">
        <f>IFERROR(VLOOKUP(C5516,DATA!#REF!,2,FALSE),"")</f>
        <v/>
      </c>
    </row>
    <row r="5517" spans="3:4" s="230" customFormat="1">
      <c r="C5517" s="16" t="str">
        <f>IFERROR(VLOOKUP(DATA!#REF!,DATA!#REF!,1,FALSE),"")</f>
        <v/>
      </c>
      <c r="D5517" s="16" t="str">
        <f>IFERROR(VLOOKUP(C5517,DATA!#REF!,2,FALSE),"")</f>
        <v/>
      </c>
    </row>
    <row r="5518" spans="3:4" s="230" customFormat="1">
      <c r="C5518" s="16" t="str">
        <f>IFERROR(VLOOKUP(DATA!#REF!,DATA!#REF!,1,FALSE),"")</f>
        <v/>
      </c>
      <c r="D5518" s="16" t="str">
        <f>IFERROR(VLOOKUP(C5518,DATA!#REF!,2,FALSE),"")</f>
        <v/>
      </c>
    </row>
    <row r="5519" spans="3:4" s="230" customFormat="1">
      <c r="C5519" s="16" t="str">
        <f>IFERROR(VLOOKUP(DATA!#REF!,DATA!#REF!,1,FALSE),"")</f>
        <v/>
      </c>
      <c r="D5519" s="16" t="str">
        <f>IFERROR(VLOOKUP(C5519,DATA!#REF!,2,FALSE),"")</f>
        <v/>
      </c>
    </row>
    <row r="5520" spans="3:4" s="230" customFormat="1">
      <c r="C5520" s="16" t="str">
        <f>IFERROR(VLOOKUP(DATA!#REF!,DATA!#REF!,1,FALSE),"")</f>
        <v/>
      </c>
      <c r="D5520" s="16" t="str">
        <f>IFERROR(VLOOKUP(C5520,DATA!#REF!,2,FALSE),"")</f>
        <v/>
      </c>
    </row>
    <row r="5521" spans="3:4" s="230" customFormat="1">
      <c r="C5521" s="16" t="str">
        <f>IFERROR(VLOOKUP(DATA!#REF!,DATA!#REF!,1,FALSE),"")</f>
        <v/>
      </c>
      <c r="D5521" s="16" t="str">
        <f>IFERROR(VLOOKUP(C5521,DATA!#REF!,2,FALSE),"")</f>
        <v/>
      </c>
    </row>
    <row r="5522" spans="3:4" s="230" customFormat="1">
      <c r="C5522" s="16" t="str">
        <f>IFERROR(VLOOKUP(DATA!#REF!,DATA!#REF!,1,FALSE),"")</f>
        <v/>
      </c>
      <c r="D5522" s="16" t="str">
        <f>IFERROR(VLOOKUP(C5522,DATA!#REF!,2,FALSE),"")</f>
        <v/>
      </c>
    </row>
    <row r="5523" spans="3:4" s="230" customFormat="1">
      <c r="C5523" s="16" t="str">
        <f>IFERROR(VLOOKUP(DATA!#REF!,DATA!#REF!,1,FALSE),"")</f>
        <v/>
      </c>
      <c r="D5523" s="16" t="str">
        <f>IFERROR(VLOOKUP(C5523,DATA!#REF!,2,FALSE),"")</f>
        <v/>
      </c>
    </row>
    <row r="5524" spans="3:4" s="230" customFormat="1">
      <c r="C5524" s="16" t="str">
        <f>IFERROR(VLOOKUP(DATA!#REF!,DATA!#REF!,1,FALSE),"")</f>
        <v/>
      </c>
      <c r="D5524" s="16" t="str">
        <f>IFERROR(VLOOKUP(C5524,DATA!#REF!,2,FALSE),"")</f>
        <v/>
      </c>
    </row>
    <row r="5525" spans="3:4" s="230" customFormat="1">
      <c r="C5525" s="16" t="str">
        <f>IFERROR(VLOOKUP(DATA!#REF!,DATA!#REF!,1,FALSE),"")</f>
        <v/>
      </c>
      <c r="D5525" s="16" t="str">
        <f>IFERROR(VLOOKUP(C5525,DATA!#REF!,2,FALSE),"")</f>
        <v/>
      </c>
    </row>
    <row r="5526" spans="3:4" s="230" customFormat="1">
      <c r="C5526" s="16" t="str">
        <f>IFERROR(VLOOKUP(DATA!#REF!,DATA!#REF!,1,FALSE),"")</f>
        <v/>
      </c>
      <c r="D5526" s="16" t="str">
        <f>IFERROR(VLOOKUP(C5526,DATA!#REF!,2,FALSE),"")</f>
        <v/>
      </c>
    </row>
    <row r="5527" spans="3:4" s="230" customFormat="1">
      <c r="C5527" s="16" t="str">
        <f>IFERROR(VLOOKUP(DATA!#REF!,DATA!#REF!,1,FALSE),"")</f>
        <v/>
      </c>
      <c r="D5527" s="16" t="str">
        <f>IFERROR(VLOOKUP(C5527,DATA!#REF!,2,FALSE),"")</f>
        <v/>
      </c>
    </row>
    <row r="5528" spans="3:4" s="230" customFormat="1">
      <c r="C5528" s="16" t="str">
        <f>IFERROR(VLOOKUP(DATA!#REF!,DATA!#REF!,1,FALSE),"")</f>
        <v/>
      </c>
      <c r="D5528" s="16" t="str">
        <f>IFERROR(VLOOKUP(C5528,DATA!#REF!,2,FALSE),"")</f>
        <v/>
      </c>
    </row>
    <row r="5529" spans="3:4" s="230" customFormat="1">
      <c r="C5529" s="16" t="str">
        <f>IFERROR(VLOOKUP(DATA!#REF!,DATA!#REF!,1,FALSE),"")</f>
        <v/>
      </c>
      <c r="D5529" s="16" t="str">
        <f>IFERROR(VLOOKUP(C5529,DATA!#REF!,2,FALSE),"")</f>
        <v/>
      </c>
    </row>
    <row r="5530" spans="3:4" s="230" customFormat="1">
      <c r="C5530" s="16" t="str">
        <f>IFERROR(VLOOKUP(DATA!#REF!,DATA!#REF!,1,FALSE),"")</f>
        <v/>
      </c>
      <c r="D5530" s="16" t="str">
        <f>IFERROR(VLOOKUP(C5530,DATA!#REF!,2,FALSE),"")</f>
        <v/>
      </c>
    </row>
    <row r="5531" spans="3:4" s="230" customFormat="1">
      <c r="C5531" s="16" t="str">
        <f>IFERROR(VLOOKUP(DATA!#REF!,DATA!#REF!,1,FALSE),"")</f>
        <v/>
      </c>
      <c r="D5531" s="16" t="str">
        <f>IFERROR(VLOOKUP(C5531,DATA!#REF!,2,FALSE),"")</f>
        <v/>
      </c>
    </row>
    <row r="5532" spans="3:4" s="230" customFormat="1">
      <c r="C5532" s="16" t="str">
        <f>IFERROR(VLOOKUP(DATA!#REF!,DATA!#REF!,1,FALSE),"")</f>
        <v/>
      </c>
      <c r="D5532" s="16" t="str">
        <f>IFERROR(VLOOKUP(C5532,DATA!#REF!,2,FALSE),"")</f>
        <v/>
      </c>
    </row>
    <row r="5533" spans="3:4" s="230" customFormat="1">
      <c r="C5533" s="16" t="str">
        <f>IFERROR(VLOOKUP(DATA!#REF!,DATA!#REF!,1,FALSE),"")</f>
        <v/>
      </c>
      <c r="D5533" s="16" t="str">
        <f>IFERROR(VLOOKUP(C5533,DATA!#REF!,2,FALSE),"")</f>
        <v/>
      </c>
    </row>
    <row r="5534" spans="3:4" s="230" customFormat="1">
      <c r="C5534" s="16" t="str">
        <f>IFERROR(VLOOKUP(DATA!#REF!,DATA!#REF!,1,FALSE),"")</f>
        <v/>
      </c>
      <c r="D5534" s="16" t="str">
        <f>IFERROR(VLOOKUP(C5534,DATA!#REF!,2,FALSE),"")</f>
        <v/>
      </c>
    </row>
    <row r="5535" spans="3:4" s="230" customFormat="1">
      <c r="C5535" s="16" t="str">
        <f>IFERROR(VLOOKUP(DATA!#REF!,DATA!#REF!,1,FALSE),"")</f>
        <v/>
      </c>
      <c r="D5535" s="16" t="str">
        <f>IFERROR(VLOOKUP(C5535,DATA!#REF!,2,FALSE),"")</f>
        <v/>
      </c>
    </row>
    <row r="5536" spans="3:4" s="230" customFormat="1">
      <c r="C5536" s="16" t="str">
        <f>IFERROR(VLOOKUP(DATA!#REF!,DATA!#REF!,1,FALSE),"")</f>
        <v/>
      </c>
      <c r="D5536" s="16" t="str">
        <f>IFERROR(VLOOKUP(C5536,DATA!#REF!,2,FALSE),"")</f>
        <v/>
      </c>
    </row>
    <row r="5537" spans="3:4" s="230" customFormat="1">
      <c r="C5537" s="16" t="str">
        <f>IFERROR(VLOOKUP(DATA!#REF!,DATA!#REF!,1,FALSE),"")</f>
        <v/>
      </c>
      <c r="D5537" s="16" t="str">
        <f>IFERROR(VLOOKUP(C5537,DATA!#REF!,2,FALSE),"")</f>
        <v/>
      </c>
    </row>
    <row r="5538" spans="3:4" s="230" customFormat="1">
      <c r="C5538" s="16" t="str">
        <f>IFERROR(VLOOKUP(DATA!#REF!,DATA!#REF!,1,FALSE),"")</f>
        <v/>
      </c>
      <c r="D5538" s="16" t="str">
        <f>IFERROR(VLOOKUP(C5538,DATA!#REF!,2,FALSE),"")</f>
        <v/>
      </c>
    </row>
    <row r="5539" spans="3:4" s="230" customFormat="1">
      <c r="C5539" s="16" t="str">
        <f>IFERROR(VLOOKUP(DATA!#REF!,DATA!#REF!,1,FALSE),"")</f>
        <v/>
      </c>
      <c r="D5539" s="16" t="str">
        <f>IFERROR(VLOOKUP(C5539,DATA!#REF!,2,FALSE),"")</f>
        <v/>
      </c>
    </row>
    <row r="5540" spans="3:4" s="230" customFormat="1">
      <c r="C5540" s="16" t="str">
        <f>IFERROR(VLOOKUP(DATA!#REF!,DATA!#REF!,1,FALSE),"")</f>
        <v/>
      </c>
      <c r="D5540" s="16" t="str">
        <f>IFERROR(VLOOKUP(C5540,DATA!#REF!,2,FALSE),"")</f>
        <v/>
      </c>
    </row>
    <row r="5541" spans="3:4" s="230" customFormat="1">
      <c r="C5541" s="16" t="str">
        <f>IFERROR(VLOOKUP(DATA!#REF!,DATA!#REF!,1,FALSE),"")</f>
        <v/>
      </c>
      <c r="D5541" s="16" t="str">
        <f>IFERROR(VLOOKUP(C5541,DATA!#REF!,2,FALSE),"")</f>
        <v/>
      </c>
    </row>
    <row r="5542" spans="3:4" s="230" customFormat="1">
      <c r="C5542" s="16" t="str">
        <f>IFERROR(VLOOKUP(DATA!#REF!,DATA!#REF!,1,FALSE),"")</f>
        <v/>
      </c>
      <c r="D5542" s="16" t="str">
        <f>IFERROR(VLOOKUP(C5542,DATA!#REF!,2,FALSE),"")</f>
        <v/>
      </c>
    </row>
    <row r="5543" spans="3:4" s="230" customFormat="1">
      <c r="C5543" s="16" t="str">
        <f>IFERROR(VLOOKUP(DATA!#REF!,DATA!#REF!,1,FALSE),"")</f>
        <v/>
      </c>
      <c r="D5543" s="16" t="str">
        <f>IFERROR(VLOOKUP(C5543,DATA!#REF!,2,FALSE),"")</f>
        <v/>
      </c>
    </row>
    <row r="5544" spans="3:4" s="230" customFormat="1">
      <c r="C5544" s="16" t="str">
        <f>IFERROR(VLOOKUP(DATA!#REF!,DATA!#REF!,1,FALSE),"")</f>
        <v/>
      </c>
      <c r="D5544" s="16" t="str">
        <f>IFERROR(VLOOKUP(C5544,DATA!#REF!,2,FALSE),"")</f>
        <v/>
      </c>
    </row>
    <row r="5545" spans="3:4" s="230" customFormat="1">
      <c r="C5545" s="16" t="str">
        <f>IFERROR(VLOOKUP(DATA!#REF!,DATA!#REF!,1,FALSE),"")</f>
        <v/>
      </c>
      <c r="D5545" s="16" t="str">
        <f>IFERROR(VLOOKUP(C5545,DATA!#REF!,2,FALSE),"")</f>
        <v/>
      </c>
    </row>
    <row r="5546" spans="3:4" s="230" customFormat="1">
      <c r="C5546" s="16" t="str">
        <f>IFERROR(VLOOKUP(DATA!#REF!,DATA!#REF!,1,FALSE),"")</f>
        <v/>
      </c>
      <c r="D5546" s="16" t="str">
        <f>IFERROR(VLOOKUP(C5546,DATA!#REF!,2,FALSE),"")</f>
        <v/>
      </c>
    </row>
    <row r="5547" spans="3:4" s="230" customFormat="1">
      <c r="C5547" s="16" t="str">
        <f>IFERROR(VLOOKUP(DATA!#REF!,DATA!#REF!,1,FALSE),"")</f>
        <v/>
      </c>
      <c r="D5547" s="16" t="str">
        <f>IFERROR(VLOOKUP(C5547,DATA!#REF!,2,FALSE),"")</f>
        <v/>
      </c>
    </row>
    <row r="5548" spans="3:4" s="230" customFormat="1">
      <c r="C5548" s="16" t="str">
        <f>IFERROR(VLOOKUP(DATA!#REF!,DATA!#REF!,1,FALSE),"")</f>
        <v/>
      </c>
      <c r="D5548" s="16" t="str">
        <f>IFERROR(VLOOKUP(C5548,DATA!#REF!,2,FALSE),"")</f>
        <v/>
      </c>
    </row>
    <row r="5549" spans="3:4" s="230" customFormat="1">
      <c r="C5549" s="16" t="str">
        <f>IFERROR(VLOOKUP(DATA!#REF!,DATA!#REF!,1,FALSE),"")</f>
        <v/>
      </c>
      <c r="D5549" s="16" t="str">
        <f>IFERROR(VLOOKUP(C5549,DATA!#REF!,2,FALSE),"")</f>
        <v/>
      </c>
    </row>
    <row r="5550" spans="3:4" s="230" customFormat="1">
      <c r="C5550" s="16" t="str">
        <f>IFERROR(VLOOKUP(DATA!#REF!,DATA!#REF!,1,FALSE),"")</f>
        <v/>
      </c>
      <c r="D5550" s="16" t="str">
        <f>IFERROR(VLOOKUP(C5550,DATA!#REF!,2,FALSE),"")</f>
        <v/>
      </c>
    </row>
    <row r="5551" spans="3:4" s="230" customFormat="1">
      <c r="C5551" s="16" t="str">
        <f>IFERROR(VLOOKUP(DATA!#REF!,DATA!#REF!,1,FALSE),"")</f>
        <v/>
      </c>
      <c r="D5551" s="16" t="str">
        <f>IFERROR(VLOOKUP(C5551,DATA!#REF!,2,FALSE),"")</f>
        <v/>
      </c>
    </row>
    <row r="5552" spans="3:4" s="230" customFormat="1">
      <c r="C5552" s="16" t="str">
        <f>IFERROR(VLOOKUP(DATA!#REF!,DATA!#REF!,1,FALSE),"")</f>
        <v/>
      </c>
      <c r="D5552" s="16" t="str">
        <f>IFERROR(VLOOKUP(C5552,DATA!#REF!,2,FALSE),"")</f>
        <v/>
      </c>
    </row>
    <row r="5553" spans="3:4" s="230" customFormat="1">
      <c r="C5553" s="16" t="str">
        <f>IFERROR(VLOOKUP(DATA!#REF!,DATA!#REF!,1,FALSE),"")</f>
        <v/>
      </c>
      <c r="D5553" s="16" t="str">
        <f>IFERROR(VLOOKUP(C5553,DATA!#REF!,2,FALSE),"")</f>
        <v/>
      </c>
    </row>
    <row r="5554" spans="3:4" s="230" customFormat="1">
      <c r="C5554" s="16" t="str">
        <f>IFERROR(VLOOKUP(DATA!#REF!,DATA!#REF!,1,FALSE),"")</f>
        <v/>
      </c>
      <c r="D5554" s="16" t="str">
        <f>IFERROR(VLOOKUP(C5554,DATA!#REF!,2,FALSE),"")</f>
        <v/>
      </c>
    </row>
    <row r="5555" spans="3:4" s="230" customFormat="1">
      <c r="C5555" s="16" t="str">
        <f>IFERROR(VLOOKUP(DATA!#REF!,DATA!#REF!,1,FALSE),"")</f>
        <v/>
      </c>
      <c r="D5555" s="16" t="str">
        <f>IFERROR(VLOOKUP(C5555,DATA!#REF!,2,FALSE),"")</f>
        <v/>
      </c>
    </row>
    <row r="5556" spans="3:4" s="230" customFormat="1">
      <c r="C5556" s="16" t="str">
        <f>IFERROR(VLOOKUP(DATA!#REF!,DATA!#REF!,1,FALSE),"")</f>
        <v/>
      </c>
      <c r="D5556" s="16" t="str">
        <f>IFERROR(VLOOKUP(C5556,DATA!#REF!,2,FALSE),"")</f>
        <v/>
      </c>
    </row>
    <row r="5557" spans="3:4" s="230" customFormat="1">
      <c r="C5557" s="16" t="str">
        <f>IFERROR(VLOOKUP(DATA!#REF!,DATA!#REF!,1,FALSE),"")</f>
        <v/>
      </c>
      <c r="D5557" s="16" t="str">
        <f>IFERROR(VLOOKUP(C5557,DATA!#REF!,2,FALSE),"")</f>
        <v/>
      </c>
    </row>
    <row r="5558" spans="3:4" s="230" customFormat="1">
      <c r="C5558" s="16" t="str">
        <f>IFERROR(VLOOKUP(DATA!#REF!,DATA!#REF!,1,FALSE),"")</f>
        <v/>
      </c>
      <c r="D5558" s="16" t="str">
        <f>IFERROR(VLOOKUP(C5558,DATA!#REF!,2,FALSE),"")</f>
        <v/>
      </c>
    </row>
    <row r="5559" spans="3:4" s="230" customFormat="1">
      <c r="C5559" s="16" t="str">
        <f>IFERROR(VLOOKUP(DATA!#REF!,DATA!#REF!,1,FALSE),"")</f>
        <v/>
      </c>
      <c r="D5559" s="16" t="str">
        <f>IFERROR(VLOOKUP(C5559,DATA!#REF!,2,FALSE),"")</f>
        <v/>
      </c>
    </row>
    <row r="5560" spans="3:4" s="230" customFormat="1">
      <c r="C5560" s="16" t="str">
        <f>IFERROR(VLOOKUP(DATA!#REF!,DATA!#REF!,1,FALSE),"")</f>
        <v/>
      </c>
      <c r="D5560" s="16" t="str">
        <f>IFERROR(VLOOKUP(C5560,DATA!#REF!,2,FALSE),"")</f>
        <v/>
      </c>
    </row>
    <row r="5561" spans="3:4" s="230" customFormat="1">
      <c r="C5561" s="16" t="str">
        <f>IFERROR(VLOOKUP(DATA!#REF!,DATA!#REF!,1,FALSE),"")</f>
        <v/>
      </c>
      <c r="D5561" s="16" t="str">
        <f>IFERROR(VLOOKUP(C5561,DATA!#REF!,2,FALSE),"")</f>
        <v/>
      </c>
    </row>
    <row r="5562" spans="3:4" s="230" customFormat="1">
      <c r="C5562" s="16" t="str">
        <f>IFERROR(VLOOKUP(DATA!#REF!,DATA!#REF!,1,FALSE),"")</f>
        <v/>
      </c>
      <c r="D5562" s="16" t="str">
        <f>IFERROR(VLOOKUP(C5562,DATA!#REF!,2,FALSE),"")</f>
        <v/>
      </c>
    </row>
    <row r="5563" spans="3:4" s="230" customFormat="1">
      <c r="C5563" s="16" t="str">
        <f>IFERROR(VLOOKUP(DATA!#REF!,DATA!#REF!,1,FALSE),"")</f>
        <v/>
      </c>
      <c r="D5563" s="16" t="str">
        <f>IFERROR(VLOOKUP(C5563,DATA!#REF!,2,FALSE),"")</f>
        <v/>
      </c>
    </row>
    <row r="5564" spans="3:4" s="230" customFormat="1">
      <c r="C5564" s="16" t="str">
        <f>IFERROR(VLOOKUP(DATA!#REF!,DATA!#REF!,1,FALSE),"")</f>
        <v/>
      </c>
      <c r="D5564" s="16" t="str">
        <f>IFERROR(VLOOKUP(C5564,DATA!#REF!,2,FALSE),"")</f>
        <v/>
      </c>
    </row>
    <row r="5565" spans="3:4" s="230" customFormat="1">
      <c r="C5565" s="16" t="str">
        <f>IFERROR(VLOOKUP(DATA!#REF!,DATA!#REF!,1,FALSE),"")</f>
        <v/>
      </c>
      <c r="D5565" s="16" t="str">
        <f>IFERROR(VLOOKUP(C5565,DATA!#REF!,2,FALSE),"")</f>
        <v/>
      </c>
    </row>
    <row r="5566" spans="3:4" s="230" customFormat="1">
      <c r="C5566" s="16" t="str">
        <f>IFERROR(VLOOKUP(DATA!#REF!,DATA!#REF!,1,FALSE),"")</f>
        <v/>
      </c>
      <c r="D5566" s="16" t="str">
        <f>IFERROR(VLOOKUP(C5566,DATA!#REF!,2,FALSE),"")</f>
        <v/>
      </c>
    </row>
    <row r="5567" spans="3:4" s="230" customFormat="1">
      <c r="C5567" s="16" t="str">
        <f>IFERROR(VLOOKUP(DATA!#REF!,DATA!#REF!,1,FALSE),"")</f>
        <v/>
      </c>
      <c r="D5567" s="16" t="str">
        <f>IFERROR(VLOOKUP(C5567,DATA!#REF!,2,FALSE),"")</f>
        <v/>
      </c>
    </row>
    <row r="5568" spans="3:4" s="230" customFormat="1">
      <c r="C5568" s="16" t="str">
        <f>IFERROR(VLOOKUP(DATA!#REF!,DATA!#REF!,1,FALSE),"")</f>
        <v/>
      </c>
      <c r="D5568" s="16" t="str">
        <f>IFERROR(VLOOKUP(C5568,DATA!#REF!,2,FALSE),"")</f>
        <v/>
      </c>
    </row>
    <row r="5569" spans="3:4" s="230" customFormat="1">
      <c r="C5569" s="16" t="str">
        <f>IFERROR(VLOOKUP(DATA!#REF!,DATA!#REF!,1,FALSE),"")</f>
        <v/>
      </c>
      <c r="D5569" s="16" t="str">
        <f>IFERROR(VLOOKUP(C5569,DATA!#REF!,2,FALSE),"")</f>
        <v/>
      </c>
    </row>
    <row r="5570" spans="3:4" s="230" customFormat="1">
      <c r="C5570" s="16" t="str">
        <f>IFERROR(VLOOKUP(DATA!#REF!,DATA!#REF!,1,FALSE),"")</f>
        <v/>
      </c>
      <c r="D5570" s="16" t="str">
        <f>IFERROR(VLOOKUP(C5570,DATA!#REF!,2,FALSE),"")</f>
        <v/>
      </c>
    </row>
    <row r="5571" spans="3:4" s="230" customFormat="1">
      <c r="C5571" s="16" t="str">
        <f>IFERROR(VLOOKUP(DATA!#REF!,DATA!#REF!,1,FALSE),"")</f>
        <v/>
      </c>
      <c r="D5571" s="16" t="str">
        <f>IFERROR(VLOOKUP(C5571,DATA!#REF!,2,FALSE),"")</f>
        <v/>
      </c>
    </row>
    <row r="5572" spans="3:4" s="230" customFormat="1">
      <c r="C5572" s="16" t="str">
        <f>IFERROR(VLOOKUP(DATA!#REF!,DATA!#REF!,1,FALSE),"")</f>
        <v/>
      </c>
      <c r="D5572" s="16" t="str">
        <f>IFERROR(VLOOKUP(C5572,DATA!#REF!,2,FALSE),"")</f>
        <v/>
      </c>
    </row>
    <row r="5573" spans="3:4" s="230" customFormat="1">
      <c r="C5573" s="16" t="str">
        <f>IFERROR(VLOOKUP(DATA!#REF!,DATA!#REF!,1,FALSE),"")</f>
        <v/>
      </c>
      <c r="D5573" s="16" t="str">
        <f>IFERROR(VLOOKUP(C5573,DATA!#REF!,2,FALSE),"")</f>
        <v/>
      </c>
    </row>
    <row r="5574" spans="3:4" s="230" customFormat="1">
      <c r="C5574" s="16" t="str">
        <f>IFERROR(VLOOKUP(DATA!#REF!,DATA!#REF!,1,FALSE),"")</f>
        <v/>
      </c>
      <c r="D5574" s="16" t="str">
        <f>IFERROR(VLOOKUP(C5574,DATA!#REF!,2,FALSE),"")</f>
        <v/>
      </c>
    </row>
    <row r="5575" spans="3:4" s="230" customFormat="1">
      <c r="C5575" s="16" t="str">
        <f>IFERROR(VLOOKUP(DATA!#REF!,DATA!#REF!,1,FALSE),"")</f>
        <v/>
      </c>
      <c r="D5575" s="16" t="str">
        <f>IFERROR(VLOOKUP(C5575,DATA!#REF!,2,FALSE),"")</f>
        <v/>
      </c>
    </row>
    <row r="5576" spans="3:4" s="230" customFormat="1">
      <c r="C5576" s="16" t="str">
        <f>IFERROR(VLOOKUP(DATA!#REF!,DATA!#REF!,1,FALSE),"")</f>
        <v/>
      </c>
      <c r="D5576" s="16" t="str">
        <f>IFERROR(VLOOKUP(C5576,DATA!#REF!,2,FALSE),"")</f>
        <v/>
      </c>
    </row>
    <row r="5577" spans="3:4" s="230" customFormat="1">
      <c r="C5577" s="16" t="str">
        <f>IFERROR(VLOOKUP(DATA!#REF!,DATA!#REF!,1,FALSE),"")</f>
        <v/>
      </c>
      <c r="D5577" s="16" t="str">
        <f>IFERROR(VLOOKUP(C5577,DATA!#REF!,2,FALSE),"")</f>
        <v/>
      </c>
    </row>
    <row r="5578" spans="3:4" s="230" customFormat="1">
      <c r="C5578" s="16" t="str">
        <f>IFERROR(VLOOKUP(DATA!#REF!,DATA!#REF!,1,FALSE),"")</f>
        <v/>
      </c>
      <c r="D5578" s="16" t="str">
        <f>IFERROR(VLOOKUP(C5578,DATA!#REF!,2,FALSE),"")</f>
        <v/>
      </c>
    </row>
    <row r="5579" spans="3:4" s="230" customFormat="1">
      <c r="C5579" s="16" t="str">
        <f>IFERROR(VLOOKUP(DATA!#REF!,DATA!#REF!,1,FALSE),"")</f>
        <v/>
      </c>
      <c r="D5579" s="16" t="str">
        <f>IFERROR(VLOOKUP(C5579,DATA!#REF!,2,FALSE),"")</f>
        <v/>
      </c>
    </row>
    <row r="5580" spans="3:4" s="230" customFormat="1">
      <c r="C5580" s="16" t="str">
        <f>IFERROR(VLOOKUP(DATA!#REF!,DATA!#REF!,1,FALSE),"")</f>
        <v/>
      </c>
      <c r="D5580" s="16" t="str">
        <f>IFERROR(VLOOKUP(C5580,DATA!#REF!,2,FALSE),"")</f>
        <v/>
      </c>
    </row>
    <row r="5581" spans="3:4" s="230" customFormat="1">
      <c r="C5581" s="16" t="str">
        <f>IFERROR(VLOOKUP(DATA!#REF!,DATA!#REF!,1,FALSE),"")</f>
        <v/>
      </c>
      <c r="D5581" s="16" t="str">
        <f>IFERROR(VLOOKUP(C5581,DATA!#REF!,2,FALSE),"")</f>
        <v/>
      </c>
    </row>
    <row r="5582" spans="3:4" s="230" customFormat="1">
      <c r="C5582" s="16" t="str">
        <f>IFERROR(VLOOKUP(DATA!#REF!,DATA!#REF!,1,FALSE),"")</f>
        <v/>
      </c>
      <c r="D5582" s="16" t="str">
        <f>IFERROR(VLOOKUP(C5582,DATA!#REF!,2,FALSE),"")</f>
        <v/>
      </c>
    </row>
    <row r="5583" spans="3:4" s="230" customFormat="1">
      <c r="C5583" s="16" t="str">
        <f>IFERROR(VLOOKUP(DATA!#REF!,DATA!#REF!,1,FALSE),"")</f>
        <v/>
      </c>
      <c r="D5583" s="16" t="str">
        <f>IFERROR(VLOOKUP(C5583,DATA!#REF!,2,FALSE),"")</f>
        <v/>
      </c>
    </row>
    <row r="5584" spans="3:4" s="230" customFormat="1">
      <c r="C5584" s="16" t="str">
        <f>IFERROR(VLOOKUP(DATA!#REF!,DATA!#REF!,1,FALSE),"")</f>
        <v/>
      </c>
      <c r="D5584" s="16" t="str">
        <f>IFERROR(VLOOKUP(C5584,DATA!#REF!,2,FALSE),"")</f>
        <v/>
      </c>
    </row>
    <row r="5585" spans="3:4" s="230" customFormat="1">
      <c r="C5585" s="16" t="str">
        <f>IFERROR(VLOOKUP(DATA!#REF!,DATA!#REF!,1,FALSE),"")</f>
        <v/>
      </c>
      <c r="D5585" s="16" t="str">
        <f>IFERROR(VLOOKUP(C5585,DATA!#REF!,2,FALSE),"")</f>
        <v/>
      </c>
    </row>
    <row r="5586" spans="3:4" s="230" customFormat="1">
      <c r="C5586" s="16" t="str">
        <f>IFERROR(VLOOKUP(DATA!#REF!,DATA!#REF!,1,FALSE),"")</f>
        <v/>
      </c>
      <c r="D5586" s="16" t="str">
        <f>IFERROR(VLOOKUP(C5586,DATA!#REF!,2,FALSE),"")</f>
        <v/>
      </c>
    </row>
    <row r="5587" spans="3:4" s="230" customFormat="1">
      <c r="C5587" s="16" t="str">
        <f>IFERROR(VLOOKUP(DATA!#REF!,DATA!#REF!,1,FALSE),"")</f>
        <v/>
      </c>
      <c r="D5587" s="16" t="str">
        <f>IFERROR(VLOOKUP(C5587,DATA!#REF!,2,FALSE),"")</f>
        <v/>
      </c>
    </row>
    <row r="5588" spans="3:4" s="230" customFormat="1">
      <c r="C5588" s="16" t="str">
        <f>IFERROR(VLOOKUP(DATA!#REF!,DATA!#REF!,1,FALSE),"")</f>
        <v/>
      </c>
      <c r="D5588" s="16" t="str">
        <f>IFERROR(VLOOKUP(C5588,DATA!#REF!,2,FALSE),"")</f>
        <v/>
      </c>
    </row>
    <row r="5589" spans="3:4" s="230" customFormat="1">
      <c r="C5589" s="16" t="str">
        <f>IFERROR(VLOOKUP(DATA!#REF!,DATA!#REF!,1,FALSE),"")</f>
        <v/>
      </c>
      <c r="D5589" s="16" t="str">
        <f>IFERROR(VLOOKUP(C5589,DATA!#REF!,2,FALSE),"")</f>
        <v/>
      </c>
    </row>
    <row r="5590" spans="3:4" s="230" customFormat="1">
      <c r="C5590" s="16" t="str">
        <f>IFERROR(VLOOKUP(DATA!#REF!,DATA!#REF!,1,FALSE),"")</f>
        <v/>
      </c>
      <c r="D5590" s="16" t="str">
        <f>IFERROR(VLOOKUP(C5590,DATA!#REF!,2,FALSE),"")</f>
        <v/>
      </c>
    </row>
    <row r="5591" spans="3:4" s="230" customFormat="1">
      <c r="C5591" s="16" t="str">
        <f>IFERROR(VLOOKUP(DATA!#REF!,DATA!#REF!,1,FALSE),"")</f>
        <v/>
      </c>
      <c r="D5591" s="16" t="str">
        <f>IFERROR(VLOOKUP(C5591,DATA!#REF!,2,FALSE),"")</f>
        <v/>
      </c>
    </row>
    <row r="5592" spans="3:4" s="230" customFormat="1">
      <c r="C5592" s="16" t="str">
        <f>IFERROR(VLOOKUP(DATA!#REF!,DATA!#REF!,1,FALSE),"")</f>
        <v/>
      </c>
      <c r="D5592" s="16" t="str">
        <f>IFERROR(VLOOKUP(C5592,DATA!#REF!,2,FALSE),"")</f>
        <v/>
      </c>
    </row>
    <row r="5593" spans="3:4" s="230" customFormat="1">
      <c r="C5593" s="16" t="str">
        <f>IFERROR(VLOOKUP(DATA!#REF!,DATA!#REF!,1,FALSE),"")</f>
        <v/>
      </c>
      <c r="D5593" s="16" t="str">
        <f>IFERROR(VLOOKUP(C5593,DATA!#REF!,2,FALSE),"")</f>
        <v/>
      </c>
    </row>
    <row r="5594" spans="3:4" s="230" customFormat="1">
      <c r="C5594" s="16" t="str">
        <f>IFERROR(VLOOKUP(DATA!#REF!,DATA!#REF!,1,FALSE),"")</f>
        <v/>
      </c>
      <c r="D5594" s="16" t="str">
        <f>IFERROR(VLOOKUP(C5594,DATA!#REF!,2,FALSE),"")</f>
        <v/>
      </c>
    </row>
    <row r="5595" spans="3:4" s="230" customFormat="1">
      <c r="C5595" s="16" t="str">
        <f>IFERROR(VLOOKUP(DATA!#REF!,DATA!#REF!,1,FALSE),"")</f>
        <v/>
      </c>
      <c r="D5595" s="16" t="str">
        <f>IFERROR(VLOOKUP(C5595,DATA!#REF!,2,FALSE),"")</f>
        <v/>
      </c>
    </row>
    <row r="5596" spans="3:4" s="230" customFormat="1">
      <c r="C5596" s="16" t="str">
        <f>IFERROR(VLOOKUP(DATA!#REF!,DATA!#REF!,1,FALSE),"")</f>
        <v/>
      </c>
      <c r="D5596" s="16" t="str">
        <f>IFERROR(VLOOKUP(C5596,DATA!#REF!,2,FALSE),"")</f>
        <v/>
      </c>
    </row>
    <row r="5597" spans="3:4" s="230" customFormat="1">
      <c r="C5597" s="16" t="str">
        <f>IFERROR(VLOOKUP(DATA!#REF!,DATA!#REF!,1,FALSE),"")</f>
        <v/>
      </c>
      <c r="D5597" s="16" t="str">
        <f>IFERROR(VLOOKUP(C5597,DATA!#REF!,2,FALSE),"")</f>
        <v/>
      </c>
    </row>
    <row r="5598" spans="3:4" s="230" customFormat="1">
      <c r="C5598" s="16" t="str">
        <f>IFERROR(VLOOKUP(DATA!#REF!,DATA!#REF!,1,FALSE),"")</f>
        <v/>
      </c>
      <c r="D5598" s="16" t="str">
        <f>IFERROR(VLOOKUP(C5598,DATA!#REF!,2,FALSE),"")</f>
        <v/>
      </c>
    </row>
    <row r="5599" spans="3:4" s="230" customFormat="1">
      <c r="C5599" s="16" t="str">
        <f>IFERROR(VLOOKUP(DATA!#REF!,DATA!#REF!,1,FALSE),"")</f>
        <v/>
      </c>
      <c r="D5599" s="16" t="str">
        <f>IFERROR(VLOOKUP(C5599,DATA!#REF!,2,FALSE),"")</f>
        <v/>
      </c>
    </row>
    <row r="5600" spans="3:4" s="230" customFormat="1">
      <c r="C5600" s="16" t="str">
        <f>IFERROR(VLOOKUP(DATA!#REF!,DATA!#REF!,1,FALSE),"")</f>
        <v/>
      </c>
      <c r="D5600" s="16" t="str">
        <f>IFERROR(VLOOKUP(C5600,DATA!#REF!,2,FALSE),"")</f>
        <v/>
      </c>
    </row>
    <row r="5601" spans="3:4" s="230" customFormat="1">
      <c r="C5601" s="16" t="str">
        <f>IFERROR(VLOOKUP(DATA!#REF!,DATA!#REF!,1,FALSE),"")</f>
        <v/>
      </c>
      <c r="D5601" s="16" t="str">
        <f>IFERROR(VLOOKUP(C5601,DATA!#REF!,2,FALSE),"")</f>
        <v/>
      </c>
    </row>
    <row r="5602" spans="3:4" s="230" customFormat="1">
      <c r="C5602" s="16" t="str">
        <f>IFERROR(VLOOKUP(DATA!#REF!,DATA!#REF!,1,FALSE),"")</f>
        <v/>
      </c>
      <c r="D5602" s="16" t="str">
        <f>IFERROR(VLOOKUP(C5602,DATA!#REF!,2,FALSE),"")</f>
        <v/>
      </c>
    </row>
    <row r="5603" spans="3:4" s="230" customFormat="1">
      <c r="C5603" s="16" t="str">
        <f>IFERROR(VLOOKUP(DATA!#REF!,DATA!#REF!,1,FALSE),"")</f>
        <v/>
      </c>
      <c r="D5603" s="16" t="str">
        <f>IFERROR(VLOOKUP(C5603,DATA!#REF!,2,FALSE),"")</f>
        <v/>
      </c>
    </row>
    <row r="5604" spans="3:4" s="230" customFormat="1">
      <c r="C5604" s="16" t="str">
        <f>IFERROR(VLOOKUP(DATA!#REF!,DATA!#REF!,1,FALSE),"")</f>
        <v/>
      </c>
      <c r="D5604" s="16" t="str">
        <f>IFERROR(VLOOKUP(C5604,DATA!#REF!,2,FALSE),"")</f>
        <v/>
      </c>
    </row>
    <row r="5605" spans="3:4" s="230" customFormat="1">
      <c r="C5605" s="16" t="str">
        <f>IFERROR(VLOOKUP(DATA!#REF!,DATA!#REF!,1,FALSE),"")</f>
        <v/>
      </c>
      <c r="D5605" s="16" t="str">
        <f>IFERROR(VLOOKUP(C5605,DATA!#REF!,2,FALSE),"")</f>
        <v/>
      </c>
    </row>
    <row r="5606" spans="3:4" s="230" customFormat="1">
      <c r="C5606" s="16" t="str">
        <f>IFERROR(VLOOKUP(DATA!#REF!,DATA!#REF!,1,FALSE),"")</f>
        <v/>
      </c>
      <c r="D5606" s="16" t="str">
        <f>IFERROR(VLOOKUP(C5606,DATA!#REF!,2,FALSE),"")</f>
        <v/>
      </c>
    </row>
    <row r="5607" spans="3:4" s="230" customFormat="1">
      <c r="C5607" s="16" t="str">
        <f>IFERROR(VLOOKUP(DATA!#REF!,DATA!#REF!,1,FALSE),"")</f>
        <v/>
      </c>
      <c r="D5607" s="16" t="str">
        <f>IFERROR(VLOOKUP(C5607,DATA!#REF!,2,FALSE),"")</f>
        <v/>
      </c>
    </row>
    <row r="5608" spans="3:4" s="230" customFormat="1">
      <c r="C5608" s="16" t="str">
        <f>IFERROR(VLOOKUP(DATA!#REF!,DATA!#REF!,1,FALSE),"")</f>
        <v/>
      </c>
      <c r="D5608" s="16" t="str">
        <f>IFERROR(VLOOKUP(C5608,DATA!#REF!,2,FALSE),"")</f>
        <v/>
      </c>
    </row>
    <row r="5609" spans="3:4" s="230" customFormat="1">
      <c r="C5609" s="16" t="str">
        <f>IFERROR(VLOOKUP(DATA!#REF!,DATA!#REF!,1,FALSE),"")</f>
        <v/>
      </c>
      <c r="D5609" s="16" t="str">
        <f>IFERROR(VLOOKUP(C5609,DATA!#REF!,2,FALSE),"")</f>
        <v/>
      </c>
    </row>
    <row r="5610" spans="3:4" s="230" customFormat="1">
      <c r="C5610" s="16" t="str">
        <f>IFERROR(VLOOKUP(DATA!#REF!,DATA!#REF!,1,FALSE),"")</f>
        <v/>
      </c>
      <c r="D5610" s="16" t="str">
        <f>IFERROR(VLOOKUP(C5610,DATA!#REF!,2,FALSE),"")</f>
        <v/>
      </c>
    </row>
    <row r="5611" spans="3:4" s="230" customFormat="1">
      <c r="C5611" s="16" t="str">
        <f>IFERROR(VLOOKUP(DATA!#REF!,DATA!#REF!,1,FALSE),"")</f>
        <v/>
      </c>
      <c r="D5611" s="16" t="str">
        <f>IFERROR(VLOOKUP(C5611,DATA!#REF!,2,FALSE),"")</f>
        <v/>
      </c>
    </row>
    <row r="5612" spans="3:4" s="230" customFormat="1">
      <c r="C5612" s="16" t="str">
        <f>IFERROR(VLOOKUP(DATA!#REF!,DATA!#REF!,1,FALSE),"")</f>
        <v/>
      </c>
      <c r="D5612" s="16" t="str">
        <f>IFERROR(VLOOKUP(C5612,DATA!#REF!,2,FALSE),"")</f>
        <v/>
      </c>
    </row>
    <row r="5613" spans="3:4" s="230" customFormat="1">
      <c r="C5613" s="16" t="str">
        <f>IFERROR(VLOOKUP(DATA!#REF!,DATA!#REF!,1,FALSE),"")</f>
        <v/>
      </c>
      <c r="D5613" s="16" t="str">
        <f>IFERROR(VLOOKUP(C5613,DATA!#REF!,2,FALSE),"")</f>
        <v/>
      </c>
    </row>
    <row r="5614" spans="3:4" s="230" customFormat="1">
      <c r="C5614" s="16" t="str">
        <f>IFERROR(VLOOKUP(DATA!#REF!,DATA!#REF!,1,FALSE),"")</f>
        <v/>
      </c>
      <c r="D5614" s="16" t="str">
        <f>IFERROR(VLOOKUP(C5614,DATA!#REF!,2,FALSE),"")</f>
        <v/>
      </c>
    </row>
    <row r="5615" spans="3:4" s="230" customFormat="1">
      <c r="C5615" s="16" t="str">
        <f>IFERROR(VLOOKUP(DATA!#REF!,DATA!#REF!,1,FALSE),"")</f>
        <v/>
      </c>
      <c r="D5615" s="16" t="str">
        <f>IFERROR(VLOOKUP(C5615,DATA!#REF!,2,FALSE),"")</f>
        <v/>
      </c>
    </row>
    <row r="5616" spans="3:4" s="230" customFormat="1">
      <c r="C5616" s="16" t="str">
        <f>IFERROR(VLOOKUP(DATA!#REF!,DATA!#REF!,1,FALSE),"")</f>
        <v/>
      </c>
      <c r="D5616" s="16" t="str">
        <f>IFERROR(VLOOKUP(C5616,DATA!#REF!,2,FALSE),"")</f>
        <v/>
      </c>
    </row>
    <row r="5617" spans="3:4" s="230" customFormat="1">
      <c r="C5617" s="16" t="str">
        <f>IFERROR(VLOOKUP(DATA!#REF!,DATA!#REF!,1,FALSE),"")</f>
        <v/>
      </c>
      <c r="D5617" s="16" t="str">
        <f>IFERROR(VLOOKUP(C5617,DATA!#REF!,2,FALSE),"")</f>
        <v/>
      </c>
    </row>
    <row r="5618" spans="3:4" s="230" customFormat="1">
      <c r="C5618" s="16" t="str">
        <f>IFERROR(VLOOKUP(DATA!#REF!,DATA!#REF!,1,FALSE),"")</f>
        <v/>
      </c>
      <c r="D5618" s="16" t="str">
        <f>IFERROR(VLOOKUP(C5618,DATA!#REF!,2,FALSE),"")</f>
        <v/>
      </c>
    </row>
    <row r="5619" spans="3:4" s="230" customFormat="1">
      <c r="C5619" s="16" t="str">
        <f>IFERROR(VLOOKUP(DATA!#REF!,DATA!#REF!,1,FALSE),"")</f>
        <v/>
      </c>
      <c r="D5619" s="16" t="str">
        <f>IFERROR(VLOOKUP(C5619,DATA!#REF!,2,FALSE),"")</f>
        <v/>
      </c>
    </row>
    <row r="5620" spans="3:4" s="230" customFormat="1">
      <c r="C5620" s="16" t="str">
        <f>IFERROR(VLOOKUP(DATA!#REF!,DATA!#REF!,1,FALSE),"")</f>
        <v/>
      </c>
      <c r="D5620" s="16" t="str">
        <f>IFERROR(VLOOKUP(C5620,DATA!#REF!,2,FALSE),"")</f>
        <v/>
      </c>
    </row>
    <row r="5621" spans="3:4" s="230" customFormat="1">
      <c r="C5621" s="16" t="str">
        <f>IFERROR(VLOOKUP(DATA!#REF!,DATA!#REF!,1,FALSE),"")</f>
        <v/>
      </c>
      <c r="D5621" s="16" t="str">
        <f>IFERROR(VLOOKUP(C5621,DATA!#REF!,2,FALSE),"")</f>
        <v/>
      </c>
    </row>
    <row r="5622" spans="3:4" s="230" customFormat="1">
      <c r="C5622" s="16" t="str">
        <f>IFERROR(VLOOKUP(DATA!#REF!,DATA!#REF!,1,FALSE),"")</f>
        <v/>
      </c>
      <c r="D5622" s="16" t="str">
        <f>IFERROR(VLOOKUP(C5622,DATA!#REF!,2,FALSE),"")</f>
        <v/>
      </c>
    </row>
    <row r="5623" spans="3:4" s="230" customFormat="1">
      <c r="C5623" s="16" t="str">
        <f>IFERROR(VLOOKUP(DATA!#REF!,DATA!#REF!,1,FALSE),"")</f>
        <v/>
      </c>
      <c r="D5623" s="16" t="str">
        <f>IFERROR(VLOOKUP(C5623,DATA!#REF!,2,FALSE),"")</f>
        <v/>
      </c>
    </row>
    <row r="5624" spans="3:4" s="230" customFormat="1">
      <c r="C5624" s="16" t="str">
        <f>IFERROR(VLOOKUP(DATA!#REF!,DATA!#REF!,1,FALSE),"")</f>
        <v/>
      </c>
      <c r="D5624" s="16" t="str">
        <f>IFERROR(VLOOKUP(C5624,DATA!#REF!,2,FALSE),"")</f>
        <v/>
      </c>
    </row>
    <row r="5625" spans="3:4" s="230" customFormat="1">
      <c r="C5625" s="16" t="str">
        <f>IFERROR(VLOOKUP(DATA!#REF!,DATA!#REF!,1,FALSE),"")</f>
        <v/>
      </c>
      <c r="D5625" s="16" t="str">
        <f>IFERROR(VLOOKUP(C5625,DATA!#REF!,2,FALSE),"")</f>
        <v/>
      </c>
    </row>
    <row r="5626" spans="3:4" s="230" customFormat="1">
      <c r="C5626" s="16" t="str">
        <f>IFERROR(VLOOKUP(DATA!#REF!,DATA!#REF!,1,FALSE),"")</f>
        <v/>
      </c>
      <c r="D5626" s="16" t="str">
        <f>IFERROR(VLOOKUP(C5626,DATA!#REF!,2,FALSE),"")</f>
        <v/>
      </c>
    </row>
    <row r="5627" spans="3:4" s="230" customFormat="1">
      <c r="C5627" s="16" t="str">
        <f>IFERROR(VLOOKUP(DATA!#REF!,DATA!#REF!,1,FALSE),"")</f>
        <v/>
      </c>
      <c r="D5627" s="16" t="str">
        <f>IFERROR(VLOOKUP(C5627,DATA!#REF!,2,FALSE),"")</f>
        <v/>
      </c>
    </row>
    <row r="5628" spans="3:4" s="230" customFormat="1">
      <c r="C5628" s="16" t="str">
        <f>IFERROR(VLOOKUP(DATA!#REF!,DATA!#REF!,1,FALSE),"")</f>
        <v/>
      </c>
      <c r="D5628" s="16" t="str">
        <f>IFERROR(VLOOKUP(C5628,DATA!#REF!,2,FALSE),"")</f>
        <v/>
      </c>
    </row>
    <row r="5629" spans="3:4" s="230" customFormat="1">
      <c r="C5629" s="16" t="str">
        <f>IFERROR(VLOOKUP(DATA!#REF!,DATA!#REF!,1,FALSE),"")</f>
        <v/>
      </c>
      <c r="D5629" s="16" t="str">
        <f>IFERROR(VLOOKUP(C5629,DATA!#REF!,2,FALSE),"")</f>
        <v/>
      </c>
    </row>
    <row r="5630" spans="3:4" s="230" customFormat="1">
      <c r="C5630" s="16" t="str">
        <f>IFERROR(VLOOKUP(DATA!#REF!,DATA!#REF!,1,FALSE),"")</f>
        <v/>
      </c>
      <c r="D5630" s="16" t="str">
        <f>IFERROR(VLOOKUP(C5630,DATA!#REF!,2,FALSE),"")</f>
        <v/>
      </c>
    </row>
    <row r="5631" spans="3:4" s="230" customFormat="1">
      <c r="C5631" s="16" t="str">
        <f>IFERROR(VLOOKUP(DATA!#REF!,DATA!#REF!,1,FALSE),"")</f>
        <v/>
      </c>
      <c r="D5631" s="16" t="str">
        <f>IFERROR(VLOOKUP(C5631,DATA!#REF!,2,FALSE),"")</f>
        <v/>
      </c>
    </row>
    <row r="5632" spans="3:4" s="230" customFormat="1">
      <c r="C5632" s="16" t="str">
        <f>IFERROR(VLOOKUP(DATA!#REF!,DATA!#REF!,1,FALSE),"")</f>
        <v/>
      </c>
      <c r="D5632" s="16" t="str">
        <f>IFERROR(VLOOKUP(C5632,DATA!#REF!,2,FALSE),"")</f>
        <v/>
      </c>
    </row>
    <row r="5633" spans="3:4" s="230" customFormat="1">
      <c r="C5633" s="16" t="str">
        <f>IFERROR(VLOOKUP(DATA!#REF!,DATA!#REF!,1,FALSE),"")</f>
        <v/>
      </c>
      <c r="D5633" s="16" t="str">
        <f>IFERROR(VLOOKUP(C5633,DATA!#REF!,2,FALSE),"")</f>
        <v/>
      </c>
    </row>
    <row r="5634" spans="3:4" s="230" customFormat="1">
      <c r="C5634" s="16" t="str">
        <f>IFERROR(VLOOKUP(DATA!#REF!,DATA!#REF!,1,FALSE),"")</f>
        <v/>
      </c>
      <c r="D5634" s="16" t="str">
        <f>IFERROR(VLOOKUP(C5634,DATA!#REF!,2,FALSE),"")</f>
        <v/>
      </c>
    </row>
    <row r="5635" spans="3:4" s="230" customFormat="1">
      <c r="C5635" s="16" t="str">
        <f>IFERROR(VLOOKUP(DATA!#REF!,DATA!#REF!,1,FALSE),"")</f>
        <v/>
      </c>
      <c r="D5635" s="16" t="str">
        <f>IFERROR(VLOOKUP(C5635,DATA!#REF!,2,FALSE),"")</f>
        <v/>
      </c>
    </row>
    <row r="5636" spans="3:4" s="230" customFormat="1">
      <c r="C5636" s="16" t="str">
        <f>IFERROR(VLOOKUP(DATA!#REF!,DATA!#REF!,1,FALSE),"")</f>
        <v/>
      </c>
      <c r="D5636" s="16" t="str">
        <f>IFERROR(VLOOKUP(C5636,DATA!#REF!,2,FALSE),"")</f>
        <v/>
      </c>
    </row>
    <row r="5637" spans="3:4" s="230" customFormat="1">
      <c r="C5637" s="16" t="str">
        <f>IFERROR(VLOOKUP(DATA!#REF!,DATA!#REF!,1,FALSE),"")</f>
        <v/>
      </c>
      <c r="D5637" s="16" t="str">
        <f>IFERROR(VLOOKUP(C5637,DATA!#REF!,2,FALSE),"")</f>
        <v/>
      </c>
    </row>
    <row r="5638" spans="3:4" s="230" customFormat="1">
      <c r="C5638" s="16" t="str">
        <f>IFERROR(VLOOKUP(DATA!#REF!,DATA!#REF!,1,FALSE),"")</f>
        <v/>
      </c>
      <c r="D5638" s="16" t="str">
        <f>IFERROR(VLOOKUP(C5638,DATA!#REF!,2,FALSE),"")</f>
        <v/>
      </c>
    </row>
    <row r="5639" spans="3:4" s="230" customFormat="1">
      <c r="C5639" s="16" t="str">
        <f>IFERROR(VLOOKUP(DATA!#REF!,DATA!#REF!,1,FALSE),"")</f>
        <v/>
      </c>
      <c r="D5639" s="16" t="str">
        <f>IFERROR(VLOOKUP(C5639,DATA!#REF!,2,FALSE),"")</f>
        <v/>
      </c>
    </row>
    <row r="5640" spans="3:4" s="230" customFormat="1">
      <c r="C5640" s="16" t="str">
        <f>IFERROR(VLOOKUP(DATA!#REF!,DATA!#REF!,1,FALSE),"")</f>
        <v/>
      </c>
      <c r="D5640" s="16" t="str">
        <f>IFERROR(VLOOKUP(C5640,DATA!#REF!,2,FALSE),"")</f>
        <v/>
      </c>
    </row>
    <row r="5641" spans="3:4" s="230" customFormat="1">
      <c r="C5641" s="16" t="str">
        <f>IFERROR(VLOOKUP(DATA!#REF!,DATA!#REF!,1,FALSE),"")</f>
        <v/>
      </c>
      <c r="D5641" s="16" t="str">
        <f>IFERROR(VLOOKUP(C5641,DATA!#REF!,2,FALSE),"")</f>
        <v/>
      </c>
    </row>
    <row r="5642" spans="3:4" s="230" customFormat="1">
      <c r="C5642" s="16" t="str">
        <f>IFERROR(VLOOKUP(DATA!#REF!,DATA!#REF!,1,FALSE),"")</f>
        <v/>
      </c>
      <c r="D5642" s="16" t="str">
        <f>IFERROR(VLOOKUP(C5642,DATA!#REF!,2,FALSE),"")</f>
        <v/>
      </c>
    </row>
    <row r="5643" spans="3:4" s="230" customFormat="1">
      <c r="C5643" s="16" t="str">
        <f>IFERROR(VLOOKUP(DATA!#REF!,DATA!#REF!,1,FALSE),"")</f>
        <v/>
      </c>
      <c r="D5643" s="16" t="str">
        <f>IFERROR(VLOOKUP(C5643,DATA!#REF!,2,FALSE),"")</f>
        <v/>
      </c>
    </row>
    <row r="5644" spans="3:4" s="230" customFormat="1">
      <c r="C5644" s="16" t="str">
        <f>IFERROR(VLOOKUP(DATA!#REF!,DATA!#REF!,1,FALSE),"")</f>
        <v/>
      </c>
      <c r="D5644" s="16" t="str">
        <f>IFERROR(VLOOKUP(C5644,DATA!#REF!,2,FALSE),"")</f>
        <v/>
      </c>
    </row>
    <row r="5645" spans="3:4" s="230" customFormat="1">
      <c r="C5645" s="16" t="str">
        <f>IFERROR(VLOOKUP(DATA!#REF!,DATA!#REF!,1,FALSE),"")</f>
        <v/>
      </c>
      <c r="D5645" s="16" t="str">
        <f>IFERROR(VLOOKUP(C5645,DATA!#REF!,2,FALSE),"")</f>
        <v/>
      </c>
    </row>
    <row r="5646" spans="3:4" s="230" customFormat="1">
      <c r="C5646" s="16" t="str">
        <f>IFERROR(VLOOKUP(DATA!#REF!,DATA!#REF!,1,FALSE),"")</f>
        <v/>
      </c>
      <c r="D5646" s="16" t="str">
        <f>IFERROR(VLOOKUP(C5646,DATA!#REF!,2,FALSE),"")</f>
        <v/>
      </c>
    </row>
    <row r="5647" spans="3:4" s="230" customFormat="1">
      <c r="C5647" s="16" t="str">
        <f>IFERROR(VLOOKUP(DATA!#REF!,DATA!#REF!,1,FALSE),"")</f>
        <v/>
      </c>
      <c r="D5647" s="16" t="str">
        <f>IFERROR(VLOOKUP(C5647,DATA!#REF!,2,FALSE),"")</f>
        <v/>
      </c>
    </row>
    <row r="5648" spans="3:4" s="230" customFormat="1">
      <c r="C5648" s="16" t="str">
        <f>IFERROR(VLOOKUP(DATA!#REF!,DATA!#REF!,1,FALSE),"")</f>
        <v/>
      </c>
      <c r="D5648" s="16" t="str">
        <f>IFERROR(VLOOKUP(C5648,DATA!#REF!,2,FALSE),"")</f>
        <v/>
      </c>
    </row>
    <row r="5649" spans="3:4" s="230" customFormat="1">
      <c r="C5649" s="16" t="str">
        <f>IFERROR(VLOOKUP(DATA!#REF!,DATA!#REF!,1,FALSE),"")</f>
        <v/>
      </c>
      <c r="D5649" s="16" t="str">
        <f>IFERROR(VLOOKUP(C5649,DATA!#REF!,2,FALSE),"")</f>
        <v/>
      </c>
    </row>
    <row r="5650" spans="3:4" s="230" customFormat="1">
      <c r="C5650" s="16" t="str">
        <f>IFERROR(VLOOKUP(DATA!#REF!,DATA!#REF!,1,FALSE),"")</f>
        <v/>
      </c>
      <c r="D5650" s="16" t="str">
        <f>IFERROR(VLOOKUP(C5650,DATA!#REF!,2,FALSE),"")</f>
        <v/>
      </c>
    </row>
    <row r="5651" spans="3:4" s="230" customFormat="1">
      <c r="C5651" s="16" t="str">
        <f>IFERROR(VLOOKUP(DATA!#REF!,DATA!#REF!,1,FALSE),"")</f>
        <v/>
      </c>
      <c r="D5651" s="16" t="str">
        <f>IFERROR(VLOOKUP(C5651,DATA!#REF!,2,FALSE),"")</f>
        <v/>
      </c>
    </row>
    <row r="5652" spans="3:4" s="230" customFormat="1">
      <c r="C5652" s="16" t="str">
        <f>IFERROR(VLOOKUP(DATA!#REF!,DATA!#REF!,1,FALSE),"")</f>
        <v/>
      </c>
      <c r="D5652" s="16" t="str">
        <f>IFERROR(VLOOKUP(C5652,DATA!#REF!,2,FALSE),"")</f>
        <v/>
      </c>
    </row>
    <row r="5653" spans="3:4" s="230" customFormat="1">
      <c r="C5653" s="16" t="str">
        <f>IFERROR(VLOOKUP(DATA!#REF!,DATA!#REF!,1,FALSE),"")</f>
        <v/>
      </c>
      <c r="D5653" s="16" t="str">
        <f>IFERROR(VLOOKUP(C5653,DATA!#REF!,2,FALSE),"")</f>
        <v/>
      </c>
    </row>
    <row r="5654" spans="3:4" s="230" customFormat="1">
      <c r="C5654" s="16" t="str">
        <f>IFERROR(VLOOKUP(DATA!#REF!,DATA!#REF!,1,FALSE),"")</f>
        <v/>
      </c>
      <c r="D5654" s="16" t="str">
        <f>IFERROR(VLOOKUP(C5654,DATA!#REF!,2,FALSE),"")</f>
        <v/>
      </c>
    </row>
    <row r="5655" spans="3:4" s="230" customFormat="1">
      <c r="C5655" s="16" t="str">
        <f>IFERROR(VLOOKUP(DATA!#REF!,DATA!#REF!,1,FALSE),"")</f>
        <v/>
      </c>
      <c r="D5655" s="16" t="str">
        <f>IFERROR(VLOOKUP(C5655,DATA!#REF!,2,FALSE),"")</f>
        <v/>
      </c>
    </row>
    <row r="5656" spans="3:4" s="230" customFormat="1">
      <c r="C5656" s="16" t="str">
        <f>IFERROR(VLOOKUP(DATA!#REF!,DATA!#REF!,1,FALSE),"")</f>
        <v/>
      </c>
      <c r="D5656" s="16" t="str">
        <f>IFERROR(VLOOKUP(C5656,DATA!#REF!,2,FALSE),"")</f>
        <v/>
      </c>
    </row>
    <row r="5657" spans="3:4" s="230" customFormat="1">
      <c r="C5657" s="16" t="str">
        <f>IFERROR(VLOOKUP(DATA!#REF!,DATA!#REF!,1,FALSE),"")</f>
        <v/>
      </c>
      <c r="D5657" s="16" t="str">
        <f>IFERROR(VLOOKUP(C5657,DATA!#REF!,2,FALSE),"")</f>
        <v/>
      </c>
    </row>
    <row r="5658" spans="3:4" s="230" customFormat="1">
      <c r="C5658" s="16" t="str">
        <f>IFERROR(VLOOKUP(DATA!#REF!,DATA!#REF!,1,FALSE),"")</f>
        <v/>
      </c>
      <c r="D5658" s="16" t="str">
        <f>IFERROR(VLOOKUP(C5658,DATA!#REF!,2,FALSE),"")</f>
        <v/>
      </c>
    </row>
    <row r="5659" spans="3:4" s="230" customFormat="1">
      <c r="C5659" s="16" t="str">
        <f>IFERROR(VLOOKUP(DATA!#REF!,DATA!#REF!,1,FALSE),"")</f>
        <v/>
      </c>
      <c r="D5659" s="16" t="str">
        <f>IFERROR(VLOOKUP(C5659,DATA!#REF!,2,FALSE),"")</f>
        <v/>
      </c>
    </row>
    <row r="5660" spans="3:4" s="230" customFormat="1">
      <c r="C5660" s="16" t="str">
        <f>IFERROR(VLOOKUP(DATA!#REF!,DATA!#REF!,1,FALSE),"")</f>
        <v/>
      </c>
      <c r="D5660" s="16" t="str">
        <f>IFERROR(VLOOKUP(C5660,DATA!#REF!,2,FALSE),"")</f>
        <v/>
      </c>
    </row>
    <row r="5661" spans="3:4" s="230" customFormat="1">
      <c r="C5661" s="16" t="str">
        <f>IFERROR(VLOOKUP(DATA!#REF!,DATA!#REF!,1,FALSE),"")</f>
        <v/>
      </c>
      <c r="D5661" s="16" t="str">
        <f>IFERROR(VLOOKUP(C5661,DATA!#REF!,2,FALSE),"")</f>
        <v/>
      </c>
    </row>
    <row r="5662" spans="3:4" s="230" customFormat="1">
      <c r="C5662" s="16" t="str">
        <f>IFERROR(VLOOKUP(DATA!#REF!,DATA!#REF!,1,FALSE),"")</f>
        <v/>
      </c>
      <c r="D5662" s="16" t="str">
        <f>IFERROR(VLOOKUP(C5662,DATA!#REF!,2,FALSE),"")</f>
        <v/>
      </c>
    </row>
    <row r="5663" spans="3:4" s="230" customFormat="1">
      <c r="C5663" s="16" t="str">
        <f>IFERROR(VLOOKUP(DATA!#REF!,DATA!#REF!,1,FALSE),"")</f>
        <v/>
      </c>
      <c r="D5663" s="16" t="str">
        <f>IFERROR(VLOOKUP(C5663,DATA!#REF!,2,FALSE),"")</f>
        <v/>
      </c>
    </row>
    <row r="5664" spans="3:4" s="230" customFormat="1">
      <c r="C5664" s="16" t="str">
        <f>IFERROR(VLOOKUP(DATA!#REF!,DATA!#REF!,1,FALSE),"")</f>
        <v/>
      </c>
      <c r="D5664" s="16" t="str">
        <f>IFERROR(VLOOKUP(C5664,DATA!#REF!,2,FALSE),"")</f>
        <v/>
      </c>
    </row>
    <row r="5665" spans="3:4" s="230" customFormat="1">
      <c r="C5665" s="16" t="str">
        <f>IFERROR(VLOOKUP(DATA!#REF!,DATA!#REF!,1,FALSE),"")</f>
        <v/>
      </c>
      <c r="D5665" s="16" t="str">
        <f>IFERROR(VLOOKUP(C5665,DATA!#REF!,2,FALSE),"")</f>
        <v/>
      </c>
    </row>
    <row r="5666" spans="3:4" s="230" customFormat="1">
      <c r="C5666" s="16" t="str">
        <f>IFERROR(VLOOKUP(DATA!#REF!,DATA!#REF!,1,FALSE),"")</f>
        <v/>
      </c>
      <c r="D5666" s="16" t="str">
        <f>IFERROR(VLOOKUP(C5666,DATA!#REF!,2,FALSE),"")</f>
        <v/>
      </c>
    </row>
    <row r="5667" spans="3:4" s="230" customFormat="1">
      <c r="C5667" s="16" t="str">
        <f>IFERROR(VLOOKUP(DATA!#REF!,DATA!#REF!,1,FALSE),"")</f>
        <v/>
      </c>
      <c r="D5667" s="16" t="str">
        <f>IFERROR(VLOOKUP(C5667,DATA!#REF!,2,FALSE),"")</f>
        <v/>
      </c>
    </row>
    <row r="5668" spans="3:4" s="230" customFormat="1">
      <c r="C5668" s="16" t="str">
        <f>IFERROR(VLOOKUP(DATA!#REF!,DATA!#REF!,1,FALSE),"")</f>
        <v/>
      </c>
      <c r="D5668" s="16" t="str">
        <f>IFERROR(VLOOKUP(C5668,DATA!#REF!,2,FALSE),"")</f>
        <v/>
      </c>
    </row>
    <row r="5669" spans="3:4" s="230" customFormat="1">
      <c r="C5669" s="16" t="str">
        <f>IFERROR(VLOOKUP(DATA!#REF!,DATA!#REF!,1,FALSE),"")</f>
        <v/>
      </c>
      <c r="D5669" s="16" t="str">
        <f>IFERROR(VLOOKUP(C5669,DATA!#REF!,2,FALSE),"")</f>
        <v/>
      </c>
    </row>
    <row r="5670" spans="3:4" s="230" customFormat="1">
      <c r="C5670" s="16" t="str">
        <f>IFERROR(VLOOKUP(DATA!#REF!,DATA!#REF!,1,FALSE),"")</f>
        <v/>
      </c>
      <c r="D5670" s="16" t="str">
        <f>IFERROR(VLOOKUP(C5670,DATA!#REF!,2,FALSE),"")</f>
        <v/>
      </c>
    </row>
    <row r="5671" spans="3:4" s="230" customFormat="1">
      <c r="C5671" s="16" t="str">
        <f>IFERROR(VLOOKUP(DATA!#REF!,DATA!#REF!,1,FALSE),"")</f>
        <v/>
      </c>
      <c r="D5671" s="16" t="str">
        <f>IFERROR(VLOOKUP(C5671,DATA!#REF!,2,FALSE),"")</f>
        <v/>
      </c>
    </row>
    <row r="5672" spans="3:4" s="230" customFormat="1">
      <c r="C5672" s="16" t="str">
        <f>IFERROR(VLOOKUP(DATA!#REF!,DATA!#REF!,1,FALSE),"")</f>
        <v/>
      </c>
      <c r="D5672" s="16" t="str">
        <f>IFERROR(VLOOKUP(C5672,DATA!#REF!,2,FALSE),"")</f>
        <v/>
      </c>
    </row>
    <row r="5673" spans="3:4" s="230" customFormat="1">
      <c r="C5673" s="16" t="str">
        <f>IFERROR(VLOOKUP(DATA!#REF!,DATA!#REF!,1,FALSE),"")</f>
        <v/>
      </c>
      <c r="D5673" s="16" t="str">
        <f>IFERROR(VLOOKUP(C5673,DATA!#REF!,2,FALSE),"")</f>
        <v/>
      </c>
    </row>
    <row r="5674" spans="3:4" s="230" customFormat="1">
      <c r="C5674" s="16" t="str">
        <f>IFERROR(VLOOKUP(DATA!#REF!,DATA!#REF!,1,FALSE),"")</f>
        <v/>
      </c>
      <c r="D5674" s="16" t="str">
        <f>IFERROR(VLOOKUP(C5674,DATA!#REF!,2,FALSE),"")</f>
        <v/>
      </c>
    </row>
    <row r="5675" spans="3:4" s="230" customFormat="1">
      <c r="C5675" s="16" t="str">
        <f>IFERROR(VLOOKUP(DATA!#REF!,DATA!#REF!,1,FALSE),"")</f>
        <v/>
      </c>
      <c r="D5675" s="16" t="str">
        <f>IFERROR(VLOOKUP(C5675,DATA!#REF!,2,FALSE),"")</f>
        <v/>
      </c>
    </row>
    <row r="5676" spans="3:4" s="230" customFormat="1">
      <c r="C5676" s="16" t="str">
        <f>IFERROR(VLOOKUP(DATA!#REF!,DATA!#REF!,1,FALSE),"")</f>
        <v/>
      </c>
      <c r="D5676" s="16" t="str">
        <f>IFERROR(VLOOKUP(C5676,DATA!#REF!,2,FALSE),"")</f>
        <v/>
      </c>
    </row>
    <row r="5677" spans="3:4" s="230" customFormat="1">
      <c r="C5677" s="16" t="str">
        <f>IFERROR(VLOOKUP(DATA!#REF!,DATA!#REF!,1,FALSE),"")</f>
        <v/>
      </c>
      <c r="D5677" s="16" t="str">
        <f>IFERROR(VLOOKUP(C5677,DATA!#REF!,2,FALSE),"")</f>
        <v/>
      </c>
    </row>
    <row r="5678" spans="3:4" s="230" customFormat="1">
      <c r="C5678" s="16" t="str">
        <f>IFERROR(VLOOKUP(DATA!#REF!,DATA!#REF!,1,FALSE),"")</f>
        <v/>
      </c>
      <c r="D5678" s="16" t="str">
        <f>IFERROR(VLOOKUP(C5678,DATA!#REF!,2,FALSE),"")</f>
        <v/>
      </c>
    </row>
    <row r="5679" spans="3:4" s="230" customFormat="1">
      <c r="C5679" s="16" t="str">
        <f>IFERROR(VLOOKUP(DATA!#REF!,DATA!#REF!,1,FALSE),"")</f>
        <v/>
      </c>
      <c r="D5679" s="16" t="str">
        <f>IFERROR(VLOOKUP(C5679,DATA!#REF!,2,FALSE),"")</f>
        <v/>
      </c>
    </row>
    <row r="5680" spans="3:4" s="230" customFormat="1">
      <c r="C5680" s="16" t="str">
        <f>IFERROR(VLOOKUP(DATA!#REF!,DATA!#REF!,1,FALSE),"")</f>
        <v/>
      </c>
      <c r="D5680" s="16" t="str">
        <f>IFERROR(VLOOKUP(C5680,DATA!#REF!,2,FALSE),"")</f>
        <v/>
      </c>
    </row>
    <row r="5681" spans="3:4" s="230" customFormat="1">
      <c r="C5681" s="16" t="str">
        <f>IFERROR(VLOOKUP(DATA!#REF!,DATA!#REF!,1,FALSE),"")</f>
        <v/>
      </c>
      <c r="D5681" s="16" t="str">
        <f>IFERROR(VLOOKUP(C5681,DATA!#REF!,2,FALSE),"")</f>
        <v/>
      </c>
    </row>
    <row r="5682" spans="3:4" s="230" customFormat="1">
      <c r="C5682" s="16" t="str">
        <f>IFERROR(VLOOKUP(DATA!#REF!,DATA!#REF!,1,FALSE),"")</f>
        <v/>
      </c>
      <c r="D5682" s="16" t="str">
        <f>IFERROR(VLOOKUP(C5682,DATA!#REF!,2,FALSE),"")</f>
        <v/>
      </c>
    </row>
    <row r="5683" spans="3:4" s="230" customFormat="1">
      <c r="C5683" s="16" t="str">
        <f>IFERROR(VLOOKUP(DATA!#REF!,DATA!#REF!,1,FALSE),"")</f>
        <v/>
      </c>
      <c r="D5683" s="16" t="str">
        <f>IFERROR(VLOOKUP(C5683,DATA!#REF!,2,FALSE),"")</f>
        <v/>
      </c>
    </row>
  </sheetData>
  <sheetProtection password="DFC0" sheet="1" objects="1" scenarios="1"/>
  <autoFilter ref="B5:R5683"/>
  <mergeCells count="2">
    <mergeCell ref="F4:I4"/>
    <mergeCell ref="K4:N4"/>
  </mergeCells>
  <conditionalFormatting sqref="B9:B2197 B6:D125 C9:D5683 L6:N140 G6:I140">
    <cfRule type="expression" dxfId="357" priority="23">
      <formula>$C6&lt;&gt;""</formula>
    </cfRule>
  </conditionalFormatting>
  <conditionalFormatting sqref="B9:B2197 B6:D125 C9:D5683 L6:N140 G6:I140">
    <cfRule type="expression" dxfId="356" priority="22">
      <formula>$C6&lt;&gt;""</formula>
    </cfRule>
  </conditionalFormatting>
  <conditionalFormatting sqref="B9:B2197 F6:N125 B6:D125 C9:D5683 E9:N204">
    <cfRule type="expression" dxfId="355" priority="21">
      <formula>"$c6&lt;&gt;,"""""</formula>
    </cfRule>
  </conditionalFormatting>
  <conditionalFormatting sqref="B9:B2367 F6:N125 B6:D125 C9:D5683 E9:N2367">
    <cfRule type="expression" dxfId="354" priority="20">
      <formula>"$C6&lt;&gt;"""""</formula>
    </cfRule>
  </conditionalFormatting>
  <conditionalFormatting sqref="F6:N125 B6:D125 B9:N14120">
    <cfRule type="expression" dxfId="353" priority="19">
      <formula>$C6&lt;&gt;""</formula>
    </cfRule>
  </conditionalFormatting>
  <conditionalFormatting sqref="E6:E140">
    <cfRule type="expression" dxfId="352" priority="18">
      <formula>"$c6&lt;&gt;,"""""</formula>
    </cfRule>
  </conditionalFormatting>
  <conditionalFormatting sqref="E6:E140">
    <cfRule type="expression" dxfId="351" priority="17">
      <formula>"$C6&lt;&gt;"""""</formula>
    </cfRule>
  </conditionalFormatting>
  <conditionalFormatting sqref="E6:E140">
    <cfRule type="expression" dxfId="350" priority="16">
      <formula>$C6&lt;&gt;""</formula>
    </cfRule>
  </conditionalFormatting>
  <conditionalFormatting sqref="G6:I140 L6:N140">
    <cfRule type="expression" dxfId="349" priority="15">
      <formula>$C6&lt;&gt;""</formula>
    </cfRule>
  </conditionalFormatting>
  <conditionalFormatting sqref="G6:I140 L6:N140">
    <cfRule type="expression" dxfId="348" priority="14">
      <formula>$C6&lt;&gt;""</formula>
    </cfRule>
  </conditionalFormatting>
  <conditionalFormatting sqref="F6:N140">
    <cfRule type="expression" dxfId="347" priority="13">
      <formula>"$c6&lt;&gt;,"""""</formula>
    </cfRule>
  </conditionalFormatting>
  <conditionalFormatting sqref="F6:N140">
    <cfRule type="expression" dxfId="346" priority="12">
      <formula>"$C6&lt;&gt;"""""</formula>
    </cfRule>
  </conditionalFormatting>
  <conditionalFormatting sqref="F6:N140">
    <cfRule type="expression" dxfId="345" priority="11">
      <formula>$C6&lt;&gt;""</formula>
    </cfRule>
  </conditionalFormatting>
  <conditionalFormatting sqref="L126:N126 G126:I126">
    <cfRule type="expression" dxfId="344" priority="10">
      <formula>$C126&lt;&gt;""</formula>
    </cfRule>
  </conditionalFormatting>
  <conditionalFormatting sqref="L126:N126 G126:I126">
    <cfRule type="expression" dxfId="343" priority="9">
      <formula>$C126&lt;&gt;""</formula>
    </cfRule>
  </conditionalFormatting>
  <conditionalFormatting sqref="E126">
    <cfRule type="expression" dxfId="342" priority="8">
      <formula>"$c6&lt;&gt;,"""""</formula>
    </cfRule>
  </conditionalFormatting>
  <conditionalFormatting sqref="E126">
    <cfRule type="expression" dxfId="341" priority="7">
      <formula>"$C6&lt;&gt;"""""</formula>
    </cfRule>
  </conditionalFormatting>
  <conditionalFormatting sqref="E126">
    <cfRule type="expression" dxfId="340" priority="6">
      <formula>$C126&lt;&gt;""</formula>
    </cfRule>
  </conditionalFormatting>
  <conditionalFormatting sqref="G126:I126 L126:N126">
    <cfRule type="expression" dxfId="339" priority="5">
      <formula>$C126&lt;&gt;""</formula>
    </cfRule>
  </conditionalFormatting>
  <conditionalFormatting sqref="G126:I126 L126:N126">
    <cfRule type="expression" dxfId="338" priority="4">
      <formula>$C126&lt;&gt;""</formula>
    </cfRule>
  </conditionalFormatting>
  <conditionalFormatting sqref="F126:N126">
    <cfRule type="expression" dxfId="337" priority="3">
      <formula>"$c6&lt;&gt;,"""""</formula>
    </cfRule>
  </conditionalFormatting>
  <conditionalFormatting sqref="F126:N126">
    <cfRule type="expression" dxfId="336" priority="2">
      <formula>"$C6&lt;&gt;"""""</formula>
    </cfRule>
  </conditionalFormatting>
  <conditionalFormatting sqref="F126:N126">
    <cfRule type="expression" dxfId="335" priority="1">
      <formula>$C126&lt;&gt;""</formula>
    </cfRule>
  </conditionalFormatting>
  <pageMargins left="0.7" right="0.7" top="0.75" bottom="0.75" header="0.3" footer="0.3"/>
  <pageSetup scale="56" fitToHeight="0" orientation="landscape" horizontalDpi="0" verticalDpi="0" r:id="rId1"/>
</worksheet>
</file>

<file path=xl/worksheets/sheet7.xml><?xml version="1.0" encoding="utf-8"?>
<worksheet xmlns="http://schemas.openxmlformats.org/spreadsheetml/2006/main" xmlns:r="http://schemas.openxmlformats.org/officeDocument/2006/relationships">
  <sheetPr>
    <pageSetUpPr fitToPage="1"/>
  </sheetPr>
  <dimension ref="A1:AE111"/>
  <sheetViews>
    <sheetView workbookViewId="0">
      <pane xSplit="4" ySplit="7" topLeftCell="N8" activePane="bottomRight" state="frozen"/>
      <selection pane="topRight" activeCell="E1" sqref="E1"/>
      <selection pane="bottomLeft" activeCell="A8" sqref="A8"/>
      <selection pane="bottomRight" activeCell="S90" sqref="S90"/>
    </sheetView>
  </sheetViews>
  <sheetFormatPr defaultRowHeight="12.75"/>
  <cols>
    <col min="1" max="1" width="5" style="87" customWidth="1"/>
    <col min="2" max="2" width="8.28515625" style="87" customWidth="1"/>
    <col min="3" max="3" width="28.140625" style="88" customWidth="1"/>
    <col min="4" max="4" width="6" style="171" customWidth="1"/>
    <col min="5" max="5" width="0.28515625" style="88" customWidth="1"/>
    <col min="6" max="7" width="12.85546875" style="88" hidden="1" customWidth="1"/>
    <col min="8" max="8" width="12.5703125" style="88" customWidth="1"/>
    <col min="9" max="9" width="13.5703125" style="88" customWidth="1"/>
    <col min="10" max="10" width="14.5703125" style="88" customWidth="1"/>
    <col min="11" max="11" width="11.140625" style="88" customWidth="1"/>
    <col min="12" max="12" width="12" style="88" customWidth="1"/>
    <col min="13" max="13" width="14.7109375" style="88" customWidth="1"/>
    <col min="14" max="14" width="10.28515625" style="88" customWidth="1"/>
    <col min="15" max="15" width="13.140625" style="88" customWidth="1"/>
    <col min="16" max="16" width="15" style="88" customWidth="1"/>
    <col min="17" max="17" width="10.28515625" style="233" customWidth="1"/>
    <col min="18" max="18" width="14" style="88" bestFit="1" customWidth="1"/>
    <col min="19" max="19" width="14.28515625" style="88" bestFit="1" customWidth="1"/>
    <col min="20" max="20" width="7.7109375" style="87" customWidth="1"/>
    <col min="21" max="21" width="13.5703125" style="88" bestFit="1" customWidth="1"/>
    <col min="22" max="22" width="13.5703125" style="15" customWidth="1"/>
    <col min="23" max="23" width="33.28515625" style="88" customWidth="1"/>
    <col min="24" max="24" width="18.42578125" style="88" customWidth="1"/>
    <col min="25" max="26" width="16" style="88" bestFit="1" customWidth="1"/>
    <col min="27" max="27" width="14.5703125" style="88" bestFit="1" customWidth="1"/>
    <col min="28" max="28" width="12.42578125" style="88" bestFit="1" customWidth="1"/>
    <col min="29" max="29" width="14.5703125" style="88" bestFit="1" customWidth="1"/>
    <col min="30" max="30" width="12.85546875" style="88" bestFit="1" customWidth="1"/>
    <col min="31" max="16384" width="9.140625" style="88"/>
  </cols>
  <sheetData>
    <row r="1" spans="1:31">
      <c r="A1" s="86"/>
      <c r="D1" s="171" t="s">
        <v>260</v>
      </c>
      <c r="E1" s="103">
        <f t="shared" ref="E1:R1" si="0">+SUM(E8:E8013)</f>
        <v>14862.462299999997</v>
      </c>
      <c r="F1" s="103">
        <f t="shared" si="0"/>
        <v>13663795.084154714</v>
      </c>
      <c r="G1" s="103">
        <f t="shared" si="0"/>
        <v>943247445.60791767</v>
      </c>
      <c r="H1" s="103">
        <f t="shared" ca="1" si="0"/>
        <v>14862.462299999997</v>
      </c>
      <c r="I1" s="103">
        <f t="shared" ca="1" si="0"/>
        <v>13663795.084154714</v>
      </c>
      <c r="J1" s="103">
        <f t="shared" ca="1" si="0"/>
        <v>943247445.60791767</v>
      </c>
      <c r="K1" s="103">
        <f ca="1">+SUM(K8:K8013)</f>
        <v>63074.060000000005</v>
      </c>
      <c r="L1" s="103">
        <f t="shared" ca="1" si="0"/>
        <v>2264414.1023665676</v>
      </c>
      <c r="M1" s="103">
        <f ca="1">+SUM(M8:M8013)</f>
        <v>1050128649.572826</v>
      </c>
      <c r="N1" s="103">
        <f t="shared" ca="1" si="0"/>
        <v>34319.803445039419</v>
      </c>
      <c r="O1" s="103">
        <f t="shared" ca="1" si="0"/>
        <v>4460595.8191515403</v>
      </c>
      <c r="P1" s="103">
        <f ca="1">+SUM(P8:P8013)</f>
        <v>1124514130.5286098</v>
      </c>
      <c r="Q1" s="232">
        <f t="shared" ca="1" si="0"/>
        <v>43616.718854960585</v>
      </c>
      <c r="R1" s="103">
        <f t="shared" ca="1" si="0"/>
        <v>12567792.176419795</v>
      </c>
      <c r="S1" s="103">
        <f ca="1">+SUM(S8:S8013)</f>
        <v>868861964.65213394</v>
      </c>
      <c r="V1" s="882" t="s">
        <v>323</v>
      </c>
      <c r="W1" s="882" t="s">
        <v>2763</v>
      </c>
      <c r="X1" s="882" t="s">
        <v>11</v>
      </c>
      <c r="Y1" s="882" t="s">
        <v>261</v>
      </c>
      <c r="Z1" s="882" t="s">
        <v>262</v>
      </c>
      <c r="AA1" s="882" t="s">
        <v>10</v>
      </c>
      <c r="AB1" s="883" t="s">
        <v>2764</v>
      </c>
    </row>
    <row r="2" spans="1:31">
      <c r="A2" s="95"/>
      <c r="B2" s="86"/>
      <c r="G2" s="88">
        <f>+STAT1!H36+STAT1!H57+STAT1!H58+STAT1!H62+STAT1!H63+STAT1!H64+STAT1!H65</f>
        <v>943247445.6090343</v>
      </c>
      <c r="J2" s="88">
        <f>+STAT1!H36+STAT1!H57+STAT1!H58+STAT1!H62+STAT1!H63+STAT1!H64+STAT1!H65</f>
        <v>943247445.6090343</v>
      </c>
      <c r="K2" s="88">
        <f>+'RC'!G1</f>
        <v>63074.060000000005</v>
      </c>
      <c r="M2" s="88">
        <f>+STAT1!J36+SUM(STAT1!J57:J65)+STAT2!J36+SUM(STAT2!J57:J65)+STAT3!J36+SUM(STAT3!J57:J65)++STAT4!J36+SUM(STAT4!J57:J65)</f>
        <v>1050128649.580507</v>
      </c>
      <c r="P2" s="88">
        <f>+STAT1!K36+SUM(STAT1!K57:K65)+STAT2!K36+SUM(STAT2!K57:K65)+STAT3!K36+SUM(STAT3!K57:K65)+STAT4!K36+SUM(STAT4!K57:K65)</f>
        <v>1124514130.533051</v>
      </c>
      <c r="R2" s="96"/>
      <c r="S2" s="97">
        <f>+STAT4!V36+SUM(STAT4!V57:V65)</f>
        <v>868861964.65649033</v>
      </c>
      <c r="V2" s="6">
        <v>140100</v>
      </c>
      <c r="W2" s="118" t="s">
        <v>597</v>
      </c>
      <c r="X2" s="884">
        <f ca="1">+SUMIFS($J$8:$J$2000,$T$8:$T$2000,V2)</f>
        <v>481074542.74850005</v>
      </c>
      <c r="Y2" s="884">
        <f ca="1">+SUMIFS($M$8:$M$2000,$T$8:$T$2000,V2)</f>
        <v>0</v>
      </c>
      <c r="Z2" s="884">
        <f ca="1">+SUMIFS($P$8:$P$2000,$T$8:$T$2000,V2)</f>
        <v>333814365.9692623</v>
      </c>
      <c r="AA2" s="884">
        <f ca="1">+SUMIFS($S$8:$S$2000,$T$8:$T$2000,V2)</f>
        <v>147260176.77923775</v>
      </c>
      <c r="AB2" s="885">
        <v>131001</v>
      </c>
      <c r="AC2" s="88">
        <f>+STAT4!V36</f>
        <v>147260176.77923775</v>
      </c>
      <c r="AD2" s="88">
        <f t="shared" ref="AD2:AD6" ca="1" si="1">+AC2-AA2</f>
        <v>0</v>
      </c>
    </row>
    <row r="3" spans="1:31">
      <c r="A3" s="95"/>
      <c r="B3" s="88"/>
      <c r="G3" s="88">
        <f>+G1-G2</f>
        <v>-1.116633415222168E-3</v>
      </c>
      <c r="J3" s="88">
        <f ca="1">+J1-J2</f>
        <v>-1.116633415222168E-3</v>
      </c>
      <c r="K3" s="88">
        <f ca="1">+K1-K2</f>
        <v>0</v>
      </c>
      <c r="M3" s="88">
        <f ca="1">+M1-M2</f>
        <v>-7.6810121536254883E-3</v>
      </c>
      <c r="P3" s="88">
        <f ca="1">+P1-P2</f>
        <v>-4.4412612915039063E-3</v>
      </c>
      <c r="R3" s="96"/>
      <c r="S3" s="88">
        <f ca="1">+S1-S2</f>
        <v>-4.35638427734375E-3</v>
      </c>
      <c r="V3" s="6">
        <v>150100</v>
      </c>
      <c r="W3" s="118" t="s">
        <v>1688</v>
      </c>
      <c r="X3" s="884">
        <f t="shared" ref="X3:X7" ca="1" si="2">+SUMIFS($J$8:$J$2000,$T$8:$T$2000,V3)</f>
        <v>194017896.00640002</v>
      </c>
      <c r="Y3" s="884">
        <f t="shared" ref="Y3:Y7" ca="1" si="3">+SUMIFS($M$8:$M$2000,$T$8:$T$2000,V3)</f>
        <v>336733706.35733455</v>
      </c>
      <c r="Z3" s="884">
        <f t="shared" ref="Z3:Z7" ca="1" si="4">+SUMIFS($P$8:$P$2000,$T$8:$T$2000,V3)</f>
        <v>484438917.55630493</v>
      </c>
      <c r="AA3" s="884">
        <f t="shared" ref="AA3:AA7" ca="1" si="5">+SUMIFS($S$8:$S$2000,$T$8:$T$2000,V3)</f>
        <v>46312684.807429671</v>
      </c>
      <c r="AB3" s="885">
        <v>310002</v>
      </c>
      <c r="AC3" s="88">
        <f>+STAT4!V57</f>
        <v>46312684.781988412</v>
      </c>
      <c r="AD3" s="88">
        <f t="shared" ca="1" si="1"/>
        <v>-2.5441259145736694E-2</v>
      </c>
    </row>
    <row r="4" spans="1:31">
      <c r="A4" s="95"/>
      <c r="O4" s="96" t="s">
        <v>303</v>
      </c>
      <c r="P4" s="113">
        <v>42736</v>
      </c>
      <c r="R4" s="96" t="s">
        <v>304</v>
      </c>
      <c r="S4" s="113">
        <v>43100</v>
      </c>
      <c r="V4" s="6">
        <v>150101</v>
      </c>
      <c r="W4" s="118" t="s">
        <v>1689</v>
      </c>
      <c r="X4" s="884">
        <f t="shared" ca="1" si="2"/>
        <v>107045997.82273899</v>
      </c>
      <c r="Y4" s="884">
        <f t="shared" ca="1" si="3"/>
        <v>685545068.68013692</v>
      </c>
      <c r="Z4" s="884">
        <f t="shared" ca="1" si="4"/>
        <v>263282847.75465712</v>
      </c>
      <c r="AA4" s="884">
        <f t="shared" ca="1" si="5"/>
        <v>529308218.74821854</v>
      </c>
      <c r="AB4" s="885">
        <v>210003</v>
      </c>
      <c r="AC4" s="88">
        <f>+STAT4!V58</f>
        <v>529308218.76853788</v>
      </c>
      <c r="AD4" s="88">
        <f t="shared" ca="1" si="1"/>
        <v>2.0319342613220215E-2</v>
      </c>
    </row>
    <row r="5" spans="1:31">
      <c r="A5" s="95">
        <f>COUNT(A8:A500)</f>
        <v>99</v>
      </c>
      <c r="B5" s="86" t="s">
        <v>1365</v>
      </c>
      <c r="V5" s="6">
        <v>160100</v>
      </c>
      <c r="W5" s="118" t="s">
        <v>961</v>
      </c>
      <c r="X5" s="884">
        <f t="shared" ca="1" si="2"/>
        <v>153515785.42888275</v>
      </c>
      <c r="Y5" s="884">
        <f t="shared" ca="1" si="3"/>
        <v>26944445.445354547</v>
      </c>
      <c r="Z5" s="884">
        <f t="shared" ca="1" si="4"/>
        <v>40965271.212930731</v>
      </c>
      <c r="AA5" s="884">
        <f t="shared" ca="1" si="5"/>
        <v>139494959.66130656</v>
      </c>
      <c r="AB5" s="885">
        <v>410002</v>
      </c>
      <c r="AC5" s="88">
        <f>+STAT4!V62</f>
        <v>139494959.67078546</v>
      </c>
      <c r="AD5" s="88">
        <f t="shared" ca="1" si="1"/>
        <v>9.4788968563079834E-3</v>
      </c>
    </row>
    <row r="6" spans="1:31">
      <c r="A6" s="106" t="s">
        <v>1</v>
      </c>
      <c r="B6" s="98" t="s">
        <v>308</v>
      </c>
      <c r="C6" s="260" t="s">
        <v>309</v>
      </c>
      <c r="D6" s="175" t="s">
        <v>325</v>
      </c>
      <c r="E6" s="914" t="s">
        <v>305</v>
      </c>
      <c r="F6" s="915"/>
      <c r="G6" s="916"/>
      <c r="H6" s="914" t="s">
        <v>306</v>
      </c>
      <c r="I6" s="915"/>
      <c r="J6" s="916"/>
      <c r="K6" s="914" t="s">
        <v>293</v>
      </c>
      <c r="L6" s="915"/>
      <c r="M6" s="916"/>
      <c r="N6" s="914" t="s">
        <v>294</v>
      </c>
      <c r="O6" s="915"/>
      <c r="P6" s="916"/>
      <c r="Q6" s="914" t="s">
        <v>307</v>
      </c>
      <c r="R6" s="915"/>
      <c r="S6" s="916"/>
      <c r="T6" s="98" t="s">
        <v>323</v>
      </c>
      <c r="V6" s="6">
        <v>160200</v>
      </c>
      <c r="W6" s="118" t="s">
        <v>628</v>
      </c>
      <c r="X6" s="884">
        <f t="shared" ca="1" si="2"/>
        <v>7217305.0354545442</v>
      </c>
      <c r="Y6" s="884">
        <f t="shared" ca="1" si="3"/>
        <v>905429.09</v>
      </c>
      <c r="Z6" s="884">
        <f t="shared" ca="1" si="4"/>
        <v>2012728.0354545454</v>
      </c>
      <c r="AA6" s="884">
        <f t="shared" ca="1" si="5"/>
        <v>6110006.0899999989</v>
      </c>
      <c r="AB6" s="885">
        <v>430001</v>
      </c>
      <c r="AC6" s="88">
        <f>+STAT4!V63</f>
        <v>6110006.0900000008</v>
      </c>
      <c r="AD6" s="88">
        <f t="shared" ca="1" si="1"/>
        <v>0</v>
      </c>
    </row>
    <row r="7" spans="1:31">
      <c r="A7" s="106"/>
      <c r="B7" s="98"/>
      <c r="C7" s="260"/>
      <c r="D7" s="175" t="s">
        <v>326</v>
      </c>
      <c r="E7" s="107" t="s">
        <v>310</v>
      </c>
      <c r="F7" s="107" t="s">
        <v>295</v>
      </c>
      <c r="G7" s="107" t="s">
        <v>311</v>
      </c>
      <c r="H7" s="107" t="s">
        <v>310</v>
      </c>
      <c r="I7" s="107" t="s">
        <v>295</v>
      </c>
      <c r="J7" s="107" t="s">
        <v>311</v>
      </c>
      <c r="K7" s="107" t="s">
        <v>310</v>
      </c>
      <c r="L7" s="107" t="s">
        <v>295</v>
      </c>
      <c r="M7" s="107" t="s">
        <v>311</v>
      </c>
      <c r="N7" s="107" t="s">
        <v>310</v>
      </c>
      <c r="O7" s="107" t="s">
        <v>295</v>
      </c>
      <c r="P7" s="107" t="s">
        <v>311</v>
      </c>
      <c r="Q7" s="234" t="s">
        <v>310</v>
      </c>
      <c r="R7" s="107" t="s">
        <v>295</v>
      </c>
      <c r="S7" s="107" t="s">
        <v>311</v>
      </c>
      <c r="T7" s="98"/>
      <c r="V7" s="6">
        <v>160201</v>
      </c>
      <c r="W7" s="886" t="s">
        <v>1693</v>
      </c>
      <c r="X7" s="887">
        <f t="shared" ca="1" si="2"/>
        <v>375918.56594085693</v>
      </c>
      <c r="Y7" s="887">
        <f t="shared" ca="1" si="3"/>
        <v>0</v>
      </c>
      <c r="Z7" s="887">
        <f t="shared" ca="1" si="4"/>
        <v>0</v>
      </c>
      <c r="AA7" s="887">
        <f t="shared" ca="1" si="5"/>
        <v>375918.56594085693</v>
      </c>
      <c r="AB7" s="888">
        <v>4600027</v>
      </c>
      <c r="AC7" s="88">
        <f>+STAT4!V64</f>
        <v>375918.56594085693</v>
      </c>
      <c r="AD7" s="88">
        <f ca="1">+AC7-AA7</f>
        <v>0</v>
      </c>
    </row>
    <row r="8" spans="1:31">
      <c r="A8" s="105">
        <f t="shared" ref="A8:A39" si="6">+IF(B8="","",ROW()-7)</f>
        <v>1</v>
      </c>
      <c r="B8" s="359">
        <v>131001</v>
      </c>
      <c r="C8" s="319" t="s">
        <v>2692</v>
      </c>
      <c r="D8" s="476" t="s">
        <v>1642</v>
      </c>
      <c r="E8" s="93">
        <v>184.78</v>
      </c>
      <c r="F8" s="93">
        <v>436904.43</v>
      </c>
      <c r="G8" s="94">
        <f t="shared" ref="G8:G39" si="7">+IF(A8="","",IFERROR(E8*F8,0))</f>
        <v>80731200.575399995</v>
      </c>
      <c r="H8" s="94">
        <f t="shared" ref="H8:H39" ca="1" si="8">IF(A8="","",E8+SUMIFS(RC_or_unit,RC_Code,B8,RC_date,"&lt;"&amp;$P$4)-SUMIFS(RC_zar_unit,RC_Code,B8,RC_date,"&lt;"&amp;$P$4))</f>
        <v>184.78</v>
      </c>
      <c r="I8" s="94">
        <f ca="1">+IF(A8="","",IFERROR(J8/H8,0))</f>
        <v>436904.43</v>
      </c>
      <c r="J8" s="94">
        <f t="shared" ref="J8:J39" ca="1" si="9">IF(A8="","",G8+SUMIFS(RC_or_totol,RC_Code,B8,RC_date,"&lt;"&amp;$P$4)-SUMIFS(RC_zar_totol,RC_Code,B8,RC_date,"&lt;"&amp;$P$4))</f>
        <v>80731200.575399995</v>
      </c>
      <c r="K8" s="94">
        <f t="shared" ref="K8:K39" ca="1" si="10">IF(A8="","",SUMIFS(RC_or_unit,RC_Code,B8,RC_date,"&gt;="&amp;$P$4,RC_date,"&lt;="&amp;$S$4))</f>
        <v>0</v>
      </c>
      <c r="L8" s="94">
        <f t="shared" ref="L8:L39" ca="1" si="11">+IF(A8="","",IFERROR(M8/K8,0))</f>
        <v>0</v>
      </c>
      <c r="M8" s="94">
        <f t="shared" ref="M8:M39" ca="1" si="12">IF($A8="","",SUMIFS(RC_or_totol,RC_Code,$B8,RC_date,"&gt;="&amp;$P$4,RC_date,"&lt;="&amp;$S$4))</f>
        <v>0</v>
      </c>
      <c r="N8" s="94">
        <f t="shared" ref="N8:N39" ca="1" si="13">IF($A8="","",SUMIFS(RC_zar_unit,RC_Code,$B8,RC_date,"&gt;="&amp;$P$4,RC_date,"&lt;="&amp;$S$4))</f>
        <v>184.78</v>
      </c>
      <c r="O8" s="94">
        <f t="shared" ref="O8:O39" ca="1" si="14">+IF(A8="","",IFERROR(P8/N8,0))</f>
        <v>436904.43</v>
      </c>
      <c r="P8" s="20">
        <f t="shared" ref="P8:P39" ca="1" si="15">IF($A8="","",SUMIFS(RC_zar_totol,RC_Code,$B8,RC_date,"&gt;="&amp;$P$4,RC_date,"&lt;="&amp;$S$4))</f>
        <v>80731200.575399995</v>
      </c>
      <c r="Q8" s="20">
        <f t="shared" ref="Q8:Q39" ca="1" si="16">+IF(A8="","",IFERROR(H8+K8-N8,0))</f>
        <v>0</v>
      </c>
      <c r="R8" s="20">
        <f t="shared" ref="R8:R39" ca="1" si="17">+IF(G8="","",IFERROR(S8/Q8,0))</f>
        <v>0</v>
      </c>
      <c r="S8" s="364">
        <f t="shared" ref="S8:S39" ca="1" si="18">+IF(A8="","",IFERROR(J8+M8-P8,0))</f>
        <v>0</v>
      </c>
      <c r="T8" s="436">
        <f t="shared" ref="T8:T39" si="19">+IF(LEFT(B8,3)="131",140100,0)+IF(LEFT(B8,3)="310",150100,0)+IF(LEFT(B8,3)="211",150101,0)+IF(LEFT(B8,3)="410",160100,0)+IF(LEFT(B8,3)="440",160200,0)+IF(LEFT(B8,3)="430",160200,0)+IF(LEFT(B8,3)="420",160200,0)+IF(LEFT(B8,3)="460",160201,0)+IF(LEFT(B8,3)="210",150101,0)+IF(LEFT(B8,3)="510",140100,0)</f>
        <v>140100</v>
      </c>
      <c r="W8" s="889"/>
      <c r="X8" s="891">
        <f ca="1">SUM(X2:X7)</f>
        <v>943247445.60791719</v>
      </c>
      <c r="Y8" s="891">
        <f t="shared" ref="Y8:AC8" ca="1" si="20">SUM(Y2:Y7)</f>
        <v>1050128649.5728261</v>
      </c>
      <c r="Z8" s="891">
        <f t="shared" ca="1" si="20"/>
        <v>1124514130.5286095</v>
      </c>
      <c r="AA8" s="891">
        <f t="shared" ca="1" si="20"/>
        <v>868861964.65213335</v>
      </c>
      <c r="AB8" s="891"/>
      <c r="AC8" s="891">
        <f t="shared" si="20"/>
        <v>868861964.65649033</v>
      </c>
      <c r="AD8" s="94">
        <f ca="1">+AC8-AA8</f>
        <v>4.3569803237915039E-3</v>
      </c>
      <c r="AE8" s="94"/>
    </row>
    <row r="9" spans="1:31">
      <c r="A9" s="105">
        <f t="shared" si="6"/>
        <v>2</v>
      </c>
      <c r="B9" s="359">
        <v>131018</v>
      </c>
      <c r="C9" s="319" t="s">
        <v>2697</v>
      </c>
      <c r="D9" s="476" t="s">
        <v>1642</v>
      </c>
      <c r="E9" s="93">
        <v>862.7</v>
      </c>
      <c r="F9" s="93">
        <v>302568.68045867624</v>
      </c>
      <c r="G9" s="94">
        <f t="shared" si="7"/>
        <v>261026000.63170001</v>
      </c>
      <c r="H9" s="94">
        <f t="shared" ca="1" si="8"/>
        <v>862.7</v>
      </c>
      <c r="I9" s="94">
        <f t="shared" ref="I9:I72" ca="1" si="21">+IF(A9="","",IFERROR(J9/H9,0))</f>
        <v>302568.68045867624</v>
      </c>
      <c r="J9" s="94">
        <f t="shared" ca="1" si="9"/>
        <v>261026000.63170001</v>
      </c>
      <c r="K9" s="94">
        <f t="shared" ca="1" si="10"/>
        <v>0</v>
      </c>
      <c r="L9" s="94">
        <f t="shared" ca="1" si="11"/>
        <v>0</v>
      </c>
      <c r="M9" s="94">
        <f t="shared" ca="1" si="12"/>
        <v>0</v>
      </c>
      <c r="N9" s="94">
        <f t="shared" ca="1" si="13"/>
        <v>376</v>
      </c>
      <c r="O9" s="94">
        <f t="shared" ca="1" si="14"/>
        <v>302568.68045867624</v>
      </c>
      <c r="P9" s="20">
        <f t="shared" ca="1" si="15"/>
        <v>113765823.85246226</v>
      </c>
      <c r="Q9" s="20">
        <f t="shared" ca="1" si="16"/>
        <v>486.70000000000005</v>
      </c>
      <c r="R9" s="20">
        <f t="shared" ca="1" si="17"/>
        <v>302568.68045867624</v>
      </c>
      <c r="S9" s="364">
        <f t="shared" ca="1" si="18"/>
        <v>147260176.77923775</v>
      </c>
      <c r="T9" s="436">
        <f t="shared" si="19"/>
        <v>140100</v>
      </c>
      <c r="W9" s="889"/>
      <c r="X9" s="890"/>
      <c r="Y9" s="94"/>
      <c r="Z9" s="94"/>
      <c r="AA9" s="94"/>
      <c r="AB9" s="94"/>
      <c r="AC9" s="94"/>
      <c r="AD9" s="94"/>
      <c r="AE9" s="94"/>
    </row>
    <row r="10" spans="1:31">
      <c r="A10" s="105">
        <f t="shared" si="6"/>
        <v>3</v>
      </c>
      <c r="B10" s="359">
        <v>131022</v>
      </c>
      <c r="C10" s="319" t="s">
        <v>2693</v>
      </c>
      <c r="D10" s="476" t="s">
        <v>1642</v>
      </c>
      <c r="E10" s="93">
        <v>132.19999999999999</v>
      </c>
      <c r="F10" s="93">
        <v>340685.37</v>
      </c>
      <c r="G10" s="94">
        <f t="shared" si="7"/>
        <v>45038605.913999997</v>
      </c>
      <c r="H10" s="94">
        <f t="shared" ca="1" si="8"/>
        <v>132.19999999999999</v>
      </c>
      <c r="I10" s="94">
        <f t="shared" ca="1" si="21"/>
        <v>340685.37</v>
      </c>
      <c r="J10" s="94">
        <f t="shared" ca="1" si="9"/>
        <v>45038605.913999997</v>
      </c>
      <c r="K10" s="94">
        <f t="shared" ca="1" si="10"/>
        <v>0</v>
      </c>
      <c r="L10" s="94">
        <f t="shared" ca="1" si="11"/>
        <v>0</v>
      </c>
      <c r="M10" s="94">
        <f t="shared" ca="1" si="12"/>
        <v>0</v>
      </c>
      <c r="N10" s="94">
        <f t="shared" ca="1" si="13"/>
        <v>132.19999999999999</v>
      </c>
      <c r="O10" s="94">
        <f t="shared" ca="1" si="14"/>
        <v>340685.37</v>
      </c>
      <c r="P10" s="20">
        <f t="shared" ca="1" si="15"/>
        <v>45038605.913999997</v>
      </c>
      <c r="Q10" s="20">
        <f t="shared" ca="1" si="16"/>
        <v>0</v>
      </c>
      <c r="R10" s="20">
        <f t="shared" ca="1" si="17"/>
        <v>0</v>
      </c>
      <c r="S10" s="364">
        <f t="shared" ca="1" si="18"/>
        <v>0</v>
      </c>
      <c r="T10" s="436">
        <f t="shared" si="19"/>
        <v>140100</v>
      </c>
      <c r="W10" s="889"/>
      <c r="X10" s="890"/>
      <c r="Y10" s="94"/>
      <c r="Z10" s="94"/>
      <c r="AA10" s="94"/>
      <c r="AB10" s="94"/>
      <c r="AC10" s="94"/>
      <c r="AD10" s="94"/>
      <c r="AE10" s="94"/>
    </row>
    <row r="11" spans="1:31">
      <c r="A11" s="105">
        <f t="shared" si="6"/>
        <v>4</v>
      </c>
      <c r="B11" s="359">
        <v>131026</v>
      </c>
      <c r="C11" s="319" t="s">
        <v>2699</v>
      </c>
      <c r="D11" s="476" t="s">
        <v>1642</v>
      </c>
      <c r="E11" s="93">
        <v>117.16</v>
      </c>
      <c r="F11" s="93">
        <v>353255.16</v>
      </c>
      <c r="G11" s="94">
        <f t="shared" si="7"/>
        <v>41387374.545599997</v>
      </c>
      <c r="H11" s="94">
        <f t="shared" ca="1" si="8"/>
        <v>117.16</v>
      </c>
      <c r="I11" s="94">
        <f t="shared" ca="1" si="21"/>
        <v>353255.16</v>
      </c>
      <c r="J11" s="94">
        <f t="shared" ca="1" si="9"/>
        <v>41387374.545599997</v>
      </c>
      <c r="K11" s="94">
        <f t="shared" ca="1" si="10"/>
        <v>0</v>
      </c>
      <c r="L11" s="94">
        <f t="shared" ca="1" si="11"/>
        <v>0</v>
      </c>
      <c r="M11" s="94">
        <f t="shared" ca="1" si="12"/>
        <v>0</v>
      </c>
      <c r="N11" s="94">
        <f t="shared" ca="1" si="13"/>
        <v>117.16</v>
      </c>
      <c r="O11" s="94">
        <f t="shared" ca="1" si="14"/>
        <v>353255.16</v>
      </c>
      <c r="P11" s="20">
        <f t="shared" ca="1" si="15"/>
        <v>41387374.545599997</v>
      </c>
      <c r="Q11" s="20">
        <f t="shared" ca="1" si="16"/>
        <v>0</v>
      </c>
      <c r="R11" s="20">
        <f t="shared" ca="1" si="17"/>
        <v>0</v>
      </c>
      <c r="S11" s="364">
        <f t="shared" ca="1" si="18"/>
        <v>0</v>
      </c>
      <c r="T11" s="436">
        <f t="shared" si="19"/>
        <v>140100</v>
      </c>
      <c r="W11" s="889"/>
      <c r="X11" s="890"/>
      <c r="Y11" s="94"/>
      <c r="Z11" s="94"/>
      <c r="AA11" s="94"/>
      <c r="AB11" s="94"/>
      <c r="AC11" s="94"/>
      <c r="AD11" s="94"/>
      <c r="AE11" s="94"/>
    </row>
    <row r="12" spans="1:31">
      <c r="A12" s="105">
        <f t="shared" si="6"/>
        <v>5</v>
      </c>
      <c r="B12" s="359">
        <v>131027</v>
      </c>
      <c r="C12" s="319" t="s">
        <v>2694</v>
      </c>
      <c r="D12" s="476" t="s">
        <v>1642</v>
      </c>
      <c r="E12" s="93">
        <v>154.02000000000001</v>
      </c>
      <c r="F12" s="93">
        <v>272953.09000000003</v>
      </c>
      <c r="G12" s="94">
        <f t="shared" si="7"/>
        <v>42040234.92180001</v>
      </c>
      <c r="H12" s="94">
        <f t="shared" ca="1" si="8"/>
        <v>154.02000000000001</v>
      </c>
      <c r="I12" s="94">
        <f t="shared" ca="1" si="21"/>
        <v>272953.09000000003</v>
      </c>
      <c r="J12" s="94">
        <f t="shared" ca="1" si="9"/>
        <v>42040234.92180001</v>
      </c>
      <c r="K12" s="94">
        <f t="shared" ca="1" si="10"/>
        <v>0</v>
      </c>
      <c r="L12" s="94">
        <f t="shared" ca="1" si="11"/>
        <v>0</v>
      </c>
      <c r="M12" s="94">
        <f t="shared" ca="1" si="12"/>
        <v>0</v>
      </c>
      <c r="N12" s="94">
        <f t="shared" ca="1" si="13"/>
        <v>154.01999999999998</v>
      </c>
      <c r="O12" s="94">
        <f t="shared" ca="1" si="14"/>
        <v>272953.09000000003</v>
      </c>
      <c r="P12" s="20">
        <f t="shared" ca="1" si="15"/>
        <v>42040234.921800002</v>
      </c>
      <c r="Q12" s="20">
        <f t="shared" ca="1" si="16"/>
        <v>2.8421709430404007E-14</v>
      </c>
      <c r="R12" s="20">
        <f t="shared" ca="1" si="17"/>
        <v>262144</v>
      </c>
      <c r="S12" s="364">
        <f t="shared" ca="1" si="18"/>
        <v>7.4505805969238281E-9</v>
      </c>
      <c r="T12" s="436">
        <f t="shared" si="19"/>
        <v>140100</v>
      </c>
      <c r="W12" s="889"/>
      <c r="X12" s="890"/>
      <c r="Y12" s="94"/>
      <c r="Z12" s="94"/>
      <c r="AA12" s="94"/>
      <c r="AB12" s="94"/>
      <c r="AC12" s="94"/>
      <c r="AD12" s="94"/>
      <c r="AE12" s="94"/>
    </row>
    <row r="13" spans="1:31">
      <c r="A13" s="105">
        <f t="shared" si="6"/>
        <v>6</v>
      </c>
      <c r="B13" s="359">
        <v>210003</v>
      </c>
      <c r="C13" s="319" t="s">
        <v>2682</v>
      </c>
      <c r="D13" s="476" t="s">
        <v>1641</v>
      </c>
      <c r="E13" s="93">
        <v>297.7482</v>
      </c>
      <c r="F13" s="93">
        <v>130818.39</v>
      </c>
      <c r="G13" s="94">
        <f t="shared" si="7"/>
        <v>38950940.149397999</v>
      </c>
      <c r="H13" s="94">
        <f t="shared" ca="1" si="8"/>
        <v>297.7482</v>
      </c>
      <c r="I13" s="94">
        <f t="shared" ca="1" si="21"/>
        <v>130818.39</v>
      </c>
      <c r="J13" s="94">
        <f t="shared" ca="1" si="9"/>
        <v>38950940.149397999</v>
      </c>
      <c r="K13" s="94">
        <f t="shared" ca="1" si="10"/>
        <v>500</v>
      </c>
      <c r="L13" s="94">
        <f t="shared" ca="1" si="11"/>
        <v>227035.082377432</v>
      </c>
      <c r="M13" s="94">
        <f t="shared" ca="1" si="12"/>
        <v>113517541.18871599</v>
      </c>
      <c r="N13" s="94">
        <f t="shared" ca="1" si="13"/>
        <v>260.77200000000005</v>
      </c>
      <c r="O13" s="94">
        <f t="shared" ca="1" si="14"/>
        <v>191123.56673210164</v>
      </c>
      <c r="P13" s="20">
        <f t="shared" ca="1" si="15"/>
        <v>49839674.74386362</v>
      </c>
      <c r="Q13" s="20">
        <f t="shared" ca="1" si="16"/>
        <v>536.97619999999995</v>
      </c>
      <c r="R13" s="20">
        <f t="shared" ca="1" si="17"/>
        <v>191123.5667321017</v>
      </c>
      <c r="S13" s="364">
        <f t="shared" ca="1" si="18"/>
        <v>102628806.59425038</v>
      </c>
      <c r="T13" s="436">
        <f t="shared" si="19"/>
        <v>150101</v>
      </c>
      <c r="W13" s="889"/>
      <c r="X13" s="890"/>
      <c r="Y13" s="94"/>
      <c r="Z13" s="94"/>
      <c r="AA13" s="94"/>
      <c r="AB13" s="94"/>
      <c r="AC13" s="94"/>
      <c r="AD13" s="94"/>
      <c r="AE13" s="94"/>
    </row>
    <row r="14" spans="1:31">
      <c r="A14" s="105">
        <f t="shared" si="6"/>
        <v>7</v>
      </c>
      <c r="B14" s="359">
        <v>211401</v>
      </c>
      <c r="C14" s="319" t="s">
        <v>2709</v>
      </c>
      <c r="D14" s="476" t="s">
        <v>1641</v>
      </c>
      <c r="E14" s="93">
        <v>0</v>
      </c>
      <c r="F14" s="93">
        <v>0</v>
      </c>
      <c r="G14" s="94">
        <f t="shared" si="7"/>
        <v>0</v>
      </c>
      <c r="H14" s="94">
        <f t="shared" ca="1" si="8"/>
        <v>0</v>
      </c>
      <c r="I14" s="94">
        <f t="shared" ca="1" si="21"/>
        <v>0</v>
      </c>
      <c r="J14" s="94">
        <f t="shared" ca="1" si="9"/>
        <v>0</v>
      </c>
      <c r="K14" s="94">
        <f t="shared" ca="1" si="10"/>
        <v>1203</v>
      </c>
      <c r="L14" s="94">
        <f t="shared" ca="1" si="11"/>
        <v>51757.27978772315</v>
      </c>
      <c r="M14" s="94">
        <f t="shared" ca="1" si="12"/>
        <v>62264007.584630951</v>
      </c>
      <c r="N14" s="94">
        <f t="shared" ca="1" si="13"/>
        <v>153.83800000000002</v>
      </c>
      <c r="O14" s="94">
        <f t="shared" ca="1" si="14"/>
        <v>51757.279787723142</v>
      </c>
      <c r="P14" s="20">
        <f t="shared" ca="1" si="15"/>
        <v>7962236.4079837538</v>
      </c>
      <c r="Q14" s="20">
        <f t="shared" ca="1" si="16"/>
        <v>1049.162</v>
      </c>
      <c r="R14" s="20">
        <f t="shared" ca="1" si="17"/>
        <v>51757.279787723157</v>
      </c>
      <c r="S14" s="364">
        <f t="shared" ca="1" si="18"/>
        <v>54301771.176647201</v>
      </c>
      <c r="T14" s="436">
        <f t="shared" si="19"/>
        <v>150101</v>
      </c>
      <c r="W14" s="889"/>
      <c r="X14" s="890"/>
      <c r="Y14" s="94"/>
      <c r="Z14" s="94"/>
      <c r="AA14" s="94"/>
      <c r="AB14" s="94"/>
      <c r="AC14" s="94"/>
      <c r="AD14" s="94"/>
      <c r="AE14" s="94"/>
    </row>
    <row r="15" spans="1:31">
      <c r="A15" s="105">
        <f t="shared" si="6"/>
        <v>8</v>
      </c>
      <c r="B15" s="359">
        <v>211501</v>
      </c>
      <c r="C15" s="319" t="s">
        <v>2689</v>
      </c>
      <c r="D15" s="476" t="s">
        <v>1641</v>
      </c>
      <c r="E15" s="93">
        <v>918.37</v>
      </c>
      <c r="F15" s="93">
        <v>13118.37</v>
      </c>
      <c r="G15" s="94">
        <f t="shared" si="7"/>
        <v>12047517.456900001</v>
      </c>
      <c r="H15" s="94">
        <f t="shared" ca="1" si="8"/>
        <v>918.37</v>
      </c>
      <c r="I15" s="94">
        <f t="shared" ca="1" si="21"/>
        <v>13118.37</v>
      </c>
      <c r="J15" s="94">
        <f t="shared" ca="1" si="9"/>
        <v>12047517.456900001</v>
      </c>
      <c r="K15" s="94">
        <f t="shared" ca="1" si="10"/>
        <v>0</v>
      </c>
      <c r="L15" s="94">
        <f t="shared" ca="1" si="11"/>
        <v>0</v>
      </c>
      <c r="M15" s="94">
        <f t="shared" ca="1" si="12"/>
        <v>0</v>
      </c>
      <c r="N15" s="94">
        <f t="shared" ca="1" si="13"/>
        <v>245.53199999999998</v>
      </c>
      <c r="O15" s="94">
        <f t="shared" ca="1" si="14"/>
        <v>13118.37</v>
      </c>
      <c r="P15" s="94">
        <f t="shared" ca="1" si="15"/>
        <v>3220979.6228399999</v>
      </c>
      <c r="Q15" s="20">
        <f t="shared" ca="1" si="16"/>
        <v>672.83799999999997</v>
      </c>
      <c r="R15" s="20">
        <f t="shared" ca="1" si="17"/>
        <v>13118.37</v>
      </c>
      <c r="S15" s="364">
        <f t="shared" ca="1" si="18"/>
        <v>8826537.8340600003</v>
      </c>
      <c r="T15" s="436">
        <f t="shared" si="19"/>
        <v>150101</v>
      </c>
      <c r="W15" s="889"/>
      <c r="X15" s="890"/>
      <c r="Y15" s="94"/>
      <c r="Z15" s="94"/>
      <c r="AA15" s="94"/>
      <c r="AB15" s="94"/>
      <c r="AC15" s="94"/>
      <c r="AD15" s="94"/>
      <c r="AE15" s="94"/>
    </row>
    <row r="16" spans="1:31">
      <c r="A16" s="105">
        <f t="shared" si="6"/>
        <v>9</v>
      </c>
      <c r="B16" s="359">
        <v>211502</v>
      </c>
      <c r="C16" s="319" t="s">
        <v>2710</v>
      </c>
      <c r="D16" s="476" t="s">
        <v>1641</v>
      </c>
      <c r="E16" s="93">
        <v>0</v>
      </c>
      <c r="F16" s="93">
        <v>0</v>
      </c>
      <c r="G16" s="94">
        <f t="shared" si="7"/>
        <v>0</v>
      </c>
      <c r="H16" s="94">
        <f t="shared" ca="1" si="8"/>
        <v>0</v>
      </c>
      <c r="I16" s="94">
        <f t="shared" ca="1" si="21"/>
        <v>0</v>
      </c>
      <c r="J16" s="94">
        <f t="shared" ca="1" si="9"/>
        <v>0</v>
      </c>
      <c r="K16" s="94">
        <f t="shared" ca="1" si="10"/>
        <v>0</v>
      </c>
      <c r="L16" s="94">
        <f t="shared" ca="1" si="11"/>
        <v>0</v>
      </c>
      <c r="M16" s="94">
        <f t="shared" ca="1" si="12"/>
        <v>0</v>
      </c>
      <c r="N16" s="94">
        <f t="shared" ca="1" si="13"/>
        <v>0</v>
      </c>
      <c r="O16" s="94">
        <f t="shared" ca="1" si="14"/>
        <v>0</v>
      </c>
      <c r="P16" s="94">
        <f t="shared" ca="1" si="15"/>
        <v>0</v>
      </c>
      <c r="Q16" s="20">
        <f t="shared" ca="1" si="16"/>
        <v>0</v>
      </c>
      <c r="R16" s="20">
        <f t="shared" ca="1" si="17"/>
        <v>0</v>
      </c>
      <c r="S16" s="364">
        <f t="shared" ca="1" si="18"/>
        <v>0</v>
      </c>
      <c r="T16" s="436">
        <f t="shared" si="19"/>
        <v>150101</v>
      </c>
      <c r="W16" s="889"/>
      <c r="X16" s="890"/>
      <c r="Y16" s="94"/>
      <c r="Z16" s="94"/>
      <c r="AA16" s="94"/>
      <c r="AB16" s="94"/>
      <c r="AC16" s="94"/>
      <c r="AD16" s="94"/>
      <c r="AE16" s="94"/>
    </row>
    <row r="17" spans="1:31">
      <c r="A17" s="105">
        <f t="shared" si="6"/>
        <v>10</v>
      </c>
      <c r="B17" s="359">
        <v>211503</v>
      </c>
      <c r="C17" s="319" t="s">
        <v>2678</v>
      </c>
      <c r="D17" s="476" t="s">
        <v>1641</v>
      </c>
      <c r="E17" s="93">
        <v>974.22760000000017</v>
      </c>
      <c r="F17" s="93">
        <v>9816.3199999999961</v>
      </c>
      <c r="G17" s="94">
        <f t="shared" si="7"/>
        <v>9563329.8744319975</v>
      </c>
      <c r="H17" s="94">
        <f t="shared" ca="1" si="8"/>
        <v>974.22760000000017</v>
      </c>
      <c r="I17" s="94">
        <f t="shared" ca="1" si="21"/>
        <v>9816.3199999999961</v>
      </c>
      <c r="J17" s="94">
        <f t="shared" ca="1" si="9"/>
        <v>9563329.8744319975</v>
      </c>
      <c r="K17" s="94">
        <f t="shared" ca="1" si="10"/>
        <v>10000</v>
      </c>
      <c r="L17" s="94">
        <f t="shared" ca="1" si="11"/>
        <v>13533.608714468657</v>
      </c>
      <c r="M17" s="94">
        <f t="shared" ca="1" si="12"/>
        <v>135336087.14468658</v>
      </c>
      <c r="N17" s="94">
        <f t="shared" ca="1" si="13"/>
        <v>4907.6635999999999</v>
      </c>
      <c r="O17" s="94">
        <f t="shared" ca="1" si="14"/>
        <v>13014.607558295096</v>
      </c>
      <c r="P17" s="94">
        <f t="shared" ca="1" si="15"/>
        <v>63871315.78212972</v>
      </c>
      <c r="Q17" s="20">
        <f t="shared" ca="1" si="16"/>
        <v>6066.5640000000003</v>
      </c>
      <c r="R17" s="20">
        <f t="shared" ca="1" si="17"/>
        <v>13356.506456865674</v>
      </c>
      <c r="S17" s="364">
        <f t="shared" ca="1" si="18"/>
        <v>81028101.236988857</v>
      </c>
      <c r="T17" s="436">
        <f t="shared" si="19"/>
        <v>150101</v>
      </c>
      <c r="W17" s="889"/>
      <c r="X17" s="890"/>
      <c r="Y17" s="94"/>
      <c r="Z17" s="94"/>
      <c r="AA17" s="94"/>
      <c r="AB17" s="94"/>
      <c r="AC17" s="94"/>
      <c r="AD17" s="94"/>
      <c r="AE17" s="94"/>
    </row>
    <row r="18" spans="1:31">
      <c r="A18" s="105">
        <f t="shared" si="6"/>
        <v>11</v>
      </c>
      <c r="B18" s="359">
        <v>211504</v>
      </c>
      <c r="C18" s="319" t="s">
        <v>2711</v>
      </c>
      <c r="D18" s="476" t="s">
        <v>1641</v>
      </c>
      <c r="E18" s="93">
        <v>2905.5938999999998</v>
      </c>
      <c r="F18" s="93">
        <v>9540.1099999999988</v>
      </c>
      <c r="G18" s="94">
        <f t="shared" si="7"/>
        <v>27719685.421328995</v>
      </c>
      <c r="H18" s="94">
        <f t="shared" ca="1" si="8"/>
        <v>2905.5938999999998</v>
      </c>
      <c r="I18" s="94">
        <f t="shared" ca="1" si="21"/>
        <v>9540.1099999999988</v>
      </c>
      <c r="J18" s="94">
        <f t="shared" ca="1" si="9"/>
        <v>27719685.421328995</v>
      </c>
      <c r="K18" s="94">
        <f t="shared" ca="1" si="10"/>
        <v>4200</v>
      </c>
      <c r="L18" s="94">
        <f t="shared" ca="1" si="11"/>
        <v>13120.632001290716</v>
      </c>
      <c r="M18" s="94">
        <f t="shared" ca="1" si="12"/>
        <v>55106654.405421011</v>
      </c>
      <c r="N18" s="94">
        <f t="shared" ca="1" si="13"/>
        <v>1412.200525</v>
      </c>
      <c r="O18" s="94">
        <f t="shared" ca="1" si="14"/>
        <v>10687.853075301513</v>
      </c>
      <c r="P18" s="94">
        <f t="shared" ca="1" si="15"/>
        <v>15093391.724063661</v>
      </c>
      <c r="Q18" s="20">
        <f t="shared" ca="1" si="16"/>
        <v>5693.3933749999997</v>
      </c>
      <c r="R18" s="20">
        <f t="shared" ca="1" si="17"/>
        <v>11896.762377267907</v>
      </c>
      <c r="S18" s="364">
        <f t="shared" ca="1" si="18"/>
        <v>67732948.102686346</v>
      </c>
      <c r="T18" s="436">
        <f t="shared" si="19"/>
        <v>150101</v>
      </c>
      <c r="W18" s="889"/>
      <c r="X18" s="890"/>
      <c r="Y18" s="94"/>
      <c r="Z18" s="94"/>
      <c r="AA18" s="94"/>
      <c r="AB18" s="94"/>
      <c r="AC18" s="94"/>
      <c r="AD18" s="94"/>
      <c r="AE18" s="94"/>
    </row>
    <row r="19" spans="1:31">
      <c r="A19" s="105">
        <f t="shared" si="6"/>
        <v>12</v>
      </c>
      <c r="B19" s="359">
        <v>211601</v>
      </c>
      <c r="C19" s="319" t="s">
        <v>2712</v>
      </c>
      <c r="D19" s="476" t="s">
        <v>1641</v>
      </c>
      <c r="E19" s="93">
        <v>2.8421709430404007E-14</v>
      </c>
      <c r="F19" s="93">
        <v>16384</v>
      </c>
      <c r="G19" s="94">
        <f t="shared" si="7"/>
        <v>4.6566128730773926E-10</v>
      </c>
      <c r="H19" s="94">
        <f t="shared" ca="1" si="8"/>
        <v>2.8421709430404007E-14</v>
      </c>
      <c r="I19" s="94">
        <f t="shared" ca="1" si="21"/>
        <v>16384</v>
      </c>
      <c r="J19" s="94">
        <f t="shared" ca="1" si="9"/>
        <v>4.6566128730773926E-10</v>
      </c>
      <c r="K19" s="94">
        <f t="shared" ca="1" si="10"/>
        <v>0</v>
      </c>
      <c r="L19" s="94">
        <f t="shared" ca="1" si="11"/>
        <v>0</v>
      </c>
      <c r="M19" s="94">
        <f t="shared" ca="1" si="12"/>
        <v>0</v>
      </c>
      <c r="N19" s="94">
        <f t="shared" ca="1" si="13"/>
        <v>0</v>
      </c>
      <c r="O19" s="94">
        <f t="shared" ca="1" si="14"/>
        <v>0</v>
      </c>
      <c r="P19" s="94">
        <f t="shared" ca="1" si="15"/>
        <v>0</v>
      </c>
      <c r="Q19" s="20">
        <f t="shared" ca="1" si="16"/>
        <v>2.8421709430404007E-14</v>
      </c>
      <c r="R19" s="20">
        <f t="shared" ca="1" si="17"/>
        <v>16384</v>
      </c>
      <c r="S19" s="364">
        <f t="shared" ca="1" si="18"/>
        <v>4.6566128730773926E-10</v>
      </c>
      <c r="T19" s="436">
        <f t="shared" si="19"/>
        <v>150101</v>
      </c>
      <c r="W19" s="94"/>
      <c r="X19" s="94"/>
      <c r="Y19" s="94"/>
      <c r="Z19" s="94"/>
      <c r="AA19" s="94"/>
      <c r="AB19" s="94"/>
      <c r="AC19" s="94"/>
      <c r="AD19" s="94"/>
      <c r="AE19" s="94"/>
    </row>
    <row r="20" spans="1:31">
      <c r="A20" s="105">
        <f t="shared" si="6"/>
        <v>13</v>
      </c>
      <c r="B20" s="359">
        <v>211602</v>
      </c>
      <c r="C20" s="319" t="s">
        <v>2713</v>
      </c>
      <c r="D20" s="476" t="s">
        <v>1641</v>
      </c>
      <c r="E20" s="93">
        <v>6.9999999999907914E-3</v>
      </c>
      <c r="F20" s="93">
        <v>13118.370000024155</v>
      </c>
      <c r="G20" s="94">
        <f t="shared" si="7"/>
        <v>91.82859000004828</v>
      </c>
      <c r="H20" s="94">
        <f t="shared" ca="1" si="8"/>
        <v>6.9999999999907914E-3</v>
      </c>
      <c r="I20" s="94">
        <f t="shared" ca="1" si="21"/>
        <v>13118.370000024155</v>
      </c>
      <c r="J20" s="94">
        <f t="shared" ca="1" si="9"/>
        <v>91.82859000004828</v>
      </c>
      <c r="K20" s="94">
        <f t="shared" ca="1" si="10"/>
        <v>0</v>
      </c>
      <c r="L20" s="94">
        <f t="shared" ca="1" si="11"/>
        <v>0</v>
      </c>
      <c r="M20" s="94">
        <f t="shared" ca="1" si="12"/>
        <v>0</v>
      </c>
      <c r="N20" s="94">
        <f t="shared" ca="1" si="13"/>
        <v>0</v>
      </c>
      <c r="O20" s="94">
        <f t="shared" ca="1" si="14"/>
        <v>0</v>
      </c>
      <c r="P20" s="94">
        <f t="shared" ca="1" si="15"/>
        <v>0</v>
      </c>
      <c r="Q20" s="20">
        <f t="shared" ca="1" si="16"/>
        <v>6.9999999999907914E-3</v>
      </c>
      <c r="R20" s="20">
        <f t="shared" ca="1" si="17"/>
        <v>13118.370000024155</v>
      </c>
      <c r="S20" s="364">
        <f t="shared" ca="1" si="18"/>
        <v>91.82859000004828</v>
      </c>
      <c r="T20" s="436">
        <f t="shared" si="19"/>
        <v>150101</v>
      </c>
      <c r="W20" s="94"/>
      <c r="X20" s="94"/>
      <c r="Y20" s="94"/>
      <c r="Z20" s="94"/>
      <c r="AA20" s="94"/>
      <c r="AB20" s="94"/>
      <c r="AC20" s="94"/>
      <c r="AD20" s="94"/>
      <c r="AE20" s="94"/>
    </row>
    <row r="21" spans="1:31">
      <c r="A21" s="105">
        <f t="shared" si="6"/>
        <v>14</v>
      </c>
      <c r="B21" s="359">
        <v>211710</v>
      </c>
      <c r="C21" s="319" t="s">
        <v>2679</v>
      </c>
      <c r="D21" s="476" t="s">
        <v>1641</v>
      </c>
      <c r="E21" s="93">
        <v>-2.8421709430404007E-14</v>
      </c>
      <c r="F21" s="93">
        <v>-16384</v>
      </c>
      <c r="G21" s="94">
        <f t="shared" si="7"/>
        <v>4.6566128730773926E-10</v>
      </c>
      <c r="H21" s="94">
        <f t="shared" ca="1" si="8"/>
        <v>-2.8421709430404007E-14</v>
      </c>
      <c r="I21" s="94">
        <f t="shared" ca="1" si="21"/>
        <v>-16384</v>
      </c>
      <c r="J21" s="94">
        <f t="shared" ca="1" si="9"/>
        <v>4.6566128730773926E-10</v>
      </c>
      <c r="K21" s="94">
        <f t="shared" ca="1" si="10"/>
        <v>1470</v>
      </c>
      <c r="L21" s="94">
        <f t="shared" ca="1" si="11"/>
        <v>32877.788914248587</v>
      </c>
      <c r="M21" s="94">
        <f t="shared" ca="1" si="12"/>
        <v>48330349.703945421</v>
      </c>
      <c r="N21" s="94">
        <f t="shared" ca="1" si="13"/>
        <v>1083.8009999999999</v>
      </c>
      <c r="O21" s="94">
        <f t="shared" ca="1" si="14"/>
        <v>32877.788914248587</v>
      </c>
      <c r="P21" s="20">
        <f t="shared" ca="1" si="15"/>
        <v>35632980.503051534</v>
      </c>
      <c r="Q21" s="20">
        <f t="shared" ca="1" si="16"/>
        <v>386.19900000000007</v>
      </c>
      <c r="R21" s="20">
        <f t="shared" ca="1" si="17"/>
        <v>32877.788914248573</v>
      </c>
      <c r="S21" s="364">
        <f t="shared" ca="1" si="18"/>
        <v>12697369.200893886</v>
      </c>
      <c r="T21" s="436">
        <f t="shared" si="19"/>
        <v>150101</v>
      </c>
      <c r="W21" s="94"/>
      <c r="X21" s="94"/>
      <c r="Y21" s="94"/>
      <c r="Z21" s="94"/>
      <c r="AA21" s="94"/>
      <c r="AB21" s="94"/>
      <c r="AC21" s="94"/>
      <c r="AD21" s="94"/>
      <c r="AE21" s="94"/>
    </row>
    <row r="22" spans="1:31">
      <c r="A22" s="105">
        <f t="shared" si="6"/>
        <v>15</v>
      </c>
      <c r="B22" s="359">
        <v>211711</v>
      </c>
      <c r="C22" s="319" t="s">
        <v>2687</v>
      </c>
      <c r="D22" s="476" t="s">
        <v>1641</v>
      </c>
      <c r="E22" s="93">
        <v>70.455999999999989</v>
      </c>
      <c r="F22" s="93">
        <v>49742.03</v>
      </c>
      <c r="G22" s="94">
        <f t="shared" si="7"/>
        <v>3504624.4656799994</v>
      </c>
      <c r="H22" s="94">
        <f t="shared" ca="1" si="8"/>
        <v>70.455999999999989</v>
      </c>
      <c r="I22" s="94">
        <f t="shared" ca="1" si="21"/>
        <v>49742.03</v>
      </c>
      <c r="J22" s="94">
        <f t="shared" ca="1" si="9"/>
        <v>3504624.4656799994</v>
      </c>
      <c r="K22" s="94">
        <f t="shared" ca="1" si="10"/>
        <v>250</v>
      </c>
      <c r="L22" s="94">
        <f t="shared" ca="1" si="11"/>
        <v>30895.753988695244</v>
      </c>
      <c r="M22" s="94">
        <f t="shared" ca="1" si="12"/>
        <v>7723938.4971738113</v>
      </c>
      <c r="N22" s="94">
        <f t="shared" ca="1" si="13"/>
        <v>196.536</v>
      </c>
      <c r="O22" s="94">
        <f t="shared" ca="1" si="14"/>
        <v>37651.937195092483</v>
      </c>
      <c r="P22" s="20">
        <f t="shared" ca="1" si="15"/>
        <v>7399961.1285746964</v>
      </c>
      <c r="Q22" s="20">
        <f t="shared" ca="1" si="16"/>
        <v>123.92000000000002</v>
      </c>
      <c r="R22" s="20">
        <f t="shared" ca="1" si="17"/>
        <v>30895.753988695247</v>
      </c>
      <c r="S22" s="364">
        <f t="shared" ca="1" si="18"/>
        <v>3828601.8342791153</v>
      </c>
      <c r="T22" s="436">
        <f t="shared" si="19"/>
        <v>150101</v>
      </c>
      <c r="W22" s="94"/>
      <c r="X22" s="94"/>
      <c r="Y22" s="94"/>
      <c r="Z22" s="94"/>
      <c r="AA22" s="94"/>
      <c r="AB22" s="94"/>
      <c r="AC22" s="94"/>
      <c r="AD22" s="94"/>
      <c r="AE22" s="94"/>
    </row>
    <row r="23" spans="1:31">
      <c r="A23" s="105">
        <f t="shared" si="6"/>
        <v>16</v>
      </c>
      <c r="B23" s="359">
        <v>211712</v>
      </c>
      <c r="C23" s="319" t="s">
        <v>2714</v>
      </c>
      <c r="D23" s="476" t="s">
        <v>1641</v>
      </c>
      <c r="E23" s="93">
        <v>0</v>
      </c>
      <c r="F23" s="93">
        <v>0</v>
      </c>
      <c r="G23" s="94">
        <f t="shared" si="7"/>
        <v>0</v>
      </c>
      <c r="H23" s="94">
        <f t="shared" ca="1" si="8"/>
        <v>0</v>
      </c>
      <c r="I23" s="94">
        <f t="shared" ca="1" si="21"/>
        <v>0</v>
      </c>
      <c r="J23" s="94">
        <f t="shared" ca="1" si="9"/>
        <v>0</v>
      </c>
      <c r="K23" s="94">
        <f t="shared" ca="1" si="10"/>
        <v>750</v>
      </c>
      <c r="L23" s="94">
        <f t="shared" ca="1" si="11"/>
        <v>29329.528576909175</v>
      </c>
      <c r="M23" s="94">
        <f t="shared" ca="1" si="12"/>
        <v>21997146.432681881</v>
      </c>
      <c r="N23" s="94">
        <f t="shared" ca="1" si="13"/>
        <v>0</v>
      </c>
      <c r="O23" s="94">
        <f t="shared" ca="1" si="14"/>
        <v>0</v>
      </c>
      <c r="P23" s="20">
        <f t="shared" ca="1" si="15"/>
        <v>0</v>
      </c>
      <c r="Q23" s="20">
        <f t="shared" ca="1" si="16"/>
        <v>750</v>
      </c>
      <c r="R23" s="20">
        <f t="shared" ca="1" si="17"/>
        <v>29329.528576909175</v>
      </c>
      <c r="S23" s="364">
        <f t="shared" ca="1" si="18"/>
        <v>21997146.432681881</v>
      </c>
      <c r="T23" s="436">
        <f t="shared" si="19"/>
        <v>150101</v>
      </c>
      <c r="W23" s="94"/>
      <c r="X23" s="94"/>
      <c r="Y23" s="94"/>
      <c r="Z23" s="94"/>
      <c r="AA23" s="94"/>
      <c r="AB23" s="94"/>
      <c r="AC23" s="94"/>
      <c r="AD23" s="94"/>
      <c r="AE23" s="94"/>
    </row>
    <row r="24" spans="1:31">
      <c r="A24" s="105">
        <f t="shared" si="6"/>
        <v>17</v>
      </c>
      <c r="B24" s="359">
        <v>211713</v>
      </c>
      <c r="C24" s="319" t="s">
        <v>2681</v>
      </c>
      <c r="D24" s="476" t="s">
        <v>1641</v>
      </c>
      <c r="E24" s="93">
        <v>-11.979399999999998</v>
      </c>
      <c r="F24" s="93">
        <v>19392.550000000097</v>
      </c>
      <c r="G24" s="94">
        <f t="shared" si="7"/>
        <v>-232311.11347000115</v>
      </c>
      <c r="H24" s="94">
        <f t="shared" ca="1" si="8"/>
        <v>-11.979399999999998</v>
      </c>
      <c r="I24" s="94">
        <f t="shared" ca="1" si="21"/>
        <v>19392.550000000097</v>
      </c>
      <c r="J24" s="94">
        <f t="shared" ca="1" si="9"/>
        <v>-232311.11347000115</v>
      </c>
      <c r="K24" s="94">
        <f t="shared" ca="1" si="10"/>
        <v>2520</v>
      </c>
      <c r="L24" s="94">
        <f t="shared" ca="1" si="11"/>
        <v>21177.153775416657</v>
      </c>
      <c r="M24" s="94">
        <f t="shared" ca="1" si="12"/>
        <v>53366427.514049977</v>
      </c>
      <c r="N24" s="94">
        <f t="shared" ca="1" si="13"/>
        <v>1403.5820000000001</v>
      </c>
      <c r="O24" s="94">
        <f t="shared" ca="1" si="14"/>
        <v>21460.593490112577</v>
      </c>
      <c r="P24" s="20">
        <f t="shared" ca="1" si="15"/>
        <v>30121702.732039195</v>
      </c>
      <c r="Q24" s="20">
        <f t="shared" ca="1" si="16"/>
        <v>1104.4385999999997</v>
      </c>
      <c r="R24" s="20">
        <f t="shared" ca="1" si="17"/>
        <v>20836.299698816019</v>
      </c>
      <c r="S24" s="364">
        <f t="shared" ca="1" si="18"/>
        <v>23012413.66854078</v>
      </c>
      <c r="T24" s="436">
        <f t="shared" si="19"/>
        <v>150101</v>
      </c>
      <c r="W24" s="94"/>
      <c r="X24" s="94"/>
      <c r="Y24" s="94"/>
      <c r="Z24" s="94"/>
      <c r="AA24" s="94"/>
      <c r="AB24" s="94"/>
      <c r="AC24" s="94"/>
      <c r="AD24" s="94"/>
      <c r="AE24" s="94"/>
    </row>
    <row r="25" spans="1:31">
      <c r="A25" s="105">
        <f t="shared" si="6"/>
        <v>18</v>
      </c>
      <c r="B25" s="359">
        <v>211714</v>
      </c>
      <c r="C25" s="319" t="s">
        <v>2686</v>
      </c>
      <c r="D25" s="476" t="s">
        <v>1641</v>
      </c>
      <c r="E25" s="93">
        <v>809.08400000000006</v>
      </c>
      <c r="F25" s="93">
        <v>18257.869999999995</v>
      </c>
      <c r="G25" s="94">
        <f t="shared" si="7"/>
        <v>14772150.491079997</v>
      </c>
      <c r="H25" s="94">
        <f t="shared" ca="1" si="8"/>
        <v>809.08400000000006</v>
      </c>
      <c r="I25" s="94">
        <f t="shared" ca="1" si="21"/>
        <v>18257.869999999995</v>
      </c>
      <c r="J25" s="94">
        <f t="shared" ca="1" si="9"/>
        <v>14772150.491079997</v>
      </c>
      <c r="K25" s="94">
        <f t="shared" ca="1" si="10"/>
        <v>1500</v>
      </c>
      <c r="L25" s="94">
        <f t="shared" ca="1" si="11"/>
        <v>18125.309466931161</v>
      </c>
      <c r="M25" s="94">
        <f t="shared" ca="1" si="12"/>
        <v>27187964.200396743</v>
      </c>
      <c r="N25" s="94">
        <f t="shared" ca="1" si="13"/>
        <v>1545.6729999999998</v>
      </c>
      <c r="O25" s="94">
        <f t="shared" ca="1" si="14"/>
        <v>18194.698403878025</v>
      </c>
      <c r="P25" s="20">
        <f t="shared" ca="1" si="15"/>
        <v>28123054.066017352</v>
      </c>
      <c r="Q25" s="20">
        <f t="shared" ca="1" si="16"/>
        <v>763.41100000000006</v>
      </c>
      <c r="R25" s="20">
        <f t="shared" ca="1" si="17"/>
        <v>18125.309466931165</v>
      </c>
      <c r="S25" s="364">
        <f t="shared" ca="1" si="18"/>
        <v>13837060.625459388</v>
      </c>
      <c r="T25" s="436">
        <f t="shared" si="19"/>
        <v>150101</v>
      </c>
    </row>
    <row r="26" spans="1:31">
      <c r="A26" s="105">
        <f t="shared" si="6"/>
        <v>19</v>
      </c>
      <c r="B26" s="359">
        <v>211715</v>
      </c>
      <c r="C26" s="319" t="s">
        <v>2680</v>
      </c>
      <c r="D26" s="476" t="s">
        <v>1641</v>
      </c>
      <c r="E26" s="93">
        <v>48.020999999999958</v>
      </c>
      <c r="F26" s="93">
        <v>14992.800000000017</v>
      </c>
      <c r="G26" s="94">
        <f t="shared" si="7"/>
        <v>719969.24880000018</v>
      </c>
      <c r="H26" s="94">
        <f t="shared" ca="1" si="8"/>
        <v>48.020999999999958</v>
      </c>
      <c r="I26" s="94">
        <f t="shared" ca="1" si="21"/>
        <v>14992.800000000017</v>
      </c>
      <c r="J26" s="94">
        <f t="shared" ca="1" si="9"/>
        <v>719969.24880000018</v>
      </c>
      <c r="K26" s="94">
        <f t="shared" ca="1" si="10"/>
        <v>3520</v>
      </c>
      <c r="L26" s="94">
        <f t="shared" ca="1" si="11"/>
        <v>18794.060860675036</v>
      </c>
      <c r="M26" s="94">
        <f t="shared" ca="1" si="12"/>
        <v>66155094.229576126</v>
      </c>
      <c r="N26" s="94">
        <f t="shared" ca="1" si="13"/>
        <v>211.74449999999999</v>
      </c>
      <c r="O26" s="94">
        <f t="shared" ca="1" si="14"/>
        <v>19154.907409955857</v>
      </c>
      <c r="P26" s="20">
        <f t="shared" ca="1" si="15"/>
        <v>4055946.2920673974</v>
      </c>
      <c r="Q26" s="20">
        <f t="shared" ca="1" si="16"/>
        <v>3356.2764999999999</v>
      </c>
      <c r="R26" s="20">
        <f t="shared" ca="1" si="17"/>
        <v>18716.907616612854</v>
      </c>
      <c r="S26" s="364">
        <f t="shared" ca="1" si="18"/>
        <v>62819117.186308727</v>
      </c>
      <c r="T26" s="436">
        <f t="shared" si="19"/>
        <v>150101</v>
      </c>
    </row>
    <row r="27" spans="1:31">
      <c r="A27" s="105">
        <f t="shared" si="6"/>
        <v>20</v>
      </c>
      <c r="B27" s="359">
        <v>211716</v>
      </c>
      <c r="C27" s="319" t="s">
        <v>2715</v>
      </c>
      <c r="D27" s="476" t="s">
        <v>1641</v>
      </c>
      <c r="E27" s="93">
        <v>0</v>
      </c>
      <c r="F27" s="93">
        <v>0</v>
      </c>
      <c r="G27" s="94">
        <f t="shared" si="7"/>
        <v>0</v>
      </c>
      <c r="H27" s="94">
        <f t="shared" ca="1" si="8"/>
        <v>0</v>
      </c>
      <c r="I27" s="94">
        <f t="shared" ca="1" si="21"/>
        <v>0</v>
      </c>
      <c r="J27" s="94">
        <f t="shared" ca="1" si="9"/>
        <v>0</v>
      </c>
      <c r="K27" s="94">
        <f t="shared" ca="1" si="10"/>
        <v>0</v>
      </c>
      <c r="L27" s="94">
        <f t="shared" ca="1" si="11"/>
        <v>0</v>
      </c>
      <c r="M27" s="94">
        <f t="shared" ca="1" si="12"/>
        <v>0</v>
      </c>
      <c r="N27" s="94">
        <f t="shared" ca="1" si="13"/>
        <v>0</v>
      </c>
      <c r="O27" s="94">
        <f t="shared" ca="1" si="14"/>
        <v>0</v>
      </c>
      <c r="P27" s="20">
        <f t="shared" ca="1" si="15"/>
        <v>0</v>
      </c>
      <c r="Q27" s="20">
        <f t="shared" ca="1" si="16"/>
        <v>0</v>
      </c>
      <c r="R27" s="20">
        <f t="shared" ca="1" si="17"/>
        <v>0</v>
      </c>
      <c r="S27" s="364">
        <f t="shared" ca="1" si="18"/>
        <v>0</v>
      </c>
      <c r="T27" s="436">
        <f t="shared" si="19"/>
        <v>150101</v>
      </c>
    </row>
    <row r="28" spans="1:31">
      <c r="A28" s="105">
        <f t="shared" si="6"/>
        <v>21</v>
      </c>
      <c r="B28" s="359">
        <v>211717</v>
      </c>
      <c r="C28" s="319" t="s">
        <v>1812</v>
      </c>
      <c r="D28" s="476" t="s">
        <v>1641</v>
      </c>
      <c r="E28" s="93"/>
      <c r="F28" s="93"/>
      <c r="G28" s="94">
        <f t="shared" si="7"/>
        <v>0</v>
      </c>
      <c r="H28" s="94">
        <f t="shared" ca="1" si="8"/>
        <v>0</v>
      </c>
      <c r="I28" s="94">
        <f t="shared" ca="1" si="21"/>
        <v>0</v>
      </c>
      <c r="J28" s="94">
        <f t="shared" ca="1" si="9"/>
        <v>0</v>
      </c>
      <c r="K28" s="94">
        <f t="shared" ca="1" si="10"/>
        <v>1075</v>
      </c>
      <c r="L28" s="94">
        <f t="shared" ca="1" si="11"/>
        <v>45402.535093596591</v>
      </c>
      <c r="M28" s="94">
        <f t="shared" ca="1" si="12"/>
        <v>48807725.225616336</v>
      </c>
      <c r="N28" s="94">
        <f t="shared" ca="1" si="13"/>
        <v>146</v>
      </c>
      <c r="O28" s="94">
        <f t="shared" ca="1" si="14"/>
        <v>45402.535093596591</v>
      </c>
      <c r="P28" s="20">
        <f t="shared" ca="1" si="15"/>
        <v>6628770.1236651018</v>
      </c>
      <c r="Q28" s="20">
        <f t="shared" ca="1" si="16"/>
        <v>929</v>
      </c>
      <c r="R28" s="20">
        <f t="shared" ca="1" si="17"/>
        <v>45402.535093596591</v>
      </c>
      <c r="S28" s="364">
        <f t="shared" ca="1" si="18"/>
        <v>42178955.101951234</v>
      </c>
      <c r="T28" s="436">
        <f t="shared" si="19"/>
        <v>150101</v>
      </c>
    </row>
    <row r="29" spans="1:31">
      <c r="A29" s="105">
        <f t="shared" si="6"/>
        <v>22</v>
      </c>
      <c r="B29" s="359">
        <v>211801</v>
      </c>
      <c r="C29" s="319" t="s">
        <v>2141</v>
      </c>
      <c r="D29" s="476" t="s">
        <v>1634</v>
      </c>
      <c r="E29" s="93"/>
      <c r="F29" s="93"/>
      <c r="G29" s="94">
        <f t="shared" si="7"/>
        <v>0</v>
      </c>
      <c r="H29" s="94">
        <f t="shared" ca="1" si="8"/>
        <v>0</v>
      </c>
      <c r="I29" s="94">
        <f t="shared" ca="1" si="21"/>
        <v>0</v>
      </c>
      <c r="J29" s="94">
        <f t="shared" ca="1" si="9"/>
        <v>0</v>
      </c>
      <c r="K29" s="94">
        <f t="shared" ca="1" si="10"/>
        <v>11300</v>
      </c>
      <c r="L29" s="94">
        <f t="shared" ca="1" si="11"/>
        <v>647.50519478531237</v>
      </c>
      <c r="M29" s="94">
        <f t="shared" ca="1" si="12"/>
        <v>7316808.7010740303</v>
      </c>
      <c r="N29" s="94">
        <f t="shared" ca="1" si="13"/>
        <v>7943</v>
      </c>
      <c r="O29" s="94">
        <f t="shared" ca="1" si="14"/>
        <v>647.50519478531226</v>
      </c>
      <c r="P29" s="20">
        <f t="shared" ca="1" si="15"/>
        <v>5143133.7621797351</v>
      </c>
      <c r="Q29" s="20">
        <f t="shared" ca="1" si="16"/>
        <v>3357</v>
      </c>
      <c r="R29" s="20">
        <f t="shared" ca="1" si="17"/>
        <v>647.50519478531282</v>
      </c>
      <c r="S29" s="364">
        <f t="shared" ca="1" si="18"/>
        <v>2173674.9388942951</v>
      </c>
      <c r="T29" s="436">
        <f t="shared" si="19"/>
        <v>150101</v>
      </c>
    </row>
    <row r="30" spans="1:31">
      <c r="A30" s="105">
        <f t="shared" si="6"/>
        <v>23</v>
      </c>
      <c r="B30" s="359">
        <v>211802</v>
      </c>
      <c r="C30" s="319" t="s">
        <v>2631</v>
      </c>
      <c r="D30" s="476" t="s">
        <v>1634</v>
      </c>
      <c r="E30" s="93"/>
      <c r="F30" s="93"/>
      <c r="G30" s="94">
        <f t="shared" si="7"/>
        <v>0</v>
      </c>
      <c r="H30" s="94">
        <f t="shared" ca="1" si="8"/>
        <v>0</v>
      </c>
      <c r="I30" s="94">
        <f t="shared" ca="1" si="21"/>
        <v>0</v>
      </c>
      <c r="J30" s="94">
        <f t="shared" ca="1" si="9"/>
        <v>0</v>
      </c>
      <c r="K30" s="94">
        <f t="shared" ca="1" si="10"/>
        <v>12000</v>
      </c>
      <c r="L30" s="94">
        <f t="shared" ca="1" si="11"/>
        <v>1412.1879249284552</v>
      </c>
      <c r="M30" s="94">
        <f t="shared" ca="1" si="12"/>
        <v>16946255.099141464</v>
      </c>
      <c r="N30" s="94">
        <f t="shared" ca="1" si="13"/>
        <v>2962.8</v>
      </c>
      <c r="O30" s="94">
        <f t="shared" ca="1" si="14"/>
        <v>1412.1879249284552</v>
      </c>
      <c r="P30" s="20">
        <f t="shared" ca="1" si="15"/>
        <v>4184030.3839780274</v>
      </c>
      <c r="Q30" s="20">
        <f t="shared" ca="1" si="16"/>
        <v>9037.2000000000007</v>
      </c>
      <c r="R30" s="20">
        <f t="shared" ca="1" si="17"/>
        <v>1412.1879249284552</v>
      </c>
      <c r="S30" s="364">
        <f t="shared" ca="1" si="18"/>
        <v>12762224.715163436</v>
      </c>
      <c r="T30" s="436">
        <f t="shared" si="19"/>
        <v>150101</v>
      </c>
    </row>
    <row r="31" spans="1:31">
      <c r="A31" s="87">
        <f t="shared" si="6"/>
        <v>24</v>
      </c>
      <c r="B31" s="87">
        <v>211803</v>
      </c>
      <c r="C31" s="88" t="s">
        <v>2142</v>
      </c>
      <c r="D31" s="171" t="s">
        <v>1634</v>
      </c>
      <c r="G31" s="94">
        <f t="shared" si="7"/>
        <v>0</v>
      </c>
      <c r="H31" s="94">
        <f t="shared" ca="1" si="8"/>
        <v>0</v>
      </c>
      <c r="I31" s="94">
        <f t="shared" ca="1" si="21"/>
        <v>0</v>
      </c>
      <c r="J31" s="94">
        <f t="shared" ca="1" si="9"/>
        <v>0</v>
      </c>
      <c r="K31" s="94">
        <f t="shared" ca="1" si="10"/>
        <v>900</v>
      </c>
      <c r="L31" s="94">
        <f t="shared" ca="1" si="11"/>
        <v>4449.0638733588376</v>
      </c>
      <c r="M31" s="94">
        <f t="shared" ca="1" si="12"/>
        <v>4004157.4860229539</v>
      </c>
      <c r="N31" s="94">
        <f t="shared" ca="1" si="13"/>
        <v>36</v>
      </c>
      <c r="O31" s="94">
        <f t="shared" ca="1" si="14"/>
        <v>4449.0638733588376</v>
      </c>
      <c r="P31" s="20">
        <f t="shared" ca="1" si="15"/>
        <v>160166.29944091814</v>
      </c>
      <c r="Q31" s="20">
        <f t="shared" ca="1" si="16"/>
        <v>864</v>
      </c>
      <c r="R31" s="20">
        <f t="shared" ca="1" si="17"/>
        <v>4449.0638733588376</v>
      </c>
      <c r="S31" s="364">
        <f t="shared" ca="1" si="18"/>
        <v>3843991.1865820359</v>
      </c>
      <c r="T31" s="436">
        <f t="shared" si="19"/>
        <v>150101</v>
      </c>
    </row>
    <row r="32" spans="1:31">
      <c r="A32" s="87">
        <f t="shared" si="6"/>
        <v>25</v>
      </c>
      <c r="B32" s="87">
        <v>211804</v>
      </c>
      <c r="C32" s="88" t="s">
        <v>2143</v>
      </c>
      <c r="D32" s="171" t="s">
        <v>1634</v>
      </c>
      <c r="G32" s="94">
        <f t="shared" si="7"/>
        <v>0</v>
      </c>
      <c r="H32" s="94">
        <f t="shared" ca="1" si="8"/>
        <v>0</v>
      </c>
      <c r="I32" s="94">
        <f t="shared" ca="1" si="21"/>
        <v>0</v>
      </c>
      <c r="J32" s="94">
        <f t="shared" ca="1" si="9"/>
        <v>0</v>
      </c>
      <c r="K32" s="94">
        <f t="shared" ca="1" si="10"/>
        <v>2500</v>
      </c>
      <c r="L32" s="94">
        <f t="shared" ca="1" si="11"/>
        <v>1804.8940662713337</v>
      </c>
      <c r="M32" s="94">
        <f t="shared" ca="1" si="12"/>
        <v>4512235.1656783344</v>
      </c>
      <c r="N32" s="94">
        <f t="shared" ca="1" si="13"/>
        <v>300</v>
      </c>
      <c r="O32" s="94">
        <f t="shared" ca="1" si="14"/>
        <v>1804.8940662713337</v>
      </c>
      <c r="P32" s="20">
        <f t="shared" ca="1" si="15"/>
        <v>541468.21988140012</v>
      </c>
      <c r="Q32" s="20">
        <f t="shared" ca="1" si="16"/>
        <v>2200</v>
      </c>
      <c r="R32" s="20">
        <f t="shared" ca="1" si="17"/>
        <v>1804.8940662713339</v>
      </c>
      <c r="S32" s="364">
        <f t="shared" ca="1" si="18"/>
        <v>3970766.9457969344</v>
      </c>
      <c r="T32" s="436">
        <f t="shared" si="19"/>
        <v>150101</v>
      </c>
    </row>
    <row r="33" spans="1:20">
      <c r="A33" s="105">
        <f t="shared" si="6"/>
        <v>26</v>
      </c>
      <c r="B33" s="87">
        <v>211805</v>
      </c>
      <c r="C33" s="88" t="s">
        <v>2144</v>
      </c>
      <c r="D33" s="171" t="s">
        <v>1634</v>
      </c>
      <c r="G33" s="94">
        <f t="shared" si="7"/>
        <v>0</v>
      </c>
      <c r="H33" s="94">
        <f t="shared" ca="1" si="8"/>
        <v>0</v>
      </c>
      <c r="I33" s="94">
        <f t="shared" ca="1" si="21"/>
        <v>0</v>
      </c>
      <c r="J33" s="94">
        <f t="shared" ca="1" si="9"/>
        <v>0</v>
      </c>
      <c r="K33" s="94">
        <f t="shared" ca="1" si="10"/>
        <v>2500</v>
      </c>
      <c r="L33" s="94">
        <f t="shared" ca="1" si="11"/>
        <v>676.83527485175011</v>
      </c>
      <c r="M33" s="94">
        <f t="shared" ca="1" si="12"/>
        <v>1692088.1871293753</v>
      </c>
      <c r="N33" s="94">
        <f t="shared" ca="1" si="13"/>
        <v>408</v>
      </c>
      <c r="O33" s="94">
        <f t="shared" ca="1" si="14"/>
        <v>676.83527485175011</v>
      </c>
      <c r="P33" s="20">
        <f t="shared" ca="1" si="15"/>
        <v>276148.79213951406</v>
      </c>
      <c r="Q33" s="20">
        <f t="shared" ca="1" si="16"/>
        <v>2092</v>
      </c>
      <c r="R33" s="20">
        <f t="shared" ca="1" si="17"/>
        <v>676.83527485175011</v>
      </c>
      <c r="S33" s="364">
        <f t="shared" ca="1" si="18"/>
        <v>1415939.3949898612</v>
      </c>
      <c r="T33" s="436">
        <f t="shared" si="19"/>
        <v>150101</v>
      </c>
    </row>
    <row r="34" spans="1:20">
      <c r="A34" s="105">
        <f t="shared" si="6"/>
        <v>27</v>
      </c>
      <c r="B34" s="87">
        <v>211806</v>
      </c>
      <c r="C34" s="88" t="s">
        <v>2660</v>
      </c>
      <c r="D34" s="171" t="s">
        <v>1641</v>
      </c>
      <c r="G34" s="94">
        <f t="shared" si="7"/>
        <v>0</v>
      </c>
      <c r="H34" s="94">
        <f t="shared" ca="1" si="8"/>
        <v>0</v>
      </c>
      <c r="I34" s="94">
        <f t="shared" ca="1" si="21"/>
        <v>0</v>
      </c>
      <c r="J34" s="94">
        <f t="shared" ca="1" si="9"/>
        <v>0</v>
      </c>
      <c r="K34" s="94">
        <f t="shared" ca="1" si="10"/>
        <v>500</v>
      </c>
      <c r="L34" s="94">
        <f t="shared" ca="1" si="11"/>
        <v>22561.175828391672</v>
      </c>
      <c r="M34" s="94">
        <f t="shared" ca="1" si="12"/>
        <v>11280587.914195836</v>
      </c>
      <c r="N34" s="94">
        <f t="shared" ca="1" si="13"/>
        <v>45.56</v>
      </c>
      <c r="O34" s="94">
        <f t="shared" ca="1" si="14"/>
        <v>22561.175828391672</v>
      </c>
      <c r="P34" s="20">
        <f t="shared" ca="1" si="15"/>
        <v>1027887.1707415245</v>
      </c>
      <c r="Q34" s="20">
        <f t="shared" ca="1" si="16"/>
        <v>454.44</v>
      </c>
      <c r="R34" s="20">
        <f t="shared" ca="1" si="17"/>
        <v>22561.175828391672</v>
      </c>
      <c r="S34" s="364">
        <f t="shared" ca="1" si="18"/>
        <v>10252700.743454311</v>
      </c>
      <c r="T34" s="436">
        <f t="shared" si="19"/>
        <v>150101</v>
      </c>
    </row>
    <row r="35" spans="1:20">
      <c r="A35" s="105">
        <f t="shared" si="6"/>
        <v>28</v>
      </c>
      <c r="B35" s="359">
        <v>310001</v>
      </c>
      <c r="C35" s="319" t="s">
        <v>2683</v>
      </c>
      <c r="D35" s="476" t="s">
        <v>1642</v>
      </c>
      <c r="E35" s="93">
        <v>280.16000000000003</v>
      </c>
      <c r="F35" s="93">
        <v>488587.36000000004</v>
      </c>
      <c r="G35" s="94">
        <f t="shared" si="7"/>
        <v>136882634.77760002</v>
      </c>
      <c r="H35" s="94">
        <f t="shared" ca="1" si="8"/>
        <v>280.16000000000003</v>
      </c>
      <c r="I35" s="94">
        <f t="shared" ca="1" si="21"/>
        <v>488587.36000000004</v>
      </c>
      <c r="J35" s="94">
        <f t="shared" ca="1" si="9"/>
        <v>136882634.77760002</v>
      </c>
      <c r="K35" s="94">
        <f t="shared" ca="1" si="10"/>
        <v>839.16</v>
      </c>
      <c r="L35" s="94">
        <f t="shared" ca="1" si="11"/>
        <v>349434.77641927643</v>
      </c>
      <c r="M35" s="94">
        <f t="shared" ca="1" si="12"/>
        <v>293231686.98000002</v>
      </c>
      <c r="N35" s="94">
        <f t="shared" ca="1" si="13"/>
        <v>1108.196820039419</v>
      </c>
      <c r="O35" s="94">
        <f t="shared" ca="1" si="14"/>
        <v>385584.6259442484</v>
      </c>
      <c r="P35" s="20">
        <f ca="1">IF($A35="","",SUMIFS(RC_zar_totol,RC_Code,$B35,RC_date,"&gt;="&amp;$P$4,RC_date,"&lt;="&amp;$S$4))</f>
        <v>427303656.32750493</v>
      </c>
      <c r="Q35" s="20">
        <f t="shared" ca="1" si="16"/>
        <v>11.123179960580956</v>
      </c>
      <c r="R35" s="20">
        <f t="shared" ca="1" si="17"/>
        <v>252685.42269888235</v>
      </c>
      <c r="S35" s="364">
        <f t="shared" ca="1" si="18"/>
        <v>2810665.4300951362</v>
      </c>
      <c r="T35" s="436">
        <f t="shared" si="19"/>
        <v>150100</v>
      </c>
    </row>
    <row r="36" spans="1:20">
      <c r="A36" s="105">
        <f t="shared" si="6"/>
        <v>29</v>
      </c>
      <c r="B36" s="359">
        <v>310002</v>
      </c>
      <c r="C36" s="319" t="s">
        <v>2683</v>
      </c>
      <c r="D36" s="476" t="s">
        <v>1642</v>
      </c>
      <c r="E36" s="93">
        <v>179.744</v>
      </c>
      <c r="F36" s="93">
        <v>317870.2</v>
      </c>
      <c r="G36" s="94">
        <f t="shared" si="7"/>
        <v>57135261.228799999</v>
      </c>
      <c r="H36" s="94">
        <f t="shared" ca="1" si="8"/>
        <v>179.744</v>
      </c>
      <c r="I36" s="94">
        <f t="shared" ca="1" si="21"/>
        <v>317870.2</v>
      </c>
      <c r="J36" s="94">
        <f t="shared" ca="1" si="9"/>
        <v>57135261.228799999</v>
      </c>
      <c r="K36" s="94">
        <f t="shared" ca="1" si="10"/>
        <v>125</v>
      </c>
      <c r="L36" s="94">
        <f t="shared" ca="1" si="11"/>
        <v>348016.15501867625</v>
      </c>
      <c r="M36" s="94">
        <f t="shared" ca="1" si="12"/>
        <v>43502019.377334528</v>
      </c>
      <c r="N36" s="94">
        <f t="shared" ca="1" si="13"/>
        <v>179.744</v>
      </c>
      <c r="O36" s="94">
        <f t="shared" ca="1" si="14"/>
        <v>317870.2</v>
      </c>
      <c r="P36" s="20">
        <f ca="1">IF($A36="","",SUMIFS(RC_zar_totol,RC_Code,$B36,RC_date,"&gt;="&amp;$P$4,RC_date,"&lt;="&amp;$S$4))</f>
        <v>57135261.228799999</v>
      </c>
      <c r="Q36" s="20">
        <f t="shared" ca="1" si="16"/>
        <v>125.00000000000003</v>
      </c>
      <c r="R36" s="20">
        <f t="shared" ca="1" si="17"/>
        <v>348016.15501867619</v>
      </c>
      <c r="S36" s="364">
        <f ca="1">+IF(A36="","",IFERROR(J36+M36-P36,0))</f>
        <v>43502019.377334535</v>
      </c>
      <c r="T36" s="436">
        <f t="shared" si="19"/>
        <v>150100</v>
      </c>
    </row>
    <row r="37" spans="1:20">
      <c r="A37" s="105">
        <f t="shared" si="6"/>
        <v>30</v>
      </c>
      <c r="B37" s="359">
        <v>410001</v>
      </c>
      <c r="C37" s="319" t="s">
        <v>1658</v>
      </c>
      <c r="D37" s="476" t="s">
        <v>1634</v>
      </c>
      <c r="E37" s="93"/>
      <c r="F37" s="93"/>
      <c r="G37" s="94">
        <f t="shared" si="7"/>
        <v>0</v>
      </c>
      <c r="H37" s="94">
        <f t="shared" ca="1" si="8"/>
        <v>0</v>
      </c>
      <c r="I37" s="94">
        <f t="shared" ca="1" si="21"/>
        <v>0</v>
      </c>
      <c r="J37" s="94">
        <f t="shared" ca="1" si="9"/>
        <v>0</v>
      </c>
      <c r="K37" s="94">
        <f t="shared" ca="1" si="10"/>
        <v>110</v>
      </c>
      <c r="L37" s="94">
        <f t="shared" ca="1" si="11"/>
        <v>95867.768595041314</v>
      </c>
      <c r="M37" s="94">
        <f t="shared" ca="1" si="12"/>
        <v>10545454.545454545</v>
      </c>
      <c r="N37" s="94">
        <f t="shared" ca="1" si="13"/>
        <v>110</v>
      </c>
      <c r="O37" s="94">
        <f t="shared" ca="1" si="14"/>
        <v>95867.768595041314</v>
      </c>
      <c r="P37" s="20">
        <f t="shared" ca="1" si="15"/>
        <v>10545454.545454545</v>
      </c>
      <c r="Q37" s="20">
        <f t="shared" ca="1" si="16"/>
        <v>0</v>
      </c>
      <c r="R37" s="20">
        <f t="shared" ca="1" si="17"/>
        <v>0</v>
      </c>
      <c r="S37" s="364">
        <f t="shared" ca="1" si="18"/>
        <v>0</v>
      </c>
      <c r="T37" s="436">
        <f t="shared" si="19"/>
        <v>160100</v>
      </c>
    </row>
    <row r="38" spans="1:20">
      <c r="A38" s="105">
        <f t="shared" si="6"/>
        <v>31</v>
      </c>
      <c r="B38" s="359">
        <v>410002</v>
      </c>
      <c r="C38" s="319" t="s">
        <v>2136</v>
      </c>
      <c r="D38" s="476" t="s">
        <v>1794</v>
      </c>
      <c r="E38" s="93"/>
      <c r="F38" s="93"/>
      <c r="G38" s="94">
        <f t="shared" si="7"/>
        <v>0</v>
      </c>
      <c r="H38" s="94">
        <f t="shared" ca="1" si="8"/>
        <v>0</v>
      </c>
      <c r="I38" s="94">
        <f t="shared" ca="1" si="21"/>
        <v>0</v>
      </c>
      <c r="J38" s="94">
        <f t="shared" ca="1" si="9"/>
        <v>0</v>
      </c>
      <c r="K38" s="94">
        <f t="shared" ca="1" si="10"/>
        <v>83</v>
      </c>
      <c r="L38" s="94">
        <f t="shared" ca="1" si="11"/>
        <v>3710.8433734939758</v>
      </c>
      <c r="M38" s="94">
        <f t="shared" ca="1" si="12"/>
        <v>308000</v>
      </c>
      <c r="N38" s="94">
        <f t="shared" ca="1" si="13"/>
        <v>35</v>
      </c>
      <c r="O38" s="94">
        <f t="shared" ca="1" si="14"/>
        <v>4000</v>
      </c>
      <c r="P38" s="20">
        <f t="shared" ca="1" si="15"/>
        <v>140000</v>
      </c>
      <c r="Q38" s="20">
        <f t="shared" ca="1" si="16"/>
        <v>48</v>
      </c>
      <c r="R38" s="20">
        <f t="shared" ca="1" si="17"/>
        <v>3500</v>
      </c>
      <c r="S38" s="364">
        <f t="shared" ca="1" si="18"/>
        <v>168000</v>
      </c>
      <c r="T38" s="436">
        <f t="shared" si="19"/>
        <v>160100</v>
      </c>
    </row>
    <row r="39" spans="1:20">
      <c r="A39" s="105">
        <f t="shared" si="6"/>
        <v>32</v>
      </c>
      <c r="B39" s="359">
        <v>410050</v>
      </c>
      <c r="C39" s="319" t="s">
        <v>2696</v>
      </c>
      <c r="D39" s="476" t="s">
        <v>1002</v>
      </c>
      <c r="E39" s="93">
        <v>462</v>
      </c>
      <c r="F39" s="93">
        <v>13220.78</v>
      </c>
      <c r="G39" s="94">
        <f t="shared" si="7"/>
        <v>6108000.3600000003</v>
      </c>
      <c r="H39" s="94">
        <f t="shared" ca="1" si="8"/>
        <v>462</v>
      </c>
      <c r="I39" s="94">
        <f t="shared" ca="1" si="21"/>
        <v>13220.78</v>
      </c>
      <c r="J39" s="94">
        <f t="shared" ca="1" si="9"/>
        <v>6108000.3600000003</v>
      </c>
      <c r="K39" s="94">
        <f t="shared" ca="1" si="10"/>
        <v>0</v>
      </c>
      <c r="L39" s="94">
        <f t="shared" ca="1" si="11"/>
        <v>0</v>
      </c>
      <c r="M39" s="94">
        <f t="shared" ca="1" si="12"/>
        <v>0</v>
      </c>
      <c r="N39" s="94">
        <f t="shared" ca="1" si="13"/>
        <v>462</v>
      </c>
      <c r="O39" s="94">
        <f t="shared" ca="1" si="14"/>
        <v>13220.78</v>
      </c>
      <c r="P39" s="94">
        <f t="shared" ca="1" si="15"/>
        <v>6108000.3600000003</v>
      </c>
      <c r="Q39" s="20">
        <f t="shared" ca="1" si="16"/>
        <v>0</v>
      </c>
      <c r="R39" s="20">
        <f t="shared" ca="1" si="17"/>
        <v>0</v>
      </c>
      <c r="S39" s="364">
        <f t="shared" ca="1" si="18"/>
        <v>0</v>
      </c>
      <c r="T39" s="436">
        <f t="shared" si="19"/>
        <v>160100</v>
      </c>
    </row>
    <row r="40" spans="1:20">
      <c r="A40" s="105">
        <f t="shared" ref="A40:A71" si="22">+IF(B40="","",ROW()-7)</f>
        <v>33</v>
      </c>
      <c r="B40" s="359">
        <v>410054</v>
      </c>
      <c r="C40" s="319" t="s">
        <v>1637</v>
      </c>
      <c r="D40" s="476" t="s">
        <v>1002</v>
      </c>
      <c r="E40" s="93">
        <v>506</v>
      </c>
      <c r="F40" s="93">
        <v>2115.3000341358247</v>
      </c>
      <c r="G40" s="94">
        <f t="shared" ref="G40:G71" si="23">+IF(A40="","",IFERROR(E40*F40,0))</f>
        <v>1070341.8172727274</v>
      </c>
      <c r="H40" s="94">
        <f t="shared" ref="H40:H71" ca="1" si="24">IF(A40="","",E40+SUMIFS(RC_or_unit,RC_Code,B40,RC_date,"&lt;"&amp;$P$4)-SUMIFS(RC_zar_unit,RC_Code,B40,RC_date,"&lt;"&amp;$P$4))</f>
        <v>506</v>
      </c>
      <c r="I40" s="94">
        <f t="shared" ca="1" si="21"/>
        <v>2115.3000341358247</v>
      </c>
      <c r="J40" s="94">
        <f t="shared" ref="J40:J71" ca="1" si="25">IF(A40="","",G40+SUMIFS(RC_or_totol,RC_Code,B40,RC_date,"&lt;"&amp;$P$4)-SUMIFS(RC_zar_totol,RC_Code,B40,RC_date,"&lt;"&amp;$P$4))</f>
        <v>1070341.8172727274</v>
      </c>
      <c r="K40" s="94">
        <f t="shared" ref="K40:K71" ca="1" si="26">IF(A40="","",SUMIFS(RC_or_unit,RC_Code,B40,RC_date,"&gt;="&amp;$P$4,RC_date,"&lt;="&amp;$S$4))</f>
        <v>880</v>
      </c>
      <c r="L40" s="94">
        <f t="shared" ref="L40:L71" ca="1" si="27">+IF(A40="","",IFERROR(M40/K40,0))</f>
        <v>1828.409090909091</v>
      </c>
      <c r="M40" s="94">
        <f t="shared" ref="M40:M71" ca="1" si="28">IF($A40="","",SUMIFS(RC_or_totol,RC_Code,$B40,RC_date,"&gt;="&amp;$P$4,RC_date,"&lt;="&amp;$S$4))</f>
        <v>1609000</v>
      </c>
      <c r="N40" s="94">
        <f t="shared" ref="N40:N71" ca="1" si="29">IF($A40="","",SUMIFS(RC_zar_unit,RC_Code,$B40,RC_date,"&gt;="&amp;$P$4,RC_date,"&lt;="&amp;$S$4))</f>
        <v>784</v>
      </c>
      <c r="O40" s="94">
        <f t="shared" ref="O40:O71" ca="1" si="30">+IF(A40="","",IFERROR(P40/N40,0))</f>
        <v>1936.0633480442054</v>
      </c>
      <c r="P40" s="94">
        <f t="shared" ref="P40:P71" ca="1" si="31">IF($A40="","",SUMIFS(RC_zar_totol,RC_Code,$B40,RC_date,"&gt;="&amp;$P$4,RC_date,"&lt;="&amp;$S$4))</f>
        <v>1517873.664866657</v>
      </c>
      <c r="Q40" s="20">
        <f t="shared" ref="Q40:Q71" ca="1" si="32">+IF(A40="","",IFERROR(H40+K40-N40,0))</f>
        <v>602</v>
      </c>
      <c r="R40" s="20">
        <f t="shared" ref="R40:R71" ca="1" si="33">+IF(G40="","",IFERROR(S40/Q40,0))</f>
        <v>1929.3490903755321</v>
      </c>
      <c r="S40" s="364">
        <f t="shared" ref="S40:S71" ca="1" si="34">+IF(A40="","",IFERROR(J40+M40-P40,0))</f>
        <v>1161468.1524060704</v>
      </c>
      <c r="T40" s="436">
        <f t="shared" ref="T40:T71" si="35">+IF(LEFT(B40,3)="131",140100,0)+IF(LEFT(B40,3)="310",150100,0)+IF(LEFT(B40,3)="211",150101,0)+IF(LEFT(B40,3)="410",160100,0)+IF(LEFT(B40,3)="440",160200,0)+IF(LEFT(B40,3)="430",160200,0)+IF(LEFT(B40,3)="420",160200,0)+IF(LEFT(B40,3)="460",160201,0)+IF(LEFT(B40,3)="210",150101,0)+IF(LEFT(B40,3)="510",140100,0)</f>
        <v>160100</v>
      </c>
    </row>
    <row r="41" spans="1:20">
      <c r="A41" s="105">
        <f t="shared" si="22"/>
        <v>34</v>
      </c>
      <c r="B41" s="359">
        <v>410077</v>
      </c>
      <c r="C41" s="319" t="s">
        <v>2716</v>
      </c>
      <c r="D41" s="476" t="s">
        <v>1002</v>
      </c>
      <c r="E41" s="93">
        <v>441</v>
      </c>
      <c r="F41" s="93">
        <v>12244.45</v>
      </c>
      <c r="G41" s="94">
        <f t="shared" si="23"/>
        <v>5399802.4500000002</v>
      </c>
      <c r="H41" s="94">
        <f t="shared" ca="1" si="24"/>
        <v>441</v>
      </c>
      <c r="I41" s="94">
        <f t="shared" ca="1" si="21"/>
        <v>12244.45</v>
      </c>
      <c r="J41" s="94">
        <f t="shared" ca="1" si="25"/>
        <v>5399802.4500000002</v>
      </c>
      <c r="K41" s="94">
        <f t="shared" ca="1" si="26"/>
        <v>0</v>
      </c>
      <c r="L41" s="94">
        <f t="shared" ca="1" si="27"/>
        <v>0</v>
      </c>
      <c r="M41" s="94">
        <f t="shared" ca="1" si="28"/>
        <v>0</v>
      </c>
      <c r="N41" s="94">
        <f t="shared" ca="1" si="29"/>
        <v>0</v>
      </c>
      <c r="O41" s="94">
        <f t="shared" ca="1" si="30"/>
        <v>0</v>
      </c>
      <c r="P41" s="94">
        <f t="shared" ca="1" si="31"/>
        <v>0</v>
      </c>
      <c r="Q41" s="20">
        <f t="shared" ca="1" si="32"/>
        <v>441</v>
      </c>
      <c r="R41" s="20">
        <f t="shared" ca="1" si="33"/>
        <v>12244.45</v>
      </c>
      <c r="S41" s="364">
        <f t="shared" ca="1" si="34"/>
        <v>5399802.4500000002</v>
      </c>
      <c r="T41" s="436">
        <f t="shared" si="35"/>
        <v>160100</v>
      </c>
    </row>
    <row r="42" spans="1:20">
      <c r="A42" s="105">
        <f t="shared" si="22"/>
        <v>35</v>
      </c>
      <c r="B42" s="359">
        <v>410082</v>
      </c>
      <c r="C42" s="319" t="s">
        <v>2688</v>
      </c>
      <c r="D42" s="476" t="s">
        <v>1639</v>
      </c>
      <c r="E42" s="93">
        <v>64</v>
      </c>
      <c r="F42" s="93">
        <v>13040.624987499992</v>
      </c>
      <c r="G42" s="94">
        <f t="shared" si="23"/>
        <v>834599.9991999995</v>
      </c>
      <c r="H42" s="94">
        <f t="shared" ca="1" si="24"/>
        <v>64</v>
      </c>
      <c r="I42" s="94">
        <f t="shared" ca="1" si="21"/>
        <v>13040.624987499992</v>
      </c>
      <c r="J42" s="94">
        <f t="shared" ca="1" si="25"/>
        <v>834599.9991999995</v>
      </c>
      <c r="K42" s="94">
        <f t="shared" ca="1" si="26"/>
        <v>22.5</v>
      </c>
      <c r="L42" s="94">
        <f t="shared" ca="1" si="27"/>
        <v>25786.262560000003</v>
      </c>
      <c r="M42" s="94">
        <f t="shared" ca="1" si="28"/>
        <v>580190.90760000004</v>
      </c>
      <c r="N42" s="94">
        <f t="shared" ca="1" si="29"/>
        <v>86.5</v>
      </c>
      <c r="O42" s="94">
        <f t="shared" ca="1" si="30"/>
        <v>16355.964240462423</v>
      </c>
      <c r="P42" s="94">
        <f t="shared" ca="1" si="31"/>
        <v>1414790.9067999995</v>
      </c>
      <c r="Q42" s="20">
        <f t="shared" ca="1" si="32"/>
        <v>0</v>
      </c>
      <c r="R42" s="20">
        <f t="shared" ca="1" si="33"/>
        <v>0</v>
      </c>
      <c r="S42" s="364">
        <f t="shared" ca="1" si="34"/>
        <v>0</v>
      </c>
      <c r="T42" s="436">
        <f t="shared" si="35"/>
        <v>160100</v>
      </c>
    </row>
    <row r="43" spans="1:20">
      <c r="A43" s="105">
        <f t="shared" si="22"/>
        <v>36</v>
      </c>
      <c r="B43" s="359">
        <v>410083</v>
      </c>
      <c r="C43" s="319" t="s">
        <v>2717</v>
      </c>
      <c r="D43" s="476" t="s">
        <v>1002</v>
      </c>
      <c r="E43" s="93">
        <v>110</v>
      </c>
      <c r="F43" s="93">
        <v>123954.55</v>
      </c>
      <c r="G43" s="94">
        <f t="shared" si="23"/>
        <v>13635000.5</v>
      </c>
      <c r="H43" s="94">
        <f t="shared" ca="1" si="24"/>
        <v>110</v>
      </c>
      <c r="I43" s="94">
        <f t="shared" ca="1" si="21"/>
        <v>123954.55</v>
      </c>
      <c r="J43" s="94">
        <f t="shared" ca="1" si="25"/>
        <v>13635000.5</v>
      </c>
      <c r="K43" s="94">
        <f t="shared" ca="1" si="26"/>
        <v>0</v>
      </c>
      <c r="L43" s="94">
        <f t="shared" ca="1" si="27"/>
        <v>0</v>
      </c>
      <c r="M43" s="94">
        <f t="shared" ca="1" si="28"/>
        <v>0</v>
      </c>
      <c r="N43" s="94">
        <f t="shared" ca="1" si="29"/>
        <v>23</v>
      </c>
      <c r="O43" s="94">
        <f t="shared" ca="1" si="30"/>
        <v>123954.55</v>
      </c>
      <c r="P43" s="94">
        <f t="shared" ca="1" si="31"/>
        <v>2850954.65</v>
      </c>
      <c r="Q43" s="20">
        <f t="shared" ca="1" si="32"/>
        <v>87</v>
      </c>
      <c r="R43" s="20">
        <f t="shared" ca="1" si="33"/>
        <v>123954.55</v>
      </c>
      <c r="S43" s="364">
        <f t="shared" ca="1" si="34"/>
        <v>10784045.85</v>
      </c>
      <c r="T43" s="436">
        <f t="shared" si="35"/>
        <v>160100</v>
      </c>
    </row>
    <row r="44" spans="1:20">
      <c r="A44" s="105">
        <f t="shared" si="22"/>
        <v>37</v>
      </c>
      <c r="B44" s="359">
        <v>410085</v>
      </c>
      <c r="C44" s="319" t="s">
        <v>1640</v>
      </c>
      <c r="D44" s="476" t="s">
        <v>1639</v>
      </c>
      <c r="E44" s="93">
        <v>810</v>
      </c>
      <c r="F44" s="93">
        <v>7023.6812554444441</v>
      </c>
      <c r="G44" s="94">
        <f t="shared" si="23"/>
        <v>5689181.8169099996</v>
      </c>
      <c r="H44" s="94">
        <f t="shared" ca="1" si="24"/>
        <v>810</v>
      </c>
      <c r="I44" s="94">
        <f t="shared" ca="1" si="21"/>
        <v>7023.6812554444441</v>
      </c>
      <c r="J44" s="94">
        <f t="shared" ca="1" si="25"/>
        <v>5689181.8169099996</v>
      </c>
      <c r="K44" s="94">
        <f t="shared" ca="1" si="26"/>
        <v>1733.4</v>
      </c>
      <c r="L44" s="94">
        <f t="shared" ca="1" si="27"/>
        <v>7555.9856050536519</v>
      </c>
      <c r="M44" s="94">
        <f t="shared" ca="1" si="28"/>
        <v>13097545.447800001</v>
      </c>
      <c r="N44" s="94">
        <f t="shared" ca="1" si="29"/>
        <v>1606</v>
      </c>
      <c r="O44" s="94">
        <f t="shared" ca="1" si="30"/>
        <v>7411.3988814629638</v>
      </c>
      <c r="P44" s="94">
        <f t="shared" ca="1" si="31"/>
        <v>11902706.60362952</v>
      </c>
      <c r="Q44" s="20">
        <f t="shared" ca="1" si="32"/>
        <v>937.40000000000009</v>
      </c>
      <c r="R44" s="20">
        <f t="shared" ca="1" si="33"/>
        <v>7343.7387039476007</v>
      </c>
      <c r="S44" s="364">
        <f t="shared" ca="1" si="34"/>
        <v>6884020.6610804815</v>
      </c>
      <c r="T44" s="436">
        <f t="shared" si="35"/>
        <v>160100</v>
      </c>
    </row>
    <row r="45" spans="1:20">
      <c r="A45" s="105">
        <f t="shared" si="22"/>
        <v>38</v>
      </c>
      <c r="B45" s="359">
        <v>410087</v>
      </c>
      <c r="C45" s="319" t="s">
        <v>2718</v>
      </c>
      <c r="D45" s="476" t="s">
        <v>1002</v>
      </c>
      <c r="E45" s="93">
        <v>0</v>
      </c>
      <c r="F45" s="93">
        <v>0</v>
      </c>
      <c r="G45" s="94">
        <f t="shared" si="23"/>
        <v>0</v>
      </c>
      <c r="H45" s="94">
        <f t="shared" ca="1" si="24"/>
        <v>0</v>
      </c>
      <c r="I45" s="94">
        <f t="shared" ca="1" si="21"/>
        <v>0</v>
      </c>
      <c r="J45" s="94">
        <f t="shared" ca="1" si="25"/>
        <v>0</v>
      </c>
      <c r="K45" s="94">
        <f t="shared" ca="1" si="26"/>
        <v>0</v>
      </c>
      <c r="L45" s="94">
        <f t="shared" ca="1" si="27"/>
        <v>0</v>
      </c>
      <c r="M45" s="94">
        <f t="shared" ca="1" si="28"/>
        <v>0</v>
      </c>
      <c r="N45" s="94">
        <f t="shared" ca="1" si="29"/>
        <v>0</v>
      </c>
      <c r="O45" s="94">
        <f t="shared" ca="1" si="30"/>
        <v>0</v>
      </c>
      <c r="P45" s="94">
        <f t="shared" ca="1" si="31"/>
        <v>0</v>
      </c>
      <c r="Q45" s="20">
        <f t="shared" ca="1" si="32"/>
        <v>0</v>
      </c>
      <c r="R45" s="20">
        <f t="shared" ca="1" si="33"/>
        <v>0</v>
      </c>
      <c r="S45" s="364">
        <f t="shared" ca="1" si="34"/>
        <v>0</v>
      </c>
      <c r="T45" s="436">
        <f t="shared" si="35"/>
        <v>160100</v>
      </c>
    </row>
    <row r="46" spans="1:20">
      <c r="A46" s="105">
        <f t="shared" si="22"/>
        <v>39</v>
      </c>
      <c r="B46" s="359">
        <v>410089</v>
      </c>
      <c r="C46" s="319" t="s">
        <v>2719</v>
      </c>
      <c r="D46" s="476" t="s">
        <v>1641</v>
      </c>
      <c r="E46" s="93">
        <v>15</v>
      </c>
      <c r="F46" s="93">
        <v>30000</v>
      </c>
      <c r="G46" s="94">
        <f t="shared" si="23"/>
        <v>450000</v>
      </c>
      <c r="H46" s="94">
        <f t="shared" ca="1" si="24"/>
        <v>15</v>
      </c>
      <c r="I46" s="94">
        <f t="shared" ca="1" si="21"/>
        <v>30000</v>
      </c>
      <c r="J46" s="94">
        <f t="shared" ca="1" si="25"/>
        <v>450000</v>
      </c>
      <c r="K46" s="94">
        <f t="shared" ca="1" si="26"/>
        <v>0</v>
      </c>
      <c r="L46" s="94">
        <f t="shared" ca="1" si="27"/>
        <v>0</v>
      </c>
      <c r="M46" s="94">
        <f t="shared" ca="1" si="28"/>
        <v>0</v>
      </c>
      <c r="N46" s="94">
        <f t="shared" ca="1" si="29"/>
        <v>15</v>
      </c>
      <c r="O46" s="94">
        <f t="shared" ca="1" si="30"/>
        <v>30000</v>
      </c>
      <c r="P46" s="94">
        <f t="shared" ca="1" si="31"/>
        <v>450000</v>
      </c>
      <c r="Q46" s="20">
        <f t="shared" ca="1" si="32"/>
        <v>0</v>
      </c>
      <c r="R46" s="20">
        <f t="shared" ca="1" si="33"/>
        <v>0</v>
      </c>
      <c r="S46" s="364">
        <f t="shared" ca="1" si="34"/>
        <v>0</v>
      </c>
      <c r="T46" s="436">
        <f t="shared" si="35"/>
        <v>160100</v>
      </c>
    </row>
    <row r="47" spans="1:20">
      <c r="A47" s="105">
        <f t="shared" si="22"/>
        <v>40</v>
      </c>
      <c r="B47" s="359">
        <v>410093</v>
      </c>
      <c r="C47" s="319" t="s">
        <v>2720</v>
      </c>
      <c r="D47" s="476" t="s">
        <v>1002</v>
      </c>
      <c r="E47" s="93">
        <v>3</v>
      </c>
      <c r="F47" s="93">
        <v>180606.05999999997</v>
      </c>
      <c r="G47" s="94">
        <f t="shared" si="23"/>
        <v>541818.17999999993</v>
      </c>
      <c r="H47" s="94">
        <f t="shared" ca="1" si="24"/>
        <v>3</v>
      </c>
      <c r="I47" s="94">
        <f t="shared" ca="1" si="21"/>
        <v>180606.05999999997</v>
      </c>
      <c r="J47" s="94">
        <f t="shared" ca="1" si="25"/>
        <v>541818.17999999993</v>
      </c>
      <c r="K47" s="94">
        <f t="shared" ca="1" si="26"/>
        <v>0</v>
      </c>
      <c r="L47" s="94">
        <f t="shared" ca="1" si="27"/>
        <v>0</v>
      </c>
      <c r="M47" s="94">
        <f t="shared" ca="1" si="28"/>
        <v>0</v>
      </c>
      <c r="N47" s="94">
        <f t="shared" ca="1" si="29"/>
        <v>0</v>
      </c>
      <c r="O47" s="94">
        <f t="shared" ca="1" si="30"/>
        <v>0</v>
      </c>
      <c r="P47" s="94">
        <f t="shared" ca="1" si="31"/>
        <v>0</v>
      </c>
      <c r="Q47" s="20">
        <f t="shared" ca="1" si="32"/>
        <v>3</v>
      </c>
      <c r="R47" s="20">
        <f t="shared" ca="1" si="33"/>
        <v>180606.05999999997</v>
      </c>
      <c r="S47" s="364">
        <f t="shared" ca="1" si="34"/>
        <v>541818.17999999993</v>
      </c>
      <c r="T47" s="436">
        <f t="shared" si="35"/>
        <v>160100</v>
      </c>
    </row>
    <row r="48" spans="1:20">
      <c r="A48" s="105">
        <f t="shared" si="22"/>
        <v>41</v>
      </c>
      <c r="B48" s="359">
        <v>410098</v>
      </c>
      <c r="C48" s="319" t="s">
        <v>2721</v>
      </c>
      <c r="D48" s="476" t="s">
        <v>1002</v>
      </c>
      <c r="E48" s="93">
        <v>4</v>
      </c>
      <c r="F48" s="93">
        <v>303295.46000000002</v>
      </c>
      <c r="G48" s="94">
        <f t="shared" si="23"/>
        <v>1213181.8400000001</v>
      </c>
      <c r="H48" s="94">
        <f t="shared" ca="1" si="24"/>
        <v>4</v>
      </c>
      <c r="I48" s="94">
        <f t="shared" ca="1" si="21"/>
        <v>303295.46000000002</v>
      </c>
      <c r="J48" s="94">
        <f t="shared" ca="1" si="25"/>
        <v>1213181.8400000001</v>
      </c>
      <c r="K48" s="94">
        <f t="shared" ca="1" si="26"/>
        <v>0</v>
      </c>
      <c r="L48" s="94">
        <f t="shared" ca="1" si="27"/>
        <v>0</v>
      </c>
      <c r="M48" s="94">
        <f t="shared" ca="1" si="28"/>
        <v>0</v>
      </c>
      <c r="N48" s="94">
        <f t="shared" ca="1" si="29"/>
        <v>4</v>
      </c>
      <c r="O48" s="94">
        <f t="shared" ca="1" si="30"/>
        <v>303295.46000000002</v>
      </c>
      <c r="P48" s="94">
        <f t="shared" ca="1" si="31"/>
        <v>1213181.8400000001</v>
      </c>
      <c r="Q48" s="20">
        <f t="shared" ca="1" si="32"/>
        <v>0</v>
      </c>
      <c r="R48" s="20">
        <f t="shared" ca="1" si="33"/>
        <v>0</v>
      </c>
      <c r="S48" s="364">
        <f t="shared" ca="1" si="34"/>
        <v>0</v>
      </c>
      <c r="T48" s="436">
        <f t="shared" si="35"/>
        <v>160100</v>
      </c>
    </row>
    <row r="49" spans="1:20">
      <c r="A49" s="105">
        <f t="shared" si="22"/>
        <v>42</v>
      </c>
      <c r="B49" s="359">
        <v>410106</v>
      </c>
      <c r="C49" s="319" t="s">
        <v>2722</v>
      </c>
      <c r="D49" s="476" t="s">
        <v>1002</v>
      </c>
      <c r="E49" s="93">
        <v>4</v>
      </c>
      <c r="F49" s="93">
        <v>1399204.55</v>
      </c>
      <c r="G49" s="94">
        <f t="shared" si="23"/>
        <v>5596818.2000000002</v>
      </c>
      <c r="H49" s="94">
        <f t="shared" ca="1" si="24"/>
        <v>4</v>
      </c>
      <c r="I49" s="94">
        <f t="shared" ca="1" si="21"/>
        <v>1399204.55</v>
      </c>
      <c r="J49" s="94">
        <f t="shared" ca="1" si="25"/>
        <v>5596818.2000000002</v>
      </c>
      <c r="K49" s="94">
        <f t="shared" ca="1" si="26"/>
        <v>0</v>
      </c>
      <c r="L49" s="94">
        <f t="shared" ca="1" si="27"/>
        <v>0</v>
      </c>
      <c r="M49" s="94">
        <f t="shared" ca="1" si="28"/>
        <v>0</v>
      </c>
      <c r="N49" s="94">
        <f t="shared" ca="1" si="29"/>
        <v>0</v>
      </c>
      <c r="O49" s="94">
        <f t="shared" ca="1" si="30"/>
        <v>0</v>
      </c>
      <c r="P49" s="94">
        <f t="shared" ca="1" si="31"/>
        <v>0</v>
      </c>
      <c r="Q49" s="20">
        <f t="shared" ca="1" si="32"/>
        <v>4</v>
      </c>
      <c r="R49" s="20">
        <f t="shared" ca="1" si="33"/>
        <v>1399204.55</v>
      </c>
      <c r="S49" s="364">
        <f t="shared" ca="1" si="34"/>
        <v>5596818.2000000002</v>
      </c>
      <c r="T49" s="436">
        <f t="shared" si="35"/>
        <v>160100</v>
      </c>
    </row>
    <row r="50" spans="1:20">
      <c r="A50" s="105">
        <f t="shared" si="22"/>
        <v>43</v>
      </c>
      <c r="B50" s="359">
        <v>410130</v>
      </c>
      <c r="C50" s="319" t="s">
        <v>2723</v>
      </c>
      <c r="D50" s="476" t="s">
        <v>1002</v>
      </c>
      <c r="E50" s="93">
        <v>3</v>
      </c>
      <c r="F50" s="93">
        <v>281212.12</v>
      </c>
      <c r="G50" s="94">
        <f t="shared" si="23"/>
        <v>843636.36</v>
      </c>
      <c r="H50" s="94">
        <f t="shared" ca="1" si="24"/>
        <v>3</v>
      </c>
      <c r="I50" s="94">
        <f t="shared" ca="1" si="21"/>
        <v>281212.12</v>
      </c>
      <c r="J50" s="94">
        <f t="shared" ca="1" si="25"/>
        <v>843636.36</v>
      </c>
      <c r="K50" s="94">
        <f t="shared" ca="1" si="26"/>
        <v>0</v>
      </c>
      <c r="L50" s="94">
        <f t="shared" ca="1" si="27"/>
        <v>0</v>
      </c>
      <c r="M50" s="94">
        <f t="shared" ca="1" si="28"/>
        <v>0</v>
      </c>
      <c r="N50" s="94">
        <f t="shared" ca="1" si="29"/>
        <v>0</v>
      </c>
      <c r="O50" s="94">
        <f t="shared" ca="1" si="30"/>
        <v>0</v>
      </c>
      <c r="P50" s="94">
        <f t="shared" ca="1" si="31"/>
        <v>0</v>
      </c>
      <c r="Q50" s="20">
        <f t="shared" ca="1" si="32"/>
        <v>3</v>
      </c>
      <c r="R50" s="20">
        <f t="shared" ca="1" si="33"/>
        <v>281212.12</v>
      </c>
      <c r="S50" s="364">
        <f t="shared" ca="1" si="34"/>
        <v>843636.36</v>
      </c>
      <c r="T50" s="436">
        <f t="shared" si="35"/>
        <v>160100</v>
      </c>
    </row>
    <row r="51" spans="1:20">
      <c r="A51" s="105">
        <f t="shared" si="22"/>
        <v>44</v>
      </c>
      <c r="B51" s="359">
        <v>410137</v>
      </c>
      <c r="C51" s="319" t="s">
        <v>2724</v>
      </c>
      <c r="D51" s="476" t="s">
        <v>1002</v>
      </c>
      <c r="E51" s="93">
        <v>1</v>
      </c>
      <c r="F51" s="93">
        <v>65927.27</v>
      </c>
      <c r="G51" s="94">
        <f t="shared" si="23"/>
        <v>65927.27</v>
      </c>
      <c r="H51" s="94">
        <f t="shared" ca="1" si="24"/>
        <v>1</v>
      </c>
      <c r="I51" s="94">
        <f t="shared" ca="1" si="21"/>
        <v>65927.27</v>
      </c>
      <c r="J51" s="94">
        <f t="shared" ca="1" si="25"/>
        <v>65927.27</v>
      </c>
      <c r="K51" s="94">
        <f t="shared" ca="1" si="26"/>
        <v>0</v>
      </c>
      <c r="L51" s="94">
        <f t="shared" ca="1" si="27"/>
        <v>0</v>
      </c>
      <c r="M51" s="94">
        <f t="shared" ca="1" si="28"/>
        <v>0</v>
      </c>
      <c r="N51" s="94">
        <f t="shared" ca="1" si="29"/>
        <v>0</v>
      </c>
      <c r="O51" s="94">
        <f t="shared" ca="1" si="30"/>
        <v>0</v>
      </c>
      <c r="P51" s="94">
        <f t="shared" ca="1" si="31"/>
        <v>0</v>
      </c>
      <c r="Q51" s="20">
        <f t="shared" ca="1" si="32"/>
        <v>1</v>
      </c>
      <c r="R51" s="20">
        <f t="shared" ca="1" si="33"/>
        <v>65927.27</v>
      </c>
      <c r="S51" s="364">
        <f t="shared" ca="1" si="34"/>
        <v>65927.27</v>
      </c>
      <c r="T51" s="436">
        <f t="shared" si="35"/>
        <v>160100</v>
      </c>
    </row>
    <row r="52" spans="1:20">
      <c r="A52" s="105">
        <f t="shared" si="22"/>
        <v>45</v>
      </c>
      <c r="B52" s="359">
        <v>410140</v>
      </c>
      <c r="C52" s="319" t="s">
        <v>2725</v>
      </c>
      <c r="D52" s="476" t="s">
        <v>1002</v>
      </c>
      <c r="E52" s="93">
        <v>22</v>
      </c>
      <c r="F52" s="93">
        <v>158413.22</v>
      </c>
      <c r="G52" s="94">
        <f t="shared" si="23"/>
        <v>3485090.84</v>
      </c>
      <c r="H52" s="94">
        <f t="shared" ca="1" si="24"/>
        <v>22</v>
      </c>
      <c r="I52" s="94">
        <f t="shared" ca="1" si="21"/>
        <v>158413.22</v>
      </c>
      <c r="J52" s="94">
        <f t="shared" ca="1" si="25"/>
        <v>3485090.84</v>
      </c>
      <c r="K52" s="94">
        <f t="shared" ca="1" si="26"/>
        <v>0</v>
      </c>
      <c r="L52" s="94">
        <f t="shared" ca="1" si="27"/>
        <v>0</v>
      </c>
      <c r="M52" s="94">
        <f t="shared" ca="1" si="28"/>
        <v>0</v>
      </c>
      <c r="N52" s="94">
        <f t="shared" ca="1" si="29"/>
        <v>0</v>
      </c>
      <c r="O52" s="94">
        <f t="shared" ca="1" si="30"/>
        <v>0</v>
      </c>
      <c r="P52" s="94">
        <f t="shared" ca="1" si="31"/>
        <v>0</v>
      </c>
      <c r="Q52" s="20">
        <f t="shared" ca="1" si="32"/>
        <v>22</v>
      </c>
      <c r="R52" s="20">
        <f t="shared" ca="1" si="33"/>
        <v>158413.22</v>
      </c>
      <c r="S52" s="364">
        <f t="shared" ca="1" si="34"/>
        <v>3485090.84</v>
      </c>
      <c r="T52" s="436">
        <f t="shared" si="35"/>
        <v>160100</v>
      </c>
    </row>
    <row r="53" spans="1:20">
      <c r="A53" s="105">
        <f t="shared" si="22"/>
        <v>46</v>
      </c>
      <c r="B53" s="359">
        <v>410268</v>
      </c>
      <c r="C53" s="319" t="s">
        <v>2726</v>
      </c>
      <c r="D53" s="476" t="s">
        <v>1002</v>
      </c>
      <c r="E53" s="93">
        <v>37</v>
      </c>
      <c r="F53" s="93">
        <v>12243.24</v>
      </c>
      <c r="G53" s="94">
        <f t="shared" si="23"/>
        <v>452999.88</v>
      </c>
      <c r="H53" s="94">
        <f t="shared" ca="1" si="24"/>
        <v>37</v>
      </c>
      <c r="I53" s="94">
        <f t="shared" ca="1" si="21"/>
        <v>12243.24</v>
      </c>
      <c r="J53" s="94">
        <f t="shared" ca="1" si="25"/>
        <v>452999.88</v>
      </c>
      <c r="K53" s="94">
        <f t="shared" ca="1" si="26"/>
        <v>0</v>
      </c>
      <c r="L53" s="94">
        <f t="shared" ca="1" si="27"/>
        <v>0</v>
      </c>
      <c r="M53" s="94">
        <f t="shared" ca="1" si="28"/>
        <v>0</v>
      </c>
      <c r="N53" s="94">
        <f t="shared" ca="1" si="29"/>
        <v>0</v>
      </c>
      <c r="O53" s="94">
        <f t="shared" ca="1" si="30"/>
        <v>0</v>
      </c>
      <c r="P53" s="94">
        <f t="shared" ca="1" si="31"/>
        <v>0</v>
      </c>
      <c r="Q53" s="20">
        <f t="shared" ca="1" si="32"/>
        <v>37</v>
      </c>
      <c r="R53" s="20">
        <f t="shared" ca="1" si="33"/>
        <v>12243.24</v>
      </c>
      <c r="S53" s="364">
        <f t="shared" ca="1" si="34"/>
        <v>452999.88</v>
      </c>
      <c r="T53" s="436">
        <f t="shared" si="35"/>
        <v>160100</v>
      </c>
    </row>
    <row r="54" spans="1:20">
      <c r="A54" s="105">
        <f t="shared" si="22"/>
        <v>47</v>
      </c>
      <c r="B54" s="359">
        <v>410269</v>
      </c>
      <c r="C54" s="319" t="s">
        <v>2727</v>
      </c>
      <c r="D54" s="476" t="s">
        <v>1002</v>
      </c>
      <c r="E54" s="93">
        <v>26</v>
      </c>
      <c r="F54" s="93">
        <v>14000</v>
      </c>
      <c r="G54" s="94">
        <f t="shared" si="23"/>
        <v>364000</v>
      </c>
      <c r="H54" s="94">
        <f t="shared" ca="1" si="24"/>
        <v>26</v>
      </c>
      <c r="I54" s="94">
        <f t="shared" ca="1" si="21"/>
        <v>14000</v>
      </c>
      <c r="J54" s="94">
        <f t="shared" ca="1" si="25"/>
        <v>364000</v>
      </c>
      <c r="K54" s="94">
        <f t="shared" ca="1" si="26"/>
        <v>0</v>
      </c>
      <c r="L54" s="94">
        <f t="shared" ca="1" si="27"/>
        <v>0</v>
      </c>
      <c r="M54" s="94">
        <f t="shared" ca="1" si="28"/>
        <v>0</v>
      </c>
      <c r="N54" s="94">
        <f t="shared" ca="1" si="29"/>
        <v>0</v>
      </c>
      <c r="O54" s="94">
        <f t="shared" ca="1" si="30"/>
        <v>0</v>
      </c>
      <c r="P54" s="94">
        <f t="shared" ca="1" si="31"/>
        <v>0</v>
      </c>
      <c r="Q54" s="20">
        <f t="shared" ca="1" si="32"/>
        <v>26</v>
      </c>
      <c r="R54" s="20">
        <f t="shared" ca="1" si="33"/>
        <v>14000</v>
      </c>
      <c r="S54" s="364">
        <f t="shared" ca="1" si="34"/>
        <v>364000</v>
      </c>
      <c r="T54" s="436">
        <f t="shared" si="35"/>
        <v>160100</v>
      </c>
    </row>
    <row r="55" spans="1:20">
      <c r="A55" s="105">
        <f t="shared" si="22"/>
        <v>48</v>
      </c>
      <c r="B55" s="359">
        <v>410271</v>
      </c>
      <c r="C55" s="319" t="s">
        <v>2728</v>
      </c>
      <c r="D55" s="476" t="s">
        <v>1002</v>
      </c>
      <c r="E55" s="93">
        <v>30</v>
      </c>
      <c r="F55" s="93">
        <v>2500</v>
      </c>
      <c r="G55" s="94">
        <f t="shared" si="23"/>
        <v>75000</v>
      </c>
      <c r="H55" s="94">
        <f t="shared" ca="1" si="24"/>
        <v>30</v>
      </c>
      <c r="I55" s="94">
        <f t="shared" ca="1" si="21"/>
        <v>2500</v>
      </c>
      <c r="J55" s="94">
        <f t="shared" ca="1" si="25"/>
        <v>75000</v>
      </c>
      <c r="K55" s="94">
        <f t="shared" ca="1" si="26"/>
        <v>0</v>
      </c>
      <c r="L55" s="94">
        <f t="shared" ca="1" si="27"/>
        <v>0</v>
      </c>
      <c r="M55" s="94">
        <f t="shared" ca="1" si="28"/>
        <v>0</v>
      </c>
      <c r="N55" s="94">
        <f t="shared" ca="1" si="29"/>
        <v>0</v>
      </c>
      <c r="O55" s="94">
        <f t="shared" ca="1" si="30"/>
        <v>0</v>
      </c>
      <c r="P55" s="94">
        <f t="shared" ca="1" si="31"/>
        <v>0</v>
      </c>
      <c r="Q55" s="20">
        <f t="shared" ca="1" si="32"/>
        <v>30</v>
      </c>
      <c r="R55" s="20">
        <f t="shared" ca="1" si="33"/>
        <v>2500</v>
      </c>
      <c r="S55" s="364">
        <f t="shared" ca="1" si="34"/>
        <v>75000</v>
      </c>
      <c r="T55" s="436">
        <f t="shared" si="35"/>
        <v>160100</v>
      </c>
    </row>
    <row r="56" spans="1:20">
      <c r="A56" s="105">
        <f t="shared" si="22"/>
        <v>49</v>
      </c>
      <c r="B56" s="359">
        <v>410279</v>
      </c>
      <c r="C56" s="319" t="s">
        <v>2729</v>
      </c>
      <c r="D56" s="476" t="s">
        <v>1641</v>
      </c>
      <c r="E56" s="93">
        <v>13.67</v>
      </c>
      <c r="F56" s="93">
        <v>280000</v>
      </c>
      <c r="G56" s="94">
        <f t="shared" si="23"/>
        <v>3827600</v>
      </c>
      <c r="H56" s="94">
        <f t="shared" ca="1" si="24"/>
        <v>13.67</v>
      </c>
      <c r="I56" s="94">
        <f t="shared" ca="1" si="21"/>
        <v>280000</v>
      </c>
      <c r="J56" s="94">
        <f t="shared" ca="1" si="25"/>
        <v>3827600</v>
      </c>
      <c r="K56" s="94">
        <f t="shared" ca="1" si="26"/>
        <v>0</v>
      </c>
      <c r="L56" s="94">
        <f t="shared" ca="1" si="27"/>
        <v>0</v>
      </c>
      <c r="M56" s="94">
        <f t="shared" ca="1" si="28"/>
        <v>0</v>
      </c>
      <c r="N56" s="94">
        <f t="shared" ca="1" si="29"/>
        <v>0</v>
      </c>
      <c r="O56" s="94">
        <f t="shared" ca="1" si="30"/>
        <v>0</v>
      </c>
      <c r="P56" s="94">
        <f t="shared" ca="1" si="31"/>
        <v>0</v>
      </c>
      <c r="Q56" s="20">
        <f t="shared" ca="1" si="32"/>
        <v>13.67</v>
      </c>
      <c r="R56" s="20">
        <f t="shared" ca="1" si="33"/>
        <v>280000</v>
      </c>
      <c r="S56" s="364">
        <f t="shared" ca="1" si="34"/>
        <v>3827600</v>
      </c>
      <c r="T56" s="436">
        <f t="shared" si="35"/>
        <v>160100</v>
      </c>
    </row>
    <row r="57" spans="1:20">
      <c r="A57" s="105">
        <f t="shared" si="22"/>
        <v>50</v>
      </c>
      <c r="B57" s="359">
        <v>410288</v>
      </c>
      <c r="C57" s="319" t="s">
        <v>2730</v>
      </c>
      <c r="D57" s="476" t="s">
        <v>1002</v>
      </c>
      <c r="E57" s="93">
        <v>2</v>
      </c>
      <c r="F57" s="93">
        <v>478275</v>
      </c>
      <c r="G57" s="94">
        <f t="shared" si="23"/>
        <v>956550</v>
      </c>
      <c r="H57" s="94">
        <f t="shared" ca="1" si="24"/>
        <v>2</v>
      </c>
      <c r="I57" s="94">
        <f t="shared" ca="1" si="21"/>
        <v>478275</v>
      </c>
      <c r="J57" s="94">
        <f t="shared" ca="1" si="25"/>
        <v>956550</v>
      </c>
      <c r="K57" s="94">
        <f t="shared" ca="1" si="26"/>
        <v>0</v>
      </c>
      <c r="L57" s="94">
        <f t="shared" ca="1" si="27"/>
        <v>0</v>
      </c>
      <c r="M57" s="94">
        <f t="shared" ca="1" si="28"/>
        <v>0</v>
      </c>
      <c r="N57" s="94">
        <f t="shared" ca="1" si="29"/>
        <v>0</v>
      </c>
      <c r="O57" s="94">
        <f t="shared" ca="1" si="30"/>
        <v>0</v>
      </c>
      <c r="P57" s="94">
        <f t="shared" ca="1" si="31"/>
        <v>0</v>
      </c>
      <c r="Q57" s="20">
        <f t="shared" ca="1" si="32"/>
        <v>2</v>
      </c>
      <c r="R57" s="20">
        <f t="shared" ca="1" si="33"/>
        <v>478275</v>
      </c>
      <c r="S57" s="364">
        <f t="shared" ca="1" si="34"/>
        <v>956550</v>
      </c>
      <c r="T57" s="436">
        <f t="shared" si="35"/>
        <v>160100</v>
      </c>
    </row>
    <row r="58" spans="1:20">
      <c r="A58" s="105">
        <f t="shared" si="22"/>
        <v>51</v>
      </c>
      <c r="B58" s="359">
        <v>410311</v>
      </c>
      <c r="C58" s="319" t="s">
        <v>2731</v>
      </c>
      <c r="D58" s="476" t="s">
        <v>1634</v>
      </c>
      <c r="E58" s="93">
        <v>233</v>
      </c>
      <c r="F58" s="93">
        <v>4958.2491824034332</v>
      </c>
      <c r="G58" s="94">
        <f t="shared" si="23"/>
        <v>1155272.0595</v>
      </c>
      <c r="H58" s="94">
        <f t="shared" ca="1" si="24"/>
        <v>233</v>
      </c>
      <c r="I58" s="94">
        <f t="shared" ca="1" si="21"/>
        <v>4958.2491824034332</v>
      </c>
      <c r="J58" s="94">
        <f t="shared" ca="1" si="25"/>
        <v>1155272.0595</v>
      </c>
      <c r="K58" s="94">
        <f t="shared" ca="1" si="26"/>
        <v>0</v>
      </c>
      <c r="L58" s="94">
        <f t="shared" ca="1" si="27"/>
        <v>0</v>
      </c>
      <c r="M58" s="94">
        <f t="shared" ca="1" si="28"/>
        <v>0</v>
      </c>
      <c r="N58" s="94">
        <f t="shared" ca="1" si="29"/>
        <v>233</v>
      </c>
      <c r="O58" s="94">
        <f t="shared" ca="1" si="30"/>
        <v>4958.2491824034332</v>
      </c>
      <c r="P58" s="94">
        <f t="shared" ca="1" si="31"/>
        <v>1155272.0595</v>
      </c>
      <c r="Q58" s="20">
        <f t="shared" ca="1" si="32"/>
        <v>0</v>
      </c>
      <c r="R58" s="20">
        <f t="shared" ca="1" si="33"/>
        <v>0</v>
      </c>
      <c r="S58" s="364">
        <f t="shared" ca="1" si="34"/>
        <v>0</v>
      </c>
      <c r="T58" s="436">
        <f t="shared" si="35"/>
        <v>160100</v>
      </c>
    </row>
    <row r="59" spans="1:20">
      <c r="A59" s="105">
        <f t="shared" si="22"/>
        <v>52</v>
      </c>
      <c r="B59" s="359">
        <v>410317</v>
      </c>
      <c r="C59" s="319" t="s">
        <v>2690</v>
      </c>
      <c r="D59" s="476" t="s">
        <v>1002</v>
      </c>
      <c r="E59" s="93">
        <v>3</v>
      </c>
      <c r="F59" s="93">
        <v>90181.82</v>
      </c>
      <c r="G59" s="94">
        <f t="shared" si="23"/>
        <v>270545.46000000002</v>
      </c>
      <c r="H59" s="94">
        <f t="shared" ca="1" si="24"/>
        <v>3</v>
      </c>
      <c r="I59" s="94">
        <f t="shared" ca="1" si="21"/>
        <v>90181.82</v>
      </c>
      <c r="J59" s="94">
        <f t="shared" ca="1" si="25"/>
        <v>270545.46000000002</v>
      </c>
      <c r="K59" s="94">
        <f t="shared" ca="1" si="26"/>
        <v>0</v>
      </c>
      <c r="L59" s="94">
        <f t="shared" ca="1" si="27"/>
        <v>0</v>
      </c>
      <c r="M59" s="94">
        <f t="shared" ca="1" si="28"/>
        <v>0</v>
      </c>
      <c r="N59" s="94">
        <f t="shared" ca="1" si="29"/>
        <v>3</v>
      </c>
      <c r="O59" s="94">
        <f t="shared" ca="1" si="30"/>
        <v>90181.82</v>
      </c>
      <c r="P59" s="94">
        <f t="shared" ca="1" si="31"/>
        <v>270545.46000000002</v>
      </c>
      <c r="Q59" s="20">
        <f t="shared" ca="1" si="32"/>
        <v>0</v>
      </c>
      <c r="R59" s="20">
        <f t="shared" ca="1" si="33"/>
        <v>0</v>
      </c>
      <c r="S59" s="364">
        <f t="shared" ca="1" si="34"/>
        <v>0</v>
      </c>
      <c r="T59" s="436">
        <f t="shared" si="35"/>
        <v>160100</v>
      </c>
    </row>
    <row r="60" spans="1:20">
      <c r="A60" s="105">
        <f t="shared" si="22"/>
        <v>53</v>
      </c>
      <c r="B60" s="359">
        <v>410322</v>
      </c>
      <c r="C60" s="319" t="s">
        <v>2732</v>
      </c>
      <c r="D60" s="476" t="s">
        <v>1002</v>
      </c>
      <c r="E60" s="93">
        <v>2</v>
      </c>
      <c r="F60" s="93">
        <v>22000</v>
      </c>
      <c r="G60" s="94">
        <f t="shared" si="23"/>
        <v>44000</v>
      </c>
      <c r="H60" s="94">
        <f t="shared" ca="1" si="24"/>
        <v>2</v>
      </c>
      <c r="I60" s="94">
        <f t="shared" ca="1" si="21"/>
        <v>22000</v>
      </c>
      <c r="J60" s="94">
        <f t="shared" ca="1" si="25"/>
        <v>44000</v>
      </c>
      <c r="K60" s="94">
        <f t="shared" ca="1" si="26"/>
        <v>0</v>
      </c>
      <c r="L60" s="94">
        <f t="shared" ca="1" si="27"/>
        <v>0</v>
      </c>
      <c r="M60" s="94">
        <f t="shared" ca="1" si="28"/>
        <v>0</v>
      </c>
      <c r="N60" s="94">
        <f t="shared" ca="1" si="29"/>
        <v>2</v>
      </c>
      <c r="O60" s="94">
        <f t="shared" ca="1" si="30"/>
        <v>22000</v>
      </c>
      <c r="P60" s="94">
        <f t="shared" ca="1" si="31"/>
        <v>44000</v>
      </c>
      <c r="Q60" s="20">
        <f t="shared" ca="1" si="32"/>
        <v>0</v>
      </c>
      <c r="R60" s="20">
        <f t="shared" ca="1" si="33"/>
        <v>0</v>
      </c>
      <c r="S60" s="364">
        <f t="shared" ca="1" si="34"/>
        <v>0</v>
      </c>
      <c r="T60" s="436">
        <f t="shared" si="35"/>
        <v>160100</v>
      </c>
    </row>
    <row r="61" spans="1:20">
      <c r="A61" s="105">
        <f t="shared" si="22"/>
        <v>54</v>
      </c>
      <c r="B61" s="359">
        <v>410327</v>
      </c>
      <c r="C61" s="319" t="s">
        <v>2733</v>
      </c>
      <c r="D61" s="476" t="s">
        <v>1642</v>
      </c>
      <c r="E61" s="93">
        <v>52</v>
      </c>
      <c r="F61" s="93">
        <v>19737.766538461539</v>
      </c>
      <c r="G61" s="94">
        <f t="shared" si="23"/>
        <v>1026363.8600000001</v>
      </c>
      <c r="H61" s="94">
        <f t="shared" ca="1" si="24"/>
        <v>52</v>
      </c>
      <c r="I61" s="94">
        <f t="shared" ca="1" si="21"/>
        <v>19737.766538461539</v>
      </c>
      <c r="J61" s="94">
        <f t="shared" ca="1" si="25"/>
        <v>1026363.8600000001</v>
      </c>
      <c r="K61" s="94">
        <f t="shared" ca="1" si="26"/>
        <v>0</v>
      </c>
      <c r="L61" s="94">
        <f t="shared" ca="1" si="27"/>
        <v>0</v>
      </c>
      <c r="M61" s="94">
        <f t="shared" ca="1" si="28"/>
        <v>0</v>
      </c>
      <c r="N61" s="94">
        <f t="shared" ca="1" si="29"/>
        <v>52</v>
      </c>
      <c r="O61" s="94">
        <f t="shared" ca="1" si="30"/>
        <v>19737.766538461539</v>
      </c>
      <c r="P61" s="94">
        <f t="shared" ca="1" si="31"/>
        <v>1026363.8600000001</v>
      </c>
      <c r="Q61" s="20">
        <f t="shared" ca="1" si="32"/>
        <v>0</v>
      </c>
      <c r="R61" s="20">
        <f t="shared" ca="1" si="33"/>
        <v>0</v>
      </c>
      <c r="S61" s="364">
        <f t="shared" ca="1" si="34"/>
        <v>0</v>
      </c>
      <c r="T61" s="436">
        <f t="shared" si="35"/>
        <v>160100</v>
      </c>
    </row>
    <row r="62" spans="1:20">
      <c r="A62" s="105">
        <f t="shared" si="22"/>
        <v>55</v>
      </c>
      <c r="B62" s="359">
        <v>410341</v>
      </c>
      <c r="C62" s="319" t="s">
        <v>1643</v>
      </c>
      <c r="D62" s="476" t="s">
        <v>1002</v>
      </c>
      <c r="E62" s="93">
        <v>240</v>
      </c>
      <c r="F62" s="93">
        <v>12900</v>
      </c>
      <c r="G62" s="94">
        <f t="shared" si="23"/>
        <v>3096000</v>
      </c>
      <c r="H62" s="94">
        <f t="shared" ca="1" si="24"/>
        <v>240</v>
      </c>
      <c r="I62" s="94">
        <f t="shared" ca="1" si="21"/>
        <v>12900</v>
      </c>
      <c r="J62" s="94">
        <f t="shared" ca="1" si="25"/>
        <v>3096000</v>
      </c>
      <c r="K62" s="94">
        <f t="shared" ca="1" si="26"/>
        <v>0</v>
      </c>
      <c r="L62" s="94">
        <f t="shared" ca="1" si="27"/>
        <v>0</v>
      </c>
      <c r="M62" s="94">
        <f t="shared" ca="1" si="28"/>
        <v>0</v>
      </c>
      <c r="N62" s="94">
        <f t="shared" ca="1" si="29"/>
        <v>0</v>
      </c>
      <c r="O62" s="94">
        <f t="shared" ca="1" si="30"/>
        <v>0</v>
      </c>
      <c r="P62" s="94">
        <f t="shared" ca="1" si="31"/>
        <v>0</v>
      </c>
      <c r="Q62" s="20">
        <f t="shared" ca="1" si="32"/>
        <v>240</v>
      </c>
      <c r="R62" s="20">
        <f t="shared" ca="1" si="33"/>
        <v>12900</v>
      </c>
      <c r="S62" s="364">
        <f t="shared" ca="1" si="34"/>
        <v>3096000</v>
      </c>
      <c r="T62" s="436">
        <f t="shared" si="35"/>
        <v>160100</v>
      </c>
    </row>
    <row r="63" spans="1:20">
      <c r="A63" s="105">
        <f t="shared" si="22"/>
        <v>56</v>
      </c>
      <c r="B63" s="359">
        <v>410344</v>
      </c>
      <c r="C63" s="319" t="s">
        <v>2734</v>
      </c>
      <c r="D63" s="476" t="s">
        <v>1002</v>
      </c>
      <c r="E63" s="93">
        <v>7</v>
      </c>
      <c r="F63" s="93">
        <v>141449.35</v>
      </c>
      <c r="G63" s="94">
        <f t="shared" si="23"/>
        <v>990145.45000000007</v>
      </c>
      <c r="H63" s="94">
        <f t="shared" ca="1" si="24"/>
        <v>7</v>
      </c>
      <c r="I63" s="94">
        <f t="shared" ca="1" si="21"/>
        <v>141449.35</v>
      </c>
      <c r="J63" s="94">
        <f t="shared" ca="1" si="25"/>
        <v>990145.45000000007</v>
      </c>
      <c r="K63" s="94">
        <f t="shared" ca="1" si="26"/>
        <v>0</v>
      </c>
      <c r="L63" s="94">
        <f t="shared" ca="1" si="27"/>
        <v>0</v>
      </c>
      <c r="M63" s="94">
        <f t="shared" ca="1" si="28"/>
        <v>0</v>
      </c>
      <c r="N63" s="94">
        <f t="shared" ca="1" si="29"/>
        <v>7</v>
      </c>
      <c r="O63" s="94">
        <f t="shared" ca="1" si="30"/>
        <v>141449.35</v>
      </c>
      <c r="P63" s="94">
        <f t="shared" ca="1" si="31"/>
        <v>990145.45</v>
      </c>
      <c r="Q63" s="20">
        <f t="shared" ca="1" si="32"/>
        <v>0</v>
      </c>
      <c r="R63" s="20">
        <f t="shared" ca="1" si="33"/>
        <v>0</v>
      </c>
      <c r="S63" s="364">
        <f t="shared" ca="1" si="34"/>
        <v>1.1641532182693481E-10</v>
      </c>
      <c r="T63" s="436">
        <f t="shared" si="35"/>
        <v>160100</v>
      </c>
    </row>
    <row r="64" spans="1:20">
      <c r="A64" s="105">
        <f t="shared" si="22"/>
        <v>57</v>
      </c>
      <c r="B64" s="359">
        <v>410349</v>
      </c>
      <c r="C64" s="319" t="s">
        <v>2735</v>
      </c>
      <c r="D64" s="476" t="s">
        <v>1642</v>
      </c>
      <c r="E64" s="93">
        <v>8</v>
      </c>
      <c r="F64" s="93">
        <v>28000</v>
      </c>
      <c r="G64" s="94">
        <f t="shared" si="23"/>
        <v>224000</v>
      </c>
      <c r="H64" s="94">
        <f t="shared" ca="1" si="24"/>
        <v>8</v>
      </c>
      <c r="I64" s="94">
        <f t="shared" ca="1" si="21"/>
        <v>28000</v>
      </c>
      <c r="J64" s="94">
        <f t="shared" ca="1" si="25"/>
        <v>224000</v>
      </c>
      <c r="K64" s="94">
        <f t="shared" ca="1" si="26"/>
        <v>0</v>
      </c>
      <c r="L64" s="94">
        <f t="shared" ca="1" si="27"/>
        <v>0</v>
      </c>
      <c r="M64" s="94">
        <f t="shared" ca="1" si="28"/>
        <v>0</v>
      </c>
      <c r="N64" s="94">
        <f t="shared" ca="1" si="29"/>
        <v>0</v>
      </c>
      <c r="O64" s="94">
        <f t="shared" ca="1" si="30"/>
        <v>0</v>
      </c>
      <c r="P64" s="94">
        <f t="shared" ca="1" si="31"/>
        <v>0</v>
      </c>
      <c r="Q64" s="20">
        <f t="shared" ca="1" si="32"/>
        <v>8</v>
      </c>
      <c r="R64" s="20">
        <f t="shared" ca="1" si="33"/>
        <v>28000</v>
      </c>
      <c r="S64" s="364">
        <f t="shared" ca="1" si="34"/>
        <v>224000</v>
      </c>
      <c r="T64" s="436">
        <f t="shared" si="35"/>
        <v>160100</v>
      </c>
    </row>
    <row r="65" spans="1:20">
      <c r="A65" s="105">
        <f t="shared" si="22"/>
        <v>58</v>
      </c>
      <c r="B65" s="359">
        <v>410365</v>
      </c>
      <c r="C65" s="319" t="s">
        <v>2736</v>
      </c>
      <c r="D65" s="476" t="s">
        <v>1002</v>
      </c>
      <c r="E65" s="93">
        <v>1</v>
      </c>
      <c r="F65" s="93">
        <v>2400000</v>
      </c>
      <c r="G65" s="94">
        <f t="shared" si="23"/>
        <v>2400000</v>
      </c>
      <c r="H65" s="94">
        <f t="shared" ca="1" si="24"/>
        <v>1</v>
      </c>
      <c r="I65" s="94">
        <f t="shared" ca="1" si="21"/>
        <v>2400000</v>
      </c>
      <c r="J65" s="94">
        <f t="shared" ca="1" si="25"/>
        <v>2400000</v>
      </c>
      <c r="K65" s="94">
        <f t="shared" ca="1" si="26"/>
        <v>0</v>
      </c>
      <c r="L65" s="94">
        <f t="shared" ca="1" si="27"/>
        <v>0</v>
      </c>
      <c r="M65" s="94">
        <f t="shared" ca="1" si="28"/>
        <v>0</v>
      </c>
      <c r="N65" s="94">
        <f t="shared" ca="1" si="29"/>
        <v>0</v>
      </c>
      <c r="O65" s="94">
        <f t="shared" ca="1" si="30"/>
        <v>0</v>
      </c>
      <c r="P65" s="94">
        <f t="shared" ca="1" si="31"/>
        <v>0</v>
      </c>
      <c r="Q65" s="20">
        <f t="shared" ca="1" si="32"/>
        <v>1</v>
      </c>
      <c r="R65" s="20">
        <f t="shared" ca="1" si="33"/>
        <v>2400000</v>
      </c>
      <c r="S65" s="364">
        <f t="shared" ca="1" si="34"/>
        <v>2400000</v>
      </c>
      <c r="T65" s="436">
        <f t="shared" si="35"/>
        <v>160100</v>
      </c>
    </row>
    <row r="66" spans="1:20">
      <c r="A66" s="105">
        <f t="shared" si="22"/>
        <v>59</v>
      </c>
      <c r="B66" s="359">
        <v>410366</v>
      </c>
      <c r="C66" s="319" t="s">
        <v>1652</v>
      </c>
      <c r="D66" s="476" t="s">
        <v>1002</v>
      </c>
      <c r="E66" s="93">
        <v>24</v>
      </c>
      <c r="F66" s="93">
        <v>2000</v>
      </c>
      <c r="G66" s="94">
        <f t="shared" si="23"/>
        <v>48000</v>
      </c>
      <c r="H66" s="94">
        <f t="shared" ca="1" si="24"/>
        <v>24</v>
      </c>
      <c r="I66" s="94">
        <f t="shared" ca="1" si="21"/>
        <v>2000</v>
      </c>
      <c r="J66" s="94">
        <f t="shared" ca="1" si="25"/>
        <v>48000</v>
      </c>
      <c r="K66" s="94">
        <f t="shared" ca="1" si="26"/>
        <v>84</v>
      </c>
      <c r="L66" s="94">
        <f t="shared" ca="1" si="27"/>
        <v>3557.1428571428573</v>
      </c>
      <c r="M66" s="94">
        <f t="shared" ca="1" si="28"/>
        <v>298800</v>
      </c>
      <c r="N66" s="94">
        <f t="shared" ca="1" si="29"/>
        <v>108</v>
      </c>
      <c r="O66" s="94">
        <f t="shared" ca="1" si="30"/>
        <v>3211.1111111111113</v>
      </c>
      <c r="P66" s="20">
        <f t="shared" ca="1" si="31"/>
        <v>346800</v>
      </c>
      <c r="Q66" s="20">
        <f t="shared" ca="1" si="32"/>
        <v>0</v>
      </c>
      <c r="R66" s="20">
        <f t="shared" ca="1" si="33"/>
        <v>0</v>
      </c>
      <c r="S66" s="364">
        <f t="shared" ca="1" si="34"/>
        <v>0</v>
      </c>
      <c r="T66" s="436">
        <f t="shared" si="35"/>
        <v>160100</v>
      </c>
    </row>
    <row r="67" spans="1:20">
      <c r="A67" s="105">
        <f t="shared" si="22"/>
        <v>60</v>
      </c>
      <c r="B67" s="359">
        <v>410367</v>
      </c>
      <c r="C67" s="319" t="s">
        <v>2737</v>
      </c>
      <c r="D67" s="476" t="s">
        <v>1002</v>
      </c>
      <c r="E67" s="93">
        <v>0</v>
      </c>
      <c r="F67" s="93">
        <v>0</v>
      </c>
      <c r="G67" s="94">
        <f t="shared" si="23"/>
        <v>0</v>
      </c>
      <c r="H67" s="94">
        <f t="shared" ca="1" si="24"/>
        <v>0</v>
      </c>
      <c r="I67" s="94">
        <f t="shared" ca="1" si="21"/>
        <v>0</v>
      </c>
      <c r="J67" s="94">
        <f t="shared" ca="1" si="25"/>
        <v>0</v>
      </c>
      <c r="K67" s="94">
        <f t="shared" ca="1" si="26"/>
        <v>0</v>
      </c>
      <c r="L67" s="94">
        <f t="shared" ca="1" si="27"/>
        <v>0</v>
      </c>
      <c r="M67" s="94">
        <f t="shared" ca="1" si="28"/>
        <v>0</v>
      </c>
      <c r="N67" s="94">
        <f t="shared" ca="1" si="29"/>
        <v>0</v>
      </c>
      <c r="O67" s="94">
        <f t="shared" ca="1" si="30"/>
        <v>0</v>
      </c>
      <c r="P67" s="20">
        <f t="shared" ca="1" si="31"/>
        <v>0</v>
      </c>
      <c r="Q67" s="20">
        <f t="shared" ca="1" si="32"/>
        <v>0</v>
      </c>
      <c r="R67" s="20">
        <f t="shared" ca="1" si="33"/>
        <v>0</v>
      </c>
      <c r="S67" s="364">
        <f t="shared" ca="1" si="34"/>
        <v>0</v>
      </c>
      <c r="T67" s="436">
        <f t="shared" si="35"/>
        <v>160100</v>
      </c>
    </row>
    <row r="68" spans="1:20">
      <c r="A68" s="105">
        <f t="shared" si="22"/>
        <v>61</v>
      </c>
      <c r="B68" s="359">
        <v>410368</v>
      </c>
      <c r="C68" s="319" t="s">
        <v>1653</v>
      </c>
      <c r="D68" s="476" t="s">
        <v>1002</v>
      </c>
      <c r="E68" s="93">
        <v>1</v>
      </c>
      <c r="F68" s="93">
        <v>15545.45</v>
      </c>
      <c r="G68" s="94">
        <f t="shared" si="23"/>
        <v>15545.45</v>
      </c>
      <c r="H68" s="94">
        <f t="shared" ca="1" si="24"/>
        <v>1</v>
      </c>
      <c r="I68" s="94">
        <f t="shared" ca="1" si="21"/>
        <v>15545.45</v>
      </c>
      <c r="J68" s="94">
        <f t="shared" ca="1" si="25"/>
        <v>15545.45</v>
      </c>
      <c r="K68" s="94">
        <f t="shared" ca="1" si="26"/>
        <v>0</v>
      </c>
      <c r="L68" s="94">
        <f t="shared" ca="1" si="27"/>
        <v>0</v>
      </c>
      <c r="M68" s="94">
        <f t="shared" ca="1" si="28"/>
        <v>0</v>
      </c>
      <c r="N68" s="94">
        <f t="shared" ca="1" si="29"/>
        <v>1</v>
      </c>
      <c r="O68" s="94">
        <f t="shared" ca="1" si="30"/>
        <v>15545.45</v>
      </c>
      <c r="P68" s="20">
        <f t="shared" ca="1" si="31"/>
        <v>15545.45</v>
      </c>
      <c r="Q68" s="20">
        <f t="shared" ca="1" si="32"/>
        <v>0</v>
      </c>
      <c r="R68" s="20">
        <f t="shared" ca="1" si="33"/>
        <v>0</v>
      </c>
      <c r="S68" s="364">
        <f t="shared" ca="1" si="34"/>
        <v>0</v>
      </c>
      <c r="T68" s="436">
        <f t="shared" si="35"/>
        <v>160100</v>
      </c>
    </row>
    <row r="69" spans="1:20">
      <c r="A69" s="105">
        <f t="shared" si="22"/>
        <v>62</v>
      </c>
      <c r="B69" s="359">
        <v>410369</v>
      </c>
      <c r="C69" s="319" t="s">
        <v>1654</v>
      </c>
      <c r="D69" s="476" t="s">
        <v>1002</v>
      </c>
      <c r="E69" s="93">
        <v>1000</v>
      </c>
      <c r="F69" s="93">
        <v>93636.363635999995</v>
      </c>
      <c r="G69" s="94">
        <f t="shared" si="23"/>
        <v>93636363.635999992</v>
      </c>
      <c r="H69" s="94">
        <f t="shared" ca="1" si="24"/>
        <v>1000</v>
      </c>
      <c r="I69" s="94">
        <f t="shared" ca="1" si="21"/>
        <v>93636.363635999995</v>
      </c>
      <c r="J69" s="94">
        <f t="shared" ca="1" si="25"/>
        <v>93636363.635999992</v>
      </c>
      <c r="K69" s="94">
        <f t="shared" ca="1" si="26"/>
        <v>0</v>
      </c>
      <c r="L69" s="94">
        <f t="shared" ca="1" si="27"/>
        <v>0</v>
      </c>
      <c r="M69" s="94">
        <f t="shared" ca="1" si="28"/>
        <v>0</v>
      </c>
      <c r="N69" s="94">
        <f t="shared" ca="1" si="29"/>
        <v>5</v>
      </c>
      <c r="O69" s="94">
        <f t="shared" ca="1" si="30"/>
        <v>93636.363635999995</v>
      </c>
      <c r="P69" s="20">
        <f t="shared" ca="1" si="31"/>
        <v>468181.81817999994</v>
      </c>
      <c r="Q69" s="20">
        <f t="shared" ca="1" si="32"/>
        <v>995</v>
      </c>
      <c r="R69" s="20">
        <f t="shared" ca="1" si="33"/>
        <v>93636.363635999995</v>
      </c>
      <c r="S69" s="364">
        <f t="shared" ca="1" si="34"/>
        <v>93168181.817819998</v>
      </c>
      <c r="T69" s="436">
        <f t="shared" si="35"/>
        <v>160100</v>
      </c>
    </row>
    <row r="70" spans="1:20">
      <c r="A70" s="105">
        <f t="shared" si="22"/>
        <v>63</v>
      </c>
      <c r="B70" s="359">
        <v>410370</v>
      </c>
      <c r="C70" s="319" t="s">
        <v>1656</v>
      </c>
      <c r="D70" s="476" t="s">
        <v>1002</v>
      </c>
      <c r="E70" s="93"/>
      <c r="F70" s="93"/>
      <c r="G70" s="94">
        <f t="shared" si="23"/>
        <v>0</v>
      </c>
      <c r="H70" s="94">
        <f t="shared" ca="1" si="24"/>
        <v>0</v>
      </c>
      <c r="I70" s="94">
        <f t="shared" ca="1" si="21"/>
        <v>0</v>
      </c>
      <c r="J70" s="94">
        <f t="shared" ca="1" si="25"/>
        <v>0</v>
      </c>
      <c r="K70" s="94">
        <f t="shared" ca="1" si="26"/>
        <v>5</v>
      </c>
      <c r="L70" s="94">
        <f t="shared" ca="1" si="27"/>
        <v>37454.545400000003</v>
      </c>
      <c r="M70" s="94">
        <f t="shared" ca="1" si="28"/>
        <v>187272.72700000001</v>
      </c>
      <c r="N70" s="94">
        <f t="shared" ca="1" si="29"/>
        <v>5</v>
      </c>
      <c r="O70" s="94">
        <f t="shared" ca="1" si="30"/>
        <v>37454.545400000003</v>
      </c>
      <c r="P70" s="20">
        <f t="shared" ca="1" si="31"/>
        <v>187272.72700000001</v>
      </c>
      <c r="Q70" s="20">
        <f t="shared" ca="1" si="32"/>
        <v>0</v>
      </c>
      <c r="R70" s="20">
        <f t="shared" ca="1" si="33"/>
        <v>0</v>
      </c>
      <c r="S70" s="364">
        <f t="shared" ca="1" si="34"/>
        <v>0</v>
      </c>
      <c r="T70" s="436">
        <f t="shared" si="35"/>
        <v>160100</v>
      </c>
    </row>
    <row r="71" spans="1:20">
      <c r="A71" s="105">
        <f t="shared" si="22"/>
        <v>64</v>
      </c>
      <c r="B71" s="359">
        <v>410371</v>
      </c>
      <c r="C71" s="319" t="s">
        <v>1657</v>
      </c>
      <c r="D71" s="476" t="s">
        <v>1002</v>
      </c>
      <c r="E71" s="93"/>
      <c r="F71" s="93"/>
      <c r="G71" s="94">
        <f t="shared" si="23"/>
        <v>0</v>
      </c>
      <c r="H71" s="94">
        <f t="shared" ca="1" si="24"/>
        <v>0</v>
      </c>
      <c r="I71" s="94">
        <f t="shared" ca="1" si="21"/>
        <v>0</v>
      </c>
      <c r="J71" s="94">
        <f t="shared" ca="1" si="25"/>
        <v>0</v>
      </c>
      <c r="K71" s="94">
        <f t="shared" ca="1" si="26"/>
        <v>2500</v>
      </c>
      <c r="L71" s="94">
        <f t="shared" ca="1" si="27"/>
        <v>127.272727</v>
      </c>
      <c r="M71" s="94">
        <f t="shared" ca="1" si="28"/>
        <v>318181.8175</v>
      </c>
      <c r="N71" s="94">
        <f t="shared" ca="1" si="29"/>
        <v>2500</v>
      </c>
      <c r="O71" s="94">
        <f t="shared" ca="1" si="30"/>
        <v>127.272727</v>
      </c>
      <c r="P71" s="20">
        <f t="shared" ca="1" si="31"/>
        <v>318181.8175</v>
      </c>
      <c r="Q71" s="20">
        <f t="shared" ca="1" si="32"/>
        <v>0</v>
      </c>
      <c r="R71" s="20">
        <f t="shared" ca="1" si="33"/>
        <v>0</v>
      </c>
      <c r="S71" s="364">
        <f t="shared" ca="1" si="34"/>
        <v>0</v>
      </c>
      <c r="T71" s="436">
        <f t="shared" si="35"/>
        <v>160100</v>
      </c>
    </row>
    <row r="72" spans="1:20">
      <c r="A72" s="105">
        <f t="shared" ref="A72:A103" si="36">+IF(B72="","",ROW()-7)</f>
        <v>65</v>
      </c>
      <c r="B72" s="359">
        <v>420058</v>
      </c>
      <c r="C72" s="319" t="s">
        <v>1635</v>
      </c>
      <c r="D72" s="476" t="s">
        <v>1002</v>
      </c>
      <c r="E72" s="93">
        <v>12</v>
      </c>
      <c r="F72" s="93">
        <v>59333.71212121212</v>
      </c>
      <c r="G72" s="94">
        <f t="shared" ref="G72:G103" si="37">+IF(A72="","",IFERROR(E72*F72,0))</f>
        <v>712004.54545454541</v>
      </c>
      <c r="H72" s="94">
        <f t="shared" ref="H72:H106" ca="1" si="38">IF(A72="","",E72+SUMIFS(RC_or_unit,RC_Code,B72,RC_date,"&lt;"&amp;$P$4)-SUMIFS(RC_zar_unit,RC_Code,B72,RC_date,"&lt;"&amp;$P$4))</f>
        <v>12</v>
      </c>
      <c r="I72" s="94">
        <f t="shared" ca="1" si="21"/>
        <v>59333.71212121212</v>
      </c>
      <c r="J72" s="94">
        <f t="shared" ref="J72:J106" ca="1" si="39">IF(A72="","",G72+SUMIFS(RC_or_totol,RC_Code,B72,RC_date,"&lt;"&amp;$P$4)-SUMIFS(RC_zar_totol,RC_Code,B72,RC_date,"&lt;"&amp;$P$4))</f>
        <v>712004.54545454541</v>
      </c>
      <c r="K72" s="94">
        <f t="shared" ref="K72:K106" ca="1" si="40">IF(A72="","",SUMIFS(RC_or_unit,RC_Code,B72,RC_date,"&gt;="&amp;$P$4,RC_date,"&lt;="&amp;$S$4))</f>
        <v>1</v>
      </c>
      <c r="L72" s="94">
        <f t="shared" ref="L72:L103" ca="1" si="41">+IF(A72="","",IFERROR(M72/K72,0))</f>
        <v>89520</v>
      </c>
      <c r="M72" s="94">
        <f t="shared" ref="M72:M106" ca="1" si="42">IF($A72="","",SUMIFS(RC_or_totol,RC_Code,$B72,RC_date,"&gt;="&amp;$P$4,RC_date,"&lt;="&amp;$S$4))</f>
        <v>89520</v>
      </c>
      <c r="N72" s="94">
        <f t="shared" ref="N72:N106" ca="1" si="43">IF($A72="","",SUMIFS(RC_zar_unit,RC_Code,$B72,RC_date,"&gt;="&amp;$P$4,RC_date,"&lt;="&amp;$S$4))</f>
        <v>13</v>
      </c>
      <c r="O72" s="94">
        <f t="shared" ref="O72:O103" ca="1" si="44">+IF(A72="","",IFERROR(P72/N72,0))</f>
        <v>61655.73426573426</v>
      </c>
      <c r="P72" s="94">
        <f t="shared" ref="P72:P106" ca="1" si="45">IF($A72="","",SUMIFS(RC_zar_totol,RC_Code,$B72,RC_date,"&gt;="&amp;$P$4,RC_date,"&lt;="&amp;$S$4))</f>
        <v>801524.54545454541</v>
      </c>
      <c r="Q72" s="20">
        <f t="shared" ref="Q72:Q106" ca="1" si="46">+IF(A72="","",IFERROR(H72+K72-N72,0))</f>
        <v>0</v>
      </c>
      <c r="R72" s="20">
        <f t="shared" ref="R72:R103" ca="1" si="47">+IF(G72="","",IFERROR(S72/Q72,0))</f>
        <v>0</v>
      </c>
      <c r="S72" s="364">
        <f t="shared" ref="S72:S106" ca="1" si="48">+IF(A72="","",IFERROR(J72+M72-P72,0))</f>
        <v>0</v>
      </c>
      <c r="T72" s="436">
        <f t="shared" ref="T72:T106" si="49">+IF(LEFT(B72,3)="131",140100,0)+IF(LEFT(B72,3)="310",150100,0)+IF(LEFT(B72,3)="211",150101,0)+IF(LEFT(B72,3)="410",160100,0)+IF(LEFT(B72,3)="440",160200,0)+IF(LEFT(B72,3)="430",160200,0)+IF(LEFT(B72,3)="420",160200,0)+IF(LEFT(B72,3)="460",160201,0)+IF(LEFT(B72,3)="210",150101,0)+IF(LEFT(B72,3)="510",140100,0)</f>
        <v>160200</v>
      </c>
    </row>
    <row r="73" spans="1:20">
      <c r="A73" s="105">
        <f t="shared" si="36"/>
        <v>66</v>
      </c>
      <c r="B73" s="359">
        <v>430001</v>
      </c>
      <c r="C73" s="319" t="s">
        <v>1655</v>
      </c>
      <c r="D73" s="476" t="s">
        <v>1002</v>
      </c>
      <c r="E73" s="93"/>
      <c r="F73" s="93"/>
      <c r="G73" s="94">
        <f t="shared" si="37"/>
        <v>0</v>
      </c>
      <c r="H73" s="94">
        <f t="shared" ca="1" si="38"/>
        <v>0</v>
      </c>
      <c r="I73" s="94">
        <f t="shared" ref="I73:I106" ca="1" si="50">+IF(A73="","",IFERROR(J73/H73,0))</f>
        <v>0</v>
      </c>
      <c r="J73" s="94">
        <f t="shared" ca="1" si="39"/>
        <v>0</v>
      </c>
      <c r="K73" s="94">
        <f t="shared" ca="1" si="40"/>
        <v>1</v>
      </c>
      <c r="L73" s="94">
        <f t="shared" ca="1" si="41"/>
        <v>720000</v>
      </c>
      <c r="M73" s="94">
        <f t="shared" ca="1" si="42"/>
        <v>720000</v>
      </c>
      <c r="N73" s="94">
        <f t="shared" ca="1" si="43"/>
        <v>0</v>
      </c>
      <c r="O73" s="94">
        <f t="shared" ca="1" si="44"/>
        <v>0</v>
      </c>
      <c r="P73" s="20">
        <f t="shared" ca="1" si="45"/>
        <v>0</v>
      </c>
      <c r="Q73" s="20">
        <f t="shared" ca="1" si="46"/>
        <v>1</v>
      </c>
      <c r="R73" s="20">
        <f t="shared" ca="1" si="47"/>
        <v>720000</v>
      </c>
      <c r="S73" s="364">
        <f t="shared" ca="1" si="48"/>
        <v>720000</v>
      </c>
      <c r="T73" s="436">
        <f t="shared" si="49"/>
        <v>160200</v>
      </c>
    </row>
    <row r="74" spans="1:20">
      <c r="A74" s="105">
        <f t="shared" si="36"/>
        <v>67</v>
      </c>
      <c r="B74" s="359">
        <v>430008</v>
      </c>
      <c r="C74" s="319" t="s">
        <v>2738</v>
      </c>
      <c r="D74" s="476" t="s">
        <v>1002</v>
      </c>
      <c r="E74" s="93">
        <v>1</v>
      </c>
      <c r="F74" s="93">
        <v>249000</v>
      </c>
      <c r="G74" s="94">
        <f t="shared" si="37"/>
        <v>249000</v>
      </c>
      <c r="H74" s="94">
        <f t="shared" ca="1" si="38"/>
        <v>1</v>
      </c>
      <c r="I74" s="94">
        <f t="shared" ca="1" si="50"/>
        <v>249000</v>
      </c>
      <c r="J74" s="94">
        <f t="shared" ca="1" si="39"/>
        <v>249000</v>
      </c>
      <c r="K74" s="94">
        <f t="shared" ca="1" si="40"/>
        <v>0</v>
      </c>
      <c r="L74" s="94">
        <f t="shared" ca="1" si="41"/>
        <v>0</v>
      </c>
      <c r="M74" s="94">
        <f t="shared" ca="1" si="42"/>
        <v>0</v>
      </c>
      <c r="N74" s="94">
        <f t="shared" ca="1" si="43"/>
        <v>0</v>
      </c>
      <c r="O74" s="94">
        <f t="shared" ca="1" si="44"/>
        <v>0</v>
      </c>
      <c r="P74" s="94">
        <f t="shared" ca="1" si="45"/>
        <v>0</v>
      </c>
      <c r="Q74" s="20">
        <f t="shared" ca="1" si="46"/>
        <v>1</v>
      </c>
      <c r="R74" s="20">
        <f t="shared" ca="1" si="47"/>
        <v>249000</v>
      </c>
      <c r="S74" s="364">
        <f t="shared" ca="1" si="48"/>
        <v>249000</v>
      </c>
      <c r="T74" s="436">
        <f t="shared" si="49"/>
        <v>160200</v>
      </c>
    </row>
    <row r="75" spans="1:20">
      <c r="A75" s="105">
        <f t="shared" si="36"/>
        <v>68</v>
      </c>
      <c r="B75" s="359">
        <v>430009</v>
      </c>
      <c r="C75" s="319" t="s">
        <v>2739</v>
      </c>
      <c r="D75" s="476" t="s">
        <v>1002</v>
      </c>
      <c r="E75" s="93">
        <v>1</v>
      </c>
      <c r="F75" s="93">
        <v>15000</v>
      </c>
      <c r="G75" s="94">
        <f t="shared" si="37"/>
        <v>15000</v>
      </c>
      <c r="H75" s="94">
        <f t="shared" ca="1" si="38"/>
        <v>1</v>
      </c>
      <c r="I75" s="94">
        <f t="shared" ca="1" si="50"/>
        <v>15000</v>
      </c>
      <c r="J75" s="94">
        <f t="shared" ca="1" si="39"/>
        <v>15000</v>
      </c>
      <c r="K75" s="94">
        <f t="shared" ca="1" si="40"/>
        <v>0</v>
      </c>
      <c r="L75" s="94">
        <f t="shared" ca="1" si="41"/>
        <v>0</v>
      </c>
      <c r="M75" s="94">
        <f t="shared" ca="1" si="42"/>
        <v>0</v>
      </c>
      <c r="N75" s="94">
        <f t="shared" ca="1" si="43"/>
        <v>0</v>
      </c>
      <c r="O75" s="94">
        <f t="shared" ca="1" si="44"/>
        <v>0</v>
      </c>
      <c r="P75" s="94">
        <f t="shared" ca="1" si="45"/>
        <v>0</v>
      </c>
      <c r="Q75" s="20">
        <f t="shared" ca="1" si="46"/>
        <v>1</v>
      </c>
      <c r="R75" s="20">
        <f t="shared" ca="1" si="47"/>
        <v>15000</v>
      </c>
      <c r="S75" s="364">
        <f t="shared" ca="1" si="48"/>
        <v>15000</v>
      </c>
      <c r="T75" s="436">
        <f t="shared" si="49"/>
        <v>160200</v>
      </c>
    </row>
    <row r="76" spans="1:20">
      <c r="A76" s="105">
        <f t="shared" si="36"/>
        <v>69</v>
      </c>
      <c r="B76" s="359">
        <v>430010</v>
      </c>
      <c r="C76" s="319" t="s">
        <v>2135</v>
      </c>
      <c r="D76" s="476" t="s">
        <v>1794</v>
      </c>
      <c r="E76" s="93"/>
      <c r="F76" s="93"/>
      <c r="G76" s="94">
        <f t="shared" si="37"/>
        <v>0</v>
      </c>
      <c r="H76" s="94">
        <f t="shared" ca="1" si="38"/>
        <v>0</v>
      </c>
      <c r="I76" s="94">
        <f t="shared" ca="1" si="50"/>
        <v>0</v>
      </c>
      <c r="J76" s="94">
        <f t="shared" ca="1" si="39"/>
        <v>0</v>
      </c>
      <c r="K76" s="94">
        <f t="shared" ca="1" si="40"/>
        <v>2</v>
      </c>
      <c r="L76" s="94">
        <f t="shared" ca="1" si="41"/>
        <v>47954.544999999998</v>
      </c>
      <c r="M76" s="94">
        <f t="shared" ca="1" si="42"/>
        <v>95909.09</v>
      </c>
      <c r="N76" s="94">
        <f t="shared" ca="1" si="43"/>
        <v>2</v>
      </c>
      <c r="O76" s="94">
        <f t="shared" ca="1" si="44"/>
        <v>47954.544999999998</v>
      </c>
      <c r="P76" s="20">
        <f t="shared" ca="1" si="45"/>
        <v>95909.09</v>
      </c>
      <c r="Q76" s="20">
        <f t="shared" ca="1" si="46"/>
        <v>0</v>
      </c>
      <c r="R76" s="20">
        <f t="shared" ca="1" si="47"/>
        <v>0</v>
      </c>
      <c r="S76" s="364">
        <f t="shared" ca="1" si="48"/>
        <v>0</v>
      </c>
      <c r="T76" s="436">
        <f t="shared" si="49"/>
        <v>160200</v>
      </c>
    </row>
    <row r="77" spans="1:20">
      <c r="A77" s="105">
        <f t="shared" si="36"/>
        <v>70</v>
      </c>
      <c r="B77" s="359">
        <v>430023</v>
      </c>
      <c r="C77" s="319" t="s">
        <v>1959</v>
      </c>
      <c r="D77" s="476" t="s">
        <v>1002</v>
      </c>
      <c r="E77" s="93">
        <v>4</v>
      </c>
      <c r="F77" s="93">
        <v>339166.67</v>
      </c>
      <c r="G77" s="94">
        <f t="shared" si="37"/>
        <v>1356666.68</v>
      </c>
      <c r="H77" s="94">
        <f t="shared" ca="1" si="38"/>
        <v>4</v>
      </c>
      <c r="I77" s="94">
        <f t="shared" ca="1" si="50"/>
        <v>339166.67</v>
      </c>
      <c r="J77" s="94">
        <f t="shared" ca="1" si="39"/>
        <v>1356666.68</v>
      </c>
      <c r="K77" s="94">
        <f t="shared" ca="1" si="40"/>
        <v>0</v>
      </c>
      <c r="L77" s="94">
        <f t="shared" ca="1" si="41"/>
        <v>0</v>
      </c>
      <c r="M77" s="94">
        <f t="shared" ca="1" si="42"/>
        <v>0</v>
      </c>
      <c r="N77" s="94">
        <f t="shared" ca="1" si="43"/>
        <v>2</v>
      </c>
      <c r="O77" s="94">
        <f t="shared" ca="1" si="44"/>
        <v>339166.67</v>
      </c>
      <c r="P77" s="94">
        <f t="shared" ca="1" si="45"/>
        <v>678333.34</v>
      </c>
      <c r="Q77" s="20">
        <f t="shared" ca="1" si="46"/>
        <v>2</v>
      </c>
      <c r="R77" s="20">
        <f t="shared" ca="1" si="47"/>
        <v>339166.67</v>
      </c>
      <c r="S77" s="364">
        <f t="shared" ca="1" si="48"/>
        <v>678333.34</v>
      </c>
      <c r="T77" s="436">
        <f t="shared" si="49"/>
        <v>160200</v>
      </c>
    </row>
    <row r="78" spans="1:20">
      <c r="A78" s="105">
        <f t="shared" si="36"/>
        <v>71</v>
      </c>
      <c r="B78" s="359">
        <v>430025</v>
      </c>
      <c r="C78" s="319" t="s">
        <v>2740</v>
      </c>
      <c r="D78" s="476" t="s">
        <v>1002</v>
      </c>
      <c r="E78" s="93">
        <v>1</v>
      </c>
      <c r="F78" s="93">
        <v>945000</v>
      </c>
      <c r="G78" s="94">
        <f t="shared" si="37"/>
        <v>945000</v>
      </c>
      <c r="H78" s="94">
        <f t="shared" ca="1" si="38"/>
        <v>1</v>
      </c>
      <c r="I78" s="94">
        <f t="shared" ca="1" si="50"/>
        <v>945000</v>
      </c>
      <c r="J78" s="94">
        <f t="shared" ca="1" si="39"/>
        <v>945000</v>
      </c>
      <c r="K78" s="94">
        <f t="shared" ca="1" si="40"/>
        <v>0</v>
      </c>
      <c r="L78" s="94">
        <f t="shared" ca="1" si="41"/>
        <v>0</v>
      </c>
      <c r="M78" s="94">
        <f t="shared" ca="1" si="42"/>
        <v>0</v>
      </c>
      <c r="N78" s="94">
        <f t="shared" ca="1" si="43"/>
        <v>0</v>
      </c>
      <c r="O78" s="94">
        <f t="shared" ca="1" si="44"/>
        <v>0</v>
      </c>
      <c r="P78" s="94">
        <f t="shared" ca="1" si="45"/>
        <v>0</v>
      </c>
      <c r="Q78" s="20">
        <f t="shared" ca="1" si="46"/>
        <v>1</v>
      </c>
      <c r="R78" s="20">
        <f t="shared" ca="1" si="47"/>
        <v>945000</v>
      </c>
      <c r="S78" s="364">
        <f t="shared" ca="1" si="48"/>
        <v>945000</v>
      </c>
      <c r="T78" s="436">
        <f t="shared" si="49"/>
        <v>160200</v>
      </c>
    </row>
    <row r="79" spans="1:20">
      <c r="A79" s="105">
        <f t="shared" si="36"/>
        <v>72</v>
      </c>
      <c r="B79" s="359">
        <v>430026</v>
      </c>
      <c r="C79" s="319" t="s">
        <v>1944</v>
      </c>
      <c r="D79" s="476" t="s">
        <v>1002</v>
      </c>
      <c r="E79" s="93">
        <v>3</v>
      </c>
      <c r="F79" s="93">
        <v>60666.670000000006</v>
      </c>
      <c r="G79" s="94">
        <f t="shared" si="37"/>
        <v>182000.01</v>
      </c>
      <c r="H79" s="94">
        <f t="shared" ca="1" si="38"/>
        <v>3</v>
      </c>
      <c r="I79" s="94">
        <f t="shared" ca="1" si="50"/>
        <v>60666.670000000006</v>
      </c>
      <c r="J79" s="94">
        <f t="shared" ca="1" si="39"/>
        <v>182000.01</v>
      </c>
      <c r="K79" s="94">
        <f t="shared" ca="1" si="40"/>
        <v>0</v>
      </c>
      <c r="L79" s="94">
        <f t="shared" ca="1" si="41"/>
        <v>0</v>
      </c>
      <c r="M79" s="94">
        <f t="shared" ca="1" si="42"/>
        <v>0</v>
      </c>
      <c r="N79" s="94">
        <f t="shared" ca="1" si="43"/>
        <v>0</v>
      </c>
      <c r="O79" s="94">
        <f t="shared" ca="1" si="44"/>
        <v>0</v>
      </c>
      <c r="P79" s="94">
        <f t="shared" ca="1" si="45"/>
        <v>0</v>
      </c>
      <c r="Q79" s="20">
        <f t="shared" ca="1" si="46"/>
        <v>3</v>
      </c>
      <c r="R79" s="20">
        <f t="shared" ca="1" si="47"/>
        <v>60666.670000000006</v>
      </c>
      <c r="S79" s="364">
        <f t="shared" ca="1" si="48"/>
        <v>182000.01</v>
      </c>
      <c r="T79" s="436">
        <f t="shared" si="49"/>
        <v>160200</v>
      </c>
    </row>
    <row r="80" spans="1:20">
      <c r="A80" s="105">
        <f t="shared" si="36"/>
        <v>73</v>
      </c>
      <c r="B80" s="359">
        <v>430028</v>
      </c>
      <c r="C80" s="319" t="s">
        <v>2741</v>
      </c>
      <c r="D80" s="476" t="s">
        <v>1002</v>
      </c>
      <c r="E80" s="93">
        <v>6</v>
      </c>
      <c r="F80" s="93">
        <v>74500</v>
      </c>
      <c r="G80" s="94">
        <f t="shared" si="37"/>
        <v>447000</v>
      </c>
      <c r="H80" s="94">
        <f t="shared" ca="1" si="38"/>
        <v>6</v>
      </c>
      <c r="I80" s="94">
        <f t="shared" ca="1" si="50"/>
        <v>74500</v>
      </c>
      <c r="J80" s="94">
        <f t="shared" ca="1" si="39"/>
        <v>447000</v>
      </c>
      <c r="K80" s="94">
        <f t="shared" ca="1" si="40"/>
        <v>0</v>
      </c>
      <c r="L80" s="94">
        <f t="shared" ca="1" si="41"/>
        <v>0</v>
      </c>
      <c r="M80" s="94">
        <f t="shared" ca="1" si="42"/>
        <v>0</v>
      </c>
      <c r="N80" s="94">
        <f t="shared" ca="1" si="43"/>
        <v>3</v>
      </c>
      <c r="O80" s="94">
        <f t="shared" ca="1" si="44"/>
        <v>74500</v>
      </c>
      <c r="P80" s="94">
        <f t="shared" ca="1" si="45"/>
        <v>223500</v>
      </c>
      <c r="Q80" s="20">
        <f t="shared" ca="1" si="46"/>
        <v>3</v>
      </c>
      <c r="R80" s="20">
        <f t="shared" ca="1" si="47"/>
        <v>74500</v>
      </c>
      <c r="S80" s="364">
        <f t="shared" ca="1" si="48"/>
        <v>223500</v>
      </c>
      <c r="T80" s="436">
        <f t="shared" si="49"/>
        <v>160200</v>
      </c>
    </row>
    <row r="81" spans="1:20">
      <c r="A81" s="105">
        <f t="shared" si="36"/>
        <v>74</v>
      </c>
      <c r="B81" s="359">
        <v>430032</v>
      </c>
      <c r="C81" s="319" t="s">
        <v>2742</v>
      </c>
      <c r="D81" s="476" t="s">
        <v>1002</v>
      </c>
      <c r="E81" s="93">
        <v>3</v>
      </c>
      <c r="F81" s="93">
        <v>9000</v>
      </c>
      <c r="G81" s="94">
        <f t="shared" si="37"/>
        <v>27000</v>
      </c>
      <c r="H81" s="94">
        <f t="shared" ca="1" si="38"/>
        <v>3</v>
      </c>
      <c r="I81" s="94">
        <f t="shared" ca="1" si="50"/>
        <v>9000</v>
      </c>
      <c r="J81" s="94">
        <f t="shared" ca="1" si="39"/>
        <v>27000</v>
      </c>
      <c r="K81" s="94">
        <f t="shared" ca="1" si="40"/>
        <v>0</v>
      </c>
      <c r="L81" s="94">
        <f t="shared" ca="1" si="41"/>
        <v>0</v>
      </c>
      <c r="M81" s="94">
        <f t="shared" ca="1" si="42"/>
        <v>0</v>
      </c>
      <c r="N81" s="94">
        <f t="shared" ca="1" si="43"/>
        <v>0</v>
      </c>
      <c r="O81" s="94">
        <f t="shared" ca="1" si="44"/>
        <v>0</v>
      </c>
      <c r="P81" s="94">
        <f t="shared" ca="1" si="45"/>
        <v>0</v>
      </c>
      <c r="Q81" s="20">
        <f t="shared" ca="1" si="46"/>
        <v>3</v>
      </c>
      <c r="R81" s="20">
        <f t="shared" ca="1" si="47"/>
        <v>9000</v>
      </c>
      <c r="S81" s="364">
        <f t="shared" ca="1" si="48"/>
        <v>27000</v>
      </c>
      <c r="T81" s="436">
        <f t="shared" si="49"/>
        <v>160200</v>
      </c>
    </row>
    <row r="82" spans="1:20">
      <c r="A82" s="105">
        <f t="shared" si="36"/>
        <v>75</v>
      </c>
      <c r="B82" s="359">
        <v>430036</v>
      </c>
      <c r="C82" s="319" t="s">
        <v>2743</v>
      </c>
      <c r="D82" s="476" t="s">
        <v>1002</v>
      </c>
      <c r="E82" s="93">
        <v>1</v>
      </c>
      <c r="F82" s="93">
        <v>55000</v>
      </c>
      <c r="G82" s="94">
        <f t="shared" si="37"/>
        <v>55000</v>
      </c>
      <c r="H82" s="94">
        <f t="shared" ca="1" si="38"/>
        <v>1</v>
      </c>
      <c r="I82" s="94">
        <f t="shared" ca="1" si="50"/>
        <v>55000</v>
      </c>
      <c r="J82" s="94">
        <f t="shared" ca="1" si="39"/>
        <v>55000</v>
      </c>
      <c r="K82" s="94">
        <f t="shared" ca="1" si="40"/>
        <v>0</v>
      </c>
      <c r="L82" s="94">
        <f t="shared" ca="1" si="41"/>
        <v>0</v>
      </c>
      <c r="M82" s="94">
        <f t="shared" ca="1" si="42"/>
        <v>0</v>
      </c>
      <c r="N82" s="94">
        <f t="shared" ca="1" si="43"/>
        <v>0</v>
      </c>
      <c r="O82" s="94">
        <f t="shared" ca="1" si="44"/>
        <v>0</v>
      </c>
      <c r="P82" s="94">
        <f t="shared" ca="1" si="45"/>
        <v>0</v>
      </c>
      <c r="Q82" s="20">
        <f t="shared" ca="1" si="46"/>
        <v>1</v>
      </c>
      <c r="R82" s="20">
        <f t="shared" ca="1" si="47"/>
        <v>55000</v>
      </c>
      <c r="S82" s="364">
        <f t="shared" ca="1" si="48"/>
        <v>55000</v>
      </c>
      <c r="T82" s="436">
        <f t="shared" si="49"/>
        <v>160200</v>
      </c>
    </row>
    <row r="83" spans="1:20">
      <c r="A83" s="105">
        <f t="shared" si="36"/>
        <v>76</v>
      </c>
      <c r="B83" s="359">
        <v>430037</v>
      </c>
      <c r="C83" s="319" t="s">
        <v>2744</v>
      </c>
      <c r="D83" s="476" t="s">
        <v>1002</v>
      </c>
      <c r="E83" s="93">
        <v>1</v>
      </c>
      <c r="F83" s="93">
        <v>300000</v>
      </c>
      <c r="G83" s="94">
        <f t="shared" si="37"/>
        <v>300000</v>
      </c>
      <c r="H83" s="94">
        <f t="shared" ca="1" si="38"/>
        <v>1</v>
      </c>
      <c r="I83" s="94">
        <f t="shared" ca="1" si="50"/>
        <v>300000</v>
      </c>
      <c r="J83" s="94">
        <f t="shared" ca="1" si="39"/>
        <v>300000</v>
      </c>
      <c r="K83" s="94">
        <f t="shared" ca="1" si="40"/>
        <v>0</v>
      </c>
      <c r="L83" s="94">
        <f t="shared" ca="1" si="41"/>
        <v>0</v>
      </c>
      <c r="M83" s="94">
        <f t="shared" ca="1" si="42"/>
        <v>0</v>
      </c>
      <c r="N83" s="94">
        <f t="shared" ca="1" si="43"/>
        <v>0</v>
      </c>
      <c r="O83" s="94">
        <f t="shared" ca="1" si="44"/>
        <v>0</v>
      </c>
      <c r="P83" s="94">
        <f t="shared" ca="1" si="45"/>
        <v>0</v>
      </c>
      <c r="Q83" s="20">
        <f t="shared" ca="1" si="46"/>
        <v>1</v>
      </c>
      <c r="R83" s="20">
        <f t="shared" ca="1" si="47"/>
        <v>300000</v>
      </c>
      <c r="S83" s="364">
        <f t="shared" ca="1" si="48"/>
        <v>300000</v>
      </c>
      <c r="T83" s="436">
        <f t="shared" si="49"/>
        <v>160200</v>
      </c>
    </row>
    <row r="84" spans="1:20">
      <c r="A84" s="105">
        <f t="shared" si="36"/>
        <v>77</v>
      </c>
      <c r="B84" s="359">
        <v>430039</v>
      </c>
      <c r="C84" s="319" t="s">
        <v>2745</v>
      </c>
      <c r="D84" s="476" t="s">
        <v>1002</v>
      </c>
      <c r="E84" s="93">
        <v>1</v>
      </c>
      <c r="F84" s="93">
        <v>87300</v>
      </c>
      <c r="G84" s="94">
        <f t="shared" si="37"/>
        <v>87300</v>
      </c>
      <c r="H84" s="94">
        <f t="shared" ca="1" si="38"/>
        <v>1</v>
      </c>
      <c r="I84" s="94">
        <f t="shared" ca="1" si="50"/>
        <v>87300</v>
      </c>
      <c r="J84" s="94">
        <f t="shared" ca="1" si="39"/>
        <v>87300</v>
      </c>
      <c r="K84" s="94">
        <f t="shared" ca="1" si="40"/>
        <v>0</v>
      </c>
      <c r="L84" s="94">
        <f t="shared" ca="1" si="41"/>
        <v>0</v>
      </c>
      <c r="M84" s="94">
        <f t="shared" ca="1" si="42"/>
        <v>0</v>
      </c>
      <c r="N84" s="94">
        <f t="shared" ca="1" si="43"/>
        <v>0</v>
      </c>
      <c r="O84" s="94">
        <f t="shared" ca="1" si="44"/>
        <v>0</v>
      </c>
      <c r="P84" s="94">
        <f t="shared" ca="1" si="45"/>
        <v>0</v>
      </c>
      <c r="Q84" s="20">
        <f t="shared" ca="1" si="46"/>
        <v>1</v>
      </c>
      <c r="R84" s="20">
        <f t="shared" ca="1" si="47"/>
        <v>87300</v>
      </c>
      <c r="S84" s="364">
        <f t="shared" ca="1" si="48"/>
        <v>87300</v>
      </c>
      <c r="T84" s="436">
        <f t="shared" si="49"/>
        <v>160200</v>
      </c>
    </row>
    <row r="85" spans="1:20">
      <c r="A85" s="105">
        <f t="shared" si="36"/>
        <v>78</v>
      </c>
      <c r="B85" s="359">
        <v>430042</v>
      </c>
      <c r="C85" s="319" t="s">
        <v>2746</v>
      </c>
      <c r="D85" s="476" t="s">
        <v>1002</v>
      </c>
      <c r="E85" s="93">
        <v>1</v>
      </c>
      <c r="F85" s="93">
        <v>1650000</v>
      </c>
      <c r="G85" s="94">
        <f t="shared" si="37"/>
        <v>1650000</v>
      </c>
      <c r="H85" s="94">
        <f t="shared" ca="1" si="38"/>
        <v>1</v>
      </c>
      <c r="I85" s="94">
        <f t="shared" ca="1" si="50"/>
        <v>1650000</v>
      </c>
      <c r="J85" s="94">
        <f t="shared" ca="1" si="39"/>
        <v>1650000</v>
      </c>
      <c r="K85" s="94">
        <f t="shared" ca="1" si="40"/>
        <v>0</v>
      </c>
      <c r="L85" s="94">
        <f t="shared" ca="1" si="41"/>
        <v>0</v>
      </c>
      <c r="M85" s="94">
        <f t="shared" ca="1" si="42"/>
        <v>0</v>
      </c>
      <c r="N85" s="94">
        <f t="shared" ca="1" si="43"/>
        <v>0</v>
      </c>
      <c r="O85" s="94">
        <f t="shared" ca="1" si="44"/>
        <v>0</v>
      </c>
      <c r="P85" s="94">
        <f t="shared" ca="1" si="45"/>
        <v>0</v>
      </c>
      <c r="Q85" s="20">
        <f t="shared" ca="1" si="46"/>
        <v>1</v>
      </c>
      <c r="R85" s="20">
        <f t="shared" ca="1" si="47"/>
        <v>1650000</v>
      </c>
      <c r="S85" s="364">
        <f t="shared" ca="1" si="48"/>
        <v>1650000</v>
      </c>
      <c r="T85" s="436">
        <f t="shared" si="49"/>
        <v>160200</v>
      </c>
    </row>
    <row r="86" spans="1:20">
      <c r="A86" s="105">
        <f t="shared" si="36"/>
        <v>79</v>
      </c>
      <c r="B86" s="359">
        <v>430043</v>
      </c>
      <c r="C86" s="319" t="s">
        <v>2747</v>
      </c>
      <c r="D86" s="476" t="s">
        <v>1002</v>
      </c>
      <c r="E86" s="93">
        <v>4</v>
      </c>
      <c r="F86" s="93">
        <v>18250</v>
      </c>
      <c r="G86" s="94">
        <f t="shared" si="37"/>
        <v>73000</v>
      </c>
      <c r="H86" s="94">
        <f t="shared" ca="1" si="38"/>
        <v>4</v>
      </c>
      <c r="I86" s="94">
        <f t="shared" ca="1" si="50"/>
        <v>18250</v>
      </c>
      <c r="J86" s="94">
        <f t="shared" ca="1" si="39"/>
        <v>73000</v>
      </c>
      <c r="K86" s="94">
        <f t="shared" ca="1" si="40"/>
        <v>0</v>
      </c>
      <c r="L86" s="94">
        <f t="shared" ca="1" si="41"/>
        <v>0</v>
      </c>
      <c r="M86" s="94">
        <f t="shared" ca="1" si="42"/>
        <v>0</v>
      </c>
      <c r="N86" s="94">
        <f t="shared" ca="1" si="43"/>
        <v>0</v>
      </c>
      <c r="O86" s="94">
        <f t="shared" ca="1" si="44"/>
        <v>0</v>
      </c>
      <c r="P86" s="94">
        <f t="shared" ca="1" si="45"/>
        <v>0</v>
      </c>
      <c r="Q86" s="20">
        <f t="shared" ca="1" si="46"/>
        <v>4</v>
      </c>
      <c r="R86" s="20">
        <f t="shared" ca="1" si="47"/>
        <v>18250</v>
      </c>
      <c r="S86" s="364">
        <f t="shared" ca="1" si="48"/>
        <v>73000</v>
      </c>
      <c r="T86" s="436">
        <f t="shared" si="49"/>
        <v>160200</v>
      </c>
    </row>
    <row r="87" spans="1:20">
      <c r="A87" s="105">
        <f t="shared" si="36"/>
        <v>80</v>
      </c>
      <c r="B87" s="359">
        <v>430153</v>
      </c>
      <c r="C87" s="319" t="s">
        <v>2748</v>
      </c>
      <c r="D87" s="476" t="s">
        <v>1002</v>
      </c>
      <c r="E87" s="93">
        <v>4</v>
      </c>
      <c r="F87" s="93">
        <v>35000</v>
      </c>
      <c r="G87" s="94">
        <f t="shared" si="37"/>
        <v>140000</v>
      </c>
      <c r="H87" s="94">
        <f t="shared" ca="1" si="38"/>
        <v>4</v>
      </c>
      <c r="I87" s="94">
        <f t="shared" ca="1" si="50"/>
        <v>35000</v>
      </c>
      <c r="J87" s="94">
        <f t="shared" ca="1" si="39"/>
        <v>140000</v>
      </c>
      <c r="K87" s="94">
        <f t="shared" ca="1" si="40"/>
        <v>0</v>
      </c>
      <c r="L87" s="94">
        <f t="shared" ca="1" si="41"/>
        <v>0</v>
      </c>
      <c r="M87" s="94">
        <f t="shared" ca="1" si="42"/>
        <v>0</v>
      </c>
      <c r="N87" s="94">
        <f t="shared" ca="1" si="43"/>
        <v>0</v>
      </c>
      <c r="O87" s="94">
        <f t="shared" ca="1" si="44"/>
        <v>0</v>
      </c>
      <c r="P87" s="94">
        <f t="shared" ca="1" si="45"/>
        <v>0</v>
      </c>
      <c r="Q87" s="20">
        <f t="shared" ca="1" si="46"/>
        <v>4</v>
      </c>
      <c r="R87" s="20">
        <f t="shared" ca="1" si="47"/>
        <v>35000</v>
      </c>
      <c r="S87" s="364">
        <f t="shared" ca="1" si="48"/>
        <v>140000</v>
      </c>
      <c r="T87" s="436">
        <f t="shared" si="49"/>
        <v>160200</v>
      </c>
    </row>
    <row r="88" spans="1:20">
      <c r="A88" s="105">
        <f t="shared" si="36"/>
        <v>81</v>
      </c>
      <c r="B88" s="359">
        <v>440001</v>
      </c>
      <c r="C88" s="319" t="s">
        <v>2749</v>
      </c>
      <c r="D88" s="476" t="s">
        <v>1002</v>
      </c>
      <c r="E88" s="93">
        <v>9</v>
      </c>
      <c r="F88" s="93">
        <v>3162.34</v>
      </c>
      <c r="G88" s="94">
        <f t="shared" si="37"/>
        <v>28461.06</v>
      </c>
      <c r="H88" s="94">
        <f t="shared" ca="1" si="38"/>
        <v>9</v>
      </c>
      <c r="I88" s="94">
        <f t="shared" ca="1" si="50"/>
        <v>3162.34</v>
      </c>
      <c r="J88" s="94">
        <f t="shared" ca="1" si="39"/>
        <v>28461.06</v>
      </c>
      <c r="K88" s="94">
        <f t="shared" ca="1" si="40"/>
        <v>0</v>
      </c>
      <c r="L88" s="94">
        <f t="shared" ca="1" si="41"/>
        <v>0</v>
      </c>
      <c r="M88" s="94">
        <f t="shared" ca="1" si="42"/>
        <v>0</v>
      </c>
      <c r="N88" s="94">
        <f t="shared" ca="1" si="43"/>
        <v>9</v>
      </c>
      <c r="O88" s="94">
        <f t="shared" ca="1" si="44"/>
        <v>3162.34</v>
      </c>
      <c r="P88" s="94">
        <f t="shared" ca="1" si="45"/>
        <v>28461.06</v>
      </c>
      <c r="Q88" s="20">
        <f t="shared" ca="1" si="46"/>
        <v>0</v>
      </c>
      <c r="R88" s="20">
        <f t="shared" ca="1" si="47"/>
        <v>0</v>
      </c>
      <c r="S88" s="364">
        <f t="shared" ca="1" si="48"/>
        <v>0</v>
      </c>
      <c r="T88" s="436">
        <f t="shared" si="49"/>
        <v>160200</v>
      </c>
    </row>
    <row r="89" spans="1:20">
      <c r="A89" s="105">
        <f t="shared" si="36"/>
        <v>82</v>
      </c>
      <c r="B89" s="359">
        <v>440007</v>
      </c>
      <c r="C89" s="319" t="s">
        <v>2750</v>
      </c>
      <c r="D89" s="476" t="s">
        <v>1002</v>
      </c>
      <c r="E89" s="93">
        <v>1</v>
      </c>
      <c r="F89" s="93">
        <v>40909.089999999997</v>
      </c>
      <c r="G89" s="94">
        <f t="shared" si="37"/>
        <v>40909.089999999997</v>
      </c>
      <c r="H89" s="94">
        <f t="shared" ca="1" si="38"/>
        <v>1</v>
      </c>
      <c r="I89" s="94">
        <f t="shared" ca="1" si="50"/>
        <v>40909.089999999997</v>
      </c>
      <c r="J89" s="94">
        <f t="shared" ca="1" si="39"/>
        <v>40909.089999999997</v>
      </c>
      <c r="K89" s="94">
        <f t="shared" ca="1" si="40"/>
        <v>0</v>
      </c>
      <c r="L89" s="94">
        <f t="shared" ca="1" si="41"/>
        <v>0</v>
      </c>
      <c r="M89" s="94">
        <f t="shared" ca="1" si="42"/>
        <v>0</v>
      </c>
      <c r="N89" s="94">
        <f t="shared" ca="1" si="43"/>
        <v>0</v>
      </c>
      <c r="O89" s="94">
        <f t="shared" ca="1" si="44"/>
        <v>0</v>
      </c>
      <c r="P89" s="94">
        <f t="shared" ca="1" si="45"/>
        <v>0</v>
      </c>
      <c r="Q89" s="20">
        <f t="shared" ca="1" si="46"/>
        <v>1</v>
      </c>
      <c r="R89" s="20">
        <f t="shared" ca="1" si="47"/>
        <v>40909.089999999997</v>
      </c>
      <c r="S89" s="364">
        <f t="shared" ca="1" si="48"/>
        <v>40909.089999999997</v>
      </c>
      <c r="T89" s="436">
        <f t="shared" si="49"/>
        <v>160200</v>
      </c>
    </row>
    <row r="90" spans="1:20">
      <c r="A90" s="105">
        <f t="shared" si="36"/>
        <v>83</v>
      </c>
      <c r="B90" s="359">
        <v>440008</v>
      </c>
      <c r="C90" s="319" t="s">
        <v>2695</v>
      </c>
      <c r="D90" s="476" t="s">
        <v>1634</v>
      </c>
      <c r="E90" s="93">
        <v>18.5</v>
      </c>
      <c r="F90" s="93">
        <v>10000</v>
      </c>
      <c r="G90" s="94">
        <f t="shared" si="37"/>
        <v>185000</v>
      </c>
      <c r="H90" s="94">
        <f t="shared" ca="1" si="38"/>
        <v>18.5</v>
      </c>
      <c r="I90" s="94">
        <f t="shared" ca="1" si="50"/>
        <v>10000</v>
      </c>
      <c r="J90" s="94">
        <f t="shared" ca="1" si="39"/>
        <v>185000</v>
      </c>
      <c r="K90" s="94">
        <f t="shared" ca="1" si="40"/>
        <v>0</v>
      </c>
      <c r="L90" s="94">
        <f t="shared" ca="1" si="41"/>
        <v>0</v>
      </c>
      <c r="M90" s="94">
        <f t="shared" ca="1" si="42"/>
        <v>0</v>
      </c>
      <c r="N90" s="94">
        <f t="shared" ca="1" si="43"/>
        <v>18.5</v>
      </c>
      <c r="O90" s="94">
        <f t="shared" ca="1" si="44"/>
        <v>10000</v>
      </c>
      <c r="P90" s="94">
        <f t="shared" ca="1" si="45"/>
        <v>185000</v>
      </c>
      <c r="Q90" s="20">
        <f t="shared" ca="1" si="46"/>
        <v>0</v>
      </c>
      <c r="R90" s="20">
        <f t="shared" ca="1" si="47"/>
        <v>0</v>
      </c>
      <c r="S90" s="364">
        <f t="shared" ca="1" si="48"/>
        <v>0</v>
      </c>
      <c r="T90" s="436">
        <f t="shared" si="49"/>
        <v>160200</v>
      </c>
    </row>
    <row r="91" spans="1:20">
      <c r="A91" s="105">
        <f t="shared" si="36"/>
        <v>84</v>
      </c>
      <c r="B91" s="359">
        <v>440012</v>
      </c>
      <c r="C91" s="319" t="s">
        <v>2751</v>
      </c>
      <c r="D91" s="476" t="s">
        <v>1002</v>
      </c>
      <c r="E91" s="93">
        <v>1</v>
      </c>
      <c r="F91" s="93">
        <v>58000</v>
      </c>
      <c r="G91" s="94">
        <f t="shared" si="37"/>
        <v>58000</v>
      </c>
      <c r="H91" s="94">
        <f t="shared" ca="1" si="38"/>
        <v>1</v>
      </c>
      <c r="I91" s="94">
        <f t="shared" ca="1" si="50"/>
        <v>58000</v>
      </c>
      <c r="J91" s="94">
        <f t="shared" ca="1" si="39"/>
        <v>58000</v>
      </c>
      <c r="K91" s="94">
        <f t="shared" ca="1" si="40"/>
        <v>0</v>
      </c>
      <c r="L91" s="94">
        <f t="shared" ca="1" si="41"/>
        <v>0</v>
      </c>
      <c r="M91" s="94">
        <f t="shared" ca="1" si="42"/>
        <v>0</v>
      </c>
      <c r="N91" s="94">
        <f t="shared" ca="1" si="43"/>
        <v>0</v>
      </c>
      <c r="O91" s="94">
        <f t="shared" ca="1" si="44"/>
        <v>0</v>
      </c>
      <c r="P91" s="94">
        <f t="shared" ca="1" si="45"/>
        <v>0</v>
      </c>
      <c r="Q91" s="20">
        <f t="shared" ca="1" si="46"/>
        <v>1</v>
      </c>
      <c r="R91" s="20">
        <f t="shared" ca="1" si="47"/>
        <v>58000</v>
      </c>
      <c r="S91" s="364">
        <f t="shared" ca="1" si="48"/>
        <v>58000</v>
      </c>
      <c r="T91" s="436">
        <f t="shared" si="49"/>
        <v>160200</v>
      </c>
    </row>
    <row r="92" spans="1:20">
      <c r="A92" s="105">
        <f t="shared" si="36"/>
        <v>85</v>
      </c>
      <c r="B92" s="359">
        <v>440015</v>
      </c>
      <c r="C92" s="319" t="s">
        <v>2752</v>
      </c>
      <c r="D92" s="476" t="s">
        <v>1002</v>
      </c>
      <c r="E92" s="93">
        <v>1</v>
      </c>
      <c r="F92" s="93">
        <v>121363.64</v>
      </c>
      <c r="G92" s="94">
        <f t="shared" si="37"/>
        <v>121363.64</v>
      </c>
      <c r="H92" s="94">
        <f t="shared" ca="1" si="38"/>
        <v>1</v>
      </c>
      <c r="I92" s="94">
        <f t="shared" ca="1" si="50"/>
        <v>121363.64</v>
      </c>
      <c r="J92" s="94">
        <f t="shared" ca="1" si="39"/>
        <v>121363.64</v>
      </c>
      <c r="K92" s="94">
        <f t="shared" ca="1" si="40"/>
        <v>0</v>
      </c>
      <c r="L92" s="94">
        <f t="shared" ca="1" si="41"/>
        <v>0</v>
      </c>
      <c r="M92" s="94">
        <f t="shared" ca="1" si="42"/>
        <v>0</v>
      </c>
      <c r="N92" s="94">
        <f t="shared" ca="1" si="43"/>
        <v>0</v>
      </c>
      <c r="O92" s="94">
        <f t="shared" ca="1" si="44"/>
        <v>0</v>
      </c>
      <c r="P92" s="94">
        <f t="shared" ca="1" si="45"/>
        <v>0</v>
      </c>
      <c r="Q92" s="20">
        <f t="shared" ca="1" si="46"/>
        <v>1</v>
      </c>
      <c r="R92" s="20">
        <f t="shared" ca="1" si="47"/>
        <v>121363.64</v>
      </c>
      <c r="S92" s="364">
        <f t="shared" ca="1" si="48"/>
        <v>121363.64</v>
      </c>
      <c r="T92" s="436">
        <f t="shared" si="49"/>
        <v>160200</v>
      </c>
    </row>
    <row r="93" spans="1:20">
      <c r="A93" s="105">
        <f t="shared" si="36"/>
        <v>86</v>
      </c>
      <c r="B93" s="359">
        <v>440017</v>
      </c>
      <c r="C93" s="319" t="s">
        <v>2753</v>
      </c>
      <c r="D93" s="476" t="s">
        <v>1002</v>
      </c>
      <c r="E93" s="93">
        <v>1</v>
      </c>
      <c r="F93" s="93">
        <v>55000</v>
      </c>
      <c r="G93" s="94">
        <f t="shared" si="37"/>
        <v>55000</v>
      </c>
      <c r="H93" s="94">
        <f t="shared" ca="1" si="38"/>
        <v>1</v>
      </c>
      <c r="I93" s="94">
        <f t="shared" ca="1" si="50"/>
        <v>55000</v>
      </c>
      <c r="J93" s="94">
        <f t="shared" ca="1" si="39"/>
        <v>55000</v>
      </c>
      <c r="K93" s="94">
        <f t="shared" ca="1" si="40"/>
        <v>0</v>
      </c>
      <c r="L93" s="94">
        <f t="shared" ca="1" si="41"/>
        <v>0</v>
      </c>
      <c r="M93" s="94">
        <f t="shared" ca="1" si="42"/>
        <v>0</v>
      </c>
      <c r="N93" s="94">
        <f t="shared" ca="1" si="43"/>
        <v>0</v>
      </c>
      <c r="O93" s="94">
        <f t="shared" ca="1" si="44"/>
        <v>0</v>
      </c>
      <c r="P93" s="94">
        <f t="shared" ca="1" si="45"/>
        <v>0</v>
      </c>
      <c r="Q93" s="20">
        <f t="shared" ca="1" si="46"/>
        <v>1</v>
      </c>
      <c r="R93" s="20">
        <f t="shared" ca="1" si="47"/>
        <v>55000</v>
      </c>
      <c r="S93" s="364">
        <f t="shared" ca="1" si="48"/>
        <v>55000</v>
      </c>
      <c r="T93" s="436">
        <f t="shared" si="49"/>
        <v>160200</v>
      </c>
    </row>
    <row r="94" spans="1:20">
      <c r="A94" s="105">
        <f t="shared" si="36"/>
        <v>87</v>
      </c>
      <c r="B94" s="359">
        <v>440018</v>
      </c>
      <c r="C94" s="319" t="s">
        <v>2754</v>
      </c>
      <c r="D94" s="476" t="s">
        <v>1002</v>
      </c>
      <c r="E94" s="93">
        <v>5</v>
      </c>
      <c r="F94" s="93">
        <v>66101.820000000007</v>
      </c>
      <c r="G94" s="94">
        <f t="shared" si="37"/>
        <v>330509.10000000003</v>
      </c>
      <c r="H94" s="94">
        <f t="shared" ca="1" si="38"/>
        <v>5</v>
      </c>
      <c r="I94" s="94">
        <f t="shared" ca="1" si="50"/>
        <v>66101.820000000007</v>
      </c>
      <c r="J94" s="94">
        <f t="shared" ca="1" si="39"/>
        <v>330509.10000000003</v>
      </c>
      <c r="K94" s="94">
        <f t="shared" ca="1" si="40"/>
        <v>0</v>
      </c>
      <c r="L94" s="94">
        <f t="shared" ca="1" si="41"/>
        <v>0</v>
      </c>
      <c r="M94" s="94">
        <f t="shared" ca="1" si="42"/>
        <v>0</v>
      </c>
      <c r="N94" s="94">
        <f t="shared" ca="1" si="43"/>
        <v>0</v>
      </c>
      <c r="O94" s="94">
        <f t="shared" ca="1" si="44"/>
        <v>0</v>
      </c>
      <c r="P94" s="94">
        <f t="shared" ca="1" si="45"/>
        <v>0</v>
      </c>
      <c r="Q94" s="20">
        <f t="shared" ca="1" si="46"/>
        <v>5</v>
      </c>
      <c r="R94" s="20">
        <f t="shared" ca="1" si="47"/>
        <v>66101.820000000007</v>
      </c>
      <c r="S94" s="364">
        <f t="shared" ca="1" si="48"/>
        <v>330509.10000000003</v>
      </c>
      <c r="T94" s="436">
        <f t="shared" si="49"/>
        <v>160200</v>
      </c>
    </row>
    <row r="95" spans="1:20">
      <c r="A95" s="105">
        <f t="shared" si="36"/>
        <v>88</v>
      </c>
      <c r="B95" s="359">
        <v>440021</v>
      </c>
      <c r="C95" s="319" t="s">
        <v>2755</v>
      </c>
      <c r="D95" s="476" t="s">
        <v>1002</v>
      </c>
      <c r="E95" s="93">
        <v>1</v>
      </c>
      <c r="F95" s="93">
        <v>159090.91</v>
      </c>
      <c r="G95" s="94">
        <f t="shared" si="37"/>
        <v>159090.91</v>
      </c>
      <c r="H95" s="94">
        <f t="shared" ca="1" si="38"/>
        <v>1</v>
      </c>
      <c r="I95" s="94">
        <f t="shared" ca="1" si="50"/>
        <v>159090.91</v>
      </c>
      <c r="J95" s="94">
        <f t="shared" ca="1" si="39"/>
        <v>159090.91</v>
      </c>
      <c r="K95" s="94">
        <f t="shared" ca="1" si="40"/>
        <v>0</v>
      </c>
      <c r="L95" s="94">
        <f t="shared" ca="1" si="41"/>
        <v>0</v>
      </c>
      <c r="M95" s="94">
        <f t="shared" ca="1" si="42"/>
        <v>0</v>
      </c>
      <c r="N95" s="94">
        <f t="shared" ca="1" si="43"/>
        <v>0</v>
      </c>
      <c r="O95" s="94">
        <f t="shared" ca="1" si="44"/>
        <v>0</v>
      </c>
      <c r="P95" s="94">
        <f t="shared" ca="1" si="45"/>
        <v>0</v>
      </c>
      <c r="Q95" s="20">
        <f t="shared" ca="1" si="46"/>
        <v>1</v>
      </c>
      <c r="R95" s="20">
        <f t="shared" ca="1" si="47"/>
        <v>159090.91</v>
      </c>
      <c r="S95" s="364">
        <f t="shared" ca="1" si="48"/>
        <v>159090.91</v>
      </c>
      <c r="T95" s="436">
        <f t="shared" si="49"/>
        <v>160200</v>
      </c>
    </row>
    <row r="96" spans="1:20">
      <c r="A96" s="105">
        <f t="shared" si="36"/>
        <v>89</v>
      </c>
      <c r="B96" s="477">
        <v>460001</v>
      </c>
      <c r="C96" s="892" t="s">
        <v>2756</v>
      </c>
      <c r="D96" s="478" t="s">
        <v>1002</v>
      </c>
      <c r="E96" s="93">
        <v>1</v>
      </c>
      <c r="F96" s="93">
        <v>5000</v>
      </c>
      <c r="G96" s="94">
        <f t="shared" si="37"/>
        <v>5000</v>
      </c>
      <c r="H96" s="94">
        <f t="shared" ca="1" si="38"/>
        <v>1</v>
      </c>
      <c r="I96" s="94">
        <f t="shared" ca="1" si="50"/>
        <v>5000</v>
      </c>
      <c r="J96" s="94">
        <f t="shared" ca="1" si="39"/>
        <v>5000</v>
      </c>
      <c r="K96" s="94">
        <f t="shared" ca="1" si="40"/>
        <v>0</v>
      </c>
      <c r="L96" s="94">
        <f t="shared" ca="1" si="41"/>
        <v>0</v>
      </c>
      <c r="M96" s="94">
        <f t="shared" ca="1" si="42"/>
        <v>0</v>
      </c>
      <c r="N96" s="94">
        <f t="shared" ca="1" si="43"/>
        <v>0</v>
      </c>
      <c r="O96" s="94">
        <f t="shared" ca="1" si="44"/>
        <v>0</v>
      </c>
      <c r="P96" s="94">
        <f t="shared" ca="1" si="45"/>
        <v>0</v>
      </c>
      <c r="Q96" s="20">
        <f t="shared" ca="1" si="46"/>
        <v>1</v>
      </c>
      <c r="R96" s="20">
        <f t="shared" ca="1" si="47"/>
        <v>5000</v>
      </c>
      <c r="S96" s="364">
        <f t="shared" ca="1" si="48"/>
        <v>5000</v>
      </c>
      <c r="T96" s="436">
        <f t="shared" si="49"/>
        <v>160201</v>
      </c>
    </row>
    <row r="97" spans="1:20">
      <c r="A97" s="105">
        <f t="shared" si="36"/>
        <v>90</v>
      </c>
      <c r="B97" s="477">
        <v>460006</v>
      </c>
      <c r="C97" s="892" t="s">
        <v>2757</v>
      </c>
      <c r="D97" s="478" t="s">
        <v>1002</v>
      </c>
      <c r="E97" s="93">
        <v>1</v>
      </c>
      <c r="F97" s="93">
        <v>8392.5159408569343</v>
      </c>
      <c r="G97" s="94">
        <f t="shared" si="37"/>
        <v>8392.5159408569343</v>
      </c>
      <c r="H97" s="94">
        <f t="shared" ca="1" si="38"/>
        <v>1</v>
      </c>
      <c r="I97" s="94">
        <f t="shared" ca="1" si="50"/>
        <v>8392.5159408569343</v>
      </c>
      <c r="J97" s="94">
        <f t="shared" ca="1" si="39"/>
        <v>8392.5159408569343</v>
      </c>
      <c r="K97" s="94">
        <f t="shared" ca="1" si="40"/>
        <v>0</v>
      </c>
      <c r="L97" s="94">
        <f t="shared" ca="1" si="41"/>
        <v>0</v>
      </c>
      <c r="M97" s="94">
        <f t="shared" ca="1" si="42"/>
        <v>0</v>
      </c>
      <c r="N97" s="94">
        <f t="shared" ca="1" si="43"/>
        <v>0</v>
      </c>
      <c r="O97" s="94">
        <f t="shared" ca="1" si="44"/>
        <v>0</v>
      </c>
      <c r="P97" s="94">
        <f t="shared" ca="1" si="45"/>
        <v>0</v>
      </c>
      <c r="Q97" s="20">
        <f t="shared" ca="1" si="46"/>
        <v>1</v>
      </c>
      <c r="R97" s="20">
        <f t="shared" ca="1" si="47"/>
        <v>8392.5159408569343</v>
      </c>
      <c r="S97" s="364">
        <f t="shared" ca="1" si="48"/>
        <v>8392.5159408569343</v>
      </c>
      <c r="T97" s="436">
        <f t="shared" si="49"/>
        <v>160201</v>
      </c>
    </row>
    <row r="98" spans="1:20">
      <c r="A98" s="105">
        <f t="shared" si="36"/>
        <v>91</v>
      </c>
      <c r="B98" s="477">
        <v>460007</v>
      </c>
      <c r="C98" s="892" t="s">
        <v>2758</v>
      </c>
      <c r="D98" s="478" t="s">
        <v>1002</v>
      </c>
      <c r="E98" s="93">
        <v>1</v>
      </c>
      <c r="F98" s="93">
        <v>2727.27</v>
      </c>
      <c r="G98" s="94">
        <f t="shared" si="37"/>
        <v>2727.27</v>
      </c>
      <c r="H98" s="94">
        <f t="shared" ca="1" si="38"/>
        <v>1</v>
      </c>
      <c r="I98" s="94">
        <f t="shared" ca="1" si="50"/>
        <v>2727.27</v>
      </c>
      <c r="J98" s="94">
        <f t="shared" ca="1" si="39"/>
        <v>2727.27</v>
      </c>
      <c r="K98" s="94">
        <f t="shared" ca="1" si="40"/>
        <v>0</v>
      </c>
      <c r="L98" s="94">
        <f t="shared" ca="1" si="41"/>
        <v>0</v>
      </c>
      <c r="M98" s="94">
        <f t="shared" ca="1" si="42"/>
        <v>0</v>
      </c>
      <c r="N98" s="94">
        <f t="shared" ca="1" si="43"/>
        <v>0</v>
      </c>
      <c r="O98" s="94">
        <f t="shared" ca="1" si="44"/>
        <v>0</v>
      </c>
      <c r="P98" s="94">
        <f t="shared" ca="1" si="45"/>
        <v>0</v>
      </c>
      <c r="Q98" s="20">
        <f t="shared" ca="1" si="46"/>
        <v>1</v>
      </c>
      <c r="R98" s="20">
        <f t="shared" ca="1" si="47"/>
        <v>2727.27</v>
      </c>
      <c r="S98" s="364">
        <f t="shared" ca="1" si="48"/>
        <v>2727.27</v>
      </c>
      <c r="T98" s="436">
        <f t="shared" si="49"/>
        <v>160201</v>
      </c>
    </row>
    <row r="99" spans="1:20">
      <c r="A99" s="105">
        <f t="shared" si="36"/>
        <v>92</v>
      </c>
      <c r="B99" s="479">
        <v>460009</v>
      </c>
      <c r="C99" s="892" t="s">
        <v>2759</v>
      </c>
      <c r="D99" s="480" t="s">
        <v>1002</v>
      </c>
      <c r="E99" s="93">
        <v>1</v>
      </c>
      <c r="F99" s="93">
        <v>8530.94</v>
      </c>
      <c r="G99" s="94">
        <f t="shared" si="37"/>
        <v>8530.94</v>
      </c>
      <c r="H99" s="94">
        <f t="shared" ca="1" si="38"/>
        <v>1</v>
      </c>
      <c r="I99" s="94">
        <f t="shared" ca="1" si="50"/>
        <v>8530.94</v>
      </c>
      <c r="J99" s="94">
        <f t="shared" ca="1" si="39"/>
        <v>8530.94</v>
      </c>
      <c r="K99" s="94">
        <f t="shared" ca="1" si="40"/>
        <v>0</v>
      </c>
      <c r="L99" s="94">
        <f t="shared" ca="1" si="41"/>
        <v>0</v>
      </c>
      <c r="M99" s="94">
        <f t="shared" ca="1" si="42"/>
        <v>0</v>
      </c>
      <c r="N99" s="94">
        <f t="shared" ca="1" si="43"/>
        <v>0</v>
      </c>
      <c r="O99" s="94">
        <f t="shared" ca="1" si="44"/>
        <v>0</v>
      </c>
      <c r="P99" s="94">
        <f t="shared" ca="1" si="45"/>
        <v>0</v>
      </c>
      <c r="Q99" s="20">
        <f t="shared" ca="1" si="46"/>
        <v>1</v>
      </c>
      <c r="R99" s="20">
        <f t="shared" ca="1" si="47"/>
        <v>8530.94</v>
      </c>
      <c r="S99" s="364">
        <f t="shared" ca="1" si="48"/>
        <v>8530.94</v>
      </c>
      <c r="T99" s="436">
        <f t="shared" si="49"/>
        <v>160201</v>
      </c>
    </row>
    <row r="100" spans="1:20">
      <c r="A100" s="105">
        <f t="shared" si="36"/>
        <v>93</v>
      </c>
      <c r="B100" s="481">
        <v>460012</v>
      </c>
      <c r="C100" s="893" t="s">
        <v>2760</v>
      </c>
      <c r="D100" s="482" t="s">
        <v>1002</v>
      </c>
      <c r="E100" s="93">
        <v>1</v>
      </c>
      <c r="F100" s="93">
        <v>1167.8399999999999</v>
      </c>
      <c r="G100" s="94">
        <f t="shared" si="37"/>
        <v>1167.8399999999999</v>
      </c>
      <c r="H100" s="94">
        <f t="shared" ca="1" si="38"/>
        <v>1</v>
      </c>
      <c r="I100" s="94">
        <f t="shared" ca="1" si="50"/>
        <v>1167.8399999999999</v>
      </c>
      <c r="J100" s="94">
        <f t="shared" ca="1" si="39"/>
        <v>1167.8399999999999</v>
      </c>
      <c r="K100" s="94">
        <f t="shared" ca="1" si="40"/>
        <v>0</v>
      </c>
      <c r="L100" s="94">
        <f t="shared" ca="1" si="41"/>
        <v>0</v>
      </c>
      <c r="M100" s="94">
        <f t="shared" ca="1" si="42"/>
        <v>0</v>
      </c>
      <c r="N100" s="94">
        <f t="shared" ca="1" si="43"/>
        <v>0</v>
      </c>
      <c r="O100" s="94">
        <f t="shared" ca="1" si="44"/>
        <v>0</v>
      </c>
      <c r="P100" s="94">
        <f t="shared" ca="1" si="45"/>
        <v>0</v>
      </c>
      <c r="Q100" s="20">
        <f t="shared" ca="1" si="46"/>
        <v>1</v>
      </c>
      <c r="R100" s="20">
        <f t="shared" ca="1" si="47"/>
        <v>1167.8399999999999</v>
      </c>
      <c r="S100" s="364">
        <f t="shared" ca="1" si="48"/>
        <v>1167.8399999999999</v>
      </c>
      <c r="T100" s="436">
        <f t="shared" si="49"/>
        <v>160201</v>
      </c>
    </row>
    <row r="101" spans="1:20">
      <c r="A101" s="474">
        <f t="shared" si="36"/>
        <v>94</v>
      </c>
      <c r="B101" s="426">
        <v>460018</v>
      </c>
      <c r="C101" s="894" t="s">
        <v>2761</v>
      </c>
      <c r="D101" s="483" t="s">
        <v>1002</v>
      </c>
      <c r="E101" s="93">
        <v>1</v>
      </c>
      <c r="F101" s="93">
        <v>22800</v>
      </c>
      <c r="G101" s="94">
        <f t="shared" si="37"/>
        <v>22800</v>
      </c>
      <c r="H101" s="94">
        <f t="shared" ca="1" si="38"/>
        <v>1</v>
      </c>
      <c r="I101" s="94">
        <f t="shared" ca="1" si="50"/>
        <v>22800</v>
      </c>
      <c r="J101" s="94">
        <f t="shared" ca="1" si="39"/>
        <v>22800</v>
      </c>
      <c r="K101" s="94">
        <f t="shared" ca="1" si="40"/>
        <v>0</v>
      </c>
      <c r="L101" s="94">
        <f t="shared" ca="1" si="41"/>
        <v>0</v>
      </c>
      <c r="M101" s="94">
        <f t="shared" ca="1" si="42"/>
        <v>0</v>
      </c>
      <c r="N101" s="94">
        <f t="shared" ca="1" si="43"/>
        <v>0</v>
      </c>
      <c r="O101" s="94">
        <f t="shared" ca="1" si="44"/>
        <v>0</v>
      </c>
      <c r="P101" s="94">
        <f t="shared" ca="1" si="45"/>
        <v>0</v>
      </c>
      <c r="Q101" s="20">
        <f t="shared" ca="1" si="46"/>
        <v>1</v>
      </c>
      <c r="R101" s="20">
        <f t="shared" ca="1" si="47"/>
        <v>22800</v>
      </c>
      <c r="S101" s="364">
        <f t="shared" ca="1" si="48"/>
        <v>22800</v>
      </c>
      <c r="T101" s="436">
        <f t="shared" si="49"/>
        <v>160201</v>
      </c>
    </row>
    <row r="102" spans="1:20">
      <c r="A102" s="105">
        <f t="shared" si="36"/>
        <v>95</v>
      </c>
      <c r="B102" s="484">
        <v>460022</v>
      </c>
      <c r="C102" s="425" t="s">
        <v>1630</v>
      </c>
      <c r="D102" s="485" t="s">
        <v>1002</v>
      </c>
      <c r="E102" s="475">
        <v>1</v>
      </c>
      <c r="F102" s="93">
        <v>12000</v>
      </c>
      <c r="G102" s="94">
        <f t="shared" si="37"/>
        <v>12000</v>
      </c>
      <c r="H102" s="94">
        <f t="shared" ca="1" si="38"/>
        <v>1</v>
      </c>
      <c r="I102" s="94">
        <f t="shared" ca="1" si="50"/>
        <v>12000</v>
      </c>
      <c r="J102" s="94">
        <f t="shared" ca="1" si="39"/>
        <v>12000</v>
      </c>
      <c r="K102" s="94">
        <f t="shared" ca="1" si="40"/>
        <v>0</v>
      </c>
      <c r="L102" s="94">
        <f t="shared" ca="1" si="41"/>
        <v>0</v>
      </c>
      <c r="M102" s="94">
        <f t="shared" ca="1" si="42"/>
        <v>0</v>
      </c>
      <c r="N102" s="94">
        <f t="shared" ca="1" si="43"/>
        <v>0</v>
      </c>
      <c r="O102" s="94">
        <f t="shared" ca="1" si="44"/>
        <v>0</v>
      </c>
      <c r="P102" s="94">
        <f t="shared" ca="1" si="45"/>
        <v>0</v>
      </c>
      <c r="Q102" s="20">
        <f t="shared" ca="1" si="46"/>
        <v>1</v>
      </c>
      <c r="R102" s="20">
        <f t="shared" ca="1" si="47"/>
        <v>12000</v>
      </c>
      <c r="S102" s="364">
        <f t="shared" ca="1" si="48"/>
        <v>12000</v>
      </c>
      <c r="T102" s="436">
        <f t="shared" si="49"/>
        <v>160201</v>
      </c>
    </row>
    <row r="103" spans="1:20">
      <c r="A103" s="105">
        <f t="shared" si="36"/>
        <v>96</v>
      </c>
      <c r="B103" s="359">
        <v>460023</v>
      </c>
      <c r="C103" s="319" t="s">
        <v>1631</v>
      </c>
      <c r="D103" s="476" t="s">
        <v>1002</v>
      </c>
      <c r="E103" s="93">
        <v>1</v>
      </c>
      <c r="F103" s="93">
        <v>15000</v>
      </c>
      <c r="G103" s="94">
        <f t="shared" si="37"/>
        <v>15000</v>
      </c>
      <c r="H103" s="94">
        <f t="shared" ca="1" si="38"/>
        <v>1</v>
      </c>
      <c r="I103" s="94">
        <f t="shared" ca="1" si="50"/>
        <v>15000</v>
      </c>
      <c r="J103" s="94">
        <f t="shared" ca="1" si="39"/>
        <v>15000</v>
      </c>
      <c r="K103" s="94">
        <f t="shared" ca="1" si="40"/>
        <v>0</v>
      </c>
      <c r="L103" s="94">
        <f t="shared" ca="1" si="41"/>
        <v>0</v>
      </c>
      <c r="M103" s="94">
        <f t="shared" ca="1" si="42"/>
        <v>0</v>
      </c>
      <c r="N103" s="94">
        <f t="shared" ca="1" si="43"/>
        <v>0</v>
      </c>
      <c r="O103" s="94">
        <f t="shared" ca="1" si="44"/>
        <v>0</v>
      </c>
      <c r="P103" s="94">
        <f t="shared" ca="1" si="45"/>
        <v>0</v>
      </c>
      <c r="Q103" s="20">
        <f t="shared" ca="1" si="46"/>
        <v>1</v>
      </c>
      <c r="R103" s="20">
        <f t="shared" ca="1" si="47"/>
        <v>15000</v>
      </c>
      <c r="S103" s="364">
        <f t="shared" ca="1" si="48"/>
        <v>15000</v>
      </c>
      <c r="T103" s="436">
        <f t="shared" si="49"/>
        <v>160201</v>
      </c>
    </row>
    <row r="104" spans="1:20">
      <c r="A104" s="105">
        <f t="shared" ref="A104:A106" si="51">+IF(B104="","",ROW()-7)</f>
        <v>97</v>
      </c>
      <c r="B104" s="359">
        <v>460026</v>
      </c>
      <c r="C104" s="319" t="s">
        <v>2762</v>
      </c>
      <c r="D104" s="476" t="s">
        <v>1002</v>
      </c>
      <c r="E104" s="93">
        <v>10</v>
      </c>
      <c r="F104" s="93">
        <v>14030</v>
      </c>
      <c r="G104" s="94">
        <f t="shared" ref="G104:G106" si="52">+IF(A104="","",IFERROR(E104*F104,0))</f>
        <v>140300</v>
      </c>
      <c r="H104" s="94">
        <f t="shared" ca="1" si="38"/>
        <v>10</v>
      </c>
      <c r="I104" s="94">
        <f t="shared" ca="1" si="50"/>
        <v>14030</v>
      </c>
      <c r="J104" s="94">
        <f t="shared" ca="1" si="39"/>
        <v>140300</v>
      </c>
      <c r="K104" s="94">
        <f t="shared" ca="1" si="40"/>
        <v>0</v>
      </c>
      <c r="L104" s="94">
        <f t="shared" ref="L104:L106" ca="1" si="53">+IF(A104="","",IFERROR(M104/K104,0))</f>
        <v>0</v>
      </c>
      <c r="M104" s="94">
        <f t="shared" ca="1" si="42"/>
        <v>0</v>
      </c>
      <c r="N104" s="94">
        <f t="shared" ca="1" si="43"/>
        <v>0</v>
      </c>
      <c r="O104" s="94">
        <f t="shared" ref="O104:O106" ca="1" si="54">+IF(A104="","",IFERROR(P104/N104,0))</f>
        <v>0</v>
      </c>
      <c r="P104" s="94">
        <f t="shared" ca="1" si="45"/>
        <v>0</v>
      </c>
      <c r="Q104" s="20">
        <f t="shared" ca="1" si="46"/>
        <v>10</v>
      </c>
      <c r="R104" s="20">
        <f t="shared" ref="R104:R106" ca="1" si="55">+IF(G104="","",IFERROR(S104/Q104,0))</f>
        <v>14030</v>
      </c>
      <c r="S104" s="364">
        <f t="shared" ca="1" si="48"/>
        <v>140300</v>
      </c>
      <c r="T104" s="436">
        <f t="shared" si="49"/>
        <v>160201</v>
      </c>
    </row>
    <row r="105" spans="1:20">
      <c r="A105" s="87">
        <f t="shared" si="51"/>
        <v>98</v>
      </c>
      <c r="B105" s="359">
        <v>460027</v>
      </c>
      <c r="C105" s="319" t="s">
        <v>1632</v>
      </c>
      <c r="D105" s="476" t="s">
        <v>1002</v>
      </c>
      <c r="E105" s="93">
        <v>1</v>
      </c>
      <c r="F105" s="93">
        <v>160000</v>
      </c>
      <c r="G105" s="94">
        <f t="shared" si="52"/>
        <v>160000</v>
      </c>
      <c r="H105" s="94">
        <f t="shared" ca="1" si="38"/>
        <v>1</v>
      </c>
      <c r="I105" s="94">
        <f t="shared" ca="1" si="50"/>
        <v>160000</v>
      </c>
      <c r="J105" s="94">
        <f t="shared" ca="1" si="39"/>
        <v>160000</v>
      </c>
      <c r="K105" s="94">
        <f t="shared" ca="1" si="40"/>
        <v>0</v>
      </c>
      <c r="L105" s="94">
        <f t="shared" ca="1" si="53"/>
        <v>0</v>
      </c>
      <c r="M105" s="94">
        <f t="shared" ca="1" si="42"/>
        <v>0</v>
      </c>
      <c r="N105" s="94">
        <f t="shared" ca="1" si="43"/>
        <v>0</v>
      </c>
      <c r="O105" s="94">
        <f t="shared" ca="1" si="54"/>
        <v>0</v>
      </c>
      <c r="P105" s="94">
        <f t="shared" ca="1" si="45"/>
        <v>0</v>
      </c>
      <c r="Q105" s="20">
        <f t="shared" ca="1" si="46"/>
        <v>1</v>
      </c>
      <c r="R105" s="20">
        <f t="shared" ca="1" si="55"/>
        <v>160000</v>
      </c>
      <c r="S105" s="364">
        <f t="shared" ca="1" si="48"/>
        <v>160000</v>
      </c>
      <c r="T105" s="436">
        <f t="shared" si="49"/>
        <v>160201</v>
      </c>
    </row>
    <row r="106" spans="1:20">
      <c r="A106" s="87">
        <f t="shared" si="51"/>
        <v>99</v>
      </c>
      <c r="B106" s="359">
        <v>510001</v>
      </c>
      <c r="C106" s="319" t="s">
        <v>2684</v>
      </c>
      <c r="D106" s="476" t="s">
        <v>1639</v>
      </c>
      <c r="E106" s="93">
        <v>2716</v>
      </c>
      <c r="F106" s="93">
        <v>3995.26</v>
      </c>
      <c r="G106" s="94">
        <f t="shared" si="52"/>
        <v>10851126.16</v>
      </c>
      <c r="H106" s="94">
        <f t="shared" ca="1" si="38"/>
        <v>2716</v>
      </c>
      <c r="I106" s="94">
        <f t="shared" ca="1" si="50"/>
        <v>3995.26</v>
      </c>
      <c r="J106" s="94">
        <f t="shared" ca="1" si="39"/>
        <v>10851126.16</v>
      </c>
      <c r="K106" s="94">
        <f t="shared" ca="1" si="40"/>
        <v>0</v>
      </c>
      <c r="L106" s="94">
        <f t="shared" ca="1" si="53"/>
        <v>0</v>
      </c>
      <c r="M106" s="94">
        <f t="shared" ca="1" si="42"/>
        <v>0</v>
      </c>
      <c r="N106" s="94">
        <f t="shared" ca="1" si="43"/>
        <v>2716</v>
      </c>
      <c r="O106" s="94">
        <f t="shared" ca="1" si="54"/>
        <v>3995.26</v>
      </c>
      <c r="P106" s="20">
        <f t="shared" ca="1" si="45"/>
        <v>10851126.16</v>
      </c>
      <c r="Q106" s="20">
        <f t="shared" ca="1" si="46"/>
        <v>0</v>
      </c>
      <c r="R106" s="20">
        <f t="shared" ca="1" si="55"/>
        <v>0</v>
      </c>
      <c r="S106" s="364">
        <f t="shared" ca="1" si="48"/>
        <v>0</v>
      </c>
      <c r="T106" s="436">
        <f t="shared" si="49"/>
        <v>140100</v>
      </c>
    </row>
    <row r="107" spans="1:20">
      <c r="G107" s="94" t="str">
        <f t="shared" ref="G107:G111" si="56">+IF(A107="","",IFERROR(E107*F107,0))</f>
        <v/>
      </c>
      <c r="H107" s="94" t="str">
        <f t="shared" ref="H107:H111" si="57">IF(A107="","",E107+SUMIFS(RC_or_unit,RC_Code,B107,RC_date,"&lt;"&amp;$P$4)-SUMIFS(RC_zar_unit,RC_Code,B107,RC_date,"&lt;"&amp;$P$4))</f>
        <v/>
      </c>
      <c r="I107" s="94" t="str">
        <f t="shared" ref="I107:I111" si="58">+IF(A107="","",IFERROR(J107/H107,0))</f>
        <v/>
      </c>
      <c r="J107" s="94" t="str">
        <f t="shared" ref="J107:J111" si="59">IF(A107="","",G107+SUMIFS(RC_or_totol,RC_Code,B107,RC_date,"&lt;"&amp;$P$4)-SUMIFS(RC_zar_totol,RC_Code,B107,RC_date,"&lt;"&amp;$P$4))</f>
        <v/>
      </c>
      <c r="K107" s="94" t="str">
        <f t="shared" ref="K107:K111" si="60">IF(A107="","",SUMIFS(RC_or_unit,RC_Code,B107,RC_date,"&gt;="&amp;$P$4,RC_date,"&lt;="&amp;$S$4))</f>
        <v/>
      </c>
      <c r="L107" s="94" t="str">
        <f t="shared" ref="L107:L111" si="61">+IF(A107="","",IFERROR(M107/K107,0))</f>
        <v/>
      </c>
      <c r="M107" s="94" t="str">
        <f t="shared" ref="M107:M111" si="62">IF($A107="","",SUMIFS(RC_or_totol,RC_Code,$B107,RC_date,"&gt;="&amp;$P$4,RC_date,"&lt;="&amp;$S$4))</f>
        <v/>
      </c>
      <c r="N107" s="94" t="str">
        <f t="shared" ref="N107:N111" si="63">IF($A107="","",SUMIFS(RC_zar_unit,RC_Code,$B107,RC_date,"&gt;="&amp;$P$4,RC_date,"&lt;="&amp;$S$4))</f>
        <v/>
      </c>
      <c r="O107" s="94" t="str">
        <f t="shared" ref="O107:O111" si="64">+IF(A107="","",IFERROR(P107/N107,0))</f>
        <v/>
      </c>
      <c r="P107" s="20" t="str">
        <f t="shared" ref="P107:P111" si="65">IF($A107="","",SUMIFS(RC_zar_totol,RC_Code,$B107,RC_date,"&gt;="&amp;$P$4,RC_date,"&lt;="&amp;$S$4))</f>
        <v/>
      </c>
      <c r="Q107" s="235" t="str">
        <f t="shared" ref="Q107:Q111" si="66">+IF(A107="","",IFERROR(H107+K107-N107,0))</f>
        <v/>
      </c>
      <c r="R107" s="94" t="str">
        <f t="shared" ref="R107:R111" si="67">+IF(G107="","",IFERROR(S107/Q107,0))</f>
        <v/>
      </c>
      <c r="S107" s="319" t="str">
        <f t="shared" ref="S107:S111" si="68">+IF(A107="","",IFERROR(J107+M107-P107,0))</f>
        <v/>
      </c>
      <c r="T107" s="436">
        <f t="shared" ref="T107:T111" si="69">+IF(LEFT(B107,3)="131",140100,0)+IF(LEFT(B107,3)="310",150100,0)+IF(LEFT(B107,3)="211",150101,0)+IF(LEFT(B107,3)="410",160100,0)+IF(LEFT(B107,3)="440",160200,0)+IF(LEFT(B107,3)="430",160200,0)+IF(LEFT(B107,3)="420",160200,0)+IF(LEFT(B107,3)="460",160201,0)+IF(LEFT(B107,3)="210",150101,0)+IF(LEFT(B107,3)="510",140100,0)</f>
        <v>0</v>
      </c>
    </row>
    <row r="108" spans="1:20">
      <c r="G108" s="94" t="str">
        <f t="shared" si="56"/>
        <v/>
      </c>
      <c r="H108" s="94" t="str">
        <f t="shared" si="57"/>
        <v/>
      </c>
      <c r="I108" s="94" t="str">
        <f t="shared" si="58"/>
        <v/>
      </c>
      <c r="J108" s="94" t="str">
        <f t="shared" si="59"/>
        <v/>
      </c>
      <c r="K108" s="94" t="str">
        <f t="shared" si="60"/>
        <v/>
      </c>
      <c r="L108" s="94" t="str">
        <f t="shared" si="61"/>
        <v/>
      </c>
      <c r="M108" s="94" t="str">
        <f t="shared" si="62"/>
        <v/>
      </c>
      <c r="N108" s="94" t="str">
        <f t="shared" si="63"/>
        <v/>
      </c>
      <c r="O108" s="94" t="str">
        <f t="shared" si="64"/>
        <v/>
      </c>
      <c r="P108" s="20" t="str">
        <f t="shared" si="65"/>
        <v/>
      </c>
      <c r="Q108" s="235" t="str">
        <f t="shared" si="66"/>
        <v/>
      </c>
      <c r="R108" s="94" t="str">
        <f t="shared" si="67"/>
        <v/>
      </c>
      <c r="S108" s="319" t="str">
        <f t="shared" si="68"/>
        <v/>
      </c>
      <c r="T108" s="436">
        <f t="shared" si="69"/>
        <v>0</v>
      </c>
    </row>
    <row r="109" spans="1:20">
      <c r="G109" s="94" t="str">
        <f t="shared" si="56"/>
        <v/>
      </c>
      <c r="H109" s="94" t="str">
        <f t="shared" si="57"/>
        <v/>
      </c>
      <c r="I109" s="94" t="str">
        <f t="shared" si="58"/>
        <v/>
      </c>
      <c r="J109" s="94" t="str">
        <f t="shared" si="59"/>
        <v/>
      </c>
      <c r="K109" s="94" t="str">
        <f t="shared" si="60"/>
        <v/>
      </c>
      <c r="L109" s="94" t="str">
        <f t="shared" si="61"/>
        <v/>
      </c>
      <c r="M109" s="94" t="str">
        <f t="shared" si="62"/>
        <v/>
      </c>
      <c r="N109" s="94" t="str">
        <f t="shared" si="63"/>
        <v/>
      </c>
      <c r="O109" s="94" t="str">
        <f t="shared" si="64"/>
        <v/>
      </c>
      <c r="P109" s="20" t="str">
        <f t="shared" si="65"/>
        <v/>
      </c>
      <c r="Q109" s="235" t="str">
        <f t="shared" si="66"/>
        <v/>
      </c>
      <c r="R109" s="94" t="str">
        <f t="shared" si="67"/>
        <v/>
      </c>
      <c r="S109" s="319" t="str">
        <f t="shared" si="68"/>
        <v/>
      </c>
      <c r="T109" s="436">
        <f t="shared" si="69"/>
        <v>0</v>
      </c>
    </row>
    <row r="110" spans="1:20">
      <c r="G110" s="94" t="str">
        <f t="shared" si="56"/>
        <v/>
      </c>
      <c r="H110" s="94" t="str">
        <f t="shared" si="57"/>
        <v/>
      </c>
      <c r="I110" s="94" t="str">
        <f t="shared" si="58"/>
        <v/>
      </c>
      <c r="J110" s="94" t="str">
        <f t="shared" si="59"/>
        <v/>
      </c>
      <c r="K110" s="94" t="str">
        <f t="shared" si="60"/>
        <v/>
      </c>
      <c r="L110" s="94" t="str">
        <f t="shared" si="61"/>
        <v/>
      </c>
      <c r="M110" s="94" t="str">
        <f t="shared" si="62"/>
        <v/>
      </c>
      <c r="N110" s="94" t="str">
        <f t="shared" si="63"/>
        <v/>
      </c>
      <c r="O110" s="94" t="str">
        <f t="shared" si="64"/>
        <v/>
      </c>
      <c r="P110" s="20" t="str">
        <f t="shared" si="65"/>
        <v/>
      </c>
      <c r="Q110" s="235" t="str">
        <f t="shared" si="66"/>
        <v/>
      </c>
      <c r="R110" s="94" t="str">
        <f t="shared" si="67"/>
        <v/>
      </c>
      <c r="S110" s="319" t="str">
        <f t="shared" si="68"/>
        <v/>
      </c>
      <c r="T110" s="436">
        <f t="shared" si="69"/>
        <v>0</v>
      </c>
    </row>
    <row r="111" spans="1:20">
      <c r="G111" s="94" t="str">
        <f t="shared" si="56"/>
        <v/>
      </c>
      <c r="H111" s="94" t="str">
        <f t="shared" si="57"/>
        <v/>
      </c>
      <c r="I111" s="94" t="str">
        <f t="shared" si="58"/>
        <v/>
      </c>
      <c r="J111" s="94" t="str">
        <f t="shared" si="59"/>
        <v/>
      </c>
      <c r="K111" s="94" t="str">
        <f t="shared" si="60"/>
        <v/>
      </c>
      <c r="L111" s="94" t="str">
        <f t="shared" si="61"/>
        <v/>
      </c>
      <c r="M111" s="94" t="str">
        <f t="shared" si="62"/>
        <v/>
      </c>
      <c r="N111" s="94" t="str">
        <f t="shared" si="63"/>
        <v/>
      </c>
      <c r="O111" s="94" t="str">
        <f t="shared" si="64"/>
        <v/>
      </c>
      <c r="P111" s="20" t="str">
        <f t="shared" si="65"/>
        <v/>
      </c>
      <c r="Q111" s="235" t="str">
        <f t="shared" si="66"/>
        <v/>
      </c>
      <c r="R111" s="94" t="str">
        <f t="shared" si="67"/>
        <v/>
      </c>
      <c r="S111" s="319" t="str">
        <f t="shared" si="68"/>
        <v/>
      </c>
      <c r="T111" s="436">
        <f t="shared" si="69"/>
        <v>0</v>
      </c>
    </row>
  </sheetData>
  <sheetProtection password="DFC0" sheet="1" objects="1" scenarios="1"/>
  <autoFilter ref="A7:U111"/>
  <sortState ref="B8:T106">
    <sortCondition ref="B106"/>
  </sortState>
  <mergeCells count="5">
    <mergeCell ref="E6:G6"/>
    <mergeCell ref="H6:J6"/>
    <mergeCell ref="K6:M6"/>
    <mergeCell ref="N6:P6"/>
    <mergeCell ref="Q6:S6"/>
  </mergeCells>
  <conditionalFormatting sqref="B10:B12 D8:S12 C12:D12 A8:A102 H8:J106 K12:S111">
    <cfRule type="expression" dxfId="334" priority="30">
      <formula>$A8&lt;&gt;""</formula>
    </cfRule>
  </conditionalFormatting>
  <conditionalFormatting sqref="B8:D11">
    <cfRule type="expression" dxfId="333" priority="29">
      <formula>$A8&lt;&gt;""</formula>
    </cfRule>
  </conditionalFormatting>
  <conditionalFormatting sqref="B103:S42221 T112:T42221 A103:S4368 A100:A102 G99:S111 E99:F102 C99:C101 H8:J106 A8:S99">
    <cfRule type="expression" dxfId="332" priority="23">
      <formula>$B8&lt;&gt;""</formula>
    </cfRule>
  </conditionalFormatting>
  <conditionalFormatting sqref="B10:B95 D8:D95 C92:C95 B96:D99 E8:J99 G99:J111 E99:F102 C99:C101 H8:J106">
    <cfRule type="expression" dxfId="331" priority="19" stopIfTrue="1">
      <formula>$A8&lt;&gt;""</formula>
    </cfRule>
  </conditionalFormatting>
  <conditionalFormatting sqref="B8:D11 C12:D91">
    <cfRule type="expression" dxfId="330" priority="18">
      <formula>$A8&lt;&gt;""</formula>
    </cfRule>
  </conditionalFormatting>
  <conditionalFormatting sqref="C92">
    <cfRule type="expression" dxfId="329" priority="17">
      <formula>$A92&lt;&gt;""</formula>
    </cfRule>
  </conditionalFormatting>
  <conditionalFormatting sqref="C92">
    <cfRule type="expression" dxfId="328" priority="16">
      <formula>$A92&lt;&gt;""</formula>
    </cfRule>
  </conditionalFormatting>
  <conditionalFormatting sqref="D92">
    <cfRule type="expression" dxfId="327" priority="15">
      <formula>$A92&lt;&gt;""</formula>
    </cfRule>
  </conditionalFormatting>
  <conditionalFormatting sqref="C93">
    <cfRule type="expression" dxfId="326" priority="14">
      <formula>$A93&lt;&gt;""</formula>
    </cfRule>
  </conditionalFormatting>
  <conditionalFormatting sqref="C93">
    <cfRule type="expression" dxfId="325" priority="13">
      <formula>$A93&lt;&gt;""</formula>
    </cfRule>
  </conditionalFormatting>
  <conditionalFormatting sqref="B8:J99 G99:J111 E99:F102 C99:C101 H8:J106">
    <cfRule type="expression" dxfId="324" priority="12">
      <formula>$B8&lt;&gt;""</formula>
    </cfRule>
  </conditionalFormatting>
  <conditionalFormatting sqref="B100:B102">
    <cfRule type="colorScale" priority="1">
      <colorScale>
        <cfvo type="min" val="0"/>
        <cfvo type="max" val="0"/>
        <color theme="0"/>
        <color theme="0"/>
      </colorScale>
    </cfRule>
  </conditionalFormatting>
  <pageMargins left="0.7" right="0.7" top="0.75" bottom="0.75" header="0.3" footer="0.3"/>
  <pageSetup scale="32" fitToHeight="0" orientation="landscape" horizontalDpi="0" verticalDpi="0" r:id="rId1"/>
  <ignoredErrors>
    <ignoredError sqref="H1:I1 H6:S7 H2:I2 H3:I3 Q3:R3 Q2:R2 H4:J4 N1:O1 Q1:R1 Q4:R4 L1 N4:O4 H5:L5 N5:O5 L4 R5:S5" evalError="1"/>
    <ignoredError sqref="S2" unlockedFormula="1"/>
  </ignoredErrors>
  <legacyDrawing r:id="rId2"/>
</worksheet>
</file>

<file path=xl/worksheets/sheet8.xml><?xml version="1.0" encoding="utf-8"?>
<worksheet xmlns="http://schemas.openxmlformats.org/spreadsheetml/2006/main" xmlns:r="http://schemas.openxmlformats.org/officeDocument/2006/relationships">
  <dimension ref="A1:AH3434"/>
  <sheetViews>
    <sheetView workbookViewId="0">
      <pane xSplit="6" ySplit="5" topLeftCell="G945" activePane="bottomRight" state="frozen"/>
      <selection pane="topRight" activeCell="G1" sqref="G1"/>
      <selection pane="bottomLeft" activeCell="A6" sqref="A6"/>
      <selection pane="bottomRight" activeCell="J976" sqref="J976"/>
    </sheetView>
  </sheetViews>
  <sheetFormatPr defaultRowHeight="11.25"/>
  <cols>
    <col min="1" max="1" width="4.7109375" style="1191" customWidth="1"/>
    <col min="2" max="2" width="6" style="1192" bestFit="1" customWidth="1"/>
    <col min="3" max="3" width="9" style="1193" customWidth="1"/>
    <col min="4" max="4" width="7.42578125" style="1194" bestFit="1" customWidth="1"/>
    <col min="5" max="5" width="22.5703125" style="1195" customWidth="1"/>
    <col min="6" max="6" width="4.42578125" style="1196" customWidth="1"/>
    <col min="7" max="7" width="6.5703125" style="1195" customWidth="1"/>
    <col min="8" max="8" width="9.140625" style="1195" customWidth="1"/>
    <col min="9" max="9" width="11.7109375" style="1195" customWidth="1"/>
    <col min="10" max="10" width="9.42578125" style="1195" customWidth="1"/>
    <col min="11" max="11" width="11.7109375" style="1203" customWidth="1"/>
    <col min="12" max="12" width="7.85546875" style="1195" customWidth="1"/>
    <col min="13" max="13" width="9.140625" style="1195" customWidth="1"/>
    <col min="14" max="14" width="10.85546875" style="1195" customWidth="1"/>
    <col min="15" max="15" width="9.7109375" style="1195" customWidth="1"/>
    <col min="16" max="16" width="11.140625" style="1195" customWidth="1"/>
    <col min="17" max="17" width="12.5703125" style="1195" hidden="1" customWidth="1"/>
    <col min="18" max="18" width="11.7109375" style="1195" customWidth="1"/>
    <col min="19" max="19" width="7.85546875" style="1197" hidden="1" customWidth="1"/>
    <col min="20" max="20" width="13.42578125" style="1192" customWidth="1"/>
    <col min="21" max="21" width="12.140625" style="1212" customWidth="1"/>
    <col min="22" max="22" width="12" style="1213" bestFit="1" customWidth="1"/>
    <col min="23" max="23" width="4.42578125" style="1198" bestFit="1" customWidth="1"/>
    <col min="24" max="24" width="11" style="1199" customWidth="1"/>
    <col min="25" max="25" width="7.5703125" style="1195" customWidth="1"/>
    <col min="26" max="26" width="20" style="1195" customWidth="1"/>
    <col min="27" max="27" width="7.5703125" style="1195" customWidth="1"/>
    <col min="28" max="28" width="8.85546875" style="1195" customWidth="1"/>
    <col min="29" max="29" width="6.7109375" style="1195" customWidth="1"/>
    <col min="30" max="33" width="6.5703125" style="1195" customWidth="1"/>
    <col min="34" max="34" width="11.140625" style="1195" bestFit="1" customWidth="1"/>
    <col min="35" max="16384" width="9.140625" style="1195"/>
  </cols>
  <sheetData>
    <row r="1" spans="1:34" ht="12.75">
      <c r="A1" s="15"/>
      <c r="B1" s="92"/>
      <c r="C1" s="90"/>
      <c r="D1" s="87"/>
      <c r="E1" s="88"/>
      <c r="F1" s="172" t="s">
        <v>260</v>
      </c>
      <c r="G1" s="1218">
        <f t="shared" ref="G1:J1" si="0">+SUM(G6:G5433)</f>
        <v>63074.060000000005</v>
      </c>
      <c r="H1" s="1218">
        <f t="shared" si="0"/>
        <v>3444626.3159088641</v>
      </c>
      <c r="I1" s="1218">
        <f t="shared" si="0"/>
        <v>1050128649.5728261</v>
      </c>
      <c r="J1" s="1218">
        <f t="shared" si="0"/>
        <v>2784987.4535354548</v>
      </c>
      <c r="K1" s="1218">
        <f>+SUM(K6:K5433)</f>
        <v>1052913637.0263612</v>
      </c>
      <c r="L1" s="1218">
        <f t="shared" ref="L1:Q1" si="1">+SUM(L6:L5433)</f>
        <v>34319.803445039419</v>
      </c>
      <c r="M1" s="1218">
        <f t="shared" si="1"/>
        <v>9659972.8942061085</v>
      </c>
      <c r="N1" s="1218">
        <f t="shared" si="1"/>
        <v>271971054.30511636</v>
      </c>
      <c r="O1" s="1218">
        <f t="shared" si="1"/>
        <v>27197105.430511627</v>
      </c>
      <c r="P1" s="1218">
        <f t="shared" si="1"/>
        <v>299168159.73562783</v>
      </c>
      <c r="Q1" s="1218">
        <f t="shared" ca="1" si="1"/>
        <v>13069024.55481814</v>
      </c>
      <c r="R1" s="1218">
        <f ca="1">+SUM(R6:R5433)</f>
        <v>1124514130.5286095</v>
      </c>
      <c r="S1" s="1230"/>
      <c r="T1" s="316"/>
      <c r="U1" s="1218"/>
      <c r="V1" s="1218"/>
      <c r="W1" s="333"/>
      <c r="X1" s="104">
        <f>+SUM(X6:X5433)</f>
        <v>0</v>
      </c>
    </row>
    <row r="2" spans="1:34" ht="12.75">
      <c r="A2" s="15"/>
      <c r="B2" s="89"/>
      <c r="C2" s="90"/>
      <c r="D2" s="91"/>
      <c r="E2" s="88"/>
      <c r="F2" s="173"/>
      <c r="G2" s="92">
        <f ca="1">+TN!K1</f>
        <v>63074.060000000005</v>
      </c>
      <c r="H2" s="92"/>
      <c r="I2" s="92">
        <f ca="1">+TN!M1</f>
        <v>1050128649.572826</v>
      </c>
      <c r="J2" s="92"/>
      <c r="K2" s="92"/>
      <c r="L2" s="92">
        <f ca="1">+TN!N1</f>
        <v>34319.803445039419</v>
      </c>
      <c r="M2" s="92"/>
      <c r="N2" s="92"/>
      <c r="O2" s="92"/>
      <c r="P2" s="92"/>
      <c r="Q2" s="92"/>
      <c r="R2" s="92">
        <f ca="1">+TN!P1</f>
        <v>1124514130.5286098</v>
      </c>
      <c r="S2" s="1231"/>
      <c r="T2" s="92"/>
      <c r="U2" s="1219">
        <f>+SUM(U6:U1791)</f>
        <v>2476727927.2790413</v>
      </c>
      <c r="V2" s="1219">
        <f>+SUM(V6:V1791)</f>
        <v>2476727927.2741981</v>
      </c>
      <c r="W2" s="168"/>
      <c r="X2" s="170"/>
      <c r="Z2" s="1200"/>
      <c r="AA2" s="1201"/>
      <c r="AB2" s="1200"/>
      <c r="AC2" s="1200"/>
      <c r="AD2" s="1200"/>
      <c r="AE2" s="1200"/>
      <c r="AF2" s="1200"/>
      <c r="AG2" s="1200"/>
      <c r="AH2" s="1202"/>
    </row>
    <row r="3" spans="1:34" ht="13.5" customHeight="1">
      <c r="A3" s="15"/>
      <c r="B3" s="95">
        <f>COUNT(B6:B4433)</f>
        <v>1123</v>
      </c>
      <c r="C3" s="259" t="s">
        <v>1344</v>
      </c>
      <c r="D3" s="91"/>
      <c r="E3" s="88"/>
      <c r="F3" s="173"/>
      <c r="G3" s="92">
        <f ca="1">+G1-G2</f>
        <v>0</v>
      </c>
      <c r="H3" s="92"/>
      <c r="I3" s="92">
        <f t="shared" ref="I3" ca="1" si="2">+I1-I2</f>
        <v>0</v>
      </c>
      <c r="J3" s="92"/>
      <c r="K3" s="92"/>
      <c r="L3" s="92">
        <f t="shared" ref="L3" ca="1" si="3">+L1-L2</f>
        <v>0</v>
      </c>
      <c r="M3" s="92"/>
      <c r="N3" s="92"/>
      <c r="O3" s="92"/>
      <c r="P3" s="92"/>
      <c r="Q3" s="92"/>
      <c r="R3" s="92">
        <f t="shared" ref="R3" ca="1" si="4">+R1-R2</f>
        <v>0</v>
      </c>
      <c r="S3" s="1231"/>
      <c r="T3" s="92"/>
      <c r="U3" s="1219">
        <f>+U2-V2</f>
        <v>4.8432350158691406E-3</v>
      </c>
      <c r="V3" s="15">
        <f>+V2-U2</f>
        <v>-4.8432350158691406E-3</v>
      </c>
      <c r="W3" s="335"/>
      <c r="X3" s="170"/>
      <c r="Z3" s="1204"/>
      <c r="AA3" s="1204"/>
      <c r="AB3" s="1204"/>
      <c r="AC3" s="1204"/>
      <c r="AD3" s="1204"/>
      <c r="AE3" s="1204"/>
      <c r="AF3" s="1204"/>
      <c r="AG3" s="1204"/>
      <c r="AH3" s="1204"/>
    </row>
    <row r="4" spans="1:34" ht="15" customHeight="1">
      <c r="A4" s="57"/>
      <c r="B4" s="99" t="s">
        <v>1</v>
      </c>
      <c r="C4" s="100" t="s">
        <v>298</v>
      </c>
      <c r="D4" s="101" t="s">
        <v>308</v>
      </c>
      <c r="E4" s="102" t="s">
        <v>309</v>
      </c>
      <c r="F4" s="174" t="s">
        <v>325</v>
      </c>
      <c r="G4" s="917" t="s">
        <v>312</v>
      </c>
      <c r="H4" s="917"/>
      <c r="I4" s="917"/>
      <c r="J4" s="917"/>
      <c r="K4" s="917"/>
      <c r="L4" s="917" t="s">
        <v>313</v>
      </c>
      <c r="M4" s="917"/>
      <c r="N4" s="917"/>
      <c r="O4" s="917"/>
      <c r="P4" s="917"/>
      <c r="Q4" s="917"/>
      <c r="R4" s="917"/>
      <c r="S4" s="920" t="s">
        <v>323</v>
      </c>
      <c r="T4" s="918" t="s">
        <v>2</v>
      </c>
      <c r="U4" s="1221" t="s">
        <v>261</v>
      </c>
      <c r="V4" s="1222" t="s">
        <v>262</v>
      </c>
      <c r="W4" s="922" t="s">
        <v>0</v>
      </c>
      <c r="X4" s="924" t="s">
        <v>302</v>
      </c>
      <c r="Z4" s="1200"/>
      <c r="AA4" s="1201"/>
      <c r="AB4" s="1200"/>
      <c r="AC4" s="1200"/>
      <c r="AD4" s="1200"/>
      <c r="AE4" s="1200"/>
      <c r="AF4" s="1200"/>
      <c r="AG4" s="1200"/>
      <c r="AH4" s="1200"/>
    </row>
    <row r="5" spans="1:34" s="1239" customFormat="1" ht="34.5" customHeight="1">
      <c r="A5" s="1238"/>
      <c r="B5" s="1232"/>
      <c r="C5" s="1233"/>
      <c r="D5" s="1234"/>
      <c r="E5" s="1235"/>
      <c r="F5" s="1235" t="s">
        <v>326</v>
      </c>
      <c r="G5" s="1235" t="s">
        <v>314</v>
      </c>
      <c r="H5" s="1235" t="s">
        <v>315</v>
      </c>
      <c r="I5" s="1235" t="s">
        <v>316</v>
      </c>
      <c r="J5" s="1236" t="s">
        <v>317</v>
      </c>
      <c r="K5" s="308" t="s">
        <v>319</v>
      </c>
      <c r="L5" s="1237" t="s">
        <v>314</v>
      </c>
      <c r="M5" s="1237" t="s">
        <v>296</v>
      </c>
      <c r="N5" s="1237" t="s">
        <v>297</v>
      </c>
      <c r="O5" s="1236" t="s">
        <v>318</v>
      </c>
      <c r="P5" s="1236" t="s">
        <v>319</v>
      </c>
      <c r="Q5" s="1237" t="s">
        <v>320</v>
      </c>
      <c r="R5" s="1237" t="s">
        <v>321</v>
      </c>
      <c r="S5" s="921"/>
      <c r="T5" s="919"/>
      <c r="U5" s="1223"/>
      <c r="V5" s="1224"/>
      <c r="W5" s="923"/>
      <c r="X5" s="925"/>
      <c r="Z5" s="1240"/>
      <c r="AA5" s="1241"/>
      <c r="AB5" s="1240"/>
      <c r="AC5" s="1240"/>
      <c r="AD5" s="1240"/>
      <c r="AE5" s="1240"/>
      <c r="AF5" s="1240"/>
      <c r="AG5" s="1240"/>
      <c r="AH5" s="1240"/>
    </row>
    <row r="6" spans="1:34" ht="12.75">
      <c r="A6" s="15">
        <v>1</v>
      </c>
      <c r="B6" s="369">
        <f t="shared" ref="B6:B69" si="5">+IF(C6="","",ROW()-5)</f>
        <v>1</v>
      </c>
      <c r="C6" s="427">
        <v>42736</v>
      </c>
      <c r="D6" s="426">
        <v>211503</v>
      </c>
      <c r="E6" s="425" t="str">
        <f t="shared" ref="E6:E25" ca="1" si="6">+IFERROR(VLOOKUP(D6,TN_table,2,FALSE),"")</f>
        <v>Н-Евровагонка /зузаан-1.2см/</v>
      </c>
      <c r="F6" s="428" t="str">
        <f t="shared" ref="F6:F25" ca="1" si="7">+IFERROR(VLOOKUP(D6,TN_table,3,FALSE),"")</f>
        <v>м2</v>
      </c>
      <c r="G6" s="378">
        <v>4000</v>
      </c>
      <c r="H6" s="378">
        <v>13622.104942645899</v>
      </c>
      <c r="I6" s="378">
        <f t="shared" ref="I6:I15" si="8">+IF(G6="","",G6*H6)</f>
        <v>54488419.7705836</v>
      </c>
      <c r="J6" s="378"/>
      <c r="K6" s="1220">
        <f t="shared" ref="K6:K15" si="9">+IF(G6="","",I6+J6)</f>
        <v>54488419.7705836</v>
      </c>
      <c r="L6" s="378"/>
      <c r="M6" s="378"/>
      <c r="N6" s="378" t="str">
        <f t="shared" ref="N6:N25" si="10">+IF(L6="","",L6*M6)</f>
        <v/>
      </c>
      <c r="O6" s="378" t="str">
        <f t="shared" ref="O6:O25" si="11">+IF(L6="","",N6*0.1)</f>
        <v/>
      </c>
      <c r="P6" s="378" t="str">
        <f t="shared" ref="P6:P25" si="12">+IF(L6="","",N6+O6)</f>
        <v/>
      </c>
      <c r="Q6" s="378" t="str">
        <f t="shared" ref="Q6:Q25" si="13">IF(L6="","",IFERROR((SUMIFS(TN_balC1_totol,TN_code,D6)+SUMIFS(RC_or_totol,RC_Code,D6,RC_date,"&lt;="&amp;C6)-SUMIFS(RC_zar_totol,RC_Code,D6,RC_date,"&lt;"&amp;C6)) /( SUMIFS(TN_balC1_unit,TN_code,D6)+SUMIFS(RC_or_unit,RC_Code,D6,RC_date,"&lt;="&amp;C6)-SUMIFS(RC_zar_unit,RC_Code,D6,RC_date,"&lt;"&amp;C6)),0 ))</f>
        <v/>
      </c>
      <c r="R6" s="378" t="str">
        <f t="shared" ref="R6:R25" si="14">+IF(L6="","",L6*Q6)</f>
        <v/>
      </c>
      <c r="S6" s="602">
        <v>150101</v>
      </c>
      <c r="T6" s="378" t="str">
        <f>+IFERROR(VLOOKUP(S6,STAT1!$C$4:$D$189,2,FALSE),"")</f>
        <v>Бараа бэлэн бүтээгдэхүүн БОЛОВСРУУЛАХ ЦЕХ /нарс/</v>
      </c>
      <c r="U6" s="1225">
        <v>54488419.7705836</v>
      </c>
      <c r="V6" s="1216"/>
      <c r="W6" s="443">
        <v>1006</v>
      </c>
      <c r="X6" s="444" t="str">
        <f>IFERROR(VLOOKUP(W6,DATA!$G$4:$H$400,2,FALSE),"")</f>
        <v>Оюундэлгэр /нярав/</v>
      </c>
      <c r="Y6" s="1205"/>
      <c r="Z6" s="1206"/>
      <c r="AA6" s="1201"/>
      <c r="AB6" s="1200"/>
      <c r="AC6" s="1200"/>
      <c r="AD6" s="1200"/>
      <c r="AE6" s="1200"/>
      <c r="AF6" s="1207"/>
      <c r="AG6" s="1207"/>
      <c r="AH6" s="1200"/>
    </row>
    <row r="7" spans="1:34" ht="12.75">
      <c r="A7" s="15">
        <v>1</v>
      </c>
      <c r="B7" s="369">
        <f t="shared" si="5"/>
        <v>2</v>
      </c>
      <c r="C7" s="427">
        <v>42736</v>
      </c>
      <c r="D7" s="426"/>
      <c r="E7" s="425" t="str">
        <f t="shared" ca="1" si="6"/>
        <v/>
      </c>
      <c r="F7" s="428" t="str">
        <f t="shared" ca="1" si="7"/>
        <v/>
      </c>
      <c r="G7" s="378"/>
      <c r="H7" s="378"/>
      <c r="I7" s="378" t="str">
        <f t="shared" si="8"/>
        <v/>
      </c>
      <c r="J7" s="378" t="str">
        <f>+IF(G7="","",I7*0.1)</f>
        <v/>
      </c>
      <c r="K7" s="1220" t="str">
        <f t="shared" si="9"/>
        <v/>
      </c>
      <c r="L7" s="378"/>
      <c r="M7" s="378"/>
      <c r="N7" s="378" t="str">
        <f t="shared" si="10"/>
        <v/>
      </c>
      <c r="O7" s="378" t="str">
        <f t="shared" si="11"/>
        <v/>
      </c>
      <c r="P7" s="378" t="str">
        <f t="shared" si="12"/>
        <v/>
      </c>
      <c r="Q7" s="378" t="str">
        <f t="shared" si="13"/>
        <v/>
      </c>
      <c r="R7" s="378" t="str">
        <f t="shared" si="14"/>
        <v/>
      </c>
      <c r="S7" s="602">
        <v>140501</v>
      </c>
      <c r="T7" s="378" t="str">
        <f>+IFERROR(VLOOKUP(S7,STAT1!$C$4:$D$189,2,FALSE),"")</f>
        <v>Нэгтгэл зардал БОЛОВСРУУЛАХ ЦЕХ /нарс/</v>
      </c>
      <c r="U7" s="1225"/>
      <c r="V7" s="1216">
        <v>54488419.7705836</v>
      </c>
      <c r="W7" s="443">
        <v>1006</v>
      </c>
      <c r="X7" s="328" t="str">
        <f>IFERROR(VLOOKUP(W7,DATA!$G$4:$H$400,2,FALSE),"")</f>
        <v>Оюундэлгэр /нярав/</v>
      </c>
      <c r="Y7" s="1205"/>
      <c r="Z7" s="1206"/>
      <c r="AA7" s="1201"/>
      <c r="AB7" s="1200"/>
      <c r="AC7" s="1200"/>
      <c r="AD7" s="1200"/>
      <c r="AE7" s="1200"/>
      <c r="AF7" s="1200"/>
      <c r="AG7" s="1200"/>
      <c r="AH7" s="1200"/>
    </row>
    <row r="8" spans="1:34" ht="12.75">
      <c r="A8" s="15">
        <v>1</v>
      </c>
      <c r="B8" s="369">
        <f t="shared" si="5"/>
        <v>3</v>
      </c>
      <c r="C8" s="427">
        <v>42736</v>
      </c>
      <c r="D8" s="426">
        <v>211710</v>
      </c>
      <c r="E8" s="425" t="str">
        <f t="shared" ca="1" si="6"/>
        <v xml:space="preserve">Н-Хавтан /зузаан-3см/-яртай </v>
      </c>
      <c r="F8" s="428" t="str">
        <f t="shared" ca="1" si="7"/>
        <v>м2</v>
      </c>
      <c r="G8" s="378">
        <v>1020</v>
      </c>
      <c r="H8" s="378">
        <v>34055.262356614752</v>
      </c>
      <c r="I8" s="378">
        <f t="shared" si="8"/>
        <v>34736367.603747047</v>
      </c>
      <c r="J8" s="378"/>
      <c r="K8" s="1220">
        <f t="shared" si="9"/>
        <v>34736367.603747047</v>
      </c>
      <c r="L8" s="378"/>
      <c r="M8" s="378"/>
      <c r="N8" s="378" t="str">
        <f t="shared" si="10"/>
        <v/>
      </c>
      <c r="O8" s="378" t="str">
        <f t="shared" si="11"/>
        <v/>
      </c>
      <c r="P8" s="378" t="str">
        <f t="shared" si="12"/>
        <v/>
      </c>
      <c r="Q8" s="378" t="str">
        <f t="shared" si="13"/>
        <v/>
      </c>
      <c r="R8" s="378" t="str">
        <f t="shared" si="14"/>
        <v/>
      </c>
      <c r="S8" s="602">
        <v>150101</v>
      </c>
      <c r="T8" s="378" t="str">
        <f>+IFERROR(VLOOKUP(S8,STAT1!$C$4:$D$189,2,FALSE),"")</f>
        <v>Бараа бэлэн бүтээгдэхүүн БОЛОВСРУУЛАХ ЦЕХ /нарс/</v>
      </c>
      <c r="U8" s="1225">
        <v>34736367.603747047</v>
      </c>
      <c r="V8" s="1216"/>
      <c r="W8" s="443">
        <v>1006</v>
      </c>
      <c r="X8" s="328" t="str">
        <f>IFERROR(VLOOKUP(W8,DATA!$G$4:$H$400,2,FALSE),"")</f>
        <v>Оюундэлгэр /нярав/</v>
      </c>
      <c r="Y8" s="1205"/>
      <c r="Z8" s="1206"/>
      <c r="AA8" s="1208"/>
      <c r="AB8" s="1209"/>
      <c r="AC8" s="1209"/>
      <c r="AD8" s="1209"/>
      <c r="AE8" s="1200"/>
      <c r="AF8" s="1200"/>
      <c r="AG8" s="1200"/>
      <c r="AH8" s="1200"/>
    </row>
    <row r="9" spans="1:34" ht="12.75">
      <c r="A9" s="15">
        <v>1</v>
      </c>
      <c r="B9" s="369">
        <f t="shared" si="5"/>
        <v>4</v>
      </c>
      <c r="C9" s="427">
        <v>42736</v>
      </c>
      <c r="D9" s="426"/>
      <c r="E9" s="425" t="str">
        <f t="shared" ca="1" si="6"/>
        <v/>
      </c>
      <c r="F9" s="428" t="str">
        <f t="shared" ca="1" si="7"/>
        <v/>
      </c>
      <c r="G9" s="378"/>
      <c r="H9" s="378"/>
      <c r="I9" s="378" t="str">
        <f t="shared" si="8"/>
        <v/>
      </c>
      <c r="J9" s="378" t="str">
        <f>+IF(G9="","",I9*0.1)</f>
        <v/>
      </c>
      <c r="K9" s="1220" t="str">
        <f t="shared" si="9"/>
        <v/>
      </c>
      <c r="L9" s="378"/>
      <c r="M9" s="378"/>
      <c r="N9" s="378" t="str">
        <f t="shared" si="10"/>
        <v/>
      </c>
      <c r="O9" s="378" t="str">
        <f t="shared" si="11"/>
        <v/>
      </c>
      <c r="P9" s="378" t="str">
        <f t="shared" si="12"/>
        <v/>
      </c>
      <c r="Q9" s="378" t="str">
        <f t="shared" si="13"/>
        <v/>
      </c>
      <c r="R9" s="378" t="str">
        <f t="shared" si="14"/>
        <v/>
      </c>
      <c r="S9" s="602">
        <v>140501</v>
      </c>
      <c r="T9" s="378" t="str">
        <f>+IFERROR(VLOOKUP(S9,STAT1!$C$4:$D$189,2,FALSE),"")</f>
        <v>Нэгтгэл зардал БОЛОВСРУУЛАХ ЦЕХ /нарс/</v>
      </c>
      <c r="U9" s="1225"/>
      <c r="V9" s="1216">
        <v>34736367.603747047</v>
      </c>
      <c r="W9" s="326">
        <v>1006</v>
      </c>
      <c r="X9" s="328" t="str">
        <f>IFERROR(VLOOKUP(W9,DATA!$G$4:$H$400,2,FALSE),"")</f>
        <v>Оюундэлгэр /нярав/</v>
      </c>
      <c r="Y9" s="1205"/>
      <c r="Z9" s="1206"/>
      <c r="AA9" s="1210"/>
      <c r="AB9" s="1210"/>
      <c r="AC9" s="1210"/>
      <c r="AD9" s="1211"/>
      <c r="AE9" s="1200"/>
      <c r="AF9" s="1200"/>
      <c r="AG9" s="1200"/>
      <c r="AH9" s="1200"/>
    </row>
    <row r="10" spans="1:34" ht="12.75">
      <c r="A10" s="15">
        <v>1</v>
      </c>
      <c r="B10" s="369">
        <f t="shared" si="5"/>
        <v>5</v>
      </c>
      <c r="C10" s="427">
        <v>42736</v>
      </c>
      <c r="D10" s="426">
        <v>211715</v>
      </c>
      <c r="E10" s="425" t="str">
        <f t="shared" ca="1" si="6"/>
        <v>Н-Хавтан /зузаан-1.8см/</v>
      </c>
      <c r="F10" s="428" t="str">
        <f t="shared" ca="1" si="7"/>
        <v>м2</v>
      </c>
      <c r="G10" s="378">
        <v>1020</v>
      </c>
      <c r="H10" s="378">
        <v>20433.157413968849</v>
      </c>
      <c r="I10" s="378">
        <f t="shared" si="8"/>
        <v>20841820.562248226</v>
      </c>
      <c r="J10" s="378"/>
      <c r="K10" s="1220">
        <f t="shared" si="9"/>
        <v>20841820.562248226</v>
      </c>
      <c r="L10" s="378"/>
      <c r="M10" s="378"/>
      <c r="N10" s="378" t="str">
        <f t="shared" si="10"/>
        <v/>
      </c>
      <c r="O10" s="378" t="str">
        <f t="shared" si="11"/>
        <v/>
      </c>
      <c r="P10" s="378" t="str">
        <f t="shared" si="12"/>
        <v/>
      </c>
      <c r="Q10" s="378" t="str">
        <f t="shared" si="13"/>
        <v/>
      </c>
      <c r="R10" s="378" t="str">
        <f t="shared" si="14"/>
        <v/>
      </c>
      <c r="S10" s="602">
        <v>150101</v>
      </c>
      <c r="T10" s="378" t="str">
        <f>+IFERROR(VLOOKUP(S10,STAT1!$C$4:$D$189,2,FALSE),"")</f>
        <v>Бараа бэлэн бүтээгдэхүүн БОЛОВСРУУЛАХ ЦЕХ /нарс/</v>
      </c>
      <c r="U10" s="1225">
        <v>20841820.562248226</v>
      </c>
      <c r="V10" s="1216"/>
      <c r="W10" s="327">
        <v>1006</v>
      </c>
      <c r="X10" s="328" t="str">
        <f>IFERROR(VLOOKUP(W10,DATA!$G$4:$H$400,2,FALSE),"")</f>
        <v>Оюундэлгэр /нярав/</v>
      </c>
      <c r="Y10" s="1205"/>
      <c r="Z10" s="1206"/>
      <c r="AA10" s="1210"/>
      <c r="AB10" s="1210"/>
      <c r="AC10" s="1210"/>
      <c r="AD10" s="1211"/>
      <c r="AE10" s="1200"/>
      <c r="AF10" s="1200"/>
      <c r="AG10" s="1200"/>
      <c r="AH10" s="1200"/>
    </row>
    <row r="11" spans="1:34" ht="12.75">
      <c r="A11" s="15">
        <v>1</v>
      </c>
      <c r="B11" s="369">
        <f t="shared" si="5"/>
        <v>6</v>
      </c>
      <c r="C11" s="427">
        <v>42736</v>
      </c>
      <c r="D11" s="426"/>
      <c r="E11" s="425" t="str">
        <f t="shared" ca="1" si="6"/>
        <v/>
      </c>
      <c r="F11" s="428" t="str">
        <f t="shared" ca="1" si="7"/>
        <v/>
      </c>
      <c r="G11" s="378"/>
      <c r="H11" s="378"/>
      <c r="I11" s="378" t="str">
        <f t="shared" si="8"/>
        <v/>
      </c>
      <c r="J11" s="378"/>
      <c r="K11" s="1220" t="str">
        <f t="shared" si="9"/>
        <v/>
      </c>
      <c r="L11" s="378"/>
      <c r="M11" s="378"/>
      <c r="N11" s="378" t="str">
        <f t="shared" si="10"/>
        <v/>
      </c>
      <c r="O11" s="378" t="str">
        <f t="shared" si="11"/>
        <v/>
      </c>
      <c r="P11" s="378" t="str">
        <f t="shared" si="12"/>
        <v/>
      </c>
      <c r="Q11" s="378" t="str">
        <f t="shared" si="13"/>
        <v/>
      </c>
      <c r="R11" s="378" t="str">
        <f t="shared" si="14"/>
        <v/>
      </c>
      <c r="S11" s="602">
        <v>140501</v>
      </c>
      <c r="T11" s="378" t="str">
        <f>+IFERROR(VLOOKUP(S11,STAT1!$C$4:$D$189,2,FALSE),"")</f>
        <v>Нэгтгэл зардал БОЛОВСРУУЛАХ ЦЕХ /нарс/</v>
      </c>
      <c r="U11" s="1225"/>
      <c r="V11" s="1216">
        <v>20841820.562248226</v>
      </c>
      <c r="W11" s="327">
        <v>1006</v>
      </c>
      <c r="X11" s="328" t="str">
        <f>IFERROR(VLOOKUP(W11,DATA!$G$4:$H$400,2,FALSE),"")</f>
        <v>Оюундэлгэр /нярав/</v>
      </c>
      <c r="Y11" s="1205"/>
      <c r="Z11" s="1206"/>
      <c r="AA11" s="1210"/>
      <c r="AB11" s="1210"/>
      <c r="AC11" s="1201"/>
      <c r="AD11" s="1200"/>
      <c r="AE11" s="1200"/>
      <c r="AF11" s="1200"/>
      <c r="AG11" s="1200"/>
      <c r="AH11" s="1200"/>
    </row>
    <row r="12" spans="1:34" ht="12.75">
      <c r="A12" s="15">
        <v>1</v>
      </c>
      <c r="B12" s="369">
        <f t="shared" si="5"/>
        <v>7</v>
      </c>
      <c r="C12" s="427">
        <v>42736</v>
      </c>
      <c r="D12" s="426">
        <v>211713</v>
      </c>
      <c r="E12" s="425" t="str">
        <f t="shared" ca="1" si="6"/>
        <v>Н-Хавтан /зузаан-2см/</v>
      </c>
      <c r="F12" s="428" t="str">
        <f t="shared" ca="1" si="7"/>
        <v>м2</v>
      </c>
      <c r="G12" s="378">
        <v>1020</v>
      </c>
      <c r="H12" s="378">
        <v>22703.508237743168</v>
      </c>
      <c r="I12" s="378">
        <f t="shared" si="8"/>
        <v>23157578.402498033</v>
      </c>
      <c r="J12" s="378"/>
      <c r="K12" s="1220">
        <f t="shared" si="9"/>
        <v>23157578.402498033</v>
      </c>
      <c r="L12" s="378"/>
      <c r="M12" s="378"/>
      <c r="N12" s="378" t="str">
        <f t="shared" si="10"/>
        <v/>
      </c>
      <c r="O12" s="378" t="str">
        <f t="shared" si="11"/>
        <v/>
      </c>
      <c r="P12" s="378" t="str">
        <f t="shared" si="12"/>
        <v/>
      </c>
      <c r="Q12" s="378" t="str">
        <f t="shared" si="13"/>
        <v/>
      </c>
      <c r="R12" s="378" t="str">
        <f t="shared" si="14"/>
        <v/>
      </c>
      <c r="S12" s="602">
        <v>150101</v>
      </c>
      <c r="T12" s="378" t="str">
        <f>+IFERROR(VLOOKUP(S12,STAT1!$C$4:$D$189,2,FALSE),"")</f>
        <v>Бараа бэлэн бүтээгдэхүүн БОЛОВСРУУЛАХ ЦЕХ /нарс/</v>
      </c>
      <c r="U12" s="1225">
        <v>23157578.402498033</v>
      </c>
      <c r="V12" s="1216"/>
      <c r="W12" s="326">
        <v>1006</v>
      </c>
      <c r="X12" s="328" t="str">
        <f>IFERROR(VLOOKUP(W12,DATA!$G$4:$H$400,2,FALSE),"")</f>
        <v>Оюундэлгэр /нярав/</v>
      </c>
      <c r="Y12" s="1205"/>
      <c r="Z12" s="1206"/>
      <c r="AA12" s="1210"/>
      <c r="AB12" s="1210"/>
      <c r="AC12" s="1210"/>
      <c r="AD12" s="1211"/>
      <c r="AE12" s="1200"/>
      <c r="AF12" s="1200"/>
      <c r="AG12" s="1200"/>
      <c r="AH12" s="1200"/>
    </row>
    <row r="13" spans="1:34" ht="12.75">
      <c r="A13" s="15">
        <v>1</v>
      </c>
      <c r="B13" s="369">
        <f t="shared" si="5"/>
        <v>8</v>
      </c>
      <c r="C13" s="427">
        <v>42736</v>
      </c>
      <c r="D13" s="426"/>
      <c r="E13" s="425" t="str">
        <f t="shared" ca="1" si="6"/>
        <v/>
      </c>
      <c r="F13" s="428" t="str">
        <f t="shared" ca="1" si="7"/>
        <v/>
      </c>
      <c r="G13" s="378"/>
      <c r="H13" s="378"/>
      <c r="I13" s="378" t="str">
        <f t="shared" si="8"/>
        <v/>
      </c>
      <c r="J13" s="378"/>
      <c r="K13" s="1220" t="str">
        <f t="shared" si="9"/>
        <v/>
      </c>
      <c r="L13" s="378"/>
      <c r="M13" s="378"/>
      <c r="N13" s="378" t="str">
        <f t="shared" si="10"/>
        <v/>
      </c>
      <c r="O13" s="378" t="str">
        <f t="shared" si="11"/>
        <v/>
      </c>
      <c r="P13" s="378" t="str">
        <f t="shared" si="12"/>
        <v/>
      </c>
      <c r="Q13" s="378" t="str">
        <f t="shared" si="13"/>
        <v/>
      </c>
      <c r="R13" s="378" t="str">
        <f t="shared" si="14"/>
        <v/>
      </c>
      <c r="S13" s="602">
        <v>140501</v>
      </c>
      <c r="T13" s="378" t="str">
        <f>+IFERROR(VLOOKUP(S13,STAT1!$C$4:$D$189,2,FALSE),"")</f>
        <v>Нэгтгэл зардал БОЛОВСРУУЛАХ ЦЕХ /нарс/</v>
      </c>
      <c r="U13" s="1225"/>
      <c r="V13" s="1216">
        <v>23157578.402498033</v>
      </c>
      <c r="W13" s="327">
        <v>1006</v>
      </c>
      <c r="X13" s="328" t="str">
        <f>IFERROR(VLOOKUP(W13,DATA!$G$4:$H$400,2,FALSE),"")</f>
        <v>Оюундэлгэр /нярав/</v>
      </c>
      <c r="Y13" s="1205"/>
      <c r="Z13" s="1206"/>
      <c r="AA13" s="1210"/>
      <c r="AB13" s="1210"/>
      <c r="AC13" s="1201"/>
      <c r="AD13" s="1200"/>
      <c r="AE13" s="1200"/>
      <c r="AF13" s="1200"/>
      <c r="AG13" s="1200"/>
      <c r="AH13" s="1200"/>
    </row>
    <row r="14" spans="1:34" ht="12.75">
      <c r="A14" s="15">
        <v>1</v>
      </c>
      <c r="B14" s="369">
        <f t="shared" si="5"/>
        <v>9</v>
      </c>
      <c r="C14" s="427">
        <v>42736</v>
      </c>
      <c r="D14" s="426">
        <v>210003</v>
      </c>
      <c r="E14" s="425" t="str">
        <f t="shared" ca="1" si="6"/>
        <v>Н-Наамал дүнз</v>
      </c>
      <c r="F14" s="428" t="str">
        <f t="shared" ca="1" si="7"/>
        <v>м2</v>
      </c>
      <c r="G14" s="378">
        <v>500</v>
      </c>
      <c r="H14" s="378">
        <v>227035.082377432</v>
      </c>
      <c r="I14" s="378">
        <f t="shared" si="8"/>
        <v>113517541.18871599</v>
      </c>
      <c r="J14" s="378"/>
      <c r="K14" s="1220">
        <f t="shared" si="9"/>
        <v>113517541.18871599</v>
      </c>
      <c r="L14" s="378"/>
      <c r="M14" s="378"/>
      <c r="N14" s="378" t="str">
        <f t="shared" si="10"/>
        <v/>
      </c>
      <c r="O14" s="378" t="str">
        <f t="shared" si="11"/>
        <v/>
      </c>
      <c r="P14" s="378" t="str">
        <f t="shared" si="12"/>
        <v/>
      </c>
      <c r="Q14" s="378" t="str">
        <f t="shared" si="13"/>
        <v/>
      </c>
      <c r="R14" s="378" t="str">
        <f t="shared" si="14"/>
        <v/>
      </c>
      <c r="S14" s="602">
        <v>150101</v>
      </c>
      <c r="T14" s="378" t="str">
        <f>+IFERROR(VLOOKUP(S14,STAT1!$C$4:$D$189,2,FALSE),"")</f>
        <v>Бараа бэлэн бүтээгдэхүүн БОЛОВСРУУЛАХ ЦЕХ /нарс/</v>
      </c>
      <c r="U14" s="1225">
        <v>113517541.18871599</v>
      </c>
      <c r="V14" s="1216"/>
      <c r="W14" s="327">
        <v>1006</v>
      </c>
      <c r="X14" s="328" t="str">
        <f>IFERROR(VLOOKUP(W14,DATA!$G$4:$H$400,2,FALSE),"")</f>
        <v>Оюундэлгэр /нярав/</v>
      </c>
      <c r="Y14" s="1205"/>
      <c r="Z14" s="1206"/>
      <c r="AA14" s="1210"/>
      <c r="AB14" s="1210"/>
      <c r="AC14" s="1201"/>
      <c r="AD14" s="1200"/>
      <c r="AE14" s="1200"/>
      <c r="AF14" s="1200"/>
      <c r="AG14" s="1200"/>
      <c r="AH14" s="1200"/>
    </row>
    <row r="15" spans="1:34" ht="12.75" customHeight="1">
      <c r="A15" s="15">
        <v>1</v>
      </c>
      <c r="B15" s="369">
        <f t="shared" si="5"/>
        <v>10</v>
      </c>
      <c r="C15" s="427">
        <v>42736</v>
      </c>
      <c r="D15" s="426"/>
      <c r="E15" s="425" t="str">
        <f t="shared" ca="1" si="6"/>
        <v/>
      </c>
      <c r="F15" s="428" t="str">
        <f t="shared" ca="1" si="7"/>
        <v/>
      </c>
      <c r="G15" s="378"/>
      <c r="H15" s="378"/>
      <c r="I15" s="378" t="str">
        <f t="shared" si="8"/>
        <v/>
      </c>
      <c r="J15" s="378" t="str">
        <f>+IF(G15="","",I15*0.1)</f>
        <v/>
      </c>
      <c r="K15" s="1220" t="str">
        <f t="shared" si="9"/>
        <v/>
      </c>
      <c r="L15" s="378"/>
      <c r="M15" s="378"/>
      <c r="N15" s="378" t="str">
        <f t="shared" si="10"/>
        <v/>
      </c>
      <c r="O15" s="378" t="str">
        <f t="shared" si="11"/>
        <v/>
      </c>
      <c r="P15" s="378" t="str">
        <f t="shared" si="12"/>
        <v/>
      </c>
      <c r="Q15" s="378" t="str">
        <f t="shared" si="13"/>
        <v/>
      </c>
      <c r="R15" s="378" t="str">
        <f t="shared" si="14"/>
        <v/>
      </c>
      <c r="S15" s="602">
        <v>140501</v>
      </c>
      <c r="T15" s="378" t="str">
        <f>+IFERROR(VLOOKUP(S15,STAT1!$C$4:$D$189,2,FALSE),"")</f>
        <v>Нэгтгэл зардал БОЛОВСРУУЛАХ ЦЕХ /нарс/</v>
      </c>
      <c r="U15" s="1225"/>
      <c r="V15" s="1216">
        <v>113517541.18871599</v>
      </c>
      <c r="W15" s="326">
        <v>1006</v>
      </c>
      <c r="X15" s="328" t="str">
        <f>IFERROR(VLOOKUP(W15,DATA!$G$4:$H$400,2,FALSE),"")</f>
        <v>Оюундэлгэр /нярав/</v>
      </c>
      <c r="Y15" s="1205"/>
      <c r="Z15" s="1206"/>
      <c r="AA15" s="1201"/>
      <c r="AB15" s="1200"/>
      <c r="AC15" s="1200"/>
      <c r="AD15" s="1200"/>
      <c r="AE15" s="1200"/>
      <c r="AF15" s="1200"/>
      <c r="AG15" s="1200"/>
      <c r="AH15" s="1200"/>
    </row>
    <row r="16" spans="1:34" ht="12.75" customHeight="1">
      <c r="A16" s="15">
        <v>2</v>
      </c>
      <c r="B16" s="369">
        <f t="shared" si="5"/>
        <v>11</v>
      </c>
      <c r="C16" s="427">
        <v>42736</v>
      </c>
      <c r="D16" s="426">
        <v>310002</v>
      </c>
      <c r="E16" s="425" t="str">
        <f t="shared" ca="1" si="6"/>
        <v xml:space="preserve">Хатаасан нарсан банз </v>
      </c>
      <c r="F16" s="428" t="str">
        <f t="shared" ca="1" si="7"/>
        <v>м3</v>
      </c>
      <c r="G16" s="378"/>
      <c r="H16" s="378"/>
      <c r="I16" s="378"/>
      <c r="J16" s="378"/>
      <c r="K16" s="1220"/>
      <c r="L16" s="378">
        <v>179.744</v>
      </c>
      <c r="M16" s="378"/>
      <c r="N16" s="378">
        <f t="shared" si="10"/>
        <v>0</v>
      </c>
      <c r="O16" s="378">
        <f t="shared" si="11"/>
        <v>0</v>
      </c>
      <c r="P16" s="378">
        <f t="shared" si="12"/>
        <v>0</v>
      </c>
      <c r="Q16" s="378">
        <f t="shared" ca="1" si="13"/>
        <v>317870.2</v>
      </c>
      <c r="R16" s="378">
        <f t="shared" ca="1" si="14"/>
        <v>57135261.228799999</v>
      </c>
      <c r="S16" s="602">
        <v>140201</v>
      </c>
      <c r="T16" s="378" t="str">
        <f>+IFERROR(VLOOKUP(S16,STAT1!$C$4:$D$189,2,FALSE),"")</f>
        <v>ШМЗардал БОЛОВСРУУЛАХ ЦЕХ /нарс/</v>
      </c>
      <c r="U16" s="1225">
        <v>57135261.228799999</v>
      </c>
      <c r="V16" s="1216"/>
      <c r="W16" s="326">
        <v>1006</v>
      </c>
      <c r="X16" s="328" t="str">
        <f>IFERROR(VLOOKUP(W16,DATA!$G$4:$H$400,2,FALSE),"")</f>
        <v>Оюундэлгэр /нярав/</v>
      </c>
      <c r="Y16" s="1205"/>
      <c r="Z16" s="1206"/>
      <c r="AA16" s="1201"/>
      <c r="AB16" s="1200"/>
      <c r="AC16" s="1200"/>
      <c r="AD16" s="1200"/>
      <c r="AE16" s="1200"/>
      <c r="AF16" s="1200"/>
      <c r="AG16" s="1200"/>
      <c r="AH16" s="1200"/>
    </row>
    <row r="17" spans="1:26" ht="12.75" customHeight="1">
      <c r="A17" s="15">
        <v>2</v>
      </c>
      <c r="B17" s="369">
        <f t="shared" si="5"/>
        <v>12</v>
      </c>
      <c r="C17" s="427">
        <v>42736</v>
      </c>
      <c r="D17" s="426"/>
      <c r="E17" s="425" t="str">
        <f t="shared" ca="1" si="6"/>
        <v/>
      </c>
      <c r="F17" s="428" t="str">
        <f t="shared" ca="1" si="7"/>
        <v/>
      </c>
      <c r="G17" s="378"/>
      <c r="H17" s="378"/>
      <c r="I17" s="378"/>
      <c r="J17" s="378"/>
      <c r="K17" s="1220"/>
      <c r="L17" s="378"/>
      <c r="M17" s="378"/>
      <c r="N17" s="378" t="str">
        <f t="shared" si="10"/>
        <v/>
      </c>
      <c r="O17" s="378" t="str">
        <f t="shared" si="11"/>
        <v/>
      </c>
      <c r="P17" s="378" t="str">
        <f t="shared" si="12"/>
        <v/>
      </c>
      <c r="Q17" s="378" t="str">
        <f t="shared" si="13"/>
        <v/>
      </c>
      <c r="R17" s="378" t="str">
        <f t="shared" si="14"/>
        <v/>
      </c>
      <c r="S17" s="602">
        <v>150100</v>
      </c>
      <c r="T17" s="378" t="str">
        <f>+IFERROR(VLOOKUP(S17,STAT1!$C$4:$D$189,2,FALSE),"")</f>
        <v>Бараа бэлэн бүтээгдэхүүн ХАТААХ ЦЕХ /нарс/</v>
      </c>
      <c r="U17" s="1225"/>
      <c r="V17" s="1216">
        <v>57135261.228799999</v>
      </c>
      <c r="W17" s="326">
        <v>1006</v>
      </c>
      <c r="X17" s="328" t="str">
        <f>IFERROR(VLOOKUP(W17,DATA!$G$4:$H$400,2,FALSE),"")</f>
        <v>Оюундэлгэр /нярав/</v>
      </c>
      <c r="Y17" s="1205"/>
      <c r="Z17" s="1205"/>
    </row>
    <row r="18" spans="1:26" ht="12.75" customHeight="1">
      <c r="A18" s="15">
        <v>2</v>
      </c>
      <c r="B18" s="369">
        <f t="shared" si="5"/>
        <v>13</v>
      </c>
      <c r="C18" s="427">
        <v>42736</v>
      </c>
      <c r="D18" s="426">
        <v>310001</v>
      </c>
      <c r="E18" s="425" t="str">
        <f t="shared" ca="1" si="6"/>
        <v xml:space="preserve">Хатаасан нарсан банз </v>
      </c>
      <c r="F18" s="428" t="str">
        <f t="shared" ca="1" si="7"/>
        <v>м3</v>
      </c>
      <c r="G18" s="378"/>
      <c r="H18" s="378"/>
      <c r="I18" s="378"/>
      <c r="J18" s="378"/>
      <c r="K18" s="1220"/>
      <c r="L18" s="378">
        <v>264.32075000000003</v>
      </c>
      <c r="M18" s="378"/>
      <c r="N18" s="378">
        <f t="shared" si="10"/>
        <v>0</v>
      </c>
      <c r="O18" s="378">
        <f t="shared" si="11"/>
        <v>0</v>
      </c>
      <c r="P18" s="378">
        <f t="shared" si="12"/>
        <v>0</v>
      </c>
      <c r="Q18" s="378">
        <f t="shared" ca="1" si="13"/>
        <v>488587.36000000004</v>
      </c>
      <c r="R18" s="378">
        <f t="shared" ca="1" si="14"/>
        <v>129143777.43572003</v>
      </c>
      <c r="S18" s="602">
        <v>140201</v>
      </c>
      <c r="T18" s="378" t="str">
        <f>+IFERROR(VLOOKUP(S18,STAT1!$C$4:$D$189,2,FALSE),"")</f>
        <v>ШМЗардал БОЛОВСРУУЛАХ ЦЕХ /нарс/</v>
      </c>
      <c r="U18" s="1225">
        <v>129143777.43572003</v>
      </c>
      <c r="V18" s="1216"/>
      <c r="W18" s="326">
        <v>1006</v>
      </c>
      <c r="X18" s="328" t="str">
        <f>IFERROR(VLOOKUP(W18,DATA!$G$4:$H$400,2,FALSE),"")</f>
        <v>Оюундэлгэр /нярав/</v>
      </c>
      <c r="Y18" s="1205"/>
      <c r="Z18" s="1205"/>
    </row>
    <row r="19" spans="1:26" ht="12.75" customHeight="1">
      <c r="A19" s="15">
        <v>2</v>
      </c>
      <c r="B19" s="369">
        <f t="shared" si="5"/>
        <v>14</v>
      </c>
      <c r="C19" s="427">
        <v>42736</v>
      </c>
      <c r="D19" s="426"/>
      <c r="E19" s="425" t="str">
        <f t="shared" ca="1" si="6"/>
        <v/>
      </c>
      <c r="F19" s="428" t="str">
        <f t="shared" ca="1" si="7"/>
        <v/>
      </c>
      <c r="G19" s="378"/>
      <c r="H19" s="378"/>
      <c r="I19" s="378"/>
      <c r="J19" s="378"/>
      <c r="K19" s="1220"/>
      <c r="L19" s="378"/>
      <c r="M19" s="378"/>
      <c r="N19" s="378" t="str">
        <f t="shared" si="10"/>
        <v/>
      </c>
      <c r="O19" s="378" t="str">
        <f t="shared" si="11"/>
        <v/>
      </c>
      <c r="P19" s="378" t="str">
        <f t="shared" si="12"/>
        <v/>
      </c>
      <c r="Q19" s="378" t="str">
        <f t="shared" si="13"/>
        <v/>
      </c>
      <c r="R19" s="378" t="str">
        <f t="shared" si="14"/>
        <v/>
      </c>
      <c r="S19" s="602">
        <v>150100</v>
      </c>
      <c r="T19" s="378" t="str">
        <f>+IFERROR(VLOOKUP(S19,STAT1!$C$4:$D$189,2,FALSE),"")</f>
        <v>Бараа бэлэн бүтээгдэхүүн ХАТААХ ЦЕХ /нарс/</v>
      </c>
      <c r="U19" s="1225"/>
      <c r="V19" s="1216">
        <v>129143777.43572003</v>
      </c>
      <c r="W19" s="326">
        <v>1006</v>
      </c>
      <c r="X19" s="328" t="str">
        <f>IFERROR(VLOOKUP(W19,DATA!$G$4:$H$400,2,FALSE),"")</f>
        <v>Оюундэлгэр /нярав/</v>
      </c>
      <c r="Y19" s="1205"/>
      <c r="Z19" s="1205"/>
    </row>
    <row r="20" spans="1:26" ht="12.75" customHeight="1">
      <c r="A20" s="15">
        <v>8</v>
      </c>
      <c r="B20" s="369">
        <f t="shared" si="5"/>
        <v>15</v>
      </c>
      <c r="C20" s="427">
        <v>42736</v>
      </c>
      <c r="D20" s="426">
        <v>510001</v>
      </c>
      <c r="E20" s="425" t="str">
        <f t="shared" ca="1" si="6"/>
        <v>Цавуу 505</v>
      </c>
      <c r="F20" s="428" t="str">
        <f t="shared" ca="1" si="7"/>
        <v>кг</v>
      </c>
      <c r="G20" s="378"/>
      <c r="H20" s="378"/>
      <c r="I20" s="378"/>
      <c r="J20" s="378"/>
      <c r="K20" s="1220"/>
      <c r="L20" s="378">
        <v>1112.5</v>
      </c>
      <c r="M20" s="378"/>
      <c r="N20" s="378">
        <f t="shared" si="10"/>
        <v>0</v>
      </c>
      <c r="O20" s="378">
        <f t="shared" si="11"/>
        <v>0</v>
      </c>
      <c r="P20" s="378">
        <f t="shared" si="12"/>
        <v>0</v>
      </c>
      <c r="Q20" s="378">
        <f t="shared" ca="1" si="13"/>
        <v>3995.26</v>
      </c>
      <c r="R20" s="378">
        <f t="shared" ca="1" si="14"/>
        <v>4444726.75</v>
      </c>
      <c r="S20" s="602">
        <v>140201</v>
      </c>
      <c r="T20" s="378" t="str">
        <f>+IFERROR(VLOOKUP(S20,STAT1!$C$4:$D$189,2,FALSE),"")</f>
        <v>ШМЗардал БОЛОВСРУУЛАХ ЦЕХ /нарс/</v>
      </c>
      <c r="U20" s="1225">
        <v>4444726.75</v>
      </c>
      <c r="V20" s="1216"/>
      <c r="W20" s="326">
        <v>1006</v>
      </c>
      <c r="X20" s="328" t="str">
        <f>IFERROR(VLOOKUP(W20,DATA!$G$4:$H$400,2,FALSE),"")</f>
        <v>Оюундэлгэр /нярав/</v>
      </c>
      <c r="Y20" s="1205"/>
      <c r="Z20" s="1205"/>
    </row>
    <row r="21" spans="1:26" ht="12.75" customHeight="1">
      <c r="A21" s="15">
        <v>8</v>
      </c>
      <c r="B21" s="369">
        <f t="shared" si="5"/>
        <v>16</v>
      </c>
      <c r="C21" s="427">
        <v>42736</v>
      </c>
      <c r="D21" s="426"/>
      <c r="E21" s="425" t="str">
        <f t="shared" ca="1" si="6"/>
        <v/>
      </c>
      <c r="F21" s="428" t="str">
        <f t="shared" ca="1" si="7"/>
        <v/>
      </c>
      <c r="G21" s="378"/>
      <c r="H21" s="378"/>
      <c r="I21" s="378"/>
      <c r="J21" s="378"/>
      <c r="K21" s="1220"/>
      <c r="L21" s="378"/>
      <c r="M21" s="378"/>
      <c r="N21" s="378" t="str">
        <f t="shared" si="10"/>
        <v/>
      </c>
      <c r="O21" s="378" t="str">
        <f t="shared" si="11"/>
        <v/>
      </c>
      <c r="P21" s="378" t="str">
        <f t="shared" si="12"/>
        <v/>
      </c>
      <c r="Q21" s="378" t="str">
        <f t="shared" si="13"/>
        <v/>
      </c>
      <c r="R21" s="378" t="str">
        <f t="shared" si="14"/>
        <v/>
      </c>
      <c r="S21" s="602">
        <v>140100</v>
      </c>
      <c r="T21" s="378" t="str">
        <f>+IFERROR(VLOOKUP(S21,STAT1!$C$4:$D$189,2,FALSE),"")</f>
        <v>Түүхий эд материал</v>
      </c>
      <c r="U21" s="1225"/>
      <c r="V21" s="1216">
        <v>4444726.75</v>
      </c>
      <c r="W21" s="326">
        <v>1006</v>
      </c>
      <c r="X21" s="328" t="str">
        <f>IFERROR(VLOOKUP(W21,DATA!$G$4:$H$400,2,FALSE),"")</f>
        <v>Оюундэлгэр /нярав/</v>
      </c>
      <c r="Y21" s="1205"/>
      <c r="Z21" s="1205"/>
    </row>
    <row r="22" spans="1:26" ht="12.75" customHeight="1">
      <c r="A22" s="15">
        <v>9</v>
      </c>
      <c r="B22" s="369">
        <f t="shared" si="5"/>
        <v>17</v>
      </c>
      <c r="C22" s="427">
        <v>42740</v>
      </c>
      <c r="D22" s="426">
        <v>410370</v>
      </c>
      <c r="E22" s="425" t="str">
        <f t="shared" ca="1" si="6"/>
        <v xml:space="preserve">Хатаасан шил </v>
      </c>
      <c r="F22" s="428" t="str">
        <f t="shared" ca="1" si="7"/>
        <v>ш</v>
      </c>
      <c r="G22" s="378">
        <v>5</v>
      </c>
      <c r="H22" s="378">
        <v>37454.545400000003</v>
      </c>
      <c r="I22" s="378">
        <f>+IF(G22="","",G22*H22)</f>
        <v>187272.72700000001</v>
      </c>
      <c r="J22" s="378">
        <f>+IF(G22="","",I22*0.1)</f>
        <v>18727.272700000001</v>
      </c>
      <c r="K22" s="1220">
        <f>+IF(G22="","",I22+J22)</f>
        <v>205999.99970000001</v>
      </c>
      <c r="L22" s="378"/>
      <c r="M22" s="378"/>
      <c r="N22" s="378" t="str">
        <f t="shared" si="10"/>
        <v/>
      </c>
      <c r="O22" s="378" t="str">
        <f t="shared" si="11"/>
        <v/>
      </c>
      <c r="P22" s="378" t="str">
        <f t="shared" si="12"/>
        <v/>
      </c>
      <c r="Q22" s="378" t="str">
        <f t="shared" si="13"/>
        <v/>
      </c>
      <c r="R22" s="378" t="str">
        <f t="shared" si="14"/>
        <v/>
      </c>
      <c r="S22" s="602">
        <v>160100</v>
      </c>
      <c r="T22" s="378" t="str">
        <f>+IFERROR(VLOOKUP(S22,STAT1!$C$4:$D$189,2,FALSE),"")</f>
        <v xml:space="preserve">Барилгын материал </v>
      </c>
      <c r="U22" s="1225">
        <v>187272.72700000001</v>
      </c>
      <c r="V22" s="1225" t="s">
        <v>587</v>
      </c>
      <c r="W22" s="327">
        <v>1007</v>
      </c>
      <c r="X22" s="328" t="str">
        <f>IFERROR(VLOOKUP(W22,DATA!$G$4:$H$400,2,FALSE),"")</f>
        <v xml:space="preserve">Нэргүй </v>
      </c>
      <c r="Y22" s="1205"/>
      <c r="Z22" s="1205"/>
    </row>
    <row r="23" spans="1:26" ht="12.75" customHeight="1">
      <c r="A23" s="15">
        <v>9</v>
      </c>
      <c r="B23" s="369">
        <f t="shared" si="5"/>
        <v>18</v>
      </c>
      <c r="C23" s="427">
        <v>42740</v>
      </c>
      <c r="D23" s="426"/>
      <c r="E23" s="425" t="str">
        <f t="shared" ca="1" si="6"/>
        <v/>
      </c>
      <c r="F23" s="428" t="str">
        <f t="shared" ca="1" si="7"/>
        <v/>
      </c>
      <c r="G23" s="378"/>
      <c r="H23" s="378"/>
      <c r="I23" s="378" t="str">
        <f>+IF(G23="","",G23*H23)</f>
        <v/>
      </c>
      <c r="J23" s="378" t="str">
        <f>+IF(G23="","",I23*0.1)</f>
        <v/>
      </c>
      <c r="K23" s="1220" t="str">
        <f>+IF(G23="","",I23+J23)</f>
        <v/>
      </c>
      <c r="L23" s="378"/>
      <c r="M23" s="378"/>
      <c r="N23" s="378" t="str">
        <f t="shared" si="10"/>
        <v/>
      </c>
      <c r="O23" s="378" t="str">
        <f t="shared" si="11"/>
        <v/>
      </c>
      <c r="P23" s="378" t="str">
        <f t="shared" si="12"/>
        <v/>
      </c>
      <c r="Q23" s="378" t="str">
        <f t="shared" si="13"/>
        <v/>
      </c>
      <c r="R23" s="378" t="str">
        <f t="shared" si="14"/>
        <v/>
      </c>
      <c r="S23" s="602">
        <v>120600</v>
      </c>
      <c r="T23" s="378" t="str">
        <f>+IFERROR(VLOOKUP(S23,STAT1!$C$4:$D$189,2,FALSE),"")</f>
        <v>НӨАТ авлага</v>
      </c>
      <c r="U23" s="1225">
        <v>18727.272700000001</v>
      </c>
      <c r="V23" s="1225"/>
      <c r="W23" s="326">
        <v>1007</v>
      </c>
      <c r="X23" s="328" t="str">
        <f>IFERROR(VLOOKUP(W23,DATA!$G$4:$H$400,2,FALSE),"")</f>
        <v xml:space="preserve">Нэргүй </v>
      </c>
      <c r="Y23" s="1205"/>
      <c r="Z23" s="1205"/>
    </row>
    <row r="24" spans="1:26" ht="12.75" customHeight="1">
      <c r="A24" s="15">
        <v>9</v>
      </c>
      <c r="B24" s="369">
        <f t="shared" si="5"/>
        <v>19</v>
      </c>
      <c r="C24" s="427">
        <v>42740</v>
      </c>
      <c r="D24" s="426"/>
      <c r="E24" s="425" t="str">
        <f t="shared" ca="1" si="6"/>
        <v/>
      </c>
      <c r="F24" s="428" t="str">
        <f t="shared" ca="1" si="7"/>
        <v/>
      </c>
      <c r="G24" s="378"/>
      <c r="H24" s="378"/>
      <c r="I24" s="378" t="str">
        <f>+IF(G24="","",G24*H24)</f>
        <v/>
      </c>
      <c r="J24" s="378" t="str">
        <f>+IF(G24="","",I24*0.1)</f>
        <v/>
      </c>
      <c r="K24" s="1220" t="str">
        <f>+IF(G24="","",I24+J24)</f>
        <v/>
      </c>
      <c r="L24" s="378"/>
      <c r="M24" s="378"/>
      <c r="N24" s="378" t="str">
        <f t="shared" si="10"/>
        <v/>
      </c>
      <c r="O24" s="378" t="str">
        <f t="shared" si="11"/>
        <v/>
      </c>
      <c r="P24" s="378" t="str">
        <f t="shared" si="12"/>
        <v/>
      </c>
      <c r="Q24" s="378" t="str">
        <f t="shared" si="13"/>
        <v/>
      </c>
      <c r="R24" s="378" t="str">
        <f t="shared" si="14"/>
        <v/>
      </c>
      <c r="S24" s="602">
        <v>121200</v>
      </c>
      <c r="T24" s="378" t="str">
        <f>+IFERROR(VLOOKUP(S24,STAT1!$C$4:$D$189,2,FALSE),"")</f>
        <v xml:space="preserve">Ажилчидын дараа тайлангийн тооцоо </v>
      </c>
      <c r="U24" s="1225"/>
      <c r="V24" s="1225">
        <v>205999.99970000001</v>
      </c>
      <c r="W24" s="326">
        <v>1007</v>
      </c>
      <c r="X24" s="328" t="str">
        <f>IFERROR(VLOOKUP(W24,DATA!$G$4:$H$400,2,FALSE),"")</f>
        <v xml:space="preserve">Нэргүй </v>
      </c>
      <c r="Y24" s="1205"/>
      <c r="Z24" s="1205"/>
    </row>
    <row r="25" spans="1:26" ht="12.75" customHeight="1">
      <c r="A25" s="15">
        <v>10</v>
      </c>
      <c r="B25" s="369">
        <f t="shared" si="5"/>
        <v>20</v>
      </c>
      <c r="C25" s="427">
        <v>42740</v>
      </c>
      <c r="D25" s="426">
        <v>211504</v>
      </c>
      <c r="E25" s="425" t="str">
        <f t="shared" ca="1" si="6"/>
        <v xml:space="preserve">Н-Евровагонка /зузаан-1.2см/-яртай </v>
      </c>
      <c r="F25" s="428" t="str">
        <f t="shared" ca="1" si="7"/>
        <v>м2</v>
      </c>
      <c r="G25" s="378"/>
      <c r="H25" s="378"/>
      <c r="I25" s="378"/>
      <c r="J25" s="378"/>
      <c r="K25" s="1220"/>
      <c r="L25" s="378">
        <v>6.56</v>
      </c>
      <c r="M25" s="378">
        <v>17978.103599999999</v>
      </c>
      <c r="N25" s="378">
        <f t="shared" si="10"/>
        <v>117936.35961599999</v>
      </c>
      <c r="O25" s="378">
        <f t="shared" si="11"/>
        <v>11793.635961599999</v>
      </c>
      <c r="P25" s="378">
        <f t="shared" si="12"/>
        <v>129729.99557759998</v>
      </c>
      <c r="Q25" s="378">
        <f t="shared" ca="1" si="13"/>
        <v>9540.1099999999988</v>
      </c>
      <c r="R25" s="378">
        <f t="shared" ca="1" si="14"/>
        <v>62583.121599999991</v>
      </c>
      <c r="S25" s="609">
        <v>150101</v>
      </c>
      <c r="T25" s="325" t="str">
        <f>+IFERROR(VLOOKUP(S25,STAT1!$C$4:$D$189,2,FALSE),"")</f>
        <v>Бараа бэлэн бүтээгдэхүүн БОЛОВСРУУЛАХ ЦЕХ /нарс/</v>
      </c>
      <c r="U25" s="1226"/>
      <c r="V25" s="1217">
        <v>62583.121599999991</v>
      </c>
      <c r="W25" s="326">
        <v>3006</v>
      </c>
      <c r="X25" s="328" t="str">
        <f>IFERROR(VLOOKUP(W25,DATA!$G$4:$H$400,2,FALSE),"")</f>
        <v xml:space="preserve">ПАЙОНЕРИНГ ИНТЕРНЭШНЛ ХХК </v>
      </c>
      <c r="Y25" s="1205"/>
      <c r="Z25" s="1205"/>
    </row>
    <row r="26" spans="1:26" ht="12.75" customHeight="1">
      <c r="A26" s="15">
        <v>10</v>
      </c>
      <c r="B26" s="369">
        <f t="shared" si="5"/>
        <v>21</v>
      </c>
      <c r="C26" s="427">
        <v>42740</v>
      </c>
      <c r="D26" s="426"/>
      <c r="E26" s="425"/>
      <c r="F26" s="428"/>
      <c r="G26" s="378"/>
      <c r="H26" s="378"/>
      <c r="I26" s="378"/>
      <c r="J26" s="378"/>
      <c r="K26" s="1220"/>
      <c r="L26" s="378"/>
      <c r="M26" s="378"/>
      <c r="N26" s="378"/>
      <c r="O26" s="378"/>
      <c r="P26" s="378"/>
      <c r="Q26" s="378"/>
      <c r="R26" s="378"/>
      <c r="S26" s="609">
        <v>610100</v>
      </c>
      <c r="T26" s="325" t="str">
        <f>+IFERROR(VLOOKUP(S26,STAT1!$C$4:$D$189,2,FALSE),"")</f>
        <v>Борлуулсан барааны өртөг</v>
      </c>
      <c r="U26" s="1226">
        <v>62583.121599999991</v>
      </c>
      <c r="V26" s="1217"/>
      <c r="W26" s="326">
        <v>3006</v>
      </c>
      <c r="X26" s="328" t="str">
        <f>IFERROR(VLOOKUP(W26,DATA!$G$4:$H$400,2,FALSE),"")</f>
        <v xml:space="preserve">ПАЙОНЕРИНГ ИНТЕРНЭШНЛ ХХК </v>
      </c>
      <c r="Y26" s="1205"/>
      <c r="Z26" s="1205"/>
    </row>
    <row r="27" spans="1:26" ht="12.75" customHeight="1">
      <c r="A27" s="15">
        <v>11</v>
      </c>
      <c r="B27" s="369">
        <f t="shared" si="5"/>
        <v>22</v>
      </c>
      <c r="C27" s="427">
        <v>42740</v>
      </c>
      <c r="D27" s="426"/>
      <c r="E27" s="425" t="str">
        <f ca="1">+IFERROR(VLOOKUP(D27,TN_table,2,FALSE),"")</f>
        <v/>
      </c>
      <c r="F27" s="428" t="str">
        <f ca="1">+IFERROR(VLOOKUP(D27,TN_table,3,FALSE),"")</f>
        <v/>
      </c>
      <c r="G27" s="378"/>
      <c r="H27" s="378"/>
      <c r="I27" s="378"/>
      <c r="J27" s="378"/>
      <c r="K27" s="1220"/>
      <c r="L27" s="378"/>
      <c r="M27" s="378"/>
      <c r="N27" s="378" t="str">
        <f>+IF(L27="","",L27*M27)</f>
        <v/>
      </c>
      <c r="O27" s="378" t="str">
        <f>+IF(L27="","",N27*0.1)</f>
        <v/>
      </c>
      <c r="P27" s="378" t="str">
        <f>+IF(L27="","",N27+O27)</f>
        <v/>
      </c>
      <c r="Q27" s="378" t="str">
        <f>IF(L27="","",IFERROR((SUMIFS(TN_balC1_totol,TN_code,D27)+SUMIFS(RC_or_totol,RC_Code,D27,RC_date,"&lt;="&amp;C27)-SUMIFS(RC_zar_totol,RC_Code,D27,RC_date,"&lt;"&amp;C27)) /( SUMIFS(TN_balC1_unit,TN_code,D27)+SUMIFS(RC_or_unit,RC_Code,D27,RC_date,"&lt;="&amp;C27)-SUMIFS(RC_zar_unit,RC_Code,D27,RC_date,"&lt;"&amp;C27)),0 ))</f>
        <v/>
      </c>
      <c r="R27" s="378" t="str">
        <f>+IF(L27="","",L27*Q27)</f>
        <v/>
      </c>
      <c r="S27" s="609">
        <v>310500</v>
      </c>
      <c r="T27" s="325" t="str">
        <f>+IFERROR(VLOOKUP(S27,STAT1!$C$4:$D$189,2,FALSE),"")</f>
        <v>НӨАТ өглөг</v>
      </c>
      <c r="U27" s="1226"/>
      <c r="V27" s="1217">
        <v>11793.635961599999</v>
      </c>
      <c r="W27" s="326">
        <v>3006</v>
      </c>
      <c r="X27" s="328" t="str">
        <f>IFERROR(VLOOKUP(W27,DATA!$G$4:$H$400,2,FALSE),"")</f>
        <v xml:space="preserve">ПАЙОНЕРИНГ ИНТЕРНЭШНЛ ХХК </v>
      </c>
      <c r="Y27" s="1205"/>
      <c r="Z27" s="1205"/>
    </row>
    <row r="28" spans="1:26" ht="12.75" customHeight="1">
      <c r="A28" s="15">
        <v>11</v>
      </c>
      <c r="B28" s="369">
        <f t="shared" si="5"/>
        <v>23</v>
      </c>
      <c r="C28" s="427">
        <v>42740</v>
      </c>
      <c r="D28" s="426"/>
      <c r="E28" s="425" t="str">
        <f ca="1">+IFERROR(VLOOKUP(D28,TN_table,2,FALSE),"")</f>
        <v/>
      </c>
      <c r="F28" s="428" t="str">
        <f ca="1">+IFERROR(VLOOKUP(D28,TN_table,3,FALSE),"")</f>
        <v/>
      </c>
      <c r="G28" s="378"/>
      <c r="H28" s="378"/>
      <c r="I28" s="378"/>
      <c r="J28" s="378"/>
      <c r="K28" s="1220"/>
      <c r="L28" s="378"/>
      <c r="M28" s="378"/>
      <c r="N28" s="378" t="str">
        <f>+IF(L28="","",L28*M28)</f>
        <v/>
      </c>
      <c r="O28" s="378" t="str">
        <f>+IF(L28="","",N28*0.1)</f>
        <v/>
      </c>
      <c r="P28" s="378" t="str">
        <f>+IF(L28="","",N28+O28)</f>
        <v/>
      </c>
      <c r="Q28" s="378" t="str">
        <f>IF(L28="","",IFERROR((SUMIFS(TN_balC1_totol,TN_code,D28)+SUMIFS(RC_or_totol,RC_Code,D28,RC_date,"&lt;="&amp;C28)-SUMIFS(RC_zar_totol,RC_Code,D28,RC_date,"&lt;"&amp;C28)) /( SUMIFS(TN_balC1_unit,TN_code,D28)+SUMIFS(RC_or_unit,RC_Code,D28,RC_date,"&lt;="&amp;C28)-SUMIFS(RC_zar_unit,RC_Code,D28,RC_date,"&lt;"&amp;C28)),0 ))</f>
        <v/>
      </c>
      <c r="R28" s="378" t="str">
        <f>+IF(L28="","",L28*Q28)</f>
        <v/>
      </c>
      <c r="S28" s="609">
        <v>510000</v>
      </c>
      <c r="T28" s="325" t="str">
        <f>+IFERROR(VLOOKUP(S28,STAT1!$C$4:$D$189,2,FALSE),"")</f>
        <v>Үндсэн үйл ажиллагааны борлуулалт</v>
      </c>
      <c r="U28" s="1226"/>
      <c r="V28" s="1226">
        <v>117936.35961599999</v>
      </c>
      <c r="W28" s="326">
        <v>3006</v>
      </c>
      <c r="X28" s="328" t="str">
        <f>IFERROR(VLOOKUP(W28,DATA!$G$4:$H$400,2,FALSE),"")</f>
        <v xml:space="preserve">ПАЙОНЕРИНГ ИНТЕРНЭШНЛ ХХК </v>
      </c>
      <c r="Y28" s="1205"/>
      <c r="Z28" s="1205"/>
    </row>
    <row r="29" spans="1:26" ht="12.75" customHeight="1">
      <c r="A29" s="15">
        <v>11</v>
      </c>
      <c r="B29" s="369">
        <f t="shared" si="5"/>
        <v>24</v>
      </c>
      <c r="C29" s="427">
        <v>42740</v>
      </c>
      <c r="D29" s="426"/>
      <c r="E29" s="425" t="str">
        <f ca="1">+IFERROR(VLOOKUP(D29,TN_table,2,FALSE),"")</f>
        <v/>
      </c>
      <c r="F29" s="428" t="str">
        <f ca="1">+IFERROR(VLOOKUP(D29,TN_table,3,FALSE),"")</f>
        <v/>
      </c>
      <c r="G29" s="378"/>
      <c r="H29" s="378"/>
      <c r="I29" s="378"/>
      <c r="J29" s="378"/>
      <c r="K29" s="1220"/>
      <c r="L29" s="378"/>
      <c r="M29" s="378"/>
      <c r="N29" s="378" t="str">
        <f>+IF(L29="","",L29*M29)</f>
        <v/>
      </c>
      <c r="O29" s="378" t="str">
        <f>+IF(L29="","",N29*0.1)</f>
        <v/>
      </c>
      <c r="P29" s="378" t="str">
        <f>+IF(L29="","",N29+O29)</f>
        <v/>
      </c>
      <c r="Q29" s="378" t="str">
        <f>IF(L29="","",IFERROR((SUMIFS(TN_balC1_totol,TN_code,D29)+SUMIFS(RC_or_totol,RC_Code,D29,RC_date,"&lt;="&amp;C29)-SUMIFS(RC_zar_totol,RC_Code,D29,RC_date,"&lt;"&amp;C29)) /( SUMIFS(TN_balC1_unit,TN_code,D29)+SUMIFS(RC_or_unit,RC_Code,D29,RC_date,"&lt;="&amp;C29)-SUMIFS(RC_zar_unit,RC_Code,D29,RC_date,"&lt;"&amp;C29)),0 ))</f>
        <v/>
      </c>
      <c r="R29" s="378" t="str">
        <f>+IF(L29="","",L29*Q29)</f>
        <v/>
      </c>
      <c r="S29" s="609">
        <v>320100</v>
      </c>
      <c r="T29" s="325" t="str">
        <f>+IFERROR(VLOOKUP(S29,STAT1!$C$4:$D$189,2,FALSE),"")</f>
        <v>Урьдчилж орсон орлого MNT</v>
      </c>
      <c r="U29" s="1226">
        <v>129730</v>
      </c>
      <c r="V29" s="1217"/>
      <c r="W29" s="326">
        <v>3006</v>
      </c>
      <c r="X29" s="328" t="str">
        <f>IFERROR(VLOOKUP(W29,DATA!$G$4:$H$400,2,FALSE),"")</f>
        <v xml:space="preserve">ПАЙОНЕРИНГ ИНТЕРНЭШНЛ ХХК </v>
      </c>
      <c r="Y29" s="1205"/>
      <c r="Z29" s="1205"/>
    </row>
    <row r="30" spans="1:26" ht="12.75" customHeight="1">
      <c r="A30" s="15">
        <v>12</v>
      </c>
      <c r="B30" s="369">
        <f t="shared" si="5"/>
        <v>25</v>
      </c>
      <c r="C30" s="427">
        <v>42743</v>
      </c>
      <c r="D30" s="426">
        <v>211504</v>
      </c>
      <c r="E30" s="425" t="str">
        <f ca="1">+IFERROR(VLOOKUP(D30,TN_table,2,FALSE),"")</f>
        <v xml:space="preserve">Н-Евровагонка /зузаан-1.2см/-яртай </v>
      </c>
      <c r="F30" s="428" t="str">
        <f ca="1">+IFERROR(VLOOKUP(D30,TN_table,3,FALSE),"")</f>
        <v>м2</v>
      </c>
      <c r="G30" s="378"/>
      <c r="H30" s="378"/>
      <c r="I30" s="378"/>
      <c r="J30" s="378"/>
      <c r="K30" s="1220"/>
      <c r="L30" s="378">
        <v>12.96</v>
      </c>
      <c r="M30" s="378">
        <v>18006.453163580245</v>
      </c>
      <c r="N30" s="378">
        <f>+IF(L30="","",L30*M30)</f>
        <v>233363.633</v>
      </c>
      <c r="O30" s="378">
        <f>+IF(L30="","",N30*0.1)</f>
        <v>23336.363300000001</v>
      </c>
      <c r="P30" s="378">
        <f>+IF(L30="","",N30+O30)</f>
        <v>256699.9963</v>
      </c>
      <c r="Q30" s="378">
        <f ca="1">IF(L30="","",IFERROR((SUMIFS(TN_balC1_totol,TN_code,D30)+SUMIFS(RC_or_totol,RC_Code,D30,RC_date,"&lt;="&amp;C30)-SUMIFS(RC_zar_totol,RC_Code,D30,RC_date,"&lt;"&amp;C30)) /( SUMIFS(TN_balC1_unit,TN_code,D30)+SUMIFS(RC_or_unit,RC_Code,D30,RC_date,"&lt;="&amp;C30)-SUMIFS(RC_zar_unit,RC_Code,D30,RC_date,"&lt;"&amp;C30)),0 ))</f>
        <v>9540.1099999999988</v>
      </c>
      <c r="R30" s="378">
        <f ca="1">+IF(L30="","",L30*Q30)</f>
        <v>123639.8256</v>
      </c>
      <c r="S30" s="609">
        <v>150101</v>
      </c>
      <c r="T30" s="378" t="str">
        <f>+IFERROR(VLOOKUP(S30,STAT1!$C$4:$D$189,2,FALSE),"")</f>
        <v>Бараа бэлэн бүтээгдэхүүн БОЛОВСРУУЛАХ ЦЕХ /нарс/</v>
      </c>
      <c r="U30" s="1225"/>
      <c r="V30" s="1216">
        <v>123639.8256</v>
      </c>
      <c r="W30" s="326">
        <v>3011</v>
      </c>
      <c r="X30" s="328" t="str">
        <f>IFERROR(VLOOKUP(W30,DATA!$G$4:$H$400,2,FALSE),"")</f>
        <v xml:space="preserve">САКУРА КОНСТРАКШН ХХК </v>
      </c>
      <c r="Y30" s="1205"/>
      <c r="Z30" s="1205"/>
    </row>
    <row r="31" spans="1:26" ht="12.75" customHeight="1">
      <c r="A31" s="15">
        <v>12</v>
      </c>
      <c r="B31" s="369">
        <f t="shared" si="5"/>
        <v>26</v>
      </c>
      <c r="C31" s="427">
        <v>42743</v>
      </c>
      <c r="D31" s="426"/>
      <c r="E31" s="425"/>
      <c r="F31" s="428"/>
      <c r="G31" s="378"/>
      <c r="H31" s="378"/>
      <c r="I31" s="378"/>
      <c r="J31" s="378"/>
      <c r="K31" s="1220"/>
      <c r="L31" s="378"/>
      <c r="M31" s="378"/>
      <c r="N31" s="378"/>
      <c r="O31" s="378"/>
      <c r="P31" s="378"/>
      <c r="Q31" s="378"/>
      <c r="R31" s="378"/>
      <c r="S31" s="609">
        <v>610100</v>
      </c>
      <c r="T31" s="378" t="str">
        <f>+IFERROR(VLOOKUP(S31,STAT1!$C$4:$D$189,2,FALSE),"")</f>
        <v>Борлуулсан барааны өртөг</v>
      </c>
      <c r="U31" s="1216">
        <v>123639.8256</v>
      </c>
      <c r="V31" s="1216"/>
      <c r="W31" s="326">
        <v>3011</v>
      </c>
      <c r="X31" s="328" t="str">
        <f>IFERROR(VLOOKUP(W31,DATA!$G$4:$H$400,2,FALSE),"")</f>
        <v xml:space="preserve">САКУРА КОНСТРАКШН ХХК </v>
      </c>
      <c r="Y31" s="1205"/>
      <c r="Z31" s="1205"/>
    </row>
    <row r="32" spans="1:26" ht="12.75" customHeight="1">
      <c r="A32" s="15">
        <v>13</v>
      </c>
      <c r="B32" s="369">
        <f t="shared" si="5"/>
        <v>27</v>
      </c>
      <c r="C32" s="427">
        <v>42743</v>
      </c>
      <c r="D32" s="426"/>
      <c r="E32" s="425" t="str">
        <f ca="1">+IFERROR(VLOOKUP(D32,TN_table,2,FALSE),"")</f>
        <v/>
      </c>
      <c r="F32" s="428" t="str">
        <f ca="1">+IFERROR(VLOOKUP(D32,TN_table,3,FALSE),"")</f>
        <v/>
      </c>
      <c r="G32" s="378"/>
      <c r="H32" s="378"/>
      <c r="I32" s="378"/>
      <c r="J32" s="378"/>
      <c r="K32" s="1220"/>
      <c r="L32" s="378"/>
      <c r="M32" s="378"/>
      <c r="N32" s="378" t="str">
        <f>+IF(L32="","",L32*M32)</f>
        <v/>
      </c>
      <c r="O32" s="378" t="str">
        <f>+IF(L32="","",N32*0.1)</f>
        <v/>
      </c>
      <c r="P32" s="378" t="str">
        <f>+IF(L32="","",N32+O32)</f>
        <v/>
      </c>
      <c r="Q32" s="378" t="str">
        <f>IF(L32="","",IFERROR((SUMIFS(TN_balC1_totol,TN_code,D32)+SUMIFS(RC_or_totol,RC_Code,D32,RC_date,"&lt;="&amp;C32)-SUMIFS(RC_zar_totol,RC_Code,D32,RC_date,"&lt;"&amp;C32)) /( SUMIFS(TN_balC1_unit,TN_code,D32)+SUMIFS(RC_or_unit,RC_Code,D32,RC_date,"&lt;="&amp;C32)-SUMIFS(RC_zar_unit,RC_Code,D32,RC_date,"&lt;"&amp;C32)),0 ))</f>
        <v/>
      </c>
      <c r="R32" s="378" t="str">
        <f>+IF(L32="","",L32*Q32)</f>
        <v/>
      </c>
      <c r="S32" s="609">
        <v>310500</v>
      </c>
      <c r="T32" s="378" t="str">
        <f>+IFERROR(VLOOKUP(S32,STAT1!$C$4:$D$189,2,FALSE),"")</f>
        <v>НӨАТ өглөг</v>
      </c>
      <c r="U32" s="1225"/>
      <c r="V32" s="1216">
        <v>23336.363300000001</v>
      </c>
      <c r="W32" s="326">
        <v>3011</v>
      </c>
      <c r="X32" s="328" t="str">
        <f>IFERROR(VLOOKUP(W32,DATA!$G$4:$H$400,2,FALSE),"")</f>
        <v xml:space="preserve">САКУРА КОНСТРАКШН ХХК </v>
      </c>
      <c r="Y32" s="1205"/>
      <c r="Z32" s="1205"/>
    </row>
    <row r="33" spans="1:27" ht="12.75" customHeight="1">
      <c r="A33" s="15">
        <v>13</v>
      </c>
      <c r="B33" s="369">
        <f t="shared" si="5"/>
        <v>28</v>
      </c>
      <c r="C33" s="427">
        <v>42743</v>
      </c>
      <c r="D33" s="426"/>
      <c r="E33" s="425" t="str">
        <f ca="1">+IFERROR(VLOOKUP(D33,TN_table,2,FALSE),"")</f>
        <v/>
      </c>
      <c r="F33" s="428" t="str">
        <f ca="1">+IFERROR(VLOOKUP(D33,TN_table,3,FALSE),"")</f>
        <v/>
      </c>
      <c r="G33" s="378"/>
      <c r="H33" s="378"/>
      <c r="I33" s="378"/>
      <c r="J33" s="378"/>
      <c r="K33" s="1220"/>
      <c r="L33" s="378"/>
      <c r="M33" s="378"/>
      <c r="N33" s="378" t="str">
        <f>+IF(L33="","",L33*M33)</f>
        <v/>
      </c>
      <c r="O33" s="378" t="str">
        <f>+IF(L33="","",N33*0.1)</f>
        <v/>
      </c>
      <c r="P33" s="378" t="str">
        <f>+IF(L33="","",N33+O33)</f>
        <v/>
      </c>
      <c r="Q33" s="378" t="str">
        <f>IF(L33="","",IFERROR((SUMIFS(TN_balC1_totol,TN_code,D33)+SUMIFS(RC_or_totol,RC_Code,D33,RC_date,"&lt;="&amp;C33)-SUMIFS(RC_zar_totol,RC_Code,D33,RC_date,"&lt;"&amp;C33)) /( SUMIFS(TN_balC1_unit,TN_code,D33)+SUMIFS(RC_or_unit,RC_Code,D33,RC_date,"&lt;="&amp;C33)-SUMIFS(RC_zar_unit,RC_Code,D33,RC_date,"&lt;"&amp;C33)),0 ))</f>
        <v/>
      </c>
      <c r="R33" s="378" t="str">
        <f>+IF(L33="","",L33*Q33)</f>
        <v/>
      </c>
      <c r="S33" s="609">
        <v>510000</v>
      </c>
      <c r="T33" s="378" t="str">
        <f>+IFERROR(VLOOKUP(S33,STAT1!$C$4:$D$189,2,FALSE),"")</f>
        <v>Үндсэн үйл ажиллагааны борлуулалт</v>
      </c>
      <c r="U33" s="1225"/>
      <c r="V33" s="1216">
        <v>233363.63</v>
      </c>
      <c r="W33" s="326">
        <v>3011</v>
      </c>
      <c r="X33" s="328" t="str">
        <f>IFERROR(VLOOKUP(W33,DATA!$G$4:$H$400,2,FALSE),"")</f>
        <v xml:space="preserve">САКУРА КОНСТРАКШН ХХК </v>
      </c>
      <c r="Y33" s="1205"/>
      <c r="Z33" s="1205"/>
    </row>
    <row r="34" spans="1:27" ht="12.75" customHeight="1">
      <c r="A34" s="15">
        <v>13</v>
      </c>
      <c r="B34" s="369">
        <f t="shared" si="5"/>
        <v>29</v>
      </c>
      <c r="C34" s="427">
        <v>42743</v>
      </c>
      <c r="D34" s="426"/>
      <c r="E34" s="425" t="str">
        <f ca="1">+IFERROR(VLOOKUP(D34,TN_table,2,FALSE),"")</f>
        <v/>
      </c>
      <c r="F34" s="428" t="str">
        <f ca="1">+IFERROR(VLOOKUP(D34,TN_table,3,FALSE),"")</f>
        <v/>
      </c>
      <c r="G34" s="378"/>
      <c r="H34" s="378"/>
      <c r="I34" s="378"/>
      <c r="J34" s="378"/>
      <c r="K34" s="1220"/>
      <c r="L34" s="378"/>
      <c r="M34" s="378"/>
      <c r="N34" s="378" t="str">
        <f>+IF(L34="","",L34*M34)</f>
        <v/>
      </c>
      <c r="O34" s="378" t="str">
        <f>+IF(L34="","",N34*0.1)</f>
        <v/>
      </c>
      <c r="P34" s="378" t="str">
        <f>+IF(L34="","",N34+O34)</f>
        <v/>
      </c>
      <c r="Q34" s="378" t="str">
        <f>IF(L34="","",IFERROR((SUMIFS(TN_balC1_totol,TN_code,D34)+SUMIFS(RC_or_totol,RC_Code,D34,RC_date,"&lt;="&amp;C34)-SUMIFS(RC_zar_totol,RC_Code,D34,RC_date,"&lt;"&amp;C34)) /( SUMIFS(TN_balC1_unit,TN_code,D34)+SUMIFS(RC_or_unit,RC_Code,D34,RC_date,"&lt;="&amp;C34)-SUMIFS(RC_zar_unit,RC_Code,D34,RC_date,"&lt;"&amp;C34)),0 ))</f>
        <v/>
      </c>
      <c r="R34" s="378" t="str">
        <f>+IF(L34="","",L34*Q34)</f>
        <v/>
      </c>
      <c r="S34" s="609">
        <v>320100</v>
      </c>
      <c r="T34" s="378" t="str">
        <f>+IFERROR(VLOOKUP(S34,STAT1!$C$4:$D$189,2,FALSE),"")</f>
        <v>Урьдчилж орсон орлого MNT</v>
      </c>
      <c r="U34" s="1225">
        <v>256699.9963</v>
      </c>
      <c r="V34" s="1216"/>
      <c r="W34" s="326">
        <v>3011</v>
      </c>
      <c r="X34" s="328" t="str">
        <f>IFERROR(VLOOKUP(W34,DATA!$G$4:$H$400,2,FALSE),"")</f>
        <v xml:space="preserve">САКУРА КОНСТРАКШН ХХК </v>
      </c>
      <c r="Y34" s="1205"/>
      <c r="Z34" s="1205"/>
    </row>
    <row r="35" spans="1:27" ht="12.75" customHeight="1">
      <c r="A35" s="15">
        <v>14</v>
      </c>
      <c r="B35" s="369">
        <f t="shared" si="5"/>
        <v>30</v>
      </c>
      <c r="C35" s="427">
        <v>42744</v>
      </c>
      <c r="D35" s="426">
        <v>210003</v>
      </c>
      <c r="E35" s="425" t="str">
        <f ca="1">+IFERROR(VLOOKUP(D35,TN_table,2,FALSE),"")</f>
        <v>Н-Наамал дүнз</v>
      </c>
      <c r="F35" s="428" t="str">
        <f ca="1">+IFERROR(VLOOKUP(D35,TN_table,3,FALSE),"")</f>
        <v>м2</v>
      </c>
      <c r="G35" s="378"/>
      <c r="H35" s="378"/>
      <c r="I35" s="378"/>
      <c r="J35" s="378"/>
      <c r="K35" s="1220"/>
      <c r="L35" s="378">
        <v>1</v>
      </c>
      <c r="M35" s="378">
        <v>280000</v>
      </c>
      <c r="N35" s="378">
        <f>+IF(L35="","",L35*M35)</f>
        <v>280000</v>
      </c>
      <c r="O35" s="378">
        <f>+IF(L35="","",N35*0.1)</f>
        <v>28000</v>
      </c>
      <c r="P35" s="378">
        <f>+IF(L35="","",N35+O35)</f>
        <v>308000</v>
      </c>
      <c r="Q35" s="378">
        <f ca="1">IF(L35="","",IFERROR((SUMIFS(TN_balC1_totol,TN_code,D35)+SUMIFS(RC_or_totol,RC_Code,D35,RC_date,"&lt;="&amp;C35)-SUMIFS(RC_zar_totol,RC_Code,D35,RC_date,"&lt;"&amp;C35)) /( SUMIFS(TN_balC1_unit,TN_code,D35)+SUMIFS(RC_or_unit,RC_Code,D35,RC_date,"&lt;="&amp;C35)-SUMIFS(RC_zar_unit,RC_Code,D35,RC_date,"&lt;"&amp;C35)),0 ))</f>
        <v>191123.56673210167</v>
      </c>
      <c r="R35" s="378">
        <f ca="1">+IF(L35="","",L35*Q35)</f>
        <v>191123.56673210167</v>
      </c>
      <c r="S35" s="609">
        <v>150101</v>
      </c>
      <c r="T35" s="378" t="str">
        <f>+IFERROR(VLOOKUP(S35,STAT1!$C$4:$D$189,2,FALSE),"")</f>
        <v>Бараа бэлэн бүтээгдэхүүн БОЛОВСРУУЛАХ ЦЕХ /нарс/</v>
      </c>
      <c r="U35" s="1225"/>
      <c r="V35" s="1216">
        <v>191123.56673210199</v>
      </c>
      <c r="W35" s="326">
        <v>3009</v>
      </c>
      <c r="X35" s="328" t="str">
        <f>IFERROR(VLOOKUP(W35,DATA!$G$4:$H$400,2,FALSE),"")</f>
        <v xml:space="preserve">СЭРҮҮН ХАРААТ ХХК </v>
      </c>
      <c r="Y35" s="1205"/>
      <c r="Z35" s="1205"/>
    </row>
    <row r="36" spans="1:27" ht="12.75" customHeight="1">
      <c r="A36" s="15">
        <v>14</v>
      </c>
      <c r="B36" s="369">
        <f t="shared" si="5"/>
        <v>31</v>
      </c>
      <c r="C36" s="427">
        <v>42744</v>
      </c>
      <c r="D36" s="426"/>
      <c r="E36" s="425"/>
      <c r="F36" s="428"/>
      <c r="G36" s="378"/>
      <c r="H36" s="378"/>
      <c r="I36" s="378"/>
      <c r="J36" s="378"/>
      <c r="K36" s="1220"/>
      <c r="L36" s="378"/>
      <c r="M36" s="378"/>
      <c r="N36" s="378"/>
      <c r="O36" s="378"/>
      <c r="P36" s="378"/>
      <c r="Q36" s="378"/>
      <c r="R36" s="378"/>
      <c r="S36" s="609">
        <v>610100</v>
      </c>
      <c r="T36" s="378" t="str">
        <f>+IFERROR(VLOOKUP(S36,STAT1!$C$4:$D$189,2,FALSE),"")</f>
        <v>Борлуулсан барааны өртөг</v>
      </c>
      <c r="U36" s="1216">
        <v>191123.56673210199</v>
      </c>
      <c r="V36" s="1216"/>
      <c r="W36" s="326">
        <v>3009</v>
      </c>
      <c r="X36" s="328" t="str">
        <f>IFERROR(VLOOKUP(W36,DATA!$G$4:$H$400,2,FALSE),"")</f>
        <v xml:space="preserve">СЭРҮҮН ХАРААТ ХХК </v>
      </c>
      <c r="Y36" s="1205"/>
      <c r="Z36" s="1205"/>
    </row>
    <row r="37" spans="1:27" ht="12.75" customHeight="1">
      <c r="A37" s="15">
        <v>15</v>
      </c>
      <c r="B37" s="369">
        <f t="shared" si="5"/>
        <v>32</v>
      </c>
      <c r="C37" s="427">
        <v>42744</v>
      </c>
      <c r="D37" s="426"/>
      <c r="E37" s="425" t="str">
        <f ca="1">+IFERROR(VLOOKUP(D37,TN_table,2,FALSE),"")</f>
        <v/>
      </c>
      <c r="F37" s="428" t="str">
        <f ca="1">+IFERROR(VLOOKUP(D37,TN_table,3,FALSE),"")</f>
        <v/>
      </c>
      <c r="G37" s="378"/>
      <c r="H37" s="378"/>
      <c r="I37" s="378"/>
      <c r="J37" s="378"/>
      <c r="K37" s="1220"/>
      <c r="L37" s="378"/>
      <c r="M37" s="378"/>
      <c r="N37" s="378" t="str">
        <f>+IF(L37="","",L37*M37)</f>
        <v/>
      </c>
      <c r="O37" s="378" t="str">
        <f>+IF(L37="","",N37*0.1)</f>
        <v/>
      </c>
      <c r="P37" s="378" t="str">
        <f>+IF(L37="","",N37+O37)</f>
        <v/>
      </c>
      <c r="Q37" s="378" t="str">
        <f>IF(L37="","",IFERROR((SUMIFS(TN_balC1_totol,TN_code,D37)+SUMIFS(RC_or_totol,RC_Code,D37,RC_date,"&lt;="&amp;C37)-SUMIFS(RC_zar_totol,RC_Code,D37,RC_date,"&lt;"&amp;C37)) /( SUMIFS(TN_balC1_unit,TN_code,D37)+SUMIFS(RC_or_unit,RC_Code,D37,RC_date,"&lt;="&amp;C37)-SUMIFS(RC_zar_unit,RC_Code,D37,RC_date,"&lt;"&amp;C37)),0 ))</f>
        <v/>
      </c>
      <c r="R37" s="378" t="str">
        <f>+IF(L37="","",L37*Q37)</f>
        <v/>
      </c>
      <c r="S37" s="609">
        <v>310500</v>
      </c>
      <c r="T37" s="378" t="str">
        <f>+IFERROR(VLOOKUP(S37,STAT1!$C$4:$D$189,2,FALSE),"")</f>
        <v>НӨАТ өглөг</v>
      </c>
      <c r="U37" s="1225"/>
      <c r="V37" s="1216">
        <v>28000</v>
      </c>
      <c r="W37" s="326">
        <v>3009</v>
      </c>
      <c r="X37" s="328" t="str">
        <f>IFERROR(VLOOKUP(W37,DATA!$G$4:$H$400,2,FALSE),"")</f>
        <v xml:space="preserve">СЭРҮҮН ХАРААТ ХХК </v>
      </c>
      <c r="Y37" s="1205"/>
      <c r="Z37" s="1205"/>
    </row>
    <row r="38" spans="1:27" ht="12.75" customHeight="1">
      <c r="A38" s="15">
        <v>15</v>
      </c>
      <c r="B38" s="369">
        <f t="shared" si="5"/>
        <v>33</v>
      </c>
      <c r="C38" s="427">
        <v>42744</v>
      </c>
      <c r="D38" s="426"/>
      <c r="E38" s="425" t="str">
        <f ca="1">+IFERROR(VLOOKUP(D38,TN_table,2,FALSE),"")</f>
        <v/>
      </c>
      <c r="F38" s="428" t="str">
        <f ca="1">+IFERROR(VLOOKUP(D38,TN_table,3,FALSE),"")</f>
        <v/>
      </c>
      <c r="G38" s="378"/>
      <c r="H38" s="378"/>
      <c r="I38" s="378"/>
      <c r="J38" s="378"/>
      <c r="K38" s="1220"/>
      <c r="L38" s="378"/>
      <c r="M38" s="378"/>
      <c r="N38" s="378" t="str">
        <f>+IF(L38="","",L38*M38)</f>
        <v/>
      </c>
      <c r="O38" s="378" t="str">
        <f>+IF(L38="","",N38*0.1)</f>
        <v/>
      </c>
      <c r="P38" s="378" t="str">
        <f>+IF(L38="","",N38+O38)</f>
        <v/>
      </c>
      <c r="Q38" s="378" t="str">
        <f>IF(L38="","",IFERROR((SUMIFS(TN_balC1_totol,TN_code,D38)+SUMIFS(RC_or_totol,RC_Code,D38,RC_date,"&lt;="&amp;C38)-SUMIFS(RC_zar_totol,RC_Code,D38,RC_date,"&lt;"&amp;C38)) /( SUMIFS(TN_balC1_unit,TN_code,D38)+SUMIFS(RC_or_unit,RC_Code,D38,RC_date,"&lt;="&amp;C38)-SUMIFS(RC_zar_unit,RC_Code,D38,RC_date,"&lt;"&amp;C38)),0 ))</f>
        <v/>
      </c>
      <c r="R38" s="378" t="str">
        <f>+IF(L38="","",L38*Q38)</f>
        <v/>
      </c>
      <c r="S38" s="609">
        <v>510000</v>
      </c>
      <c r="T38" s="378" t="str">
        <f>+IFERROR(VLOOKUP(S38,STAT1!$C$4:$D$189,2,FALSE),"")</f>
        <v>Үндсэн үйл ажиллагааны борлуулалт</v>
      </c>
      <c r="U38" s="1225"/>
      <c r="V38" s="1216">
        <v>280000</v>
      </c>
      <c r="W38" s="326">
        <v>3009</v>
      </c>
      <c r="X38" s="328" t="str">
        <f>IFERROR(VLOOKUP(W38,DATA!$G$4:$H$400,2,FALSE),"")</f>
        <v xml:space="preserve">СЭРҮҮН ХАРААТ ХХК </v>
      </c>
      <c r="Y38" s="1205"/>
      <c r="Z38" s="1205"/>
    </row>
    <row r="39" spans="1:27" ht="12.75" customHeight="1">
      <c r="A39" s="15">
        <v>15</v>
      </c>
      <c r="B39" s="369">
        <f t="shared" si="5"/>
        <v>34</v>
      </c>
      <c r="C39" s="427">
        <v>42744</v>
      </c>
      <c r="D39" s="426"/>
      <c r="E39" s="425" t="str">
        <f ca="1">+IFERROR(VLOOKUP(D39,TN_table,2,FALSE),"")</f>
        <v/>
      </c>
      <c r="F39" s="428" t="str">
        <f ca="1">+IFERROR(VLOOKUP(D39,TN_table,3,FALSE),"")</f>
        <v/>
      </c>
      <c r="G39" s="378"/>
      <c r="H39" s="378"/>
      <c r="I39" s="378"/>
      <c r="J39" s="378"/>
      <c r="K39" s="1220"/>
      <c r="L39" s="378"/>
      <c r="M39" s="378"/>
      <c r="N39" s="378" t="str">
        <f>+IF(L39="","",L39*M39)</f>
        <v/>
      </c>
      <c r="O39" s="378" t="str">
        <f>+IF(L39="","",N39*0.1)</f>
        <v/>
      </c>
      <c r="P39" s="378" t="str">
        <f>+IF(L39="","",N39+O39)</f>
        <v/>
      </c>
      <c r="Q39" s="378" t="str">
        <f>IF(L39="","",IFERROR((SUMIFS(TN_balC1_totol,TN_code,D39)+SUMIFS(RC_or_totol,RC_Code,D39,RC_date,"&lt;="&amp;C39)-SUMIFS(RC_zar_totol,RC_Code,D39,RC_date,"&lt;"&amp;C39)) /( SUMIFS(TN_balC1_unit,TN_code,D39)+SUMIFS(RC_or_unit,RC_Code,D39,RC_date,"&lt;="&amp;C39)-SUMIFS(RC_zar_unit,RC_Code,D39,RC_date,"&lt;"&amp;C39)),0 ))</f>
        <v/>
      </c>
      <c r="R39" s="378" t="str">
        <f>+IF(L39="","",L39*Q39)</f>
        <v/>
      </c>
      <c r="S39" s="609">
        <v>320100</v>
      </c>
      <c r="T39" s="378" t="str">
        <f>+IFERROR(VLOOKUP(S39,STAT1!$C$4:$D$189,2,FALSE),"")</f>
        <v>Урьдчилж орсон орлого MNT</v>
      </c>
      <c r="U39" s="1225">
        <v>308000</v>
      </c>
      <c r="V39" s="1216"/>
      <c r="W39" s="326">
        <v>3009</v>
      </c>
      <c r="X39" s="328" t="str">
        <f>IFERROR(VLOOKUP(W39,DATA!$G$4:$H$400,2,FALSE),"")</f>
        <v xml:space="preserve">СЭРҮҮН ХАРААТ ХХК </v>
      </c>
      <c r="Y39" s="1205"/>
      <c r="Z39" s="1205"/>
    </row>
    <row r="40" spans="1:27" ht="12.75" customHeight="1">
      <c r="A40" s="15">
        <v>16</v>
      </c>
      <c r="B40" s="369">
        <f t="shared" si="5"/>
        <v>35</v>
      </c>
      <c r="C40" s="427">
        <v>42744</v>
      </c>
      <c r="D40" s="426">
        <v>211504</v>
      </c>
      <c r="E40" s="425" t="str">
        <f ca="1">+IFERROR(VLOOKUP(D40,TN_table,2,FALSE),"")</f>
        <v xml:space="preserve">Н-Евровагонка /зузаан-1.2см/-яртай </v>
      </c>
      <c r="F40" s="428" t="str">
        <f ca="1">+IFERROR(VLOOKUP(D40,TN_table,3,FALSE),"")</f>
        <v>м2</v>
      </c>
      <c r="G40" s="378"/>
      <c r="H40" s="378"/>
      <c r="I40" s="378"/>
      <c r="J40" s="378"/>
      <c r="K40" s="1220"/>
      <c r="L40" s="378">
        <v>6.25</v>
      </c>
      <c r="M40" s="378">
        <v>18000</v>
      </c>
      <c r="N40" s="378">
        <f>+IF(L40="","",L40*M40)</f>
        <v>112500</v>
      </c>
      <c r="O40" s="378">
        <f>+IF(L40="","",N40*0.1)</f>
        <v>11250</v>
      </c>
      <c r="P40" s="378">
        <f>+IF(L40="","",N40+O40)</f>
        <v>123750</v>
      </c>
      <c r="Q40" s="378">
        <f ca="1">IF(L40="","",IFERROR((SUMIFS(TN_balC1_totol,TN_code,D40)+SUMIFS(RC_or_totol,RC_Code,D40,RC_date,"&lt;="&amp;C40)-SUMIFS(RC_zar_totol,RC_Code,D40,RC_date,"&lt;"&amp;C40)) /( SUMIFS(TN_balC1_unit,TN_code,D40)+SUMIFS(RC_or_unit,RC_Code,D40,RC_date,"&lt;="&amp;C40)-SUMIFS(RC_zar_unit,RC_Code,D40,RC_date,"&lt;"&amp;C40)),0 ))</f>
        <v>9540.1099999999988</v>
      </c>
      <c r="R40" s="378">
        <f ca="1">+IF(L40="","",L40*Q40)</f>
        <v>59625.687499999993</v>
      </c>
      <c r="S40" s="609">
        <v>150101</v>
      </c>
      <c r="T40" s="378" t="str">
        <f>+IFERROR(VLOOKUP(S40,STAT1!$C$4:$D$189,2,FALSE),"")</f>
        <v>Бараа бэлэн бүтээгдэхүүн БОЛОВСРУУЛАХ ЦЕХ /нарс/</v>
      </c>
      <c r="U40" s="1225"/>
      <c r="V40" s="1216">
        <v>59625.687499999993</v>
      </c>
      <c r="W40" s="326">
        <v>3012</v>
      </c>
      <c r="X40" s="328" t="str">
        <f>IFERROR(VLOOKUP(W40,DATA!$G$4:$H$400,2,FALSE),"")</f>
        <v xml:space="preserve">УБПК ХХК </v>
      </c>
      <c r="Y40" s="1205"/>
      <c r="Z40" s="1205"/>
    </row>
    <row r="41" spans="1:27" ht="12.75" customHeight="1">
      <c r="A41" s="15">
        <v>16</v>
      </c>
      <c r="B41" s="369">
        <f t="shared" si="5"/>
        <v>36</v>
      </c>
      <c r="C41" s="427">
        <v>42744</v>
      </c>
      <c r="D41" s="426"/>
      <c r="E41" s="425"/>
      <c r="F41" s="428"/>
      <c r="G41" s="378"/>
      <c r="H41" s="378"/>
      <c r="I41" s="378"/>
      <c r="J41" s="378"/>
      <c r="K41" s="1220"/>
      <c r="L41" s="378"/>
      <c r="M41" s="378"/>
      <c r="N41" s="378"/>
      <c r="O41" s="378"/>
      <c r="P41" s="378"/>
      <c r="Q41" s="378"/>
      <c r="R41" s="378"/>
      <c r="S41" s="609">
        <v>610100</v>
      </c>
      <c r="T41" s="378" t="str">
        <f>+IFERROR(VLOOKUP(S41,STAT1!$C$4:$D$189,2,FALSE),"")</f>
        <v>Борлуулсан барааны өртөг</v>
      </c>
      <c r="U41" s="1216">
        <v>59625.687499999993</v>
      </c>
      <c r="V41" s="1216"/>
      <c r="W41" s="326">
        <v>3012</v>
      </c>
      <c r="X41" s="328"/>
      <c r="Y41" s="1205"/>
      <c r="Z41" s="1205"/>
    </row>
    <row r="42" spans="1:27" ht="12.75" customHeight="1">
      <c r="A42" s="15">
        <v>17</v>
      </c>
      <c r="B42" s="369">
        <f t="shared" si="5"/>
        <v>37</v>
      </c>
      <c r="C42" s="427">
        <v>42744</v>
      </c>
      <c r="D42" s="426"/>
      <c r="E42" s="425" t="str">
        <f ca="1">+IFERROR(VLOOKUP(D42,TN_table,2,FALSE),"")</f>
        <v/>
      </c>
      <c r="F42" s="428" t="str">
        <f ca="1">+IFERROR(VLOOKUP(D42,TN_table,3,FALSE),"")</f>
        <v/>
      </c>
      <c r="G42" s="378"/>
      <c r="H42" s="378"/>
      <c r="I42" s="378"/>
      <c r="J42" s="378"/>
      <c r="K42" s="1220"/>
      <c r="L42" s="378"/>
      <c r="M42" s="378"/>
      <c r="N42" s="378" t="str">
        <f>+IF(L42="","",L42*M42)</f>
        <v/>
      </c>
      <c r="O42" s="378" t="str">
        <f>+IF(L42="","",N42*0.1)</f>
        <v/>
      </c>
      <c r="P42" s="378" t="str">
        <f>+IF(L42="","",N42+O42)</f>
        <v/>
      </c>
      <c r="Q42" s="378" t="str">
        <f>IF(L42="","",IFERROR((SUMIFS(TN_balC1_totol,TN_code,D42)+SUMIFS(RC_or_totol,RC_Code,D42,RC_date,"&lt;="&amp;C42)-SUMIFS(RC_zar_totol,RC_Code,D42,RC_date,"&lt;"&amp;C42)) /( SUMIFS(TN_balC1_unit,TN_code,D42)+SUMIFS(RC_or_unit,RC_Code,D42,RC_date,"&lt;="&amp;C42)-SUMIFS(RC_zar_unit,RC_Code,D42,RC_date,"&lt;"&amp;C42)),0 ))</f>
        <v/>
      </c>
      <c r="R42" s="378" t="str">
        <f>+IF(L42="","",L42*Q42)</f>
        <v/>
      </c>
      <c r="S42" s="609">
        <v>310500</v>
      </c>
      <c r="T42" s="378" t="str">
        <f>+IFERROR(VLOOKUP(S42,STAT1!$C$4:$D$189,2,FALSE),"")</f>
        <v>НӨАТ өглөг</v>
      </c>
      <c r="U42" s="1225"/>
      <c r="V42" s="1216">
        <v>11250</v>
      </c>
      <c r="W42" s="326">
        <v>3012</v>
      </c>
      <c r="X42" s="328" t="str">
        <f>IFERROR(VLOOKUP(W42,DATA!$G$4:$H$400,2,FALSE),"")</f>
        <v xml:space="preserve">УБПК ХХК </v>
      </c>
      <c r="Y42" s="1205"/>
      <c r="Z42" s="1205"/>
      <c r="AA42" s="1205"/>
    </row>
    <row r="43" spans="1:27" ht="12.75" customHeight="1">
      <c r="A43" s="15">
        <v>17</v>
      </c>
      <c r="B43" s="369">
        <f t="shared" si="5"/>
        <v>38</v>
      </c>
      <c r="C43" s="427">
        <v>42744</v>
      </c>
      <c r="D43" s="426"/>
      <c r="E43" s="425" t="str">
        <f ca="1">+IFERROR(VLOOKUP(D43,TN_table,2,FALSE),"")</f>
        <v/>
      </c>
      <c r="F43" s="428" t="str">
        <f ca="1">+IFERROR(VLOOKUP(D43,TN_table,3,FALSE),"")</f>
        <v/>
      </c>
      <c r="G43" s="378"/>
      <c r="H43" s="378"/>
      <c r="I43" s="378"/>
      <c r="J43" s="378"/>
      <c r="K43" s="1220"/>
      <c r="L43" s="378"/>
      <c r="M43" s="378"/>
      <c r="N43" s="378" t="str">
        <f>+IF(L43="","",L43*M43)</f>
        <v/>
      </c>
      <c r="O43" s="378" t="str">
        <f>+IF(L43="","",N43*0.1)</f>
        <v/>
      </c>
      <c r="P43" s="378" t="str">
        <f>+IF(L43="","",N43+O43)</f>
        <v/>
      </c>
      <c r="Q43" s="378" t="str">
        <f>IF(L43="","",IFERROR((SUMIFS(TN_balC1_totol,TN_code,D43)+SUMIFS(RC_or_totol,RC_Code,D43,RC_date,"&lt;="&amp;C43)-SUMIFS(RC_zar_totol,RC_Code,D43,RC_date,"&lt;"&amp;C43)) /( SUMIFS(TN_balC1_unit,TN_code,D43)+SUMIFS(RC_or_unit,RC_Code,D43,RC_date,"&lt;="&amp;C43)-SUMIFS(RC_zar_unit,RC_Code,D43,RC_date,"&lt;"&amp;C43)),0 ))</f>
        <v/>
      </c>
      <c r="R43" s="378" t="str">
        <f>+IF(L43="","",L43*Q43)</f>
        <v/>
      </c>
      <c r="S43" s="613">
        <v>510000</v>
      </c>
      <c r="T43" s="378" t="str">
        <f>+IFERROR(VLOOKUP(S43,STAT1!$C$4:$D$189,2,FALSE),"")</f>
        <v>Үндсэн үйл ажиллагааны борлуулалт</v>
      </c>
      <c r="U43" s="1225"/>
      <c r="V43" s="1216">
        <v>112500</v>
      </c>
      <c r="W43" s="326">
        <v>3012</v>
      </c>
      <c r="X43" s="328" t="str">
        <f>IFERROR(VLOOKUP(W43,DATA!$G$4:$H$400,2,FALSE),"")</f>
        <v xml:space="preserve">УБПК ХХК </v>
      </c>
      <c r="Y43" s="1205"/>
      <c r="Z43" s="1205"/>
      <c r="AA43" s="1205"/>
    </row>
    <row r="44" spans="1:27" ht="12.75" customHeight="1">
      <c r="A44" s="15">
        <v>17</v>
      </c>
      <c r="B44" s="369">
        <f t="shared" si="5"/>
        <v>39</v>
      </c>
      <c r="C44" s="427">
        <v>42744</v>
      </c>
      <c r="D44" s="426"/>
      <c r="E44" s="425" t="str">
        <f ca="1">+IFERROR(VLOOKUP(D44,TN_table,2,FALSE),"")</f>
        <v/>
      </c>
      <c r="F44" s="428" t="str">
        <f ca="1">+IFERROR(VLOOKUP(D44,TN_table,3,FALSE),"")</f>
        <v/>
      </c>
      <c r="G44" s="378"/>
      <c r="H44" s="378"/>
      <c r="I44" s="378"/>
      <c r="J44" s="378"/>
      <c r="K44" s="1220"/>
      <c r="L44" s="378"/>
      <c r="M44" s="378"/>
      <c r="N44" s="378" t="str">
        <f>+IF(L44="","",L44*M44)</f>
        <v/>
      </c>
      <c r="O44" s="378" t="str">
        <f>+IF(L44="","",N44*0.1)</f>
        <v/>
      </c>
      <c r="P44" s="378" t="str">
        <f>+IF(L44="","",N44+O44)</f>
        <v/>
      </c>
      <c r="Q44" s="378" t="str">
        <f>IF(L44="","",IFERROR((SUMIFS(TN_balC1_totol,TN_code,D44)+SUMIFS(RC_or_totol,RC_Code,D44,RC_date,"&lt;="&amp;C44)-SUMIFS(RC_zar_totol,RC_Code,D44,RC_date,"&lt;"&amp;C44)) /( SUMIFS(TN_balC1_unit,TN_code,D44)+SUMIFS(RC_or_unit,RC_Code,D44,RC_date,"&lt;="&amp;C44)-SUMIFS(RC_zar_unit,RC_Code,D44,RC_date,"&lt;"&amp;C44)),0 ))</f>
        <v/>
      </c>
      <c r="R44" s="378" t="str">
        <f>+IF(L44="","",L44*Q44)</f>
        <v/>
      </c>
      <c r="S44" s="613">
        <v>320100</v>
      </c>
      <c r="T44" s="378" t="str">
        <f>+IFERROR(VLOOKUP(S44,STAT1!$C$4:$D$189,2,FALSE),"")</f>
        <v>Урьдчилж орсон орлого MNT</v>
      </c>
      <c r="U44" s="1225">
        <v>123750</v>
      </c>
      <c r="V44" s="1216"/>
      <c r="W44" s="326">
        <v>3012</v>
      </c>
      <c r="X44" s="328" t="str">
        <f>IFERROR(VLOOKUP(W44,DATA!$G$4:$H$400,2,FALSE),"")</f>
        <v xml:space="preserve">УБПК ХХК </v>
      </c>
      <c r="Y44" s="1205"/>
      <c r="Z44" s="1205"/>
      <c r="AA44" s="1205"/>
    </row>
    <row r="45" spans="1:27" ht="12.75" customHeight="1">
      <c r="A45" s="15">
        <v>18</v>
      </c>
      <c r="B45" s="369">
        <f t="shared" si="5"/>
        <v>40</v>
      </c>
      <c r="C45" s="427">
        <v>42747</v>
      </c>
      <c r="D45" s="426">
        <v>211504</v>
      </c>
      <c r="E45" s="425" t="str">
        <f ca="1">+IFERROR(VLOOKUP(D45,TN_table,2,FALSE),"")</f>
        <v xml:space="preserve">Н-Евровагонка /зузаан-1.2см/-яртай </v>
      </c>
      <c r="F45" s="428" t="str">
        <f ca="1">+IFERROR(VLOOKUP(D45,TN_table,3,FALSE),"")</f>
        <v>м2</v>
      </c>
      <c r="G45" s="378"/>
      <c r="H45" s="378"/>
      <c r="I45" s="378"/>
      <c r="J45" s="378"/>
      <c r="K45" s="1220"/>
      <c r="L45" s="378">
        <v>3.16</v>
      </c>
      <c r="M45" s="378">
        <v>18037.974999999999</v>
      </c>
      <c r="N45" s="378">
        <f>+IF(L45="","",L45*M45)</f>
        <v>57000.000999999997</v>
      </c>
      <c r="O45" s="378">
        <f>+IF(L45="","",N45*0.1)</f>
        <v>5700.0001000000002</v>
      </c>
      <c r="P45" s="378">
        <f>+IF(L45="","",N45+O45)</f>
        <v>62700.001099999994</v>
      </c>
      <c r="Q45" s="378">
        <f ca="1">IF(L45="","",IFERROR((SUMIFS(TN_balC1_totol,TN_code,D45)+SUMIFS(RC_or_totol,RC_Code,D45,RC_date,"&lt;="&amp;C45)-SUMIFS(RC_zar_totol,RC_Code,D45,RC_date,"&lt;"&amp;C45)) /( SUMIFS(TN_balC1_unit,TN_code,D45)+SUMIFS(RC_or_unit,RC_Code,D45,RC_date,"&lt;="&amp;C45)-SUMIFS(RC_zar_unit,RC_Code,D45,RC_date,"&lt;"&amp;C45)),0 ))</f>
        <v>9540.1099999999988</v>
      </c>
      <c r="R45" s="378">
        <f ca="1">+IF(L45="","",L45*Q45)</f>
        <v>30146.747599999999</v>
      </c>
      <c r="S45" s="609">
        <v>150101</v>
      </c>
      <c r="T45" s="378" t="str">
        <f>+IFERROR(VLOOKUP(S45,STAT1!$C$4:$D$189,2,FALSE),"")</f>
        <v>Бараа бэлэн бүтээгдэхүүн БОЛОВСРУУЛАХ ЦЕХ /нарс/</v>
      </c>
      <c r="U45" s="1225"/>
      <c r="V45" s="1216">
        <v>30146.747599999999</v>
      </c>
      <c r="W45" s="326">
        <v>3005</v>
      </c>
      <c r="X45" s="328" t="str">
        <f>IFERROR(VLOOKUP(W45,DATA!$G$4:$H$400,2,FALSE),"")</f>
        <v xml:space="preserve">ОРГИЛ ХҮНС ХХК </v>
      </c>
      <c r="Y45" s="1205"/>
      <c r="Z45" s="1205"/>
      <c r="AA45" s="1205"/>
    </row>
    <row r="46" spans="1:27" ht="12.75" customHeight="1">
      <c r="A46" s="15">
        <v>18</v>
      </c>
      <c r="B46" s="369">
        <f t="shared" si="5"/>
        <v>41</v>
      </c>
      <c r="C46" s="427">
        <v>42747</v>
      </c>
      <c r="D46" s="426"/>
      <c r="E46" s="425"/>
      <c r="F46" s="428"/>
      <c r="G46" s="378"/>
      <c r="H46" s="378"/>
      <c r="I46" s="378"/>
      <c r="J46" s="378"/>
      <c r="K46" s="1220"/>
      <c r="L46" s="378"/>
      <c r="M46" s="378"/>
      <c r="N46" s="378"/>
      <c r="O46" s="378"/>
      <c r="P46" s="378"/>
      <c r="Q46" s="378"/>
      <c r="R46" s="378"/>
      <c r="S46" s="609">
        <v>610100</v>
      </c>
      <c r="T46" s="378" t="str">
        <f>+IFERROR(VLOOKUP(S46,STAT1!$C$4:$D$189,2,FALSE),"")</f>
        <v>Борлуулсан барааны өртөг</v>
      </c>
      <c r="U46" s="1216">
        <v>30146.747599999999</v>
      </c>
      <c r="V46" s="1216"/>
      <c r="W46" s="326">
        <v>3005</v>
      </c>
      <c r="X46" s="328" t="str">
        <f>IFERROR(VLOOKUP(W46,DATA!$G$4:$H$400,2,FALSE),"")</f>
        <v xml:space="preserve">ОРГИЛ ХҮНС ХХК </v>
      </c>
      <c r="Y46" s="1205"/>
      <c r="Z46" s="1205"/>
      <c r="AA46" s="1205"/>
    </row>
    <row r="47" spans="1:27" ht="12.75" customHeight="1">
      <c r="A47" s="15">
        <v>19</v>
      </c>
      <c r="B47" s="369">
        <f t="shared" si="5"/>
        <v>42</v>
      </c>
      <c r="C47" s="427">
        <v>42747</v>
      </c>
      <c r="D47" s="426"/>
      <c r="E47" s="425" t="str">
        <f ca="1">+IFERROR(VLOOKUP(D47,TN_table,2,FALSE),"")</f>
        <v/>
      </c>
      <c r="F47" s="428" t="str">
        <f ca="1">+IFERROR(VLOOKUP(D47,TN_table,3,FALSE),"")</f>
        <v/>
      </c>
      <c r="G47" s="378"/>
      <c r="H47" s="378"/>
      <c r="I47" s="378"/>
      <c r="J47" s="378"/>
      <c r="K47" s="1220"/>
      <c r="L47" s="378"/>
      <c r="M47" s="378"/>
      <c r="N47" s="378" t="str">
        <f>+IF(L47="","",L47*M47)</f>
        <v/>
      </c>
      <c r="O47" s="378" t="str">
        <f>+IF(L47="","",N47*0.1)</f>
        <v/>
      </c>
      <c r="P47" s="378" t="str">
        <f>+IF(L47="","",N47+O47)</f>
        <v/>
      </c>
      <c r="Q47" s="378" t="str">
        <f>IF(L47="","",IFERROR((SUMIFS(TN_balC1_totol,TN_code,D47)+SUMIFS(RC_or_totol,RC_Code,D47,RC_date,"&lt;="&amp;C47)-SUMIFS(RC_zar_totol,RC_Code,D47,RC_date,"&lt;"&amp;C47)) /( SUMIFS(TN_balC1_unit,TN_code,D47)+SUMIFS(RC_or_unit,RC_Code,D47,RC_date,"&lt;="&amp;C47)-SUMIFS(RC_zar_unit,RC_Code,D47,RC_date,"&lt;"&amp;C47)),0 ))</f>
        <v/>
      </c>
      <c r="R47" s="378" t="str">
        <f>+IF(L47="","",L47*Q47)</f>
        <v/>
      </c>
      <c r="S47" s="609">
        <v>310500</v>
      </c>
      <c r="T47" s="378" t="str">
        <f>+IFERROR(VLOOKUP(S47,STAT1!$C$4:$D$189,2,FALSE),"")</f>
        <v>НӨАТ өглөг</v>
      </c>
      <c r="U47" s="1225"/>
      <c r="V47" s="1216">
        <v>5700.0001000000002</v>
      </c>
      <c r="W47" s="326">
        <v>3005</v>
      </c>
      <c r="X47" s="328" t="str">
        <f>IFERROR(VLOOKUP(W47,DATA!$G$4:$H$400,2,FALSE),"")</f>
        <v xml:space="preserve">ОРГИЛ ХҮНС ХХК </v>
      </c>
      <c r="Y47" s="1205"/>
      <c r="Z47" s="1205"/>
      <c r="AA47" s="1205"/>
    </row>
    <row r="48" spans="1:27" ht="12.75" customHeight="1">
      <c r="A48" s="15">
        <v>19</v>
      </c>
      <c r="B48" s="369">
        <f t="shared" si="5"/>
        <v>43</v>
      </c>
      <c r="C48" s="427">
        <v>42747</v>
      </c>
      <c r="D48" s="426"/>
      <c r="E48" s="425" t="str">
        <f ca="1">+IFERROR(VLOOKUP(D48,TN_table,2,FALSE),"")</f>
        <v/>
      </c>
      <c r="F48" s="428" t="str">
        <f ca="1">+IFERROR(VLOOKUP(D48,TN_table,3,FALSE),"")</f>
        <v/>
      </c>
      <c r="G48" s="378"/>
      <c r="H48" s="378"/>
      <c r="I48" s="378"/>
      <c r="J48" s="378"/>
      <c r="K48" s="1220"/>
      <c r="L48" s="378"/>
      <c r="M48" s="378"/>
      <c r="N48" s="378" t="str">
        <f>+IF(L48="","",L48*M48)</f>
        <v/>
      </c>
      <c r="O48" s="378" t="str">
        <f>+IF(L48="","",N48*0.1)</f>
        <v/>
      </c>
      <c r="P48" s="378" t="str">
        <f>+IF(L48="","",N48+O48)</f>
        <v/>
      </c>
      <c r="Q48" s="378" t="str">
        <f>IF(L48="","",IFERROR((SUMIFS(TN_balC1_totol,TN_code,D48)+SUMIFS(RC_or_totol,RC_Code,D48,RC_date,"&lt;="&amp;C48)-SUMIFS(RC_zar_totol,RC_Code,D48,RC_date,"&lt;"&amp;C48)) /( SUMIFS(TN_balC1_unit,TN_code,D48)+SUMIFS(RC_or_unit,RC_Code,D48,RC_date,"&lt;="&amp;C48)-SUMIFS(RC_zar_unit,RC_Code,D48,RC_date,"&lt;"&amp;C48)),0 ))</f>
        <v/>
      </c>
      <c r="R48" s="378" t="str">
        <f>+IF(L48="","",L48*Q48)</f>
        <v/>
      </c>
      <c r="S48" s="609">
        <v>510000</v>
      </c>
      <c r="T48" s="378" t="str">
        <f>+IFERROR(VLOOKUP(S48,STAT1!$C$4:$D$189,2,FALSE),"")</f>
        <v>Үндсэн үйл ажиллагааны борлуулалт</v>
      </c>
      <c r="U48" s="1225"/>
      <c r="V48" s="1216">
        <v>57000</v>
      </c>
      <c r="W48" s="326">
        <v>3005</v>
      </c>
      <c r="X48" s="328" t="str">
        <f>IFERROR(VLOOKUP(W48,DATA!$G$4:$H$400,2,FALSE),"")</f>
        <v xml:space="preserve">ОРГИЛ ХҮНС ХХК </v>
      </c>
      <c r="Y48" s="1205"/>
      <c r="Z48" s="1205"/>
      <c r="AA48" s="1205"/>
    </row>
    <row r="49" spans="1:27" ht="12.75" customHeight="1">
      <c r="A49" s="15">
        <v>19</v>
      </c>
      <c r="B49" s="369">
        <f t="shared" si="5"/>
        <v>44</v>
      </c>
      <c r="C49" s="427">
        <v>42747</v>
      </c>
      <c r="D49" s="426"/>
      <c r="E49" s="425" t="str">
        <f ca="1">+IFERROR(VLOOKUP(D49,TN_table,2,FALSE),"")</f>
        <v/>
      </c>
      <c r="F49" s="428" t="str">
        <f ca="1">+IFERROR(VLOOKUP(D49,TN_table,3,FALSE),"")</f>
        <v/>
      </c>
      <c r="G49" s="378"/>
      <c r="H49" s="378"/>
      <c r="I49" s="378"/>
      <c r="J49" s="378"/>
      <c r="K49" s="1220"/>
      <c r="L49" s="378"/>
      <c r="M49" s="378"/>
      <c r="N49" s="378" t="str">
        <f>+IF(L49="","",L49*M49)</f>
        <v/>
      </c>
      <c r="O49" s="378" t="str">
        <f>+IF(L49="","",N49*0.1)</f>
        <v/>
      </c>
      <c r="P49" s="378" t="str">
        <f>+IF(L49="","",N49+O49)</f>
        <v/>
      </c>
      <c r="Q49" s="378" t="str">
        <f>IF(L49="","",IFERROR((SUMIFS(TN_balC1_totol,TN_code,D49)+SUMIFS(RC_or_totol,RC_Code,D49,RC_date,"&lt;="&amp;C49)-SUMIFS(RC_zar_totol,RC_Code,D49,RC_date,"&lt;"&amp;C49)) /( SUMIFS(TN_balC1_unit,TN_code,D49)+SUMIFS(RC_or_unit,RC_Code,D49,RC_date,"&lt;="&amp;C49)-SUMIFS(RC_zar_unit,RC_Code,D49,RC_date,"&lt;"&amp;C49)),0 ))</f>
        <v/>
      </c>
      <c r="R49" s="378" t="str">
        <f>+IF(L49="","",L49*Q49)</f>
        <v/>
      </c>
      <c r="S49" s="609">
        <v>320100</v>
      </c>
      <c r="T49" s="378" t="str">
        <f>+IFERROR(VLOOKUP(S49,STAT1!$C$4:$D$189,2,FALSE),"")</f>
        <v>Урьдчилж орсон орлого MNT</v>
      </c>
      <c r="U49" s="1225">
        <v>62700.001099999994</v>
      </c>
      <c r="V49" s="1216"/>
      <c r="W49" s="326">
        <v>3005</v>
      </c>
      <c r="X49" s="328" t="str">
        <f>IFERROR(VLOOKUP(W49,DATA!$G$4:$H$400,2,FALSE),"")</f>
        <v xml:space="preserve">ОРГИЛ ХҮНС ХХК </v>
      </c>
      <c r="Y49" s="1205"/>
      <c r="Z49" s="1205"/>
      <c r="AA49" s="1205"/>
    </row>
    <row r="50" spans="1:27" ht="12.75" customHeight="1">
      <c r="A50" s="15">
        <v>20</v>
      </c>
      <c r="B50" s="369">
        <f t="shared" si="5"/>
        <v>45</v>
      </c>
      <c r="C50" s="427">
        <v>42748</v>
      </c>
      <c r="D50" s="426">
        <v>211504</v>
      </c>
      <c r="E50" s="425" t="str">
        <f ca="1">+IFERROR(VLOOKUP(D50,TN_table,2,FALSE),"")</f>
        <v xml:space="preserve">Н-Евровагонка /зузаан-1.2см/-яртай </v>
      </c>
      <c r="F50" s="428" t="str">
        <f ca="1">+IFERROR(VLOOKUP(D50,TN_table,3,FALSE),"")</f>
        <v>м2</v>
      </c>
      <c r="G50" s="378"/>
      <c r="H50" s="378"/>
      <c r="I50" s="378"/>
      <c r="J50" s="378"/>
      <c r="K50" s="1220"/>
      <c r="L50" s="378">
        <v>8.23</v>
      </c>
      <c r="M50" s="378">
        <v>18007.290400972051</v>
      </c>
      <c r="N50" s="378">
        <f>+IF(L50="","",L50*M50)</f>
        <v>148200</v>
      </c>
      <c r="O50" s="378">
        <f>+IF(L50="","",N50*0.1)</f>
        <v>14820</v>
      </c>
      <c r="P50" s="378">
        <f>+IF(L50="","",N50+O50)</f>
        <v>163020</v>
      </c>
      <c r="Q50" s="378">
        <f ca="1">IF(L50="","",IFERROR((SUMIFS(TN_balC1_totol,TN_code,D50)+SUMIFS(RC_or_totol,RC_Code,D50,RC_date,"&lt;="&amp;C50)-SUMIFS(RC_zar_totol,RC_Code,D50,RC_date,"&lt;"&amp;C50)) /( SUMIFS(TN_balC1_unit,TN_code,D50)+SUMIFS(RC_or_unit,RC_Code,D50,RC_date,"&lt;="&amp;C50)-SUMIFS(RC_zar_unit,RC_Code,D50,RC_date,"&lt;"&amp;C50)),0 ))</f>
        <v>9540.1099999999988</v>
      </c>
      <c r="R50" s="378">
        <f ca="1">+IF(L50="","",L50*Q50)</f>
        <v>78515.105299999996</v>
      </c>
      <c r="S50" s="609">
        <v>150101</v>
      </c>
      <c r="T50" s="378" t="str">
        <f>+IFERROR(VLOOKUP(S50,STAT1!$C$4:$D$189,2,FALSE),"")</f>
        <v>Бараа бэлэн бүтээгдэхүүн БОЛОВСРУУЛАХ ЦЕХ /нарс/</v>
      </c>
      <c r="U50" s="1225"/>
      <c r="V50" s="1216">
        <v>78515.105299999996</v>
      </c>
      <c r="W50" s="326">
        <v>3010</v>
      </c>
      <c r="X50" s="328" t="str">
        <f>IFERROR(VLOOKUP(W50,DATA!$G$4:$H$400,2,FALSE),"")</f>
        <v xml:space="preserve">РЕНДЕР ХХК </v>
      </c>
      <c r="Y50" s="1205"/>
      <c r="Z50" s="1205"/>
      <c r="AA50" s="1205"/>
    </row>
    <row r="51" spans="1:27" ht="12.75" customHeight="1">
      <c r="A51" s="15">
        <v>20</v>
      </c>
      <c r="B51" s="369">
        <f t="shared" si="5"/>
        <v>46</v>
      </c>
      <c r="C51" s="427">
        <v>42748</v>
      </c>
      <c r="D51" s="426"/>
      <c r="E51" s="425"/>
      <c r="F51" s="428"/>
      <c r="G51" s="378"/>
      <c r="H51" s="378"/>
      <c r="I51" s="378"/>
      <c r="J51" s="378"/>
      <c r="K51" s="1220"/>
      <c r="L51" s="378"/>
      <c r="M51" s="378"/>
      <c r="N51" s="378"/>
      <c r="O51" s="378"/>
      <c r="P51" s="378"/>
      <c r="Q51" s="378"/>
      <c r="R51" s="378"/>
      <c r="S51" s="609">
        <v>610100</v>
      </c>
      <c r="T51" s="378" t="str">
        <f>+IFERROR(VLOOKUP(S51,STAT1!$C$4:$D$189,2,FALSE),"")</f>
        <v>Борлуулсан барааны өртөг</v>
      </c>
      <c r="U51" s="1216">
        <v>78515.105299999996</v>
      </c>
      <c r="V51" s="1216"/>
      <c r="W51" s="326">
        <v>3010</v>
      </c>
      <c r="X51" s="328" t="str">
        <f>IFERROR(VLOOKUP(W51,DATA!$G$4:$H$400,2,FALSE),"")</f>
        <v xml:space="preserve">РЕНДЕР ХХК </v>
      </c>
      <c r="Y51" s="1205"/>
      <c r="Z51" s="1205"/>
      <c r="AA51" s="1205"/>
    </row>
    <row r="52" spans="1:27" ht="12.75" customHeight="1">
      <c r="A52" s="15">
        <v>21</v>
      </c>
      <c r="B52" s="369">
        <f t="shared" si="5"/>
        <v>47</v>
      </c>
      <c r="C52" s="427">
        <v>42748</v>
      </c>
      <c r="D52" s="426"/>
      <c r="E52" s="425" t="str">
        <f ca="1">+IFERROR(VLOOKUP(D52,TN_table,2,FALSE),"")</f>
        <v/>
      </c>
      <c r="F52" s="428" t="str">
        <f ca="1">+IFERROR(VLOOKUP(D52,TN_table,3,FALSE),"")</f>
        <v/>
      </c>
      <c r="G52" s="378"/>
      <c r="H52" s="378"/>
      <c r="I52" s="378"/>
      <c r="J52" s="378"/>
      <c r="K52" s="1220"/>
      <c r="L52" s="378"/>
      <c r="M52" s="378"/>
      <c r="N52" s="378" t="str">
        <f>+IF(L52="","",L52*M52)</f>
        <v/>
      </c>
      <c r="O52" s="378" t="str">
        <f>+IF(L52="","",N52*0.1)</f>
        <v/>
      </c>
      <c r="P52" s="378" t="str">
        <f>+IF(L52="","",N52+O52)</f>
        <v/>
      </c>
      <c r="Q52" s="378" t="str">
        <f>IF(L52="","",IFERROR((SUMIFS(TN_balC1_totol,TN_code,D52)+SUMIFS(RC_or_totol,RC_Code,D52,RC_date,"&lt;="&amp;C52)-SUMIFS(RC_zar_totol,RC_Code,D52,RC_date,"&lt;"&amp;C52)) /( SUMIFS(TN_balC1_unit,TN_code,D52)+SUMIFS(RC_or_unit,RC_Code,D52,RC_date,"&lt;="&amp;C52)-SUMIFS(RC_zar_unit,RC_Code,D52,RC_date,"&lt;"&amp;C52)),0 ))</f>
        <v/>
      </c>
      <c r="R52" s="378" t="str">
        <f>+IF(L52="","",L52*Q52)</f>
        <v/>
      </c>
      <c r="S52" s="609">
        <v>310500</v>
      </c>
      <c r="T52" s="378" t="str">
        <f>+IFERROR(VLOOKUP(S52,STAT1!$C$4:$D$189,2,FALSE),"")</f>
        <v>НӨАТ өглөг</v>
      </c>
      <c r="U52" s="1225"/>
      <c r="V52" s="1216">
        <v>14820</v>
      </c>
      <c r="W52" s="326">
        <v>3010</v>
      </c>
      <c r="X52" s="328" t="str">
        <f>IFERROR(VLOOKUP(W52,DATA!$G$4:$H$400,2,FALSE),"")</f>
        <v xml:space="preserve">РЕНДЕР ХХК </v>
      </c>
      <c r="Y52" s="1205"/>
      <c r="Z52" s="1205"/>
      <c r="AA52" s="1205"/>
    </row>
    <row r="53" spans="1:27" ht="12.75" customHeight="1">
      <c r="A53" s="15">
        <v>21</v>
      </c>
      <c r="B53" s="369">
        <f t="shared" si="5"/>
        <v>48</v>
      </c>
      <c r="C53" s="427">
        <v>42748</v>
      </c>
      <c r="D53" s="426"/>
      <c r="E53" s="425" t="str">
        <f ca="1">+IFERROR(VLOOKUP(D53,TN_table,2,FALSE),"")</f>
        <v/>
      </c>
      <c r="F53" s="428" t="str">
        <f ca="1">+IFERROR(VLOOKUP(D53,TN_table,3,FALSE),"")</f>
        <v/>
      </c>
      <c r="G53" s="378"/>
      <c r="H53" s="378"/>
      <c r="I53" s="378"/>
      <c r="J53" s="378"/>
      <c r="K53" s="1220"/>
      <c r="L53" s="378"/>
      <c r="M53" s="378"/>
      <c r="N53" s="378" t="str">
        <f>+IF(L53="","",L53*M53)</f>
        <v/>
      </c>
      <c r="O53" s="378" t="str">
        <f>+IF(L53="","",N53*0.1)</f>
        <v/>
      </c>
      <c r="P53" s="378" t="str">
        <f>+IF(L53="","",N53+O53)</f>
        <v/>
      </c>
      <c r="Q53" s="378" t="str">
        <f>IF(L53="","",IFERROR((SUMIFS(TN_balC1_totol,TN_code,D53)+SUMIFS(RC_or_totol,RC_Code,D53,RC_date,"&lt;="&amp;C53)-SUMIFS(RC_zar_totol,RC_Code,D53,RC_date,"&lt;"&amp;C53)) /( SUMIFS(TN_balC1_unit,TN_code,D53)+SUMIFS(RC_or_unit,RC_Code,D53,RC_date,"&lt;="&amp;C53)-SUMIFS(RC_zar_unit,RC_Code,D53,RC_date,"&lt;"&amp;C53)),0 ))</f>
        <v/>
      </c>
      <c r="R53" s="378" t="str">
        <f>+IF(L53="","",L53*Q53)</f>
        <v/>
      </c>
      <c r="S53" s="609">
        <v>510000</v>
      </c>
      <c r="T53" s="378" t="str">
        <f>+IFERROR(VLOOKUP(S53,STAT1!$C$4:$D$189,2,FALSE),"")</f>
        <v>Үндсэн үйл ажиллагааны борлуулалт</v>
      </c>
      <c r="U53" s="1225"/>
      <c r="V53" s="1216">
        <v>148200</v>
      </c>
      <c r="W53" s="326">
        <v>3010</v>
      </c>
      <c r="X53" s="328" t="str">
        <f>IFERROR(VLOOKUP(W53,DATA!$G$4:$H$400,2,FALSE),"")</f>
        <v xml:space="preserve">РЕНДЕР ХХК </v>
      </c>
      <c r="Y53" s="1205"/>
      <c r="Z53" s="1205"/>
      <c r="AA53" s="1205"/>
    </row>
    <row r="54" spans="1:27" ht="12.75" customHeight="1">
      <c r="A54" s="15">
        <v>21</v>
      </c>
      <c r="B54" s="369">
        <f t="shared" si="5"/>
        <v>49</v>
      </c>
      <c r="C54" s="427">
        <v>42748</v>
      </c>
      <c r="D54" s="426"/>
      <c r="E54" s="425" t="str">
        <f ca="1">+IFERROR(VLOOKUP(D54,TN_table,2,FALSE),"")</f>
        <v/>
      </c>
      <c r="F54" s="428" t="str">
        <f ca="1">+IFERROR(VLOOKUP(D54,TN_table,3,FALSE),"")</f>
        <v/>
      </c>
      <c r="G54" s="378"/>
      <c r="H54" s="378"/>
      <c r="I54" s="378"/>
      <c r="J54" s="378"/>
      <c r="K54" s="1220"/>
      <c r="L54" s="378"/>
      <c r="M54" s="378"/>
      <c r="N54" s="378" t="str">
        <f>+IF(L54="","",L54*M54)</f>
        <v/>
      </c>
      <c r="O54" s="378" t="str">
        <f>+IF(L54="","",N54*0.1)</f>
        <v/>
      </c>
      <c r="P54" s="378" t="str">
        <f>+IF(L54="","",N54+O54)</f>
        <v/>
      </c>
      <c r="Q54" s="378" t="str">
        <f>IF(L54="","",IFERROR((SUMIFS(TN_balC1_totol,TN_code,D54)+SUMIFS(RC_or_totol,RC_Code,D54,RC_date,"&lt;="&amp;C54)-SUMIFS(RC_zar_totol,RC_Code,D54,RC_date,"&lt;"&amp;C54)) /( SUMIFS(TN_balC1_unit,TN_code,D54)+SUMIFS(RC_or_unit,RC_Code,D54,RC_date,"&lt;="&amp;C54)-SUMIFS(RC_zar_unit,RC_Code,D54,RC_date,"&lt;"&amp;C54)),0 ))</f>
        <v/>
      </c>
      <c r="R54" s="378" t="str">
        <f>+IF(L54="","",L54*Q54)</f>
        <v/>
      </c>
      <c r="S54" s="609">
        <v>320100</v>
      </c>
      <c r="T54" s="378" t="str">
        <f>+IFERROR(VLOOKUP(S54,STAT1!$C$4:$D$189,2,FALSE),"")</f>
        <v>Урьдчилж орсон орлого MNT</v>
      </c>
      <c r="U54" s="1225">
        <v>163020</v>
      </c>
      <c r="V54" s="1216"/>
      <c r="W54" s="326">
        <v>3010</v>
      </c>
      <c r="X54" s="328" t="str">
        <f>IFERROR(VLOOKUP(W54,DATA!$G$4:$H$400,2,FALSE),"")</f>
        <v xml:space="preserve">РЕНДЕР ХХК </v>
      </c>
      <c r="Y54" s="1205"/>
      <c r="Z54" s="1205"/>
      <c r="AA54" s="1205"/>
    </row>
    <row r="55" spans="1:27" ht="12.75" customHeight="1">
      <c r="A55" s="15">
        <v>22</v>
      </c>
      <c r="B55" s="369">
        <f t="shared" si="5"/>
        <v>50</v>
      </c>
      <c r="C55" s="427">
        <v>42749</v>
      </c>
      <c r="D55" s="426">
        <v>211503</v>
      </c>
      <c r="E55" s="425" t="str">
        <f ca="1">+IFERROR(VLOOKUP(D55,TN_table,2,FALSE),"")</f>
        <v>Н-Евровагонка /зузаан-1.2см/</v>
      </c>
      <c r="F55" s="428" t="str">
        <f ca="1">+IFERROR(VLOOKUP(D55,TN_table,3,FALSE),"")</f>
        <v>м2</v>
      </c>
      <c r="G55" s="378"/>
      <c r="H55" s="378"/>
      <c r="I55" s="378"/>
      <c r="J55" s="378"/>
      <c r="K55" s="1220"/>
      <c r="L55" s="378">
        <v>20.62</v>
      </c>
      <c r="M55" s="378">
        <v>21603.03297</v>
      </c>
      <c r="N55" s="378">
        <f>+IF(L55="","",L55*M55)</f>
        <v>445454.53984140005</v>
      </c>
      <c r="O55" s="378">
        <f>+IF(L55="","",N55*0.1)</f>
        <v>44545.453984140011</v>
      </c>
      <c r="P55" s="378">
        <f>+IF(L55="","",N55+O55)</f>
        <v>489999.99382554006</v>
      </c>
      <c r="Q55" s="378">
        <f ca="1">IF(L55="","",IFERROR((SUMIFS(TN_balC1_totol,TN_code,D55)+SUMIFS(RC_or_totol,RC_Code,D55,RC_date,"&lt;="&amp;C55)-SUMIFS(RC_zar_totol,RC_Code,D55,RC_date,"&lt;"&amp;C55)) /( SUMIFS(TN_balC1_unit,TN_code,D55)+SUMIFS(RC_or_unit,RC_Code,D55,RC_date,"&lt;="&amp;C55)-SUMIFS(RC_zar_unit,RC_Code,D55,RC_date,"&lt;"&amp;C55)),0 ))</f>
        <v>12876.722738825943</v>
      </c>
      <c r="R55" s="378">
        <f ca="1">+IF(L55="","",L55*Q55)</f>
        <v>265518.02287459094</v>
      </c>
      <c r="S55" s="609">
        <v>150101</v>
      </c>
      <c r="T55" s="378" t="str">
        <f>+IFERROR(VLOOKUP(S55,STAT1!$C$4:$D$189,2,FALSE),"")</f>
        <v>Бараа бэлэн бүтээгдэхүүн БОЛОВСРУУЛАХ ЦЕХ /нарс/</v>
      </c>
      <c r="U55" s="1225"/>
      <c r="V55" s="1216">
        <v>265518.02287459094</v>
      </c>
      <c r="W55" s="326">
        <v>3001</v>
      </c>
      <c r="X55" s="328" t="str">
        <f>IFERROR(VLOOKUP(W55,DATA!$G$4:$H$400,2,FALSE),"")</f>
        <v>ХУРД ГРУПП ХХК</v>
      </c>
      <c r="Y55" s="1205"/>
      <c r="Z55" s="1205"/>
      <c r="AA55" s="1205"/>
    </row>
    <row r="56" spans="1:27" ht="12.75" customHeight="1">
      <c r="A56" s="15">
        <v>22</v>
      </c>
      <c r="B56" s="369">
        <f t="shared" si="5"/>
        <v>51</v>
      </c>
      <c r="C56" s="427">
        <v>42749</v>
      </c>
      <c r="D56" s="426"/>
      <c r="E56" s="425"/>
      <c r="F56" s="428"/>
      <c r="G56" s="378"/>
      <c r="H56" s="378"/>
      <c r="I56" s="378"/>
      <c r="J56" s="378"/>
      <c r="K56" s="1220"/>
      <c r="L56" s="378"/>
      <c r="M56" s="378"/>
      <c r="N56" s="378"/>
      <c r="O56" s="378"/>
      <c r="P56" s="378"/>
      <c r="Q56" s="378"/>
      <c r="R56" s="378"/>
      <c r="S56" s="609">
        <v>610100</v>
      </c>
      <c r="T56" s="378" t="str">
        <f>+IFERROR(VLOOKUP(S56,STAT1!$C$4:$D$189,2,FALSE),"")</f>
        <v>Борлуулсан барааны өртөг</v>
      </c>
      <c r="U56" s="1216">
        <v>265518.02287459094</v>
      </c>
      <c r="V56" s="1216"/>
      <c r="W56" s="326">
        <v>3001</v>
      </c>
      <c r="X56" s="328" t="str">
        <f>IFERROR(VLOOKUP(W56,DATA!$G$4:$H$400,2,FALSE),"")</f>
        <v>ХУРД ГРУПП ХХК</v>
      </c>
      <c r="Y56" s="1205"/>
      <c r="Z56" s="1205"/>
      <c r="AA56" s="1205"/>
    </row>
    <row r="57" spans="1:27" ht="12.75" customHeight="1">
      <c r="A57" s="15">
        <v>22</v>
      </c>
      <c r="B57" s="369">
        <f t="shared" si="5"/>
        <v>52</v>
      </c>
      <c r="C57" s="427">
        <v>42749</v>
      </c>
      <c r="D57" s="426"/>
      <c r="E57" s="425" t="str">
        <f ca="1">+IFERROR(VLOOKUP(D57,TN_table,2,FALSE),"")</f>
        <v/>
      </c>
      <c r="F57" s="428" t="str">
        <f ca="1">+IFERROR(VLOOKUP(D57,TN_table,3,FALSE),"")</f>
        <v/>
      </c>
      <c r="G57" s="378"/>
      <c r="H57" s="378"/>
      <c r="I57" s="378"/>
      <c r="J57" s="378"/>
      <c r="K57" s="1220"/>
      <c r="L57" s="378"/>
      <c r="M57" s="378"/>
      <c r="N57" s="378" t="str">
        <f>+IF(L57="","",L57*M57)</f>
        <v/>
      </c>
      <c r="O57" s="378" t="str">
        <f>+IF(L57="","",N57*0.1)</f>
        <v/>
      </c>
      <c r="P57" s="378" t="str">
        <f>+IF(L57="","",N57+O57)</f>
        <v/>
      </c>
      <c r="Q57" s="378" t="str">
        <f>IF(L57="","",IFERROR((SUMIFS(TN_balC1_totol,TN_code,D57)+SUMIFS(RC_or_totol,RC_Code,D57,RC_date,"&lt;="&amp;C57)-SUMIFS(RC_zar_totol,RC_Code,D57,RC_date,"&lt;"&amp;C57)) /( SUMIFS(TN_balC1_unit,TN_code,D57)+SUMIFS(RC_or_unit,RC_Code,D57,RC_date,"&lt;="&amp;C57)-SUMIFS(RC_zar_unit,RC_Code,D57,RC_date,"&lt;"&amp;C57)),0 ))</f>
        <v/>
      </c>
      <c r="R57" s="378" t="str">
        <f>+IF(L57="","",L57*Q57)</f>
        <v/>
      </c>
      <c r="S57" s="609">
        <v>310500</v>
      </c>
      <c r="T57" s="378" t="str">
        <f>+IFERROR(VLOOKUP(S57,STAT1!$C$4:$D$189,2,FALSE),"")</f>
        <v>НӨАТ өглөг</v>
      </c>
      <c r="U57" s="1225"/>
      <c r="V57" s="1216">
        <v>44545.453984140011</v>
      </c>
      <c r="W57" s="326">
        <v>3001</v>
      </c>
      <c r="X57" s="328" t="str">
        <f>IFERROR(VLOOKUP(W57,DATA!$G$4:$H$400,2,FALSE),"")</f>
        <v>ХУРД ГРУПП ХХК</v>
      </c>
      <c r="Y57" s="1205"/>
      <c r="Z57" s="1205"/>
      <c r="AA57" s="1205"/>
    </row>
    <row r="58" spans="1:27" ht="12.75" customHeight="1">
      <c r="A58" s="15">
        <v>22</v>
      </c>
      <c r="B58" s="369">
        <f t="shared" si="5"/>
        <v>53</v>
      </c>
      <c r="C58" s="427">
        <v>42749</v>
      </c>
      <c r="D58" s="426"/>
      <c r="E58" s="425" t="str">
        <f ca="1">+IFERROR(VLOOKUP(D58,TN_table,2,FALSE),"")</f>
        <v/>
      </c>
      <c r="F58" s="428" t="str">
        <f ca="1">+IFERROR(VLOOKUP(D58,TN_table,3,FALSE),"")</f>
        <v/>
      </c>
      <c r="G58" s="378"/>
      <c r="H58" s="378"/>
      <c r="I58" s="378"/>
      <c r="J58" s="378"/>
      <c r="K58" s="1220"/>
      <c r="L58" s="378"/>
      <c r="M58" s="378"/>
      <c r="N58" s="378" t="str">
        <f>+IF(L58="","",L58*M58)</f>
        <v/>
      </c>
      <c r="O58" s="378" t="str">
        <f>+IF(L58="","",N58*0.1)</f>
        <v/>
      </c>
      <c r="P58" s="378" t="str">
        <f>+IF(L58="","",N58+O58)</f>
        <v/>
      </c>
      <c r="Q58" s="378" t="str">
        <f>IF(L58="","",IFERROR((SUMIFS(TN_balC1_totol,TN_code,D58)+SUMIFS(RC_or_totol,RC_Code,D58,RC_date,"&lt;="&amp;C58)-SUMIFS(RC_zar_totol,RC_Code,D58,RC_date,"&lt;"&amp;C58)) /( SUMIFS(TN_balC1_unit,TN_code,D58)+SUMIFS(RC_or_unit,RC_Code,D58,RC_date,"&lt;="&amp;C58)-SUMIFS(RC_zar_unit,RC_Code,D58,RC_date,"&lt;"&amp;C58)),0 ))</f>
        <v/>
      </c>
      <c r="R58" s="378" t="str">
        <f>+IF(L58="","",L58*Q58)</f>
        <v/>
      </c>
      <c r="S58" s="609">
        <v>510000</v>
      </c>
      <c r="T58" s="378" t="str">
        <f>+IFERROR(VLOOKUP(S58,STAT1!$C$4:$D$189,2,FALSE),"")</f>
        <v>Үндсэн үйл ажиллагааны борлуулалт</v>
      </c>
      <c r="U58" s="1225"/>
      <c r="V58" s="1216">
        <v>445454.53984140005</v>
      </c>
      <c r="W58" s="326">
        <v>3001</v>
      </c>
      <c r="X58" s="328" t="str">
        <f>IFERROR(VLOOKUP(W58,DATA!$G$4:$H$400,2,FALSE),"")</f>
        <v>ХУРД ГРУПП ХХК</v>
      </c>
      <c r="Y58" s="1205"/>
      <c r="Z58" s="1205"/>
      <c r="AA58" s="1205"/>
    </row>
    <row r="59" spans="1:27" ht="12.75" customHeight="1">
      <c r="A59" s="15">
        <v>22</v>
      </c>
      <c r="B59" s="369">
        <f t="shared" si="5"/>
        <v>54</v>
      </c>
      <c r="C59" s="427">
        <v>42749</v>
      </c>
      <c r="D59" s="426"/>
      <c r="E59" s="425" t="str">
        <f ca="1">+IFERROR(VLOOKUP(D59,TN_table,2,FALSE),"")</f>
        <v/>
      </c>
      <c r="F59" s="428" t="str">
        <f ca="1">+IFERROR(VLOOKUP(D59,TN_table,3,FALSE),"")</f>
        <v/>
      </c>
      <c r="G59" s="378"/>
      <c r="H59" s="378"/>
      <c r="I59" s="378"/>
      <c r="J59" s="378"/>
      <c r="K59" s="1220"/>
      <c r="L59" s="378"/>
      <c r="M59" s="378"/>
      <c r="N59" s="378" t="str">
        <f>+IF(L59="","",L59*M59)</f>
        <v/>
      </c>
      <c r="O59" s="378" t="str">
        <f>+IF(L59="","",N59*0.1)</f>
        <v/>
      </c>
      <c r="P59" s="378" t="str">
        <f>+IF(L59="","",N59+O59)</f>
        <v/>
      </c>
      <c r="Q59" s="378" t="str">
        <f>IF(L59="","",IFERROR((SUMIFS(TN_balC1_totol,TN_code,D59)+SUMIFS(RC_or_totol,RC_Code,D59,RC_date,"&lt;="&amp;C59)-SUMIFS(RC_zar_totol,RC_Code,D59,RC_date,"&lt;"&amp;C59)) /( SUMIFS(TN_balC1_unit,TN_code,D59)+SUMIFS(RC_or_unit,RC_Code,D59,RC_date,"&lt;="&amp;C59)-SUMIFS(RC_zar_unit,RC_Code,D59,RC_date,"&lt;"&amp;C59)),0 ))</f>
        <v/>
      </c>
      <c r="R59" s="378" t="str">
        <f>+IF(L59="","",L59*Q59)</f>
        <v/>
      </c>
      <c r="S59" s="609">
        <v>320100</v>
      </c>
      <c r="T59" s="378" t="str">
        <f>+IFERROR(VLOOKUP(S59,STAT1!$C$4:$D$189,2,FALSE),"")</f>
        <v>Урьдчилж орсон орлого MNT</v>
      </c>
      <c r="U59" s="1225">
        <v>489999.99382554006</v>
      </c>
      <c r="V59" s="1216"/>
      <c r="W59" s="326">
        <v>3001</v>
      </c>
      <c r="X59" s="328" t="str">
        <f>IFERROR(VLOOKUP(W59,DATA!$G$4:$H$400,2,FALSE),"")</f>
        <v>ХУРД ГРУПП ХХК</v>
      </c>
      <c r="Y59" s="1205"/>
      <c r="Z59" s="1205"/>
      <c r="AA59" s="1205"/>
    </row>
    <row r="60" spans="1:27" ht="12.75" customHeight="1">
      <c r="A60" s="15">
        <v>23</v>
      </c>
      <c r="B60" s="369">
        <f t="shared" si="5"/>
        <v>55</v>
      </c>
      <c r="C60" s="427">
        <v>42750</v>
      </c>
      <c r="D60" s="426">
        <v>211714</v>
      </c>
      <c r="E60" s="425" t="str">
        <f ca="1">+IFERROR(VLOOKUP(D60,TN_table,2,FALSE),"")</f>
        <v xml:space="preserve">Н-Хавтан /зузаан-2см/-яртай </v>
      </c>
      <c r="F60" s="428" t="str">
        <f ca="1">+IFERROR(VLOOKUP(D60,TN_table,3,FALSE),"")</f>
        <v>м2</v>
      </c>
      <c r="G60" s="378"/>
      <c r="H60" s="378"/>
      <c r="I60" s="378" t="str">
        <f>+IF(G60="","",G60*H60)</f>
        <v/>
      </c>
      <c r="J60" s="378" t="str">
        <f>+IF(G60="","",I60*0.1)</f>
        <v/>
      </c>
      <c r="K60" s="1220" t="str">
        <f>+IF(G60="","",I60+J60)</f>
        <v/>
      </c>
      <c r="L60" s="378">
        <v>809.08399999999995</v>
      </c>
      <c r="M60" s="378">
        <v>26666.66</v>
      </c>
      <c r="N60" s="378">
        <f>+IF(L60="","",L60*M60)</f>
        <v>21575567.939439997</v>
      </c>
      <c r="O60" s="378">
        <f>+IF(L60="","",N60*0.1)</f>
        <v>2157556.7939439998</v>
      </c>
      <c r="P60" s="378">
        <f>+IF(L60="","",N60+O60)</f>
        <v>23733124.733383998</v>
      </c>
      <c r="Q60" s="378">
        <f ca="1">IF(L60="","",IFERROR((SUMIFS(TN_balC1_totol,TN_code,D60)+SUMIFS(RC_or_totol,RC_Code,D60,RC_date,"&lt;="&amp;C60)-SUMIFS(RC_zar_totol,RC_Code,D60,RC_date,"&lt;"&amp;C60)) /( SUMIFS(TN_balC1_unit,TN_code,D60)+SUMIFS(RC_or_unit,RC_Code,D60,RC_date,"&lt;="&amp;C60)-SUMIFS(RC_zar_unit,RC_Code,D60,RC_date,"&lt;"&amp;C60)),0 ))</f>
        <v>18257.869999999995</v>
      </c>
      <c r="R60" s="378">
        <f ca="1">+IF(L60="","",L60*Q60)</f>
        <v>14772150.491079995</v>
      </c>
      <c r="S60" s="609">
        <v>150101</v>
      </c>
      <c r="T60" s="378" t="str">
        <f>+IFERROR(VLOOKUP(S60,STAT1!$C$4:$D$189,2,FALSE),"")</f>
        <v>Бараа бэлэн бүтээгдэхүүн БОЛОВСРУУЛАХ ЦЕХ /нарс/</v>
      </c>
      <c r="U60" s="1225"/>
      <c r="V60" s="1216">
        <v>14772150.491079995</v>
      </c>
      <c r="W60" s="326">
        <v>3002</v>
      </c>
      <c r="X60" s="328" t="str">
        <f>IFERROR(VLOOKUP(W60,DATA!$G$4:$H$400,2,FALSE),"")</f>
        <v>ЭКО КОНСТРАКШН ХХК</v>
      </c>
      <c r="Y60" s="1205"/>
      <c r="Z60" s="1205"/>
      <c r="AA60" s="1205"/>
    </row>
    <row r="61" spans="1:27" ht="12.75" customHeight="1">
      <c r="A61" s="15">
        <v>23</v>
      </c>
      <c r="B61" s="369">
        <f t="shared" si="5"/>
        <v>56</v>
      </c>
      <c r="C61" s="427">
        <v>42750</v>
      </c>
      <c r="D61" s="426"/>
      <c r="E61" s="425"/>
      <c r="F61" s="428"/>
      <c r="G61" s="378"/>
      <c r="H61" s="378"/>
      <c r="I61" s="378"/>
      <c r="J61" s="378"/>
      <c r="K61" s="1220"/>
      <c r="L61" s="378"/>
      <c r="M61" s="378"/>
      <c r="N61" s="378"/>
      <c r="O61" s="378"/>
      <c r="P61" s="378"/>
      <c r="Q61" s="378"/>
      <c r="R61" s="378"/>
      <c r="S61" s="609">
        <v>610100</v>
      </c>
      <c r="T61" s="378" t="str">
        <f>+IFERROR(VLOOKUP(S61,STAT1!$C$4:$D$189,2,FALSE),"")</f>
        <v>Борлуулсан барааны өртөг</v>
      </c>
      <c r="U61" s="1216">
        <v>14772150.491079995</v>
      </c>
      <c r="V61" s="1216"/>
      <c r="W61" s="326">
        <v>3002</v>
      </c>
      <c r="X61" s="328" t="str">
        <f>IFERROR(VLOOKUP(W61,DATA!$G$4:$H$400,2,FALSE),"")</f>
        <v>ЭКО КОНСТРАКШН ХХК</v>
      </c>
      <c r="Y61" s="1205"/>
      <c r="Z61" s="1205"/>
      <c r="AA61" s="1205"/>
    </row>
    <row r="62" spans="1:27" ht="12.75" customHeight="1">
      <c r="A62" s="15">
        <v>23</v>
      </c>
      <c r="B62" s="369">
        <f t="shared" si="5"/>
        <v>57</v>
      </c>
      <c r="C62" s="427">
        <v>42750</v>
      </c>
      <c r="D62" s="426"/>
      <c r="E62" s="425" t="str">
        <f ca="1">+IFERROR(VLOOKUP(D62,TN_table,2,FALSE),"")</f>
        <v/>
      </c>
      <c r="F62" s="428" t="str">
        <f ca="1">+IFERROR(VLOOKUP(D62,TN_table,3,FALSE),"")</f>
        <v/>
      </c>
      <c r="G62" s="378"/>
      <c r="H62" s="378"/>
      <c r="I62" s="378"/>
      <c r="J62" s="378"/>
      <c r="K62" s="1220"/>
      <c r="L62" s="378"/>
      <c r="M62" s="378"/>
      <c r="N62" s="378" t="str">
        <f>+IF(L62="","",L62*M62)</f>
        <v/>
      </c>
      <c r="O62" s="378" t="str">
        <f>+IF(L62="","",N62*0.1)</f>
        <v/>
      </c>
      <c r="P62" s="378" t="str">
        <f>+IF(L62="","",N62+O62)</f>
        <v/>
      </c>
      <c r="Q62" s="378" t="str">
        <f>IF(L62="","",IFERROR((SUMIFS(TN_balC1_totol,TN_code,D62)+SUMIFS(RC_or_totol,RC_Code,D62,RC_date,"&lt;="&amp;C62)-SUMIFS(RC_zar_totol,RC_Code,D62,RC_date,"&lt;"&amp;C62)) /( SUMIFS(TN_balC1_unit,TN_code,D62)+SUMIFS(RC_or_unit,RC_Code,D62,RC_date,"&lt;="&amp;C62)-SUMIFS(RC_zar_unit,RC_Code,D62,RC_date,"&lt;"&amp;C62)),0 ))</f>
        <v/>
      </c>
      <c r="R62" s="378" t="str">
        <f>+IF(L62="","",L62*Q62)</f>
        <v/>
      </c>
      <c r="S62" s="609">
        <v>310500</v>
      </c>
      <c r="T62" s="378" t="str">
        <f>+IFERROR(VLOOKUP(S62,STAT1!$C$4:$D$189,2,FALSE),"")</f>
        <v>НӨАТ өглөг</v>
      </c>
      <c r="U62" s="1225"/>
      <c r="V62" s="1216">
        <v>2157556.7939439998</v>
      </c>
      <c r="W62" s="326">
        <v>3002</v>
      </c>
      <c r="X62" s="328" t="str">
        <f>IFERROR(VLOOKUP(W62,DATA!$G$4:$H$400,2,FALSE),"")</f>
        <v>ЭКО КОНСТРАКШН ХХК</v>
      </c>
      <c r="Y62" s="1205"/>
      <c r="Z62" s="1205"/>
      <c r="AA62" s="1205"/>
    </row>
    <row r="63" spans="1:27" ht="12.75" customHeight="1">
      <c r="A63" s="15">
        <v>23</v>
      </c>
      <c r="B63" s="369">
        <f t="shared" si="5"/>
        <v>58</v>
      </c>
      <c r="C63" s="427">
        <v>42750</v>
      </c>
      <c r="D63" s="426"/>
      <c r="E63" s="425" t="str">
        <f ca="1">+IFERROR(VLOOKUP(D63,TN_table,2,FALSE),"")</f>
        <v/>
      </c>
      <c r="F63" s="428" t="str">
        <f ca="1">+IFERROR(VLOOKUP(D63,TN_table,3,FALSE),"")</f>
        <v/>
      </c>
      <c r="G63" s="378"/>
      <c r="H63" s="378"/>
      <c r="I63" s="378"/>
      <c r="J63" s="378"/>
      <c r="K63" s="1220"/>
      <c r="L63" s="378"/>
      <c r="M63" s="378"/>
      <c r="N63" s="378" t="str">
        <f>+IF(L63="","",L63*M63)</f>
        <v/>
      </c>
      <c r="O63" s="378" t="str">
        <f>+IF(L63="","",N63*0.1)</f>
        <v/>
      </c>
      <c r="P63" s="378" t="str">
        <f>+IF(L63="","",N63+O63)</f>
        <v/>
      </c>
      <c r="Q63" s="378" t="str">
        <f>IF(L63="","",IFERROR((SUMIFS(TN_balC1_totol,TN_code,D63)+SUMIFS(RC_or_totol,RC_Code,D63,RC_date,"&lt;="&amp;C63)-SUMIFS(RC_zar_totol,RC_Code,D63,RC_date,"&lt;"&amp;C63)) /( SUMIFS(TN_balC1_unit,TN_code,D63)+SUMIFS(RC_or_unit,RC_Code,D63,RC_date,"&lt;="&amp;C63)-SUMIFS(RC_zar_unit,RC_Code,D63,RC_date,"&lt;"&amp;C63)),0 ))</f>
        <v/>
      </c>
      <c r="R63" s="378" t="str">
        <f>+IF(L63="","",L63*Q63)</f>
        <v/>
      </c>
      <c r="S63" s="609">
        <v>510000</v>
      </c>
      <c r="T63" s="378" t="str">
        <f>+IFERROR(VLOOKUP(S63,STAT1!$C$4:$D$189,2,FALSE),"")</f>
        <v>Үндсэн үйл ажиллагааны борлуулалт</v>
      </c>
      <c r="U63" s="1225"/>
      <c r="V63" s="1216">
        <v>21575567.939439997</v>
      </c>
      <c r="W63" s="326">
        <v>3002</v>
      </c>
      <c r="X63" s="328" t="str">
        <f>IFERROR(VLOOKUP(W63,DATA!$G$4:$H$400,2,FALSE),"")</f>
        <v>ЭКО КОНСТРАКШН ХХК</v>
      </c>
      <c r="Y63" s="1205"/>
      <c r="Z63" s="1205"/>
      <c r="AA63" s="1205"/>
    </row>
    <row r="64" spans="1:27" ht="12.75" customHeight="1">
      <c r="A64" s="15">
        <v>23</v>
      </c>
      <c r="B64" s="369">
        <f t="shared" si="5"/>
        <v>59</v>
      </c>
      <c r="C64" s="427">
        <v>42750</v>
      </c>
      <c r="D64" s="426"/>
      <c r="E64" s="425" t="str">
        <f ca="1">+IFERROR(VLOOKUP(D64,TN_table,2,FALSE),"")</f>
        <v/>
      </c>
      <c r="F64" s="428" t="str">
        <f ca="1">+IFERROR(VLOOKUP(D64,TN_table,3,FALSE),"")</f>
        <v/>
      </c>
      <c r="G64" s="378"/>
      <c r="H64" s="378"/>
      <c r="I64" s="378"/>
      <c r="J64" s="378"/>
      <c r="K64" s="1220"/>
      <c r="L64" s="378"/>
      <c r="M64" s="378"/>
      <c r="N64" s="378" t="str">
        <f>+IF(L64="","",L64*M64)</f>
        <v/>
      </c>
      <c r="O64" s="378" t="str">
        <f>+IF(L64="","",N64*0.1)</f>
        <v/>
      </c>
      <c r="P64" s="378" t="str">
        <f>+IF(L64="","",N64+O64)</f>
        <v/>
      </c>
      <c r="Q64" s="378" t="str">
        <f>IF(L64="","",IFERROR((SUMIFS(TN_balC1_totol,TN_code,D64)+SUMIFS(RC_or_totol,RC_Code,D64,RC_date,"&lt;="&amp;C64)-SUMIFS(RC_zar_totol,RC_Code,D64,RC_date,"&lt;"&amp;C64)) /( SUMIFS(TN_balC1_unit,TN_code,D64)+SUMIFS(RC_or_unit,RC_Code,D64,RC_date,"&lt;="&amp;C64)-SUMIFS(RC_zar_unit,RC_Code,D64,RC_date,"&lt;"&amp;C64)),0 ))</f>
        <v/>
      </c>
      <c r="R64" s="378" t="str">
        <f>+IF(L64="","",L64*Q64)</f>
        <v/>
      </c>
      <c r="S64" s="609">
        <v>320100</v>
      </c>
      <c r="T64" s="378" t="str">
        <f>+IFERROR(VLOOKUP(S64,STAT1!$C$4:$D$189,2,FALSE),"")</f>
        <v>Урьдчилж орсон орлого MNT</v>
      </c>
      <c r="U64" s="1225">
        <v>23733124.733383998</v>
      </c>
      <c r="V64" s="1216"/>
      <c r="W64" s="326">
        <v>3002</v>
      </c>
      <c r="X64" s="328" t="str">
        <f>IFERROR(VLOOKUP(W64,DATA!$G$4:$H$400,2,FALSE),"")</f>
        <v>ЭКО КОНСТРАКШН ХХК</v>
      </c>
      <c r="Y64" s="1205"/>
      <c r="Z64" s="1205"/>
      <c r="AA64" s="1205"/>
    </row>
    <row r="65" spans="1:27" ht="12.75" customHeight="1">
      <c r="A65" s="15">
        <v>24</v>
      </c>
      <c r="B65" s="369">
        <f t="shared" si="5"/>
        <v>60</v>
      </c>
      <c r="C65" s="427">
        <v>42750</v>
      </c>
      <c r="D65" s="426">
        <v>211711</v>
      </c>
      <c r="E65" s="425" t="str">
        <f ca="1">+IFERROR(VLOOKUP(D65,TN_table,2,FALSE),"")</f>
        <v>Н-Хавтан /зузаан-2.6см/</v>
      </c>
      <c r="F65" s="428" t="str">
        <f ca="1">+IFERROR(VLOOKUP(D65,TN_table,3,FALSE),"")</f>
        <v>м2</v>
      </c>
      <c r="G65" s="378"/>
      <c r="H65" s="378"/>
      <c r="I65" s="378"/>
      <c r="J65" s="378"/>
      <c r="K65" s="1220"/>
      <c r="L65" s="378">
        <v>70.455999999999989</v>
      </c>
      <c r="M65" s="378">
        <v>36666.660000000003</v>
      </c>
      <c r="N65" s="378">
        <f>+IF(L65="","",L65*M65)</f>
        <v>2583386.1969599999</v>
      </c>
      <c r="O65" s="378">
        <f>+IF(L65="","",N65*0.1)</f>
        <v>258338.61969600001</v>
      </c>
      <c r="P65" s="378">
        <f>+IF(L65="","",N65+O65)</f>
        <v>2841724.816656</v>
      </c>
      <c r="Q65" s="378">
        <f ca="1">IF(L65="","",IFERROR((SUMIFS(TN_balC1_totol,TN_code,D65)+SUMIFS(RC_or_totol,RC_Code,D65,RC_date,"&lt;="&amp;C65)-SUMIFS(RC_zar_totol,RC_Code,D65,RC_date,"&lt;"&amp;C65)) /( SUMIFS(TN_balC1_unit,TN_code,D65)+SUMIFS(RC_or_unit,RC_Code,D65,RC_date,"&lt;="&amp;C65)-SUMIFS(RC_zar_unit,RC_Code,D65,RC_date,"&lt;"&amp;C65)),0 ))</f>
        <v>49742.03</v>
      </c>
      <c r="R65" s="378">
        <f ca="1">+IF(L65="","",L65*Q65)</f>
        <v>3504624.4656799994</v>
      </c>
      <c r="S65" s="609">
        <v>150101</v>
      </c>
      <c r="T65" s="378" t="str">
        <f>+IFERROR(VLOOKUP(S65,STAT1!$C$4:$D$189,2,FALSE),"")</f>
        <v>Бараа бэлэн бүтээгдэхүүн БОЛОВСРУУЛАХ ЦЕХ /нарс/</v>
      </c>
      <c r="U65" s="1225"/>
      <c r="V65" s="1216">
        <v>3504624.4656799994</v>
      </c>
      <c r="W65" s="326">
        <v>3002</v>
      </c>
      <c r="X65" s="328" t="str">
        <f>IFERROR(VLOOKUP(W65,DATA!$G$4:$H$400,2,FALSE),"")</f>
        <v>ЭКО КОНСТРАКШН ХХК</v>
      </c>
      <c r="Y65" s="1205"/>
      <c r="Z65" s="1205"/>
      <c r="AA65" s="1205"/>
    </row>
    <row r="66" spans="1:27" ht="12.75" customHeight="1">
      <c r="A66" s="15">
        <v>24</v>
      </c>
      <c r="B66" s="369">
        <f t="shared" si="5"/>
        <v>61</v>
      </c>
      <c r="C66" s="427">
        <v>42750</v>
      </c>
      <c r="D66" s="426"/>
      <c r="E66" s="425"/>
      <c r="F66" s="428"/>
      <c r="G66" s="378"/>
      <c r="H66" s="378"/>
      <c r="I66" s="378"/>
      <c r="J66" s="378"/>
      <c r="K66" s="1220"/>
      <c r="L66" s="378"/>
      <c r="M66" s="378"/>
      <c r="N66" s="378"/>
      <c r="O66" s="378"/>
      <c r="P66" s="378"/>
      <c r="Q66" s="378"/>
      <c r="R66" s="378"/>
      <c r="S66" s="609">
        <v>610100</v>
      </c>
      <c r="T66" s="378" t="str">
        <f>+IFERROR(VLOOKUP(S66,STAT1!$C$4:$D$189,2,FALSE),"")</f>
        <v>Борлуулсан барааны өртөг</v>
      </c>
      <c r="U66" s="1225">
        <v>3504624.47</v>
      </c>
      <c r="V66" s="1216"/>
      <c r="W66" s="326">
        <v>3002</v>
      </c>
      <c r="X66" s="328" t="str">
        <f>IFERROR(VLOOKUP(W66,DATA!$G$4:$H$400,2,FALSE),"")</f>
        <v>ЭКО КОНСТРАКШН ХХК</v>
      </c>
      <c r="Y66" s="1205"/>
      <c r="Z66" s="1205"/>
      <c r="AA66" s="1205"/>
    </row>
    <row r="67" spans="1:27" ht="12.75" customHeight="1">
      <c r="A67" s="15">
        <v>24</v>
      </c>
      <c r="B67" s="369">
        <f t="shared" si="5"/>
        <v>62</v>
      </c>
      <c r="C67" s="427">
        <v>42750</v>
      </c>
      <c r="D67" s="426"/>
      <c r="E67" s="425" t="str">
        <f ca="1">+IFERROR(VLOOKUP(D67,TN_table,2,FALSE),"")</f>
        <v/>
      </c>
      <c r="F67" s="428" t="str">
        <f ca="1">+IFERROR(VLOOKUP(D67,TN_table,3,FALSE),"")</f>
        <v/>
      </c>
      <c r="G67" s="378"/>
      <c r="H67" s="378"/>
      <c r="I67" s="378"/>
      <c r="J67" s="378"/>
      <c r="K67" s="1220"/>
      <c r="L67" s="378"/>
      <c r="M67" s="378"/>
      <c r="N67" s="378" t="str">
        <f>+IF(L67="","",L67*M67)</f>
        <v/>
      </c>
      <c r="O67" s="378" t="str">
        <f>+IF(L67="","",N67*0.1)</f>
        <v/>
      </c>
      <c r="P67" s="378" t="str">
        <f>+IF(L67="","",N67+O67)</f>
        <v/>
      </c>
      <c r="Q67" s="378" t="str">
        <f>IF(L67="","",IFERROR((SUMIFS(TN_balC1_totol,TN_code,D67)+SUMIFS(RC_or_totol,RC_Code,D67,RC_date,"&lt;="&amp;C67)-SUMIFS(RC_zar_totol,RC_Code,D67,RC_date,"&lt;"&amp;C67)) /( SUMIFS(TN_balC1_unit,TN_code,D67)+SUMIFS(RC_or_unit,RC_Code,D67,RC_date,"&lt;="&amp;C67)-SUMIFS(RC_zar_unit,RC_Code,D67,RC_date,"&lt;"&amp;C67)),0 ))</f>
        <v/>
      </c>
      <c r="R67" s="378" t="str">
        <f>+IF(L67="","",L67*Q67)</f>
        <v/>
      </c>
      <c r="S67" s="609">
        <v>310500</v>
      </c>
      <c r="T67" s="378" t="str">
        <f>+IFERROR(VLOOKUP(S67,STAT1!$C$4:$D$189,2,FALSE),"")</f>
        <v>НӨАТ өглөг</v>
      </c>
      <c r="U67" s="1225"/>
      <c r="V67" s="1216">
        <v>258338.61969600001</v>
      </c>
      <c r="W67" s="326">
        <v>3002</v>
      </c>
      <c r="X67" s="328" t="str">
        <f>IFERROR(VLOOKUP(W67,DATA!$G$4:$H$400,2,FALSE),"")</f>
        <v>ЭКО КОНСТРАКШН ХХК</v>
      </c>
      <c r="Y67" s="1205"/>
      <c r="Z67" s="1205"/>
      <c r="AA67" s="1205"/>
    </row>
    <row r="68" spans="1:27" ht="12.75" customHeight="1">
      <c r="A68" s="15">
        <v>24</v>
      </c>
      <c r="B68" s="369">
        <f t="shared" si="5"/>
        <v>63</v>
      </c>
      <c r="C68" s="427">
        <v>42750</v>
      </c>
      <c r="D68" s="426"/>
      <c r="E68" s="425" t="str">
        <f ca="1">+IFERROR(VLOOKUP(D68,TN_table,2,FALSE),"")</f>
        <v/>
      </c>
      <c r="F68" s="428" t="str">
        <f ca="1">+IFERROR(VLOOKUP(D68,TN_table,3,FALSE),"")</f>
        <v/>
      </c>
      <c r="G68" s="378"/>
      <c r="H68" s="378"/>
      <c r="I68" s="378"/>
      <c r="J68" s="378"/>
      <c r="K68" s="1220"/>
      <c r="L68" s="378"/>
      <c r="M68" s="378"/>
      <c r="N68" s="378" t="str">
        <f>+IF(L68="","",L68*M68)</f>
        <v/>
      </c>
      <c r="O68" s="378" t="str">
        <f>+IF(L68="","",N68*0.1)</f>
        <v/>
      </c>
      <c r="P68" s="378" t="str">
        <f>+IF(L68="","",N68+O68)</f>
        <v/>
      </c>
      <c r="Q68" s="378" t="str">
        <f>IF(L68="","",IFERROR((SUMIFS(TN_balC1_totol,TN_code,D68)+SUMIFS(RC_or_totol,RC_Code,D68,RC_date,"&lt;="&amp;C68)-SUMIFS(RC_zar_totol,RC_Code,D68,RC_date,"&lt;"&amp;C68)) /( SUMIFS(TN_balC1_unit,TN_code,D68)+SUMIFS(RC_or_unit,RC_Code,D68,RC_date,"&lt;="&amp;C68)-SUMIFS(RC_zar_unit,RC_Code,D68,RC_date,"&lt;"&amp;C68)),0 ))</f>
        <v/>
      </c>
      <c r="R68" s="378" t="str">
        <f>+IF(L68="","",L68*Q68)</f>
        <v/>
      </c>
      <c r="S68" s="609">
        <v>510000</v>
      </c>
      <c r="T68" s="378" t="str">
        <f>+IFERROR(VLOOKUP(S68,STAT1!$C$4:$D$189,2,FALSE),"")</f>
        <v>Үндсэн үйл ажиллагааны борлуулалт</v>
      </c>
      <c r="U68" s="1225"/>
      <c r="V68" s="1216">
        <v>2583386.1969599999</v>
      </c>
      <c r="W68" s="326">
        <v>3002</v>
      </c>
      <c r="X68" s="328" t="str">
        <f>IFERROR(VLOOKUP(W68,DATA!$G$4:$H$400,2,FALSE),"")</f>
        <v>ЭКО КОНСТРАКШН ХХК</v>
      </c>
      <c r="Y68" s="1205"/>
      <c r="Z68" s="1205"/>
      <c r="AA68" s="1205"/>
    </row>
    <row r="69" spans="1:27" ht="12.75" customHeight="1">
      <c r="A69" s="15">
        <v>24</v>
      </c>
      <c r="B69" s="369">
        <f t="shared" si="5"/>
        <v>64</v>
      </c>
      <c r="C69" s="427">
        <v>42750</v>
      </c>
      <c r="D69" s="426"/>
      <c r="E69" s="425" t="str">
        <f ca="1">+IFERROR(VLOOKUP(D69,TN_table,2,FALSE),"")</f>
        <v/>
      </c>
      <c r="F69" s="428" t="str">
        <f ca="1">+IFERROR(VLOOKUP(D69,TN_table,3,FALSE),"")</f>
        <v/>
      </c>
      <c r="G69" s="378"/>
      <c r="H69" s="378"/>
      <c r="I69" s="378"/>
      <c r="J69" s="378"/>
      <c r="K69" s="1220"/>
      <c r="L69" s="378"/>
      <c r="M69" s="378"/>
      <c r="N69" s="378" t="str">
        <f>+IF(L69="","",L69*M69)</f>
        <v/>
      </c>
      <c r="O69" s="378" t="str">
        <f>+IF(L69="","",N69*0.1)</f>
        <v/>
      </c>
      <c r="P69" s="378" t="str">
        <f>+IF(L69="","",N69+O69)</f>
        <v/>
      </c>
      <c r="Q69" s="378" t="str">
        <f>IF(L69="","",IFERROR((SUMIFS(TN_balC1_totol,TN_code,D69)+SUMIFS(RC_or_totol,RC_Code,D69,RC_date,"&lt;="&amp;C69)-SUMIFS(RC_zar_totol,RC_Code,D69,RC_date,"&lt;"&amp;C69)) /( SUMIFS(TN_balC1_unit,TN_code,D69)+SUMIFS(RC_or_unit,RC_Code,D69,RC_date,"&lt;="&amp;C69)-SUMIFS(RC_zar_unit,RC_Code,D69,RC_date,"&lt;"&amp;C69)),0 ))</f>
        <v/>
      </c>
      <c r="R69" s="378" t="str">
        <f>+IF(L69="","",L69*Q69)</f>
        <v/>
      </c>
      <c r="S69" s="609">
        <v>320100</v>
      </c>
      <c r="T69" s="378" t="str">
        <f>+IFERROR(VLOOKUP(S69,STAT1!$C$4:$D$189,2,FALSE),"")</f>
        <v>Урьдчилж орсон орлого MNT</v>
      </c>
      <c r="U69" s="1225">
        <v>2841724.816656</v>
      </c>
      <c r="V69" s="1216"/>
      <c r="W69" s="326">
        <v>3002</v>
      </c>
      <c r="X69" s="328" t="str">
        <f>IFERROR(VLOOKUP(W69,DATA!$G$4:$H$400,2,FALSE),"")</f>
        <v>ЭКО КОНСТРАКШН ХХК</v>
      </c>
      <c r="Y69" s="1205"/>
      <c r="Z69" s="1205"/>
      <c r="AA69" s="1205"/>
    </row>
    <row r="70" spans="1:27" ht="12.75" customHeight="1">
      <c r="A70" s="15">
        <v>25</v>
      </c>
      <c r="B70" s="369">
        <f t="shared" ref="B70:B133" si="15">+IF(C70="","",ROW()-5)</f>
        <v>65</v>
      </c>
      <c r="C70" s="427">
        <v>42750</v>
      </c>
      <c r="D70" s="426">
        <v>211715</v>
      </c>
      <c r="E70" s="425" t="str">
        <f ca="1">+IFERROR(VLOOKUP(D70,TN_table,2,FALSE),"")</f>
        <v>Н-Хавтан /зузаан-1.8см/</v>
      </c>
      <c r="F70" s="428" t="str">
        <f ca="1">+IFERROR(VLOOKUP(D70,TN_table,3,FALSE),"")</f>
        <v>м2</v>
      </c>
      <c r="G70" s="378"/>
      <c r="H70" s="378"/>
      <c r="I70" s="378"/>
      <c r="J70" s="378"/>
      <c r="K70" s="1220"/>
      <c r="L70" s="378">
        <v>48.020999999999958</v>
      </c>
      <c r="M70" s="378">
        <v>28333.330999999998</v>
      </c>
      <c r="N70" s="378">
        <f>+IF(L70="","",L70*M70)</f>
        <v>1360594.8879509987</v>
      </c>
      <c r="O70" s="378">
        <f>+IF(L70="","",N70*0.1)</f>
        <v>136059.48879509987</v>
      </c>
      <c r="P70" s="378">
        <f>+IF(L70="","",N70+O70)</f>
        <v>1496654.3767460985</v>
      </c>
      <c r="Q70" s="378">
        <f ca="1">IF(L70="","",IFERROR((SUMIFS(TN_balC1_totol,TN_code,D70)+SUMIFS(RC_or_totol,RC_Code,D70,RC_date,"&lt;="&amp;C70)-SUMIFS(RC_zar_totol,RC_Code,D70,RC_date,"&lt;"&amp;C70)) /( SUMIFS(TN_balC1_unit,TN_code,D70)+SUMIFS(RC_or_unit,RC_Code,D70,RC_date,"&lt;="&amp;C70)-SUMIFS(RC_zar_unit,RC_Code,D70,RC_date,"&lt;"&amp;C70)),0 ))</f>
        <v>20188.544804875772</v>
      </c>
      <c r="R70" s="378">
        <f ca="1">+IF(L70="","",L70*Q70)</f>
        <v>969474.11007493862</v>
      </c>
      <c r="S70" s="609">
        <v>150101</v>
      </c>
      <c r="T70" s="378" t="str">
        <f>+IFERROR(VLOOKUP(S70,STAT1!$C$4:$D$189,2,FALSE),"")</f>
        <v>Бараа бэлэн бүтээгдэхүүн БОЛОВСРУУЛАХ ЦЕХ /нарс/</v>
      </c>
      <c r="U70" s="1225"/>
      <c r="V70" s="1216">
        <v>969474.11007493862</v>
      </c>
      <c r="W70" s="326">
        <v>3002</v>
      </c>
      <c r="X70" s="328" t="str">
        <f>IFERROR(VLOOKUP(W70,DATA!$G$4:$H$400,2,FALSE),"")</f>
        <v>ЭКО КОНСТРАКШН ХХК</v>
      </c>
      <c r="Y70" s="1205"/>
      <c r="Z70" s="1205"/>
      <c r="AA70" s="1205"/>
    </row>
    <row r="71" spans="1:27" ht="12.75" customHeight="1">
      <c r="A71" s="15">
        <v>25</v>
      </c>
      <c r="B71" s="369">
        <f t="shared" si="15"/>
        <v>66</v>
      </c>
      <c r="C71" s="427">
        <v>42750</v>
      </c>
      <c r="D71" s="426"/>
      <c r="E71" s="425"/>
      <c r="F71" s="428"/>
      <c r="G71" s="378"/>
      <c r="H71" s="378"/>
      <c r="I71" s="378"/>
      <c r="J71" s="378"/>
      <c r="K71" s="1220"/>
      <c r="L71" s="378"/>
      <c r="M71" s="378"/>
      <c r="N71" s="378"/>
      <c r="O71" s="378"/>
      <c r="P71" s="378"/>
      <c r="Q71" s="378"/>
      <c r="R71" s="378"/>
      <c r="S71" s="609">
        <v>610100</v>
      </c>
      <c r="T71" s="378" t="str">
        <f>+IFERROR(VLOOKUP(S71,STAT1!$C$4:$D$189,2,FALSE),"")</f>
        <v>Борлуулсан барааны өртөг</v>
      </c>
      <c r="U71" s="1216">
        <v>969474.11007493862</v>
      </c>
      <c r="V71" s="1216"/>
      <c r="W71" s="326">
        <v>3002</v>
      </c>
      <c r="X71" s="328" t="str">
        <f>IFERROR(VLOOKUP(W71,DATA!$G$4:$H$400,2,FALSE),"")</f>
        <v>ЭКО КОНСТРАКШН ХХК</v>
      </c>
      <c r="Y71" s="1205"/>
      <c r="Z71" s="1205"/>
      <c r="AA71" s="1205"/>
    </row>
    <row r="72" spans="1:27" ht="12.75" customHeight="1">
      <c r="A72" s="15">
        <v>25</v>
      </c>
      <c r="B72" s="369">
        <f t="shared" si="15"/>
        <v>67</v>
      </c>
      <c r="C72" s="427">
        <v>42750</v>
      </c>
      <c r="D72" s="426"/>
      <c r="E72" s="425" t="str">
        <f ca="1">+IFERROR(VLOOKUP(D72,TN_table,2,FALSE),"")</f>
        <v/>
      </c>
      <c r="F72" s="428" t="str">
        <f ca="1">+IFERROR(VLOOKUP(D72,TN_table,3,FALSE),"")</f>
        <v/>
      </c>
      <c r="G72" s="378"/>
      <c r="H72" s="378"/>
      <c r="I72" s="378"/>
      <c r="J72" s="378"/>
      <c r="K72" s="1220"/>
      <c r="L72" s="378"/>
      <c r="M72" s="378"/>
      <c r="N72" s="378" t="str">
        <f>+IF(L72="","",L72*M72)</f>
        <v/>
      </c>
      <c r="O72" s="378" t="str">
        <f>+IF(L72="","",N72*0.1)</f>
        <v/>
      </c>
      <c r="P72" s="378" t="str">
        <f>+IF(L72="","",N72+O72)</f>
        <v/>
      </c>
      <c r="Q72" s="378" t="str">
        <f>IF(L72="","",IFERROR((SUMIFS(TN_balC1_totol,TN_code,D72)+SUMIFS(RC_or_totol,RC_Code,D72,RC_date,"&lt;="&amp;C72)-SUMIFS(RC_zar_totol,RC_Code,D72,RC_date,"&lt;"&amp;C72)) /( SUMIFS(TN_balC1_unit,TN_code,D72)+SUMIFS(RC_or_unit,RC_Code,D72,RC_date,"&lt;="&amp;C72)-SUMIFS(RC_zar_unit,RC_Code,D72,RC_date,"&lt;"&amp;C72)),0 ))</f>
        <v/>
      </c>
      <c r="R72" s="378" t="str">
        <f>+IF(L72="","",L72*Q72)</f>
        <v/>
      </c>
      <c r="S72" s="609">
        <v>310500</v>
      </c>
      <c r="T72" s="378" t="str">
        <f>+IFERROR(VLOOKUP(S72,STAT1!$C$4:$D$189,2,FALSE),"")</f>
        <v>НӨАТ өглөг</v>
      </c>
      <c r="U72" s="1225"/>
      <c r="V72" s="1216">
        <v>136059.48879509987</v>
      </c>
      <c r="W72" s="326">
        <v>3002</v>
      </c>
      <c r="X72" s="328" t="str">
        <f>IFERROR(VLOOKUP(W72,DATA!$G$4:$H$400,2,FALSE),"")</f>
        <v>ЭКО КОНСТРАКШН ХХК</v>
      </c>
      <c r="Y72" s="1205"/>
      <c r="Z72" s="1205"/>
      <c r="AA72" s="1205"/>
    </row>
    <row r="73" spans="1:27" ht="12.75" customHeight="1">
      <c r="A73" s="15">
        <v>25</v>
      </c>
      <c r="B73" s="369">
        <f t="shared" si="15"/>
        <v>68</v>
      </c>
      <c r="C73" s="427">
        <v>42750</v>
      </c>
      <c r="D73" s="426"/>
      <c r="E73" s="425" t="str">
        <f ca="1">+IFERROR(VLOOKUP(D73,TN_table,2,FALSE),"")</f>
        <v/>
      </c>
      <c r="F73" s="428" t="str">
        <f ca="1">+IFERROR(VLOOKUP(D73,TN_table,3,FALSE),"")</f>
        <v/>
      </c>
      <c r="G73" s="378"/>
      <c r="H73" s="378"/>
      <c r="I73" s="378"/>
      <c r="J73" s="378"/>
      <c r="K73" s="1220"/>
      <c r="L73" s="378"/>
      <c r="M73" s="378"/>
      <c r="N73" s="378" t="str">
        <f>+IF(L73="","",L73*M73)</f>
        <v/>
      </c>
      <c r="O73" s="378" t="str">
        <f>+IF(L73="","",N73*0.1)</f>
        <v/>
      </c>
      <c r="P73" s="378" t="str">
        <f>+IF(L73="","",N73+O73)</f>
        <v/>
      </c>
      <c r="Q73" s="378" t="str">
        <f>IF(L73="","",IFERROR((SUMIFS(TN_balC1_totol,TN_code,D73)+SUMIFS(RC_or_totol,RC_Code,D73,RC_date,"&lt;="&amp;C73)-SUMIFS(RC_zar_totol,RC_Code,D73,RC_date,"&lt;"&amp;C73)) /( SUMIFS(TN_balC1_unit,TN_code,D73)+SUMIFS(RC_or_unit,RC_Code,D73,RC_date,"&lt;="&amp;C73)-SUMIFS(RC_zar_unit,RC_Code,D73,RC_date,"&lt;"&amp;C73)),0 ))</f>
        <v/>
      </c>
      <c r="R73" s="378" t="str">
        <f>+IF(L73="","",L73*Q73)</f>
        <v/>
      </c>
      <c r="S73" s="609">
        <v>510000</v>
      </c>
      <c r="T73" s="378" t="str">
        <f>+IFERROR(VLOOKUP(S73,STAT1!$C$4:$D$189,2,FALSE),"")</f>
        <v>Үндсэн үйл ажиллагааны борлуулалт</v>
      </c>
      <c r="U73" s="1225"/>
      <c r="V73" s="1216">
        <v>1360594.89</v>
      </c>
      <c r="W73" s="326">
        <v>3002</v>
      </c>
      <c r="X73" s="328" t="str">
        <f>IFERROR(VLOOKUP(W73,DATA!$G$4:$H$400,2,FALSE),"")</f>
        <v>ЭКО КОНСТРАКШН ХХК</v>
      </c>
      <c r="Y73" s="1205"/>
      <c r="Z73" s="1205"/>
      <c r="AA73" s="1205"/>
    </row>
    <row r="74" spans="1:27" ht="12.75" customHeight="1">
      <c r="A74" s="15">
        <v>25</v>
      </c>
      <c r="B74" s="369">
        <f t="shared" si="15"/>
        <v>69</v>
      </c>
      <c r="C74" s="427">
        <v>42750</v>
      </c>
      <c r="D74" s="426"/>
      <c r="E74" s="425" t="str">
        <f ca="1">+IFERROR(VLOOKUP(D74,TN_table,2,FALSE),"")</f>
        <v/>
      </c>
      <c r="F74" s="428" t="str">
        <f ca="1">+IFERROR(VLOOKUP(D74,TN_table,3,FALSE),"")</f>
        <v/>
      </c>
      <c r="G74" s="378"/>
      <c r="H74" s="378"/>
      <c r="I74" s="378"/>
      <c r="J74" s="378"/>
      <c r="K74" s="1220"/>
      <c r="L74" s="378"/>
      <c r="M74" s="378"/>
      <c r="N74" s="378" t="str">
        <f>+IF(L74="","",L74*M74)</f>
        <v/>
      </c>
      <c r="O74" s="378" t="str">
        <f>+IF(L74="","",N74*0.1)</f>
        <v/>
      </c>
      <c r="P74" s="378" t="str">
        <f>+IF(L74="","",N74+O74)</f>
        <v/>
      </c>
      <c r="Q74" s="378" t="str">
        <f>IF(L74="","",IFERROR((SUMIFS(TN_balC1_totol,TN_code,D74)+SUMIFS(RC_or_totol,RC_Code,D74,RC_date,"&lt;="&amp;C74)-SUMIFS(RC_zar_totol,RC_Code,D74,RC_date,"&lt;"&amp;C74)) /( SUMIFS(TN_balC1_unit,TN_code,D74)+SUMIFS(RC_or_unit,RC_Code,D74,RC_date,"&lt;="&amp;C74)-SUMIFS(RC_zar_unit,RC_Code,D74,RC_date,"&lt;"&amp;C74)),0 ))</f>
        <v/>
      </c>
      <c r="R74" s="378" t="str">
        <f>+IF(L74="","",L74*Q74)</f>
        <v/>
      </c>
      <c r="S74" s="609">
        <v>320100</v>
      </c>
      <c r="T74" s="378" t="str">
        <f>+IFERROR(VLOOKUP(S74,STAT1!$C$4:$D$189,2,FALSE),"")</f>
        <v>Урьдчилж орсон орлого MNT</v>
      </c>
      <c r="U74" s="1225">
        <v>1496654.3767460985</v>
      </c>
      <c r="V74" s="1216"/>
      <c r="W74" s="326">
        <v>3002</v>
      </c>
      <c r="X74" s="328" t="str">
        <f>IFERROR(VLOOKUP(W74,DATA!$G$4:$H$400,2,FALSE),"")</f>
        <v>ЭКО КОНСТРАКШН ХХК</v>
      </c>
      <c r="Y74" s="1205"/>
      <c r="Z74" s="1205"/>
      <c r="AA74" s="1205"/>
    </row>
    <row r="75" spans="1:27" ht="12.75" customHeight="1">
      <c r="A75" s="15">
        <v>26</v>
      </c>
      <c r="B75" s="369">
        <f t="shared" si="15"/>
        <v>70</v>
      </c>
      <c r="C75" s="427">
        <v>42750</v>
      </c>
      <c r="D75" s="426">
        <v>211713</v>
      </c>
      <c r="E75" s="425" t="str">
        <f ca="1">+IFERROR(VLOOKUP(D75,TN_table,2,FALSE),"")</f>
        <v>Н-Хавтан /зузаан-2см/</v>
      </c>
      <c r="F75" s="428" t="str">
        <f ca="1">+IFERROR(VLOOKUP(D75,TN_table,3,FALSE),"")</f>
        <v>м2</v>
      </c>
      <c r="G75" s="378"/>
      <c r="H75" s="378"/>
      <c r="I75" s="378"/>
      <c r="J75" s="378"/>
      <c r="K75" s="1220"/>
      <c r="L75" s="378">
        <v>4.55</v>
      </c>
      <c r="M75" s="378">
        <v>30026.988000000001</v>
      </c>
      <c r="N75" s="378">
        <f>+IF(L75="","",L75*M75)</f>
        <v>136622.7954</v>
      </c>
      <c r="O75" s="378">
        <f>+IF(L75="","",N75*0.1)</f>
        <v>13662.279540000001</v>
      </c>
      <c r="P75" s="378">
        <f>+IF(L75="","",N75+O75)</f>
        <v>150285.07493999999</v>
      </c>
      <c r="Q75" s="378">
        <f ca="1">IF(L75="","",IFERROR((SUMIFS(TN_balC1_totol,TN_code,D75)+SUMIFS(RC_or_totol,RC_Code,D75,RC_date,"&lt;="&amp;C75)-SUMIFS(RC_zar_totol,RC_Code,D75,RC_date,"&lt;"&amp;C75)) /( SUMIFS(TN_balC1_unit,TN_code,D75)+SUMIFS(RC_or_unit,RC_Code,D75,RC_date,"&lt;="&amp;C75)-SUMIFS(RC_zar_unit,RC_Code,D75,RC_date,"&lt;"&amp;C75)),0 ))</f>
        <v>22742.855938686207</v>
      </c>
      <c r="R75" s="378">
        <f ca="1">+IF(L75="","",L75*Q75)</f>
        <v>103479.99452102224</v>
      </c>
      <c r="S75" s="609">
        <v>150101</v>
      </c>
      <c r="T75" s="378" t="str">
        <f>+IFERROR(VLOOKUP(S75,STAT1!$C$4:$D$189,2,FALSE),"")</f>
        <v>Бараа бэлэн бүтээгдэхүүн БОЛОВСРУУЛАХ ЦЕХ /нарс/</v>
      </c>
      <c r="U75" s="1225"/>
      <c r="V75" s="1216">
        <v>103479.99452102224</v>
      </c>
      <c r="W75" s="326">
        <v>3002</v>
      </c>
      <c r="X75" s="328" t="str">
        <f>IFERROR(VLOOKUP(W75,DATA!$G$4:$H$400,2,FALSE),"")</f>
        <v>ЭКО КОНСТРАКШН ХХК</v>
      </c>
      <c r="Y75" s="1205"/>
      <c r="Z75" s="1205"/>
      <c r="AA75" s="1205"/>
    </row>
    <row r="76" spans="1:27" ht="12.75" customHeight="1">
      <c r="A76" s="15">
        <v>26</v>
      </c>
      <c r="B76" s="369">
        <f t="shared" si="15"/>
        <v>71</v>
      </c>
      <c r="C76" s="427">
        <v>42750</v>
      </c>
      <c r="D76" s="426"/>
      <c r="E76" s="425"/>
      <c r="F76" s="428"/>
      <c r="G76" s="378"/>
      <c r="H76" s="378"/>
      <c r="I76" s="378"/>
      <c r="J76" s="378"/>
      <c r="K76" s="1220"/>
      <c r="L76" s="378"/>
      <c r="M76" s="378"/>
      <c r="N76" s="378"/>
      <c r="O76" s="378"/>
      <c r="P76" s="378"/>
      <c r="Q76" s="378"/>
      <c r="R76" s="378"/>
      <c r="S76" s="609">
        <v>610100</v>
      </c>
      <c r="T76" s="378" t="str">
        <f>+IFERROR(VLOOKUP(S76,STAT1!$C$4:$D$189,2,FALSE),"")</f>
        <v>Борлуулсан барааны өртөг</v>
      </c>
      <c r="U76" s="1216">
        <v>103479.99452102224</v>
      </c>
      <c r="V76" s="1216"/>
      <c r="W76" s="326">
        <v>3002</v>
      </c>
      <c r="X76" s="328" t="str">
        <f>IFERROR(VLOOKUP(W76,DATA!$G$4:$H$400,2,FALSE),"")</f>
        <v>ЭКО КОНСТРАКШН ХХК</v>
      </c>
      <c r="Y76" s="1205"/>
      <c r="Z76" s="1205"/>
      <c r="AA76" s="1205"/>
    </row>
    <row r="77" spans="1:27" ht="12.75" customHeight="1">
      <c r="A77" s="15">
        <v>26</v>
      </c>
      <c r="B77" s="369">
        <f t="shared" si="15"/>
        <v>72</v>
      </c>
      <c r="C77" s="427">
        <v>42750</v>
      </c>
      <c r="D77" s="426"/>
      <c r="E77" s="425" t="str">
        <f ca="1">+IFERROR(VLOOKUP(D77,TN_table,2,FALSE),"")</f>
        <v/>
      </c>
      <c r="F77" s="428" t="str">
        <f ca="1">+IFERROR(VLOOKUP(D77,TN_table,3,FALSE),"")</f>
        <v/>
      </c>
      <c r="G77" s="378"/>
      <c r="H77" s="378"/>
      <c r="I77" s="378"/>
      <c r="J77" s="378"/>
      <c r="K77" s="1220"/>
      <c r="L77" s="378"/>
      <c r="M77" s="378"/>
      <c r="N77" s="378" t="str">
        <f>+IF(L77="","",L77*M77)</f>
        <v/>
      </c>
      <c r="O77" s="378" t="str">
        <f>+IF(L77="","",N77*0.1)</f>
        <v/>
      </c>
      <c r="P77" s="378" t="str">
        <f>+IF(L77="","",N77+O77)</f>
        <v/>
      </c>
      <c r="Q77" s="378" t="str">
        <f>IF(L77="","",IFERROR((SUMIFS(TN_balC1_totol,TN_code,D77)+SUMIFS(RC_or_totol,RC_Code,D77,RC_date,"&lt;="&amp;C77)-SUMIFS(RC_zar_totol,RC_Code,D77,RC_date,"&lt;"&amp;C77)) /( SUMIFS(TN_balC1_unit,TN_code,D77)+SUMIFS(RC_or_unit,RC_Code,D77,RC_date,"&lt;="&amp;C77)-SUMIFS(RC_zar_unit,RC_Code,D77,RC_date,"&lt;"&amp;C77)),0 ))</f>
        <v/>
      </c>
      <c r="R77" s="378" t="str">
        <f>+IF(L77="","",L77*Q77)</f>
        <v/>
      </c>
      <c r="S77" s="609">
        <v>310500</v>
      </c>
      <c r="T77" s="378" t="str">
        <f>+IFERROR(VLOOKUP(S77,STAT1!$C$4:$D$189,2,FALSE),"")</f>
        <v>НӨАТ өглөг</v>
      </c>
      <c r="U77" s="1225"/>
      <c r="V77" s="1216">
        <v>13662.279540000001</v>
      </c>
      <c r="W77" s="326">
        <v>3002</v>
      </c>
      <c r="X77" s="328" t="str">
        <f>IFERROR(VLOOKUP(W77,DATA!$G$4:$H$400,2,FALSE),"")</f>
        <v>ЭКО КОНСТРАКШН ХХК</v>
      </c>
      <c r="Y77" s="1205"/>
      <c r="Z77" s="1205"/>
      <c r="AA77" s="1205"/>
    </row>
    <row r="78" spans="1:27" ht="12.75" customHeight="1">
      <c r="A78" s="15">
        <v>26</v>
      </c>
      <c r="B78" s="369">
        <f t="shared" si="15"/>
        <v>73</v>
      </c>
      <c r="C78" s="427">
        <v>42750</v>
      </c>
      <c r="D78" s="426"/>
      <c r="E78" s="425" t="str">
        <f ca="1">+IFERROR(VLOOKUP(D78,TN_table,2,FALSE),"")</f>
        <v/>
      </c>
      <c r="F78" s="428" t="str">
        <f ca="1">+IFERROR(VLOOKUP(D78,TN_table,3,FALSE),"")</f>
        <v/>
      </c>
      <c r="G78" s="378"/>
      <c r="H78" s="378"/>
      <c r="I78" s="378"/>
      <c r="J78" s="378"/>
      <c r="K78" s="1220"/>
      <c r="L78" s="378"/>
      <c r="M78" s="378"/>
      <c r="N78" s="378" t="str">
        <f>+IF(L78="","",L78*M78)</f>
        <v/>
      </c>
      <c r="O78" s="378" t="str">
        <f>+IF(L78="","",N78*0.1)</f>
        <v/>
      </c>
      <c r="P78" s="378" t="str">
        <f>+IF(L78="","",N78+O78)</f>
        <v/>
      </c>
      <c r="Q78" s="378" t="str">
        <f>IF(L78="","",IFERROR((SUMIFS(TN_balC1_totol,TN_code,D78)+SUMIFS(RC_or_totol,RC_Code,D78,RC_date,"&lt;="&amp;C78)-SUMIFS(RC_zar_totol,RC_Code,D78,RC_date,"&lt;"&amp;C78)) /( SUMIFS(TN_balC1_unit,TN_code,D78)+SUMIFS(RC_or_unit,RC_Code,D78,RC_date,"&lt;="&amp;C78)-SUMIFS(RC_zar_unit,RC_Code,D78,RC_date,"&lt;"&amp;C78)),0 ))</f>
        <v/>
      </c>
      <c r="R78" s="378" t="str">
        <f>+IF(L78="","",L78*Q78)</f>
        <v/>
      </c>
      <c r="S78" s="609">
        <v>510000</v>
      </c>
      <c r="T78" s="378" t="str">
        <f>+IFERROR(VLOOKUP(S78,STAT1!$C$4:$D$189,2,FALSE),"")</f>
        <v>Үндсэн үйл ажиллагааны борлуулалт</v>
      </c>
      <c r="U78" s="1225"/>
      <c r="V78" s="1216">
        <v>136622.7954</v>
      </c>
      <c r="W78" s="326">
        <v>3002</v>
      </c>
      <c r="X78" s="328" t="str">
        <f>IFERROR(VLOOKUP(W78,DATA!$G$4:$H$400,2,FALSE),"")</f>
        <v>ЭКО КОНСТРАКШН ХХК</v>
      </c>
      <c r="Y78" s="1205"/>
      <c r="Z78" s="1205"/>
      <c r="AA78" s="1205"/>
    </row>
    <row r="79" spans="1:27" ht="12.75" customHeight="1">
      <c r="A79" s="15">
        <v>26</v>
      </c>
      <c r="B79" s="369">
        <f t="shared" si="15"/>
        <v>74</v>
      </c>
      <c r="C79" s="427">
        <v>42750</v>
      </c>
      <c r="D79" s="426"/>
      <c r="E79" s="425" t="str">
        <f ca="1">+IFERROR(VLOOKUP(D79,TN_table,2,FALSE),"")</f>
        <v/>
      </c>
      <c r="F79" s="428" t="str">
        <f ca="1">+IFERROR(VLOOKUP(D79,TN_table,3,FALSE),"")</f>
        <v/>
      </c>
      <c r="G79" s="378"/>
      <c r="H79" s="378"/>
      <c r="I79" s="378"/>
      <c r="J79" s="378"/>
      <c r="K79" s="1220"/>
      <c r="L79" s="378"/>
      <c r="M79" s="378"/>
      <c r="N79" s="378" t="str">
        <f>+IF(L79="","",L79*M79)</f>
        <v/>
      </c>
      <c r="O79" s="378" t="str">
        <f>+IF(L79="","",N79*0.1)</f>
        <v/>
      </c>
      <c r="P79" s="378" t="str">
        <f>+IF(L79="","",N79+O79)</f>
        <v/>
      </c>
      <c r="Q79" s="378" t="str">
        <f>IF(L79="","",IFERROR((SUMIFS(TN_balC1_totol,TN_code,D79)+SUMIFS(RC_or_totol,RC_Code,D79,RC_date,"&lt;="&amp;C79)-SUMIFS(RC_zar_totol,RC_Code,D79,RC_date,"&lt;"&amp;C79)) /( SUMIFS(TN_balC1_unit,TN_code,D79)+SUMIFS(RC_or_unit,RC_Code,D79,RC_date,"&lt;="&amp;C79)-SUMIFS(RC_zar_unit,RC_Code,D79,RC_date,"&lt;"&amp;C79)),0 ))</f>
        <v/>
      </c>
      <c r="R79" s="378" t="str">
        <f>+IF(L79="","",L79*Q79)</f>
        <v/>
      </c>
      <c r="S79" s="609">
        <v>320100</v>
      </c>
      <c r="T79" s="378" t="str">
        <f>+IFERROR(VLOOKUP(S79,STAT1!$C$4:$D$189,2,FALSE),"")</f>
        <v>Урьдчилж орсон орлого MNT</v>
      </c>
      <c r="U79" s="1225">
        <v>150285.07493999999</v>
      </c>
      <c r="V79" s="1216"/>
      <c r="W79" s="326">
        <v>3002</v>
      </c>
      <c r="X79" s="328" t="str">
        <f>IFERROR(VLOOKUP(W79,DATA!$G$4:$H$400,2,FALSE),"")</f>
        <v>ЭКО КОНСТРАКШН ХХК</v>
      </c>
      <c r="Y79" s="1205"/>
      <c r="Z79" s="1205"/>
      <c r="AA79" s="1205"/>
    </row>
    <row r="80" spans="1:27" ht="12.75" customHeight="1">
      <c r="A80" s="15">
        <v>27</v>
      </c>
      <c r="B80" s="369">
        <f t="shared" si="15"/>
        <v>75</v>
      </c>
      <c r="C80" s="427">
        <v>42750</v>
      </c>
      <c r="D80" s="426">
        <v>211503</v>
      </c>
      <c r="E80" s="425" t="str">
        <f ca="1">+IFERROR(VLOOKUP(D80,TN_table,2,FALSE),"")</f>
        <v>Н-Евровагонка /зузаан-1.2см/</v>
      </c>
      <c r="F80" s="428" t="str">
        <f ca="1">+IFERROR(VLOOKUP(D80,TN_table,3,FALSE),"")</f>
        <v>м2</v>
      </c>
      <c r="G80" s="378"/>
      <c r="H80" s="378"/>
      <c r="I80" s="378"/>
      <c r="J80" s="378"/>
      <c r="K80" s="1220"/>
      <c r="L80" s="378">
        <v>23.965</v>
      </c>
      <c r="M80" s="378">
        <v>21600.136439999998</v>
      </c>
      <c r="N80" s="378">
        <f>+IF(L80="","",L80*M80)</f>
        <v>517647.26978459995</v>
      </c>
      <c r="O80" s="378">
        <f>+IF(L80="","",N80*0.1)</f>
        <v>51764.726978459999</v>
      </c>
      <c r="P80" s="378">
        <f>+IF(L80="","",N80+O80)</f>
        <v>569411.99676305999</v>
      </c>
      <c r="Q80" s="378">
        <f ca="1">IF(L80="","",IFERROR((SUMIFS(TN_balC1_totol,TN_code,D80)+SUMIFS(RC_or_totol,RC_Code,D80,RC_date,"&lt;="&amp;C80)-SUMIFS(RC_zar_totol,RC_Code,D80,RC_date,"&lt;"&amp;C80)) /( SUMIFS(TN_balC1_unit,TN_code,D80)+SUMIFS(RC_or_unit,RC_Code,D80,RC_date,"&lt;="&amp;C80)-SUMIFS(RC_zar_unit,RC_Code,D80,RC_date,"&lt;"&amp;C80)),0 ))</f>
        <v>12876.722738825942</v>
      </c>
      <c r="R80" s="378">
        <f ca="1">+IF(L80="","",L80*Q80)</f>
        <v>308590.66043596371</v>
      </c>
      <c r="S80" s="609">
        <v>150101</v>
      </c>
      <c r="T80" s="378" t="str">
        <f>+IFERROR(VLOOKUP(S80,STAT1!$C$4:$D$189,2,FALSE),"")</f>
        <v>Бараа бэлэн бүтээгдэхүүн БОЛОВСРУУЛАХ ЦЕХ /нарс/</v>
      </c>
      <c r="U80" s="1225"/>
      <c r="V80" s="1216">
        <v>308590.66043596371</v>
      </c>
      <c r="W80" s="326">
        <v>3003</v>
      </c>
      <c r="X80" s="328" t="str">
        <f>IFERROR(VLOOKUP(W80,DATA!$G$4:$H$400,2,FALSE),"")</f>
        <v xml:space="preserve">МУХИА ХХК </v>
      </c>
      <c r="Y80" s="1205"/>
      <c r="Z80" s="1205"/>
      <c r="AA80" s="1205"/>
    </row>
    <row r="81" spans="1:27" ht="12.75" customHeight="1">
      <c r="A81" s="15">
        <v>27</v>
      </c>
      <c r="B81" s="369">
        <f t="shared" si="15"/>
        <v>76</v>
      </c>
      <c r="C81" s="427">
        <v>42750</v>
      </c>
      <c r="D81" s="426"/>
      <c r="E81" s="425"/>
      <c r="F81" s="428"/>
      <c r="G81" s="378"/>
      <c r="H81" s="378"/>
      <c r="I81" s="378"/>
      <c r="J81" s="378"/>
      <c r="K81" s="1220"/>
      <c r="L81" s="378"/>
      <c r="M81" s="378"/>
      <c r="N81" s="378"/>
      <c r="O81" s="378"/>
      <c r="P81" s="378"/>
      <c r="Q81" s="378"/>
      <c r="R81" s="378"/>
      <c r="S81" s="609">
        <v>610100</v>
      </c>
      <c r="T81" s="378" t="str">
        <f>+IFERROR(VLOOKUP(S81,STAT1!$C$4:$D$189,2,FALSE),"")</f>
        <v>Борлуулсан барааны өртөг</v>
      </c>
      <c r="U81" s="1216">
        <v>308590.66043596371</v>
      </c>
      <c r="V81" s="1216"/>
      <c r="W81" s="326">
        <v>3003</v>
      </c>
      <c r="X81" s="328" t="str">
        <f>IFERROR(VLOOKUP(W81,DATA!$G$4:$H$400,2,FALSE),"")</f>
        <v xml:space="preserve">МУХИА ХХК </v>
      </c>
      <c r="Y81" s="1205"/>
      <c r="Z81" s="1205"/>
      <c r="AA81" s="1205"/>
    </row>
    <row r="82" spans="1:27" ht="12.75" customHeight="1">
      <c r="A82" s="15">
        <v>27</v>
      </c>
      <c r="B82" s="369">
        <f t="shared" si="15"/>
        <v>77</v>
      </c>
      <c r="C82" s="427">
        <v>42750</v>
      </c>
      <c r="D82" s="426"/>
      <c r="E82" s="425" t="str">
        <f t="shared" ref="E82:E88" ca="1" si="16">+IFERROR(VLOOKUP(D82,TN_table,2,FALSE),"")</f>
        <v/>
      </c>
      <c r="F82" s="428" t="str">
        <f t="shared" ref="F82:F88" ca="1" si="17">+IFERROR(VLOOKUP(D82,TN_table,3,FALSE),"")</f>
        <v/>
      </c>
      <c r="G82" s="378"/>
      <c r="H82" s="378"/>
      <c r="I82" s="378"/>
      <c r="J82" s="378"/>
      <c r="K82" s="1220"/>
      <c r="L82" s="378"/>
      <c r="M82" s="378"/>
      <c r="N82" s="378" t="str">
        <f t="shared" ref="N82:N88" si="18">+IF(L82="","",L82*M82)</f>
        <v/>
      </c>
      <c r="O82" s="378" t="str">
        <f t="shared" ref="O82:O88" si="19">+IF(L82="","",N82*0.1)</f>
        <v/>
      </c>
      <c r="P82" s="378" t="str">
        <f t="shared" ref="P82:P88" si="20">+IF(L82="","",N82+O82)</f>
        <v/>
      </c>
      <c r="Q82" s="378" t="str">
        <f t="shared" ref="Q82:Q88" si="21">IF(L82="","",IFERROR((SUMIFS(TN_balC1_totol,TN_code,D82)+SUMIFS(RC_or_totol,RC_Code,D82,RC_date,"&lt;="&amp;C82)-SUMIFS(RC_zar_totol,RC_Code,D82,RC_date,"&lt;"&amp;C82)) /( SUMIFS(TN_balC1_unit,TN_code,D82)+SUMIFS(RC_or_unit,RC_Code,D82,RC_date,"&lt;="&amp;C82)-SUMIFS(RC_zar_unit,RC_Code,D82,RC_date,"&lt;"&amp;C82)),0 ))</f>
        <v/>
      </c>
      <c r="R82" s="378" t="str">
        <f t="shared" ref="R82:R88" si="22">+IF(L82="","",L82*Q82)</f>
        <v/>
      </c>
      <c r="S82" s="609">
        <v>310500</v>
      </c>
      <c r="T82" s="378" t="str">
        <f>+IFERROR(VLOOKUP(S82,STAT1!$C$4:$D$189,2,FALSE),"")</f>
        <v>НӨАТ өглөг</v>
      </c>
      <c r="U82" s="1225"/>
      <c r="V82" s="1216">
        <v>51764.726978459999</v>
      </c>
      <c r="W82" s="326">
        <v>3003</v>
      </c>
      <c r="X82" s="328" t="str">
        <f>IFERROR(VLOOKUP(W82,DATA!$G$4:$H$400,2,FALSE),"")</f>
        <v xml:space="preserve">МУХИА ХХК </v>
      </c>
      <c r="Y82" s="1205"/>
      <c r="Z82" s="1205"/>
      <c r="AA82" s="1205"/>
    </row>
    <row r="83" spans="1:27" ht="12.75" customHeight="1">
      <c r="A83" s="15">
        <v>27</v>
      </c>
      <c r="B83" s="369">
        <f t="shared" si="15"/>
        <v>78</v>
      </c>
      <c r="C83" s="427">
        <v>42750</v>
      </c>
      <c r="D83" s="426"/>
      <c r="E83" s="425" t="str">
        <f t="shared" ca="1" si="16"/>
        <v/>
      </c>
      <c r="F83" s="428" t="str">
        <f t="shared" ca="1" si="17"/>
        <v/>
      </c>
      <c r="G83" s="378"/>
      <c r="H83" s="378"/>
      <c r="I83" s="378"/>
      <c r="J83" s="378"/>
      <c r="K83" s="1220"/>
      <c r="L83" s="378"/>
      <c r="M83" s="378"/>
      <c r="N83" s="378" t="str">
        <f t="shared" si="18"/>
        <v/>
      </c>
      <c r="O83" s="378" t="str">
        <f t="shared" si="19"/>
        <v/>
      </c>
      <c r="P83" s="378" t="str">
        <f t="shared" si="20"/>
        <v/>
      </c>
      <c r="Q83" s="378" t="str">
        <f t="shared" si="21"/>
        <v/>
      </c>
      <c r="R83" s="378" t="str">
        <f t="shared" si="22"/>
        <v/>
      </c>
      <c r="S83" s="609">
        <v>510000</v>
      </c>
      <c r="T83" s="378" t="str">
        <f>+IFERROR(VLOOKUP(S83,STAT1!$C$4:$D$189,2,FALSE),"")</f>
        <v>Үндсэн үйл ажиллагааны борлуулалт</v>
      </c>
      <c r="U83" s="1225"/>
      <c r="V83" s="1216">
        <v>517647.27</v>
      </c>
      <c r="W83" s="326">
        <v>3003</v>
      </c>
      <c r="X83" s="328" t="str">
        <f>IFERROR(VLOOKUP(W83,DATA!$G$4:$H$400,2,FALSE),"")</f>
        <v xml:space="preserve">МУХИА ХХК </v>
      </c>
      <c r="Y83" s="1205"/>
      <c r="Z83" s="1205"/>
      <c r="AA83" s="1205"/>
    </row>
    <row r="84" spans="1:27" ht="12.75" customHeight="1">
      <c r="A84" s="15">
        <v>27</v>
      </c>
      <c r="B84" s="369">
        <f t="shared" si="15"/>
        <v>79</v>
      </c>
      <c r="C84" s="427">
        <v>42750</v>
      </c>
      <c r="D84" s="426"/>
      <c r="E84" s="425" t="str">
        <f t="shared" ca="1" si="16"/>
        <v/>
      </c>
      <c r="F84" s="428" t="str">
        <f t="shared" ca="1" si="17"/>
        <v/>
      </c>
      <c r="G84" s="378"/>
      <c r="H84" s="378"/>
      <c r="I84" s="378"/>
      <c r="J84" s="378"/>
      <c r="K84" s="1220"/>
      <c r="L84" s="378"/>
      <c r="M84" s="378"/>
      <c r="N84" s="378" t="str">
        <f t="shared" si="18"/>
        <v/>
      </c>
      <c r="O84" s="378" t="str">
        <f t="shared" si="19"/>
        <v/>
      </c>
      <c r="P84" s="378" t="str">
        <f t="shared" si="20"/>
        <v/>
      </c>
      <c r="Q84" s="378" t="str">
        <f t="shared" si="21"/>
        <v/>
      </c>
      <c r="R84" s="378" t="str">
        <f t="shared" si="22"/>
        <v/>
      </c>
      <c r="S84" s="609">
        <v>320100</v>
      </c>
      <c r="T84" s="378" t="str">
        <f>+IFERROR(VLOOKUP(S84,STAT1!$C$4:$D$189,2,FALSE),"")</f>
        <v>Урьдчилж орсон орлого MNT</v>
      </c>
      <c r="U84" s="1225">
        <v>569411.99676305999</v>
      </c>
      <c r="V84" s="1216"/>
      <c r="W84" s="326">
        <v>3003</v>
      </c>
      <c r="X84" s="328" t="str">
        <f>IFERROR(VLOOKUP(W84,DATA!$G$4:$H$400,2,FALSE),"")</f>
        <v xml:space="preserve">МУХИА ХХК </v>
      </c>
      <c r="Y84" s="1205"/>
      <c r="Z84" s="1205"/>
      <c r="AA84" s="1205"/>
    </row>
    <row r="85" spans="1:27" ht="12.75" customHeight="1">
      <c r="A85" s="15">
        <v>28</v>
      </c>
      <c r="B85" s="369">
        <f t="shared" si="15"/>
        <v>80</v>
      </c>
      <c r="C85" s="427">
        <v>42755</v>
      </c>
      <c r="D85" s="426">
        <v>410082</v>
      </c>
      <c r="E85" s="425" t="str">
        <f t="shared" ca="1" si="16"/>
        <v>Будаг /Хонка/</v>
      </c>
      <c r="F85" s="428" t="str">
        <f t="shared" ca="1" si="17"/>
        <v>кг</v>
      </c>
      <c r="G85" s="378">
        <v>4</v>
      </c>
      <c r="H85" s="378">
        <v>19318.181799999998</v>
      </c>
      <c r="I85" s="378">
        <f>+IF(G85="","",G85*H85)</f>
        <v>77272.727199999994</v>
      </c>
      <c r="J85" s="378">
        <f>+IF(G85="","",I85*0.1)</f>
        <v>7727.2727199999999</v>
      </c>
      <c r="K85" s="1220">
        <f>+IF(G85="","",I85+J85)</f>
        <v>84999.999919999987</v>
      </c>
      <c r="L85" s="378"/>
      <c r="M85" s="378"/>
      <c r="N85" s="378" t="str">
        <f t="shared" si="18"/>
        <v/>
      </c>
      <c r="O85" s="378" t="str">
        <f t="shared" si="19"/>
        <v/>
      </c>
      <c r="P85" s="378" t="str">
        <f t="shared" si="20"/>
        <v/>
      </c>
      <c r="Q85" s="378" t="str">
        <f t="shared" si="21"/>
        <v/>
      </c>
      <c r="R85" s="378" t="str">
        <f t="shared" si="22"/>
        <v/>
      </c>
      <c r="S85" s="602">
        <v>160100</v>
      </c>
      <c r="T85" s="378" t="str">
        <f>+IFERROR(VLOOKUP(S85,STAT1!$C$4:$D$189,2,FALSE),"")</f>
        <v xml:space="preserve">Барилгын материал </v>
      </c>
      <c r="U85" s="1225">
        <v>77272.727199999994</v>
      </c>
      <c r="V85" s="1216"/>
      <c r="W85" s="326">
        <v>1004</v>
      </c>
      <c r="X85" s="328" t="str">
        <f>IFERROR(VLOOKUP(W85,DATA!$G$4:$H$400,2,FALSE),"")</f>
        <v xml:space="preserve">Түмэндэлгэр </v>
      </c>
      <c r="Y85" s="1205"/>
      <c r="Z85" s="1205"/>
      <c r="AA85" s="1205"/>
    </row>
    <row r="86" spans="1:27" ht="12.75" customHeight="1">
      <c r="A86" s="15">
        <v>28</v>
      </c>
      <c r="B86" s="369">
        <f t="shared" si="15"/>
        <v>81</v>
      </c>
      <c r="C86" s="427">
        <v>42755</v>
      </c>
      <c r="D86" s="426"/>
      <c r="E86" s="425" t="str">
        <f t="shared" ca="1" si="16"/>
        <v/>
      </c>
      <c r="F86" s="428" t="str">
        <f t="shared" ca="1" si="17"/>
        <v/>
      </c>
      <c r="G86" s="378"/>
      <c r="H86" s="378"/>
      <c r="I86" s="378" t="str">
        <f>+IF(G86="","",G86*H86)</f>
        <v/>
      </c>
      <c r="J86" s="378" t="str">
        <f>+IF(G86="","",I86*0.1)</f>
        <v/>
      </c>
      <c r="K86" s="1220" t="str">
        <f>+IF(G86="","",I86+J86)</f>
        <v/>
      </c>
      <c r="L86" s="378"/>
      <c r="M86" s="378"/>
      <c r="N86" s="378" t="str">
        <f t="shared" si="18"/>
        <v/>
      </c>
      <c r="O86" s="378" t="str">
        <f t="shared" si="19"/>
        <v/>
      </c>
      <c r="P86" s="378" t="str">
        <f t="shared" si="20"/>
        <v/>
      </c>
      <c r="Q86" s="378" t="str">
        <f t="shared" si="21"/>
        <v/>
      </c>
      <c r="R86" s="378" t="str">
        <f t="shared" si="22"/>
        <v/>
      </c>
      <c r="S86" s="602">
        <v>120600</v>
      </c>
      <c r="T86" s="378" t="str">
        <f>+IFERROR(VLOOKUP(S86,STAT1!$C$4:$D$189,2,FALSE),"")</f>
        <v>НӨАТ авлага</v>
      </c>
      <c r="U86" s="1225">
        <v>7727.2727199999999</v>
      </c>
      <c r="V86" s="1216"/>
      <c r="W86" s="326">
        <v>1004</v>
      </c>
      <c r="X86" s="328" t="str">
        <f>IFERROR(VLOOKUP(W86,DATA!$G$4:$H$400,2,FALSE),"")</f>
        <v xml:space="preserve">Түмэндэлгэр </v>
      </c>
      <c r="Y86" s="1205"/>
      <c r="Z86" s="1205"/>
      <c r="AA86" s="1205"/>
    </row>
    <row r="87" spans="1:27" ht="12.75" customHeight="1">
      <c r="A87" s="15">
        <v>28</v>
      </c>
      <c r="B87" s="369">
        <f t="shared" si="15"/>
        <v>82</v>
      </c>
      <c r="C87" s="427">
        <v>42755</v>
      </c>
      <c r="D87" s="426"/>
      <c r="E87" s="425" t="str">
        <f t="shared" ca="1" si="16"/>
        <v/>
      </c>
      <c r="F87" s="428" t="str">
        <f t="shared" ca="1" si="17"/>
        <v/>
      </c>
      <c r="G87" s="378"/>
      <c r="H87" s="378"/>
      <c r="I87" s="378" t="str">
        <f>+IF(G87="","",G87*H87)</f>
        <v/>
      </c>
      <c r="J87" s="378" t="str">
        <f>+IF(G87="","",I87*0.1)</f>
        <v/>
      </c>
      <c r="K87" s="1220" t="str">
        <f>+IF(G87="","",I87+J87)</f>
        <v/>
      </c>
      <c r="L87" s="378"/>
      <c r="M87" s="378"/>
      <c r="N87" s="378" t="str">
        <f t="shared" si="18"/>
        <v/>
      </c>
      <c r="O87" s="378" t="str">
        <f t="shared" si="19"/>
        <v/>
      </c>
      <c r="P87" s="378" t="str">
        <f t="shared" si="20"/>
        <v/>
      </c>
      <c r="Q87" s="378" t="str">
        <f t="shared" si="21"/>
        <v/>
      </c>
      <c r="R87" s="378" t="str">
        <f t="shared" si="22"/>
        <v/>
      </c>
      <c r="S87" s="602">
        <v>121200</v>
      </c>
      <c r="T87" s="378" t="str">
        <f>+IFERROR(VLOOKUP(S87,STAT1!$C$4:$D$189,2,FALSE),"")</f>
        <v xml:space="preserve">Ажилчидын дараа тайлангийн тооцоо </v>
      </c>
      <c r="U87" s="1225"/>
      <c r="V87" s="1216">
        <v>84999.999919999987</v>
      </c>
      <c r="W87" s="326">
        <v>1004</v>
      </c>
      <c r="X87" s="328" t="str">
        <f>IFERROR(VLOOKUP(W87,DATA!$G$4:$H$400,2,FALSE),"")</f>
        <v xml:space="preserve">Түмэндэлгэр </v>
      </c>
      <c r="Y87" s="1205"/>
      <c r="Z87" s="1205"/>
      <c r="AA87" s="1205"/>
    </row>
    <row r="88" spans="1:27" ht="12.75" customHeight="1">
      <c r="A88" s="15">
        <v>29</v>
      </c>
      <c r="B88" s="369">
        <f t="shared" si="15"/>
        <v>83</v>
      </c>
      <c r="C88" s="427">
        <v>42755</v>
      </c>
      <c r="D88" s="426">
        <v>210003</v>
      </c>
      <c r="E88" s="425" t="str">
        <f t="shared" ca="1" si="16"/>
        <v>Н-Наамал дүнз</v>
      </c>
      <c r="F88" s="428" t="str">
        <f t="shared" ca="1" si="17"/>
        <v>м2</v>
      </c>
      <c r="G88" s="378"/>
      <c r="H88" s="378"/>
      <c r="I88" s="378"/>
      <c r="J88" s="378"/>
      <c r="K88" s="1220"/>
      <c r="L88" s="378">
        <v>7.22</v>
      </c>
      <c r="M88" s="378">
        <v>254837.06890000001</v>
      </c>
      <c r="N88" s="378">
        <f t="shared" si="18"/>
        <v>1839923.6374580001</v>
      </c>
      <c r="O88" s="378">
        <f t="shared" si="19"/>
        <v>183992.36374580002</v>
      </c>
      <c r="P88" s="378">
        <f t="shared" si="20"/>
        <v>2023916.0012038001</v>
      </c>
      <c r="Q88" s="378">
        <f t="shared" ca="1" si="21"/>
        <v>191123.56673210167</v>
      </c>
      <c r="R88" s="378">
        <f t="shared" ca="1" si="22"/>
        <v>1379912.1518057741</v>
      </c>
      <c r="S88" s="602">
        <v>150101</v>
      </c>
      <c r="T88" s="378" t="str">
        <f>+IFERROR(VLOOKUP(S88,STAT1!$C$4:$D$189,2,FALSE),"")</f>
        <v>Бараа бэлэн бүтээгдэхүүн БОЛОВСРУУЛАХ ЦЕХ /нарс/</v>
      </c>
      <c r="U88" s="1225"/>
      <c r="V88" s="1216">
        <v>1379912.1518057741</v>
      </c>
      <c r="W88" s="326">
        <v>3006</v>
      </c>
      <c r="X88" s="328" t="str">
        <f>IFERROR(VLOOKUP(W88,DATA!$G$4:$H$400,2,FALSE),"")</f>
        <v xml:space="preserve">ПАЙОНЕРИНГ ИНТЕРНЭШНЛ ХХК </v>
      </c>
      <c r="Y88" s="1205"/>
      <c r="Z88" s="1205"/>
      <c r="AA88" s="1205"/>
    </row>
    <row r="89" spans="1:27" ht="12.75" customHeight="1">
      <c r="A89" s="15">
        <v>29</v>
      </c>
      <c r="B89" s="369">
        <f t="shared" si="15"/>
        <v>84</v>
      </c>
      <c r="C89" s="427">
        <v>42755</v>
      </c>
      <c r="D89" s="426"/>
      <c r="E89" s="425"/>
      <c r="F89" s="428"/>
      <c r="G89" s="378"/>
      <c r="H89" s="378"/>
      <c r="I89" s="378"/>
      <c r="J89" s="378"/>
      <c r="K89" s="1220"/>
      <c r="L89" s="378"/>
      <c r="M89" s="378"/>
      <c r="N89" s="378"/>
      <c r="O89" s="378"/>
      <c r="P89" s="378"/>
      <c r="Q89" s="378"/>
      <c r="R89" s="378"/>
      <c r="S89" s="602">
        <v>610100</v>
      </c>
      <c r="T89" s="378" t="str">
        <f>+IFERROR(VLOOKUP(S89,STAT1!$C$4:$D$189,2,FALSE),"")</f>
        <v>Борлуулсан барааны өртөг</v>
      </c>
      <c r="U89" s="1216">
        <v>1379912.1518057741</v>
      </c>
      <c r="V89" s="1216"/>
      <c r="W89" s="326">
        <v>3006</v>
      </c>
      <c r="X89" s="328" t="str">
        <f>IFERROR(VLOOKUP(W89,DATA!$G$4:$H$400,2,FALSE),"")</f>
        <v xml:space="preserve">ПАЙОНЕРИНГ ИНТЕРНЭШНЛ ХХК </v>
      </c>
      <c r="Y89" s="1205"/>
      <c r="Z89" s="1205"/>
      <c r="AA89" s="1205"/>
    </row>
    <row r="90" spans="1:27" ht="12.75" customHeight="1">
      <c r="A90" s="15">
        <v>29</v>
      </c>
      <c r="B90" s="369">
        <f t="shared" si="15"/>
        <v>85</v>
      </c>
      <c r="C90" s="427">
        <v>42755</v>
      </c>
      <c r="D90" s="426"/>
      <c r="E90" s="425" t="str">
        <f ca="1">+IFERROR(VLOOKUP(D90,TN_table,2,FALSE),"")</f>
        <v/>
      </c>
      <c r="F90" s="428" t="str">
        <f ca="1">+IFERROR(VLOOKUP(D90,TN_table,3,FALSE),"")</f>
        <v/>
      </c>
      <c r="G90" s="378"/>
      <c r="H90" s="378"/>
      <c r="I90" s="378"/>
      <c r="J90" s="378"/>
      <c r="K90" s="1220"/>
      <c r="L90" s="378"/>
      <c r="M90" s="378"/>
      <c r="N90" s="378" t="str">
        <f>+IF(L90="","",L90*M90)</f>
        <v/>
      </c>
      <c r="O90" s="378" t="str">
        <f>+IF(L90="","",N90*0.1)</f>
        <v/>
      </c>
      <c r="P90" s="378" t="str">
        <f>+IF(L90="","",N90+O90)</f>
        <v/>
      </c>
      <c r="Q90" s="378" t="str">
        <f>IF(L90="","",IFERROR((SUMIFS(TN_balC1_totol,TN_code,D90)+SUMIFS(RC_or_totol,RC_Code,D90,RC_date,"&lt;="&amp;C90)-SUMIFS(RC_zar_totol,RC_Code,D90,RC_date,"&lt;"&amp;C90)) /( SUMIFS(TN_balC1_unit,TN_code,D90)+SUMIFS(RC_or_unit,RC_Code,D90,RC_date,"&lt;="&amp;C90)-SUMIFS(RC_zar_unit,RC_Code,D90,RC_date,"&lt;"&amp;C90)),0 ))</f>
        <v/>
      </c>
      <c r="R90" s="378" t="str">
        <f>+IF(L90="","",L90*Q90)</f>
        <v/>
      </c>
      <c r="S90" s="602">
        <v>310500</v>
      </c>
      <c r="T90" s="378" t="str">
        <f>+IFERROR(VLOOKUP(S90,STAT1!$C$4:$D$189,2,FALSE),"")</f>
        <v>НӨАТ өглөг</v>
      </c>
      <c r="U90" s="1225"/>
      <c r="V90" s="1216">
        <v>183992.36374580002</v>
      </c>
      <c r="W90" s="326">
        <v>3006</v>
      </c>
      <c r="X90" s="328" t="str">
        <f>IFERROR(VLOOKUP(W90,DATA!$G$4:$H$400,2,FALSE),"")</f>
        <v xml:space="preserve">ПАЙОНЕРИНГ ИНТЕРНЭШНЛ ХХК </v>
      </c>
      <c r="Y90" s="1205"/>
      <c r="Z90" s="1205"/>
      <c r="AA90" s="1205"/>
    </row>
    <row r="91" spans="1:27" ht="12.75" customHeight="1">
      <c r="A91" s="15">
        <v>30</v>
      </c>
      <c r="B91" s="369">
        <f t="shared" si="15"/>
        <v>86</v>
      </c>
      <c r="C91" s="427">
        <v>42755</v>
      </c>
      <c r="D91" s="426"/>
      <c r="E91" s="425" t="str">
        <f ca="1">+IFERROR(VLOOKUP(D91,TN_table,2,FALSE),"")</f>
        <v/>
      </c>
      <c r="F91" s="428" t="str">
        <f ca="1">+IFERROR(VLOOKUP(D91,TN_table,3,FALSE),"")</f>
        <v/>
      </c>
      <c r="G91" s="378"/>
      <c r="H91" s="378"/>
      <c r="I91" s="378"/>
      <c r="J91" s="378"/>
      <c r="K91" s="1220"/>
      <c r="L91" s="378"/>
      <c r="M91" s="378"/>
      <c r="N91" s="378" t="str">
        <f>+IF(L91="","",L91*M91)</f>
        <v/>
      </c>
      <c r="O91" s="378" t="str">
        <f>+IF(L91="","",N91*0.1)</f>
        <v/>
      </c>
      <c r="P91" s="378" t="str">
        <f>+IF(L91="","",N91+O91)</f>
        <v/>
      </c>
      <c r="Q91" s="378" t="str">
        <f>IF(L91="","",IFERROR((SUMIFS(TN_balC1_totol,TN_code,D91)+SUMIFS(RC_or_totol,RC_Code,D91,RC_date,"&lt;="&amp;C91)-SUMIFS(RC_zar_totol,RC_Code,D91,RC_date,"&lt;"&amp;C91)) /( SUMIFS(TN_balC1_unit,TN_code,D91)+SUMIFS(RC_or_unit,RC_Code,D91,RC_date,"&lt;="&amp;C91)-SUMIFS(RC_zar_unit,RC_Code,D91,RC_date,"&lt;"&amp;C91)),0 ))</f>
        <v/>
      </c>
      <c r="R91" s="378" t="str">
        <f>+IF(L91="","",L91*Q91)</f>
        <v/>
      </c>
      <c r="S91" s="609">
        <v>510000</v>
      </c>
      <c r="T91" s="378" t="str">
        <f>+IFERROR(VLOOKUP(S91,STAT1!$C$4:$D$189,2,FALSE),"")</f>
        <v>Үндсэн үйл ажиллагааны борлуулалт</v>
      </c>
      <c r="U91" s="1225"/>
      <c r="V91" s="1216">
        <v>1839923.6374580001</v>
      </c>
      <c r="W91" s="326">
        <v>3006</v>
      </c>
      <c r="X91" s="328" t="str">
        <f>IFERROR(VLOOKUP(W91,DATA!$G$4:$H$400,2,FALSE),"")</f>
        <v xml:space="preserve">ПАЙОНЕРИНГ ИНТЕРНЭШНЛ ХХК </v>
      </c>
      <c r="Y91" s="1205"/>
      <c r="Z91" s="1205"/>
      <c r="AA91" s="1205"/>
    </row>
    <row r="92" spans="1:27" ht="12.75" customHeight="1">
      <c r="A92" s="15">
        <v>30</v>
      </c>
      <c r="B92" s="369">
        <f t="shared" si="15"/>
        <v>87</v>
      </c>
      <c r="C92" s="427">
        <v>42755</v>
      </c>
      <c r="D92" s="426"/>
      <c r="E92" s="425" t="str">
        <f ca="1">+IFERROR(VLOOKUP(D92,TN_table,2,FALSE),"")</f>
        <v/>
      </c>
      <c r="F92" s="428" t="str">
        <f ca="1">+IFERROR(VLOOKUP(D92,TN_table,3,FALSE),"")</f>
        <v/>
      </c>
      <c r="G92" s="378"/>
      <c r="H92" s="378"/>
      <c r="I92" s="378"/>
      <c r="J92" s="378"/>
      <c r="K92" s="1220"/>
      <c r="L92" s="378"/>
      <c r="M92" s="378"/>
      <c r="N92" s="378" t="str">
        <f>+IF(L92="","",L92*M92)</f>
        <v/>
      </c>
      <c r="O92" s="378" t="str">
        <f>+IF(L92="","",N92*0.1)</f>
        <v/>
      </c>
      <c r="P92" s="378" t="str">
        <f>+IF(L92="","",N92+O92)</f>
        <v/>
      </c>
      <c r="Q92" s="378" t="str">
        <f>IF(L92="","",IFERROR((SUMIFS(TN_balC1_totol,TN_code,D92)+SUMIFS(RC_or_totol,RC_Code,D92,RC_date,"&lt;="&amp;C92)-SUMIFS(RC_zar_totol,RC_Code,D92,RC_date,"&lt;"&amp;C92)) /( SUMIFS(TN_balC1_unit,TN_code,D92)+SUMIFS(RC_or_unit,RC_Code,D92,RC_date,"&lt;="&amp;C92)-SUMIFS(RC_zar_unit,RC_Code,D92,RC_date,"&lt;"&amp;C92)),0 ))</f>
        <v/>
      </c>
      <c r="R92" s="378" t="str">
        <f>+IF(L92="","",L92*Q92)</f>
        <v/>
      </c>
      <c r="S92" s="609">
        <v>320100</v>
      </c>
      <c r="T92" s="378" t="str">
        <f>+IFERROR(VLOOKUP(S92,STAT1!$C$4:$D$189,2,FALSE),"")</f>
        <v>Урьдчилж орсон орлого MNT</v>
      </c>
      <c r="U92" s="1225">
        <v>2023916.0012038001</v>
      </c>
      <c r="V92" s="1216"/>
      <c r="W92" s="326">
        <v>3006</v>
      </c>
      <c r="X92" s="328" t="str">
        <f>IFERROR(VLOOKUP(W92,DATA!$G$4:$H$400,2,FALSE),"")</f>
        <v xml:space="preserve">ПАЙОНЕРИНГ ИНТЕРНЭШНЛ ХХК </v>
      </c>
      <c r="Y92" s="1205"/>
      <c r="Z92" s="1205"/>
      <c r="AA92" s="1205"/>
    </row>
    <row r="93" spans="1:27" ht="12.75" customHeight="1">
      <c r="A93" s="15">
        <v>30</v>
      </c>
      <c r="B93" s="369">
        <f t="shared" si="15"/>
        <v>88</v>
      </c>
      <c r="C93" s="427">
        <v>42756</v>
      </c>
      <c r="D93" s="426">
        <v>211504</v>
      </c>
      <c r="E93" s="425" t="str">
        <f ca="1">+IFERROR(VLOOKUP(D93,TN_table,2,FALSE),"")</f>
        <v xml:space="preserve">Н-Евровагонка /зузаан-1.2см/-яртай </v>
      </c>
      <c r="F93" s="428" t="str">
        <f ca="1">+IFERROR(VLOOKUP(D93,TN_table,3,FALSE),"")</f>
        <v>м2</v>
      </c>
      <c r="G93" s="378"/>
      <c r="H93" s="378"/>
      <c r="I93" s="378"/>
      <c r="J93" s="378"/>
      <c r="K93" s="1220"/>
      <c r="L93" s="378">
        <v>11.356</v>
      </c>
      <c r="M93" s="378">
        <v>18000.0959</v>
      </c>
      <c r="N93" s="378">
        <f>+IF(L93="","",L93*M93)</f>
        <v>204409.08904039999</v>
      </c>
      <c r="O93" s="378">
        <f>+IF(L93="","",N93*0.1)</f>
        <v>20440.908904039999</v>
      </c>
      <c r="P93" s="378">
        <f>+IF(L93="","",N93+O93)</f>
        <v>224849.99794443999</v>
      </c>
      <c r="Q93" s="378">
        <f ca="1">IF(L93="","",IFERROR((SUMIFS(TN_balC1_totol,TN_code,D93)+SUMIFS(RC_or_totol,RC_Code,D93,RC_date,"&lt;="&amp;C93)-SUMIFS(RC_zar_totol,RC_Code,D93,RC_date,"&lt;"&amp;C93)) /( SUMIFS(TN_balC1_unit,TN_code,D93)+SUMIFS(RC_or_unit,RC_Code,D93,RC_date,"&lt;="&amp;C93)-SUMIFS(RC_zar_unit,RC_Code,D93,RC_date,"&lt;"&amp;C93)),0 ))</f>
        <v>9540.1099999999988</v>
      </c>
      <c r="R93" s="378">
        <f ca="1">+IF(L93="","",L93*Q93)</f>
        <v>108337.48915999998</v>
      </c>
      <c r="S93" s="609">
        <v>150101</v>
      </c>
      <c r="T93" s="378" t="str">
        <f>+IFERROR(VLOOKUP(S93,STAT1!$C$4:$D$189,2,FALSE),"")</f>
        <v>Бараа бэлэн бүтээгдэхүүн БОЛОВСРУУЛАХ ЦЕХ /нарс/</v>
      </c>
      <c r="U93" s="1225"/>
      <c r="V93" s="1216">
        <v>108337.48915999998</v>
      </c>
      <c r="W93" s="326">
        <v>3008</v>
      </c>
      <c r="X93" s="328" t="str">
        <f>IFERROR(VLOOKUP(W93,DATA!$G$4:$H$400,2,FALSE),"")</f>
        <v xml:space="preserve">ГЭГЭЭН ДАЛАЙ ХХК </v>
      </c>
      <c r="Y93" s="1205"/>
      <c r="Z93" s="1205"/>
      <c r="AA93" s="1205"/>
    </row>
    <row r="94" spans="1:27" ht="12.75" customHeight="1">
      <c r="A94" s="15">
        <v>30</v>
      </c>
      <c r="B94" s="369">
        <f t="shared" si="15"/>
        <v>89</v>
      </c>
      <c r="C94" s="427">
        <v>42756</v>
      </c>
      <c r="D94" s="426"/>
      <c r="E94" s="425"/>
      <c r="F94" s="428"/>
      <c r="G94" s="378"/>
      <c r="H94" s="378"/>
      <c r="I94" s="378"/>
      <c r="J94" s="378"/>
      <c r="K94" s="1220"/>
      <c r="L94" s="378"/>
      <c r="M94" s="378"/>
      <c r="N94" s="378"/>
      <c r="O94" s="378"/>
      <c r="P94" s="378"/>
      <c r="Q94" s="378"/>
      <c r="R94" s="378"/>
      <c r="S94" s="609">
        <v>610100</v>
      </c>
      <c r="T94" s="378" t="str">
        <f>+IFERROR(VLOOKUP(S94,STAT1!$C$4:$D$189,2,FALSE),"")</f>
        <v>Борлуулсан барааны өртөг</v>
      </c>
      <c r="U94" s="1216">
        <v>108337.48915999998</v>
      </c>
      <c r="V94" s="1216"/>
      <c r="W94" s="326">
        <v>3008</v>
      </c>
      <c r="X94" s="328" t="str">
        <f>IFERROR(VLOOKUP(W94,DATA!$G$4:$H$400,2,FALSE),"")</f>
        <v xml:space="preserve">ГЭГЭЭН ДАЛАЙ ХХК </v>
      </c>
      <c r="Y94" s="1205"/>
      <c r="Z94" s="1205"/>
      <c r="AA94" s="1205"/>
    </row>
    <row r="95" spans="1:27" ht="12.75" customHeight="1">
      <c r="A95" s="15">
        <v>30</v>
      </c>
      <c r="B95" s="369">
        <f t="shared" si="15"/>
        <v>90</v>
      </c>
      <c r="C95" s="427">
        <v>42756</v>
      </c>
      <c r="D95" s="426"/>
      <c r="E95" s="425" t="str">
        <f ca="1">+IFERROR(VLOOKUP(D95,TN_table,2,FALSE),"")</f>
        <v/>
      </c>
      <c r="F95" s="428" t="str">
        <f ca="1">+IFERROR(VLOOKUP(D95,TN_table,3,FALSE),"")</f>
        <v/>
      </c>
      <c r="G95" s="378"/>
      <c r="H95" s="378"/>
      <c r="I95" s="378"/>
      <c r="J95" s="378"/>
      <c r="K95" s="1220"/>
      <c r="L95" s="378"/>
      <c r="M95" s="378"/>
      <c r="N95" s="378" t="str">
        <f>+IF(L95="","",L95*M95)</f>
        <v/>
      </c>
      <c r="O95" s="378" t="str">
        <f>+IF(L95="","",N95*0.1)</f>
        <v/>
      </c>
      <c r="P95" s="378" t="str">
        <f>+IF(L95="","",N95+O95)</f>
        <v/>
      </c>
      <c r="Q95" s="378" t="str">
        <f>IF(L95="","",IFERROR((SUMIFS(TN_balC1_totol,TN_code,D95)+SUMIFS(RC_or_totol,RC_Code,D95,RC_date,"&lt;="&amp;C95)-SUMIFS(RC_zar_totol,RC_Code,D95,RC_date,"&lt;"&amp;C95)) /( SUMIFS(TN_balC1_unit,TN_code,D95)+SUMIFS(RC_or_unit,RC_Code,D95,RC_date,"&lt;="&amp;C95)-SUMIFS(RC_zar_unit,RC_Code,D95,RC_date,"&lt;"&amp;C95)),0 ))</f>
        <v/>
      </c>
      <c r="R95" s="378" t="str">
        <f>+IF(L95="","",L95*Q95)</f>
        <v/>
      </c>
      <c r="S95" s="609">
        <v>310500</v>
      </c>
      <c r="T95" s="378" t="str">
        <f>+IFERROR(VLOOKUP(S95,STAT1!$C$4:$D$189,2,FALSE),"")</f>
        <v>НӨАТ өглөг</v>
      </c>
      <c r="U95" s="1225"/>
      <c r="V95" s="1216">
        <v>20440.908904039999</v>
      </c>
      <c r="W95" s="326">
        <v>3008</v>
      </c>
      <c r="X95" s="328" t="str">
        <f>IFERROR(VLOOKUP(W95,DATA!$G$4:$H$400,2,FALSE),"")</f>
        <v xml:space="preserve">ГЭГЭЭН ДАЛАЙ ХХК </v>
      </c>
      <c r="Y95" s="1205"/>
      <c r="Z95" s="1205"/>
      <c r="AA95" s="1205"/>
    </row>
    <row r="96" spans="1:27" ht="12.75" customHeight="1">
      <c r="A96" s="15">
        <v>31</v>
      </c>
      <c r="B96" s="369">
        <f t="shared" si="15"/>
        <v>91</v>
      </c>
      <c r="C96" s="427">
        <v>42756</v>
      </c>
      <c r="D96" s="426"/>
      <c r="E96" s="425" t="str">
        <f ca="1">+IFERROR(VLOOKUP(D96,TN_table,2,FALSE),"")</f>
        <v/>
      </c>
      <c r="F96" s="428" t="str">
        <f ca="1">+IFERROR(VLOOKUP(D96,TN_table,3,FALSE),"")</f>
        <v/>
      </c>
      <c r="G96" s="378"/>
      <c r="H96" s="378"/>
      <c r="I96" s="378"/>
      <c r="J96" s="378"/>
      <c r="K96" s="1220"/>
      <c r="L96" s="378"/>
      <c r="M96" s="378"/>
      <c r="N96" s="378" t="str">
        <f>+IF(L96="","",L96*M96)</f>
        <v/>
      </c>
      <c r="O96" s="378" t="str">
        <f>+IF(L96="","",N96*0.1)</f>
        <v/>
      </c>
      <c r="P96" s="378" t="str">
        <f>+IF(L96="","",N96+O96)</f>
        <v/>
      </c>
      <c r="Q96" s="378" t="str">
        <f>IF(L96="","",IFERROR((SUMIFS(TN_balC1_totol,TN_code,D96)+SUMIFS(RC_or_totol,RC_Code,D96,RC_date,"&lt;="&amp;C96)-SUMIFS(RC_zar_totol,RC_Code,D96,RC_date,"&lt;"&amp;C96)) /( SUMIFS(TN_balC1_unit,TN_code,D96)+SUMIFS(RC_or_unit,RC_Code,D96,RC_date,"&lt;="&amp;C96)-SUMIFS(RC_zar_unit,RC_Code,D96,RC_date,"&lt;"&amp;C96)),0 ))</f>
        <v/>
      </c>
      <c r="R96" s="378" t="str">
        <f>+IF(L96="","",L96*Q96)</f>
        <v/>
      </c>
      <c r="S96" s="609">
        <v>510000</v>
      </c>
      <c r="T96" s="378" t="str">
        <f>+IFERROR(VLOOKUP(S96,STAT1!$C$4:$D$189,2,FALSE),"")</f>
        <v>Үндсэн үйл ажиллагааны борлуулалт</v>
      </c>
      <c r="U96" s="1225"/>
      <c r="V96" s="1216">
        <v>204409.09</v>
      </c>
      <c r="W96" s="326">
        <v>3008</v>
      </c>
      <c r="X96" s="328" t="str">
        <f>IFERROR(VLOOKUP(W96,DATA!$G$4:$H$400,2,FALSE),"")</f>
        <v xml:space="preserve">ГЭГЭЭН ДАЛАЙ ХХК </v>
      </c>
      <c r="Y96" s="1205"/>
      <c r="Z96" s="1205"/>
      <c r="AA96" s="1205"/>
    </row>
    <row r="97" spans="1:27" ht="12.75" customHeight="1">
      <c r="A97" s="15">
        <v>31</v>
      </c>
      <c r="B97" s="369">
        <f t="shared" si="15"/>
        <v>92</v>
      </c>
      <c r="C97" s="427">
        <v>42756</v>
      </c>
      <c r="D97" s="426"/>
      <c r="E97" s="425" t="str">
        <f ca="1">+IFERROR(VLOOKUP(D97,TN_table,2,FALSE),"")</f>
        <v/>
      </c>
      <c r="F97" s="428" t="str">
        <f ca="1">+IFERROR(VLOOKUP(D97,TN_table,3,FALSE),"")</f>
        <v/>
      </c>
      <c r="G97" s="378"/>
      <c r="H97" s="378"/>
      <c r="I97" s="378"/>
      <c r="J97" s="378"/>
      <c r="K97" s="1220"/>
      <c r="L97" s="378"/>
      <c r="M97" s="378"/>
      <c r="N97" s="378" t="str">
        <f>+IF(L97="","",L97*M97)</f>
        <v/>
      </c>
      <c r="O97" s="378" t="str">
        <f>+IF(L97="","",N97*0.1)</f>
        <v/>
      </c>
      <c r="P97" s="378" t="str">
        <f>+IF(L97="","",N97+O97)</f>
        <v/>
      </c>
      <c r="Q97" s="378" t="str">
        <f>IF(L97="","",IFERROR((SUMIFS(TN_balC1_totol,TN_code,D97)+SUMIFS(RC_or_totol,RC_Code,D97,RC_date,"&lt;="&amp;C97)-SUMIFS(RC_zar_totol,RC_Code,D97,RC_date,"&lt;"&amp;C97)) /( SUMIFS(TN_balC1_unit,TN_code,D97)+SUMIFS(RC_or_unit,RC_Code,D97,RC_date,"&lt;="&amp;C97)-SUMIFS(RC_zar_unit,RC_Code,D97,RC_date,"&lt;"&amp;C97)),0 ))</f>
        <v/>
      </c>
      <c r="R97" s="378" t="str">
        <f>+IF(L97="","",L97*Q97)</f>
        <v/>
      </c>
      <c r="S97" s="609">
        <v>320100</v>
      </c>
      <c r="T97" s="378" t="str">
        <f>+IFERROR(VLOOKUP(S97,STAT1!$C$4:$D$189,2,FALSE),"")</f>
        <v>Урьдчилж орсон орлого MNT</v>
      </c>
      <c r="U97" s="1225">
        <v>224849.99794443999</v>
      </c>
      <c r="V97" s="1216"/>
      <c r="W97" s="326">
        <v>3008</v>
      </c>
      <c r="X97" s="328" t="str">
        <f>IFERROR(VLOOKUP(W97,DATA!$G$4:$H$400,2,FALSE),"")</f>
        <v xml:space="preserve">ГЭГЭЭН ДАЛАЙ ХХК </v>
      </c>
      <c r="Y97" s="1205"/>
      <c r="Z97" s="1205"/>
      <c r="AA97" s="1205"/>
    </row>
    <row r="98" spans="1:27" ht="12.75" customHeight="1">
      <c r="A98" s="15">
        <v>31</v>
      </c>
      <c r="B98" s="369">
        <f t="shared" si="15"/>
        <v>93</v>
      </c>
      <c r="C98" s="427">
        <v>42760</v>
      </c>
      <c r="D98" s="426">
        <v>211503</v>
      </c>
      <c r="E98" s="425" t="str">
        <f ca="1">+IFERROR(VLOOKUP(D98,TN_table,2,FALSE),"")</f>
        <v>Н-Евровагонка /зузаан-1.2см/</v>
      </c>
      <c r="F98" s="428" t="str">
        <f ca="1">+IFERROR(VLOOKUP(D98,TN_table,3,FALSE),"")</f>
        <v>м2</v>
      </c>
      <c r="G98" s="378"/>
      <c r="H98" s="378"/>
      <c r="I98" s="378"/>
      <c r="J98" s="378"/>
      <c r="K98" s="1220"/>
      <c r="L98" s="378">
        <v>8.25</v>
      </c>
      <c r="M98" s="378">
        <v>21606.612000000001</v>
      </c>
      <c r="N98" s="378">
        <f>+IF(L98="","",L98*M98)</f>
        <v>178254.549</v>
      </c>
      <c r="O98" s="378">
        <f>+IF(L98="","",N98*0.1)</f>
        <v>17825.454900000001</v>
      </c>
      <c r="P98" s="378">
        <f>+IF(L98="","",N98+O98)</f>
        <v>196080.00390000001</v>
      </c>
      <c r="Q98" s="378">
        <f ca="1">IF(L98="","",IFERROR((SUMIFS(TN_balC1_totol,TN_code,D98)+SUMIFS(RC_or_totol,RC_Code,D98,RC_date,"&lt;="&amp;C98)-SUMIFS(RC_zar_totol,RC_Code,D98,RC_date,"&lt;"&amp;C98)) /( SUMIFS(TN_balC1_unit,TN_code,D98)+SUMIFS(RC_or_unit,RC_Code,D98,RC_date,"&lt;="&amp;C98)-SUMIFS(RC_zar_unit,RC_Code,D98,RC_date,"&lt;"&amp;C98)),0 ))</f>
        <v>12876.722738825943</v>
      </c>
      <c r="R98" s="378">
        <f ca="1">+IF(L98="","",L98*Q98)</f>
        <v>106232.96259531403</v>
      </c>
      <c r="S98" s="609">
        <v>150101</v>
      </c>
      <c r="T98" s="378" t="str">
        <f>+IFERROR(VLOOKUP(S98,STAT1!$C$4:$D$189,2,FALSE),"")</f>
        <v>Бараа бэлэн бүтээгдэхүүн БОЛОВСРУУЛАХ ЦЕХ /нарс/</v>
      </c>
      <c r="U98" s="1225"/>
      <c r="V98" s="1216">
        <v>106232.96259531403</v>
      </c>
      <c r="W98" s="326">
        <v>3005</v>
      </c>
      <c r="X98" s="328" t="str">
        <f>IFERROR(VLOOKUP(W98,DATA!$G$4:$H$400,2,FALSE),"")</f>
        <v xml:space="preserve">ОРГИЛ ХҮНС ХХК </v>
      </c>
      <c r="Y98" s="1205"/>
      <c r="Z98" s="1205"/>
      <c r="AA98" s="1205"/>
    </row>
    <row r="99" spans="1:27" ht="12.75" customHeight="1">
      <c r="A99" s="15">
        <v>31</v>
      </c>
      <c r="B99" s="369">
        <f t="shared" si="15"/>
        <v>94</v>
      </c>
      <c r="C99" s="427">
        <v>42760</v>
      </c>
      <c r="D99" s="426"/>
      <c r="E99" s="425"/>
      <c r="F99" s="428"/>
      <c r="G99" s="378"/>
      <c r="H99" s="378"/>
      <c r="I99" s="378"/>
      <c r="J99" s="378"/>
      <c r="K99" s="1220"/>
      <c r="L99" s="378"/>
      <c r="M99" s="378"/>
      <c r="N99" s="378"/>
      <c r="O99" s="378"/>
      <c r="P99" s="378"/>
      <c r="Q99" s="378"/>
      <c r="R99" s="378"/>
      <c r="S99" s="609">
        <v>610100</v>
      </c>
      <c r="T99" s="378" t="str">
        <f>+IFERROR(VLOOKUP(S99,STAT1!$C$4:$D$189,2,FALSE),"")</f>
        <v>Борлуулсан барааны өртөг</v>
      </c>
      <c r="U99" s="1216">
        <v>106232.96259531403</v>
      </c>
      <c r="V99" s="1216"/>
      <c r="W99" s="326">
        <v>3005</v>
      </c>
      <c r="X99" s="328" t="str">
        <f>IFERROR(VLOOKUP(W99,DATA!$G$4:$H$400,2,FALSE),"")</f>
        <v xml:space="preserve">ОРГИЛ ХҮНС ХХК </v>
      </c>
      <c r="Y99" s="1205"/>
      <c r="Z99" s="1205"/>
      <c r="AA99" s="1205"/>
    </row>
    <row r="100" spans="1:27" ht="12.75" customHeight="1">
      <c r="A100" s="15">
        <v>31</v>
      </c>
      <c r="B100" s="369">
        <f t="shared" si="15"/>
        <v>95</v>
      </c>
      <c r="C100" s="427">
        <v>42760</v>
      </c>
      <c r="D100" s="426"/>
      <c r="E100" s="425" t="str">
        <f ca="1">+IFERROR(VLOOKUP(D100,TN_table,2,FALSE),"")</f>
        <v/>
      </c>
      <c r="F100" s="428" t="str">
        <f t="shared" ref="F100:F112" ca="1" si="23">+IFERROR(VLOOKUP(D100,TN_table,3,FALSE),"")</f>
        <v/>
      </c>
      <c r="G100" s="378"/>
      <c r="H100" s="378"/>
      <c r="I100" s="378"/>
      <c r="J100" s="378"/>
      <c r="K100" s="1220"/>
      <c r="L100" s="378"/>
      <c r="M100" s="378"/>
      <c r="N100" s="378" t="str">
        <f t="shared" ref="N100:N112" si="24">+IF(L100="","",L100*M100)</f>
        <v/>
      </c>
      <c r="O100" s="378" t="str">
        <f t="shared" ref="O100:O112" si="25">+IF(L100="","",N100*0.1)</f>
        <v/>
      </c>
      <c r="P100" s="378" t="str">
        <f t="shared" ref="P100:P112" si="26">+IF(L100="","",N100+O100)</f>
        <v/>
      </c>
      <c r="Q100" s="378" t="str">
        <f t="shared" ref="Q100:Q112" si="27">IF(L100="","",IFERROR((SUMIFS(TN_balC1_totol,TN_code,D100)+SUMIFS(RC_or_totol,RC_Code,D100,RC_date,"&lt;="&amp;C100)-SUMIFS(RC_zar_totol,RC_Code,D100,RC_date,"&lt;"&amp;C100)) /( SUMIFS(TN_balC1_unit,TN_code,D100)+SUMIFS(RC_or_unit,RC_Code,D100,RC_date,"&lt;="&amp;C100)-SUMIFS(RC_zar_unit,RC_Code,D100,RC_date,"&lt;"&amp;C100)),0 ))</f>
        <v/>
      </c>
      <c r="R100" s="378" t="str">
        <f t="shared" ref="R100:R112" si="28">+IF(L100="","",L100*Q100)</f>
        <v/>
      </c>
      <c r="S100" s="609">
        <v>310500</v>
      </c>
      <c r="T100" s="378" t="str">
        <f>+IFERROR(VLOOKUP(S100,STAT1!$C$4:$D$189,2,FALSE),"")</f>
        <v>НӨАТ өглөг</v>
      </c>
      <c r="U100" s="1225"/>
      <c r="V100" s="1216">
        <v>17825.454900000001</v>
      </c>
      <c r="W100" s="326">
        <v>3005</v>
      </c>
      <c r="X100" s="328" t="str">
        <f>IFERROR(VLOOKUP(W100,DATA!$G$4:$H$400,2,FALSE),"")</f>
        <v xml:space="preserve">ОРГИЛ ХҮНС ХХК </v>
      </c>
      <c r="Y100" s="1205"/>
      <c r="Z100" s="1205"/>
      <c r="AA100" s="1205"/>
    </row>
    <row r="101" spans="1:27" ht="12.75" customHeight="1">
      <c r="A101" s="15">
        <v>32</v>
      </c>
      <c r="B101" s="369">
        <f t="shared" si="15"/>
        <v>96</v>
      </c>
      <c r="C101" s="427">
        <v>42760</v>
      </c>
      <c r="D101" s="426"/>
      <c r="E101" s="425" t="str">
        <f ca="1">+IFERROR(VLOOKUP(D101,TN_table,2,FALSE),"")</f>
        <v/>
      </c>
      <c r="F101" s="428" t="str">
        <f t="shared" ca="1" si="23"/>
        <v/>
      </c>
      <c r="G101" s="378"/>
      <c r="H101" s="378"/>
      <c r="I101" s="378"/>
      <c r="J101" s="378"/>
      <c r="K101" s="1220"/>
      <c r="L101" s="378"/>
      <c r="M101" s="378"/>
      <c r="N101" s="378" t="str">
        <f t="shared" si="24"/>
        <v/>
      </c>
      <c r="O101" s="378" t="str">
        <f t="shared" si="25"/>
        <v/>
      </c>
      <c r="P101" s="378" t="str">
        <f t="shared" si="26"/>
        <v/>
      </c>
      <c r="Q101" s="378" t="str">
        <f t="shared" si="27"/>
        <v/>
      </c>
      <c r="R101" s="378" t="str">
        <f t="shared" si="28"/>
        <v/>
      </c>
      <c r="S101" s="609">
        <v>510000</v>
      </c>
      <c r="T101" s="378" t="str">
        <f>+IFERROR(VLOOKUP(S101,STAT1!$C$4:$D$189,2,FALSE),"")</f>
        <v>Үндсэн үйл ажиллагааны борлуулалт</v>
      </c>
      <c r="U101" s="1225"/>
      <c r="V101" s="1216">
        <v>178254.549</v>
      </c>
      <c r="W101" s="326">
        <v>3005</v>
      </c>
      <c r="X101" s="328" t="str">
        <f>IFERROR(VLOOKUP(W101,DATA!$G$4:$H$400,2,FALSE),"")</f>
        <v xml:space="preserve">ОРГИЛ ХҮНС ХХК </v>
      </c>
      <c r="Y101" s="1205"/>
      <c r="Z101" s="1205"/>
      <c r="AA101" s="1205"/>
    </row>
    <row r="102" spans="1:27" ht="12.75" customHeight="1">
      <c r="A102" s="15">
        <v>32</v>
      </c>
      <c r="B102" s="369">
        <f t="shared" si="15"/>
        <v>97</v>
      </c>
      <c r="C102" s="427">
        <v>42760</v>
      </c>
      <c r="D102" s="426"/>
      <c r="E102" s="425" t="str">
        <f ca="1">+IFERROR(VLOOKUP(D102,TN_table,2,FALSE),"")</f>
        <v/>
      </c>
      <c r="F102" s="428" t="str">
        <f t="shared" ca="1" si="23"/>
        <v/>
      </c>
      <c r="G102" s="378"/>
      <c r="H102" s="378"/>
      <c r="I102" s="378"/>
      <c r="J102" s="378"/>
      <c r="K102" s="1220"/>
      <c r="L102" s="378"/>
      <c r="M102" s="378"/>
      <c r="N102" s="378" t="str">
        <f t="shared" si="24"/>
        <v/>
      </c>
      <c r="O102" s="378" t="str">
        <f t="shared" si="25"/>
        <v/>
      </c>
      <c r="P102" s="378" t="str">
        <f t="shared" si="26"/>
        <v/>
      </c>
      <c r="Q102" s="378" t="str">
        <f t="shared" si="27"/>
        <v/>
      </c>
      <c r="R102" s="378" t="str">
        <f t="shared" si="28"/>
        <v/>
      </c>
      <c r="S102" s="609">
        <v>320100</v>
      </c>
      <c r="T102" s="378" t="str">
        <f>+IFERROR(VLOOKUP(S102,STAT1!$C$4:$D$189,2,FALSE),"")</f>
        <v>Урьдчилж орсон орлого MNT</v>
      </c>
      <c r="U102" s="1225">
        <v>196080.00390000001</v>
      </c>
      <c r="V102" s="1216"/>
      <c r="W102" s="326">
        <v>3005</v>
      </c>
      <c r="X102" s="328" t="str">
        <f>IFERROR(VLOOKUP(W102,DATA!$G$4:$H$400,2,FALSE),"")</f>
        <v xml:space="preserve">ОРГИЛ ХҮНС ХХК </v>
      </c>
      <c r="Y102" s="1205"/>
      <c r="Z102" s="1205"/>
      <c r="AA102" s="1205"/>
    </row>
    <row r="103" spans="1:27" ht="13.5" customHeight="1">
      <c r="A103" s="15">
        <v>32</v>
      </c>
      <c r="B103" s="369">
        <f t="shared" si="15"/>
        <v>98</v>
      </c>
      <c r="C103" s="427">
        <v>42761</v>
      </c>
      <c r="D103" s="426">
        <v>410085</v>
      </c>
      <c r="E103" s="425" t="str">
        <f ca="1">+IFERROR(VLOOKUP(D103,TN_table,2,FALSE),"")</f>
        <v xml:space="preserve">НЦ-лак </v>
      </c>
      <c r="F103" s="428" t="str">
        <f t="shared" ca="1" si="23"/>
        <v>кг</v>
      </c>
      <c r="G103" s="378">
        <v>90</v>
      </c>
      <c r="H103" s="378">
        <v>7000</v>
      </c>
      <c r="I103" s="378">
        <f t="shared" ref="I103:I111" si="29">+IF(G103="","",G103*H103)</f>
        <v>630000</v>
      </c>
      <c r="J103" s="378">
        <f t="shared" ref="J103:J111" si="30">+IF(G103="","",I103*0.1)</f>
        <v>63000</v>
      </c>
      <c r="K103" s="1220">
        <f t="shared" ref="K103:K111" si="31">+IF(G103="","",I103+J103)</f>
        <v>693000</v>
      </c>
      <c r="L103" s="1228"/>
      <c r="M103" s="378"/>
      <c r="N103" s="378" t="str">
        <f t="shared" si="24"/>
        <v/>
      </c>
      <c r="O103" s="378" t="str">
        <f t="shared" si="25"/>
        <v/>
      </c>
      <c r="P103" s="378" t="str">
        <f t="shared" si="26"/>
        <v/>
      </c>
      <c r="Q103" s="378" t="str">
        <f t="shared" si="27"/>
        <v/>
      </c>
      <c r="R103" s="378" t="str">
        <f t="shared" si="28"/>
        <v/>
      </c>
      <c r="S103" s="609">
        <v>160100</v>
      </c>
      <c r="T103" s="378" t="str">
        <f>+IFERROR(VLOOKUP(S103,STAT1!$C$4:$D$189,2,FALSE),"")</f>
        <v xml:space="preserve">Барилгын материал </v>
      </c>
      <c r="U103" s="1225">
        <v>630000</v>
      </c>
      <c r="V103" s="1225"/>
      <c r="W103" s="327">
        <v>3017</v>
      </c>
      <c r="X103" s="328" t="str">
        <f>IFERROR(VLOOKUP(W103,DATA!$G$4:$H$400,2,FALSE),"")</f>
        <v xml:space="preserve">ВОС ХХК </v>
      </c>
      <c r="Y103" s="1205"/>
      <c r="Z103" s="1205"/>
      <c r="AA103" s="1205"/>
    </row>
    <row r="104" spans="1:27" ht="12.75" customHeight="1">
      <c r="A104" s="15">
        <v>32</v>
      </c>
      <c r="B104" s="369">
        <f t="shared" si="15"/>
        <v>99</v>
      </c>
      <c r="C104" s="427">
        <v>42761</v>
      </c>
      <c r="D104" s="426"/>
      <c r="E104" s="425" t="str">
        <f ca="1">+IFERROR(VLOOKUP(D104,TN_table,2,FALSE),"")</f>
        <v/>
      </c>
      <c r="F104" s="428" t="str">
        <f t="shared" ca="1" si="23"/>
        <v/>
      </c>
      <c r="G104" s="378"/>
      <c r="H104" s="378"/>
      <c r="I104" s="378" t="str">
        <f t="shared" si="29"/>
        <v/>
      </c>
      <c r="J104" s="378" t="str">
        <f t="shared" si="30"/>
        <v/>
      </c>
      <c r="K104" s="1220" t="str">
        <f t="shared" si="31"/>
        <v/>
      </c>
      <c r="L104" s="1228"/>
      <c r="M104" s="378"/>
      <c r="N104" s="378" t="str">
        <f t="shared" si="24"/>
        <v/>
      </c>
      <c r="O104" s="378" t="str">
        <f t="shared" si="25"/>
        <v/>
      </c>
      <c r="P104" s="378" t="str">
        <f t="shared" si="26"/>
        <v/>
      </c>
      <c r="Q104" s="378" t="str">
        <f t="shared" si="27"/>
        <v/>
      </c>
      <c r="R104" s="378" t="str">
        <f t="shared" si="28"/>
        <v/>
      </c>
      <c r="S104" s="609">
        <v>120600</v>
      </c>
      <c r="T104" s="378" t="str">
        <f>+IFERROR(VLOOKUP(S104,STAT1!$C$4:$D$189,2,FALSE),"")</f>
        <v>НӨАТ авлага</v>
      </c>
      <c r="U104" s="1225">
        <v>63000</v>
      </c>
      <c r="V104" s="1225"/>
      <c r="W104" s="327">
        <v>3017</v>
      </c>
      <c r="X104" s="328" t="str">
        <f>IFERROR(VLOOKUP(W104,DATA!$G$4:$H$400,2,FALSE),"")</f>
        <v xml:space="preserve">ВОС ХХК </v>
      </c>
      <c r="Y104" s="1205"/>
      <c r="Z104" s="1205"/>
      <c r="AA104" s="1205"/>
    </row>
    <row r="105" spans="1:27" ht="12.75" customHeight="1">
      <c r="A105" s="15">
        <v>32</v>
      </c>
      <c r="B105" s="369">
        <f t="shared" si="15"/>
        <v>100</v>
      </c>
      <c r="C105" s="427">
        <v>42761</v>
      </c>
      <c r="D105" s="426"/>
      <c r="E105" s="425"/>
      <c r="F105" s="428" t="str">
        <f t="shared" ca="1" si="23"/>
        <v/>
      </c>
      <c r="G105" s="378"/>
      <c r="H105" s="378"/>
      <c r="I105" s="378" t="str">
        <f t="shared" si="29"/>
        <v/>
      </c>
      <c r="J105" s="378" t="str">
        <f t="shared" si="30"/>
        <v/>
      </c>
      <c r="K105" s="1220" t="str">
        <f t="shared" si="31"/>
        <v/>
      </c>
      <c r="L105" s="378"/>
      <c r="M105" s="378"/>
      <c r="N105" s="378" t="str">
        <f t="shared" si="24"/>
        <v/>
      </c>
      <c r="O105" s="378" t="str">
        <f t="shared" si="25"/>
        <v/>
      </c>
      <c r="P105" s="378" t="str">
        <f t="shared" si="26"/>
        <v/>
      </c>
      <c r="Q105" s="378" t="str">
        <f t="shared" si="27"/>
        <v/>
      </c>
      <c r="R105" s="378" t="str">
        <f t="shared" si="28"/>
        <v/>
      </c>
      <c r="S105" s="609">
        <v>120100</v>
      </c>
      <c r="T105" s="378" t="str">
        <f>+IFERROR(VLOOKUP(S105,STAT1!$C$4:$D$189,2,FALSE),"")</f>
        <v xml:space="preserve">Дансны авлага MNT </v>
      </c>
      <c r="U105" s="1225"/>
      <c r="V105" s="1216">
        <v>693000</v>
      </c>
      <c r="W105" s="327">
        <v>3017</v>
      </c>
      <c r="X105" s="328" t="str">
        <f>IFERROR(VLOOKUP(W105,DATA!$G$4:$H$400,2,FALSE),"")</f>
        <v xml:space="preserve">ВОС ХХК </v>
      </c>
      <c r="Y105" s="1205"/>
      <c r="Z105" s="1205"/>
      <c r="AA105" s="1205"/>
    </row>
    <row r="106" spans="1:27" ht="12.75" customHeight="1">
      <c r="A106" s="15">
        <v>33</v>
      </c>
      <c r="B106" s="369">
        <f t="shared" si="15"/>
        <v>101</v>
      </c>
      <c r="C106" s="427">
        <v>42761</v>
      </c>
      <c r="D106" s="426">
        <v>410054</v>
      </c>
      <c r="E106" s="425" t="str">
        <f t="shared" ref="E106:E112" ca="1" si="32">+IFERROR(VLOOKUP(D106,TN_table,2,FALSE),"")</f>
        <v xml:space="preserve">Будаг шингэлэгч </v>
      </c>
      <c r="F106" s="428" t="str">
        <f t="shared" ca="1" si="23"/>
        <v>ш</v>
      </c>
      <c r="G106" s="378">
        <v>60</v>
      </c>
      <c r="H106" s="378">
        <v>1700</v>
      </c>
      <c r="I106" s="378">
        <f t="shared" si="29"/>
        <v>102000</v>
      </c>
      <c r="J106" s="378">
        <f t="shared" si="30"/>
        <v>10200</v>
      </c>
      <c r="K106" s="1220">
        <f t="shared" si="31"/>
        <v>112200</v>
      </c>
      <c r="L106" s="378"/>
      <c r="M106" s="378"/>
      <c r="N106" s="378" t="str">
        <f t="shared" si="24"/>
        <v/>
      </c>
      <c r="O106" s="378" t="str">
        <f t="shared" si="25"/>
        <v/>
      </c>
      <c r="P106" s="378" t="str">
        <f t="shared" si="26"/>
        <v/>
      </c>
      <c r="Q106" s="378" t="str">
        <f t="shared" si="27"/>
        <v/>
      </c>
      <c r="R106" s="378" t="str">
        <f t="shared" si="28"/>
        <v/>
      </c>
      <c r="S106" s="602">
        <v>160100</v>
      </c>
      <c r="T106" s="378" t="str">
        <f>+IFERROR(VLOOKUP(S106,STAT1!$C$4:$D$189,2,FALSE),"")</f>
        <v xml:space="preserve">Барилгын материал </v>
      </c>
      <c r="U106" s="1225">
        <v>102000</v>
      </c>
      <c r="V106" s="1216"/>
      <c r="W106" s="327">
        <v>3017</v>
      </c>
      <c r="X106" s="328" t="str">
        <f>IFERROR(VLOOKUP(W106,DATA!$G$4:$H$400,2,FALSE),"")</f>
        <v xml:space="preserve">ВОС ХХК </v>
      </c>
      <c r="Y106" s="1205"/>
      <c r="Z106" s="1205"/>
      <c r="AA106" s="1205"/>
    </row>
    <row r="107" spans="1:27" ht="12.75" customHeight="1">
      <c r="A107" s="15">
        <v>33</v>
      </c>
      <c r="B107" s="369">
        <f t="shared" si="15"/>
        <v>102</v>
      </c>
      <c r="C107" s="427">
        <v>42761</v>
      </c>
      <c r="D107" s="426"/>
      <c r="E107" s="425" t="str">
        <f t="shared" ca="1" si="32"/>
        <v/>
      </c>
      <c r="F107" s="428" t="str">
        <f t="shared" ca="1" si="23"/>
        <v/>
      </c>
      <c r="G107" s="378"/>
      <c r="H107" s="378"/>
      <c r="I107" s="378" t="str">
        <f t="shared" si="29"/>
        <v/>
      </c>
      <c r="J107" s="378" t="str">
        <f t="shared" si="30"/>
        <v/>
      </c>
      <c r="K107" s="1220" t="str">
        <f t="shared" si="31"/>
        <v/>
      </c>
      <c r="L107" s="378"/>
      <c r="M107" s="378"/>
      <c r="N107" s="378" t="str">
        <f t="shared" si="24"/>
        <v/>
      </c>
      <c r="O107" s="378" t="str">
        <f t="shared" si="25"/>
        <v/>
      </c>
      <c r="P107" s="378" t="str">
        <f t="shared" si="26"/>
        <v/>
      </c>
      <c r="Q107" s="378" t="str">
        <f t="shared" si="27"/>
        <v/>
      </c>
      <c r="R107" s="378" t="str">
        <f t="shared" si="28"/>
        <v/>
      </c>
      <c r="S107" s="602">
        <v>120600</v>
      </c>
      <c r="T107" s="378" t="str">
        <f>+IFERROR(VLOOKUP(S107,STAT1!$C$4:$D$189,2,FALSE),"")</f>
        <v>НӨАТ авлага</v>
      </c>
      <c r="U107" s="1225">
        <v>10200</v>
      </c>
      <c r="V107" s="1216"/>
      <c r="W107" s="327">
        <v>3017</v>
      </c>
      <c r="X107" s="328" t="str">
        <f>IFERROR(VLOOKUP(W107,DATA!$G$4:$H$400,2,FALSE),"")</f>
        <v xml:space="preserve">ВОС ХХК </v>
      </c>
      <c r="Y107" s="1205"/>
      <c r="Z107" s="1205"/>
      <c r="AA107" s="1205"/>
    </row>
    <row r="108" spans="1:27" ht="12.75" customHeight="1">
      <c r="A108" s="15">
        <v>33</v>
      </c>
      <c r="B108" s="369">
        <f t="shared" si="15"/>
        <v>103</v>
      </c>
      <c r="C108" s="427">
        <v>42761</v>
      </c>
      <c r="D108" s="426"/>
      <c r="E108" s="425" t="str">
        <f t="shared" ca="1" si="32"/>
        <v/>
      </c>
      <c r="F108" s="428" t="str">
        <f t="shared" ca="1" si="23"/>
        <v/>
      </c>
      <c r="G108" s="378"/>
      <c r="H108" s="378"/>
      <c r="I108" s="378" t="str">
        <f t="shared" si="29"/>
        <v/>
      </c>
      <c r="J108" s="378" t="str">
        <f t="shared" si="30"/>
        <v/>
      </c>
      <c r="K108" s="1220" t="str">
        <f t="shared" si="31"/>
        <v/>
      </c>
      <c r="L108" s="378"/>
      <c r="M108" s="378"/>
      <c r="N108" s="378" t="str">
        <f t="shared" si="24"/>
        <v/>
      </c>
      <c r="O108" s="378" t="str">
        <f t="shared" si="25"/>
        <v/>
      </c>
      <c r="P108" s="378" t="str">
        <f t="shared" si="26"/>
        <v/>
      </c>
      <c r="Q108" s="378" t="str">
        <f t="shared" si="27"/>
        <v/>
      </c>
      <c r="R108" s="378" t="str">
        <f t="shared" si="28"/>
        <v/>
      </c>
      <c r="S108" s="602">
        <v>120100</v>
      </c>
      <c r="T108" s="378" t="str">
        <f>+IFERROR(VLOOKUP(S108,STAT1!$C$4:$D$189,2,FALSE),"")</f>
        <v xml:space="preserve">Дансны авлага MNT </v>
      </c>
      <c r="U108" s="1225"/>
      <c r="V108" s="1216">
        <v>112200</v>
      </c>
      <c r="W108" s="327">
        <v>3017</v>
      </c>
      <c r="X108" s="328" t="str">
        <f>IFERROR(VLOOKUP(W108,DATA!$G$4:$H$400,2,FALSE),"")</f>
        <v xml:space="preserve">ВОС ХХК </v>
      </c>
      <c r="Y108" s="1205"/>
      <c r="Z108" s="1205"/>
      <c r="AA108" s="1205"/>
    </row>
    <row r="109" spans="1:27" ht="12.75" customHeight="1">
      <c r="A109" s="15">
        <v>34</v>
      </c>
      <c r="B109" s="369">
        <f t="shared" si="15"/>
        <v>104</v>
      </c>
      <c r="C109" s="427">
        <v>42762</v>
      </c>
      <c r="D109" s="426">
        <v>420058</v>
      </c>
      <c r="E109" s="425" t="str">
        <f t="shared" ca="1" si="32"/>
        <v xml:space="preserve">Сэлбэг </v>
      </c>
      <c r="F109" s="428" t="str">
        <f t="shared" ca="1" si="23"/>
        <v>ш</v>
      </c>
      <c r="G109" s="378">
        <v>1</v>
      </c>
      <c r="H109" s="378">
        <v>89520</v>
      </c>
      <c r="I109" s="378">
        <f t="shared" si="29"/>
        <v>89520</v>
      </c>
      <c r="J109" s="378">
        <f t="shared" si="30"/>
        <v>8952</v>
      </c>
      <c r="K109" s="1220">
        <f t="shared" si="31"/>
        <v>98472</v>
      </c>
      <c r="L109" s="378"/>
      <c r="M109" s="378"/>
      <c r="N109" s="378" t="str">
        <f t="shared" si="24"/>
        <v/>
      </c>
      <c r="O109" s="378" t="str">
        <f t="shared" si="25"/>
        <v/>
      </c>
      <c r="P109" s="378" t="str">
        <f t="shared" si="26"/>
        <v/>
      </c>
      <c r="Q109" s="378" t="str">
        <f t="shared" si="27"/>
        <v/>
      </c>
      <c r="R109" s="378" t="str">
        <f t="shared" si="28"/>
        <v/>
      </c>
      <c r="S109" s="602">
        <v>160300</v>
      </c>
      <c r="T109" s="378" t="str">
        <f>+IFERROR(VLOOKUP(S109,STAT1!$C$4:$D$189,2,FALSE),"")</f>
        <v xml:space="preserve">Сэлбэг хэрэгсэл </v>
      </c>
      <c r="U109" s="1225">
        <v>89520</v>
      </c>
      <c r="V109" s="1225" t="s">
        <v>587</v>
      </c>
      <c r="W109" s="327">
        <v>1005</v>
      </c>
      <c r="X109" s="328" t="str">
        <f>IFERROR(VLOOKUP(W109,DATA!$G$4:$H$400,2,FALSE),"")</f>
        <v>Золжаргал</v>
      </c>
      <c r="Y109" s="1205"/>
      <c r="Z109" s="1205"/>
      <c r="AA109" s="1205"/>
    </row>
    <row r="110" spans="1:27" ht="12.75" customHeight="1">
      <c r="A110" s="15">
        <v>34</v>
      </c>
      <c r="B110" s="369">
        <f t="shared" si="15"/>
        <v>105</v>
      </c>
      <c r="C110" s="427">
        <v>42762</v>
      </c>
      <c r="D110" s="426"/>
      <c r="E110" s="425" t="str">
        <f t="shared" ca="1" si="32"/>
        <v/>
      </c>
      <c r="F110" s="428" t="str">
        <f t="shared" ca="1" si="23"/>
        <v/>
      </c>
      <c r="G110" s="378"/>
      <c r="H110" s="378"/>
      <c r="I110" s="378" t="str">
        <f t="shared" si="29"/>
        <v/>
      </c>
      <c r="J110" s="378" t="str">
        <f t="shared" si="30"/>
        <v/>
      </c>
      <c r="K110" s="1220" t="str">
        <f t="shared" si="31"/>
        <v/>
      </c>
      <c r="L110" s="378"/>
      <c r="M110" s="378"/>
      <c r="N110" s="378" t="str">
        <f t="shared" si="24"/>
        <v/>
      </c>
      <c r="O110" s="378" t="str">
        <f t="shared" si="25"/>
        <v/>
      </c>
      <c r="P110" s="378" t="str">
        <f t="shared" si="26"/>
        <v/>
      </c>
      <c r="Q110" s="378" t="str">
        <f t="shared" si="27"/>
        <v/>
      </c>
      <c r="R110" s="378" t="str">
        <f t="shared" si="28"/>
        <v/>
      </c>
      <c r="S110" s="602">
        <v>120600</v>
      </c>
      <c r="T110" s="378" t="str">
        <f>+IFERROR(VLOOKUP(S110,STAT1!$C$4:$D$189,2,FALSE),"")</f>
        <v>НӨАТ авлага</v>
      </c>
      <c r="U110" s="1225">
        <v>8952</v>
      </c>
      <c r="V110" s="1225"/>
      <c r="W110" s="326">
        <v>1005</v>
      </c>
      <c r="X110" s="328" t="str">
        <f>IFERROR(VLOOKUP(W110,DATA!$G$4:$H$400,2,FALSE),"")</f>
        <v>Золжаргал</v>
      </c>
      <c r="Y110" s="1205"/>
      <c r="Z110" s="1205"/>
      <c r="AA110" s="1205"/>
    </row>
    <row r="111" spans="1:27" ht="12.75" customHeight="1">
      <c r="A111" s="15">
        <v>34</v>
      </c>
      <c r="B111" s="369">
        <f t="shared" si="15"/>
        <v>106</v>
      </c>
      <c r="C111" s="427">
        <v>42762</v>
      </c>
      <c r="D111" s="426"/>
      <c r="E111" s="425" t="str">
        <f t="shared" ca="1" si="32"/>
        <v/>
      </c>
      <c r="F111" s="428" t="str">
        <f t="shared" ca="1" si="23"/>
        <v/>
      </c>
      <c r="G111" s="378"/>
      <c r="H111" s="378"/>
      <c r="I111" s="378" t="str">
        <f t="shared" si="29"/>
        <v/>
      </c>
      <c r="J111" s="378" t="str">
        <f t="shared" si="30"/>
        <v/>
      </c>
      <c r="K111" s="1220" t="str">
        <f t="shared" si="31"/>
        <v/>
      </c>
      <c r="L111" s="378"/>
      <c r="M111" s="378"/>
      <c r="N111" s="378" t="str">
        <f t="shared" si="24"/>
        <v/>
      </c>
      <c r="O111" s="378" t="str">
        <f t="shared" si="25"/>
        <v/>
      </c>
      <c r="P111" s="378" t="str">
        <f t="shared" si="26"/>
        <v/>
      </c>
      <c r="Q111" s="378" t="str">
        <f t="shared" si="27"/>
        <v/>
      </c>
      <c r="R111" s="378" t="str">
        <f t="shared" si="28"/>
        <v/>
      </c>
      <c r="S111" s="602">
        <v>121200</v>
      </c>
      <c r="T111" s="378" t="str">
        <f>+IFERROR(VLOOKUP(S111,STAT1!$C$4:$D$189,2,FALSE),"")</f>
        <v xml:space="preserve">Ажилчидын дараа тайлангийн тооцоо </v>
      </c>
      <c r="U111" s="1225"/>
      <c r="V111" s="1225">
        <v>98472</v>
      </c>
      <c r="W111" s="326">
        <v>1005</v>
      </c>
      <c r="X111" s="328" t="str">
        <f>IFERROR(VLOOKUP(W111,DATA!$G$4:$H$400,2,FALSE),"")</f>
        <v>Золжаргал</v>
      </c>
      <c r="Y111" s="1205"/>
      <c r="Z111" s="1205"/>
      <c r="AA111" s="1205"/>
    </row>
    <row r="112" spans="1:27" ht="12.75" customHeight="1">
      <c r="A112" s="15">
        <v>35</v>
      </c>
      <c r="B112" s="369">
        <f t="shared" si="15"/>
        <v>107</v>
      </c>
      <c r="C112" s="427">
        <v>42763</v>
      </c>
      <c r="D112" s="426">
        <v>211504</v>
      </c>
      <c r="E112" s="425" t="str">
        <f t="shared" ca="1" si="32"/>
        <v xml:space="preserve">Н-Евровагонка /зузаан-1.2см/-яртай </v>
      </c>
      <c r="F112" s="428" t="str">
        <f t="shared" ca="1" si="23"/>
        <v>м2</v>
      </c>
      <c r="G112" s="378"/>
      <c r="H112" s="378"/>
      <c r="I112" s="378"/>
      <c r="J112" s="378"/>
      <c r="K112" s="1220"/>
      <c r="L112" s="378">
        <v>15.83</v>
      </c>
      <c r="M112" s="378">
        <v>18003.790199999999</v>
      </c>
      <c r="N112" s="378">
        <f t="shared" si="24"/>
        <v>284999.99886599998</v>
      </c>
      <c r="O112" s="378">
        <f t="shared" si="25"/>
        <v>28499.999886599999</v>
      </c>
      <c r="P112" s="378">
        <f t="shared" si="26"/>
        <v>313499.99875259999</v>
      </c>
      <c r="Q112" s="378">
        <f t="shared" ca="1" si="27"/>
        <v>9540.1099999999988</v>
      </c>
      <c r="R112" s="378">
        <f t="shared" ca="1" si="28"/>
        <v>151019.94129999998</v>
      </c>
      <c r="S112" s="602">
        <v>150101</v>
      </c>
      <c r="T112" s="378" t="str">
        <f>+IFERROR(VLOOKUP(S112,STAT1!$C$4:$D$189,2,FALSE),"")</f>
        <v>Бараа бэлэн бүтээгдэхүүн БОЛОВСРУУЛАХ ЦЕХ /нарс/</v>
      </c>
      <c r="U112" s="1225"/>
      <c r="V112" s="1216">
        <v>151019.94129999998</v>
      </c>
      <c r="W112" s="326">
        <v>3004</v>
      </c>
      <c r="X112" s="328" t="str">
        <f>IFERROR(VLOOKUP(W112,DATA!$G$4:$H$400,2,FALSE),"")</f>
        <v xml:space="preserve">ИЭСОМ ХХК </v>
      </c>
      <c r="Y112" s="1205"/>
      <c r="Z112" s="1205"/>
      <c r="AA112" s="1205"/>
    </row>
    <row r="113" spans="1:27" ht="12.75" customHeight="1">
      <c r="A113" s="15">
        <v>35</v>
      </c>
      <c r="B113" s="369">
        <f t="shared" si="15"/>
        <v>108</v>
      </c>
      <c r="C113" s="427">
        <v>42763</v>
      </c>
      <c r="D113" s="426"/>
      <c r="E113" s="425"/>
      <c r="F113" s="428"/>
      <c r="G113" s="378"/>
      <c r="H113" s="378"/>
      <c r="I113" s="378"/>
      <c r="J113" s="378"/>
      <c r="K113" s="1220"/>
      <c r="L113" s="378"/>
      <c r="M113" s="378"/>
      <c r="N113" s="378"/>
      <c r="O113" s="378"/>
      <c r="P113" s="378"/>
      <c r="Q113" s="378"/>
      <c r="R113" s="378"/>
      <c r="S113" s="602">
        <v>610100</v>
      </c>
      <c r="T113" s="378" t="str">
        <f>+IFERROR(VLOOKUP(S113,STAT1!$C$4:$D$189,2,FALSE),"")</f>
        <v>Борлуулсан барааны өртөг</v>
      </c>
      <c r="U113" s="1225">
        <v>151019.94</v>
      </c>
      <c r="V113" s="1216"/>
      <c r="W113" s="326">
        <v>3004</v>
      </c>
      <c r="X113" s="328" t="str">
        <f>IFERROR(VLOOKUP(W113,DATA!$G$4:$H$400,2,FALSE),"")</f>
        <v xml:space="preserve">ИЭСОМ ХХК </v>
      </c>
      <c r="Y113" s="1205"/>
      <c r="Z113" s="1205"/>
      <c r="AA113" s="1205"/>
    </row>
    <row r="114" spans="1:27" ht="12.75" customHeight="1">
      <c r="A114" s="15">
        <v>35</v>
      </c>
      <c r="B114" s="369">
        <f t="shared" si="15"/>
        <v>109</v>
      </c>
      <c r="C114" s="427">
        <v>42763</v>
      </c>
      <c r="D114" s="426"/>
      <c r="E114" s="425" t="str">
        <f t="shared" ref="E114:E120" ca="1" si="33">+IFERROR(VLOOKUP(D114,TN_table,2,FALSE),"")</f>
        <v/>
      </c>
      <c r="F114" s="428" t="str">
        <f t="shared" ref="F114:F120" ca="1" si="34">+IFERROR(VLOOKUP(D114,TN_table,3,FALSE),"")</f>
        <v/>
      </c>
      <c r="G114" s="378"/>
      <c r="H114" s="378"/>
      <c r="I114" s="378"/>
      <c r="J114" s="378"/>
      <c r="K114" s="1220"/>
      <c r="L114" s="378"/>
      <c r="M114" s="378"/>
      <c r="N114" s="378" t="str">
        <f t="shared" ref="N114:N120" si="35">+IF(L114="","",L114*M114)</f>
        <v/>
      </c>
      <c r="O114" s="378" t="str">
        <f t="shared" ref="O114:O120" si="36">+IF(L114="","",N114*0.1)</f>
        <v/>
      </c>
      <c r="P114" s="378" t="str">
        <f t="shared" ref="P114:P120" si="37">+IF(L114="","",N114+O114)</f>
        <v/>
      </c>
      <c r="Q114" s="378" t="str">
        <f t="shared" ref="Q114:Q120" si="38">IF(L114="","",IFERROR((SUMIFS(TN_balC1_totol,TN_code,D114)+SUMIFS(RC_or_totol,RC_Code,D114,RC_date,"&lt;="&amp;C114)-SUMIFS(RC_zar_totol,RC_Code,D114,RC_date,"&lt;"&amp;C114)) /( SUMIFS(TN_balC1_unit,TN_code,D114)+SUMIFS(RC_or_unit,RC_Code,D114,RC_date,"&lt;="&amp;C114)-SUMIFS(RC_zar_unit,RC_Code,D114,RC_date,"&lt;"&amp;C114)),0 ))</f>
        <v/>
      </c>
      <c r="R114" s="378" t="str">
        <f t="shared" ref="R114:R120" si="39">+IF(L114="","",L114*Q114)</f>
        <v/>
      </c>
      <c r="S114" s="602">
        <v>310500</v>
      </c>
      <c r="T114" s="378" t="str">
        <f>+IFERROR(VLOOKUP(S114,STAT1!$C$4:$D$189,2,FALSE),"")</f>
        <v>НӨАТ өглөг</v>
      </c>
      <c r="U114" s="1225"/>
      <c r="V114" s="1216">
        <v>28499.999886599999</v>
      </c>
      <c r="W114" s="326">
        <v>3004</v>
      </c>
      <c r="X114" s="328" t="str">
        <f>IFERROR(VLOOKUP(W114,DATA!$G$4:$H$400,2,FALSE),"")</f>
        <v xml:space="preserve">ИЭСОМ ХХК </v>
      </c>
      <c r="Y114" s="1205"/>
      <c r="Z114" s="1205"/>
      <c r="AA114" s="1205"/>
    </row>
    <row r="115" spans="1:27" ht="12.75" customHeight="1">
      <c r="A115" s="15">
        <v>36</v>
      </c>
      <c r="B115" s="369">
        <f t="shared" si="15"/>
        <v>110</v>
      </c>
      <c r="C115" s="427">
        <v>42763</v>
      </c>
      <c r="D115" s="426"/>
      <c r="E115" s="425" t="str">
        <f t="shared" ca="1" si="33"/>
        <v/>
      </c>
      <c r="F115" s="428" t="str">
        <f t="shared" ca="1" si="34"/>
        <v/>
      </c>
      <c r="G115" s="378"/>
      <c r="H115" s="378"/>
      <c r="I115" s="378"/>
      <c r="J115" s="378"/>
      <c r="K115" s="1220"/>
      <c r="L115" s="378"/>
      <c r="M115" s="378"/>
      <c r="N115" s="378" t="str">
        <f t="shared" si="35"/>
        <v/>
      </c>
      <c r="O115" s="378" t="str">
        <f t="shared" si="36"/>
        <v/>
      </c>
      <c r="P115" s="378" t="str">
        <f t="shared" si="37"/>
        <v/>
      </c>
      <c r="Q115" s="378" t="str">
        <f t="shared" si="38"/>
        <v/>
      </c>
      <c r="R115" s="378" t="str">
        <f t="shared" si="39"/>
        <v/>
      </c>
      <c r="S115" s="609">
        <v>510000</v>
      </c>
      <c r="T115" s="378" t="str">
        <f>+IFERROR(VLOOKUP(S115,STAT1!$C$4:$D$189,2,FALSE),"")</f>
        <v>Үндсэн үйл ажиллагааны борлуулалт</v>
      </c>
      <c r="U115" s="1225"/>
      <c r="V115" s="1216">
        <v>285000</v>
      </c>
      <c r="W115" s="326">
        <v>3004</v>
      </c>
      <c r="X115" s="328" t="str">
        <f>IFERROR(VLOOKUP(W115,DATA!$G$4:$H$400,2,FALSE),"")</f>
        <v xml:space="preserve">ИЭСОМ ХХК </v>
      </c>
      <c r="Y115" s="1205"/>
      <c r="Z115" s="1205"/>
      <c r="AA115" s="1205"/>
    </row>
    <row r="116" spans="1:27" ht="12.75" customHeight="1">
      <c r="A116" s="15">
        <v>36</v>
      </c>
      <c r="B116" s="369">
        <f t="shared" si="15"/>
        <v>111</v>
      </c>
      <c r="C116" s="427">
        <v>42763</v>
      </c>
      <c r="D116" s="426"/>
      <c r="E116" s="425" t="str">
        <f t="shared" ca="1" si="33"/>
        <v/>
      </c>
      <c r="F116" s="428" t="str">
        <f t="shared" ca="1" si="34"/>
        <v/>
      </c>
      <c r="G116" s="378"/>
      <c r="H116" s="378"/>
      <c r="I116" s="378"/>
      <c r="J116" s="378"/>
      <c r="K116" s="1220"/>
      <c r="L116" s="378"/>
      <c r="M116" s="378"/>
      <c r="N116" s="378" t="str">
        <f t="shared" si="35"/>
        <v/>
      </c>
      <c r="O116" s="378" t="str">
        <f t="shared" si="36"/>
        <v/>
      </c>
      <c r="P116" s="378" t="str">
        <f t="shared" si="37"/>
        <v/>
      </c>
      <c r="Q116" s="378" t="str">
        <f t="shared" si="38"/>
        <v/>
      </c>
      <c r="R116" s="378" t="str">
        <f t="shared" si="39"/>
        <v/>
      </c>
      <c r="S116" s="609">
        <v>320100</v>
      </c>
      <c r="T116" s="378" t="str">
        <f>+IFERROR(VLOOKUP(S116,STAT1!$C$4:$D$189,2,FALSE),"")</f>
        <v>Урьдчилж орсон орлого MNT</v>
      </c>
      <c r="U116" s="1225">
        <v>313499.99875259999</v>
      </c>
      <c r="V116" s="1216"/>
      <c r="W116" s="326">
        <v>3004</v>
      </c>
      <c r="X116" s="328" t="str">
        <f>IFERROR(VLOOKUP(W116,DATA!$G$4:$H$400,2,FALSE),"")</f>
        <v xml:space="preserve">ИЭСОМ ХХК </v>
      </c>
      <c r="Y116" s="1205"/>
      <c r="Z116" s="1205"/>
      <c r="AA116" s="1205"/>
    </row>
    <row r="117" spans="1:27" ht="12.75" customHeight="1">
      <c r="A117" s="15">
        <v>36</v>
      </c>
      <c r="B117" s="369">
        <f t="shared" si="15"/>
        <v>112</v>
      </c>
      <c r="C117" s="427">
        <v>42766</v>
      </c>
      <c r="D117" s="426">
        <v>430001</v>
      </c>
      <c r="E117" s="425" t="str">
        <f t="shared" ca="1" si="33"/>
        <v>Будгийн буу</v>
      </c>
      <c r="F117" s="428" t="str">
        <f t="shared" ca="1" si="34"/>
        <v>ш</v>
      </c>
      <c r="G117" s="378">
        <v>1</v>
      </c>
      <c r="H117" s="378">
        <v>720000</v>
      </c>
      <c r="I117" s="378">
        <f>+IF(G117="","",G117*H117)</f>
        <v>720000</v>
      </c>
      <c r="J117" s="378">
        <f>+IF(G117="","",I117*0.1)</f>
        <v>72000</v>
      </c>
      <c r="K117" s="1220">
        <f>+IF(G117="","",I117+J117)</f>
        <v>792000</v>
      </c>
      <c r="L117" s="378"/>
      <c r="M117" s="378"/>
      <c r="N117" s="378" t="str">
        <f t="shared" si="35"/>
        <v/>
      </c>
      <c r="O117" s="378" t="str">
        <f t="shared" si="36"/>
        <v/>
      </c>
      <c r="P117" s="378" t="str">
        <f t="shared" si="37"/>
        <v/>
      </c>
      <c r="Q117" s="378" t="str">
        <f t="shared" si="38"/>
        <v/>
      </c>
      <c r="R117" s="378" t="str">
        <f t="shared" si="39"/>
        <v/>
      </c>
      <c r="S117" s="609">
        <v>160200</v>
      </c>
      <c r="T117" s="378" t="str">
        <f>+IFERROR(VLOOKUP(S117,STAT1!$C$4:$D$189,2,FALSE),"")</f>
        <v>Агуулахад байгаа материал, хангамж</v>
      </c>
      <c r="U117" s="1225">
        <v>720000</v>
      </c>
      <c r="V117" s="1225"/>
      <c r="W117" s="442">
        <v>3018</v>
      </c>
      <c r="X117" s="328" t="str">
        <f>IFERROR(VLOOKUP(W117,DATA!$G$4:$H$400,2,FALSE),"")</f>
        <v xml:space="preserve">ВЮРТ МОНГОЛИЯ ХХК </v>
      </c>
      <c r="Y117" s="1205"/>
      <c r="Z117" s="1205"/>
      <c r="AA117" s="1205"/>
    </row>
    <row r="118" spans="1:27" ht="12.75" customHeight="1">
      <c r="A118" s="15">
        <v>36</v>
      </c>
      <c r="B118" s="369">
        <f t="shared" si="15"/>
        <v>113</v>
      </c>
      <c r="C118" s="427">
        <v>42766</v>
      </c>
      <c r="D118" s="426"/>
      <c r="E118" s="425" t="str">
        <f t="shared" ca="1" si="33"/>
        <v/>
      </c>
      <c r="F118" s="428" t="str">
        <f t="shared" ca="1" si="34"/>
        <v/>
      </c>
      <c r="G118" s="378"/>
      <c r="H118" s="378"/>
      <c r="I118" s="378" t="str">
        <f>+IF(G118="","",G118*H118)</f>
        <v/>
      </c>
      <c r="J118" s="378" t="str">
        <f>+IF(G118="","",I118*0.1)</f>
        <v/>
      </c>
      <c r="K118" s="1220" t="str">
        <f>+IF(G118="","",I118+J118)</f>
        <v/>
      </c>
      <c r="L118" s="378"/>
      <c r="M118" s="378"/>
      <c r="N118" s="378" t="str">
        <f t="shared" si="35"/>
        <v/>
      </c>
      <c r="O118" s="378" t="str">
        <f t="shared" si="36"/>
        <v/>
      </c>
      <c r="P118" s="378" t="str">
        <f t="shared" si="37"/>
        <v/>
      </c>
      <c r="Q118" s="378" t="str">
        <f t="shared" si="38"/>
        <v/>
      </c>
      <c r="R118" s="378" t="str">
        <f t="shared" si="39"/>
        <v/>
      </c>
      <c r="S118" s="609">
        <v>120600</v>
      </c>
      <c r="T118" s="378" t="str">
        <f>+IFERROR(VLOOKUP(S118,STAT1!$C$4:$D$189,2,FALSE),"")</f>
        <v>НӨАТ авлага</v>
      </c>
      <c r="U118" s="1225">
        <v>72000</v>
      </c>
      <c r="V118" s="1225"/>
      <c r="W118" s="442">
        <v>3018</v>
      </c>
      <c r="X118" s="328" t="str">
        <f>IFERROR(VLOOKUP(W118,DATA!$G$4:$H$400,2,FALSE),"")</f>
        <v xml:space="preserve">ВЮРТ МОНГОЛИЯ ХХК </v>
      </c>
      <c r="Y118" s="1205"/>
      <c r="Z118" s="1205"/>
      <c r="AA118" s="1205"/>
    </row>
    <row r="119" spans="1:27" ht="12.75" customHeight="1">
      <c r="A119" s="15">
        <v>36</v>
      </c>
      <c r="B119" s="369">
        <f t="shared" si="15"/>
        <v>114</v>
      </c>
      <c r="C119" s="427">
        <v>42766</v>
      </c>
      <c r="D119" s="426"/>
      <c r="E119" s="425" t="str">
        <f t="shared" ca="1" si="33"/>
        <v/>
      </c>
      <c r="F119" s="428" t="str">
        <f t="shared" ca="1" si="34"/>
        <v/>
      </c>
      <c r="G119" s="378"/>
      <c r="H119" s="378"/>
      <c r="I119" s="378" t="str">
        <f>+IF(G119="","",G119*H119)</f>
        <v/>
      </c>
      <c r="J119" s="378" t="str">
        <f>+IF(G119="","",I119*0.1)</f>
        <v/>
      </c>
      <c r="K119" s="1220" t="str">
        <f>+IF(G119="","",I119+J119)</f>
        <v/>
      </c>
      <c r="L119" s="378"/>
      <c r="M119" s="378"/>
      <c r="N119" s="378" t="str">
        <f t="shared" si="35"/>
        <v/>
      </c>
      <c r="O119" s="378" t="str">
        <f t="shared" si="36"/>
        <v/>
      </c>
      <c r="P119" s="378" t="str">
        <f t="shared" si="37"/>
        <v/>
      </c>
      <c r="Q119" s="378" t="str">
        <f t="shared" si="38"/>
        <v/>
      </c>
      <c r="R119" s="378" t="str">
        <f t="shared" si="39"/>
        <v/>
      </c>
      <c r="S119" s="609">
        <v>120100</v>
      </c>
      <c r="T119" s="378" t="str">
        <f>+IFERROR(VLOOKUP(S119,STAT1!$C$4:$D$189,2,FALSE),"")</f>
        <v xml:space="preserve">Дансны авлага MNT </v>
      </c>
      <c r="U119" s="1225"/>
      <c r="V119" s="1225">
        <v>792000</v>
      </c>
      <c r="W119" s="442">
        <v>3018</v>
      </c>
      <c r="X119" s="328" t="str">
        <f>IFERROR(VLOOKUP(W119,DATA!$G$4:$H$400,2,FALSE),"")</f>
        <v xml:space="preserve">ВЮРТ МОНГОЛИЯ ХХК </v>
      </c>
      <c r="Y119" s="1205"/>
      <c r="Z119" s="1205"/>
      <c r="AA119" s="1205"/>
    </row>
    <row r="120" spans="1:27" ht="12.75" customHeight="1">
      <c r="A120" s="15">
        <v>37</v>
      </c>
      <c r="B120" s="369">
        <f t="shared" si="15"/>
        <v>115</v>
      </c>
      <c r="C120" s="427">
        <v>42766</v>
      </c>
      <c r="D120" s="426">
        <v>211503</v>
      </c>
      <c r="E120" s="425" t="str">
        <f t="shared" ca="1" si="33"/>
        <v>Н-Евровагонка /зузаан-1.2см/</v>
      </c>
      <c r="F120" s="428" t="str">
        <f t="shared" ca="1" si="34"/>
        <v>м2</v>
      </c>
      <c r="G120" s="378"/>
      <c r="H120" s="378"/>
      <c r="I120" s="378" t="str">
        <f>+IF(G120="","",G120*H120)</f>
        <v/>
      </c>
      <c r="J120" s="378" t="str">
        <f>+IF(G120="","",I120*0.1)</f>
        <v/>
      </c>
      <c r="K120" s="1220" t="str">
        <f>+IF(G120="","",I120+J120)</f>
        <v/>
      </c>
      <c r="L120" s="378">
        <v>203.27</v>
      </c>
      <c r="M120" s="378">
        <v>21600.42844</v>
      </c>
      <c r="N120" s="378">
        <f t="shared" si="35"/>
        <v>4390719.0889988001</v>
      </c>
      <c r="O120" s="378">
        <f t="shared" si="36"/>
        <v>439071.90889988001</v>
      </c>
      <c r="P120" s="378">
        <f t="shared" si="37"/>
        <v>4829790.9978986802</v>
      </c>
      <c r="Q120" s="378">
        <f t="shared" ca="1" si="38"/>
        <v>12876.722738825943</v>
      </c>
      <c r="R120" s="378">
        <f t="shared" ca="1" si="39"/>
        <v>2617451.4311211496</v>
      </c>
      <c r="S120" s="602">
        <v>150101</v>
      </c>
      <c r="T120" s="378" t="str">
        <f>+IFERROR(VLOOKUP(S120,STAT1!$C$4:$D$189,2,FALSE),"")</f>
        <v>Бараа бэлэн бүтээгдэхүүн БОЛОВСРУУЛАХ ЦЕХ /нарс/</v>
      </c>
      <c r="U120" s="1225"/>
      <c r="V120" s="1216">
        <v>2617451.4311211496</v>
      </c>
      <c r="W120" s="326">
        <v>3001</v>
      </c>
      <c r="X120" s="328" t="str">
        <f>IFERROR(VLOOKUP(W120,DATA!$G$4:$H$400,2,FALSE),"")</f>
        <v>ХУРД ГРУПП ХХК</v>
      </c>
      <c r="Y120" s="1205"/>
      <c r="Z120" s="1205"/>
      <c r="AA120" s="1205"/>
    </row>
    <row r="121" spans="1:27" ht="12.75" customHeight="1">
      <c r="A121" s="15">
        <v>37</v>
      </c>
      <c r="B121" s="369">
        <f t="shared" si="15"/>
        <v>116</v>
      </c>
      <c r="C121" s="427">
        <v>42766</v>
      </c>
      <c r="D121" s="426"/>
      <c r="E121" s="425"/>
      <c r="F121" s="428"/>
      <c r="G121" s="378"/>
      <c r="H121" s="378"/>
      <c r="I121" s="378"/>
      <c r="J121" s="378"/>
      <c r="K121" s="1220"/>
      <c r="L121" s="378"/>
      <c r="M121" s="378"/>
      <c r="N121" s="378"/>
      <c r="O121" s="378"/>
      <c r="P121" s="378"/>
      <c r="Q121" s="378"/>
      <c r="R121" s="378"/>
      <c r="S121" s="602">
        <v>610100</v>
      </c>
      <c r="T121" s="378" t="str">
        <f>+IFERROR(VLOOKUP(S121,STAT1!$C$4:$D$189,2,FALSE),"")</f>
        <v>Борлуулсан барааны өртөг</v>
      </c>
      <c r="U121" s="1216">
        <v>2617451.4311211496</v>
      </c>
      <c r="V121" s="1216"/>
      <c r="W121" s="326">
        <v>3001</v>
      </c>
      <c r="X121" s="328" t="str">
        <f>IFERROR(VLOOKUP(W121,DATA!$G$4:$H$400,2,FALSE),"")</f>
        <v>ХУРД ГРУПП ХХК</v>
      </c>
      <c r="Y121" s="1205"/>
      <c r="Z121" s="1205"/>
      <c r="AA121" s="1205"/>
    </row>
    <row r="122" spans="1:27" ht="12.75" customHeight="1">
      <c r="A122" s="15">
        <v>37</v>
      </c>
      <c r="B122" s="369">
        <f t="shared" si="15"/>
        <v>117</v>
      </c>
      <c r="C122" s="427">
        <v>42766</v>
      </c>
      <c r="D122" s="426"/>
      <c r="E122" s="425" t="str">
        <f ca="1">+IFERROR(VLOOKUP(D122,TN_table,2,FALSE),"")</f>
        <v/>
      </c>
      <c r="F122" s="428" t="str">
        <f ca="1">+IFERROR(VLOOKUP(D122,TN_table,3,FALSE),"")</f>
        <v/>
      </c>
      <c r="G122" s="378"/>
      <c r="H122" s="378"/>
      <c r="I122" s="378" t="str">
        <f>+IF(G122="","",G122*H122)</f>
        <v/>
      </c>
      <c r="J122" s="378" t="str">
        <f>+IF(G122="","",I122*0.1)</f>
        <v/>
      </c>
      <c r="K122" s="1220" t="str">
        <f>+IF(G122="","",I122+J122)</f>
        <v/>
      </c>
      <c r="L122" s="378"/>
      <c r="M122" s="378"/>
      <c r="N122" s="378" t="str">
        <f>+IF(L122="","",L122*M122)</f>
        <v/>
      </c>
      <c r="O122" s="378" t="str">
        <f>+IF(L122="","",N122*0.1)</f>
        <v/>
      </c>
      <c r="P122" s="378" t="str">
        <f>+IF(L122="","",N122+O122)</f>
        <v/>
      </c>
      <c r="Q122" s="378" t="str">
        <f>IF(L122="","",IFERROR((SUMIFS(TN_balC1_totol,TN_code,D122)+SUMIFS(RC_or_totol,RC_Code,D122,RC_date,"&lt;="&amp;C122)-SUMIFS(RC_zar_totol,RC_Code,D122,RC_date,"&lt;"&amp;C122)) /( SUMIFS(TN_balC1_unit,TN_code,D122)+SUMIFS(RC_or_unit,RC_Code,D122,RC_date,"&lt;="&amp;C122)-SUMIFS(RC_zar_unit,RC_Code,D122,RC_date,"&lt;"&amp;C122)),0 ))</f>
        <v/>
      </c>
      <c r="R122" s="378" t="str">
        <f>+IF(L122="","",L122*Q122)</f>
        <v/>
      </c>
      <c r="S122" s="602">
        <v>310500</v>
      </c>
      <c r="T122" s="378" t="str">
        <f>+IFERROR(VLOOKUP(S122,STAT1!$C$4:$D$189,2,FALSE),"")</f>
        <v>НӨАТ өглөг</v>
      </c>
      <c r="U122" s="1225"/>
      <c r="V122" s="1216">
        <v>439071.90889988001</v>
      </c>
      <c r="W122" s="326">
        <v>3001</v>
      </c>
      <c r="X122" s="328" t="str">
        <f>IFERROR(VLOOKUP(W122,DATA!$G$4:$H$400,2,FALSE),"")</f>
        <v>ХУРД ГРУПП ХХК</v>
      </c>
      <c r="Y122" s="1205"/>
      <c r="Z122" s="1205"/>
      <c r="AA122" s="1205"/>
    </row>
    <row r="123" spans="1:27" ht="12.75" customHeight="1">
      <c r="A123" s="15">
        <v>38</v>
      </c>
      <c r="B123" s="369">
        <f t="shared" si="15"/>
        <v>118</v>
      </c>
      <c r="C123" s="427">
        <v>42766</v>
      </c>
      <c r="D123" s="426"/>
      <c r="E123" s="425" t="str">
        <f ca="1">+IFERROR(VLOOKUP(D123,TN_table,2,FALSE),"")</f>
        <v/>
      </c>
      <c r="F123" s="428" t="str">
        <f ca="1">+IFERROR(VLOOKUP(D123,TN_table,3,FALSE),"")</f>
        <v/>
      </c>
      <c r="G123" s="378"/>
      <c r="H123" s="378"/>
      <c r="I123" s="378" t="str">
        <f>+IF(G123="","",G123*H123)</f>
        <v/>
      </c>
      <c r="J123" s="378" t="str">
        <f>+IF(G123="","",I123*0.1)</f>
        <v/>
      </c>
      <c r="K123" s="1220" t="str">
        <f>+IF(G123="","",I123+J123)</f>
        <v/>
      </c>
      <c r="L123" s="378"/>
      <c r="M123" s="378"/>
      <c r="N123" s="378" t="str">
        <f>+IF(L123="","",L123*M123)</f>
        <v/>
      </c>
      <c r="O123" s="378" t="str">
        <f>+IF(L123="","",N123*0.1)</f>
        <v/>
      </c>
      <c r="P123" s="378" t="str">
        <f>+IF(L123="","",N123+O123)</f>
        <v/>
      </c>
      <c r="Q123" s="378" t="str">
        <f>IF(L123="","",IFERROR((SUMIFS(TN_balC1_totol,TN_code,D123)+SUMIFS(RC_or_totol,RC_Code,D123,RC_date,"&lt;="&amp;C123)-SUMIFS(RC_zar_totol,RC_Code,D123,RC_date,"&lt;"&amp;C123)) /( SUMIFS(TN_balC1_unit,TN_code,D123)+SUMIFS(RC_or_unit,RC_Code,D123,RC_date,"&lt;="&amp;C123)-SUMIFS(RC_zar_unit,RC_Code,D123,RC_date,"&lt;"&amp;C123)),0 ))</f>
        <v/>
      </c>
      <c r="R123" s="378" t="str">
        <f>+IF(L123="","",L123*Q123)</f>
        <v/>
      </c>
      <c r="S123" s="609">
        <v>510000</v>
      </c>
      <c r="T123" s="378" t="str">
        <f>+IFERROR(VLOOKUP(S123,STAT1!$C$4:$D$189,2,FALSE),"")</f>
        <v>Үндсэн үйл ажиллагааны борлуулалт</v>
      </c>
      <c r="U123" s="1225"/>
      <c r="V123" s="1216">
        <v>4390719.0889988001</v>
      </c>
      <c r="W123" s="326">
        <v>3001</v>
      </c>
      <c r="X123" s="328" t="str">
        <f>IFERROR(VLOOKUP(W123,DATA!$G$4:$H$400,2,FALSE),"")</f>
        <v>ХУРД ГРУПП ХХК</v>
      </c>
      <c r="Y123" s="1205"/>
      <c r="Z123" s="1205"/>
      <c r="AA123" s="1205"/>
    </row>
    <row r="124" spans="1:27" ht="12.75" customHeight="1">
      <c r="A124" s="15">
        <v>38</v>
      </c>
      <c r="B124" s="369">
        <f t="shared" si="15"/>
        <v>119</v>
      </c>
      <c r="C124" s="427">
        <v>42766</v>
      </c>
      <c r="D124" s="426"/>
      <c r="E124" s="425" t="str">
        <f ca="1">+IFERROR(VLOOKUP(D124,TN_table,2,FALSE),"")</f>
        <v/>
      </c>
      <c r="F124" s="428" t="str">
        <f ca="1">+IFERROR(VLOOKUP(D124,TN_table,3,FALSE),"")</f>
        <v/>
      </c>
      <c r="G124" s="378"/>
      <c r="H124" s="378"/>
      <c r="I124" s="378" t="str">
        <f>+IF(G124="","",G124*H124)</f>
        <v/>
      </c>
      <c r="J124" s="378" t="str">
        <f>+IF(G124="","",I124*0.1)</f>
        <v/>
      </c>
      <c r="K124" s="1220" t="str">
        <f>+IF(G124="","",I124+J124)</f>
        <v/>
      </c>
      <c r="L124" s="378"/>
      <c r="M124" s="378"/>
      <c r="N124" s="378" t="str">
        <f>+IF(L124="","",L124*M124)</f>
        <v/>
      </c>
      <c r="O124" s="378" t="str">
        <f>+IF(L124="","",N124*0.1)</f>
        <v/>
      </c>
      <c r="P124" s="378" t="str">
        <f>+IF(L124="","",N124+O124)</f>
        <v/>
      </c>
      <c r="Q124" s="378" t="str">
        <f>IF(L124="","",IFERROR((SUMIFS(TN_balC1_totol,TN_code,D124)+SUMIFS(RC_or_totol,RC_Code,D124,RC_date,"&lt;="&amp;C124)-SUMIFS(RC_zar_totol,RC_Code,D124,RC_date,"&lt;"&amp;C124)) /( SUMIFS(TN_balC1_unit,TN_code,D124)+SUMIFS(RC_or_unit,RC_Code,D124,RC_date,"&lt;="&amp;C124)-SUMIFS(RC_zar_unit,RC_Code,D124,RC_date,"&lt;"&amp;C124)),0 ))</f>
        <v/>
      </c>
      <c r="R124" s="378" t="str">
        <f>+IF(L124="","",L124*Q124)</f>
        <v/>
      </c>
      <c r="S124" s="609">
        <v>320100</v>
      </c>
      <c r="T124" s="378" t="str">
        <f>+IFERROR(VLOOKUP(S124,STAT1!$C$4:$D$189,2,FALSE),"")</f>
        <v>Урьдчилж орсон орлого MNT</v>
      </c>
      <c r="U124" s="1225">
        <v>4829790.9978986802</v>
      </c>
      <c r="V124" s="1216"/>
      <c r="W124" s="326">
        <v>3001</v>
      </c>
      <c r="X124" s="328" t="str">
        <f>IFERROR(VLOOKUP(W124,DATA!$G$4:$H$400,2,FALSE),"")</f>
        <v>ХУРД ГРУПП ХХК</v>
      </c>
      <c r="Y124" s="1205"/>
      <c r="Z124" s="1205"/>
      <c r="AA124" s="1205"/>
    </row>
    <row r="125" spans="1:27" ht="12.75" customHeight="1">
      <c r="A125" s="15">
        <v>38</v>
      </c>
      <c r="B125" s="369">
        <f t="shared" si="15"/>
        <v>120</v>
      </c>
      <c r="C125" s="427">
        <v>42766</v>
      </c>
      <c r="D125" s="426">
        <v>211503</v>
      </c>
      <c r="E125" s="425" t="str">
        <f ca="1">+IFERROR(VLOOKUP(D125,TN_table,2,FALSE),"")</f>
        <v>Н-Евровагонка /зузаан-1.2см/</v>
      </c>
      <c r="F125" s="428" t="str">
        <f ca="1">+IFERROR(VLOOKUP(D125,TN_table,3,FALSE),"")</f>
        <v>м2</v>
      </c>
      <c r="G125" s="378"/>
      <c r="H125" s="378"/>
      <c r="I125" s="378"/>
      <c r="J125" s="378"/>
      <c r="K125" s="1220"/>
      <c r="L125" s="378">
        <v>17.478999999999999</v>
      </c>
      <c r="M125" s="378">
        <v>21601.03789</v>
      </c>
      <c r="N125" s="378">
        <f>+IF(L125="","",L125*M125)</f>
        <v>377564.54127930995</v>
      </c>
      <c r="O125" s="378">
        <f>+IF(L125="","",N125*0.1)</f>
        <v>37756.454127931</v>
      </c>
      <c r="P125" s="378">
        <f>+IF(L125="","",N125+O125)</f>
        <v>415320.99540724093</v>
      </c>
      <c r="Q125" s="378">
        <f ca="1">IF(L125="","",IFERROR((SUMIFS(TN_balC1_totol,TN_code,D125)+SUMIFS(RC_or_totol,RC_Code,D125,RC_date,"&lt;="&amp;C125)-SUMIFS(RC_zar_totol,RC_Code,D125,RC_date,"&lt;"&amp;C125)) /( SUMIFS(TN_balC1_unit,TN_code,D125)+SUMIFS(RC_or_unit,RC_Code,D125,RC_date,"&lt;="&amp;C125)-SUMIFS(RC_zar_unit,RC_Code,D125,RC_date,"&lt;"&amp;C125)),0 ))</f>
        <v>12876.722738825943</v>
      </c>
      <c r="R125" s="378">
        <f ca="1">+IF(L125="","",L125*Q125)</f>
        <v>225072.23675193865</v>
      </c>
      <c r="S125" s="609">
        <v>150101</v>
      </c>
      <c r="T125" s="378" t="str">
        <f>+IFERROR(VLOOKUP(S125,STAT1!$C$4:$D$189,2,FALSE),"")</f>
        <v>Бараа бэлэн бүтээгдэхүүн БОЛОВСРУУЛАХ ЦЕХ /нарс/</v>
      </c>
      <c r="U125" s="1225"/>
      <c r="V125" s="1216">
        <v>225072.23675193865</v>
      </c>
      <c r="W125" s="326">
        <v>4002</v>
      </c>
      <c r="X125" s="328" t="str">
        <f>IFERROR(VLOOKUP(W125,DATA!$G$4:$H$400,2,FALSE),"")</f>
        <v xml:space="preserve">Хувь хүн </v>
      </c>
      <c r="Y125" s="1205"/>
      <c r="Z125" s="1205"/>
      <c r="AA125" s="1205"/>
    </row>
    <row r="126" spans="1:27" ht="12.75" customHeight="1">
      <c r="A126" s="15">
        <v>38</v>
      </c>
      <c r="B126" s="369">
        <f t="shared" si="15"/>
        <v>121</v>
      </c>
      <c r="C126" s="427">
        <v>42766</v>
      </c>
      <c r="D126" s="426"/>
      <c r="E126" s="425"/>
      <c r="F126" s="428"/>
      <c r="G126" s="378"/>
      <c r="H126" s="378"/>
      <c r="I126" s="378"/>
      <c r="J126" s="378"/>
      <c r="K126" s="1220"/>
      <c r="L126" s="378"/>
      <c r="M126" s="378"/>
      <c r="N126" s="378"/>
      <c r="O126" s="378"/>
      <c r="P126" s="378"/>
      <c r="Q126" s="378"/>
      <c r="R126" s="378"/>
      <c r="S126" s="609">
        <v>610100</v>
      </c>
      <c r="T126" s="378" t="str">
        <f>+IFERROR(VLOOKUP(S126,STAT1!$C$4:$D$189,2,FALSE),"")</f>
        <v>Борлуулсан барааны өртөг</v>
      </c>
      <c r="U126" s="1216">
        <v>225072.23675193865</v>
      </c>
      <c r="V126" s="1216"/>
      <c r="W126" s="326">
        <v>4002</v>
      </c>
      <c r="X126" s="328" t="str">
        <f>IFERROR(VLOOKUP(W126,DATA!$G$4:$H$400,2,FALSE),"")</f>
        <v xml:space="preserve">Хувь хүн </v>
      </c>
      <c r="Y126" s="1205"/>
      <c r="Z126" s="1205"/>
      <c r="AA126" s="1205"/>
    </row>
    <row r="127" spans="1:27" ht="12.75" customHeight="1">
      <c r="A127" s="15">
        <v>38</v>
      </c>
      <c r="B127" s="369">
        <f t="shared" si="15"/>
        <v>122</v>
      </c>
      <c r="C127" s="427">
        <v>42766</v>
      </c>
      <c r="D127" s="426"/>
      <c r="E127" s="425" t="str">
        <f ca="1">+IFERROR(VLOOKUP(D127,TN_table,2,FALSE),"")</f>
        <v/>
      </c>
      <c r="F127" s="428" t="str">
        <f ca="1">+IFERROR(VLOOKUP(D127,TN_table,3,FALSE),"")</f>
        <v/>
      </c>
      <c r="G127" s="378"/>
      <c r="H127" s="378"/>
      <c r="I127" s="378"/>
      <c r="J127" s="378"/>
      <c r="K127" s="1220"/>
      <c r="L127" s="378"/>
      <c r="M127" s="378"/>
      <c r="N127" s="378" t="str">
        <f>+IF(L127="","",L127*M127)</f>
        <v/>
      </c>
      <c r="O127" s="378" t="str">
        <f>+IF(L127="","",N127*0.1)</f>
        <v/>
      </c>
      <c r="P127" s="378" t="str">
        <f>+IF(L127="","",N127+O127)</f>
        <v/>
      </c>
      <c r="Q127" s="378" t="str">
        <f>IF(L127="","",IFERROR((SUMIFS(TN_balC1_totol,TN_code,D127)+SUMIFS(RC_or_totol,RC_Code,D127,RC_date,"&lt;="&amp;C127)-SUMIFS(RC_zar_totol,RC_Code,D127,RC_date,"&lt;"&amp;C127)) /( SUMIFS(TN_balC1_unit,TN_code,D127)+SUMIFS(RC_or_unit,RC_Code,D127,RC_date,"&lt;="&amp;C127)-SUMIFS(RC_zar_unit,RC_Code,D127,RC_date,"&lt;"&amp;C127)),0 ))</f>
        <v/>
      </c>
      <c r="R127" s="378" t="str">
        <f>+IF(L127="","",L127*Q127)</f>
        <v/>
      </c>
      <c r="S127" s="609">
        <v>310500</v>
      </c>
      <c r="T127" s="378" t="str">
        <f>+IFERROR(VLOOKUP(S127,STAT1!$C$4:$D$189,2,FALSE),"")</f>
        <v>НӨАТ өглөг</v>
      </c>
      <c r="U127" s="1225"/>
      <c r="V127" s="1216">
        <v>37756.454127931</v>
      </c>
      <c r="W127" s="326">
        <v>4002</v>
      </c>
      <c r="X127" s="328" t="str">
        <f>IFERROR(VLOOKUP(W127,DATA!$G$4:$H$400,2,FALSE),"")</f>
        <v xml:space="preserve">Хувь хүн </v>
      </c>
      <c r="Y127" s="1205"/>
      <c r="Z127" s="1205"/>
      <c r="AA127" s="1205"/>
    </row>
    <row r="128" spans="1:27" ht="12.75" customHeight="1">
      <c r="A128" s="15">
        <v>39</v>
      </c>
      <c r="B128" s="369">
        <f t="shared" si="15"/>
        <v>123</v>
      </c>
      <c r="C128" s="427">
        <v>42766</v>
      </c>
      <c r="D128" s="426"/>
      <c r="E128" s="425" t="str">
        <f ca="1">+IFERROR(VLOOKUP(D128,TN_table,2,FALSE),"")</f>
        <v/>
      </c>
      <c r="F128" s="428" t="str">
        <f ca="1">+IFERROR(VLOOKUP(D128,TN_table,3,FALSE),"")</f>
        <v/>
      </c>
      <c r="G128" s="378"/>
      <c r="H128" s="378"/>
      <c r="I128" s="378"/>
      <c r="J128" s="378"/>
      <c r="K128" s="1220"/>
      <c r="L128" s="378"/>
      <c r="M128" s="378"/>
      <c r="N128" s="378" t="str">
        <f>+IF(L128="","",L128*M128)</f>
        <v/>
      </c>
      <c r="O128" s="378" t="str">
        <f>+IF(L128="","",N128*0.1)</f>
        <v/>
      </c>
      <c r="P128" s="378" t="str">
        <f>+IF(L128="","",N128+O128)</f>
        <v/>
      </c>
      <c r="Q128" s="378" t="str">
        <f>IF(L128="","",IFERROR((SUMIFS(TN_balC1_totol,TN_code,D128)+SUMIFS(RC_or_totol,RC_Code,D128,RC_date,"&lt;="&amp;C128)-SUMIFS(RC_zar_totol,RC_Code,D128,RC_date,"&lt;"&amp;C128)) /( SUMIFS(TN_balC1_unit,TN_code,D128)+SUMIFS(RC_or_unit,RC_Code,D128,RC_date,"&lt;="&amp;C128)-SUMIFS(RC_zar_unit,RC_Code,D128,RC_date,"&lt;"&amp;C128)),0 ))</f>
        <v/>
      </c>
      <c r="R128" s="378" t="str">
        <f>+IF(L128="","",L128*Q128)</f>
        <v/>
      </c>
      <c r="S128" s="609">
        <v>510000</v>
      </c>
      <c r="T128" s="378" t="str">
        <f>+IFERROR(VLOOKUP(S128,STAT1!$C$4:$D$189,2,FALSE),"")</f>
        <v>Үндсэн үйл ажиллагааны борлуулалт</v>
      </c>
      <c r="U128" s="1225"/>
      <c r="V128" s="1216">
        <v>377564.54127930995</v>
      </c>
      <c r="W128" s="326">
        <v>4002</v>
      </c>
      <c r="X128" s="328" t="str">
        <f>IFERROR(VLOOKUP(W128,DATA!$G$4:$H$400,2,FALSE),"")</f>
        <v xml:space="preserve">Хувь хүн </v>
      </c>
      <c r="Y128" s="1205"/>
      <c r="Z128" s="1205"/>
      <c r="AA128" s="1205"/>
    </row>
    <row r="129" spans="1:27" ht="12.75" customHeight="1">
      <c r="A129" s="15">
        <v>39</v>
      </c>
      <c r="B129" s="369">
        <f t="shared" si="15"/>
        <v>124</v>
      </c>
      <c r="C129" s="427">
        <v>42766</v>
      </c>
      <c r="D129" s="426"/>
      <c r="E129" s="425" t="str">
        <f ca="1">+IFERROR(VLOOKUP(D129,TN_table,2,FALSE),"")</f>
        <v/>
      </c>
      <c r="F129" s="428" t="str">
        <f ca="1">+IFERROR(VLOOKUP(D129,TN_table,3,FALSE),"")</f>
        <v/>
      </c>
      <c r="G129" s="378"/>
      <c r="H129" s="378"/>
      <c r="I129" s="378"/>
      <c r="J129" s="378"/>
      <c r="K129" s="1220"/>
      <c r="L129" s="378"/>
      <c r="M129" s="378"/>
      <c r="N129" s="378" t="str">
        <f>+IF(L129="","",L129*M129)</f>
        <v/>
      </c>
      <c r="O129" s="378" t="str">
        <f>+IF(L129="","",N129*0.1)</f>
        <v/>
      </c>
      <c r="P129" s="378" t="str">
        <f>+IF(L129="","",N129+O129)</f>
        <v/>
      </c>
      <c r="Q129" s="378" t="str">
        <f>IF(L129="","",IFERROR((SUMIFS(TN_balC1_totol,TN_code,D129)+SUMIFS(RC_or_totol,RC_Code,D129,RC_date,"&lt;="&amp;C129)-SUMIFS(RC_zar_totol,RC_Code,D129,RC_date,"&lt;"&amp;C129)) /( SUMIFS(TN_balC1_unit,TN_code,D129)+SUMIFS(RC_or_unit,RC_Code,D129,RC_date,"&lt;="&amp;C129)-SUMIFS(RC_zar_unit,RC_Code,D129,RC_date,"&lt;"&amp;C129)),0 ))</f>
        <v/>
      </c>
      <c r="R129" s="378" t="str">
        <f>+IF(L129="","",L129*Q129)</f>
        <v/>
      </c>
      <c r="S129" s="609">
        <v>320100</v>
      </c>
      <c r="T129" s="378" t="str">
        <f>+IFERROR(VLOOKUP(S129,STAT1!$C$4:$D$189,2,FALSE),"")</f>
        <v>Урьдчилж орсон орлого MNT</v>
      </c>
      <c r="U129" s="1225">
        <v>415320.99540724093</v>
      </c>
      <c r="V129" s="1216"/>
      <c r="W129" s="326">
        <v>4002</v>
      </c>
      <c r="X129" s="328" t="str">
        <f>IFERROR(VLOOKUP(W129,DATA!$G$4:$H$400,2,FALSE),"")</f>
        <v xml:space="preserve">Хувь хүн </v>
      </c>
      <c r="Y129" s="1205"/>
      <c r="Z129" s="1205"/>
      <c r="AA129" s="1205"/>
    </row>
    <row r="130" spans="1:27" ht="12.75" customHeight="1">
      <c r="A130" s="15">
        <v>39</v>
      </c>
      <c r="B130" s="369">
        <f t="shared" si="15"/>
        <v>125</v>
      </c>
      <c r="C130" s="427">
        <v>42769</v>
      </c>
      <c r="D130" s="426">
        <v>210003</v>
      </c>
      <c r="E130" s="425" t="str">
        <f ca="1">+IFERROR(VLOOKUP(D130,TN_table,2,FALSE),"")</f>
        <v>Н-Наамал дүнз</v>
      </c>
      <c r="F130" s="428" t="str">
        <f ca="1">+IFERROR(VLOOKUP(D130,TN_table,3,FALSE),"")</f>
        <v>м2</v>
      </c>
      <c r="G130" s="378"/>
      <c r="H130" s="378"/>
      <c r="I130" s="378"/>
      <c r="J130" s="378"/>
      <c r="K130" s="1220"/>
      <c r="L130" s="378">
        <v>1</v>
      </c>
      <c r="M130" s="378">
        <v>259200</v>
      </c>
      <c r="N130" s="378">
        <f>+IF(L130="","",L130*M130)</f>
        <v>259200</v>
      </c>
      <c r="O130" s="378">
        <f>+IF(L130="","",N130*0.1)</f>
        <v>25920</v>
      </c>
      <c r="P130" s="378">
        <f>+IF(L130="","",N130+O130)</f>
        <v>285120</v>
      </c>
      <c r="Q130" s="378">
        <f ca="1">IF(L130="","",IFERROR((SUMIFS(TN_balC1_totol,TN_code,D130)+SUMIFS(RC_or_totol,RC_Code,D130,RC_date,"&lt;="&amp;C130)-SUMIFS(RC_zar_totol,RC_Code,D130,RC_date,"&lt;"&amp;C130)) /( SUMIFS(TN_balC1_unit,TN_code,D130)+SUMIFS(RC_or_unit,RC_Code,D130,RC_date,"&lt;="&amp;C130)-SUMIFS(RC_zar_unit,RC_Code,D130,RC_date,"&lt;"&amp;C130)),0 ))</f>
        <v>191123.5667321017</v>
      </c>
      <c r="R130" s="378">
        <f ca="1">+IF(L130="","",L130*Q130)</f>
        <v>191123.5667321017</v>
      </c>
      <c r="S130" s="609">
        <v>150101</v>
      </c>
      <c r="T130" s="378" t="str">
        <f>+IFERROR(VLOOKUP(S130,STAT1!$C$4:$D$189,2,FALSE),"")</f>
        <v>Бараа бэлэн бүтээгдэхүүн БОЛОВСРУУЛАХ ЦЕХ /нарс/</v>
      </c>
      <c r="U130" s="1225"/>
      <c r="V130" s="1216">
        <v>191123.5667321017</v>
      </c>
      <c r="W130" s="326">
        <v>3006</v>
      </c>
      <c r="X130" s="328" t="str">
        <f>IFERROR(VLOOKUP(W130,DATA!$G$4:$H$400,2,FALSE),"")</f>
        <v xml:space="preserve">ПАЙОНЕРИНГ ИНТЕРНЭШНЛ ХХК </v>
      </c>
      <c r="Y130" s="1205"/>
      <c r="Z130" s="1205"/>
      <c r="AA130" s="1205"/>
    </row>
    <row r="131" spans="1:27" ht="12.75" customHeight="1">
      <c r="A131" s="15">
        <v>39</v>
      </c>
      <c r="B131" s="369">
        <f t="shared" si="15"/>
        <v>126</v>
      </c>
      <c r="C131" s="427">
        <v>42769</v>
      </c>
      <c r="D131" s="426"/>
      <c r="E131" s="425"/>
      <c r="F131" s="428"/>
      <c r="G131" s="378"/>
      <c r="H131" s="378"/>
      <c r="I131" s="378"/>
      <c r="J131" s="378"/>
      <c r="K131" s="1220"/>
      <c r="L131" s="378"/>
      <c r="M131" s="378"/>
      <c r="N131" s="378"/>
      <c r="O131" s="378"/>
      <c r="P131" s="378"/>
      <c r="Q131" s="378"/>
      <c r="R131" s="378"/>
      <c r="S131" s="609">
        <v>610100</v>
      </c>
      <c r="T131" s="378" t="str">
        <f>+IFERROR(VLOOKUP(S131,STAT1!$C$4:$D$189,2,FALSE),"")</f>
        <v>Борлуулсан барааны өртөг</v>
      </c>
      <c r="U131" s="1216">
        <v>191123.5667321017</v>
      </c>
      <c r="V131" s="1216"/>
      <c r="W131" s="326">
        <v>3006</v>
      </c>
      <c r="X131" s="328" t="str">
        <f>IFERROR(VLOOKUP(W131,DATA!$G$4:$H$400,2,FALSE),"")</f>
        <v xml:space="preserve">ПАЙОНЕРИНГ ИНТЕРНЭШНЛ ХХК </v>
      </c>
      <c r="Y131" s="1205"/>
      <c r="Z131" s="1205"/>
      <c r="AA131" s="1205"/>
    </row>
    <row r="132" spans="1:27" ht="12.75" customHeight="1">
      <c r="A132" s="15">
        <v>39</v>
      </c>
      <c r="B132" s="369">
        <f t="shared" si="15"/>
        <v>127</v>
      </c>
      <c r="C132" s="427">
        <v>42769</v>
      </c>
      <c r="D132" s="426"/>
      <c r="E132" s="425" t="str">
        <f ca="1">+IFERROR(VLOOKUP(D132,TN_table,2,FALSE),"")</f>
        <v/>
      </c>
      <c r="F132" s="428" t="str">
        <f ca="1">+IFERROR(VLOOKUP(D132,TN_table,3,FALSE),"")</f>
        <v/>
      </c>
      <c r="G132" s="378"/>
      <c r="H132" s="378"/>
      <c r="I132" s="378"/>
      <c r="J132" s="378"/>
      <c r="K132" s="1220"/>
      <c r="L132" s="378"/>
      <c r="M132" s="378"/>
      <c r="N132" s="378" t="str">
        <f>+IF(L132="","",L132*M132)</f>
        <v/>
      </c>
      <c r="O132" s="378" t="str">
        <f>+IF(L132="","",N132*0.1)</f>
        <v/>
      </c>
      <c r="P132" s="378" t="str">
        <f>+IF(L132="","",N132+O132)</f>
        <v/>
      </c>
      <c r="Q132" s="378" t="str">
        <f>IF(L132="","",IFERROR((SUMIFS(TN_balC1_totol,TN_code,D132)+SUMIFS(RC_or_totol,RC_Code,D132,RC_date,"&lt;="&amp;C132)-SUMIFS(RC_zar_totol,RC_Code,D132,RC_date,"&lt;"&amp;C132)) /( SUMIFS(TN_balC1_unit,TN_code,D132)+SUMIFS(RC_or_unit,RC_Code,D132,RC_date,"&lt;="&amp;C132)-SUMIFS(RC_zar_unit,RC_Code,D132,RC_date,"&lt;"&amp;C132)),0 ))</f>
        <v/>
      </c>
      <c r="R132" s="378" t="str">
        <f>+IF(L132="","",L132*Q132)</f>
        <v/>
      </c>
      <c r="S132" s="609">
        <v>310500</v>
      </c>
      <c r="T132" s="378" t="str">
        <f>+IFERROR(VLOOKUP(S132,STAT1!$C$4:$D$189,2,FALSE),"")</f>
        <v>НӨАТ өглөг</v>
      </c>
      <c r="U132" s="1225"/>
      <c r="V132" s="1216">
        <v>25920</v>
      </c>
      <c r="W132" s="326">
        <v>3006</v>
      </c>
      <c r="X132" s="328" t="str">
        <f>IFERROR(VLOOKUP(W132,DATA!$G$4:$H$400,2,FALSE),"")</f>
        <v xml:space="preserve">ПАЙОНЕРИНГ ИНТЕРНЭШНЛ ХХК </v>
      </c>
      <c r="Y132" s="1205"/>
      <c r="Z132" s="1205"/>
      <c r="AA132" s="1205"/>
    </row>
    <row r="133" spans="1:27" ht="12.75" customHeight="1">
      <c r="A133" s="15">
        <v>40</v>
      </c>
      <c r="B133" s="369">
        <f t="shared" si="15"/>
        <v>128</v>
      </c>
      <c r="C133" s="427">
        <v>42769</v>
      </c>
      <c r="D133" s="426"/>
      <c r="E133" s="425" t="str">
        <f ca="1">+IFERROR(VLOOKUP(D133,TN_table,2,FALSE),"")</f>
        <v/>
      </c>
      <c r="F133" s="428" t="str">
        <f ca="1">+IFERROR(VLOOKUP(D133,TN_table,3,FALSE),"")</f>
        <v/>
      </c>
      <c r="G133" s="378"/>
      <c r="H133" s="378"/>
      <c r="I133" s="378"/>
      <c r="J133" s="378"/>
      <c r="K133" s="1220"/>
      <c r="L133" s="378"/>
      <c r="M133" s="378"/>
      <c r="N133" s="378" t="str">
        <f>+IF(L133="","",L133*M133)</f>
        <v/>
      </c>
      <c r="O133" s="378" t="str">
        <f>+IF(L133="","",N133*0.1)</f>
        <v/>
      </c>
      <c r="P133" s="378" t="str">
        <f>+IF(L133="","",N133+O133)</f>
        <v/>
      </c>
      <c r="Q133" s="378" t="str">
        <f>IF(L133="","",IFERROR((SUMIFS(TN_balC1_totol,TN_code,D133)+SUMIFS(RC_or_totol,RC_Code,D133,RC_date,"&lt;="&amp;C133)-SUMIFS(RC_zar_totol,RC_Code,D133,RC_date,"&lt;"&amp;C133)) /( SUMIFS(TN_balC1_unit,TN_code,D133)+SUMIFS(RC_or_unit,RC_Code,D133,RC_date,"&lt;="&amp;C133)-SUMIFS(RC_zar_unit,RC_Code,D133,RC_date,"&lt;"&amp;C133)),0 ))</f>
        <v/>
      </c>
      <c r="R133" s="378" t="str">
        <f>+IF(L133="","",L133*Q133)</f>
        <v/>
      </c>
      <c r="S133" s="609">
        <v>510000</v>
      </c>
      <c r="T133" s="378" t="str">
        <f>+IFERROR(VLOOKUP(S133,STAT1!$C$4:$D$189,2,FALSE),"")</f>
        <v>Үндсэн үйл ажиллагааны борлуулалт</v>
      </c>
      <c r="U133" s="1225"/>
      <c r="V133" s="1216">
        <v>259200</v>
      </c>
      <c r="W133" s="326">
        <v>3006</v>
      </c>
      <c r="X133" s="328" t="str">
        <f>IFERROR(VLOOKUP(W133,DATA!$G$4:$H$400,2,FALSE),"")</f>
        <v xml:space="preserve">ПАЙОНЕРИНГ ИНТЕРНЭШНЛ ХХК </v>
      </c>
      <c r="Y133" s="1205"/>
      <c r="Z133" s="1205"/>
      <c r="AA133" s="1205"/>
    </row>
    <row r="134" spans="1:27" ht="12.75" customHeight="1">
      <c r="A134" s="15">
        <v>40</v>
      </c>
      <c r="B134" s="369">
        <f t="shared" ref="B134:B197" si="40">+IF(C134="","",ROW()-5)</f>
        <v>129</v>
      </c>
      <c r="C134" s="427">
        <v>42769</v>
      </c>
      <c r="D134" s="426"/>
      <c r="E134" s="425" t="str">
        <f ca="1">+IFERROR(VLOOKUP(D134,TN_table,2,FALSE),"")</f>
        <v/>
      </c>
      <c r="F134" s="428" t="str">
        <f ca="1">+IFERROR(VLOOKUP(D134,TN_table,3,FALSE),"")</f>
        <v/>
      </c>
      <c r="G134" s="378"/>
      <c r="H134" s="378"/>
      <c r="I134" s="378"/>
      <c r="J134" s="378"/>
      <c r="K134" s="1220"/>
      <c r="L134" s="378"/>
      <c r="M134" s="378"/>
      <c r="N134" s="378" t="str">
        <f>+IF(L134="","",L134*M134)</f>
        <v/>
      </c>
      <c r="O134" s="378" t="str">
        <f>+IF(L134="","",N134*0.1)</f>
        <v/>
      </c>
      <c r="P134" s="378" t="str">
        <f>+IF(L134="","",N134+O134)</f>
        <v/>
      </c>
      <c r="Q134" s="378" t="str">
        <f>IF(L134="","",IFERROR((SUMIFS(TN_balC1_totol,TN_code,D134)+SUMIFS(RC_or_totol,RC_Code,D134,RC_date,"&lt;="&amp;C134)-SUMIFS(RC_zar_totol,RC_Code,D134,RC_date,"&lt;"&amp;C134)) /( SUMIFS(TN_balC1_unit,TN_code,D134)+SUMIFS(RC_or_unit,RC_Code,D134,RC_date,"&lt;="&amp;C134)-SUMIFS(RC_zar_unit,RC_Code,D134,RC_date,"&lt;"&amp;C134)),0 ))</f>
        <v/>
      </c>
      <c r="R134" s="378" t="str">
        <f>+IF(L134="","",L134*Q134)</f>
        <v/>
      </c>
      <c r="S134" s="609">
        <v>320100</v>
      </c>
      <c r="T134" s="378" t="str">
        <f>+IFERROR(VLOOKUP(S134,STAT1!$C$4:$D$189,2,FALSE),"")</f>
        <v>Урьдчилж орсон орлого MNT</v>
      </c>
      <c r="U134" s="1225">
        <v>285120</v>
      </c>
      <c r="V134" s="1216"/>
      <c r="W134" s="326">
        <v>3006</v>
      </c>
      <c r="X134" s="328" t="str">
        <f>IFERROR(VLOOKUP(W134,DATA!$G$4:$H$400,2,FALSE),"")</f>
        <v xml:space="preserve">ПАЙОНЕРИНГ ИНТЕРНЭШНЛ ХХК </v>
      </c>
      <c r="Y134" s="1205"/>
      <c r="Z134" s="1205"/>
      <c r="AA134" s="1205"/>
    </row>
    <row r="135" spans="1:27" ht="12.75" customHeight="1">
      <c r="A135" s="15">
        <v>40</v>
      </c>
      <c r="B135" s="369">
        <f t="shared" si="40"/>
        <v>130</v>
      </c>
      <c r="C135" s="427">
        <v>42771</v>
      </c>
      <c r="D135" s="426">
        <v>211503</v>
      </c>
      <c r="E135" s="425" t="str">
        <f ca="1">+IFERROR(VLOOKUP(D135,TN_table,2,FALSE),"")</f>
        <v>Н-Евровагонка /зузаан-1.2см/</v>
      </c>
      <c r="F135" s="428" t="str">
        <f ca="1">+IFERROR(VLOOKUP(D135,TN_table,3,FALSE),"")</f>
        <v>м2</v>
      </c>
      <c r="G135" s="378"/>
      <c r="H135" s="378"/>
      <c r="I135" s="378"/>
      <c r="J135" s="378"/>
      <c r="K135" s="1220"/>
      <c r="L135" s="378">
        <v>700.64360000000011</v>
      </c>
      <c r="M135" s="378">
        <v>21600</v>
      </c>
      <c r="N135" s="378">
        <f>+IF(L135="","",L135*M135)</f>
        <v>15133901.760000002</v>
      </c>
      <c r="O135" s="378">
        <f>+IF(L135="","",N135*0.1)</f>
        <v>1513390.1760000002</v>
      </c>
      <c r="P135" s="378">
        <f>+IF(L135="","",N135+O135)</f>
        <v>16647291.936000003</v>
      </c>
      <c r="Q135" s="378">
        <f ca="1">IF(L135="","",IFERROR((SUMIFS(TN_balC1_totol,TN_code,D135)+SUMIFS(RC_or_totol,RC_Code,D135,RC_date,"&lt;="&amp;C135)-SUMIFS(RC_zar_totol,RC_Code,D135,RC_date,"&lt;"&amp;C135)) /( SUMIFS(TN_balC1_unit,TN_code,D135)+SUMIFS(RC_or_unit,RC_Code,D135,RC_date,"&lt;="&amp;C135)-SUMIFS(RC_zar_unit,RC_Code,D135,RC_date,"&lt;"&amp;C135)),0 ))</f>
        <v>12876.722738825942</v>
      </c>
      <c r="R135" s="378">
        <f ca="1">+IF(L135="","",L135*Q135)</f>
        <v>9021993.3759328686</v>
      </c>
      <c r="S135" s="609">
        <v>150101</v>
      </c>
      <c r="T135" s="378" t="str">
        <f>+IFERROR(VLOOKUP(S135,STAT1!$C$4:$D$189,2,FALSE),"")</f>
        <v>Бараа бэлэн бүтээгдэхүүн БОЛОВСРУУЛАХ ЦЕХ /нарс/</v>
      </c>
      <c r="U135" s="1225"/>
      <c r="V135" s="1216">
        <v>9021993.3759328686</v>
      </c>
      <c r="W135" s="326">
        <v>3001</v>
      </c>
      <c r="X135" s="328" t="str">
        <f>IFERROR(VLOOKUP(W135,DATA!$G$4:$H$400,2,FALSE),"")</f>
        <v>ХУРД ГРУПП ХХК</v>
      </c>
      <c r="Y135" s="1205"/>
      <c r="Z135" s="1205"/>
      <c r="AA135" s="1205"/>
    </row>
    <row r="136" spans="1:27" ht="12.75" customHeight="1">
      <c r="A136" s="15">
        <v>40</v>
      </c>
      <c r="B136" s="369">
        <f t="shared" si="40"/>
        <v>131</v>
      </c>
      <c r="C136" s="427">
        <v>42771</v>
      </c>
      <c r="D136" s="426"/>
      <c r="E136" s="425"/>
      <c r="F136" s="428"/>
      <c r="G136" s="378"/>
      <c r="H136" s="378"/>
      <c r="I136" s="378"/>
      <c r="J136" s="378"/>
      <c r="K136" s="1220"/>
      <c r="L136" s="378"/>
      <c r="M136" s="378"/>
      <c r="N136" s="378"/>
      <c r="O136" s="378"/>
      <c r="P136" s="378"/>
      <c r="Q136" s="378"/>
      <c r="R136" s="378"/>
      <c r="S136" s="609">
        <v>610100</v>
      </c>
      <c r="T136" s="378" t="str">
        <f>+IFERROR(VLOOKUP(S136,STAT1!$C$4:$D$189,2,FALSE),"")</f>
        <v>Борлуулсан барааны өртөг</v>
      </c>
      <c r="U136" s="1216">
        <v>9021993.3759328686</v>
      </c>
      <c r="V136" s="1216"/>
      <c r="W136" s="326">
        <v>3001</v>
      </c>
      <c r="X136" s="328" t="str">
        <f>IFERROR(VLOOKUP(W136,DATA!$G$4:$H$400,2,FALSE),"")</f>
        <v>ХУРД ГРУПП ХХК</v>
      </c>
      <c r="Y136" s="1205"/>
      <c r="Z136" s="1205"/>
      <c r="AA136" s="1205"/>
    </row>
    <row r="137" spans="1:27" ht="12.75" customHeight="1">
      <c r="A137" s="15">
        <v>40</v>
      </c>
      <c r="B137" s="369">
        <f t="shared" si="40"/>
        <v>132</v>
      </c>
      <c r="C137" s="427">
        <v>42771</v>
      </c>
      <c r="D137" s="426"/>
      <c r="E137" s="425" t="str">
        <f ca="1">+IFERROR(VLOOKUP(D137,TN_table,2,FALSE),"")</f>
        <v/>
      </c>
      <c r="F137" s="428" t="str">
        <f ca="1">+IFERROR(VLOOKUP(D137,TN_table,3,FALSE),"")</f>
        <v/>
      </c>
      <c r="G137" s="378"/>
      <c r="H137" s="378"/>
      <c r="I137" s="378"/>
      <c r="J137" s="378"/>
      <c r="K137" s="1220"/>
      <c r="L137" s="378"/>
      <c r="M137" s="378"/>
      <c r="N137" s="378" t="str">
        <f>+IF(L137="","",L137*M137)</f>
        <v/>
      </c>
      <c r="O137" s="378" t="str">
        <f>+IF(L137="","",N137*0.1)</f>
        <v/>
      </c>
      <c r="P137" s="378" t="str">
        <f>+IF(L137="","",N137+O137)</f>
        <v/>
      </c>
      <c r="Q137" s="378" t="str">
        <f>IF(L137="","",IFERROR((SUMIFS(TN_balC1_totol,TN_code,D137)+SUMIFS(RC_or_totol,RC_Code,D137,RC_date,"&lt;="&amp;C137)-SUMIFS(RC_zar_totol,RC_Code,D137,RC_date,"&lt;"&amp;C137)) /( SUMIFS(TN_balC1_unit,TN_code,D137)+SUMIFS(RC_or_unit,RC_Code,D137,RC_date,"&lt;="&amp;C137)-SUMIFS(RC_zar_unit,RC_Code,D137,RC_date,"&lt;"&amp;C137)),0 ))</f>
        <v/>
      </c>
      <c r="R137" s="378" t="str">
        <f>+IF(L137="","",L137*Q137)</f>
        <v/>
      </c>
      <c r="S137" s="609">
        <v>310500</v>
      </c>
      <c r="T137" s="378" t="str">
        <f>+IFERROR(VLOOKUP(S137,STAT1!$C$4:$D$189,2,FALSE),"")</f>
        <v>НӨАТ өглөг</v>
      </c>
      <c r="U137" s="1225"/>
      <c r="V137" s="1216">
        <v>1513390.1760000002</v>
      </c>
      <c r="W137" s="326">
        <v>3001</v>
      </c>
      <c r="X137" s="328" t="str">
        <f>IFERROR(VLOOKUP(W137,DATA!$G$4:$H$400,2,FALSE),"")</f>
        <v>ХУРД ГРУПП ХХК</v>
      </c>
      <c r="Y137" s="1205"/>
      <c r="Z137" s="1205"/>
      <c r="AA137" s="1205"/>
    </row>
    <row r="138" spans="1:27" ht="12.75" customHeight="1">
      <c r="A138" s="15">
        <v>41</v>
      </c>
      <c r="B138" s="369">
        <f t="shared" si="40"/>
        <v>133</v>
      </c>
      <c r="C138" s="427">
        <v>42771</v>
      </c>
      <c r="D138" s="426"/>
      <c r="E138" s="425" t="str">
        <f ca="1">+IFERROR(VLOOKUP(D138,TN_table,2,FALSE),"")</f>
        <v/>
      </c>
      <c r="F138" s="428" t="str">
        <f ca="1">+IFERROR(VLOOKUP(D138,TN_table,3,FALSE),"")</f>
        <v/>
      </c>
      <c r="G138" s="378"/>
      <c r="H138" s="378"/>
      <c r="I138" s="378"/>
      <c r="J138" s="378"/>
      <c r="K138" s="1220"/>
      <c r="L138" s="378"/>
      <c r="M138" s="378"/>
      <c r="N138" s="378" t="str">
        <f>+IF(L138="","",L138*M138)</f>
        <v/>
      </c>
      <c r="O138" s="378" t="str">
        <f>+IF(L138="","",N138*0.1)</f>
        <v/>
      </c>
      <c r="P138" s="378" t="str">
        <f>+IF(L138="","",N138+O138)</f>
        <v/>
      </c>
      <c r="Q138" s="378" t="str">
        <f>IF(L138="","",IFERROR((SUMIFS(TN_balC1_totol,TN_code,D138)+SUMIFS(RC_or_totol,RC_Code,D138,RC_date,"&lt;="&amp;C138)-SUMIFS(RC_zar_totol,RC_Code,D138,RC_date,"&lt;"&amp;C138)) /( SUMIFS(TN_balC1_unit,TN_code,D138)+SUMIFS(RC_or_unit,RC_Code,D138,RC_date,"&lt;="&amp;C138)-SUMIFS(RC_zar_unit,RC_Code,D138,RC_date,"&lt;"&amp;C138)),0 ))</f>
        <v/>
      </c>
      <c r="R138" s="378" t="str">
        <f>+IF(L138="","",L138*Q138)</f>
        <v/>
      </c>
      <c r="S138" s="609">
        <v>510000</v>
      </c>
      <c r="T138" s="378" t="str">
        <f>+IFERROR(VLOOKUP(S138,STAT1!$C$4:$D$189,2,FALSE),"")</f>
        <v>Үндсэн үйл ажиллагааны борлуулалт</v>
      </c>
      <c r="U138" s="1225"/>
      <c r="V138" s="1216">
        <v>15133901.760000002</v>
      </c>
      <c r="W138" s="326">
        <v>3001</v>
      </c>
      <c r="X138" s="328" t="str">
        <f>IFERROR(VLOOKUP(W138,DATA!$G$4:$H$400,2,FALSE),"")</f>
        <v>ХУРД ГРУПП ХХК</v>
      </c>
      <c r="Y138" s="1205"/>
      <c r="Z138" s="1205"/>
      <c r="AA138" s="1205"/>
    </row>
    <row r="139" spans="1:27" ht="12.75" customHeight="1">
      <c r="A139" s="15">
        <v>41</v>
      </c>
      <c r="B139" s="369">
        <f t="shared" si="40"/>
        <v>134</v>
      </c>
      <c r="C139" s="427">
        <v>42771</v>
      </c>
      <c r="D139" s="426"/>
      <c r="E139" s="425" t="str">
        <f ca="1">+IFERROR(VLOOKUP(D139,TN_table,2,FALSE),"")</f>
        <v/>
      </c>
      <c r="F139" s="428" t="str">
        <f ca="1">+IFERROR(VLOOKUP(D139,TN_table,3,FALSE),"")</f>
        <v/>
      </c>
      <c r="G139" s="378"/>
      <c r="H139" s="378"/>
      <c r="I139" s="378"/>
      <c r="J139" s="378"/>
      <c r="K139" s="1220"/>
      <c r="L139" s="378"/>
      <c r="M139" s="378"/>
      <c r="N139" s="378" t="str">
        <f>+IF(L139="","",L139*M139)</f>
        <v/>
      </c>
      <c r="O139" s="378" t="str">
        <f>+IF(L139="","",N139*0.1)</f>
        <v/>
      </c>
      <c r="P139" s="378" t="str">
        <f>+IF(L139="","",N139+O139)</f>
        <v/>
      </c>
      <c r="Q139" s="378" t="str">
        <f>IF(L139="","",IFERROR((SUMIFS(TN_balC1_totol,TN_code,D139)+SUMIFS(RC_or_totol,RC_Code,D139,RC_date,"&lt;="&amp;C139)-SUMIFS(RC_zar_totol,RC_Code,D139,RC_date,"&lt;"&amp;C139)) /( SUMIFS(TN_balC1_unit,TN_code,D139)+SUMIFS(RC_or_unit,RC_Code,D139,RC_date,"&lt;="&amp;C139)-SUMIFS(RC_zar_unit,RC_Code,D139,RC_date,"&lt;"&amp;C139)),0 ))</f>
        <v/>
      </c>
      <c r="R139" s="378" t="str">
        <f>+IF(L139="","",L139*Q139)</f>
        <v/>
      </c>
      <c r="S139" s="609">
        <v>320100</v>
      </c>
      <c r="T139" s="378" t="str">
        <f>+IFERROR(VLOOKUP(S139,STAT1!$C$4:$D$189,2,FALSE),"")</f>
        <v>Урьдчилж орсон орлого MNT</v>
      </c>
      <c r="U139" s="1225">
        <v>16647291.936000003</v>
      </c>
      <c r="V139" s="1216"/>
      <c r="W139" s="326">
        <v>3001</v>
      </c>
      <c r="X139" s="328" t="str">
        <f>IFERROR(VLOOKUP(W139,DATA!$G$4:$H$400,2,FALSE),"")</f>
        <v>ХУРД ГРУПП ХХК</v>
      </c>
      <c r="Y139" s="1205"/>
      <c r="Z139" s="1205"/>
      <c r="AA139" s="1205"/>
    </row>
    <row r="140" spans="1:27" ht="12.75" customHeight="1">
      <c r="A140" s="15">
        <v>41</v>
      </c>
      <c r="B140" s="369">
        <f t="shared" si="40"/>
        <v>135</v>
      </c>
      <c r="C140" s="427">
        <v>42771</v>
      </c>
      <c r="D140" s="426">
        <v>211503</v>
      </c>
      <c r="E140" s="425" t="str">
        <f ca="1">+IFERROR(VLOOKUP(D140,TN_table,2,FALSE),"")</f>
        <v>Н-Евровагонка /зузаан-1.2см/</v>
      </c>
      <c r="F140" s="428" t="str">
        <f ca="1">+IFERROR(VLOOKUP(D140,TN_table,3,FALSE),"")</f>
        <v>м2</v>
      </c>
      <c r="G140" s="378"/>
      <c r="H140" s="378"/>
      <c r="I140" s="378"/>
      <c r="J140" s="378"/>
      <c r="K140" s="1220"/>
      <c r="L140" s="378">
        <v>755.29</v>
      </c>
      <c r="M140" s="378">
        <v>21600.165703239814</v>
      </c>
      <c r="N140" s="378">
        <f>+IF(L140="","",L140*M140)</f>
        <v>16314389.153999999</v>
      </c>
      <c r="O140" s="378">
        <f>+IF(L140="","",N140*0.1)</f>
        <v>1631438.9154000001</v>
      </c>
      <c r="P140" s="378">
        <f>+IF(L140="","",N140+O140)</f>
        <v>17945828.069399998</v>
      </c>
      <c r="Q140" s="378">
        <f ca="1">IF(L140="","",IFERROR((SUMIFS(TN_balC1_totol,TN_code,D140)+SUMIFS(RC_or_totol,RC_Code,D140,RC_date,"&lt;="&amp;C140)-SUMIFS(RC_zar_totol,RC_Code,D140,RC_date,"&lt;"&amp;C140)) /( SUMIFS(TN_balC1_unit,TN_code,D140)+SUMIFS(RC_or_unit,RC_Code,D140,RC_date,"&lt;="&amp;C140)-SUMIFS(RC_zar_unit,RC_Code,D140,RC_date,"&lt;"&amp;C140)),0 ))</f>
        <v>12876.722738825942</v>
      </c>
      <c r="R140" s="378">
        <f ca="1">+IF(L140="","",L140*Q140)</f>
        <v>9725659.9174078442</v>
      </c>
      <c r="S140" s="609">
        <v>150101</v>
      </c>
      <c r="T140" s="378" t="str">
        <f>+IFERROR(VLOOKUP(S140,STAT1!$C$4:$D$189,2,FALSE),"")</f>
        <v>Бараа бэлэн бүтээгдэхүүн БОЛОВСРУУЛАХ ЦЕХ /нарс/</v>
      </c>
      <c r="U140" s="1225"/>
      <c r="V140" s="1216">
        <v>9725659.9174078442</v>
      </c>
      <c r="W140" s="326">
        <v>3001</v>
      </c>
      <c r="X140" s="328" t="str">
        <f>IFERROR(VLOOKUP(W140,DATA!$G$4:$H$400,2,FALSE),"")</f>
        <v>ХУРД ГРУПП ХХК</v>
      </c>
      <c r="Y140" s="1205"/>
      <c r="Z140" s="1205"/>
      <c r="AA140" s="1205"/>
    </row>
    <row r="141" spans="1:27" ht="12.75" customHeight="1">
      <c r="A141" s="15">
        <v>41</v>
      </c>
      <c r="B141" s="369">
        <f t="shared" si="40"/>
        <v>136</v>
      </c>
      <c r="C141" s="427">
        <v>42771</v>
      </c>
      <c r="D141" s="426"/>
      <c r="E141" s="425"/>
      <c r="F141" s="428"/>
      <c r="G141" s="378"/>
      <c r="H141" s="378"/>
      <c r="I141" s="378"/>
      <c r="J141" s="378"/>
      <c r="K141" s="1220"/>
      <c r="L141" s="378"/>
      <c r="M141" s="378"/>
      <c r="N141" s="378"/>
      <c r="O141" s="378"/>
      <c r="P141" s="378"/>
      <c r="Q141" s="378"/>
      <c r="R141" s="378"/>
      <c r="S141" s="609">
        <v>610100</v>
      </c>
      <c r="T141" s="378" t="str">
        <f>+IFERROR(VLOOKUP(S141,STAT1!$C$4:$D$189,2,FALSE),"")</f>
        <v>Борлуулсан барааны өртөг</v>
      </c>
      <c r="U141" s="1216">
        <v>9725659.9174078442</v>
      </c>
      <c r="V141" s="1216"/>
      <c r="W141" s="326">
        <v>3001</v>
      </c>
      <c r="X141" s="328" t="str">
        <f>IFERROR(VLOOKUP(W141,DATA!$G$4:$H$400,2,FALSE),"")</f>
        <v>ХУРД ГРУПП ХХК</v>
      </c>
      <c r="Y141" s="1205"/>
      <c r="Z141" s="1205"/>
      <c r="AA141" s="1205"/>
    </row>
    <row r="142" spans="1:27" ht="12.75" customHeight="1">
      <c r="A142" s="15">
        <v>41</v>
      </c>
      <c r="B142" s="369">
        <f t="shared" si="40"/>
        <v>137</v>
      </c>
      <c r="C142" s="427">
        <v>42771</v>
      </c>
      <c r="D142" s="426"/>
      <c r="E142" s="425" t="str">
        <f ca="1">+IFERROR(VLOOKUP(D142,TN_table,2,FALSE),"")</f>
        <v/>
      </c>
      <c r="F142" s="428" t="str">
        <f ca="1">+IFERROR(VLOOKUP(D142,TN_table,3,FALSE),"")</f>
        <v/>
      </c>
      <c r="G142" s="378"/>
      <c r="H142" s="378"/>
      <c r="I142" s="378"/>
      <c r="J142" s="378"/>
      <c r="K142" s="1220"/>
      <c r="L142" s="378"/>
      <c r="M142" s="378"/>
      <c r="N142" s="378" t="str">
        <f>+IF(L142="","",L142*M142)</f>
        <v/>
      </c>
      <c r="O142" s="378" t="str">
        <f>+IF(L142="","",N142*0.1)</f>
        <v/>
      </c>
      <c r="P142" s="378" t="str">
        <f>+IF(L142="","",N142+O142)</f>
        <v/>
      </c>
      <c r="Q142" s="378" t="str">
        <f>IF(L142="","",IFERROR((SUMIFS(TN_balC1_totol,TN_code,D142)+SUMIFS(RC_or_totol,RC_Code,D142,RC_date,"&lt;="&amp;C142)-SUMIFS(RC_zar_totol,RC_Code,D142,RC_date,"&lt;"&amp;C142)) /( SUMIFS(TN_balC1_unit,TN_code,D142)+SUMIFS(RC_or_unit,RC_Code,D142,RC_date,"&lt;="&amp;C142)-SUMIFS(RC_zar_unit,RC_Code,D142,RC_date,"&lt;"&amp;C142)),0 ))</f>
        <v/>
      </c>
      <c r="R142" s="378" t="str">
        <f>+IF(L142="","",L142*Q142)</f>
        <v/>
      </c>
      <c r="S142" s="609">
        <v>310500</v>
      </c>
      <c r="T142" s="378" t="str">
        <f>+IFERROR(VLOOKUP(S142,STAT1!$C$4:$D$189,2,FALSE),"")</f>
        <v>НӨАТ өглөг</v>
      </c>
      <c r="U142" s="1225"/>
      <c r="V142" s="1216">
        <v>1631438.9154000001</v>
      </c>
      <c r="W142" s="326">
        <v>3001</v>
      </c>
      <c r="X142" s="328" t="str">
        <f>IFERROR(VLOOKUP(W142,DATA!$G$4:$H$400,2,FALSE),"")</f>
        <v>ХУРД ГРУПП ХХК</v>
      </c>
      <c r="Y142" s="1205"/>
      <c r="Z142" s="1205"/>
      <c r="AA142" s="1205"/>
    </row>
    <row r="143" spans="1:27" ht="12.75" customHeight="1">
      <c r="A143" s="15">
        <v>42</v>
      </c>
      <c r="B143" s="369">
        <f t="shared" si="40"/>
        <v>138</v>
      </c>
      <c r="C143" s="427">
        <v>42771</v>
      </c>
      <c r="D143" s="426"/>
      <c r="E143" s="425" t="str">
        <f ca="1">+IFERROR(VLOOKUP(D143,TN_table,2,FALSE),"")</f>
        <v/>
      </c>
      <c r="F143" s="428" t="str">
        <f ca="1">+IFERROR(VLOOKUP(D143,TN_table,3,FALSE),"")</f>
        <v/>
      </c>
      <c r="G143" s="378"/>
      <c r="H143" s="378"/>
      <c r="I143" s="378"/>
      <c r="J143" s="378"/>
      <c r="K143" s="1220"/>
      <c r="L143" s="378"/>
      <c r="M143" s="378"/>
      <c r="N143" s="378" t="str">
        <f>+IF(L143="","",L143*M143)</f>
        <v/>
      </c>
      <c r="O143" s="378" t="str">
        <f>+IF(L143="","",N143*0.1)</f>
        <v/>
      </c>
      <c r="P143" s="378" t="str">
        <f>+IF(L143="","",N143+O143)</f>
        <v/>
      </c>
      <c r="Q143" s="378" t="str">
        <f>IF(L143="","",IFERROR((SUMIFS(TN_balC1_totol,TN_code,D143)+SUMIFS(RC_or_totol,RC_Code,D143,RC_date,"&lt;="&amp;C143)-SUMIFS(RC_zar_totol,RC_Code,D143,RC_date,"&lt;"&amp;C143)) /( SUMIFS(TN_balC1_unit,TN_code,D143)+SUMIFS(RC_or_unit,RC_Code,D143,RC_date,"&lt;="&amp;C143)-SUMIFS(RC_zar_unit,RC_Code,D143,RC_date,"&lt;"&amp;C143)),0 ))</f>
        <v/>
      </c>
      <c r="R143" s="378" t="str">
        <f>+IF(L143="","",L143*Q143)</f>
        <v/>
      </c>
      <c r="S143" s="609">
        <v>510000</v>
      </c>
      <c r="T143" s="378" t="str">
        <f>+IFERROR(VLOOKUP(S143,STAT1!$C$4:$D$189,2,FALSE),"")</f>
        <v>Үндсэн үйл ажиллагааны борлуулалт</v>
      </c>
      <c r="U143" s="1225"/>
      <c r="V143" s="1216">
        <v>16314389.153999999</v>
      </c>
      <c r="W143" s="326">
        <v>3001</v>
      </c>
      <c r="X143" s="328" t="str">
        <f>IFERROR(VLOOKUP(W143,DATA!$G$4:$H$400,2,FALSE),"")</f>
        <v>ХУРД ГРУПП ХХК</v>
      </c>
      <c r="Y143" s="1205"/>
      <c r="Z143" s="1205"/>
      <c r="AA143" s="1205"/>
    </row>
    <row r="144" spans="1:27" ht="12.75" customHeight="1">
      <c r="A144" s="15">
        <v>42</v>
      </c>
      <c r="B144" s="369">
        <f t="shared" si="40"/>
        <v>139</v>
      </c>
      <c r="C144" s="427">
        <v>42771</v>
      </c>
      <c r="D144" s="426"/>
      <c r="E144" s="425" t="str">
        <f ca="1">+IFERROR(VLOOKUP(D144,TN_table,2,FALSE),"")</f>
        <v/>
      </c>
      <c r="F144" s="428" t="str">
        <f ca="1">+IFERROR(VLOOKUP(D144,TN_table,3,FALSE),"")</f>
        <v/>
      </c>
      <c r="G144" s="378"/>
      <c r="H144" s="378"/>
      <c r="I144" s="378"/>
      <c r="J144" s="378"/>
      <c r="K144" s="1220"/>
      <c r="L144" s="378"/>
      <c r="M144" s="378"/>
      <c r="N144" s="378" t="str">
        <f>+IF(L144="","",L144*M144)</f>
        <v/>
      </c>
      <c r="O144" s="378" t="str">
        <f>+IF(L144="","",N144*0.1)</f>
        <v/>
      </c>
      <c r="P144" s="378" t="str">
        <f>+IF(L144="","",N144+O144)</f>
        <v/>
      </c>
      <c r="Q144" s="378" t="str">
        <f>IF(L144="","",IFERROR((SUMIFS(TN_balC1_totol,TN_code,D144)+SUMIFS(RC_or_totol,RC_Code,D144,RC_date,"&lt;="&amp;C144)-SUMIFS(RC_zar_totol,RC_Code,D144,RC_date,"&lt;"&amp;C144)) /( SUMIFS(TN_balC1_unit,TN_code,D144)+SUMIFS(RC_or_unit,RC_Code,D144,RC_date,"&lt;="&amp;C144)-SUMIFS(RC_zar_unit,RC_Code,D144,RC_date,"&lt;"&amp;C144)),0 ))</f>
        <v/>
      </c>
      <c r="R144" s="378" t="str">
        <f>+IF(L144="","",L144*Q144)</f>
        <v/>
      </c>
      <c r="S144" s="609">
        <v>320100</v>
      </c>
      <c r="T144" s="378" t="str">
        <f>+IFERROR(VLOOKUP(S144,STAT1!$C$4:$D$189,2,FALSE),"")</f>
        <v>Урьдчилж орсон орлого MNT</v>
      </c>
      <c r="U144" s="1225">
        <v>17945828.069399998</v>
      </c>
      <c r="V144" s="1216"/>
      <c r="W144" s="326">
        <v>3001</v>
      </c>
      <c r="X144" s="328" t="str">
        <f>IFERROR(VLOOKUP(W144,DATA!$G$4:$H$400,2,FALSE),"")</f>
        <v>ХУРД ГРУПП ХХК</v>
      </c>
      <c r="Y144" s="1205"/>
      <c r="Z144" s="1205"/>
      <c r="AA144" s="1205"/>
    </row>
    <row r="145" spans="1:27" ht="12.75" customHeight="1">
      <c r="A145" s="15">
        <v>42</v>
      </c>
      <c r="B145" s="369">
        <f t="shared" si="40"/>
        <v>140</v>
      </c>
      <c r="C145" s="427">
        <v>42771</v>
      </c>
      <c r="D145" s="426">
        <v>211504</v>
      </c>
      <c r="E145" s="425" t="str">
        <f ca="1">+IFERROR(VLOOKUP(D145,TN_table,2,FALSE),"")</f>
        <v xml:space="preserve">Н-Евровагонка /зузаан-1.2см/-яртай </v>
      </c>
      <c r="F145" s="428" t="str">
        <f ca="1">+IFERROR(VLOOKUP(D145,TN_table,3,FALSE),"")</f>
        <v>м2</v>
      </c>
      <c r="G145" s="378"/>
      <c r="H145" s="378"/>
      <c r="I145" s="378"/>
      <c r="J145" s="378"/>
      <c r="K145" s="1220"/>
      <c r="L145" s="378">
        <v>122.22</v>
      </c>
      <c r="M145" s="378">
        <v>18000.327278677792</v>
      </c>
      <c r="N145" s="378">
        <f>+IF(L145="","",L145*M145)</f>
        <v>2200000</v>
      </c>
      <c r="O145" s="378">
        <f>+IF(L145="","",N145*0.1)</f>
        <v>220000</v>
      </c>
      <c r="P145" s="378">
        <f>+IF(L145="","",N145+O145)</f>
        <v>2420000</v>
      </c>
      <c r="Q145" s="378">
        <f ca="1">IF(L145="","",IFERROR((SUMIFS(TN_balC1_totol,TN_code,D145)+SUMIFS(RC_or_totol,RC_Code,D145,RC_date,"&lt;="&amp;C145)-SUMIFS(RC_zar_totol,RC_Code,D145,RC_date,"&lt;"&amp;C145)) /( SUMIFS(TN_balC1_unit,TN_code,D145)+SUMIFS(RC_or_unit,RC_Code,D145,RC_date,"&lt;="&amp;C145)-SUMIFS(RC_zar_unit,RC_Code,D145,RC_date,"&lt;"&amp;C145)),0 ))</f>
        <v>9540.1099999999988</v>
      </c>
      <c r="R145" s="378">
        <f ca="1">+IF(L145="","",L145*Q145)</f>
        <v>1165992.2441999998</v>
      </c>
      <c r="S145" s="609">
        <v>150101</v>
      </c>
      <c r="T145" s="378" t="str">
        <f>+IFERROR(VLOOKUP(S145,STAT1!$C$4:$D$189,2,FALSE),"")</f>
        <v>Бараа бэлэн бүтээгдэхүүн БОЛОВСРУУЛАХ ЦЕХ /нарс/</v>
      </c>
      <c r="U145" s="1225"/>
      <c r="V145" s="1216">
        <v>1165992.2441999998</v>
      </c>
      <c r="W145" s="326">
        <v>3013</v>
      </c>
      <c r="X145" s="328" t="str">
        <f>IFERROR(VLOOKUP(W145,DATA!$G$4:$H$400,2,FALSE),"")</f>
        <v xml:space="preserve">МИАТ ХК </v>
      </c>
      <c r="Y145" s="1205"/>
      <c r="Z145" s="1205"/>
      <c r="AA145" s="1205"/>
    </row>
    <row r="146" spans="1:27" ht="12.75" customHeight="1">
      <c r="A146" s="15">
        <v>42</v>
      </c>
      <c r="B146" s="369">
        <f t="shared" si="40"/>
        <v>141</v>
      </c>
      <c r="C146" s="427">
        <v>42771</v>
      </c>
      <c r="D146" s="426"/>
      <c r="E146" s="425"/>
      <c r="F146" s="428"/>
      <c r="G146" s="378"/>
      <c r="H146" s="378"/>
      <c r="I146" s="378"/>
      <c r="J146" s="378"/>
      <c r="K146" s="1220"/>
      <c r="L146" s="378"/>
      <c r="M146" s="378"/>
      <c r="N146" s="378"/>
      <c r="O146" s="378"/>
      <c r="P146" s="378"/>
      <c r="Q146" s="378"/>
      <c r="R146" s="378"/>
      <c r="S146" s="609">
        <v>610100</v>
      </c>
      <c r="T146" s="378" t="str">
        <f>+IFERROR(VLOOKUP(S146,STAT1!$C$4:$D$189,2,FALSE),"")</f>
        <v>Борлуулсан барааны өртөг</v>
      </c>
      <c r="U146" s="1216">
        <v>1165992.2441999998</v>
      </c>
      <c r="V146" s="1216"/>
      <c r="W146" s="326">
        <v>3013</v>
      </c>
      <c r="X146" s="328" t="str">
        <f>IFERROR(VLOOKUP(W146,DATA!$G$4:$H$400,2,FALSE),"")</f>
        <v xml:space="preserve">МИАТ ХК </v>
      </c>
      <c r="Y146" s="1205"/>
      <c r="Z146" s="1205"/>
      <c r="AA146" s="1205"/>
    </row>
    <row r="147" spans="1:27" ht="12.75" customHeight="1">
      <c r="A147" s="15">
        <v>42</v>
      </c>
      <c r="B147" s="369">
        <f t="shared" si="40"/>
        <v>142</v>
      </c>
      <c r="C147" s="427">
        <v>42771</v>
      </c>
      <c r="D147" s="426"/>
      <c r="E147" s="425" t="str">
        <f t="shared" ref="E147:E159" ca="1" si="41">+IFERROR(VLOOKUP(D147,TN_table,2,FALSE),"")</f>
        <v/>
      </c>
      <c r="F147" s="428" t="str">
        <f t="shared" ref="F147:F159" ca="1" si="42">+IFERROR(VLOOKUP(D147,TN_table,3,FALSE),"")</f>
        <v/>
      </c>
      <c r="G147" s="378"/>
      <c r="H147" s="378"/>
      <c r="I147" s="378"/>
      <c r="J147" s="378"/>
      <c r="K147" s="1220"/>
      <c r="L147" s="378"/>
      <c r="M147" s="378"/>
      <c r="N147" s="378" t="str">
        <f t="shared" ref="N147:N159" si="43">+IF(L147="","",L147*M147)</f>
        <v/>
      </c>
      <c r="O147" s="378" t="str">
        <f t="shared" ref="O147:O159" si="44">+IF(L147="","",N147*0.1)</f>
        <v/>
      </c>
      <c r="P147" s="378" t="str">
        <f t="shared" ref="P147:P159" si="45">+IF(L147="","",N147+O147)</f>
        <v/>
      </c>
      <c r="Q147" s="378" t="str">
        <f t="shared" ref="Q147:Q159" si="46">IF(L147="","",IFERROR((SUMIFS(TN_balC1_totol,TN_code,D147)+SUMIFS(RC_or_totol,RC_Code,D147,RC_date,"&lt;="&amp;C147)-SUMIFS(RC_zar_totol,RC_Code,D147,RC_date,"&lt;"&amp;C147)) /( SUMIFS(TN_balC1_unit,TN_code,D147)+SUMIFS(RC_or_unit,RC_Code,D147,RC_date,"&lt;="&amp;C147)-SUMIFS(RC_zar_unit,RC_Code,D147,RC_date,"&lt;"&amp;C147)),0 ))</f>
        <v/>
      </c>
      <c r="R147" s="378" t="str">
        <f t="shared" ref="R147:R159" si="47">+IF(L147="","",L147*Q147)</f>
        <v/>
      </c>
      <c r="S147" s="609">
        <v>310500</v>
      </c>
      <c r="T147" s="378" t="str">
        <f>+IFERROR(VLOOKUP(S147,STAT1!$C$4:$D$189,2,FALSE),"")</f>
        <v>НӨАТ өглөг</v>
      </c>
      <c r="U147" s="1225"/>
      <c r="V147" s="1216">
        <v>220000</v>
      </c>
      <c r="W147" s="326">
        <v>3013</v>
      </c>
      <c r="X147" s="328" t="str">
        <f>IFERROR(VLOOKUP(W147,DATA!$G$4:$H$400,2,FALSE),"")</f>
        <v xml:space="preserve">МИАТ ХК </v>
      </c>
      <c r="Y147" s="1205"/>
      <c r="Z147" s="1205"/>
      <c r="AA147" s="1205"/>
    </row>
    <row r="148" spans="1:27" ht="12.75" customHeight="1">
      <c r="A148" s="15">
        <v>43</v>
      </c>
      <c r="B148" s="369">
        <f t="shared" si="40"/>
        <v>143</v>
      </c>
      <c r="C148" s="427">
        <v>42771</v>
      </c>
      <c r="D148" s="426"/>
      <c r="E148" s="425" t="str">
        <f t="shared" ca="1" si="41"/>
        <v/>
      </c>
      <c r="F148" s="428" t="str">
        <f t="shared" ca="1" si="42"/>
        <v/>
      </c>
      <c r="G148" s="378"/>
      <c r="H148" s="378"/>
      <c r="I148" s="378"/>
      <c r="J148" s="378"/>
      <c r="K148" s="1220"/>
      <c r="L148" s="378"/>
      <c r="M148" s="378"/>
      <c r="N148" s="378" t="str">
        <f t="shared" si="43"/>
        <v/>
      </c>
      <c r="O148" s="378" t="str">
        <f t="shared" si="44"/>
        <v/>
      </c>
      <c r="P148" s="378" t="str">
        <f t="shared" si="45"/>
        <v/>
      </c>
      <c r="Q148" s="378" t="str">
        <f t="shared" si="46"/>
        <v/>
      </c>
      <c r="R148" s="378" t="str">
        <f t="shared" si="47"/>
        <v/>
      </c>
      <c r="S148" s="609">
        <v>510000</v>
      </c>
      <c r="T148" s="378" t="str">
        <f>+IFERROR(VLOOKUP(S148,STAT1!$C$4:$D$189,2,FALSE),"")</f>
        <v>Үндсэн үйл ажиллагааны борлуулалт</v>
      </c>
      <c r="U148" s="1225"/>
      <c r="V148" s="1216">
        <v>2200000</v>
      </c>
      <c r="W148" s="326">
        <v>3013</v>
      </c>
      <c r="X148" s="328" t="str">
        <f>IFERROR(VLOOKUP(W148,DATA!$G$4:$H$400,2,FALSE),"")</f>
        <v xml:space="preserve">МИАТ ХК </v>
      </c>
      <c r="Y148" s="1205"/>
      <c r="Z148" s="1205"/>
      <c r="AA148" s="1205"/>
    </row>
    <row r="149" spans="1:27" ht="12.75" customHeight="1">
      <c r="A149" s="15">
        <v>43</v>
      </c>
      <c r="B149" s="369">
        <f t="shared" si="40"/>
        <v>144</v>
      </c>
      <c r="C149" s="427">
        <v>42771</v>
      </c>
      <c r="D149" s="426"/>
      <c r="E149" s="425" t="str">
        <f t="shared" ca="1" si="41"/>
        <v/>
      </c>
      <c r="F149" s="428" t="str">
        <f t="shared" ca="1" si="42"/>
        <v/>
      </c>
      <c r="G149" s="378"/>
      <c r="H149" s="378"/>
      <c r="I149" s="378"/>
      <c r="J149" s="378"/>
      <c r="K149" s="1220"/>
      <c r="L149" s="378"/>
      <c r="M149" s="378"/>
      <c r="N149" s="378" t="str">
        <f t="shared" si="43"/>
        <v/>
      </c>
      <c r="O149" s="378" t="str">
        <f t="shared" si="44"/>
        <v/>
      </c>
      <c r="P149" s="378" t="str">
        <f t="shared" si="45"/>
        <v/>
      </c>
      <c r="Q149" s="378" t="str">
        <f t="shared" si="46"/>
        <v/>
      </c>
      <c r="R149" s="378" t="str">
        <f t="shared" si="47"/>
        <v/>
      </c>
      <c r="S149" s="609">
        <v>320100</v>
      </c>
      <c r="T149" s="378" t="str">
        <f>+IFERROR(VLOOKUP(S149,STAT1!$C$4:$D$189,2,FALSE),"")</f>
        <v>Урьдчилж орсон орлого MNT</v>
      </c>
      <c r="U149" s="1225">
        <v>2420000</v>
      </c>
      <c r="V149" s="1216"/>
      <c r="W149" s="326">
        <v>3013</v>
      </c>
      <c r="X149" s="328" t="str">
        <f>IFERROR(VLOOKUP(W149,DATA!$G$4:$H$400,2,FALSE),"")</f>
        <v xml:space="preserve">МИАТ ХК </v>
      </c>
      <c r="Y149" s="1205"/>
      <c r="Z149" s="1205"/>
      <c r="AA149" s="1205"/>
    </row>
    <row r="150" spans="1:27" ht="12.75" customHeight="1">
      <c r="A150" s="15">
        <v>43</v>
      </c>
      <c r="B150" s="369">
        <f t="shared" si="40"/>
        <v>145</v>
      </c>
      <c r="C150" s="427">
        <v>42772</v>
      </c>
      <c r="D150" s="426">
        <v>410371</v>
      </c>
      <c r="E150" s="425" t="str">
        <f t="shared" ca="1" si="41"/>
        <v xml:space="preserve">Боолт </v>
      </c>
      <c r="F150" s="428" t="str">
        <f t="shared" ca="1" si="42"/>
        <v>ш</v>
      </c>
      <c r="G150" s="378">
        <v>2500</v>
      </c>
      <c r="H150" s="378">
        <v>127.272727</v>
      </c>
      <c r="I150" s="378">
        <f t="shared" ref="I150:I158" si="48">+IF(G150="","",G150*H150)</f>
        <v>318181.8175</v>
      </c>
      <c r="J150" s="378">
        <f t="shared" ref="J150:J158" si="49">+IF(G150="","",I150*0.1)</f>
        <v>31818.181750000003</v>
      </c>
      <c r="K150" s="1220">
        <f t="shared" ref="K150:K158" si="50">+IF(G150="","",I150+J150)</f>
        <v>349999.99924999999</v>
      </c>
      <c r="L150" s="378"/>
      <c r="M150" s="378"/>
      <c r="N150" s="378" t="str">
        <f t="shared" si="43"/>
        <v/>
      </c>
      <c r="O150" s="378" t="str">
        <f t="shared" si="44"/>
        <v/>
      </c>
      <c r="P150" s="378" t="str">
        <f t="shared" si="45"/>
        <v/>
      </c>
      <c r="Q150" s="378" t="str">
        <f t="shared" si="46"/>
        <v/>
      </c>
      <c r="R150" s="378" t="str">
        <f t="shared" si="47"/>
        <v/>
      </c>
      <c r="S150" s="609">
        <v>160100</v>
      </c>
      <c r="T150" s="378" t="str">
        <f>+IFERROR(VLOOKUP(S150,STAT1!$C$4:$D$189,2,FALSE),"")</f>
        <v xml:space="preserve">Барилгын материал </v>
      </c>
      <c r="U150" s="1225">
        <v>318181.8175</v>
      </c>
      <c r="V150" s="1216"/>
      <c r="W150" s="326">
        <v>1004</v>
      </c>
      <c r="X150" s="328" t="str">
        <f>IFERROR(VLOOKUP(W150,DATA!$G$4:$H$400,2,FALSE),"")</f>
        <v xml:space="preserve">Түмэндэлгэр </v>
      </c>
      <c r="Y150" s="1205"/>
      <c r="Z150" s="1205"/>
      <c r="AA150" s="1205"/>
    </row>
    <row r="151" spans="1:27" ht="12.75" customHeight="1">
      <c r="A151" s="15">
        <v>43</v>
      </c>
      <c r="B151" s="369">
        <f t="shared" si="40"/>
        <v>146</v>
      </c>
      <c r="C151" s="427">
        <v>42772</v>
      </c>
      <c r="D151" s="426"/>
      <c r="E151" s="425" t="str">
        <f t="shared" ca="1" si="41"/>
        <v/>
      </c>
      <c r="F151" s="428" t="str">
        <f t="shared" ca="1" si="42"/>
        <v/>
      </c>
      <c r="G151" s="378"/>
      <c r="H151" s="378"/>
      <c r="I151" s="378" t="str">
        <f t="shared" si="48"/>
        <v/>
      </c>
      <c r="J151" s="378" t="str">
        <f t="shared" si="49"/>
        <v/>
      </c>
      <c r="K151" s="1220" t="str">
        <f t="shared" si="50"/>
        <v/>
      </c>
      <c r="L151" s="378"/>
      <c r="M151" s="378"/>
      <c r="N151" s="378" t="str">
        <f t="shared" si="43"/>
        <v/>
      </c>
      <c r="O151" s="378" t="str">
        <f t="shared" si="44"/>
        <v/>
      </c>
      <c r="P151" s="378" t="str">
        <f t="shared" si="45"/>
        <v/>
      </c>
      <c r="Q151" s="378" t="str">
        <f t="shared" si="46"/>
        <v/>
      </c>
      <c r="R151" s="378" t="str">
        <f t="shared" si="47"/>
        <v/>
      </c>
      <c r="S151" s="609">
        <v>120600</v>
      </c>
      <c r="T151" s="378" t="str">
        <f>+IFERROR(VLOOKUP(S151,STAT1!$C$4:$D$189,2,FALSE),"")</f>
        <v>НӨАТ авлага</v>
      </c>
      <c r="U151" s="1225">
        <v>31818.181750000003</v>
      </c>
      <c r="V151" s="1216"/>
      <c r="W151" s="326">
        <v>1004</v>
      </c>
      <c r="X151" s="328" t="str">
        <f>IFERROR(VLOOKUP(W151,DATA!$G$4:$H$400,2,FALSE),"")</f>
        <v xml:space="preserve">Түмэндэлгэр </v>
      </c>
      <c r="Y151" s="1205"/>
      <c r="Z151" s="1205"/>
      <c r="AA151" s="1205"/>
    </row>
    <row r="152" spans="1:27" ht="12.75" customHeight="1">
      <c r="A152" s="15">
        <v>43</v>
      </c>
      <c r="B152" s="369">
        <f t="shared" si="40"/>
        <v>147</v>
      </c>
      <c r="C152" s="427">
        <v>42772</v>
      </c>
      <c r="D152" s="426"/>
      <c r="E152" s="425" t="str">
        <f t="shared" ca="1" si="41"/>
        <v/>
      </c>
      <c r="F152" s="428" t="str">
        <f t="shared" ca="1" si="42"/>
        <v/>
      </c>
      <c r="G152" s="378"/>
      <c r="H152" s="378"/>
      <c r="I152" s="378" t="str">
        <f t="shared" si="48"/>
        <v/>
      </c>
      <c r="J152" s="378" t="str">
        <f t="shared" si="49"/>
        <v/>
      </c>
      <c r="K152" s="1220" t="str">
        <f t="shared" si="50"/>
        <v/>
      </c>
      <c r="L152" s="378"/>
      <c r="M152" s="378"/>
      <c r="N152" s="378" t="str">
        <f t="shared" si="43"/>
        <v/>
      </c>
      <c r="O152" s="378" t="str">
        <f t="shared" si="44"/>
        <v/>
      </c>
      <c r="P152" s="378" t="str">
        <f t="shared" si="45"/>
        <v/>
      </c>
      <c r="Q152" s="378" t="str">
        <f t="shared" si="46"/>
        <v/>
      </c>
      <c r="R152" s="378" t="str">
        <f t="shared" si="47"/>
        <v/>
      </c>
      <c r="S152" s="609">
        <v>121200</v>
      </c>
      <c r="T152" s="378" t="str">
        <f>+IFERROR(VLOOKUP(S152,STAT1!$C$4:$D$189,2,FALSE),"")</f>
        <v xml:space="preserve">Ажилчидын дараа тайлангийн тооцоо </v>
      </c>
      <c r="U152" s="1225"/>
      <c r="V152" s="1216">
        <v>349999.99924999999</v>
      </c>
      <c r="W152" s="326">
        <v>1004</v>
      </c>
      <c r="X152" s="328" t="str">
        <f>IFERROR(VLOOKUP(W152,DATA!$G$4:$H$400,2,FALSE),"")</f>
        <v xml:space="preserve">Түмэндэлгэр </v>
      </c>
      <c r="Y152" s="1205"/>
      <c r="Z152" s="1205"/>
      <c r="AA152" s="1205"/>
    </row>
    <row r="153" spans="1:27" ht="12.75" customHeight="1">
      <c r="A153" s="15">
        <v>44</v>
      </c>
      <c r="B153" s="369">
        <f t="shared" si="40"/>
        <v>148</v>
      </c>
      <c r="C153" s="427">
        <v>42772</v>
      </c>
      <c r="D153" s="426">
        <v>410085</v>
      </c>
      <c r="E153" s="425" t="str">
        <f t="shared" ca="1" si="41"/>
        <v xml:space="preserve">НЦ-лак </v>
      </c>
      <c r="F153" s="428" t="str">
        <f t="shared" ca="1" si="42"/>
        <v>кг</v>
      </c>
      <c r="G153" s="378">
        <v>90</v>
      </c>
      <c r="H153" s="378">
        <v>6888.8888999999999</v>
      </c>
      <c r="I153" s="378">
        <f t="shared" si="48"/>
        <v>620000.00100000005</v>
      </c>
      <c r="J153" s="378">
        <f t="shared" si="49"/>
        <v>62000.000100000005</v>
      </c>
      <c r="K153" s="1220">
        <f t="shared" si="50"/>
        <v>682000.00109999999</v>
      </c>
      <c r="L153" s="378"/>
      <c r="M153" s="378"/>
      <c r="N153" s="378" t="str">
        <f t="shared" si="43"/>
        <v/>
      </c>
      <c r="O153" s="378" t="str">
        <f t="shared" si="44"/>
        <v/>
      </c>
      <c r="P153" s="378" t="str">
        <f t="shared" si="45"/>
        <v/>
      </c>
      <c r="Q153" s="378" t="str">
        <f t="shared" si="46"/>
        <v/>
      </c>
      <c r="R153" s="378" t="str">
        <f t="shared" si="47"/>
        <v/>
      </c>
      <c r="S153" s="602">
        <v>160100</v>
      </c>
      <c r="T153" s="378" t="str">
        <f>+IFERROR(VLOOKUP(S153,STAT1!$C$4:$D$189,2,FALSE),"")</f>
        <v xml:space="preserve">Барилгын материал </v>
      </c>
      <c r="U153" s="1225">
        <v>620000.00100000005</v>
      </c>
      <c r="V153" s="1216"/>
      <c r="W153" s="326">
        <v>3017</v>
      </c>
      <c r="X153" s="328" t="str">
        <f>IFERROR(VLOOKUP(W153,DATA!$G$4:$H$400,2,FALSE),"")</f>
        <v xml:space="preserve">ВОС ХХК </v>
      </c>
      <c r="Y153" s="1205"/>
      <c r="Z153" s="1205"/>
      <c r="AA153" s="1205"/>
    </row>
    <row r="154" spans="1:27" ht="12.75" customHeight="1">
      <c r="A154" s="15">
        <v>44</v>
      </c>
      <c r="B154" s="369">
        <f t="shared" si="40"/>
        <v>149</v>
      </c>
      <c r="C154" s="427">
        <v>42772</v>
      </c>
      <c r="D154" s="426"/>
      <c r="E154" s="425" t="str">
        <f t="shared" ca="1" si="41"/>
        <v/>
      </c>
      <c r="F154" s="428" t="str">
        <f t="shared" ca="1" si="42"/>
        <v/>
      </c>
      <c r="G154" s="378"/>
      <c r="H154" s="378"/>
      <c r="I154" s="378" t="str">
        <f t="shared" si="48"/>
        <v/>
      </c>
      <c r="J154" s="378" t="str">
        <f t="shared" si="49"/>
        <v/>
      </c>
      <c r="K154" s="1220" t="str">
        <f t="shared" si="50"/>
        <v/>
      </c>
      <c r="L154" s="378"/>
      <c r="M154" s="378"/>
      <c r="N154" s="378" t="str">
        <f t="shared" si="43"/>
        <v/>
      </c>
      <c r="O154" s="378" t="str">
        <f t="shared" si="44"/>
        <v/>
      </c>
      <c r="P154" s="378" t="str">
        <f t="shared" si="45"/>
        <v/>
      </c>
      <c r="Q154" s="378" t="str">
        <f t="shared" si="46"/>
        <v/>
      </c>
      <c r="R154" s="378" t="str">
        <f t="shared" si="47"/>
        <v/>
      </c>
      <c r="S154" s="602">
        <v>120600</v>
      </c>
      <c r="T154" s="378" t="str">
        <f>+IFERROR(VLOOKUP(S154,STAT1!$C$4:$D$189,2,FALSE),"")</f>
        <v>НӨАТ авлага</v>
      </c>
      <c r="U154" s="1225">
        <v>62000</v>
      </c>
      <c r="V154" s="1216"/>
      <c r="W154" s="326">
        <v>3017</v>
      </c>
      <c r="X154" s="328" t="str">
        <f>IFERROR(VLOOKUP(W154,DATA!$G$4:$H$400,2,FALSE),"")</f>
        <v xml:space="preserve">ВОС ХХК </v>
      </c>
      <c r="Y154" s="1205"/>
      <c r="Z154" s="1205"/>
      <c r="AA154" s="1205"/>
    </row>
    <row r="155" spans="1:27" ht="12.75" customHeight="1">
      <c r="A155" s="15">
        <v>44</v>
      </c>
      <c r="B155" s="369">
        <f t="shared" si="40"/>
        <v>150</v>
      </c>
      <c r="C155" s="427">
        <v>42772</v>
      </c>
      <c r="D155" s="426"/>
      <c r="E155" s="425" t="str">
        <f t="shared" ca="1" si="41"/>
        <v/>
      </c>
      <c r="F155" s="428" t="str">
        <f t="shared" ca="1" si="42"/>
        <v/>
      </c>
      <c r="G155" s="378"/>
      <c r="H155" s="378"/>
      <c r="I155" s="378" t="str">
        <f t="shared" si="48"/>
        <v/>
      </c>
      <c r="J155" s="378" t="str">
        <f t="shared" si="49"/>
        <v/>
      </c>
      <c r="K155" s="1220" t="str">
        <f t="shared" si="50"/>
        <v/>
      </c>
      <c r="L155" s="378"/>
      <c r="M155" s="378"/>
      <c r="N155" s="378" t="str">
        <f t="shared" si="43"/>
        <v/>
      </c>
      <c r="O155" s="378" t="str">
        <f t="shared" si="44"/>
        <v/>
      </c>
      <c r="P155" s="378" t="str">
        <f t="shared" si="45"/>
        <v/>
      </c>
      <c r="Q155" s="378" t="str">
        <f t="shared" si="46"/>
        <v/>
      </c>
      <c r="R155" s="378" t="str">
        <f t="shared" si="47"/>
        <v/>
      </c>
      <c r="S155" s="602">
        <v>120100</v>
      </c>
      <c r="T155" s="378" t="str">
        <f>+IFERROR(VLOOKUP(S155,STAT1!$C$4:$D$189,2,FALSE),"")</f>
        <v xml:space="preserve">Дансны авлага MNT </v>
      </c>
      <c r="U155" s="1225"/>
      <c r="V155" s="1216">
        <v>682000</v>
      </c>
      <c r="W155" s="326">
        <v>3017</v>
      </c>
      <c r="X155" s="328" t="str">
        <f>IFERROR(VLOOKUP(W155,DATA!$G$4:$H$400,2,FALSE),"")</f>
        <v xml:space="preserve">ВОС ХХК </v>
      </c>
      <c r="Y155" s="1205"/>
      <c r="Z155" s="1205"/>
      <c r="AA155" s="1205"/>
    </row>
    <row r="156" spans="1:27" ht="12.75" customHeight="1">
      <c r="A156" s="15">
        <v>45</v>
      </c>
      <c r="B156" s="369">
        <f t="shared" si="40"/>
        <v>151</v>
      </c>
      <c r="C156" s="427">
        <v>42772</v>
      </c>
      <c r="D156" s="426">
        <v>410054</v>
      </c>
      <c r="E156" s="425" t="str">
        <f t="shared" ca="1" si="41"/>
        <v xml:space="preserve">Будаг шингэлэгч </v>
      </c>
      <c r="F156" s="428" t="str">
        <f t="shared" ca="1" si="42"/>
        <v>ш</v>
      </c>
      <c r="G156" s="378">
        <v>60</v>
      </c>
      <c r="H156" s="378">
        <v>1700</v>
      </c>
      <c r="I156" s="378">
        <f t="shared" si="48"/>
        <v>102000</v>
      </c>
      <c r="J156" s="378">
        <f t="shared" si="49"/>
        <v>10200</v>
      </c>
      <c r="K156" s="1220">
        <f t="shared" si="50"/>
        <v>112200</v>
      </c>
      <c r="L156" s="378"/>
      <c r="M156" s="378"/>
      <c r="N156" s="378" t="str">
        <f t="shared" si="43"/>
        <v/>
      </c>
      <c r="O156" s="378" t="str">
        <f t="shared" si="44"/>
        <v/>
      </c>
      <c r="P156" s="378" t="str">
        <f t="shared" si="45"/>
        <v/>
      </c>
      <c r="Q156" s="378" t="str">
        <f t="shared" si="46"/>
        <v/>
      </c>
      <c r="R156" s="378" t="str">
        <f t="shared" si="47"/>
        <v/>
      </c>
      <c r="S156" s="602">
        <v>160100</v>
      </c>
      <c r="T156" s="378" t="str">
        <f>+IFERROR(VLOOKUP(S156,STAT1!$C$4:$D$189,2,FALSE),"")</f>
        <v xml:space="preserve">Барилгын материал </v>
      </c>
      <c r="U156" s="1225">
        <v>102000</v>
      </c>
      <c r="V156" s="1216"/>
      <c r="W156" s="326">
        <v>3017</v>
      </c>
      <c r="X156" s="328" t="str">
        <f>IFERROR(VLOOKUP(W156,DATA!$G$4:$H$400,2,FALSE),"")</f>
        <v xml:space="preserve">ВОС ХХК </v>
      </c>
      <c r="Y156" s="1205"/>
      <c r="Z156" s="1205"/>
      <c r="AA156" s="1205"/>
    </row>
    <row r="157" spans="1:27" ht="12.75" customHeight="1">
      <c r="A157" s="15">
        <v>45</v>
      </c>
      <c r="B157" s="369">
        <f t="shared" si="40"/>
        <v>152</v>
      </c>
      <c r="C157" s="427">
        <v>42772</v>
      </c>
      <c r="D157" s="426"/>
      <c r="E157" s="425" t="str">
        <f t="shared" ca="1" si="41"/>
        <v/>
      </c>
      <c r="F157" s="428" t="str">
        <f t="shared" ca="1" si="42"/>
        <v/>
      </c>
      <c r="G157" s="378"/>
      <c r="H157" s="378"/>
      <c r="I157" s="378" t="str">
        <f t="shared" si="48"/>
        <v/>
      </c>
      <c r="J157" s="378" t="str">
        <f t="shared" si="49"/>
        <v/>
      </c>
      <c r="K157" s="1220" t="str">
        <f t="shared" si="50"/>
        <v/>
      </c>
      <c r="L157" s="378"/>
      <c r="M157" s="378"/>
      <c r="N157" s="378" t="str">
        <f t="shared" si="43"/>
        <v/>
      </c>
      <c r="O157" s="378" t="str">
        <f t="shared" si="44"/>
        <v/>
      </c>
      <c r="P157" s="378" t="str">
        <f t="shared" si="45"/>
        <v/>
      </c>
      <c r="Q157" s="378" t="str">
        <f t="shared" si="46"/>
        <v/>
      </c>
      <c r="R157" s="378" t="str">
        <f t="shared" si="47"/>
        <v/>
      </c>
      <c r="S157" s="602">
        <v>120600</v>
      </c>
      <c r="T157" s="378" t="str">
        <f>+IFERROR(VLOOKUP(S157,STAT1!$C$4:$D$189,2,FALSE),"")</f>
        <v>НӨАТ авлага</v>
      </c>
      <c r="U157" s="1225">
        <v>10200</v>
      </c>
      <c r="V157" s="1216"/>
      <c r="W157" s="326">
        <v>3017</v>
      </c>
      <c r="X157" s="328" t="str">
        <f>IFERROR(VLOOKUP(W157,DATA!$G$4:$H$400,2,FALSE),"")</f>
        <v xml:space="preserve">ВОС ХХК </v>
      </c>
      <c r="Y157" s="1205"/>
      <c r="Z157" s="1205"/>
      <c r="AA157" s="1205"/>
    </row>
    <row r="158" spans="1:27" ht="12.75" customHeight="1">
      <c r="A158" s="15">
        <v>45</v>
      </c>
      <c r="B158" s="369">
        <f t="shared" si="40"/>
        <v>153</v>
      </c>
      <c r="C158" s="427">
        <v>42772</v>
      </c>
      <c r="D158" s="426"/>
      <c r="E158" s="425" t="str">
        <f t="shared" ca="1" si="41"/>
        <v/>
      </c>
      <c r="F158" s="428" t="str">
        <f t="shared" ca="1" si="42"/>
        <v/>
      </c>
      <c r="G158" s="378"/>
      <c r="H158" s="378"/>
      <c r="I158" s="378" t="str">
        <f t="shared" si="48"/>
        <v/>
      </c>
      <c r="J158" s="378" t="str">
        <f t="shared" si="49"/>
        <v/>
      </c>
      <c r="K158" s="1220" t="str">
        <f t="shared" si="50"/>
        <v/>
      </c>
      <c r="L158" s="378"/>
      <c r="M158" s="378"/>
      <c r="N158" s="378" t="str">
        <f t="shared" si="43"/>
        <v/>
      </c>
      <c r="O158" s="378" t="str">
        <f t="shared" si="44"/>
        <v/>
      </c>
      <c r="P158" s="378" t="str">
        <f t="shared" si="45"/>
        <v/>
      </c>
      <c r="Q158" s="378" t="str">
        <f t="shared" si="46"/>
        <v/>
      </c>
      <c r="R158" s="378" t="str">
        <f t="shared" si="47"/>
        <v/>
      </c>
      <c r="S158" s="602">
        <v>120100</v>
      </c>
      <c r="T158" s="378" t="str">
        <f>+IFERROR(VLOOKUP(S158,STAT1!$C$4:$D$189,2,FALSE),"")</f>
        <v xml:space="preserve">Дансны авлага MNT </v>
      </c>
      <c r="U158" s="1225"/>
      <c r="V158" s="1216">
        <v>112200</v>
      </c>
      <c r="W158" s="326">
        <v>3017</v>
      </c>
      <c r="X158" s="328" t="str">
        <f>IFERROR(VLOOKUP(W158,DATA!$G$4:$H$400,2,FALSE),"")</f>
        <v xml:space="preserve">ВОС ХХК </v>
      </c>
      <c r="Y158" s="1205"/>
      <c r="Z158" s="1205"/>
      <c r="AA158" s="1205"/>
    </row>
    <row r="159" spans="1:27" ht="12.75" customHeight="1">
      <c r="A159" s="15">
        <v>46</v>
      </c>
      <c r="B159" s="369">
        <f t="shared" si="40"/>
        <v>154</v>
      </c>
      <c r="C159" s="427">
        <v>42772</v>
      </c>
      <c r="D159" s="426">
        <v>210003</v>
      </c>
      <c r="E159" s="425" t="str">
        <f t="shared" ca="1" si="41"/>
        <v>Н-Наамал дүнз</v>
      </c>
      <c r="F159" s="428" t="str">
        <f t="shared" ca="1" si="42"/>
        <v>м2</v>
      </c>
      <c r="G159" s="378"/>
      <c r="H159" s="378"/>
      <c r="I159" s="378"/>
      <c r="J159" s="378"/>
      <c r="K159" s="1220"/>
      <c r="L159" s="378">
        <v>5.9260000000000002</v>
      </c>
      <c r="M159" s="378">
        <v>254571.53390000001</v>
      </c>
      <c r="N159" s="378">
        <f t="shared" si="43"/>
        <v>1508590.9098914</v>
      </c>
      <c r="O159" s="378">
        <f t="shared" si="44"/>
        <v>150859.09098914001</v>
      </c>
      <c r="P159" s="378">
        <f t="shared" si="45"/>
        <v>1659450.0008805401</v>
      </c>
      <c r="Q159" s="378">
        <f t="shared" ca="1" si="46"/>
        <v>191123.5667321017</v>
      </c>
      <c r="R159" s="378">
        <f t="shared" ca="1" si="47"/>
        <v>1132598.2564544347</v>
      </c>
      <c r="S159" s="609">
        <v>150101</v>
      </c>
      <c r="T159" s="378" t="str">
        <f>+IFERROR(VLOOKUP(S159,STAT1!$C$4:$D$189,2,FALSE),"")</f>
        <v>Бараа бэлэн бүтээгдэхүүн БОЛОВСРУУЛАХ ЦЕХ /нарс/</v>
      </c>
      <c r="U159" s="1225"/>
      <c r="V159" s="1216">
        <v>1132598.2564544347</v>
      </c>
      <c r="W159" s="326">
        <v>4001</v>
      </c>
      <c r="X159" s="328" t="str">
        <f>IFERROR(VLOOKUP(W159,DATA!$G$4:$H$400,2,FALSE),"")</f>
        <v>Сайннямбуу</v>
      </c>
      <c r="Y159" s="1205"/>
      <c r="Z159" s="1205"/>
      <c r="AA159" s="1205"/>
    </row>
    <row r="160" spans="1:27" ht="12.75" customHeight="1">
      <c r="A160" s="15">
        <v>46</v>
      </c>
      <c r="B160" s="369">
        <f t="shared" si="40"/>
        <v>155</v>
      </c>
      <c r="C160" s="427">
        <v>42772</v>
      </c>
      <c r="D160" s="426"/>
      <c r="E160" s="425"/>
      <c r="F160" s="428"/>
      <c r="G160" s="378"/>
      <c r="H160" s="378"/>
      <c r="I160" s="378"/>
      <c r="J160" s="378"/>
      <c r="K160" s="1220"/>
      <c r="L160" s="378"/>
      <c r="M160" s="378"/>
      <c r="N160" s="378"/>
      <c r="O160" s="378"/>
      <c r="P160" s="378"/>
      <c r="Q160" s="378"/>
      <c r="R160" s="378"/>
      <c r="S160" s="609">
        <v>610100</v>
      </c>
      <c r="T160" s="378" t="str">
        <f>+IFERROR(VLOOKUP(S160,STAT1!$C$4:$D$189,2,FALSE),"")</f>
        <v>Борлуулсан барааны өртөг</v>
      </c>
      <c r="U160" s="1216">
        <v>1132598.2564544347</v>
      </c>
      <c r="V160" s="1216"/>
      <c r="W160" s="326">
        <v>4001</v>
      </c>
      <c r="X160" s="328" t="str">
        <f>IFERROR(VLOOKUP(W160,DATA!$G$4:$H$400,2,FALSE),"")</f>
        <v>Сайннямбуу</v>
      </c>
      <c r="Y160" s="1205"/>
      <c r="Z160" s="1205"/>
      <c r="AA160" s="1205"/>
    </row>
    <row r="161" spans="1:27" ht="12.75" customHeight="1">
      <c r="A161" s="15">
        <v>46</v>
      </c>
      <c r="B161" s="369">
        <f t="shared" si="40"/>
        <v>156</v>
      </c>
      <c r="C161" s="427">
        <v>42772</v>
      </c>
      <c r="D161" s="426"/>
      <c r="E161" s="425" t="str">
        <f t="shared" ref="E161:E170" ca="1" si="51">+IFERROR(VLOOKUP(D161,TN_table,2,FALSE),"")</f>
        <v/>
      </c>
      <c r="F161" s="428" t="str">
        <f t="shared" ref="F161:F170" ca="1" si="52">+IFERROR(VLOOKUP(D161,TN_table,3,FALSE),"")</f>
        <v/>
      </c>
      <c r="G161" s="378"/>
      <c r="H161" s="378"/>
      <c r="I161" s="378"/>
      <c r="J161" s="378"/>
      <c r="K161" s="1220"/>
      <c r="L161" s="378"/>
      <c r="M161" s="378"/>
      <c r="N161" s="378" t="str">
        <f t="shared" ref="N161:N170" si="53">+IF(L161="","",L161*M161)</f>
        <v/>
      </c>
      <c r="O161" s="378" t="str">
        <f t="shared" ref="O161:O170" si="54">+IF(L161="","",N161*0.1)</f>
        <v/>
      </c>
      <c r="P161" s="378" t="str">
        <f t="shared" ref="P161:P170" si="55">+IF(L161="","",N161+O161)</f>
        <v/>
      </c>
      <c r="Q161" s="378" t="str">
        <f t="shared" ref="Q161:Q170" si="56">IF(L161="","",IFERROR((SUMIFS(TN_balC1_totol,TN_code,D161)+SUMIFS(RC_or_totol,RC_Code,D161,RC_date,"&lt;="&amp;C161)-SUMIFS(RC_zar_totol,RC_Code,D161,RC_date,"&lt;"&amp;C161)) /( SUMIFS(TN_balC1_unit,TN_code,D161)+SUMIFS(RC_or_unit,RC_Code,D161,RC_date,"&lt;="&amp;C161)-SUMIFS(RC_zar_unit,RC_Code,D161,RC_date,"&lt;"&amp;C161)),0 ))</f>
        <v/>
      </c>
      <c r="R161" s="378" t="str">
        <f t="shared" ref="R161:R170" si="57">+IF(L161="","",L161*Q161)</f>
        <v/>
      </c>
      <c r="S161" s="609">
        <v>310500</v>
      </c>
      <c r="T161" s="378" t="str">
        <f>+IFERROR(VLOOKUP(S161,STAT1!$C$4:$D$189,2,FALSE),"")</f>
        <v>НӨАТ өглөг</v>
      </c>
      <c r="U161" s="1225"/>
      <c r="V161" s="1216">
        <v>150859.09098914001</v>
      </c>
      <c r="W161" s="326">
        <v>4001</v>
      </c>
      <c r="X161" s="328" t="str">
        <f>IFERROR(VLOOKUP(W161,DATA!$G$4:$H$400,2,FALSE),"")</f>
        <v>Сайннямбуу</v>
      </c>
      <c r="Y161" s="1205"/>
      <c r="Z161" s="1205"/>
      <c r="AA161" s="1205"/>
    </row>
    <row r="162" spans="1:27" ht="12.75" customHeight="1">
      <c r="A162" s="15">
        <v>46</v>
      </c>
      <c r="B162" s="369">
        <f t="shared" si="40"/>
        <v>157</v>
      </c>
      <c r="C162" s="427">
        <v>42772</v>
      </c>
      <c r="D162" s="426"/>
      <c r="E162" s="425" t="str">
        <f t="shared" ca="1" si="51"/>
        <v/>
      </c>
      <c r="F162" s="428" t="str">
        <f t="shared" ca="1" si="52"/>
        <v/>
      </c>
      <c r="G162" s="378"/>
      <c r="H162" s="378"/>
      <c r="I162" s="378"/>
      <c r="J162" s="378"/>
      <c r="K162" s="1220"/>
      <c r="L162" s="378"/>
      <c r="M162" s="378"/>
      <c r="N162" s="378" t="str">
        <f t="shared" si="53"/>
        <v/>
      </c>
      <c r="O162" s="378" t="str">
        <f t="shared" si="54"/>
        <v/>
      </c>
      <c r="P162" s="378" t="str">
        <f t="shared" si="55"/>
        <v/>
      </c>
      <c r="Q162" s="378" t="str">
        <f t="shared" si="56"/>
        <v/>
      </c>
      <c r="R162" s="378" t="str">
        <f t="shared" si="57"/>
        <v/>
      </c>
      <c r="S162" s="609">
        <v>510000</v>
      </c>
      <c r="T162" s="378" t="str">
        <f>+IFERROR(VLOOKUP(S162,STAT1!$C$4:$D$189,2,FALSE),"")</f>
        <v>Үндсэн үйл ажиллагааны борлуулалт</v>
      </c>
      <c r="U162" s="1225"/>
      <c r="V162" s="1216">
        <v>1508590.9098914</v>
      </c>
      <c r="W162" s="326">
        <v>4001</v>
      </c>
      <c r="X162" s="328" t="str">
        <f>IFERROR(VLOOKUP(W162,DATA!$G$4:$H$400,2,FALSE),"")</f>
        <v>Сайннямбуу</v>
      </c>
      <c r="Y162" s="1205"/>
      <c r="Z162" s="1205"/>
      <c r="AA162" s="1205"/>
    </row>
    <row r="163" spans="1:27" ht="12.75" customHeight="1">
      <c r="A163" s="15">
        <v>46</v>
      </c>
      <c r="B163" s="369">
        <f t="shared" si="40"/>
        <v>158</v>
      </c>
      <c r="C163" s="427">
        <v>42772</v>
      </c>
      <c r="D163" s="426"/>
      <c r="E163" s="425" t="str">
        <f t="shared" ca="1" si="51"/>
        <v/>
      </c>
      <c r="F163" s="428" t="str">
        <f t="shared" ca="1" si="52"/>
        <v/>
      </c>
      <c r="G163" s="378"/>
      <c r="H163" s="378"/>
      <c r="I163" s="378"/>
      <c r="J163" s="378"/>
      <c r="K163" s="1220"/>
      <c r="L163" s="378"/>
      <c r="M163" s="378"/>
      <c r="N163" s="378" t="str">
        <f t="shared" si="53"/>
        <v/>
      </c>
      <c r="O163" s="378" t="str">
        <f t="shared" si="54"/>
        <v/>
      </c>
      <c r="P163" s="378" t="str">
        <f t="shared" si="55"/>
        <v/>
      </c>
      <c r="Q163" s="378" t="str">
        <f t="shared" si="56"/>
        <v/>
      </c>
      <c r="R163" s="378" t="str">
        <f t="shared" si="57"/>
        <v/>
      </c>
      <c r="S163" s="609">
        <v>320100</v>
      </c>
      <c r="T163" s="378" t="str">
        <f>+IFERROR(VLOOKUP(S163,STAT1!$C$4:$D$189,2,FALSE),"")</f>
        <v>Урьдчилж орсон орлого MNT</v>
      </c>
      <c r="U163" s="1225">
        <v>1659450.0008805401</v>
      </c>
      <c r="V163" s="1216"/>
      <c r="W163" s="326">
        <v>4001</v>
      </c>
      <c r="X163" s="328" t="str">
        <f>IFERROR(VLOOKUP(W163,DATA!$G$4:$H$400,2,FALSE),"")</f>
        <v>Сайннямбуу</v>
      </c>
      <c r="Y163" s="1205"/>
      <c r="Z163" s="1205"/>
      <c r="AA163" s="1205"/>
    </row>
    <row r="164" spans="1:27" ht="12.75" customHeight="1">
      <c r="A164" s="15">
        <v>47</v>
      </c>
      <c r="B164" s="369">
        <f t="shared" si="40"/>
        <v>159</v>
      </c>
      <c r="C164" s="427">
        <v>42779</v>
      </c>
      <c r="D164" s="426">
        <v>410085</v>
      </c>
      <c r="E164" s="425" t="str">
        <f t="shared" ca="1" si="51"/>
        <v xml:space="preserve">НЦ-лак </v>
      </c>
      <c r="F164" s="428" t="str">
        <f t="shared" ca="1" si="52"/>
        <v>кг</v>
      </c>
      <c r="G164" s="378">
        <v>45</v>
      </c>
      <c r="H164" s="378">
        <v>7111.1111000000001</v>
      </c>
      <c r="I164" s="378">
        <f t="shared" ref="I164:I169" si="58">+IF(G164="","",G164*H164)</f>
        <v>319999.99949999998</v>
      </c>
      <c r="J164" s="378">
        <f t="shared" ref="J164:J169" si="59">+IF(G164="","",I164*0.1)</f>
        <v>31999.999949999998</v>
      </c>
      <c r="K164" s="1220">
        <f t="shared" ref="K164:K169" si="60">+IF(G164="","",I164+J164)</f>
        <v>351999.99945</v>
      </c>
      <c r="L164" s="378"/>
      <c r="M164" s="378"/>
      <c r="N164" s="378" t="str">
        <f t="shared" si="53"/>
        <v/>
      </c>
      <c r="O164" s="378" t="str">
        <f t="shared" si="54"/>
        <v/>
      </c>
      <c r="P164" s="378" t="str">
        <f t="shared" si="55"/>
        <v/>
      </c>
      <c r="Q164" s="378" t="str">
        <f t="shared" si="56"/>
        <v/>
      </c>
      <c r="R164" s="378" t="str">
        <f t="shared" si="57"/>
        <v/>
      </c>
      <c r="S164" s="602">
        <v>160100</v>
      </c>
      <c r="T164" s="378" t="str">
        <f>+IFERROR(VLOOKUP(S164,STAT1!$C$4:$D$189,2,FALSE),"")</f>
        <v xml:space="preserve">Барилгын материал </v>
      </c>
      <c r="U164" s="1225">
        <v>319999.99949999998</v>
      </c>
      <c r="V164" s="1216"/>
      <c r="W164" s="326">
        <v>3017</v>
      </c>
      <c r="X164" s="328" t="str">
        <f>IFERROR(VLOOKUP(W164,DATA!$G$4:$H$400,2,FALSE),"")</f>
        <v xml:space="preserve">ВОС ХХК </v>
      </c>
      <c r="Y164" s="1205"/>
      <c r="Z164" s="1205"/>
      <c r="AA164" s="1205"/>
    </row>
    <row r="165" spans="1:27" ht="12.75" customHeight="1">
      <c r="A165" s="15">
        <v>47</v>
      </c>
      <c r="B165" s="369">
        <f t="shared" si="40"/>
        <v>160</v>
      </c>
      <c r="C165" s="427">
        <v>42779</v>
      </c>
      <c r="D165" s="426"/>
      <c r="E165" s="425" t="str">
        <f t="shared" ca="1" si="51"/>
        <v/>
      </c>
      <c r="F165" s="428" t="str">
        <f t="shared" ca="1" si="52"/>
        <v/>
      </c>
      <c r="G165" s="378"/>
      <c r="H165" s="378"/>
      <c r="I165" s="378" t="str">
        <f t="shared" si="58"/>
        <v/>
      </c>
      <c r="J165" s="378" t="str">
        <f t="shared" si="59"/>
        <v/>
      </c>
      <c r="K165" s="1220" t="str">
        <f t="shared" si="60"/>
        <v/>
      </c>
      <c r="L165" s="378"/>
      <c r="M165" s="378"/>
      <c r="N165" s="378" t="str">
        <f t="shared" si="53"/>
        <v/>
      </c>
      <c r="O165" s="378" t="str">
        <f t="shared" si="54"/>
        <v/>
      </c>
      <c r="P165" s="378" t="str">
        <f t="shared" si="55"/>
        <v/>
      </c>
      <c r="Q165" s="378" t="str">
        <f t="shared" si="56"/>
        <v/>
      </c>
      <c r="R165" s="378" t="str">
        <f t="shared" si="57"/>
        <v/>
      </c>
      <c r="S165" s="602">
        <v>120600</v>
      </c>
      <c r="T165" s="378" t="str">
        <f>+IFERROR(VLOOKUP(S165,STAT1!$C$4:$D$189,2,FALSE),"")</f>
        <v>НӨАТ авлага</v>
      </c>
      <c r="U165" s="1225">
        <v>31999.999949999998</v>
      </c>
      <c r="V165" s="1216"/>
      <c r="W165" s="326">
        <v>3017</v>
      </c>
      <c r="X165" s="328" t="str">
        <f>IFERROR(VLOOKUP(W165,DATA!$G$4:$H$400,2,FALSE),"")</f>
        <v xml:space="preserve">ВОС ХХК </v>
      </c>
      <c r="Y165" s="1205"/>
      <c r="Z165" s="1205"/>
      <c r="AA165" s="1205"/>
    </row>
    <row r="166" spans="1:27" ht="12.75" customHeight="1">
      <c r="A166" s="15">
        <v>47</v>
      </c>
      <c r="B166" s="369">
        <f t="shared" si="40"/>
        <v>161</v>
      </c>
      <c r="C166" s="427">
        <v>42779</v>
      </c>
      <c r="D166" s="426"/>
      <c r="E166" s="425" t="str">
        <f t="shared" ca="1" si="51"/>
        <v/>
      </c>
      <c r="F166" s="428" t="str">
        <f t="shared" ca="1" si="52"/>
        <v/>
      </c>
      <c r="G166" s="378"/>
      <c r="H166" s="378"/>
      <c r="I166" s="378" t="str">
        <f t="shared" si="58"/>
        <v/>
      </c>
      <c r="J166" s="378" t="str">
        <f t="shared" si="59"/>
        <v/>
      </c>
      <c r="K166" s="1220" t="str">
        <f t="shared" si="60"/>
        <v/>
      </c>
      <c r="L166" s="378"/>
      <c r="M166" s="378"/>
      <c r="N166" s="378" t="str">
        <f t="shared" si="53"/>
        <v/>
      </c>
      <c r="O166" s="378" t="str">
        <f t="shared" si="54"/>
        <v/>
      </c>
      <c r="P166" s="378" t="str">
        <f t="shared" si="55"/>
        <v/>
      </c>
      <c r="Q166" s="378" t="str">
        <f t="shared" si="56"/>
        <v/>
      </c>
      <c r="R166" s="378" t="str">
        <f t="shared" si="57"/>
        <v/>
      </c>
      <c r="S166" s="602">
        <v>120100</v>
      </c>
      <c r="T166" s="378" t="str">
        <f>+IFERROR(VLOOKUP(S166,STAT1!$C$4:$D$189,2,FALSE),"")</f>
        <v xml:space="preserve">Дансны авлага MNT </v>
      </c>
      <c r="U166" s="1225"/>
      <c r="V166" s="1216">
        <v>351999.99945</v>
      </c>
      <c r="W166" s="326">
        <v>3017</v>
      </c>
      <c r="X166" s="328" t="str">
        <f>IFERROR(VLOOKUP(W166,DATA!$G$4:$H$400,2,FALSE),"")</f>
        <v xml:space="preserve">ВОС ХХК </v>
      </c>
      <c r="Y166" s="1205"/>
      <c r="Z166" s="1205"/>
      <c r="AA166" s="1205"/>
    </row>
    <row r="167" spans="1:27" ht="12.75" customHeight="1">
      <c r="A167" s="15">
        <v>48</v>
      </c>
      <c r="B167" s="369">
        <f t="shared" si="40"/>
        <v>162</v>
      </c>
      <c r="C167" s="427">
        <v>42779</v>
      </c>
      <c r="D167" s="426">
        <v>410054</v>
      </c>
      <c r="E167" s="425" t="str">
        <f t="shared" ca="1" si="51"/>
        <v xml:space="preserve">Будаг шингэлэгч </v>
      </c>
      <c r="F167" s="428" t="str">
        <f t="shared" ca="1" si="52"/>
        <v>ш</v>
      </c>
      <c r="G167" s="378">
        <v>40</v>
      </c>
      <c r="H167" s="378">
        <v>1700</v>
      </c>
      <c r="I167" s="378">
        <f t="shared" si="58"/>
        <v>68000</v>
      </c>
      <c r="J167" s="378">
        <f t="shared" si="59"/>
        <v>6800</v>
      </c>
      <c r="K167" s="1220">
        <f t="shared" si="60"/>
        <v>74800</v>
      </c>
      <c r="L167" s="378"/>
      <c r="M167" s="378"/>
      <c r="N167" s="378" t="str">
        <f t="shared" si="53"/>
        <v/>
      </c>
      <c r="O167" s="378" t="str">
        <f t="shared" si="54"/>
        <v/>
      </c>
      <c r="P167" s="378" t="str">
        <f t="shared" si="55"/>
        <v/>
      </c>
      <c r="Q167" s="378" t="str">
        <f t="shared" si="56"/>
        <v/>
      </c>
      <c r="R167" s="378" t="str">
        <f t="shared" si="57"/>
        <v/>
      </c>
      <c r="S167" s="602">
        <v>160100</v>
      </c>
      <c r="T167" s="378" t="str">
        <f>+IFERROR(VLOOKUP(S167,STAT1!$C$4:$D$189,2,FALSE),"")</f>
        <v xml:space="preserve">Барилгын материал </v>
      </c>
      <c r="U167" s="1225">
        <v>68000</v>
      </c>
      <c r="V167" s="1216"/>
      <c r="W167" s="326">
        <v>3017</v>
      </c>
      <c r="X167" s="328" t="str">
        <f>IFERROR(VLOOKUP(W167,DATA!$G$4:$H$400,2,FALSE),"")</f>
        <v xml:space="preserve">ВОС ХХК </v>
      </c>
      <c r="Y167" s="1205"/>
      <c r="Z167" s="1205"/>
      <c r="AA167" s="1205"/>
    </row>
    <row r="168" spans="1:27" ht="12.75" customHeight="1">
      <c r="A168" s="15">
        <v>48</v>
      </c>
      <c r="B168" s="369">
        <f t="shared" si="40"/>
        <v>163</v>
      </c>
      <c r="C168" s="427">
        <v>42779</v>
      </c>
      <c r="D168" s="426"/>
      <c r="E168" s="425" t="str">
        <f t="shared" ca="1" si="51"/>
        <v/>
      </c>
      <c r="F168" s="428" t="str">
        <f t="shared" ca="1" si="52"/>
        <v/>
      </c>
      <c r="G168" s="378"/>
      <c r="H168" s="378"/>
      <c r="I168" s="378" t="str">
        <f t="shared" si="58"/>
        <v/>
      </c>
      <c r="J168" s="378" t="str">
        <f t="shared" si="59"/>
        <v/>
      </c>
      <c r="K168" s="1220" t="str">
        <f t="shared" si="60"/>
        <v/>
      </c>
      <c r="L168" s="378"/>
      <c r="M168" s="378"/>
      <c r="N168" s="378" t="str">
        <f t="shared" si="53"/>
        <v/>
      </c>
      <c r="O168" s="378" t="str">
        <f t="shared" si="54"/>
        <v/>
      </c>
      <c r="P168" s="378" t="str">
        <f t="shared" si="55"/>
        <v/>
      </c>
      <c r="Q168" s="378" t="str">
        <f t="shared" si="56"/>
        <v/>
      </c>
      <c r="R168" s="378" t="str">
        <f t="shared" si="57"/>
        <v/>
      </c>
      <c r="S168" s="602">
        <v>120600</v>
      </c>
      <c r="T168" s="378" t="str">
        <f>+IFERROR(VLOOKUP(S168,STAT1!$C$4:$D$189,2,FALSE),"")</f>
        <v>НӨАТ авлага</v>
      </c>
      <c r="U168" s="1225">
        <v>6800</v>
      </c>
      <c r="V168" s="1216"/>
      <c r="W168" s="326">
        <v>3017</v>
      </c>
      <c r="X168" s="328" t="str">
        <f>IFERROR(VLOOKUP(W168,DATA!$G$4:$H$400,2,FALSE),"")</f>
        <v xml:space="preserve">ВОС ХХК </v>
      </c>
      <c r="Y168" s="1205"/>
      <c r="Z168" s="1205"/>
      <c r="AA168" s="1205"/>
    </row>
    <row r="169" spans="1:27" ht="12.75" customHeight="1">
      <c r="A169" s="15">
        <v>48</v>
      </c>
      <c r="B169" s="369">
        <f t="shared" si="40"/>
        <v>164</v>
      </c>
      <c r="C169" s="427">
        <v>42779</v>
      </c>
      <c r="D169" s="426"/>
      <c r="E169" s="425" t="str">
        <f t="shared" ca="1" si="51"/>
        <v/>
      </c>
      <c r="F169" s="428" t="str">
        <f t="shared" ca="1" si="52"/>
        <v/>
      </c>
      <c r="G169" s="378"/>
      <c r="H169" s="378"/>
      <c r="I169" s="378" t="str">
        <f t="shared" si="58"/>
        <v/>
      </c>
      <c r="J169" s="378" t="str">
        <f t="shared" si="59"/>
        <v/>
      </c>
      <c r="K169" s="1220" t="str">
        <f t="shared" si="60"/>
        <v/>
      </c>
      <c r="L169" s="378"/>
      <c r="M169" s="378"/>
      <c r="N169" s="378" t="str">
        <f t="shared" si="53"/>
        <v/>
      </c>
      <c r="O169" s="378" t="str">
        <f t="shared" si="54"/>
        <v/>
      </c>
      <c r="P169" s="378" t="str">
        <f t="shared" si="55"/>
        <v/>
      </c>
      <c r="Q169" s="378" t="str">
        <f t="shared" si="56"/>
        <v/>
      </c>
      <c r="R169" s="378" t="str">
        <f t="shared" si="57"/>
        <v/>
      </c>
      <c r="S169" s="602">
        <v>120100</v>
      </c>
      <c r="T169" s="378" t="str">
        <f>+IFERROR(VLOOKUP(S169,STAT1!$C$4:$D$189,2,FALSE),"")</f>
        <v xml:space="preserve">Дансны авлага MNT </v>
      </c>
      <c r="U169" s="1225"/>
      <c r="V169" s="1216">
        <v>74800</v>
      </c>
      <c r="W169" s="326">
        <v>3017</v>
      </c>
      <c r="X169" s="328" t="str">
        <f>IFERROR(VLOOKUP(W169,DATA!$G$4:$H$400,2,FALSE),"")</f>
        <v xml:space="preserve">ВОС ХХК </v>
      </c>
      <c r="Y169" s="1205"/>
      <c r="Z169" s="1205"/>
      <c r="AA169" s="1205"/>
    </row>
    <row r="170" spans="1:27" ht="12.75" customHeight="1">
      <c r="A170" s="15">
        <v>49</v>
      </c>
      <c r="B170" s="369">
        <f t="shared" si="40"/>
        <v>165</v>
      </c>
      <c r="C170" s="427">
        <v>42781</v>
      </c>
      <c r="D170" s="426">
        <v>211504</v>
      </c>
      <c r="E170" s="425" t="str">
        <f t="shared" ca="1" si="51"/>
        <v xml:space="preserve">Н-Евровагонка /зузаан-1.2см/-яртай </v>
      </c>
      <c r="F170" s="428" t="str">
        <f t="shared" ca="1" si="52"/>
        <v>м2</v>
      </c>
      <c r="G170" s="378"/>
      <c r="H170" s="378"/>
      <c r="I170" s="378"/>
      <c r="J170" s="378"/>
      <c r="K170" s="1220"/>
      <c r="L170" s="378">
        <v>3.5</v>
      </c>
      <c r="M170" s="378">
        <v>18000</v>
      </c>
      <c r="N170" s="378">
        <f t="shared" si="53"/>
        <v>63000</v>
      </c>
      <c r="O170" s="378">
        <f t="shared" si="54"/>
        <v>6300</v>
      </c>
      <c r="P170" s="378">
        <f t="shared" si="55"/>
        <v>69300</v>
      </c>
      <c r="Q170" s="378">
        <f t="shared" ca="1" si="56"/>
        <v>9540.1099999999988</v>
      </c>
      <c r="R170" s="378">
        <f t="shared" ca="1" si="57"/>
        <v>33390.384999999995</v>
      </c>
      <c r="S170" s="609">
        <v>150101</v>
      </c>
      <c r="T170" s="378" t="str">
        <f>+IFERROR(VLOOKUP(S170,STAT1!$C$4:$D$189,2,FALSE),"")</f>
        <v>Бараа бэлэн бүтээгдэхүүн БОЛОВСРУУЛАХ ЦЕХ /нарс/</v>
      </c>
      <c r="U170" s="1225"/>
      <c r="V170" s="1216">
        <v>33390.384999999995</v>
      </c>
      <c r="W170" s="326">
        <v>3014</v>
      </c>
      <c r="X170" s="328" t="str">
        <f>IFERROR(VLOOKUP(W170,DATA!$G$4:$H$400,2,FALSE),"")</f>
        <v xml:space="preserve">БОЛОР ШИЛЭН ТОЛЬ ХХК </v>
      </c>
      <c r="Y170" s="1205"/>
      <c r="Z170" s="1205"/>
      <c r="AA170" s="1205"/>
    </row>
    <row r="171" spans="1:27" ht="12.75" customHeight="1">
      <c r="A171" s="15">
        <v>49</v>
      </c>
      <c r="B171" s="369">
        <f t="shared" si="40"/>
        <v>166</v>
      </c>
      <c r="C171" s="427">
        <v>42781</v>
      </c>
      <c r="D171" s="426"/>
      <c r="E171" s="425"/>
      <c r="F171" s="428"/>
      <c r="G171" s="378"/>
      <c r="H171" s="378"/>
      <c r="I171" s="378"/>
      <c r="J171" s="378"/>
      <c r="K171" s="1220"/>
      <c r="L171" s="378"/>
      <c r="M171" s="378"/>
      <c r="N171" s="378"/>
      <c r="O171" s="378"/>
      <c r="P171" s="378"/>
      <c r="Q171" s="378"/>
      <c r="R171" s="378"/>
      <c r="S171" s="609">
        <v>610100</v>
      </c>
      <c r="T171" s="378" t="str">
        <f>+IFERROR(VLOOKUP(S171,STAT1!$C$4:$D$189,2,FALSE),"")</f>
        <v>Борлуулсан барааны өртөг</v>
      </c>
      <c r="U171" s="1216">
        <v>33390.384999999995</v>
      </c>
      <c r="V171" s="1216"/>
      <c r="W171" s="326">
        <v>3014</v>
      </c>
      <c r="X171" s="328" t="str">
        <f>IFERROR(VLOOKUP(W171,DATA!$G$4:$H$400,2,FALSE),"")</f>
        <v xml:space="preserve">БОЛОР ШИЛЭН ТОЛЬ ХХК </v>
      </c>
      <c r="Y171" s="1205"/>
      <c r="Z171" s="1205"/>
      <c r="AA171" s="1205"/>
    </row>
    <row r="172" spans="1:27" ht="12.75" customHeight="1">
      <c r="A172" s="15">
        <v>49</v>
      </c>
      <c r="B172" s="369">
        <f t="shared" si="40"/>
        <v>167</v>
      </c>
      <c r="C172" s="427">
        <v>42781</v>
      </c>
      <c r="D172" s="426"/>
      <c r="E172" s="425" t="str">
        <f t="shared" ref="E172:E181" ca="1" si="61">+IFERROR(VLOOKUP(D172,TN_table,2,FALSE),"")</f>
        <v/>
      </c>
      <c r="F172" s="428" t="str">
        <f t="shared" ref="F172:F181" ca="1" si="62">+IFERROR(VLOOKUP(D172,TN_table,3,FALSE),"")</f>
        <v/>
      </c>
      <c r="G172" s="378"/>
      <c r="H172" s="378"/>
      <c r="I172" s="378"/>
      <c r="J172" s="378"/>
      <c r="K172" s="1220"/>
      <c r="L172" s="378"/>
      <c r="M172" s="378"/>
      <c r="N172" s="378" t="str">
        <f t="shared" ref="N172:N181" si="63">+IF(L172="","",L172*M172)</f>
        <v/>
      </c>
      <c r="O172" s="378" t="str">
        <f t="shared" ref="O172:O181" si="64">+IF(L172="","",N172*0.1)</f>
        <v/>
      </c>
      <c r="P172" s="378" t="str">
        <f t="shared" ref="P172:P181" si="65">+IF(L172="","",N172+O172)</f>
        <v/>
      </c>
      <c r="Q172" s="378" t="str">
        <f t="shared" ref="Q172:Q181" si="66">IF(L172="","",IFERROR((SUMIFS(TN_balC1_totol,TN_code,D172)+SUMIFS(RC_or_totol,RC_Code,D172,RC_date,"&lt;="&amp;C172)-SUMIFS(RC_zar_totol,RC_Code,D172,RC_date,"&lt;"&amp;C172)) /( SUMIFS(TN_balC1_unit,TN_code,D172)+SUMIFS(RC_or_unit,RC_Code,D172,RC_date,"&lt;="&amp;C172)-SUMIFS(RC_zar_unit,RC_Code,D172,RC_date,"&lt;"&amp;C172)),0 ))</f>
        <v/>
      </c>
      <c r="R172" s="378" t="str">
        <f t="shared" ref="R172:R181" si="67">+IF(L172="","",L172*Q172)</f>
        <v/>
      </c>
      <c r="S172" s="609">
        <v>310500</v>
      </c>
      <c r="T172" s="378" t="str">
        <f>+IFERROR(VLOOKUP(S172,STAT1!$C$4:$D$189,2,FALSE),"")</f>
        <v>НӨАТ өглөг</v>
      </c>
      <c r="U172" s="1225"/>
      <c r="V172" s="1216">
        <v>6300</v>
      </c>
      <c r="W172" s="326">
        <v>3014</v>
      </c>
      <c r="X172" s="328" t="str">
        <f>IFERROR(VLOOKUP(W172,DATA!$G$4:$H$400,2,FALSE),"")</f>
        <v xml:space="preserve">БОЛОР ШИЛЭН ТОЛЬ ХХК </v>
      </c>
      <c r="Y172" s="1205"/>
      <c r="Z172" s="1205"/>
      <c r="AA172" s="1205"/>
    </row>
    <row r="173" spans="1:27" ht="12.75" customHeight="1">
      <c r="A173" s="15">
        <v>49</v>
      </c>
      <c r="B173" s="369">
        <f t="shared" si="40"/>
        <v>168</v>
      </c>
      <c r="C173" s="427">
        <v>42781</v>
      </c>
      <c r="D173" s="426"/>
      <c r="E173" s="425" t="str">
        <f t="shared" ca="1" si="61"/>
        <v/>
      </c>
      <c r="F173" s="428" t="str">
        <f t="shared" ca="1" si="62"/>
        <v/>
      </c>
      <c r="G173" s="378"/>
      <c r="H173" s="378"/>
      <c r="I173" s="378"/>
      <c r="J173" s="378"/>
      <c r="K173" s="1220"/>
      <c r="L173" s="378"/>
      <c r="M173" s="378"/>
      <c r="N173" s="378" t="str">
        <f t="shared" si="63"/>
        <v/>
      </c>
      <c r="O173" s="378" t="str">
        <f t="shared" si="64"/>
        <v/>
      </c>
      <c r="P173" s="378" t="str">
        <f t="shared" si="65"/>
        <v/>
      </c>
      <c r="Q173" s="378" t="str">
        <f t="shared" si="66"/>
        <v/>
      </c>
      <c r="R173" s="378" t="str">
        <f t="shared" si="67"/>
        <v/>
      </c>
      <c r="S173" s="609">
        <v>510000</v>
      </c>
      <c r="T173" s="378" t="str">
        <f>+IFERROR(VLOOKUP(S173,STAT1!$C$4:$D$189,2,FALSE),"")</f>
        <v>Үндсэн үйл ажиллагааны борлуулалт</v>
      </c>
      <c r="U173" s="1225"/>
      <c r="V173" s="1216">
        <v>63000</v>
      </c>
      <c r="W173" s="326">
        <v>3014</v>
      </c>
      <c r="X173" s="328" t="str">
        <f>IFERROR(VLOOKUP(W173,DATA!$G$4:$H$400,2,FALSE),"")</f>
        <v xml:space="preserve">БОЛОР ШИЛЭН ТОЛЬ ХХК </v>
      </c>
      <c r="Y173" s="1205"/>
      <c r="Z173" s="1205"/>
      <c r="AA173" s="1205"/>
    </row>
    <row r="174" spans="1:27" ht="12.75" customHeight="1">
      <c r="A174" s="15">
        <v>49</v>
      </c>
      <c r="B174" s="369">
        <f t="shared" si="40"/>
        <v>169</v>
      </c>
      <c r="C174" s="427">
        <v>42781</v>
      </c>
      <c r="D174" s="426"/>
      <c r="E174" s="425" t="str">
        <f t="shared" ca="1" si="61"/>
        <v/>
      </c>
      <c r="F174" s="428" t="str">
        <f t="shared" ca="1" si="62"/>
        <v/>
      </c>
      <c r="G174" s="378"/>
      <c r="H174" s="378"/>
      <c r="I174" s="378"/>
      <c r="J174" s="378"/>
      <c r="K174" s="1220"/>
      <c r="L174" s="378"/>
      <c r="M174" s="378"/>
      <c r="N174" s="378" t="str">
        <f t="shared" si="63"/>
        <v/>
      </c>
      <c r="O174" s="378" t="str">
        <f t="shared" si="64"/>
        <v/>
      </c>
      <c r="P174" s="378" t="str">
        <f t="shared" si="65"/>
        <v/>
      </c>
      <c r="Q174" s="378" t="str">
        <f t="shared" si="66"/>
        <v/>
      </c>
      <c r="R174" s="378" t="str">
        <f t="shared" si="67"/>
        <v/>
      </c>
      <c r="S174" s="609">
        <v>320100</v>
      </c>
      <c r="T174" s="378" t="str">
        <f>+IFERROR(VLOOKUP(S174,STAT1!$C$4:$D$189,2,FALSE),"")</f>
        <v>Урьдчилж орсон орлого MNT</v>
      </c>
      <c r="U174" s="1225">
        <v>69300</v>
      </c>
      <c r="V174" s="1216"/>
      <c r="W174" s="326">
        <v>3014</v>
      </c>
      <c r="X174" s="328" t="str">
        <f>IFERROR(VLOOKUP(W174,DATA!$G$4:$H$400,2,FALSE),"")</f>
        <v xml:space="preserve">БОЛОР ШИЛЭН ТОЛЬ ХХК </v>
      </c>
      <c r="Y174" s="1205"/>
      <c r="Z174" s="1205"/>
      <c r="AA174" s="1205"/>
    </row>
    <row r="175" spans="1:27" ht="12.75" customHeight="1">
      <c r="A175" s="15">
        <v>50</v>
      </c>
      <c r="B175" s="369">
        <f t="shared" si="40"/>
        <v>170</v>
      </c>
      <c r="C175" s="427">
        <v>42786</v>
      </c>
      <c r="D175" s="426">
        <v>410085</v>
      </c>
      <c r="E175" s="425" t="str">
        <f t="shared" ca="1" si="61"/>
        <v xml:space="preserve">НЦ-лак </v>
      </c>
      <c r="F175" s="428" t="str">
        <f t="shared" ca="1" si="62"/>
        <v>кг</v>
      </c>
      <c r="G175" s="378">
        <v>90</v>
      </c>
      <c r="H175" s="378">
        <v>7700</v>
      </c>
      <c r="I175" s="378">
        <f t="shared" ref="I175:I180" si="68">+IF(G175="","",G175*H175)</f>
        <v>693000</v>
      </c>
      <c r="J175" s="378">
        <f t="shared" ref="J175:J180" si="69">+IF(G175="","",I175*0.1)</f>
        <v>69300</v>
      </c>
      <c r="K175" s="1220">
        <f t="shared" ref="K175:K180" si="70">+IF(G175="","",I175+J175)</f>
        <v>762300</v>
      </c>
      <c r="L175" s="378"/>
      <c r="M175" s="378"/>
      <c r="N175" s="378" t="str">
        <f t="shared" si="63"/>
        <v/>
      </c>
      <c r="O175" s="378" t="str">
        <f t="shared" si="64"/>
        <v/>
      </c>
      <c r="P175" s="378" t="str">
        <f t="shared" si="65"/>
        <v/>
      </c>
      <c r="Q175" s="378" t="str">
        <f t="shared" si="66"/>
        <v/>
      </c>
      <c r="R175" s="378" t="str">
        <f t="shared" si="67"/>
        <v/>
      </c>
      <c r="S175" s="602">
        <v>160100</v>
      </c>
      <c r="T175" s="378" t="str">
        <f>+IFERROR(VLOOKUP(S175,STAT1!$C$4:$D$189,2,FALSE),"")</f>
        <v xml:space="preserve">Барилгын материал </v>
      </c>
      <c r="U175" s="1225">
        <v>693000</v>
      </c>
      <c r="V175" s="1216"/>
      <c r="W175" s="326">
        <v>3017</v>
      </c>
      <c r="X175" s="328" t="str">
        <f>IFERROR(VLOOKUP(W175,DATA!$G$4:$H$400,2,FALSE),"")</f>
        <v xml:space="preserve">ВОС ХХК </v>
      </c>
      <c r="Y175" s="1205"/>
      <c r="Z175" s="1205"/>
      <c r="AA175" s="1205"/>
    </row>
    <row r="176" spans="1:27" ht="12.75" customHeight="1">
      <c r="A176" s="15">
        <v>50</v>
      </c>
      <c r="B176" s="369">
        <f t="shared" si="40"/>
        <v>171</v>
      </c>
      <c r="C176" s="427">
        <v>42786</v>
      </c>
      <c r="D176" s="426"/>
      <c r="E176" s="425" t="str">
        <f t="shared" ca="1" si="61"/>
        <v/>
      </c>
      <c r="F176" s="428" t="str">
        <f t="shared" ca="1" si="62"/>
        <v/>
      </c>
      <c r="G176" s="378"/>
      <c r="H176" s="378"/>
      <c r="I176" s="378" t="str">
        <f t="shared" si="68"/>
        <v/>
      </c>
      <c r="J176" s="378" t="str">
        <f t="shared" si="69"/>
        <v/>
      </c>
      <c r="K176" s="1220" t="str">
        <f t="shared" si="70"/>
        <v/>
      </c>
      <c r="L176" s="378"/>
      <c r="M176" s="378"/>
      <c r="N176" s="378" t="str">
        <f t="shared" si="63"/>
        <v/>
      </c>
      <c r="O176" s="378" t="str">
        <f t="shared" si="64"/>
        <v/>
      </c>
      <c r="P176" s="378" t="str">
        <f t="shared" si="65"/>
        <v/>
      </c>
      <c r="Q176" s="378" t="str">
        <f t="shared" si="66"/>
        <v/>
      </c>
      <c r="R176" s="378" t="str">
        <f t="shared" si="67"/>
        <v/>
      </c>
      <c r="S176" s="602">
        <v>120600</v>
      </c>
      <c r="T176" s="378" t="str">
        <f>+IFERROR(VLOOKUP(S176,STAT1!$C$4:$D$189,2,FALSE),"")</f>
        <v>НӨАТ авлага</v>
      </c>
      <c r="U176" s="1225">
        <v>69300</v>
      </c>
      <c r="V176" s="1216"/>
      <c r="W176" s="326">
        <v>3017</v>
      </c>
      <c r="X176" s="328" t="str">
        <f>IFERROR(VLOOKUP(W176,DATA!$G$4:$H$400,2,FALSE),"")</f>
        <v xml:space="preserve">ВОС ХХК </v>
      </c>
      <c r="Y176" s="1205"/>
      <c r="Z176" s="1205"/>
      <c r="AA176" s="1205"/>
    </row>
    <row r="177" spans="1:27" ht="12.75" customHeight="1">
      <c r="A177" s="15">
        <v>50</v>
      </c>
      <c r="B177" s="369">
        <f t="shared" si="40"/>
        <v>172</v>
      </c>
      <c r="C177" s="427">
        <v>42786</v>
      </c>
      <c r="D177" s="426"/>
      <c r="E177" s="425" t="str">
        <f t="shared" ca="1" si="61"/>
        <v/>
      </c>
      <c r="F177" s="428" t="str">
        <f t="shared" ca="1" si="62"/>
        <v/>
      </c>
      <c r="G177" s="378"/>
      <c r="H177" s="378"/>
      <c r="I177" s="378" t="str">
        <f t="shared" si="68"/>
        <v/>
      </c>
      <c r="J177" s="378" t="str">
        <f t="shared" si="69"/>
        <v/>
      </c>
      <c r="K177" s="1220" t="str">
        <f t="shared" si="70"/>
        <v/>
      </c>
      <c r="L177" s="378"/>
      <c r="M177" s="378"/>
      <c r="N177" s="378" t="str">
        <f t="shared" si="63"/>
        <v/>
      </c>
      <c r="O177" s="378" t="str">
        <f t="shared" si="64"/>
        <v/>
      </c>
      <c r="P177" s="378" t="str">
        <f t="shared" si="65"/>
        <v/>
      </c>
      <c r="Q177" s="378" t="str">
        <f t="shared" si="66"/>
        <v/>
      </c>
      <c r="R177" s="378" t="str">
        <f t="shared" si="67"/>
        <v/>
      </c>
      <c r="S177" s="602">
        <v>120100</v>
      </c>
      <c r="T177" s="378" t="str">
        <f>+IFERROR(VLOOKUP(S177,STAT1!$C$4:$D$189,2,FALSE),"")</f>
        <v xml:space="preserve">Дансны авлага MNT </v>
      </c>
      <c r="U177" s="1225"/>
      <c r="V177" s="1216">
        <v>762300</v>
      </c>
      <c r="W177" s="326">
        <v>3017</v>
      </c>
      <c r="X177" s="328" t="str">
        <f>IFERROR(VLOOKUP(W177,DATA!$G$4:$H$400,2,FALSE),"")</f>
        <v xml:space="preserve">ВОС ХХК </v>
      </c>
      <c r="Y177" s="1205"/>
      <c r="Z177" s="1205"/>
      <c r="AA177" s="1205"/>
    </row>
    <row r="178" spans="1:27" ht="12.75" customHeight="1">
      <c r="A178" s="15">
        <v>51</v>
      </c>
      <c r="B178" s="369">
        <f t="shared" si="40"/>
        <v>173</v>
      </c>
      <c r="C178" s="427">
        <v>42786</v>
      </c>
      <c r="D178" s="426">
        <v>410054</v>
      </c>
      <c r="E178" s="425" t="str">
        <f t="shared" ca="1" si="61"/>
        <v xml:space="preserve">Будаг шингэлэгч </v>
      </c>
      <c r="F178" s="428" t="str">
        <f t="shared" ca="1" si="62"/>
        <v>ш</v>
      </c>
      <c r="G178" s="378">
        <v>60</v>
      </c>
      <c r="H178" s="378">
        <v>1700</v>
      </c>
      <c r="I178" s="378">
        <f t="shared" si="68"/>
        <v>102000</v>
      </c>
      <c r="J178" s="378">
        <f t="shared" si="69"/>
        <v>10200</v>
      </c>
      <c r="K178" s="1220">
        <f t="shared" si="70"/>
        <v>112200</v>
      </c>
      <c r="L178" s="378"/>
      <c r="M178" s="378"/>
      <c r="N178" s="378" t="str">
        <f t="shared" si="63"/>
        <v/>
      </c>
      <c r="O178" s="378" t="str">
        <f t="shared" si="64"/>
        <v/>
      </c>
      <c r="P178" s="378" t="str">
        <f t="shared" si="65"/>
        <v/>
      </c>
      <c r="Q178" s="378" t="str">
        <f t="shared" si="66"/>
        <v/>
      </c>
      <c r="R178" s="378" t="str">
        <f t="shared" si="67"/>
        <v/>
      </c>
      <c r="S178" s="602">
        <v>160100</v>
      </c>
      <c r="T178" s="378" t="str">
        <f>+IFERROR(VLOOKUP(S178,STAT1!$C$4:$D$189,2,FALSE),"")</f>
        <v xml:space="preserve">Барилгын материал </v>
      </c>
      <c r="U178" s="1225">
        <v>102000</v>
      </c>
      <c r="V178" s="1216"/>
      <c r="W178" s="326">
        <v>3017</v>
      </c>
      <c r="X178" s="328" t="str">
        <f>IFERROR(VLOOKUP(W178,DATA!$G$4:$H$400,2,FALSE),"")</f>
        <v xml:space="preserve">ВОС ХХК </v>
      </c>
      <c r="Y178" s="1205"/>
      <c r="Z178" s="1205"/>
      <c r="AA178" s="1205"/>
    </row>
    <row r="179" spans="1:27" ht="12.75" customHeight="1">
      <c r="A179" s="15">
        <v>51</v>
      </c>
      <c r="B179" s="369">
        <f t="shared" si="40"/>
        <v>174</v>
      </c>
      <c r="C179" s="427">
        <v>42786</v>
      </c>
      <c r="D179" s="426"/>
      <c r="E179" s="425" t="str">
        <f t="shared" ca="1" si="61"/>
        <v/>
      </c>
      <c r="F179" s="428" t="str">
        <f t="shared" ca="1" si="62"/>
        <v/>
      </c>
      <c r="G179" s="378"/>
      <c r="H179" s="378"/>
      <c r="I179" s="378" t="str">
        <f t="shared" si="68"/>
        <v/>
      </c>
      <c r="J179" s="378" t="str">
        <f t="shared" si="69"/>
        <v/>
      </c>
      <c r="K179" s="1220" t="str">
        <f t="shared" si="70"/>
        <v/>
      </c>
      <c r="L179" s="378"/>
      <c r="M179" s="378"/>
      <c r="N179" s="378" t="str">
        <f t="shared" si="63"/>
        <v/>
      </c>
      <c r="O179" s="378" t="str">
        <f t="shared" si="64"/>
        <v/>
      </c>
      <c r="P179" s="378" t="str">
        <f t="shared" si="65"/>
        <v/>
      </c>
      <c r="Q179" s="378" t="str">
        <f t="shared" si="66"/>
        <v/>
      </c>
      <c r="R179" s="378" t="str">
        <f t="shared" si="67"/>
        <v/>
      </c>
      <c r="S179" s="602">
        <v>120600</v>
      </c>
      <c r="T179" s="378" t="str">
        <f>+IFERROR(VLOOKUP(S179,STAT1!$C$4:$D$189,2,FALSE),"")</f>
        <v>НӨАТ авлага</v>
      </c>
      <c r="U179" s="1225">
        <v>10200</v>
      </c>
      <c r="V179" s="1216"/>
      <c r="W179" s="326">
        <v>3017</v>
      </c>
      <c r="X179" s="328" t="str">
        <f>IFERROR(VLOOKUP(W179,DATA!$G$4:$H$400,2,FALSE),"")</f>
        <v xml:space="preserve">ВОС ХХК </v>
      </c>
      <c r="Y179" s="1205"/>
      <c r="Z179" s="1205"/>
      <c r="AA179" s="1205"/>
    </row>
    <row r="180" spans="1:27" ht="12.75" customHeight="1">
      <c r="A180" s="15">
        <v>51</v>
      </c>
      <c r="B180" s="369">
        <f t="shared" si="40"/>
        <v>175</v>
      </c>
      <c r="C180" s="427">
        <v>42786</v>
      </c>
      <c r="D180" s="426"/>
      <c r="E180" s="425" t="str">
        <f t="shared" ca="1" si="61"/>
        <v/>
      </c>
      <c r="F180" s="428" t="str">
        <f t="shared" ca="1" si="62"/>
        <v/>
      </c>
      <c r="G180" s="378"/>
      <c r="H180" s="378"/>
      <c r="I180" s="378" t="str">
        <f t="shared" si="68"/>
        <v/>
      </c>
      <c r="J180" s="378" t="str">
        <f t="shared" si="69"/>
        <v/>
      </c>
      <c r="K180" s="1220" t="str">
        <f t="shared" si="70"/>
        <v/>
      </c>
      <c r="L180" s="378"/>
      <c r="M180" s="378"/>
      <c r="N180" s="378" t="str">
        <f t="shared" si="63"/>
        <v/>
      </c>
      <c r="O180" s="378" t="str">
        <f t="shared" si="64"/>
        <v/>
      </c>
      <c r="P180" s="378" t="str">
        <f t="shared" si="65"/>
        <v/>
      </c>
      <c r="Q180" s="378" t="str">
        <f t="shared" si="66"/>
        <v/>
      </c>
      <c r="R180" s="378" t="str">
        <f t="shared" si="67"/>
        <v/>
      </c>
      <c r="S180" s="602">
        <v>120100</v>
      </c>
      <c r="T180" s="378" t="str">
        <f>+IFERROR(VLOOKUP(S180,STAT1!$C$4:$D$189,2,FALSE),"")</f>
        <v xml:space="preserve">Дансны авлага MNT </v>
      </c>
      <c r="U180" s="1225"/>
      <c r="V180" s="1216">
        <v>112200</v>
      </c>
      <c r="W180" s="326">
        <v>3017</v>
      </c>
      <c r="X180" s="328" t="str">
        <f>IFERROR(VLOOKUP(W180,DATA!$G$4:$H$400,2,FALSE),"")</f>
        <v xml:space="preserve">ВОС ХХК </v>
      </c>
      <c r="Y180" s="1205"/>
      <c r="Z180" s="1205"/>
      <c r="AA180" s="1205"/>
    </row>
    <row r="181" spans="1:27" ht="12.75" customHeight="1">
      <c r="A181" s="15">
        <v>52</v>
      </c>
      <c r="B181" s="369">
        <f t="shared" si="40"/>
        <v>176</v>
      </c>
      <c r="C181" s="427">
        <v>42787</v>
      </c>
      <c r="D181" s="426">
        <v>211713</v>
      </c>
      <c r="E181" s="425" t="str">
        <f t="shared" ca="1" si="61"/>
        <v>Н-Хавтан /зузаан-2см/</v>
      </c>
      <c r="F181" s="428" t="str">
        <f t="shared" ca="1" si="62"/>
        <v>м2</v>
      </c>
      <c r="G181" s="378"/>
      <c r="H181" s="378"/>
      <c r="I181" s="378"/>
      <c r="J181" s="378"/>
      <c r="K181" s="1220"/>
      <c r="L181" s="378">
        <v>408.38</v>
      </c>
      <c r="M181" s="378">
        <v>29999.376689000001</v>
      </c>
      <c r="N181" s="378">
        <f t="shared" si="63"/>
        <v>12251145.45225382</v>
      </c>
      <c r="O181" s="378">
        <f t="shared" si="64"/>
        <v>1225114.5452253821</v>
      </c>
      <c r="P181" s="378">
        <f t="shared" si="65"/>
        <v>13476259.997479202</v>
      </c>
      <c r="Q181" s="378">
        <f t="shared" ca="1" si="66"/>
        <v>22742.855938686203</v>
      </c>
      <c r="R181" s="378">
        <f t="shared" ca="1" si="67"/>
        <v>9287727.5082406718</v>
      </c>
      <c r="S181" s="609">
        <v>150101</v>
      </c>
      <c r="T181" s="378" t="str">
        <f>+IFERROR(VLOOKUP(S181,STAT1!$C$4:$D$189,2,FALSE),"")</f>
        <v>Бараа бэлэн бүтээгдэхүүн БОЛОВСРУУЛАХ ЦЕХ /нарс/</v>
      </c>
      <c r="U181" s="1225"/>
      <c r="V181" s="1216">
        <v>9287727.5082406718</v>
      </c>
      <c r="W181" s="326">
        <v>3002</v>
      </c>
      <c r="X181" s="328" t="str">
        <f>IFERROR(VLOOKUP(W181,DATA!$G$4:$H$400,2,FALSE),"")</f>
        <v>ЭКО КОНСТРАКШН ХХК</v>
      </c>
      <c r="Y181" s="1205"/>
      <c r="Z181" s="1205"/>
      <c r="AA181" s="1205"/>
    </row>
    <row r="182" spans="1:27" ht="12.75" customHeight="1">
      <c r="A182" s="15">
        <v>52</v>
      </c>
      <c r="B182" s="369">
        <f t="shared" si="40"/>
        <v>177</v>
      </c>
      <c r="C182" s="427">
        <v>42787</v>
      </c>
      <c r="D182" s="426"/>
      <c r="E182" s="425"/>
      <c r="F182" s="428"/>
      <c r="G182" s="378"/>
      <c r="H182" s="378"/>
      <c r="I182" s="378"/>
      <c r="J182" s="378"/>
      <c r="K182" s="1220"/>
      <c r="L182" s="378"/>
      <c r="M182" s="378"/>
      <c r="N182" s="378"/>
      <c r="O182" s="378"/>
      <c r="P182" s="378"/>
      <c r="Q182" s="378"/>
      <c r="R182" s="378"/>
      <c r="S182" s="609">
        <v>610100</v>
      </c>
      <c r="T182" s="378" t="str">
        <f>+IFERROR(VLOOKUP(S182,STAT1!$C$4:$D$189,2,FALSE),"")</f>
        <v>Борлуулсан барааны өртөг</v>
      </c>
      <c r="U182" s="1216">
        <v>9287727.5082406718</v>
      </c>
      <c r="V182" s="1216"/>
      <c r="W182" s="326">
        <v>3002</v>
      </c>
      <c r="X182" s="328" t="str">
        <f>IFERROR(VLOOKUP(W182,DATA!$G$4:$H$400,2,FALSE),"")</f>
        <v>ЭКО КОНСТРАКШН ХХК</v>
      </c>
      <c r="Y182" s="1205"/>
      <c r="Z182" s="1205"/>
      <c r="AA182" s="1205"/>
    </row>
    <row r="183" spans="1:27" ht="12.75" customHeight="1">
      <c r="A183" s="15">
        <v>52</v>
      </c>
      <c r="B183" s="369">
        <f t="shared" si="40"/>
        <v>178</v>
      </c>
      <c r="C183" s="427">
        <v>42787</v>
      </c>
      <c r="D183" s="426"/>
      <c r="E183" s="425" t="str">
        <f ca="1">+IFERROR(VLOOKUP(D183,TN_table,2,FALSE),"")</f>
        <v/>
      </c>
      <c r="F183" s="428" t="str">
        <f ca="1">+IFERROR(VLOOKUP(D183,TN_table,3,FALSE),"")</f>
        <v/>
      </c>
      <c r="G183" s="378"/>
      <c r="H183" s="378"/>
      <c r="I183" s="378"/>
      <c r="J183" s="378"/>
      <c r="K183" s="1220"/>
      <c r="L183" s="378"/>
      <c r="M183" s="378"/>
      <c r="N183" s="378" t="str">
        <f>+IF(L183="","",L183*M183)</f>
        <v/>
      </c>
      <c r="O183" s="378" t="str">
        <f>+IF(L183="","",N183*0.1)</f>
        <v/>
      </c>
      <c r="P183" s="378" t="str">
        <f>+IF(L183="","",N183+O183)</f>
        <v/>
      </c>
      <c r="Q183" s="378" t="str">
        <f>IF(L183="","",IFERROR((SUMIFS(TN_balC1_totol,TN_code,D183)+SUMIFS(RC_or_totol,RC_Code,D183,RC_date,"&lt;="&amp;C183)-SUMIFS(RC_zar_totol,RC_Code,D183,RC_date,"&lt;"&amp;C183)) /( SUMIFS(TN_balC1_unit,TN_code,D183)+SUMIFS(RC_or_unit,RC_Code,D183,RC_date,"&lt;="&amp;C183)-SUMIFS(RC_zar_unit,RC_Code,D183,RC_date,"&lt;"&amp;C183)),0 ))</f>
        <v/>
      </c>
      <c r="R183" s="378" t="str">
        <f>+IF(L183="","",L183*Q183)</f>
        <v/>
      </c>
      <c r="S183" s="609">
        <v>310500</v>
      </c>
      <c r="T183" s="378" t="str">
        <f>+IFERROR(VLOOKUP(S183,STAT1!$C$4:$D$189,2,FALSE),"")</f>
        <v>НӨАТ өглөг</v>
      </c>
      <c r="U183" s="1225"/>
      <c r="V183" s="1216">
        <v>1225114.5452253821</v>
      </c>
      <c r="W183" s="326">
        <v>3002</v>
      </c>
      <c r="X183" s="328" t="str">
        <f>IFERROR(VLOOKUP(W183,DATA!$G$4:$H$400,2,FALSE),"")</f>
        <v>ЭКО КОНСТРАКШН ХХК</v>
      </c>
      <c r="Y183" s="1205"/>
      <c r="Z183" s="1205"/>
      <c r="AA183" s="1205"/>
    </row>
    <row r="184" spans="1:27" ht="12.75" customHeight="1">
      <c r="A184" s="15">
        <v>52</v>
      </c>
      <c r="B184" s="369">
        <f t="shared" si="40"/>
        <v>179</v>
      </c>
      <c r="C184" s="427">
        <v>42787</v>
      </c>
      <c r="D184" s="426"/>
      <c r="E184" s="425" t="str">
        <f ca="1">+IFERROR(VLOOKUP(D184,TN_table,2,FALSE),"")</f>
        <v/>
      </c>
      <c r="F184" s="428" t="str">
        <f ca="1">+IFERROR(VLOOKUP(D184,TN_table,3,FALSE),"")</f>
        <v/>
      </c>
      <c r="G184" s="378"/>
      <c r="H184" s="378"/>
      <c r="I184" s="378"/>
      <c r="J184" s="378"/>
      <c r="K184" s="1220"/>
      <c r="L184" s="378"/>
      <c r="M184" s="378"/>
      <c r="N184" s="378" t="str">
        <f>+IF(L184="","",L184*M184)</f>
        <v/>
      </c>
      <c r="O184" s="378" t="str">
        <f>+IF(L184="","",N184*0.1)</f>
        <v/>
      </c>
      <c r="P184" s="378" t="str">
        <f>+IF(L184="","",N184+O184)</f>
        <v/>
      </c>
      <c r="Q184" s="378" t="str">
        <f>IF(L184="","",IFERROR((SUMIFS(TN_balC1_totol,TN_code,D184)+SUMIFS(RC_or_totol,RC_Code,D184,RC_date,"&lt;="&amp;C184)-SUMIFS(RC_zar_totol,RC_Code,D184,RC_date,"&lt;"&amp;C184)) /( SUMIFS(TN_balC1_unit,TN_code,D184)+SUMIFS(RC_or_unit,RC_Code,D184,RC_date,"&lt;="&amp;C184)-SUMIFS(RC_zar_unit,RC_Code,D184,RC_date,"&lt;"&amp;C184)),0 ))</f>
        <v/>
      </c>
      <c r="R184" s="378" t="str">
        <f>+IF(L184="","",L184*Q184)</f>
        <v/>
      </c>
      <c r="S184" s="609">
        <v>510000</v>
      </c>
      <c r="T184" s="378" t="str">
        <f>+IFERROR(VLOOKUP(S184,STAT1!$C$4:$D$189,2,FALSE),"")</f>
        <v>Үндсэн үйл ажиллагааны борлуулалт</v>
      </c>
      <c r="U184" s="1225"/>
      <c r="V184" s="1216">
        <v>12251145.45225382</v>
      </c>
      <c r="W184" s="326">
        <v>3002</v>
      </c>
      <c r="X184" s="328" t="str">
        <f>IFERROR(VLOOKUP(W184,DATA!$G$4:$H$400,2,FALSE),"")</f>
        <v>ЭКО КОНСТРАКШН ХХК</v>
      </c>
      <c r="Y184" s="1205"/>
      <c r="Z184" s="1205"/>
      <c r="AA184" s="1205"/>
    </row>
    <row r="185" spans="1:27" ht="12.75" customHeight="1">
      <c r="A185" s="15">
        <v>52</v>
      </c>
      <c r="B185" s="369">
        <f t="shared" si="40"/>
        <v>180</v>
      </c>
      <c r="C185" s="427">
        <v>42787</v>
      </c>
      <c r="D185" s="426"/>
      <c r="E185" s="425" t="str">
        <f ca="1">+IFERROR(VLOOKUP(D185,TN_table,2,FALSE),"")</f>
        <v/>
      </c>
      <c r="F185" s="428" t="str">
        <f ca="1">+IFERROR(VLOOKUP(D185,TN_table,3,FALSE),"")</f>
        <v/>
      </c>
      <c r="G185" s="378"/>
      <c r="H185" s="378"/>
      <c r="I185" s="378"/>
      <c r="J185" s="378"/>
      <c r="K185" s="1220"/>
      <c r="L185" s="378"/>
      <c r="M185" s="378"/>
      <c r="N185" s="378" t="str">
        <f>+IF(L185="","",L185*M185)</f>
        <v/>
      </c>
      <c r="O185" s="378" t="str">
        <f>+IF(L185="","",N185*0.1)</f>
        <v/>
      </c>
      <c r="P185" s="378" t="str">
        <f>+IF(L185="","",N185+O185)</f>
        <v/>
      </c>
      <c r="Q185" s="378" t="str">
        <f>IF(L185="","",IFERROR((SUMIFS(TN_balC1_totol,TN_code,D185)+SUMIFS(RC_or_totol,RC_Code,D185,RC_date,"&lt;="&amp;C185)-SUMIFS(RC_zar_totol,RC_Code,D185,RC_date,"&lt;"&amp;C185)) /( SUMIFS(TN_balC1_unit,TN_code,D185)+SUMIFS(RC_or_unit,RC_Code,D185,RC_date,"&lt;="&amp;C185)-SUMIFS(RC_zar_unit,RC_Code,D185,RC_date,"&lt;"&amp;C185)),0 ))</f>
        <v/>
      </c>
      <c r="R185" s="378" t="str">
        <f>+IF(L185="","",L185*Q185)</f>
        <v/>
      </c>
      <c r="S185" s="609">
        <v>320100</v>
      </c>
      <c r="T185" s="378" t="str">
        <f>+IFERROR(VLOOKUP(S185,STAT1!$C$4:$D$189,2,FALSE),"")</f>
        <v>Урьдчилж орсон орлого MNT</v>
      </c>
      <c r="U185" s="1225">
        <v>13476259.997479202</v>
      </c>
      <c r="V185" s="1216"/>
      <c r="W185" s="326">
        <v>3002</v>
      </c>
      <c r="X185" s="328" t="str">
        <f>IFERROR(VLOOKUP(W185,DATA!$G$4:$H$400,2,FALSE),"")</f>
        <v>ЭКО КОНСТРАКШН ХХК</v>
      </c>
      <c r="Y185" s="1205"/>
      <c r="Z185" s="1205"/>
      <c r="AA185" s="1205"/>
    </row>
    <row r="186" spans="1:27" ht="12.75" customHeight="1">
      <c r="A186" s="15">
        <v>53</v>
      </c>
      <c r="B186" s="369">
        <f t="shared" si="40"/>
        <v>181</v>
      </c>
      <c r="C186" s="427">
        <v>42787</v>
      </c>
      <c r="D186" s="426">
        <v>211501</v>
      </c>
      <c r="E186" s="425" t="str">
        <f ca="1">+IFERROR(VLOOKUP(D186,TN_table,2,FALSE),"")</f>
        <v>Н-Евровагонка /зузаан-2.2см/</v>
      </c>
      <c r="F186" s="428" t="str">
        <f ca="1">+IFERROR(VLOOKUP(D186,TN_table,3,FALSE),"")</f>
        <v>м2</v>
      </c>
      <c r="G186" s="378"/>
      <c r="H186" s="378"/>
      <c r="I186" s="378"/>
      <c r="J186" s="378"/>
      <c r="K186" s="1220"/>
      <c r="L186" s="378">
        <v>20.48</v>
      </c>
      <c r="M186" s="378">
        <v>30002.219499999999</v>
      </c>
      <c r="N186" s="378">
        <f>+IF(L186="","",L186*M186)</f>
        <v>614445.45536000002</v>
      </c>
      <c r="O186" s="378">
        <f>+IF(L186="","",N186*0.1)</f>
        <v>61444.545536000005</v>
      </c>
      <c r="P186" s="378">
        <f>+IF(L186="","",N186+O186)</f>
        <v>675890.00089600007</v>
      </c>
      <c r="Q186" s="378">
        <f ca="1">IF(L186="","",IFERROR((SUMIFS(TN_balC1_totol,TN_code,D186)+SUMIFS(RC_or_totol,RC_Code,D186,RC_date,"&lt;="&amp;C186)-SUMIFS(RC_zar_totol,RC_Code,D186,RC_date,"&lt;"&amp;C186)) /( SUMIFS(TN_balC1_unit,TN_code,D186)+SUMIFS(RC_or_unit,RC_Code,D186,RC_date,"&lt;="&amp;C186)-SUMIFS(RC_zar_unit,RC_Code,D186,RC_date,"&lt;"&amp;C186)),0 ))</f>
        <v>13118.37</v>
      </c>
      <c r="R186" s="378">
        <f ca="1">+IF(L186="","",L186*Q186)</f>
        <v>268664.21760000003</v>
      </c>
      <c r="S186" s="609">
        <v>150101</v>
      </c>
      <c r="T186" s="378" t="str">
        <f>+IFERROR(VLOOKUP(S186,STAT1!$C$4:$D$189,2,FALSE),"")</f>
        <v>Бараа бэлэн бүтээгдэхүүн БОЛОВСРУУЛАХ ЦЕХ /нарс/</v>
      </c>
      <c r="U186" s="1225"/>
      <c r="V186" s="1216">
        <v>268664.21760000003</v>
      </c>
      <c r="W186" s="326">
        <v>3006</v>
      </c>
      <c r="X186" s="328" t="str">
        <f>IFERROR(VLOOKUP(W186,DATA!$G$4:$H$400,2,FALSE),"")</f>
        <v xml:space="preserve">ПАЙОНЕРИНГ ИНТЕРНЭШНЛ ХХК </v>
      </c>
      <c r="Y186" s="1205"/>
      <c r="Z186" s="1205"/>
      <c r="AA186" s="1205"/>
    </row>
    <row r="187" spans="1:27" ht="12.75" customHeight="1">
      <c r="A187" s="15">
        <v>53</v>
      </c>
      <c r="B187" s="369">
        <f t="shared" si="40"/>
        <v>182</v>
      </c>
      <c r="C187" s="427">
        <v>42787</v>
      </c>
      <c r="D187" s="426"/>
      <c r="E187" s="425"/>
      <c r="F187" s="428"/>
      <c r="G187" s="378"/>
      <c r="H187" s="378"/>
      <c r="I187" s="378"/>
      <c r="J187" s="378"/>
      <c r="K187" s="1220"/>
      <c r="L187" s="378"/>
      <c r="M187" s="378"/>
      <c r="N187" s="378"/>
      <c r="O187" s="378"/>
      <c r="P187" s="378"/>
      <c r="Q187" s="378"/>
      <c r="R187" s="378"/>
      <c r="S187" s="609">
        <v>610100</v>
      </c>
      <c r="T187" s="378" t="str">
        <f>+IFERROR(VLOOKUP(S187,STAT1!$C$4:$D$189,2,FALSE),"")</f>
        <v>Борлуулсан барааны өртөг</v>
      </c>
      <c r="U187" s="1216">
        <v>268664.21760000003</v>
      </c>
      <c r="V187" s="1216"/>
      <c r="W187" s="326">
        <v>3006</v>
      </c>
      <c r="X187" s="328" t="str">
        <f>IFERROR(VLOOKUP(W187,DATA!$G$4:$H$400,2,FALSE),"")</f>
        <v xml:space="preserve">ПАЙОНЕРИНГ ИНТЕРНЭШНЛ ХХК </v>
      </c>
      <c r="Y187" s="1205"/>
      <c r="Z187" s="1205"/>
      <c r="AA187" s="1205"/>
    </row>
    <row r="188" spans="1:27" ht="12.75" customHeight="1">
      <c r="A188" s="15">
        <v>53</v>
      </c>
      <c r="B188" s="369">
        <f t="shared" si="40"/>
        <v>183</v>
      </c>
      <c r="C188" s="427">
        <v>42787</v>
      </c>
      <c r="D188" s="426"/>
      <c r="E188" s="425" t="str">
        <f ca="1">+IFERROR(VLOOKUP(D188,TN_table,2,FALSE),"")</f>
        <v/>
      </c>
      <c r="F188" s="428" t="str">
        <f ca="1">+IFERROR(VLOOKUP(D188,TN_table,3,FALSE),"")</f>
        <v/>
      </c>
      <c r="G188" s="378"/>
      <c r="H188" s="378"/>
      <c r="I188" s="378"/>
      <c r="J188" s="378"/>
      <c r="K188" s="1220"/>
      <c r="L188" s="378"/>
      <c r="M188" s="378"/>
      <c r="N188" s="378" t="str">
        <f>+IF(L188="","",L188*M188)</f>
        <v/>
      </c>
      <c r="O188" s="378" t="str">
        <f>+IF(L188="","",N188*0.1)</f>
        <v/>
      </c>
      <c r="P188" s="378" t="str">
        <f>+IF(L188="","",N188+O188)</f>
        <v/>
      </c>
      <c r="Q188" s="378" t="str">
        <f>IF(L188="","",IFERROR((SUMIFS(TN_balC1_totol,TN_code,D188)+SUMIFS(RC_or_totol,RC_Code,D188,RC_date,"&lt;="&amp;C188)-SUMIFS(RC_zar_totol,RC_Code,D188,RC_date,"&lt;"&amp;C188)) /( SUMIFS(TN_balC1_unit,TN_code,D188)+SUMIFS(RC_or_unit,RC_Code,D188,RC_date,"&lt;="&amp;C188)-SUMIFS(RC_zar_unit,RC_Code,D188,RC_date,"&lt;"&amp;C188)),0 ))</f>
        <v/>
      </c>
      <c r="R188" s="378" t="str">
        <f>+IF(L188="","",L188*Q188)</f>
        <v/>
      </c>
      <c r="S188" s="609">
        <v>310500</v>
      </c>
      <c r="T188" s="378" t="str">
        <f>+IFERROR(VLOOKUP(S188,STAT1!$C$4:$D$189,2,FALSE),"")</f>
        <v>НӨАТ өглөг</v>
      </c>
      <c r="U188" s="1225"/>
      <c r="V188" s="1216">
        <v>61444.55</v>
      </c>
      <c r="W188" s="326">
        <v>3006</v>
      </c>
      <c r="X188" s="328" t="str">
        <f>IFERROR(VLOOKUP(W188,DATA!$G$4:$H$400,2,FALSE),"")</f>
        <v xml:space="preserve">ПАЙОНЕРИНГ ИНТЕРНЭШНЛ ХХК </v>
      </c>
      <c r="Y188" s="1205"/>
      <c r="Z188" s="1205"/>
      <c r="AA188" s="1205"/>
    </row>
    <row r="189" spans="1:27" ht="12.75" customHeight="1">
      <c r="A189" s="15">
        <v>53</v>
      </c>
      <c r="B189" s="369">
        <f t="shared" si="40"/>
        <v>184</v>
      </c>
      <c r="C189" s="427">
        <v>42787</v>
      </c>
      <c r="D189" s="426"/>
      <c r="E189" s="425" t="str">
        <f ca="1">+IFERROR(VLOOKUP(D189,TN_table,2,FALSE),"")</f>
        <v/>
      </c>
      <c r="F189" s="428" t="str">
        <f ca="1">+IFERROR(VLOOKUP(D189,TN_table,3,FALSE),"")</f>
        <v/>
      </c>
      <c r="G189" s="378"/>
      <c r="H189" s="378"/>
      <c r="I189" s="378"/>
      <c r="J189" s="378"/>
      <c r="K189" s="1220"/>
      <c r="L189" s="378"/>
      <c r="M189" s="378"/>
      <c r="N189" s="378" t="str">
        <f>+IF(L189="","",L189*M189)</f>
        <v/>
      </c>
      <c r="O189" s="378" t="str">
        <f>+IF(L189="","",N189*0.1)</f>
        <v/>
      </c>
      <c r="P189" s="378" t="str">
        <f>+IF(L189="","",N189+O189)</f>
        <v/>
      </c>
      <c r="Q189" s="378" t="str">
        <f>IF(L189="","",IFERROR((SUMIFS(TN_balC1_totol,TN_code,D189)+SUMIFS(RC_or_totol,RC_Code,D189,RC_date,"&lt;="&amp;C189)-SUMIFS(RC_zar_totol,RC_Code,D189,RC_date,"&lt;"&amp;C189)) /( SUMIFS(TN_balC1_unit,TN_code,D189)+SUMIFS(RC_or_unit,RC_Code,D189,RC_date,"&lt;="&amp;C189)-SUMIFS(RC_zar_unit,RC_Code,D189,RC_date,"&lt;"&amp;C189)),0 ))</f>
        <v/>
      </c>
      <c r="R189" s="378" t="str">
        <f>+IF(L189="","",L189*Q189)</f>
        <v/>
      </c>
      <c r="S189" s="609">
        <v>510000</v>
      </c>
      <c r="T189" s="378" t="str">
        <f>+IFERROR(VLOOKUP(S189,STAT1!$C$4:$D$189,2,FALSE),"")</f>
        <v>Үндсэн үйл ажиллагааны борлуулалт</v>
      </c>
      <c r="U189" s="1225"/>
      <c r="V189" s="1216">
        <v>614445.44999999995</v>
      </c>
      <c r="W189" s="326">
        <v>3006</v>
      </c>
      <c r="X189" s="328" t="str">
        <f>IFERROR(VLOOKUP(W189,DATA!$G$4:$H$400,2,FALSE),"")</f>
        <v xml:space="preserve">ПАЙОНЕРИНГ ИНТЕРНЭШНЛ ХХК </v>
      </c>
      <c r="Y189" s="1205"/>
      <c r="Z189" s="1205"/>
      <c r="AA189" s="1205"/>
    </row>
    <row r="190" spans="1:27" ht="12.75" customHeight="1">
      <c r="A190" s="15">
        <v>53</v>
      </c>
      <c r="B190" s="369">
        <f t="shared" si="40"/>
        <v>185</v>
      </c>
      <c r="C190" s="427">
        <v>42787</v>
      </c>
      <c r="D190" s="426"/>
      <c r="E190" s="425" t="str">
        <f ca="1">+IFERROR(VLOOKUP(D190,TN_table,2,FALSE),"")</f>
        <v/>
      </c>
      <c r="F190" s="428" t="str">
        <f ca="1">+IFERROR(VLOOKUP(D190,TN_table,3,FALSE),"")</f>
        <v/>
      </c>
      <c r="G190" s="378"/>
      <c r="H190" s="378"/>
      <c r="I190" s="378"/>
      <c r="J190" s="378"/>
      <c r="K190" s="1220"/>
      <c r="L190" s="378"/>
      <c r="M190" s="378"/>
      <c r="N190" s="378" t="str">
        <f>+IF(L190="","",L190*M190)</f>
        <v/>
      </c>
      <c r="O190" s="378" t="str">
        <f>+IF(L190="","",N190*0.1)</f>
        <v/>
      </c>
      <c r="P190" s="378" t="str">
        <f>+IF(L190="","",N190+O190)</f>
        <v/>
      </c>
      <c r="Q190" s="378" t="str">
        <f>IF(L190="","",IFERROR((SUMIFS(TN_balC1_totol,TN_code,D190)+SUMIFS(RC_or_totol,RC_Code,D190,RC_date,"&lt;="&amp;C190)-SUMIFS(RC_zar_totol,RC_Code,D190,RC_date,"&lt;"&amp;C190)) /( SUMIFS(TN_balC1_unit,TN_code,D190)+SUMIFS(RC_or_unit,RC_Code,D190,RC_date,"&lt;="&amp;C190)-SUMIFS(RC_zar_unit,RC_Code,D190,RC_date,"&lt;"&amp;C190)),0 ))</f>
        <v/>
      </c>
      <c r="R190" s="378" t="str">
        <f>+IF(L190="","",L190*Q190)</f>
        <v/>
      </c>
      <c r="S190" s="609">
        <v>320100</v>
      </c>
      <c r="T190" s="378" t="str">
        <f>+IFERROR(VLOOKUP(S190,STAT1!$C$4:$D$189,2,FALSE),"")</f>
        <v>Урьдчилж орсон орлого MNT</v>
      </c>
      <c r="U190" s="1225">
        <v>675890</v>
      </c>
      <c r="V190" s="1216"/>
      <c r="W190" s="326">
        <v>3006</v>
      </c>
      <c r="X190" s="328" t="str">
        <f>IFERROR(VLOOKUP(W190,DATA!$G$4:$H$400,2,FALSE),"")</f>
        <v xml:space="preserve">ПАЙОНЕРИНГ ИНТЕРНЭШНЛ ХХК </v>
      </c>
      <c r="Y190" s="1205"/>
      <c r="Z190" s="1205"/>
      <c r="AA190" s="1205"/>
    </row>
    <row r="191" spans="1:27" ht="12.75" customHeight="1">
      <c r="A191" s="15">
        <v>54</v>
      </c>
      <c r="B191" s="369">
        <f t="shared" si="40"/>
        <v>186</v>
      </c>
      <c r="C191" s="427">
        <v>42788</v>
      </c>
      <c r="D191" s="426">
        <v>211713</v>
      </c>
      <c r="E191" s="425" t="str">
        <f ca="1">+IFERROR(VLOOKUP(D191,TN_table,2,FALSE),"")</f>
        <v>Н-Хавтан /зузаан-2см/</v>
      </c>
      <c r="F191" s="428" t="str">
        <f ca="1">+IFERROR(VLOOKUP(D191,TN_table,3,FALSE),"")</f>
        <v>м2</v>
      </c>
      <c r="G191" s="378"/>
      <c r="H191" s="378"/>
      <c r="I191" s="378"/>
      <c r="J191" s="378"/>
      <c r="K191" s="1220"/>
      <c r="L191" s="378">
        <v>15.5</v>
      </c>
      <c r="M191" s="378">
        <v>30000</v>
      </c>
      <c r="N191" s="378">
        <f>+IF(L191="","",L191*M191)</f>
        <v>465000</v>
      </c>
      <c r="O191" s="378">
        <f>+IF(L191="","",N191*0.1)</f>
        <v>46500</v>
      </c>
      <c r="P191" s="378">
        <f>+IF(L191="","",N191+O191)</f>
        <v>511500</v>
      </c>
      <c r="Q191" s="378">
        <f ca="1">IF(L191="","",IFERROR((SUMIFS(TN_balC1_totol,TN_code,D191)+SUMIFS(RC_or_totol,RC_Code,D191,RC_date,"&lt;="&amp;C191)-SUMIFS(RC_zar_totol,RC_Code,D191,RC_date,"&lt;"&amp;C191)) /( SUMIFS(TN_balC1_unit,TN_code,D191)+SUMIFS(RC_or_unit,RC_Code,D191,RC_date,"&lt;="&amp;C191)-SUMIFS(RC_zar_unit,RC_Code,D191,RC_date,"&lt;"&amp;C191)),0 ))</f>
        <v>22742.855938686211</v>
      </c>
      <c r="R191" s="378">
        <f ca="1">+IF(L191="","",L191*Q191)</f>
        <v>352514.26704963628</v>
      </c>
      <c r="S191" s="609">
        <v>150101</v>
      </c>
      <c r="T191" s="378" t="str">
        <f>+IFERROR(VLOOKUP(S191,STAT1!$C$4:$D$189,2,FALSE),"")</f>
        <v>Бараа бэлэн бүтээгдэхүүн БОЛОВСРУУЛАХ ЦЕХ /нарс/</v>
      </c>
      <c r="U191" s="1225"/>
      <c r="V191" s="1216">
        <v>352514.26704963628</v>
      </c>
      <c r="W191" s="326">
        <v>3007</v>
      </c>
      <c r="X191" s="328" t="str">
        <f>IFERROR(VLOOKUP(W191,DATA!$G$4:$H$400,2,FALSE),"")</f>
        <v xml:space="preserve">АЯНЧИН АУТФИТТЕРС ХХК </v>
      </c>
      <c r="Y191" s="1205"/>
      <c r="Z191" s="1205"/>
      <c r="AA191" s="1205"/>
    </row>
    <row r="192" spans="1:27" ht="12.75" customHeight="1">
      <c r="A192" s="15">
        <v>54</v>
      </c>
      <c r="B192" s="369">
        <f t="shared" si="40"/>
        <v>187</v>
      </c>
      <c r="C192" s="427">
        <v>42788</v>
      </c>
      <c r="D192" s="426"/>
      <c r="E192" s="425"/>
      <c r="F192" s="428"/>
      <c r="G192" s="378"/>
      <c r="H192" s="378"/>
      <c r="I192" s="378"/>
      <c r="J192" s="378"/>
      <c r="K192" s="1220"/>
      <c r="L192" s="378"/>
      <c r="M192" s="378"/>
      <c r="N192" s="378"/>
      <c r="O192" s="378"/>
      <c r="P192" s="378"/>
      <c r="Q192" s="378"/>
      <c r="R192" s="378"/>
      <c r="S192" s="609">
        <v>610100</v>
      </c>
      <c r="T192" s="378" t="str">
        <f>+IFERROR(VLOOKUP(S192,STAT1!$C$4:$D$189,2,FALSE),"")</f>
        <v>Борлуулсан барааны өртөг</v>
      </c>
      <c r="U192" s="1216">
        <v>352514.26704963628</v>
      </c>
      <c r="V192" s="1216"/>
      <c r="W192" s="326">
        <v>3007</v>
      </c>
      <c r="X192" s="328" t="str">
        <f>IFERROR(VLOOKUP(W192,DATA!$G$4:$H$400,2,FALSE),"")</f>
        <v xml:space="preserve">АЯНЧИН АУТФИТТЕРС ХХК </v>
      </c>
      <c r="Y192" s="1205"/>
      <c r="Z192" s="1205"/>
      <c r="AA192" s="1205"/>
    </row>
    <row r="193" spans="1:27" ht="12.75" customHeight="1">
      <c r="A193" s="15">
        <v>54</v>
      </c>
      <c r="B193" s="369">
        <f t="shared" si="40"/>
        <v>188</v>
      </c>
      <c r="C193" s="427">
        <v>42788</v>
      </c>
      <c r="D193" s="426"/>
      <c r="E193" s="425" t="str">
        <f ca="1">+IFERROR(VLOOKUP(D193,TN_table,2,FALSE),"")</f>
        <v/>
      </c>
      <c r="F193" s="428" t="str">
        <f ca="1">+IFERROR(VLOOKUP(D193,TN_table,3,FALSE),"")</f>
        <v/>
      </c>
      <c r="G193" s="378"/>
      <c r="H193" s="378"/>
      <c r="I193" s="378"/>
      <c r="J193" s="378"/>
      <c r="K193" s="1220"/>
      <c r="L193" s="378"/>
      <c r="M193" s="378"/>
      <c r="N193" s="378" t="str">
        <f>+IF(L193="","",L193*M193)</f>
        <v/>
      </c>
      <c r="O193" s="378" t="str">
        <f>+IF(L193="","",N193*0.1)</f>
        <v/>
      </c>
      <c r="P193" s="378" t="str">
        <f>+IF(L193="","",N193+O193)</f>
        <v/>
      </c>
      <c r="Q193" s="378" t="str">
        <f>IF(L193="","",IFERROR((SUMIFS(TN_balC1_totol,TN_code,D193)+SUMIFS(RC_or_totol,RC_Code,D193,RC_date,"&lt;="&amp;C193)-SUMIFS(RC_zar_totol,RC_Code,D193,RC_date,"&lt;"&amp;C193)) /( SUMIFS(TN_balC1_unit,TN_code,D193)+SUMIFS(RC_or_unit,RC_Code,D193,RC_date,"&lt;="&amp;C193)-SUMIFS(RC_zar_unit,RC_Code,D193,RC_date,"&lt;"&amp;C193)),0 ))</f>
        <v/>
      </c>
      <c r="R193" s="378" t="str">
        <f>+IF(L193="","",L193*Q193)</f>
        <v/>
      </c>
      <c r="S193" s="609">
        <v>310500</v>
      </c>
      <c r="T193" s="378" t="str">
        <f>+IFERROR(VLOOKUP(S193,STAT1!$C$4:$D$189,2,FALSE),"")</f>
        <v>НӨАТ өглөг</v>
      </c>
      <c r="U193" s="1225"/>
      <c r="V193" s="1216">
        <v>46500</v>
      </c>
      <c r="W193" s="326">
        <v>3007</v>
      </c>
      <c r="X193" s="328" t="str">
        <f>IFERROR(VLOOKUP(W193,DATA!$G$4:$H$400,2,FALSE),"")</f>
        <v xml:space="preserve">АЯНЧИН АУТФИТТЕРС ХХК </v>
      </c>
      <c r="Y193" s="1205"/>
      <c r="Z193" s="1205"/>
      <c r="AA193" s="1205"/>
    </row>
    <row r="194" spans="1:27" ht="12.75" customHeight="1">
      <c r="A194" s="15">
        <v>54</v>
      </c>
      <c r="B194" s="369">
        <f t="shared" si="40"/>
        <v>189</v>
      </c>
      <c r="C194" s="427">
        <v>42788</v>
      </c>
      <c r="D194" s="426"/>
      <c r="E194" s="425" t="str">
        <f ca="1">+IFERROR(VLOOKUP(D194,TN_table,2,FALSE),"")</f>
        <v/>
      </c>
      <c r="F194" s="428" t="str">
        <f ca="1">+IFERROR(VLOOKUP(D194,TN_table,3,FALSE),"")</f>
        <v/>
      </c>
      <c r="G194" s="378"/>
      <c r="H194" s="378"/>
      <c r="I194" s="378"/>
      <c r="J194" s="378"/>
      <c r="K194" s="1220"/>
      <c r="L194" s="378"/>
      <c r="M194" s="378"/>
      <c r="N194" s="378" t="str">
        <f>+IF(L194="","",L194*M194)</f>
        <v/>
      </c>
      <c r="O194" s="378" t="str">
        <f>+IF(L194="","",N194*0.1)</f>
        <v/>
      </c>
      <c r="P194" s="378" t="str">
        <f>+IF(L194="","",N194+O194)</f>
        <v/>
      </c>
      <c r="Q194" s="378" t="str">
        <f>IF(L194="","",IFERROR((SUMIFS(TN_balC1_totol,TN_code,D194)+SUMIFS(RC_or_totol,RC_Code,D194,RC_date,"&lt;="&amp;C194)-SUMIFS(RC_zar_totol,RC_Code,D194,RC_date,"&lt;"&amp;C194)) /( SUMIFS(TN_balC1_unit,TN_code,D194)+SUMIFS(RC_or_unit,RC_Code,D194,RC_date,"&lt;="&amp;C194)-SUMIFS(RC_zar_unit,RC_Code,D194,RC_date,"&lt;"&amp;C194)),0 ))</f>
        <v/>
      </c>
      <c r="R194" s="378" t="str">
        <f>+IF(L194="","",L194*Q194)</f>
        <v/>
      </c>
      <c r="S194" s="609">
        <v>510000</v>
      </c>
      <c r="T194" s="378" t="str">
        <f>+IFERROR(VLOOKUP(S194,STAT1!$C$4:$D$189,2,FALSE),"")</f>
        <v>Үндсэн үйл ажиллагааны борлуулалт</v>
      </c>
      <c r="U194" s="1225"/>
      <c r="V194" s="1216">
        <v>465000</v>
      </c>
      <c r="W194" s="326">
        <v>3007</v>
      </c>
      <c r="X194" s="328" t="str">
        <f>IFERROR(VLOOKUP(W194,DATA!$G$4:$H$400,2,FALSE),"")</f>
        <v xml:space="preserve">АЯНЧИН АУТФИТТЕРС ХХК </v>
      </c>
      <c r="Y194" s="1205"/>
      <c r="Z194" s="1205"/>
      <c r="AA194" s="1205"/>
    </row>
    <row r="195" spans="1:27" ht="12.75" customHeight="1">
      <c r="A195" s="15">
        <v>54</v>
      </c>
      <c r="B195" s="369">
        <f t="shared" si="40"/>
        <v>190</v>
      </c>
      <c r="C195" s="427">
        <v>42788</v>
      </c>
      <c r="D195" s="426"/>
      <c r="E195" s="425" t="str">
        <f ca="1">+IFERROR(VLOOKUP(D195,TN_table,2,FALSE),"")</f>
        <v/>
      </c>
      <c r="F195" s="428" t="str">
        <f ca="1">+IFERROR(VLOOKUP(D195,TN_table,3,FALSE),"")</f>
        <v/>
      </c>
      <c r="G195" s="378"/>
      <c r="H195" s="378"/>
      <c r="I195" s="378"/>
      <c r="J195" s="378"/>
      <c r="K195" s="1220"/>
      <c r="L195" s="378"/>
      <c r="M195" s="378"/>
      <c r="N195" s="378" t="str">
        <f>+IF(L195="","",L195*M195)</f>
        <v/>
      </c>
      <c r="O195" s="378" t="str">
        <f>+IF(L195="","",N195*0.1)</f>
        <v/>
      </c>
      <c r="P195" s="378" t="str">
        <f>+IF(L195="","",N195+O195)</f>
        <v/>
      </c>
      <c r="Q195" s="378" t="str">
        <f>IF(L195="","",IFERROR((SUMIFS(TN_balC1_totol,TN_code,D195)+SUMIFS(RC_or_totol,RC_Code,D195,RC_date,"&lt;="&amp;C195)-SUMIFS(RC_zar_totol,RC_Code,D195,RC_date,"&lt;"&amp;C195)) /( SUMIFS(TN_balC1_unit,TN_code,D195)+SUMIFS(RC_or_unit,RC_Code,D195,RC_date,"&lt;="&amp;C195)-SUMIFS(RC_zar_unit,RC_Code,D195,RC_date,"&lt;"&amp;C195)),0 ))</f>
        <v/>
      </c>
      <c r="R195" s="378" t="str">
        <f>+IF(L195="","",L195*Q195)</f>
        <v/>
      </c>
      <c r="S195" s="609">
        <v>320100</v>
      </c>
      <c r="T195" s="378" t="str">
        <f>+IFERROR(VLOOKUP(S195,STAT1!$C$4:$D$189,2,FALSE),"")</f>
        <v>Урьдчилж орсон орлого MNT</v>
      </c>
      <c r="U195" s="1225">
        <v>511500</v>
      </c>
      <c r="V195" s="1216"/>
      <c r="W195" s="326">
        <v>3007</v>
      </c>
      <c r="X195" s="328" t="str">
        <f>IFERROR(VLOOKUP(W195,DATA!$G$4:$H$400,2,FALSE),"")</f>
        <v xml:space="preserve">АЯНЧИН АУТФИТТЕРС ХХК </v>
      </c>
      <c r="Y195" s="1205"/>
      <c r="Z195" s="1205"/>
      <c r="AA195" s="1205"/>
    </row>
    <row r="196" spans="1:27" ht="12.75" customHeight="1">
      <c r="A196" s="15">
        <v>55</v>
      </c>
      <c r="B196" s="369">
        <f t="shared" si="40"/>
        <v>191</v>
      </c>
      <c r="C196" s="427">
        <v>42790</v>
      </c>
      <c r="D196" s="426">
        <v>210003</v>
      </c>
      <c r="E196" s="425" t="str">
        <f ca="1">+IFERROR(VLOOKUP(D196,TN_table,2,FALSE),"")</f>
        <v>Н-Наамал дүнз</v>
      </c>
      <c r="F196" s="428" t="str">
        <f ca="1">+IFERROR(VLOOKUP(D196,TN_table,3,FALSE),"")</f>
        <v>м2</v>
      </c>
      <c r="G196" s="378"/>
      <c r="H196" s="378"/>
      <c r="I196" s="378"/>
      <c r="J196" s="378"/>
      <c r="K196" s="1220"/>
      <c r="L196" s="378">
        <v>0.55000000000000004</v>
      </c>
      <c r="M196" s="378">
        <v>1201652.8909090906</v>
      </c>
      <c r="N196" s="378">
        <f>+IF(L196="","",L196*M196)</f>
        <v>660909.08999999985</v>
      </c>
      <c r="O196" s="378">
        <f>+IF(L196="","",N196*0.1)</f>
        <v>66090.908999999985</v>
      </c>
      <c r="P196" s="378">
        <f>+IF(L196="","",N196+O196)</f>
        <v>726999.99899999984</v>
      </c>
      <c r="Q196" s="378">
        <f ca="1">IF(L196="","",IFERROR((SUMIFS(TN_balC1_totol,TN_code,D196)+SUMIFS(RC_or_totol,RC_Code,D196,RC_date,"&lt;="&amp;C196)-SUMIFS(RC_zar_totol,RC_Code,D196,RC_date,"&lt;"&amp;C196)) /( SUMIFS(TN_balC1_unit,TN_code,D196)+SUMIFS(RC_or_unit,RC_Code,D196,RC_date,"&lt;="&amp;C196)-SUMIFS(RC_zar_unit,RC_Code,D196,RC_date,"&lt;"&amp;C196)),0 ))</f>
        <v>191123.56673210167</v>
      </c>
      <c r="R196" s="378">
        <f ca="1">+IF(L196="","",L196*Q196)</f>
        <v>105117.96170265593</v>
      </c>
      <c r="S196" s="609">
        <v>150101</v>
      </c>
      <c r="T196" s="378" t="str">
        <f>+IFERROR(VLOOKUP(S196,STAT1!$C$4:$D$189,2,FALSE),"")</f>
        <v>Бараа бэлэн бүтээгдэхүүн БОЛОВСРУУЛАХ ЦЕХ /нарс/</v>
      </c>
      <c r="U196" s="1225"/>
      <c r="V196" s="1216">
        <v>105117.96170265593</v>
      </c>
      <c r="W196" s="326">
        <v>3001</v>
      </c>
      <c r="X196" s="328" t="str">
        <f>IFERROR(VLOOKUP(W196,DATA!$G$4:$H$400,2,FALSE),"")</f>
        <v>ХУРД ГРУПП ХХК</v>
      </c>
      <c r="Y196" s="1205"/>
      <c r="Z196" s="1205"/>
      <c r="AA196" s="1205"/>
    </row>
    <row r="197" spans="1:27" ht="12.75" customHeight="1">
      <c r="A197" s="15">
        <v>55</v>
      </c>
      <c r="B197" s="369">
        <f t="shared" si="40"/>
        <v>192</v>
      </c>
      <c r="C197" s="427">
        <v>42790</v>
      </c>
      <c r="D197" s="426"/>
      <c r="E197" s="425"/>
      <c r="F197" s="428"/>
      <c r="G197" s="378"/>
      <c r="H197" s="378"/>
      <c r="I197" s="378"/>
      <c r="J197" s="378"/>
      <c r="K197" s="1220"/>
      <c r="L197" s="378"/>
      <c r="M197" s="378"/>
      <c r="N197" s="378"/>
      <c r="O197" s="378"/>
      <c r="P197" s="378"/>
      <c r="Q197" s="378"/>
      <c r="R197" s="378"/>
      <c r="S197" s="609">
        <v>610100</v>
      </c>
      <c r="T197" s="378" t="str">
        <f>+IFERROR(VLOOKUP(S197,STAT1!$C$4:$D$189,2,FALSE),"")</f>
        <v>Борлуулсан барааны өртөг</v>
      </c>
      <c r="U197" s="1216">
        <v>105117.96170265593</v>
      </c>
      <c r="V197" s="1216"/>
      <c r="W197" s="326">
        <v>3001</v>
      </c>
      <c r="X197" s="328" t="str">
        <f>IFERROR(VLOOKUP(W197,DATA!$G$4:$H$400,2,FALSE),"")</f>
        <v>ХУРД ГРУПП ХХК</v>
      </c>
      <c r="Y197" s="1205"/>
      <c r="Z197" s="1205"/>
      <c r="AA197" s="1205"/>
    </row>
    <row r="198" spans="1:27" ht="12.75" customHeight="1">
      <c r="A198" s="15">
        <v>55</v>
      </c>
      <c r="B198" s="369">
        <f t="shared" ref="B198:B261" si="71">+IF(C198="","",ROW()-5)</f>
        <v>193</v>
      </c>
      <c r="C198" s="427">
        <v>42790</v>
      </c>
      <c r="D198" s="426"/>
      <c r="E198" s="425" t="str">
        <f ca="1">+IFERROR(VLOOKUP(D198,TN_table,2,FALSE),"")</f>
        <v/>
      </c>
      <c r="F198" s="428" t="str">
        <f ca="1">+IFERROR(VLOOKUP(D198,TN_table,3,FALSE),"")</f>
        <v/>
      </c>
      <c r="G198" s="378"/>
      <c r="H198" s="378"/>
      <c r="I198" s="378"/>
      <c r="J198" s="378"/>
      <c r="K198" s="1220"/>
      <c r="L198" s="378"/>
      <c r="M198" s="378"/>
      <c r="N198" s="378" t="str">
        <f>+IF(L198="","",L198*M198)</f>
        <v/>
      </c>
      <c r="O198" s="378" t="str">
        <f>+IF(L198="","",N198*0.1)</f>
        <v/>
      </c>
      <c r="P198" s="378" t="str">
        <f>+IF(L198="","",N198+O198)</f>
        <v/>
      </c>
      <c r="Q198" s="378" t="str">
        <f>IF(L198="","",IFERROR((SUMIFS(TN_balC1_totol,TN_code,D198)+SUMIFS(RC_or_totol,RC_Code,D198,RC_date,"&lt;="&amp;C198)-SUMIFS(RC_zar_totol,RC_Code,D198,RC_date,"&lt;"&amp;C198)) /( SUMIFS(TN_balC1_unit,TN_code,D198)+SUMIFS(RC_or_unit,RC_Code,D198,RC_date,"&lt;="&amp;C198)-SUMIFS(RC_zar_unit,RC_Code,D198,RC_date,"&lt;"&amp;C198)),0 ))</f>
        <v/>
      </c>
      <c r="R198" s="378" t="str">
        <f>+IF(L198="","",L198*Q198)</f>
        <v/>
      </c>
      <c r="S198" s="609">
        <v>310500</v>
      </c>
      <c r="T198" s="378" t="str">
        <f>+IFERROR(VLOOKUP(S198,STAT1!$C$4:$D$189,2,FALSE),"")</f>
        <v>НӨАТ өглөг</v>
      </c>
      <c r="U198" s="1225"/>
      <c r="V198" s="1216">
        <v>66090.908999999985</v>
      </c>
      <c r="W198" s="326">
        <v>3001</v>
      </c>
      <c r="X198" s="328" t="str">
        <f>IFERROR(VLOOKUP(W198,DATA!$G$4:$H$400,2,FALSE),"")</f>
        <v>ХУРД ГРУПП ХХК</v>
      </c>
      <c r="Y198" s="1205"/>
      <c r="Z198" s="1205"/>
      <c r="AA198" s="1205"/>
    </row>
    <row r="199" spans="1:27" ht="12.75" customHeight="1">
      <c r="A199" s="15">
        <v>55</v>
      </c>
      <c r="B199" s="369">
        <f t="shared" si="71"/>
        <v>194</v>
      </c>
      <c r="C199" s="427">
        <v>42790</v>
      </c>
      <c r="D199" s="426"/>
      <c r="E199" s="425" t="str">
        <f ca="1">+IFERROR(VLOOKUP(D199,TN_table,2,FALSE),"")</f>
        <v/>
      </c>
      <c r="F199" s="428" t="str">
        <f ca="1">+IFERROR(VLOOKUP(D199,TN_table,3,FALSE),"")</f>
        <v/>
      </c>
      <c r="G199" s="378"/>
      <c r="H199" s="378"/>
      <c r="I199" s="378"/>
      <c r="J199" s="378"/>
      <c r="K199" s="1220"/>
      <c r="L199" s="378"/>
      <c r="M199" s="378"/>
      <c r="N199" s="378" t="str">
        <f>+IF(L199="","",L199*M199)</f>
        <v/>
      </c>
      <c r="O199" s="378" t="str">
        <f>+IF(L199="","",N199*0.1)</f>
        <v/>
      </c>
      <c r="P199" s="378" t="str">
        <f>+IF(L199="","",N199+O199)</f>
        <v/>
      </c>
      <c r="Q199" s="378" t="str">
        <f>IF(L199="","",IFERROR((SUMIFS(TN_balC1_totol,TN_code,D199)+SUMIFS(RC_or_totol,RC_Code,D199,RC_date,"&lt;="&amp;C199)-SUMIFS(RC_zar_totol,RC_Code,D199,RC_date,"&lt;"&amp;C199)) /( SUMIFS(TN_balC1_unit,TN_code,D199)+SUMIFS(RC_or_unit,RC_Code,D199,RC_date,"&lt;="&amp;C199)-SUMIFS(RC_zar_unit,RC_Code,D199,RC_date,"&lt;"&amp;C199)),0 ))</f>
        <v/>
      </c>
      <c r="R199" s="378" t="str">
        <f>+IF(L199="","",L199*Q199)</f>
        <v/>
      </c>
      <c r="S199" s="609">
        <v>510000</v>
      </c>
      <c r="T199" s="378" t="str">
        <f>+IFERROR(VLOOKUP(S199,STAT1!$C$4:$D$189,2,FALSE),"")</f>
        <v>Үндсэн үйл ажиллагааны борлуулалт</v>
      </c>
      <c r="U199" s="1225"/>
      <c r="V199" s="1216">
        <v>660909.08999999985</v>
      </c>
      <c r="W199" s="326">
        <v>3001</v>
      </c>
      <c r="X199" s="328" t="str">
        <f>IFERROR(VLOOKUP(W199,DATA!$G$4:$H$400,2,FALSE),"")</f>
        <v>ХУРД ГРУПП ХХК</v>
      </c>
      <c r="Y199" s="1205"/>
      <c r="Z199" s="1205"/>
      <c r="AA199" s="1205"/>
    </row>
    <row r="200" spans="1:27" ht="12.75" customHeight="1">
      <c r="A200" s="15">
        <v>55</v>
      </c>
      <c r="B200" s="369">
        <f t="shared" si="71"/>
        <v>195</v>
      </c>
      <c r="C200" s="427">
        <v>42790</v>
      </c>
      <c r="D200" s="426"/>
      <c r="E200" s="425" t="str">
        <f ca="1">+IFERROR(VLOOKUP(D200,TN_table,2,FALSE),"")</f>
        <v/>
      </c>
      <c r="F200" s="428" t="str">
        <f ca="1">+IFERROR(VLOOKUP(D200,TN_table,3,FALSE),"")</f>
        <v/>
      </c>
      <c r="G200" s="378"/>
      <c r="H200" s="378"/>
      <c r="I200" s="378"/>
      <c r="J200" s="378"/>
      <c r="K200" s="1220"/>
      <c r="L200" s="378"/>
      <c r="M200" s="378"/>
      <c r="N200" s="378" t="str">
        <f>+IF(L200="","",L200*M200)</f>
        <v/>
      </c>
      <c r="O200" s="378" t="str">
        <f>+IF(L200="","",N200*0.1)</f>
        <v/>
      </c>
      <c r="P200" s="378" t="str">
        <f>+IF(L200="","",N200+O200)</f>
        <v/>
      </c>
      <c r="Q200" s="378" t="str">
        <f>IF(L200="","",IFERROR((SUMIFS(TN_balC1_totol,TN_code,D200)+SUMIFS(RC_or_totol,RC_Code,D200,RC_date,"&lt;="&amp;C200)-SUMIFS(RC_zar_totol,RC_Code,D200,RC_date,"&lt;"&amp;C200)) /( SUMIFS(TN_balC1_unit,TN_code,D200)+SUMIFS(RC_or_unit,RC_Code,D200,RC_date,"&lt;="&amp;C200)-SUMIFS(RC_zar_unit,RC_Code,D200,RC_date,"&lt;"&amp;C200)),0 ))</f>
        <v/>
      </c>
      <c r="R200" s="378" t="str">
        <f>+IF(L200="","",L200*Q200)</f>
        <v/>
      </c>
      <c r="S200" s="609">
        <v>320100</v>
      </c>
      <c r="T200" s="378" t="str">
        <f>+IFERROR(VLOOKUP(S200,STAT1!$C$4:$D$189,2,FALSE),"")</f>
        <v>Урьдчилж орсон орлого MNT</v>
      </c>
      <c r="U200" s="1225">
        <v>727000</v>
      </c>
      <c r="V200" s="1216"/>
      <c r="W200" s="326">
        <v>3001</v>
      </c>
      <c r="X200" s="328" t="str">
        <f>IFERROR(VLOOKUP(W200,DATA!$G$4:$H$400,2,FALSE),"")</f>
        <v>ХУРД ГРУПП ХХК</v>
      </c>
      <c r="Y200" s="1205"/>
      <c r="Z200" s="1205"/>
      <c r="AA200" s="1205"/>
    </row>
    <row r="201" spans="1:27" ht="12.75" customHeight="1">
      <c r="A201" s="15">
        <v>56</v>
      </c>
      <c r="B201" s="369">
        <f t="shared" si="71"/>
        <v>196</v>
      </c>
      <c r="C201" s="427">
        <v>42790</v>
      </c>
      <c r="D201" s="426">
        <v>210003</v>
      </c>
      <c r="E201" s="425" t="str">
        <f ca="1">+IFERROR(VLOOKUP(D201,TN_table,2,FALSE),"")</f>
        <v>Н-Наамал дүнз</v>
      </c>
      <c r="F201" s="428" t="str">
        <f ca="1">+IFERROR(VLOOKUP(D201,TN_table,3,FALSE),"")</f>
        <v>м2</v>
      </c>
      <c r="G201" s="378"/>
      <c r="H201" s="378"/>
      <c r="I201" s="378"/>
      <c r="J201" s="378"/>
      <c r="K201" s="1220"/>
      <c r="L201" s="378">
        <v>20.795000000000002</v>
      </c>
      <c r="M201" s="378">
        <v>254549.87</v>
      </c>
      <c r="N201" s="378">
        <f>+IF(L201="","",L201*M201)</f>
        <v>5293364.5466499999</v>
      </c>
      <c r="O201" s="378">
        <f>+IF(L201="","",N201*0.1)</f>
        <v>529336.45466499997</v>
      </c>
      <c r="P201" s="378">
        <f>+IF(L201="","",N201+O201)</f>
        <v>5822701.0013149995</v>
      </c>
      <c r="Q201" s="378">
        <f ca="1">IF(L201="","",IFERROR((SUMIFS(TN_balC1_totol,TN_code,D201)+SUMIFS(RC_or_totol,RC_Code,D201,RC_date,"&lt;="&amp;C201)-SUMIFS(RC_zar_totol,RC_Code,D201,RC_date,"&lt;"&amp;C201)) /( SUMIFS(TN_balC1_unit,TN_code,D201)+SUMIFS(RC_or_unit,RC_Code,D201,RC_date,"&lt;="&amp;C201)-SUMIFS(RC_zar_unit,RC_Code,D201,RC_date,"&lt;"&amp;C201)),0 ))</f>
        <v>191123.56673210167</v>
      </c>
      <c r="R201" s="378">
        <f ca="1">+IF(L201="","",L201*Q201)</f>
        <v>3974414.5701940544</v>
      </c>
      <c r="S201" s="609">
        <v>150101</v>
      </c>
      <c r="T201" s="378" t="str">
        <f>+IFERROR(VLOOKUP(S201,STAT1!$C$4:$D$189,2,FALSE),"")</f>
        <v>Бараа бэлэн бүтээгдэхүүн БОЛОВСРУУЛАХ ЦЕХ /нарс/</v>
      </c>
      <c r="U201" s="1225"/>
      <c r="V201" s="1216">
        <v>3974414.5701940544</v>
      </c>
      <c r="W201" s="326">
        <v>3015</v>
      </c>
      <c r="X201" s="328" t="str">
        <f>IFERROR(VLOOKUP(W201,DATA!$G$4:$H$400,2,FALSE),"")</f>
        <v xml:space="preserve">АТМОР ГРУПП ХХК </v>
      </c>
      <c r="Y201" s="1205"/>
      <c r="Z201" s="1205"/>
      <c r="AA201" s="1205"/>
    </row>
    <row r="202" spans="1:27" ht="12.75" customHeight="1">
      <c r="A202" s="15">
        <v>56</v>
      </c>
      <c r="B202" s="369">
        <f t="shared" si="71"/>
        <v>197</v>
      </c>
      <c r="C202" s="427">
        <v>42790</v>
      </c>
      <c r="D202" s="426"/>
      <c r="E202" s="425"/>
      <c r="F202" s="428"/>
      <c r="G202" s="378"/>
      <c r="H202" s="378"/>
      <c r="I202" s="378"/>
      <c r="J202" s="378"/>
      <c r="K202" s="1220"/>
      <c r="L202" s="378"/>
      <c r="M202" s="378"/>
      <c r="N202" s="378"/>
      <c r="O202" s="378"/>
      <c r="P202" s="378"/>
      <c r="Q202" s="378"/>
      <c r="R202" s="378"/>
      <c r="S202" s="609">
        <v>610100</v>
      </c>
      <c r="T202" s="378" t="str">
        <f>+IFERROR(VLOOKUP(S202,STAT1!$C$4:$D$189,2,FALSE),"")</f>
        <v>Борлуулсан барааны өртөг</v>
      </c>
      <c r="U202" s="1216">
        <v>3974414.5701940544</v>
      </c>
      <c r="V202" s="1216"/>
      <c r="W202" s="326">
        <v>3015</v>
      </c>
      <c r="X202" s="328" t="str">
        <f>IFERROR(VLOOKUP(W202,DATA!$G$4:$H$400,2,FALSE),"")</f>
        <v xml:space="preserve">АТМОР ГРУПП ХХК </v>
      </c>
      <c r="Y202" s="1205"/>
      <c r="Z202" s="1205"/>
      <c r="AA202" s="1205"/>
    </row>
    <row r="203" spans="1:27" ht="12.75" customHeight="1">
      <c r="A203" s="15">
        <v>56</v>
      </c>
      <c r="B203" s="369">
        <f t="shared" si="71"/>
        <v>198</v>
      </c>
      <c r="C203" s="427">
        <v>42790</v>
      </c>
      <c r="D203" s="426"/>
      <c r="E203" s="425" t="str">
        <f ca="1">+IFERROR(VLOOKUP(D203,TN_table,2,FALSE),"")</f>
        <v/>
      </c>
      <c r="F203" s="428" t="str">
        <f ca="1">+IFERROR(VLOOKUP(D203,TN_table,3,FALSE),"")</f>
        <v/>
      </c>
      <c r="G203" s="378"/>
      <c r="H203" s="378"/>
      <c r="I203" s="378"/>
      <c r="J203" s="378"/>
      <c r="K203" s="1220"/>
      <c r="L203" s="378"/>
      <c r="M203" s="378"/>
      <c r="N203" s="378" t="str">
        <f>+IF(L203="","",L203*M203)</f>
        <v/>
      </c>
      <c r="O203" s="378" t="str">
        <f>+IF(L203="","",N203*0.1)</f>
        <v/>
      </c>
      <c r="P203" s="378" t="str">
        <f>+IF(L203="","",N203+O203)</f>
        <v/>
      </c>
      <c r="Q203" s="378" t="str">
        <f>IF(L203="","",IFERROR((SUMIFS(TN_balC1_totol,TN_code,D203)+SUMIFS(RC_or_totol,RC_Code,D203,RC_date,"&lt;="&amp;C203)-SUMIFS(RC_zar_totol,RC_Code,D203,RC_date,"&lt;"&amp;C203)) /( SUMIFS(TN_balC1_unit,TN_code,D203)+SUMIFS(RC_or_unit,RC_Code,D203,RC_date,"&lt;="&amp;C203)-SUMIFS(RC_zar_unit,RC_Code,D203,RC_date,"&lt;"&amp;C203)),0 ))</f>
        <v/>
      </c>
      <c r="R203" s="378" t="str">
        <f>+IF(L203="","",L203*Q203)</f>
        <v/>
      </c>
      <c r="S203" s="609">
        <v>310500</v>
      </c>
      <c r="T203" s="378" t="str">
        <f>+IFERROR(VLOOKUP(S203,STAT1!$C$4:$D$189,2,FALSE),"")</f>
        <v>НӨАТ өглөг</v>
      </c>
      <c r="U203" s="1225"/>
      <c r="V203" s="1216">
        <v>529336.44999999995</v>
      </c>
      <c r="W203" s="326">
        <v>3015</v>
      </c>
      <c r="X203" s="328" t="str">
        <f>IFERROR(VLOOKUP(W203,DATA!$G$4:$H$400,2,FALSE),"")</f>
        <v xml:space="preserve">АТМОР ГРУПП ХХК </v>
      </c>
      <c r="Y203" s="1205"/>
      <c r="Z203" s="1205"/>
      <c r="AA203" s="1205"/>
    </row>
    <row r="204" spans="1:27" ht="12.75" customHeight="1">
      <c r="A204" s="15">
        <v>56</v>
      </c>
      <c r="B204" s="369">
        <f t="shared" si="71"/>
        <v>199</v>
      </c>
      <c r="C204" s="427">
        <v>42790</v>
      </c>
      <c r="D204" s="426"/>
      <c r="E204" s="425" t="str">
        <f ca="1">+IFERROR(VLOOKUP(D204,TN_table,2,FALSE),"")</f>
        <v/>
      </c>
      <c r="F204" s="428" t="str">
        <f ca="1">+IFERROR(VLOOKUP(D204,TN_table,3,FALSE),"")</f>
        <v/>
      </c>
      <c r="G204" s="378"/>
      <c r="H204" s="378"/>
      <c r="I204" s="378"/>
      <c r="J204" s="378"/>
      <c r="K204" s="1220"/>
      <c r="L204" s="378"/>
      <c r="M204" s="378"/>
      <c r="N204" s="378" t="str">
        <f>+IF(L204="","",L204*M204)</f>
        <v/>
      </c>
      <c r="O204" s="378" t="str">
        <f>+IF(L204="","",N204*0.1)</f>
        <v/>
      </c>
      <c r="P204" s="378" t="str">
        <f>+IF(L204="","",N204+O204)</f>
        <v/>
      </c>
      <c r="Q204" s="378" t="str">
        <f>IF(L204="","",IFERROR((SUMIFS(TN_balC1_totol,TN_code,D204)+SUMIFS(RC_or_totol,RC_Code,D204,RC_date,"&lt;="&amp;C204)-SUMIFS(RC_zar_totol,RC_Code,D204,RC_date,"&lt;"&amp;C204)) /( SUMIFS(TN_balC1_unit,TN_code,D204)+SUMIFS(RC_or_unit,RC_Code,D204,RC_date,"&lt;="&amp;C204)-SUMIFS(RC_zar_unit,RC_Code,D204,RC_date,"&lt;"&amp;C204)),0 ))</f>
        <v/>
      </c>
      <c r="R204" s="378" t="str">
        <f>+IF(L204="","",L204*Q204)</f>
        <v/>
      </c>
      <c r="S204" s="609">
        <v>510000</v>
      </c>
      <c r="T204" s="378" t="str">
        <f>+IFERROR(VLOOKUP(S204,STAT1!$C$4:$D$189,2,FALSE),"")</f>
        <v>Үндсэн үйл ажиллагааны борлуулалт</v>
      </c>
      <c r="U204" s="1225"/>
      <c r="V204" s="1216">
        <v>5293364.55</v>
      </c>
      <c r="W204" s="326">
        <v>3015</v>
      </c>
      <c r="X204" s="328" t="str">
        <f>IFERROR(VLOOKUP(W204,DATA!$G$4:$H$400,2,FALSE),"")</f>
        <v xml:space="preserve">АТМОР ГРУПП ХХК </v>
      </c>
      <c r="Y204" s="1205"/>
      <c r="Z204" s="1205"/>
      <c r="AA204" s="1205"/>
    </row>
    <row r="205" spans="1:27" ht="12.75" customHeight="1">
      <c r="A205" s="15">
        <v>56</v>
      </c>
      <c r="B205" s="369">
        <f t="shared" si="71"/>
        <v>200</v>
      </c>
      <c r="C205" s="427">
        <v>42790</v>
      </c>
      <c r="D205" s="426"/>
      <c r="E205" s="425" t="str">
        <f ca="1">+IFERROR(VLOOKUP(D205,TN_table,2,FALSE),"")</f>
        <v/>
      </c>
      <c r="F205" s="428" t="str">
        <f ca="1">+IFERROR(VLOOKUP(D205,TN_table,3,FALSE),"")</f>
        <v/>
      </c>
      <c r="G205" s="378"/>
      <c r="H205" s="378"/>
      <c r="I205" s="378"/>
      <c r="J205" s="378"/>
      <c r="K205" s="1220"/>
      <c r="L205" s="378"/>
      <c r="M205" s="378"/>
      <c r="N205" s="378" t="str">
        <f>+IF(L205="","",L205*M205)</f>
        <v/>
      </c>
      <c r="O205" s="378" t="str">
        <f>+IF(L205="","",N205*0.1)</f>
        <v/>
      </c>
      <c r="P205" s="378" t="str">
        <f>+IF(L205="","",N205+O205)</f>
        <v/>
      </c>
      <c r="Q205" s="378" t="str">
        <f>IF(L205="","",IFERROR((SUMIFS(TN_balC1_totol,TN_code,D205)+SUMIFS(RC_or_totol,RC_Code,D205,RC_date,"&lt;="&amp;C205)-SUMIFS(RC_zar_totol,RC_Code,D205,RC_date,"&lt;"&amp;C205)) /( SUMIFS(TN_balC1_unit,TN_code,D205)+SUMIFS(RC_or_unit,RC_Code,D205,RC_date,"&lt;="&amp;C205)-SUMIFS(RC_zar_unit,RC_Code,D205,RC_date,"&lt;"&amp;C205)),0 ))</f>
        <v/>
      </c>
      <c r="R205" s="378" t="str">
        <f>+IF(L205="","",L205*Q205)</f>
        <v/>
      </c>
      <c r="S205" s="609">
        <v>320100</v>
      </c>
      <c r="T205" s="378" t="str">
        <f>+IFERROR(VLOOKUP(S205,STAT1!$C$4:$D$189,2,FALSE),"")</f>
        <v>Урьдчилж орсон орлого MNT</v>
      </c>
      <c r="U205" s="1225">
        <v>5822701</v>
      </c>
      <c r="V205" s="1216"/>
      <c r="W205" s="326">
        <v>3015</v>
      </c>
      <c r="X205" s="328" t="str">
        <f>IFERROR(VLOOKUP(W205,DATA!$G$4:$H$400,2,FALSE),"")</f>
        <v xml:space="preserve">АТМОР ГРУПП ХХК </v>
      </c>
      <c r="Y205" s="1205"/>
      <c r="Z205" s="1205"/>
      <c r="AA205" s="1205"/>
    </row>
    <row r="206" spans="1:27" ht="12.75" customHeight="1">
      <c r="A206" s="15">
        <v>57</v>
      </c>
      <c r="B206" s="369">
        <f t="shared" si="71"/>
        <v>201</v>
      </c>
      <c r="C206" s="427">
        <v>42795</v>
      </c>
      <c r="D206" s="426">
        <v>211503</v>
      </c>
      <c r="E206" s="425" t="str">
        <f ca="1">+IFERROR(VLOOKUP(D206,TN_table,2,FALSE),"")</f>
        <v>Н-Евровагонка /зузаан-1.2см/</v>
      </c>
      <c r="F206" s="428" t="str">
        <f ca="1">+IFERROR(VLOOKUP(D206,TN_table,3,FALSE),"")</f>
        <v>м2</v>
      </c>
      <c r="G206" s="378"/>
      <c r="H206" s="378"/>
      <c r="I206" s="378"/>
      <c r="J206" s="378"/>
      <c r="K206" s="1220"/>
      <c r="L206" s="378">
        <v>15.74</v>
      </c>
      <c r="M206" s="378">
        <v>21606.792000000001</v>
      </c>
      <c r="N206" s="378">
        <f>+IF(L206="","",L206*M206)</f>
        <v>340090.90608000004</v>
      </c>
      <c r="O206" s="378">
        <f>+IF(L206="","",N206*0.1)</f>
        <v>34009.090608000006</v>
      </c>
      <c r="P206" s="378">
        <f>+IF(L206="","",N206+O206)</f>
        <v>374099.99668800004</v>
      </c>
      <c r="Q206" s="378">
        <f ca="1">IF(L206="","",IFERROR((SUMIFS(TN_balC1_totol,TN_code,D206)+SUMIFS(RC_or_totol,RC_Code,D206,RC_date,"&lt;="&amp;C206)-SUMIFS(RC_zar_totol,RC_Code,D206,RC_date,"&lt;"&amp;C206)) /( SUMIFS(TN_balC1_unit,TN_code,D206)+SUMIFS(RC_or_unit,RC_Code,D206,RC_date,"&lt;="&amp;C206)-SUMIFS(RC_zar_unit,RC_Code,D206,RC_date,"&lt;"&amp;C206)),0 ))</f>
        <v>12876.722738825943</v>
      </c>
      <c r="R206" s="378">
        <f ca="1">+IF(L206="","",L206*Q206)</f>
        <v>202679.61590912036</v>
      </c>
      <c r="S206" s="609">
        <v>150101</v>
      </c>
      <c r="T206" s="378" t="str">
        <f>+IFERROR(VLOOKUP(S206,STAT1!$C$4:$D$189,2,FALSE),"")</f>
        <v>Бараа бэлэн бүтээгдэхүүн БОЛОВСРУУЛАХ ЦЕХ /нарс/</v>
      </c>
      <c r="U206" s="1225"/>
      <c r="V206" s="1216">
        <v>202679.61590912036</v>
      </c>
      <c r="W206" s="326">
        <v>4002</v>
      </c>
      <c r="X206" s="328" t="str">
        <f>IFERROR(VLOOKUP(W206,DATA!$G$4:$H$400,2,FALSE),"")</f>
        <v xml:space="preserve">Хувь хүн </v>
      </c>
      <c r="Y206" s="1205"/>
      <c r="Z206" s="1205"/>
      <c r="AA206" s="1205"/>
    </row>
    <row r="207" spans="1:27" ht="12.75" customHeight="1">
      <c r="A207" s="15">
        <v>57</v>
      </c>
      <c r="B207" s="369">
        <f t="shared" si="71"/>
        <v>202</v>
      </c>
      <c r="C207" s="427">
        <v>42795</v>
      </c>
      <c r="D207" s="426"/>
      <c r="E207" s="425"/>
      <c r="F207" s="428"/>
      <c r="G207" s="378"/>
      <c r="H207" s="378"/>
      <c r="I207" s="378"/>
      <c r="J207" s="378"/>
      <c r="K207" s="1220"/>
      <c r="L207" s="378"/>
      <c r="M207" s="378"/>
      <c r="N207" s="378"/>
      <c r="O207" s="378"/>
      <c r="P207" s="378"/>
      <c r="Q207" s="378"/>
      <c r="R207" s="378"/>
      <c r="S207" s="609">
        <v>610100</v>
      </c>
      <c r="T207" s="378" t="str">
        <f>+IFERROR(VLOOKUP(S207,STAT1!$C$4:$D$189,2,FALSE),"")</f>
        <v>Борлуулсан барааны өртөг</v>
      </c>
      <c r="U207" s="1216">
        <v>202679.61590912036</v>
      </c>
      <c r="V207" s="1216"/>
      <c r="W207" s="326">
        <v>4002</v>
      </c>
      <c r="X207" s="328" t="str">
        <f>IFERROR(VLOOKUP(W207,DATA!$G$4:$H$400,2,FALSE),"")</f>
        <v xml:space="preserve">Хувь хүн </v>
      </c>
      <c r="Y207" s="1205"/>
      <c r="Z207" s="1205"/>
      <c r="AA207" s="1205"/>
    </row>
    <row r="208" spans="1:27" ht="12.75" customHeight="1">
      <c r="A208" s="15">
        <v>57</v>
      </c>
      <c r="B208" s="369">
        <f t="shared" si="71"/>
        <v>203</v>
      </c>
      <c r="C208" s="427">
        <v>42795</v>
      </c>
      <c r="D208" s="426"/>
      <c r="E208" s="425" t="str">
        <f ca="1">+IFERROR(VLOOKUP(D208,TN_table,2,FALSE),"")</f>
        <v/>
      </c>
      <c r="F208" s="428" t="str">
        <f ca="1">+IFERROR(VLOOKUP(D208,TN_table,3,FALSE),"")</f>
        <v/>
      </c>
      <c r="G208" s="378"/>
      <c r="H208" s="378"/>
      <c r="I208" s="378"/>
      <c r="J208" s="378"/>
      <c r="K208" s="1220"/>
      <c r="L208" s="378"/>
      <c r="M208" s="378"/>
      <c r="N208" s="378" t="str">
        <f>+IF(L208="","",L208*M208)</f>
        <v/>
      </c>
      <c r="O208" s="378" t="str">
        <f>+IF(L208="","",N208*0.1)</f>
        <v/>
      </c>
      <c r="P208" s="378" t="str">
        <f>+IF(L208="","",N208+O208)</f>
        <v/>
      </c>
      <c r="Q208" s="378" t="str">
        <f>IF(L208="","",IFERROR((SUMIFS(TN_balC1_totol,TN_code,D208)+SUMIFS(RC_or_totol,RC_Code,D208,RC_date,"&lt;="&amp;C208)-SUMIFS(RC_zar_totol,RC_Code,D208,RC_date,"&lt;"&amp;C208)) /( SUMIFS(TN_balC1_unit,TN_code,D208)+SUMIFS(RC_or_unit,RC_Code,D208,RC_date,"&lt;="&amp;C208)-SUMIFS(RC_zar_unit,RC_Code,D208,RC_date,"&lt;"&amp;C208)),0 ))</f>
        <v/>
      </c>
      <c r="R208" s="378" t="str">
        <f>+IF(L208="","",L208*Q208)</f>
        <v/>
      </c>
      <c r="S208" s="609">
        <v>310500</v>
      </c>
      <c r="T208" s="378" t="str">
        <f>+IFERROR(VLOOKUP(S208,STAT1!$C$4:$D$189,2,FALSE),"")</f>
        <v>НӨАТ өглөг</v>
      </c>
      <c r="U208" s="1225"/>
      <c r="V208" s="1216">
        <v>34009.089999999997</v>
      </c>
      <c r="W208" s="326">
        <v>4002</v>
      </c>
      <c r="X208" s="328" t="str">
        <f>IFERROR(VLOOKUP(W208,DATA!$G$4:$H$400,2,FALSE),"")</f>
        <v xml:space="preserve">Хувь хүн </v>
      </c>
      <c r="Y208" s="1205"/>
      <c r="Z208" s="1205"/>
      <c r="AA208" s="1205"/>
    </row>
    <row r="209" spans="1:27" ht="12.75" customHeight="1">
      <c r="A209" s="15">
        <v>57</v>
      </c>
      <c r="B209" s="369">
        <f t="shared" si="71"/>
        <v>204</v>
      </c>
      <c r="C209" s="427">
        <v>42795</v>
      </c>
      <c r="D209" s="426"/>
      <c r="E209" s="425" t="str">
        <f ca="1">+IFERROR(VLOOKUP(D209,TN_table,2,FALSE),"")</f>
        <v/>
      </c>
      <c r="F209" s="428" t="str">
        <f ca="1">+IFERROR(VLOOKUP(D209,TN_table,3,FALSE),"")</f>
        <v/>
      </c>
      <c r="G209" s="378"/>
      <c r="H209" s="378"/>
      <c r="I209" s="378"/>
      <c r="J209" s="378"/>
      <c r="K209" s="1220"/>
      <c r="L209" s="378"/>
      <c r="M209" s="378"/>
      <c r="N209" s="378" t="str">
        <f>+IF(L209="","",L209*M209)</f>
        <v/>
      </c>
      <c r="O209" s="378" t="str">
        <f>+IF(L209="","",N209*0.1)</f>
        <v/>
      </c>
      <c r="P209" s="378" t="str">
        <f>+IF(L209="","",N209+O209)</f>
        <v/>
      </c>
      <c r="Q209" s="378" t="str">
        <f>IF(L209="","",IFERROR((SUMIFS(TN_balC1_totol,TN_code,D209)+SUMIFS(RC_or_totol,RC_Code,D209,RC_date,"&lt;="&amp;C209)-SUMIFS(RC_zar_totol,RC_Code,D209,RC_date,"&lt;"&amp;C209)) /( SUMIFS(TN_balC1_unit,TN_code,D209)+SUMIFS(RC_or_unit,RC_Code,D209,RC_date,"&lt;="&amp;C209)-SUMIFS(RC_zar_unit,RC_Code,D209,RC_date,"&lt;"&amp;C209)),0 ))</f>
        <v/>
      </c>
      <c r="R209" s="378" t="str">
        <f>+IF(L209="","",L209*Q209)</f>
        <v/>
      </c>
      <c r="S209" s="609">
        <v>510000</v>
      </c>
      <c r="T209" s="378" t="str">
        <f>+IFERROR(VLOOKUP(S209,STAT1!$C$4:$D$189,2,FALSE),"")</f>
        <v>Үндсэн үйл ажиллагааны борлуулалт</v>
      </c>
      <c r="U209" s="1225"/>
      <c r="V209" s="1216">
        <v>340090.91</v>
      </c>
      <c r="W209" s="326">
        <v>4002</v>
      </c>
      <c r="X209" s="328" t="str">
        <f>IFERROR(VLOOKUP(W209,DATA!$G$4:$H$400,2,FALSE),"")</f>
        <v xml:space="preserve">Хувь хүн </v>
      </c>
      <c r="Y209" s="1205"/>
      <c r="Z209" s="1205"/>
      <c r="AA209" s="1205"/>
    </row>
    <row r="210" spans="1:27" ht="12.75" customHeight="1">
      <c r="A210" s="15">
        <v>57</v>
      </c>
      <c r="B210" s="369">
        <f t="shared" si="71"/>
        <v>205</v>
      </c>
      <c r="C210" s="427">
        <v>42795</v>
      </c>
      <c r="D210" s="426"/>
      <c r="E210" s="425" t="str">
        <f ca="1">+IFERROR(VLOOKUP(D210,TN_table,2,FALSE),"")</f>
        <v/>
      </c>
      <c r="F210" s="428" t="str">
        <f ca="1">+IFERROR(VLOOKUP(D210,TN_table,3,FALSE),"")</f>
        <v/>
      </c>
      <c r="G210" s="378"/>
      <c r="H210" s="378"/>
      <c r="I210" s="378"/>
      <c r="J210" s="378"/>
      <c r="K210" s="1220"/>
      <c r="L210" s="378"/>
      <c r="M210" s="378"/>
      <c r="N210" s="378" t="str">
        <f>+IF(L210="","",L210*M210)</f>
        <v/>
      </c>
      <c r="O210" s="378" t="str">
        <f>+IF(L210="","",N210*0.1)</f>
        <v/>
      </c>
      <c r="P210" s="378" t="str">
        <f>+IF(L210="","",N210+O210)</f>
        <v/>
      </c>
      <c r="Q210" s="378" t="str">
        <f>IF(L210="","",IFERROR((SUMIFS(TN_balC1_totol,TN_code,D210)+SUMIFS(RC_or_totol,RC_Code,D210,RC_date,"&lt;="&amp;C210)-SUMIFS(RC_zar_totol,RC_Code,D210,RC_date,"&lt;"&amp;C210)) /( SUMIFS(TN_balC1_unit,TN_code,D210)+SUMIFS(RC_or_unit,RC_Code,D210,RC_date,"&lt;="&amp;C210)-SUMIFS(RC_zar_unit,RC_Code,D210,RC_date,"&lt;"&amp;C210)),0 ))</f>
        <v/>
      </c>
      <c r="R210" s="378" t="str">
        <f>+IF(L210="","",L210*Q210)</f>
        <v/>
      </c>
      <c r="S210" s="609">
        <v>320100</v>
      </c>
      <c r="T210" s="378" t="str">
        <f>+IFERROR(VLOOKUP(S210,STAT1!$C$4:$D$189,2,FALSE),"")</f>
        <v>Урьдчилж орсон орлого MNT</v>
      </c>
      <c r="U210" s="1225">
        <v>374100</v>
      </c>
      <c r="V210" s="1216"/>
      <c r="W210" s="326">
        <v>4002</v>
      </c>
      <c r="X210" s="328" t="str">
        <f>IFERROR(VLOOKUP(W210,DATA!$G$4:$H$400,2,FALSE),"")</f>
        <v xml:space="preserve">Хувь хүн </v>
      </c>
      <c r="Y210" s="1205"/>
      <c r="Z210" s="1205"/>
      <c r="AA210" s="1205"/>
    </row>
    <row r="211" spans="1:27" ht="12.75" customHeight="1">
      <c r="A211" s="15">
        <v>58</v>
      </c>
      <c r="B211" s="369">
        <f t="shared" si="71"/>
        <v>206</v>
      </c>
      <c r="C211" s="427">
        <v>42804</v>
      </c>
      <c r="D211" s="426">
        <v>211713</v>
      </c>
      <c r="E211" s="425" t="str">
        <f ca="1">+IFERROR(VLOOKUP(D211,TN_table,2,FALSE),"")</f>
        <v>Н-Хавтан /зузаан-2см/</v>
      </c>
      <c r="F211" s="428" t="str">
        <f ca="1">+IFERROR(VLOOKUP(D211,TN_table,3,FALSE),"")</f>
        <v>м2</v>
      </c>
      <c r="G211" s="378"/>
      <c r="H211" s="378"/>
      <c r="I211" s="378"/>
      <c r="J211" s="378"/>
      <c r="K211" s="1220"/>
      <c r="L211" s="378">
        <v>22.667000000000002</v>
      </c>
      <c r="M211" s="378">
        <v>29999.558799999999</v>
      </c>
      <c r="N211" s="378">
        <f>+IF(L211="","",L211*M211)</f>
        <v>679999.99931960006</v>
      </c>
      <c r="O211" s="378">
        <f>+IF(L211="","",N211*0.1)</f>
        <v>67999.999931960003</v>
      </c>
      <c r="P211" s="378">
        <f>+IF(L211="","",N211+O211)</f>
        <v>747999.99925156008</v>
      </c>
      <c r="Q211" s="378">
        <f ca="1">IF(L211="","",IFERROR((SUMIFS(TN_balC1_totol,TN_code,D211)+SUMIFS(RC_or_totol,RC_Code,D211,RC_date,"&lt;="&amp;C211)-SUMIFS(RC_zar_totol,RC_Code,D211,RC_date,"&lt;"&amp;C211)) /( SUMIFS(TN_balC1_unit,TN_code,D211)+SUMIFS(RC_or_unit,RC_Code,D211,RC_date,"&lt;="&amp;C211)-SUMIFS(RC_zar_unit,RC_Code,D211,RC_date,"&lt;"&amp;C211)),0 ))</f>
        <v>22742.855938686211</v>
      </c>
      <c r="R211" s="378">
        <f ca="1">+IF(L211="","",L211*Q211)</f>
        <v>515512.31556220038</v>
      </c>
      <c r="S211" s="609">
        <v>150101</v>
      </c>
      <c r="T211" s="378" t="str">
        <f>+IFERROR(VLOOKUP(S211,STAT1!$C$4:$D$189,2,FALSE),"")</f>
        <v>Бараа бэлэн бүтээгдэхүүн БОЛОВСРУУЛАХ ЦЕХ /нарс/</v>
      </c>
      <c r="U211" s="1225"/>
      <c r="V211" s="1216">
        <v>515512.31556220038</v>
      </c>
      <c r="W211" s="326">
        <v>3025</v>
      </c>
      <c r="X211" s="328" t="str">
        <f>IFERROR(VLOOKUP(W211,DATA!$G$4:$H$400,2,FALSE),"")</f>
        <v xml:space="preserve">ТОСОН ВҮҮД ХХК </v>
      </c>
      <c r="Y211" s="1205"/>
      <c r="Z211" s="1205"/>
      <c r="AA211" s="1205"/>
    </row>
    <row r="212" spans="1:27" ht="12.75" customHeight="1">
      <c r="A212" s="15">
        <v>58</v>
      </c>
      <c r="B212" s="369">
        <f t="shared" si="71"/>
        <v>207</v>
      </c>
      <c r="C212" s="427">
        <v>42804</v>
      </c>
      <c r="D212" s="426"/>
      <c r="E212" s="425"/>
      <c r="F212" s="428"/>
      <c r="G212" s="378"/>
      <c r="H212" s="378"/>
      <c r="I212" s="378"/>
      <c r="J212" s="378"/>
      <c r="K212" s="1220"/>
      <c r="L212" s="378"/>
      <c r="M212" s="378"/>
      <c r="N212" s="378"/>
      <c r="O212" s="378"/>
      <c r="P212" s="378"/>
      <c r="Q212" s="378"/>
      <c r="R212" s="378"/>
      <c r="S212" s="609">
        <v>610100</v>
      </c>
      <c r="T212" s="378" t="str">
        <f>+IFERROR(VLOOKUP(S212,STAT1!$C$4:$D$189,2,FALSE),"")</f>
        <v>Борлуулсан барааны өртөг</v>
      </c>
      <c r="U212" s="1216">
        <v>515512.31556220038</v>
      </c>
      <c r="V212" s="1216"/>
      <c r="W212" s="326">
        <v>3025</v>
      </c>
      <c r="X212" s="328" t="str">
        <f>IFERROR(VLOOKUP(W212,DATA!$G$4:$H$400,2,FALSE),"")</f>
        <v xml:space="preserve">ТОСОН ВҮҮД ХХК </v>
      </c>
      <c r="Y212" s="1205"/>
      <c r="Z212" s="1205"/>
      <c r="AA212" s="1205"/>
    </row>
    <row r="213" spans="1:27" ht="13.5" customHeight="1">
      <c r="A213" s="15">
        <v>58</v>
      </c>
      <c r="B213" s="369">
        <f t="shared" si="71"/>
        <v>208</v>
      </c>
      <c r="C213" s="427">
        <v>42804</v>
      </c>
      <c r="D213" s="426"/>
      <c r="E213" s="425" t="str">
        <f ca="1">+IFERROR(VLOOKUP(D213,TN_table,2,FALSE),"")</f>
        <v/>
      </c>
      <c r="F213" s="428" t="str">
        <f ca="1">+IFERROR(VLOOKUP(D213,TN_table,3,FALSE),"")</f>
        <v/>
      </c>
      <c r="G213" s="378"/>
      <c r="H213" s="378"/>
      <c r="I213" s="378"/>
      <c r="J213" s="378"/>
      <c r="K213" s="1220"/>
      <c r="L213" s="378"/>
      <c r="M213" s="378"/>
      <c r="N213" s="378" t="str">
        <f>+IF(L213="","",L213*M213)</f>
        <v/>
      </c>
      <c r="O213" s="378" t="str">
        <f>+IF(L213="","",N213*0.1)</f>
        <v/>
      </c>
      <c r="P213" s="378" t="str">
        <f>+IF(L213="","",N213+O213)</f>
        <v/>
      </c>
      <c r="Q213" s="378" t="str">
        <f>IF(L213="","",IFERROR((SUMIFS(TN_balC1_totol,TN_code,D213)+SUMIFS(RC_or_totol,RC_Code,D213,RC_date,"&lt;="&amp;C213)-SUMIFS(RC_zar_totol,RC_Code,D213,RC_date,"&lt;"&amp;C213)) /( SUMIFS(TN_balC1_unit,TN_code,D213)+SUMIFS(RC_or_unit,RC_Code,D213,RC_date,"&lt;="&amp;C213)-SUMIFS(RC_zar_unit,RC_Code,D213,RC_date,"&lt;"&amp;C213)),0 ))</f>
        <v/>
      </c>
      <c r="R213" s="378" t="str">
        <f>+IF(L213="","",L213*Q213)</f>
        <v/>
      </c>
      <c r="S213" s="609">
        <v>310500</v>
      </c>
      <c r="T213" s="378" t="str">
        <f>+IFERROR(VLOOKUP(S213,STAT1!$C$4:$D$189,2,FALSE),"")</f>
        <v>НӨАТ өглөг</v>
      </c>
      <c r="U213" s="1225"/>
      <c r="V213" s="1216">
        <v>67999.999931960003</v>
      </c>
      <c r="W213" s="326">
        <v>3025</v>
      </c>
      <c r="X213" s="328" t="str">
        <f>IFERROR(VLOOKUP(W213,DATA!$G$4:$H$400,2,FALSE),"")</f>
        <v xml:space="preserve">ТОСОН ВҮҮД ХХК </v>
      </c>
      <c r="Y213" s="1205"/>
      <c r="Z213" s="1205"/>
      <c r="AA213" s="1205"/>
    </row>
    <row r="214" spans="1:27" ht="12.75" customHeight="1">
      <c r="A214" s="15">
        <v>58</v>
      </c>
      <c r="B214" s="369">
        <f t="shared" si="71"/>
        <v>209</v>
      </c>
      <c r="C214" s="427">
        <v>42804</v>
      </c>
      <c r="D214" s="426"/>
      <c r="E214" s="425" t="str">
        <f ca="1">+IFERROR(VLOOKUP(D214,TN_table,2,FALSE),"")</f>
        <v/>
      </c>
      <c r="F214" s="428" t="str">
        <f ca="1">+IFERROR(VLOOKUP(D214,TN_table,3,FALSE),"")</f>
        <v/>
      </c>
      <c r="G214" s="378"/>
      <c r="H214" s="378"/>
      <c r="I214" s="378"/>
      <c r="J214" s="378"/>
      <c r="K214" s="1220"/>
      <c r="L214" s="378"/>
      <c r="M214" s="378"/>
      <c r="N214" s="378" t="str">
        <f>+IF(L214="","",L214*M214)</f>
        <v/>
      </c>
      <c r="O214" s="378" t="str">
        <f>+IF(L214="","",N214*0.1)</f>
        <v/>
      </c>
      <c r="P214" s="378" t="str">
        <f>+IF(L214="","",N214+O214)</f>
        <v/>
      </c>
      <c r="Q214" s="378" t="str">
        <f>IF(L214="","",IFERROR((SUMIFS(TN_balC1_totol,TN_code,D214)+SUMIFS(RC_or_totol,RC_Code,D214,RC_date,"&lt;="&amp;C214)-SUMIFS(RC_zar_totol,RC_Code,D214,RC_date,"&lt;"&amp;C214)) /( SUMIFS(TN_balC1_unit,TN_code,D214)+SUMIFS(RC_or_unit,RC_Code,D214,RC_date,"&lt;="&amp;C214)-SUMIFS(RC_zar_unit,RC_Code,D214,RC_date,"&lt;"&amp;C214)),0 ))</f>
        <v/>
      </c>
      <c r="R214" s="378" t="str">
        <f>+IF(L214="","",L214*Q214)</f>
        <v/>
      </c>
      <c r="S214" s="609">
        <v>510000</v>
      </c>
      <c r="T214" s="378" t="str">
        <f>+IFERROR(VLOOKUP(S214,STAT1!$C$4:$D$189,2,FALSE),"")</f>
        <v>Үндсэн үйл ажиллагааны борлуулалт</v>
      </c>
      <c r="U214" s="1225"/>
      <c r="V214" s="1216">
        <v>679999.99931960006</v>
      </c>
      <c r="W214" s="326">
        <v>3025</v>
      </c>
      <c r="X214" s="328" t="str">
        <f>IFERROR(VLOOKUP(W214,DATA!$G$4:$H$400,2,FALSE),"")</f>
        <v xml:space="preserve">ТОСОН ВҮҮД ХХК </v>
      </c>
      <c r="Y214" s="1205"/>
      <c r="Z214" s="1205"/>
      <c r="AA214" s="1205"/>
    </row>
    <row r="215" spans="1:27" ht="12.75" customHeight="1">
      <c r="A215" s="15">
        <v>58</v>
      </c>
      <c r="B215" s="369">
        <f t="shared" si="71"/>
        <v>210</v>
      </c>
      <c r="C215" s="427">
        <v>42804</v>
      </c>
      <c r="D215" s="426"/>
      <c r="E215" s="425" t="str">
        <f ca="1">+IFERROR(VLOOKUP(D215,TN_table,2,FALSE),"")</f>
        <v/>
      </c>
      <c r="F215" s="428" t="str">
        <f ca="1">+IFERROR(VLOOKUP(D215,TN_table,3,FALSE),"")</f>
        <v/>
      </c>
      <c r="G215" s="378"/>
      <c r="H215" s="378"/>
      <c r="I215" s="378"/>
      <c r="J215" s="378"/>
      <c r="K215" s="1220"/>
      <c r="L215" s="378"/>
      <c r="M215" s="378"/>
      <c r="N215" s="378" t="str">
        <f>+IF(L215="","",L215*M215)</f>
        <v/>
      </c>
      <c r="O215" s="378" t="str">
        <f>+IF(L215="","",N215*0.1)</f>
        <v/>
      </c>
      <c r="P215" s="378" t="str">
        <f>+IF(L215="","",N215+O215)</f>
        <v/>
      </c>
      <c r="Q215" s="378" t="str">
        <f>IF(L215="","",IFERROR((SUMIFS(TN_balC1_totol,TN_code,D215)+SUMIFS(RC_or_totol,RC_Code,D215,RC_date,"&lt;="&amp;C215)-SUMIFS(RC_zar_totol,RC_Code,D215,RC_date,"&lt;"&amp;C215)) /( SUMIFS(TN_balC1_unit,TN_code,D215)+SUMIFS(RC_or_unit,RC_Code,D215,RC_date,"&lt;="&amp;C215)-SUMIFS(RC_zar_unit,RC_Code,D215,RC_date,"&lt;"&amp;C215)),0 ))</f>
        <v/>
      </c>
      <c r="R215" s="378" t="str">
        <f>+IF(L215="","",L215*Q215)</f>
        <v/>
      </c>
      <c r="S215" s="609">
        <v>320100</v>
      </c>
      <c r="T215" s="378" t="str">
        <f>+IFERROR(VLOOKUP(S215,STAT1!$C$4:$D$189,2,FALSE),"")</f>
        <v>Урьдчилж орсон орлого MNT</v>
      </c>
      <c r="U215" s="1225">
        <v>747999.99925156008</v>
      </c>
      <c r="V215" s="1216"/>
      <c r="W215" s="326">
        <v>3025</v>
      </c>
      <c r="X215" s="328" t="str">
        <f>IFERROR(VLOOKUP(W215,DATA!$G$4:$H$400,2,FALSE),"")</f>
        <v xml:space="preserve">ТОСОН ВҮҮД ХХК </v>
      </c>
      <c r="Y215" s="1205"/>
      <c r="Z215" s="1205"/>
      <c r="AA215" s="1205"/>
    </row>
    <row r="216" spans="1:27" ht="12.75" customHeight="1">
      <c r="A216" s="15">
        <v>59</v>
      </c>
      <c r="B216" s="369">
        <f t="shared" si="71"/>
        <v>211</v>
      </c>
      <c r="C216" s="427">
        <v>42808</v>
      </c>
      <c r="D216" s="426">
        <v>211504</v>
      </c>
      <c r="E216" s="425" t="str">
        <f ca="1">+IFERROR(VLOOKUP(D216,TN_table,2,FALSE),"")</f>
        <v xml:space="preserve">Н-Евровагонка /зузаан-1.2см/-яртай </v>
      </c>
      <c r="F216" s="428" t="str">
        <f ca="1">+IFERROR(VLOOKUP(D216,TN_table,3,FALSE),"")</f>
        <v>м2</v>
      </c>
      <c r="G216" s="378"/>
      <c r="H216" s="378"/>
      <c r="I216" s="378"/>
      <c r="J216" s="378"/>
      <c r="K216" s="1220"/>
      <c r="L216" s="378">
        <v>71.3</v>
      </c>
      <c r="M216" s="378">
        <v>18000.509989999999</v>
      </c>
      <c r="N216" s="378">
        <f>+IF(L216="","",L216*M216)</f>
        <v>1283436.3622869998</v>
      </c>
      <c r="O216" s="378">
        <f>+IF(L216="","",N216*0.1)</f>
        <v>128343.63622869999</v>
      </c>
      <c r="P216" s="378">
        <f>+IF(L216="","",N216+O216)</f>
        <v>1411779.9985156998</v>
      </c>
      <c r="Q216" s="378">
        <f ca="1">IF(L216="","",IFERROR((SUMIFS(TN_balC1_totol,TN_code,D216)+SUMIFS(RC_or_totol,RC_Code,D216,RC_date,"&lt;="&amp;C216)-SUMIFS(RC_zar_totol,RC_Code,D216,RC_date,"&lt;"&amp;C216)) /( SUMIFS(TN_balC1_unit,TN_code,D216)+SUMIFS(RC_or_unit,RC_Code,D216,RC_date,"&lt;="&amp;C216)-SUMIFS(RC_zar_unit,RC_Code,D216,RC_date,"&lt;"&amp;C216)),0 ))</f>
        <v>9540.1099999999969</v>
      </c>
      <c r="R216" s="378">
        <f ca="1">+IF(L216="","",L216*Q216)</f>
        <v>680209.84299999976</v>
      </c>
      <c r="S216" s="609">
        <v>150101</v>
      </c>
      <c r="T216" s="378" t="str">
        <f>+IFERROR(VLOOKUP(S216,STAT1!$C$4:$D$189,2,FALSE),"")</f>
        <v>Бараа бэлэн бүтээгдэхүүн БОЛОВСРУУЛАХ ЦЕХ /нарс/</v>
      </c>
      <c r="U216" s="1225"/>
      <c r="V216" s="1216">
        <v>680209.84299999976</v>
      </c>
      <c r="W216" s="326">
        <v>3006</v>
      </c>
      <c r="X216" s="328" t="str">
        <f>IFERROR(VLOOKUP(W216,DATA!$G$4:$H$400,2,FALSE),"")</f>
        <v xml:space="preserve">ПАЙОНЕРИНГ ИНТЕРНЭШНЛ ХХК </v>
      </c>
      <c r="Y216" s="1205"/>
      <c r="Z216" s="1205"/>
      <c r="AA216" s="1205"/>
    </row>
    <row r="217" spans="1:27" ht="12.75" customHeight="1">
      <c r="A217" s="15">
        <v>59</v>
      </c>
      <c r="B217" s="369">
        <f t="shared" si="71"/>
        <v>212</v>
      </c>
      <c r="C217" s="427">
        <v>42808</v>
      </c>
      <c r="D217" s="426"/>
      <c r="E217" s="425"/>
      <c r="F217" s="428"/>
      <c r="G217" s="378"/>
      <c r="H217" s="378"/>
      <c r="I217" s="378"/>
      <c r="J217" s="378"/>
      <c r="K217" s="1220"/>
      <c r="L217" s="378"/>
      <c r="M217" s="378"/>
      <c r="N217" s="378"/>
      <c r="O217" s="378"/>
      <c r="P217" s="378"/>
      <c r="Q217" s="378"/>
      <c r="R217" s="378"/>
      <c r="S217" s="609">
        <v>610100</v>
      </c>
      <c r="T217" s="378" t="str">
        <f>+IFERROR(VLOOKUP(S217,STAT1!$C$4:$D$189,2,FALSE),"")</f>
        <v>Борлуулсан барааны өртөг</v>
      </c>
      <c r="U217" s="1216">
        <v>680209.84299999976</v>
      </c>
      <c r="V217" s="1216"/>
      <c r="W217" s="326">
        <v>3006</v>
      </c>
      <c r="X217" s="328" t="str">
        <f>IFERROR(VLOOKUP(W217,DATA!$G$4:$H$400,2,FALSE),"")</f>
        <v xml:space="preserve">ПАЙОНЕРИНГ ИНТЕРНЭШНЛ ХХК </v>
      </c>
      <c r="Y217" s="1205"/>
      <c r="Z217" s="1205"/>
      <c r="AA217" s="1205"/>
    </row>
    <row r="218" spans="1:27" ht="12.75" customHeight="1">
      <c r="A218" s="15">
        <v>59</v>
      </c>
      <c r="B218" s="369">
        <f t="shared" si="71"/>
        <v>213</v>
      </c>
      <c r="C218" s="427">
        <v>42808</v>
      </c>
      <c r="D218" s="426"/>
      <c r="E218" s="425" t="str">
        <f t="shared" ref="E218:E227" ca="1" si="72">+IFERROR(VLOOKUP(D218,TN_table,2,FALSE),"")</f>
        <v/>
      </c>
      <c r="F218" s="428" t="str">
        <f t="shared" ref="F218:F227" ca="1" si="73">+IFERROR(VLOOKUP(D218,TN_table,3,FALSE),"")</f>
        <v/>
      </c>
      <c r="G218" s="378"/>
      <c r="H218" s="378"/>
      <c r="I218" s="378"/>
      <c r="J218" s="378"/>
      <c r="K218" s="1220"/>
      <c r="L218" s="378"/>
      <c r="M218" s="378"/>
      <c r="N218" s="378" t="str">
        <f t="shared" ref="N218:N227" si="74">+IF(L218="","",L218*M218)</f>
        <v/>
      </c>
      <c r="O218" s="378" t="str">
        <f t="shared" ref="O218:O227" si="75">+IF(L218="","",N218*0.1)</f>
        <v/>
      </c>
      <c r="P218" s="378" t="str">
        <f t="shared" ref="P218:P227" si="76">+IF(L218="","",N218+O218)</f>
        <v/>
      </c>
      <c r="Q218" s="378" t="str">
        <f t="shared" ref="Q218:Q227" si="77">IF(L218="","",IFERROR((SUMIFS(TN_balC1_totol,TN_code,D218)+SUMIFS(RC_or_totol,RC_Code,D218,RC_date,"&lt;="&amp;C218)-SUMIFS(RC_zar_totol,RC_Code,D218,RC_date,"&lt;"&amp;C218)) /( SUMIFS(TN_balC1_unit,TN_code,D218)+SUMIFS(RC_or_unit,RC_Code,D218,RC_date,"&lt;="&amp;C218)-SUMIFS(RC_zar_unit,RC_Code,D218,RC_date,"&lt;"&amp;C218)),0 ))</f>
        <v/>
      </c>
      <c r="R218" s="378" t="str">
        <f t="shared" ref="R218:R227" si="78">+IF(L218="","",L218*Q218)</f>
        <v/>
      </c>
      <c r="S218" s="609">
        <v>310500</v>
      </c>
      <c r="T218" s="378" t="str">
        <f>+IFERROR(VLOOKUP(S218,STAT1!$C$4:$D$189,2,FALSE),"")</f>
        <v>НӨАТ өглөг</v>
      </c>
      <c r="U218" s="1225"/>
      <c r="V218" s="1216">
        <v>128343.64</v>
      </c>
      <c r="W218" s="326">
        <v>3006</v>
      </c>
      <c r="X218" s="328" t="str">
        <f>IFERROR(VLOOKUP(W218,DATA!$G$4:$H$400,2,FALSE),"")</f>
        <v xml:space="preserve">ПАЙОНЕРИНГ ИНТЕРНЭШНЛ ХХК </v>
      </c>
      <c r="Y218" s="1205"/>
      <c r="Z218" s="1205"/>
      <c r="AA218" s="1205"/>
    </row>
    <row r="219" spans="1:27" ht="12.75" customHeight="1">
      <c r="A219" s="15">
        <v>59</v>
      </c>
      <c r="B219" s="369">
        <f t="shared" si="71"/>
        <v>214</v>
      </c>
      <c r="C219" s="427">
        <v>42808</v>
      </c>
      <c r="D219" s="426"/>
      <c r="E219" s="425" t="str">
        <f t="shared" ca="1" si="72"/>
        <v/>
      </c>
      <c r="F219" s="428" t="str">
        <f t="shared" ca="1" si="73"/>
        <v/>
      </c>
      <c r="G219" s="378"/>
      <c r="H219" s="378"/>
      <c r="I219" s="378"/>
      <c r="J219" s="378"/>
      <c r="K219" s="1220"/>
      <c r="L219" s="378"/>
      <c r="M219" s="378"/>
      <c r="N219" s="378" t="str">
        <f t="shared" si="74"/>
        <v/>
      </c>
      <c r="O219" s="378" t="str">
        <f t="shared" si="75"/>
        <v/>
      </c>
      <c r="P219" s="378" t="str">
        <f t="shared" si="76"/>
        <v/>
      </c>
      <c r="Q219" s="378" t="str">
        <f t="shared" si="77"/>
        <v/>
      </c>
      <c r="R219" s="378" t="str">
        <f t="shared" si="78"/>
        <v/>
      </c>
      <c r="S219" s="609">
        <v>510000</v>
      </c>
      <c r="T219" s="378" t="str">
        <f>+IFERROR(VLOOKUP(S219,STAT1!$C$4:$D$189,2,FALSE),"")</f>
        <v>Үндсэн үйл ажиллагааны борлуулалт</v>
      </c>
      <c r="U219" s="1225"/>
      <c r="V219" s="1216">
        <v>1283436.3600000001</v>
      </c>
      <c r="W219" s="326">
        <v>3006</v>
      </c>
      <c r="X219" s="328" t="str">
        <f>IFERROR(VLOOKUP(W219,DATA!$G$4:$H$400,2,FALSE),"")</f>
        <v xml:space="preserve">ПАЙОНЕРИНГ ИНТЕРНЭШНЛ ХХК </v>
      </c>
      <c r="Y219" s="1205"/>
      <c r="Z219" s="1205"/>
      <c r="AA219" s="1205"/>
    </row>
    <row r="220" spans="1:27" ht="12.75" customHeight="1">
      <c r="A220" s="15">
        <v>59</v>
      </c>
      <c r="B220" s="369">
        <f t="shared" si="71"/>
        <v>215</v>
      </c>
      <c r="C220" s="427">
        <v>42808</v>
      </c>
      <c r="D220" s="426"/>
      <c r="E220" s="425" t="str">
        <f t="shared" ca="1" si="72"/>
        <v/>
      </c>
      <c r="F220" s="428" t="str">
        <f t="shared" ca="1" si="73"/>
        <v/>
      </c>
      <c r="G220" s="378"/>
      <c r="H220" s="378"/>
      <c r="I220" s="378"/>
      <c r="J220" s="378"/>
      <c r="K220" s="1220"/>
      <c r="L220" s="378"/>
      <c r="M220" s="378"/>
      <c r="N220" s="378" t="str">
        <f t="shared" si="74"/>
        <v/>
      </c>
      <c r="O220" s="378" t="str">
        <f t="shared" si="75"/>
        <v/>
      </c>
      <c r="P220" s="378" t="str">
        <f t="shared" si="76"/>
        <v/>
      </c>
      <c r="Q220" s="378" t="str">
        <f t="shared" si="77"/>
        <v/>
      </c>
      <c r="R220" s="378" t="str">
        <f t="shared" si="78"/>
        <v/>
      </c>
      <c r="S220" s="609">
        <v>320100</v>
      </c>
      <c r="T220" s="378" t="str">
        <f>+IFERROR(VLOOKUP(S220,STAT1!$C$4:$D$189,2,FALSE),"")</f>
        <v>Урьдчилж орсон орлого MNT</v>
      </c>
      <c r="U220" s="1225">
        <v>1411780</v>
      </c>
      <c r="V220" s="1216"/>
      <c r="W220" s="326">
        <v>3006</v>
      </c>
      <c r="X220" s="328" t="str">
        <f>IFERROR(VLOOKUP(W220,DATA!$G$4:$H$400,2,FALSE),"")</f>
        <v xml:space="preserve">ПАЙОНЕРИНГ ИНТЕРНЭШНЛ ХХК </v>
      </c>
      <c r="Y220" s="1205"/>
      <c r="Z220" s="1205"/>
      <c r="AA220" s="1205"/>
    </row>
    <row r="221" spans="1:27" ht="12.75" customHeight="1">
      <c r="A221" s="15">
        <v>60</v>
      </c>
      <c r="B221" s="369">
        <f t="shared" si="71"/>
        <v>216</v>
      </c>
      <c r="C221" s="427">
        <v>42809</v>
      </c>
      <c r="D221" s="426">
        <v>410085</v>
      </c>
      <c r="E221" s="425" t="str">
        <f t="shared" ca="1" si="72"/>
        <v xml:space="preserve">НЦ-лак </v>
      </c>
      <c r="F221" s="428" t="str">
        <f t="shared" ca="1" si="73"/>
        <v>кг</v>
      </c>
      <c r="G221" s="378">
        <v>90</v>
      </c>
      <c r="H221" s="378">
        <v>7444.4444000000003</v>
      </c>
      <c r="I221" s="378">
        <f t="shared" ref="I221:I226" si="79">+IF(G221="","",G221*H221)</f>
        <v>669999.99600000004</v>
      </c>
      <c r="J221" s="378">
        <f t="shared" ref="J221:J226" si="80">+IF(G221="","",I221*0.1)</f>
        <v>66999.99960000001</v>
      </c>
      <c r="K221" s="1220">
        <f t="shared" ref="K221:K226" si="81">+IF(G221="","",I221+J221)</f>
        <v>736999.99560000002</v>
      </c>
      <c r="L221" s="378"/>
      <c r="M221" s="378"/>
      <c r="N221" s="378" t="str">
        <f t="shared" si="74"/>
        <v/>
      </c>
      <c r="O221" s="378" t="str">
        <f t="shared" si="75"/>
        <v/>
      </c>
      <c r="P221" s="378" t="str">
        <f t="shared" si="76"/>
        <v/>
      </c>
      <c r="Q221" s="378" t="str">
        <f t="shared" si="77"/>
        <v/>
      </c>
      <c r="R221" s="378" t="str">
        <f t="shared" si="78"/>
        <v/>
      </c>
      <c r="S221" s="602">
        <v>160100</v>
      </c>
      <c r="T221" s="378" t="str">
        <f>+IFERROR(VLOOKUP(S221,STAT1!$C$4:$D$189,2,FALSE),"")</f>
        <v xml:space="preserve">Барилгын материал </v>
      </c>
      <c r="U221" s="1225">
        <v>669999.99600000004</v>
      </c>
      <c r="V221" s="1216"/>
      <c r="W221" s="326">
        <v>3017</v>
      </c>
      <c r="X221" s="328" t="str">
        <f>IFERROR(VLOOKUP(W221,DATA!$G$4:$H$400,2,FALSE),"")</f>
        <v xml:space="preserve">ВОС ХХК </v>
      </c>
      <c r="Y221" s="1205"/>
      <c r="Z221" s="1205"/>
      <c r="AA221" s="1205"/>
    </row>
    <row r="222" spans="1:27" ht="12.75" customHeight="1">
      <c r="A222" s="15">
        <v>60</v>
      </c>
      <c r="B222" s="369">
        <f t="shared" si="71"/>
        <v>217</v>
      </c>
      <c r="C222" s="427">
        <v>42809</v>
      </c>
      <c r="D222" s="426"/>
      <c r="E222" s="425" t="str">
        <f t="shared" ca="1" si="72"/>
        <v/>
      </c>
      <c r="F222" s="428" t="str">
        <f t="shared" ca="1" si="73"/>
        <v/>
      </c>
      <c r="G222" s="378"/>
      <c r="H222" s="378"/>
      <c r="I222" s="378" t="str">
        <f t="shared" si="79"/>
        <v/>
      </c>
      <c r="J222" s="378" t="str">
        <f t="shared" si="80"/>
        <v/>
      </c>
      <c r="K222" s="1220" t="str">
        <f t="shared" si="81"/>
        <v/>
      </c>
      <c r="L222" s="378"/>
      <c r="M222" s="378"/>
      <c r="N222" s="378" t="str">
        <f t="shared" si="74"/>
        <v/>
      </c>
      <c r="O222" s="378" t="str">
        <f t="shared" si="75"/>
        <v/>
      </c>
      <c r="P222" s="378" t="str">
        <f t="shared" si="76"/>
        <v/>
      </c>
      <c r="Q222" s="378" t="str">
        <f t="shared" si="77"/>
        <v/>
      </c>
      <c r="R222" s="378" t="str">
        <f t="shared" si="78"/>
        <v/>
      </c>
      <c r="S222" s="602">
        <v>120600</v>
      </c>
      <c r="T222" s="378" t="str">
        <f>+IFERROR(VLOOKUP(S222,STAT1!$C$4:$D$189,2,FALSE),"")</f>
        <v>НӨАТ авлага</v>
      </c>
      <c r="U222" s="1225">
        <v>66999.99960000001</v>
      </c>
      <c r="V222" s="1216"/>
      <c r="W222" s="326">
        <v>3017</v>
      </c>
      <c r="X222" s="328" t="str">
        <f>IFERROR(VLOOKUP(W222,DATA!$G$4:$H$400,2,FALSE),"")</f>
        <v xml:space="preserve">ВОС ХХК </v>
      </c>
      <c r="Y222" s="1205"/>
      <c r="Z222" s="1205"/>
      <c r="AA222" s="1205"/>
    </row>
    <row r="223" spans="1:27" ht="12.75" customHeight="1">
      <c r="A223" s="15">
        <v>60</v>
      </c>
      <c r="B223" s="369">
        <f t="shared" si="71"/>
        <v>218</v>
      </c>
      <c r="C223" s="427">
        <v>42809</v>
      </c>
      <c r="D223" s="426"/>
      <c r="E223" s="425" t="str">
        <f t="shared" ca="1" si="72"/>
        <v/>
      </c>
      <c r="F223" s="428" t="str">
        <f t="shared" ca="1" si="73"/>
        <v/>
      </c>
      <c r="G223" s="378"/>
      <c r="H223" s="378"/>
      <c r="I223" s="378" t="str">
        <f t="shared" si="79"/>
        <v/>
      </c>
      <c r="J223" s="378" t="str">
        <f t="shared" si="80"/>
        <v/>
      </c>
      <c r="K223" s="1220" t="str">
        <f t="shared" si="81"/>
        <v/>
      </c>
      <c r="L223" s="378"/>
      <c r="M223" s="378"/>
      <c r="N223" s="378" t="str">
        <f t="shared" si="74"/>
        <v/>
      </c>
      <c r="O223" s="378" t="str">
        <f t="shared" si="75"/>
        <v/>
      </c>
      <c r="P223" s="378" t="str">
        <f t="shared" si="76"/>
        <v/>
      </c>
      <c r="Q223" s="378" t="str">
        <f t="shared" si="77"/>
        <v/>
      </c>
      <c r="R223" s="378" t="str">
        <f t="shared" si="78"/>
        <v/>
      </c>
      <c r="S223" s="602">
        <v>120100</v>
      </c>
      <c r="T223" s="378" t="str">
        <f>+IFERROR(VLOOKUP(S223,STAT1!$C$4:$D$189,2,FALSE),"")</f>
        <v xml:space="preserve">Дансны авлага MNT </v>
      </c>
      <c r="U223" s="1225"/>
      <c r="V223" s="1216">
        <v>736999.99560000002</v>
      </c>
      <c r="W223" s="326">
        <v>3017</v>
      </c>
      <c r="X223" s="328" t="str">
        <f>IFERROR(VLOOKUP(W223,DATA!$G$4:$H$400,2,FALSE),"")</f>
        <v xml:space="preserve">ВОС ХХК </v>
      </c>
      <c r="Y223" s="1205"/>
      <c r="Z223" s="1205"/>
      <c r="AA223" s="1205"/>
    </row>
    <row r="224" spans="1:27" ht="12.75" customHeight="1">
      <c r="A224" s="15">
        <v>61</v>
      </c>
      <c r="B224" s="369">
        <f t="shared" si="71"/>
        <v>219</v>
      </c>
      <c r="C224" s="427">
        <v>42809</v>
      </c>
      <c r="D224" s="426">
        <v>410054</v>
      </c>
      <c r="E224" s="425" t="str">
        <f t="shared" ca="1" si="72"/>
        <v xml:space="preserve">Будаг шингэлэгч </v>
      </c>
      <c r="F224" s="428" t="str">
        <f t="shared" ca="1" si="73"/>
        <v>ш</v>
      </c>
      <c r="G224" s="378">
        <v>40</v>
      </c>
      <c r="H224" s="378">
        <v>2000</v>
      </c>
      <c r="I224" s="378">
        <f t="shared" si="79"/>
        <v>80000</v>
      </c>
      <c r="J224" s="378">
        <f t="shared" si="80"/>
        <v>8000</v>
      </c>
      <c r="K224" s="1220">
        <f t="shared" si="81"/>
        <v>88000</v>
      </c>
      <c r="L224" s="378"/>
      <c r="M224" s="378"/>
      <c r="N224" s="378" t="str">
        <f t="shared" si="74"/>
        <v/>
      </c>
      <c r="O224" s="378" t="str">
        <f t="shared" si="75"/>
        <v/>
      </c>
      <c r="P224" s="378" t="str">
        <f t="shared" si="76"/>
        <v/>
      </c>
      <c r="Q224" s="378" t="str">
        <f t="shared" si="77"/>
        <v/>
      </c>
      <c r="R224" s="378" t="str">
        <f t="shared" si="78"/>
        <v/>
      </c>
      <c r="S224" s="602">
        <v>160100</v>
      </c>
      <c r="T224" s="378" t="str">
        <f>+IFERROR(VLOOKUP(S224,STAT1!$C$4:$D$189,2,FALSE),"")</f>
        <v xml:space="preserve">Барилгын материал </v>
      </c>
      <c r="U224" s="1225">
        <v>80000</v>
      </c>
      <c r="V224" s="1216"/>
      <c r="W224" s="326">
        <v>3017</v>
      </c>
      <c r="X224" s="328" t="str">
        <f>IFERROR(VLOOKUP(W224,DATA!$G$4:$H$400,2,FALSE),"")</f>
        <v xml:space="preserve">ВОС ХХК </v>
      </c>
      <c r="Y224" s="1205"/>
      <c r="Z224" s="1205"/>
      <c r="AA224" s="1205"/>
    </row>
    <row r="225" spans="1:27" ht="12.75" customHeight="1">
      <c r="A225" s="15">
        <v>61</v>
      </c>
      <c r="B225" s="369">
        <f t="shared" si="71"/>
        <v>220</v>
      </c>
      <c r="C225" s="427">
        <v>42809</v>
      </c>
      <c r="D225" s="426"/>
      <c r="E225" s="425" t="str">
        <f t="shared" ca="1" si="72"/>
        <v/>
      </c>
      <c r="F225" s="428" t="str">
        <f t="shared" ca="1" si="73"/>
        <v/>
      </c>
      <c r="G225" s="378"/>
      <c r="H225" s="378"/>
      <c r="I225" s="378" t="str">
        <f t="shared" si="79"/>
        <v/>
      </c>
      <c r="J225" s="378" t="str">
        <f t="shared" si="80"/>
        <v/>
      </c>
      <c r="K225" s="1220" t="str">
        <f t="shared" si="81"/>
        <v/>
      </c>
      <c r="L225" s="378"/>
      <c r="M225" s="378"/>
      <c r="N225" s="378" t="str">
        <f t="shared" si="74"/>
        <v/>
      </c>
      <c r="O225" s="378" t="str">
        <f t="shared" si="75"/>
        <v/>
      </c>
      <c r="P225" s="378" t="str">
        <f t="shared" si="76"/>
        <v/>
      </c>
      <c r="Q225" s="378" t="str">
        <f t="shared" si="77"/>
        <v/>
      </c>
      <c r="R225" s="378" t="str">
        <f t="shared" si="78"/>
        <v/>
      </c>
      <c r="S225" s="602">
        <v>120600</v>
      </c>
      <c r="T225" s="378" t="str">
        <f>+IFERROR(VLOOKUP(S225,STAT1!$C$4:$D$189,2,FALSE),"")</f>
        <v>НӨАТ авлага</v>
      </c>
      <c r="U225" s="1225">
        <v>8000</v>
      </c>
      <c r="V225" s="1216"/>
      <c r="W225" s="326">
        <v>3017</v>
      </c>
      <c r="X225" s="328" t="str">
        <f>IFERROR(VLOOKUP(W225,DATA!$G$4:$H$400,2,FALSE),"")</f>
        <v xml:space="preserve">ВОС ХХК </v>
      </c>
      <c r="Y225" s="1205"/>
      <c r="Z225" s="1205"/>
      <c r="AA225" s="1205"/>
    </row>
    <row r="226" spans="1:27" ht="12.75" customHeight="1">
      <c r="A226" s="15">
        <v>61</v>
      </c>
      <c r="B226" s="369">
        <f t="shared" si="71"/>
        <v>221</v>
      </c>
      <c r="C226" s="427">
        <v>42809</v>
      </c>
      <c r="D226" s="426"/>
      <c r="E226" s="425" t="str">
        <f t="shared" ca="1" si="72"/>
        <v/>
      </c>
      <c r="F226" s="428" t="str">
        <f t="shared" ca="1" si="73"/>
        <v/>
      </c>
      <c r="G226" s="378"/>
      <c r="H226" s="378"/>
      <c r="I226" s="378" t="str">
        <f t="shared" si="79"/>
        <v/>
      </c>
      <c r="J226" s="378" t="str">
        <f t="shared" si="80"/>
        <v/>
      </c>
      <c r="K226" s="1220" t="str">
        <f t="shared" si="81"/>
        <v/>
      </c>
      <c r="L226" s="378"/>
      <c r="M226" s="378"/>
      <c r="N226" s="378" t="str">
        <f t="shared" si="74"/>
        <v/>
      </c>
      <c r="O226" s="378" t="str">
        <f t="shared" si="75"/>
        <v/>
      </c>
      <c r="P226" s="378" t="str">
        <f t="shared" si="76"/>
        <v/>
      </c>
      <c r="Q226" s="378" t="str">
        <f t="shared" si="77"/>
        <v/>
      </c>
      <c r="R226" s="378" t="str">
        <f t="shared" si="78"/>
        <v/>
      </c>
      <c r="S226" s="602">
        <v>120100</v>
      </c>
      <c r="T226" s="378" t="str">
        <f>+IFERROR(VLOOKUP(S226,STAT1!$C$4:$D$189,2,FALSE),"")</f>
        <v xml:space="preserve">Дансны авлага MNT </v>
      </c>
      <c r="U226" s="1225"/>
      <c r="V226" s="1216">
        <v>88000</v>
      </c>
      <c r="W226" s="326">
        <v>3017</v>
      </c>
      <c r="X226" s="328" t="str">
        <f>IFERROR(VLOOKUP(W226,DATA!$G$4:$H$400,2,FALSE),"")</f>
        <v xml:space="preserve">ВОС ХХК </v>
      </c>
      <c r="Y226" s="1205"/>
      <c r="Z226" s="1205"/>
      <c r="AA226" s="1205"/>
    </row>
    <row r="227" spans="1:27" ht="12.75" customHeight="1">
      <c r="A227" s="15">
        <v>62</v>
      </c>
      <c r="B227" s="369">
        <f t="shared" si="71"/>
        <v>222</v>
      </c>
      <c r="C227" s="427">
        <v>42809</v>
      </c>
      <c r="D227" s="426">
        <v>211504</v>
      </c>
      <c r="E227" s="425" t="str">
        <f t="shared" ca="1" si="72"/>
        <v xml:space="preserve">Н-Евровагонка /зузаан-1.2см/-яртай </v>
      </c>
      <c r="F227" s="428" t="str">
        <f t="shared" ca="1" si="73"/>
        <v>м2</v>
      </c>
      <c r="G227" s="378"/>
      <c r="H227" s="378"/>
      <c r="I227" s="378"/>
      <c r="J227" s="378"/>
      <c r="K227" s="1220"/>
      <c r="L227" s="378">
        <v>15.75</v>
      </c>
      <c r="M227" s="378">
        <v>18000</v>
      </c>
      <c r="N227" s="378">
        <f t="shared" si="74"/>
        <v>283500</v>
      </c>
      <c r="O227" s="378">
        <f t="shared" si="75"/>
        <v>28350</v>
      </c>
      <c r="P227" s="378">
        <f t="shared" si="76"/>
        <v>311850</v>
      </c>
      <c r="Q227" s="378">
        <f t="shared" ca="1" si="77"/>
        <v>9540.1099999999988</v>
      </c>
      <c r="R227" s="378">
        <f t="shared" ca="1" si="78"/>
        <v>150256.73249999998</v>
      </c>
      <c r="S227" s="609">
        <v>150101</v>
      </c>
      <c r="T227" s="378" t="str">
        <f>+IFERROR(VLOOKUP(S227,STAT1!$C$4:$D$189,2,FALSE),"")</f>
        <v>Бараа бэлэн бүтээгдэхүүн БОЛОВСРУУЛАХ ЦЕХ /нарс/</v>
      </c>
      <c r="U227" s="1225"/>
      <c r="V227" s="1216">
        <v>150256.73249999998</v>
      </c>
      <c r="W227" s="326">
        <v>3021</v>
      </c>
      <c r="X227" s="328" t="str">
        <f>IFERROR(VLOOKUP(W227,DATA!$G$4:$H$400,2,FALSE),"")</f>
        <v>БАНДИА ХХК</v>
      </c>
      <c r="Y227" s="1205"/>
      <c r="Z227" s="1205"/>
      <c r="AA227" s="1205"/>
    </row>
    <row r="228" spans="1:27" ht="12.75" customHeight="1">
      <c r="A228" s="15">
        <v>62</v>
      </c>
      <c r="B228" s="369">
        <f t="shared" si="71"/>
        <v>223</v>
      </c>
      <c r="C228" s="427">
        <v>42809</v>
      </c>
      <c r="D228" s="426"/>
      <c r="E228" s="425"/>
      <c r="F228" s="428"/>
      <c r="G228" s="378"/>
      <c r="H228" s="378"/>
      <c r="I228" s="378"/>
      <c r="J228" s="378"/>
      <c r="K228" s="1220"/>
      <c r="L228" s="378"/>
      <c r="M228" s="378"/>
      <c r="N228" s="378"/>
      <c r="O228" s="378"/>
      <c r="P228" s="378"/>
      <c r="Q228" s="378"/>
      <c r="R228" s="378"/>
      <c r="S228" s="609">
        <v>610100</v>
      </c>
      <c r="T228" s="378" t="str">
        <f>+IFERROR(VLOOKUP(S228,STAT1!$C$4:$D$189,2,FALSE),"")</f>
        <v>Борлуулсан барааны өртөг</v>
      </c>
      <c r="U228" s="1225">
        <v>150256.73249999998</v>
      </c>
      <c r="V228" s="1216"/>
      <c r="W228" s="326">
        <v>3021</v>
      </c>
      <c r="X228" s="328" t="str">
        <f>IFERROR(VLOOKUP(W228,DATA!$G$4:$H$400,2,FALSE),"")</f>
        <v>БАНДИА ХХК</v>
      </c>
      <c r="Y228" s="1205"/>
      <c r="Z228" s="1205"/>
      <c r="AA228" s="1205"/>
    </row>
    <row r="229" spans="1:27" ht="12.75" customHeight="1">
      <c r="A229" s="15">
        <v>62</v>
      </c>
      <c r="B229" s="369">
        <f t="shared" si="71"/>
        <v>224</v>
      </c>
      <c r="C229" s="427">
        <v>42809</v>
      </c>
      <c r="D229" s="426"/>
      <c r="E229" s="425" t="str">
        <f ca="1">+IFERROR(VLOOKUP(D229,TN_table,2,FALSE),"")</f>
        <v/>
      </c>
      <c r="F229" s="428" t="str">
        <f ca="1">+IFERROR(VLOOKUP(D229,TN_table,3,FALSE),"")</f>
        <v/>
      </c>
      <c r="G229" s="378"/>
      <c r="H229" s="378"/>
      <c r="I229" s="378"/>
      <c r="J229" s="378"/>
      <c r="K229" s="1220"/>
      <c r="L229" s="378"/>
      <c r="M229" s="378"/>
      <c r="N229" s="378" t="str">
        <f>+IF(L229="","",L229*M229)</f>
        <v/>
      </c>
      <c r="O229" s="378" t="str">
        <f>+IF(L229="","",N229*0.1)</f>
        <v/>
      </c>
      <c r="P229" s="378" t="str">
        <f>+IF(L229="","",N229+O229)</f>
        <v/>
      </c>
      <c r="Q229" s="378" t="str">
        <f>IF(L229="","",IFERROR((SUMIFS(TN_balC1_totol,TN_code,D229)+SUMIFS(RC_or_totol,RC_Code,D229,RC_date,"&lt;="&amp;C229)-SUMIFS(RC_zar_totol,RC_Code,D229,RC_date,"&lt;"&amp;C229)) /( SUMIFS(TN_balC1_unit,TN_code,D229)+SUMIFS(RC_or_unit,RC_Code,D229,RC_date,"&lt;="&amp;C229)-SUMIFS(RC_zar_unit,RC_Code,D229,RC_date,"&lt;"&amp;C229)),0 ))</f>
        <v/>
      </c>
      <c r="R229" s="378" t="str">
        <f>+IF(L229="","",L229*Q229)</f>
        <v/>
      </c>
      <c r="S229" s="609">
        <v>310500</v>
      </c>
      <c r="T229" s="378" t="str">
        <f>+IFERROR(VLOOKUP(S229,STAT1!$C$4:$D$189,2,FALSE),"")</f>
        <v>НӨАТ өглөг</v>
      </c>
      <c r="U229" s="1225"/>
      <c r="V229" s="1216">
        <v>28350</v>
      </c>
      <c r="W229" s="326">
        <v>3021</v>
      </c>
      <c r="X229" s="328" t="str">
        <f>IFERROR(VLOOKUP(W229,DATA!$G$4:$H$400,2,FALSE),"")</f>
        <v>БАНДИА ХХК</v>
      </c>
      <c r="Y229" s="1205"/>
      <c r="Z229" s="1205"/>
      <c r="AA229" s="1205"/>
    </row>
    <row r="230" spans="1:27" ht="12.75" customHeight="1">
      <c r="A230" s="15">
        <v>62</v>
      </c>
      <c r="B230" s="369">
        <f t="shared" si="71"/>
        <v>225</v>
      </c>
      <c r="C230" s="427">
        <v>42809</v>
      </c>
      <c r="D230" s="426"/>
      <c r="E230" s="425" t="str">
        <f ca="1">+IFERROR(VLOOKUP(D230,TN_table,2,FALSE),"")</f>
        <v/>
      </c>
      <c r="F230" s="428" t="str">
        <f ca="1">+IFERROR(VLOOKUP(D230,TN_table,3,FALSE),"")</f>
        <v/>
      </c>
      <c r="G230" s="378"/>
      <c r="H230" s="378"/>
      <c r="I230" s="378"/>
      <c r="J230" s="378"/>
      <c r="K230" s="1220"/>
      <c r="L230" s="378"/>
      <c r="M230" s="378"/>
      <c r="N230" s="378" t="str">
        <f>+IF(L230="","",L230*M230)</f>
        <v/>
      </c>
      <c r="O230" s="378" t="str">
        <f>+IF(L230="","",N230*0.1)</f>
        <v/>
      </c>
      <c r="P230" s="378" t="str">
        <f>+IF(L230="","",N230+O230)</f>
        <v/>
      </c>
      <c r="Q230" s="378" t="str">
        <f>IF(L230="","",IFERROR((SUMIFS(TN_balC1_totol,TN_code,D230)+SUMIFS(RC_or_totol,RC_Code,D230,RC_date,"&lt;="&amp;C230)-SUMIFS(RC_zar_totol,RC_Code,D230,RC_date,"&lt;"&amp;C230)) /( SUMIFS(TN_balC1_unit,TN_code,D230)+SUMIFS(RC_or_unit,RC_Code,D230,RC_date,"&lt;="&amp;C230)-SUMIFS(RC_zar_unit,RC_Code,D230,RC_date,"&lt;"&amp;C230)),0 ))</f>
        <v/>
      </c>
      <c r="R230" s="378" t="str">
        <f>+IF(L230="","",L230*Q230)</f>
        <v/>
      </c>
      <c r="S230" s="609">
        <v>510000</v>
      </c>
      <c r="T230" s="378" t="str">
        <f>+IFERROR(VLOOKUP(S230,STAT1!$C$4:$D$189,2,FALSE),"")</f>
        <v>Үндсэн үйл ажиллагааны борлуулалт</v>
      </c>
      <c r="U230" s="1225"/>
      <c r="V230" s="1216">
        <v>283500</v>
      </c>
      <c r="W230" s="326">
        <v>3021</v>
      </c>
      <c r="X230" s="328" t="str">
        <f>IFERROR(VLOOKUP(W230,DATA!$G$4:$H$400,2,FALSE),"")</f>
        <v>БАНДИА ХХК</v>
      </c>
      <c r="Y230" s="1205"/>
      <c r="Z230" s="1205"/>
      <c r="AA230" s="1205"/>
    </row>
    <row r="231" spans="1:27" ht="12.75" customHeight="1">
      <c r="A231" s="15">
        <v>62</v>
      </c>
      <c r="B231" s="369">
        <f t="shared" si="71"/>
        <v>226</v>
      </c>
      <c r="C231" s="427">
        <v>42809</v>
      </c>
      <c r="D231" s="426"/>
      <c r="E231" s="425" t="str">
        <f ca="1">+IFERROR(VLOOKUP(D231,TN_table,2,FALSE),"")</f>
        <v/>
      </c>
      <c r="F231" s="428" t="str">
        <f ca="1">+IFERROR(VLOOKUP(D231,TN_table,3,FALSE),"")</f>
        <v/>
      </c>
      <c r="G231" s="378"/>
      <c r="H231" s="378"/>
      <c r="I231" s="378"/>
      <c r="J231" s="378"/>
      <c r="K231" s="1220"/>
      <c r="L231" s="378"/>
      <c r="M231" s="378"/>
      <c r="N231" s="378" t="str">
        <f>+IF(L231="","",L231*M231)</f>
        <v/>
      </c>
      <c r="O231" s="378" t="str">
        <f>+IF(L231="","",N231*0.1)</f>
        <v/>
      </c>
      <c r="P231" s="378" t="str">
        <f>+IF(L231="","",N231+O231)</f>
        <v/>
      </c>
      <c r="Q231" s="378" t="str">
        <f>IF(L231="","",IFERROR((SUMIFS(TN_balC1_totol,TN_code,D231)+SUMIFS(RC_or_totol,RC_Code,D231,RC_date,"&lt;="&amp;C231)-SUMIFS(RC_zar_totol,RC_Code,D231,RC_date,"&lt;"&amp;C231)) /( SUMIFS(TN_balC1_unit,TN_code,D231)+SUMIFS(RC_or_unit,RC_Code,D231,RC_date,"&lt;="&amp;C231)-SUMIFS(RC_zar_unit,RC_Code,D231,RC_date,"&lt;"&amp;C231)),0 ))</f>
        <v/>
      </c>
      <c r="R231" s="378" t="str">
        <f>+IF(L231="","",L231*Q231)</f>
        <v/>
      </c>
      <c r="S231" s="609">
        <v>320100</v>
      </c>
      <c r="T231" s="378" t="str">
        <f>+IFERROR(VLOOKUP(S231,STAT1!$C$4:$D$189,2,FALSE),"")</f>
        <v>Урьдчилж орсон орлого MNT</v>
      </c>
      <c r="U231" s="1225">
        <v>311850</v>
      </c>
      <c r="V231" s="1216"/>
      <c r="W231" s="326">
        <v>3021</v>
      </c>
      <c r="X231" s="328" t="str">
        <f>IFERROR(VLOOKUP(W231,DATA!$G$4:$H$400,2,FALSE),"")</f>
        <v>БАНДИА ХХК</v>
      </c>
      <c r="Y231" s="1205"/>
      <c r="Z231" s="1205"/>
      <c r="AA231" s="1205"/>
    </row>
    <row r="232" spans="1:27" ht="12.75" customHeight="1">
      <c r="A232" s="15">
        <v>63</v>
      </c>
      <c r="B232" s="369">
        <f t="shared" si="71"/>
        <v>227</v>
      </c>
      <c r="C232" s="427">
        <v>42810</v>
      </c>
      <c r="D232" s="426">
        <v>211504</v>
      </c>
      <c r="E232" s="425" t="str">
        <f ca="1">+IFERROR(VLOOKUP(D232,TN_table,2,FALSE),"")</f>
        <v xml:space="preserve">Н-Евровагонка /зузаан-1.2см/-яртай </v>
      </c>
      <c r="F232" s="428" t="str">
        <f ca="1">+IFERROR(VLOOKUP(D232,TN_table,3,FALSE),"")</f>
        <v>м2</v>
      </c>
      <c r="G232" s="378"/>
      <c r="H232" s="378"/>
      <c r="I232" s="378"/>
      <c r="J232" s="378"/>
      <c r="K232" s="1220"/>
      <c r="L232" s="378">
        <v>4.6820000000000004</v>
      </c>
      <c r="M232" s="378">
        <v>17999.301500000001</v>
      </c>
      <c r="N232" s="378">
        <f>+IF(L232="","",L232*M232)</f>
        <v>84272.729623000007</v>
      </c>
      <c r="O232" s="378">
        <f>+IF(L232="","",N232*0.1)</f>
        <v>8427.2729623000014</v>
      </c>
      <c r="P232" s="378">
        <f>+IF(L232="","",N232+O232)</f>
        <v>92700.002585300012</v>
      </c>
      <c r="Q232" s="378">
        <f ca="1">IF(L232="","",IFERROR((SUMIFS(TN_balC1_totol,TN_code,D232)+SUMIFS(RC_or_totol,RC_Code,D232,RC_date,"&lt;="&amp;C232)-SUMIFS(RC_zar_totol,RC_Code,D232,RC_date,"&lt;"&amp;C232)) /( SUMIFS(TN_balC1_unit,TN_code,D232)+SUMIFS(RC_or_unit,RC_Code,D232,RC_date,"&lt;="&amp;C232)-SUMIFS(RC_zar_unit,RC_Code,D232,RC_date,"&lt;"&amp;C232)),0 ))</f>
        <v>9540.1099999999988</v>
      </c>
      <c r="R232" s="378">
        <f ca="1">+IF(L232="","",L232*Q232)</f>
        <v>44666.795019999998</v>
      </c>
      <c r="S232" s="609">
        <v>150101</v>
      </c>
      <c r="T232" s="378" t="str">
        <f>+IFERROR(VLOOKUP(S232,STAT1!$C$4:$D$189,2,FALSE),"")</f>
        <v>Бараа бэлэн бүтээгдэхүүн БОЛОВСРУУЛАХ ЦЕХ /нарс/</v>
      </c>
      <c r="U232" s="1225"/>
      <c r="V232" s="1216">
        <v>44666.795019999998</v>
      </c>
      <c r="W232" s="326">
        <v>3024</v>
      </c>
      <c r="X232" s="328" t="str">
        <f>IFERROR(VLOOKUP(W232,DATA!$G$4:$H$400,2,FALSE),"")</f>
        <v xml:space="preserve">ЭМБАССИ РЭЗИДЭНС ХХК </v>
      </c>
      <c r="Y232" s="1205"/>
      <c r="Z232" s="1205"/>
      <c r="AA232" s="1205"/>
    </row>
    <row r="233" spans="1:27" ht="12.75" customHeight="1">
      <c r="A233" s="15">
        <v>63</v>
      </c>
      <c r="B233" s="369">
        <f t="shared" si="71"/>
        <v>228</v>
      </c>
      <c r="C233" s="427">
        <v>42810</v>
      </c>
      <c r="D233" s="426"/>
      <c r="E233" s="425"/>
      <c r="F233" s="428"/>
      <c r="G233" s="378"/>
      <c r="H233" s="378"/>
      <c r="I233" s="378"/>
      <c r="J233" s="378"/>
      <c r="K233" s="1220"/>
      <c r="L233" s="378"/>
      <c r="M233" s="378"/>
      <c r="N233" s="378"/>
      <c r="O233" s="378"/>
      <c r="P233" s="378"/>
      <c r="Q233" s="378"/>
      <c r="R233" s="378"/>
      <c r="S233" s="609">
        <v>610100</v>
      </c>
      <c r="T233" s="378" t="str">
        <f>+IFERROR(VLOOKUP(S233,STAT1!$C$4:$D$189,2,FALSE),"")</f>
        <v>Борлуулсан барааны өртөг</v>
      </c>
      <c r="U233" s="1225">
        <v>44666.795019999998</v>
      </c>
      <c r="V233" s="1216"/>
      <c r="W233" s="326">
        <v>3024</v>
      </c>
      <c r="X233" s="328" t="str">
        <f>IFERROR(VLOOKUP(W233,DATA!$G$4:$H$400,2,FALSE),"")</f>
        <v xml:space="preserve">ЭМБАССИ РЭЗИДЭНС ХХК </v>
      </c>
      <c r="Y233" s="1205"/>
      <c r="Z233" s="1205"/>
      <c r="AA233" s="1205"/>
    </row>
    <row r="234" spans="1:27" ht="12.75" customHeight="1">
      <c r="A234" s="15">
        <v>63</v>
      </c>
      <c r="B234" s="369">
        <f t="shared" si="71"/>
        <v>229</v>
      </c>
      <c r="C234" s="427">
        <v>42810</v>
      </c>
      <c r="D234" s="426"/>
      <c r="E234" s="425" t="str">
        <f ca="1">+IFERROR(VLOOKUP(D234,TN_table,2,FALSE),"")</f>
        <v/>
      </c>
      <c r="F234" s="428" t="str">
        <f ca="1">+IFERROR(VLOOKUP(D234,TN_table,3,FALSE),"")</f>
        <v/>
      </c>
      <c r="G234" s="378"/>
      <c r="H234" s="378"/>
      <c r="I234" s="378"/>
      <c r="J234" s="378"/>
      <c r="K234" s="1220"/>
      <c r="L234" s="378"/>
      <c r="M234" s="378"/>
      <c r="N234" s="378" t="str">
        <f>+IF(L234="","",L234*M234)</f>
        <v/>
      </c>
      <c r="O234" s="378" t="str">
        <f>+IF(L234="","",N234*0.1)</f>
        <v/>
      </c>
      <c r="P234" s="378" t="str">
        <f>+IF(L234="","",N234+O234)</f>
        <v/>
      </c>
      <c r="Q234" s="378" t="str">
        <f>IF(L234="","",IFERROR((SUMIFS(TN_balC1_totol,TN_code,D234)+SUMIFS(RC_or_totol,RC_Code,D234,RC_date,"&lt;="&amp;C234)-SUMIFS(RC_zar_totol,RC_Code,D234,RC_date,"&lt;"&amp;C234)) /( SUMIFS(TN_balC1_unit,TN_code,D234)+SUMIFS(RC_or_unit,RC_Code,D234,RC_date,"&lt;="&amp;C234)-SUMIFS(RC_zar_unit,RC_Code,D234,RC_date,"&lt;"&amp;C234)),0 ))</f>
        <v/>
      </c>
      <c r="R234" s="378" t="str">
        <f>+IF(L234="","",L234*Q234)</f>
        <v/>
      </c>
      <c r="S234" s="609">
        <v>310500</v>
      </c>
      <c r="T234" s="378" t="str">
        <f>+IFERROR(VLOOKUP(S234,STAT1!$C$4:$D$189,2,FALSE),"")</f>
        <v>НӨАТ өглөг</v>
      </c>
      <c r="U234" s="1225"/>
      <c r="V234" s="1216">
        <v>8427.2729623000014</v>
      </c>
      <c r="W234" s="326">
        <v>3024</v>
      </c>
      <c r="X234" s="328" t="str">
        <f>IFERROR(VLOOKUP(W234,DATA!$G$4:$H$400,2,FALSE),"")</f>
        <v xml:space="preserve">ЭМБАССИ РЭЗИДЭНС ХХК </v>
      </c>
      <c r="Y234" s="1205"/>
      <c r="Z234" s="1205"/>
      <c r="AA234" s="1205"/>
    </row>
    <row r="235" spans="1:27" ht="12.75" customHeight="1">
      <c r="A235" s="15">
        <v>63</v>
      </c>
      <c r="B235" s="369">
        <f t="shared" si="71"/>
        <v>230</v>
      </c>
      <c r="C235" s="427">
        <v>42810</v>
      </c>
      <c r="D235" s="426"/>
      <c r="E235" s="425" t="str">
        <f ca="1">+IFERROR(VLOOKUP(D235,TN_table,2,FALSE),"")</f>
        <v/>
      </c>
      <c r="F235" s="428" t="str">
        <f ca="1">+IFERROR(VLOOKUP(D235,TN_table,3,FALSE),"")</f>
        <v/>
      </c>
      <c r="G235" s="378"/>
      <c r="H235" s="378"/>
      <c r="I235" s="378"/>
      <c r="J235" s="378"/>
      <c r="K235" s="1220"/>
      <c r="L235" s="378"/>
      <c r="M235" s="378"/>
      <c r="N235" s="378" t="str">
        <f>+IF(L235="","",L235*M235)</f>
        <v/>
      </c>
      <c r="O235" s="378" t="str">
        <f>+IF(L235="","",N235*0.1)</f>
        <v/>
      </c>
      <c r="P235" s="378" t="str">
        <f>+IF(L235="","",N235+O235)</f>
        <v/>
      </c>
      <c r="Q235" s="378" t="str">
        <f>IF(L235="","",IFERROR((SUMIFS(TN_balC1_totol,TN_code,D235)+SUMIFS(RC_or_totol,RC_Code,D235,RC_date,"&lt;="&amp;C235)-SUMIFS(RC_zar_totol,RC_Code,D235,RC_date,"&lt;"&amp;C235)) /( SUMIFS(TN_balC1_unit,TN_code,D235)+SUMIFS(RC_or_unit,RC_Code,D235,RC_date,"&lt;="&amp;C235)-SUMIFS(RC_zar_unit,RC_Code,D235,RC_date,"&lt;"&amp;C235)),0 ))</f>
        <v/>
      </c>
      <c r="R235" s="378" t="str">
        <f>+IF(L235="","",L235*Q235)</f>
        <v/>
      </c>
      <c r="S235" s="609">
        <v>510000</v>
      </c>
      <c r="T235" s="378" t="str">
        <f>+IFERROR(VLOOKUP(S235,STAT1!$C$4:$D$189,2,FALSE),"")</f>
        <v>Үндсэн үйл ажиллагааны борлуулалт</v>
      </c>
      <c r="U235" s="1225"/>
      <c r="V235" s="1216">
        <v>84272.729623000007</v>
      </c>
      <c r="W235" s="326">
        <v>3024</v>
      </c>
      <c r="X235" s="328" t="str">
        <f>IFERROR(VLOOKUP(W235,DATA!$G$4:$H$400,2,FALSE),"")</f>
        <v xml:space="preserve">ЭМБАССИ РЭЗИДЭНС ХХК </v>
      </c>
      <c r="Y235" s="1205"/>
      <c r="Z235" s="1205"/>
      <c r="AA235" s="1205"/>
    </row>
    <row r="236" spans="1:27" ht="12.75" customHeight="1">
      <c r="A236" s="15">
        <v>63</v>
      </c>
      <c r="B236" s="369">
        <f t="shared" si="71"/>
        <v>231</v>
      </c>
      <c r="C236" s="427">
        <v>42810</v>
      </c>
      <c r="D236" s="426"/>
      <c r="E236" s="425" t="str">
        <f ca="1">+IFERROR(VLOOKUP(D236,TN_table,2,FALSE),"")</f>
        <v/>
      </c>
      <c r="F236" s="428" t="str">
        <f ca="1">+IFERROR(VLOOKUP(D236,TN_table,3,FALSE),"")</f>
        <v/>
      </c>
      <c r="G236" s="378"/>
      <c r="H236" s="378"/>
      <c r="I236" s="378"/>
      <c r="J236" s="378"/>
      <c r="K236" s="1220"/>
      <c r="L236" s="378"/>
      <c r="M236" s="378"/>
      <c r="N236" s="378" t="str">
        <f>+IF(L236="","",L236*M236)</f>
        <v/>
      </c>
      <c r="O236" s="378" t="str">
        <f>+IF(L236="","",N236*0.1)</f>
        <v/>
      </c>
      <c r="P236" s="378" t="str">
        <f>+IF(L236="","",N236+O236)</f>
        <v/>
      </c>
      <c r="Q236" s="378" t="str">
        <f>IF(L236="","",IFERROR((SUMIFS(TN_balC1_totol,TN_code,D236)+SUMIFS(RC_or_totol,RC_Code,D236,RC_date,"&lt;="&amp;C236)-SUMIFS(RC_zar_totol,RC_Code,D236,RC_date,"&lt;"&amp;C236)) /( SUMIFS(TN_balC1_unit,TN_code,D236)+SUMIFS(RC_or_unit,RC_Code,D236,RC_date,"&lt;="&amp;C236)-SUMIFS(RC_zar_unit,RC_Code,D236,RC_date,"&lt;"&amp;C236)),0 ))</f>
        <v/>
      </c>
      <c r="R236" s="378" t="str">
        <f>+IF(L236="","",L236*Q236)</f>
        <v/>
      </c>
      <c r="S236" s="609">
        <v>320100</v>
      </c>
      <c r="T236" s="378" t="str">
        <f>+IFERROR(VLOOKUP(S236,STAT1!$C$4:$D$189,2,FALSE),"")</f>
        <v>Урьдчилж орсон орлого MNT</v>
      </c>
      <c r="U236" s="1225">
        <v>92700.002585300012</v>
      </c>
      <c r="V236" s="1216"/>
      <c r="W236" s="326">
        <v>3024</v>
      </c>
      <c r="X236" s="328" t="str">
        <f>IFERROR(VLOOKUP(W236,DATA!$G$4:$H$400,2,FALSE),"")</f>
        <v xml:space="preserve">ЭМБАССИ РЭЗИДЭНС ХХК </v>
      </c>
      <c r="Y236" s="1205"/>
      <c r="Z236" s="1205"/>
      <c r="AA236" s="1205"/>
    </row>
    <row r="237" spans="1:27" ht="12.75" customHeight="1">
      <c r="A237" s="15">
        <v>64</v>
      </c>
      <c r="B237" s="369">
        <f t="shared" si="71"/>
        <v>232</v>
      </c>
      <c r="C237" s="427">
        <v>42812</v>
      </c>
      <c r="D237" s="426">
        <v>211503</v>
      </c>
      <c r="E237" s="425" t="str">
        <f ca="1">+IFERROR(VLOOKUP(D237,TN_table,2,FALSE),"")</f>
        <v>Н-Евровагонка /зузаан-1.2см/</v>
      </c>
      <c r="F237" s="428" t="str">
        <f ca="1">+IFERROR(VLOOKUP(D237,TN_table,3,FALSE),"")</f>
        <v>м2</v>
      </c>
      <c r="G237" s="378"/>
      <c r="H237" s="378"/>
      <c r="I237" s="378"/>
      <c r="J237" s="378"/>
      <c r="K237" s="1220"/>
      <c r="L237" s="378">
        <v>42.08</v>
      </c>
      <c r="M237" s="378">
        <v>21603.871500000001</v>
      </c>
      <c r="N237" s="378">
        <f>+IF(L237="","",L237*M237)</f>
        <v>909090.91272000002</v>
      </c>
      <c r="O237" s="378">
        <f>+IF(L237="","",N237*0.1)</f>
        <v>90909.091272000005</v>
      </c>
      <c r="P237" s="378">
        <f>+IF(L237="","",N237+O237)</f>
        <v>1000000.003992</v>
      </c>
      <c r="Q237" s="378">
        <f ca="1">IF(L237="","",IFERROR((SUMIFS(TN_balC1_totol,TN_code,D237)+SUMIFS(RC_or_totol,RC_Code,D237,RC_date,"&lt;="&amp;C237)-SUMIFS(RC_zar_totol,RC_Code,D237,RC_date,"&lt;"&amp;C237)) /( SUMIFS(TN_balC1_unit,TN_code,D237)+SUMIFS(RC_or_unit,RC_Code,D237,RC_date,"&lt;="&amp;C237)-SUMIFS(RC_zar_unit,RC_Code,D237,RC_date,"&lt;"&amp;C237)),0 ))</f>
        <v>12876.722738825942</v>
      </c>
      <c r="R237" s="378">
        <f ca="1">+IF(L237="","",L237*Q237)</f>
        <v>541852.49284979561</v>
      </c>
      <c r="S237" s="609">
        <v>150101</v>
      </c>
      <c r="T237" s="378" t="str">
        <f>+IFERROR(VLOOKUP(S237,STAT1!$C$4:$D$189,2,FALSE),"")</f>
        <v>Бараа бэлэн бүтээгдэхүүн БОЛОВСРУУЛАХ ЦЕХ /нарс/</v>
      </c>
      <c r="U237" s="1225"/>
      <c r="V237" s="1216">
        <v>541852.49284979561</v>
      </c>
      <c r="W237" s="326">
        <v>3001</v>
      </c>
      <c r="X237" s="328" t="str">
        <f>IFERROR(VLOOKUP(W237,DATA!$G$4:$H$400,2,FALSE),"")</f>
        <v>ХУРД ГРУПП ХХК</v>
      </c>
      <c r="Y237" s="1205"/>
      <c r="Z237" s="1205"/>
      <c r="AA237" s="1205"/>
    </row>
    <row r="238" spans="1:27" ht="12.75" customHeight="1">
      <c r="A238" s="15">
        <v>64</v>
      </c>
      <c r="B238" s="369">
        <f t="shared" si="71"/>
        <v>233</v>
      </c>
      <c r="C238" s="427">
        <v>42812</v>
      </c>
      <c r="D238" s="426"/>
      <c r="E238" s="425"/>
      <c r="F238" s="428"/>
      <c r="G238" s="378"/>
      <c r="H238" s="378"/>
      <c r="I238" s="378"/>
      <c r="J238" s="378"/>
      <c r="K238" s="1220"/>
      <c r="L238" s="378"/>
      <c r="M238" s="378"/>
      <c r="N238" s="378"/>
      <c r="O238" s="378"/>
      <c r="P238" s="378"/>
      <c r="Q238" s="378"/>
      <c r="R238" s="378"/>
      <c r="S238" s="609">
        <v>610100</v>
      </c>
      <c r="T238" s="378" t="str">
        <f>+IFERROR(VLOOKUP(S238,STAT1!$C$4:$D$189,2,FALSE),"")</f>
        <v>Борлуулсан барааны өртөг</v>
      </c>
      <c r="U238" s="1225">
        <v>541852.49284979561</v>
      </c>
      <c r="V238" s="1216"/>
      <c r="W238" s="326">
        <v>3001</v>
      </c>
      <c r="X238" s="328" t="str">
        <f>IFERROR(VLOOKUP(W238,DATA!$G$4:$H$400,2,FALSE),"")</f>
        <v>ХУРД ГРУПП ХХК</v>
      </c>
      <c r="Y238" s="1205"/>
      <c r="Z238" s="1205"/>
      <c r="AA238" s="1205"/>
    </row>
    <row r="239" spans="1:27" ht="12.75" customHeight="1">
      <c r="A239" s="15">
        <v>64</v>
      </c>
      <c r="B239" s="369">
        <f t="shared" si="71"/>
        <v>234</v>
      </c>
      <c r="C239" s="427">
        <v>42812</v>
      </c>
      <c r="D239" s="426"/>
      <c r="E239" s="425" t="str">
        <f ca="1">+IFERROR(VLOOKUP(D239,TN_table,2,FALSE),"")</f>
        <v/>
      </c>
      <c r="F239" s="428" t="str">
        <f ca="1">+IFERROR(VLOOKUP(D239,TN_table,3,FALSE),"")</f>
        <v/>
      </c>
      <c r="G239" s="378"/>
      <c r="H239" s="378"/>
      <c r="I239" s="378"/>
      <c r="J239" s="378"/>
      <c r="K239" s="1220"/>
      <c r="L239" s="378"/>
      <c r="M239" s="378"/>
      <c r="N239" s="378" t="str">
        <f>+IF(L239="","",L239*M239)</f>
        <v/>
      </c>
      <c r="O239" s="378" t="str">
        <f>+IF(L239="","",N239*0.1)</f>
        <v/>
      </c>
      <c r="P239" s="378" t="str">
        <f>+IF(L239="","",N239+O239)</f>
        <v/>
      </c>
      <c r="Q239" s="378" t="str">
        <f>IF(L239="","",IFERROR((SUMIFS(TN_balC1_totol,TN_code,D239)+SUMIFS(RC_or_totol,RC_Code,D239,RC_date,"&lt;="&amp;C239)-SUMIFS(RC_zar_totol,RC_Code,D239,RC_date,"&lt;"&amp;C239)) /( SUMIFS(TN_balC1_unit,TN_code,D239)+SUMIFS(RC_or_unit,RC_Code,D239,RC_date,"&lt;="&amp;C239)-SUMIFS(RC_zar_unit,RC_Code,D239,RC_date,"&lt;"&amp;C239)),0 ))</f>
        <v/>
      </c>
      <c r="R239" s="378" t="str">
        <f>+IF(L239="","",L239*Q239)</f>
        <v/>
      </c>
      <c r="S239" s="609">
        <v>310500</v>
      </c>
      <c r="T239" s="378" t="str">
        <f>+IFERROR(VLOOKUP(S239,STAT1!$C$4:$D$189,2,FALSE),"")</f>
        <v>НӨАТ өглөг</v>
      </c>
      <c r="U239" s="1225"/>
      <c r="V239" s="1216">
        <v>90909.091272000005</v>
      </c>
      <c r="W239" s="326">
        <v>3001</v>
      </c>
      <c r="X239" s="328" t="str">
        <f>IFERROR(VLOOKUP(W239,DATA!$G$4:$H$400,2,FALSE),"")</f>
        <v>ХУРД ГРУПП ХХК</v>
      </c>
      <c r="Y239" s="1205"/>
      <c r="Z239" s="1205"/>
      <c r="AA239" s="1205"/>
    </row>
    <row r="240" spans="1:27" ht="12.75" customHeight="1">
      <c r="A240" s="15">
        <v>64</v>
      </c>
      <c r="B240" s="369">
        <f t="shared" si="71"/>
        <v>235</v>
      </c>
      <c r="C240" s="427">
        <v>42812</v>
      </c>
      <c r="D240" s="426"/>
      <c r="E240" s="425" t="str">
        <f ca="1">+IFERROR(VLOOKUP(D240,TN_table,2,FALSE),"")</f>
        <v/>
      </c>
      <c r="F240" s="428" t="str">
        <f ca="1">+IFERROR(VLOOKUP(D240,TN_table,3,FALSE),"")</f>
        <v/>
      </c>
      <c r="G240" s="378"/>
      <c r="H240" s="378"/>
      <c r="I240" s="378"/>
      <c r="J240" s="378"/>
      <c r="K240" s="1220"/>
      <c r="L240" s="378"/>
      <c r="M240" s="378"/>
      <c r="N240" s="378" t="str">
        <f>+IF(L240="","",L240*M240)</f>
        <v/>
      </c>
      <c r="O240" s="378" t="str">
        <f>+IF(L240="","",N240*0.1)</f>
        <v/>
      </c>
      <c r="P240" s="378" t="str">
        <f>+IF(L240="","",N240+O240)</f>
        <v/>
      </c>
      <c r="Q240" s="378" t="str">
        <f>IF(L240="","",IFERROR((SUMIFS(TN_balC1_totol,TN_code,D240)+SUMIFS(RC_or_totol,RC_Code,D240,RC_date,"&lt;="&amp;C240)-SUMIFS(RC_zar_totol,RC_Code,D240,RC_date,"&lt;"&amp;C240)) /( SUMIFS(TN_balC1_unit,TN_code,D240)+SUMIFS(RC_or_unit,RC_Code,D240,RC_date,"&lt;="&amp;C240)-SUMIFS(RC_zar_unit,RC_Code,D240,RC_date,"&lt;"&amp;C240)),0 ))</f>
        <v/>
      </c>
      <c r="R240" s="378" t="str">
        <f>+IF(L240="","",L240*Q240)</f>
        <v/>
      </c>
      <c r="S240" s="609">
        <v>510000</v>
      </c>
      <c r="T240" s="378" t="str">
        <f>+IFERROR(VLOOKUP(S240,STAT1!$C$4:$D$189,2,FALSE),"")</f>
        <v>Үндсэн үйл ажиллагааны борлуулалт</v>
      </c>
      <c r="U240" s="1225"/>
      <c r="V240" s="1216">
        <v>909090.91272000002</v>
      </c>
      <c r="W240" s="326">
        <v>3001</v>
      </c>
      <c r="X240" s="328" t="str">
        <f>IFERROR(VLOOKUP(W240,DATA!$G$4:$H$400,2,FALSE),"")</f>
        <v>ХУРД ГРУПП ХХК</v>
      </c>
      <c r="Y240" s="1205"/>
      <c r="Z240" s="1205"/>
      <c r="AA240" s="1205"/>
    </row>
    <row r="241" spans="1:27" ht="12.75" customHeight="1">
      <c r="A241" s="15">
        <v>64</v>
      </c>
      <c r="B241" s="369">
        <f t="shared" si="71"/>
        <v>236</v>
      </c>
      <c r="C241" s="427">
        <v>42812</v>
      </c>
      <c r="D241" s="426"/>
      <c r="E241" s="425" t="str">
        <f ca="1">+IFERROR(VLOOKUP(D241,TN_table,2,FALSE),"")</f>
        <v/>
      </c>
      <c r="F241" s="428" t="str">
        <f ca="1">+IFERROR(VLOOKUP(D241,TN_table,3,FALSE),"")</f>
        <v/>
      </c>
      <c r="G241" s="378"/>
      <c r="H241" s="378"/>
      <c r="I241" s="378"/>
      <c r="J241" s="378"/>
      <c r="K241" s="1220"/>
      <c r="L241" s="378"/>
      <c r="M241" s="378"/>
      <c r="N241" s="378" t="str">
        <f>+IF(L241="","",L241*M241)</f>
        <v/>
      </c>
      <c r="O241" s="378" t="str">
        <f>+IF(L241="","",N241*0.1)</f>
        <v/>
      </c>
      <c r="P241" s="378" t="str">
        <f>+IF(L241="","",N241+O241)</f>
        <v/>
      </c>
      <c r="Q241" s="378" t="str">
        <f>IF(L241="","",IFERROR((SUMIFS(TN_balC1_totol,TN_code,D241)+SUMIFS(RC_or_totol,RC_Code,D241,RC_date,"&lt;="&amp;C241)-SUMIFS(RC_zar_totol,RC_Code,D241,RC_date,"&lt;"&amp;C241)) /( SUMIFS(TN_balC1_unit,TN_code,D241)+SUMIFS(RC_or_unit,RC_Code,D241,RC_date,"&lt;="&amp;C241)-SUMIFS(RC_zar_unit,RC_Code,D241,RC_date,"&lt;"&amp;C241)),0 ))</f>
        <v/>
      </c>
      <c r="R241" s="378" t="str">
        <f>+IF(L241="","",L241*Q241)</f>
        <v/>
      </c>
      <c r="S241" s="609">
        <v>320100</v>
      </c>
      <c r="T241" s="378" t="str">
        <f>+IFERROR(VLOOKUP(S241,STAT1!$C$4:$D$189,2,FALSE),"")</f>
        <v>Урьдчилж орсон орлого MNT</v>
      </c>
      <c r="U241" s="1225">
        <v>1000000.003992</v>
      </c>
      <c r="V241" s="1216"/>
      <c r="W241" s="326">
        <v>3001</v>
      </c>
      <c r="X241" s="328" t="str">
        <f>IFERROR(VLOOKUP(W241,DATA!$G$4:$H$400,2,FALSE),"")</f>
        <v>ХУРД ГРУПП ХХК</v>
      </c>
      <c r="Y241" s="1205"/>
      <c r="Z241" s="1205"/>
      <c r="AA241" s="1205"/>
    </row>
    <row r="242" spans="1:27" ht="12.75" customHeight="1">
      <c r="A242" s="15">
        <v>65</v>
      </c>
      <c r="B242" s="369">
        <f t="shared" si="71"/>
        <v>237</v>
      </c>
      <c r="C242" s="427">
        <v>42812</v>
      </c>
      <c r="D242" s="426">
        <v>211715</v>
      </c>
      <c r="E242" s="425" t="str">
        <f ca="1">+IFERROR(VLOOKUP(D242,TN_table,2,FALSE),"")</f>
        <v>Н-Хавтан /зузаан-1.8см/</v>
      </c>
      <c r="F242" s="428" t="str">
        <f ca="1">+IFERROR(VLOOKUP(D242,TN_table,3,FALSE),"")</f>
        <v>м2</v>
      </c>
      <c r="G242" s="378"/>
      <c r="H242" s="378"/>
      <c r="I242" s="378"/>
      <c r="J242" s="378"/>
      <c r="K242" s="1220"/>
      <c r="L242" s="378">
        <v>12</v>
      </c>
      <c r="M242" s="378">
        <v>28333.332999999999</v>
      </c>
      <c r="N242" s="378">
        <f>+IF(L242="","",L242*M242)</f>
        <v>339999.99599999998</v>
      </c>
      <c r="O242" s="378">
        <f>+IF(L242="","",N242*0.1)</f>
        <v>33999.999600000003</v>
      </c>
      <c r="P242" s="378">
        <f>+IF(L242="","",N242+O242)</f>
        <v>373999.99559999997</v>
      </c>
      <c r="Q242" s="378">
        <f ca="1">IF(L242="","",IFERROR((SUMIFS(TN_balC1_totol,TN_code,D242)+SUMIFS(RC_or_totol,RC_Code,D242,RC_date,"&lt;="&amp;C242)-SUMIFS(RC_zar_totol,RC_Code,D242,RC_date,"&lt;"&amp;C242)) /( SUMIFS(TN_balC1_unit,TN_code,D242)+SUMIFS(RC_or_unit,RC_Code,D242,RC_date,"&lt;="&amp;C242)-SUMIFS(RC_zar_unit,RC_Code,D242,RC_date,"&lt;"&amp;C242)),0 ))</f>
        <v>20188.544804875772</v>
      </c>
      <c r="R242" s="378">
        <f ca="1">+IF(L242="","",L242*Q242)</f>
        <v>242262.53765850927</v>
      </c>
      <c r="S242" s="609">
        <v>150101</v>
      </c>
      <c r="T242" s="378" t="str">
        <f>+IFERROR(VLOOKUP(S242,STAT1!$C$4:$D$189,2,FALSE),"")</f>
        <v>Бараа бэлэн бүтээгдэхүүн БОЛОВСРУУЛАХ ЦЕХ /нарс/</v>
      </c>
      <c r="U242" s="1225"/>
      <c r="V242" s="1216">
        <v>242262.53765850927</v>
      </c>
      <c r="W242" s="326">
        <v>3027</v>
      </c>
      <c r="X242" s="328" t="str">
        <f>IFERROR(VLOOKUP(W242,DATA!$G$4:$H$400,2,FALSE),"")</f>
        <v xml:space="preserve">МОНГОЛЫН ХҮҮХДИЙН САН </v>
      </c>
      <c r="Y242" s="1205"/>
      <c r="Z242" s="1205"/>
      <c r="AA242" s="1205"/>
    </row>
    <row r="243" spans="1:27" ht="12.75" customHeight="1">
      <c r="A243" s="15">
        <v>65</v>
      </c>
      <c r="B243" s="369">
        <f t="shared" si="71"/>
        <v>238</v>
      </c>
      <c r="C243" s="427">
        <v>42812</v>
      </c>
      <c r="D243" s="426"/>
      <c r="E243" s="425"/>
      <c r="F243" s="428"/>
      <c r="G243" s="378"/>
      <c r="H243" s="378"/>
      <c r="I243" s="378"/>
      <c r="J243" s="378"/>
      <c r="K243" s="1220"/>
      <c r="L243" s="378"/>
      <c r="M243" s="378"/>
      <c r="N243" s="378"/>
      <c r="O243" s="378"/>
      <c r="P243" s="378"/>
      <c r="Q243" s="378"/>
      <c r="R243" s="378"/>
      <c r="S243" s="609">
        <v>610100</v>
      </c>
      <c r="T243" s="378" t="str">
        <f>+IFERROR(VLOOKUP(S243,STAT1!$C$4:$D$189,2,FALSE),"")</f>
        <v>Борлуулсан барааны өртөг</v>
      </c>
      <c r="U243" s="1225">
        <v>242262.53765850927</v>
      </c>
      <c r="V243" s="1216"/>
      <c r="W243" s="326">
        <v>3027</v>
      </c>
      <c r="X243" s="328" t="str">
        <f>IFERROR(VLOOKUP(W243,DATA!$G$4:$H$400,2,FALSE),"")</f>
        <v xml:space="preserve">МОНГОЛЫН ХҮҮХДИЙН САН </v>
      </c>
      <c r="Y243" s="1205"/>
      <c r="Z243" s="1205"/>
      <c r="AA243" s="1205"/>
    </row>
    <row r="244" spans="1:27" ht="12.75" customHeight="1">
      <c r="A244" s="15">
        <v>65</v>
      </c>
      <c r="B244" s="369">
        <f t="shared" si="71"/>
        <v>239</v>
      </c>
      <c r="C244" s="427">
        <v>42812</v>
      </c>
      <c r="D244" s="426"/>
      <c r="E244" s="425" t="str">
        <f ca="1">+IFERROR(VLOOKUP(D244,TN_table,2,FALSE),"")</f>
        <v/>
      </c>
      <c r="F244" s="428" t="str">
        <f ca="1">+IFERROR(VLOOKUP(D244,TN_table,3,FALSE),"")</f>
        <v/>
      </c>
      <c r="G244" s="378"/>
      <c r="H244" s="378"/>
      <c r="I244" s="378"/>
      <c r="J244" s="378"/>
      <c r="K244" s="1220"/>
      <c r="L244" s="378"/>
      <c r="M244" s="378"/>
      <c r="N244" s="378" t="str">
        <f>+IF(L244="","",L244*M244)</f>
        <v/>
      </c>
      <c r="O244" s="378" t="str">
        <f>+IF(L244="","",N244*0.1)</f>
        <v/>
      </c>
      <c r="P244" s="378" t="str">
        <f>+IF(L244="","",N244+O244)</f>
        <v/>
      </c>
      <c r="Q244" s="378" t="str">
        <f>IF(L244="","",IFERROR((SUMIFS(TN_balC1_totol,TN_code,D244)+SUMIFS(RC_or_totol,RC_Code,D244,RC_date,"&lt;="&amp;C244)-SUMIFS(RC_zar_totol,RC_Code,D244,RC_date,"&lt;"&amp;C244)) /( SUMIFS(TN_balC1_unit,TN_code,D244)+SUMIFS(RC_or_unit,RC_Code,D244,RC_date,"&lt;="&amp;C244)-SUMIFS(RC_zar_unit,RC_Code,D244,RC_date,"&lt;"&amp;C244)),0 ))</f>
        <v/>
      </c>
      <c r="R244" s="378" t="str">
        <f>+IF(L244="","",L244*Q244)</f>
        <v/>
      </c>
      <c r="S244" s="609">
        <v>310500</v>
      </c>
      <c r="T244" s="378" t="str">
        <f>+IFERROR(VLOOKUP(S244,STAT1!$C$4:$D$189,2,FALSE),"")</f>
        <v>НӨАТ өглөг</v>
      </c>
      <c r="U244" s="1225"/>
      <c r="V244" s="1216">
        <v>33999.999600000003</v>
      </c>
      <c r="W244" s="326">
        <v>3027</v>
      </c>
      <c r="X244" s="328" t="str">
        <f>IFERROR(VLOOKUP(W244,DATA!$G$4:$H$400,2,FALSE),"")</f>
        <v xml:space="preserve">МОНГОЛЫН ХҮҮХДИЙН САН </v>
      </c>
      <c r="Y244" s="1205"/>
      <c r="Z244" s="1205"/>
      <c r="AA244" s="1205"/>
    </row>
    <row r="245" spans="1:27" ht="12.75" customHeight="1">
      <c r="A245" s="15">
        <v>65</v>
      </c>
      <c r="B245" s="369">
        <f t="shared" si="71"/>
        <v>240</v>
      </c>
      <c r="C245" s="427">
        <v>42812</v>
      </c>
      <c r="D245" s="426"/>
      <c r="E245" s="425" t="str">
        <f ca="1">+IFERROR(VLOOKUP(D245,TN_table,2,FALSE),"")</f>
        <v/>
      </c>
      <c r="F245" s="428" t="str">
        <f ca="1">+IFERROR(VLOOKUP(D245,TN_table,3,FALSE),"")</f>
        <v/>
      </c>
      <c r="G245" s="378"/>
      <c r="H245" s="378"/>
      <c r="I245" s="378"/>
      <c r="J245" s="378"/>
      <c r="K245" s="1220"/>
      <c r="L245" s="378"/>
      <c r="M245" s="378"/>
      <c r="N245" s="378" t="str">
        <f>+IF(L245="","",L245*M245)</f>
        <v/>
      </c>
      <c r="O245" s="378" t="str">
        <f>+IF(L245="","",N245*0.1)</f>
        <v/>
      </c>
      <c r="P245" s="378" t="str">
        <f>+IF(L245="","",N245+O245)</f>
        <v/>
      </c>
      <c r="Q245" s="378" t="str">
        <f>IF(L245="","",IFERROR((SUMIFS(TN_balC1_totol,TN_code,D245)+SUMIFS(RC_or_totol,RC_Code,D245,RC_date,"&lt;="&amp;C245)-SUMIFS(RC_zar_totol,RC_Code,D245,RC_date,"&lt;"&amp;C245)) /( SUMIFS(TN_balC1_unit,TN_code,D245)+SUMIFS(RC_or_unit,RC_Code,D245,RC_date,"&lt;="&amp;C245)-SUMIFS(RC_zar_unit,RC_Code,D245,RC_date,"&lt;"&amp;C245)),0 ))</f>
        <v/>
      </c>
      <c r="R245" s="378" t="str">
        <f>+IF(L245="","",L245*Q245)</f>
        <v/>
      </c>
      <c r="S245" s="609">
        <v>510000</v>
      </c>
      <c r="T245" s="378" t="str">
        <f>+IFERROR(VLOOKUP(S245,STAT1!$C$4:$D$189,2,FALSE),"")</f>
        <v>Үндсэн үйл ажиллагааны борлуулалт</v>
      </c>
      <c r="U245" s="1225"/>
      <c r="V245" s="1216">
        <v>339999.99599999998</v>
      </c>
      <c r="W245" s="326">
        <v>3027</v>
      </c>
      <c r="X245" s="328" t="str">
        <f>IFERROR(VLOOKUP(W245,DATA!$G$4:$H$400,2,FALSE),"")</f>
        <v xml:space="preserve">МОНГОЛЫН ХҮҮХДИЙН САН </v>
      </c>
      <c r="Y245" s="1205"/>
      <c r="Z245" s="1205"/>
      <c r="AA245" s="1205"/>
    </row>
    <row r="246" spans="1:27" ht="12.75" customHeight="1">
      <c r="A246" s="15">
        <v>65</v>
      </c>
      <c r="B246" s="369">
        <f t="shared" si="71"/>
        <v>241</v>
      </c>
      <c r="C246" s="427">
        <v>42812</v>
      </c>
      <c r="D246" s="426"/>
      <c r="E246" s="425" t="str">
        <f ca="1">+IFERROR(VLOOKUP(D246,TN_table,2,FALSE),"")</f>
        <v/>
      </c>
      <c r="F246" s="428" t="str">
        <f ca="1">+IFERROR(VLOOKUP(D246,TN_table,3,FALSE),"")</f>
        <v/>
      </c>
      <c r="G246" s="378"/>
      <c r="H246" s="378"/>
      <c r="I246" s="378"/>
      <c r="J246" s="378"/>
      <c r="K246" s="1220"/>
      <c r="L246" s="378"/>
      <c r="M246" s="378"/>
      <c r="N246" s="378" t="str">
        <f>+IF(L246="","",L246*M246)</f>
        <v/>
      </c>
      <c r="O246" s="378" t="str">
        <f>+IF(L246="","",N246*0.1)</f>
        <v/>
      </c>
      <c r="P246" s="378" t="str">
        <f>+IF(L246="","",N246+O246)</f>
        <v/>
      </c>
      <c r="Q246" s="378" t="str">
        <f>IF(L246="","",IFERROR((SUMIFS(TN_balC1_totol,TN_code,D246)+SUMIFS(RC_or_totol,RC_Code,D246,RC_date,"&lt;="&amp;C246)-SUMIFS(RC_zar_totol,RC_Code,D246,RC_date,"&lt;"&amp;C246)) /( SUMIFS(TN_balC1_unit,TN_code,D246)+SUMIFS(RC_or_unit,RC_Code,D246,RC_date,"&lt;="&amp;C246)-SUMIFS(RC_zar_unit,RC_Code,D246,RC_date,"&lt;"&amp;C246)),0 ))</f>
        <v/>
      </c>
      <c r="R246" s="378" t="str">
        <f>+IF(L246="","",L246*Q246)</f>
        <v/>
      </c>
      <c r="S246" s="609">
        <v>320100</v>
      </c>
      <c r="T246" s="378" t="str">
        <f>+IFERROR(VLOOKUP(S246,STAT1!$C$4:$D$189,2,FALSE),"")</f>
        <v>Урьдчилж орсон орлого MNT</v>
      </c>
      <c r="U246" s="1225">
        <v>373999.99559999997</v>
      </c>
      <c r="V246" s="1216"/>
      <c r="W246" s="326">
        <v>3027</v>
      </c>
      <c r="X246" s="328" t="str">
        <f>IFERROR(VLOOKUP(W246,DATA!$G$4:$H$400,2,FALSE),"")</f>
        <v xml:space="preserve">МОНГОЛЫН ХҮҮХДИЙН САН </v>
      </c>
      <c r="Y246" s="1205"/>
      <c r="Z246" s="1205"/>
      <c r="AA246" s="1205"/>
    </row>
    <row r="247" spans="1:27" ht="12.75" customHeight="1">
      <c r="A247" s="15">
        <v>66</v>
      </c>
      <c r="B247" s="369">
        <f t="shared" si="71"/>
        <v>242</v>
      </c>
      <c r="C247" s="427">
        <v>42815</v>
      </c>
      <c r="D247" s="426">
        <v>211715</v>
      </c>
      <c r="E247" s="425" t="str">
        <f ca="1">+IFERROR(VLOOKUP(D247,TN_table,2,FALSE),"")</f>
        <v>Н-Хавтан /зузаан-1.8см/</v>
      </c>
      <c r="F247" s="428" t="str">
        <f ca="1">+IFERROR(VLOOKUP(D247,TN_table,3,FALSE),"")</f>
        <v>м2</v>
      </c>
      <c r="G247" s="378"/>
      <c r="H247" s="378"/>
      <c r="I247" s="378"/>
      <c r="J247" s="378"/>
      <c r="K247" s="1220"/>
      <c r="L247" s="378">
        <v>3</v>
      </c>
      <c r="M247" s="378">
        <v>28333.332999999999</v>
      </c>
      <c r="N247" s="378">
        <f>+IF(L247="","",L247*M247)</f>
        <v>84999.998999999996</v>
      </c>
      <c r="O247" s="378">
        <f>+IF(L247="","",N247*0.1)</f>
        <v>8499.9999000000007</v>
      </c>
      <c r="P247" s="378">
        <f>+IF(L247="","",N247+O247)</f>
        <v>93499.998899999991</v>
      </c>
      <c r="Q247" s="378">
        <f ca="1">IF(L247="","",IFERROR((SUMIFS(TN_balC1_totol,TN_code,D247)+SUMIFS(RC_or_totol,RC_Code,D247,RC_date,"&lt;="&amp;C247)-SUMIFS(RC_zar_totol,RC_Code,D247,RC_date,"&lt;"&amp;C247)) /( SUMIFS(TN_balC1_unit,TN_code,D247)+SUMIFS(RC_or_unit,RC_Code,D247,RC_date,"&lt;="&amp;C247)-SUMIFS(RC_zar_unit,RC_Code,D247,RC_date,"&lt;"&amp;C247)),0 ))</f>
        <v>20188.544804875772</v>
      </c>
      <c r="R247" s="378">
        <f ca="1">+IF(L247="","",L247*Q247)</f>
        <v>60565.634414627319</v>
      </c>
      <c r="S247" s="609">
        <v>150101</v>
      </c>
      <c r="T247" s="378" t="str">
        <f>+IFERROR(VLOOKUP(S247,STAT1!$C$4:$D$189,2,FALSE),"")</f>
        <v>Бараа бэлэн бүтээгдэхүүн БОЛОВСРУУЛАХ ЦЕХ /нарс/</v>
      </c>
      <c r="U247" s="1225"/>
      <c r="V247" s="1216">
        <v>60565.634414627319</v>
      </c>
      <c r="W247" s="326">
        <v>3026</v>
      </c>
      <c r="X247" s="328" t="str">
        <f>IFERROR(VLOOKUP(W247,DATA!$G$4:$H$400,2,FALSE),"")</f>
        <v xml:space="preserve">ВОРЛДНЬЮ МЕДИА ХХК </v>
      </c>
      <c r="Y247" s="1205"/>
      <c r="Z247" s="1205"/>
      <c r="AA247" s="1205"/>
    </row>
    <row r="248" spans="1:27" ht="12.75" customHeight="1">
      <c r="A248" s="15">
        <v>66</v>
      </c>
      <c r="B248" s="369">
        <f t="shared" si="71"/>
        <v>243</v>
      </c>
      <c r="C248" s="427">
        <v>42815</v>
      </c>
      <c r="D248" s="426"/>
      <c r="E248" s="425"/>
      <c r="F248" s="428"/>
      <c r="G248" s="378"/>
      <c r="H248" s="378"/>
      <c r="I248" s="378"/>
      <c r="J248" s="378"/>
      <c r="K248" s="1220"/>
      <c r="L248" s="378"/>
      <c r="M248" s="378"/>
      <c r="N248" s="378"/>
      <c r="O248" s="378"/>
      <c r="P248" s="378"/>
      <c r="Q248" s="378"/>
      <c r="R248" s="378"/>
      <c r="S248" s="609">
        <v>610100</v>
      </c>
      <c r="T248" s="378" t="str">
        <f>+IFERROR(VLOOKUP(S248,STAT1!$C$4:$D$189,2,FALSE),"")</f>
        <v>Борлуулсан барааны өртөг</v>
      </c>
      <c r="U248" s="1225">
        <v>60565.634414627319</v>
      </c>
      <c r="V248" s="1216"/>
      <c r="W248" s="326">
        <v>3026</v>
      </c>
      <c r="X248" s="328" t="str">
        <f>IFERROR(VLOOKUP(W248,DATA!$G$4:$H$400,2,FALSE),"")</f>
        <v xml:space="preserve">ВОРЛДНЬЮ МЕДИА ХХК </v>
      </c>
      <c r="Y248" s="1205"/>
      <c r="Z248" s="1205"/>
      <c r="AA248" s="1205"/>
    </row>
    <row r="249" spans="1:27" ht="12.75" customHeight="1">
      <c r="A249" s="15">
        <v>66</v>
      </c>
      <c r="B249" s="369">
        <f t="shared" si="71"/>
        <v>244</v>
      </c>
      <c r="C249" s="427">
        <v>42815</v>
      </c>
      <c r="D249" s="426"/>
      <c r="E249" s="425" t="str">
        <f ca="1">+IFERROR(VLOOKUP(D249,TN_table,2,FALSE),"")</f>
        <v/>
      </c>
      <c r="F249" s="428" t="str">
        <f ca="1">+IFERROR(VLOOKUP(D249,TN_table,3,FALSE),"")</f>
        <v/>
      </c>
      <c r="G249" s="378"/>
      <c r="H249" s="378"/>
      <c r="I249" s="378"/>
      <c r="J249" s="378"/>
      <c r="K249" s="1220"/>
      <c r="L249" s="378"/>
      <c r="M249" s="378"/>
      <c r="N249" s="378" t="str">
        <f>+IF(L249="","",L249*M249)</f>
        <v/>
      </c>
      <c r="O249" s="378" t="str">
        <f>+IF(L249="","",N249*0.1)</f>
        <v/>
      </c>
      <c r="P249" s="378" t="str">
        <f>+IF(L249="","",N249+O249)</f>
        <v/>
      </c>
      <c r="Q249" s="378" t="str">
        <f>IF(L249="","",IFERROR((SUMIFS(TN_balC1_totol,TN_code,D249)+SUMIFS(RC_or_totol,RC_Code,D249,RC_date,"&lt;="&amp;C249)-SUMIFS(RC_zar_totol,RC_Code,D249,RC_date,"&lt;"&amp;C249)) /( SUMIFS(TN_balC1_unit,TN_code,D249)+SUMIFS(RC_or_unit,RC_Code,D249,RC_date,"&lt;="&amp;C249)-SUMIFS(RC_zar_unit,RC_Code,D249,RC_date,"&lt;"&amp;C249)),0 ))</f>
        <v/>
      </c>
      <c r="R249" s="378" t="str">
        <f>+IF(L249="","",L249*Q249)</f>
        <v/>
      </c>
      <c r="S249" s="609">
        <v>310500</v>
      </c>
      <c r="T249" s="378" t="str">
        <f>+IFERROR(VLOOKUP(S249,STAT1!$C$4:$D$189,2,FALSE),"")</f>
        <v>НӨАТ өглөг</v>
      </c>
      <c r="U249" s="1225"/>
      <c r="V249" s="1216">
        <v>8499.9999000000007</v>
      </c>
      <c r="W249" s="326">
        <v>3026</v>
      </c>
      <c r="X249" s="328" t="str">
        <f>IFERROR(VLOOKUP(W249,DATA!$G$4:$H$400,2,FALSE),"")</f>
        <v xml:space="preserve">ВОРЛДНЬЮ МЕДИА ХХК </v>
      </c>
      <c r="Y249" s="1205"/>
      <c r="Z249" s="1205"/>
      <c r="AA249" s="1205"/>
    </row>
    <row r="250" spans="1:27" ht="12.75" customHeight="1">
      <c r="A250" s="15">
        <v>66</v>
      </c>
      <c r="B250" s="369">
        <f t="shared" si="71"/>
        <v>245</v>
      </c>
      <c r="C250" s="427">
        <v>42815</v>
      </c>
      <c r="D250" s="426"/>
      <c r="E250" s="425" t="str">
        <f ca="1">+IFERROR(VLOOKUP(D250,TN_table,2,FALSE),"")</f>
        <v/>
      </c>
      <c r="F250" s="428" t="str">
        <f ca="1">+IFERROR(VLOOKUP(D250,TN_table,3,FALSE),"")</f>
        <v/>
      </c>
      <c r="G250" s="378"/>
      <c r="H250" s="378"/>
      <c r="I250" s="378"/>
      <c r="J250" s="378"/>
      <c r="K250" s="1220"/>
      <c r="L250" s="378"/>
      <c r="M250" s="378"/>
      <c r="N250" s="378" t="str">
        <f>+IF(L250="","",L250*M250)</f>
        <v/>
      </c>
      <c r="O250" s="378" t="str">
        <f>+IF(L250="","",N250*0.1)</f>
        <v/>
      </c>
      <c r="P250" s="378" t="str">
        <f>+IF(L250="","",N250+O250)</f>
        <v/>
      </c>
      <c r="Q250" s="378" t="str">
        <f>IF(L250="","",IFERROR((SUMIFS(TN_balC1_totol,TN_code,D250)+SUMIFS(RC_or_totol,RC_Code,D250,RC_date,"&lt;="&amp;C250)-SUMIFS(RC_zar_totol,RC_Code,D250,RC_date,"&lt;"&amp;C250)) /( SUMIFS(TN_balC1_unit,TN_code,D250)+SUMIFS(RC_or_unit,RC_Code,D250,RC_date,"&lt;="&amp;C250)-SUMIFS(RC_zar_unit,RC_Code,D250,RC_date,"&lt;"&amp;C250)),0 ))</f>
        <v/>
      </c>
      <c r="R250" s="378" t="str">
        <f>+IF(L250="","",L250*Q250)</f>
        <v/>
      </c>
      <c r="S250" s="609">
        <v>510000</v>
      </c>
      <c r="T250" s="378" t="str">
        <f>+IFERROR(VLOOKUP(S250,STAT1!$C$4:$D$189,2,FALSE),"")</f>
        <v>Үндсэн үйл ажиллагааны борлуулалт</v>
      </c>
      <c r="U250" s="1225"/>
      <c r="V250" s="1216">
        <v>84999.998999999996</v>
      </c>
      <c r="W250" s="326">
        <v>3026</v>
      </c>
      <c r="X250" s="328" t="str">
        <f>IFERROR(VLOOKUP(W250,DATA!$G$4:$H$400,2,FALSE),"")</f>
        <v xml:space="preserve">ВОРЛДНЬЮ МЕДИА ХХК </v>
      </c>
      <c r="Y250" s="1205"/>
      <c r="Z250" s="1205"/>
      <c r="AA250" s="1205"/>
    </row>
    <row r="251" spans="1:27" ht="12.75" customHeight="1">
      <c r="A251" s="15">
        <v>66</v>
      </c>
      <c r="B251" s="369">
        <f t="shared" si="71"/>
        <v>246</v>
      </c>
      <c r="C251" s="427">
        <v>42815</v>
      </c>
      <c r="D251" s="426"/>
      <c r="E251" s="425" t="str">
        <f ca="1">+IFERROR(VLOOKUP(D251,TN_table,2,FALSE),"")</f>
        <v/>
      </c>
      <c r="F251" s="428" t="str">
        <f ca="1">+IFERROR(VLOOKUP(D251,TN_table,3,FALSE),"")</f>
        <v/>
      </c>
      <c r="G251" s="378"/>
      <c r="H251" s="378"/>
      <c r="I251" s="378"/>
      <c r="J251" s="378"/>
      <c r="K251" s="1220"/>
      <c r="L251" s="378"/>
      <c r="M251" s="378"/>
      <c r="N251" s="378" t="str">
        <f>+IF(L251="","",L251*M251)</f>
        <v/>
      </c>
      <c r="O251" s="378" t="str">
        <f>+IF(L251="","",N251*0.1)</f>
        <v/>
      </c>
      <c r="P251" s="378" t="str">
        <f>+IF(L251="","",N251+O251)</f>
        <v/>
      </c>
      <c r="Q251" s="378" t="str">
        <f>IF(L251="","",IFERROR((SUMIFS(TN_balC1_totol,TN_code,D251)+SUMIFS(RC_or_totol,RC_Code,D251,RC_date,"&lt;="&amp;C251)-SUMIFS(RC_zar_totol,RC_Code,D251,RC_date,"&lt;"&amp;C251)) /( SUMIFS(TN_balC1_unit,TN_code,D251)+SUMIFS(RC_or_unit,RC_Code,D251,RC_date,"&lt;="&amp;C251)-SUMIFS(RC_zar_unit,RC_Code,D251,RC_date,"&lt;"&amp;C251)),0 ))</f>
        <v/>
      </c>
      <c r="R251" s="378" t="str">
        <f>+IF(L251="","",L251*Q251)</f>
        <v/>
      </c>
      <c r="S251" s="609">
        <v>320100</v>
      </c>
      <c r="T251" s="378" t="str">
        <f>+IFERROR(VLOOKUP(S251,STAT1!$C$4:$D$189,2,FALSE),"")</f>
        <v>Урьдчилж орсон орлого MNT</v>
      </c>
      <c r="U251" s="1225">
        <v>93499.998899999991</v>
      </c>
      <c r="V251" s="1216"/>
      <c r="W251" s="326">
        <v>3026</v>
      </c>
      <c r="X251" s="328" t="str">
        <f>IFERROR(VLOOKUP(W251,DATA!$G$4:$H$400,2,FALSE),"")</f>
        <v xml:space="preserve">ВОРЛДНЬЮ МЕДИА ХХК </v>
      </c>
      <c r="Y251" s="1205"/>
      <c r="Z251" s="1205"/>
      <c r="AA251" s="1205"/>
    </row>
    <row r="252" spans="1:27" ht="12.75" customHeight="1">
      <c r="A252" s="15">
        <v>67</v>
      </c>
      <c r="B252" s="369">
        <f t="shared" si="71"/>
        <v>247</v>
      </c>
      <c r="C252" s="427">
        <v>42819</v>
      </c>
      <c r="D252" s="426">
        <v>210003</v>
      </c>
      <c r="E252" s="425" t="str">
        <f ca="1">+IFERROR(VLOOKUP(D252,TN_table,2,FALSE),"")</f>
        <v>Н-Наамал дүнз</v>
      </c>
      <c r="F252" s="428" t="str">
        <f ca="1">+IFERROR(VLOOKUP(D252,TN_table,3,FALSE),"")</f>
        <v>м2</v>
      </c>
      <c r="G252" s="378"/>
      <c r="H252" s="378"/>
      <c r="I252" s="378"/>
      <c r="J252" s="378"/>
      <c r="K252" s="1220"/>
      <c r="L252" s="378">
        <v>8.1300000000000008</v>
      </c>
      <c r="M252" s="378">
        <v>254612.546</v>
      </c>
      <c r="N252" s="378">
        <f>+IF(L252="","",L252*M252)</f>
        <v>2069999.9989800001</v>
      </c>
      <c r="O252" s="378">
        <f>+IF(L252="","",N252*0.1)</f>
        <v>206999.99989800004</v>
      </c>
      <c r="P252" s="378">
        <f>+IF(L252="","",N252+O252)</f>
        <v>2276999.9988780003</v>
      </c>
      <c r="Q252" s="378">
        <f ca="1">IF(L252="","",IFERROR((SUMIFS(TN_balC1_totol,TN_code,D252)+SUMIFS(RC_or_totol,RC_Code,D252,RC_date,"&lt;="&amp;C252)-SUMIFS(RC_zar_totol,RC_Code,D252,RC_date,"&lt;"&amp;C252)) /( SUMIFS(TN_balC1_unit,TN_code,D252)+SUMIFS(RC_or_unit,RC_Code,D252,RC_date,"&lt;="&amp;C252)-SUMIFS(RC_zar_unit,RC_Code,D252,RC_date,"&lt;"&amp;C252)),0 ))</f>
        <v>191123.56673210167</v>
      </c>
      <c r="R252" s="378">
        <f ca="1">+IF(L252="","",L252*Q252)</f>
        <v>1553834.5975319867</v>
      </c>
      <c r="S252" s="609">
        <v>150101</v>
      </c>
      <c r="T252" s="378" t="str">
        <f>+IFERROR(VLOOKUP(S252,STAT1!$C$4:$D$189,2,FALSE),"")</f>
        <v>Бараа бэлэн бүтээгдэхүүн БОЛОВСРУУЛАХ ЦЕХ /нарс/</v>
      </c>
      <c r="U252" s="1225"/>
      <c r="V252" s="1216">
        <v>1553834.5975319867</v>
      </c>
      <c r="W252" s="326">
        <v>3020</v>
      </c>
      <c r="X252" s="328" t="str">
        <f>IFERROR(VLOOKUP(W252,DATA!$G$4:$H$400,2,FALSE),"")</f>
        <v xml:space="preserve">ЖЭЙ ЭЛ КЭЙ ЭМ ХХК </v>
      </c>
      <c r="Y252" s="1205"/>
      <c r="Z252" s="1205"/>
      <c r="AA252" s="1205"/>
    </row>
    <row r="253" spans="1:27" ht="12.75" customHeight="1">
      <c r="A253" s="15">
        <v>67</v>
      </c>
      <c r="B253" s="369">
        <f t="shared" si="71"/>
        <v>248</v>
      </c>
      <c r="C253" s="427">
        <v>42819</v>
      </c>
      <c r="D253" s="426"/>
      <c r="E253" s="425"/>
      <c r="F253" s="428"/>
      <c r="G253" s="378"/>
      <c r="H253" s="378"/>
      <c r="I253" s="378"/>
      <c r="J253" s="378"/>
      <c r="K253" s="1220"/>
      <c r="L253" s="378"/>
      <c r="M253" s="378"/>
      <c r="N253" s="378"/>
      <c r="O253" s="378"/>
      <c r="P253" s="378"/>
      <c r="Q253" s="378"/>
      <c r="R253" s="378"/>
      <c r="S253" s="609">
        <v>610100</v>
      </c>
      <c r="T253" s="378" t="str">
        <f>+IFERROR(VLOOKUP(S253,STAT1!$C$4:$D$189,2,FALSE),"")</f>
        <v>Борлуулсан барааны өртөг</v>
      </c>
      <c r="U253" s="1225">
        <v>1553834.5975319867</v>
      </c>
      <c r="V253" s="1216"/>
      <c r="W253" s="326">
        <v>3020</v>
      </c>
      <c r="X253" s="328" t="str">
        <f>IFERROR(VLOOKUP(W253,DATA!$G$4:$H$400,2,FALSE),"")</f>
        <v xml:space="preserve">ЖЭЙ ЭЛ КЭЙ ЭМ ХХК </v>
      </c>
      <c r="Y253" s="1205"/>
      <c r="Z253" s="1205"/>
      <c r="AA253" s="1205"/>
    </row>
    <row r="254" spans="1:27" ht="12.75" customHeight="1">
      <c r="A254" s="15">
        <v>67</v>
      </c>
      <c r="B254" s="369">
        <f t="shared" si="71"/>
        <v>249</v>
      </c>
      <c r="C254" s="427">
        <v>42819</v>
      </c>
      <c r="D254" s="426"/>
      <c r="E254" s="425" t="str">
        <f ca="1">+IFERROR(VLOOKUP(D254,TN_table,2,FALSE),"")</f>
        <v/>
      </c>
      <c r="F254" s="428" t="str">
        <f ca="1">+IFERROR(VLOOKUP(D254,TN_table,3,FALSE),"")</f>
        <v/>
      </c>
      <c r="G254" s="378"/>
      <c r="H254" s="378"/>
      <c r="I254" s="378"/>
      <c r="J254" s="378"/>
      <c r="K254" s="1220"/>
      <c r="L254" s="378"/>
      <c r="M254" s="378"/>
      <c r="N254" s="378" t="str">
        <f>+IF(L254="","",L254*M254)</f>
        <v/>
      </c>
      <c r="O254" s="378" t="str">
        <f>+IF(L254="","",N254*0.1)</f>
        <v/>
      </c>
      <c r="P254" s="378" t="str">
        <f>+IF(L254="","",N254+O254)</f>
        <v/>
      </c>
      <c r="Q254" s="378" t="str">
        <f>IF(L254="","",IFERROR((SUMIFS(TN_balC1_totol,TN_code,D254)+SUMIFS(RC_or_totol,RC_Code,D254,RC_date,"&lt;="&amp;C254)-SUMIFS(RC_zar_totol,RC_Code,D254,RC_date,"&lt;"&amp;C254)) /( SUMIFS(TN_balC1_unit,TN_code,D254)+SUMIFS(RC_or_unit,RC_Code,D254,RC_date,"&lt;="&amp;C254)-SUMIFS(RC_zar_unit,RC_Code,D254,RC_date,"&lt;"&amp;C254)),0 ))</f>
        <v/>
      </c>
      <c r="R254" s="378" t="str">
        <f>+IF(L254="","",L254*Q254)</f>
        <v/>
      </c>
      <c r="S254" s="609">
        <v>310500</v>
      </c>
      <c r="T254" s="378" t="str">
        <f>+IFERROR(VLOOKUP(S254,STAT1!$C$4:$D$189,2,FALSE),"")</f>
        <v>НӨАТ өглөг</v>
      </c>
      <c r="U254" s="1225"/>
      <c r="V254" s="1216">
        <v>206999.99989800004</v>
      </c>
      <c r="W254" s="326">
        <v>3020</v>
      </c>
      <c r="X254" s="328" t="str">
        <f>IFERROR(VLOOKUP(W254,DATA!$G$4:$H$400,2,FALSE),"")</f>
        <v xml:space="preserve">ЖЭЙ ЭЛ КЭЙ ЭМ ХХК </v>
      </c>
      <c r="Y254" s="1205"/>
      <c r="Z254" s="1205"/>
      <c r="AA254" s="1205"/>
    </row>
    <row r="255" spans="1:27" ht="12.75" customHeight="1">
      <c r="A255" s="15">
        <v>67</v>
      </c>
      <c r="B255" s="369">
        <f t="shared" si="71"/>
        <v>250</v>
      </c>
      <c r="C255" s="427">
        <v>42819</v>
      </c>
      <c r="D255" s="426"/>
      <c r="E255" s="425" t="str">
        <f ca="1">+IFERROR(VLOOKUP(D255,TN_table,2,FALSE),"")</f>
        <v/>
      </c>
      <c r="F255" s="428" t="str">
        <f ca="1">+IFERROR(VLOOKUP(D255,TN_table,3,FALSE),"")</f>
        <v/>
      </c>
      <c r="G255" s="378"/>
      <c r="H255" s="378"/>
      <c r="I255" s="378"/>
      <c r="J255" s="378"/>
      <c r="K255" s="1220"/>
      <c r="L255" s="378"/>
      <c r="M255" s="378"/>
      <c r="N255" s="378" t="str">
        <f>+IF(L255="","",L255*M255)</f>
        <v/>
      </c>
      <c r="O255" s="378" t="str">
        <f>+IF(L255="","",N255*0.1)</f>
        <v/>
      </c>
      <c r="P255" s="378" t="str">
        <f>+IF(L255="","",N255+O255)</f>
        <v/>
      </c>
      <c r="Q255" s="378" t="str">
        <f>IF(L255="","",IFERROR((SUMIFS(TN_balC1_totol,TN_code,D255)+SUMIFS(RC_or_totol,RC_Code,D255,RC_date,"&lt;="&amp;C255)-SUMIFS(RC_zar_totol,RC_Code,D255,RC_date,"&lt;"&amp;C255)) /( SUMIFS(TN_balC1_unit,TN_code,D255)+SUMIFS(RC_or_unit,RC_Code,D255,RC_date,"&lt;="&amp;C255)-SUMIFS(RC_zar_unit,RC_Code,D255,RC_date,"&lt;"&amp;C255)),0 ))</f>
        <v/>
      </c>
      <c r="R255" s="378" t="str">
        <f>+IF(L255="","",L255*Q255)</f>
        <v/>
      </c>
      <c r="S255" s="609">
        <v>510000</v>
      </c>
      <c r="T255" s="378" t="str">
        <f>+IFERROR(VLOOKUP(S255,STAT1!$C$4:$D$189,2,FALSE),"")</f>
        <v>Үндсэн үйл ажиллагааны борлуулалт</v>
      </c>
      <c r="U255" s="1225"/>
      <c r="V255" s="1216">
        <v>2069999.9989800001</v>
      </c>
      <c r="W255" s="326">
        <v>3020</v>
      </c>
      <c r="X255" s="328" t="str">
        <f>IFERROR(VLOOKUP(W255,DATA!$G$4:$H$400,2,FALSE),"")</f>
        <v xml:space="preserve">ЖЭЙ ЭЛ КЭЙ ЭМ ХХК </v>
      </c>
      <c r="Y255" s="1205"/>
      <c r="Z255" s="1205"/>
      <c r="AA255" s="1205"/>
    </row>
    <row r="256" spans="1:27" ht="12.75" customHeight="1">
      <c r="A256" s="15">
        <v>67</v>
      </c>
      <c r="B256" s="369">
        <f t="shared" si="71"/>
        <v>251</v>
      </c>
      <c r="C256" s="427">
        <v>42819</v>
      </c>
      <c r="D256" s="426"/>
      <c r="E256" s="425" t="str">
        <f ca="1">+IFERROR(VLOOKUP(D256,TN_table,2,FALSE),"")</f>
        <v/>
      </c>
      <c r="F256" s="428" t="str">
        <f ca="1">+IFERROR(VLOOKUP(D256,TN_table,3,FALSE),"")</f>
        <v/>
      </c>
      <c r="G256" s="378"/>
      <c r="H256" s="378"/>
      <c r="I256" s="378"/>
      <c r="J256" s="378"/>
      <c r="K256" s="1220"/>
      <c r="L256" s="378"/>
      <c r="M256" s="378"/>
      <c r="N256" s="378" t="str">
        <f>+IF(L256="","",L256*M256)</f>
        <v/>
      </c>
      <c r="O256" s="378" t="str">
        <f>+IF(L256="","",N256*0.1)</f>
        <v/>
      </c>
      <c r="P256" s="378" t="str">
        <f>+IF(L256="","",N256+O256)</f>
        <v/>
      </c>
      <c r="Q256" s="378" t="str">
        <f>IF(L256="","",IFERROR((SUMIFS(TN_balC1_totol,TN_code,D256)+SUMIFS(RC_or_totol,RC_Code,D256,RC_date,"&lt;="&amp;C256)-SUMIFS(RC_zar_totol,RC_Code,D256,RC_date,"&lt;"&amp;C256)) /( SUMIFS(TN_balC1_unit,TN_code,D256)+SUMIFS(RC_or_unit,RC_Code,D256,RC_date,"&lt;="&amp;C256)-SUMIFS(RC_zar_unit,RC_Code,D256,RC_date,"&lt;"&amp;C256)),0 ))</f>
        <v/>
      </c>
      <c r="R256" s="378" t="str">
        <f>+IF(L256="","",L256*Q256)</f>
        <v/>
      </c>
      <c r="S256" s="609">
        <v>320100</v>
      </c>
      <c r="T256" s="378" t="str">
        <f>+IFERROR(VLOOKUP(S256,STAT1!$C$4:$D$189,2,FALSE),"")</f>
        <v>Урьдчилж орсон орлого MNT</v>
      </c>
      <c r="U256" s="1225">
        <v>2276999.9988780003</v>
      </c>
      <c r="V256" s="1216"/>
      <c r="W256" s="326">
        <v>3020</v>
      </c>
      <c r="X256" s="328" t="str">
        <f>IFERROR(VLOOKUP(W256,DATA!$G$4:$H$400,2,FALSE),"")</f>
        <v xml:space="preserve">ЖЭЙ ЭЛ КЭЙ ЭМ ХХК </v>
      </c>
      <c r="Y256" s="1205"/>
      <c r="Z256" s="1205"/>
      <c r="AA256" s="1205"/>
    </row>
    <row r="257" spans="1:27" ht="12.75" customHeight="1">
      <c r="A257" s="15">
        <v>68</v>
      </c>
      <c r="B257" s="369">
        <f t="shared" si="71"/>
        <v>252</v>
      </c>
      <c r="C257" s="427">
        <v>42819</v>
      </c>
      <c r="D257" s="426">
        <v>211501</v>
      </c>
      <c r="E257" s="425" t="str">
        <f ca="1">+IFERROR(VLOOKUP(D257,TN_table,2,FALSE),"")</f>
        <v>Н-Евровагонка /зузаан-2.2см/</v>
      </c>
      <c r="F257" s="428" t="str">
        <f ca="1">+IFERROR(VLOOKUP(D257,TN_table,3,FALSE),"")</f>
        <v>м2</v>
      </c>
      <c r="G257" s="378"/>
      <c r="H257" s="378"/>
      <c r="I257" s="378"/>
      <c r="J257" s="378"/>
      <c r="K257" s="1220"/>
      <c r="L257" s="378">
        <v>4.5199999999999996</v>
      </c>
      <c r="M257" s="378">
        <v>30024.134955752215</v>
      </c>
      <c r="N257" s="378">
        <f>+IF(L257="","",L257*M257)</f>
        <v>135709.09</v>
      </c>
      <c r="O257" s="378">
        <f>+IF(L257="","",N257*0.1)</f>
        <v>13570.909</v>
      </c>
      <c r="P257" s="378">
        <f>+IF(L257="","",N257+O257)</f>
        <v>149279.99900000001</v>
      </c>
      <c r="Q257" s="378">
        <f ca="1">IF(L257="","",IFERROR((SUMIFS(TN_balC1_totol,TN_code,D257)+SUMIFS(RC_or_totol,RC_Code,D257,RC_date,"&lt;="&amp;C257)-SUMIFS(RC_zar_totol,RC_Code,D257,RC_date,"&lt;"&amp;C257)) /( SUMIFS(TN_balC1_unit,TN_code,D257)+SUMIFS(RC_or_unit,RC_Code,D257,RC_date,"&lt;="&amp;C257)-SUMIFS(RC_zar_unit,RC_Code,D257,RC_date,"&lt;"&amp;C257)),0 ))</f>
        <v>13118.370000000003</v>
      </c>
      <c r="R257" s="378">
        <f ca="1">+IF(L257="","",L257*Q257)</f>
        <v>59295.032400000004</v>
      </c>
      <c r="S257" s="609">
        <v>150101</v>
      </c>
      <c r="T257" s="378" t="str">
        <f>+IFERROR(VLOOKUP(S257,STAT1!$C$4:$D$189,2,FALSE),"")</f>
        <v>Бараа бэлэн бүтээгдэхүүн БОЛОВСРУУЛАХ ЦЕХ /нарс/</v>
      </c>
      <c r="U257" s="1225"/>
      <c r="V257" s="1216">
        <v>59295.032400000004</v>
      </c>
      <c r="W257" s="326">
        <v>3023</v>
      </c>
      <c r="X257" s="328" t="str">
        <f>IFERROR(VLOOKUP(W257,DATA!$G$4:$H$400,2,FALSE),"")</f>
        <v>ЭГЭЛ ХХК</v>
      </c>
      <c r="Y257" s="1205"/>
      <c r="Z257" s="1205"/>
      <c r="AA257" s="1205"/>
    </row>
    <row r="258" spans="1:27" ht="12.75" customHeight="1">
      <c r="A258" s="15">
        <v>68</v>
      </c>
      <c r="B258" s="369">
        <f t="shared" si="71"/>
        <v>253</v>
      </c>
      <c r="C258" s="427">
        <v>42819</v>
      </c>
      <c r="D258" s="426"/>
      <c r="E258" s="425"/>
      <c r="F258" s="428"/>
      <c r="G258" s="378"/>
      <c r="H258" s="378"/>
      <c r="I258" s="378"/>
      <c r="J258" s="378"/>
      <c r="K258" s="1220"/>
      <c r="L258" s="378"/>
      <c r="M258" s="378"/>
      <c r="N258" s="378"/>
      <c r="O258" s="378"/>
      <c r="P258" s="378"/>
      <c r="Q258" s="378"/>
      <c r="R258" s="378"/>
      <c r="S258" s="609">
        <v>610100</v>
      </c>
      <c r="T258" s="378" t="str">
        <f>+IFERROR(VLOOKUP(S258,STAT1!$C$4:$D$189,2,FALSE),"")</f>
        <v>Борлуулсан барааны өртөг</v>
      </c>
      <c r="U258" s="1225">
        <v>59295.032400000004</v>
      </c>
      <c r="V258" s="1216"/>
      <c r="W258" s="326">
        <v>3023</v>
      </c>
      <c r="X258" s="328" t="str">
        <f>IFERROR(VLOOKUP(W258,DATA!$G$4:$H$400,2,FALSE),"")</f>
        <v>ЭГЭЛ ХХК</v>
      </c>
      <c r="Y258" s="1205"/>
      <c r="Z258" s="1205"/>
      <c r="AA258" s="1205"/>
    </row>
    <row r="259" spans="1:27" ht="12.75" customHeight="1">
      <c r="A259" s="15">
        <v>68</v>
      </c>
      <c r="B259" s="369">
        <f t="shared" si="71"/>
        <v>254</v>
      </c>
      <c r="C259" s="427">
        <v>42819</v>
      </c>
      <c r="D259" s="426"/>
      <c r="E259" s="425" t="str">
        <f ca="1">+IFERROR(VLOOKUP(D259,TN_table,2,FALSE),"")</f>
        <v/>
      </c>
      <c r="F259" s="428" t="str">
        <f ca="1">+IFERROR(VLOOKUP(D259,TN_table,3,FALSE),"")</f>
        <v/>
      </c>
      <c r="G259" s="378"/>
      <c r="H259" s="378"/>
      <c r="I259" s="378"/>
      <c r="J259" s="378"/>
      <c r="K259" s="1220"/>
      <c r="L259" s="378"/>
      <c r="M259" s="378"/>
      <c r="N259" s="378" t="str">
        <f>+IF(L259="","",L259*M259)</f>
        <v/>
      </c>
      <c r="O259" s="378" t="str">
        <f>+IF(L259="","",N259*0.1)</f>
        <v/>
      </c>
      <c r="P259" s="378" t="str">
        <f>+IF(L259="","",N259+O259)</f>
        <v/>
      </c>
      <c r="Q259" s="378" t="str">
        <f>IF(L259="","",IFERROR((SUMIFS(TN_balC1_totol,TN_code,D259)+SUMIFS(RC_or_totol,RC_Code,D259,RC_date,"&lt;="&amp;C259)-SUMIFS(RC_zar_totol,RC_Code,D259,RC_date,"&lt;"&amp;C259)) /( SUMIFS(TN_balC1_unit,TN_code,D259)+SUMIFS(RC_or_unit,RC_Code,D259,RC_date,"&lt;="&amp;C259)-SUMIFS(RC_zar_unit,RC_Code,D259,RC_date,"&lt;"&amp;C259)),0 ))</f>
        <v/>
      </c>
      <c r="R259" s="378" t="str">
        <f>+IF(L259="","",L259*Q259)</f>
        <v/>
      </c>
      <c r="S259" s="609">
        <v>310500</v>
      </c>
      <c r="T259" s="378" t="str">
        <f>+IFERROR(VLOOKUP(S259,STAT1!$C$4:$D$189,2,FALSE),"")</f>
        <v>НӨАТ өглөг</v>
      </c>
      <c r="U259" s="1225"/>
      <c r="V259" s="1216">
        <v>13570.909</v>
      </c>
      <c r="W259" s="326">
        <v>3023</v>
      </c>
      <c r="X259" s="328" t="str">
        <f>IFERROR(VLOOKUP(W259,DATA!$G$4:$H$400,2,FALSE),"")</f>
        <v>ЭГЭЛ ХХК</v>
      </c>
      <c r="Y259" s="1205"/>
      <c r="Z259" s="1205"/>
      <c r="AA259" s="1205"/>
    </row>
    <row r="260" spans="1:27" ht="12.75" customHeight="1">
      <c r="A260" s="15">
        <v>68</v>
      </c>
      <c r="B260" s="369">
        <f t="shared" si="71"/>
        <v>255</v>
      </c>
      <c r="C260" s="427">
        <v>42819</v>
      </c>
      <c r="D260" s="426"/>
      <c r="E260" s="425" t="str">
        <f ca="1">+IFERROR(VLOOKUP(D260,TN_table,2,FALSE),"")</f>
        <v/>
      </c>
      <c r="F260" s="428" t="str">
        <f ca="1">+IFERROR(VLOOKUP(D260,TN_table,3,FALSE),"")</f>
        <v/>
      </c>
      <c r="G260" s="378"/>
      <c r="H260" s="378"/>
      <c r="I260" s="378"/>
      <c r="J260" s="378"/>
      <c r="K260" s="1220"/>
      <c r="L260" s="378"/>
      <c r="M260" s="378"/>
      <c r="N260" s="378" t="str">
        <f>+IF(L260="","",L260*M260)</f>
        <v/>
      </c>
      <c r="O260" s="378" t="str">
        <f>+IF(L260="","",N260*0.1)</f>
        <v/>
      </c>
      <c r="P260" s="378" t="str">
        <f>+IF(L260="","",N260+O260)</f>
        <v/>
      </c>
      <c r="Q260" s="378" t="str">
        <f>IF(L260="","",IFERROR((SUMIFS(TN_balC1_totol,TN_code,D260)+SUMIFS(RC_or_totol,RC_Code,D260,RC_date,"&lt;="&amp;C260)-SUMIFS(RC_zar_totol,RC_Code,D260,RC_date,"&lt;"&amp;C260)) /( SUMIFS(TN_balC1_unit,TN_code,D260)+SUMIFS(RC_or_unit,RC_Code,D260,RC_date,"&lt;="&amp;C260)-SUMIFS(RC_zar_unit,RC_Code,D260,RC_date,"&lt;"&amp;C260)),0 ))</f>
        <v/>
      </c>
      <c r="R260" s="378" t="str">
        <f>+IF(L260="","",L260*Q260)</f>
        <v/>
      </c>
      <c r="S260" s="609">
        <v>510000</v>
      </c>
      <c r="T260" s="378" t="str">
        <f>+IFERROR(VLOOKUP(S260,STAT1!$C$4:$D$189,2,FALSE),"")</f>
        <v>Үндсэн үйл ажиллагааны борлуулалт</v>
      </c>
      <c r="U260" s="1225"/>
      <c r="V260" s="1216">
        <v>135709.09</v>
      </c>
      <c r="W260" s="326">
        <v>3023</v>
      </c>
      <c r="X260" s="328" t="str">
        <f>IFERROR(VLOOKUP(W260,DATA!$G$4:$H$400,2,FALSE),"")</f>
        <v>ЭГЭЛ ХХК</v>
      </c>
      <c r="Y260" s="1205"/>
      <c r="Z260" s="1205"/>
      <c r="AA260" s="1205"/>
    </row>
    <row r="261" spans="1:27" ht="12.75" customHeight="1">
      <c r="A261" s="15">
        <v>68</v>
      </c>
      <c r="B261" s="369">
        <f t="shared" si="71"/>
        <v>256</v>
      </c>
      <c r="C261" s="427">
        <v>42819</v>
      </c>
      <c r="D261" s="426"/>
      <c r="E261" s="425" t="str">
        <f ca="1">+IFERROR(VLOOKUP(D261,TN_table,2,FALSE),"")</f>
        <v/>
      </c>
      <c r="F261" s="428" t="str">
        <f ca="1">+IFERROR(VLOOKUP(D261,TN_table,3,FALSE),"")</f>
        <v/>
      </c>
      <c r="G261" s="378"/>
      <c r="H261" s="378"/>
      <c r="I261" s="378"/>
      <c r="J261" s="378"/>
      <c r="K261" s="1220"/>
      <c r="L261" s="378"/>
      <c r="M261" s="378"/>
      <c r="N261" s="378" t="str">
        <f>+IF(L261="","",L261*M261)</f>
        <v/>
      </c>
      <c r="O261" s="378" t="str">
        <f>+IF(L261="","",N261*0.1)</f>
        <v/>
      </c>
      <c r="P261" s="378" t="str">
        <f>+IF(L261="","",N261+O261)</f>
        <v/>
      </c>
      <c r="Q261" s="378" t="str">
        <f>IF(L261="","",IFERROR((SUMIFS(TN_balC1_totol,TN_code,D261)+SUMIFS(RC_or_totol,RC_Code,D261,RC_date,"&lt;="&amp;C261)-SUMIFS(RC_zar_totol,RC_Code,D261,RC_date,"&lt;"&amp;C261)) /( SUMIFS(TN_balC1_unit,TN_code,D261)+SUMIFS(RC_or_unit,RC_Code,D261,RC_date,"&lt;="&amp;C261)-SUMIFS(RC_zar_unit,RC_Code,D261,RC_date,"&lt;"&amp;C261)),0 ))</f>
        <v/>
      </c>
      <c r="R261" s="378" t="str">
        <f>+IF(L261="","",L261*Q261)</f>
        <v/>
      </c>
      <c r="S261" s="609">
        <v>320100</v>
      </c>
      <c r="T261" s="378" t="str">
        <f>+IFERROR(VLOOKUP(S261,STAT1!$C$4:$D$189,2,FALSE),"")</f>
        <v>Урьдчилж орсон орлого MNT</v>
      </c>
      <c r="U261" s="1225">
        <v>149279.99900000001</v>
      </c>
      <c r="V261" s="1216"/>
      <c r="W261" s="326">
        <v>3023</v>
      </c>
      <c r="X261" s="328" t="str">
        <f>IFERROR(VLOOKUP(W261,DATA!$G$4:$H$400,2,FALSE),"")</f>
        <v>ЭГЭЛ ХХК</v>
      </c>
      <c r="Y261" s="1205"/>
      <c r="Z261" s="1205"/>
      <c r="AA261" s="1205"/>
    </row>
    <row r="262" spans="1:27" ht="12.75" customHeight="1">
      <c r="A262" s="15">
        <v>69</v>
      </c>
      <c r="B262" s="369">
        <f t="shared" ref="B262:B325" si="82">+IF(C262="","",ROW()-5)</f>
        <v>257</v>
      </c>
      <c r="C262" s="427">
        <v>42822</v>
      </c>
      <c r="D262" s="426">
        <v>211503</v>
      </c>
      <c r="E262" s="425" t="str">
        <f ca="1">+IFERROR(VLOOKUP(D262,TN_table,2,FALSE),"")</f>
        <v>Н-Евровагонка /зузаан-1.2см/</v>
      </c>
      <c r="F262" s="428" t="str">
        <f ca="1">+IFERROR(VLOOKUP(D262,TN_table,3,FALSE),"")</f>
        <v>м2</v>
      </c>
      <c r="G262" s="378"/>
      <c r="H262" s="378"/>
      <c r="I262" s="378"/>
      <c r="J262" s="378"/>
      <c r="K262" s="1220"/>
      <c r="L262" s="378">
        <v>11.666</v>
      </c>
      <c r="M262" s="378">
        <v>18001.028900000001</v>
      </c>
      <c r="N262" s="378">
        <f>+IF(L262="","",L262*M262)</f>
        <v>210000.00314740001</v>
      </c>
      <c r="O262" s="378">
        <f>+IF(L262="","",N262*0.1)</f>
        <v>21000.000314740002</v>
      </c>
      <c r="P262" s="378">
        <f>+IF(L262="","",N262+O262)</f>
        <v>231000.00346214001</v>
      </c>
      <c r="Q262" s="378">
        <f ca="1">IF(L262="","",IFERROR((SUMIFS(TN_balC1_totol,TN_code,D262)+SUMIFS(RC_or_totol,RC_Code,D262,RC_date,"&lt;="&amp;C262)-SUMIFS(RC_zar_totol,RC_Code,D262,RC_date,"&lt;"&amp;C262)) /( SUMIFS(TN_balC1_unit,TN_code,D262)+SUMIFS(RC_or_unit,RC_Code,D262,RC_date,"&lt;="&amp;C262)-SUMIFS(RC_zar_unit,RC_Code,D262,RC_date,"&lt;"&amp;C262)),0 ))</f>
        <v>12876.72273882594</v>
      </c>
      <c r="R262" s="378">
        <f ca="1">+IF(L262="","",L262*Q262)</f>
        <v>150219.84747114341</v>
      </c>
      <c r="S262" s="609">
        <v>150101</v>
      </c>
      <c r="T262" s="378" t="str">
        <f>+IFERROR(VLOOKUP(S262,STAT1!$C$4:$D$189,2,FALSE),"")</f>
        <v>Бараа бэлэн бүтээгдэхүүн БОЛОВСРУУЛАХ ЦЕХ /нарс/</v>
      </c>
      <c r="U262" s="1225"/>
      <c r="V262" s="1216">
        <v>150219.84747114341</v>
      </c>
      <c r="W262" s="326">
        <v>4002</v>
      </c>
      <c r="X262" s="328" t="str">
        <f>IFERROR(VLOOKUP(W262,DATA!$G$4:$H$400,2,FALSE),"")</f>
        <v xml:space="preserve">Хувь хүн </v>
      </c>
      <c r="Y262" s="1205"/>
      <c r="Z262" s="1205"/>
      <c r="AA262" s="1205"/>
    </row>
    <row r="263" spans="1:27" ht="12.75" customHeight="1">
      <c r="A263" s="15">
        <v>69</v>
      </c>
      <c r="B263" s="369">
        <f t="shared" si="82"/>
        <v>258</v>
      </c>
      <c r="C263" s="427">
        <v>42822</v>
      </c>
      <c r="D263" s="426"/>
      <c r="E263" s="425"/>
      <c r="F263" s="428"/>
      <c r="G263" s="378"/>
      <c r="H263" s="378"/>
      <c r="I263" s="378"/>
      <c r="J263" s="378"/>
      <c r="K263" s="1220"/>
      <c r="L263" s="378"/>
      <c r="M263" s="378"/>
      <c r="N263" s="378"/>
      <c r="O263" s="378"/>
      <c r="P263" s="378"/>
      <c r="Q263" s="378"/>
      <c r="R263" s="378"/>
      <c r="S263" s="609">
        <v>610100</v>
      </c>
      <c r="T263" s="378" t="str">
        <f>+IFERROR(VLOOKUP(S263,STAT1!$C$4:$D$189,2,FALSE),"")</f>
        <v>Борлуулсан барааны өртөг</v>
      </c>
      <c r="U263" s="1225">
        <v>150219.84747114341</v>
      </c>
      <c r="V263" s="1216"/>
      <c r="W263" s="326">
        <v>4002</v>
      </c>
      <c r="X263" s="328" t="str">
        <f>IFERROR(VLOOKUP(W263,DATA!$G$4:$H$400,2,FALSE),"")</f>
        <v xml:space="preserve">Хувь хүн </v>
      </c>
      <c r="Y263" s="1205"/>
      <c r="Z263" s="1205"/>
      <c r="AA263" s="1205"/>
    </row>
    <row r="264" spans="1:27" ht="12.75" customHeight="1">
      <c r="A264" s="15">
        <v>69</v>
      </c>
      <c r="B264" s="369">
        <f t="shared" si="82"/>
        <v>259</v>
      </c>
      <c r="C264" s="427">
        <v>42822</v>
      </c>
      <c r="D264" s="426"/>
      <c r="E264" s="425" t="str">
        <f ca="1">+IFERROR(VLOOKUP(D264,TN_table,2,FALSE),"")</f>
        <v/>
      </c>
      <c r="F264" s="428" t="str">
        <f ca="1">+IFERROR(VLOOKUP(D264,TN_table,3,FALSE),"")</f>
        <v/>
      </c>
      <c r="G264" s="378"/>
      <c r="H264" s="378"/>
      <c r="I264" s="378"/>
      <c r="J264" s="378"/>
      <c r="K264" s="1220"/>
      <c r="L264" s="378"/>
      <c r="M264" s="378"/>
      <c r="N264" s="378" t="str">
        <f>+IF(L264="","",L264*M264)</f>
        <v/>
      </c>
      <c r="O264" s="378" t="str">
        <f>+IF(L264="","",N264*0.1)</f>
        <v/>
      </c>
      <c r="P264" s="378" t="str">
        <f>+IF(L264="","",N264+O264)</f>
        <v/>
      </c>
      <c r="Q264" s="378" t="str">
        <f>IF(L264="","",IFERROR((SUMIFS(TN_balC1_totol,TN_code,D264)+SUMIFS(RC_or_totol,RC_Code,D264,RC_date,"&lt;="&amp;C264)-SUMIFS(RC_zar_totol,RC_Code,D264,RC_date,"&lt;"&amp;C264)) /( SUMIFS(TN_balC1_unit,TN_code,D264)+SUMIFS(RC_or_unit,RC_Code,D264,RC_date,"&lt;="&amp;C264)-SUMIFS(RC_zar_unit,RC_Code,D264,RC_date,"&lt;"&amp;C264)),0 ))</f>
        <v/>
      </c>
      <c r="R264" s="378" t="str">
        <f>+IF(L264="","",L264*Q264)</f>
        <v/>
      </c>
      <c r="S264" s="609">
        <v>310500</v>
      </c>
      <c r="T264" s="378" t="str">
        <f>+IFERROR(VLOOKUP(S264,STAT1!$C$4:$D$189,2,FALSE),"")</f>
        <v>НӨАТ өглөг</v>
      </c>
      <c r="U264" s="1225"/>
      <c r="V264" s="1216">
        <v>21000.000314740002</v>
      </c>
      <c r="W264" s="326">
        <v>4002</v>
      </c>
      <c r="X264" s="328" t="str">
        <f>IFERROR(VLOOKUP(W264,DATA!$G$4:$H$400,2,FALSE),"")</f>
        <v xml:space="preserve">Хувь хүн </v>
      </c>
      <c r="Y264" s="1205"/>
      <c r="Z264" s="1205"/>
      <c r="AA264" s="1205"/>
    </row>
    <row r="265" spans="1:27" ht="12.75" customHeight="1">
      <c r="A265" s="15">
        <v>69</v>
      </c>
      <c r="B265" s="369">
        <f t="shared" si="82"/>
        <v>260</v>
      </c>
      <c r="C265" s="427">
        <v>42822</v>
      </c>
      <c r="D265" s="426"/>
      <c r="E265" s="425" t="str">
        <f ca="1">+IFERROR(VLOOKUP(D265,TN_table,2,FALSE),"")</f>
        <v/>
      </c>
      <c r="F265" s="428" t="str">
        <f ca="1">+IFERROR(VLOOKUP(D265,TN_table,3,FALSE),"")</f>
        <v/>
      </c>
      <c r="G265" s="378"/>
      <c r="H265" s="378"/>
      <c r="I265" s="378"/>
      <c r="J265" s="378"/>
      <c r="K265" s="1220"/>
      <c r="L265" s="378"/>
      <c r="M265" s="378"/>
      <c r="N265" s="378" t="str">
        <f>+IF(L265="","",L265*M265)</f>
        <v/>
      </c>
      <c r="O265" s="378" t="str">
        <f>+IF(L265="","",N265*0.1)</f>
        <v/>
      </c>
      <c r="P265" s="378" t="str">
        <f>+IF(L265="","",N265+O265)</f>
        <v/>
      </c>
      <c r="Q265" s="378" t="str">
        <f>IF(L265="","",IFERROR((SUMIFS(TN_balC1_totol,TN_code,D265)+SUMIFS(RC_or_totol,RC_Code,D265,RC_date,"&lt;="&amp;C265)-SUMIFS(RC_zar_totol,RC_Code,D265,RC_date,"&lt;"&amp;C265)) /( SUMIFS(TN_balC1_unit,TN_code,D265)+SUMIFS(RC_or_unit,RC_Code,D265,RC_date,"&lt;="&amp;C265)-SUMIFS(RC_zar_unit,RC_Code,D265,RC_date,"&lt;"&amp;C265)),0 ))</f>
        <v/>
      </c>
      <c r="R265" s="378" t="str">
        <f>+IF(L265="","",L265*Q265)</f>
        <v/>
      </c>
      <c r="S265" s="609">
        <v>510000</v>
      </c>
      <c r="T265" s="378" t="str">
        <f>+IFERROR(VLOOKUP(S265,STAT1!$C$4:$D$189,2,FALSE),"")</f>
        <v>Үндсэн үйл ажиллагааны борлуулалт</v>
      </c>
      <c r="U265" s="1225"/>
      <c r="V265" s="1216">
        <v>210000.00314740001</v>
      </c>
      <c r="W265" s="326">
        <v>4002</v>
      </c>
      <c r="X265" s="328" t="str">
        <f>IFERROR(VLOOKUP(W265,DATA!$G$4:$H$400,2,FALSE),"")</f>
        <v xml:space="preserve">Хувь хүн </v>
      </c>
      <c r="Y265" s="1205"/>
      <c r="Z265" s="1205"/>
      <c r="AA265" s="1205"/>
    </row>
    <row r="266" spans="1:27" ht="12.75" customHeight="1">
      <c r="A266" s="15">
        <v>69</v>
      </c>
      <c r="B266" s="369">
        <f t="shared" si="82"/>
        <v>261</v>
      </c>
      <c r="C266" s="427">
        <v>42822</v>
      </c>
      <c r="D266" s="426"/>
      <c r="E266" s="425" t="str">
        <f ca="1">+IFERROR(VLOOKUP(D266,TN_table,2,FALSE),"")</f>
        <v/>
      </c>
      <c r="F266" s="428" t="str">
        <f ca="1">+IFERROR(VLOOKUP(D266,TN_table,3,FALSE),"")</f>
        <v/>
      </c>
      <c r="G266" s="378"/>
      <c r="H266" s="378"/>
      <c r="I266" s="378"/>
      <c r="J266" s="378"/>
      <c r="K266" s="1220"/>
      <c r="L266" s="378"/>
      <c r="M266" s="378"/>
      <c r="N266" s="378" t="str">
        <f>+IF(L266="","",L266*M266)</f>
        <v/>
      </c>
      <c r="O266" s="378" t="str">
        <f>+IF(L266="","",N266*0.1)</f>
        <v/>
      </c>
      <c r="P266" s="378" t="str">
        <f>+IF(L266="","",N266+O266)</f>
        <v/>
      </c>
      <c r="Q266" s="378" t="str">
        <f>IF(L266="","",IFERROR((SUMIFS(TN_balC1_totol,TN_code,D266)+SUMIFS(RC_or_totol,RC_Code,D266,RC_date,"&lt;="&amp;C266)-SUMIFS(RC_zar_totol,RC_Code,D266,RC_date,"&lt;"&amp;C266)) /( SUMIFS(TN_balC1_unit,TN_code,D266)+SUMIFS(RC_or_unit,RC_Code,D266,RC_date,"&lt;="&amp;C266)-SUMIFS(RC_zar_unit,RC_Code,D266,RC_date,"&lt;"&amp;C266)),0 ))</f>
        <v/>
      </c>
      <c r="R266" s="378" t="str">
        <f>+IF(L266="","",L266*Q266)</f>
        <v/>
      </c>
      <c r="S266" s="609">
        <v>320100</v>
      </c>
      <c r="T266" s="378" t="str">
        <f>+IFERROR(VLOOKUP(S266,STAT1!$C$4:$D$189,2,FALSE),"")</f>
        <v>Урьдчилж орсон орлого MNT</v>
      </c>
      <c r="U266" s="1225">
        <v>231000.00346214001</v>
      </c>
      <c r="V266" s="1216"/>
      <c r="W266" s="326">
        <v>4002</v>
      </c>
      <c r="X266" s="328" t="str">
        <f>IFERROR(VLOOKUP(W266,DATA!$G$4:$H$400,2,FALSE),"")</f>
        <v xml:space="preserve">Хувь хүн </v>
      </c>
      <c r="Y266" s="1205"/>
      <c r="Z266" s="1205"/>
      <c r="AA266" s="1205"/>
    </row>
    <row r="267" spans="1:27" ht="12.75" customHeight="1">
      <c r="A267" s="15">
        <v>70</v>
      </c>
      <c r="B267" s="369">
        <f t="shared" si="82"/>
        <v>262</v>
      </c>
      <c r="C267" s="427">
        <v>42823</v>
      </c>
      <c r="D267" s="426">
        <v>211713</v>
      </c>
      <c r="E267" s="425" t="str">
        <f ca="1">+IFERROR(VLOOKUP(D267,TN_table,2,FALSE),"")</f>
        <v>Н-Хавтан /зузаан-2см/</v>
      </c>
      <c r="F267" s="428" t="str">
        <f ca="1">+IFERROR(VLOOKUP(D267,TN_table,3,FALSE),"")</f>
        <v>м2</v>
      </c>
      <c r="G267" s="378"/>
      <c r="H267" s="378"/>
      <c r="I267" s="378"/>
      <c r="J267" s="378"/>
      <c r="K267" s="1220"/>
      <c r="L267" s="378">
        <v>8.5</v>
      </c>
      <c r="M267" s="378">
        <v>30000</v>
      </c>
      <c r="N267" s="378">
        <f>+IF(L267="","",L267*M267)</f>
        <v>255000</v>
      </c>
      <c r="O267" s="378">
        <f>+IF(L267="","",N267*0.1)</f>
        <v>25500</v>
      </c>
      <c r="P267" s="378">
        <f>+IF(L267="","",N267+O267)</f>
        <v>280500</v>
      </c>
      <c r="Q267" s="378">
        <f ca="1">IF(L267="","",IFERROR((SUMIFS(TN_balC1_totol,TN_code,D267)+SUMIFS(RC_or_totol,RC_Code,D267,RC_date,"&lt;="&amp;C267)-SUMIFS(RC_zar_totol,RC_Code,D267,RC_date,"&lt;"&amp;C267)) /( SUMIFS(TN_balC1_unit,TN_code,D267)+SUMIFS(RC_or_unit,RC_Code,D267,RC_date,"&lt;="&amp;C267)-SUMIFS(RC_zar_unit,RC_Code,D267,RC_date,"&lt;"&amp;C267)),0 ))</f>
        <v>22742.855938686207</v>
      </c>
      <c r="R267" s="378">
        <f ca="1">+IF(L267="","",L267*Q267)</f>
        <v>193314.27547883277</v>
      </c>
      <c r="S267" s="609">
        <v>150101</v>
      </c>
      <c r="T267" s="378" t="str">
        <f>+IFERROR(VLOOKUP(S267,STAT1!$C$4:$D$189,2,FALSE),"")</f>
        <v>Бараа бэлэн бүтээгдэхүүн БОЛОВСРУУЛАХ ЦЕХ /нарс/</v>
      </c>
      <c r="U267" s="1225"/>
      <c r="V267" s="1216">
        <v>193314.27547883301</v>
      </c>
      <c r="W267" s="326">
        <v>3022</v>
      </c>
      <c r="X267" s="328" t="str">
        <f>IFERROR(VLOOKUP(W267,DATA!$G$4:$H$400,2,FALSE),"")</f>
        <v xml:space="preserve">ИННОМН ХХК </v>
      </c>
      <c r="Y267" s="1205"/>
      <c r="Z267" s="1205"/>
      <c r="AA267" s="1205"/>
    </row>
    <row r="268" spans="1:27" ht="12.75" customHeight="1">
      <c r="A268" s="15">
        <v>70</v>
      </c>
      <c r="B268" s="369">
        <f t="shared" si="82"/>
        <v>263</v>
      </c>
      <c r="C268" s="427">
        <v>42823</v>
      </c>
      <c r="D268" s="426"/>
      <c r="E268" s="425"/>
      <c r="F268" s="428"/>
      <c r="G268" s="378"/>
      <c r="H268" s="378"/>
      <c r="I268" s="378"/>
      <c r="J268" s="378"/>
      <c r="K268" s="1220"/>
      <c r="L268" s="378"/>
      <c r="M268" s="378"/>
      <c r="N268" s="378"/>
      <c r="O268" s="378"/>
      <c r="P268" s="378"/>
      <c r="Q268" s="378"/>
      <c r="R268" s="378"/>
      <c r="S268" s="609">
        <v>610100</v>
      </c>
      <c r="T268" s="378" t="str">
        <f>+IFERROR(VLOOKUP(S268,STAT1!$C$4:$D$189,2,FALSE),"")</f>
        <v>Борлуулсан барааны өртөг</v>
      </c>
      <c r="U268" s="1225">
        <v>193314.27547883277</v>
      </c>
      <c r="V268" s="1216"/>
      <c r="W268" s="326">
        <v>3022</v>
      </c>
      <c r="X268" s="328" t="str">
        <f>IFERROR(VLOOKUP(W268,DATA!$G$4:$H$400,2,FALSE),"")</f>
        <v xml:space="preserve">ИННОМН ХХК </v>
      </c>
      <c r="Y268" s="1205"/>
      <c r="Z268" s="1205"/>
      <c r="AA268" s="1205"/>
    </row>
    <row r="269" spans="1:27" ht="12.75" customHeight="1">
      <c r="A269" s="15">
        <v>70</v>
      </c>
      <c r="B269" s="369">
        <f t="shared" si="82"/>
        <v>264</v>
      </c>
      <c r="C269" s="427">
        <v>42823</v>
      </c>
      <c r="D269" s="426"/>
      <c r="E269" s="425" t="str">
        <f ca="1">+IFERROR(VLOOKUP(D269,TN_table,2,FALSE),"")</f>
        <v/>
      </c>
      <c r="F269" s="428" t="str">
        <f ca="1">+IFERROR(VLOOKUP(D269,TN_table,3,FALSE),"")</f>
        <v/>
      </c>
      <c r="G269" s="378"/>
      <c r="H269" s="378"/>
      <c r="I269" s="378"/>
      <c r="J269" s="378"/>
      <c r="K269" s="1220"/>
      <c r="L269" s="378"/>
      <c r="M269" s="378"/>
      <c r="N269" s="378" t="str">
        <f>+IF(L269="","",L269*M269)</f>
        <v/>
      </c>
      <c r="O269" s="378" t="str">
        <f>+IF(L269="","",N269*0.1)</f>
        <v/>
      </c>
      <c r="P269" s="378" t="str">
        <f>+IF(L269="","",N269+O269)</f>
        <v/>
      </c>
      <c r="Q269" s="378" t="str">
        <f>IF(L269="","",IFERROR((SUMIFS(TN_balC1_totol,TN_code,D269)+SUMIFS(RC_or_totol,RC_Code,D269,RC_date,"&lt;="&amp;C269)-SUMIFS(RC_zar_totol,RC_Code,D269,RC_date,"&lt;"&amp;C269)) /( SUMIFS(TN_balC1_unit,TN_code,D269)+SUMIFS(RC_or_unit,RC_Code,D269,RC_date,"&lt;="&amp;C269)-SUMIFS(RC_zar_unit,RC_Code,D269,RC_date,"&lt;"&amp;C269)),0 ))</f>
        <v/>
      </c>
      <c r="R269" s="378" t="str">
        <f>+IF(L269="","",L269*Q269)</f>
        <v/>
      </c>
      <c r="S269" s="609">
        <v>310500</v>
      </c>
      <c r="T269" s="378" t="str">
        <f>+IFERROR(VLOOKUP(S269,STAT1!$C$4:$D$189,2,FALSE),"")</f>
        <v>НӨАТ өглөг</v>
      </c>
      <c r="U269" s="1225"/>
      <c r="V269" s="1216">
        <v>25500</v>
      </c>
      <c r="W269" s="326">
        <v>3022</v>
      </c>
      <c r="X269" s="328" t="str">
        <f>IFERROR(VLOOKUP(W269,DATA!$G$4:$H$400,2,FALSE),"")</f>
        <v xml:space="preserve">ИННОМН ХХК </v>
      </c>
      <c r="Y269" s="1205"/>
      <c r="Z269" s="1205"/>
      <c r="AA269" s="1205"/>
    </row>
    <row r="270" spans="1:27" ht="12.75" customHeight="1">
      <c r="A270" s="15">
        <v>70</v>
      </c>
      <c r="B270" s="369">
        <f t="shared" si="82"/>
        <v>265</v>
      </c>
      <c r="C270" s="427">
        <v>42823</v>
      </c>
      <c r="D270" s="426"/>
      <c r="E270" s="425" t="str">
        <f ca="1">+IFERROR(VLOOKUP(D270,TN_table,2,FALSE),"")</f>
        <v/>
      </c>
      <c r="F270" s="428" t="str">
        <f ca="1">+IFERROR(VLOOKUP(D270,TN_table,3,FALSE),"")</f>
        <v/>
      </c>
      <c r="G270" s="378"/>
      <c r="H270" s="378"/>
      <c r="I270" s="378"/>
      <c r="J270" s="378"/>
      <c r="K270" s="1220"/>
      <c r="L270" s="378"/>
      <c r="M270" s="378"/>
      <c r="N270" s="378" t="str">
        <f>+IF(L270="","",L270*M270)</f>
        <v/>
      </c>
      <c r="O270" s="378" t="str">
        <f>+IF(L270="","",N270*0.1)</f>
        <v/>
      </c>
      <c r="P270" s="378" t="str">
        <f>+IF(L270="","",N270+O270)</f>
        <v/>
      </c>
      <c r="Q270" s="378" t="str">
        <f>IF(L270="","",IFERROR((SUMIFS(TN_balC1_totol,TN_code,D270)+SUMIFS(RC_or_totol,RC_Code,D270,RC_date,"&lt;="&amp;C270)-SUMIFS(RC_zar_totol,RC_Code,D270,RC_date,"&lt;"&amp;C270)) /( SUMIFS(TN_balC1_unit,TN_code,D270)+SUMIFS(RC_or_unit,RC_Code,D270,RC_date,"&lt;="&amp;C270)-SUMIFS(RC_zar_unit,RC_Code,D270,RC_date,"&lt;"&amp;C270)),0 ))</f>
        <v/>
      </c>
      <c r="R270" s="378" t="str">
        <f>+IF(L270="","",L270*Q270)</f>
        <v/>
      </c>
      <c r="S270" s="609">
        <v>510000</v>
      </c>
      <c r="T270" s="378" t="str">
        <f>+IFERROR(VLOOKUP(S270,STAT1!$C$4:$D$189,2,FALSE),"")</f>
        <v>Үндсэн үйл ажиллагааны борлуулалт</v>
      </c>
      <c r="U270" s="1225"/>
      <c r="V270" s="1216">
        <v>255000</v>
      </c>
      <c r="W270" s="326">
        <v>3022</v>
      </c>
      <c r="X270" s="328" t="str">
        <f>IFERROR(VLOOKUP(W270,DATA!$G$4:$H$400,2,FALSE),"")</f>
        <v xml:space="preserve">ИННОМН ХХК </v>
      </c>
      <c r="Y270" s="1205"/>
      <c r="Z270" s="1205"/>
      <c r="AA270" s="1205"/>
    </row>
    <row r="271" spans="1:27" ht="12.75" customHeight="1">
      <c r="A271" s="15">
        <v>70</v>
      </c>
      <c r="B271" s="369">
        <f t="shared" si="82"/>
        <v>266</v>
      </c>
      <c r="C271" s="427">
        <v>42823</v>
      </c>
      <c r="D271" s="426"/>
      <c r="E271" s="425" t="str">
        <f ca="1">+IFERROR(VLOOKUP(D271,TN_table,2,FALSE),"")</f>
        <v/>
      </c>
      <c r="F271" s="428" t="str">
        <f ca="1">+IFERROR(VLOOKUP(D271,TN_table,3,FALSE),"")</f>
        <v/>
      </c>
      <c r="G271" s="378"/>
      <c r="H271" s="378"/>
      <c r="I271" s="378"/>
      <c r="J271" s="378"/>
      <c r="K271" s="1220"/>
      <c r="L271" s="378"/>
      <c r="M271" s="378"/>
      <c r="N271" s="378" t="str">
        <f>+IF(L271="","",L271*M271)</f>
        <v/>
      </c>
      <c r="O271" s="378" t="str">
        <f>+IF(L271="","",N271*0.1)</f>
        <v/>
      </c>
      <c r="P271" s="378" t="str">
        <f>+IF(L271="","",N271+O271)</f>
        <v/>
      </c>
      <c r="Q271" s="378" t="str">
        <f>IF(L271="","",IFERROR((SUMIFS(TN_balC1_totol,TN_code,D271)+SUMIFS(RC_or_totol,RC_Code,D271,RC_date,"&lt;="&amp;C271)-SUMIFS(RC_zar_totol,RC_Code,D271,RC_date,"&lt;"&amp;C271)) /( SUMIFS(TN_balC1_unit,TN_code,D271)+SUMIFS(RC_or_unit,RC_Code,D271,RC_date,"&lt;="&amp;C271)-SUMIFS(RC_zar_unit,RC_Code,D271,RC_date,"&lt;"&amp;C271)),0 ))</f>
        <v/>
      </c>
      <c r="R271" s="378" t="str">
        <f>+IF(L271="","",L271*Q271)</f>
        <v/>
      </c>
      <c r="S271" s="609">
        <v>320100</v>
      </c>
      <c r="T271" s="378" t="str">
        <f>+IFERROR(VLOOKUP(S271,STAT1!$C$4:$D$189,2,FALSE),"")</f>
        <v>Урьдчилж орсон орлого MNT</v>
      </c>
      <c r="U271" s="1225">
        <v>280500</v>
      </c>
      <c r="V271" s="1216"/>
      <c r="W271" s="326">
        <v>3022</v>
      </c>
      <c r="X271" s="328" t="str">
        <f>IFERROR(VLOOKUP(W271,DATA!$G$4:$H$400,2,FALSE),"")</f>
        <v xml:space="preserve">ИННОМН ХХК </v>
      </c>
      <c r="Y271" s="1205"/>
      <c r="Z271" s="1205"/>
      <c r="AA271" s="1205"/>
    </row>
    <row r="272" spans="1:27" s="1205" customFormat="1" ht="12.75" customHeight="1">
      <c r="A272" s="621">
        <v>71</v>
      </c>
      <c r="B272" s="369">
        <f t="shared" si="82"/>
        <v>267</v>
      </c>
      <c r="C272" s="427">
        <v>42826</v>
      </c>
      <c r="D272" s="426">
        <v>410317</v>
      </c>
      <c r="E272" s="425" t="str">
        <f ca="1">+IFERROR(VLOOKUP(D272,TN_table,2,FALSE),"")</f>
        <v xml:space="preserve">Кабелийн номер </v>
      </c>
      <c r="F272" s="428" t="str">
        <f ca="1">+IFERROR(VLOOKUP(D272,TN_table,3,FALSE),"")</f>
        <v>ш</v>
      </c>
      <c r="G272" s="378"/>
      <c r="H272" s="378"/>
      <c r="I272" s="378"/>
      <c r="J272" s="378"/>
      <c r="K272" s="1220"/>
      <c r="L272" s="378">
        <v>3</v>
      </c>
      <c r="M272" s="378"/>
      <c r="N272" s="378">
        <f>+IF(L272="","",L272*M272)</f>
        <v>0</v>
      </c>
      <c r="O272" s="378">
        <f>+IF(L272="","",N272*0.1)</f>
        <v>0</v>
      </c>
      <c r="P272" s="378">
        <f>+IF(L272="","",N272+O272)</f>
        <v>0</v>
      </c>
      <c r="Q272" s="378">
        <f ca="1">IF(L272="","",IFERROR((SUMIFS(TN_balC1_totol,TN_code,D272)+SUMIFS(RC_or_totol,RC_Code,D272,RC_date,"&lt;="&amp;C272)-SUMIFS(RC_zar_totol,RC_Code,D272,RC_date,"&lt;"&amp;C272)) /( SUMIFS(TN_balC1_unit,TN_code,D272)+SUMIFS(RC_or_unit,RC_Code,D272,RC_date,"&lt;="&amp;C272)-SUMIFS(RC_zar_unit,RC_Code,D272,RC_date,"&lt;"&amp;C272)),0 ))</f>
        <v>90181.82</v>
      </c>
      <c r="R272" s="378">
        <f ca="1">+IF(L272="","",L272*Q272)</f>
        <v>270545.46000000002</v>
      </c>
      <c r="S272" s="609">
        <v>150101</v>
      </c>
      <c r="T272" s="378" t="str">
        <f>+IFERROR(VLOOKUP(S272,STAT1!$C$4:$D$189,2,FALSE),"")</f>
        <v>Бараа бэлэн бүтээгдэхүүн БОЛОВСРУУЛАХ ЦЕХ /нарс/</v>
      </c>
      <c r="U272" s="1225">
        <v>270545.46000000002</v>
      </c>
      <c r="V272" s="1216"/>
      <c r="W272" s="326">
        <v>1006</v>
      </c>
      <c r="X272" s="328" t="str">
        <f>IFERROR(VLOOKUP(W272,DATA!$G$4:$H$400,2,FALSE),"")</f>
        <v>Оюундэлгэр /нярав/</v>
      </c>
    </row>
    <row r="273" spans="1:27" ht="12.75" customHeight="1">
      <c r="A273" s="621">
        <v>71</v>
      </c>
      <c r="B273" s="369">
        <f t="shared" si="82"/>
        <v>268</v>
      </c>
      <c r="C273" s="427">
        <v>42826</v>
      </c>
      <c r="D273" s="426"/>
      <c r="E273" s="425"/>
      <c r="F273" s="428"/>
      <c r="G273" s="378"/>
      <c r="H273" s="378"/>
      <c r="I273" s="378"/>
      <c r="J273" s="378"/>
      <c r="K273" s="1220"/>
      <c r="L273" s="378"/>
      <c r="M273" s="378"/>
      <c r="N273" s="378"/>
      <c r="O273" s="378"/>
      <c r="P273" s="378"/>
      <c r="Q273" s="378"/>
      <c r="R273" s="378"/>
      <c r="S273" s="602">
        <v>160100</v>
      </c>
      <c r="T273" s="378" t="str">
        <f>+IFERROR(VLOOKUP(S273,STAT1!$C$4:$D$189,2,FALSE),"")</f>
        <v xml:space="preserve">Барилгын материал </v>
      </c>
      <c r="U273" s="1225"/>
      <c r="V273" s="1216">
        <v>270545.46000000002</v>
      </c>
      <c r="W273" s="326">
        <v>1006</v>
      </c>
      <c r="X273" s="328" t="str">
        <f>IFERROR(VLOOKUP(W273,DATA!$G$4:$H$400,2,FALSE),"")</f>
        <v>Оюундэлгэр /нярав/</v>
      </c>
      <c r="Y273" s="1205"/>
      <c r="Z273" s="1205"/>
      <c r="AA273" s="1205"/>
    </row>
    <row r="274" spans="1:27" ht="12.75" customHeight="1">
      <c r="A274" s="15">
        <v>72</v>
      </c>
      <c r="B274" s="369">
        <f t="shared" si="82"/>
        <v>269</v>
      </c>
      <c r="C274" s="427">
        <v>42826</v>
      </c>
      <c r="D274" s="426">
        <v>410327</v>
      </c>
      <c r="E274" s="425" t="str">
        <f t="shared" ref="E274:E287" ca="1" si="83">+IFERROR(VLOOKUP(D274,TN_table,2,FALSE),"")</f>
        <v xml:space="preserve">Хайрга </v>
      </c>
      <c r="F274" s="428" t="str">
        <f t="shared" ref="F274:F288" ca="1" si="84">+IFERROR(VLOOKUP(D274,TN_table,3,FALSE),"")</f>
        <v>м3</v>
      </c>
      <c r="G274" s="378"/>
      <c r="H274" s="378"/>
      <c r="I274" s="378"/>
      <c r="J274" s="378"/>
      <c r="K274" s="1220"/>
      <c r="L274" s="378">
        <v>52</v>
      </c>
      <c r="M274" s="378"/>
      <c r="N274" s="378">
        <f t="shared" ref="N274:N282" si="85">+IF(L274="","",L274*M274)</f>
        <v>0</v>
      </c>
      <c r="O274" s="378">
        <f t="shared" ref="O274:O282" si="86">+IF(L274="","",N274*0.1)</f>
        <v>0</v>
      </c>
      <c r="P274" s="378">
        <f t="shared" ref="P274:P282" si="87">+IF(L274="","",N274+O274)</f>
        <v>0</v>
      </c>
      <c r="Q274" s="378">
        <f t="shared" ref="Q274:Q282" ca="1" si="88">IF(L274="","",IFERROR((SUMIFS(TN_balC1_totol,TN_code,D274)+SUMIFS(RC_or_totol,RC_Code,D274,RC_date,"&lt;="&amp;C274)-SUMIFS(RC_zar_totol,RC_Code,D274,RC_date,"&lt;"&amp;C274)) /( SUMIFS(TN_balC1_unit,TN_code,D274)+SUMIFS(RC_or_unit,RC_Code,D274,RC_date,"&lt;="&amp;C274)-SUMIFS(RC_zar_unit,RC_Code,D274,RC_date,"&lt;"&amp;C274)),0 ))</f>
        <v>19737.766538461539</v>
      </c>
      <c r="R274" s="378">
        <f t="shared" ref="R274:R282" ca="1" si="89">+IF(L274="","",L274*Q274)</f>
        <v>1026363.8600000001</v>
      </c>
      <c r="S274" s="602">
        <v>140401</v>
      </c>
      <c r="T274" s="378" t="str">
        <f>+IFERROR(VLOOKUP(S274,STAT1!$C$4:$D$189,2,FALSE),"")</f>
        <v>ҮНЗардал БОЛОВСРУУЛАХ ЦЕХ /нарс/</v>
      </c>
      <c r="U274" s="1225">
        <v>1026363.8600000001</v>
      </c>
      <c r="V274" s="1216"/>
      <c r="W274" s="326">
        <v>1006</v>
      </c>
      <c r="X274" s="328" t="str">
        <f>IFERROR(VLOOKUP(W274,DATA!$G$4:$H$400,2,FALSE),"")</f>
        <v>Оюундэлгэр /нярав/</v>
      </c>
      <c r="Y274" s="1205"/>
      <c r="Z274" s="1205"/>
      <c r="AA274" s="1205"/>
    </row>
    <row r="275" spans="1:27" ht="12.75" customHeight="1">
      <c r="A275" s="15">
        <v>72</v>
      </c>
      <c r="B275" s="369">
        <f t="shared" si="82"/>
        <v>270</v>
      </c>
      <c r="C275" s="427">
        <v>42826</v>
      </c>
      <c r="D275" s="426"/>
      <c r="E275" s="425" t="str">
        <f t="shared" ca="1" si="83"/>
        <v/>
      </c>
      <c r="F275" s="428" t="str">
        <f t="shared" ca="1" si="84"/>
        <v/>
      </c>
      <c r="G275" s="378"/>
      <c r="H275" s="378"/>
      <c r="I275" s="378"/>
      <c r="J275" s="378"/>
      <c r="K275" s="1220"/>
      <c r="L275" s="378"/>
      <c r="M275" s="378"/>
      <c r="N275" s="378" t="str">
        <f t="shared" si="85"/>
        <v/>
      </c>
      <c r="O275" s="378" t="str">
        <f t="shared" si="86"/>
        <v/>
      </c>
      <c r="P275" s="378" t="str">
        <f t="shared" si="87"/>
        <v/>
      </c>
      <c r="Q275" s="378" t="str">
        <f t="shared" si="88"/>
        <v/>
      </c>
      <c r="R275" s="378" t="str">
        <f t="shared" si="89"/>
        <v/>
      </c>
      <c r="S275" s="602">
        <v>160100</v>
      </c>
      <c r="T275" s="378" t="str">
        <f>+IFERROR(VLOOKUP(S275,STAT1!$C$4:$D$189,2,FALSE),"")</f>
        <v xml:space="preserve">Барилгын материал </v>
      </c>
      <c r="U275" s="1225"/>
      <c r="V275" s="1216">
        <v>1026363.8600000001</v>
      </c>
      <c r="W275" s="326">
        <v>1006</v>
      </c>
      <c r="X275" s="328" t="str">
        <f>IFERROR(VLOOKUP(W275,DATA!$G$4:$H$400,2,FALSE),"")</f>
        <v>Оюундэлгэр /нярав/</v>
      </c>
      <c r="Y275" s="1205"/>
      <c r="Z275" s="1205"/>
      <c r="AA275" s="1205"/>
    </row>
    <row r="276" spans="1:27" ht="12.75" customHeight="1">
      <c r="A276" s="15">
        <v>73</v>
      </c>
      <c r="B276" s="369">
        <f t="shared" si="82"/>
        <v>271</v>
      </c>
      <c r="C276" s="427">
        <v>42826</v>
      </c>
      <c r="D276" s="426">
        <v>211503</v>
      </c>
      <c r="E276" s="425" t="str">
        <f t="shared" ca="1" si="83"/>
        <v>Н-Евровагонка /зузаан-1.2см/</v>
      </c>
      <c r="F276" s="428" t="str">
        <f t="shared" ca="1" si="84"/>
        <v>м2</v>
      </c>
      <c r="G276" s="378">
        <v>1500</v>
      </c>
      <c r="H276" s="378">
        <v>12083.539646666666</v>
      </c>
      <c r="I276" s="378">
        <f t="shared" ref="I276:I287" si="90">+IF(G276="","",G276*H276)</f>
        <v>18125309.469999999</v>
      </c>
      <c r="J276" s="378"/>
      <c r="K276" s="1220">
        <f t="shared" ref="K276:K287" si="91">+IF(G276="","",I276+J276)</f>
        <v>18125309.469999999</v>
      </c>
      <c r="L276" s="378"/>
      <c r="M276" s="378"/>
      <c r="N276" s="378" t="str">
        <f t="shared" si="85"/>
        <v/>
      </c>
      <c r="O276" s="378" t="str">
        <f t="shared" si="86"/>
        <v/>
      </c>
      <c r="P276" s="378" t="str">
        <f t="shared" si="87"/>
        <v/>
      </c>
      <c r="Q276" s="378" t="str">
        <f t="shared" si="88"/>
        <v/>
      </c>
      <c r="R276" s="378" t="str">
        <f t="shared" si="89"/>
        <v/>
      </c>
      <c r="S276" s="602">
        <v>150101</v>
      </c>
      <c r="T276" s="378" t="str">
        <f>+IFERROR(VLOOKUP(S276,STAT1!$C$4:$D$189,2,FALSE),"")</f>
        <v>Бараа бэлэн бүтээгдэхүүн БОЛОВСРУУЛАХ ЦЕХ /нарс/</v>
      </c>
      <c r="U276" s="1225">
        <v>178934565.5</v>
      </c>
      <c r="V276" s="1216"/>
      <c r="W276" s="326">
        <v>1006</v>
      </c>
      <c r="X276" s="328" t="str">
        <f>IFERROR(VLOOKUP(W276,DATA!$G$4:$H$400,2,FALSE),"")</f>
        <v>Оюундэлгэр /нярав/</v>
      </c>
      <c r="Y276" s="1205"/>
      <c r="Z276" s="1205"/>
      <c r="AA276" s="1205"/>
    </row>
    <row r="277" spans="1:27" ht="12.75" customHeight="1">
      <c r="A277" s="15">
        <v>73</v>
      </c>
      <c r="B277" s="369">
        <f t="shared" si="82"/>
        <v>272</v>
      </c>
      <c r="C277" s="427">
        <v>42826</v>
      </c>
      <c r="D277" s="426">
        <v>211710</v>
      </c>
      <c r="E277" s="425" t="str">
        <f t="shared" ca="1" si="83"/>
        <v xml:space="preserve">Н-Хавтан /зузаан-3см/-яртай </v>
      </c>
      <c r="F277" s="428" t="str">
        <f t="shared" ca="1" si="84"/>
        <v>м2</v>
      </c>
      <c r="G277" s="378">
        <v>450</v>
      </c>
      <c r="H277" s="378">
        <v>30208.849111551935</v>
      </c>
      <c r="I277" s="378">
        <f t="shared" si="90"/>
        <v>13593982.100198371</v>
      </c>
      <c r="J277" s="378"/>
      <c r="K277" s="1220">
        <f t="shared" si="91"/>
        <v>13593982.100198371</v>
      </c>
      <c r="L277" s="378"/>
      <c r="M277" s="378"/>
      <c r="N277" s="378" t="str">
        <f t="shared" si="85"/>
        <v/>
      </c>
      <c r="O277" s="378" t="str">
        <f t="shared" si="86"/>
        <v/>
      </c>
      <c r="P277" s="378" t="str">
        <f t="shared" si="87"/>
        <v/>
      </c>
      <c r="Q277" s="378" t="str">
        <f t="shared" si="88"/>
        <v/>
      </c>
      <c r="R277" s="378" t="str">
        <f t="shared" si="89"/>
        <v/>
      </c>
      <c r="S277" s="602">
        <v>140501</v>
      </c>
      <c r="T277" s="378" t="str">
        <f>+IFERROR(VLOOKUP(S277,STAT1!$C$4:$D$189,2,FALSE),"")</f>
        <v>Нэгтгэл зардал БОЛОВСРУУЛАХ ЦЕХ /нарс/</v>
      </c>
      <c r="U277" s="1225"/>
      <c r="V277" s="1216">
        <v>178934565.5</v>
      </c>
      <c r="W277" s="326">
        <v>1006</v>
      </c>
      <c r="X277" s="328" t="str">
        <f>IFERROR(VLOOKUP(W277,DATA!$G$4:$H$400,2,FALSE),"")</f>
        <v>Оюундэлгэр /нярав/</v>
      </c>
      <c r="Y277" s="1205"/>
      <c r="Z277" s="1205"/>
      <c r="AA277" s="1205"/>
    </row>
    <row r="278" spans="1:27" ht="12.75" customHeight="1">
      <c r="A278" s="15">
        <v>73</v>
      </c>
      <c r="B278" s="369">
        <f t="shared" si="82"/>
        <v>273</v>
      </c>
      <c r="C278" s="427">
        <v>42826</v>
      </c>
      <c r="D278" s="426">
        <v>211715</v>
      </c>
      <c r="E278" s="425" t="str">
        <f t="shared" ca="1" si="83"/>
        <v>Н-Хавтан /зузаан-1.8см/</v>
      </c>
      <c r="F278" s="428" t="str">
        <f t="shared" ca="1" si="84"/>
        <v>м2</v>
      </c>
      <c r="G278" s="378">
        <v>2500</v>
      </c>
      <c r="H278" s="378">
        <v>18125.309466931161</v>
      </c>
      <c r="I278" s="378">
        <f t="shared" si="90"/>
        <v>45313273.667327903</v>
      </c>
      <c r="J278" s="378"/>
      <c r="K278" s="1220">
        <f t="shared" si="91"/>
        <v>45313273.667327903</v>
      </c>
      <c r="L278" s="378"/>
      <c r="M278" s="378"/>
      <c r="N278" s="378" t="str">
        <f t="shared" si="85"/>
        <v/>
      </c>
      <c r="O278" s="378" t="str">
        <f t="shared" si="86"/>
        <v/>
      </c>
      <c r="P278" s="378" t="str">
        <f t="shared" si="87"/>
        <v/>
      </c>
      <c r="Q278" s="378" t="str">
        <f t="shared" si="88"/>
        <v/>
      </c>
      <c r="R278" s="378" t="str">
        <f t="shared" si="89"/>
        <v/>
      </c>
      <c r="S278" s="602"/>
      <c r="T278" s="378" t="str">
        <f>+IFERROR(VLOOKUP(S278,STAT1!$C$4:$D$189,2,FALSE),"")</f>
        <v/>
      </c>
      <c r="U278" s="1225"/>
      <c r="V278" s="1216"/>
      <c r="W278" s="326">
        <v>1006</v>
      </c>
      <c r="X278" s="328" t="str">
        <f>IFERROR(VLOOKUP(W278,DATA!$G$4:$H$400,2,FALSE),"")</f>
        <v>Оюундэлгэр /нярав/</v>
      </c>
      <c r="Y278" s="1205"/>
      <c r="Z278" s="1205"/>
      <c r="AA278" s="1205"/>
    </row>
    <row r="279" spans="1:27" ht="12.75" customHeight="1">
      <c r="A279" s="15">
        <v>73</v>
      </c>
      <c r="B279" s="369">
        <f t="shared" si="82"/>
        <v>274</v>
      </c>
      <c r="C279" s="427">
        <v>42826</v>
      </c>
      <c r="D279" s="426">
        <v>211713</v>
      </c>
      <c r="E279" s="425" t="str">
        <f t="shared" ca="1" si="83"/>
        <v>Н-Хавтан /зузаан-2см/</v>
      </c>
      <c r="F279" s="428" t="str">
        <f t="shared" ca="1" si="84"/>
        <v>м2</v>
      </c>
      <c r="G279" s="378">
        <v>1500</v>
      </c>
      <c r="H279" s="378">
        <v>20139.232741034626</v>
      </c>
      <c r="I279" s="378">
        <f t="shared" si="90"/>
        <v>30208849.11155194</v>
      </c>
      <c r="J279" s="378"/>
      <c r="K279" s="1220">
        <f t="shared" si="91"/>
        <v>30208849.11155194</v>
      </c>
      <c r="L279" s="378"/>
      <c r="M279" s="378"/>
      <c r="N279" s="378" t="str">
        <f t="shared" si="85"/>
        <v/>
      </c>
      <c r="O279" s="378" t="str">
        <f t="shared" si="86"/>
        <v/>
      </c>
      <c r="P279" s="378" t="str">
        <f t="shared" si="87"/>
        <v/>
      </c>
      <c r="Q279" s="378" t="str">
        <f t="shared" si="88"/>
        <v/>
      </c>
      <c r="R279" s="378" t="str">
        <f t="shared" si="89"/>
        <v/>
      </c>
      <c r="S279" s="602"/>
      <c r="T279" s="378" t="str">
        <f>+IFERROR(VLOOKUP(S279,STAT1!$C$4:$D$189,2,FALSE),"")</f>
        <v/>
      </c>
      <c r="U279" s="1225"/>
      <c r="V279" s="1216"/>
      <c r="W279" s="326">
        <v>1006</v>
      </c>
      <c r="X279" s="328" t="str">
        <f>IFERROR(VLOOKUP(W279,DATA!$G$4:$H$400,2,FALSE),"")</f>
        <v>Оюундэлгэр /нярав/</v>
      </c>
      <c r="Y279" s="1205"/>
      <c r="Z279" s="1205"/>
      <c r="AA279" s="1205"/>
    </row>
    <row r="280" spans="1:27" ht="12.75" customHeight="1">
      <c r="A280" s="15">
        <v>73</v>
      </c>
      <c r="B280" s="369">
        <f t="shared" si="82"/>
        <v>275</v>
      </c>
      <c r="C280" s="427">
        <v>42826</v>
      </c>
      <c r="D280" s="426">
        <v>211714</v>
      </c>
      <c r="E280" s="425" t="str">
        <f t="shared" ca="1" si="83"/>
        <v xml:space="preserve">Н-Хавтан /зузаан-2см/-яртай </v>
      </c>
      <c r="F280" s="428" t="str">
        <f t="shared" ca="1" si="84"/>
        <v>м2</v>
      </c>
      <c r="G280" s="378">
        <v>1500</v>
      </c>
      <c r="H280" s="378">
        <v>18125.309466931161</v>
      </c>
      <c r="I280" s="378">
        <f t="shared" si="90"/>
        <v>27187964.200396743</v>
      </c>
      <c r="J280" s="378"/>
      <c r="K280" s="1220">
        <f t="shared" si="91"/>
        <v>27187964.200396743</v>
      </c>
      <c r="L280" s="378"/>
      <c r="M280" s="378"/>
      <c r="N280" s="378" t="str">
        <f t="shared" si="85"/>
        <v/>
      </c>
      <c r="O280" s="378" t="str">
        <f t="shared" si="86"/>
        <v/>
      </c>
      <c r="P280" s="378" t="str">
        <f t="shared" si="87"/>
        <v/>
      </c>
      <c r="Q280" s="378" t="str">
        <f t="shared" si="88"/>
        <v/>
      </c>
      <c r="R280" s="378" t="str">
        <f t="shared" si="89"/>
        <v/>
      </c>
      <c r="S280" s="602"/>
      <c r="T280" s="378" t="str">
        <f>+IFERROR(VLOOKUP(S280,STAT1!$C$4:$D$189,2,FALSE),"")</f>
        <v/>
      </c>
      <c r="U280" s="1225"/>
      <c r="V280" s="1216"/>
      <c r="W280" s="326">
        <v>1006</v>
      </c>
      <c r="X280" s="328" t="str">
        <f>IFERROR(VLOOKUP(W280,DATA!$G$4:$H$400,2,FALSE),"")</f>
        <v>Оюундэлгэр /нярав/</v>
      </c>
      <c r="Y280" s="1205"/>
      <c r="Z280" s="1205"/>
      <c r="AA280" s="1205"/>
    </row>
    <row r="281" spans="1:27" ht="12.75" customHeight="1">
      <c r="A281" s="15">
        <v>73</v>
      </c>
      <c r="B281" s="369">
        <f t="shared" si="82"/>
        <v>276</v>
      </c>
      <c r="C281" s="427">
        <v>42826</v>
      </c>
      <c r="D281" s="426">
        <v>211401</v>
      </c>
      <c r="E281" s="425" t="str">
        <f t="shared" ca="1" si="83"/>
        <v xml:space="preserve">Н-Блок Хаус  /4.3*16.5см/-яртай </v>
      </c>
      <c r="F281" s="428" t="str">
        <f t="shared" ca="1" si="84"/>
        <v>м2</v>
      </c>
      <c r="G281" s="378">
        <v>253</v>
      </c>
      <c r="H281" s="378">
        <v>45313.273667327907</v>
      </c>
      <c r="I281" s="378">
        <f t="shared" si="90"/>
        <v>11464258.23783396</v>
      </c>
      <c r="J281" s="378"/>
      <c r="K281" s="1220">
        <f t="shared" si="91"/>
        <v>11464258.23783396</v>
      </c>
      <c r="L281" s="378"/>
      <c r="M281" s="378"/>
      <c r="N281" s="378" t="str">
        <f t="shared" si="85"/>
        <v/>
      </c>
      <c r="O281" s="378" t="str">
        <f t="shared" si="86"/>
        <v/>
      </c>
      <c r="P281" s="378" t="str">
        <f t="shared" si="87"/>
        <v/>
      </c>
      <c r="Q281" s="378" t="str">
        <f t="shared" si="88"/>
        <v/>
      </c>
      <c r="R281" s="378" t="str">
        <f t="shared" si="89"/>
        <v/>
      </c>
      <c r="S281" s="602"/>
      <c r="T281" s="378" t="str">
        <f>+IFERROR(VLOOKUP(S281,STAT1!$C$4:$D$189,2,FALSE),"")</f>
        <v/>
      </c>
      <c r="U281" s="1225"/>
      <c r="V281" s="1216"/>
      <c r="W281" s="326">
        <v>1006</v>
      </c>
      <c r="X281" s="328" t="str">
        <f>IFERROR(VLOOKUP(W281,DATA!$G$4:$H$400,2,FALSE),"")</f>
        <v>Оюундэлгэр /нярав/</v>
      </c>
      <c r="Y281" s="1205"/>
      <c r="Z281" s="1205"/>
      <c r="AA281" s="1205"/>
    </row>
    <row r="282" spans="1:27" ht="12.75" customHeight="1">
      <c r="A282" s="15">
        <v>73</v>
      </c>
      <c r="B282" s="369">
        <f t="shared" si="82"/>
        <v>277</v>
      </c>
      <c r="C282" s="427">
        <v>42826</v>
      </c>
      <c r="D282" s="426">
        <v>211801</v>
      </c>
      <c r="E282" s="425" t="str">
        <f t="shared" ca="1" si="83"/>
        <v>Н-Ембүү /20*30мм/</v>
      </c>
      <c r="F282" s="428" t="str">
        <f t="shared" ca="1" si="84"/>
        <v>м</v>
      </c>
      <c r="G282" s="378">
        <v>6800</v>
      </c>
      <c r="H282" s="378">
        <v>604.17698223103866</v>
      </c>
      <c r="I282" s="378">
        <f t="shared" si="90"/>
        <v>4108403.4791710628</v>
      </c>
      <c r="J282" s="378"/>
      <c r="K282" s="1220">
        <f t="shared" si="91"/>
        <v>4108403.4791710628</v>
      </c>
      <c r="L282" s="378"/>
      <c r="M282" s="378"/>
      <c r="N282" s="378" t="str">
        <f t="shared" si="85"/>
        <v/>
      </c>
      <c r="O282" s="378" t="str">
        <f t="shared" si="86"/>
        <v/>
      </c>
      <c r="P282" s="378" t="str">
        <f t="shared" si="87"/>
        <v/>
      </c>
      <c r="Q282" s="378" t="str">
        <f t="shared" si="88"/>
        <v/>
      </c>
      <c r="R282" s="378" t="str">
        <f t="shared" si="89"/>
        <v/>
      </c>
      <c r="S282" s="602"/>
      <c r="T282" s="378" t="str">
        <f>+IFERROR(VLOOKUP(S282,STAT1!$C$4:$D$189,2,FALSE),"")</f>
        <v/>
      </c>
      <c r="U282" s="1225"/>
      <c r="V282" s="1216"/>
      <c r="W282" s="326">
        <v>1006</v>
      </c>
      <c r="X282" s="328" t="str">
        <f>IFERROR(VLOOKUP(W282,DATA!$G$4:$H$400,2,FALSE),"")</f>
        <v>Оюундэлгэр /нярав/</v>
      </c>
      <c r="Y282" s="1205"/>
      <c r="Z282" s="1205"/>
      <c r="AA282" s="1205"/>
    </row>
    <row r="283" spans="1:27" ht="12.75" customHeight="1">
      <c r="A283" s="15">
        <v>73</v>
      </c>
      <c r="B283" s="369">
        <f t="shared" si="82"/>
        <v>278</v>
      </c>
      <c r="C283" s="427">
        <v>42826</v>
      </c>
      <c r="D283" s="426">
        <v>211504</v>
      </c>
      <c r="E283" s="425" t="str">
        <f t="shared" ca="1" si="83"/>
        <v xml:space="preserve">Н-Евровагонка /зузаан-1.2см/-яртай </v>
      </c>
      <c r="F283" s="428" t="str">
        <f t="shared" ca="1" si="84"/>
        <v>м2</v>
      </c>
      <c r="G283" s="378">
        <v>1700</v>
      </c>
      <c r="H283" s="378">
        <v>12083.539644620774</v>
      </c>
      <c r="I283" s="378">
        <f t="shared" si="90"/>
        <v>20542017.395855315</v>
      </c>
      <c r="J283" s="378"/>
      <c r="K283" s="1220">
        <f t="shared" si="91"/>
        <v>20542017.395855315</v>
      </c>
      <c r="L283" s="378"/>
      <c r="M283" s="378"/>
      <c r="N283" s="378"/>
      <c r="O283" s="378"/>
      <c r="P283" s="378"/>
      <c r="Q283" s="378"/>
      <c r="R283" s="378"/>
      <c r="S283" s="602"/>
      <c r="T283" s="378"/>
      <c r="U283" s="1225"/>
      <c r="V283" s="1216"/>
      <c r="W283" s="326">
        <v>1006</v>
      </c>
      <c r="X283" s="328" t="str">
        <f>IFERROR(VLOOKUP(W283,DATA!$G$4:$H$400,2,FALSE),"")</f>
        <v>Оюундэлгэр /нярав/</v>
      </c>
      <c r="Y283" s="1205"/>
      <c r="Z283" s="1205"/>
      <c r="AA283" s="1205"/>
    </row>
    <row r="284" spans="1:27" ht="12.75" customHeight="1">
      <c r="A284" s="15">
        <v>73</v>
      </c>
      <c r="B284" s="369">
        <f t="shared" si="82"/>
        <v>279</v>
      </c>
      <c r="C284" s="427">
        <v>42826</v>
      </c>
      <c r="D284" s="426">
        <v>211802</v>
      </c>
      <c r="E284" s="425" t="str">
        <f t="shared" ca="1" si="83"/>
        <v xml:space="preserve">Н-Уголок </v>
      </c>
      <c r="F284" s="428" t="str">
        <f t="shared" ca="1" si="84"/>
        <v>м</v>
      </c>
      <c r="G284" s="378">
        <v>7500</v>
      </c>
      <c r="H284" s="378">
        <v>1118.7343787644734</v>
      </c>
      <c r="I284" s="378">
        <f t="shared" si="90"/>
        <v>8390507.8407335505</v>
      </c>
      <c r="J284" s="378"/>
      <c r="K284" s="1220">
        <f t="shared" si="91"/>
        <v>8390507.8407335505</v>
      </c>
      <c r="L284" s="378"/>
      <c r="M284" s="378"/>
      <c r="N284" s="378" t="str">
        <f>+IF(L284="","",L284*M284)</f>
        <v/>
      </c>
      <c r="O284" s="378" t="str">
        <f>+IF(L284="","",N284*0.1)</f>
        <v/>
      </c>
      <c r="P284" s="378" t="str">
        <f>+IF(L284="","",N284+O284)</f>
        <v/>
      </c>
      <c r="Q284" s="378" t="str">
        <f>IF(L284="","",IFERROR((SUMIFS(TN_balC1_totol,TN_code,D284)+SUMIFS(RC_or_totol,RC_Code,D284,RC_date,"&lt;="&amp;C284)-SUMIFS(RC_zar_totol,RC_Code,D284,RC_date,"&lt;"&amp;C284)) /( SUMIFS(TN_balC1_unit,TN_code,D284)+SUMIFS(RC_or_unit,RC_Code,D284,RC_date,"&lt;="&amp;C284)-SUMIFS(RC_zar_unit,RC_Code,D284,RC_date,"&lt;"&amp;C284)),0 ))</f>
        <v/>
      </c>
      <c r="R284" s="378" t="str">
        <f>+IF(L284="","",L284*Q284)</f>
        <v/>
      </c>
      <c r="S284" s="602"/>
      <c r="T284" s="378" t="str">
        <f>+IFERROR(VLOOKUP(S284,STAT1!$C$4:$D$189,2,FALSE),"")</f>
        <v/>
      </c>
      <c r="U284" s="1225"/>
      <c r="V284" s="1216"/>
      <c r="W284" s="326">
        <v>1006</v>
      </c>
      <c r="X284" s="328" t="str">
        <f>IFERROR(VLOOKUP(W284,DATA!$G$4:$H$400,2,FALSE),"")</f>
        <v>Оюундэлгэр /нярав/</v>
      </c>
      <c r="Y284" s="1205"/>
      <c r="Z284" s="1205"/>
      <c r="AA284" s="1205"/>
    </row>
    <row r="285" spans="1:27" ht="12.75" customHeight="1">
      <c r="A285" s="15">
        <v>74</v>
      </c>
      <c r="B285" s="369">
        <f t="shared" si="82"/>
        <v>280</v>
      </c>
      <c r="C285" s="427">
        <v>42827</v>
      </c>
      <c r="D285" s="426">
        <v>410001</v>
      </c>
      <c r="E285" s="425" t="str">
        <f t="shared" ca="1" si="83"/>
        <v xml:space="preserve">Квадрат төмөр </v>
      </c>
      <c r="F285" s="428" t="str">
        <f t="shared" ca="1" si="84"/>
        <v>м</v>
      </c>
      <c r="G285" s="378">
        <v>110</v>
      </c>
      <c r="H285" s="378">
        <v>95867.768595041314</v>
      </c>
      <c r="I285" s="378">
        <f t="shared" si="90"/>
        <v>10545454.545454545</v>
      </c>
      <c r="J285" s="378">
        <f>+IF(G285="","",I285*0.1)</f>
        <v>1054545.4545454546</v>
      </c>
      <c r="K285" s="1220">
        <f t="shared" si="91"/>
        <v>11600000</v>
      </c>
      <c r="L285" s="1220">
        <v>0</v>
      </c>
      <c r="M285" s="378"/>
      <c r="N285" s="378">
        <f>+IF(L285="","",L285*M285)</f>
        <v>0</v>
      </c>
      <c r="O285" s="378">
        <f>+IF(L285="","",N285*0.1)</f>
        <v>0</v>
      </c>
      <c r="P285" s="378">
        <f>+IF(L285="","",N285+O285)</f>
        <v>0</v>
      </c>
      <c r="Q285" s="378">
        <f ca="1">IF(L285="","",IFERROR((SUMIFS(TN_balC1_totol,TN_code,D285)+SUMIFS(RC_or_totol,RC_Code,D285,RC_date,"&lt;="&amp;C285)-SUMIFS(RC_zar_totol,RC_Code,D285,RC_date,"&lt;"&amp;C285)) /( SUMIFS(TN_balC1_unit,TN_code,D285)+SUMIFS(RC_or_unit,RC_Code,D285,RC_date,"&lt;="&amp;C285)-SUMIFS(RC_zar_unit,RC_Code,D285,RC_date,"&lt;"&amp;C285)),0 ))</f>
        <v>95867.768595041314</v>
      </c>
      <c r="R285" s="378">
        <f ca="1">+IF(L285="","",L285*Q285)</f>
        <v>0</v>
      </c>
      <c r="S285" s="602">
        <v>160100</v>
      </c>
      <c r="T285" s="378" t="str">
        <f>+IFERROR(VLOOKUP(S285,STAT1!$C$4:$D$189,2,FALSE),"")</f>
        <v xml:space="preserve">Барилгын материал </v>
      </c>
      <c r="U285" s="1225">
        <v>10545454.545454545</v>
      </c>
      <c r="V285" s="1216"/>
      <c r="W285" s="326">
        <v>3016</v>
      </c>
      <c r="X285" s="328" t="str">
        <f>IFERROR(VLOOKUP(W285,DATA!$G$4:$H$400,2,FALSE),"")</f>
        <v xml:space="preserve">СТИЙЛ АРТ ХХК </v>
      </c>
      <c r="Y285" s="1205"/>
      <c r="Z285" s="1205"/>
      <c r="AA285" s="1205"/>
    </row>
    <row r="286" spans="1:27" ht="12.75" customHeight="1">
      <c r="A286" s="15">
        <v>74</v>
      </c>
      <c r="B286" s="369">
        <f t="shared" si="82"/>
        <v>281</v>
      </c>
      <c r="C286" s="427">
        <v>42827</v>
      </c>
      <c r="D286" s="426"/>
      <c r="E286" s="425" t="str">
        <f t="shared" ca="1" si="83"/>
        <v/>
      </c>
      <c r="F286" s="428" t="str">
        <f t="shared" ca="1" si="84"/>
        <v/>
      </c>
      <c r="G286" s="378"/>
      <c r="H286" s="378"/>
      <c r="I286" s="378" t="str">
        <f t="shared" si="90"/>
        <v/>
      </c>
      <c r="J286" s="378" t="str">
        <f>+IF(G286="","",I286*0.1)</f>
        <v/>
      </c>
      <c r="K286" s="1220" t="str">
        <f t="shared" si="91"/>
        <v/>
      </c>
      <c r="L286" s="378"/>
      <c r="M286" s="378"/>
      <c r="N286" s="378" t="str">
        <f>+IF(L286="","",L286*M286)</f>
        <v/>
      </c>
      <c r="O286" s="378" t="str">
        <f>+IF(L286="","",N286*0.1)</f>
        <v/>
      </c>
      <c r="P286" s="378" t="str">
        <f>+IF(L286="","",N286+O286)</f>
        <v/>
      </c>
      <c r="Q286" s="378" t="str">
        <f>IF(L286="","",IFERROR((SUMIFS(TN_balC1_totol,TN_code,D286)+SUMIFS(RC_or_totol,RC_Code,D286,RC_date,"&lt;="&amp;C286)-SUMIFS(RC_zar_totol,RC_Code,D286,RC_date,"&lt;"&amp;C286)) /( SUMIFS(TN_balC1_unit,TN_code,D286)+SUMIFS(RC_or_unit,RC_Code,D286,RC_date,"&lt;="&amp;C286)-SUMIFS(RC_zar_unit,RC_Code,D286,RC_date,"&lt;"&amp;C286)),0 ))</f>
        <v/>
      </c>
      <c r="R286" s="378" t="str">
        <f>+IF(L286="","",L286*Q286)</f>
        <v/>
      </c>
      <c r="S286" s="602">
        <v>120600</v>
      </c>
      <c r="T286" s="378" t="str">
        <f>+IFERROR(VLOOKUP(S286,STAT1!$C$4:$D$189,2,FALSE),"")</f>
        <v>НӨАТ авлага</v>
      </c>
      <c r="U286" s="1225">
        <v>1054545.4545454546</v>
      </c>
      <c r="V286" s="1216"/>
      <c r="W286" s="326">
        <v>3016</v>
      </c>
      <c r="X286" s="328" t="str">
        <f>IFERROR(VLOOKUP(W286,DATA!$G$4:$H$400,2,FALSE),"")</f>
        <v xml:space="preserve">СТИЙЛ АРТ ХХК </v>
      </c>
      <c r="Y286" s="1205"/>
      <c r="Z286" s="1205"/>
      <c r="AA286" s="1205"/>
    </row>
    <row r="287" spans="1:27" ht="12.75" customHeight="1">
      <c r="A287" s="15">
        <v>74</v>
      </c>
      <c r="B287" s="369">
        <f t="shared" si="82"/>
        <v>282</v>
      </c>
      <c r="C287" s="427">
        <v>42827</v>
      </c>
      <c r="D287" s="426"/>
      <c r="E287" s="425" t="str">
        <f t="shared" ca="1" si="83"/>
        <v/>
      </c>
      <c r="F287" s="428" t="str">
        <f t="shared" ca="1" si="84"/>
        <v/>
      </c>
      <c r="G287" s="378"/>
      <c r="H287" s="378"/>
      <c r="I287" s="378" t="str">
        <f t="shared" si="90"/>
        <v/>
      </c>
      <c r="J287" s="378" t="str">
        <f>+IF(G287="","",I287*0.1)</f>
        <v/>
      </c>
      <c r="K287" s="1220" t="str">
        <f t="shared" si="91"/>
        <v/>
      </c>
      <c r="L287" s="378"/>
      <c r="M287" s="378"/>
      <c r="N287" s="378" t="str">
        <f>+IF(L287="","",L287*M287)</f>
        <v/>
      </c>
      <c r="O287" s="378" t="str">
        <f>+IF(L287="","",N287*0.1)</f>
        <v/>
      </c>
      <c r="P287" s="378" t="str">
        <f>+IF(L287="","",N287+O287)</f>
        <v/>
      </c>
      <c r="Q287" s="378" t="str">
        <f>IF(L287="","",IFERROR((SUMIFS(TN_balC1_totol,TN_code,D287)+SUMIFS(RC_or_totol,RC_Code,D287,RC_date,"&lt;="&amp;C287)-SUMIFS(RC_zar_totol,RC_Code,D287,RC_date,"&lt;"&amp;C287)) /( SUMIFS(TN_balC1_unit,TN_code,D287)+SUMIFS(RC_or_unit,RC_Code,D287,RC_date,"&lt;="&amp;C287)-SUMIFS(RC_zar_unit,RC_Code,D287,RC_date,"&lt;"&amp;C287)),0 ))</f>
        <v/>
      </c>
      <c r="R287" s="378" t="str">
        <f>+IF(L287="","",L287*Q287)</f>
        <v/>
      </c>
      <c r="S287" s="602">
        <v>120100</v>
      </c>
      <c r="T287" s="378" t="str">
        <f>+IFERROR(VLOOKUP(S287,STAT1!$C$4:$D$189,2,FALSE),"")</f>
        <v xml:space="preserve">Дансны авлага MNT </v>
      </c>
      <c r="U287" s="1225"/>
      <c r="V287" s="1216">
        <v>11600000</v>
      </c>
      <c r="W287" s="326">
        <v>3016</v>
      </c>
      <c r="X287" s="328" t="str">
        <f>IFERROR(VLOOKUP(W287,DATA!$G$4:$H$400,2,FALSE),"")</f>
        <v xml:space="preserve">СТИЙЛ АРТ ХХК </v>
      </c>
      <c r="Y287" s="1205"/>
      <c r="Z287" s="1205"/>
      <c r="AA287" s="1205"/>
    </row>
    <row r="288" spans="1:27" ht="12.75" customHeight="1">
      <c r="A288" s="15">
        <v>75</v>
      </c>
      <c r="B288" s="369">
        <f t="shared" si="82"/>
        <v>283</v>
      </c>
      <c r="C288" s="427">
        <v>42828</v>
      </c>
      <c r="D288" s="426">
        <v>131001</v>
      </c>
      <c r="E288" s="425" t="s">
        <v>1647</v>
      </c>
      <c r="F288" s="428" t="str">
        <f t="shared" ca="1" si="84"/>
        <v>м3</v>
      </c>
      <c r="G288" s="378"/>
      <c r="H288" s="378"/>
      <c r="I288" s="378"/>
      <c r="J288" s="378"/>
      <c r="K288" s="1220"/>
      <c r="L288" s="378">
        <v>184.78</v>
      </c>
      <c r="M288" s="378"/>
      <c r="N288" s="378">
        <f>+IF(L288="","",L288*M288)</f>
        <v>0</v>
      </c>
      <c r="O288" s="378">
        <f>+IF(L288="","",N288*0.1)</f>
        <v>0</v>
      </c>
      <c r="P288" s="378">
        <f>+IF(L288="","",N288+O288)</f>
        <v>0</v>
      </c>
      <c r="Q288" s="378">
        <f ca="1">IF(L288="","",IFERROR((SUMIFS(TN_balC1_totol,TN_code,D288)+SUMIFS(RC_or_totol,RC_Code,D288,RC_date,"&lt;="&amp;C288)-SUMIFS(RC_zar_totol,RC_Code,D288,RC_date,"&lt;"&amp;C288)) /( SUMIFS(TN_balC1_unit,TN_code,D288)+SUMIFS(RC_or_unit,RC_Code,D288,RC_date,"&lt;="&amp;C288)-SUMIFS(RC_zar_unit,RC_Code,D288,RC_date,"&lt;"&amp;C288)),0 ))</f>
        <v>436904.43</v>
      </c>
      <c r="R288" s="378">
        <f ca="1">+IF(L288="","",L288*Q288)</f>
        <v>80731200.575399995</v>
      </c>
      <c r="S288" s="602">
        <v>140200</v>
      </c>
      <c r="T288" s="378" t="str">
        <f>+IFERROR(VLOOKUP(S288,STAT1!$C$4:$D$189,2,FALSE),"")</f>
        <v>ШМЗардал ХАТААХ ЦЕХ /нарс/</v>
      </c>
      <c r="U288" s="1225">
        <v>80731200.575399995</v>
      </c>
      <c r="V288" s="1216"/>
      <c r="W288" s="326">
        <v>1006</v>
      </c>
      <c r="X288" s="328" t="str">
        <f>IFERROR(VLOOKUP(W288,DATA!$G$4:$H$400,2,FALSE),"")</f>
        <v>Оюундэлгэр /нярав/</v>
      </c>
      <c r="Y288" s="1205"/>
      <c r="Z288" s="1205"/>
      <c r="AA288" s="1205"/>
    </row>
    <row r="289" spans="1:27" ht="12.75" customHeight="1">
      <c r="A289" s="15">
        <v>75</v>
      </c>
      <c r="B289" s="369">
        <f t="shared" si="82"/>
        <v>284</v>
      </c>
      <c r="C289" s="427">
        <v>42828</v>
      </c>
      <c r="D289" s="426"/>
      <c r="E289" s="425"/>
      <c r="F289" s="428"/>
      <c r="G289" s="378"/>
      <c r="H289" s="378"/>
      <c r="I289" s="378"/>
      <c r="J289" s="378"/>
      <c r="K289" s="1220"/>
      <c r="L289" s="378"/>
      <c r="M289" s="378"/>
      <c r="N289" s="378"/>
      <c r="O289" s="378"/>
      <c r="P289" s="378"/>
      <c r="Q289" s="378"/>
      <c r="R289" s="378"/>
      <c r="S289" s="602">
        <v>140100</v>
      </c>
      <c r="T289" s="378" t="str">
        <f>+IFERROR(VLOOKUP(S289,STAT1!$C$4:$D$189,2,FALSE),"")</f>
        <v>Түүхий эд материал</v>
      </c>
      <c r="U289" s="1225"/>
      <c r="V289" s="1216">
        <v>80731200.575399995</v>
      </c>
      <c r="W289" s="326">
        <v>1006</v>
      </c>
      <c r="X289" s="328" t="str">
        <f>IFERROR(VLOOKUP(W289,DATA!$G$4:$H$400,2,FALSE),"")</f>
        <v>Оюундэлгэр /нярав/</v>
      </c>
      <c r="Y289" s="1205"/>
      <c r="Z289" s="1205"/>
      <c r="AA289" s="1205"/>
    </row>
    <row r="290" spans="1:27" ht="12.75" customHeight="1">
      <c r="A290" s="15">
        <v>76</v>
      </c>
      <c r="B290" s="369">
        <f t="shared" si="82"/>
        <v>285</v>
      </c>
      <c r="C290" s="427">
        <v>42828</v>
      </c>
      <c r="D290" s="426">
        <v>131022</v>
      </c>
      <c r="E290" s="425" t="s">
        <v>1649</v>
      </c>
      <c r="F290" s="428" t="str">
        <f ca="1">+IFERROR(VLOOKUP(D290,TN_table,3,FALSE),"")</f>
        <v>м3</v>
      </c>
      <c r="G290" s="378"/>
      <c r="H290" s="378"/>
      <c r="I290" s="378"/>
      <c r="J290" s="378"/>
      <c r="K290" s="1220"/>
      <c r="L290" s="378">
        <v>132.19999999999999</v>
      </c>
      <c r="M290" s="378"/>
      <c r="N290" s="378">
        <f>+IF(L290="","",L290*M290)</f>
        <v>0</v>
      </c>
      <c r="O290" s="378">
        <f>+IF(L290="","",N290*0.1)</f>
        <v>0</v>
      </c>
      <c r="P290" s="378">
        <f>+IF(L290="","",N290+O290)</f>
        <v>0</v>
      </c>
      <c r="Q290" s="378">
        <f ca="1">IF(L290="","",IFERROR((SUMIFS(TN_balC1_totol,TN_code,D290)+SUMIFS(RC_or_totol,RC_Code,D290,RC_date,"&lt;="&amp;C290)-SUMIFS(RC_zar_totol,RC_Code,D290,RC_date,"&lt;"&amp;C290)) /( SUMIFS(TN_balC1_unit,TN_code,D290)+SUMIFS(RC_or_unit,RC_Code,D290,RC_date,"&lt;="&amp;C290)-SUMIFS(RC_zar_unit,RC_Code,D290,RC_date,"&lt;"&amp;C290)),0 ))</f>
        <v>340685.37</v>
      </c>
      <c r="R290" s="378">
        <f ca="1">+IF(L290="","",L290*Q290)</f>
        <v>45038605.913999997</v>
      </c>
      <c r="S290" s="602">
        <v>140200</v>
      </c>
      <c r="T290" s="378" t="str">
        <f>+IFERROR(VLOOKUP(S290,STAT1!$C$4:$D$189,2,FALSE),"")</f>
        <v>ШМЗардал ХАТААХ ЦЕХ /нарс/</v>
      </c>
      <c r="U290" s="1225">
        <v>45038605.913999997</v>
      </c>
      <c r="V290" s="1216"/>
      <c r="W290" s="326">
        <v>1006</v>
      </c>
      <c r="X290" s="328" t="str">
        <f>IFERROR(VLOOKUP(W290,DATA!$G$4:$H$400,2,FALSE),"")</f>
        <v>Оюундэлгэр /нярав/</v>
      </c>
      <c r="Y290" s="1205"/>
      <c r="Z290" s="1205"/>
      <c r="AA290" s="1205"/>
    </row>
    <row r="291" spans="1:27" ht="12.75" customHeight="1">
      <c r="A291" s="15">
        <v>76</v>
      </c>
      <c r="B291" s="369">
        <f t="shared" si="82"/>
        <v>286</v>
      </c>
      <c r="C291" s="427">
        <v>42828</v>
      </c>
      <c r="D291" s="426"/>
      <c r="E291" s="425"/>
      <c r="F291" s="428"/>
      <c r="G291" s="378"/>
      <c r="H291" s="378"/>
      <c r="I291" s="378"/>
      <c r="J291" s="378"/>
      <c r="K291" s="1220"/>
      <c r="L291" s="378"/>
      <c r="M291" s="378"/>
      <c r="N291" s="378"/>
      <c r="O291" s="378"/>
      <c r="P291" s="378"/>
      <c r="Q291" s="378"/>
      <c r="R291" s="378"/>
      <c r="S291" s="602">
        <v>140100</v>
      </c>
      <c r="T291" s="378" t="str">
        <f>+IFERROR(VLOOKUP(S291,STAT1!$C$4:$D$189,2,FALSE),"")</f>
        <v>Түүхий эд материал</v>
      </c>
      <c r="U291" s="1225"/>
      <c r="V291" s="1216">
        <v>45038605.913999997</v>
      </c>
      <c r="W291" s="326">
        <v>1006</v>
      </c>
      <c r="X291" s="328" t="str">
        <f>IFERROR(VLOOKUP(W291,DATA!$G$4:$H$400,2,FALSE),"")</f>
        <v>Оюундэлгэр /нярав/</v>
      </c>
      <c r="Y291" s="1205"/>
      <c r="Z291" s="1205"/>
      <c r="AA291" s="1205"/>
    </row>
    <row r="292" spans="1:27" ht="12.75" customHeight="1">
      <c r="A292" s="15">
        <v>77</v>
      </c>
      <c r="B292" s="369">
        <f t="shared" si="82"/>
        <v>287</v>
      </c>
      <c r="C292" s="427">
        <v>42828</v>
      </c>
      <c r="D292" s="426">
        <v>131027</v>
      </c>
      <c r="E292" s="425" t="s">
        <v>1651</v>
      </c>
      <c r="F292" s="428" t="str">
        <f ca="1">+IFERROR(VLOOKUP(D292,TN_table,3,FALSE),"")</f>
        <v>м3</v>
      </c>
      <c r="G292" s="378"/>
      <c r="H292" s="378"/>
      <c r="I292" s="378"/>
      <c r="J292" s="378"/>
      <c r="K292" s="1220"/>
      <c r="L292" s="378">
        <v>40</v>
      </c>
      <c r="M292" s="378"/>
      <c r="N292" s="378">
        <f>+IF(L292="","",L292*M292)</f>
        <v>0</v>
      </c>
      <c r="O292" s="378">
        <f>+IF(L292="","",N292*0.1)</f>
        <v>0</v>
      </c>
      <c r="P292" s="378">
        <f>+IF(L292="","",N292+O292)</f>
        <v>0</v>
      </c>
      <c r="Q292" s="378">
        <f ca="1">IF(L292="","",IFERROR((SUMIFS(TN_balC1_totol,TN_code,D292)+SUMIFS(RC_or_totol,RC_Code,D292,RC_date,"&lt;="&amp;C292)-SUMIFS(RC_zar_totol,RC_Code,D292,RC_date,"&lt;"&amp;C292)) /( SUMIFS(TN_balC1_unit,TN_code,D292)+SUMIFS(RC_or_unit,RC_Code,D292,RC_date,"&lt;="&amp;C292)-SUMIFS(RC_zar_unit,RC_Code,D292,RC_date,"&lt;"&amp;C292)),0 ))</f>
        <v>272953.09000000003</v>
      </c>
      <c r="R292" s="378">
        <f ca="1">+IF(L292="","",L292*Q292)</f>
        <v>10918123.600000001</v>
      </c>
      <c r="S292" s="602">
        <v>140200</v>
      </c>
      <c r="T292" s="378" t="str">
        <f>+IFERROR(VLOOKUP(S292,STAT1!$C$4:$D$189,2,FALSE),"")</f>
        <v>ШМЗардал ХАТААХ ЦЕХ /нарс/</v>
      </c>
      <c r="U292" s="1225">
        <v>10918123.600000001</v>
      </c>
      <c r="V292" s="1216"/>
      <c r="W292" s="326">
        <v>1006</v>
      </c>
      <c r="X292" s="328" t="str">
        <f>IFERROR(VLOOKUP(W292,DATA!$G$4:$H$400,2,FALSE),"")</f>
        <v>Оюундэлгэр /нярав/</v>
      </c>
      <c r="Y292" s="1205"/>
      <c r="Z292" s="1205"/>
      <c r="AA292" s="1205"/>
    </row>
    <row r="293" spans="1:27" ht="12.75" customHeight="1">
      <c r="A293" s="15">
        <v>77</v>
      </c>
      <c r="B293" s="369">
        <f t="shared" si="82"/>
        <v>288</v>
      </c>
      <c r="C293" s="427">
        <v>42828</v>
      </c>
      <c r="D293" s="426"/>
      <c r="E293" s="425"/>
      <c r="F293" s="428"/>
      <c r="G293" s="378"/>
      <c r="H293" s="378"/>
      <c r="I293" s="378"/>
      <c r="J293" s="378"/>
      <c r="K293" s="1220"/>
      <c r="L293" s="378"/>
      <c r="M293" s="378"/>
      <c r="N293" s="378"/>
      <c r="O293" s="378"/>
      <c r="P293" s="378"/>
      <c r="Q293" s="378"/>
      <c r="R293" s="378"/>
      <c r="S293" s="602">
        <v>140100</v>
      </c>
      <c r="T293" s="378" t="str">
        <f>+IFERROR(VLOOKUP(S293,STAT1!$C$4:$D$189,2,FALSE),"")</f>
        <v>Түүхий эд материал</v>
      </c>
      <c r="U293" s="1225"/>
      <c r="V293" s="1216">
        <v>10918123.600000001</v>
      </c>
      <c r="W293" s="326">
        <v>1006</v>
      </c>
      <c r="X293" s="328" t="str">
        <f>IFERROR(VLOOKUP(W293,DATA!$G$4:$H$400,2,FALSE),"")</f>
        <v>Оюундэлгэр /нярав/</v>
      </c>
      <c r="Y293" s="1205"/>
      <c r="Z293" s="1205"/>
      <c r="AA293" s="1205"/>
    </row>
    <row r="294" spans="1:27" ht="12.75" customHeight="1">
      <c r="A294" s="15">
        <v>78</v>
      </c>
      <c r="B294" s="369">
        <f t="shared" si="82"/>
        <v>289</v>
      </c>
      <c r="C294" s="427">
        <v>42828</v>
      </c>
      <c r="D294" s="426">
        <v>440008</v>
      </c>
      <c r="E294" s="425" t="s">
        <v>1633</v>
      </c>
      <c r="F294" s="428" t="str">
        <f ca="1">+IFERROR(VLOOKUP(D294,TN_table,3,FALSE),"")</f>
        <v>м</v>
      </c>
      <c r="G294" s="378"/>
      <c r="H294" s="378"/>
      <c r="I294" s="378"/>
      <c r="J294" s="378"/>
      <c r="K294" s="1220"/>
      <c r="L294" s="378">
        <v>18.5</v>
      </c>
      <c r="M294" s="378"/>
      <c r="N294" s="378">
        <f>+IF(L294="","",L294*M294)</f>
        <v>0</v>
      </c>
      <c r="O294" s="378">
        <f>+IF(L294="","",N294*0.1)</f>
        <v>0</v>
      </c>
      <c r="P294" s="378">
        <f>+IF(L294="","",N294+O294)</f>
        <v>0</v>
      </c>
      <c r="Q294" s="378">
        <f ca="1">IF(L294="","",IFERROR((SUMIFS(TN_balC1_totol,TN_code,D294)+SUMIFS(RC_or_totol,RC_Code,D294,RC_date,"&lt;="&amp;C294)-SUMIFS(RC_zar_totol,RC_Code,D294,RC_date,"&lt;"&amp;C294)) /( SUMIFS(TN_balC1_unit,TN_code,D294)+SUMIFS(RC_or_unit,RC_Code,D294,RC_date,"&lt;="&amp;C294)-SUMIFS(RC_zar_unit,RC_Code,D294,RC_date,"&lt;"&amp;C294)),0 ))</f>
        <v>10000</v>
      </c>
      <c r="R294" s="378">
        <f ca="1">+IF(L294="","",L294*Q294)</f>
        <v>185000</v>
      </c>
      <c r="S294" s="602">
        <v>140400</v>
      </c>
      <c r="T294" s="378" t="str">
        <f>+IFERROR(VLOOKUP(S294,STAT1!$C$4:$D$189,2,FALSE),"")</f>
        <v>ҮНЗардал ХАТААХ ЦЕХ /нарс/</v>
      </c>
      <c r="U294" s="1225">
        <v>185000</v>
      </c>
      <c r="V294" s="1216"/>
      <c r="W294" s="326">
        <v>1006</v>
      </c>
      <c r="X294" s="328" t="str">
        <f>IFERROR(VLOOKUP(W294,DATA!$G$4:$H$400,2,FALSE),"")</f>
        <v>Оюундэлгэр /нярав/</v>
      </c>
      <c r="Y294" s="1205"/>
      <c r="Z294" s="1205"/>
      <c r="AA294" s="1205"/>
    </row>
    <row r="295" spans="1:27" ht="12.75" customHeight="1">
      <c r="A295" s="15">
        <v>78</v>
      </c>
      <c r="B295" s="369">
        <f t="shared" si="82"/>
        <v>290</v>
      </c>
      <c r="C295" s="427">
        <v>42828</v>
      </c>
      <c r="D295" s="426"/>
      <c r="E295" s="425"/>
      <c r="F295" s="428"/>
      <c r="G295" s="378"/>
      <c r="H295" s="378"/>
      <c r="I295" s="378"/>
      <c r="J295" s="378"/>
      <c r="K295" s="1220"/>
      <c r="L295" s="378"/>
      <c r="M295" s="378"/>
      <c r="N295" s="378"/>
      <c r="O295" s="378"/>
      <c r="P295" s="378"/>
      <c r="Q295" s="378"/>
      <c r="R295" s="378"/>
      <c r="S295" s="602">
        <v>160200</v>
      </c>
      <c r="T295" s="378" t="str">
        <f>+IFERROR(VLOOKUP(S295,STAT1!$C$4:$D$189,2,FALSE),"")</f>
        <v>Агуулахад байгаа материал, хангамж</v>
      </c>
      <c r="U295" s="1225"/>
      <c r="V295" s="1216">
        <v>185000</v>
      </c>
      <c r="W295" s="326">
        <v>1006</v>
      </c>
      <c r="X295" s="328" t="str">
        <f>IFERROR(VLOOKUP(W295,DATA!$G$4:$H$400,2,FALSE),"")</f>
        <v>Оюундэлгэр /нярав/</v>
      </c>
      <c r="Y295" s="1205"/>
      <c r="Z295" s="1205"/>
      <c r="AA295" s="1205"/>
    </row>
    <row r="296" spans="1:27" ht="12.75" customHeight="1">
      <c r="A296" s="15">
        <v>79</v>
      </c>
      <c r="B296" s="369">
        <f t="shared" si="82"/>
        <v>291</v>
      </c>
      <c r="C296" s="427">
        <v>42828</v>
      </c>
      <c r="D296" s="426">
        <v>420058</v>
      </c>
      <c r="E296" s="425" t="s">
        <v>1635</v>
      </c>
      <c r="F296" s="428" t="str">
        <f ca="1">+IFERROR(VLOOKUP(D296,TN_table,3,FALSE),"")</f>
        <v>ш</v>
      </c>
      <c r="G296" s="378"/>
      <c r="H296" s="378"/>
      <c r="I296" s="378"/>
      <c r="J296" s="378"/>
      <c r="K296" s="1220"/>
      <c r="L296" s="378">
        <v>13</v>
      </c>
      <c r="M296" s="378"/>
      <c r="N296" s="378">
        <f>+IF(L296="","",L296*M296)</f>
        <v>0</v>
      </c>
      <c r="O296" s="378">
        <f>+IF(L296="","",N296*0.1)</f>
        <v>0</v>
      </c>
      <c r="P296" s="378">
        <f>+IF(L296="","",N296+O296)</f>
        <v>0</v>
      </c>
      <c r="Q296" s="378">
        <f ca="1">IF(L296="","",IFERROR((SUMIFS(TN_balC1_totol,TN_code,D296)+SUMIFS(RC_or_totol,RC_Code,D296,RC_date,"&lt;="&amp;C296)-SUMIFS(RC_zar_totol,RC_Code,D296,RC_date,"&lt;"&amp;C296)) /( SUMIFS(TN_balC1_unit,TN_code,D296)+SUMIFS(RC_or_unit,RC_Code,D296,RC_date,"&lt;="&amp;C296)-SUMIFS(RC_zar_unit,RC_Code,D296,RC_date,"&lt;"&amp;C296)),0 ))</f>
        <v>61655.73426573426</v>
      </c>
      <c r="R296" s="378">
        <f ca="1">+IF(L296="","",L296*Q296)</f>
        <v>801524.54545454541</v>
      </c>
      <c r="S296" s="602">
        <v>140400</v>
      </c>
      <c r="T296" s="378" t="str">
        <f>+IFERROR(VLOOKUP(S296,STAT1!$C$4:$D$189,2,FALSE),"")</f>
        <v>ҮНЗардал ХАТААХ ЦЕХ /нарс/</v>
      </c>
      <c r="U296" s="1225">
        <v>801524.54545454541</v>
      </c>
      <c r="V296" s="1216"/>
      <c r="W296" s="326">
        <v>1006</v>
      </c>
      <c r="X296" s="328" t="str">
        <f>IFERROR(VLOOKUP(W296,DATA!$G$4:$H$400,2,FALSE),"")</f>
        <v>Оюундэлгэр /нярав/</v>
      </c>
      <c r="Y296" s="1205"/>
      <c r="Z296" s="1205"/>
      <c r="AA296" s="1205"/>
    </row>
    <row r="297" spans="1:27" ht="12.75" customHeight="1">
      <c r="A297" s="15">
        <v>79</v>
      </c>
      <c r="B297" s="369">
        <f t="shared" si="82"/>
        <v>292</v>
      </c>
      <c r="C297" s="427">
        <v>42828</v>
      </c>
      <c r="D297" s="426"/>
      <c r="E297" s="425"/>
      <c r="F297" s="428"/>
      <c r="G297" s="378"/>
      <c r="H297" s="378"/>
      <c r="I297" s="378"/>
      <c r="J297" s="378"/>
      <c r="K297" s="1220"/>
      <c r="L297" s="378"/>
      <c r="M297" s="378"/>
      <c r="N297" s="378"/>
      <c r="O297" s="378"/>
      <c r="P297" s="378"/>
      <c r="Q297" s="378"/>
      <c r="R297" s="378"/>
      <c r="S297" s="602">
        <v>160200</v>
      </c>
      <c r="T297" s="378" t="str">
        <f>+IFERROR(VLOOKUP(S297,STAT1!$C$4:$D$189,2,FALSE),"")</f>
        <v>Агуулахад байгаа материал, хангамж</v>
      </c>
      <c r="U297" s="1225"/>
      <c r="V297" s="1216">
        <v>801524.54545454541</v>
      </c>
      <c r="W297" s="326">
        <v>1006</v>
      </c>
      <c r="X297" s="328" t="str">
        <f>IFERROR(VLOOKUP(W297,DATA!$G$4:$H$400,2,FALSE),"")</f>
        <v>Оюундэлгэр /нярав/</v>
      </c>
      <c r="Y297" s="1205"/>
      <c r="Z297" s="1205"/>
      <c r="AA297" s="1205"/>
    </row>
    <row r="298" spans="1:27" ht="12.75" customHeight="1">
      <c r="A298" s="15">
        <v>80</v>
      </c>
      <c r="B298" s="369">
        <f t="shared" si="82"/>
        <v>293</v>
      </c>
      <c r="C298" s="427">
        <v>42828</v>
      </c>
      <c r="D298" s="426">
        <v>410050</v>
      </c>
      <c r="E298" s="425" t="s">
        <v>1636</v>
      </c>
      <c r="F298" s="428" t="str">
        <f t="shared" ref="F298:F339" ca="1" si="92">+IFERROR(VLOOKUP(D298,TN_table,3,FALSE),"")</f>
        <v>ш</v>
      </c>
      <c r="G298" s="378"/>
      <c r="H298" s="378"/>
      <c r="I298" s="378"/>
      <c r="J298" s="378"/>
      <c r="K298" s="1220"/>
      <c r="L298" s="378">
        <v>206</v>
      </c>
      <c r="M298" s="378"/>
      <c r="N298" s="378">
        <f t="shared" ref="N298:N339" si="93">+IF(L298="","",L298*M298)</f>
        <v>0</v>
      </c>
      <c r="O298" s="378">
        <f t="shared" ref="O298:O339" si="94">+IF(L298="","",N298*0.1)</f>
        <v>0</v>
      </c>
      <c r="P298" s="378">
        <f t="shared" ref="P298:P339" si="95">+IF(L298="","",N298+O298)</f>
        <v>0</v>
      </c>
      <c r="Q298" s="378">
        <f t="shared" ref="Q298:Q339" ca="1" si="96">IF(L298="","",IFERROR((SUMIFS(TN_balC1_totol,TN_code,D298)+SUMIFS(RC_or_totol,RC_Code,D298,RC_date,"&lt;="&amp;C298)-SUMIFS(RC_zar_totol,RC_Code,D298,RC_date,"&lt;"&amp;C298)) /( SUMIFS(TN_balC1_unit,TN_code,D298)+SUMIFS(RC_or_unit,RC_Code,D298,RC_date,"&lt;="&amp;C298)-SUMIFS(RC_zar_unit,RC_Code,D298,RC_date,"&lt;"&amp;C298)),0 ))</f>
        <v>13220.78</v>
      </c>
      <c r="R298" s="378">
        <f t="shared" ref="R298:R339" ca="1" si="97">+IF(L298="","",L298*Q298)</f>
        <v>2723480.68</v>
      </c>
      <c r="S298" s="602">
        <v>140400</v>
      </c>
      <c r="T298" s="378" t="str">
        <f>+IFERROR(VLOOKUP(S298,STAT1!$C$4:$D$189,2,FALSE),"")</f>
        <v>ҮНЗардал ХАТААХ ЦЕХ /нарс/</v>
      </c>
      <c r="U298" s="1225">
        <v>2723480.68</v>
      </c>
      <c r="V298" s="1216"/>
      <c r="W298" s="326">
        <v>1006</v>
      </c>
      <c r="X298" s="328" t="str">
        <f>IFERROR(VLOOKUP(W298,DATA!$G$4:$H$400,2,FALSE),"")</f>
        <v>Оюундэлгэр /нярав/</v>
      </c>
      <c r="Y298" s="1205"/>
      <c r="Z298" s="1205"/>
      <c r="AA298" s="1205"/>
    </row>
    <row r="299" spans="1:27" ht="12.75" customHeight="1">
      <c r="A299" s="15">
        <v>80</v>
      </c>
      <c r="B299" s="369">
        <f t="shared" si="82"/>
        <v>294</v>
      </c>
      <c r="C299" s="427">
        <v>42828</v>
      </c>
      <c r="D299" s="426"/>
      <c r="E299" s="425" t="str">
        <f t="shared" ref="E299:E339" ca="1" si="98">+IFERROR(VLOOKUP(D299,TN_table,2,FALSE),"")</f>
        <v/>
      </c>
      <c r="F299" s="428" t="str">
        <f t="shared" ca="1" si="92"/>
        <v/>
      </c>
      <c r="G299" s="378"/>
      <c r="H299" s="378"/>
      <c r="I299" s="378"/>
      <c r="J299" s="378"/>
      <c r="K299" s="1220"/>
      <c r="L299" s="378"/>
      <c r="M299" s="378"/>
      <c r="N299" s="378" t="str">
        <f t="shared" si="93"/>
        <v/>
      </c>
      <c r="O299" s="378" t="str">
        <f t="shared" si="94"/>
        <v/>
      </c>
      <c r="P299" s="378" t="str">
        <f t="shared" si="95"/>
        <v/>
      </c>
      <c r="Q299" s="378" t="str">
        <f t="shared" si="96"/>
        <v/>
      </c>
      <c r="R299" s="378" t="str">
        <f t="shared" si="97"/>
        <v/>
      </c>
      <c r="S299" s="602">
        <v>160100</v>
      </c>
      <c r="T299" s="378" t="str">
        <f>+IFERROR(VLOOKUP(S299,STAT1!$C$4:$D$189,2,FALSE),"")</f>
        <v xml:space="preserve">Барилгын материал </v>
      </c>
      <c r="U299" s="1225"/>
      <c r="V299" s="1216">
        <v>2723480.68</v>
      </c>
      <c r="W299" s="326">
        <v>1006</v>
      </c>
      <c r="X299" s="328" t="str">
        <f>IFERROR(VLOOKUP(W299,DATA!$G$4:$H$400,2,FALSE),"")</f>
        <v>Оюундэлгэр /нярав/</v>
      </c>
      <c r="Y299" s="1205"/>
      <c r="Z299" s="1205"/>
      <c r="AA299" s="1205"/>
    </row>
    <row r="300" spans="1:27" ht="12.75" customHeight="1">
      <c r="A300" s="15">
        <v>81</v>
      </c>
      <c r="B300" s="369">
        <f t="shared" si="82"/>
        <v>295</v>
      </c>
      <c r="C300" s="427">
        <v>42832</v>
      </c>
      <c r="D300" s="426">
        <v>211504</v>
      </c>
      <c r="E300" s="425" t="str">
        <f t="shared" ca="1" si="98"/>
        <v xml:space="preserve">Н-Евровагонка /зузаан-1.2см/-яртай </v>
      </c>
      <c r="F300" s="428" t="str">
        <f t="shared" ca="1" si="92"/>
        <v>м2</v>
      </c>
      <c r="G300" s="378"/>
      <c r="H300" s="378"/>
      <c r="I300" s="378"/>
      <c r="J300" s="378"/>
      <c r="K300" s="1220"/>
      <c r="L300" s="378">
        <v>18.89</v>
      </c>
      <c r="M300" s="378">
        <v>17998.940999999999</v>
      </c>
      <c r="N300" s="378">
        <f t="shared" si="93"/>
        <v>339999.99549</v>
      </c>
      <c r="O300" s="378">
        <f t="shared" si="94"/>
        <v>33999.999549</v>
      </c>
      <c r="P300" s="378">
        <f t="shared" si="95"/>
        <v>373999.995039</v>
      </c>
      <c r="Q300" s="378">
        <f t="shared" ca="1" si="96"/>
        <v>10540.117978141456</v>
      </c>
      <c r="R300" s="378">
        <f t="shared" ca="1" si="97"/>
        <v>199102.82860709212</v>
      </c>
      <c r="S300" s="602">
        <v>150101</v>
      </c>
      <c r="T300" s="378" t="str">
        <f>+IFERROR(VLOOKUP(S300,STAT1!$C$4:$D$189,2,FALSE),"")</f>
        <v>Бараа бэлэн бүтээгдэхүүн БОЛОВСРУУЛАХ ЦЕХ /нарс/</v>
      </c>
      <c r="U300" s="1225"/>
      <c r="V300" s="1216">
        <v>199102.82860709212</v>
      </c>
      <c r="W300" s="326">
        <v>3057</v>
      </c>
      <c r="X300" s="328" t="str">
        <f>IFERROR(VLOOKUP(W300,DATA!$G$4:$H$400,2,FALSE),"")</f>
        <v>ЕНТҮМ ТРЭЙВЭЛ ХХК</v>
      </c>
      <c r="Y300" s="1205"/>
      <c r="Z300" s="1205"/>
      <c r="AA300" s="1205"/>
    </row>
    <row r="301" spans="1:27" ht="12.75" customHeight="1">
      <c r="A301" s="15">
        <v>81</v>
      </c>
      <c r="B301" s="369">
        <f t="shared" si="82"/>
        <v>296</v>
      </c>
      <c r="C301" s="427">
        <v>42832</v>
      </c>
      <c r="D301" s="426"/>
      <c r="E301" s="425" t="str">
        <f t="shared" ca="1" si="98"/>
        <v/>
      </c>
      <c r="F301" s="428" t="str">
        <f t="shared" ca="1" si="92"/>
        <v/>
      </c>
      <c r="G301" s="378"/>
      <c r="H301" s="378"/>
      <c r="I301" s="378"/>
      <c r="J301" s="378"/>
      <c r="K301" s="1220"/>
      <c r="L301" s="378"/>
      <c r="M301" s="378"/>
      <c r="N301" s="378" t="str">
        <f t="shared" si="93"/>
        <v/>
      </c>
      <c r="O301" s="378" t="str">
        <f t="shared" si="94"/>
        <v/>
      </c>
      <c r="P301" s="378" t="str">
        <f t="shared" si="95"/>
        <v/>
      </c>
      <c r="Q301" s="378" t="str">
        <f t="shared" si="96"/>
        <v/>
      </c>
      <c r="R301" s="378" t="str">
        <f t="shared" si="97"/>
        <v/>
      </c>
      <c r="S301" s="602">
        <v>610100</v>
      </c>
      <c r="T301" s="378" t="str">
        <f>+IFERROR(VLOOKUP(S301,STAT1!$C$4:$D$189,2,FALSE),"")</f>
        <v>Борлуулсан барааны өртөг</v>
      </c>
      <c r="U301" s="1216">
        <v>199102.82860709212</v>
      </c>
      <c r="V301" s="1216"/>
      <c r="W301" s="326">
        <v>3057</v>
      </c>
      <c r="X301" s="328" t="str">
        <f>IFERROR(VLOOKUP(W301,DATA!$G$4:$H$400,2,FALSE),"")</f>
        <v>ЕНТҮМ ТРЭЙВЭЛ ХХК</v>
      </c>
      <c r="Y301" s="1205"/>
      <c r="Z301" s="1205"/>
      <c r="AA301" s="1205"/>
    </row>
    <row r="302" spans="1:27" ht="12.75" customHeight="1">
      <c r="A302" s="15">
        <v>81</v>
      </c>
      <c r="B302" s="369">
        <f t="shared" si="82"/>
        <v>297</v>
      </c>
      <c r="C302" s="427">
        <v>42832</v>
      </c>
      <c r="D302" s="426"/>
      <c r="E302" s="425" t="str">
        <f t="shared" ca="1" si="98"/>
        <v/>
      </c>
      <c r="F302" s="428" t="str">
        <f t="shared" ca="1" si="92"/>
        <v/>
      </c>
      <c r="G302" s="378"/>
      <c r="H302" s="378"/>
      <c r="I302" s="378"/>
      <c r="J302" s="378"/>
      <c r="K302" s="1220"/>
      <c r="L302" s="378"/>
      <c r="M302" s="378"/>
      <c r="N302" s="378" t="str">
        <f t="shared" si="93"/>
        <v/>
      </c>
      <c r="O302" s="378" t="str">
        <f t="shared" si="94"/>
        <v/>
      </c>
      <c r="P302" s="378" t="str">
        <f t="shared" si="95"/>
        <v/>
      </c>
      <c r="Q302" s="378" t="str">
        <f t="shared" si="96"/>
        <v/>
      </c>
      <c r="R302" s="378" t="str">
        <f t="shared" si="97"/>
        <v/>
      </c>
      <c r="S302" s="602">
        <v>310500</v>
      </c>
      <c r="T302" s="378" t="str">
        <f>+IFERROR(VLOOKUP(S302,STAT1!$C$4:$D$189,2,FALSE),"")</f>
        <v>НӨАТ өглөг</v>
      </c>
      <c r="U302" s="1225"/>
      <c r="V302" s="1216">
        <v>33999.999549</v>
      </c>
      <c r="W302" s="326">
        <v>3057</v>
      </c>
      <c r="X302" s="328" t="str">
        <f>IFERROR(VLOOKUP(W302,DATA!$G$4:$H$400,2,FALSE),"")</f>
        <v>ЕНТҮМ ТРЭЙВЭЛ ХХК</v>
      </c>
      <c r="Y302" s="1205"/>
      <c r="Z302" s="1205"/>
      <c r="AA302" s="1205"/>
    </row>
    <row r="303" spans="1:27" ht="12.75" customHeight="1">
      <c r="A303" s="15">
        <v>81</v>
      </c>
      <c r="B303" s="369">
        <f t="shared" si="82"/>
        <v>298</v>
      </c>
      <c r="C303" s="427">
        <v>42832</v>
      </c>
      <c r="D303" s="426"/>
      <c r="E303" s="425" t="str">
        <f t="shared" ca="1" si="98"/>
        <v/>
      </c>
      <c r="F303" s="428" t="str">
        <f t="shared" ca="1" si="92"/>
        <v/>
      </c>
      <c r="G303" s="378"/>
      <c r="H303" s="378"/>
      <c r="I303" s="378"/>
      <c r="J303" s="378"/>
      <c r="K303" s="1220"/>
      <c r="L303" s="378"/>
      <c r="M303" s="378"/>
      <c r="N303" s="378" t="str">
        <f t="shared" si="93"/>
        <v/>
      </c>
      <c r="O303" s="378" t="str">
        <f t="shared" si="94"/>
        <v/>
      </c>
      <c r="P303" s="378" t="str">
        <f t="shared" si="95"/>
        <v/>
      </c>
      <c r="Q303" s="378" t="str">
        <f t="shared" si="96"/>
        <v/>
      </c>
      <c r="R303" s="378" t="str">
        <f t="shared" si="97"/>
        <v/>
      </c>
      <c r="S303" s="602">
        <v>510000</v>
      </c>
      <c r="T303" s="378" t="str">
        <f>+IFERROR(VLOOKUP(S303,STAT1!$C$4:$D$189,2,FALSE),"")</f>
        <v>Үндсэн үйл ажиллагааны борлуулалт</v>
      </c>
      <c r="U303" s="1225"/>
      <c r="V303" s="1216">
        <v>339999.99549</v>
      </c>
      <c r="W303" s="326">
        <v>3057</v>
      </c>
      <c r="X303" s="328" t="str">
        <f>IFERROR(VLOOKUP(W303,DATA!$G$4:$H$400,2,FALSE),"")</f>
        <v>ЕНТҮМ ТРЭЙВЭЛ ХХК</v>
      </c>
      <c r="Y303" s="1205"/>
      <c r="Z303" s="1205"/>
      <c r="AA303" s="1205"/>
    </row>
    <row r="304" spans="1:27" ht="12.75" customHeight="1">
      <c r="A304" s="15">
        <v>81</v>
      </c>
      <c r="B304" s="369">
        <f t="shared" si="82"/>
        <v>299</v>
      </c>
      <c r="C304" s="427">
        <v>42832</v>
      </c>
      <c r="D304" s="426"/>
      <c r="E304" s="425" t="str">
        <f t="shared" ca="1" si="98"/>
        <v/>
      </c>
      <c r="F304" s="428" t="str">
        <f t="shared" ca="1" si="92"/>
        <v/>
      </c>
      <c r="G304" s="378"/>
      <c r="H304" s="378"/>
      <c r="I304" s="378"/>
      <c r="J304" s="378"/>
      <c r="K304" s="1220"/>
      <c r="L304" s="378"/>
      <c r="M304" s="378"/>
      <c r="N304" s="378" t="str">
        <f t="shared" si="93"/>
        <v/>
      </c>
      <c r="O304" s="378" t="str">
        <f t="shared" si="94"/>
        <v/>
      </c>
      <c r="P304" s="378" t="str">
        <f t="shared" si="95"/>
        <v/>
      </c>
      <c r="Q304" s="378" t="str">
        <f t="shared" si="96"/>
        <v/>
      </c>
      <c r="R304" s="378" t="str">
        <f t="shared" si="97"/>
        <v/>
      </c>
      <c r="S304" s="602">
        <v>320100</v>
      </c>
      <c r="T304" s="378" t="str">
        <f>+IFERROR(VLOOKUP(S304,STAT1!$C$4:$D$189,2,FALSE),"")</f>
        <v>Урьдчилж орсон орлого MNT</v>
      </c>
      <c r="U304" s="1225">
        <v>373999.995039</v>
      </c>
      <c r="V304" s="1216"/>
      <c r="W304" s="326">
        <v>3057</v>
      </c>
      <c r="X304" s="328" t="str">
        <f>IFERROR(VLOOKUP(W304,DATA!$G$4:$H$400,2,FALSE),"")</f>
        <v>ЕНТҮМ ТРЭЙВЭЛ ХХК</v>
      </c>
      <c r="Y304" s="1205"/>
      <c r="Z304" s="1205"/>
      <c r="AA304" s="1205"/>
    </row>
    <row r="305" spans="1:27" ht="12.75" customHeight="1">
      <c r="A305" s="15">
        <v>82</v>
      </c>
      <c r="B305" s="369">
        <f t="shared" si="82"/>
        <v>300</v>
      </c>
      <c r="C305" s="427">
        <v>42832</v>
      </c>
      <c r="D305" s="426">
        <v>211713</v>
      </c>
      <c r="E305" s="425" t="str">
        <f t="shared" ca="1" si="98"/>
        <v>Н-Хавтан /зузаан-2см/</v>
      </c>
      <c r="F305" s="428" t="str">
        <f t="shared" ca="1" si="92"/>
        <v>м2</v>
      </c>
      <c r="G305" s="378"/>
      <c r="H305" s="378"/>
      <c r="I305" s="378"/>
      <c r="J305" s="378"/>
      <c r="K305" s="1220"/>
      <c r="L305" s="378">
        <v>10.57</v>
      </c>
      <c r="M305" s="378">
        <v>29994.8393</v>
      </c>
      <c r="N305" s="378">
        <f t="shared" si="93"/>
        <v>317045.45140100003</v>
      </c>
      <c r="O305" s="378">
        <f t="shared" si="94"/>
        <v>31704.545140100003</v>
      </c>
      <c r="P305" s="378">
        <f t="shared" si="95"/>
        <v>348749.99654110003</v>
      </c>
      <c r="Q305" s="378">
        <f t="shared" ca="1" si="96"/>
        <v>20836.299698816012</v>
      </c>
      <c r="R305" s="378">
        <f t="shared" ca="1" si="97"/>
        <v>220239.68781648527</v>
      </c>
      <c r="S305" s="602">
        <v>150101</v>
      </c>
      <c r="T305" s="378" t="str">
        <f>+IFERROR(VLOOKUP(S305,STAT1!$C$4:$D$189,2,FALSE),"")</f>
        <v>Бараа бэлэн бүтээгдэхүүн БОЛОВСРУУЛАХ ЦЕХ /нарс/</v>
      </c>
      <c r="U305" s="1225"/>
      <c r="V305" s="1216">
        <v>220239.68781648527</v>
      </c>
      <c r="W305" s="326">
        <v>3051</v>
      </c>
      <c r="X305" s="328" t="str">
        <f>IFERROR(VLOOKUP(W305,DATA!$G$4:$H$400,2,FALSE),"")</f>
        <v xml:space="preserve">НОМАДС ТУР ХХК </v>
      </c>
      <c r="Y305" s="1205"/>
      <c r="Z305" s="1205"/>
      <c r="AA305" s="1205"/>
    </row>
    <row r="306" spans="1:27" ht="12.75" customHeight="1">
      <c r="A306" s="15">
        <v>82</v>
      </c>
      <c r="B306" s="369">
        <f t="shared" si="82"/>
        <v>301</v>
      </c>
      <c r="C306" s="427">
        <v>42832</v>
      </c>
      <c r="D306" s="426"/>
      <c r="E306" s="425" t="str">
        <f t="shared" ca="1" si="98"/>
        <v/>
      </c>
      <c r="F306" s="428" t="str">
        <f t="shared" ca="1" si="92"/>
        <v/>
      </c>
      <c r="G306" s="378"/>
      <c r="H306" s="378"/>
      <c r="I306" s="378"/>
      <c r="J306" s="378"/>
      <c r="K306" s="1220"/>
      <c r="L306" s="378"/>
      <c r="M306" s="378"/>
      <c r="N306" s="378" t="str">
        <f t="shared" si="93"/>
        <v/>
      </c>
      <c r="O306" s="378" t="str">
        <f t="shared" si="94"/>
        <v/>
      </c>
      <c r="P306" s="378" t="str">
        <f t="shared" si="95"/>
        <v/>
      </c>
      <c r="Q306" s="378" t="str">
        <f t="shared" si="96"/>
        <v/>
      </c>
      <c r="R306" s="378" t="str">
        <f t="shared" si="97"/>
        <v/>
      </c>
      <c r="S306" s="602">
        <v>610100</v>
      </c>
      <c r="T306" s="378" t="str">
        <f>+IFERROR(VLOOKUP(S306,STAT1!$C$4:$D$189,2,FALSE),"")</f>
        <v>Борлуулсан барааны өртөг</v>
      </c>
      <c r="U306" s="1216">
        <v>220239.68781648527</v>
      </c>
      <c r="V306" s="1216"/>
      <c r="W306" s="326">
        <v>3051</v>
      </c>
      <c r="X306" s="328" t="str">
        <f>IFERROR(VLOOKUP(W306,DATA!$G$4:$H$400,2,FALSE),"")</f>
        <v xml:space="preserve">НОМАДС ТУР ХХК </v>
      </c>
      <c r="Y306" s="1205"/>
      <c r="Z306" s="1205"/>
      <c r="AA306" s="1205"/>
    </row>
    <row r="307" spans="1:27" ht="12.75" customHeight="1">
      <c r="A307" s="15">
        <v>82</v>
      </c>
      <c r="B307" s="369">
        <f t="shared" si="82"/>
        <v>302</v>
      </c>
      <c r="C307" s="427">
        <v>42832</v>
      </c>
      <c r="D307" s="426"/>
      <c r="E307" s="425" t="str">
        <f t="shared" ca="1" si="98"/>
        <v/>
      </c>
      <c r="F307" s="428" t="str">
        <f t="shared" ca="1" si="92"/>
        <v/>
      </c>
      <c r="G307" s="378"/>
      <c r="H307" s="378"/>
      <c r="I307" s="378"/>
      <c r="J307" s="378"/>
      <c r="K307" s="1220"/>
      <c r="L307" s="378"/>
      <c r="M307" s="378"/>
      <c r="N307" s="378" t="str">
        <f t="shared" si="93"/>
        <v/>
      </c>
      <c r="O307" s="378" t="str">
        <f t="shared" si="94"/>
        <v/>
      </c>
      <c r="P307" s="378" t="str">
        <f t="shared" si="95"/>
        <v/>
      </c>
      <c r="Q307" s="378" t="str">
        <f t="shared" si="96"/>
        <v/>
      </c>
      <c r="R307" s="378" t="str">
        <f t="shared" si="97"/>
        <v/>
      </c>
      <c r="S307" s="602">
        <v>310500</v>
      </c>
      <c r="T307" s="378" t="str">
        <f>+IFERROR(VLOOKUP(S307,STAT1!$C$4:$D$189,2,FALSE),"")</f>
        <v>НӨАТ өглөг</v>
      </c>
      <c r="U307" s="1225"/>
      <c r="V307" s="1216">
        <v>31704.545140100003</v>
      </c>
      <c r="W307" s="326">
        <v>3051</v>
      </c>
      <c r="X307" s="328" t="str">
        <f>IFERROR(VLOOKUP(W307,DATA!$G$4:$H$400,2,FALSE),"")</f>
        <v xml:space="preserve">НОМАДС ТУР ХХК </v>
      </c>
      <c r="Y307" s="1205"/>
      <c r="Z307" s="1205"/>
      <c r="AA307" s="1205"/>
    </row>
    <row r="308" spans="1:27" ht="12.75" customHeight="1">
      <c r="A308" s="15">
        <v>82</v>
      </c>
      <c r="B308" s="369">
        <f t="shared" si="82"/>
        <v>303</v>
      </c>
      <c r="C308" s="427">
        <v>42832</v>
      </c>
      <c r="D308" s="426"/>
      <c r="E308" s="425" t="str">
        <f t="shared" ca="1" si="98"/>
        <v/>
      </c>
      <c r="F308" s="428" t="str">
        <f t="shared" ca="1" si="92"/>
        <v/>
      </c>
      <c r="G308" s="378"/>
      <c r="H308" s="378"/>
      <c r="I308" s="378"/>
      <c r="J308" s="378"/>
      <c r="K308" s="1220"/>
      <c r="L308" s="378"/>
      <c r="M308" s="378"/>
      <c r="N308" s="378" t="str">
        <f t="shared" si="93"/>
        <v/>
      </c>
      <c r="O308" s="378" t="str">
        <f t="shared" si="94"/>
        <v/>
      </c>
      <c r="P308" s="378" t="str">
        <f t="shared" si="95"/>
        <v/>
      </c>
      <c r="Q308" s="378" t="str">
        <f t="shared" si="96"/>
        <v/>
      </c>
      <c r="R308" s="378" t="str">
        <f t="shared" si="97"/>
        <v/>
      </c>
      <c r="S308" s="602">
        <v>510000</v>
      </c>
      <c r="T308" s="378" t="str">
        <f>+IFERROR(VLOOKUP(S308,STAT1!$C$4:$D$189,2,FALSE),"")</f>
        <v>Үндсэн үйл ажиллагааны борлуулалт</v>
      </c>
      <c r="U308" s="1225"/>
      <c r="V308" s="1216">
        <v>317045.45140100003</v>
      </c>
      <c r="W308" s="326">
        <v>3051</v>
      </c>
      <c r="X308" s="328" t="str">
        <f>IFERROR(VLOOKUP(W308,DATA!$G$4:$H$400,2,FALSE),"")</f>
        <v xml:space="preserve">НОМАДС ТУР ХХК </v>
      </c>
      <c r="Y308" s="1205"/>
      <c r="Z308" s="1205"/>
      <c r="AA308" s="1205"/>
    </row>
    <row r="309" spans="1:27" ht="12.75" customHeight="1">
      <c r="A309" s="15">
        <v>82</v>
      </c>
      <c r="B309" s="369">
        <f t="shared" si="82"/>
        <v>304</v>
      </c>
      <c r="C309" s="427">
        <v>42832</v>
      </c>
      <c r="D309" s="426"/>
      <c r="E309" s="425" t="str">
        <f t="shared" ca="1" si="98"/>
        <v/>
      </c>
      <c r="F309" s="428" t="str">
        <f t="shared" ca="1" si="92"/>
        <v/>
      </c>
      <c r="G309" s="378"/>
      <c r="H309" s="378"/>
      <c r="I309" s="378"/>
      <c r="J309" s="378"/>
      <c r="K309" s="1220"/>
      <c r="L309" s="378"/>
      <c r="M309" s="378"/>
      <c r="N309" s="378" t="str">
        <f t="shared" si="93"/>
        <v/>
      </c>
      <c r="O309" s="378" t="str">
        <f t="shared" si="94"/>
        <v/>
      </c>
      <c r="P309" s="378" t="str">
        <f t="shared" si="95"/>
        <v/>
      </c>
      <c r="Q309" s="378" t="str">
        <f t="shared" si="96"/>
        <v/>
      </c>
      <c r="R309" s="378" t="str">
        <f t="shared" si="97"/>
        <v/>
      </c>
      <c r="S309" s="602">
        <v>320100</v>
      </c>
      <c r="T309" s="378" t="str">
        <f>+IFERROR(VLOOKUP(S309,STAT1!$C$4:$D$189,2,FALSE),"")</f>
        <v>Урьдчилж орсон орлого MNT</v>
      </c>
      <c r="U309" s="1225">
        <v>348749.99654110003</v>
      </c>
      <c r="V309" s="1216"/>
      <c r="W309" s="326">
        <v>3051</v>
      </c>
      <c r="X309" s="328" t="str">
        <f>IFERROR(VLOOKUP(W309,DATA!$G$4:$H$400,2,FALSE),"")</f>
        <v xml:space="preserve">НОМАДС ТУР ХХК </v>
      </c>
      <c r="Y309" s="1205"/>
      <c r="Z309" s="1205"/>
      <c r="AA309" s="1205"/>
    </row>
    <row r="310" spans="1:27" ht="12.75" customHeight="1">
      <c r="A310" s="15">
        <v>83</v>
      </c>
      <c r="B310" s="369">
        <f t="shared" si="82"/>
        <v>305</v>
      </c>
      <c r="C310" s="427">
        <v>42833</v>
      </c>
      <c r="D310" s="426">
        <v>211501</v>
      </c>
      <c r="E310" s="425" t="str">
        <f t="shared" ca="1" si="98"/>
        <v>Н-Евровагонка /зузаан-2.2см/</v>
      </c>
      <c r="F310" s="428" t="str">
        <f t="shared" ca="1" si="92"/>
        <v>м2</v>
      </c>
      <c r="G310" s="378"/>
      <c r="H310" s="378"/>
      <c r="I310" s="378"/>
      <c r="J310" s="378"/>
      <c r="K310" s="1220"/>
      <c r="L310" s="378">
        <v>17</v>
      </c>
      <c r="M310" s="378">
        <v>30000</v>
      </c>
      <c r="N310" s="378">
        <f t="shared" si="93"/>
        <v>510000</v>
      </c>
      <c r="O310" s="378">
        <f t="shared" si="94"/>
        <v>51000</v>
      </c>
      <c r="P310" s="378">
        <f t="shared" si="95"/>
        <v>561000</v>
      </c>
      <c r="Q310" s="378">
        <f t="shared" ca="1" si="96"/>
        <v>13118.37</v>
      </c>
      <c r="R310" s="378">
        <f t="shared" ca="1" si="97"/>
        <v>223012.29</v>
      </c>
      <c r="S310" s="602">
        <v>150101</v>
      </c>
      <c r="T310" s="378" t="str">
        <f>+IFERROR(VLOOKUP(S310,STAT1!$C$4:$D$189,2,FALSE),"")</f>
        <v>Бараа бэлэн бүтээгдэхүүн БОЛОВСРУУЛАХ ЦЕХ /нарс/</v>
      </c>
      <c r="U310" s="1225"/>
      <c r="V310" s="1216">
        <v>223012.29</v>
      </c>
      <c r="W310" s="326">
        <v>3056</v>
      </c>
      <c r="X310" s="328" t="str">
        <f>IFERROR(VLOOKUP(W310,DATA!$G$4:$H$400,2,FALSE),"")</f>
        <v xml:space="preserve">САНТ-АСАР ХХК </v>
      </c>
      <c r="Y310" s="1205"/>
      <c r="Z310" s="1205"/>
      <c r="AA310" s="1205"/>
    </row>
    <row r="311" spans="1:27" ht="12.75" customHeight="1">
      <c r="A311" s="15">
        <v>83</v>
      </c>
      <c r="B311" s="369">
        <f t="shared" si="82"/>
        <v>306</v>
      </c>
      <c r="C311" s="427">
        <v>42833</v>
      </c>
      <c r="D311" s="426"/>
      <c r="E311" s="425" t="str">
        <f t="shared" ca="1" si="98"/>
        <v/>
      </c>
      <c r="F311" s="428" t="str">
        <f t="shared" ca="1" si="92"/>
        <v/>
      </c>
      <c r="G311" s="378"/>
      <c r="H311" s="378"/>
      <c r="I311" s="378"/>
      <c r="J311" s="378"/>
      <c r="K311" s="1220"/>
      <c r="L311" s="378"/>
      <c r="M311" s="378"/>
      <c r="N311" s="378" t="str">
        <f t="shared" si="93"/>
        <v/>
      </c>
      <c r="O311" s="378" t="str">
        <f t="shared" si="94"/>
        <v/>
      </c>
      <c r="P311" s="378" t="str">
        <f t="shared" si="95"/>
        <v/>
      </c>
      <c r="Q311" s="378" t="str">
        <f t="shared" si="96"/>
        <v/>
      </c>
      <c r="R311" s="378" t="str">
        <f t="shared" si="97"/>
        <v/>
      </c>
      <c r="S311" s="602">
        <v>610100</v>
      </c>
      <c r="T311" s="378" t="str">
        <f>+IFERROR(VLOOKUP(S311,STAT1!$C$4:$D$189,2,FALSE),"")</f>
        <v>Борлуулсан барааны өртөг</v>
      </c>
      <c r="U311" s="1225">
        <v>223012.29</v>
      </c>
      <c r="V311" s="1216"/>
      <c r="W311" s="326">
        <v>3056</v>
      </c>
      <c r="X311" s="328" t="str">
        <f>IFERROR(VLOOKUP(W311,DATA!$G$4:$H$400,2,FALSE),"")</f>
        <v xml:space="preserve">САНТ-АСАР ХХК </v>
      </c>
      <c r="Y311" s="1205"/>
      <c r="Z311" s="1205"/>
      <c r="AA311" s="1205"/>
    </row>
    <row r="312" spans="1:27" ht="12.75" customHeight="1">
      <c r="A312" s="15">
        <v>83</v>
      </c>
      <c r="B312" s="369">
        <f t="shared" si="82"/>
        <v>307</v>
      </c>
      <c r="C312" s="427">
        <v>42833</v>
      </c>
      <c r="D312" s="426"/>
      <c r="E312" s="425" t="str">
        <f t="shared" ca="1" si="98"/>
        <v/>
      </c>
      <c r="F312" s="428" t="str">
        <f t="shared" ca="1" si="92"/>
        <v/>
      </c>
      <c r="G312" s="378"/>
      <c r="H312" s="378"/>
      <c r="I312" s="378"/>
      <c r="J312" s="378"/>
      <c r="K312" s="1220"/>
      <c r="L312" s="378"/>
      <c r="M312" s="378"/>
      <c r="N312" s="378" t="str">
        <f t="shared" si="93"/>
        <v/>
      </c>
      <c r="O312" s="378" t="str">
        <f t="shared" si="94"/>
        <v/>
      </c>
      <c r="P312" s="378" t="str">
        <f t="shared" si="95"/>
        <v/>
      </c>
      <c r="Q312" s="378" t="str">
        <f t="shared" si="96"/>
        <v/>
      </c>
      <c r="R312" s="378" t="str">
        <f t="shared" si="97"/>
        <v/>
      </c>
      <c r="S312" s="602">
        <v>310500</v>
      </c>
      <c r="T312" s="378" t="str">
        <f>+IFERROR(VLOOKUP(S312,STAT1!$C$4:$D$189,2,FALSE),"")</f>
        <v>НӨАТ өглөг</v>
      </c>
      <c r="U312" s="1225"/>
      <c r="V312" s="1216">
        <v>51000</v>
      </c>
      <c r="W312" s="326">
        <v>3056</v>
      </c>
      <c r="X312" s="328" t="str">
        <f>IFERROR(VLOOKUP(W312,DATA!$G$4:$H$400,2,FALSE),"")</f>
        <v xml:space="preserve">САНТ-АСАР ХХК </v>
      </c>
      <c r="Y312" s="1205"/>
      <c r="Z312" s="1205"/>
      <c r="AA312" s="1205"/>
    </row>
    <row r="313" spans="1:27" ht="12.75" customHeight="1">
      <c r="A313" s="15">
        <v>83</v>
      </c>
      <c r="B313" s="369">
        <f t="shared" si="82"/>
        <v>308</v>
      </c>
      <c r="C313" s="427">
        <v>42833</v>
      </c>
      <c r="D313" s="426"/>
      <c r="E313" s="425" t="str">
        <f t="shared" ca="1" si="98"/>
        <v/>
      </c>
      <c r="F313" s="428" t="str">
        <f t="shared" ca="1" si="92"/>
        <v/>
      </c>
      <c r="G313" s="378"/>
      <c r="H313" s="378"/>
      <c r="I313" s="378"/>
      <c r="J313" s="378"/>
      <c r="K313" s="1220"/>
      <c r="L313" s="378"/>
      <c r="M313" s="378"/>
      <c r="N313" s="378" t="str">
        <f t="shared" si="93"/>
        <v/>
      </c>
      <c r="O313" s="378" t="str">
        <f t="shared" si="94"/>
        <v/>
      </c>
      <c r="P313" s="378" t="str">
        <f t="shared" si="95"/>
        <v/>
      </c>
      <c r="Q313" s="378" t="str">
        <f t="shared" si="96"/>
        <v/>
      </c>
      <c r="R313" s="378" t="str">
        <f t="shared" si="97"/>
        <v/>
      </c>
      <c r="S313" s="602">
        <v>510000</v>
      </c>
      <c r="T313" s="378" t="str">
        <f>+IFERROR(VLOOKUP(S313,STAT1!$C$4:$D$189,2,FALSE),"")</f>
        <v>Үндсэн үйл ажиллагааны борлуулалт</v>
      </c>
      <c r="U313" s="1225"/>
      <c r="V313" s="1216">
        <v>510000</v>
      </c>
      <c r="W313" s="326">
        <v>3056</v>
      </c>
      <c r="X313" s="328" t="str">
        <f>IFERROR(VLOOKUP(W313,DATA!$G$4:$H$400,2,FALSE),"")</f>
        <v xml:space="preserve">САНТ-АСАР ХХК </v>
      </c>
      <c r="Y313" s="1205"/>
      <c r="Z313" s="1205"/>
      <c r="AA313" s="1205"/>
    </row>
    <row r="314" spans="1:27" ht="12.75" customHeight="1">
      <c r="A314" s="15">
        <v>83</v>
      </c>
      <c r="B314" s="369">
        <f t="shared" si="82"/>
        <v>309</v>
      </c>
      <c r="C314" s="427">
        <v>42833</v>
      </c>
      <c r="D314" s="426"/>
      <c r="E314" s="425" t="str">
        <f t="shared" ca="1" si="98"/>
        <v/>
      </c>
      <c r="F314" s="428" t="str">
        <f t="shared" ca="1" si="92"/>
        <v/>
      </c>
      <c r="G314" s="378"/>
      <c r="H314" s="378"/>
      <c r="I314" s="378"/>
      <c r="J314" s="378"/>
      <c r="K314" s="1220"/>
      <c r="L314" s="378"/>
      <c r="M314" s="378"/>
      <c r="N314" s="378" t="str">
        <f t="shared" si="93"/>
        <v/>
      </c>
      <c r="O314" s="378" t="str">
        <f t="shared" si="94"/>
        <v/>
      </c>
      <c r="P314" s="378" t="str">
        <f t="shared" si="95"/>
        <v/>
      </c>
      <c r="Q314" s="378" t="str">
        <f t="shared" si="96"/>
        <v/>
      </c>
      <c r="R314" s="378" t="str">
        <f t="shared" si="97"/>
        <v/>
      </c>
      <c r="S314" s="602">
        <v>320100</v>
      </c>
      <c r="T314" s="378" t="str">
        <f>+IFERROR(VLOOKUP(S314,STAT1!$C$4:$D$189,2,FALSE),"")</f>
        <v>Урьдчилж орсон орлого MNT</v>
      </c>
      <c r="U314" s="1225">
        <v>561000</v>
      </c>
      <c r="V314" s="1216"/>
      <c r="W314" s="326">
        <v>3056</v>
      </c>
      <c r="X314" s="328" t="str">
        <f>IFERROR(VLOOKUP(W314,DATA!$G$4:$H$400,2,FALSE),"")</f>
        <v xml:space="preserve">САНТ-АСАР ХХК </v>
      </c>
      <c r="Y314" s="1205"/>
      <c r="Z314" s="1205"/>
      <c r="AA314" s="1205"/>
    </row>
    <row r="315" spans="1:27" ht="12.75" customHeight="1">
      <c r="A315" s="15">
        <v>84</v>
      </c>
      <c r="B315" s="369">
        <f t="shared" si="82"/>
        <v>310</v>
      </c>
      <c r="C315" s="427">
        <v>42839</v>
      </c>
      <c r="D315" s="426">
        <v>211715</v>
      </c>
      <c r="E315" s="425" t="str">
        <f t="shared" ca="1" si="98"/>
        <v>Н-Хавтан /зузаан-1.8см/</v>
      </c>
      <c r="F315" s="428" t="str">
        <f t="shared" ca="1" si="92"/>
        <v>м2</v>
      </c>
      <c r="G315" s="378"/>
      <c r="H315" s="378"/>
      <c r="I315" s="378"/>
      <c r="J315" s="378"/>
      <c r="K315" s="1220"/>
      <c r="L315" s="378">
        <v>6</v>
      </c>
      <c r="M315" s="378">
        <v>28333.332999999999</v>
      </c>
      <c r="N315" s="378">
        <f t="shared" si="93"/>
        <v>169999.99799999999</v>
      </c>
      <c r="O315" s="378">
        <f t="shared" si="94"/>
        <v>16999.999800000001</v>
      </c>
      <c r="P315" s="378">
        <f t="shared" si="95"/>
        <v>186999.99779999998</v>
      </c>
      <c r="Q315" s="378">
        <f t="shared" ca="1" si="96"/>
        <v>18716.907616612854</v>
      </c>
      <c r="R315" s="378">
        <f t="shared" ca="1" si="97"/>
        <v>112301.44569967713</v>
      </c>
      <c r="S315" s="602">
        <v>150101</v>
      </c>
      <c r="T315" s="378" t="str">
        <f>+IFERROR(VLOOKUP(S315,STAT1!$C$4:$D$189,2,FALSE),"")</f>
        <v>Бараа бэлэн бүтээгдэхүүн БОЛОВСРУУЛАХ ЦЕХ /нарс/</v>
      </c>
      <c r="U315" s="1225"/>
      <c r="V315" s="1216">
        <v>112301.44569967713</v>
      </c>
      <c r="W315" s="326">
        <v>3042</v>
      </c>
      <c r="X315" s="328" t="str">
        <f>IFERROR(VLOOKUP(W315,DATA!$G$4:$H$400,2,FALSE),"")</f>
        <v xml:space="preserve">ЖУРМАК ХХК </v>
      </c>
      <c r="Y315" s="1205"/>
      <c r="Z315" s="1205"/>
      <c r="AA315" s="1205"/>
    </row>
    <row r="316" spans="1:27" ht="12.75" customHeight="1">
      <c r="A316" s="15">
        <v>84</v>
      </c>
      <c r="B316" s="369">
        <f t="shared" si="82"/>
        <v>311</v>
      </c>
      <c r="C316" s="427">
        <v>42839</v>
      </c>
      <c r="D316" s="426"/>
      <c r="E316" s="425" t="str">
        <f t="shared" ca="1" si="98"/>
        <v/>
      </c>
      <c r="F316" s="428" t="str">
        <f t="shared" ca="1" si="92"/>
        <v/>
      </c>
      <c r="G316" s="378"/>
      <c r="H316" s="378"/>
      <c r="I316" s="378"/>
      <c r="J316" s="378"/>
      <c r="K316" s="1220"/>
      <c r="L316" s="378"/>
      <c r="M316" s="378"/>
      <c r="N316" s="378" t="str">
        <f t="shared" si="93"/>
        <v/>
      </c>
      <c r="O316" s="378" t="str">
        <f t="shared" si="94"/>
        <v/>
      </c>
      <c r="P316" s="378" t="str">
        <f t="shared" si="95"/>
        <v/>
      </c>
      <c r="Q316" s="378" t="str">
        <f t="shared" si="96"/>
        <v/>
      </c>
      <c r="R316" s="378" t="str">
        <f t="shared" si="97"/>
        <v/>
      </c>
      <c r="S316" s="602">
        <v>610100</v>
      </c>
      <c r="T316" s="378" t="str">
        <f>+IFERROR(VLOOKUP(S316,STAT1!$C$4:$D$189,2,FALSE),"")</f>
        <v>Борлуулсан барааны өртөг</v>
      </c>
      <c r="U316" s="1216">
        <v>112301.44569967713</v>
      </c>
      <c r="V316" s="1216"/>
      <c r="W316" s="326">
        <v>3042</v>
      </c>
      <c r="X316" s="328" t="str">
        <f>IFERROR(VLOOKUP(W316,DATA!$G$4:$H$400,2,FALSE),"")</f>
        <v xml:space="preserve">ЖУРМАК ХХК </v>
      </c>
      <c r="Y316" s="1205"/>
      <c r="Z316" s="1205"/>
      <c r="AA316" s="1205"/>
    </row>
    <row r="317" spans="1:27" ht="12.75" customHeight="1">
      <c r="A317" s="15">
        <v>84</v>
      </c>
      <c r="B317" s="369">
        <f t="shared" si="82"/>
        <v>312</v>
      </c>
      <c r="C317" s="427">
        <v>42839</v>
      </c>
      <c r="D317" s="426"/>
      <c r="E317" s="425" t="str">
        <f t="shared" ca="1" si="98"/>
        <v/>
      </c>
      <c r="F317" s="428" t="str">
        <f t="shared" ca="1" si="92"/>
        <v/>
      </c>
      <c r="G317" s="378"/>
      <c r="H317" s="378"/>
      <c r="I317" s="378"/>
      <c r="J317" s="378"/>
      <c r="K317" s="1220"/>
      <c r="L317" s="378"/>
      <c r="M317" s="378"/>
      <c r="N317" s="378" t="str">
        <f t="shared" si="93"/>
        <v/>
      </c>
      <c r="O317" s="378" t="str">
        <f t="shared" si="94"/>
        <v/>
      </c>
      <c r="P317" s="378" t="str">
        <f t="shared" si="95"/>
        <v/>
      </c>
      <c r="Q317" s="378" t="str">
        <f t="shared" si="96"/>
        <v/>
      </c>
      <c r="R317" s="378" t="str">
        <f t="shared" si="97"/>
        <v/>
      </c>
      <c r="S317" s="602">
        <v>310500</v>
      </c>
      <c r="T317" s="378" t="str">
        <f>+IFERROR(VLOOKUP(S317,STAT1!$C$4:$D$189,2,FALSE),"")</f>
        <v>НӨАТ өглөг</v>
      </c>
      <c r="U317" s="1225"/>
      <c r="V317" s="1216">
        <v>16999.999800000001</v>
      </c>
      <c r="W317" s="326">
        <v>3042</v>
      </c>
      <c r="X317" s="328" t="str">
        <f>IFERROR(VLOOKUP(W317,DATA!$G$4:$H$400,2,FALSE),"")</f>
        <v xml:space="preserve">ЖУРМАК ХХК </v>
      </c>
      <c r="Y317" s="1205"/>
      <c r="Z317" s="1205"/>
      <c r="AA317" s="1205"/>
    </row>
    <row r="318" spans="1:27" ht="12.75" customHeight="1">
      <c r="A318" s="15">
        <v>84</v>
      </c>
      <c r="B318" s="369">
        <f t="shared" si="82"/>
        <v>313</v>
      </c>
      <c r="C318" s="427">
        <v>42839</v>
      </c>
      <c r="D318" s="426"/>
      <c r="E318" s="425" t="str">
        <f t="shared" ca="1" si="98"/>
        <v/>
      </c>
      <c r="F318" s="428" t="str">
        <f t="shared" ca="1" si="92"/>
        <v/>
      </c>
      <c r="G318" s="378"/>
      <c r="H318" s="378"/>
      <c r="I318" s="378"/>
      <c r="J318" s="378"/>
      <c r="K318" s="1220"/>
      <c r="L318" s="378"/>
      <c r="M318" s="378"/>
      <c r="N318" s="378" t="str">
        <f t="shared" si="93"/>
        <v/>
      </c>
      <c r="O318" s="378" t="str">
        <f t="shared" si="94"/>
        <v/>
      </c>
      <c r="P318" s="378" t="str">
        <f t="shared" si="95"/>
        <v/>
      </c>
      <c r="Q318" s="378" t="str">
        <f t="shared" si="96"/>
        <v/>
      </c>
      <c r="R318" s="378" t="str">
        <f t="shared" si="97"/>
        <v/>
      </c>
      <c r="S318" s="602">
        <v>510000</v>
      </c>
      <c r="T318" s="378" t="str">
        <f>+IFERROR(VLOOKUP(S318,STAT1!$C$4:$D$189,2,FALSE),"")</f>
        <v>Үндсэн үйл ажиллагааны борлуулалт</v>
      </c>
      <c r="U318" s="1225"/>
      <c r="V318" s="1216">
        <v>169999.99799999999</v>
      </c>
      <c r="W318" s="326">
        <v>3042</v>
      </c>
      <c r="X318" s="328" t="str">
        <f>IFERROR(VLOOKUP(W318,DATA!$G$4:$H$400,2,FALSE),"")</f>
        <v xml:space="preserve">ЖУРМАК ХХК </v>
      </c>
      <c r="Y318" s="1205"/>
      <c r="Z318" s="1205"/>
      <c r="AA318" s="1205"/>
    </row>
    <row r="319" spans="1:27" ht="12.75" customHeight="1">
      <c r="A319" s="15">
        <v>84</v>
      </c>
      <c r="B319" s="369">
        <f t="shared" si="82"/>
        <v>314</v>
      </c>
      <c r="C319" s="427">
        <v>42839</v>
      </c>
      <c r="D319" s="426"/>
      <c r="E319" s="425" t="str">
        <f t="shared" ca="1" si="98"/>
        <v/>
      </c>
      <c r="F319" s="428" t="str">
        <f t="shared" ca="1" si="92"/>
        <v/>
      </c>
      <c r="G319" s="378"/>
      <c r="H319" s="378"/>
      <c r="I319" s="378"/>
      <c r="J319" s="378"/>
      <c r="K319" s="1220"/>
      <c r="L319" s="378"/>
      <c r="M319" s="378"/>
      <c r="N319" s="378" t="str">
        <f t="shared" si="93"/>
        <v/>
      </c>
      <c r="O319" s="378" t="str">
        <f t="shared" si="94"/>
        <v/>
      </c>
      <c r="P319" s="378" t="str">
        <f t="shared" si="95"/>
        <v/>
      </c>
      <c r="Q319" s="378" t="str">
        <f t="shared" si="96"/>
        <v/>
      </c>
      <c r="R319" s="378" t="str">
        <f t="shared" si="97"/>
        <v/>
      </c>
      <c r="S319" s="602">
        <v>320100</v>
      </c>
      <c r="T319" s="378" t="str">
        <f>+IFERROR(VLOOKUP(S319,STAT1!$C$4:$D$189,2,FALSE),"")</f>
        <v>Урьдчилж орсон орлого MNT</v>
      </c>
      <c r="U319" s="1225">
        <v>186999.99779999998</v>
      </c>
      <c r="V319" s="1216"/>
      <c r="W319" s="326">
        <v>3042</v>
      </c>
      <c r="X319" s="328" t="str">
        <f>IFERROR(VLOOKUP(W319,DATA!$G$4:$H$400,2,FALSE),"")</f>
        <v xml:space="preserve">ЖУРМАК ХХК </v>
      </c>
      <c r="Y319" s="1205"/>
      <c r="Z319" s="1205"/>
      <c r="AA319" s="1205"/>
    </row>
    <row r="320" spans="1:27" ht="12.75" customHeight="1">
      <c r="A320" s="15">
        <v>85</v>
      </c>
      <c r="B320" s="369">
        <f t="shared" si="82"/>
        <v>315</v>
      </c>
      <c r="C320" s="427">
        <v>42840</v>
      </c>
      <c r="D320" s="426">
        <v>211503</v>
      </c>
      <c r="E320" s="425" t="str">
        <f t="shared" ca="1" si="98"/>
        <v>Н-Евровагонка /зузаан-1.2см/</v>
      </c>
      <c r="F320" s="428" t="str">
        <f t="shared" ca="1" si="92"/>
        <v>м2</v>
      </c>
      <c r="G320" s="378"/>
      <c r="H320" s="378"/>
      <c r="I320" s="378"/>
      <c r="J320" s="378"/>
      <c r="K320" s="1220"/>
      <c r="L320" s="378">
        <v>7.36</v>
      </c>
      <c r="M320" s="378">
        <v>21600.790513833992</v>
      </c>
      <c r="N320" s="378">
        <f t="shared" si="93"/>
        <v>158981.81818181818</v>
      </c>
      <c r="O320" s="378">
        <f t="shared" si="94"/>
        <v>15898.181818181818</v>
      </c>
      <c r="P320" s="378">
        <f t="shared" si="95"/>
        <v>174880</v>
      </c>
      <c r="Q320" s="378">
        <f t="shared" ca="1" si="96"/>
        <v>12622.237683513315</v>
      </c>
      <c r="R320" s="378">
        <f t="shared" ca="1" si="97"/>
        <v>92899.669350658005</v>
      </c>
      <c r="S320" s="602">
        <v>150101</v>
      </c>
      <c r="T320" s="378" t="str">
        <f>+IFERROR(VLOOKUP(S320,STAT1!$C$4:$D$189,2,FALSE),"")</f>
        <v>Бараа бэлэн бүтээгдэхүүн БОЛОВСРУУЛАХ ЦЕХ /нарс/</v>
      </c>
      <c r="U320" s="1225"/>
      <c r="V320" s="1216">
        <v>92899.669350658005</v>
      </c>
      <c r="W320" s="326">
        <v>3051</v>
      </c>
      <c r="X320" s="328" t="str">
        <f>IFERROR(VLOOKUP(W320,DATA!$G$4:$H$400,2,FALSE),"")</f>
        <v xml:space="preserve">НОМАДС ТУР ХХК </v>
      </c>
      <c r="Y320" s="1205"/>
      <c r="Z320" s="1205"/>
      <c r="AA320" s="1205"/>
    </row>
    <row r="321" spans="1:27" ht="12.75" customHeight="1">
      <c r="A321" s="15">
        <v>85</v>
      </c>
      <c r="B321" s="369">
        <f t="shared" si="82"/>
        <v>316</v>
      </c>
      <c r="C321" s="427">
        <v>42840</v>
      </c>
      <c r="D321" s="426"/>
      <c r="E321" s="425" t="str">
        <f t="shared" ca="1" si="98"/>
        <v/>
      </c>
      <c r="F321" s="428" t="str">
        <f t="shared" ca="1" si="92"/>
        <v/>
      </c>
      <c r="G321" s="378"/>
      <c r="H321" s="378"/>
      <c r="I321" s="378"/>
      <c r="J321" s="378"/>
      <c r="K321" s="1220"/>
      <c r="L321" s="378"/>
      <c r="M321" s="378"/>
      <c r="N321" s="378" t="str">
        <f t="shared" si="93"/>
        <v/>
      </c>
      <c r="O321" s="378" t="str">
        <f t="shared" si="94"/>
        <v/>
      </c>
      <c r="P321" s="378" t="str">
        <f t="shared" si="95"/>
        <v/>
      </c>
      <c r="Q321" s="378" t="str">
        <f t="shared" si="96"/>
        <v/>
      </c>
      <c r="R321" s="378" t="str">
        <f t="shared" si="97"/>
        <v/>
      </c>
      <c r="S321" s="602">
        <v>610100</v>
      </c>
      <c r="T321" s="378" t="str">
        <f>+IFERROR(VLOOKUP(S321,STAT1!$C$4:$D$189,2,FALSE),"")</f>
        <v>Борлуулсан барааны өртөг</v>
      </c>
      <c r="U321" s="1216">
        <v>92899.669350658005</v>
      </c>
      <c r="V321" s="1216"/>
      <c r="W321" s="326">
        <v>3051</v>
      </c>
      <c r="X321" s="328" t="str">
        <f>IFERROR(VLOOKUP(W321,DATA!$G$4:$H$400,2,FALSE),"")</f>
        <v xml:space="preserve">НОМАДС ТУР ХХК </v>
      </c>
      <c r="Y321" s="1205"/>
      <c r="Z321" s="1205"/>
      <c r="AA321" s="1205"/>
    </row>
    <row r="322" spans="1:27" ht="12.75" customHeight="1">
      <c r="A322" s="15">
        <v>85</v>
      </c>
      <c r="B322" s="369">
        <f t="shared" si="82"/>
        <v>317</v>
      </c>
      <c r="C322" s="427">
        <v>42840</v>
      </c>
      <c r="D322" s="426"/>
      <c r="E322" s="425" t="str">
        <f t="shared" ca="1" si="98"/>
        <v/>
      </c>
      <c r="F322" s="428" t="str">
        <f t="shared" ca="1" si="92"/>
        <v/>
      </c>
      <c r="G322" s="378"/>
      <c r="H322" s="378"/>
      <c r="I322" s="378"/>
      <c r="J322" s="378"/>
      <c r="K322" s="1220"/>
      <c r="L322" s="378"/>
      <c r="M322" s="378"/>
      <c r="N322" s="378" t="str">
        <f t="shared" si="93"/>
        <v/>
      </c>
      <c r="O322" s="378" t="str">
        <f t="shared" si="94"/>
        <v/>
      </c>
      <c r="P322" s="378" t="str">
        <f t="shared" si="95"/>
        <v/>
      </c>
      <c r="Q322" s="378" t="str">
        <f t="shared" si="96"/>
        <v/>
      </c>
      <c r="R322" s="378" t="str">
        <f t="shared" si="97"/>
        <v/>
      </c>
      <c r="S322" s="602">
        <v>310500</v>
      </c>
      <c r="T322" s="378" t="str">
        <f>+IFERROR(VLOOKUP(S322,STAT1!$C$4:$D$189,2,FALSE),"")</f>
        <v>НӨАТ өглөг</v>
      </c>
      <c r="U322" s="1225"/>
      <c r="V322" s="1216">
        <v>15898.181818181818</v>
      </c>
      <c r="W322" s="326">
        <v>3051</v>
      </c>
      <c r="X322" s="328" t="str">
        <f>IFERROR(VLOOKUP(W322,DATA!$G$4:$H$400,2,FALSE),"")</f>
        <v xml:space="preserve">НОМАДС ТУР ХХК </v>
      </c>
      <c r="Y322" s="1205"/>
      <c r="Z322" s="1205"/>
      <c r="AA322" s="1205"/>
    </row>
    <row r="323" spans="1:27" ht="12.75" customHeight="1">
      <c r="A323" s="15">
        <v>85</v>
      </c>
      <c r="B323" s="369">
        <f t="shared" si="82"/>
        <v>318</v>
      </c>
      <c r="C323" s="427">
        <v>42840</v>
      </c>
      <c r="D323" s="426"/>
      <c r="E323" s="425" t="str">
        <f t="shared" ca="1" si="98"/>
        <v/>
      </c>
      <c r="F323" s="428" t="str">
        <f t="shared" ca="1" si="92"/>
        <v/>
      </c>
      <c r="G323" s="378"/>
      <c r="H323" s="378"/>
      <c r="I323" s="378"/>
      <c r="J323" s="378"/>
      <c r="K323" s="1220"/>
      <c r="L323" s="378"/>
      <c r="M323" s="378"/>
      <c r="N323" s="378" t="str">
        <f t="shared" si="93"/>
        <v/>
      </c>
      <c r="O323" s="378" t="str">
        <f t="shared" si="94"/>
        <v/>
      </c>
      <c r="P323" s="378" t="str">
        <f t="shared" si="95"/>
        <v/>
      </c>
      <c r="Q323" s="378" t="str">
        <f t="shared" si="96"/>
        <v/>
      </c>
      <c r="R323" s="378" t="str">
        <f t="shared" si="97"/>
        <v/>
      </c>
      <c r="S323" s="602">
        <v>510000</v>
      </c>
      <c r="T323" s="378" t="str">
        <f>+IFERROR(VLOOKUP(S323,STAT1!$C$4:$D$189,2,FALSE),"")</f>
        <v>Үндсэн үйл ажиллагааны борлуулалт</v>
      </c>
      <c r="U323" s="1225"/>
      <c r="V323" s="1216">
        <v>158981.81818181818</v>
      </c>
      <c r="W323" s="326">
        <v>3051</v>
      </c>
      <c r="X323" s="328" t="str">
        <f>IFERROR(VLOOKUP(W323,DATA!$G$4:$H$400,2,FALSE),"")</f>
        <v xml:space="preserve">НОМАДС ТУР ХХК </v>
      </c>
      <c r="Y323" s="1205"/>
      <c r="Z323" s="1205"/>
      <c r="AA323" s="1205"/>
    </row>
    <row r="324" spans="1:27" ht="12.75" customHeight="1">
      <c r="A324" s="15">
        <v>85</v>
      </c>
      <c r="B324" s="369">
        <f t="shared" si="82"/>
        <v>319</v>
      </c>
      <c r="C324" s="427">
        <v>42840</v>
      </c>
      <c r="D324" s="426"/>
      <c r="E324" s="425" t="str">
        <f t="shared" ca="1" si="98"/>
        <v/>
      </c>
      <c r="F324" s="428" t="str">
        <f t="shared" ca="1" si="92"/>
        <v/>
      </c>
      <c r="G324" s="378"/>
      <c r="H324" s="378"/>
      <c r="I324" s="378"/>
      <c r="J324" s="378"/>
      <c r="K324" s="1220"/>
      <c r="L324" s="378"/>
      <c r="M324" s="378"/>
      <c r="N324" s="378" t="str">
        <f t="shared" si="93"/>
        <v/>
      </c>
      <c r="O324" s="378" t="str">
        <f t="shared" si="94"/>
        <v/>
      </c>
      <c r="P324" s="378" t="str">
        <f t="shared" si="95"/>
        <v/>
      </c>
      <c r="Q324" s="378" t="str">
        <f t="shared" si="96"/>
        <v/>
      </c>
      <c r="R324" s="378" t="str">
        <f t="shared" si="97"/>
        <v/>
      </c>
      <c r="S324" s="602">
        <v>320100</v>
      </c>
      <c r="T324" s="378" t="str">
        <f>+IFERROR(VLOOKUP(S324,STAT1!$C$4:$D$189,2,FALSE),"")</f>
        <v>Урьдчилж орсон орлого MNT</v>
      </c>
      <c r="U324" s="1225">
        <v>174880</v>
      </c>
      <c r="V324" s="1216"/>
      <c r="W324" s="326">
        <v>3051</v>
      </c>
      <c r="X324" s="328" t="str">
        <f>IFERROR(VLOOKUP(W324,DATA!$G$4:$H$400,2,FALSE),"")</f>
        <v xml:space="preserve">НОМАДС ТУР ХХК </v>
      </c>
      <c r="Y324" s="1205"/>
      <c r="Z324" s="1205"/>
      <c r="AA324" s="1205"/>
    </row>
    <row r="325" spans="1:27" ht="12.75" customHeight="1">
      <c r="A325" s="15">
        <v>86</v>
      </c>
      <c r="B325" s="369">
        <f t="shared" si="82"/>
        <v>320</v>
      </c>
      <c r="C325" s="427">
        <v>42840</v>
      </c>
      <c r="D325" s="426">
        <v>211503</v>
      </c>
      <c r="E325" s="425" t="str">
        <f t="shared" ca="1" si="98"/>
        <v>Н-Евровагонка /зузаан-1.2см/</v>
      </c>
      <c r="F325" s="428" t="str">
        <f t="shared" ca="1" si="92"/>
        <v>м2</v>
      </c>
      <c r="G325" s="378"/>
      <c r="H325" s="378"/>
      <c r="I325" s="378"/>
      <c r="J325" s="378"/>
      <c r="K325" s="1220"/>
      <c r="L325" s="378">
        <v>100</v>
      </c>
      <c r="M325" s="378">
        <v>21600</v>
      </c>
      <c r="N325" s="378">
        <f t="shared" si="93"/>
        <v>2160000</v>
      </c>
      <c r="O325" s="378">
        <f t="shared" si="94"/>
        <v>216000</v>
      </c>
      <c r="P325" s="378">
        <f t="shared" si="95"/>
        <v>2376000</v>
      </c>
      <c r="Q325" s="378">
        <f t="shared" ca="1" si="96"/>
        <v>12622.237683513315</v>
      </c>
      <c r="R325" s="378">
        <f t="shared" ca="1" si="97"/>
        <v>1262223.7683513314</v>
      </c>
      <c r="S325" s="602">
        <v>150101</v>
      </c>
      <c r="T325" s="378" t="str">
        <f>+IFERROR(VLOOKUP(S325,STAT1!$C$4:$D$189,2,FALSE),"")</f>
        <v>Бараа бэлэн бүтээгдэхүүн БОЛОВСРУУЛАХ ЦЕХ /нарс/</v>
      </c>
      <c r="U325" s="1225"/>
      <c r="V325" s="1225">
        <v>1262223.7683513314</v>
      </c>
      <c r="W325" s="326">
        <v>3053</v>
      </c>
      <c r="X325" s="328" t="str">
        <f>IFERROR(VLOOKUP(W325,DATA!$G$4:$H$400,2,FALSE),"")</f>
        <v>ЧИНГИС ТРЕЙД ХХК</v>
      </c>
      <c r="Y325" s="1205"/>
      <c r="Z325" s="1205"/>
      <c r="AA325" s="1205"/>
    </row>
    <row r="326" spans="1:27" ht="12.75" customHeight="1">
      <c r="A326" s="15">
        <v>86</v>
      </c>
      <c r="B326" s="369">
        <f t="shared" ref="B326:B389" si="99">+IF(C326="","",ROW()-5)</f>
        <v>321</v>
      </c>
      <c r="C326" s="427">
        <v>42840</v>
      </c>
      <c r="D326" s="426"/>
      <c r="E326" s="425" t="str">
        <f t="shared" ca="1" si="98"/>
        <v/>
      </c>
      <c r="F326" s="428" t="str">
        <f t="shared" ca="1" si="92"/>
        <v/>
      </c>
      <c r="G326" s="378"/>
      <c r="H326" s="378"/>
      <c r="I326" s="378"/>
      <c r="J326" s="378"/>
      <c r="K326" s="1220"/>
      <c r="L326" s="378"/>
      <c r="M326" s="378"/>
      <c r="N326" s="378" t="str">
        <f t="shared" si="93"/>
        <v/>
      </c>
      <c r="O326" s="378" t="str">
        <f t="shared" si="94"/>
        <v/>
      </c>
      <c r="P326" s="378" t="str">
        <f t="shared" si="95"/>
        <v/>
      </c>
      <c r="Q326" s="378" t="str">
        <f t="shared" si="96"/>
        <v/>
      </c>
      <c r="R326" s="378" t="str">
        <f t="shared" si="97"/>
        <v/>
      </c>
      <c r="S326" s="602">
        <v>610100</v>
      </c>
      <c r="T326" s="378" t="str">
        <f>+IFERROR(VLOOKUP(S326,STAT1!$C$4:$D$189,2,FALSE),"")</f>
        <v>Борлуулсан барааны өртөг</v>
      </c>
      <c r="U326" s="1225">
        <v>1262223.7683513314</v>
      </c>
      <c r="V326" s="1216"/>
      <c r="W326" s="326">
        <v>3053</v>
      </c>
      <c r="X326" s="328" t="str">
        <f>IFERROR(VLOOKUP(W326,DATA!$G$4:$H$400,2,FALSE),"")</f>
        <v>ЧИНГИС ТРЕЙД ХХК</v>
      </c>
      <c r="Y326" s="1205"/>
      <c r="Z326" s="1205"/>
      <c r="AA326" s="1205"/>
    </row>
    <row r="327" spans="1:27" ht="12.75" customHeight="1">
      <c r="A327" s="15">
        <v>86</v>
      </c>
      <c r="B327" s="369">
        <f t="shared" si="99"/>
        <v>322</v>
      </c>
      <c r="C327" s="427">
        <v>42840</v>
      </c>
      <c r="D327" s="426"/>
      <c r="E327" s="425" t="str">
        <f t="shared" ca="1" si="98"/>
        <v/>
      </c>
      <c r="F327" s="428" t="str">
        <f t="shared" ca="1" si="92"/>
        <v/>
      </c>
      <c r="G327" s="378"/>
      <c r="H327" s="378"/>
      <c r="I327" s="378"/>
      <c r="J327" s="378"/>
      <c r="K327" s="1220"/>
      <c r="L327" s="378"/>
      <c r="M327" s="378"/>
      <c r="N327" s="378" t="str">
        <f t="shared" si="93"/>
        <v/>
      </c>
      <c r="O327" s="378" t="str">
        <f t="shared" si="94"/>
        <v/>
      </c>
      <c r="P327" s="378" t="str">
        <f t="shared" si="95"/>
        <v/>
      </c>
      <c r="Q327" s="378" t="str">
        <f t="shared" si="96"/>
        <v/>
      </c>
      <c r="R327" s="378" t="str">
        <f t="shared" si="97"/>
        <v/>
      </c>
      <c r="S327" s="602">
        <v>310500</v>
      </c>
      <c r="T327" s="378" t="str">
        <f>+IFERROR(VLOOKUP(S327,STAT1!$C$4:$D$189,2,FALSE),"")</f>
        <v>НӨАТ өглөг</v>
      </c>
      <c r="U327" s="1225"/>
      <c r="V327" s="1216">
        <v>216000</v>
      </c>
      <c r="W327" s="326">
        <v>3053</v>
      </c>
      <c r="X327" s="328" t="str">
        <f>IFERROR(VLOOKUP(W327,DATA!$G$4:$H$400,2,FALSE),"")</f>
        <v>ЧИНГИС ТРЕЙД ХХК</v>
      </c>
      <c r="Y327" s="1205"/>
      <c r="Z327" s="1205"/>
      <c r="AA327" s="1205"/>
    </row>
    <row r="328" spans="1:27" ht="12.75" customHeight="1">
      <c r="A328" s="15">
        <v>86</v>
      </c>
      <c r="B328" s="369">
        <f t="shared" si="99"/>
        <v>323</v>
      </c>
      <c r="C328" s="427">
        <v>42840</v>
      </c>
      <c r="D328" s="426"/>
      <c r="E328" s="425" t="str">
        <f t="shared" ca="1" si="98"/>
        <v/>
      </c>
      <c r="F328" s="428" t="str">
        <f t="shared" ca="1" si="92"/>
        <v/>
      </c>
      <c r="G328" s="378"/>
      <c r="H328" s="378"/>
      <c r="I328" s="378"/>
      <c r="J328" s="378"/>
      <c r="K328" s="1220"/>
      <c r="L328" s="378"/>
      <c r="M328" s="378"/>
      <c r="N328" s="378" t="str">
        <f t="shared" si="93"/>
        <v/>
      </c>
      <c r="O328" s="378" t="str">
        <f t="shared" si="94"/>
        <v/>
      </c>
      <c r="P328" s="378" t="str">
        <f t="shared" si="95"/>
        <v/>
      </c>
      <c r="Q328" s="378" t="str">
        <f t="shared" si="96"/>
        <v/>
      </c>
      <c r="R328" s="378" t="str">
        <f t="shared" si="97"/>
        <v/>
      </c>
      <c r="S328" s="602">
        <v>510000</v>
      </c>
      <c r="T328" s="378" t="str">
        <f>+IFERROR(VLOOKUP(S328,STAT1!$C$4:$D$189,2,FALSE),"")</f>
        <v>Үндсэн үйл ажиллагааны борлуулалт</v>
      </c>
      <c r="U328" s="1225"/>
      <c r="V328" s="1216">
        <v>2160000</v>
      </c>
      <c r="W328" s="326">
        <v>3053</v>
      </c>
      <c r="X328" s="328" t="str">
        <f>IFERROR(VLOOKUP(W328,DATA!$G$4:$H$400,2,FALSE),"")</f>
        <v>ЧИНГИС ТРЕЙД ХХК</v>
      </c>
      <c r="Y328" s="1205"/>
      <c r="Z328" s="1205"/>
      <c r="AA328" s="1205"/>
    </row>
    <row r="329" spans="1:27" ht="12.75" customHeight="1">
      <c r="A329" s="15">
        <v>86</v>
      </c>
      <c r="B329" s="369">
        <f t="shared" si="99"/>
        <v>324</v>
      </c>
      <c r="C329" s="427">
        <v>42840</v>
      </c>
      <c r="D329" s="426"/>
      <c r="E329" s="425" t="str">
        <f t="shared" ca="1" si="98"/>
        <v/>
      </c>
      <c r="F329" s="428" t="str">
        <f t="shared" ca="1" si="92"/>
        <v/>
      </c>
      <c r="G329" s="378"/>
      <c r="H329" s="378"/>
      <c r="I329" s="378"/>
      <c r="J329" s="378"/>
      <c r="K329" s="1220"/>
      <c r="L329" s="378"/>
      <c r="M329" s="378"/>
      <c r="N329" s="378" t="str">
        <f t="shared" si="93"/>
        <v/>
      </c>
      <c r="O329" s="378" t="str">
        <f t="shared" si="94"/>
        <v/>
      </c>
      <c r="P329" s="378" t="str">
        <f t="shared" si="95"/>
        <v/>
      </c>
      <c r="Q329" s="378" t="str">
        <f t="shared" si="96"/>
        <v/>
      </c>
      <c r="R329" s="378" t="str">
        <f t="shared" si="97"/>
        <v/>
      </c>
      <c r="S329" s="602">
        <v>320100</v>
      </c>
      <c r="T329" s="378" t="str">
        <f>+IFERROR(VLOOKUP(S329,STAT1!$C$4:$D$189,2,FALSE),"")</f>
        <v>Урьдчилж орсон орлого MNT</v>
      </c>
      <c r="U329" s="1225">
        <v>2376000</v>
      </c>
      <c r="V329" s="1216"/>
      <c r="W329" s="326">
        <v>3053</v>
      </c>
      <c r="X329" s="328" t="str">
        <f>IFERROR(VLOOKUP(W329,DATA!$G$4:$H$400,2,FALSE),"")</f>
        <v>ЧИНГИС ТРЕЙД ХХК</v>
      </c>
      <c r="Y329" s="1205"/>
      <c r="Z329" s="1205"/>
      <c r="AA329" s="1205"/>
    </row>
    <row r="330" spans="1:27" ht="12.75" customHeight="1">
      <c r="A330" s="15">
        <v>87</v>
      </c>
      <c r="B330" s="369">
        <f t="shared" si="99"/>
        <v>325</v>
      </c>
      <c r="C330" s="427">
        <v>42840</v>
      </c>
      <c r="D330" s="426">
        <v>211713</v>
      </c>
      <c r="E330" s="425" t="str">
        <f t="shared" ca="1" si="98"/>
        <v>Н-Хавтан /зузаан-2см/</v>
      </c>
      <c r="F330" s="428" t="str">
        <f t="shared" ca="1" si="92"/>
        <v>м2</v>
      </c>
      <c r="G330" s="378"/>
      <c r="H330" s="378"/>
      <c r="I330" s="378"/>
      <c r="J330" s="378"/>
      <c r="K330" s="1220"/>
      <c r="L330" s="378">
        <v>20</v>
      </c>
      <c r="M330" s="378">
        <v>30000</v>
      </c>
      <c r="N330" s="378">
        <f t="shared" si="93"/>
        <v>600000</v>
      </c>
      <c r="O330" s="378">
        <f t="shared" si="94"/>
        <v>60000</v>
      </c>
      <c r="P330" s="378">
        <f t="shared" si="95"/>
        <v>660000</v>
      </c>
      <c r="Q330" s="378">
        <f t="shared" ca="1" si="96"/>
        <v>20836.299698816012</v>
      </c>
      <c r="R330" s="378">
        <f t="shared" ca="1" si="97"/>
        <v>416725.99397632026</v>
      </c>
      <c r="S330" s="602">
        <v>150101</v>
      </c>
      <c r="T330" s="378" t="str">
        <f>+IFERROR(VLOOKUP(S330,STAT1!$C$4:$D$189,2,FALSE),"")</f>
        <v>Бараа бэлэн бүтээгдэхүүн БОЛОВСРУУЛАХ ЦЕХ /нарс/</v>
      </c>
      <c r="U330" s="1225"/>
      <c r="V330" s="1216">
        <v>416725.99397632026</v>
      </c>
      <c r="W330" s="326">
        <v>3054</v>
      </c>
      <c r="X330" s="328" t="str">
        <f>IFERROR(VLOOKUP(W330,DATA!$G$4:$H$400,2,FALSE),"")</f>
        <v>3 МЕН ХХК</v>
      </c>
      <c r="Y330" s="1205"/>
      <c r="Z330" s="1205"/>
      <c r="AA330" s="1205"/>
    </row>
    <row r="331" spans="1:27" ht="12.75" customHeight="1">
      <c r="A331" s="15">
        <v>87</v>
      </c>
      <c r="B331" s="369">
        <f t="shared" si="99"/>
        <v>326</v>
      </c>
      <c r="C331" s="427">
        <v>42840</v>
      </c>
      <c r="D331" s="426"/>
      <c r="E331" s="425" t="str">
        <f t="shared" ca="1" si="98"/>
        <v/>
      </c>
      <c r="F331" s="428" t="str">
        <f t="shared" ca="1" si="92"/>
        <v/>
      </c>
      <c r="G331" s="378"/>
      <c r="H331" s="378"/>
      <c r="I331" s="378"/>
      <c r="J331" s="378"/>
      <c r="K331" s="1220"/>
      <c r="L331" s="378"/>
      <c r="M331" s="378"/>
      <c r="N331" s="378" t="str">
        <f t="shared" si="93"/>
        <v/>
      </c>
      <c r="O331" s="378" t="str">
        <f t="shared" si="94"/>
        <v/>
      </c>
      <c r="P331" s="378" t="str">
        <f t="shared" si="95"/>
        <v/>
      </c>
      <c r="Q331" s="378" t="str">
        <f t="shared" si="96"/>
        <v/>
      </c>
      <c r="R331" s="378" t="str">
        <f t="shared" si="97"/>
        <v/>
      </c>
      <c r="S331" s="602">
        <v>610100</v>
      </c>
      <c r="T331" s="378" t="str">
        <f>+IFERROR(VLOOKUP(S331,STAT1!$C$4:$D$189,2,FALSE),"")</f>
        <v>Борлуулсан барааны өртөг</v>
      </c>
      <c r="U331" s="1216">
        <v>416725.99397632026</v>
      </c>
      <c r="V331" s="1216"/>
      <c r="W331" s="326">
        <v>3054</v>
      </c>
      <c r="X331" s="328" t="str">
        <f>IFERROR(VLOOKUP(W331,DATA!$G$4:$H$400,2,FALSE),"")</f>
        <v>3 МЕН ХХК</v>
      </c>
      <c r="Y331" s="1205"/>
      <c r="Z331" s="1205"/>
      <c r="AA331" s="1205"/>
    </row>
    <row r="332" spans="1:27" ht="12.75" customHeight="1">
      <c r="A332" s="15">
        <v>87</v>
      </c>
      <c r="B332" s="369">
        <f t="shared" si="99"/>
        <v>327</v>
      </c>
      <c r="C332" s="427">
        <v>42840</v>
      </c>
      <c r="D332" s="426"/>
      <c r="E332" s="425" t="str">
        <f t="shared" ca="1" si="98"/>
        <v/>
      </c>
      <c r="F332" s="428" t="str">
        <f t="shared" ca="1" si="92"/>
        <v/>
      </c>
      <c r="G332" s="378"/>
      <c r="H332" s="378"/>
      <c r="I332" s="378"/>
      <c r="J332" s="378"/>
      <c r="K332" s="1220"/>
      <c r="L332" s="378"/>
      <c r="M332" s="378"/>
      <c r="N332" s="378" t="str">
        <f t="shared" si="93"/>
        <v/>
      </c>
      <c r="O332" s="378" t="str">
        <f t="shared" si="94"/>
        <v/>
      </c>
      <c r="P332" s="378" t="str">
        <f t="shared" si="95"/>
        <v/>
      </c>
      <c r="Q332" s="378" t="str">
        <f t="shared" si="96"/>
        <v/>
      </c>
      <c r="R332" s="378" t="str">
        <f t="shared" si="97"/>
        <v/>
      </c>
      <c r="S332" s="602">
        <v>310500</v>
      </c>
      <c r="T332" s="378" t="str">
        <f>+IFERROR(VLOOKUP(S332,STAT1!$C$4:$D$189,2,FALSE),"")</f>
        <v>НӨАТ өглөг</v>
      </c>
      <c r="U332" s="1225"/>
      <c r="V332" s="1216">
        <v>60000</v>
      </c>
      <c r="W332" s="326">
        <v>3054</v>
      </c>
      <c r="X332" s="328" t="str">
        <f>IFERROR(VLOOKUP(W332,DATA!$G$4:$H$400,2,FALSE),"")</f>
        <v>3 МЕН ХХК</v>
      </c>
      <c r="Y332" s="1205"/>
      <c r="Z332" s="1205"/>
      <c r="AA332" s="1205"/>
    </row>
    <row r="333" spans="1:27" ht="12.75" customHeight="1">
      <c r="A333" s="15">
        <v>87</v>
      </c>
      <c r="B333" s="369">
        <f t="shared" si="99"/>
        <v>328</v>
      </c>
      <c r="C333" s="427">
        <v>42840</v>
      </c>
      <c r="D333" s="426"/>
      <c r="E333" s="425" t="str">
        <f t="shared" ca="1" si="98"/>
        <v/>
      </c>
      <c r="F333" s="428" t="str">
        <f t="shared" ca="1" si="92"/>
        <v/>
      </c>
      <c r="G333" s="378"/>
      <c r="H333" s="378"/>
      <c r="I333" s="378"/>
      <c r="J333" s="378"/>
      <c r="K333" s="1220"/>
      <c r="L333" s="378"/>
      <c r="M333" s="378"/>
      <c r="N333" s="378" t="str">
        <f t="shared" si="93"/>
        <v/>
      </c>
      <c r="O333" s="378" t="str">
        <f t="shared" si="94"/>
        <v/>
      </c>
      <c r="P333" s="378" t="str">
        <f t="shared" si="95"/>
        <v/>
      </c>
      <c r="Q333" s="378" t="str">
        <f t="shared" si="96"/>
        <v/>
      </c>
      <c r="R333" s="378" t="str">
        <f t="shared" si="97"/>
        <v/>
      </c>
      <c r="S333" s="602">
        <v>510000</v>
      </c>
      <c r="T333" s="378" t="str">
        <f>+IFERROR(VLOOKUP(S333,STAT1!$C$4:$D$189,2,FALSE),"")</f>
        <v>Үндсэн үйл ажиллагааны борлуулалт</v>
      </c>
      <c r="U333" s="1225"/>
      <c r="V333" s="1216">
        <v>600000</v>
      </c>
      <c r="W333" s="326">
        <v>3054</v>
      </c>
      <c r="X333" s="328" t="str">
        <f>IFERROR(VLOOKUP(W333,DATA!$G$4:$H$400,2,FALSE),"")</f>
        <v>3 МЕН ХХК</v>
      </c>
      <c r="Y333" s="1205"/>
      <c r="Z333" s="1205"/>
      <c r="AA333" s="1205"/>
    </row>
    <row r="334" spans="1:27" ht="12.75" customHeight="1">
      <c r="A334" s="15">
        <v>87</v>
      </c>
      <c r="B334" s="369">
        <f t="shared" si="99"/>
        <v>329</v>
      </c>
      <c r="C334" s="427">
        <v>42840</v>
      </c>
      <c r="D334" s="426"/>
      <c r="E334" s="425" t="str">
        <f t="shared" ca="1" si="98"/>
        <v/>
      </c>
      <c r="F334" s="428" t="str">
        <f t="shared" ca="1" si="92"/>
        <v/>
      </c>
      <c r="G334" s="378"/>
      <c r="H334" s="378"/>
      <c r="I334" s="378"/>
      <c r="J334" s="378"/>
      <c r="K334" s="1220"/>
      <c r="L334" s="378"/>
      <c r="M334" s="378"/>
      <c r="N334" s="378" t="str">
        <f t="shared" si="93"/>
        <v/>
      </c>
      <c r="O334" s="378" t="str">
        <f t="shared" si="94"/>
        <v/>
      </c>
      <c r="P334" s="378" t="str">
        <f t="shared" si="95"/>
        <v/>
      </c>
      <c r="Q334" s="378" t="str">
        <f t="shared" si="96"/>
        <v/>
      </c>
      <c r="R334" s="378" t="str">
        <f t="shared" si="97"/>
        <v/>
      </c>
      <c r="S334" s="602">
        <v>320100</v>
      </c>
      <c r="T334" s="378" t="str">
        <f>+IFERROR(VLOOKUP(S334,STAT1!$C$4:$D$189,2,FALSE),"")</f>
        <v>Урьдчилж орсон орлого MNT</v>
      </c>
      <c r="U334" s="1225">
        <v>660000</v>
      </c>
      <c r="V334" s="1216"/>
      <c r="W334" s="326">
        <v>3054</v>
      </c>
      <c r="X334" s="328" t="str">
        <f>IFERROR(VLOOKUP(W334,DATA!$G$4:$H$400,2,FALSE),"")</f>
        <v>3 МЕН ХХК</v>
      </c>
      <c r="Y334" s="1205"/>
      <c r="Z334" s="1205"/>
      <c r="AA334" s="1205"/>
    </row>
    <row r="335" spans="1:27" ht="12.75" customHeight="1">
      <c r="A335" s="15">
        <v>88</v>
      </c>
      <c r="B335" s="369">
        <f t="shared" si="99"/>
        <v>330</v>
      </c>
      <c r="C335" s="427">
        <v>42840</v>
      </c>
      <c r="D335" s="426">
        <v>211504</v>
      </c>
      <c r="E335" s="425" t="str">
        <f t="shared" ca="1" si="98"/>
        <v xml:space="preserve">Н-Евровагонка /зузаан-1.2см/-яртай </v>
      </c>
      <c r="F335" s="428" t="str">
        <f t="shared" ca="1" si="92"/>
        <v>м2</v>
      </c>
      <c r="G335" s="378"/>
      <c r="H335" s="378"/>
      <c r="I335" s="378"/>
      <c r="J335" s="378"/>
      <c r="K335" s="1220"/>
      <c r="L335" s="378">
        <v>1.23</v>
      </c>
      <c r="M335" s="378">
        <v>17960.088</v>
      </c>
      <c r="N335" s="378">
        <f t="shared" si="93"/>
        <v>22090.908240000001</v>
      </c>
      <c r="O335" s="378">
        <f t="shared" si="94"/>
        <v>2209.0908240000003</v>
      </c>
      <c r="P335" s="378">
        <f t="shared" si="95"/>
        <v>24299.999064</v>
      </c>
      <c r="Q335" s="378">
        <f t="shared" ca="1" si="96"/>
        <v>10540.117978141456</v>
      </c>
      <c r="R335" s="378">
        <f t="shared" ca="1" si="97"/>
        <v>12964.34511311399</v>
      </c>
      <c r="S335" s="602">
        <v>150101</v>
      </c>
      <c r="T335" s="378" t="str">
        <f>+IFERROR(VLOOKUP(S335,STAT1!$C$4:$D$189,2,FALSE),"")</f>
        <v>Бараа бэлэн бүтээгдэхүүн БОЛОВСРУУЛАХ ЦЕХ /нарс/</v>
      </c>
      <c r="U335" s="1225"/>
      <c r="V335" s="1216">
        <v>12964.34511311399</v>
      </c>
      <c r="W335" s="326">
        <v>3055</v>
      </c>
      <c r="X335" s="328" t="str">
        <f>IFERROR(VLOOKUP(W335,DATA!$G$4:$H$400,2,FALSE),"")</f>
        <v xml:space="preserve">МЧБС ХХК </v>
      </c>
      <c r="Y335" s="1205"/>
      <c r="Z335" s="1205"/>
      <c r="AA335" s="1205"/>
    </row>
    <row r="336" spans="1:27" ht="12.75" customHeight="1">
      <c r="A336" s="15">
        <v>88</v>
      </c>
      <c r="B336" s="369">
        <f t="shared" si="99"/>
        <v>331</v>
      </c>
      <c r="C336" s="427">
        <v>42840</v>
      </c>
      <c r="D336" s="426"/>
      <c r="E336" s="425" t="str">
        <f t="shared" ca="1" si="98"/>
        <v/>
      </c>
      <c r="F336" s="428" t="str">
        <f t="shared" ca="1" si="92"/>
        <v/>
      </c>
      <c r="G336" s="378"/>
      <c r="H336" s="378"/>
      <c r="I336" s="378"/>
      <c r="J336" s="378"/>
      <c r="K336" s="1220"/>
      <c r="L336" s="378"/>
      <c r="M336" s="378"/>
      <c r="N336" s="378" t="str">
        <f t="shared" si="93"/>
        <v/>
      </c>
      <c r="O336" s="378" t="str">
        <f t="shared" si="94"/>
        <v/>
      </c>
      <c r="P336" s="378" t="str">
        <f t="shared" si="95"/>
        <v/>
      </c>
      <c r="Q336" s="378" t="str">
        <f t="shared" si="96"/>
        <v/>
      </c>
      <c r="R336" s="378" t="str">
        <f t="shared" si="97"/>
        <v/>
      </c>
      <c r="S336" s="602">
        <v>610100</v>
      </c>
      <c r="T336" s="378" t="str">
        <f>+IFERROR(VLOOKUP(S336,STAT1!$C$4:$D$189,2,FALSE),"")</f>
        <v>Борлуулсан барааны өртөг</v>
      </c>
      <c r="U336" s="1216">
        <v>12964.34511311399</v>
      </c>
      <c r="V336" s="1216"/>
      <c r="W336" s="326">
        <v>3055</v>
      </c>
      <c r="X336" s="328" t="str">
        <f>IFERROR(VLOOKUP(W336,DATA!$G$4:$H$400,2,FALSE),"")</f>
        <v xml:space="preserve">МЧБС ХХК </v>
      </c>
      <c r="Y336" s="1205"/>
      <c r="Z336" s="1205"/>
      <c r="AA336" s="1205"/>
    </row>
    <row r="337" spans="1:27" ht="12.75" customHeight="1">
      <c r="A337" s="15">
        <v>88</v>
      </c>
      <c r="B337" s="369">
        <f t="shared" si="99"/>
        <v>332</v>
      </c>
      <c r="C337" s="427">
        <v>42840</v>
      </c>
      <c r="D337" s="426"/>
      <c r="E337" s="425" t="str">
        <f t="shared" ca="1" si="98"/>
        <v/>
      </c>
      <c r="F337" s="428" t="str">
        <f t="shared" ca="1" si="92"/>
        <v/>
      </c>
      <c r="G337" s="378"/>
      <c r="H337" s="378"/>
      <c r="I337" s="378"/>
      <c r="J337" s="378"/>
      <c r="K337" s="1220"/>
      <c r="L337" s="378"/>
      <c r="M337" s="378"/>
      <c r="N337" s="378" t="str">
        <f t="shared" si="93"/>
        <v/>
      </c>
      <c r="O337" s="378" t="str">
        <f t="shared" si="94"/>
        <v/>
      </c>
      <c r="P337" s="378" t="str">
        <f t="shared" si="95"/>
        <v/>
      </c>
      <c r="Q337" s="378" t="str">
        <f t="shared" si="96"/>
        <v/>
      </c>
      <c r="R337" s="378" t="str">
        <f t="shared" si="97"/>
        <v/>
      </c>
      <c r="S337" s="602">
        <v>310500</v>
      </c>
      <c r="T337" s="378" t="str">
        <f>+IFERROR(VLOOKUP(S337,STAT1!$C$4:$D$189,2,FALSE),"")</f>
        <v>НӨАТ өглөг</v>
      </c>
      <c r="U337" s="1225"/>
      <c r="V337" s="1216">
        <v>2209.0908240000003</v>
      </c>
      <c r="W337" s="326">
        <v>3055</v>
      </c>
      <c r="X337" s="328" t="str">
        <f>IFERROR(VLOOKUP(W337,DATA!$G$4:$H$400,2,FALSE),"")</f>
        <v xml:space="preserve">МЧБС ХХК </v>
      </c>
      <c r="Y337" s="1205"/>
      <c r="Z337" s="1205"/>
      <c r="AA337" s="1205"/>
    </row>
    <row r="338" spans="1:27" ht="12.75" customHeight="1">
      <c r="A338" s="15">
        <v>88</v>
      </c>
      <c r="B338" s="369">
        <f t="shared" si="99"/>
        <v>333</v>
      </c>
      <c r="C338" s="427">
        <v>42840</v>
      </c>
      <c r="D338" s="426"/>
      <c r="E338" s="425" t="str">
        <f t="shared" ca="1" si="98"/>
        <v/>
      </c>
      <c r="F338" s="428" t="str">
        <f t="shared" ca="1" si="92"/>
        <v/>
      </c>
      <c r="G338" s="378"/>
      <c r="H338" s="378"/>
      <c r="I338" s="378"/>
      <c r="J338" s="378"/>
      <c r="K338" s="1220"/>
      <c r="L338" s="378"/>
      <c r="M338" s="378"/>
      <c r="N338" s="378" t="str">
        <f t="shared" si="93"/>
        <v/>
      </c>
      <c r="O338" s="378" t="str">
        <f t="shared" si="94"/>
        <v/>
      </c>
      <c r="P338" s="378" t="str">
        <f t="shared" si="95"/>
        <v/>
      </c>
      <c r="Q338" s="378" t="str">
        <f t="shared" si="96"/>
        <v/>
      </c>
      <c r="R338" s="378" t="str">
        <f t="shared" si="97"/>
        <v/>
      </c>
      <c r="S338" s="602">
        <v>510000</v>
      </c>
      <c r="T338" s="378" t="str">
        <f>+IFERROR(VLOOKUP(S338,STAT1!$C$4:$D$189,2,FALSE),"")</f>
        <v>Үндсэн үйл ажиллагааны борлуулалт</v>
      </c>
      <c r="U338" s="1225"/>
      <c r="V338" s="1216">
        <v>22090.908240000001</v>
      </c>
      <c r="W338" s="326">
        <v>3055</v>
      </c>
      <c r="X338" s="328" t="str">
        <f>IFERROR(VLOOKUP(W338,DATA!$G$4:$H$400,2,FALSE),"")</f>
        <v xml:space="preserve">МЧБС ХХК </v>
      </c>
      <c r="Y338" s="1205"/>
      <c r="Z338" s="1205"/>
      <c r="AA338" s="1205"/>
    </row>
    <row r="339" spans="1:27" ht="12.75" customHeight="1">
      <c r="A339" s="15">
        <v>88</v>
      </c>
      <c r="B339" s="369">
        <f t="shared" si="99"/>
        <v>334</v>
      </c>
      <c r="C339" s="427">
        <v>42840</v>
      </c>
      <c r="D339" s="426"/>
      <c r="E339" s="425" t="str">
        <f t="shared" ca="1" si="98"/>
        <v/>
      </c>
      <c r="F339" s="428" t="str">
        <f t="shared" ca="1" si="92"/>
        <v/>
      </c>
      <c r="G339" s="378"/>
      <c r="H339" s="378"/>
      <c r="I339" s="378"/>
      <c r="J339" s="378"/>
      <c r="K339" s="1220"/>
      <c r="L339" s="378"/>
      <c r="M339" s="378"/>
      <c r="N339" s="378" t="str">
        <f t="shared" si="93"/>
        <v/>
      </c>
      <c r="O339" s="378" t="str">
        <f t="shared" si="94"/>
        <v/>
      </c>
      <c r="P339" s="378" t="str">
        <f t="shared" si="95"/>
        <v/>
      </c>
      <c r="Q339" s="378" t="str">
        <f t="shared" si="96"/>
        <v/>
      </c>
      <c r="R339" s="378" t="str">
        <f t="shared" si="97"/>
        <v/>
      </c>
      <c r="S339" s="602">
        <v>320100</v>
      </c>
      <c r="T339" s="378" t="str">
        <f>+IFERROR(VLOOKUP(S339,STAT1!$C$4:$D$189,2,FALSE),"")</f>
        <v>Урьдчилж орсон орлого MNT</v>
      </c>
      <c r="U339" s="1225">
        <v>24299.999064</v>
      </c>
      <c r="V339" s="1216"/>
      <c r="W339" s="326">
        <v>3055</v>
      </c>
      <c r="X339" s="328" t="str">
        <f>IFERROR(VLOOKUP(W339,DATA!$G$4:$H$400,2,FALSE),"")</f>
        <v xml:space="preserve">МЧБС ХХК </v>
      </c>
      <c r="Y339" s="1205"/>
      <c r="Z339" s="1205"/>
      <c r="AA339" s="1205"/>
    </row>
    <row r="340" spans="1:27" ht="12.75" customHeight="1">
      <c r="A340" s="15">
        <v>89</v>
      </c>
      <c r="B340" s="369">
        <f t="shared" si="99"/>
        <v>335</v>
      </c>
      <c r="C340" s="427">
        <v>42841</v>
      </c>
      <c r="D340" s="426"/>
      <c r="E340" s="425"/>
      <c r="F340" s="428"/>
      <c r="G340" s="378"/>
      <c r="H340" s="378"/>
      <c r="I340" s="378"/>
      <c r="J340" s="378"/>
      <c r="K340" s="1220"/>
      <c r="L340" s="378"/>
      <c r="M340" s="378"/>
      <c r="N340" s="378"/>
      <c r="O340" s="378"/>
      <c r="P340" s="378"/>
      <c r="Q340" s="378"/>
      <c r="R340" s="378"/>
      <c r="S340" s="602">
        <v>150100</v>
      </c>
      <c r="T340" s="378" t="str">
        <f>+IFERROR(VLOOKUP(S340,STAT1!$C$4:$D$189,2,FALSE),"")</f>
        <v>Бараа бэлэн бүтээгдэхүүн ХАТААХ ЦЕХ /нарс/</v>
      </c>
      <c r="U340" s="1225"/>
      <c r="V340" s="1216">
        <v>127924805.86260495</v>
      </c>
      <c r="W340" s="326">
        <v>1006</v>
      </c>
      <c r="X340" s="328" t="str">
        <f>IFERROR(VLOOKUP(W340,DATA!$G$4:$H$400,2,FALSE),"")</f>
        <v>Оюундэлгэр /нярав/</v>
      </c>
      <c r="Y340" s="1205"/>
      <c r="Z340" s="1205"/>
      <c r="AA340" s="1205"/>
    </row>
    <row r="341" spans="1:27" ht="12.75" customHeight="1">
      <c r="A341" s="15">
        <v>105</v>
      </c>
      <c r="B341" s="369">
        <f t="shared" si="99"/>
        <v>336</v>
      </c>
      <c r="C341" s="427">
        <v>42841</v>
      </c>
      <c r="D341" s="426">
        <v>310001</v>
      </c>
      <c r="E341" s="425" t="str">
        <f t="shared" ref="E341:E351" ca="1" si="100">+IFERROR(VLOOKUP(D341,TN_table,2,FALSE),"")</f>
        <v xml:space="preserve">Хатаасан нарсан банз </v>
      </c>
      <c r="F341" s="428" t="str">
        <f t="shared" ref="F341:F352" ca="1" si="101">+IFERROR(VLOOKUP(D341,TN_table,3,FALSE),"")</f>
        <v>м3</v>
      </c>
      <c r="G341" s="378"/>
      <c r="H341" s="378"/>
      <c r="I341" s="378"/>
      <c r="J341" s="378"/>
      <c r="K341" s="1220"/>
      <c r="L341" s="378">
        <v>360</v>
      </c>
      <c r="M341" s="378"/>
      <c r="N341" s="378">
        <f t="shared" ref="N341:N352" si="102">+IF(L341="","",L341*M341)</f>
        <v>0</v>
      </c>
      <c r="O341" s="378">
        <f t="shared" ref="O341:O352" si="103">+IF(L341="","",N341*0.1)</f>
        <v>0</v>
      </c>
      <c r="P341" s="378">
        <f t="shared" ref="P341:P352" si="104">+IF(L341="","",N341+O341)</f>
        <v>0</v>
      </c>
      <c r="Q341" s="378">
        <f t="shared" ref="Q341:Q352" ca="1" si="105">IF(L341="","",IFERROR((SUMIFS(TN_balC1_totol,TN_code,D341)+SUMIFS(RC_or_totol,RC_Code,D341,RC_date,"&lt;="&amp;C341)-SUMIFS(RC_zar_totol,RC_Code,D341,RC_date,"&lt;"&amp;C341)) /( SUMIFS(TN_balC1_unit,TN_code,D341)+SUMIFS(RC_or_unit,RC_Code,D341,RC_date,"&lt;="&amp;C341)-SUMIFS(RC_zar_unit,RC_Code,D341,RC_date,"&lt;"&amp;C341)),0 ))</f>
        <v>488587.35999999981</v>
      </c>
      <c r="R341" s="378">
        <f t="shared" ref="R341:R352" ca="1" si="106">+IF(L341="","",L341*Q341)</f>
        <v>175891449.59999993</v>
      </c>
      <c r="S341" s="602">
        <v>140201</v>
      </c>
      <c r="T341" s="378" t="str">
        <f>+IFERROR(VLOOKUP(S341,STAT1!$C$4:$D$189,2,FALSE),"")</f>
        <v>ШМЗардал БОЛОВСРУУЛАХ ЦЕХ /нарс/</v>
      </c>
      <c r="U341" s="1225">
        <v>127924805.86260495</v>
      </c>
      <c r="V341" s="1216"/>
      <c r="W341" s="326">
        <v>1006</v>
      </c>
      <c r="X341" s="328" t="str">
        <f>IFERROR(VLOOKUP(W341,DATA!$G$4:$H$400,2,FALSE),"")</f>
        <v>Оюундэлгэр /нярав/</v>
      </c>
      <c r="Y341" s="1205"/>
      <c r="Z341" s="1205"/>
      <c r="AA341" s="1205"/>
    </row>
    <row r="342" spans="1:27" ht="12.75" customHeight="1">
      <c r="A342" s="15">
        <v>89</v>
      </c>
      <c r="B342" s="369">
        <f t="shared" si="99"/>
        <v>337</v>
      </c>
      <c r="C342" s="427">
        <v>42845</v>
      </c>
      <c r="D342" s="426">
        <v>210003</v>
      </c>
      <c r="E342" s="425" t="str">
        <f t="shared" ca="1" si="100"/>
        <v>Н-Наамал дүнз</v>
      </c>
      <c r="F342" s="428" t="str">
        <f t="shared" ca="1" si="101"/>
        <v>м2</v>
      </c>
      <c r="G342" s="378"/>
      <c r="H342" s="378"/>
      <c r="I342" s="378"/>
      <c r="J342" s="378"/>
      <c r="K342" s="1220"/>
      <c r="L342" s="378">
        <v>8.77</v>
      </c>
      <c r="M342" s="378">
        <v>254654.2966</v>
      </c>
      <c r="N342" s="378">
        <f t="shared" si="102"/>
        <v>2233318.1811819999</v>
      </c>
      <c r="O342" s="378">
        <f t="shared" si="103"/>
        <v>223331.8181182</v>
      </c>
      <c r="P342" s="378">
        <f t="shared" si="104"/>
        <v>2456649.9993002</v>
      </c>
      <c r="Q342" s="378">
        <f t="shared" ca="1" si="105"/>
        <v>191123.5667321017</v>
      </c>
      <c r="R342" s="378">
        <f t="shared" ca="1" si="106"/>
        <v>1676153.6802405317</v>
      </c>
      <c r="S342" s="602">
        <v>150101</v>
      </c>
      <c r="T342" s="378" t="str">
        <f>+IFERROR(VLOOKUP(S342,STAT1!$C$4:$D$189,2,FALSE),"")</f>
        <v>Бараа бэлэн бүтээгдэхүүн БОЛОВСРУУЛАХ ЦЕХ /нарс/</v>
      </c>
      <c r="U342" s="1225"/>
      <c r="V342" s="1216">
        <v>1676153.6802405317</v>
      </c>
      <c r="W342" s="326">
        <v>3039</v>
      </c>
      <c r="X342" s="328" t="str">
        <f>IFERROR(VLOOKUP(W342,DATA!$G$4:$H$400,2,FALSE),"")</f>
        <v xml:space="preserve">САССИР ХХК </v>
      </c>
      <c r="Y342" s="1205"/>
      <c r="Z342" s="1205"/>
      <c r="AA342" s="1205"/>
    </row>
    <row r="343" spans="1:27" ht="12.75" customHeight="1">
      <c r="A343" s="15">
        <v>90</v>
      </c>
      <c r="B343" s="369">
        <f t="shared" si="99"/>
        <v>338</v>
      </c>
      <c r="C343" s="427">
        <v>42845</v>
      </c>
      <c r="D343" s="426"/>
      <c r="E343" s="425" t="str">
        <f t="shared" ca="1" si="100"/>
        <v/>
      </c>
      <c r="F343" s="428" t="str">
        <f t="shared" ca="1" si="101"/>
        <v/>
      </c>
      <c r="G343" s="378"/>
      <c r="H343" s="378"/>
      <c r="I343" s="378"/>
      <c r="J343" s="378"/>
      <c r="K343" s="1220"/>
      <c r="L343" s="378"/>
      <c r="M343" s="378"/>
      <c r="N343" s="378" t="str">
        <f t="shared" si="102"/>
        <v/>
      </c>
      <c r="O343" s="378" t="str">
        <f t="shared" si="103"/>
        <v/>
      </c>
      <c r="P343" s="378" t="str">
        <f t="shared" si="104"/>
        <v/>
      </c>
      <c r="Q343" s="378" t="str">
        <f t="shared" si="105"/>
        <v/>
      </c>
      <c r="R343" s="378" t="str">
        <f t="shared" si="106"/>
        <v/>
      </c>
      <c r="S343" s="602">
        <v>610100</v>
      </c>
      <c r="T343" s="378" t="str">
        <f>+IFERROR(VLOOKUP(S343,STAT1!$C$4:$D$189,2,FALSE),"")</f>
        <v>Борлуулсан барааны өртөг</v>
      </c>
      <c r="U343" s="1225">
        <v>1676153.6802405317</v>
      </c>
      <c r="V343" s="1216"/>
      <c r="W343" s="326">
        <v>3039</v>
      </c>
      <c r="X343" s="328" t="str">
        <f>IFERROR(VLOOKUP(W343,DATA!$G$4:$H$400,2,FALSE),"")</f>
        <v xml:space="preserve">САССИР ХХК </v>
      </c>
      <c r="Y343" s="1205"/>
      <c r="Z343" s="1205"/>
      <c r="AA343" s="1205"/>
    </row>
    <row r="344" spans="1:27" ht="12.75" customHeight="1">
      <c r="A344" s="15">
        <v>90</v>
      </c>
      <c r="B344" s="369">
        <f t="shared" si="99"/>
        <v>339</v>
      </c>
      <c r="C344" s="427">
        <v>42845</v>
      </c>
      <c r="D344" s="426"/>
      <c r="E344" s="425" t="str">
        <f t="shared" ca="1" si="100"/>
        <v/>
      </c>
      <c r="F344" s="428" t="str">
        <f t="shared" ca="1" si="101"/>
        <v/>
      </c>
      <c r="G344" s="378"/>
      <c r="H344" s="378"/>
      <c r="I344" s="378"/>
      <c r="J344" s="378"/>
      <c r="K344" s="1220"/>
      <c r="L344" s="378"/>
      <c r="M344" s="378"/>
      <c r="N344" s="378" t="str">
        <f t="shared" si="102"/>
        <v/>
      </c>
      <c r="O344" s="378" t="str">
        <f t="shared" si="103"/>
        <v/>
      </c>
      <c r="P344" s="378" t="str">
        <f t="shared" si="104"/>
        <v/>
      </c>
      <c r="Q344" s="378" t="str">
        <f t="shared" si="105"/>
        <v/>
      </c>
      <c r="R344" s="378" t="str">
        <f t="shared" si="106"/>
        <v/>
      </c>
      <c r="S344" s="602">
        <v>310500</v>
      </c>
      <c r="T344" s="378" t="str">
        <f>+IFERROR(VLOOKUP(S344,STAT1!$C$4:$D$189,2,FALSE),"")</f>
        <v>НӨАТ өглөг</v>
      </c>
      <c r="U344" s="1225"/>
      <c r="V344" s="1216">
        <v>223331.8181182</v>
      </c>
      <c r="W344" s="326">
        <v>3039</v>
      </c>
      <c r="X344" s="328" t="str">
        <f>IFERROR(VLOOKUP(W344,DATA!$G$4:$H$400,2,FALSE),"")</f>
        <v xml:space="preserve">САССИР ХХК </v>
      </c>
      <c r="Y344" s="1205"/>
      <c r="Z344" s="1205"/>
      <c r="AA344" s="1205"/>
    </row>
    <row r="345" spans="1:27" ht="12.75" customHeight="1">
      <c r="A345" s="15">
        <v>90</v>
      </c>
      <c r="B345" s="369">
        <f t="shared" si="99"/>
        <v>340</v>
      </c>
      <c r="C345" s="427">
        <v>42845</v>
      </c>
      <c r="D345" s="426"/>
      <c r="E345" s="425" t="str">
        <f t="shared" ca="1" si="100"/>
        <v/>
      </c>
      <c r="F345" s="428" t="str">
        <f t="shared" ca="1" si="101"/>
        <v/>
      </c>
      <c r="G345" s="378"/>
      <c r="H345" s="378"/>
      <c r="I345" s="378"/>
      <c r="J345" s="378"/>
      <c r="K345" s="1220"/>
      <c r="L345" s="378"/>
      <c r="M345" s="378"/>
      <c r="N345" s="378" t="str">
        <f t="shared" si="102"/>
        <v/>
      </c>
      <c r="O345" s="378" t="str">
        <f t="shared" si="103"/>
        <v/>
      </c>
      <c r="P345" s="378" t="str">
        <f t="shared" si="104"/>
        <v/>
      </c>
      <c r="Q345" s="378" t="str">
        <f t="shared" si="105"/>
        <v/>
      </c>
      <c r="R345" s="378" t="str">
        <f t="shared" si="106"/>
        <v/>
      </c>
      <c r="S345" s="602">
        <v>510000</v>
      </c>
      <c r="T345" s="378" t="str">
        <f>+IFERROR(VLOOKUP(S345,STAT1!$C$4:$D$189,2,FALSE),"")</f>
        <v>Үндсэн үйл ажиллагааны борлуулалт</v>
      </c>
      <c r="U345" s="1225"/>
      <c r="V345" s="1216">
        <v>2233318.1811819999</v>
      </c>
      <c r="W345" s="326">
        <v>3039</v>
      </c>
      <c r="X345" s="328" t="str">
        <f>IFERROR(VLOOKUP(W345,DATA!$G$4:$H$400,2,FALSE),"")</f>
        <v xml:space="preserve">САССИР ХХК </v>
      </c>
      <c r="Y345" s="1205"/>
      <c r="Z345" s="1205"/>
      <c r="AA345" s="1205"/>
    </row>
    <row r="346" spans="1:27" ht="12.75" customHeight="1">
      <c r="A346" s="15">
        <v>90</v>
      </c>
      <c r="B346" s="369">
        <f t="shared" si="99"/>
        <v>341</v>
      </c>
      <c r="C346" s="427">
        <v>42845</v>
      </c>
      <c r="D346" s="426"/>
      <c r="E346" s="425" t="str">
        <f t="shared" ca="1" si="100"/>
        <v/>
      </c>
      <c r="F346" s="428" t="str">
        <f t="shared" ca="1" si="101"/>
        <v/>
      </c>
      <c r="G346" s="378"/>
      <c r="H346" s="378"/>
      <c r="I346" s="378"/>
      <c r="J346" s="378"/>
      <c r="K346" s="1220"/>
      <c r="L346" s="378"/>
      <c r="M346" s="378"/>
      <c r="N346" s="378" t="str">
        <f t="shared" si="102"/>
        <v/>
      </c>
      <c r="O346" s="378" t="str">
        <f t="shared" si="103"/>
        <v/>
      </c>
      <c r="P346" s="378" t="str">
        <f t="shared" si="104"/>
        <v/>
      </c>
      <c r="Q346" s="378" t="str">
        <f t="shared" si="105"/>
        <v/>
      </c>
      <c r="R346" s="378" t="str">
        <f t="shared" si="106"/>
        <v/>
      </c>
      <c r="S346" s="602">
        <v>320100</v>
      </c>
      <c r="T346" s="378" t="str">
        <f>+IFERROR(VLOOKUP(S346,STAT1!$C$4:$D$189,2,FALSE),"")</f>
        <v>Урьдчилж орсон орлого MNT</v>
      </c>
      <c r="U346" s="1225">
        <v>2456649.9993002</v>
      </c>
      <c r="V346" s="1216"/>
      <c r="W346" s="326">
        <v>3039</v>
      </c>
      <c r="X346" s="328" t="str">
        <f>IFERROR(VLOOKUP(W346,DATA!$G$4:$H$400,2,FALSE),"")</f>
        <v xml:space="preserve">САССИР ХХК </v>
      </c>
      <c r="Y346" s="1205"/>
      <c r="Z346" s="1205"/>
      <c r="AA346" s="1205"/>
    </row>
    <row r="347" spans="1:27" ht="12.75" customHeight="1">
      <c r="A347" s="15">
        <v>90</v>
      </c>
      <c r="B347" s="369">
        <f t="shared" si="99"/>
        <v>342</v>
      </c>
      <c r="C347" s="427">
        <v>42845</v>
      </c>
      <c r="D347" s="426">
        <v>211713</v>
      </c>
      <c r="E347" s="425" t="str">
        <f t="shared" ca="1" si="100"/>
        <v>Н-Хавтан /зузаан-2см/</v>
      </c>
      <c r="F347" s="428" t="str">
        <f t="shared" ca="1" si="101"/>
        <v>м2</v>
      </c>
      <c r="G347" s="378"/>
      <c r="H347" s="378"/>
      <c r="I347" s="378"/>
      <c r="J347" s="378"/>
      <c r="K347" s="1220"/>
      <c r="L347" s="378">
        <v>44.164999999999999</v>
      </c>
      <c r="M347" s="378">
        <v>30000</v>
      </c>
      <c r="N347" s="378">
        <f t="shared" si="102"/>
        <v>1324950</v>
      </c>
      <c r="O347" s="378">
        <f t="shared" si="103"/>
        <v>132495</v>
      </c>
      <c r="P347" s="378">
        <f t="shared" si="104"/>
        <v>1457445</v>
      </c>
      <c r="Q347" s="378">
        <f t="shared" ca="1" si="105"/>
        <v>20836.299698816012</v>
      </c>
      <c r="R347" s="378">
        <f t="shared" ca="1" si="106"/>
        <v>920235.17619820917</v>
      </c>
      <c r="S347" s="602">
        <v>150101</v>
      </c>
      <c r="T347" s="378" t="str">
        <f>+IFERROR(VLOOKUP(S347,STAT1!$C$4:$D$189,2,FALSE),"")</f>
        <v>Бараа бэлэн бүтээгдэхүүн БОЛОВСРУУЛАХ ЦЕХ /нарс/</v>
      </c>
      <c r="U347" s="1225"/>
      <c r="V347" s="1216">
        <v>920235.17619820917</v>
      </c>
      <c r="W347" s="326">
        <v>3002</v>
      </c>
      <c r="X347" s="328" t="str">
        <f>IFERROR(VLOOKUP(W347,DATA!$G$4:$H$400,2,FALSE),"")</f>
        <v>ЭКО КОНСТРАКШН ХХК</v>
      </c>
      <c r="Y347" s="1205"/>
      <c r="Z347" s="1205"/>
      <c r="AA347" s="1205"/>
    </row>
    <row r="348" spans="1:27" ht="12.75" customHeight="1">
      <c r="A348" s="15">
        <v>91</v>
      </c>
      <c r="B348" s="369">
        <f t="shared" si="99"/>
        <v>343</v>
      </c>
      <c r="C348" s="427">
        <v>42845</v>
      </c>
      <c r="D348" s="426"/>
      <c r="E348" s="425" t="str">
        <f t="shared" ca="1" si="100"/>
        <v/>
      </c>
      <c r="F348" s="428" t="str">
        <f t="shared" ca="1" si="101"/>
        <v/>
      </c>
      <c r="G348" s="378"/>
      <c r="H348" s="378"/>
      <c r="I348" s="378"/>
      <c r="J348" s="378"/>
      <c r="K348" s="1220"/>
      <c r="L348" s="378"/>
      <c r="M348" s="378"/>
      <c r="N348" s="378" t="str">
        <f t="shared" si="102"/>
        <v/>
      </c>
      <c r="O348" s="378" t="str">
        <f t="shared" si="103"/>
        <v/>
      </c>
      <c r="P348" s="378" t="str">
        <f t="shared" si="104"/>
        <v/>
      </c>
      <c r="Q348" s="378" t="str">
        <f t="shared" si="105"/>
        <v/>
      </c>
      <c r="R348" s="378" t="str">
        <f t="shared" si="106"/>
        <v/>
      </c>
      <c r="S348" s="602">
        <v>610100</v>
      </c>
      <c r="T348" s="378" t="str">
        <f>+IFERROR(VLOOKUP(S348,STAT1!$C$4:$D$189,2,FALSE),"")</f>
        <v>Борлуулсан барааны өртөг</v>
      </c>
      <c r="U348" s="1216">
        <v>920235.17619820917</v>
      </c>
      <c r="V348" s="1216"/>
      <c r="W348" s="326">
        <v>3002</v>
      </c>
      <c r="X348" s="328" t="str">
        <f>IFERROR(VLOOKUP(W348,DATA!$G$4:$H$400,2,FALSE),"")</f>
        <v>ЭКО КОНСТРАКШН ХХК</v>
      </c>
      <c r="Y348" s="1205"/>
      <c r="Z348" s="1205"/>
      <c r="AA348" s="1205"/>
    </row>
    <row r="349" spans="1:27" ht="12.75" customHeight="1">
      <c r="A349" s="15">
        <v>91</v>
      </c>
      <c r="B349" s="369">
        <f t="shared" si="99"/>
        <v>344</v>
      </c>
      <c r="C349" s="427">
        <v>42845</v>
      </c>
      <c r="D349" s="426"/>
      <c r="E349" s="425" t="str">
        <f t="shared" ca="1" si="100"/>
        <v/>
      </c>
      <c r="F349" s="428" t="str">
        <f t="shared" ca="1" si="101"/>
        <v/>
      </c>
      <c r="G349" s="378"/>
      <c r="H349" s="378"/>
      <c r="I349" s="378"/>
      <c r="J349" s="378"/>
      <c r="K349" s="1220"/>
      <c r="L349" s="378"/>
      <c r="M349" s="378"/>
      <c r="N349" s="378" t="str">
        <f t="shared" si="102"/>
        <v/>
      </c>
      <c r="O349" s="378" t="str">
        <f t="shared" si="103"/>
        <v/>
      </c>
      <c r="P349" s="378" t="str">
        <f t="shared" si="104"/>
        <v/>
      </c>
      <c r="Q349" s="378" t="str">
        <f t="shared" si="105"/>
        <v/>
      </c>
      <c r="R349" s="378" t="str">
        <f t="shared" si="106"/>
        <v/>
      </c>
      <c r="S349" s="602">
        <v>310500</v>
      </c>
      <c r="T349" s="378" t="str">
        <f>+IFERROR(VLOOKUP(S349,STAT1!$C$4:$D$189,2,FALSE),"")</f>
        <v>НӨАТ өглөг</v>
      </c>
      <c r="U349" s="1225"/>
      <c r="V349" s="1216">
        <v>132495</v>
      </c>
      <c r="W349" s="326">
        <v>3002</v>
      </c>
      <c r="X349" s="328" t="str">
        <f>IFERROR(VLOOKUP(W349,DATA!$G$4:$H$400,2,FALSE),"")</f>
        <v>ЭКО КОНСТРАКШН ХХК</v>
      </c>
      <c r="Y349" s="1205"/>
      <c r="Z349" s="1205"/>
      <c r="AA349" s="1205"/>
    </row>
    <row r="350" spans="1:27" ht="12.75" customHeight="1">
      <c r="A350" s="15">
        <v>91</v>
      </c>
      <c r="B350" s="369">
        <f t="shared" si="99"/>
        <v>345</v>
      </c>
      <c r="C350" s="427">
        <v>42845</v>
      </c>
      <c r="D350" s="426"/>
      <c r="E350" s="425" t="str">
        <f t="shared" ca="1" si="100"/>
        <v/>
      </c>
      <c r="F350" s="428" t="str">
        <f t="shared" ca="1" si="101"/>
        <v/>
      </c>
      <c r="G350" s="378"/>
      <c r="H350" s="378"/>
      <c r="I350" s="378"/>
      <c r="J350" s="378"/>
      <c r="K350" s="1220"/>
      <c r="L350" s="378"/>
      <c r="M350" s="378"/>
      <c r="N350" s="378" t="str">
        <f t="shared" si="102"/>
        <v/>
      </c>
      <c r="O350" s="378" t="str">
        <f t="shared" si="103"/>
        <v/>
      </c>
      <c r="P350" s="378" t="str">
        <f t="shared" si="104"/>
        <v/>
      </c>
      <c r="Q350" s="378" t="str">
        <f t="shared" si="105"/>
        <v/>
      </c>
      <c r="R350" s="378" t="str">
        <f t="shared" si="106"/>
        <v/>
      </c>
      <c r="S350" s="602">
        <v>510000</v>
      </c>
      <c r="T350" s="378" t="str">
        <f>+IFERROR(VLOOKUP(S350,STAT1!$C$4:$D$189,2,FALSE),"")</f>
        <v>Үндсэн үйл ажиллагааны борлуулалт</v>
      </c>
      <c r="U350" s="1225"/>
      <c r="V350" s="1216">
        <v>1324950</v>
      </c>
      <c r="W350" s="326">
        <v>3002</v>
      </c>
      <c r="X350" s="328" t="str">
        <f>IFERROR(VLOOKUP(W350,DATA!$G$4:$H$400,2,FALSE),"")</f>
        <v>ЭКО КОНСТРАКШН ХХК</v>
      </c>
      <c r="Y350" s="1205"/>
      <c r="Z350" s="1205"/>
      <c r="AA350" s="1205"/>
    </row>
    <row r="351" spans="1:27" ht="12.75" customHeight="1">
      <c r="A351" s="15">
        <v>91</v>
      </c>
      <c r="B351" s="369">
        <f t="shared" si="99"/>
        <v>346</v>
      </c>
      <c r="C351" s="427">
        <v>42845</v>
      </c>
      <c r="D351" s="426"/>
      <c r="E351" s="425" t="str">
        <f t="shared" ca="1" si="100"/>
        <v/>
      </c>
      <c r="F351" s="428" t="str">
        <f t="shared" ca="1" si="101"/>
        <v/>
      </c>
      <c r="G351" s="378"/>
      <c r="H351" s="378"/>
      <c r="I351" s="378"/>
      <c r="J351" s="378"/>
      <c r="K351" s="1220"/>
      <c r="L351" s="378"/>
      <c r="M351" s="378"/>
      <c r="N351" s="378" t="str">
        <f t="shared" si="102"/>
        <v/>
      </c>
      <c r="O351" s="378" t="str">
        <f t="shared" si="103"/>
        <v/>
      </c>
      <c r="P351" s="378" t="str">
        <f t="shared" si="104"/>
        <v/>
      </c>
      <c r="Q351" s="378" t="str">
        <f t="shared" si="105"/>
        <v/>
      </c>
      <c r="R351" s="378" t="str">
        <f t="shared" si="106"/>
        <v/>
      </c>
      <c r="S351" s="602">
        <v>320100</v>
      </c>
      <c r="T351" s="378" t="str">
        <f>+IFERROR(VLOOKUP(S351,STAT1!$C$4:$D$189,2,FALSE),"")</f>
        <v>Урьдчилж орсон орлого MNT</v>
      </c>
      <c r="U351" s="1225">
        <v>1457445</v>
      </c>
      <c r="V351" s="1216"/>
      <c r="W351" s="326">
        <v>3002</v>
      </c>
      <c r="X351" s="328" t="str">
        <f>IFERROR(VLOOKUP(W351,DATA!$G$4:$H$400,2,FALSE),"")</f>
        <v>ЭКО КОНСТРАКШН ХХК</v>
      </c>
      <c r="Y351" s="1205"/>
      <c r="Z351" s="1205"/>
      <c r="AA351" s="1205"/>
    </row>
    <row r="352" spans="1:27" ht="12.75" customHeight="1">
      <c r="A352" s="15">
        <v>91</v>
      </c>
      <c r="B352" s="369">
        <f t="shared" si="99"/>
        <v>347</v>
      </c>
      <c r="C352" s="427">
        <v>42845</v>
      </c>
      <c r="D352" s="426">
        <v>131027</v>
      </c>
      <c r="E352" s="425" t="s">
        <v>1651</v>
      </c>
      <c r="F352" s="428" t="str">
        <f t="shared" ca="1" si="101"/>
        <v>м3</v>
      </c>
      <c r="G352" s="378"/>
      <c r="H352" s="378"/>
      <c r="I352" s="378"/>
      <c r="J352" s="378"/>
      <c r="K352" s="1220"/>
      <c r="L352" s="378">
        <v>114.02</v>
      </c>
      <c r="M352" s="378"/>
      <c r="N352" s="378">
        <f t="shared" si="102"/>
        <v>0</v>
      </c>
      <c r="O352" s="378">
        <f t="shared" si="103"/>
        <v>0</v>
      </c>
      <c r="P352" s="378">
        <f t="shared" si="104"/>
        <v>0</v>
      </c>
      <c r="Q352" s="378">
        <f t="shared" ca="1" si="105"/>
        <v>272953.09000000003</v>
      </c>
      <c r="R352" s="378">
        <f t="shared" ca="1" si="106"/>
        <v>31122111.321800001</v>
      </c>
      <c r="S352" s="602">
        <v>140200</v>
      </c>
      <c r="T352" s="378" t="str">
        <f>+IFERROR(VLOOKUP(S352,STAT1!$C$4:$D$189,2,FALSE),"")</f>
        <v>ШМЗардал ХАТААХ ЦЕХ /нарс/</v>
      </c>
      <c r="U352" s="1225">
        <v>31122111.321800001</v>
      </c>
      <c r="V352" s="1216"/>
      <c r="W352" s="326">
        <v>1006</v>
      </c>
      <c r="X352" s="328" t="str">
        <f>IFERROR(VLOOKUP(W352,DATA!$G$4:$H$400,2,FALSE),"")</f>
        <v>Оюундэлгэр /нярав/</v>
      </c>
      <c r="Y352" s="1205"/>
      <c r="Z352" s="1205"/>
      <c r="AA352" s="1205"/>
    </row>
    <row r="353" spans="1:27" ht="12.75" customHeight="1">
      <c r="A353" s="15">
        <v>92</v>
      </c>
      <c r="B353" s="369">
        <f t="shared" si="99"/>
        <v>348</v>
      </c>
      <c r="C353" s="427">
        <v>42845</v>
      </c>
      <c r="D353" s="426"/>
      <c r="E353" s="425"/>
      <c r="F353" s="428"/>
      <c r="G353" s="378"/>
      <c r="H353" s="378"/>
      <c r="I353" s="378"/>
      <c r="J353" s="378"/>
      <c r="K353" s="1220"/>
      <c r="L353" s="378"/>
      <c r="M353" s="378"/>
      <c r="N353" s="378"/>
      <c r="O353" s="378"/>
      <c r="P353" s="378"/>
      <c r="Q353" s="378"/>
      <c r="R353" s="378"/>
      <c r="S353" s="602">
        <v>140100</v>
      </c>
      <c r="T353" s="378" t="str">
        <f>+IFERROR(VLOOKUP(S353,STAT1!$C$4:$D$189,2,FALSE),"")</f>
        <v>Түүхий эд материал</v>
      </c>
      <c r="U353" s="1225"/>
      <c r="V353" s="1216">
        <v>31122111.321800001</v>
      </c>
      <c r="W353" s="326">
        <v>1006</v>
      </c>
      <c r="X353" s="328" t="str">
        <f>IFERROR(VLOOKUP(W353,DATA!$G$4:$H$400,2,FALSE),"")</f>
        <v>Оюундэлгэр /нярав/</v>
      </c>
      <c r="Y353" s="1205"/>
      <c r="Z353" s="1205"/>
      <c r="AA353" s="1205"/>
    </row>
    <row r="354" spans="1:27" ht="12.75" customHeight="1">
      <c r="A354" s="15">
        <v>92</v>
      </c>
      <c r="B354" s="369">
        <f t="shared" si="99"/>
        <v>349</v>
      </c>
      <c r="C354" s="427">
        <v>42845</v>
      </c>
      <c r="D354" s="426">
        <v>131018</v>
      </c>
      <c r="E354" s="425" t="s">
        <v>1648</v>
      </c>
      <c r="F354" s="428" t="str">
        <f ca="1">+IFERROR(VLOOKUP(D354,TN_table,3,FALSE),"")</f>
        <v>м3</v>
      </c>
      <c r="G354" s="378"/>
      <c r="H354" s="378"/>
      <c r="I354" s="378"/>
      <c r="J354" s="378"/>
      <c r="K354" s="1220"/>
      <c r="L354" s="378">
        <v>251</v>
      </c>
      <c r="M354" s="378"/>
      <c r="N354" s="378">
        <f>+IF(L354="","",L354*M354)</f>
        <v>0</v>
      </c>
      <c r="O354" s="378">
        <f>+IF(L354="","",N354*0.1)</f>
        <v>0</v>
      </c>
      <c r="P354" s="378">
        <f>+IF(L354="","",N354+O354)</f>
        <v>0</v>
      </c>
      <c r="Q354" s="378">
        <f ca="1">IF(L354="","",IFERROR((SUMIFS(TN_balC1_totol,TN_code,D354)+SUMIFS(RC_or_totol,RC_Code,D354,RC_date,"&lt;="&amp;C354)-SUMIFS(RC_zar_totol,RC_Code,D354,RC_date,"&lt;"&amp;C354)) /( SUMIFS(TN_balC1_unit,TN_code,D354)+SUMIFS(RC_or_unit,RC_Code,D354,RC_date,"&lt;="&amp;C354)-SUMIFS(RC_zar_unit,RC_Code,D354,RC_date,"&lt;"&amp;C354)),0 ))</f>
        <v>302568.68045867624</v>
      </c>
      <c r="R354" s="378">
        <f ca="1">+IF(L354="","",L354*Q354)</f>
        <v>75944738.795127735</v>
      </c>
      <c r="S354" s="602">
        <v>140200</v>
      </c>
      <c r="T354" s="378" t="str">
        <f>+IFERROR(VLOOKUP(S354,STAT1!$C$4:$D$189,2,FALSE),"")</f>
        <v>ШМЗардал ХАТААХ ЦЕХ /нарс/</v>
      </c>
      <c r="U354" s="1225">
        <v>75944738.795127735</v>
      </c>
      <c r="V354" s="1216"/>
      <c r="W354" s="326">
        <v>1006</v>
      </c>
      <c r="X354" s="328" t="str">
        <f>IFERROR(VLOOKUP(W354,DATA!$G$4:$H$400,2,FALSE),"")</f>
        <v>Оюундэлгэр /нярав/</v>
      </c>
      <c r="Y354" s="1205"/>
      <c r="Z354" s="1205"/>
      <c r="AA354" s="1205"/>
    </row>
    <row r="355" spans="1:27" ht="12.75" customHeight="1">
      <c r="A355" s="15">
        <v>93</v>
      </c>
      <c r="B355" s="369">
        <f t="shared" si="99"/>
        <v>350</v>
      </c>
      <c r="C355" s="427">
        <v>42845</v>
      </c>
      <c r="D355" s="426"/>
      <c r="E355" s="425"/>
      <c r="F355" s="428"/>
      <c r="G355" s="378"/>
      <c r="H355" s="378"/>
      <c r="I355" s="378"/>
      <c r="J355" s="378"/>
      <c r="K355" s="1220"/>
      <c r="L355" s="378"/>
      <c r="M355" s="378"/>
      <c r="N355" s="378"/>
      <c r="O355" s="378"/>
      <c r="P355" s="378"/>
      <c r="Q355" s="378"/>
      <c r="R355" s="378"/>
      <c r="S355" s="602">
        <v>140100</v>
      </c>
      <c r="T355" s="378" t="str">
        <f>+IFERROR(VLOOKUP(S355,STAT1!$C$4:$D$189,2,FALSE),"")</f>
        <v>Түүхий эд материал</v>
      </c>
      <c r="U355" s="1225"/>
      <c r="V355" s="1216">
        <v>75944738.795127735</v>
      </c>
      <c r="W355" s="326">
        <v>1006</v>
      </c>
      <c r="X355" s="328" t="str">
        <f>IFERROR(VLOOKUP(W355,DATA!$G$4:$H$400,2,FALSE),"")</f>
        <v>Оюундэлгэр /нярав/</v>
      </c>
      <c r="Y355" s="1205"/>
      <c r="Z355" s="1205"/>
      <c r="AA355" s="1205"/>
    </row>
    <row r="356" spans="1:27" ht="12.75" customHeight="1">
      <c r="A356" s="15">
        <v>93</v>
      </c>
      <c r="B356" s="369">
        <f t="shared" si="99"/>
        <v>351</v>
      </c>
      <c r="C356" s="427">
        <v>42848</v>
      </c>
      <c r="D356" s="426">
        <v>211715</v>
      </c>
      <c r="E356" s="425" t="s">
        <v>1646</v>
      </c>
      <c r="F356" s="428" t="str">
        <f t="shared" ref="F356:F396" ca="1" si="107">+IFERROR(VLOOKUP(D356,TN_table,3,FALSE),"")</f>
        <v>м2</v>
      </c>
      <c r="G356" s="378"/>
      <c r="H356" s="378"/>
      <c r="I356" s="378"/>
      <c r="J356" s="378"/>
      <c r="K356" s="1220"/>
      <c r="L356" s="378">
        <v>24.16</v>
      </c>
      <c r="M356" s="378">
        <v>28333.83503913305</v>
      </c>
      <c r="N356" s="378">
        <f t="shared" ref="N356:N396" si="108">+IF(L356="","",L356*M356)</f>
        <v>684545.45454545447</v>
      </c>
      <c r="O356" s="378">
        <f t="shared" ref="O356:O396" si="109">+IF(L356="","",N356*0.1)</f>
        <v>68454.545454545456</v>
      </c>
      <c r="P356" s="378">
        <f t="shared" ref="P356:P396" si="110">+IF(L356="","",N356+O356)</f>
        <v>752999.99999999988</v>
      </c>
      <c r="Q356" s="378">
        <f t="shared" ref="Q356:Q396" ca="1" si="111">IF(L356="","",IFERROR((SUMIFS(TN_balC1_totol,TN_code,D356)+SUMIFS(RC_or_totol,RC_Code,D356,RC_date,"&lt;="&amp;C356)-SUMIFS(RC_zar_totol,RC_Code,D356,RC_date,"&lt;"&amp;C356)) /( SUMIFS(TN_balC1_unit,TN_code,D356)+SUMIFS(RC_or_unit,RC_Code,D356,RC_date,"&lt;="&amp;C356)-SUMIFS(RC_zar_unit,RC_Code,D356,RC_date,"&lt;"&amp;C356)),0 ))</f>
        <v>18716.907616612854</v>
      </c>
      <c r="R356" s="378">
        <f t="shared" ref="R356:R396" ca="1" si="112">+IF(L356="","",L356*Q356)</f>
        <v>452200.48801736656</v>
      </c>
      <c r="S356" s="602">
        <v>150101</v>
      </c>
      <c r="T356" s="378" t="str">
        <f>+IFERROR(VLOOKUP(S356,STAT1!$C$4:$D$189,2,FALSE),"")</f>
        <v>Бараа бэлэн бүтээгдэхүүн БОЛОВСРУУЛАХ ЦЕХ /нарс/</v>
      </c>
      <c r="U356" s="1225"/>
      <c r="V356" s="1216">
        <v>452200.48801736656</v>
      </c>
      <c r="W356" s="326">
        <v>3052</v>
      </c>
      <c r="X356" s="328" t="str">
        <f>IFERROR(VLOOKUP(W356,DATA!$G$4:$H$400,2,FALSE),"")</f>
        <v>ШИНЭ ОРОН СУУЦ ХХК</v>
      </c>
      <c r="Y356" s="1205"/>
      <c r="Z356" s="1205"/>
      <c r="AA356" s="1205"/>
    </row>
    <row r="357" spans="1:27" ht="12.75" customHeight="1">
      <c r="A357" s="15">
        <v>94</v>
      </c>
      <c r="B357" s="369">
        <f t="shared" si="99"/>
        <v>352</v>
      </c>
      <c r="C357" s="427">
        <v>42848</v>
      </c>
      <c r="D357" s="426"/>
      <c r="E357" s="425" t="str">
        <f t="shared" ref="E357:E365" ca="1" si="113">+IFERROR(VLOOKUP(D357,TN_table,2,FALSE),"")</f>
        <v/>
      </c>
      <c r="F357" s="428" t="str">
        <f t="shared" ca="1" si="107"/>
        <v/>
      </c>
      <c r="G357" s="378"/>
      <c r="H357" s="378"/>
      <c r="I357" s="378"/>
      <c r="J357" s="378"/>
      <c r="K357" s="1220"/>
      <c r="L357" s="378"/>
      <c r="M357" s="378"/>
      <c r="N357" s="378" t="str">
        <f t="shared" si="108"/>
        <v/>
      </c>
      <c r="O357" s="378" t="str">
        <f t="shared" si="109"/>
        <v/>
      </c>
      <c r="P357" s="378" t="str">
        <f t="shared" si="110"/>
        <v/>
      </c>
      <c r="Q357" s="378" t="str">
        <f t="shared" si="111"/>
        <v/>
      </c>
      <c r="R357" s="378" t="str">
        <f t="shared" si="112"/>
        <v/>
      </c>
      <c r="S357" s="602">
        <v>610100</v>
      </c>
      <c r="T357" s="378" t="str">
        <f>+IFERROR(VLOOKUP(S357,STAT1!$C$4:$D$189,2,FALSE),"")</f>
        <v>Борлуулсан барааны өртөг</v>
      </c>
      <c r="U357" s="1216">
        <v>452200.48801736656</v>
      </c>
      <c r="V357" s="1216"/>
      <c r="W357" s="326">
        <v>3052</v>
      </c>
      <c r="X357" s="328" t="str">
        <f>IFERROR(VLOOKUP(W357,DATA!$G$4:$H$400,2,FALSE),"")</f>
        <v>ШИНЭ ОРОН СУУЦ ХХК</v>
      </c>
      <c r="Y357" s="1205"/>
      <c r="Z357" s="1205"/>
      <c r="AA357" s="1205"/>
    </row>
    <row r="358" spans="1:27" ht="12.75" customHeight="1">
      <c r="A358" s="15">
        <v>94</v>
      </c>
      <c r="B358" s="369">
        <f t="shared" si="99"/>
        <v>353</v>
      </c>
      <c r="C358" s="427">
        <v>42848</v>
      </c>
      <c r="D358" s="426"/>
      <c r="E358" s="425" t="str">
        <f t="shared" ca="1" si="113"/>
        <v/>
      </c>
      <c r="F358" s="428" t="str">
        <f t="shared" ca="1" si="107"/>
        <v/>
      </c>
      <c r="G358" s="378"/>
      <c r="H358" s="378"/>
      <c r="I358" s="378"/>
      <c r="J358" s="378"/>
      <c r="K358" s="1220"/>
      <c r="L358" s="378"/>
      <c r="M358" s="378"/>
      <c r="N358" s="378" t="str">
        <f t="shared" si="108"/>
        <v/>
      </c>
      <c r="O358" s="378" t="str">
        <f t="shared" si="109"/>
        <v/>
      </c>
      <c r="P358" s="378" t="str">
        <f t="shared" si="110"/>
        <v/>
      </c>
      <c r="Q358" s="378" t="str">
        <f t="shared" si="111"/>
        <v/>
      </c>
      <c r="R358" s="378" t="str">
        <f t="shared" si="112"/>
        <v/>
      </c>
      <c r="S358" s="602">
        <v>310500</v>
      </c>
      <c r="T358" s="378" t="str">
        <f>+IFERROR(VLOOKUP(S358,STAT1!$C$4:$D$189,2,FALSE),"")</f>
        <v>НӨАТ өглөг</v>
      </c>
      <c r="U358" s="1225"/>
      <c r="V358" s="1216">
        <v>68454.545454545456</v>
      </c>
      <c r="W358" s="326">
        <v>3052</v>
      </c>
      <c r="X358" s="328" t="str">
        <f>IFERROR(VLOOKUP(W358,DATA!$G$4:$H$400,2,FALSE),"")</f>
        <v>ШИНЭ ОРОН СУУЦ ХХК</v>
      </c>
      <c r="Y358" s="1205"/>
      <c r="Z358" s="1205"/>
      <c r="AA358" s="1205"/>
    </row>
    <row r="359" spans="1:27" ht="12.75" customHeight="1">
      <c r="A359" s="15">
        <v>94</v>
      </c>
      <c r="B359" s="369">
        <f t="shared" si="99"/>
        <v>354</v>
      </c>
      <c r="C359" s="427">
        <v>42848</v>
      </c>
      <c r="D359" s="426"/>
      <c r="E359" s="425" t="str">
        <f t="shared" ca="1" si="113"/>
        <v/>
      </c>
      <c r="F359" s="428" t="str">
        <f t="shared" ca="1" si="107"/>
        <v/>
      </c>
      <c r="G359" s="378"/>
      <c r="H359" s="378"/>
      <c r="I359" s="378"/>
      <c r="J359" s="378"/>
      <c r="K359" s="1220"/>
      <c r="L359" s="378"/>
      <c r="M359" s="378"/>
      <c r="N359" s="378" t="str">
        <f t="shared" si="108"/>
        <v/>
      </c>
      <c r="O359" s="378" t="str">
        <f t="shared" si="109"/>
        <v/>
      </c>
      <c r="P359" s="378" t="str">
        <f t="shared" si="110"/>
        <v/>
      </c>
      <c r="Q359" s="378" t="str">
        <f t="shared" si="111"/>
        <v/>
      </c>
      <c r="R359" s="378" t="str">
        <f t="shared" si="112"/>
        <v/>
      </c>
      <c r="S359" s="602">
        <v>510000</v>
      </c>
      <c r="T359" s="378" t="str">
        <f>+IFERROR(VLOOKUP(S359,STAT1!$C$4:$D$189,2,FALSE),"")</f>
        <v>Үндсэн үйл ажиллагааны борлуулалт</v>
      </c>
      <c r="U359" s="1225"/>
      <c r="V359" s="1216">
        <v>684545.45454545447</v>
      </c>
      <c r="W359" s="326">
        <v>3052</v>
      </c>
      <c r="X359" s="328" t="str">
        <f>IFERROR(VLOOKUP(W359,DATA!$G$4:$H$400,2,FALSE),"")</f>
        <v>ШИНЭ ОРОН СУУЦ ХХК</v>
      </c>
      <c r="Y359" s="1205"/>
      <c r="Z359" s="1205"/>
      <c r="AA359" s="1205"/>
    </row>
    <row r="360" spans="1:27" ht="12.75" customHeight="1">
      <c r="A360" s="15">
        <v>94</v>
      </c>
      <c r="B360" s="369">
        <f t="shared" si="99"/>
        <v>355</v>
      </c>
      <c r="C360" s="427">
        <v>42848</v>
      </c>
      <c r="D360" s="426"/>
      <c r="E360" s="425" t="str">
        <f t="shared" ca="1" si="113"/>
        <v/>
      </c>
      <c r="F360" s="428" t="str">
        <f t="shared" ca="1" si="107"/>
        <v/>
      </c>
      <c r="G360" s="378"/>
      <c r="H360" s="378"/>
      <c r="I360" s="378"/>
      <c r="J360" s="378"/>
      <c r="K360" s="1220"/>
      <c r="L360" s="378"/>
      <c r="M360" s="378"/>
      <c r="N360" s="378" t="str">
        <f t="shared" si="108"/>
        <v/>
      </c>
      <c r="O360" s="378" t="str">
        <f t="shared" si="109"/>
        <v/>
      </c>
      <c r="P360" s="378" t="str">
        <f t="shared" si="110"/>
        <v/>
      </c>
      <c r="Q360" s="378" t="str">
        <f t="shared" si="111"/>
        <v/>
      </c>
      <c r="R360" s="378" t="str">
        <f t="shared" si="112"/>
        <v/>
      </c>
      <c r="S360" s="602">
        <v>320100</v>
      </c>
      <c r="T360" s="378" t="str">
        <f>+IFERROR(VLOOKUP(S360,STAT1!$C$4:$D$189,2,FALSE),"")</f>
        <v>Урьдчилж орсон орлого MNT</v>
      </c>
      <c r="U360" s="1225">
        <v>752999.99999999988</v>
      </c>
      <c r="V360" s="1216"/>
      <c r="W360" s="326">
        <v>3052</v>
      </c>
      <c r="X360" s="328" t="str">
        <f>IFERROR(VLOOKUP(W360,DATA!$G$4:$H$400,2,FALSE),"")</f>
        <v>ШИНЭ ОРОН СУУЦ ХХК</v>
      </c>
      <c r="Y360" s="1205"/>
      <c r="Z360" s="1205"/>
      <c r="AA360" s="1205"/>
    </row>
    <row r="361" spans="1:27" ht="12.75" customHeight="1">
      <c r="A361" s="15">
        <v>94</v>
      </c>
      <c r="B361" s="369">
        <f t="shared" si="99"/>
        <v>356</v>
      </c>
      <c r="C361" s="427">
        <v>42849</v>
      </c>
      <c r="D361" s="426">
        <v>211713</v>
      </c>
      <c r="E361" s="425" t="str">
        <f t="shared" ca="1" si="113"/>
        <v>Н-Хавтан /зузаан-2см/</v>
      </c>
      <c r="F361" s="428" t="str">
        <f t="shared" ca="1" si="107"/>
        <v>м2</v>
      </c>
      <c r="G361" s="378"/>
      <c r="H361" s="378"/>
      <c r="I361" s="378"/>
      <c r="J361" s="378"/>
      <c r="K361" s="1220"/>
      <c r="L361" s="378">
        <v>7</v>
      </c>
      <c r="M361" s="378">
        <v>30000</v>
      </c>
      <c r="N361" s="378">
        <f t="shared" si="108"/>
        <v>210000</v>
      </c>
      <c r="O361" s="378">
        <f t="shared" si="109"/>
        <v>21000</v>
      </c>
      <c r="P361" s="378">
        <f t="shared" si="110"/>
        <v>231000</v>
      </c>
      <c r="Q361" s="378">
        <f t="shared" ca="1" si="111"/>
        <v>20836.299698816012</v>
      </c>
      <c r="R361" s="378">
        <f t="shared" ca="1" si="112"/>
        <v>145854.0978917121</v>
      </c>
      <c r="S361" s="602">
        <v>150101</v>
      </c>
      <c r="T361" s="378" t="str">
        <f>+IFERROR(VLOOKUP(S361,STAT1!$C$4:$D$189,2,FALSE),"")</f>
        <v>Бараа бэлэн бүтээгдэхүүн БОЛОВСРУУЛАХ ЦЕХ /нарс/</v>
      </c>
      <c r="U361" s="1225"/>
      <c r="V361" s="1216">
        <v>145854.0978917121</v>
      </c>
      <c r="W361" s="326">
        <v>3050</v>
      </c>
      <c r="X361" s="328" t="str">
        <f>IFERROR(VLOOKUP(W361,DATA!$G$4:$H$400,2,FALSE),"")</f>
        <v>БАЯЛАГ ОД ХХК</v>
      </c>
      <c r="Y361" s="1205"/>
      <c r="Z361" s="1205"/>
      <c r="AA361" s="1205"/>
    </row>
    <row r="362" spans="1:27" ht="12.75" customHeight="1">
      <c r="A362" s="15">
        <v>95</v>
      </c>
      <c r="B362" s="369">
        <f t="shared" si="99"/>
        <v>357</v>
      </c>
      <c r="C362" s="427">
        <v>42849</v>
      </c>
      <c r="D362" s="426"/>
      <c r="E362" s="425" t="str">
        <f t="shared" ca="1" si="113"/>
        <v/>
      </c>
      <c r="F362" s="428" t="str">
        <f t="shared" ca="1" si="107"/>
        <v/>
      </c>
      <c r="G362" s="378"/>
      <c r="H362" s="378"/>
      <c r="I362" s="378"/>
      <c r="J362" s="378"/>
      <c r="K362" s="1220"/>
      <c r="L362" s="378"/>
      <c r="M362" s="378"/>
      <c r="N362" s="378" t="str">
        <f t="shared" si="108"/>
        <v/>
      </c>
      <c r="O362" s="378" t="str">
        <f t="shared" si="109"/>
        <v/>
      </c>
      <c r="P362" s="378" t="str">
        <f t="shared" si="110"/>
        <v/>
      </c>
      <c r="Q362" s="378" t="str">
        <f t="shared" si="111"/>
        <v/>
      </c>
      <c r="R362" s="378" t="str">
        <f t="shared" si="112"/>
        <v/>
      </c>
      <c r="S362" s="602">
        <v>610100</v>
      </c>
      <c r="T362" s="378" t="str">
        <f>+IFERROR(VLOOKUP(S362,STAT1!$C$4:$D$189,2,FALSE),"")</f>
        <v>Борлуулсан барааны өртөг</v>
      </c>
      <c r="U362" s="1216">
        <v>145854.0978917121</v>
      </c>
      <c r="V362" s="1216"/>
      <c r="W362" s="326">
        <v>3050</v>
      </c>
      <c r="X362" s="328" t="str">
        <f>IFERROR(VLOOKUP(W362,DATA!$G$4:$H$400,2,FALSE),"")</f>
        <v>БАЯЛАГ ОД ХХК</v>
      </c>
      <c r="Y362" s="1205"/>
      <c r="Z362" s="1205"/>
      <c r="AA362" s="1205"/>
    </row>
    <row r="363" spans="1:27" ht="12.75" customHeight="1">
      <c r="A363" s="15">
        <v>95</v>
      </c>
      <c r="B363" s="369">
        <f t="shared" si="99"/>
        <v>358</v>
      </c>
      <c r="C363" s="427">
        <v>42849</v>
      </c>
      <c r="D363" s="426"/>
      <c r="E363" s="425" t="str">
        <f t="shared" ca="1" si="113"/>
        <v/>
      </c>
      <c r="F363" s="428" t="str">
        <f t="shared" ca="1" si="107"/>
        <v/>
      </c>
      <c r="G363" s="378"/>
      <c r="H363" s="378"/>
      <c r="I363" s="378"/>
      <c r="J363" s="378"/>
      <c r="K363" s="1220"/>
      <c r="L363" s="378"/>
      <c r="M363" s="378"/>
      <c r="N363" s="378" t="str">
        <f t="shared" si="108"/>
        <v/>
      </c>
      <c r="O363" s="378" t="str">
        <f t="shared" si="109"/>
        <v/>
      </c>
      <c r="P363" s="378" t="str">
        <f t="shared" si="110"/>
        <v/>
      </c>
      <c r="Q363" s="378" t="str">
        <f t="shared" si="111"/>
        <v/>
      </c>
      <c r="R363" s="378" t="str">
        <f t="shared" si="112"/>
        <v/>
      </c>
      <c r="S363" s="602">
        <v>310500</v>
      </c>
      <c r="T363" s="378" t="str">
        <f>+IFERROR(VLOOKUP(S363,STAT1!$C$4:$D$189,2,FALSE),"")</f>
        <v>НӨАТ өглөг</v>
      </c>
      <c r="U363" s="1225"/>
      <c r="V363" s="1216">
        <v>21000</v>
      </c>
      <c r="W363" s="326">
        <v>3050</v>
      </c>
      <c r="X363" s="328" t="str">
        <f>IFERROR(VLOOKUP(W363,DATA!$G$4:$H$400,2,FALSE),"")</f>
        <v>БАЯЛАГ ОД ХХК</v>
      </c>
      <c r="Y363" s="1205"/>
      <c r="Z363" s="1205"/>
      <c r="AA363" s="1205"/>
    </row>
    <row r="364" spans="1:27" ht="12.75" customHeight="1">
      <c r="A364" s="15">
        <v>95</v>
      </c>
      <c r="B364" s="369">
        <f t="shared" si="99"/>
        <v>359</v>
      </c>
      <c r="C364" s="427">
        <v>42849</v>
      </c>
      <c r="D364" s="426"/>
      <c r="E364" s="425" t="str">
        <f t="shared" ca="1" si="113"/>
        <v/>
      </c>
      <c r="F364" s="428" t="str">
        <f t="shared" ca="1" si="107"/>
        <v/>
      </c>
      <c r="G364" s="378"/>
      <c r="H364" s="378"/>
      <c r="I364" s="378"/>
      <c r="J364" s="378"/>
      <c r="K364" s="1220"/>
      <c r="L364" s="378"/>
      <c r="M364" s="378"/>
      <c r="N364" s="378" t="str">
        <f t="shared" si="108"/>
        <v/>
      </c>
      <c r="O364" s="378" t="str">
        <f t="shared" si="109"/>
        <v/>
      </c>
      <c r="P364" s="378" t="str">
        <f t="shared" si="110"/>
        <v/>
      </c>
      <c r="Q364" s="378" t="str">
        <f t="shared" si="111"/>
        <v/>
      </c>
      <c r="R364" s="378" t="str">
        <f t="shared" si="112"/>
        <v/>
      </c>
      <c r="S364" s="602">
        <v>510000</v>
      </c>
      <c r="T364" s="378" t="str">
        <f>+IFERROR(VLOOKUP(S364,STAT1!$C$4:$D$189,2,FALSE),"")</f>
        <v>Үндсэн үйл ажиллагааны борлуулалт</v>
      </c>
      <c r="U364" s="1225"/>
      <c r="V364" s="1216">
        <v>210000</v>
      </c>
      <c r="W364" s="326">
        <v>3050</v>
      </c>
      <c r="X364" s="328" t="str">
        <f>IFERROR(VLOOKUP(W364,DATA!$G$4:$H$400,2,FALSE),"")</f>
        <v>БАЯЛАГ ОД ХХК</v>
      </c>
      <c r="Y364" s="1205"/>
      <c r="Z364" s="1205"/>
      <c r="AA364" s="1205"/>
    </row>
    <row r="365" spans="1:27" ht="12.75" customHeight="1">
      <c r="A365" s="15">
        <v>95</v>
      </c>
      <c r="B365" s="369">
        <f t="shared" si="99"/>
        <v>360</v>
      </c>
      <c r="C365" s="427">
        <v>42849</v>
      </c>
      <c r="D365" s="426"/>
      <c r="E365" s="425" t="str">
        <f t="shared" ca="1" si="113"/>
        <v/>
      </c>
      <c r="F365" s="428" t="str">
        <f t="shared" ca="1" si="107"/>
        <v/>
      </c>
      <c r="G365" s="378"/>
      <c r="H365" s="378"/>
      <c r="I365" s="378"/>
      <c r="J365" s="378"/>
      <c r="K365" s="1220"/>
      <c r="L365" s="378"/>
      <c r="M365" s="378"/>
      <c r="N365" s="378" t="str">
        <f t="shared" si="108"/>
        <v/>
      </c>
      <c r="O365" s="378" t="str">
        <f t="shared" si="109"/>
        <v/>
      </c>
      <c r="P365" s="378" t="str">
        <f t="shared" si="110"/>
        <v/>
      </c>
      <c r="Q365" s="378" t="str">
        <f t="shared" si="111"/>
        <v/>
      </c>
      <c r="R365" s="378" t="str">
        <f t="shared" si="112"/>
        <v/>
      </c>
      <c r="S365" s="602">
        <v>320100</v>
      </c>
      <c r="T365" s="378" t="str">
        <f>+IFERROR(VLOOKUP(S365,STAT1!$C$4:$D$189,2,FALSE),"")</f>
        <v>Урьдчилж орсон орлого MNT</v>
      </c>
      <c r="U365" s="1225">
        <v>231000</v>
      </c>
      <c r="V365" s="1216"/>
      <c r="W365" s="326">
        <v>3050</v>
      </c>
      <c r="X365" s="328" t="str">
        <f>IFERROR(VLOOKUP(W365,DATA!$G$4:$H$400,2,FALSE),"")</f>
        <v>БАЯЛАГ ОД ХХК</v>
      </c>
      <c r="Y365" s="1205"/>
      <c r="Z365" s="1205"/>
      <c r="AA365" s="1205"/>
    </row>
    <row r="366" spans="1:27" ht="12.75" customHeight="1">
      <c r="A366" s="15">
        <v>95</v>
      </c>
      <c r="B366" s="369">
        <f t="shared" si="99"/>
        <v>361</v>
      </c>
      <c r="C366" s="427">
        <v>42849</v>
      </c>
      <c r="D366" s="426">
        <v>211713</v>
      </c>
      <c r="E366" s="425" t="s">
        <v>1645</v>
      </c>
      <c r="F366" s="428" t="str">
        <f t="shared" ca="1" si="107"/>
        <v>м2</v>
      </c>
      <c r="G366" s="378"/>
      <c r="H366" s="378"/>
      <c r="I366" s="378"/>
      <c r="J366" s="378"/>
      <c r="K366" s="1220"/>
      <c r="L366" s="378">
        <v>46.36</v>
      </c>
      <c r="M366" s="378">
        <v>30002.353200000001</v>
      </c>
      <c r="N366" s="378">
        <f t="shared" si="108"/>
        <v>1390909.0943520002</v>
      </c>
      <c r="O366" s="378">
        <f t="shared" si="109"/>
        <v>139090.90943520001</v>
      </c>
      <c r="P366" s="378">
        <f t="shared" si="110"/>
        <v>1530000.0037872002</v>
      </c>
      <c r="Q366" s="378">
        <f t="shared" ca="1" si="111"/>
        <v>20836.299698816012</v>
      </c>
      <c r="R366" s="378">
        <f t="shared" ca="1" si="112"/>
        <v>965970.85403711034</v>
      </c>
      <c r="S366" s="602">
        <v>150101</v>
      </c>
      <c r="T366" s="378" t="str">
        <f>+IFERROR(VLOOKUP(S366,STAT1!$C$4:$D$189,2,FALSE),"")</f>
        <v>Бараа бэлэн бүтээгдэхүүн БОЛОВСРУУЛАХ ЦЕХ /нарс/</v>
      </c>
      <c r="U366" s="1225"/>
      <c r="V366" s="1216">
        <v>965970.85403711034</v>
      </c>
      <c r="W366" s="326">
        <v>3051</v>
      </c>
      <c r="X366" s="328" t="str">
        <f>IFERROR(VLOOKUP(W366,DATA!$G$4:$H$400,2,FALSE),"")</f>
        <v xml:space="preserve">НОМАДС ТУР ХХК </v>
      </c>
      <c r="Y366" s="1205"/>
      <c r="Z366" s="1205"/>
      <c r="AA366" s="1205"/>
    </row>
    <row r="367" spans="1:27" ht="12.75" customHeight="1">
      <c r="A367" s="15">
        <v>96</v>
      </c>
      <c r="B367" s="369">
        <f t="shared" si="99"/>
        <v>362</v>
      </c>
      <c r="C367" s="427">
        <v>42849</v>
      </c>
      <c r="D367" s="426"/>
      <c r="E367" s="425" t="str">
        <f t="shared" ref="E367:E395" ca="1" si="114">+IFERROR(VLOOKUP(D367,TN_table,2,FALSE),"")</f>
        <v/>
      </c>
      <c r="F367" s="428" t="str">
        <f t="shared" ca="1" si="107"/>
        <v/>
      </c>
      <c r="G367" s="378"/>
      <c r="H367" s="378"/>
      <c r="I367" s="378"/>
      <c r="J367" s="378"/>
      <c r="K367" s="1220"/>
      <c r="L367" s="378"/>
      <c r="M367" s="378"/>
      <c r="N367" s="378" t="str">
        <f t="shared" si="108"/>
        <v/>
      </c>
      <c r="O367" s="378" t="str">
        <f t="shared" si="109"/>
        <v/>
      </c>
      <c r="P367" s="378" t="str">
        <f t="shared" si="110"/>
        <v/>
      </c>
      <c r="Q367" s="378" t="str">
        <f t="shared" si="111"/>
        <v/>
      </c>
      <c r="R367" s="378" t="str">
        <f t="shared" si="112"/>
        <v/>
      </c>
      <c r="S367" s="602">
        <v>610100</v>
      </c>
      <c r="T367" s="378" t="str">
        <f>+IFERROR(VLOOKUP(S367,STAT1!$C$4:$D$189,2,FALSE),"")</f>
        <v>Борлуулсан барааны өртөг</v>
      </c>
      <c r="U367" s="1216">
        <v>965970.85403711034</v>
      </c>
      <c r="V367" s="1216"/>
      <c r="W367" s="326">
        <v>3051</v>
      </c>
      <c r="X367" s="328" t="str">
        <f>IFERROR(VLOOKUP(W367,DATA!$G$4:$H$400,2,FALSE),"")</f>
        <v xml:space="preserve">НОМАДС ТУР ХХК </v>
      </c>
      <c r="Y367" s="1205"/>
      <c r="Z367" s="1205"/>
      <c r="AA367" s="1205"/>
    </row>
    <row r="368" spans="1:27" ht="12.75" customHeight="1">
      <c r="A368" s="15">
        <v>96</v>
      </c>
      <c r="B368" s="369">
        <f t="shared" si="99"/>
        <v>363</v>
      </c>
      <c r="C368" s="427">
        <v>42849</v>
      </c>
      <c r="D368" s="426"/>
      <c r="E368" s="425" t="str">
        <f t="shared" ca="1" si="114"/>
        <v/>
      </c>
      <c r="F368" s="428" t="str">
        <f t="shared" ca="1" si="107"/>
        <v/>
      </c>
      <c r="G368" s="378"/>
      <c r="H368" s="378"/>
      <c r="I368" s="378"/>
      <c r="J368" s="378"/>
      <c r="K368" s="1220"/>
      <c r="L368" s="378"/>
      <c r="M368" s="378"/>
      <c r="N368" s="378" t="str">
        <f t="shared" si="108"/>
        <v/>
      </c>
      <c r="O368" s="378" t="str">
        <f t="shared" si="109"/>
        <v/>
      </c>
      <c r="P368" s="378" t="str">
        <f t="shared" si="110"/>
        <v/>
      </c>
      <c r="Q368" s="378" t="str">
        <f t="shared" si="111"/>
        <v/>
      </c>
      <c r="R368" s="378" t="str">
        <f t="shared" si="112"/>
        <v/>
      </c>
      <c r="S368" s="602">
        <v>310500</v>
      </c>
      <c r="T368" s="378" t="str">
        <f>+IFERROR(VLOOKUP(S368,STAT1!$C$4:$D$189,2,FALSE),"")</f>
        <v>НӨАТ өглөг</v>
      </c>
      <c r="U368" s="1225"/>
      <c r="V368" s="1216">
        <v>139090.90943520001</v>
      </c>
      <c r="W368" s="326">
        <v>3051</v>
      </c>
      <c r="X368" s="328" t="str">
        <f>IFERROR(VLOOKUP(W368,DATA!$G$4:$H$400,2,FALSE),"")</f>
        <v xml:space="preserve">НОМАДС ТУР ХХК </v>
      </c>
      <c r="Y368" s="1205"/>
      <c r="Z368" s="1205"/>
      <c r="AA368" s="1205"/>
    </row>
    <row r="369" spans="1:27" ht="12.75" customHeight="1">
      <c r="A369" s="15">
        <v>96</v>
      </c>
      <c r="B369" s="369">
        <f t="shared" si="99"/>
        <v>364</v>
      </c>
      <c r="C369" s="427">
        <v>42849</v>
      </c>
      <c r="D369" s="426"/>
      <c r="E369" s="425" t="str">
        <f t="shared" ca="1" si="114"/>
        <v/>
      </c>
      <c r="F369" s="428" t="str">
        <f t="shared" ca="1" si="107"/>
        <v/>
      </c>
      <c r="G369" s="378"/>
      <c r="H369" s="378"/>
      <c r="I369" s="378"/>
      <c r="J369" s="378"/>
      <c r="K369" s="1220"/>
      <c r="L369" s="378"/>
      <c r="M369" s="378"/>
      <c r="N369" s="378" t="str">
        <f t="shared" si="108"/>
        <v/>
      </c>
      <c r="O369" s="378" t="str">
        <f t="shared" si="109"/>
        <v/>
      </c>
      <c r="P369" s="378" t="str">
        <f t="shared" si="110"/>
        <v/>
      </c>
      <c r="Q369" s="378" t="str">
        <f t="shared" si="111"/>
        <v/>
      </c>
      <c r="R369" s="378" t="str">
        <f t="shared" si="112"/>
        <v/>
      </c>
      <c r="S369" s="602">
        <v>510000</v>
      </c>
      <c r="T369" s="378" t="str">
        <f>+IFERROR(VLOOKUP(S369,STAT1!$C$4:$D$189,2,FALSE),"")</f>
        <v>Үндсэн үйл ажиллагааны борлуулалт</v>
      </c>
      <c r="U369" s="1225"/>
      <c r="V369" s="1216">
        <v>1390909.0943520002</v>
      </c>
      <c r="W369" s="326">
        <v>3051</v>
      </c>
      <c r="X369" s="328" t="str">
        <f>IFERROR(VLOOKUP(W369,DATA!$G$4:$H$400,2,FALSE),"")</f>
        <v xml:space="preserve">НОМАДС ТУР ХХК </v>
      </c>
      <c r="Y369" s="1205"/>
      <c r="Z369" s="1205"/>
      <c r="AA369" s="1205"/>
    </row>
    <row r="370" spans="1:27" ht="12.75" customHeight="1">
      <c r="A370" s="15">
        <v>96</v>
      </c>
      <c r="B370" s="369">
        <f t="shared" si="99"/>
        <v>365</v>
      </c>
      <c r="C370" s="427">
        <v>42849</v>
      </c>
      <c r="D370" s="426"/>
      <c r="E370" s="425" t="str">
        <f t="shared" ca="1" si="114"/>
        <v/>
      </c>
      <c r="F370" s="428" t="str">
        <f t="shared" ca="1" si="107"/>
        <v/>
      </c>
      <c r="G370" s="378"/>
      <c r="H370" s="378"/>
      <c r="I370" s="378"/>
      <c r="J370" s="378"/>
      <c r="K370" s="1220"/>
      <c r="L370" s="378"/>
      <c r="M370" s="378"/>
      <c r="N370" s="378" t="str">
        <f t="shared" si="108"/>
        <v/>
      </c>
      <c r="O370" s="378" t="str">
        <f t="shared" si="109"/>
        <v/>
      </c>
      <c r="P370" s="378" t="str">
        <f t="shared" si="110"/>
        <v/>
      </c>
      <c r="Q370" s="378" t="str">
        <f t="shared" si="111"/>
        <v/>
      </c>
      <c r="R370" s="378" t="str">
        <f t="shared" si="112"/>
        <v/>
      </c>
      <c r="S370" s="602">
        <v>320100</v>
      </c>
      <c r="T370" s="378" t="str">
        <f>+IFERROR(VLOOKUP(S370,STAT1!$C$4:$D$189,2,FALSE),"")</f>
        <v>Урьдчилж орсон орлого MNT</v>
      </c>
      <c r="U370" s="1225">
        <v>1530000.0037872002</v>
      </c>
      <c r="V370" s="1216"/>
      <c r="W370" s="326">
        <v>3051</v>
      </c>
      <c r="X370" s="328" t="str">
        <f>IFERROR(VLOOKUP(W370,DATA!$G$4:$H$400,2,FALSE),"")</f>
        <v xml:space="preserve">НОМАДС ТУР ХХК </v>
      </c>
      <c r="Y370" s="1205"/>
      <c r="Z370" s="1205"/>
      <c r="AA370" s="1205"/>
    </row>
    <row r="371" spans="1:27" ht="12.75" customHeight="1">
      <c r="A371" s="15">
        <v>96</v>
      </c>
      <c r="B371" s="369">
        <f t="shared" si="99"/>
        <v>366</v>
      </c>
      <c r="C371" s="427">
        <v>42849</v>
      </c>
      <c r="D371" s="426">
        <v>210003</v>
      </c>
      <c r="E371" s="425" t="str">
        <f t="shared" ca="1" si="114"/>
        <v>Н-Наамал дүнз</v>
      </c>
      <c r="F371" s="428" t="str">
        <f t="shared" ca="1" si="107"/>
        <v>м2</v>
      </c>
      <c r="G371" s="378"/>
      <c r="H371" s="378"/>
      <c r="I371" s="378"/>
      <c r="J371" s="378"/>
      <c r="K371" s="1220"/>
      <c r="L371" s="378">
        <v>9.57</v>
      </c>
      <c r="M371" s="378">
        <v>254713.59400000001</v>
      </c>
      <c r="N371" s="378">
        <f t="shared" si="108"/>
        <v>2437609.0945800003</v>
      </c>
      <c r="O371" s="378">
        <f t="shared" si="109"/>
        <v>243760.90945800004</v>
      </c>
      <c r="P371" s="378">
        <f t="shared" si="110"/>
        <v>2681370.0040380005</v>
      </c>
      <c r="Q371" s="378">
        <f t="shared" ca="1" si="111"/>
        <v>191123.56673210167</v>
      </c>
      <c r="R371" s="378">
        <f t="shared" ca="1" si="112"/>
        <v>1829052.533626213</v>
      </c>
      <c r="S371" s="602">
        <v>150101</v>
      </c>
      <c r="T371" s="378" t="str">
        <f>+IFERROR(VLOOKUP(S371,STAT1!$C$4:$D$189,2,FALSE),"")</f>
        <v>Бараа бэлэн бүтээгдэхүүн БОЛОВСРУУЛАХ ЦЕХ /нарс/</v>
      </c>
      <c r="U371" s="1225"/>
      <c r="V371" s="1216">
        <v>1829052.533626213</v>
      </c>
      <c r="W371" s="326">
        <v>3047</v>
      </c>
      <c r="X371" s="328" t="str">
        <f>IFERROR(VLOOKUP(W371,DATA!$G$4:$H$400,2,FALSE),"")</f>
        <v>ГЛОБАЛ ГАЗАР ХХК</v>
      </c>
      <c r="Y371" s="1205"/>
      <c r="Z371" s="1205"/>
      <c r="AA371" s="1205"/>
    </row>
    <row r="372" spans="1:27" ht="12.75" customHeight="1">
      <c r="A372" s="15">
        <v>97</v>
      </c>
      <c r="B372" s="369">
        <f t="shared" si="99"/>
        <v>367</v>
      </c>
      <c r="C372" s="427">
        <v>42849</v>
      </c>
      <c r="D372" s="426"/>
      <c r="E372" s="425" t="str">
        <f t="shared" ca="1" si="114"/>
        <v/>
      </c>
      <c r="F372" s="428" t="str">
        <f t="shared" ca="1" si="107"/>
        <v/>
      </c>
      <c r="G372" s="378"/>
      <c r="H372" s="378"/>
      <c r="I372" s="378"/>
      <c r="J372" s="378"/>
      <c r="K372" s="1220"/>
      <c r="L372" s="378"/>
      <c r="M372" s="378"/>
      <c r="N372" s="378" t="str">
        <f t="shared" si="108"/>
        <v/>
      </c>
      <c r="O372" s="378" t="str">
        <f t="shared" si="109"/>
        <v/>
      </c>
      <c r="P372" s="378" t="str">
        <f t="shared" si="110"/>
        <v/>
      </c>
      <c r="Q372" s="378" t="str">
        <f t="shared" si="111"/>
        <v/>
      </c>
      <c r="R372" s="378" t="str">
        <f t="shared" si="112"/>
        <v/>
      </c>
      <c r="S372" s="602">
        <v>610100</v>
      </c>
      <c r="T372" s="378" t="str">
        <f>+IFERROR(VLOOKUP(S372,STAT1!$C$4:$D$189,2,FALSE),"")</f>
        <v>Борлуулсан барааны өртөг</v>
      </c>
      <c r="U372" s="1216">
        <v>1829052.533626213</v>
      </c>
      <c r="V372" s="1216"/>
      <c r="W372" s="326">
        <v>3047</v>
      </c>
      <c r="X372" s="328" t="str">
        <f>IFERROR(VLOOKUP(W372,DATA!$G$4:$H$400,2,FALSE),"")</f>
        <v>ГЛОБАЛ ГАЗАР ХХК</v>
      </c>
      <c r="Y372" s="1205"/>
      <c r="Z372" s="1205"/>
      <c r="AA372" s="1205"/>
    </row>
    <row r="373" spans="1:27" ht="12.75" customHeight="1">
      <c r="A373" s="15">
        <v>97</v>
      </c>
      <c r="B373" s="369">
        <f t="shared" si="99"/>
        <v>368</v>
      </c>
      <c r="C373" s="427">
        <v>42849</v>
      </c>
      <c r="D373" s="426"/>
      <c r="E373" s="425" t="str">
        <f t="shared" ca="1" si="114"/>
        <v/>
      </c>
      <c r="F373" s="428" t="str">
        <f t="shared" ca="1" si="107"/>
        <v/>
      </c>
      <c r="G373" s="378"/>
      <c r="H373" s="378"/>
      <c r="I373" s="378"/>
      <c r="J373" s="378"/>
      <c r="K373" s="1220"/>
      <c r="L373" s="378"/>
      <c r="M373" s="378"/>
      <c r="N373" s="378" t="str">
        <f t="shared" si="108"/>
        <v/>
      </c>
      <c r="O373" s="378" t="str">
        <f t="shared" si="109"/>
        <v/>
      </c>
      <c r="P373" s="378" t="str">
        <f t="shared" si="110"/>
        <v/>
      </c>
      <c r="Q373" s="378" t="str">
        <f t="shared" si="111"/>
        <v/>
      </c>
      <c r="R373" s="378" t="str">
        <f t="shared" si="112"/>
        <v/>
      </c>
      <c r="S373" s="602">
        <v>310500</v>
      </c>
      <c r="T373" s="378" t="str">
        <f>+IFERROR(VLOOKUP(S373,STAT1!$C$4:$D$189,2,FALSE),"")</f>
        <v>НӨАТ өглөг</v>
      </c>
      <c r="U373" s="1225"/>
      <c r="V373" s="1216">
        <v>243760.90945800004</v>
      </c>
      <c r="W373" s="326">
        <v>3047</v>
      </c>
      <c r="X373" s="328" t="str">
        <f>IFERROR(VLOOKUP(W373,DATA!$G$4:$H$400,2,FALSE),"")</f>
        <v>ГЛОБАЛ ГАЗАР ХХК</v>
      </c>
      <c r="Y373" s="1205"/>
      <c r="Z373" s="1205"/>
      <c r="AA373" s="1205"/>
    </row>
    <row r="374" spans="1:27" ht="12.75" customHeight="1">
      <c r="A374" s="15">
        <v>97</v>
      </c>
      <c r="B374" s="369">
        <f t="shared" si="99"/>
        <v>369</v>
      </c>
      <c r="C374" s="427">
        <v>42849</v>
      </c>
      <c r="D374" s="426"/>
      <c r="E374" s="425" t="str">
        <f t="shared" ca="1" si="114"/>
        <v/>
      </c>
      <c r="F374" s="428" t="str">
        <f t="shared" ca="1" si="107"/>
        <v/>
      </c>
      <c r="G374" s="378"/>
      <c r="H374" s="378"/>
      <c r="I374" s="378"/>
      <c r="J374" s="378"/>
      <c r="K374" s="1220"/>
      <c r="L374" s="378"/>
      <c r="M374" s="378"/>
      <c r="N374" s="378" t="str">
        <f t="shared" si="108"/>
        <v/>
      </c>
      <c r="O374" s="378" t="str">
        <f t="shared" si="109"/>
        <v/>
      </c>
      <c r="P374" s="378" t="str">
        <f t="shared" si="110"/>
        <v/>
      </c>
      <c r="Q374" s="378" t="str">
        <f t="shared" si="111"/>
        <v/>
      </c>
      <c r="R374" s="378" t="str">
        <f t="shared" si="112"/>
        <v/>
      </c>
      <c r="S374" s="602">
        <v>510000</v>
      </c>
      <c r="T374" s="378" t="str">
        <f>+IFERROR(VLOOKUP(S374,STAT1!$C$4:$D$189,2,FALSE),"")</f>
        <v>Үндсэн үйл ажиллагааны борлуулалт</v>
      </c>
      <c r="U374" s="1225"/>
      <c r="V374" s="1216">
        <v>2437609.0945800003</v>
      </c>
      <c r="W374" s="326">
        <v>3047</v>
      </c>
      <c r="X374" s="328" t="str">
        <f>IFERROR(VLOOKUP(W374,DATA!$G$4:$H$400,2,FALSE),"")</f>
        <v>ГЛОБАЛ ГАЗАР ХХК</v>
      </c>
      <c r="Y374" s="1205"/>
      <c r="Z374" s="1205"/>
      <c r="AA374" s="1205"/>
    </row>
    <row r="375" spans="1:27" ht="12.75" customHeight="1">
      <c r="A375" s="15">
        <v>97</v>
      </c>
      <c r="B375" s="369">
        <f t="shared" si="99"/>
        <v>370</v>
      </c>
      <c r="C375" s="427">
        <v>42849</v>
      </c>
      <c r="D375" s="426"/>
      <c r="E375" s="425" t="str">
        <f t="shared" ca="1" si="114"/>
        <v/>
      </c>
      <c r="F375" s="428" t="str">
        <f t="shared" ca="1" si="107"/>
        <v/>
      </c>
      <c r="G375" s="378"/>
      <c r="H375" s="378"/>
      <c r="I375" s="378"/>
      <c r="J375" s="378"/>
      <c r="K375" s="1220"/>
      <c r="L375" s="378"/>
      <c r="M375" s="378"/>
      <c r="N375" s="378" t="str">
        <f t="shared" si="108"/>
        <v/>
      </c>
      <c r="O375" s="378" t="str">
        <f t="shared" si="109"/>
        <v/>
      </c>
      <c r="P375" s="378" t="str">
        <f t="shared" si="110"/>
        <v/>
      </c>
      <c r="Q375" s="378" t="str">
        <f t="shared" si="111"/>
        <v/>
      </c>
      <c r="R375" s="378" t="str">
        <f t="shared" si="112"/>
        <v/>
      </c>
      <c r="S375" s="602">
        <v>320100</v>
      </c>
      <c r="T375" s="378" t="str">
        <f>+IFERROR(VLOOKUP(S375,STAT1!$C$4:$D$189,2,FALSE),"")</f>
        <v>Урьдчилж орсон орлого MNT</v>
      </c>
      <c r="U375" s="1225">
        <v>2681370.0040380005</v>
      </c>
      <c r="V375" s="1216"/>
      <c r="W375" s="326">
        <v>3047</v>
      </c>
      <c r="X375" s="328" t="str">
        <f>IFERROR(VLOOKUP(W375,DATA!$G$4:$H$400,2,FALSE),"")</f>
        <v>ГЛОБАЛ ГАЗАР ХХК</v>
      </c>
      <c r="Y375" s="1205"/>
      <c r="Z375" s="1205"/>
      <c r="AA375" s="1205"/>
    </row>
    <row r="376" spans="1:27" ht="12.75" customHeight="1">
      <c r="A376" s="15">
        <v>97</v>
      </c>
      <c r="B376" s="369">
        <f t="shared" si="99"/>
        <v>371</v>
      </c>
      <c r="C376" s="427">
        <v>42850</v>
      </c>
      <c r="D376" s="426">
        <v>211504</v>
      </c>
      <c r="E376" s="425" t="str">
        <f t="shared" ca="1" si="114"/>
        <v xml:space="preserve">Н-Евровагонка /зузаан-1.2см/-яртай </v>
      </c>
      <c r="F376" s="428" t="str">
        <f t="shared" ca="1" si="107"/>
        <v>м2</v>
      </c>
      <c r="G376" s="378"/>
      <c r="H376" s="378"/>
      <c r="I376" s="378"/>
      <c r="J376" s="378"/>
      <c r="K376" s="1220"/>
      <c r="L376" s="378">
        <v>60.9</v>
      </c>
      <c r="M376" s="378">
        <v>18002.687000000002</v>
      </c>
      <c r="N376" s="378">
        <f t="shared" si="108"/>
        <v>1096363.6383</v>
      </c>
      <c r="O376" s="378">
        <f t="shared" si="109"/>
        <v>109636.36383</v>
      </c>
      <c r="P376" s="378">
        <f t="shared" si="110"/>
        <v>1206000.0021299999</v>
      </c>
      <c r="Q376" s="378">
        <f t="shared" ca="1" si="111"/>
        <v>10540.117978141454</v>
      </c>
      <c r="R376" s="378">
        <f t="shared" ca="1" si="112"/>
        <v>641893.18486881454</v>
      </c>
      <c r="S376" s="602">
        <v>150101</v>
      </c>
      <c r="T376" s="378" t="str">
        <f>+IFERROR(VLOOKUP(S376,STAT1!$C$4:$D$189,2,FALSE),"")</f>
        <v>Бараа бэлэн бүтээгдэхүүн БОЛОВСРУУЛАХ ЦЕХ /нарс/</v>
      </c>
      <c r="U376" s="1225"/>
      <c r="V376" s="1216">
        <v>641893.18486881454</v>
      </c>
      <c r="W376" s="326">
        <v>3049</v>
      </c>
      <c r="X376" s="328" t="str">
        <f>IFERROR(VLOOKUP(W376,DATA!$G$4:$H$400,2,FALSE),"")</f>
        <v xml:space="preserve">НОЁН ХХК </v>
      </c>
      <c r="Y376" s="1205"/>
      <c r="Z376" s="1205"/>
      <c r="AA376" s="1205"/>
    </row>
    <row r="377" spans="1:27" ht="12.75" customHeight="1">
      <c r="A377" s="15">
        <v>98</v>
      </c>
      <c r="B377" s="369">
        <f t="shared" si="99"/>
        <v>372</v>
      </c>
      <c r="C377" s="427">
        <v>42850</v>
      </c>
      <c r="D377" s="426"/>
      <c r="E377" s="425" t="str">
        <f t="shared" ca="1" si="114"/>
        <v/>
      </c>
      <c r="F377" s="428" t="str">
        <f t="shared" ca="1" si="107"/>
        <v/>
      </c>
      <c r="G377" s="378"/>
      <c r="H377" s="378"/>
      <c r="I377" s="378"/>
      <c r="J377" s="378"/>
      <c r="K377" s="1220"/>
      <c r="L377" s="378"/>
      <c r="M377" s="378"/>
      <c r="N377" s="378" t="str">
        <f t="shared" si="108"/>
        <v/>
      </c>
      <c r="O377" s="378" t="str">
        <f t="shared" si="109"/>
        <v/>
      </c>
      <c r="P377" s="378" t="str">
        <f t="shared" si="110"/>
        <v/>
      </c>
      <c r="Q377" s="378" t="str">
        <f t="shared" si="111"/>
        <v/>
      </c>
      <c r="R377" s="378" t="str">
        <f t="shared" si="112"/>
        <v/>
      </c>
      <c r="S377" s="602">
        <v>610100</v>
      </c>
      <c r="T377" s="378" t="str">
        <f>+IFERROR(VLOOKUP(S377,STAT1!$C$4:$D$189,2,FALSE),"")</f>
        <v>Борлуулсан барааны өртөг</v>
      </c>
      <c r="U377" s="1225">
        <v>641893.18486881454</v>
      </c>
      <c r="V377" s="1216"/>
      <c r="W377" s="326">
        <v>3049</v>
      </c>
      <c r="X377" s="328" t="str">
        <f>IFERROR(VLOOKUP(W377,DATA!$G$4:$H$400,2,FALSE),"")</f>
        <v xml:space="preserve">НОЁН ХХК </v>
      </c>
      <c r="Y377" s="1205"/>
      <c r="Z377" s="1205"/>
      <c r="AA377" s="1205"/>
    </row>
    <row r="378" spans="1:27" ht="12.75" customHeight="1">
      <c r="A378" s="15">
        <v>98</v>
      </c>
      <c r="B378" s="369">
        <f t="shared" si="99"/>
        <v>373</v>
      </c>
      <c r="C378" s="427">
        <v>42850</v>
      </c>
      <c r="D378" s="426"/>
      <c r="E378" s="425" t="str">
        <f t="shared" ca="1" si="114"/>
        <v/>
      </c>
      <c r="F378" s="428" t="str">
        <f t="shared" ca="1" si="107"/>
        <v/>
      </c>
      <c r="G378" s="378"/>
      <c r="H378" s="378"/>
      <c r="I378" s="378"/>
      <c r="J378" s="378"/>
      <c r="K378" s="1220"/>
      <c r="L378" s="378"/>
      <c r="M378" s="378"/>
      <c r="N378" s="378" t="str">
        <f t="shared" si="108"/>
        <v/>
      </c>
      <c r="O378" s="378" t="str">
        <f t="shared" si="109"/>
        <v/>
      </c>
      <c r="P378" s="378" t="str">
        <f t="shared" si="110"/>
        <v/>
      </c>
      <c r="Q378" s="378" t="str">
        <f t="shared" si="111"/>
        <v/>
      </c>
      <c r="R378" s="378" t="str">
        <f t="shared" si="112"/>
        <v/>
      </c>
      <c r="S378" s="602">
        <v>310500</v>
      </c>
      <c r="T378" s="378" t="str">
        <f>+IFERROR(VLOOKUP(S378,STAT1!$C$4:$D$189,2,FALSE),"")</f>
        <v>НӨАТ өглөг</v>
      </c>
      <c r="U378" s="1225"/>
      <c r="V378" s="1216">
        <v>109636.36383</v>
      </c>
      <c r="W378" s="326">
        <v>3049</v>
      </c>
      <c r="X378" s="328" t="str">
        <f>IFERROR(VLOOKUP(W378,DATA!$G$4:$H$400,2,FALSE),"")</f>
        <v xml:space="preserve">НОЁН ХХК </v>
      </c>
      <c r="Y378" s="1205"/>
      <c r="Z378" s="1205"/>
      <c r="AA378" s="1205"/>
    </row>
    <row r="379" spans="1:27" ht="12.75" customHeight="1">
      <c r="A379" s="15">
        <v>98</v>
      </c>
      <c r="B379" s="369">
        <f t="shared" si="99"/>
        <v>374</v>
      </c>
      <c r="C379" s="427">
        <v>42850</v>
      </c>
      <c r="D379" s="426"/>
      <c r="E379" s="425" t="str">
        <f t="shared" ca="1" si="114"/>
        <v/>
      </c>
      <c r="F379" s="428" t="str">
        <f t="shared" ca="1" si="107"/>
        <v/>
      </c>
      <c r="G379" s="378"/>
      <c r="H379" s="378"/>
      <c r="I379" s="378"/>
      <c r="J379" s="378"/>
      <c r="K379" s="1220"/>
      <c r="L379" s="378"/>
      <c r="M379" s="378"/>
      <c r="N379" s="378" t="str">
        <f t="shared" si="108"/>
        <v/>
      </c>
      <c r="O379" s="378" t="str">
        <f t="shared" si="109"/>
        <v/>
      </c>
      <c r="P379" s="378" t="str">
        <f t="shared" si="110"/>
        <v/>
      </c>
      <c r="Q379" s="378" t="str">
        <f t="shared" si="111"/>
        <v/>
      </c>
      <c r="R379" s="378" t="str">
        <f t="shared" si="112"/>
        <v/>
      </c>
      <c r="S379" s="602">
        <v>510000</v>
      </c>
      <c r="T379" s="378" t="str">
        <f>+IFERROR(VLOOKUP(S379,STAT1!$C$4:$D$189,2,FALSE),"")</f>
        <v>Үндсэн үйл ажиллагааны борлуулалт</v>
      </c>
      <c r="U379" s="1225"/>
      <c r="V379" s="1216">
        <v>1096363.6383</v>
      </c>
      <c r="W379" s="326">
        <v>3049</v>
      </c>
      <c r="X379" s="328" t="str">
        <f>IFERROR(VLOOKUP(W379,DATA!$G$4:$H$400,2,FALSE),"")</f>
        <v xml:space="preserve">НОЁН ХХК </v>
      </c>
      <c r="Y379" s="1205"/>
      <c r="Z379" s="1205"/>
      <c r="AA379" s="1205"/>
    </row>
    <row r="380" spans="1:27" ht="12.75" customHeight="1">
      <c r="A380" s="15">
        <v>98</v>
      </c>
      <c r="B380" s="369">
        <f t="shared" si="99"/>
        <v>375</v>
      </c>
      <c r="C380" s="427">
        <v>42850</v>
      </c>
      <c r="D380" s="426"/>
      <c r="E380" s="425" t="str">
        <f t="shared" ca="1" si="114"/>
        <v/>
      </c>
      <c r="F380" s="428" t="str">
        <f t="shared" ca="1" si="107"/>
        <v/>
      </c>
      <c r="G380" s="378"/>
      <c r="H380" s="378"/>
      <c r="I380" s="378"/>
      <c r="J380" s="378"/>
      <c r="K380" s="1220"/>
      <c r="L380" s="378"/>
      <c r="M380" s="378"/>
      <c r="N380" s="378" t="str">
        <f t="shared" si="108"/>
        <v/>
      </c>
      <c r="O380" s="378" t="str">
        <f t="shared" si="109"/>
        <v/>
      </c>
      <c r="P380" s="378" t="str">
        <f t="shared" si="110"/>
        <v/>
      </c>
      <c r="Q380" s="378" t="str">
        <f t="shared" si="111"/>
        <v/>
      </c>
      <c r="R380" s="378" t="str">
        <f t="shared" si="112"/>
        <v/>
      </c>
      <c r="S380" s="602">
        <v>320100</v>
      </c>
      <c r="T380" s="378" t="str">
        <f>+IFERROR(VLOOKUP(S380,STAT1!$C$4:$D$189,2,FALSE),"")</f>
        <v>Урьдчилж орсон орлого MNT</v>
      </c>
      <c r="U380" s="1225">
        <v>1206000.0021299999</v>
      </c>
      <c r="V380" s="1216"/>
      <c r="W380" s="326">
        <v>3049</v>
      </c>
      <c r="X380" s="328" t="str">
        <f>IFERROR(VLOOKUP(W380,DATA!$G$4:$H$400,2,FALSE),"")</f>
        <v xml:space="preserve">НОЁН ХХК </v>
      </c>
      <c r="Y380" s="1205"/>
      <c r="Z380" s="1205"/>
      <c r="AA380" s="1205"/>
    </row>
    <row r="381" spans="1:27" ht="12.75" customHeight="1">
      <c r="A381" s="15">
        <v>98</v>
      </c>
      <c r="B381" s="369">
        <f t="shared" si="99"/>
        <v>376</v>
      </c>
      <c r="C381" s="427">
        <v>42855</v>
      </c>
      <c r="D381" s="426">
        <v>211503</v>
      </c>
      <c r="E381" s="425" t="str">
        <f t="shared" ca="1" si="114"/>
        <v>Н-Евровагонка /зузаан-1.2см/</v>
      </c>
      <c r="F381" s="428" t="str">
        <f t="shared" ca="1" si="107"/>
        <v>м2</v>
      </c>
      <c r="G381" s="378"/>
      <c r="H381" s="378"/>
      <c r="I381" s="378"/>
      <c r="J381" s="378"/>
      <c r="K381" s="1220"/>
      <c r="L381" s="378">
        <v>12.5</v>
      </c>
      <c r="M381" s="378">
        <v>21600</v>
      </c>
      <c r="N381" s="378">
        <f t="shared" si="108"/>
        <v>270000</v>
      </c>
      <c r="O381" s="378">
        <f t="shared" si="109"/>
        <v>27000</v>
      </c>
      <c r="P381" s="378">
        <f t="shared" si="110"/>
        <v>297000</v>
      </c>
      <c r="Q381" s="378">
        <f t="shared" ca="1" si="111"/>
        <v>12622.237683513315</v>
      </c>
      <c r="R381" s="378">
        <f t="shared" ca="1" si="112"/>
        <v>157777.97104391642</v>
      </c>
      <c r="S381" s="602">
        <v>150101</v>
      </c>
      <c r="T381" s="378" t="str">
        <f>+IFERROR(VLOOKUP(S381,STAT1!$C$4:$D$189,2,FALSE),"")</f>
        <v>Бараа бэлэн бүтээгдэхүүн БОЛОВСРУУЛАХ ЦЕХ /нарс/</v>
      </c>
      <c r="U381" s="1225"/>
      <c r="V381" s="1216">
        <v>157777.97104391642</v>
      </c>
      <c r="W381" s="326">
        <v>3048</v>
      </c>
      <c r="X381" s="328" t="str">
        <f>IFERROR(VLOOKUP(W381,DATA!$G$4:$H$400,2,FALSE),"")</f>
        <v xml:space="preserve">МАК ХХК </v>
      </c>
      <c r="Y381" s="1205"/>
      <c r="Z381" s="1205"/>
      <c r="AA381" s="1205"/>
    </row>
    <row r="382" spans="1:27" ht="12.75" customHeight="1">
      <c r="A382" s="15">
        <v>99</v>
      </c>
      <c r="B382" s="378">
        <f t="shared" si="99"/>
        <v>377</v>
      </c>
      <c r="C382" s="427">
        <v>42855</v>
      </c>
      <c r="D382" s="426"/>
      <c r="E382" s="425" t="str">
        <f t="shared" ca="1" si="114"/>
        <v/>
      </c>
      <c r="F382" s="428" t="str">
        <f t="shared" ca="1" si="107"/>
        <v/>
      </c>
      <c r="G382" s="378"/>
      <c r="H382" s="378"/>
      <c r="I382" s="378"/>
      <c r="J382" s="378"/>
      <c r="K382" s="1220"/>
      <c r="L382" s="378"/>
      <c r="M382" s="378"/>
      <c r="N382" s="378" t="str">
        <f t="shared" si="108"/>
        <v/>
      </c>
      <c r="O382" s="378" t="str">
        <f t="shared" si="109"/>
        <v/>
      </c>
      <c r="P382" s="378" t="str">
        <f t="shared" si="110"/>
        <v/>
      </c>
      <c r="Q382" s="378" t="str">
        <f t="shared" si="111"/>
        <v/>
      </c>
      <c r="R382" s="378" t="str">
        <f t="shared" si="112"/>
        <v/>
      </c>
      <c r="S382" s="602">
        <v>610100</v>
      </c>
      <c r="T382" s="378" t="str">
        <f>+IFERROR(VLOOKUP(S382,STAT1!$C$4:$D$189,2,FALSE),"")</f>
        <v>Борлуулсан барааны өртөг</v>
      </c>
      <c r="U382" s="1225">
        <v>157777.97104391642</v>
      </c>
      <c r="V382" s="1216"/>
      <c r="W382" s="326">
        <v>3048</v>
      </c>
      <c r="X382" s="328" t="str">
        <f>IFERROR(VLOOKUP(W382,DATA!$G$4:$H$400,2,FALSE),"")</f>
        <v xml:space="preserve">МАК ХХК </v>
      </c>
      <c r="Y382" s="1205"/>
      <c r="Z382" s="1205"/>
      <c r="AA382" s="1205"/>
    </row>
    <row r="383" spans="1:27" ht="12.75" customHeight="1">
      <c r="A383" s="15">
        <v>99</v>
      </c>
      <c r="B383" s="369">
        <f t="shared" si="99"/>
        <v>378</v>
      </c>
      <c r="C383" s="427">
        <v>42855</v>
      </c>
      <c r="D383" s="426"/>
      <c r="E383" s="425" t="str">
        <f t="shared" ca="1" si="114"/>
        <v/>
      </c>
      <c r="F383" s="428" t="str">
        <f t="shared" ca="1" si="107"/>
        <v/>
      </c>
      <c r="G383" s="378"/>
      <c r="H383" s="378"/>
      <c r="I383" s="378"/>
      <c r="J383" s="378"/>
      <c r="K383" s="1220"/>
      <c r="L383" s="378"/>
      <c r="M383" s="378"/>
      <c r="N383" s="378" t="str">
        <f t="shared" si="108"/>
        <v/>
      </c>
      <c r="O383" s="378" t="str">
        <f t="shared" si="109"/>
        <v/>
      </c>
      <c r="P383" s="378" t="str">
        <f t="shared" si="110"/>
        <v/>
      </c>
      <c r="Q383" s="378" t="str">
        <f t="shared" si="111"/>
        <v/>
      </c>
      <c r="R383" s="378" t="str">
        <f t="shared" si="112"/>
        <v/>
      </c>
      <c r="S383" s="602">
        <v>310500</v>
      </c>
      <c r="T383" s="378" t="str">
        <f>+IFERROR(VLOOKUP(S383,STAT1!$C$4:$D$189,2,FALSE),"")</f>
        <v>НӨАТ өглөг</v>
      </c>
      <c r="U383" s="1225"/>
      <c r="V383" s="1216">
        <v>27000</v>
      </c>
      <c r="W383" s="326">
        <v>3048</v>
      </c>
      <c r="X383" s="328" t="str">
        <f>IFERROR(VLOOKUP(W383,DATA!$G$4:$H$400,2,FALSE),"")</f>
        <v xml:space="preserve">МАК ХХК </v>
      </c>
      <c r="Y383" s="1205"/>
      <c r="Z383" s="1205"/>
      <c r="AA383" s="1205"/>
    </row>
    <row r="384" spans="1:27" ht="12.75" customHeight="1">
      <c r="A384" s="15">
        <v>99</v>
      </c>
      <c r="B384" s="369">
        <f t="shared" si="99"/>
        <v>379</v>
      </c>
      <c r="C384" s="427">
        <v>42855</v>
      </c>
      <c r="D384" s="426"/>
      <c r="E384" s="425" t="str">
        <f t="shared" ca="1" si="114"/>
        <v/>
      </c>
      <c r="F384" s="428" t="str">
        <f t="shared" ca="1" si="107"/>
        <v/>
      </c>
      <c r="G384" s="378"/>
      <c r="H384" s="378"/>
      <c r="I384" s="378"/>
      <c r="J384" s="378"/>
      <c r="K384" s="1220"/>
      <c r="L384" s="378"/>
      <c r="M384" s="378"/>
      <c r="N384" s="378" t="str">
        <f t="shared" si="108"/>
        <v/>
      </c>
      <c r="O384" s="378" t="str">
        <f t="shared" si="109"/>
        <v/>
      </c>
      <c r="P384" s="378" t="str">
        <f t="shared" si="110"/>
        <v/>
      </c>
      <c r="Q384" s="378" t="str">
        <f t="shared" si="111"/>
        <v/>
      </c>
      <c r="R384" s="378" t="str">
        <f t="shared" si="112"/>
        <v/>
      </c>
      <c r="S384" s="602">
        <v>510000</v>
      </c>
      <c r="T384" s="378" t="str">
        <f>+IFERROR(VLOOKUP(S384,STAT1!$C$4:$D$189,2,FALSE),"")</f>
        <v>Үндсэн үйл ажиллагааны борлуулалт</v>
      </c>
      <c r="U384" s="1225"/>
      <c r="V384" s="1216">
        <v>270000</v>
      </c>
      <c r="W384" s="326">
        <v>3048</v>
      </c>
      <c r="X384" s="328" t="str">
        <f>IFERROR(VLOOKUP(W384,DATA!$G$4:$H$400,2,FALSE),"")</f>
        <v xml:space="preserve">МАК ХХК </v>
      </c>
      <c r="Y384" s="1205"/>
      <c r="Z384" s="1205"/>
      <c r="AA384" s="1205"/>
    </row>
    <row r="385" spans="1:27" ht="12.75" customHeight="1">
      <c r="A385" s="15">
        <v>99</v>
      </c>
      <c r="B385" s="369">
        <f t="shared" si="99"/>
        <v>380</v>
      </c>
      <c r="C385" s="427">
        <v>42855</v>
      </c>
      <c r="D385" s="426"/>
      <c r="E385" s="425" t="str">
        <f t="shared" ca="1" si="114"/>
        <v/>
      </c>
      <c r="F385" s="428" t="str">
        <f t="shared" ca="1" si="107"/>
        <v/>
      </c>
      <c r="G385" s="378"/>
      <c r="H385" s="378"/>
      <c r="I385" s="378"/>
      <c r="J385" s="378"/>
      <c r="K385" s="1220"/>
      <c r="L385" s="378"/>
      <c r="M385" s="378"/>
      <c r="N385" s="378" t="str">
        <f t="shared" si="108"/>
        <v/>
      </c>
      <c r="O385" s="378" t="str">
        <f t="shared" si="109"/>
        <v/>
      </c>
      <c r="P385" s="378" t="str">
        <f t="shared" si="110"/>
        <v/>
      </c>
      <c r="Q385" s="378" t="str">
        <f t="shared" si="111"/>
        <v/>
      </c>
      <c r="R385" s="378" t="str">
        <f t="shared" si="112"/>
        <v/>
      </c>
      <c r="S385" s="602">
        <v>320100</v>
      </c>
      <c r="T385" s="378" t="str">
        <f>+IFERROR(VLOOKUP(S385,STAT1!$C$4:$D$189,2,FALSE),"")</f>
        <v>Урьдчилж орсон орлого MNT</v>
      </c>
      <c r="U385" s="1225">
        <v>297000</v>
      </c>
      <c r="V385" s="1216"/>
      <c r="W385" s="326">
        <v>3048</v>
      </c>
      <c r="X385" s="328" t="str">
        <f>IFERROR(VLOOKUP(W385,DATA!$G$4:$H$400,2,FALSE),"")</f>
        <v xml:space="preserve">МАК ХХК </v>
      </c>
      <c r="Y385" s="1205"/>
      <c r="Z385" s="1205"/>
      <c r="AA385" s="1205"/>
    </row>
    <row r="386" spans="1:27" ht="12.75" customHeight="1">
      <c r="A386" s="15">
        <v>99</v>
      </c>
      <c r="B386" s="369">
        <f t="shared" si="99"/>
        <v>381</v>
      </c>
      <c r="C386" s="427">
        <v>42855</v>
      </c>
      <c r="D386" s="426">
        <v>211504</v>
      </c>
      <c r="E386" s="425" t="str">
        <f t="shared" ca="1" si="114"/>
        <v xml:space="preserve">Н-Евровагонка /зузаан-1.2см/-яртай </v>
      </c>
      <c r="F386" s="428" t="str">
        <f t="shared" ca="1" si="107"/>
        <v>м2</v>
      </c>
      <c r="G386" s="378"/>
      <c r="H386" s="378"/>
      <c r="I386" s="378"/>
      <c r="J386" s="378"/>
      <c r="K386" s="1220"/>
      <c r="L386" s="378">
        <v>134.66999999999999</v>
      </c>
      <c r="M386" s="378">
        <v>18000.202499999999</v>
      </c>
      <c r="N386" s="378">
        <f t="shared" si="108"/>
        <v>2424087.2706749998</v>
      </c>
      <c r="O386" s="378">
        <f t="shared" si="109"/>
        <v>242408.7270675</v>
      </c>
      <c r="P386" s="378">
        <f t="shared" si="110"/>
        <v>2666495.9977424997</v>
      </c>
      <c r="Q386" s="378">
        <f t="shared" ca="1" si="111"/>
        <v>10540.117978141456</v>
      </c>
      <c r="R386" s="378">
        <f t="shared" ca="1" si="112"/>
        <v>1419437.6881163097</v>
      </c>
      <c r="S386" s="602">
        <v>150101</v>
      </c>
      <c r="T386" s="378" t="str">
        <f>+IFERROR(VLOOKUP(S386,STAT1!$C$4:$D$189,2,FALSE),"")</f>
        <v>Бараа бэлэн бүтээгдэхүүн БОЛОВСРУУЛАХ ЦЕХ /нарс/</v>
      </c>
      <c r="U386" s="1225"/>
      <c r="V386" s="1216">
        <v>1419437.6881163097</v>
      </c>
      <c r="W386" s="326">
        <v>3039</v>
      </c>
      <c r="X386" s="328" t="str">
        <f>IFERROR(VLOOKUP(W386,DATA!$G$4:$H$400,2,FALSE),"")</f>
        <v xml:space="preserve">САССИР ХХК </v>
      </c>
      <c r="Y386" s="1205"/>
      <c r="Z386" s="1205"/>
      <c r="AA386" s="1205"/>
    </row>
    <row r="387" spans="1:27" ht="12.75" customHeight="1">
      <c r="A387" s="15">
        <v>100</v>
      </c>
      <c r="B387" s="369">
        <f t="shared" si="99"/>
        <v>382</v>
      </c>
      <c r="C387" s="427">
        <v>42855</v>
      </c>
      <c r="D387" s="426"/>
      <c r="E387" s="425" t="str">
        <f t="shared" ca="1" si="114"/>
        <v/>
      </c>
      <c r="F387" s="428" t="str">
        <f t="shared" ca="1" si="107"/>
        <v/>
      </c>
      <c r="G387" s="378"/>
      <c r="H387" s="378"/>
      <c r="I387" s="378"/>
      <c r="J387" s="378"/>
      <c r="K387" s="1220"/>
      <c r="L387" s="378"/>
      <c r="M387" s="378"/>
      <c r="N387" s="378" t="str">
        <f t="shared" si="108"/>
        <v/>
      </c>
      <c r="O387" s="378" t="str">
        <f t="shared" si="109"/>
        <v/>
      </c>
      <c r="P387" s="378" t="str">
        <f t="shared" si="110"/>
        <v/>
      </c>
      <c r="Q387" s="378" t="str">
        <f t="shared" si="111"/>
        <v/>
      </c>
      <c r="R387" s="378" t="str">
        <f t="shared" si="112"/>
        <v/>
      </c>
      <c r="S387" s="602">
        <v>610100</v>
      </c>
      <c r="T387" s="378" t="str">
        <f>+IFERROR(VLOOKUP(S387,STAT1!$C$4:$D$189,2,FALSE),"")</f>
        <v>Борлуулсан барааны өртөг</v>
      </c>
      <c r="U387" s="1216">
        <v>1419437.6881163097</v>
      </c>
      <c r="V387" s="1216"/>
      <c r="W387" s="326">
        <v>3039</v>
      </c>
      <c r="X387" s="328" t="str">
        <f>IFERROR(VLOOKUP(W387,DATA!$G$4:$H$400,2,FALSE),"")</f>
        <v xml:space="preserve">САССИР ХХК </v>
      </c>
      <c r="Y387" s="1205"/>
      <c r="Z387" s="1205"/>
      <c r="AA387" s="1205"/>
    </row>
    <row r="388" spans="1:27" ht="12.75" customHeight="1">
      <c r="A388" s="15">
        <v>100</v>
      </c>
      <c r="B388" s="369">
        <f t="shared" si="99"/>
        <v>383</v>
      </c>
      <c r="C388" s="427">
        <v>42855</v>
      </c>
      <c r="D388" s="426"/>
      <c r="E388" s="425" t="str">
        <f t="shared" ca="1" si="114"/>
        <v/>
      </c>
      <c r="F388" s="428" t="str">
        <f t="shared" ca="1" si="107"/>
        <v/>
      </c>
      <c r="G388" s="378"/>
      <c r="H388" s="378"/>
      <c r="I388" s="378"/>
      <c r="J388" s="378"/>
      <c r="K388" s="1220"/>
      <c r="L388" s="378"/>
      <c r="M388" s="378"/>
      <c r="N388" s="378" t="str">
        <f t="shared" si="108"/>
        <v/>
      </c>
      <c r="O388" s="378" t="str">
        <f t="shared" si="109"/>
        <v/>
      </c>
      <c r="P388" s="378" t="str">
        <f t="shared" si="110"/>
        <v/>
      </c>
      <c r="Q388" s="378" t="str">
        <f t="shared" si="111"/>
        <v/>
      </c>
      <c r="R388" s="378" t="str">
        <f t="shared" si="112"/>
        <v/>
      </c>
      <c r="S388" s="602">
        <v>310500</v>
      </c>
      <c r="T388" s="378" t="str">
        <f>+IFERROR(VLOOKUP(S388,STAT1!$C$4:$D$189,2,FALSE),"")</f>
        <v>НӨАТ өглөг</v>
      </c>
      <c r="U388" s="1225"/>
      <c r="V388" s="1216">
        <v>242408.7270675</v>
      </c>
      <c r="W388" s="326">
        <v>3039</v>
      </c>
      <c r="X388" s="328" t="str">
        <f>IFERROR(VLOOKUP(W388,DATA!$G$4:$H$400,2,FALSE),"")</f>
        <v xml:space="preserve">САССИР ХХК </v>
      </c>
      <c r="Y388" s="1205"/>
      <c r="Z388" s="1205"/>
      <c r="AA388" s="1205"/>
    </row>
    <row r="389" spans="1:27" ht="12.75" customHeight="1">
      <c r="A389" s="15">
        <v>100</v>
      </c>
      <c r="B389" s="369">
        <f t="shared" si="99"/>
        <v>384</v>
      </c>
      <c r="C389" s="427">
        <v>42855</v>
      </c>
      <c r="D389" s="426"/>
      <c r="E389" s="425" t="str">
        <f t="shared" ca="1" si="114"/>
        <v/>
      </c>
      <c r="F389" s="428" t="str">
        <f t="shared" ca="1" si="107"/>
        <v/>
      </c>
      <c r="G389" s="378"/>
      <c r="H389" s="378"/>
      <c r="I389" s="378"/>
      <c r="J389" s="378"/>
      <c r="K389" s="1220"/>
      <c r="L389" s="378"/>
      <c r="M389" s="378"/>
      <c r="N389" s="378" t="str">
        <f t="shared" si="108"/>
        <v/>
      </c>
      <c r="O389" s="378" t="str">
        <f t="shared" si="109"/>
        <v/>
      </c>
      <c r="P389" s="378" t="str">
        <f t="shared" si="110"/>
        <v/>
      </c>
      <c r="Q389" s="378" t="str">
        <f t="shared" si="111"/>
        <v/>
      </c>
      <c r="R389" s="378" t="str">
        <f t="shared" si="112"/>
        <v/>
      </c>
      <c r="S389" s="602">
        <v>510000</v>
      </c>
      <c r="T389" s="378" t="str">
        <f>+IFERROR(VLOOKUP(S389,STAT1!$C$4:$D$189,2,FALSE),"")</f>
        <v>Үндсэн үйл ажиллагааны борлуулалт</v>
      </c>
      <c r="U389" s="1225"/>
      <c r="V389" s="1216">
        <v>2424087.2706749998</v>
      </c>
      <c r="W389" s="326">
        <v>3039</v>
      </c>
      <c r="X389" s="328" t="str">
        <f>IFERROR(VLOOKUP(W389,DATA!$G$4:$H$400,2,FALSE),"")</f>
        <v xml:space="preserve">САССИР ХХК </v>
      </c>
      <c r="Y389" s="1205"/>
      <c r="Z389" s="1205"/>
      <c r="AA389" s="1205"/>
    </row>
    <row r="390" spans="1:27" ht="12.75" customHeight="1">
      <c r="A390" s="15">
        <v>100</v>
      </c>
      <c r="B390" s="369">
        <f t="shared" ref="B390:B453" si="115">+IF(C390="","",ROW()-5)</f>
        <v>385</v>
      </c>
      <c r="C390" s="427">
        <v>42855</v>
      </c>
      <c r="D390" s="426"/>
      <c r="E390" s="425" t="str">
        <f t="shared" ca="1" si="114"/>
        <v/>
      </c>
      <c r="F390" s="428" t="str">
        <f t="shared" ca="1" si="107"/>
        <v/>
      </c>
      <c r="G390" s="378"/>
      <c r="H390" s="378"/>
      <c r="I390" s="378"/>
      <c r="J390" s="378"/>
      <c r="K390" s="1220"/>
      <c r="L390" s="378"/>
      <c r="M390" s="378"/>
      <c r="N390" s="378" t="str">
        <f t="shared" si="108"/>
        <v/>
      </c>
      <c r="O390" s="378" t="str">
        <f t="shared" si="109"/>
        <v/>
      </c>
      <c r="P390" s="378" t="str">
        <f t="shared" si="110"/>
        <v/>
      </c>
      <c r="Q390" s="378" t="str">
        <f t="shared" si="111"/>
        <v/>
      </c>
      <c r="R390" s="378" t="str">
        <f t="shared" si="112"/>
        <v/>
      </c>
      <c r="S390" s="602">
        <v>320100</v>
      </c>
      <c r="T390" s="378" t="str">
        <f>+IFERROR(VLOOKUP(S390,STAT1!$C$4:$D$189,2,FALSE),"")</f>
        <v>Урьдчилж орсон орлого MNT</v>
      </c>
      <c r="U390" s="1225">
        <v>2666495.9977424997</v>
      </c>
      <c r="V390" s="1216"/>
      <c r="W390" s="326">
        <v>3039</v>
      </c>
      <c r="X390" s="328" t="str">
        <f>IFERROR(VLOOKUP(W390,DATA!$G$4:$H$400,2,FALSE),"")</f>
        <v xml:space="preserve">САССИР ХХК </v>
      </c>
      <c r="Y390" s="1205"/>
      <c r="Z390" s="1205"/>
      <c r="AA390" s="1205"/>
    </row>
    <row r="391" spans="1:27" ht="12.75" customHeight="1">
      <c r="A391" s="15">
        <v>100</v>
      </c>
      <c r="B391" s="369">
        <f t="shared" si="115"/>
        <v>386</v>
      </c>
      <c r="C391" s="427">
        <v>42855</v>
      </c>
      <c r="D391" s="426">
        <v>211503</v>
      </c>
      <c r="E391" s="425" t="str">
        <f t="shared" ca="1" si="114"/>
        <v>Н-Евровагонка /зузаан-1.2см/</v>
      </c>
      <c r="F391" s="428" t="str">
        <f t="shared" ca="1" si="107"/>
        <v>м2</v>
      </c>
      <c r="G391" s="378"/>
      <c r="H391" s="378"/>
      <c r="I391" s="378"/>
      <c r="J391" s="378"/>
      <c r="K391" s="1220"/>
      <c r="L391" s="378">
        <v>33.950000000000003</v>
      </c>
      <c r="M391" s="378">
        <v>21600.2143</v>
      </c>
      <c r="N391" s="378">
        <f t="shared" si="108"/>
        <v>733327.27548499999</v>
      </c>
      <c r="O391" s="378">
        <f t="shared" si="109"/>
        <v>73332.727548499999</v>
      </c>
      <c r="P391" s="378">
        <f t="shared" si="110"/>
        <v>806660.00303349993</v>
      </c>
      <c r="Q391" s="378">
        <f t="shared" ca="1" si="111"/>
        <v>12622.237683513315</v>
      </c>
      <c r="R391" s="378">
        <f t="shared" ca="1" si="112"/>
        <v>428524.96935527708</v>
      </c>
      <c r="S391" s="602">
        <v>150101</v>
      </c>
      <c r="T391" s="378" t="str">
        <f>+IFERROR(VLOOKUP(S391,STAT1!$C$4:$D$189,2,FALSE),"")</f>
        <v>Бараа бэлэн бүтээгдэхүүн БОЛОВСРУУЛАХ ЦЕХ /нарс/</v>
      </c>
      <c r="U391" s="1225"/>
      <c r="V391" s="1216">
        <v>428524.96935527708</v>
      </c>
      <c r="W391" s="326">
        <v>4002</v>
      </c>
      <c r="X391" s="328" t="str">
        <f>IFERROR(VLOOKUP(W391,DATA!$G$4:$H$400,2,FALSE),"")</f>
        <v xml:space="preserve">Хувь хүн </v>
      </c>
      <c r="Y391" s="1205"/>
      <c r="Z391" s="1205"/>
      <c r="AA391" s="1205"/>
    </row>
    <row r="392" spans="1:27" ht="12.75" customHeight="1">
      <c r="A392" s="15">
        <v>101</v>
      </c>
      <c r="B392" s="369">
        <f t="shared" si="115"/>
        <v>387</v>
      </c>
      <c r="C392" s="427">
        <v>42855</v>
      </c>
      <c r="D392" s="426"/>
      <c r="E392" s="425" t="str">
        <f t="shared" ca="1" si="114"/>
        <v/>
      </c>
      <c r="F392" s="428" t="str">
        <f t="shared" ca="1" si="107"/>
        <v/>
      </c>
      <c r="G392" s="378"/>
      <c r="H392" s="378"/>
      <c r="I392" s="378"/>
      <c r="J392" s="378"/>
      <c r="K392" s="1220"/>
      <c r="L392" s="378"/>
      <c r="M392" s="378"/>
      <c r="N392" s="378" t="str">
        <f t="shared" si="108"/>
        <v/>
      </c>
      <c r="O392" s="378" t="str">
        <f t="shared" si="109"/>
        <v/>
      </c>
      <c r="P392" s="378" t="str">
        <f t="shared" si="110"/>
        <v/>
      </c>
      <c r="Q392" s="378" t="str">
        <f t="shared" si="111"/>
        <v/>
      </c>
      <c r="R392" s="378" t="str">
        <f t="shared" si="112"/>
        <v/>
      </c>
      <c r="S392" s="602">
        <v>610100</v>
      </c>
      <c r="T392" s="378" t="str">
        <f>+IFERROR(VLOOKUP(S392,STAT1!$C$4:$D$189,2,FALSE),"")</f>
        <v>Борлуулсан барааны өртөг</v>
      </c>
      <c r="U392" s="1216">
        <v>428524.96935527708</v>
      </c>
      <c r="V392" s="1216"/>
      <c r="W392" s="326">
        <v>4002</v>
      </c>
      <c r="X392" s="328" t="str">
        <f>IFERROR(VLOOKUP(W392,DATA!$G$4:$H$400,2,FALSE),"")</f>
        <v xml:space="preserve">Хувь хүн </v>
      </c>
      <c r="Y392" s="1205"/>
      <c r="Z392" s="1205"/>
      <c r="AA392" s="1205"/>
    </row>
    <row r="393" spans="1:27" ht="12.75" customHeight="1">
      <c r="A393" s="15">
        <v>101</v>
      </c>
      <c r="B393" s="369">
        <f t="shared" si="115"/>
        <v>388</v>
      </c>
      <c r="C393" s="427">
        <v>42855</v>
      </c>
      <c r="D393" s="426"/>
      <c r="E393" s="425" t="str">
        <f t="shared" ca="1" si="114"/>
        <v/>
      </c>
      <c r="F393" s="428" t="str">
        <f t="shared" ca="1" si="107"/>
        <v/>
      </c>
      <c r="G393" s="378"/>
      <c r="H393" s="378"/>
      <c r="I393" s="378"/>
      <c r="J393" s="378"/>
      <c r="K393" s="1220"/>
      <c r="L393" s="378"/>
      <c r="M393" s="378"/>
      <c r="N393" s="378" t="str">
        <f t="shared" si="108"/>
        <v/>
      </c>
      <c r="O393" s="378" t="str">
        <f t="shared" si="109"/>
        <v/>
      </c>
      <c r="P393" s="378" t="str">
        <f t="shared" si="110"/>
        <v/>
      </c>
      <c r="Q393" s="378" t="str">
        <f t="shared" si="111"/>
        <v/>
      </c>
      <c r="R393" s="378" t="str">
        <f t="shared" si="112"/>
        <v/>
      </c>
      <c r="S393" s="602">
        <v>310500</v>
      </c>
      <c r="T393" s="378" t="str">
        <f>+IFERROR(VLOOKUP(S393,STAT1!$C$4:$D$189,2,FALSE),"")</f>
        <v>НӨАТ өглөг</v>
      </c>
      <c r="U393" s="1225"/>
      <c r="V393" s="1216">
        <v>73332.727548499999</v>
      </c>
      <c r="W393" s="326">
        <v>4002</v>
      </c>
      <c r="X393" s="328" t="str">
        <f>IFERROR(VLOOKUP(W393,DATA!$G$4:$H$400,2,FALSE),"")</f>
        <v xml:space="preserve">Хувь хүн </v>
      </c>
      <c r="Y393" s="1205"/>
      <c r="Z393" s="1205"/>
      <c r="AA393" s="1205"/>
    </row>
    <row r="394" spans="1:27" ht="12.75" customHeight="1">
      <c r="A394" s="15">
        <v>101</v>
      </c>
      <c r="B394" s="369">
        <f t="shared" si="115"/>
        <v>389</v>
      </c>
      <c r="C394" s="427">
        <v>42855</v>
      </c>
      <c r="D394" s="426"/>
      <c r="E394" s="425" t="str">
        <f t="shared" ca="1" si="114"/>
        <v/>
      </c>
      <c r="F394" s="428" t="str">
        <f t="shared" ca="1" si="107"/>
        <v/>
      </c>
      <c r="G394" s="378"/>
      <c r="H394" s="378"/>
      <c r="I394" s="378"/>
      <c r="J394" s="378"/>
      <c r="K394" s="1220"/>
      <c r="L394" s="378"/>
      <c r="M394" s="378"/>
      <c r="N394" s="378" t="str">
        <f t="shared" si="108"/>
        <v/>
      </c>
      <c r="O394" s="378" t="str">
        <f t="shared" si="109"/>
        <v/>
      </c>
      <c r="P394" s="378" t="str">
        <f t="shared" si="110"/>
        <v/>
      </c>
      <c r="Q394" s="378" t="str">
        <f t="shared" si="111"/>
        <v/>
      </c>
      <c r="R394" s="378" t="str">
        <f t="shared" si="112"/>
        <v/>
      </c>
      <c r="S394" s="602">
        <v>510000</v>
      </c>
      <c r="T394" s="378" t="str">
        <f>+IFERROR(VLOOKUP(S394,STAT1!$C$4:$D$189,2,FALSE),"")</f>
        <v>Үндсэн үйл ажиллагааны борлуулалт</v>
      </c>
      <c r="U394" s="1225"/>
      <c r="V394" s="1216">
        <v>733327.27548499999</v>
      </c>
      <c r="W394" s="326">
        <v>4002</v>
      </c>
      <c r="X394" s="328" t="str">
        <f>IFERROR(VLOOKUP(W394,DATA!$G$4:$H$400,2,FALSE),"")</f>
        <v xml:space="preserve">Хувь хүн </v>
      </c>
      <c r="Y394" s="1205"/>
      <c r="Z394" s="1205"/>
      <c r="AA394" s="1205"/>
    </row>
    <row r="395" spans="1:27" ht="12.75" customHeight="1">
      <c r="A395" s="15">
        <v>101</v>
      </c>
      <c r="B395" s="369">
        <f t="shared" si="115"/>
        <v>390</v>
      </c>
      <c r="C395" s="427">
        <v>42855</v>
      </c>
      <c r="D395" s="426"/>
      <c r="E395" s="425" t="str">
        <f t="shared" ca="1" si="114"/>
        <v/>
      </c>
      <c r="F395" s="428" t="str">
        <f t="shared" ca="1" si="107"/>
        <v/>
      </c>
      <c r="G395" s="378"/>
      <c r="H395" s="378"/>
      <c r="I395" s="378"/>
      <c r="J395" s="378"/>
      <c r="K395" s="1220"/>
      <c r="L395" s="378"/>
      <c r="M395" s="378"/>
      <c r="N395" s="378" t="str">
        <f t="shared" si="108"/>
        <v/>
      </c>
      <c r="O395" s="378" t="str">
        <f t="shared" si="109"/>
        <v/>
      </c>
      <c r="P395" s="378" t="str">
        <f t="shared" si="110"/>
        <v/>
      </c>
      <c r="Q395" s="378" t="str">
        <f t="shared" si="111"/>
        <v/>
      </c>
      <c r="R395" s="378" t="str">
        <f t="shared" si="112"/>
        <v/>
      </c>
      <c r="S395" s="602">
        <v>320100</v>
      </c>
      <c r="T395" s="378" t="str">
        <f>+IFERROR(VLOOKUP(S395,STAT1!$C$4:$D$189,2,FALSE),"")</f>
        <v>Урьдчилж орсон орлого MNT</v>
      </c>
      <c r="U395" s="1225">
        <v>806660.00303349993</v>
      </c>
      <c r="V395" s="1216"/>
      <c r="W395" s="326">
        <v>4002</v>
      </c>
      <c r="X395" s="328" t="str">
        <f>IFERROR(VLOOKUP(W395,DATA!$G$4:$H$400,2,FALSE),"")</f>
        <v xml:space="preserve">Хувь хүн </v>
      </c>
      <c r="Y395" s="1205"/>
      <c r="Z395" s="1205"/>
      <c r="AA395" s="1205"/>
    </row>
    <row r="396" spans="1:27" ht="12.75" customHeight="1">
      <c r="A396" s="15">
        <v>101</v>
      </c>
      <c r="B396" s="369">
        <f t="shared" si="115"/>
        <v>391</v>
      </c>
      <c r="C396" s="427">
        <v>42858</v>
      </c>
      <c r="D396" s="426">
        <v>131026</v>
      </c>
      <c r="E396" s="425" t="s">
        <v>1650</v>
      </c>
      <c r="F396" s="428" t="str">
        <f t="shared" ca="1" si="107"/>
        <v>м3</v>
      </c>
      <c r="G396" s="378"/>
      <c r="H396" s="378"/>
      <c r="I396" s="378"/>
      <c r="J396" s="378"/>
      <c r="K396" s="1220"/>
      <c r="L396" s="378">
        <v>117.16</v>
      </c>
      <c r="M396" s="378"/>
      <c r="N396" s="378">
        <f t="shared" si="108"/>
        <v>0</v>
      </c>
      <c r="O396" s="378">
        <f t="shared" si="109"/>
        <v>0</v>
      </c>
      <c r="P396" s="378">
        <f t="shared" si="110"/>
        <v>0</v>
      </c>
      <c r="Q396" s="378">
        <f t="shared" ca="1" si="111"/>
        <v>353255.16</v>
      </c>
      <c r="R396" s="378">
        <f t="shared" ca="1" si="112"/>
        <v>41387374.545599997</v>
      </c>
      <c r="S396" s="602">
        <v>140200</v>
      </c>
      <c r="T396" s="378" t="str">
        <f>+IFERROR(VLOOKUP(S396,STAT1!$C$4:$D$189,2,FALSE),"")</f>
        <v>ШМЗардал ХАТААХ ЦЕХ /нарс/</v>
      </c>
      <c r="U396" s="1225">
        <v>41387374.545599997</v>
      </c>
      <c r="V396" s="1216"/>
      <c r="W396" s="326">
        <v>1006</v>
      </c>
      <c r="X396" s="328" t="str">
        <f>IFERROR(VLOOKUP(W396,DATA!$G$4:$H$400,2,FALSE),"")</f>
        <v>Оюундэлгэр /нярав/</v>
      </c>
      <c r="Y396" s="1205"/>
      <c r="Z396" s="1205"/>
      <c r="AA396" s="1205"/>
    </row>
    <row r="397" spans="1:27" ht="12.75" customHeight="1">
      <c r="A397" s="15">
        <v>102</v>
      </c>
      <c r="B397" s="369">
        <f t="shared" si="115"/>
        <v>392</v>
      </c>
      <c r="C397" s="427">
        <v>42858</v>
      </c>
      <c r="D397" s="426"/>
      <c r="E397" s="425"/>
      <c r="F397" s="428"/>
      <c r="G397" s="378"/>
      <c r="H397" s="378"/>
      <c r="I397" s="378"/>
      <c r="J397" s="378"/>
      <c r="K397" s="1220"/>
      <c r="L397" s="378"/>
      <c r="M397" s="378"/>
      <c r="N397" s="378"/>
      <c r="O397" s="378"/>
      <c r="P397" s="378"/>
      <c r="Q397" s="378"/>
      <c r="R397" s="378"/>
      <c r="S397" s="602">
        <v>140100</v>
      </c>
      <c r="T397" s="378" t="str">
        <f>+IFERROR(VLOOKUP(S397,STAT1!$C$4:$D$189,2,FALSE),"")</f>
        <v>Түүхий эд материал</v>
      </c>
      <c r="U397" s="1225"/>
      <c r="V397" s="1216">
        <v>41387374.545599997</v>
      </c>
      <c r="W397" s="326">
        <v>1006</v>
      </c>
      <c r="X397" s="328" t="str">
        <f>IFERROR(VLOOKUP(W397,DATA!$G$4:$H$400,2,FALSE),"")</f>
        <v>Оюундэлгэр /нярав/</v>
      </c>
      <c r="Y397" s="1205"/>
      <c r="Z397" s="1205"/>
      <c r="AA397" s="1205"/>
    </row>
    <row r="398" spans="1:27" ht="12.75" customHeight="1">
      <c r="A398" s="15">
        <v>102</v>
      </c>
      <c r="B398" s="369">
        <f t="shared" si="115"/>
        <v>393</v>
      </c>
      <c r="C398" s="427">
        <v>42859</v>
      </c>
      <c r="D398" s="426">
        <v>210003</v>
      </c>
      <c r="E398" s="425" t="str">
        <f t="shared" ref="E398:E429" ca="1" si="116">+IFERROR(VLOOKUP(D398,TN_table,2,FALSE),"")</f>
        <v>Н-Наамал дүнз</v>
      </c>
      <c r="F398" s="428" t="str">
        <f t="shared" ref="F398:F461" ca="1" si="117">+IFERROR(VLOOKUP(D398,TN_table,3,FALSE),"")</f>
        <v>м2</v>
      </c>
      <c r="G398" s="378"/>
      <c r="H398" s="378"/>
      <c r="I398" s="378"/>
      <c r="J398" s="378"/>
      <c r="K398" s="1220"/>
      <c r="L398" s="378">
        <v>17.484999999999999</v>
      </c>
      <c r="M398" s="378">
        <v>254275.09289999999</v>
      </c>
      <c r="N398" s="378">
        <f t="shared" ref="N398:N429" si="118">+IF(L398="","",L398*M398)</f>
        <v>4445999.9993564999</v>
      </c>
      <c r="O398" s="378">
        <f t="shared" ref="O398:O461" si="119">+IF(L398="","",N398*0.1)</f>
        <v>444599.99993565003</v>
      </c>
      <c r="P398" s="378">
        <f t="shared" ref="P398:P461" si="120">+IF(L398="","",N398+O398)</f>
        <v>4890599.9992921501</v>
      </c>
      <c r="Q398" s="378">
        <f t="shared" ref="Q398:Q461" ca="1" si="121">IF(L398="","",IFERROR((SUMIFS(TN_balC1_totol,TN_code,D398)+SUMIFS(RC_or_totol,RC_Code,D398,RC_date,"&lt;="&amp;C398)-SUMIFS(RC_zar_totol,RC_Code,D398,RC_date,"&lt;"&amp;C398)) /( SUMIFS(TN_balC1_unit,TN_code,D398)+SUMIFS(RC_or_unit,RC_Code,D398,RC_date,"&lt;="&amp;C398)-SUMIFS(RC_zar_unit,RC_Code,D398,RC_date,"&lt;"&amp;C398)),0 ))</f>
        <v>191123.56673210167</v>
      </c>
      <c r="R398" s="378">
        <f t="shared" ref="R398:R461" ca="1" si="122">+IF(L398="","",L398*Q398)</f>
        <v>3341795.5643107975</v>
      </c>
      <c r="S398" s="602">
        <v>150101</v>
      </c>
      <c r="T398" s="378" t="str">
        <f>+IFERROR(VLOOKUP(S398,STAT1!$C$4:$D$189,2,FALSE),"")</f>
        <v>Бараа бэлэн бүтээгдэхүүн БОЛОВСРУУЛАХ ЦЕХ /нарс/</v>
      </c>
      <c r="U398" s="1225"/>
      <c r="V398" s="1216">
        <v>5594587.3799999999</v>
      </c>
      <c r="W398" s="326">
        <v>4002</v>
      </c>
      <c r="X398" s="328" t="str">
        <f>IFERROR(VLOOKUP(W398,DATA!$G$4:$H$400,2,FALSE),"")</f>
        <v xml:space="preserve">Хувь хүн </v>
      </c>
      <c r="Y398" s="1205"/>
      <c r="Z398" s="1205"/>
      <c r="AA398" s="1205"/>
    </row>
    <row r="399" spans="1:27" ht="12.75" customHeight="1">
      <c r="A399" s="15">
        <v>103</v>
      </c>
      <c r="B399" s="369">
        <f t="shared" si="115"/>
        <v>394</v>
      </c>
      <c r="C399" s="427">
        <v>42859</v>
      </c>
      <c r="D399" s="426">
        <v>210003</v>
      </c>
      <c r="E399" s="425" t="str">
        <f t="shared" ca="1" si="116"/>
        <v>Н-Наамал дүнз</v>
      </c>
      <c r="F399" s="428" t="str">
        <f t="shared" ca="1" si="117"/>
        <v>м2</v>
      </c>
      <c r="G399" s="378"/>
      <c r="H399" s="378"/>
      <c r="I399" s="378"/>
      <c r="J399" s="378"/>
      <c r="K399" s="1220"/>
      <c r="L399" s="378">
        <v>9.61</v>
      </c>
      <c r="M399" s="378">
        <v>254647.62083999999</v>
      </c>
      <c r="N399" s="378">
        <f t="shared" si="118"/>
        <v>2447163.6362723997</v>
      </c>
      <c r="O399" s="378">
        <f t="shared" si="119"/>
        <v>244716.36362723997</v>
      </c>
      <c r="P399" s="378">
        <f t="shared" si="120"/>
        <v>2691879.9998996397</v>
      </c>
      <c r="Q399" s="378">
        <f t="shared" ca="1" si="121"/>
        <v>191123.56673210167</v>
      </c>
      <c r="R399" s="378">
        <f t="shared" ca="1" si="122"/>
        <v>1836697.4762954968</v>
      </c>
      <c r="S399" s="602">
        <v>610100</v>
      </c>
      <c r="T399" s="378" t="str">
        <f>+IFERROR(VLOOKUP(S399,STAT1!$C$4:$D$189,2,FALSE),"")</f>
        <v>Борлуулсан барааны өртөг</v>
      </c>
      <c r="U399" s="1216">
        <v>5594587.3799999999</v>
      </c>
      <c r="V399" s="1216"/>
      <c r="W399" s="326">
        <v>4002</v>
      </c>
      <c r="X399" s="328" t="str">
        <f>IFERROR(VLOOKUP(W399,DATA!$G$4:$H$400,2,FALSE),"")</f>
        <v xml:space="preserve">Хувь хүн </v>
      </c>
      <c r="Y399" s="1205"/>
      <c r="Z399" s="1205"/>
      <c r="AA399" s="1205"/>
    </row>
    <row r="400" spans="1:27" ht="12.75" customHeight="1">
      <c r="A400" s="15">
        <v>103</v>
      </c>
      <c r="B400" s="369">
        <f t="shared" si="115"/>
        <v>395</v>
      </c>
      <c r="C400" s="427">
        <v>42859</v>
      </c>
      <c r="D400" s="426">
        <v>211710</v>
      </c>
      <c r="E400" s="425" t="str">
        <f t="shared" ca="1" si="116"/>
        <v xml:space="preserve">Н-Хавтан /зузаан-3см/-яртай </v>
      </c>
      <c r="F400" s="428" t="str">
        <f t="shared" ca="1" si="117"/>
        <v>м2</v>
      </c>
      <c r="G400" s="378"/>
      <c r="H400" s="378"/>
      <c r="I400" s="378"/>
      <c r="J400" s="378"/>
      <c r="K400" s="1220"/>
      <c r="L400" s="378">
        <v>4</v>
      </c>
      <c r="M400" s="378">
        <v>40000</v>
      </c>
      <c r="N400" s="378">
        <f t="shared" si="118"/>
        <v>160000</v>
      </c>
      <c r="O400" s="378">
        <f t="shared" si="119"/>
        <v>16000</v>
      </c>
      <c r="P400" s="378">
        <f t="shared" si="120"/>
        <v>176000</v>
      </c>
      <c r="Q400" s="378">
        <f t="shared" ca="1" si="121"/>
        <v>32877.788914248587</v>
      </c>
      <c r="R400" s="378">
        <f t="shared" ca="1" si="122"/>
        <v>131511.15565699435</v>
      </c>
      <c r="S400" s="602">
        <v>310500</v>
      </c>
      <c r="T400" s="378" t="str">
        <f>+IFERROR(VLOOKUP(S400,STAT1!$C$4:$D$189,2,FALSE),"")</f>
        <v>НӨАТ өглөг</v>
      </c>
      <c r="U400" s="1225"/>
      <c r="V400" s="1216">
        <v>753916.36356288998</v>
      </c>
      <c r="W400" s="326">
        <v>4002</v>
      </c>
      <c r="X400" s="328" t="str">
        <f>IFERROR(VLOOKUP(W400,DATA!$G$4:$H$400,2,FALSE),"")</f>
        <v xml:space="preserve">Хувь хүн </v>
      </c>
      <c r="Y400" s="1205"/>
      <c r="Z400" s="1205"/>
      <c r="AA400" s="1205"/>
    </row>
    <row r="401" spans="1:27" ht="12.75" customHeight="1">
      <c r="A401" s="15">
        <v>104</v>
      </c>
      <c r="B401" s="369">
        <f t="shared" si="115"/>
        <v>396</v>
      </c>
      <c r="C401" s="427">
        <v>42859</v>
      </c>
      <c r="D401" s="426">
        <v>211504</v>
      </c>
      <c r="E401" s="425" t="str">
        <f t="shared" ca="1" si="116"/>
        <v xml:space="preserve">Н-Евровагонка /зузаан-1.2см/-яртай </v>
      </c>
      <c r="F401" s="428" t="str">
        <f t="shared" ca="1" si="117"/>
        <v>м2</v>
      </c>
      <c r="G401" s="378"/>
      <c r="H401" s="378"/>
      <c r="I401" s="378"/>
      <c r="J401" s="378"/>
      <c r="K401" s="1220"/>
      <c r="L401" s="378">
        <v>27</v>
      </c>
      <c r="M401" s="378">
        <v>18000</v>
      </c>
      <c r="N401" s="378">
        <f t="shared" si="118"/>
        <v>486000</v>
      </c>
      <c r="O401" s="378">
        <f t="shared" si="119"/>
        <v>48600</v>
      </c>
      <c r="P401" s="378">
        <f t="shared" si="120"/>
        <v>534600</v>
      </c>
      <c r="Q401" s="378">
        <f t="shared" ca="1" si="121"/>
        <v>10540.117978141456</v>
      </c>
      <c r="R401" s="378">
        <f t="shared" ca="1" si="122"/>
        <v>284583.1854098193</v>
      </c>
      <c r="S401" s="602">
        <v>510000</v>
      </c>
      <c r="T401" s="378" t="str">
        <f>+IFERROR(VLOOKUP(S401,STAT1!$C$4:$D$189,2,FALSE),"")</f>
        <v>Үндсэн үйл ажиллагааны борлуулалт</v>
      </c>
      <c r="U401" s="1225"/>
      <c r="V401" s="1216">
        <v>7539163.6356288996</v>
      </c>
      <c r="W401" s="326">
        <v>4002</v>
      </c>
      <c r="X401" s="328" t="str">
        <f>IFERROR(VLOOKUP(W401,DATA!$G$4:$H$400,2,FALSE),"")</f>
        <v xml:space="preserve">Хувь хүн </v>
      </c>
      <c r="Y401" s="1205"/>
      <c r="Z401" s="1205"/>
      <c r="AA401" s="1205"/>
    </row>
    <row r="402" spans="1:27" ht="12.75" customHeight="1">
      <c r="A402" s="15">
        <v>104</v>
      </c>
      <c r="B402" s="369">
        <f t="shared" si="115"/>
        <v>397</v>
      </c>
      <c r="C402" s="427">
        <v>42859</v>
      </c>
      <c r="D402" s="426"/>
      <c r="E402" s="425" t="str">
        <f t="shared" ca="1" si="116"/>
        <v/>
      </c>
      <c r="F402" s="428" t="str">
        <f t="shared" ca="1" si="117"/>
        <v/>
      </c>
      <c r="G402" s="378"/>
      <c r="H402" s="378"/>
      <c r="I402" s="378"/>
      <c r="J402" s="378"/>
      <c r="K402" s="1220"/>
      <c r="L402" s="378"/>
      <c r="M402" s="378"/>
      <c r="N402" s="378" t="str">
        <f t="shared" si="118"/>
        <v/>
      </c>
      <c r="O402" s="378" t="str">
        <f t="shared" si="119"/>
        <v/>
      </c>
      <c r="P402" s="378" t="str">
        <f t="shared" si="120"/>
        <v/>
      </c>
      <c r="Q402" s="378" t="str">
        <f t="shared" si="121"/>
        <v/>
      </c>
      <c r="R402" s="378" t="str">
        <f t="shared" si="122"/>
        <v/>
      </c>
      <c r="S402" s="602">
        <v>320100</v>
      </c>
      <c r="T402" s="378" t="str">
        <f>+IFERROR(VLOOKUP(S402,STAT1!$C$4:$D$189,2,FALSE),"")</f>
        <v>Урьдчилж орсон орлого MNT</v>
      </c>
      <c r="U402" s="1225">
        <v>8293079.9991917899</v>
      </c>
      <c r="V402" s="1216"/>
      <c r="W402" s="326">
        <v>4002</v>
      </c>
      <c r="X402" s="328" t="str">
        <f>IFERROR(VLOOKUP(W402,DATA!$G$4:$H$400,2,FALSE),"")</f>
        <v xml:space="preserve">Хувь хүн </v>
      </c>
      <c r="Y402" s="1205"/>
      <c r="Z402" s="1205"/>
      <c r="AA402" s="1205"/>
    </row>
    <row r="403" spans="1:27" ht="12.75" customHeight="1">
      <c r="A403" s="15">
        <v>104</v>
      </c>
      <c r="B403" s="369">
        <f t="shared" si="115"/>
        <v>398</v>
      </c>
      <c r="C403" s="427">
        <v>42860</v>
      </c>
      <c r="D403" s="426">
        <v>310001</v>
      </c>
      <c r="E403" s="425" t="str">
        <f t="shared" ca="1" si="116"/>
        <v xml:space="preserve">Хатаасан нарсан банз </v>
      </c>
      <c r="F403" s="428" t="str">
        <f t="shared" ca="1" si="117"/>
        <v>м3</v>
      </c>
      <c r="G403" s="378">
        <v>356.98</v>
      </c>
      <c r="H403" s="378">
        <v>349434.77641927643</v>
      </c>
      <c r="I403" s="378">
        <f>+IF(G403="","",G403*H403)</f>
        <v>124741226.4861533</v>
      </c>
      <c r="J403" s="378"/>
      <c r="K403" s="1220">
        <f>+IF(G403="","",I403+J403)</f>
        <v>124741226.4861533</v>
      </c>
      <c r="L403" s="378"/>
      <c r="M403" s="378"/>
      <c r="N403" s="378" t="str">
        <f t="shared" si="118"/>
        <v/>
      </c>
      <c r="O403" s="378" t="str">
        <f t="shared" si="119"/>
        <v/>
      </c>
      <c r="P403" s="378" t="str">
        <f t="shared" si="120"/>
        <v/>
      </c>
      <c r="Q403" s="378" t="str">
        <f t="shared" si="121"/>
        <v/>
      </c>
      <c r="R403" s="378" t="str">
        <f t="shared" si="122"/>
        <v/>
      </c>
      <c r="S403" s="602">
        <v>150100</v>
      </c>
      <c r="T403" s="378" t="str">
        <f>+IFERROR(VLOOKUP(S403,STAT1!$C$4:$D$189,2,FALSE),"")</f>
        <v>Бараа бэлэн бүтээгдэхүүн ХАТААХ ЦЕХ /нарс/</v>
      </c>
      <c r="U403" s="1225">
        <v>293231686.98000002</v>
      </c>
      <c r="V403" s="1216"/>
      <c r="W403" s="326">
        <v>1006</v>
      </c>
      <c r="X403" s="328" t="str">
        <f>IFERROR(VLOOKUP(W403,DATA!$G$4:$H$400,2,FALSE),"")</f>
        <v>Оюундэлгэр /нярав/</v>
      </c>
      <c r="Y403" s="1205"/>
      <c r="Z403" s="1205"/>
      <c r="AA403" s="1205"/>
    </row>
    <row r="404" spans="1:27" ht="12.75" customHeight="1">
      <c r="A404" s="15">
        <v>105</v>
      </c>
      <c r="B404" s="369">
        <f t="shared" si="115"/>
        <v>399</v>
      </c>
      <c r="C404" s="427">
        <v>42860</v>
      </c>
      <c r="D404" s="426">
        <v>310001</v>
      </c>
      <c r="E404" s="425" t="str">
        <f t="shared" ca="1" si="116"/>
        <v xml:space="preserve">Хатаасан нарсан банз </v>
      </c>
      <c r="F404" s="428" t="str">
        <f t="shared" ca="1" si="117"/>
        <v>м3</v>
      </c>
      <c r="G404" s="378">
        <v>365.02</v>
      </c>
      <c r="H404" s="378">
        <v>349434.77641927643</v>
      </c>
      <c r="I404" s="378">
        <f>+IF(G404="","",G404*H404)</f>
        <v>127550682.08856428</v>
      </c>
      <c r="J404" s="378"/>
      <c r="K404" s="1220">
        <f>+IF(G404="","",I404+J404)</f>
        <v>127550682.08856428</v>
      </c>
      <c r="L404" s="378"/>
      <c r="M404" s="378"/>
      <c r="N404" s="378" t="str">
        <f t="shared" si="118"/>
        <v/>
      </c>
      <c r="O404" s="378" t="str">
        <f t="shared" si="119"/>
        <v/>
      </c>
      <c r="P404" s="378" t="str">
        <f t="shared" si="120"/>
        <v/>
      </c>
      <c r="Q404" s="378" t="str">
        <f t="shared" si="121"/>
        <v/>
      </c>
      <c r="R404" s="378" t="str">
        <f t="shared" si="122"/>
        <v/>
      </c>
      <c r="S404" s="602">
        <v>140500</v>
      </c>
      <c r="T404" s="378" t="str">
        <f>+IFERROR(VLOOKUP(S404,STAT1!$C$4:$D$189,2,FALSE),"")</f>
        <v>Нэгтгэл зардал ХАТААХ ЦЕХ /нарс/</v>
      </c>
      <c r="U404" s="1225"/>
      <c r="V404" s="1216">
        <v>293231686.98000002</v>
      </c>
      <c r="W404" s="326">
        <v>1006</v>
      </c>
      <c r="X404" s="328" t="str">
        <f>IFERROR(VLOOKUP(W404,DATA!$G$4:$H$400,2,FALSE),"")</f>
        <v>Оюундэлгэр /нярав/</v>
      </c>
      <c r="Y404" s="1205"/>
      <c r="Z404" s="1205"/>
      <c r="AA404" s="1205"/>
    </row>
    <row r="405" spans="1:27" ht="12.75" customHeight="1">
      <c r="A405" s="15">
        <v>106</v>
      </c>
      <c r="B405" s="369">
        <f t="shared" si="115"/>
        <v>400</v>
      </c>
      <c r="C405" s="427">
        <v>42863</v>
      </c>
      <c r="D405" s="426">
        <v>211710</v>
      </c>
      <c r="E405" s="425" t="str">
        <f t="shared" ca="1" si="116"/>
        <v xml:space="preserve">Н-Хавтан /зузаан-3см/-яртай </v>
      </c>
      <c r="F405" s="428" t="str">
        <f t="shared" ca="1" si="117"/>
        <v>м2</v>
      </c>
      <c r="G405" s="378"/>
      <c r="H405" s="378"/>
      <c r="I405" s="378"/>
      <c r="J405" s="378"/>
      <c r="K405" s="1220"/>
      <c r="L405" s="378">
        <v>5.5</v>
      </c>
      <c r="M405" s="378">
        <v>40000</v>
      </c>
      <c r="N405" s="378">
        <f t="shared" si="118"/>
        <v>220000</v>
      </c>
      <c r="O405" s="378">
        <f t="shared" si="119"/>
        <v>22000</v>
      </c>
      <c r="P405" s="378">
        <f t="shared" si="120"/>
        <v>242000</v>
      </c>
      <c r="Q405" s="378">
        <f t="shared" ca="1" si="121"/>
        <v>32877.788914248587</v>
      </c>
      <c r="R405" s="378">
        <f t="shared" ca="1" si="122"/>
        <v>180827.83902836722</v>
      </c>
      <c r="S405" s="602">
        <v>150101</v>
      </c>
      <c r="T405" s="378" t="str">
        <f>+IFERROR(VLOOKUP(S405,STAT1!$C$4:$D$189,2,FALSE),"")</f>
        <v>Бараа бэлэн бүтээгдэхүүн БОЛОВСРУУЛАХ ЦЕХ /нарс/</v>
      </c>
      <c r="U405" s="1225"/>
      <c r="V405" s="1216">
        <v>180827.83902836722</v>
      </c>
      <c r="W405" s="326">
        <v>3025</v>
      </c>
      <c r="X405" s="328" t="str">
        <f>IFERROR(VLOOKUP(W405,DATA!$G$4:$H$400,2,FALSE),"")</f>
        <v xml:space="preserve">ТОСОН ВҮҮД ХХК </v>
      </c>
      <c r="Y405" s="1205"/>
      <c r="Z405" s="1205"/>
      <c r="AA405" s="1205"/>
    </row>
    <row r="406" spans="1:27" ht="12.75" customHeight="1">
      <c r="A406" s="15">
        <v>106</v>
      </c>
      <c r="B406" s="369">
        <f t="shared" si="115"/>
        <v>401</v>
      </c>
      <c r="C406" s="427">
        <v>42863</v>
      </c>
      <c r="D406" s="426"/>
      <c r="E406" s="425" t="str">
        <f t="shared" ca="1" si="116"/>
        <v/>
      </c>
      <c r="F406" s="428" t="str">
        <f t="shared" ca="1" si="117"/>
        <v/>
      </c>
      <c r="G406" s="378"/>
      <c r="H406" s="378"/>
      <c r="I406" s="378"/>
      <c r="J406" s="378"/>
      <c r="K406" s="1220"/>
      <c r="L406" s="378"/>
      <c r="M406" s="378"/>
      <c r="N406" s="378" t="str">
        <f t="shared" si="118"/>
        <v/>
      </c>
      <c r="O406" s="378" t="str">
        <f t="shared" si="119"/>
        <v/>
      </c>
      <c r="P406" s="378" t="str">
        <f t="shared" si="120"/>
        <v/>
      </c>
      <c r="Q406" s="378" t="str">
        <f t="shared" si="121"/>
        <v/>
      </c>
      <c r="R406" s="378" t="str">
        <f t="shared" si="122"/>
        <v/>
      </c>
      <c r="S406" s="602">
        <v>610100</v>
      </c>
      <c r="T406" s="378" t="str">
        <f>+IFERROR(VLOOKUP(S406,STAT1!$C$4:$D$189,2,FALSE),"")</f>
        <v>Борлуулсан барааны өртөг</v>
      </c>
      <c r="U406" s="1216">
        <v>180827.83902836722</v>
      </c>
      <c r="V406" s="1216"/>
      <c r="W406" s="326">
        <v>3025</v>
      </c>
      <c r="X406" s="328" t="str">
        <f>IFERROR(VLOOKUP(W406,DATA!$G$4:$H$400,2,FALSE),"")</f>
        <v xml:space="preserve">ТОСОН ВҮҮД ХХК </v>
      </c>
      <c r="Y406" s="1205"/>
      <c r="Z406" s="1205"/>
      <c r="AA406" s="1205"/>
    </row>
    <row r="407" spans="1:27" ht="12.75" customHeight="1">
      <c r="A407" s="15">
        <v>106</v>
      </c>
      <c r="B407" s="369">
        <f t="shared" si="115"/>
        <v>402</v>
      </c>
      <c r="C407" s="427">
        <v>42863</v>
      </c>
      <c r="D407" s="426"/>
      <c r="E407" s="425" t="str">
        <f t="shared" ca="1" si="116"/>
        <v/>
      </c>
      <c r="F407" s="428" t="str">
        <f t="shared" ca="1" si="117"/>
        <v/>
      </c>
      <c r="G407" s="378"/>
      <c r="H407" s="378"/>
      <c r="I407" s="378"/>
      <c r="J407" s="378"/>
      <c r="K407" s="1220"/>
      <c r="L407" s="378"/>
      <c r="M407" s="378"/>
      <c r="N407" s="378" t="str">
        <f t="shared" si="118"/>
        <v/>
      </c>
      <c r="O407" s="378" t="str">
        <f t="shared" si="119"/>
        <v/>
      </c>
      <c r="P407" s="378" t="str">
        <f t="shared" si="120"/>
        <v/>
      </c>
      <c r="Q407" s="378" t="str">
        <f t="shared" si="121"/>
        <v/>
      </c>
      <c r="R407" s="378" t="str">
        <f t="shared" si="122"/>
        <v/>
      </c>
      <c r="S407" s="602">
        <v>310500</v>
      </c>
      <c r="T407" s="378" t="str">
        <f>+IFERROR(VLOOKUP(S407,STAT1!$C$4:$D$189,2,FALSE),"")</f>
        <v>НӨАТ өглөг</v>
      </c>
      <c r="U407" s="1225"/>
      <c r="V407" s="1216">
        <v>22000</v>
      </c>
      <c r="W407" s="326">
        <v>3025</v>
      </c>
      <c r="X407" s="328" t="str">
        <f>IFERROR(VLOOKUP(W407,DATA!$G$4:$H$400,2,FALSE),"")</f>
        <v xml:space="preserve">ТОСОН ВҮҮД ХХК </v>
      </c>
      <c r="Y407" s="1205"/>
      <c r="Z407" s="1205"/>
      <c r="AA407" s="1205"/>
    </row>
    <row r="408" spans="1:27" ht="12.75" customHeight="1">
      <c r="A408" s="15">
        <v>106</v>
      </c>
      <c r="B408" s="369">
        <f t="shared" si="115"/>
        <v>403</v>
      </c>
      <c r="C408" s="427">
        <v>42863</v>
      </c>
      <c r="D408" s="426"/>
      <c r="E408" s="425" t="str">
        <f t="shared" ca="1" si="116"/>
        <v/>
      </c>
      <c r="F408" s="428" t="str">
        <f t="shared" ca="1" si="117"/>
        <v/>
      </c>
      <c r="G408" s="378"/>
      <c r="H408" s="378"/>
      <c r="I408" s="378"/>
      <c r="J408" s="378"/>
      <c r="K408" s="1220"/>
      <c r="L408" s="378"/>
      <c r="M408" s="378"/>
      <c r="N408" s="378" t="str">
        <f t="shared" si="118"/>
        <v/>
      </c>
      <c r="O408" s="378" t="str">
        <f t="shared" si="119"/>
        <v/>
      </c>
      <c r="P408" s="378" t="str">
        <f t="shared" si="120"/>
        <v/>
      </c>
      <c r="Q408" s="378" t="str">
        <f t="shared" si="121"/>
        <v/>
      </c>
      <c r="R408" s="378" t="str">
        <f t="shared" si="122"/>
        <v/>
      </c>
      <c r="S408" s="602">
        <v>510000</v>
      </c>
      <c r="T408" s="378" t="str">
        <f>+IFERROR(VLOOKUP(S408,STAT1!$C$4:$D$189,2,FALSE),"")</f>
        <v>Үндсэн үйл ажиллагааны борлуулалт</v>
      </c>
      <c r="U408" s="1225"/>
      <c r="V408" s="1216">
        <v>220000</v>
      </c>
      <c r="W408" s="326">
        <v>3025</v>
      </c>
      <c r="X408" s="328" t="str">
        <f>IFERROR(VLOOKUP(W408,DATA!$G$4:$H$400,2,FALSE),"")</f>
        <v xml:space="preserve">ТОСОН ВҮҮД ХХК </v>
      </c>
      <c r="Y408" s="1205"/>
      <c r="Z408" s="1205"/>
      <c r="AA408" s="1205"/>
    </row>
    <row r="409" spans="1:27" ht="12.75" customHeight="1">
      <c r="A409" s="15">
        <v>106</v>
      </c>
      <c r="B409" s="369">
        <f t="shared" si="115"/>
        <v>404</v>
      </c>
      <c r="C409" s="427">
        <v>42863</v>
      </c>
      <c r="D409" s="426"/>
      <c r="E409" s="425" t="str">
        <f t="shared" ca="1" si="116"/>
        <v/>
      </c>
      <c r="F409" s="428" t="str">
        <f t="shared" ca="1" si="117"/>
        <v/>
      </c>
      <c r="G409" s="378"/>
      <c r="H409" s="378"/>
      <c r="I409" s="378"/>
      <c r="J409" s="378"/>
      <c r="K409" s="1220"/>
      <c r="L409" s="378"/>
      <c r="M409" s="378"/>
      <c r="N409" s="378" t="str">
        <f t="shared" si="118"/>
        <v/>
      </c>
      <c r="O409" s="378" t="str">
        <f t="shared" si="119"/>
        <v/>
      </c>
      <c r="P409" s="378" t="str">
        <f t="shared" si="120"/>
        <v/>
      </c>
      <c r="Q409" s="378" t="str">
        <f t="shared" si="121"/>
        <v/>
      </c>
      <c r="R409" s="378" t="str">
        <f t="shared" si="122"/>
        <v/>
      </c>
      <c r="S409" s="602">
        <v>320100</v>
      </c>
      <c r="T409" s="378" t="str">
        <f>+IFERROR(VLOOKUP(S409,STAT1!$C$4:$D$189,2,FALSE),"")</f>
        <v>Урьдчилж орсон орлого MNT</v>
      </c>
      <c r="U409" s="1225">
        <v>242000</v>
      </c>
      <c r="V409" s="1216"/>
      <c r="W409" s="326">
        <v>3025</v>
      </c>
      <c r="X409" s="328" t="str">
        <f>IFERROR(VLOOKUP(W409,DATA!$G$4:$H$400,2,FALSE),"")</f>
        <v xml:space="preserve">ТОСОН ВҮҮД ХХК </v>
      </c>
      <c r="Y409" s="1205"/>
      <c r="Z409" s="1205"/>
      <c r="AA409" s="1205"/>
    </row>
    <row r="410" spans="1:27" ht="12.75" customHeight="1">
      <c r="A410" s="15">
        <v>107</v>
      </c>
      <c r="B410" s="369">
        <f t="shared" si="115"/>
        <v>405</v>
      </c>
      <c r="C410" s="427">
        <v>42865</v>
      </c>
      <c r="D410" s="426">
        <v>211715</v>
      </c>
      <c r="E410" s="425" t="str">
        <f t="shared" ca="1" si="116"/>
        <v>Н-Хавтан /зузаан-1.8см/</v>
      </c>
      <c r="F410" s="428" t="str">
        <f t="shared" ca="1" si="117"/>
        <v>м2</v>
      </c>
      <c r="G410" s="378"/>
      <c r="H410" s="378"/>
      <c r="I410" s="378"/>
      <c r="J410" s="378"/>
      <c r="K410" s="1220"/>
      <c r="L410" s="378">
        <v>1.73</v>
      </c>
      <c r="M410" s="378">
        <v>28271.150799999999</v>
      </c>
      <c r="N410" s="378">
        <f t="shared" si="118"/>
        <v>48909.090883999997</v>
      </c>
      <c r="O410" s="378">
        <f t="shared" si="119"/>
        <v>4890.9090883999997</v>
      </c>
      <c r="P410" s="378">
        <f t="shared" si="120"/>
        <v>53799.999972399994</v>
      </c>
      <c r="Q410" s="378">
        <f t="shared" ca="1" si="121"/>
        <v>18716.907616612854</v>
      </c>
      <c r="R410" s="378">
        <f t="shared" ca="1" si="122"/>
        <v>32380.250176740239</v>
      </c>
      <c r="S410" s="602">
        <v>150101</v>
      </c>
      <c r="T410" s="378" t="str">
        <f>+IFERROR(VLOOKUP(S410,STAT1!$C$4:$D$189,2,FALSE),"")</f>
        <v>Бараа бэлэн бүтээгдэхүүн БОЛОВСРУУЛАХ ЦЕХ /нарс/</v>
      </c>
      <c r="U410" s="1225"/>
      <c r="V410" s="1216">
        <v>32380.250176740239</v>
      </c>
      <c r="W410" s="326">
        <v>3055</v>
      </c>
      <c r="X410" s="328" t="str">
        <f>IFERROR(VLOOKUP(W410,DATA!$G$4:$H$400,2,FALSE),"")</f>
        <v xml:space="preserve">МЧБС ХХК </v>
      </c>
      <c r="Y410" s="1205"/>
      <c r="Z410" s="1205"/>
      <c r="AA410" s="1205"/>
    </row>
    <row r="411" spans="1:27" ht="12.75" customHeight="1">
      <c r="A411" s="15">
        <v>107</v>
      </c>
      <c r="B411" s="369">
        <f t="shared" si="115"/>
        <v>406</v>
      </c>
      <c r="C411" s="427">
        <v>42865</v>
      </c>
      <c r="D411" s="426"/>
      <c r="E411" s="425" t="str">
        <f t="shared" ca="1" si="116"/>
        <v/>
      </c>
      <c r="F411" s="428" t="str">
        <f t="shared" ca="1" si="117"/>
        <v/>
      </c>
      <c r="G411" s="378"/>
      <c r="H411" s="378"/>
      <c r="I411" s="378"/>
      <c r="J411" s="378"/>
      <c r="K411" s="1220"/>
      <c r="L411" s="378"/>
      <c r="M411" s="378"/>
      <c r="N411" s="378" t="str">
        <f t="shared" si="118"/>
        <v/>
      </c>
      <c r="O411" s="378" t="str">
        <f t="shared" si="119"/>
        <v/>
      </c>
      <c r="P411" s="378" t="str">
        <f t="shared" si="120"/>
        <v/>
      </c>
      <c r="Q411" s="378" t="str">
        <f t="shared" si="121"/>
        <v/>
      </c>
      <c r="R411" s="378" t="str">
        <f t="shared" si="122"/>
        <v/>
      </c>
      <c r="S411" s="602">
        <v>610100</v>
      </c>
      <c r="T411" s="378" t="str">
        <f>+IFERROR(VLOOKUP(S411,STAT1!$C$4:$D$189,2,FALSE),"")</f>
        <v>Борлуулсан барааны өртөг</v>
      </c>
      <c r="U411" s="1216">
        <v>32380.250176740239</v>
      </c>
      <c r="V411" s="1216"/>
      <c r="W411" s="326">
        <v>3055</v>
      </c>
      <c r="X411" s="328" t="str">
        <f>IFERROR(VLOOKUP(W411,DATA!$G$4:$H$400,2,FALSE),"")</f>
        <v xml:space="preserve">МЧБС ХХК </v>
      </c>
      <c r="Y411" s="1205"/>
      <c r="Z411" s="1205"/>
      <c r="AA411" s="1205"/>
    </row>
    <row r="412" spans="1:27" ht="12.75" customHeight="1">
      <c r="A412" s="15">
        <v>107</v>
      </c>
      <c r="B412" s="369">
        <f t="shared" si="115"/>
        <v>407</v>
      </c>
      <c r="C412" s="427">
        <v>42865</v>
      </c>
      <c r="D412" s="426"/>
      <c r="E412" s="425" t="str">
        <f t="shared" ca="1" si="116"/>
        <v/>
      </c>
      <c r="F412" s="428" t="str">
        <f t="shared" ca="1" si="117"/>
        <v/>
      </c>
      <c r="G412" s="378"/>
      <c r="H412" s="378"/>
      <c r="I412" s="378"/>
      <c r="J412" s="378"/>
      <c r="K412" s="1220"/>
      <c r="L412" s="378"/>
      <c r="M412" s="378"/>
      <c r="N412" s="378" t="str">
        <f t="shared" si="118"/>
        <v/>
      </c>
      <c r="O412" s="378" t="str">
        <f t="shared" si="119"/>
        <v/>
      </c>
      <c r="P412" s="378" t="str">
        <f t="shared" si="120"/>
        <v/>
      </c>
      <c r="Q412" s="378" t="str">
        <f t="shared" si="121"/>
        <v/>
      </c>
      <c r="R412" s="378" t="str">
        <f t="shared" si="122"/>
        <v/>
      </c>
      <c r="S412" s="602">
        <v>310500</v>
      </c>
      <c r="T412" s="378" t="str">
        <f>+IFERROR(VLOOKUP(S412,STAT1!$C$4:$D$189,2,FALSE),"")</f>
        <v>НӨАТ өглөг</v>
      </c>
      <c r="U412" s="1225"/>
      <c r="V412" s="1216">
        <v>4890.9090883999997</v>
      </c>
      <c r="W412" s="326">
        <v>3055</v>
      </c>
      <c r="X412" s="328" t="str">
        <f>IFERROR(VLOOKUP(W412,DATA!$G$4:$H$400,2,FALSE),"")</f>
        <v xml:space="preserve">МЧБС ХХК </v>
      </c>
      <c r="Y412" s="1205"/>
      <c r="Z412" s="1205"/>
      <c r="AA412" s="1205"/>
    </row>
    <row r="413" spans="1:27" ht="12.75" customHeight="1">
      <c r="A413" s="15">
        <v>107</v>
      </c>
      <c r="B413" s="369">
        <f t="shared" si="115"/>
        <v>408</v>
      </c>
      <c r="C413" s="427">
        <v>42865</v>
      </c>
      <c r="D413" s="426"/>
      <c r="E413" s="425" t="str">
        <f t="shared" ca="1" si="116"/>
        <v/>
      </c>
      <c r="F413" s="428" t="str">
        <f t="shared" ca="1" si="117"/>
        <v/>
      </c>
      <c r="G413" s="378"/>
      <c r="H413" s="378"/>
      <c r="I413" s="378"/>
      <c r="J413" s="378"/>
      <c r="K413" s="1220"/>
      <c r="L413" s="378"/>
      <c r="M413" s="378"/>
      <c r="N413" s="378" t="str">
        <f t="shared" si="118"/>
        <v/>
      </c>
      <c r="O413" s="378" t="str">
        <f t="shared" si="119"/>
        <v/>
      </c>
      <c r="P413" s="378" t="str">
        <f t="shared" si="120"/>
        <v/>
      </c>
      <c r="Q413" s="378" t="str">
        <f t="shared" si="121"/>
        <v/>
      </c>
      <c r="R413" s="378" t="str">
        <f t="shared" si="122"/>
        <v/>
      </c>
      <c r="S413" s="602">
        <v>510000</v>
      </c>
      <c r="T413" s="378" t="str">
        <f>+IFERROR(VLOOKUP(S413,STAT1!$C$4:$D$189,2,FALSE),"")</f>
        <v>Үндсэн үйл ажиллагааны борлуулалт</v>
      </c>
      <c r="U413" s="1225"/>
      <c r="V413" s="1216">
        <v>48909.090883999997</v>
      </c>
      <c r="W413" s="326">
        <v>3055</v>
      </c>
      <c r="X413" s="328" t="str">
        <f>IFERROR(VLOOKUP(W413,DATA!$G$4:$H$400,2,FALSE),"")</f>
        <v xml:space="preserve">МЧБС ХХК </v>
      </c>
      <c r="Y413" s="1205"/>
      <c r="Z413" s="1205"/>
      <c r="AA413" s="1205"/>
    </row>
    <row r="414" spans="1:27" ht="12.75" customHeight="1">
      <c r="A414" s="15">
        <v>107</v>
      </c>
      <c r="B414" s="369">
        <f t="shared" si="115"/>
        <v>409</v>
      </c>
      <c r="C414" s="427">
        <v>42865</v>
      </c>
      <c r="D414" s="426"/>
      <c r="E414" s="425" t="str">
        <f t="shared" ca="1" si="116"/>
        <v/>
      </c>
      <c r="F414" s="428" t="str">
        <f t="shared" ca="1" si="117"/>
        <v/>
      </c>
      <c r="G414" s="378"/>
      <c r="H414" s="378"/>
      <c r="I414" s="378"/>
      <c r="J414" s="378"/>
      <c r="K414" s="1220"/>
      <c r="L414" s="378"/>
      <c r="M414" s="378"/>
      <c r="N414" s="378" t="str">
        <f t="shared" si="118"/>
        <v/>
      </c>
      <c r="O414" s="378" t="str">
        <f t="shared" si="119"/>
        <v/>
      </c>
      <c r="P414" s="378" t="str">
        <f t="shared" si="120"/>
        <v/>
      </c>
      <c r="Q414" s="378" t="str">
        <f t="shared" si="121"/>
        <v/>
      </c>
      <c r="R414" s="378" t="str">
        <f t="shared" si="122"/>
        <v/>
      </c>
      <c r="S414" s="602">
        <v>320100</v>
      </c>
      <c r="T414" s="378" t="str">
        <f>+IFERROR(VLOOKUP(S414,STAT1!$C$4:$D$189,2,FALSE),"")</f>
        <v>Урьдчилж орсон орлого MNT</v>
      </c>
      <c r="U414" s="1225">
        <v>53799.999972399994</v>
      </c>
      <c r="V414" s="1216"/>
      <c r="W414" s="326">
        <v>3055</v>
      </c>
      <c r="X414" s="328" t="str">
        <f>IFERROR(VLOOKUP(W414,DATA!$G$4:$H$400,2,FALSE),"")</f>
        <v xml:space="preserve">МЧБС ХХК </v>
      </c>
      <c r="Y414" s="1205"/>
      <c r="Z414" s="1205"/>
      <c r="AA414" s="1205"/>
    </row>
    <row r="415" spans="1:27" ht="12.75" customHeight="1">
      <c r="A415" s="15">
        <v>108</v>
      </c>
      <c r="B415" s="369">
        <f t="shared" si="115"/>
        <v>410</v>
      </c>
      <c r="C415" s="427">
        <v>42866</v>
      </c>
      <c r="D415" s="426">
        <v>211713</v>
      </c>
      <c r="E415" s="425" t="str">
        <f t="shared" ca="1" si="116"/>
        <v>Н-Хавтан /зузаан-2см/</v>
      </c>
      <c r="F415" s="428" t="str">
        <f t="shared" ca="1" si="117"/>
        <v>м2</v>
      </c>
      <c r="G415" s="378"/>
      <c r="H415" s="378"/>
      <c r="I415" s="378"/>
      <c r="J415" s="378"/>
      <c r="K415" s="1220"/>
      <c r="L415" s="378">
        <v>7.5</v>
      </c>
      <c r="M415" s="378">
        <v>30000</v>
      </c>
      <c r="N415" s="378">
        <f t="shared" si="118"/>
        <v>225000</v>
      </c>
      <c r="O415" s="378">
        <f t="shared" si="119"/>
        <v>22500</v>
      </c>
      <c r="P415" s="378">
        <f t="shared" si="120"/>
        <v>247500</v>
      </c>
      <c r="Q415" s="378">
        <f t="shared" ca="1" si="121"/>
        <v>20836.299698816012</v>
      </c>
      <c r="R415" s="378">
        <f t="shared" ca="1" si="122"/>
        <v>156272.24774112008</v>
      </c>
      <c r="S415" s="602">
        <v>150101</v>
      </c>
      <c r="T415" s="378" t="str">
        <f>+IFERROR(VLOOKUP(S415,STAT1!$C$4:$D$189,2,FALSE),"")</f>
        <v>Бараа бэлэн бүтээгдэхүүн БОЛОВСРУУЛАХ ЦЕХ /нарс/</v>
      </c>
      <c r="U415" s="1225"/>
      <c r="V415" s="1216">
        <v>156272.24774112008</v>
      </c>
      <c r="W415" s="326">
        <v>3047</v>
      </c>
      <c r="X415" s="328" t="str">
        <f>IFERROR(VLOOKUP(W415,DATA!$G$4:$H$400,2,FALSE),"")</f>
        <v>ГЛОБАЛ ГАЗАР ХХК</v>
      </c>
      <c r="Y415" s="1205"/>
      <c r="Z415" s="1205"/>
      <c r="AA415" s="1205"/>
    </row>
    <row r="416" spans="1:27" ht="12.75" customHeight="1">
      <c r="A416" s="15">
        <v>108</v>
      </c>
      <c r="B416" s="369">
        <f t="shared" si="115"/>
        <v>411</v>
      </c>
      <c r="C416" s="427">
        <v>42866</v>
      </c>
      <c r="D416" s="426"/>
      <c r="E416" s="425" t="str">
        <f t="shared" ca="1" si="116"/>
        <v/>
      </c>
      <c r="F416" s="428" t="str">
        <f t="shared" ca="1" si="117"/>
        <v/>
      </c>
      <c r="G416" s="378"/>
      <c r="H416" s="378"/>
      <c r="I416" s="378"/>
      <c r="J416" s="378"/>
      <c r="K416" s="1220"/>
      <c r="L416" s="378"/>
      <c r="M416" s="378"/>
      <c r="N416" s="378" t="str">
        <f t="shared" si="118"/>
        <v/>
      </c>
      <c r="O416" s="378" t="str">
        <f t="shared" si="119"/>
        <v/>
      </c>
      <c r="P416" s="378" t="str">
        <f t="shared" si="120"/>
        <v/>
      </c>
      <c r="Q416" s="378" t="str">
        <f t="shared" si="121"/>
        <v/>
      </c>
      <c r="R416" s="378" t="str">
        <f t="shared" si="122"/>
        <v/>
      </c>
      <c r="S416" s="602">
        <v>610100</v>
      </c>
      <c r="T416" s="378" t="str">
        <f>+IFERROR(VLOOKUP(S416,STAT1!$C$4:$D$189,2,FALSE),"")</f>
        <v>Борлуулсан барааны өртөг</v>
      </c>
      <c r="U416" s="1216">
        <v>156272.24774112008</v>
      </c>
      <c r="V416" s="1216"/>
      <c r="W416" s="326">
        <v>3047</v>
      </c>
      <c r="X416" s="328" t="str">
        <f>IFERROR(VLOOKUP(W416,DATA!$G$4:$H$400,2,FALSE),"")</f>
        <v>ГЛОБАЛ ГАЗАР ХХК</v>
      </c>
      <c r="Y416" s="1205"/>
      <c r="Z416" s="1205"/>
      <c r="AA416" s="1205"/>
    </row>
    <row r="417" spans="1:27" ht="12.75" customHeight="1">
      <c r="A417" s="15">
        <v>108</v>
      </c>
      <c r="B417" s="369">
        <f t="shared" si="115"/>
        <v>412</v>
      </c>
      <c r="C417" s="427">
        <v>42866</v>
      </c>
      <c r="D417" s="426"/>
      <c r="E417" s="425" t="str">
        <f t="shared" ca="1" si="116"/>
        <v/>
      </c>
      <c r="F417" s="428" t="str">
        <f t="shared" ca="1" si="117"/>
        <v/>
      </c>
      <c r="G417" s="378"/>
      <c r="H417" s="378"/>
      <c r="I417" s="378"/>
      <c r="J417" s="378"/>
      <c r="K417" s="1220"/>
      <c r="L417" s="378"/>
      <c r="M417" s="378"/>
      <c r="N417" s="378" t="str">
        <f t="shared" si="118"/>
        <v/>
      </c>
      <c r="O417" s="378" t="str">
        <f t="shared" si="119"/>
        <v/>
      </c>
      <c r="P417" s="378" t="str">
        <f t="shared" si="120"/>
        <v/>
      </c>
      <c r="Q417" s="378" t="str">
        <f t="shared" si="121"/>
        <v/>
      </c>
      <c r="R417" s="378" t="str">
        <f t="shared" si="122"/>
        <v/>
      </c>
      <c r="S417" s="602">
        <v>310500</v>
      </c>
      <c r="T417" s="378" t="str">
        <f>+IFERROR(VLOOKUP(S417,STAT1!$C$4:$D$189,2,FALSE),"")</f>
        <v>НӨАТ өглөг</v>
      </c>
      <c r="U417" s="1225"/>
      <c r="V417" s="1216">
        <v>22500</v>
      </c>
      <c r="W417" s="326">
        <v>3047</v>
      </c>
      <c r="X417" s="328" t="str">
        <f>IFERROR(VLOOKUP(W417,DATA!$G$4:$H$400,2,FALSE),"")</f>
        <v>ГЛОБАЛ ГАЗАР ХХК</v>
      </c>
      <c r="Y417" s="1205"/>
      <c r="Z417" s="1205"/>
      <c r="AA417" s="1205"/>
    </row>
    <row r="418" spans="1:27" ht="12.75" customHeight="1">
      <c r="A418" s="15">
        <v>108</v>
      </c>
      <c r="B418" s="369">
        <f t="shared" si="115"/>
        <v>413</v>
      </c>
      <c r="C418" s="427">
        <v>42866</v>
      </c>
      <c r="D418" s="426"/>
      <c r="E418" s="425" t="str">
        <f t="shared" ca="1" si="116"/>
        <v/>
      </c>
      <c r="F418" s="428" t="str">
        <f t="shared" ca="1" si="117"/>
        <v/>
      </c>
      <c r="G418" s="378"/>
      <c r="H418" s="378"/>
      <c r="I418" s="378"/>
      <c r="J418" s="378"/>
      <c r="K418" s="1220"/>
      <c r="L418" s="378"/>
      <c r="M418" s="378"/>
      <c r="N418" s="378" t="str">
        <f t="shared" si="118"/>
        <v/>
      </c>
      <c r="O418" s="378" t="str">
        <f t="shared" si="119"/>
        <v/>
      </c>
      <c r="P418" s="378" t="str">
        <f t="shared" si="120"/>
        <v/>
      </c>
      <c r="Q418" s="378" t="str">
        <f t="shared" si="121"/>
        <v/>
      </c>
      <c r="R418" s="378" t="str">
        <f t="shared" si="122"/>
        <v/>
      </c>
      <c r="S418" s="602">
        <v>510000</v>
      </c>
      <c r="T418" s="378" t="str">
        <f>+IFERROR(VLOOKUP(S418,STAT1!$C$4:$D$189,2,FALSE),"")</f>
        <v>Үндсэн үйл ажиллагааны борлуулалт</v>
      </c>
      <c r="U418" s="1225"/>
      <c r="V418" s="1216">
        <v>225000</v>
      </c>
      <c r="W418" s="326">
        <v>3047</v>
      </c>
      <c r="X418" s="328" t="str">
        <f>IFERROR(VLOOKUP(W418,DATA!$G$4:$H$400,2,FALSE),"")</f>
        <v>ГЛОБАЛ ГАЗАР ХХК</v>
      </c>
      <c r="Y418" s="1205"/>
      <c r="Z418" s="1205"/>
      <c r="AA418" s="1205"/>
    </row>
    <row r="419" spans="1:27" ht="12.75" customHeight="1">
      <c r="A419" s="15">
        <v>108</v>
      </c>
      <c r="B419" s="369">
        <f t="shared" si="115"/>
        <v>414</v>
      </c>
      <c r="C419" s="427">
        <v>42866</v>
      </c>
      <c r="D419" s="426"/>
      <c r="E419" s="425" t="str">
        <f t="shared" ca="1" si="116"/>
        <v/>
      </c>
      <c r="F419" s="428" t="str">
        <f t="shared" ca="1" si="117"/>
        <v/>
      </c>
      <c r="G419" s="378"/>
      <c r="H419" s="378"/>
      <c r="I419" s="378"/>
      <c r="J419" s="378"/>
      <c r="K419" s="1220"/>
      <c r="L419" s="378"/>
      <c r="M419" s="378"/>
      <c r="N419" s="378" t="str">
        <f t="shared" si="118"/>
        <v/>
      </c>
      <c r="O419" s="378" t="str">
        <f t="shared" si="119"/>
        <v/>
      </c>
      <c r="P419" s="378" t="str">
        <f t="shared" si="120"/>
        <v/>
      </c>
      <c r="Q419" s="378" t="str">
        <f t="shared" si="121"/>
        <v/>
      </c>
      <c r="R419" s="378" t="str">
        <f t="shared" si="122"/>
        <v/>
      </c>
      <c r="S419" s="602">
        <v>320100</v>
      </c>
      <c r="T419" s="378" t="str">
        <f>+IFERROR(VLOOKUP(S419,STAT1!$C$4:$D$189,2,FALSE),"")</f>
        <v>Урьдчилж орсон орлого MNT</v>
      </c>
      <c r="U419" s="1225">
        <v>247500</v>
      </c>
      <c r="V419" s="1216"/>
      <c r="W419" s="326">
        <v>3047</v>
      </c>
      <c r="X419" s="328" t="str">
        <f>IFERROR(VLOOKUP(W419,DATA!$G$4:$H$400,2,FALSE),"")</f>
        <v>ГЛОБАЛ ГАЗАР ХХК</v>
      </c>
      <c r="Y419" s="1205"/>
      <c r="Z419" s="1205"/>
      <c r="AA419" s="1205"/>
    </row>
    <row r="420" spans="1:27" ht="12.75" customHeight="1">
      <c r="A420" s="15">
        <v>109</v>
      </c>
      <c r="B420" s="369">
        <f t="shared" si="115"/>
        <v>415</v>
      </c>
      <c r="C420" s="427">
        <v>42866</v>
      </c>
      <c r="D420" s="426">
        <v>211501</v>
      </c>
      <c r="E420" s="425" t="str">
        <f t="shared" ca="1" si="116"/>
        <v>Н-Евровагонка /зузаан-2.2см/</v>
      </c>
      <c r="F420" s="428" t="str">
        <f t="shared" ca="1" si="117"/>
        <v>м2</v>
      </c>
      <c r="G420" s="378"/>
      <c r="H420" s="378"/>
      <c r="I420" s="378"/>
      <c r="J420" s="378"/>
      <c r="K420" s="1220"/>
      <c r="L420" s="378">
        <v>9</v>
      </c>
      <c r="M420" s="378">
        <v>30000</v>
      </c>
      <c r="N420" s="378">
        <f t="shared" si="118"/>
        <v>270000</v>
      </c>
      <c r="O420" s="378">
        <f t="shared" si="119"/>
        <v>27000</v>
      </c>
      <c r="P420" s="378">
        <f t="shared" si="120"/>
        <v>297000</v>
      </c>
      <c r="Q420" s="378">
        <f t="shared" ca="1" si="121"/>
        <v>13118.37</v>
      </c>
      <c r="R420" s="378">
        <f t="shared" ca="1" si="122"/>
        <v>118065.33</v>
      </c>
      <c r="S420" s="602">
        <v>150101</v>
      </c>
      <c r="T420" s="378" t="str">
        <f>+IFERROR(VLOOKUP(S420,STAT1!$C$4:$D$189,2,FALSE),"")</f>
        <v>Бараа бэлэн бүтээгдэхүүн БОЛОВСРУУЛАХ ЦЕХ /нарс/</v>
      </c>
      <c r="U420" s="1225"/>
      <c r="V420" s="1216">
        <v>118065.33</v>
      </c>
      <c r="W420" s="326">
        <v>3042</v>
      </c>
      <c r="X420" s="328" t="str">
        <f>IFERROR(VLOOKUP(W420,DATA!$G$4:$H$400,2,FALSE),"")</f>
        <v xml:space="preserve">ЖУРМАК ХХК </v>
      </c>
      <c r="Y420" s="1205"/>
      <c r="Z420" s="1205"/>
      <c r="AA420" s="1205"/>
    </row>
    <row r="421" spans="1:27" ht="12.75" customHeight="1">
      <c r="A421" s="15">
        <v>109</v>
      </c>
      <c r="B421" s="369">
        <f t="shared" si="115"/>
        <v>416</v>
      </c>
      <c r="C421" s="427">
        <v>42866</v>
      </c>
      <c r="D421" s="426"/>
      <c r="E421" s="425" t="str">
        <f t="shared" ca="1" si="116"/>
        <v/>
      </c>
      <c r="F421" s="428" t="str">
        <f t="shared" ca="1" si="117"/>
        <v/>
      </c>
      <c r="G421" s="378"/>
      <c r="H421" s="378"/>
      <c r="I421" s="378"/>
      <c r="J421" s="378"/>
      <c r="K421" s="1220"/>
      <c r="L421" s="378"/>
      <c r="M421" s="378"/>
      <c r="N421" s="378" t="str">
        <f t="shared" si="118"/>
        <v/>
      </c>
      <c r="O421" s="378" t="str">
        <f t="shared" si="119"/>
        <v/>
      </c>
      <c r="P421" s="378" t="str">
        <f t="shared" si="120"/>
        <v/>
      </c>
      <c r="Q421" s="378" t="str">
        <f t="shared" si="121"/>
        <v/>
      </c>
      <c r="R421" s="378" t="str">
        <f t="shared" si="122"/>
        <v/>
      </c>
      <c r="S421" s="602">
        <v>610100</v>
      </c>
      <c r="T421" s="378" t="str">
        <f>+IFERROR(VLOOKUP(S421,STAT1!$C$4:$D$189,2,FALSE),"")</f>
        <v>Борлуулсан барааны өртөг</v>
      </c>
      <c r="U421" s="1225">
        <v>118065.33</v>
      </c>
      <c r="V421" s="1216"/>
      <c r="W421" s="326">
        <v>3042</v>
      </c>
      <c r="X421" s="328" t="str">
        <f>IFERROR(VLOOKUP(W421,DATA!$G$4:$H$400,2,FALSE),"")</f>
        <v xml:space="preserve">ЖУРМАК ХХК </v>
      </c>
      <c r="Y421" s="1205"/>
      <c r="Z421" s="1205"/>
      <c r="AA421" s="1205"/>
    </row>
    <row r="422" spans="1:27" ht="12.75" customHeight="1">
      <c r="A422" s="15">
        <v>109</v>
      </c>
      <c r="B422" s="369">
        <f t="shared" si="115"/>
        <v>417</v>
      </c>
      <c r="C422" s="427">
        <v>42866</v>
      </c>
      <c r="D422" s="426"/>
      <c r="E422" s="425" t="str">
        <f t="shared" ca="1" si="116"/>
        <v/>
      </c>
      <c r="F422" s="428" t="str">
        <f t="shared" ca="1" si="117"/>
        <v/>
      </c>
      <c r="G422" s="378"/>
      <c r="H422" s="378"/>
      <c r="I422" s="378"/>
      <c r="J422" s="378"/>
      <c r="K422" s="1220"/>
      <c r="L422" s="378"/>
      <c r="M422" s="378"/>
      <c r="N422" s="378" t="str">
        <f t="shared" si="118"/>
        <v/>
      </c>
      <c r="O422" s="378" t="str">
        <f t="shared" si="119"/>
        <v/>
      </c>
      <c r="P422" s="378" t="str">
        <f t="shared" si="120"/>
        <v/>
      </c>
      <c r="Q422" s="378" t="str">
        <f t="shared" si="121"/>
        <v/>
      </c>
      <c r="R422" s="378" t="str">
        <f t="shared" si="122"/>
        <v/>
      </c>
      <c r="S422" s="602">
        <v>310500</v>
      </c>
      <c r="T422" s="378" t="str">
        <f>+IFERROR(VLOOKUP(S422,STAT1!$C$4:$D$189,2,FALSE),"")</f>
        <v>НӨАТ өглөг</v>
      </c>
      <c r="U422" s="1225"/>
      <c r="V422" s="1216">
        <v>27000</v>
      </c>
      <c r="W422" s="326">
        <v>3042</v>
      </c>
      <c r="X422" s="328" t="str">
        <f>IFERROR(VLOOKUP(W422,DATA!$G$4:$H$400,2,FALSE),"")</f>
        <v xml:space="preserve">ЖУРМАК ХХК </v>
      </c>
      <c r="Y422" s="1205"/>
      <c r="Z422" s="1205"/>
      <c r="AA422" s="1205"/>
    </row>
    <row r="423" spans="1:27" ht="12.75" customHeight="1">
      <c r="A423" s="15">
        <v>109</v>
      </c>
      <c r="B423" s="369">
        <f t="shared" si="115"/>
        <v>418</v>
      </c>
      <c r="C423" s="427">
        <v>42866</v>
      </c>
      <c r="D423" s="426"/>
      <c r="E423" s="425" t="str">
        <f t="shared" ca="1" si="116"/>
        <v/>
      </c>
      <c r="F423" s="428" t="str">
        <f t="shared" ca="1" si="117"/>
        <v/>
      </c>
      <c r="G423" s="378"/>
      <c r="H423" s="378"/>
      <c r="I423" s="378"/>
      <c r="J423" s="378"/>
      <c r="K423" s="1220"/>
      <c r="L423" s="378"/>
      <c r="M423" s="378"/>
      <c r="N423" s="378" t="str">
        <f t="shared" si="118"/>
        <v/>
      </c>
      <c r="O423" s="378" t="str">
        <f t="shared" si="119"/>
        <v/>
      </c>
      <c r="P423" s="378" t="str">
        <f t="shared" si="120"/>
        <v/>
      </c>
      <c r="Q423" s="378" t="str">
        <f t="shared" si="121"/>
        <v/>
      </c>
      <c r="R423" s="378" t="str">
        <f t="shared" si="122"/>
        <v/>
      </c>
      <c r="S423" s="602">
        <v>510000</v>
      </c>
      <c r="T423" s="378" t="str">
        <f>+IFERROR(VLOOKUP(S423,STAT1!$C$4:$D$189,2,FALSE),"")</f>
        <v>Үндсэн үйл ажиллагааны борлуулалт</v>
      </c>
      <c r="U423" s="1225"/>
      <c r="V423" s="1216">
        <v>270000</v>
      </c>
      <c r="W423" s="326">
        <v>3042</v>
      </c>
      <c r="X423" s="328" t="str">
        <f>IFERROR(VLOOKUP(W423,DATA!$G$4:$H$400,2,FALSE),"")</f>
        <v xml:space="preserve">ЖУРМАК ХХК </v>
      </c>
      <c r="Y423" s="1205"/>
      <c r="Z423" s="1205"/>
      <c r="AA423" s="1205"/>
    </row>
    <row r="424" spans="1:27" ht="12.75" customHeight="1">
      <c r="A424" s="15">
        <v>109</v>
      </c>
      <c r="B424" s="369">
        <f t="shared" si="115"/>
        <v>419</v>
      </c>
      <c r="C424" s="427">
        <v>42866</v>
      </c>
      <c r="D424" s="426"/>
      <c r="E424" s="425" t="str">
        <f t="shared" ca="1" si="116"/>
        <v/>
      </c>
      <c r="F424" s="428" t="str">
        <f t="shared" ca="1" si="117"/>
        <v/>
      </c>
      <c r="G424" s="378"/>
      <c r="H424" s="378"/>
      <c r="I424" s="378"/>
      <c r="J424" s="378"/>
      <c r="K424" s="1220"/>
      <c r="L424" s="378"/>
      <c r="M424" s="378"/>
      <c r="N424" s="378" t="str">
        <f t="shared" si="118"/>
        <v/>
      </c>
      <c r="O424" s="378" t="str">
        <f t="shared" si="119"/>
        <v/>
      </c>
      <c r="P424" s="378" t="str">
        <f t="shared" si="120"/>
        <v/>
      </c>
      <c r="Q424" s="378" t="str">
        <f t="shared" si="121"/>
        <v/>
      </c>
      <c r="R424" s="378" t="str">
        <f t="shared" si="122"/>
        <v/>
      </c>
      <c r="S424" s="602">
        <v>320100</v>
      </c>
      <c r="T424" s="378" t="str">
        <f>+IFERROR(VLOOKUP(S424,STAT1!$C$4:$D$189,2,FALSE),"")</f>
        <v>Урьдчилж орсон орлого MNT</v>
      </c>
      <c r="U424" s="1225">
        <v>297000</v>
      </c>
      <c r="V424" s="1216"/>
      <c r="W424" s="326">
        <v>3042</v>
      </c>
      <c r="X424" s="328" t="str">
        <f>IFERROR(VLOOKUP(W424,DATA!$G$4:$H$400,2,FALSE),"")</f>
        <v xml:space="preserve">ЖУРМАК ХХК </v>
      </c>
      <c r="Y424" s="1205"/>
      <c r="Z424" s="1205"/>
      <c r="AA424" s="1205"/>
    </row>
    <row r="425" spans="1:27" ht="12.75" customHeight="1">
      <c r="A425" s="15">
        <v>110</v>
      </c>
      <c r="B425" s="369">
        <f t="shared" si="115"/>
        <v>420</v>
      </c>
      <c r="C425" s="427">
        <v>42866</v>
      </c>
      <c r="D425" s="426">
        <v>211710</v>
      </c>
      <c r="E425" s="425" t="str">
        <f t="shared" ca="1" si="116"/>
        <v xml:space="preserve">Н-Хавтан /зузаан-3см/-яртай </v>
      </c>
      <c r="F425" s="428" t="str">
        <f t="shared" ca="1" si="117"/>
        <v>м2</v>
      </c>
      <c r="G425" s="378"/>
      <c r="H425" s="378"/>
      <c r="I425" s="378"/>
      <c r="J425" s="378"/>
      <c r="K425" s="1220"/>
      <c r="L425" s="378">
        <v>13.75</v>
      </c>
      <c r="M425" s="378">
        <v>40000</v>
      </c>
      <c r="N425" s="378">
        <f t="shared" si="118"/>
        <v>550000</v>
      </c>
      <c r="O425" s="378">
        <f t="shared" si="119"/>
        <v>55000</v>
      </c>
      <c r="P425" s="378">
        <f t="shared" si="120"/>
        <v>605000</v>
      </c>
      <c r="Q425" s="378">
        <f t="shared" ca="1" si="121"/>
        <v>32877.788914248587</v>
      </c>
      <c r="R425" s="378">
        <f t="shared" ca="1" si="122"/>
        <v>452069.59757091809</v>
      </c>
      <c r="S425" s="602">
        <v>150101</v>
      </c>
      <c r="T425" s="378" t="str">
        <f>+IFERROR(VLOOKUP(S425,STAT1!$C$4:$D$189,2,FALSE),"")</f>
        <v>Бараа бэлэн бүтээгдэхүүн БОЛОВСРУУЛАХ ЦЕХ /нарс/</v>
      </c>
      <c r="U425" s="1225"/>
      <c r="V425" s="1216">
        <v>452069.59757091809</v>
      </c>
      <c r="W425" s="326">
        <v>3046</v>
      </c>
      <c r="X425" s="328" t="str">
        <f>IFERROR(VLOOKUP(W425,DATA!$G$4:$H$400,2,FALSE),"")</f>
        <v xml:space="preserve">ТЭГШРЭХ ГУРВАН ЭРДЭНЭ ХХК </v>
      </c>
      <c r="Y425" s="1205"/>
      <c r="Z425" s="1205"/>
      <c r="AA425" s="1205"/>
    </row>
    <row r="426" spans="1:27" ht="12.75" customHeight="1">
      <c r="A426" s="15">
        <v>110</v>
      </c>
      <c r="B426" s="369">
        <f t="shared" si="115"/>
        <v>421</v>
      </c>
      <c r="C426" s="427">
        <v>42866</v>
      </c>
      <c r="D426" s="426"/>
      <c r="E426" s="425" t="str">
        <f t="shared" ca="1" si="116"/>
        <v/>
      </c>
      <c r="F426" s="428" t="str">
        <f t="shared" ca="1" si="117"/>
        <v/>
      </c>
      <c r="G426" s="378"/>
      <c r="H426" s="378"/>
      <c r="I426" s="378"/>
      <c r="J426" s="378"/>
      <c r="K426" s="1220"/>
      <c r="L426" s="378"/>
      <c r="M426" s="378"/>
      <c r="N426" s="378" t="str">
        <f t="shared" si="118"/>
        <v/>
      </c>
      <c r="O426" s="378" t="str">
        <f t="shared" si="119"/>
        <v/>
      </c>
      <c r="P426" s="378" t="str">
        <f t="shared" si="120"/>
        <v/>
      </c>
      <c r="Q426" s="378" t="str">
        <f t="shared" si="121"/>
        <v/>
      </c>
      <c r="R426" s="378" t="str">
        <f t="shared" si="122"/>
        <v/>
      </c>
      <c r="S426" s="602">
        <v>610100</v>
      </c>
      <c r="T426" s="378" t="str">
        <f>+IFERROR(VLOOKUP(S426,STAT1!$C$4:$D$189,2,FALSE),"")</f>
        <v>Борлуулсан барааны өртөг</v>
      </c>
      <c r="U426" s="1216">
        <v>452069.59757091809</v>
      </c>
      <c r="V426" s="1216"/>
      <c r="W426" s="326">
        <v>3046</v>
      </c>
      <c r="X426" s="328" t="str">
        <f>IFERROR(VLOOKUP(W426,DATA!$G$4:$H$400,2,FALSE),"")</f>
        <v xml:space="preserve">ТЭГШРЭХ ГУРВАН ЭРДЭНЭ ХХК </v>
      </c>
      <c r="Y426" s="1205"/>
      <c r="Z426" s="1205"/>
      <c r="AA426" s="1205"/>
    </row>
    <row r="427" spans="1:27" ht="12.75" customHeight="1">
      <c r="A427" s="15">
        <v>110</v>
      </c>
      <c r="B427" s="369">
        <f t="shared" si="115"/>
        <v>422</v>
      </c>
      <c r="C427" s="427">
        <v>42866</v>
      </c>
      <c r="D427" s="426"/>
      <c r="E427" s="425" t="str">
        <f t="shared" ca="1" si="116"/>
        <v/>
      </c>
      <c r="F427" s="428" t="str">
        <f t="shared" ca="1" si="117"/>
        <v/>
      </c>
      <c r="G427" s="378"/>
      <c r="H427" s="378"/>
      <c r="I427" s="378"/>
      <c r="J427" s="378"/>
      <c r="K427" s="1220"/>
      <c r="L427" s="378"/>
      <c r="M427" s="378"/>
      <c r="N427" s="378" t="str">
        <f t="shared" si="118"/>
        <v/>
      </c>
      <c r="O427" s="378" t="str">
        <f t="shared" si="119"/>
        <v/>
      </c>
      <c r="P427" s="378" t="str">
        <f t="shared" si="120"/>
        <v/>
      </c>
      <c r="Q427" s="378" t="str">
        <f t="shared" si="121"/>
        <v/>
      </c>
      <c r="R427" s="378" t="str">
        <f t="shared" si="122"/>
        <v/>
      </c>
      <c r="S427" s="602">
        <v>310500</v>
      </c>
      <c r="T427" s="378" t="str">
        <f>+IFERROR(VLOOKUP(S427,STAT1!$C$4:$D$189,2,FALSE),"")</f>
        <v>НӨАТ өглөг</v>
      </c>
      <c r="U427" s="1225"/>
      <c r="V427" s="1216">
        <v>55000</v>
      </c>
      <c r="W427" s="326">
        <v>3046</v>
      </c>
      <c r="X427" s="328" t="str">
        <f>IFERROR(VLOOKUP(W427,DATA!$G$4:$H$400,2,FALSE),"")</f>
        <v xml:space="preserve">ТЭГШРЭХ ГУРВАН ЭРДЭНЭ ХХК </v>
      </c>
      <c r="Y427" s="1205"/>
      <c r="Z427" s="1205"/>
      <c r="AA427" s="1205"/>
    </row>
    <row r="428" spans="1:27" ht="12.75" customHeight="1">
      <c r="A428" s="15">
        <v>110</v>
      </c>
      <c r="B428" s="369">
        <f t="shared" si="115"/>
        <v>423</v>
      </c>
      <c r="C428" s="427">
        <v>42866</v>
      </c>
      <c r="D428" s="426"/>
      <c r="E428" s="425" t="str">
        <f t="shared" ca="1" si="116"/>
        <v/>
      </c>
      <c r="F428" s="428" t="str">
        <f t="shared" ca="1" si="117"/>
        <v/>
      </c>
      <c r="G428" s="378"/>
      <c r="H428" s="378"/>
      <c r="I428" s="378"/>
      <c r="J428" s="378"/>
      <c r="K428" s="1220"/>
      <c r="L428" s="378"/>
      <c r="M428" s="378"/>
      <c r="N428" s="378" t="str">
        <f t="shared" si="118"/>
        <v/>
      </c>
      <c r="O428" s="378" t="str">
        <f t="shared" si="119"/>
        <v/>
      </c>
      <c r="P428" s="378" t="str">
        <f t="shared" si="120"/>
        <v/>
      </c>
      <c r="Q428" s="378" t="str">
        <f t="shared" si="121"/>
        <v/>
      </c>
      <c r="R428" s="378" t="str">
        <f t="shared" si="122"/>
        <v/>
      </c>
      <c r="S428" s="602">
        <v>510000</v>
      </c>
      <c r="T428" s="378" t="str">
        <f>+IFERROR(VLOOKUP(S428,STAT1!$C$4:$D$189,2,FALSE),"")</f>
        <v>Үндсэн үйл ажиллагааны борлуулалт</v>
      </c>
      <c r="U428" s="1225"/>
      <c r="V428" s="1216">
        <v>550000</v>
      </c>
      <c r="W428" s="326">
        <v>3046</v>
      </c>
      <c r="X428" s="328" t="str">
        <f>IFERROR(VLOOKUP(W428,DATA!$G$4:$H$400,2,FALSE),"")</f>
        <v xml:space="preserve">ТЭГШРЭХ ГУРВАН ЭРДЭНЭ ХХК </v>
      </c>
      <c r="Y428" s="1205"/>
      <c r="Z428" s="1205"/>
      <c r="AA428" s="1205"/>
    </row>
    <row r="429" spans="1:27" ht="12.75" customHeight="1">
      <c r="A429" s="15">
        <v>110</v>
      </c>
      <c r="B429" s="369">
        <f t="shared" si="115"/>
        <v>424</v>
      </c>
      <c r="C429" s="427">
        <v>42866</v>
      </c>
      <c r="D429" s="426"/>
      <c r="E429" s="425" t="str">
        <f t="shared" ca="1" si="116"/>
        <v/>
      </c>
      <c r="F429" s="428" t="str">
        <f t="shared" ca="1" si="117"/>
        <v/>
      </c>
      <c r="G429" s="378"/>
      <c r="H429" s="378"/>
      <c r="I429" s="378"/>
      <c r="J429" s="378"/>
      <c r="K429" s="1220"/>
      <c r="L429" s="378"/>
      <c r="M429" s="378"/>
      <c r="N429" s="378" t="str">
        <f t="shared" si="118"/>
        <v/>
      </c>
      <c r="O429" s="378" t="str">
        <f t="shared" si="119"/>
        <v/>
      </c>
      <c r="P429" s="378" t="str">
        <f t="shared" si="120"/>
        <v/>
      </c>
      <c r="Q429" s="378" t="str">
        <f t="shared" si="121"/>
        <v/>
      </c>
      <c r="R429" s="378" t="str">
        <f t="shared" si="122"/>
        <v/>
      </c>
      <c r="S429" s="602">
        <v>320100</v>
      </c>
      <c r="T429" s="378" t="str">
        <f>+IFERROR(VLOOKUP(S429,STAT1!$C$4:$D$189,2,FALSE),"")</f>
        <v>Урьдчилж орсон орлого MNT</v>
      </c>
      <c r="U429" s="1225">
        <v>605000</v>
      </c>
      <c r="V429" s="1216"/>
      <c r="W429" s="326">
        <v>3046</v>
      </c>
      <c r="X429" s="328" t="str">
        <f>IFERROR(VLOOKUP(W429,DATA!$G$4:$H$400,2,FALSE),"")</f>
        <v xml:space="preserve">ТЭГШРЭХ ГУРВАН ЭРДЭНЭ ХХК </v>
      </c>
      <c r="Y429" s="1205"/>
      <c r="Z429" s="1205"/>
      <c r="AA429" s="1205"/>
    </row>
    <row r="430" spans="1:27" ht="12.75" customHeight="1">
      <c r="A430" s="15">
        <v>111</v>
      </c>
      <c r="B430" s="369">
        <f t="shared" si="115"/>
        <v>425</v>
      </c>
      <c r="C430" s="427">
        <v>42867</v>
      </c>
      <c r="D430" s="426">
        <v>211710</v>
      </c>
      <c r="E430" s="425" t="str">
        <f t="shared" ref="E430:E461" ca="1" si="123">+IFERROR(VLOOKUP(D430,TN_table,2,FALSE),"")</f>
        <v xml:space="preserve">Н-Хавтан /зузаан-3см/-яртай </v>
      </c>
      <c r="F430" s="428" t="str">
        <f t="shared" ca="1" si="117"/>
        <v>м2</v>
      </c>
      <c r="G430" s="378"/>
      <c r="H430" s="378"/>
      <c r="I430" s="378"/>
      <c r="J430" s="378"/>
      <c r="K430" s="1220"/>
      <c r="L430" s="378">
        <v>6</v>
      </c>
      <c r="M430" s="378">
        <v>40000</v>
      </c>
      <c r="N430" s="378">
        <f t="shared" ref="N430:N461" si="124">+IF(L430="","",L430*M430)</f>
        <v>240000</v>
      </c>
      <c r="O430" s="378">
        <f t="shared" si="119"/>
        <v>24000</v>
      </c>
      <c r="P430" s="378">
        <f t="shared" si="120"/>
        <v>264000</v>
      </c>
      <c r="Q430" s="378">
        <f t="shared" ca="1" si="121"/>
        <v>32877.788914248587</v>
      </c>
      <c r="R430" s="378">
        <f t="shared" ca="1" si="122"/>
        <v>197266.73348549154</v>
      </c>
      <c r="S430" s="602">
        <v>150101</v>
      </c>
      <c r="T430" s="378" t="str">
        <f>+IFERROR(VLOOKUP(S430,STAT1!$C$4:$D$189,2,FALSE),"")</f>
        <v>Бараа бэлэн бүтээгдэхүүн БОЛОВСРУУЛАХ ЦЕХ /нарс/</v>
      </c>
      <c r="U430" s="1225"/>
      <c r="V430" s="1225">
        <v>197266.73348549154</v>
      </c>
      <c r="W430" s="326">
        <v>3046</v>
      </c>
      <c r="X430" s="328" t="str">
        <f>IFERROR(VLOOKUP(W430,DATA!$G$4:$H$400,2,FALSE),"")</f>
        <v xml:space="preserve">ТЭГШРЭХ ГУРВАН ЭРДЭНЭ ХХК </v>
      </c>
      <c r="Y430" s="1205"/>
      <c r="Z430" s="1205"/>
      <c r="AA430" s="1205"/>
    </row>
    <row r="431" spans="1:27" ht="12.75" customHeight="1">
      <c r="A431" s="15">
        <v>111</v>
      </c>
      <c r="B431" s="369">
        <f t="shared" si="115"/>
        <v>426</v>
      </c>
      <c r="C431" s="427">
        <v>42867</v>
      </c>
      <c r="D431" s="426"/>
      <c r="E431" s="425" t="str">
        <f t="shared" ca="1" si="123"/>
        <v/>
      </c>
      <c r="F431" s="428" t="str">
        <f t="shared" ca="1" si="117"/>
        <v/>
      </c>
      <c r="G431" s="378"/>
      <c r="H431" s="378"/>
      <c r="I431" s="378"/>
      <c r="J431" s="378"/>
      <c r="K431" s="1220"/>
      <c r="L431" s="378"/>
      <c r="M431" s="378"/>
      <c r="N431" s="378" t="str">
        <f t="shared" si="124"/>
        <v/>
      </c>
      <c r="O431" s="378" t="str">
        <f t="shared" si="119"/>
        <v/>
      </c>
      <c r="P431" s="378" t="str">
        <f t="shared" si="120"/>
        <v/>
      </c>
      <c r="Q431" s="378" t="str">
        <f t="shared" si="121"/>
        <v/>
      </c>
      <c r="R431" s="378" t="str">
        <f t="shared" si="122"/>
        <v/>
      </c>
      <c r="S431" s="602">
        <v>610100</v>
      </c>
      <c r="T431" s="378" t="str">
        <f>+IFERROR(VLOOKUP(S431,STAT1!$C$4:$D$189,2,FALSE),"")</f>
        <v>Борлуулсан барааны өртөг</v>
      </c>
      <c r="U431" s="1225">
        <v>197266.73348549154</v>
      </c>
      <c r="V431" s="1216"/>
      <c r="W431" s="326">
        <v>3046</v>
      </c>
      <c r="X431" s="328" t="str">
        <f>IFERROR(VLOOKUP(W431,DATA!$G$4:$H$400,2,FALSE),"")</f>
        <v xml:space="preserve">ТЭГШРЭХ ГУРВАН ЭРДЭНЭ ХХК </v>
      </c>
      <c r="Y431" s="1205"/>
      <c r="Z431" s="1205"/>
      <c r="AA431" s="1205"/>
    </row>
    <row r="432" spans="1:27" ht="12.75" customHeight="1">
      <c r="A432" s="15">
        <v>111</v>
      </c>
      <c r="B432" s="369">
        <f t="shared" si="115"/>
        <v>427</v>
      </c>
      <c r="C432" s="427">
        <v>42867</v>
      </c>
      <c r="D432" s="426"/>
      <c r="E432" s="425" t="str">
        <f t="shared" ca="1" si="123"/>
        <v/>
      </c>
      <c r="F432" s="428" t="str">
        <f t="shared" ca="1" si="117"/>
        <v/>
      </c>
      <c r="G432" s="378"/>
      <c r="H432" s="378"/>
      <c r="I432" s="378"/>
      <c r="J432" s="378"/>
      <c r="K432" s="1220"/>
      <c r="L432" s="378"/>
      <c r="M432" s="378"/>
      <c r="N432" s="378" t="str">
        <f t="shared" si="124"/>
        <v/>
      </c>
      <c r="O432" s="378" t="str">
        <f t="shared" si="119"/>
        <v/>
      </c>
      <c r="P432" s="378" t="str">
        <f t="shared" si="120"/>
        <v/>
      </c>
      <c r="Q432" s="378" t="str">
        <f t="shared" si="121"/>
        <v/>
      </c>
      <c r="R432" s="378" t="str">
        <f t="shared" si="122"/>
        <v/>
      </c>
      <c r="S432" s="602">
        <v>310500</v>
      </c>
      <c r="T432" s="378" t="str">
        <f>+IFERROR(VLOOKUP(S432,STAT1!$C$4:$D$189,2,FALSE),"")</f>
        <v>НӨАТ өглөг</v>
      </c>
      <c r="U432" s="1225"/>
      <c r="V432" s="1216">
        <v>24000</v>
      </c>
      <c r="W432" s="326">
        <v>3046</v>
      </c>
      <c r="X432" s="328" t="str">
        <f>IFERROR(VLOOKUP(W432,DATA!$G$4:$H$400,2,FALSE),"")</f>
        <v xml:space="preserve">ТЭГШРЭХ ГУРВАН ЭРДЭНЭ ХХК </v>
      </c>
      <c r="Y432" s="1205"/>
      <c r="Z432" s="1205"/>
      <c r="AA432" s="1205"/>
    </row>
    <row r="433" spans="1:27" ht="12.75" customHeight="1">
      <c r="A433" s="15">
        <v>111</v>
      </c>
      <c r="B433" s="369">
        <f t="shared" si="115"/>
        <v>428</v>
      </c>
      <c r="C433" s="427">
        <v>42867</v>
      </c>
      <c r="D433" s="426"/>
      <c r="E433" s="425" t="str">
        <f t="shared" ca="1" si="123"/>
        <v/>
      </c>
      <c r="F433" s="428" t="str">
        <f t="shared" ca="1" si="117"/>
        <v/>
      </c>
      <c r="G433" s="378"/>
      <c r="H433" s="378"/>
      <c r="I433" s="378"/>
      <c r="J433" s="378"/>
      <c r="K433" s="1220"/>
      <c r="L433" s="378"/>
      <c r="M433" s="378"/>
      <c r="N433" s="378" t="str">
        <f t="shared" si="124"/>
        <v/>
      </c>
      <c r="O433" s="378" t="str">
        <f t="shared" si="119"/>
        <v/>
      </c>
      <c r="P433" s="378" t="str">
        <f t="shared" si="120"/>
        <v/>
      </c>
      <c r="Q433" s="378" t="str">
        <f t="shared" si="121"/>
        <v/>
      </c>
      <c r="R433" s="378" t="str">
        <f t="shared" si="122"/>
        <v/>
      </c>
      <c r="S433" s="602">
        <v>510000</v>
      </c>
      <c r="T433" s="378" t="str">
        <f>+IFERROR(VLOOKUP(S433,STAT1!$C$4:$D$189,2,FALSE),"")</f>
        <v>Үндсэн үйл ажиллагааны борлуулалт</v>
      </c>
      <c r="U433" s="1225"/>
      <c r="V433" s="1216">
        <v>240000</v>
      </c>
      <c r="W433" s="326">
        <v>3046</v>
      </c>
      <c r="X433" s="328" t="str">
        <f>IFERROR(VLOOKUP(W433,DATA!$G$4:$H$400,2,FALSE),"")</f>
        <v xml:space="preserve">ТЭГШРЭХ ГУРВАН ЭРДЭНЭ ХХК </v>
      </c>
      <c r="Y433" s="1205"/>
      <c r="Z433" s="1205"/>
      <c r="AA433" s="1205"/>
    </row>
    <row r="434" spans="1:27" ht="12.75" customHeight="1">
      <c r="A434" s="15">
        <v>111</v>
      </c>
      <c r="B434" s="369">
        <f t="shared" si="115"/>
        <v>429</v>
      </c>
      <c r="C434" s="427">
        <v>42867</v>
      </c>
      <c r="D434" s="426"/>
      <c r="E434" s="425" t="str">
        <f t="shared" ca="1" si="123"/>
        <v/>
      </c>
      <c r="F434" s="428" t="str">
        <f t="shared" ca="1" si="117"/>
        <v/>
      </c>
      <c r="G434" s="378"/>
      <c r="H434" s="378"/>
      <c r="I434" s="378"/>
      <c r="J434" s="378"/>
      <c r="K434" s="1220"/>
      <c r="L434" s="378"/>
      <c r="M434" s="378"/>
      <c r="N434" s="378" t="str">
        <f t="shared" si="124"/>
        <v/>
      </c>
      <c r="O434" s="378" t="str">
        <f t="shared" si="119"/>
        <v/>
      </c>
      <c r="P434" s="378" t="str">
        <f t="shared" si="120"/>
        <v/>
      </c>
      <c r="Q434" s="378" t="str">
        <f t="shared" si="121"/>
        <v/>
      </c>
      <c r="R434" s="378" t="str">
        <f t="shared" si="122"/>
        <v/>
      </c>
      <c r="S434" s="602">
        <v>320100</v>
      </c>
      <c r="T434" s="378" t="str">
        <f>+IFERROR(VLOOKUP(S434,STAT1!$C$4:$D$189,2,FALSE),"")</f>
        <v>Урьдчилж орсон орлого MNT</v>
      </c>
      <c r="U434" s="1225">
        <v>264000</v>
      </c>
      <c r="V434" s="1216"/>
      <c r="W434" s="326">
        <v>3046</v>
      </c>
      <c r="X434" s="328" t="str">
        <f>IFERROR(VLOOKUP(W434,DATA!$G$4:$H$400,2,FALSE),"")</f>
        <v xml:space="preserve">ТЭГШРЭХ ГУРВАН ЭРДЭНЭ ХХК </v>
      </c>
      <c r="Y434" s="1205"/>
      <c r="Z434" s="1205"/>
      <c r="AA434" s="1205"/>
    </row>
    <row r="435" spans="1:27" ht="12.75" customHeight="1">
      <c r="A435" s="15">
        <v>112</v>
      </c>
      <c r="B435" s="369">
        <f t="shared" si="115"/>
        <v>430</v>
      </c>
      <c r="C435" s="427">
        <v>42868</v>
      </c>
      <c r="D435" s="426">
        <v>211503</v>
      </c>
      <c r="E435" s="425" t="str">
        <f t="shared" ca="1" si="123"/>
        <v>Н-Евровагонка /зузаан-1.2см/</v>
      </c>
      <c r="F435" s="428" t="str">
        <f t="shared" ca="1" si="117"/>
        <v>м2</v>
      </c>
      <c r="G435" s="378"/>
      <c r="H435" s="378"/>
      <c r="I435" s="378"/>
      <c r="J435" s="378"/>
      <c r="K435" s="1220"/>
      <c r="L435" s="378">
        <v>9.7899999999999991</v>
      </c>
      <c r="M435" s="378">
        <v>21603.677</v>
      </c>
      <c r="N435" s="378">
        <f t="shared" si="124"/>
        <v>211499.99782999998</v>
      </c>
      <c r="O435" s="378">
        <f t="shared" si="119"/>
        <v>21149.999782999999</v>
      </c>
      <c r="P435" s="378">
        <f t="shared" si="120"/>
        <v>232649.99761299998</v>
      </c>
      <c r="Q435" s="378">
        <f t="shared" ca="1" si="121"/>
        <v>12622.237683513315</v>
      </c>
      <c r="R435" s="378">
        <f t="shared" ca="1" si="122"/>
        <v>123571.70692159534</v>
      </c>
      <c r="S435" s="602">
        <v>150101</v>
      </c>
      <c r="T435" s="378" t="str">
        <f>+IFERROR(VLOOKUP(S435,STAT1!$C$4:$D$189,2,FALSE),"")</f>
        <v>Бараа бэлэн бүтээгдэхүүн БОЛОВСРУУЛАХ ЦЕХ /нарс/</v>
      </c>
      <c r="U435" s="1225"/>
      <c r="V435" s="1216">
        <v>123571.70692159532</v>
      </c>
      <c r="W435" s="326">
        <v>3047</v>
      </c>
      <c r="X435" s="328" t="str">
        <f>IFERROR(VLOOKUP(W435,DATA!$G$4:$H$400,2,FALSE),"")</f>
        <v>ГЛОБАЛ ГАЗАР ХХК</v>
      </c>
      <c r="Y435" s="1205"/>
      <c r="Z435" s="1205"/>
      <c r="AA435" s="1205"/>
    </row>
    <row r="436" spans="1:27" ht="12.75" customHeight="1">
      <c r="A436" s="15">
        <v>112</v>
      </c>
      <c r="B436" s="369">
        <f t="shared" si="115"/>
        <v>431</v>
      </c>
      <c r="C436" s="427">
        <v>42868</v>
      </c>
      <c r="D436" s="426"/>
      <c r="E436" s="425" t="str">
        <f t="shared" ca="1" si="123"/>
        <v/>
      </c>
      <c r="F436" s="428" t="str">
        <f t="shared" ca="1" si="117"/>
        <v/>
      </c>
      <c r="G436" s="378"/>
      <c r="H436" s="378"/>
      <c r="I436" s="378"/>
      <c r="J436" s="378"/>
      <c r="K436" s="1220"/>
      <c r="L436" s="378"/>
      <c r="M436" s="378"/>
      <c r="N436" s="378" t="str">
        <f t="shared" si="124"/>
        <v/>
      </c>
      <c r="O436" s="378" t="str">
        <f t="shared" si="119"/>
        <v/>
      </c>
      <c r="P436" s="378" t="str">
        <f t="shared" si="120"/>
        <v/>
      </c>
      <c r="Q436" s="378" t="str">
        <f t="shared" si="121"/>
        <v/>
      </c>
      <c r="R436" s="378" t="str">
        <f t="shared" si="122"/>
        <v/>
      </c>
      <c r="S436" s="602">
        <v>610100</v>
      </c>
      <c r="T436" s="378" t="str">
        <f>+IFERROR(VLOOKUP(S436,STAT1!$C$4:$D$189,2,FALSE),"")</f>
        <v>Борлуулсан барааны өртөг</v>
      </c>
      <c r="U436" s="1216">
        <v>123571.70692159532</v>
      </c>
      <c r="V436" s="1216"/>
      <c r="W436" s="326">
        <v>3047</v>
      </c>
      <c r="X436" s="328" t="str">
        <f>IFERROR(VLOOKUP(W436,DATA!$G$4:$H$400,2,FALSE),"")</f>
        <v>ГЛОБАЛ ГАЗАР ХХК</v>
      </c>
      <c r="Y436" s="1205"/>
      <c r="Z436" s="1205"/>
      <c r="AA436" s="1205"/>
    </row>
    <row r="437" spans="1:27" ht="12.75" customHeight="1">
      <c r="A437" s="15">
        <v>112</v>
      </c>
      <c r="B437" s="369">
        <f t="shared" si="115"/>
        <v>432</v>
      </c>
      <c r="C437" s="427">
        <v>42868</v>
      </c>
      <c r="D437" s="426"/>
      <c r="E437" s="425" t="str">
        <f t="shared" ca="1" si="123"/>
        <v/>
      </c>
      <c r="F437" s="428" t="str">
        <f t="shared" ca="1" si="117"/>
        <v/>
      </c>
      <c r="G437" s="378"/>
      <c r="H437" s="378"/>
      <c r="I437" s="378"/>
      <c r="J437" s="378"/>
      <c r="K437" s="1220"/>
      <c r="L437" s="378"/>
      <c r="M437" s="378"/>
      <c r="N437" s="378" t="str">
        <f t="shared" si="124"/>
        <v/>
      </c>
      <c r="O437" s="378" t="str">
        <f t="shared" si="119"/>
        <v/>
      </c>
      <c r="P437" s="378" t="str">
        <f t="shared" si="120"/>
        <v/>
      </c>
      <c r="Q437" s="378" t="str">
        <f t="shared" si="121"/>
        <v/>
      </c>
      <c r="R437" s="378" t="str">
        <f t="shared" si="122"/>
        <v/>
      </c>
      <c r="S437" s="602">
        <v>310500</v>
      </c>
      <c r="T437" s="378" t="str">
        <f>+IFERROR(VLOOKUP(S437,STAT1!$C$4:$D$189,2,FALSE),"")</f>
        <v>НӨАТ өглөг</v>
      </c>
      <c r="U437" s="1225"/>
      <c r="V437" s="1216">
        <v>21149.999782999999</v>
      </c>
      <c r="W437" s="326">
        <v>3047</v>
      </c>
      <c r="X437" s="328" t="str">
        <f>IFERROR(VLOOKUP(W437,DATA!$G$4:$H$400,2,FALSE),"")</f>
        <v>ГЛОБАЛ ГАЗАР ХХК</v>
      </c>
      <c r="Y437" s="1205"/>
      <c r="Z437" s="1205"/>
      <c r="AA437" s="1205"/>
    </row>
    <row r="438" spans="1:27" ht="12.75" customHeight="1">
      <c r="A438" s="15">
        <v>112</v>
      </c>
      <c r="B438" s="369">
        <f t="shared" si="115"/>
        <v>433</v>
      </c>
      <c r="C438" s="427">
        <v>42868</v>
      </c>
      <c r="D438" s="426"/>
      <c r="E438" s="425" t="str">
        <f t="shared" ca="1" si="123"/>
        <v/>
      </c>
      <c r="F438" s="428" t="str">
        <f t="shared" ca="1" si="117"/>
        <v/>
      </c>
      <c r="G438" s="378"/>
      <c r="H438" s="378"/>
      <c r="I438" s="378"/>
      <c r="J438" s="378"/>
      <c r="K438" s="1220"/>
      <c r="L438" s="378"/>
      <c r="M438" s="378"/>
      <c r="N438" s="378" t="str">
        <f t="shared" si="124"/>
        <v/>
      </c>
      <c r="O438" s="378" t="str">
        <f t="shared" si="119"/>
        <v/>
      </c>
      <c r="P438" s="378" t="str">
        <f t="shared" si="120"/>
        <v/>
      </c>
      <c r="Q438" s="378" t="str">
        <f t="shared" si="121"/>
        <v/>
      </c>
      <c r="R438" s="378" t="str">
        <f t="shared" si="122"/>
        <v/>
      </c>
      <c r="S438" s="602">
        <v>510000</v>
      </c>
      <c r="T438" s="378" t="str">
        <f>+IFERROR(VLOOKUP(S438,STAT1!$C$4:$D$189,2,FALSE),"")</f>
        <v>Үндсэн үйл ажиллагааны борлуулалт</v>
      </c>
      <c r="U438" s="1225"/>
      <c r="V438" s="1216">
        <v>211499.99782999998</v>
      </c>
      <c r="W438" s="326">
        <v>3047</v>
      </c>
      <c r="X438" s="328" t="str">
        <f>IFERROR(VLOOKUP(W438,DATA!$G$4:$H$400,2,FALSE),"")</f>
        <v>ГЛОБАЛ ГАЗАР ХХК</v>
      </c>
      <c r="Y438" s="1205"/>
      <c r="Z438" s="1205"/>
      <c r="AA438" s="1205"/>
    </row>
    <row r="439" spans="1:27" ht="12.75" customHeight="1">
      <c r="A439" s="15">
        <v>112</v>
      </c>
      <c r="B439" s="369">
        <f t="shared" si="115"/>
        <v>434</v>
      </c>
      <c r="C439" s="427">
        <v>42868</v>
      </c>
      <c r="D439" s="426"/>
      <c r="E439" s="425" t="str">
        <f t="shared" ca="1" si="123"/>
        <v/>
      </c>
      <c r="F439" s="428" t="str">
        <f t="shared" ca="1" si="117"/>
        <v/>
      </c>
      <c r="G439" s="378"/>
      <c r="H439" s="378"/>
      <c r="I439" s="378"/>
      <c r="J439" s="378"/>
      <c r="K439" s="1220"/>
      <c r="L439" s="378"/>
      <c r="M439" s="378"/>
      <c r="N439" s="378" t="str">
        <f t="shared" si="124"/>
        <v/>
      </c>
      <c r="O439" s="378" t="str">
        <f t="shared" si="119"/>
        <v/>
      </c>
      <c r="P439" s="378" t="str">
        <f t="shared" si="120"/>
        <v/>
      </c>
      <c r="Q439" s="378" t="str">
        <f t="shared" si="121"/>
        <v/>
      </c>
      <c r="R439" s="378" t="str">
        <f t="shared" si="122"/>
        <v/>
      </c>
      <c r="S439" s="602">
        <v>320100</v>
      </c>
      <c r="T439" s="378" t="str">
        <f>+IFERROR(VLOOKUP(S439,STAT1!$C$4:$D$189,2,FALSE),"")</f>
        <v>Урьдчилж орсон орлого MNT</v>
      </c>
      <c r="U439" s="1225">
        <v>232649.99761299998</v>
      </c>
      <c r="V439" s="1216"/>
      <c r="W439" s="326">
        <v>3047</v>
      </c>
      <c r="X439" s="328" t="str">
        <f>IFERROR(VLOOKUP(W439,DATA!$G$4:$H$400,2,FALSE),"")</f>
        <v>ГЛОБАЛ ГАЗАР ХХК</v>
      </c>
      <c r="Y439" s="1205"/>
      <c r="Z439" s="1205"/>
      <c r="AA439" s="1205"/>
    </row>
    <row r="440" spans="1:27" ht="12.75" customHeight="1">
      <c r="A440" s="15">
        <v>113</v>
      </c>
      <c r="B440" s="369">
        <f t="shared" si="115"/>
        <v>435</v>
      </c>
      <c r="C440" s="427">
        <v>42872</v>
      </c>
      <c r="D440" s="426">
        <v>211710</v>
      </c>
      <c r="E440" s="425" t="str">
        <f t="shared" ca="1" si="123"/>
        <v xml:space="preserve">Н-Хавтан /зузаан-3см/-яртай </v>
      </c>
      <c r="F440" s="428" t="str">
        <f t="shared" ca="1" si="117"/>
        <v>м2</v>
      </c>
      <c r="G440" s="378"/>
      <c r="H440" s="378"/>
      <c r="I440" s="378"/>
      <c r="J440" s="378"/>
      <c r="K440" s="1220"/>
      <c r="L440" s="378">
        <v>11</v>
      </c>
      <c r="M440" s="378">
        <v>40000</v>
      </c>
      <c r="N440" s="378">
        <f t="shared" si="124"/>
        <v>440000</v>
      </c>
      <c r="O440" s="378">
        <f t="shared" si="119"/>
        <v>44000</v>
      </c>
      <c r="P440" s="378">
        <f t="shared" si="120"/>
        <v>484000</v>
      </c>
      <c r="Q440" s="378">
        <f t="shared" ca="1" si="121"/>
        <v>32877.788914248587</v>
      </c>
      <c r="R440" s="378">
        <f t="shared" ca="1" si="122"/>
        <v>361655.67805673444</v>
      </c>
      <c r="S440" s="602">
        <v>150101</v>
      </c>
      <c r="T440" s="378" t="str">
        <f>+IFERROR(VLOOKUP(S440,STAT1!$C$4:$D$189,2,FALSE),"")</f>
        <v>Бараа бэлэн бүтээгдэхүүн БОЛОВСРУУЛАХ ЦЕХ /нарс/</v>
      </c>
      <c r="U440" s="1225"/>
      <c r="V440" s="1216">
        <v>361655.67805673444</v>
      </c>
      <c r="W440" s="326">
        <v>3058</v>
      </c>
      <c r="X440" s="328" t="str">
        <f>IFERROR(VLOOKUP(W440,DATA!$G$4:$H$400,2,FALSE),"")</f>
        <v>БЕСТ СТАЙЛ ХХК</v>
      </c>
      <c r="Y440" s="1205"/>
      <c r="Z440" s="1205"/>
      <c r="AA440" s="1205"/>
    </row>
    <row r="441" spans="1:27" ht="12.75" customHeight="1">
      <c r="A441" s="15">
        <v>113</v>
      </c>
      <c r="B441" s="369">
        <f t="shared" si="115"/>
        <v>436</v>
      </c>
      <c r="C441" s="427">
        <v>42872</v>
      </c>
      <c r="D441" s="426"/>
      <c r="E441" s="425" t="str">
        <f t="shared" ca="1" si="123"/>
        <v/>
      </c>
      <c r="F441" s="428" t="str">
        <f t="shared" ca="1" si="117"/>
        <v/>
      </c>
      <c r="G441" s="378"/>
      <c r="H441" s="378"/>
      <c r="I441" s="378"/>
      <c r="J441" s="378"/>
      <c r="K441" s="1220"/>
      <c r="L441" s="378"/>
      <c r="M441" s="378"/>
      <c r="N441" s="378" t="str">
        <f t="shared" si="124"/>
        <v/>
      </c>
      <c r="O441" s="378" t="str">
        <f t="shared" si="119"/>
        <v/>
      </c>
      <c r="P441" s="378" t="str">
        <f t="shared" si="120"/>
        <v/>
      </c>
      <c r="Q441" s="378" t="str">
        <f t="shared" si="121"/>
        <v/>
      </c>
      <c r="R441" s="378" t="str">
        <f t="shared" si="122"/>
        <v/>
      </c>
      <c r="S441" s="602">
        <v>610100</v>
      </c>
      <c r="T441" s="378" t="str">
        <f>+IFERROR(VLOOKUP(S441,STAT1!$C$4:$D$189,2,FALSE),"")</f>
        <v>Борлуулсан барааны өртөг</v>
      </c>
      <c r="U441" s="1216">
        <v>361655.67805673444</v>
      </c>
      <c r="V441" s="1216"/>
      <c r="W441" s="326">
        <v>3058</v>
      </c>
      <c r="X441" s="328" t="str">
        <f>IFERROR(VLOOKUP(W441,DATA!$G$4:$H$400,2,FALSE),"")</f>
        <v>БЕСТ СТАЙЛ ХХК</v>
      </c>
      <c r="Y441" s="1205"/>
      <c r="Z441" s="1205"/>
      <c r="AA441" s="1205"/>
    </row>
    <row r="442" spans="1:27" ht="12.75" customHeight="1">
      <c r="A442" s="15">
        <v>113</v>
      </c>
      <c r="B442" s="369">
        <f t="shared" si="115"/>
        <v>437</v>
      </c>
      <c r="C442" s="427">
        <v>42872</v>
      </c>
      <c r="D442" s="426"/>
      <c r="E442" s="425" t="str">
        <f t="shared" ca="1" si="123"/>
        <v/>
      </c>
      <c r="F442" s="428" t="str">
        <f t="shared" ca="1" si="117"/>
        <v/>
      </c>
      <c r="G442" s="378"/>
      <c r="H442" s="378"/>
      <c r="I442" s="378"/>
      <c r="J442" s="378"/>
      <c r="K442" s="1220"/>
      <c r="L442" s="378"/>
      <c r="M442" s="378"/>
      <c r="N442" s="378" t="str">
        <f t="shared" si="124"/>
        <v/>
      </c>
      <c r="O442" s="378" t="str">
        <f t="shared" si="119"/>
        <v/>
      </c>
      <c r="P442" s="378" t="str">
        <f t="shared" si="120"/>
        <v/>
      </c>
      <c r="Q442" s="378" t="str">
        <f t="shared" si="121"/>
        <v/>
      </c>
      <c r="R442" s="378" t="str">
        <f t="shared" si="122"/>
        <v/>
      </c>
      <c r="S442" s="602">
        <v>310500</v>
      </c>
      <c r="T442" s="378" t="str">
        <f>+IFERROR(VLOOKUP(S442,STAT1!$C$4:$D$189,2,FALSE),"")</f>
        <v>НӨАТ өглөг</v>
      </c>
      <c r="U442" s="1225"/>
      <c r="V442" s="1216">
        <v>44000</v>
      </c>
      <c r="W442" s="326">
        <v>3058</v>
      </c>
      <c r="X442" s="328" t="str">
        <f>IFERROR(VLOOKUP(W442,DATA!$G$4:$H$400,2,FALSE),"")</f>
        <v>БЕСТ СТАЙЛ ХХК</v>
      </c>
      <c r="Y442" s="1205"/>
      <c r="Z442" s="1205"/>
      <c r="AA442" s="1205"/>
    </row>
    <row r="443" spans="1:27" ht="12.75" customHeight="1">
      <c r="A443" s="15">
        <v>113</v>
      </c>
      <c r="B443" s="369">
        <f t="shared" si="115"/>
        <v>438</v>
      </c>
      <c r="C443" s="427">
        <v>42872</v>
      </c>
      <c r="D443" s="426"/>
      <c r="E443" s="425" t="str">
        <f t="shared" ca="1" si="123"/>
        <v/>
      </c>
      <c r="F443" s="428" t="str">
        <f t="shared" ca="1" si="117"/>
        <v/>
      </c>
      <c r="G443" s="378"/>
      <c r="H443" s="378"/>
      <c r="I443" s="378"/>
      <c r="J443" s="378"/>
      <c r="K443" s="1220"/>
      <c r="L443" s="378"/>
      <c r="M443" s="378"/>
      <c r="N443" s="378" t="str">
        <f t="shared" si="124"/>
        <v/>
      </c>
      <c r="O443" s="378" t="str">
        <f t="shared" si="119"/>
        <v/>
      </c>
      <c r="P443" s="378" t="str">
        <f t="shared" si="120"/>
        <v/>
      </c>
      <c r="Q443" s="378" t="str">
        <f t="shared" si="121"/>
        <v/>
      </c>
      <c r="R443" s="378" t="str">
        <f t="shared" si="122"/>
        <v/>
      </c>
      <c r="S443" s="602">
        <v>510000</v>
      </c>
      <c r="T443" s="378" t="str">
        <f>+IFERROR(VLOOKUP(S443,STAT1!$C$4:$D$189,2,FALSE),"")</f>
        <v>Үндсэн үйл ажиллагааны борлуулалт</v>
      </c>
      <c r="U443" s="1225"/>
      <c r="V443" s="1216">
        <v>440000</v>
      </c>
      <c r="W443" s="326">
        <v>3058</v>
      </c>
      <c r="X443" s="328" t="str">
        <f>IFERROR(VLOOKUP(W443,DATA!$G$4:$H$400,2,FALSE),"")</f>
        <v>БЕСТ СТАЙЛ ХХК</v>
      </c>
      <c r="Y443" s="1205"/>
      <c r="Z443" s="1205"/>
      <c r="AA443" s="1205"/>
    </row>
    <row r="444" spans="1:27" ht="12.75" customHeight="1">
      <c r="A444" s="15">
        <v>113</v>
      </c>
      <c r="B444" s="369">
        <f t="shared" si="115"/>
        <v>439</v>
      </c>
      <c r="C444" s="427">
        <v>42872</v>
      </c>
      <c r="D444" s="426"/>
      <c r="E444" s="425" t="str">
        <f t="shared" ca="1" si="123"/>
        <v/>
      </c>
      <c r="F444" s="428" t="str">
        <f t="shared" ca="1" si="117"/>
        <v/>
      </c>
      <c r="G444" s="378"/>
      <c r="H444" s="378"/>
      <c r="I444" s="378"/>
      <c r="J444" s="378"/>
      <c r="K444" s="1220"/>
      <c r="L444" s="378"/>
      <c r="M444" s="378"/>
      <c r="N444" s="378" t="str">
        <f t="shared" si="124"/>
        <v/>
      </c>
      <c r="O444" s="378" t="str">
        <f t="shared" si="119"/>
        <v/>
      </c>
      <c r="P444" s="378" t="str">
        <f t="shared" si="120"/>
        <v/>
      </c>
      <c r="Q444" s="378" t="str">
        <f t="shared" si="121"/>
        <v/>
      </c>
      <c r="R444" s="378" t="str">
        <f t="shared" si="122"/>
        <v/>
      </c>
      <c r="S444" s="602">
        <v>320100</v>
      </c>
      <c r="T444" s="378" t="str">
        <f>+IFERROR(VLOOKUP(S444,STAT1!$C$4:$D$189,2,FALSE),"")</f>
        <v>Урьдчилж орсон орлого MNT</v>
      </c>
      <c r="U444" s="1225">
        <v>484000</v>
      </c>
      <c r="V444" s="1216"/>
      <c r="W444" s="326">
        <v>3058</v>
      </c>
      <c r="X444" s="328" t="str">
        <f>IFERROR(VLOOKUP(W444,DATA!$G$4:$H$400,2,FALSE),"")</f>
        <v>БЕСТ СТАЙЛ ХХК</v>
      </c>
      <c r="Y444" s="1205"/>
      <c r="Z444" s="1205"/>
      <c r="AA444" s="1205"/>
    </row>
    <row r="445" spans="1:27" ht="12.75" customHeight="1">
      <c r="A445" s="15">
        <v>114</v>
      </c>
      <c r="B445" s="369">
        <f t="shared" si="115"/>
        <v>440</v>
      </c>
      <c r="C445" s="427">
        <v>42872</v>
      </c>
      <c r="D445" s="426">
        <v>410085</v>
      </c>
      <c r="E445" s="425" t="str">
        <f t="shared" ca="1" si="123"/>
        <v xml:space="preserve">НЦ-лак </v>
      </c>
      <c r="F445" s="428" t="str">
        <f t="shared" ca="1" si="117"/>
        <v>кг</v>
      </c>
      <c r="G445" s="378">
        <v>90</v>
      </c>
      <c r="H445" s="378">
        <v>7444.4444400000002</v>
      </c>
      <c r="I445" s="378">
        <f>+IF(G445="","",G445*H445)</f>
        <v>669999.99959999998</v>
      </c>
      <c r="J445" s="378">
        <f>+IF(G445="","",I445*0.1)</f>
        <v>66999.999960000001</v>
      </c>
      <c r="K445" s="1220">
        <f>+IF(G445="","",I445+J445)</f>
        <v>736999.99956000003</v>
      </c>
      <c r="L445" s="378"/>
      <c r="M445" s="378"/>
      <c r="N445" s="378" t="str">
        <f t="shared" si="124"/>
        <v/>
      </c>
      <c r="O445" s="378" t="str">
        <f t="shared" si="119"/>
        <v/>
      </c>
      <c r="P445" s="378" t="str">
        <f t="shared" si="120"/>
        <v/>
      </c>
      <c r="Q445" s="378" t="str">
        <f t="shared" si="121"/>
        <v/>
      </c>
      <c r="R445" s="378" t="str">
        <f t="shared" si="122"/>
        <v/>
      </c>
      <c r="S445" s="602">
        <v>160100</v>
      </c>
      <c r="T445" s="378" t="str">
        <f>+IFERROR(VLOOKUP(S445,STAT1!$C$4:$D$189,2,FALSE),"")</f>
        <v xml:space="preserve">Барилгын материал </v>
      </c>
      <c r="U445" s="1225">
        <v>813999.99959999998</v>
      </c>
      <c r="V445" s="1216"/>
      <c r="W445" s="326">
        <v>3017</v>
      </c>
      <c r="X445" s="328" t="str">
        <f>IFERROR(VLOOKUP(W445,DATA!$G$4:$H$400,2,FALSE),"")</f>
        <v xml:space="preserve">ВОС ХХК </v>
      </c>
      <c r="Y445" s="1205"/>
      <c r="Z445" s="1205"/>
      <c r="AA445" s="1205"/>
    </row>
    <row r="446" spans="1:27" ht="12.75" customHeight="1">
      <c r="A446" s="15">
        <v>114</v>
      </c>
      <c r="B446" s="369">
        <f t="shared" si="115"/>
        <v>441</v>
      </c>
      <c r="C446" s="427">
        <v>42872</v>
      </c>
      <c r="D446" s="426">
        <v>410054</v>
      </c>
      <c r="E446" s="425" t="str">
        <f t="shared" ca="1" si="123"/>
        <v xml:space="preserve">Будаг шингэлэгч </v>
      </c>
      <c r="F446" s="428" t="str">
        <f t="shared" ca="1" si="117"/>
        <v>ш</v>
      </c>
      <c r="G446" s="378">
        <v>40</v>
      </c>
      <c r="H446" s="378">
        <v>1800</v>
      </c>
      <c r="I446" s="378">
        <f>+IF(G446="","",G446*H446)</f>
        <v>72000</v>
      </c>
      <c r="J446" s="378">
        <f>+IF(G446="","",I446*0.1)</f>
        <v>7200</v>
      </c>
      <c r="K446" s="1220">
        <f>+IF(G446="","",I446+J446)</f>
        <v>79200</v>
      </c>
      <c r="L446" s="378"/>
      <c r="M446" s="378"/>
      <c r="N446" s="378" t="str">
        <f t="shared" si="124"/>
        <v/>
      </c>
      <c r="O446" s="378" t="str">
        <f t="shared" si="119"/>
        <v/>
      </c>
      <c r="P446" s="378" t="str">
        <f t="shared" si="120"/>
        <v/>
      </c>
      <c r="Q446" s="378" t="str">
        <f t="shared" si="121"/>
        <v/>
      </c>
      <c r="R446" s="378" t="str">
        <f t="shared" si="122"/>
        <v/>
      </c>
      <c r="S446" s="602">
        <v>120600</v>
      </c>
      <c r="T446" s="378" t="str">
        <f>+IFERROR(VLOOKUP(S446,STAT1!$C$4:$D$189,2,FALSE),"")</f>
        <v>НӨАТ авлага</v>
      </c>
      <c r="U446" s="1225">
        <v>81399.999960000001</v>
      </c>
      <c r="V446" s="1216"/>
      <c r="W446" s="326">
        <v>3017</v>
      </c>
      <c r="X446" s="328" t="str">
        <f>IFERROR(VLOOKUP(W446,DATA!$G$4:$H$400,2,FALSE),"")</f>
        <v xml:space="preserve">ВОС ХХК </v>
      </c>
      <c r="Y446" s="1205"/>
      <c r="Z446" s="1205"/>
      <c r="AA446" s="1205"/>
    </row>
    <row r="447" spans="1:27" ht="12.75" customHeight="1">
      <c r="A447" s="15">
        <v>114</v>
      </c>
      <c r="B447" s="369">
        <f t="shared" si="115"/>
        <v>442</v>
      </c>
      <c r="C447" s="427">
        <v>42872</v>
      </c>
      <c r="D447" s="426">
        <v>410366</v>
      </c>
      <c r="E447" s="425" t="str">
        <f t="shared" ca="1" si="123"/>
        <v xml:space="preserve">Модны замаска </v>
      </c>
      <c r="F447" s="428" t="str">
        <f t="shared" ca="1" si="117"/>
        <v>ш</v>
      </c>
      <c r="G447" s="378">
        <v>24</v>
      </c>
      <c r="H447" s="378">
        <v>3000</v>
      </c>
      <c r="I447" s="378">
        <f>+IF(G447="","",G447*H447)</f>
        <v>72000</v>
      </c>
      <c r="J447" s="378">
        <f>+IF(G447="","",I447*0.1)</f>
        <v>7200</v>
      </c>
      <c r="K447" s="1220">
        <f>+IF(G447="","",I447+J447)</f>
        <v>79200</v>
      </c>
      <c r="L447" s="378"/>
      <c r="M447" s="378"/>
      <c r="N447" s="378" t="str">
        <f t="shared" si="124"/>
        <v/>
      </c>
      <c r="O447" s="378" t="str">
        <f t="shared" si="119"/>
        <v/>
      </c>
      <c r="P447" s="378" t="str">
        <f t="shared" si="120"/>
        <v/>
      </c>
      <c r="Q447" s="378" t="str">
        <f t="shared" si="121"/>
        <v/>
      </c>
      <c r="R447" s="378" t="str">
        <f t="shared" si="122"/>
        <v/>
      </c>
      <c r="S447" s="602">
        <v>120100</v>
      </c>
      <c r="T447" s="378" t="str">
        <f>+IFERROR(VLOOKUP(S447,STAT1!$C$4:$D$189,2,FALSE),"")</f>
        <v xml:space="preserve">Дансны авлага MNT </v>
      </c>
      <c r="U447" s="1225"/>
      <c r="V447" s="1216">
        <v>895399.99956000003</v>
      </c>
      <c r="W447" s="326">
        <v>3017</v>
      </c>
      <c r="X447" s="328" t="str">
        <f>IFERROR(VLOOKUP(W447,DATA!$G$4:$H$400,2,FALSE),"")</f>
        <v xml:space="preserve">ВОС ХХК </v>
      </c>
      <c r="Y447" s="1205"/>
      <c r="Z447" s="1205"/>
      <c r="AA447" s="1205"/>
    </row>
    <row r="448" spans="1:27" ht="12.75" customHeight="1">
      <c r="A448" s="15">
        <v>115</v>
      </c>
      <c r="B448" s="369">
        <f t="shared" si="115"/>
        <v>443</v>
      </c>
      <c r="C448" s="427">
        <v>42872</v>
      </c>
      <c r="D448" s="426">
        <v>310001</v>
      </c>
      <c r="E448" s="425" t="str">
        <f t="shared" ca="1" si="123"/>
        <v xml:space="preserve">Хатаасан нарсан банз </v>
      </c>
      <c r="F448" s="428" t="str">
        <f t="shared" ca="1" si="117"/>
        <v>м3</v>
      </c>
      <c r="G448" s="378">
        <v>117.16</v>
      </c>
      <c r="H448" s="378">
        <v>349434.77641927643</v>
      </c>
      <c r="I448" s="378">
        <f>+IF(G448="","",G448*H448)</f>
        <v>40939778.405282423</v>
      </c>
      <c r="J448" s="378"/>
      <c r="K448" s="1220">
        <f>+IF(G448="","",I448+J448)</f>
        <v>40939778.405282423</v>
      </c>
      <c r="L448" s="378"/>
      <c r="M448" s="378"/>
      <c r="N448" s="378" t="str">
        <f t="shared" si="124"/>
        <v/>
      </c>
      <c r="O448" s="378" t="str">
        <f t="shared" si="119"/>
        <v/>
      </c>
      <c r="P448" s="378" t="str">
        <f t="shared" si="120"/>
        <v/>
      </c>
      <c r="Q448" s="378" t="str">
        <f t="shared" si="121"/>
        <v/>
      </c>
      <c r="R448" s="378" t="str">
        <f t="shared" si="122"/>
        <v/>
      </c>
      <c r="S448" s="602"/>
      <c r="T448" s="378" t="str">
        <f>+IFERROR(VLOOKUP(S448,STAT1!$C$4:$D$189,2,FALSE),"")</f>
        <v/>
      </c>
      <c r="U448" s="1225"/>
      <c r="V448" s="1216"/>
      <c r="W448" s="326">
        <v>1006</v>
      </c>
      <c r="X448" s="328" t="str">
        <f>IFERROR(VLOOKUP(W448,DATA!$G$4:$H$400,2,FALSE),"")</f>
        <v>Оюундэлгэр /нярав/</v>
      </c>
      <c r="Y448" s="1205"/>
      <c r="Z448" s="1205"/>
      <c r="AA448" s="1205"/>
    </row>
    <row r="449" spans="1:27" ht="12.75" customHeight="1">
      <c r="A449" s="15">
        <v>116</v>
      </c>
      <c r="B449" s="369">
        <f t="shared" si="115"/>
        <v>444</v>
      </c>
      <c r="C449" s="427">
        <v>42874</v>
      </c>
      <c r="D449" s="426">
        <v>211710</v>
      </c>
      <c r="E449" s="425" t="str">
        <f t="shared" ca="1" si="123"/>
        <v xml:space="preserve">Н-Хавтан /зузаан-3см/-яртай </v>
      </c>
      <c r="F449" s="428" t="str">
        <f t="shared" ca="1" si="117"/>
        <v>м2</v>
      </c>
      <c r="G449" s="378"/>
      <c r="H449" s="378"/>
      <c r="I449" s="378"/>
      <c r="J449" s="378"/>
      <c r="K449" s="1220"/>
      <c r="L449" s="378">
        <v>6</v>
      </c>
      <c r="M449" s="378">
        <v>40000</v>
      </c>
      <c r="N449" s="378">
        <f t="shared" si="124"/>
        <v>240000</v>
      </c>
      <c r="O449" s="378">
        <f t="shared" si="119"/>
        <v>24000</v>
      </c>
      <c r="P449" s="378">
        <f t="shared" si="120"/>
        <v>264000</v>
      </c>
      <c r="Q449" s="378">
        <f t="shared" ca="1" si="121"/>
        <v>32877.788914248587</v>
      </c>
      <c r="R449" s="378">
        <f t="shared" ca="1" si="122"/>
        <v>197266.73348549154</v>
      </c>
      <c r="S449" s="602">
        <v>150101</v>
      </c>
      <c r="T449" s="378" t="str">
        <f>+IFERROR(VLOOKUP(S449,STAT1!$C$4:$D$189,2,FALSE),"")</f>
        <v>Бараа бэлэн бүтээгдэхүүн БОЛОВСРУУЛАХ ЦЕХ /нарс/</v>
      </c>
      <c r="U449" s="1225"/>
      <c r="V449" s="1216">
        <v>197266.73348549154</v>
      </c>
      <c r="W449" s="326">
        <v>3010</v>
      </c>
      <c r="X449" s="328" t="str">
        <f>IFERROR(VLOOKUP(W449,DATA!$G$4:$H$400,2,FALSE),"")</f>
        <v xml:space="preserve">РЕНДЕР ХХК </v>
      </c>
      <c r="Y449" s="1205"/>
      <c r="Z449" s="1205"/>
      <c r="AA449" s="1205"/>
    </row>
    <row r="450" spans="1:27" ht="12.75" customHeight="1">
      <c r="A450" s="15">
        <v>116</v>
      </c>
      <c r="B450" s="369">
        <f t="shared" si="115"/>
        <v>445</v>
      </c>
      <c r="C450" s="427">
        <v>42874</v>
      </c>
      <c r="D450" s="426"/>
      <c r="E450" s="425" t="str">
        <f t="shared" ca="1" si="123"/>
        <v/>
      </c>
      <c r="F450" s="428" t="str">
        <f t="shared" ca="1" si="117"/>
        <v/>
      </c>
      <c r="G450" s="378"/>
      <c r="H450" s="378"/>
      <c r="I450" s="378"/>
      <c r="J450" s="378"/>
      <c r="K450" s="1220"/>
      <c r="L450" s="378"/>
      <c r="M450" s="378"/>
      <c r="N450" s="378" t="str">
        <f t="shared" si="124"/>
        <v/>
      </c>
      <c r="O450" s="378" t="str">
        <f t="shared" si="119"/>
        <v/>
      </c>
      <c r="P450" s="378" t="str">
        <f t="shared" si="120"/>
        <v/>
      </c>
      <c r="Q450" s="378" t="str">
        <f t="shared" si="121"/>
        <v/>
      </c>
      <c r="R450" s="378" t="str">
        <f t="shared" si="122"/>
        <v/>
      </c>
      <c r="S450" s="602">
        <v>610100</v>
      </c>
      <c r="T450" s="378" t="str">
        <f>+IFERROR(VLOOKUP(S450,STAT1!$C$4:$D$189,2,FALSE),"")</f>
        <v>Борлуулсан барааны өртөг</v>
      </c>
      <c r="U450" s="1216">
        <v>197266.73348549154</v>
      </c>
      <c r="V450" s="1216"/>
      <c r="W450" s="326">
        <v>3010</v>
      </c>
      <c r="X450" s="328" t="str">
        <f>IFERROR(VLOOKUP(W450,DATA!$G$4:$H$400,2,FALSE),"")</f>
        <v xml:space="preserve">РЕНДЕР ХХК </v>
      </c>
      <c r="Y450" s="1205"/>
      <c r="Z450" s="1205"/>
      <c r="AA450" s="1205"/>
    </row>
    <row r="451" spans="1:27" ht="12.75" customHeight="1">
      <c r="A451" s="15">
        <v>116</v>
      </c>
      <c r="B451" s="369">
        <f t="shared" si="115"/>
        <v>446</v>
      </c>
      <c r="C451" s="427">
        <v>42874</v>
      </c>
      <c r="D451" s="426"/>
      <c r="E451" s="425" t="str">
        <f t="shared" ca="1" si="123"/>
        <v/>
      </c>
      <c r="F451" s="428" t="str">
        <f t="shared" ca="1" si="117"/>
        <v/>
      </c>
      <c r="G451" s="378"/>
      <c r="H451" s="378"/>
      <c r="I451" s="378"/>
      <c r="J451" s="378"/>
      <c r="K451" s="1220"/>
      <c r="L451" s="378"/>
      <c r="M451" s="378"/>
      <c r="N451" s="378" t="str">
        <f t="shared" si="124"/>
        <v/>
      </c>
      <c r="O451" s="378" t="str">
        <f t="shared" si="119"/>
        <v/>
      </c>
      <c r="P451" s="378" t="str">
        <f t="shared" si="120"/>
        <v/>
      </c>
      <c r="Q451" s="378" t="str">
        <f t="shared" si="121"/>
        <v/>
      </c>
      <c r="R451" s="378" t="str">
        <f t="shared" si="122"/>
        <v/>
      </c>
      <c r="S451" s="602">
        <v>310500</v>
      </c>
      <c r="T451" s="378" t="str">
        <f>+IFERROR(VLOOKUP(S451,STAT1!$C$4:$D$189,2,FALSE),"")</f>
        <v>НӨАТ өглөг</v>
      </c>
      <c r="U451" s="1225"/>
      <c r="V451" s="1216">
        <v>24000</v>
      </c>
      <c r="W451" s="326">
        <v>3010</v>
      </c>
      <c r="X451" s="328" t="str">
        <f>IFERROR(VLOOKUP(W451,DATA!$G$4:$H$400,2,FALSE),"")</f>
        <v xml:space="preserve">РЕНДЕР ХХК </v>
      </c>
      <c r="Y451" s="1205"/>
      <c r="Z451" s="1205"/>
      <c r="AA451" s="1205"/>
    </row>
    <row r="452" spans="1:27" ht="12.75" customHeight="1">
      <c r="A452" s="15">
        <v>116</v>
      </c>
      <c r="B452" s="369">
        <f t="shared" si="115"/>
        <v>447</v>
      </c>
      <c r="C452" s="427">
        <v>42874</v>
      </c>
      <c r="D452" s="426"/>
      <c r="E452" s="425" t="str">
        <f t="shared" ca="1" si="123"/>
        <v/>
      </c>
      <c r="F452" s="428" t="str">
        <f t="shared" ca="1" si="117"/>
        <v/>
      </c>
      <c r="G452" s="378"/>
      <c r="H452" s="378"/>
      <c r="I452" s="378"/>
      <c r="J452" s="378"/>
      <c r="K452" s="1220"/>
      <c r="L452" s="378"/>
      <c r="M452" s="378"/>
      <c r="N452" s="378" t="str">
        <f t="shared" si="124"/>
        <v/>
      </c>
      <c r="O452" s="378" t="str">
        <f t="shared" si="119"/>
        <v/>
      </c>
      <c r="P452" s="378" t="str">
        <f t="shared" si="120"/>
        <v/>
      </c>
      <c r="Q452" s="378" t="str">
        <f t="shared" si="121"/>
        <v/>
      </c>
      <c r="R452" s="378" t="str">
        <f t="shared" si="122"/>
        <v/>
      </c>
      <c r="S452" s="602">
        <v>510000</v>
      </c>
      <c r="T452" s="378" t="str">
        <f>+IFERROR(VLOOKUP(S452,STAT1!$C$4:$D$189,2,FALSE),"")</f>
        <v>Үндсэн үйл ажиллагааны борлуулалт</v>
      </c>
      <c r="U452" s="1225"/>
      <c r="V452" s="1216">
        <v>240000</v>
      </c>
      <c r="W452" s="326">
        <v>3010</v>
      </c>
      <c r="X452" s="328" t="str">
        <f>IFERROR(VLOOKUP(W452,DATA!$G$4:$H$400,2,FALSE),"")</f>
        <v xml:space="preserve">РЕНДЕР ХХК </v>
      </c>
      <c r="Y452" s="1205"/>
      <c r="Z452" s="1205"/>
      <c r="AA452" s="1205"/>
    </row>
    <row r="453" spans="1:27" ht="12.75" customHeight="1">
      <c r="A453" s="15">
        <v>116</v>
      </c>
      <c r="B453" s="369">
        <f t="shared" si="115"/>
        <v>448</v>
      </c>
      <c r="C453" s="427">
        <v>42874</v>
      </c>
      <c r="D453" s="426"/>
      <c r="E453" s="425" t="str">
        <f t="shared" ca="1" si="123"/>
        <v/>
      </c>
      <c r="F453" s="428" t="str">
        <f t="shared" ca="1" si="117"/>
        <v/>
      </c>
      <c r="G453" s="378"/>
      <c r="H453" s="378"/>
      <c r="I453" s="378"/>
      <c r="J453" s="378"/>
      <c r="K453" s="1220"/>
      <c r="L453" s="378"/>
      <c r="M453" s="378"/>
      <c r="N453" s="378" t="str">
        <f t="shared" si="124"/>
        <v/>
      </c>
      <c r="O453" s="378" t="str">
        <f t="shared" si="119"/>
        <v/>
      </c>
      <c r="P453" s="378" t="str">
        <f t="shared" si="120"/>
        <v/>
      </c>
      <c r="Q453" s="378" t="str">
        <f t="shared" si="121"/>
        <v/>
      </c>
      <c r="R453" s="378" t="str">
        <f t="shared" si="122"/>
        <v/>
      </c>
      <c r="S453" s="602">
        <v>320100</v>
      </c>
      <c r="T453" s="378" t="str">
        <f>+IFERROR(VLOOKUP(S453,STAT1!$C$4:$D$189,2,FALSE),"")</f>
        <v>Урьдчилж орсон орлого MNT</v>
      </c>
      <c r="U453" s="1225">
        <v>264000</v>
      </c>
      <c r="V453" s="1216"/>
      <c r="W453" s="326">
        <v>3010</v>
      </c>
      <c r="X453" s="328" t="str">
        <f>IFERROR(VLOOKUP(W453,DATA!$G$4:$H$400,2,FALSE),"")</f>
        <v xml:space="preserve">РЕНДЕР ХХК </v>
      </c>
      <c r="Y453" s="1205"/>
      <c r="Z453" s="1205"/>
      <c r="AA453" s="1205"/>
    </row>
    <row r="454" spans="1:27" ht="12.75" customHeight="1">
      <c r="A454" s="15">
        <v>117</v>
      </c>
      <c r="B454" s="369">
        <f t="shared" ref="B454:B517" si="125">+IF(C454="","",ROW()-5)</f>
        <v>449</v>
      </c>
      <c r="C454" s="427">
        <v>42874</v>
      </c>
      <c r="D454" s="426">
        <v>211504</v>
      </c>
      <c r="E454" s="425" t="str">
        <f t="shared" ca="1" si="123"/>
        <v xml:space="preserve">Н-Евровагонка /зузаан-1.2см/-яртай </v>
      </c>
      <c r="F454" s="428" t="str">
        <f t="shared" ca="1" si="117"/>
        <v>м2</v>
      </c>
      <c r="G454" s="378"/>
      <c r="H454" s="378"/>
      <c r="I454" s="378"/>
      <c r="J454" s="378"/>
      <c r="K454" s="1220"/>
      <c r="L454" s="378">
        <v>19.16</v>
      </c>
      <c r="M454" s="378">
        <v>18006.262999999999</v>
      </c>
      <c r="N454" s="378">
        <f t="shared" si="124"/>
        <v>344999.99907999998</v>
      </c>
      <c r="O454" s="378">
        <f t="shared" si="119"/>
        <v>34499.999907999998</v>
      </c>
      <c r="P454" s="378">
        <f t="shared" si="120"/>
        <v>379499.99898799998</v>
      </c>
      <c r="Q454" s="378">
        <f t="shared" ca="1" si="121"/>
        <v>10540.117978141456</v>
      </c>
      <c r="R454" s="378">
        <f t="shared" ca="1" si="122"/>
        <v>201948.6604611903</v>
      </c>
      <c r="S454" s="602">
        <v>150101</v>
      </c>
      <c r="T454" s="378" t="str">
        <f>+IFERROR(VLOOKUP(S454,STAT1!$C$4:$D$189,2,FALSE),"")</f>
        <v>Бараа бэлэн бүтээгдэхүүн БОЛОВСРУУЛАХ ЦЕХ /нарс/</v>
      </c>
      <c r="U454" s="1225"/>
      <c r="V454" s="1216">
        <v>201948.6604611903</v>
      </c>
      <c r="W454" s="326">
        <v>3059</v>
      </c>
      <c r="X454" s="328" t="str">
        <f>IFERROR(VLOOKUP(W454,DATA!$G$4:$H$400,2,FALSE),"")</f>
        <v>ЦАМХАГТ АСАР КОНСТРАКШН ХХК</v>
      </c>
      <c r="Y454" s="1205"/>
      <c r="Z454" s="1205"/>
      <c r="AA454" s="1205"/>
    </row>
    <row r="455" spans="1:27" ht="12.75" customHeight="1">
      <c r="A455" s="15">
        <v>117</v>
      </c>
      <c r="B455" s="369">
        <f t="shared" si="125"/>
        <v>450</v>
      </c>
      <c r="C455" s="427">
        <v>42874</v>
      </c>
      <c r="D455" s="426"/>
      <c r="E455" s="425" t="str">
        <f t="shared" ca="1" si="123"/>
        <v/>
      </c>
      <c r="F455" s="428" t="str">
        <f t="shared" ca="1" si="117"/>
        <v/>
      </c>
      <c r="G455" s="378"/>
      <c r="H455" s="378"/>
      <c r="I455" s="378"/>
      <c r="J455" s="378"/>
      <c r="K455" s="1220"/>
      <c r="L455" s="378"/>
      <c r="M455" s="378"/>
      <c r="N455" s="378" t="str">
        <f t="shared" si="124"/>
        <v/>
      </c>
      <c r="O455" s="378" t="str">
        <f t="shared" si="119"/>
        <v/>
      </c>
      <c r="P455" s="378" t="str">
        <f t="shared" si="120"/>
        <v/>
      </c>
      <c r="Q455" s="378" t="str">
        <f t="shared" si="121"/>
        <v/>
      </c>
      <c r="R455" s="378" t="str">
        <f t="shared" si="122"/>
        <v/>
      </c>
      <c r="S455" s="602">
        <v>610100</v>
      </c>
      <c r="T455" s="378" t="str">
        <f>+IFERROR(VLOOKUP(S455,STAT1!$C$4:$D$189,2,FALSE),"")</f>
        <v>Борлуулсан барааны өртөг</v>
      </c>
      <c r="U455" s="1225">
        <v>201948.6604611903</v>
      </c>
      <c r="V455" s="1216"/>
      <c r="W455" s="326">
        <v>3059</v>
      </c>
      <c r="X455" s="328" t="str">
        <f>IFERROR(VLOOKUP(W455,DATA!$G$4:$H$400,2,FALSE),"")</f>
        <v>ЦАМХАГТ АСАР КОНСТРАКШН ХХК</v>
      </c>
      <c r="Y455" s="1205"/>
      <c r="Z455" s="1205"/>
      <c r="AA455" s="1205"/>
    </row>
    <row r="456" spans="1:27" ht="12.75" customHeight="1">
      <c r="A456" s="15">
        <v>117</v>
      </c>
      <c r="B456" s="369">
        <f t="shared" si="125"/>
        <v>451</v>
      </c>
      <c r="C456" s="427">
        <v>42874</v>
      </c>
      <c r="D456" s="426"/>
      <c r="E456" s="425" t="str">
        <f t="shared" ca="1" si="123"/>
        <v/>
      </c>
      <c r="F456" s="428" t="str">
        <f t="shared" ca="1" si="117"/>
        <v/>
      </c>
      <c r="G456" s="378"/>
      <c r="H456" s="378"/>
      <c r="I456" s="378"/>
      <c r="J456" s="378"/>
      <c r="K456" s="1220"/>
      <c r="L456" s="378"/>
      <c r="M456" s="378"/>
      <c r="N456" s="378" t="str">
        <f t="shared" si="124"/>
        <v/>
      </c>
      <c r="O456" s="378" t="str">
        <f t="shared" si="119"/>
        <v/>
      </c>
      <c r="P456" s="378" t="str">
        <f t="shared" si="120"/>
        <v/>
      </c>
      <c r="Q456" s="378" t="str">
        <f t="shared" si="121"/>
        <v/>
      </c>
      <c r="R456" s="378" t="str">
        <f t="shared" si="122"/>
        <v/>
      </c>
      <c r="S456" s="602">
        <v>310500</v>
      </c>
      <c r="T456" s="378" t="str">
        <f>+IFERROR(VLOOKUP(S456,STAT1!$C$4:$D$189,2,FALSE),"")</f>
        <v>НӨАТ өглөг</v>
      </c>
      <c r="U456" s="1225"/>
      <c r="V456" s="1216">
        <v>34499.999907999998</v>
      </c>
      <c r="W456" s="326">
        <v>3059</v>
      </c>
      <c r="X456" s="328" t="str">
        <f>IFERROR(VLOOKUP(W456,DATA!$G$4:$H$400,2,FALSE),"")</f>
        <v>ЦАМХАГТ АСАР КОНСТРАКШН ХХК</v>
      </c>
      <c r="Y456" s="1205"/>
      <c r="Z456" s="1205"/>
      <c r="AA456" s="1205"/>
    </row>
    <row r="457" spans="1:27" ht="12.75" customHeight="1">
      <c r="A457" s="15">
        <v>117</v>
      </c>
      <c r="B457" s="369">
        <f t="shared" si="125"/>
        <v>452</v>
      </c>
      <c r="C457" s="427">
        <v>42874</v>
      </c>
      <c r="D457" s="426"/>
      <c r="E457" s="425" t="str">
        <f t="shared" ca="1" si="123"/>
        <v/>
      </c>
      <c r="F457" s="428" t="str">
        <f t="shared" ca="1" si="117"/>
        <v/>
      </c>
      <c r="G457" s="378"/>
      <c r="H457" s="378"/>
      <c r="I457" s="378"/>
      <c r="J457" s="378"/>
      <c r="K457" s="1220"/>
      <c r="L457" s="378"/>
      <c r="M457" s="378"/>
      <c r="N457" s="378" t="str">
        <f t="shared" si="124"/>
        <v/>
      </c>
      <c r="O457" s="378" t="str">
        <f t="shared" si="119"/>
        <v/>
      </c>
      <c r="P457" s="378" t="str">
        <f t="shared" si="120"/>
        <v/>
      </c>
      <c r="Q457" s="378" t="str">
        <f t="shared" si="121"/>
        <v/>
      </c>
      <c r="R457" s="378" t="str">
        <f t="shared" si="122"/>
        <v/>
      </c>
      <c r="S457" s="602">
        <v>510000</v>
      </c>
      <c r="T457" s="378" t="str">
        <f>+IFERROR(VLOOKUP(S457,STAT1!$C$4:$D$189,2,FALSE),"")</f>
        <v>Үндсэн үйл ажиллагааны борлуулалт</v>
      </c>
      <c r="U457" s="1225"/>
      <c r="V457" s="1216">
        <v>344999.99907999998</v>
      </c>
      <c r="W457" s="326">
        <v>3059</v>
      </c>
      <c r="X457" s="328" t="str">
        <f>IFERROR(VLOOKUP(W457,DATA!$G$4:$H$400,2,FALSE),"")</f>
        <v>ЦАМХАГТ АСАР КОНСТРАКШН ХХК</v>
      </c>
      <c r="Y457" s="1205"/>
      <c r="Z457" s="1205"/>
      <c r="AA457" s="1205"/>
    </row>
    <row r="458" spans="1:27" ht="12.75" customHeight="1">
      <c r="A458" s="15">
        <v>117</v>
      </c>
      <c r="B458" s="369">
        <f t="shared" si="125"/>
        <v>453</v>
      </c>
      <c r="C458" s="427">
        <v>42874</v>
      </c>
      <c r="D458" s="426"/>
      <c r="E458" s="425" t="str">
        <f t="shared" ca="1" si="123"/>
        <v/>
      </c>
      <c r="F458" s="428" t="str">
        <f t="shared" ca="1" si="117"/>
        <v/>
      </c>
      <c r="G458" s="378"/>
      <c r="H458" s="378"/>
      <c r="I458" s="378"/>
      <c r="J458" s="378"/>
      <c r="K458" s="1220"/>
      <c r="L458" s="378"/>
      <c r="M458" s="378"/>
      <c r="N458" s="378" t="str">
        <f t="shared" si="124"/>
        <v/>
      </c>
      <c r="O458" s="378" t="str">
        <f t="shared" si="119"/>
        <v/>
      </c>
      <c r="P458" s="378" t="str">
        <f t="shared" si="120"/>
        <v/>
      </c>
      <c r="Q458" s="378" t="str">
        <f t="shared" si="121"/>
        <v/>
      </c>
      <c r="R458" s="378" t="str">
        <f t="shared" si="122"/>
        <v/>
      </c>
      <c r="S458" s="602">
        <v>320100</v>
      </c>
      <c r="T458" s="378" t="str">
        <f>+IFERROR(VLOOKUP(S458,STAT1!$C$4:$D$189,2,FALSE),"")</f>
        <v>Урьдчилж орсон орлого MNT</v>
      </c>
      <c r="U458" s="1225">
        <v>379499.99898799998</v>
      </c>
      <c r="V458" s="1216"/>
      <c r="W458" s="326">
        <v>3059</v>
      </c>
      <c r="X458" s="328" t="str">
        <f>IFERROR(VLOOKUP(W458,DATA!$G$4:$H$400,2,FALSE),"")</f>
        <v>ЦАМХАГТ АСАР КОНСТРАКШН ХХК</v>
      </c>
      <c r="Y458" s="1205"/>
      <c r="Z458" s="1205"/>
      <c r="AA458" s="1205"/>
    </row>
    <row r="459" spans="1:27" ht="12.75" customHeight="1">
      <c r="A459" s="15">
        <v>118</v>
      </c>
      <c r="B459" s="369">
        <f t="shared" si="125"/>
        <v>454</v>
      </c>
      <c r="C459" s="427">
        <v>42877</v>
      </c>
      <c r="D459" s="426">
        <v>211504</v>
      </c>
      <c r="E459" s="425" t="str">
        <f t="shared" ca="1" si="123"/>
        <v xml:space="preserve">Н-Евровагонка /зузаан-1.2см/-яртай </v>
      </c>
      <c r="F459" s="428" t="str">
        <f t="shared" ca="1" si="117"/>
        <v>м2</v>
      </c>
      <c r="G459" s="378"/>
      <c r="H459" s="378"/>
      <c r="I459" s="378"/>
      <c r="J459" s="378"/>
      <c r="K459" s="1220"/>
      <c r="L459" s="378">
        <v>4.4400000000000004</v>
      </c>
      <c r="M459" s="378">
        <v>18018.018</v>
      </c>
      <c r="N459" s="378">
        <f t="shared" si="124"/>
        <v>79999.999920000002</v>
      </c>
      <c r="O459" s="378">
        <f t="shared" si="119"/>
        <v>7999.9999920000009</v>
      </c>
      <c r="P459" s="378">
        <f t="shared" si="120"/>
        <v>87999.999911999999</v>
      </c>
      <c r="Q459" s="378">
        <f t="shared" ca="1" si="121"/>
        <v>10540.117978141456</v>
      </c>
      <c r="R459" s="378">
        <f t="shared" ca="1" si="122"/>
        <v>46798.123822948066</v>
      </c>
      <c r="S459" s="602">
        <v>150101</v>
      </c>
      <c r="T459" s="378" t="str">
        <f>+IFERROR(VLOOKUP(S459,STAT1!$C$4:$D$189,2,FALSE),"")</f>
        <v>Бараа бэлэн бүтээгдэхүүн БОЛОВСРУУЛАХ ЦЕХ /нарс/</v>
      </c>
      <c r="U459" s="1225"/>
      <c r="V459" s="1216">
        <v>46798.123822948066</v>
      </c>
      <c r="W459" s="326">
        <v>3045</v>
      </c>
      <c r="X459" s="328" t="str">
        <f>IFERROR(VLOOKUP(W459,DATA!$G$4:$H$400,2,FALSE),"")</f>
        <v xml:space="preserve">МОНГОЛ ИДЕАЛ ХХК </v>
      </c>
      <c r="Y459" s="1205"/>
      <c r="Z459" s="1205"/>
      <c r="AA459" s="1205"/>
    </row>
    <row r="460" spans="1:27" ht="12.75" customHeight="1">
      <c r="A460" s="15">
        <v>118</v>
      </c>
      <c r="B460" s="369">
        <f t="shared" si="125"/>
        <v>455</v>
      </c>
      <c r="C460" s="427">
        <v>42877</v>
      </c>
      <c r="D460" s="426"/>
      <c r="E460" s="425" t="str">
        <f t="shared" ca="1" si="123"/>
        <v/>
      </c>
      <c r="F460" s="428" t="str">
        <f t="shared" ca="1" si="117"/>
        <v/>
      </c>
      <c r="G460" s="378"/>
      <c r="H460" s="378"/>
      <c r="I460" s="378"/>
      <c r="J460" s="378"/>
      <c r="K460" s="1220"/>
      <c r="L460" s="378"/>
      <c r="M460" s="378"/>
      <c r="N460" s="378" t="str">
        <f t="shared" si="124"/>
        <v/>
      </c>
      <c r="O460" s="378" t="str">
        <f t="shared" si="119"/>
        <v/>
      </c>
      <c r="P460" s="378" t="str">
        <f t="shared" si="120"/>
        <v/>
      </c>
      <c r="Q460" s="378" t="str">
        <f t="shared" si="121"/>
        <v/>
      </c>
      <c r="R460" s="378" t="str">
        <f t="shared" si="122"/>
        <v/>
      </c>
      <c r="S460" s="602">
        <v>610100</v>
      </c>
      <c r="T460" s="378" t="str">
        <f>+IFERROR(VLOOKUP(S460,STAT1!$C$4:$D$189,2,FALSE),"")</f>
        <v>Борлуулсан барааны өртөг</v>
      </c>
      <c r="U460" s="1216">
        <v>46798.123822948066</v>
      </c>
      <c r="V460" s="1216"/>
      <c r="W460" s="326">
        <v>3045</v>
      </c>
      <c r="X460" s="328" t="str">
        <f>IFERROR(VLOOKUP(W460,DATA!$G$4:$H$400,2,FALSE),"")</f>
        <v xml:space="preserve">МОНГОЛ ИДЕАЛ ХХК </v>
      </c>
      <c r="Y460" s="1205"/>
      <c r="Z460" s="1205"/>
      <c r="AA460" s="1205"/>
    </row>
    <row r="461" spans="1:27" ht="12.75" customHeight="1">
      <c r="A461" s="15">
        <v>118</v>
      </c>
      <c r="B461" s="369">
        <f t="shared" si="125"/>
        <v>456</v>
      </c>
      <c r="C461" s="427">
        <v>42877</v>
      </c>
      <c r="D461" s="426"/>
      <c r="E461" s="425" t="str">
        <f t="shared" ca="1" si="123"/>
        <v/>
      </c>
      <c r="F461" s="428" t="str">
        <f t="shared" ca="1" si="117"/>
        <v/>
      </c>
      <c r="G461" s="378"/>
      <c r="H461" s="378"/>
      <c r="I461" s="378"/>
      <c r="J461" s="378"/>
      <c r="K461" s="1220"/>
      <c r="L461" s="378"/>
      <c r="M461" s="378"/>
      <c r="N461" s="378" t="str">
        <f t="shared" si="124"/>
        <v/>
      </c>
      <c r="O461" s="378" t="str">
        <f t="shared" si="119"/>
        <v/>
      </c>
      <c r="P461" s="378" t="str">
        <f t="shared" si="120"/>
        <v/>
      </c>
      <c r="Q461" s="378" t="str">
        <f t="shared" si="121"/>
        <v/>
      </c>
      <c r="R461" s="378" t="str">
        <f t="shared" si="122"/>
        <v/>
      </c>
      <c r="S461" s="602">
        <v>310500</v>
      </c>
      <c r="T461" s="378" t="str">
        <f>+IFERROR(VLOOKUP(S461,STAT1!$C$4:$D$189,2,FALSE),"")</f>
        <v>НӨАТ өглөг</v>
      </c>
      <c r="U461" s="1225"/>
      <c r="V461" s="1216">
        <v>7999.9999920000009</v>
      </c>
      <c r="W461" s="326">
        <v>3045</v>
      </c>
      <c r="X461" s="328" t="str">
        <f>IFERROR(VLOOKUP(W461,DATA!$G$4:$H$400,2,FALSE),"")</f>
        <v xml:space="preserve">МОНГОЛ ИДЕАЛ ХХК </v>
      </c>
      <c r="Y461" s="1205"/>
      <c r="Z461" s="1205"/>
      <c r="AA461" s="1205"/>
    </row>
    <row r="462" spans="1:27" ht="12.75" customHeight="1">
      <c r="A462" s="15">
        <v>118</v>
      </c>
      <c r="B462" s="369">
        <f t="shared" si="125"/>
        <v>457</v>
      </c>
      <c r="C462" s="427">
        <v>42877</v>
      </c>
      <c r="D462" s="426"/>
      <c r="E462" s="425" t="str">
        <f t="shared" ref="E462:E493" ca="1" si="126">+IFERROR(VLOOKUP(D462,TN_table,2,FALSE),"")</f>
        <v/>
      </c>
      <c r="F462" s="428" t="str">
        <f t="shared" ref="F462:F525" ca="1" si="127">+IFERROR(VLOOKUP(D462,TN_table,3,FALSE),"")</f>
        <v/>
      </c>
      <c r="G462" s="378"/>
      <c r="H462" s="378"/>
      <c r="I462" s="378"/>
      <c r="J462" s="378"/>
      <c r="K462" s="1220"/>
      <c r="L462" s="378"/>
      <c r="M462" s="378"/>
      <c r="N462" s="378" t="str">
        <f t="shared" ref="N462:N493" si="128">+IF(L462="","",L462*M462)</f>
        <v/>
      </c>
      <c r="O462" s="378" t="str">
        <f t="shared" ref="O462:O525" si="129">+IF(L462="","",N462*0.1)</f>
        <v/>
      </c>
      <c r="P462" s="378" t="str">
        <f t="shared" ref="P462:P525" si="130">+IF(L462="","",N462+O462)</f>
        <v/>
      </c>
      <c r="Q462" s="378" t="str">
        <f t="shared" ref="Q462:Q525" si="131">IF(L462="","",IFERROR((SUMIFS(TN_balC1_totol,TN_code,D462)+SUMIFS(RC_or_totol,RC_Code,D462,RC_date,"&lt;="&amp;C462)-SUMIFS(RC_zar_totol,RC_Code,D462,RC_date,"&lt;"&amp;C462)) /( SUMIFS(TN_balC1_unit,TN_code,D462)+SUMIFS(RC_or_unit,RC_Code,D462,RC_date,"&lt;="&amp;C462)-SUMIFS(RC_zar_unit,RC_Code,D462,RC_date,"&lt;"&amp;C462)),0 ))</f>
        <v/>
      </c>
      <c r="R462" s="378" t="str">
        <f t="shared" ref="R462:R525" si="132">+IF(L462="","",L462*Q462)</f>
        <v/>
      </c>
      <c r="S462" s="602">
        <v>510000</v>
      </c>
      <c r="T462" s="378" t="str">
        <f>+IFERROR(VLOOKUP(S462,STAT1!$C$4:$D$189,2,FALSE),"")</f>
        <v>Үндсэн үйл ажиллагааны борлуулалт</v>
      </c>
      <c r="U462" s="1225"/>
      <c r="V462" s="1216">
        <v>79999.999920000002</v>
      </c>
      <c r="W462" s="326">
        <v>3045</v>
      </c>
      <c r="X462" s="328" t="str">
        <f>IFERROR(VLOOKUP(W462,DATA!$G$4:$H$400,2,FALSE),"")</f>
        <v xml:space="preserve">МОНГОЛ ИДЕАЛ ХХК </v>
      </c>
      <c r="Y462" s="1205"/>
      <c r="Z462" s="1205"/>
      <c r="AA462" s="1205"/>
    </row>
    <row r="463" spans="1:27" ht="12.75" customHeight="1">
      <c r="A463" s="15">
        <v>118</v>
      </c>
      <c r="B463" s="369">
        <f t="shared" si="125"/>
        <v>458</v>
      </c>
      <c r="C463" s="427">
        <v>42877</v>
      </c>
      <c r="D463" s="426"/>
      <c r="E463" s="425" t="str">
        <f t="shared" ca="1" si="126"/>
        <v/>
      </c>
      <c r="F463" s="428" t="str">
        <f t="shared" ca="1" si="127"/>
        <v/>
      </c>
      <c r="G463" s="378"/>
      <c r="H463" s="378"/>
      <c r="I463" s="378"/>
      <c r="J463" s="378"/>
      <c r="K463" s="1220"/>
      <c r="L463" s="378"/>
      <c r="M463" s="378"/>
      <c r="N463" s="378" t="str">
        <f t="shared" si="128"/>
        <v/>
      </c>
      <c r="O463" s="378" t="str">
        <f t="shared" si="129"/>
        <v/>
      </c>
      <c r="P463" s="378" t="str">
        <f t="shared" si="130"/>
        <v/>
      </c>
      <c r="Q463" s="378" t="str">
        <f t="shared" si="131"/>
        <v/>
      </c>
      <c r="R463" s="378" t="str">
        <f t="shared" si="132"/>
        <v/>
      </c>
      <c r="S463" s="602">
        <v>320100</v>
      </c>
      <c r="T463" s="378" t="str">
        <f>+IFERROR(VLOOKUP(S463,STAT1!$C$4:$D$189,2,FALSE),"")</f>
        <v>Урьдчилж орсон орлого MNT</v>
      </c>
      <c r="U463" s="1225">
        <v>87999.999911999999</v>
      </c>
      <c r="V463" s="1216"/>
      <c r="W463" s="326">
        <v>3045</v>
      </c>
      <c r="X463" s="328" t="str">
        <f>IFERROR(VLOOKUP(W463,DATA!$G$4:$H$400,2,FALSE),"")</f>
        <v xml:space="preserve">МОНГОЛ ИДЕАЛ ХХК </v>
      </c>
      <c r="Y463" s="1205"/>
      <c r="Z463" s="1205"/>
      <c r="AA463" s="1205"/>
    </row>
    <row r="464" spans="1:27" ht="12.75" customHeight="1">
      <c r="A464" s="15">
        <v>119</v>
      </c>
      <c r="B464" s="369">
        <f t="shared" si="125"/>
        <v>459</v>
      </c>
      <c r="C464" s="427">
        <v>42878</v>
      </c>
      <c r="D464" s="426">
        <v>211710</v>
      </c>
      <c r="E464" s="425" t="str">
        <f t="shared" ca="1" si="126"/>
        <v xml:space="preserve">Н-Хавтан /зузаан-3см/-яртай </v>
      </c>
      <c r="F464" s="428" t="str">
        <f t="shared" ca="1" si="127"/>
        <v>м2</v>
      </c>
      <c r="G464" s="378"/>
      <c r="H464" s="378"/>
      <c r="I464" s="378"/>
      <c r="J464" s="378"/>
      <c r="K464" s="1220"/>
      <c r="L464" s="378">
        <v>24</v>
      </c>
      <c r="M464" s="378">
        <v>40000</v>
      </c>
      <c r="N464" s="378">
        <f t="shared" si="128"/>
        <v>960000</v>
      </c>
      <c r="O464" s="378">
        <f t="shared" si="129"/>
        <v>96000</v>
      </c>
      <c r="P464" s="378">
        <f t="shared" si="130"/>
        <v>1056000</v>
      </c>
      <c r="Q464" s="378">
        <f t="shared" ca="1" si="131"/>
        <v>32877.788914248587</v>
      </c>
      <c r="R464" s="378">
        <f t="shared" ca="1" si="132"/>
        <v>789066.93394196616</v>
      </c>
      <c r="S464" s="602">
        <v>150101</v>
      </c>
      <c r="T464" s="378" t="str">
        <f>+IFERROR(VLOOKUP(S464,STAT1!$C$4:$D$189,2,FALSE),"")</f>
        <v>Бараа бэлэн бүтээгдэхүүн БОЛОВСРУУЛАХ ЦЕХ /нарс/</v>
      </c>
      <c r="U464" s="1225"/>
      <c r="V464" s="1216">
        <v>789066.93394196616</v>
      </c>
      <c r="W464" s="326">
        <v>3060</v>
      </c>
      <c r="X464" s="328" t="str">
        <f>IFERROR(VLOOKUP(W464,DATA!$G$4:$H$400,2,FALSE),"")</f>
        <v>САУНД ОФ МОНГОЛИЯ ХХК</v>
      </c>
      <c r="Y464" s="1205"/>
      <c r="Z464" s="1205"/>
      <c r="AA464" s="1205"/>
    </row>
    <row r="465" spans="1:27" ht="12.75" customHeight="1">
      <c r="A465" s="15">
        <v>119</v>
      </c>
      <c r="B465" s="369">
        <f t="shared" si="125"/>
        <v>460</v>
      </c>
      <c r="C465" s="427">
        <v>42878</v>
      </c>
      <c r="D465" s="426"/>
      <c r="E465" s="425" t="str">
        <f t="shared" ca="1" si="126"/>
        <v/>
      </c>
      <c r="F465" s="428" t="str">
        <f t="shared" ca="1" si="127"/>
        <v/>
      </c>
      <c r="G465" s="378"/>
      <c r="H465" s="378"/>
      <c r="I465" s="378"/>
      <c r="J465" s="378"/>
      <c r="K465" s="1220"/>
      <c r="L465" s="378"/>
      <c r="M465" s="378"/>
      <c r="N465" s="378" t="str">
        <f t="shared" si="128"/>
        <v/>
      </c>
      <c r="O465" s="378" t="str">
        <f t="shared" si="129"/>
        <v/>
      </c>
      <c r="P465" s="378" t="str">
        <f t="shared" si="130"/>
        <v/>
      </c>
      <c r="Q465" s="378" t="str">
        <f t="shared" si="131"/>
        <v/>
      </c>
      <c r="R465" s="378" t="str">
        <f t="shared" si="132"/>
        <v/>
      </c>
      <c r="S465" s="602">
        <v>610100</v>
      </c>
      <c r="T465" s="378" t="str">
        <f>+IFERROR(VLOOKUP(S465,STAT1!$C$4:$D$189,2,FALSE),"")</f>
        <v>Борлуулсан барааны өртөг</v>
      </c>
      <c r="U465" s="1216">
        <v>789066.93394196616</v>
      </c>
      <c r="V465" s="1216"/>
      <c r="W465" s="326">
        <v>3060</v>
      </c>
      <c r="X465" s="328" t="str">
        <f>IFERROR(VLOOKUP(W465,DATA!$G$4:$H$400,2,FALSE),"")</f>
        <v>САУНД ОФ МОНГОЛИЯ ХХК</v>
      </c>
      <c r="Y465" s="1205"/>
      <c r="Z465" s="1205"/>
      <c r="AA465" s="1205"/>
    </row>
    <row r="466" spans="1:27" ht="12.75" customHeight="1">
      <c r="A466" s="15">
        <v>119</v>
      </c>
      <c r="B466" s="369">
        <f t="shared" si="125"/>
        <v>461</v>
      </c>
      <c r="C466" s="427">
        <v>42878</v>
      </c>
      <c r="D466" s="426"/>
      <c r="E466" s="425" t="str">
        <f t="shared" ca="1" si="126"/>
        <v/>
      </c>
      <c r="F466" s="428" t="str">
        <f t="shared" ca="1" si="127"/>
        <v/>
      </c>
      <c r="G466" s="378"/>
      <c r="H466" s="378"/>
      <c r="I466" s="378"/>
      <c r="J466" s="378"/>
      <c r="K466" s="1220"/>
      <c r="L466" s="378"/>
      <c r="M466" s="378"/>
      <c r="N466" s="378" t="str">
        <f t="shared" si="128"/>
        <v/>
      </c>
      <c r="O466" s="378" t="str">
        <f t="shared" si="129"/>
        <v/>
      </c>
      <c r="P466" s="378" t="str">
        <f t="shared" si="130"/>
        <v/>
      </c>
      <c r="Q466" s="378" t="str">
        <f t="shared" si="131"/>
        <v/>
      </c>
      <c r="R466" s="378" t="str">
        <f t="shared" si="132"/>
        <v/>
      </c>
      <c r="S466" s="602">
        <v>310500</v>
      </c>
      <c r="T466" s="378" t="str">
        <f>+IFERROR(VLOOKUP(S466,STAT1!$C$4:$D$189,2,FALSE),"")</f>
        <v>НӨАТ өглөг</v>
      </c>
      <c r="U466" s="1225"/>
      <c r="V466" s="1216">
        <v>96000</v>
      </c>
      <c r="W466" s="326">
        <v>3060</v>
      </c>
      <c r="X466" s="328" t="str">
        <f>IFERROR(VLOOKUP(W466,DATA!$G$4:$H$400,2,FALSE),"")</f>
        <v>САУНД ОФ МОНГОЛИЯ ХХК</v>
      </c>
      <c r="Y466" s="1205"/>
      <c r="Z466" s="1205"/>
      <c r="AA466" s="1205"/>
    </row>
    <row r="467" spans="1:27" ht="12.75" customHeight="1">
      <c r="A467" s="15">
        <v>119</v>
      </c>
      <c r="B467" s="369">
        <f t="shared" si="125"/>
        <v>462</v>
      </c>
      <c r="C467" s="427">
        <v>42878</v>
      </c>
      <c r="D467" s="426"/>
      <c r="E467" s="425" t="str">
        <f t="shared" ca="1" si="126"/>
        <v/>
      </c>
      <c r="F467" s="428" t="str">
        <f t="shared" ca="1" si="127"/>
        <v/>
      </c>
      <c r="G467" s="378"/>
      <c r="H467" s="378"/>
      <c r="I467" s="378"/>
      <c r="J467" s="378"/>
      <c r="K467" s="1220"/>
      <c r="L467" s="378"/>
      <c r="M467" s="378"/>
      <c r="N467" s="378" t="str">
        <f t="shared" si="128"/>
        <v/>
      </c>
      <c r="O467" s="378" t="str">
        <f t="shared" si="129"/>
        <v/>
      </c>
      <c r="P467" s="378" t="str">
        <f t="shared" si="130"/>
        <v/>
      </c>
      <c r="Q467" s="378" t="str">
        <f t="shared" si="131"/>
        <v/>
      </c>
      <c r="R467" s="378" t="str">
        <f t="shared" si="132"/>
        <v/>
      </c>
      <c r="S467" s="602">
        <v>510000</v>
      </c>
      <c r="T467" s="378" t="str">
        <f>+IFERROR(VLOOKUP(S467,STAT1!$C$4:$D$189,2,FALSE),"")</f>
        <v>Үндсэн үйл ажиллагааны борлуулалт</v>
      </c>
      <c r="U467" s="1225"/>
      <c r="V467" s="1216">
        <v>960000</v>
      </c>
      <c r="W467" s="326">
        <v>3060</v>
      </c>
      <c r="X467" s="328" t="str">
        <f>IFERROR(VLOOKUP(W467,DATA!$G$4:$H$400,2,FALSE),"")</f>
        <v>САУНД ОФ МОНГОЛИЯ ХХК</v>
      </c>
      <c r="Y467" s="1205"/>
      <c r="Z467" s="1205"/>
      <c r="AA467" s="1205"/>
    </row>
    <row r="468" spans="1:27" ht="12.75" customHeight="1">
      <c r="A468" s="15">
        <v>119</v>
      </c>
      <c r="B468" s="369">
        <f t="shared" si="125"/>
        <v>463</v>
      </c>
      <c r="C468" s="427">
        <v>42878</v>
      </c>
      <c r="D468" s="426"/>
      <c r="E468" s="425" t="str">
        <f t="shared" ca="1" si="126"/>
        <v/>
      </c>
      <c r="F468" s="428" t="str">
        <f t="shared" ca="1" si="127"/>
        <v/>
      </c>
      <c r="G468" s="378"/>
      <c r="H468" s="378"/>
      <c r="I468" s="378"/>
      <c r="J468" s="378"/>
      <c r="K468" s="1220"/>
      <c r="L468" s="378"/>
      <c r="M468" s="378"/>
      <c r="N468" s="378" t="str">
        <f t="shared" si="128"/>
        <v/>
      </c>
      <c r="O468" s="378" t="str">
        <f t="shared" si="129"/>
        <v/>
      </c>
      <c r="P468" s="378" t="str">
        <f t="shared" si="130"/>
        <v/>
      </c>
      <c r="Q468" s="378" t="str">
        <f t="shared" si="131"/>
        <v/>
      </c>
      <c r="R468" s="378" t="str">
        <f t="shared" si="132"/>
        <v/>
      </c>
      <c r="S468" s="602">
        <v>320100</v>
      </c>
      <c r="T468" s="378" t="str">
        <f>+IFERROR(VLOOKUP(S468,STAT1!$C$4:$D$189,2,FALSE),"")</f>
        <v>Урьдчилж орсон орлого MNT</v>
      </c>
      <c r="U468" s="1225">
        <v>1056000</v>
      </c>
      <c r="V468" s="1216"/>
      <c r="W468" s="326">
        <v>3060</v>
      </c>
      <c r="X468" s="328" t="str">
        <f>IFERROR(VLOOKUP(W468,DATA!$G$4:$H$400,2,FALSE),"")</f>
        <v>САУНД ОФ МОНГОЛИЯ ХХК</v>
      </c>
      <c r="Y468" s="1205"/>
      <c r="Z468" s="1205"/>
      <c r="AA468" s="1205"/>
    </row>
    <row r="469" spans="1:27" ht="12.75" customHeight="1">
      <c r="A469" s="15">
        <v>120</v>
      </c>
      <c r="B469" s="369">
        <f t="shared" si="125"/>
        <v>464</v>
      </c>
      <c r="C469" s="427">
        <v>42879</v>
      </c>
      <c r="D469" s="426">
        <v>211710</v>
      </c>
      <c r="E469" s="425" t="str">
        <f t="shared" ca="1" si="126"/>
        <v xml:space="preserve">Н-Хавтан /зузаан-3см/-яртай </v>
      </c>
      <c r="F469" s="428" t="str">
        <f t="shared" ca="1" si="127"/>
        <v>м2</v>
      </c>
      <c r="G469" s="378"/>
      <c r="H469" s="378"/>
      <c r="I469" s="378"/>
      <c r="J469" s="378"/>
      <c r="K469" s="1220"/>
      <c r="L469" s="378">
        <v>5.5</v>
      </c>
      <c r="M469" s="378">
        <v>40000</v>
      </c>
      <c r="N469" s="378">
        <f t="shared" si="128"/>
        <v>220000</v>
      </c>
      <c r="O469" s="378">
        <f t="shared" si="129"/>
        <v>22000</v>
      </c>
      <c r="P469" s="378">
        <f t="shared" si="130"/>
        <v>242000</v>
      </c>
      <c r="Q469" s="378">
        <f t="shared" ca="1" si="131"/>
        <v>32877.788914248587</v>
      </c>
      <c r="R469" s="378">
        <f t="shared" ca="1" si="132"/>
        <v>180827.83902836722</v>
      </c>
      <c r="S469" s="602">
        <v>150101</v>
      </c>
      <c r="T469" s="378" t="str">
        <f>+IFERROR(VLOOKUP(S469,STAT1!$C$4:$D$189,2,FALSE),"")</f>
        <v>Бараа бэлэн бүтээгдэхүүн БОЛОВСРУУЛАХ ЦЕХ /нарс/</v>
      </c>
      <c r="U469" s="1225"/>
      <c r="V469" s="1216">
        <v>180827.83902836722</v>
      </c>
      <c r="W469" s="326">
        <v>3043</v>
      </c>
      <c r="X469" s="328" t="str">
        <f>IFERROR(VLOOKUP(W469,DATA!$G$4:$H$400,2,FALSE),"")</f>
        <v xml:space="preserve">ДЕКОР ВҮҮД ХХК </v>
      </c>
      <c r="Y469" s="1205"/>
      <c r="Z469" s="1205"/>
      <c r="AA469" s="1205"/>
    </row>
    <row r="470" spans="1:27" ht="12.75" customHeight="1">
      <c r="A470" s="15">
        <v>120</v>
      </c>
      <c r="B470" s="369">
        <f t="shared" si="125"/>
        <v>465</v>
      </c>
      <c r="C470" s="427">
        <v>42879</v>
      </c>
      <c r="D470" s="426"/>
      <c r="E470" s="425" t="str">
        <f t="shared" ca="1" si="126"/>
        <v/>
      </c>
      <c r="F470" s="428" t="str">
        <f t="shared" ca="1" si="127"/>
        <v/>
      </c>
      <c r="G470" s="378"/>
      <c r="H470" s="378"/>
      <c r="I470" s="378"/>
      <c r="J470" s="378"/>
      <c r="K470" s="1220"/>
      <c r="L470" s="378"/>
      <c r="M470" s="378"/>
      <c r="N470" s="378" t="str">
        <f t="shared" si="128"/>
        <v/>
      </c>
      <c r="O470" s="378" t="str">
        <f t="shared" si="129"/>
        <v/>
      </c>
      <c r="P470" s="378" t="str">
        <f t="shared" si="130"/>
        <v/>
      </c>
      <c r="Q470" s="378" t="str">
        <f t="shared" si="131"/>
        <v/>
      </c>
      <c r="R470" s="378" t="str">
        <f t="shared" si="132"/>
        <v/>
      </c>
      <c r="S470" s="602">
        <v>610100</v>
      </c>
      <c r="T470" s="378" t="str">
        <f>+IFERROR(VLOOKUP(S470,STAT1!$C$4:$D$189,2,FALSE),"")</f>
        <v>Борлуулсан барааны өртөг</v>
      </c>
      <c r="U470" s="1216">
        <v>180827.83902836722</v>
      </c>
      <c r="V470" s="1216"/>
      <c r="W470" s="326">
        <v>3043</v>
      </c>
      <c r="X470" s="328" t="str">
        <f>IFERROR(VLOOKUP(W470,DATA!$G$4:$H$400,2,FALSE),"")</f>
        <v xml:space="preserve">ДЕКОР ВҮҮД ХХК </v>
      </c>
      <c r="Y470" s="1205"/>
      <c r="Z470" s="1205"/>
      <c r="AA470" s="1205"/>
    </row>
    <row r="471" spans="1:27" ht="12.75" customHeight="1">
      <c r="A471" s="15">
        <v>120</v>
      </c>
      <c r="B471" s="369">
        <f t="shared" si="125"/>
        <v>466</v>
      </c>
      <c r="C471" s="427">
        <v>42879</v>
      </c>
      <c r="D471" s="426"/>
      <c r="E471" s="425" t="str">
        <f t="shared" ca="1" si="126"/>
        <v/>
      </c>
      <c r="F471" s="428" t="str">
        <f t="shared" ca="1" si="127"/>
        <v/>
      </c>
      <c r="G471" s="378"/>
      <c r="H471" s="378"/>
      <c r="I471" s="378"/>
      <c r="J471" s="378"/>
      <c r="K471" s="1220"/>
      <c r="L471" s="378"/>
      <c r="M471" s="378"/>
      <c r="N471" s="378" t="str">
        <f t="shared" si="128"/>
        <v/>
      </c>
      <c r="O471" s="378" t="str">
        <f t="shared" si="129"/>
        <v/>
      </c>
      <c r="P471" s="378" t="str">
        <f t="shared" si="130"/>
        <v/>
      </c>
      <c r="Q471" s="378" t="str">
        <f t="shared" si="131"/>
        <v/>
      </c>
      <c r="R471" s="378" t="str">
        <f t="shared" si="132"/>
        <v/>
      </c>
      <c r="S471" s="602">
        <v>310500</v>
      </c>
      <c r="T471" s="378" t="str">
        <f>+IFERROR(VLOOKUP(S471,STAT1!$C$4:$D$189,2,FALSE),"")</f>
        <v>НӨАТ өглөг</v>
      </c>
      <c r="U471" s="1225"/>
      <c r="V471" s="1216">
        <v>22000</v>
      </c>
      <c r="W471" s="326">
        <v>3043</v>
      </c>
      <c r="X471" s="328" t="str">
        <f>IFERROR(VLOOKUP(W471,DATA!$G$4:$H$400,2,FALSE),"")</f>
        <v xml:space="preserve">ДЕКОР ВҮҮД ХХК </v>
      </c>
      <c r="Y471" s="1205"/>
      <c r="Z471" s="1205"/>
      <c r="AA471" s="1205"/>
    </row>
    <row r="472" spans="1:27" ht="12.75" customHeight="1">
      <c r="A472" s="15">
        <v>120</v>
      </c>
      <c r="B472" s="369">
        <f t="shared" si="125"/>
        <v>467</v>
      </c>
      <c r="C472" s="427">
        <v>42879</v>
      </c>
      <c r="D472" s="426"/>
      <c r="E472" s="425" t="str">
        <f t="shared" ca="1" si="126"/>
        <v/>
      </c>
      <c r="F472" s="428" t="str">
        <f t="shared" ca="1" si="127"/>
        <v/>
      </c>
      <c r="G472" s="378"/>
      <c r="H472" s="378"/>
      <c r="I472" s="378"/>
      <c r="J472" s="378"/>
      <c r="K472" s="1220"/>
      <c r="L472" s="378"/>
      <c r="M472" s="378"/>
      <c r="N472" s="378" t="str">
        <f t="shared" si="128"/>
        <v/>
      </c>
      <c r="O472" s="378" t="str">
        <f t="shared" si="129"/>
        <v/>
      </c>
      <c r="P472" s="378" t="str">
        <f t="shared" si="130"/>
        <v/>
      </c>
      <c r="Q472" s="378" t="str">
        <f t="shared" si="131"/>
        <v/>
      </c>
      <c r="R472" s="378" t="str">
        <f t="shared" si="132"/>
        <v/>
      </c>
      <c r="S472" s="602">
        <v>510000</v>
      </c>
      <c r="T472" s="378" t="str">
        <f>+IFERROR(VLOOKUP(S472,STAT1!$C$4:$D$189,2,FALSE),"")</f>
        <v>Үндсэн үйл ажиллагааны борлуулалт</v>
      </c>
      <c r="U472" s="1225"/>
      <c r="V472" s="1216">
        <v>220000</v>
      </c>
      <c r="W472" s="326">
        <v>3043</v>
      </c>
      <c r="X472" s="328" t="str">
        <f>IFERROR(VLOOKUP(W472,DATA!$G$4:$H$400,2,FALSE),"")</f>
        <v xml:space="preserve">ДЕКОР ВҮҮД ХХК </v>
      </c>
      <c r="Y472" s="1205"/>
      <c r="Z472" s="1205"/>
      <c r="AA472" s="1205"/>
    </row>
    <row r="473" spans="1:27" ht="12.75" customHeight="1">
      <c r="A473" s="15">
        <v>120</v>
      </c>
      <c r="B473" s="369">
        <f t="shared" si="125"/>
        <v>468</v>
      </c>
      <c r="C473" s="427">
        <v>42879</v>
      </c>
      <c r="D473" s="426"/>
      <c r="E473" s="425" t="str">
        <f t="shared" ca="1" si="126"/>
        <v/>
      </c>
      <c r="F473" s="428" t="str">
        <f t="shared" ca="1" si="127"/>
        <v/>
      </c>
      <c r="G473" s="378"/>
      <c r="H473" s="378"/>
      <c r="I473" s="378"/>
      <c r="J473" s="378"/>
      <c r="K473" s="1220"/>
      <c r="L473" s="378"/>
      <c r="M473" s="378"/>
      <c r="N473" s="378" t="str">
        <f t="shared" si="128"/>
        <v/>
      </c>
      <c r="O473" s="378" t="str">
        <f t="shared" si="129"/>
        <v/>
      </c>
      <c r="P473" s="378" t="str">
        <f t="shared" si="130"/>
        <v/>
      </c>
      <c r="Q473" s="378" t="str">
        <f t="shared" si="131"/>
        <v/>
      </c>
      <c r="R473" s="378" t="str">
        <f t="shared" si="132"/>
        <v/>
      </c>
      <c r="S473" s="602">
        <v>320100</v>
      </c>
      <c r="T473" s="378" t="str">
        <f>+IFERROR(VLOOKUP(S473,STAT1!$C$4:$D$189,2,FALSE),"")</f>
        <v>Урьдчилж орсон орлого MNT</v>
      </c>
      <c r="U473" s="1225">
        <v>242000</v>
      </c>
      <c r="V473" s="1216"/>
      <c r="W473" s="326">
        <v>3043</v>
      </c>
      <c r="X473" s="328" t="str">
        <f>IFERROR(VLOOKUP(W473,DATA!$G$4:$H$400,2,FALSE),"")</f>
        <v xml:space="preserve">ДЕКОР ВҮҮД ХХК </v>
      </c>
      <c r="Y473" s="1205"/>
      <c r="Z473" s="1205"/>
      <c r="AA473" s="1205"/>
    </row>
    <row r="474" spans="1:27" ht="12.75" customHeight="1">
      <c r="A474" s="15">
        <v>121</v>
      </c>
      <c r="B474" s="369">
        <f t="shared" si="125"/>
        <v>469</v>
      </c>
      <c r="C474" s="427">
        <v>42880</v>
      </c>
      <c r="D474" s="426">
        <v>211713</v>
      </c>
      <c r="E474" s="425" t="str">
        <f t="shared" ca="1" si="126"/>
        <v>Н-Хавтан /зузаан-2см/</v>
      </c>
      <c r="F474" s="428" t="str">
        <f t="shared" ca="1" si="127"/>
        <v>м2</v>
      </c>
      <c r="G474" s="378"/>
      <c r="H474" s="378"/>
      <c r="I474" s="378"/>
      <c r="J474" s="378"/>
      <c r="K474" s="1220"/>
      <c r="L474" s="378">
        <v>74.72</v>
      </c>
      <c r="M474" s="378">
        <v>30002.919989999999</v>
      </c>
      <c r="N474" s="378">
        <f t="shared" si="128"/>
        <v>2241818.1816527997</v>
      </c>
      <c r="O474" s="378">
        <f t="shared" si="129"/>
        <v>224181.81816527998</v>
      </c>
      <c r="P474" s="378">
        <f t="shared" si="130"/>
        <v>2465999.9998180796</v>
      </c>
      <c r="Q474" s="378">
        <f t="shared" ca="1" si="131"/>
        <v>20836.299698816012</v>
      </c>
      <c r="R474" s="378">
        <f t="shared" ca="1" si="132"/>
        <v>1556888.3134955324</v>
      </c>
      <c r="S474" s="602">
        <v>150101</v>
      </c>
      <c r="T474" s="378" t="str">
        <f>+IFERROR(VLOOKUP(S474,STAT1!$C$4:$D$189,2,FALSE),"")</f>
        <v>Бараа бэлэн бүтээгдэхүүн БОЛОВСРУУЛАХ ЦЕХ /нарс/</v>
      </c>
      <c r="U474" s="1225"/>
      <c r="V474" s="1216">
        <v>1556888.3134955324</v>
      </c>
      <c r="W474" s="326">
        <v>3042</v>
      </c>
      <c r="X474" s="328" t="str">
        <f>IFERROR(VLOOKUP(W474,DATA!$G$4:$H$400,2,FALSE),"")</f>
        <v xml:space="preserve">ЖУРМАК ХХК </v>
      </c>
      <c r="Y474" s="1205"/>
      <c r="Z474" s="1205"/>
      <c r="AA474" s="1205"/>
    </row>
    <row r="475" spans="1:27" ht="12.75" customHeight="1">
      <c r="A475" s="15">
        <v>121</v>
      </c>
      <c r="B475" s="369">
        <f t="shared" si="125"/>
        <v>470</v>
      </c>
      <c r="C475" s="427">
        <v>42880</v>
      </c>
      <c r="D475" s="426"/>
      <c r="E475" s="425" t="str">
        <f t="shared" ca="1" si="126"/>
        <v/>
      </c>
      <c r="F475" s="428" t="str">
        <f t="shared" ca="1" si="127"/>
        <v/>
      </c>
      <c r="G475" s="378"/>
      <c r="H475" s="378"/>
      <c r="I475" s="378"/>
      <c r="J475" s="378"/>
      <c r="K475" s="1220"/>
      <c r="L475" s="378"/>
      <c r="M475" s="378"/>
      <c r="N475" s="378" t="str">
        <f t="shared" si="128"/>
        <v/>
      </c>
      <c r="O475" s="378" t="str">
        <f t="shared" si="129"/>
        <v/>
      </c>
      <c r="P475" s="378" t="str">
        <f t="shared" si="130"/>
        <v/>
      </c>
      <c r="Q475" s="378" t="str">
        <f t="shared" si="131"/>
        <v/>
      </c>
      <c r="R475" s="378" t="str">
        <f t="shared" si="132"/>
        <v/>
      </c>
      <c r="S475" s="602">
        <v>610100</v>
      </c>
      <c r="T475" s="378" t="str">
        <f>+IFERROR(VLOOKUP(S475,STAT1!$C$4:$D$189,2,FALSE),"")</f>
        <v>Борлуулсан барааны өртөг</v>
      </c>
      <c r="U475" s="1216">
        <v>1556888.3134955324</v>
      </c>
      <c r="V475" s="1216"/>
      <c r="W475" s="326">
        <v>3042</v>
      </c>
      <c r="X475" s="328" t="str">
        <f>IFERROR(VLOOKUP(W475,DATA!$G$4:$H$400,2,FALSE),"")</f>
        <v xml:space="preserve">ЖУРМАК ХХК </v>
      </c>
      <c r="Y475" s="1205"/>
      <c r="Z475" s="1205"/>
      <c r="AA475" s="1205"/>
    </row>
    <row r="476" spans="1:27" ht="12.75" customHeight="1">
      <c r="A476" s="15">
        <v>121</v>
      </c>
      <c r="B476" s="369">
        <f t="shared" si="125"/>
        <v>471</v>
      </c>
      <c r="C476" s="427">
        <v>42880</v>
      </c>
      <c r="D476" s="426"/>
      <c r="E476" s="425" t="str">
        <f t="shared" ca="1" si="126"/>
        <v/>
      </c>
      <c r="F476" s="428" t="str">
        <f t="shared" ca="1" si="127"/>
        <v/>
      </c>
      <c r="G476" s="378"/>
      <c r="H476" s="378"/>
      <c r="I476" s="378"/>
      <c r="J476" s="378"/>
      <c r="K476" s="1220"/>
      <c r="L476" s="378"/>
      <c r="M476" s="378"/>
      <c r="N476" s="378" t="str">
        <f t="shared" si="128"/>
        <v/>
      </c>
      <c r="O476" s="378" t="str">
        <f t="shared" si="129"/>
        <v/>
      </c>
      <c r="P476" s="378" t="str">
        <f t="shared" si="130"/>
        <v/>
      </c>
      <c r="Q476" s="378" t="str">
        <f t="shared" si="131"/>
        <v/>
      </c>
      <c r="R476" s="378" t="str">
        <f t="shared" si="132"/>
        <v/>
      </c>
      <c r="S476" s="602">
        <v>310500</v>
      </c>
      <c r="T476" s="378" t="str">
        <f>+IFERROR(VLOOKUP(S476,STAT1!$C$4:$D$189,2,FALSE),"")</f>
        <v>НӨАТ өглөг</v>
      </c>
      <c r="U476" s="1225"/>
      <c r="V476" s="1216">
        <v>224181.81816527998</v>
      </c>
      <c r="W476" s="326">
        <v>3042</v>
      </c>
      <c r="X476" s="328" t="str">
        <f>IFERROR(VLOOKUP(W476,DATA!$G$4:$H$400,2,FALSE),"")</f>
        <v xml:space="preserve">ЖУРМАК ХХК </v>
      </c>
      <c r="Y476" s="1205"/>
      <c r="Z476" s="1205"/>
      <c r="AA476" s="1205"/>
    </row>
    <row r="477" spans="1:27" ht="12.75" customHeight="1">
      <c r="A477" s="15">
        <v>121</v>
      </c>
      <c r="B477" s="369">
        <f t="shared" si="125"/>
        <v>472</v>
      </c>
      <c r="C477" s="427">
        <v>42880</v>
      </c>
      <c r="D477" s="426"/>
      <c r="E477" s="425" t="str">
        <f t="shared" ca="1" si="126"/>
        <v/>
      </c>
      <c r="F477" s="428" t="str">
        <f t="shared" ca="1" si="127"/>
        <v/>
      </c>
      <c r="G477" s="378"/>
      <c r="H477" s="378"/>
      <c r="I477" s="378"/>
      <c r="J477" s="378"/>
      <c r="K477" s="1220"/>
      <c r="L477" s="378"/>
      <c r="M477" s="378"/>
      <c r="N477" s="378" t="str">
        <f t="shared" si="128"/>
        <v/>
      </c>
      <c r="O477" s="378" t="str">
        <f t="shared" si="129"/>
        <v/>
      </c>
      <c r="P477" s="378" t="str">
        <f t="shared" si="130"/>
        <v/>
      </c>
      <c r="Q477" s="378" t="str">
        <f t="shared" si="131"/>
        <v/>
      </c>
      <c r="R477" s="378" t="str">
        <f t="shared" si="132"/>
        <v/>
      </c>
      <c r="S477" s="602">
        <v>510000</v>
      </c>
      <c r="T477" s="378" t="str">
        <f>+IFERROR(VLOOKUP(S477,STAT1!$C$4:$D$189,2,FALSE),"")</f>
        <v>Үндсэн үйл ажиллагааны борлуулалт</v>
      </c>
      <c r="U477" s="1225"/>
      <c r="V477" s="1216">
        <v>2241818.1816527997</v>
      </c>
      <c r="W477" s="326">
        <v>3042</v>
      </c>
      <c r="X477" s="328" t="str">
        <f>IFERROR(VLOOKUP(W477,DATA!$G$4:$H$400,2,FALSE),"")</f>
        <v xml:space="preserve">ЖУРМАК ХХК </v>
      </c>
      <c r="Y477" s="1205"/>
      <c r="Z477" s="1205"/>
      <c r="AA477" s="1205"/>
    </row>
    <row r="478" spans="1:27" ht="12.75" customHeight="1">
      <c r="A478" s="15">
        <v>121</v>
      </c>
      <c r="B478" s="369">
        <f t="shared" si="125"/>
        <v>473</v>
      </c>
      <c r="C478" s="427">
        <v>42880</v>
      </c>
      <c r="D478" s="426"/>
      <c r="E478" s="425" t="str">
        <f t="shared" ca="1" si="126"/>
        <v/>
      </c>
      <c r="F478" s="428" t="str">
        <f t="shared" ca="1" si="127"/>
        <v/>
      </c>
      <c r="G478" s="378"/>
      <c r="H478" s="378"/>
      <c r="I478" s="378"/>
      <c r="J478" s="378"/>
      <c r="K478" s="1220"/>
      <c r="L478" s="378"/>
      <c r="M478" s="378"/>
      <c r="N478" s="378" t="str">
        <f t="shared" si="128"/>
        <v/>
      </c>
      <c r="O478" s="378" t="str">
        <f t="shared" si="129"/>
        <v/>
      </c>
      <c r="P478" s="378" t="str">
        <f t="shared" si="130"/>
        <v/>
      </c>
      <c r="Q478" s="378" t="str">
        <f t="shared" si="131"/>
        <v/>
      </c>
      <c r="R478" s="378" t="str">
        <f t="shared" si="132"/>
        <v/>
      </c>
      <c r="S478" s="602">
        <v>320100</v>
      </c>
      <c r="T478" s="378" t="str">
        <f>+IFERROR(VLOOKUP(S478,STAT1!$C$4:$D$189,2,FALSE),"")</f>
        <v>Урьдчилж орсон орлого MNT</v>
      </c>
      <c r="U478" s="1225">
        <v>2465999.9998180796</v>
      </c>
      <c r="V478" s="1216"/>
      <c r="W478" s="326">
        <v>3042</v>
      </c>
      <c r="X478" s="328" t="str">
        <f>IFERROR(VLOOKUP(W478,DATA!$G$4:$H$400,2,FALSE),"")</f>
        <v xml:space="preserve">ЖУРМАК ХХК </v>
      </c>
      <c r="Y478" s="1205"/>
      <c r="Z478" s="1205"/>
      <c r="AA478" s="1205"/>
    </row>
    <row r="479" spans="1:27" ht="12.75" customHeight="1">
      <c r="A479" s="15">
        <v>122</v>
      </c>
      <c r="B479" s="369">
        <f t="shared" si="125"/>
        <v>474</v>
      </c>
      <c r="C479" s="427">
        <v>42880</v>
      </c>
      <c r="D479" s="426">
        <v>211504</v>
      </c>
      <c r="E479" s="425" t="str">
        <f t="shared" ca="1" si="126"/>
        <v xml:space="preserve">Н-Евровагонка /зузаан-1.2см/-яртай </v>
      </c>
      <c r="F479" s="428" t="str">
        <f t="shared" ca="1" si="127"/>
        <v>м2</v>
      </c>
      <c r="G479" s="378"/>
      <c r="H479" s="378"/>
      <c r="I479" s="378"/>
      <c r="J479" s="378"/>
      <c r="K479" s="1220"/>
      <c r="L479" s="378">
        <v>119.86</v>
      </c>
      <c r="M479" s="378">
        <v>18000.659830000001</v>
      </c>
      <c r="N479" s="378">
        <f t="shared" si="128"/>
        <v>2157559.0872237999</v>
      </c>
      <c r="O479" s="378">
        <f t="shared" si="129"/>
        <v>215755.90872238</v>
      </c>
      <c r="P479" s="378">
        <f t="shared" si="130"/>
        <v>2373314.9959461801</v>
      </c>
      <c r="Q479" s="378">
        <f t="shared" ca="1" si="131"/>
        <v>10540.117978141454</v>
      </c>
      <c r="R479" s="378">
        <f t="shared" ca="1" si="132"/>
        <v>1263338.5408600348</v>
      </c>
      <c r="S479" s="602">
        <v>150101</v>
      </c>
      <c r="T479" s="378" t="str">
        <f>+IFERROR(VLOOKUP(S479,STAT1!$C$4:$D$189,2,FALSE),"")</f>
        <v>Бараа бэлэн бүтээгдэхүүн БОЛОВСРУУЛАХ ЦЕХ /нарс/</v>
      </c>
      <c r="U479" s="1216"/>
      <c r="V479" s="1216">
        <v>1263338.5408600348</v>
      </c>
      <c r="W479" s="326">
        <v>3044</v>
      </c>
      <c r="X479" s="328" t="str">
        <f>IFERROR(VLOOKUP(W479,DATA!$G$4:$H$400,2,FALSE),"")</f>
        <v>ЛАНС КОНСТРАКШН ХХК</v>
      </c>
      <c r="Y479" s="1205"/>
      <c r="Z479" s="1205"/>
      <c r="AA479" s="1205"/>
    </row>
    <row r="480" spans="1:27" ht="12.75" customHeight="1">
      <c r="A480" s="15">
        <v>122</v>
      </c>
      <c r="B480" s="369">
        <f t="shared" si="125"/>
        <v>475</v>
      </c>
      <c r="C480" s="427">
        <v>42880</v>
      </c>
      <c r="D480" s="426"/>
      <c r="E480" s="425" t="str">
        <f t="shared" ca="1" si="126"/>
        <v/>
      </c>
      <c r="F480" s="428" t="str">
        <f t="shared" ca="1" si="127"/>
        <v/>
      </c>
      <c r="G480" s="378"/>
      <c r="H480" s="378"/>
      <c r="I480" s="378"/>
      <c r="J480" s="378"/>
      <c r="K480" s="1220"/>
      <c r="L480" s="378"/>
      <c r="M480" s="378"/>
      <c r="N480" s="378" t="str">
        <f t="shared" si="128"/>
        <v/>
      </c>
      <c r="O480" s="378" t="str">
        <f t="shared" si="129"/>
        <v/>
      </c>
      <c r="P480" s="378" t="str">
        <f t="shared" si="130"/>
        <v/>
      </c>
      <c r="Q480" s="378" t="str">
        <f t="shared" si="131"/>
        <v/>
      </c>
      <c r="R480" s="378" t="str">
        <f t="shared" si="132"/>
        <v/>
      </c>
      <c r="S480" s="602">
        <v>610100</v>
      </c>
      <c r="T480" s="378" t="str">
        <f>+IFERROR(VLOOKUP(S480,STAT1!$C$4:$D$189,2,FALSE),"")</f>
        <v>Борлуулсан барааны өртөг</v>
      </c>
      <c r="U480" s="1216">
        <v>1263338.5408600348</v>
      </c>
      <c r="V480" s="1216"/>
      <c r="W480" s="326">
        <v>3044</v>
      </c>
      <c r="X480" s="328" t="str">
        <f>IFERROR(VLOOKUP(W480,DATA!$G$4:$H$400,2,FALSE),"")</f>
        <v>ЛАНС КОНСТРАКШН ХХК</v>
      </c>
      <c r="Y480" s="1205"/>
      <c r="Z480" s="1205"/>
      <c r="AA480" s="1205"/>
    </row>
    <row r="481" spans="1:27" ht="12.75" customHeight="1">
      <c r="A481" s="15">
        <v>122</v>
      </c>
      <c r="B481" s="369">
        <f t="shared" si="125"/>
        <v>476</v>
      </c>
      <c r="C481" s="427">
        <v>42880</v>
      </c>
      <c r="D481" s="426"/>
      <c r="E481" s="425" t="str">
        <f t="shared" ca="1" si="126"/>
        <v/>
      </c>
      <c r="F481" s="428" t="str">
        <f t="shared" ca="1" si="127"/>
        <v/>
      </c>
      <c r="G481" s="378"/>
      <c r="H481" s="378"/>
      <c r="I481" s="378"/>
      <c r="J481" s="378"/>
      <c r="K481" s="1220"/>
      <c r="L481" s="378"/>
      <c r="M481" s="378"/>
      <c r="N481" s="378" t="str">
        <f t="shared" si="128"/>
        <v/>
      </c>
      <c r="O481" s="378" t="str">
        <f t="shared" si="129"/>
        <v/>
      </c>
      <c r="P481" s="378" t="str">
        <f t="shared" si="130"/>
        <v/>
      </c>
      <c r="Q481" s="378" t="str">
        <f t="shared" si="131"/>
        <v/>
      </c>
      <c r="R481" s="378" t="str">
        <f t="shared" si="132"/>
        <v/>
      </c>
      <c r="S481" s="602">
        <v>310500</v>
      </c>
      <c r="T481" s="378" t="str">
        <f>+IFERROR(VLOOKUP(S481,STAT1!$C$4:$D$189,2,FALSE),"")</f>
        <v>НӨАТ өглөг</v>
      </c>
      <c r="U481" s="1225"/>
      <c r="V481" s="1216">
        <v>215755.90872238</v>
      </c>
      <c r="W481" s="326">
        <v>3044</v>
      </c>
      <c r="X481" s="328" t="str">
        <f>IFERROR(VLOOKUP(W481,DATA!$G$4:$H$400,2,FALSE),"")</f>
        <v>ЛАНС КОНСТРАКШН ХХК</v>
      </c>
      <c r="Y481" s="1205"/>
      <c r="Z481" s="1205"/>
      <c r="AA481" s="1205"/>
    </row>
    <row r="482" spans="1:27" ht="12.75" customHeight="1">
      <c r="A482" s="15">
        <v>122</v>
      </c>
      <c r="B482" s="369">
        <f t="shared" si="125"/>
        <v>477</v>
      </c>
      <c r="C482" s="427">
        <v>42880</v>
      </c>
      <c r="D482" s="426"/>
      <c r="E482" s="425" t="str">
        <f t="shared" ca="1" si="126"/>
        <v/>
      </c>
      <c r="F482" s="428" t="str">
        <f t="shared" ca="1" si="127"/>
        <v/>
      </c>
      <c r="G482" s="378"/>
      <c r="H482" s="378"/>
      <c r="I482" s="378"/>
      <c r="J482" s="378"/>
      <c r="K482" s="1220"/>
      <c r="L482" s="378"/>
      <c r="M482" s="378"/>
      <c r="N482" s="378" t="str">
        <f t="shared" si="128"/>
        <v/>
      </c>
      <c r="O482" s="378" t="str">
        <f t="shared" si="129"/>
        <v/>
      </c>
      <c r="P482" s="378" t="str">
        <f t="shared" si="130"/>
        <v/>
      </c>
      <c r="Q482" s="378" t="str">
        <f t="shared" si="131"/>
        <v/>
      </c>
      <c r="R482" s="378" t="str">
        <f t="shared" si="132"/>
        <v/>
      </c>
      <c r="S482" s="602">
        <v>510000</v>
      </c>
      <c r="T482" s="378" t="str">
        <f>+IFERROR(VLOOKUP(S482,STAT1!$C$4:$D$189,2,FALSE),"")</f>
        <v>Үндсэн үйл ажиллагааны борлуулалт</v>
      </c>
      <c r="U482" s="1225"/>
      <c r="V482" s="1216">
        <v>2157559.0872237999</v>
      </c>
      <c r="W482" s="326">
        <v>3044</v>
      </c>
      <c r="X482" s="328" t="str">
        <f>IFERROR(VLOOKUP(W482,DATA!$G$4:$H$400,2,FALSE),"")</f>
        <v>ЛАНС КОНСТРАКШН ХХК</v>
      </c>
      <c r="Y482" s="1205"/>
      <c r="Z482" s="1205"/>
      <c r="AA482" s="1205"/>
    </row>
    <row r="483" spans="1:27" ht="12.75" customHeight="1">
      <c r="A483" s="15">
        <v>122</v>
      </c>
      <c r="B483" s="369">
        <f t="shared" si="125"/>
        <v>478</v>
      </c>
      <c r="C483" s="427">
        <v>42880</v>
      </c>
      <c r="D483" s="426"/>
      <c r="E483" s="425" t="str">
        <f t="shared" ca="1" si="126"/>
        <v/>
      </c>
      <c r="F483" s="428" t="str">
        <f t="shared" ca="1" si="127"/>
        <v/>
      </c>
      <c r="G483" s="378"/>
      <c r="H483" s="378"/>
      <c r="I483" s="378"/>
      <c r="J483" s="378"/>
      <c r="K483" s="1220"/>
      <c r="L483" s="378"/>
      <c r="M483" s="378"/>
      <c r="N483" s="378" t="str">
        <f t="shared" si="128"/>
        <v/>
      </c>
      <c r="O483" s="378" t="str">
        <f t="shared" si="129"/>
        <v/>
      </c>
      <c r="P483" s="378" t="str">
        <f t="shared" si="130"/>
        <v/>
      </c>
      <c r="Q483" s="378" t="str">
        <f t="shared" si="131"/>
        <v/>
      </c>
      <c r="R483" s="378" t="str">
        <f t="shared" si="132"/>
        <v/>
      </c>
      <c r="S483" s="602">
        <v>320100</v>
      </c>
      <c r="T483" s="378" t="str">
        <f>+IFERROR(VLOOKUP(S483,STAT1!$C$4:$D$189,2,FALSE),"")</f>
        <v>Урьдчилж орсон орлого MNT</v>
      </c>
      <c r="U483" s="1225">
        <v>2373314.9959461801</v>
      </c>
      <c r="V483" s="1216"/>
      <c r="W483" s="326">
        <v>3044</v>
      </c>
      <c r="X483" s="328" t="str">
        <f>IFERROR(VLOOKUP(W483,DATA!$G$4:$H$400,2,FALSE),"")</f>
        <v>ЛАНС КОНСТРАКШН ХХК</v>
      </c>
      <c r="Y483" s="1205"/>
      <c r="Z483" s="1205"/>
      <c r="AA483" s="1205"/>
    </row>
    <row r="484" spans="1:27" ht="12.75" customHeight="1">
      <c r="A484" s="15">
        <v>123</v>
      </c>
      <c r="B484" s="369">
        <f t="shared" si="125"/>
        <v>479</v>
      </c>
      <c r="C484" s="427">
        <v>42880</v>
      </c>
      <c r="D484" s="426">
        <v>211501</v>
      </c>
      <c r="E484" s="425" t="str">
        <f t="shared" ca="1" si="126"/>
        <v>Н-Евровагонка /зузаан-2.2см/</v>
      </c>
      <c r="F484" s="428" t="str">
        <f t="shared" ca="1" si="127"/>
        <v>м2</v>
      </c>
      <c r="G484" s="378"/>
      <c r="H484" s="378"/>
      <c r="I484" s="378"/>
      <c r="J484" s="378"/>
      <c r="K484" s="1220"/>
      <c r="L484" s="378">
        <v>25</v>
      </c>
      <c r="M484" s="378">
        <v>30000</v>
      </c>
      <c r="N484" s="378">
        <f t="shared" si="128"/>
        <v>750000</v>
      </c>
      <c r="O484" s="378">
        <f t="shared" si="129"/>
        <v>75000</v>
      </c>
      <c r="P484" s="378">
        <f t="shared" si="130"/>
        <v>825000</v>
      </c>
      <c r="Q484" s="378">
        <f t="shared" ca="1" si="131"/>
        <v>13118.37</v>
      </c>
      <c r="R484" s="378">
        <f t="shared" ca="1" si="132"/>
        <v>327959.25</v>
      </c>
      <c r="S484" s="602">
        <v>150101</v>
      </c>
      <c r="T484" s="378" t="str">
        <f>+IFERROR(VLOOKUP(S484,STAT1!$C$4:$D$189,2,FALSE),"")</f>
        <v>Бараа бэлэн бүтээгдэхүүн БОЛОВСРУУЛАХ ЦЕХ /нарс/</v>
      </c>
      <c r="U484" s="1225"/>
      <c r="V484" s="1216">
        <v>327959.25</v>
      </c>
      <c r="W484" s="326">
        <v>3061</v>
      </c>
      <c r="X484" s="328" t="str">
        <f>IFERROR(VLOOKUP(W484,DATA!$G$4:$H$400,2,FALSE),"")</f>
        <v>СТИМО ХХК</v>
      </c>
      <c r="Y484" s="1205"/>
      <c r="Z484" s="1205"/>
      <c r="AA484" s="1205"/>
    </row>
    <row r="485" spans="1:27" ht="12.75" customHeight="1">
      <c r="A485" s="15">
        <v>123</v>
      </c>
      <c r="B485" s="369">
        <f t="shared" si="125"/>
        <v>480</v>
      </c>
      <c r="C485" s="427">
        <v>42880</v>
      </c>
      <c r="D485" s="426"/>
      <c r="E485" s="425" t="str">
        <f t="shared" ca="1" si="126"/>
        <v/>
      </c>
      <c r="F485" s="428" t="str">
        <f t="shared" ca="1" si="127"/>
        <v/>
      </c>
      <c r="G485" s="378"/>
      <c r="H485" s="378"/>
      <c r="I485" s="378"/>
      <c r="J485" s="378"/>
      <c r="K485" s="1220"/>
      <c r="L485" s="378"/>
      <c r="M485" s="378"/>
      <c r="N485" s="378" t="str">
        <f t="shared" si="128"/>
        <v/>
      </c>
      <c r="O485" s="378" t="str">
        <f t="shared" si="129"/>
        <v/>
      </c>
      <c r="P485" s="378" t="str">
        <f t="shared" si="130"/>
        <v/>
      </c>
      <c r="Q485" s="378" t="str">
        <f t="shared" si="131"/>
        <v/>
      </c>
      <c r="R485" s="378" t="str">
        <f t="shared" si="132"/>
        <v/>
      </c>
      <c r="S485" s="602">
        <v>610100</v>
      </c>
      <c r="T485" s="378" t="str">
        <f>+IFERROR(VLOOKUP(S485,STAT1!$C$4:$D$189,2,FALSE),"")</f>
        <v>Борлуулсан барааны өртөг</v>
      </c>
      <c r="U485" s="1225">
        <v>327959.25</v>
      </c>
      <c r="V485" s="1216"/>
      <c r="W485" s="326">
        <v>3061</v>
      </c>
      <c r="X485" s="328" t="str">
        <f>IFERROR(VLOOKUP(W485,DATA!$G$4:$H$400,2,FALSE),"")</f>
        <v>СТИМО ХХК</v>
      </c>
      <c r="Y485" s="1205"/>
      <c r="Z485" s="1205"/>
      <c r="AA485" s="1205"/>
    </row>
    <row r="486" spans="1:27" ht="12.75" customHeight="1">
      <c r="A486" s="15">
        <v>123</v>
      </c>
      <c r="B486" s="369">
        <f t="shared" si="125"/>
        <v>481</v>
      </c>
      <c r="C486" s="427">
        <v>42880</v>
      </c>
      <c r="D486" s="426"/>
      <c r="E486" s="425" t="str">
        <f t="shared" ca="1" si="126"/>
        <v/>
      </c>
      <c r="F486" s="428" t="str">
        <f t="shared" ca="1" si="127"/>
        <v/>
      </c>
      <c r="G486" s="378"/>
      <c r="H486" s="378"/>
      <c r="I486" s="378"/>
      <c r="J486" s="378"/>
      <c r="K486" s="1220"/>
      <c r="L486" s="378"/>
      <c r="M486" s="378"/>
      <c r="N486" s="378" t="str">
        <f t="shared" si="128"/>
        <v/>
      </c>
      <c r="O486" s="378" t="str">
        <f t="shared" si="129"/>
        <v/>
      </c>
      <c r="P486" s="378" t="str">
        <f t="shared" si="130"/>
        <v/>
      </c>
      <c r="Q486" s="378" t="str">
        <f t="shared" si="131"/>
        <v/>
      </c>
      <c r="R486" s="378" t="str">
        <f t="shared" si="132"/>
        <v/>
      </c>
      <c r="S486" s="602">
        <v>310500</v>
      </c>
      <c r="T486" s="378" t="str">
        <f>+IFERROR(VLOOKUP(S486,STAT1!$C$4:$D$189,2,FALSE),"")</f>
        <v>НӨАТ өглөг</v>
      </c>
      <c r="U486" s="1225"/>
      <c r="V486" s="1216">
        <v>75000</v>
      </c>
      <c r="W486" s="326">
        <v>3061</v>
      </c>
      <c r="X486" s="328" t="str">
        <f>IFERROR(VLOOKUP(W486,DATA!$G$4:$H$400,2,FALSE),"")</f>
        <v>СТИМО ХХК</v>
      </c>
      <c r="Y486" s="1205"/>
      <c r="Z486" s="1205"/>
      <c r="AA486" s="1205"/>
    </row>
    <row r="487" spans="1:27" ht="12.75" customHeight="1">
      <c r="A487" s="15">
        <v>123</v>
      </c>
      <c r="B487" s="369">
        <f t="shared" si="125"/>
        <v>482</v>
      </c>
      <c r="C487" s="427">
        <v>42880</v>
      </c>
      <c r="D487" s="426"/>
      <c r="E487" s="425" t="str">
        <f t="shared" ca="1" si="126"/>
        <v/>
      </c>
      <c r="F487" s="428" t="str">
        <f t="shared" ca="1" si="127"/>
        <v/>
      </c>
      <c r="G487" s="378"/>
      <c r="H487" s="378"/>
      <c r="I487" s="378"/>
      <c r="J487" s="378"/>
      <c r="K487" s="1220"/>
      <c r="L487" s="378"/>
      <c r="M487" s="378"/>
      <c r="N487" s="378" t="str">
        <f t="shared" si="128"/>
        <v/>
      </c>
      <c r="O487" s="378" t="str">
        <f t="shared" si="129"/>
        <v/>
      </c>
      <c r="P487" s="378" t="str">
        <f t="shared" si="130"/>
        <v/>
      </c>
      <c r="Q487" s="378" t="str">
        <f t="shared" si="131"/>
        <v/>
      </c>
      <c r="R487" s="378" t="str">
        <f t="shared" si="132"/>
        <v/>
      </c>
      <c r="S487" s="602">
        <v>510000</v>
      </c>
      <c r="T487" s="378" t="str">
        <f>+IFERROR(VLOOKUP(S487,STAT1!$C$4:$D$189,2,FALSE),"")</f>
        <v>Үндсэн үйл ажиллагааны борлуулалт</v>
      </c>
      <c r="U487" s="1225"/>
      <c r="V487" s="1216">
        <v>750000</v>
      </c>
      <c r="W487" s="326">
        <v>3061</v>
      </c>
      <c r="X487" s="328" t="str">
        <f>IFERROR(VLOOKUP(W487,DATA!$G$4:$H$400,2,FALSE),"")</f>
        <v>СТИМО ХХК</v>
      </c>
      <c r="Y487" s="1205"/>
      <c r="Z487" s="1205"/>
      <c r="AA487" s="1205"/>
    </row>
    <row r="488" spans="1:27" ht="12.75" customHeight="1">
      <c r="A488" s="15">
        <v>123</v>
      </c>
      <c r="B488" s="369">
        <f t="shared" si="125"/>
        <v>483</v>
      </c>
      <c r="C488" s="427">
        <v>42880</v>
      </c>
      <c r="D488" s="426"/>
      <c r="E488" s="425" t="str">
        <f t="shared" ca="1" si="126"/>
        <v/>
      </c>
      <c r="F488" s="428" t="str">
        <f t="shared" ca="1" si="127"/>
        <v/>
      </c>
      <c r="G488" s="378"/>
      <c r="H488" s="378"/>
      <c r="I488" s="378"/>
      <c r="J488" s="378"/>
      <c r="K488" s="1220"/>
      <c r="L488" s="378"/>
      <c r="M488" s="378"/>
      <c r="N488" s="378" t="str">
        <f t="shared" si="128"/>
        <v/>
      </c>
      <c r="O488" s="378" t="str">
        <f t="shared" si="129"/>
        <v/>
      </c>
      <c r="P488" s="378" t="str">
        <f t="shared" si="130"/>
        <v/>
      </c>
      <c r="Q488" s="378" t="str">
        <f t="shared" si="131"/>
        <v/>
      </c>
      <c r="R488" s="378" t="str">
        <f t="shared" si="132"/>
        <v/>
      </c>
      <c r="S488" s="602">
        <v>320100</v>
      </c>
      <c r="T488" s="378" t="str">
        <f>+IFERROR(VLOOKUP(S488,STAT1!$C$4:$D$189,2,FALSE),"")</f>
        <v>Урьдчилж орсон орлого MNT</v>
      </c>
      <c r="U488" s="1225">
        <v>825000</v>
      </c>
      <c r="V488" s="1216"/>
      <c r="W488" s="326">
        <v>3061</v>
      </c>
      <c r="X488" s="328" t="str">
        <f>IFERROR(VLOOKUP(W488,DATA!$G$4:$H$400,2,FALSE),"")</f>
        <v>СТИМО ХХК</v>
      </c>
      <c r="Y488" s="1205"/>
      <c r="Z488" s="1205"/>
      <c r="AA488" s="1205"/>
    </row>
    <row r="489" spans="1:27" ht="12.75" customHeight="1">
      <c r="A489" s="15">
        <v>124</v>
      </c>
      <c r="B489" s="369">
        <f t="shared" si="125"/>
        <v>484</v>
      </c>
      <c r="C489" s="427">
        <v>42880</v>
      </c>
      <c r="D489" s="426">
        <v>211504</v>
      </c>
      <c r="E489" s="425" t="str">
        <f t="shared" ca="1" si="126"/>
        <v xml:space="preserve">Н-Евровагонка /зузаан-1.2см/-яртай </v>
      </c>
      <c r="F489" s="428" t="str">
        <f t="shared" ca="1" si="127"/>
        <v>м2</v>
      </c>
      <c r="G489" s="378"/>
      <c r="H489" s="378"/>
      <c r="I489" s="378"/>
      <c r="J489" s="378"/>
      <c r="K489" s="1220"/>
      <c r="L489" s="378">
        <v>5.17</v>
      </c>
      <c r="M489" s="378">
        <v>18023.562000000002</v>
      </c>
      <c r="N489" s="378">
        <f t="shared" si="128"/>
        <v>93181.815540000011</v>
      </c>
      <c r="O489" s="378">
        <f t="shared" si="129"/>
        <v>9318.1815540000007</v>
      </c>
      <c r="P489" s="378">
        <f t="shared" si="130"/>
        <v>102499.99709400001</v>
      </c>
      <c r="Q489" s="378">
        <f t="shared" ca="1" si="131"/>
        <v>10540.117978141454</v>
      </c>
      <c r="R489" s="378">
        <f t="shared" ca="1" si="132"/>
        <v>54492.409946991313</v>
      </c>
      <c r="S489" s="602">
        <v>150101</v>
      </c>
      <c r="T489" s="378" t="str">
        <f>+IFERROR(VLOOKUP(S489,STAT1!$C$4:$D$189,2,FALSE),"")</f>
        <v>Бараа бэлэн бүтээгдэхүүн БОЛОВСРУУЛАХ ЦЕХ /нарс/</v>
      </c>
      <c r="U489" s="1225"/>
      <c r="V489" s="1216">
        <v>54492.409946991313</v>
      </c>
      <c r="W489" s="326">
        <v>3063</v>
      </c>
      <c r="X489" s="328" t="str">
        <f>IFERROR(VLOOKUP(W489,DATA!$G$4:$H$400,2,FALSE),"")</f>
        <v>МЭЖИК ДООР ХХК</v>
      </c>
      <c r="Y489" s="1205"/>
      <c r="Z489" s="1205"/>
      <c r="AA489" s="1205"/>
    </row>
    <row r="490" spans="1:27" ht="12.75" customHeight="1">
      <c r="A490" s="15">
        <v>124</v>
      </c>
      <c r="B490" s="369">
        <f t="shared" si="125"/>
        <v>485</v>
      </c>
      <c r="C490" s="427">
        <v>42880</v>
      </c>
      <c r="D490" s="426"/>
      <c r="E490" s="425" t="str">
        <f t="shared" ca="1" si="126"/>
        <v/>
      </c>
      <c r="F490" s="428" t="str">
        <f t="shared" ca="1" si="127"/>
        <v/>
      </c>
      <c r="G490" s="378"/>
      <c r="H490" s="378"/>
      <c r="I490" s="378"/>
      <c r="J490" s="378"/>
      <c r="K490" s="1220"/>
      <c r="L490" s="378"/>
      <c r="M490" s="378"/>
      <c r="N490" s="378" t="str">
        <f t="shared" si="128"/>
        <v/>
      </c>
      <c r="O490" s="378" t="str">
        <f t="shared" si="129"/>
        <v/>
      </c>
      <c r="P490" s="378" t="str">
        <f t="shared" si="130"/>
        <v/>
      </c>
      <c r="Q490" s="378" t="str">
        <f t="shared" si="131"/>
        <v/>
      </c>
      <c r="R490" s="378" t="str">
        <f t="shared" si="132"/>
        <v/>
      </c>
      <c r="S490" s="602">
        <v>610100</v>
      </c>
      <c r="T490" s="378" t="str">
        <f>+IFERROR(VLOOKUP(S490,STAT1!$C$4:$D$189,2,FALSE),"")</f>
        <v>Борлуулсан барааны өртөг</v>
      </c>
      <c r="U490" s="1216">
        <v>54492.409946991313</v>
      </c>
      <c r="V490" s="1216"/>
      <c r="W490" s="326">
        <v>3063</v>
      </c>
      <c r="X490" s="328" t="str">
        <f>IFERROR(VLOOKUP(W490,DATA!$G$4:$H$400,2,FALSE),"")</f>
        <v>МЭЖИК ДООР ХХК</v>
      </c>
      <c r="Y490" s="1205"/>
      <c r="Z490" s="1205"/>
      <c r="AA490" s="1205"/>
    </row>
    <row r="491" spans="1:27" ht="12.75" customHeight="1">
      <c r="A491" s="15">
        <v>124</v>
      </c>
      <c r="B491" s="369">
        <f t="shared" si="125"/>
        <v>486</v>
      </c>
      <c r="C491" s="427">
        <v>42880</v>
      </c>
      <c r="D491" s="426"/>
      <c r="E491" s="425" t="str">
        <f t="shared" ca="1" si="126"/>
        <v/>
      </c>
      <c r="F491" s="428" t="str">
        <f t="shared" ca="1" si="127"/>
        <v/>
      </c>
      <c r="G491" s="378"/>
      <c r="H491" s="378"/>
      <c r="I491" s="378"/>
      <c r="J491" s="378"/>
      <c r="K491" s="1220"/>
      <c r="L491" s="378"/>
      <c r="M491" s="378"/>
      <c r="N491" s="378" t="str">
        <f t="shared" si="128"/>
        <v/>
      </c>
      <c r="O491" s="378" t="str">
        <f t="shared" si="129"/>
        <v/>
      </c>
      <c r="P491" s="378" t="str">
        <f t="shared" si="130"/>
        <v/>
      </c>
      <c r="Q491" s="378" t="str">
        <f t="shared" si="131"/>
        <v/>
      </c>
      <c r="R491" s="378" t="str">
        <f t="shared" si="132"/>
        <v/>
      </c>
      <c r="S491" s="602">
        <v>310500</v>
      </c>
      <c r="T491" s="378" t="str">
        <f>+IFERROR(VLOOKUP(S491,STAT1!$C$4:$D$189,2,FALSE),"")</f>
        <v>НӨАТ өглөг</v>
      </c>
      <c r="U491" s="1225"/>
      <c r="V491" s="1216">
        <v>9318.1815540000007</v>
      </c>
      <c r="W491" s="326">
        <v>3063</v>
      </c>
      <c r="X491" s="328" t="str">
        <f>IFERROR(VLOOKUP(W491,DATA!$G$4:$H$400,2,FALSE),"")</f>
        <v>МЭЖИК ДООР ХХК</v>
      </c>
      <c r="Y491" s="1205"/>
      <c r="Z491" s="1205"/>
      <c r="AA491" s="1205"/>
    </row>
    <row r="492" spans="1:27" ht="12.75" customHeight="1">
      <c r="A492" s="15">
        <v>124</v>
      </c>
      <c r="B492" s="369">
        <f t="shared" si="125"/>
        <v>487</v>
      </c>
      <c r="C492" s="427">
        <v>42880</v>
      </c>
      <c r="D492" s="426"/>
      <c r="E492" s="425" t="str">
        <f t="shared" ca="1" si="126"/>
        <v/>
      </c>
      <c r="F492" s="428" t="str">
        <f t="shared" ca="1" si="127"/>
        <v/>
      </c>
      <c r="G492" s="378"/>
      <c r="H492" s="378"/>
      <c r="I492" s="378"/>
      <c r="J492" s="378"/>
      <c r="K492" s="1220"/>
      <c r="L492" s="378"/>
      <c r="M492" s="378"/>
      <c r="N492" s="378" t="str">
        <f t="shared" si="128"/>
        <v/>
      </c>
      <c r="O492" s="378" t="str">
        <f t="shared" si="129"/>
        <v/>
      </c>
      <c r="P492" s="378" t="str">
        <f t="shared" si="130"/>
        <v/>
      </c>
      <c r="Q492" s="378" t="str">
        <f t="shared" si="131"/>
        <v/>
      </c>
      <c r="R492" s="378" t="str">
        <f t="shared" si="132"/>
        <v/>
      </c>
      <c r="S492" s="602">
        <v>510000</v>
      </c>
      <c r="T492" s="378" t="str">
        <f>+IFERROR(VLOOKUP(S492,STAT1!$C$4:$D$189,2,FALSE),"")</f>
        <v>Үндсэн үйл ажиллагааны борлуулалт</v>
      </c>
      <c r="U492" s="1225"/>
      <c r="V492" s="1216">
        <v>93181.815540000011</v>
      </c>
      <c r="W492" s="326">
        <v>3063</v>
      </c>
      <c r="X492" s="328" t="str">
        <f>IFERROR(VLOOKUP(W492,DATA!$G$4:$H$400,2,FALSE),"")</f>
        <v>МЭЖИК ДООР ХХК</v>
      </c>
      <c r="Y492" s="1205"/>
      <c r="Z492" s="1205"/>
      <c r="AA492" s="1205"/>
    </row>
    <row r="493" spans="1:27" ht="12.75" customHeight="1">
      <c r="A493" s="15">
        <v>124</v>
      </c>
      <c r="B493" s="369">
        <f t="shared" si="125"/>
        <v>488</v>
      </c>
      <c r="C493" s="427">
        <v>42880</v>
      </c>
      <c r="D493" s="426"/>
      <c r="E493" s="425" t="str">
        <f t="shared" ca="1" si="126"/>
        <v/>
      </c>
      <c r="F493" s="428" t="str">
        <f t="shared" ca="1" si="127"/>
        <v/>
      </c>
      <c r="G493" s="378"/>
      <c r="H493" s="378"/>
      <c r="I493" s="378"/>
      <c r="J493" s="378"/>
      <c r="K493" s="1220"/>
      <c r="L493" s="378"/>
      <c r="M493" s="378"/>
      <c r="N493" s="378" t="str">
        <f t="shared" si="128"/>
        <v/>
      </c>
      <c r="O493" s="378" t="str">
        <f t="shared" si="129"/>
        <v/>
      </c>
      <c r="P493" s="378" t="str">
        <f t="shared" si="130"/>
        <v/>
      </c>
      <c r="Q493" s="378" t="str">
        <f t="shared" si="131"/>
        <v/>
      </c>
      <c r="R493" s="378" t="str">
        <f t="shared" si="132"/>
        <v/>
      </c>
      <c r="S493" s="602">
        <v>320100</v>
      </c>
      <c r="T493" s="378" t="str">
        <f>+IFERROR(VLOOKUP(S493,STAT1!$C$4:$D$189,2,FALSE),"")</f>
        <v>Урьдчилж орсон орлого MNT</v>
      </c>
      <c r="U493" s="1225">
        <v>102499.99709400001</v>
      </c>
      <c r="V493" s="1216"/>
      <c r="W493" s="326">
        <v>3063</v>
      </c>
      <c r="X493" s="328" t="str">
        <f>IFERROR(VLOOKUP(W493,DATA!$G$4:$H$400,2,FALSE),"")</f>
        <v>МЭЖИК ДООР ХХК</v>
      </c>
      <c r="Y493" s="1205"/>
      <c r="Z493" s="1205"/>
      <c r="AA493" s="1205"/>
    </row>
    <row r="494" spans="1:27" ht="12.75" customHeight="1">
      <c r="A494" s="15">
        <v>125</v>
      </c>
      <c r="B494" s="369">
        <f t="shared" si="125"/>
        <v>489</v>
      </c>
      <c r="C494" s="427">
        <v>42884</v>
      </c>
      <c r="D494" s="426">
        <v>211713</v>
      </c>
      <c r="E494" s="425" t="str">
        <f t="shared" ref="E494:E525" ca="1" si="133">+IFERROR(VLOOKUP(D494,TN_table,2,FALSE),"")</f>
        <v>Н-Хавтан /зузаан-2см/</v>
      </c>
      <c r="F494" s="428" t="str">
        <f t="shared" ca="1" si="127"/>
        <v>м2</v>
      </c>
      <c r="G494" s="378"/>
      <c r="H494" s="378"/>
      <c r="I494" s="378"/>
      <c r="J494" s="378"/>
      <c r="K494" s="1220"/>
      <c r="L494" s="378">
        <v>121</v>
      </c>
      <c r="M494" s="378">
        <v>30000</v>
      </c>
      <c r="N494" s="378">
        <f t="shared" ref="N494:N525" si="134">+IF(L494="","",L494*M494)</f>
        <v>3630000</v>
      </c>
      <c r="O494" s="378">
        <f t="shared" si="129"/>
        <v>363000</v>
      </c>
      <c r="P494" s="378">
        <f t="shared" si="130"/>
        <v>3993000</v>
      </c>
      <c r="Q494" s="378">
        <f t="shared" ca="1" si="131"/>
        <v>20836.299698816016</v>
      </c>
      <c r="R494" s="378">
        <f t="shared" ca="1" si="132"/>
        <v>2521192.2635567379</v>
      </c>
      <c r="S494" s="602">
        <v>150101</v>
      </c>
      <c r="T494" s="378" t="str">
        <f>+IFERROR(VLOOKUP(S494,STAT1!$C$4:$D$189,2,FALSE),"")</f>
        <v>Бараа бэлэн бүтээгдэхүүн БОЛОВСРУУЛАХ ЦЕХ /нарс/</v>
      </c>
      <c r="U494" s="1225"/>
      <c r="V494" s="1216">
        <v>5394711.0099999998</v>
      </c>
      <c r="W494" s="326">
        <v>3002</v>
      </c>
      <c r="X494" s="328" t="str">
        <f>IFERROR(VLOOKUP(W494,DATA!$G$4:$H$400,2,FALSE),"")</f>
        <v>ЭКО КОНСТРАКШН ХХК</v>
      </c>
      <c r="Y494" s="1205"/>
      <c r="Z494" s="1205"/>
      <c r="AA494" s="1205"/>
    </row>
    <row r="495" spans="1:27" ht="12.75" customHeight="1">
      <c r="A495" s="15">
        <v>125</v>
      </c>
      <c r="B495" s="369">
        <f t="shared" si="125"/>
        <v>490</v>
      </c>
      <c r="C495" s="427">
        <v>42884</v>
      </c>
      <c r="D495" s="426">
        <v>211710</v>
      </c>
      <c r="E495" s="425" t="str">
        <f t="shared" ca="1" si="133"/>
        <v xml:space="preserve">Н-Хавтан /зузаан-3см/-яртай </v>
      </c>
      <c r="F495" s="428" t="str">
        <f t="shared" ca="1" si="127"/>
        <v>м2</v>
      </c>
      <c r="G495" s="378"/>
      <c r="H495" s="378"/>
      <c r="I495" s="378"/>
      <c r="J495" s="378"/>
      <c r="K495" s="1220"/>
      <c r="L495" s="378">
        <v>87.4</v>
      </c>
      <c r="M495" s="378">
        <v>40002.0075</v>
      </c>
      <c r="N495" s="378">
        <f t="shared" si="134"/>
        <v>3496175.4555000002</v>
      </c>
      <c r="O495" s="378">
        <f t="shared" si="129"/>
        <v>349617.54555000004</v>
      </c>
      <c r="P495" s="378">
        <f t="shared" si="130"/>
        <v>3845793.0010500001</v>
      </c>
      <c r="Q495" s="378">
        <f t="shared" ca="1" si="131"/>
        <v>32877.788914248587</v>
      </c>
      <c r="R495" s="378">
        <f t="shared" ca="1" si="132"/>
        <v>2873518.7511053267</v>
      </c>
      <c r="S495" s="602">
        <v>610100</v>
      </c>
      <c r="T495" s="378" t="str">
        <f>+IFERROR(VLOOKUP(S495,STAT1!$C$4:$D$189,2,FALSE),"")</f>
        <v>Борлуулсан барааны өртөг</v>
      </c>
      <c r="U495" s="1216">
        <v>5394711.0099999998</v>
      </c>
      <c r="V495" s="1216"/>
      <c r="W495" s="326">
        <v>3002</v>
      </c>
      <c r="X495" s="328" t="str">
        <f>IFERROR(VLOOKUP(W495,DATA!$G$4:$H$400,2,FALSE),"")</f>
        <v>ЭКО КОНСТРАКШН ХХК</v>
      </c>
      <c r="Y495" s="1205"/>
      <c r="Z495" s="1205"/>
      <c r="AA495" s="1205"/>
    </row>
    <row r="496" spans="1:27" ht="12.75" customHeight="1">
      <c r="A496" s="15">
        <v>125</v>
      </c>
      <c r="B496" s="369">
        <f t="shared" si="125"/>
        <v>491</v>
      </c>
      <c r="C496" s="427">
        <v>42884</v>
      </c>
      <c r="D496" s="426"/>
      <c r="E496" s="425" t="str">
        <f t="shared" ca="1" si="133"/>
        <v/>
      </c>
      <c r="F496" s="428" t="str">
        <f t="shared" ca="1" si="127"/>
        <v/>
      </c>
      <c r="G496" s="378"/>
      <c r="H496" s="378"/>
      <c r="I496" s="378"/>
      <c r="J496" s="378"/>
      <c r="K496" s="1220"/>
      <c r="L496" s="378"/>
      <c r="M496" s="378"/>
      <c r="N496" s="378" t="str">
        <f t="shared" si="134"/>
        <v/>
      </c>
      <c r="O496" s="378" t="str">
        <f t="shared" si="129"/>
        <v/>
      </c>
      <c r="P496" s="378" t="str">
        <f t="shared" si="130"/>
        <v/>
      </c>
      <c r="Q496" s="378" t="str">
        <f t="shared" si="131"/>
        <v/>
      </c>
      <c r="R496" s="378" t="str">
        <f t="shared" si="132"/>
        <v/>
      </c>
      <c r="S496" s="602">
        <v>310500</v>
      </c>
      <c r="T496" s="378" t="str">
        <f>+IFERROR(VLOOKUP(S496,STAT1!$C$4:$D$189,2,FALSE),"")</f>
        <v>НӨАТ өглөг</v>
      </c>
      <c r="U496" s="1225"/>
      <c r="V496" s="1216">
        <v>712617.54555000004</v>
      </c>
      <c r="W496" s="326">
        <v>3002</v>
      </c>
      <c r="X496" s="328" t="str">
        <f>IFERROR(VLOOKUP(W496,DATA!$G$4:$H$400,2,FALSE),"")</f>
        <v>ЭКО КОНСТРАКШН ХХК</v>
      </c>
      <c r="Y496" s="1205"/>
      <c r="Z496" s="1205"/>
      <c r="AA496" s="1205"/>
    </row>
    <row r="497" spans="1:27" ht="12.75" customHeight="1">
      <c r="A497" s="15">
        <v>125</v>
      </c>
      <c r="B497" s="369">
        <f t="shared" si="125"/>
        <v>492</v>
      </c>
      <c r="C497" s="427">
        <v>42884</v>
      </c>
      <c r="D497" s="426"/>
      <c r="E497" s="425" t="str">
        <f t="shared" ca="1" si="133"/>
        <v/>
      </c>
      <c r="F497" s="428" t="str">
        <f t="shared" ca="1" si="127"/>
        <v/>
      </c>
      <c r="G497" s="378"/>
      <c r="H497" s="378"/>
      <c r="I497" s="378"/>
      <c r="J497" s="378"/>
      <c r="K497" s="1220"/>
      <c r="L497" s="378"/>
      <c r="M497" s="378"/>
      <c r="N497" s="378" t="str">
        <f t="shared" si="134"/>
        <v/>
      </c>
      <c r="O497" s="378" t="str">
        <f t="shared" si="129"/>
        <v/>
      </c>
      <c r="P497" s="378" t="str">
        <f t="shared" si="130"/>
        <v/>
      </c>
      <c r="Q497" s="378" t="str">
        <f t="shared" si="131"/>
        <v/>
      </c>
      <c r="R497" s="378" t="str">
        <f t="shared" si="132"/>
        <v/>
      </c>
      <c r="S497" s="602">
        <v>510000</v>
      </c>
      <c r="T497" s="378" t="str">
        <f>+IFERROR(VLOOKUP(S497,STAT1!$C$4:$D$189,2,FALSE),"")</f>
        <v>Үндсэн үйл ажиллагааны борлуулалт</v>
      </c>
      <c r="U497" s="1225"/>
      <c r="V497" s="1216">
        <v>7126175.4555000002</v>
      </c>
      <c r="W497" s="326">
        <v>3002</v>
      </c>
      <c r="X497" s="328" t="str">
        <f>IFERROR(VLOOKUP(W497,DATA!$G$4:$H$400,2,FALSE),"")</f>
        <v>ЭКО КОНСТРАКШН ХХК</v>
      </c>
      <c r="Y497" s="1205"/>
      <c r="Z497" s="1205"/>
      <c r="AA497" s="1205"/>
    </row>
    <row r="498" spans="1:27" ht="12.75" customHeight="1">
      <c r="A498" s="15">
        <v>125</v>
      </c>
      <c r="B498" s="369">
        <f t="shared" si="125"/>
        <v>493</v>
      </c>
      <c r="C498" s="427">
        <v>42884</v>
      </c>
      <c r="D498" s="426"/>
      <c r="E498" s="425" t="str">
        <f t="shared" ca="1" si="133"/>
        <v/>
      </c>
      <c r="F498" s="428" t="str">
        <f t="shared" ca="1" si="127"/>
        <v/>
      </c>
      <c r="G498" s="378"/>
      <c r="H498" s="378"/>
      <c r="I498" s="378"/>
      <c r="J498" s="378"/>
      <c r="K498" s="1220"/>
      <c r="L498" s="378"/>
      <c r="M498" s="378"/>
      <c r="N498" s="378" t="str">
        <f t="shared" si="134"/>
        <v/>
      </c>
      <c r="O498" s="378" t="str">
        <f t="shared" si="129"/>
        <v/>
      </c>
      <c r="P498" s="378" t="str">
        <f t="shared" si="130"/>
        <v/>
      </c>
      <c r="Q498" s="378" t="str">
        <f t="shared" si="131"/>
        <v/>
      </c>
      <c r="R498" s="378" t="str">
        <f t="shared" si="132"/>
        <v/>
      </c>
      <c r="S498" s="602">
        <v>320100</v>
      </c>
      <c r="T498" s="378" t="str">
        <f>+IFERROR(VLOOKUP(S498,STAT1!$C$4:$D$189,2,FALSE),"")</f>
        <v>Урьдчилж орсон орлого MNT</v>
      </c>
      <c r="U498" s="1225">
        <v>7838793.0010500001</v>
      </c>
      <c r="V498" s="1216"/>
      <c r="W498" s="326">
        <v>3002</v>
      </c>
      <c r="X498" s="328" t="str">
        <f>IFERROR(VLOOKUP(W498,DATA!$G$4:$H$400,2,FALSE),"")</f>
        <v>ЭКО КОНСТРАКШН ХХК</v>
      </c>
      <c r="Y498" s="1205"/>
      <c r="Z498" s="1205"/>
      <c r="AA498" s="1205"/>
    </row>
    <row r="499" spans="1:27" ht="12.75" customHeight="1">
      <c r="A499" s="15">
        <v>126</v>
      </c>
      <c r="B499" s="369">
        <f t="shared" si="125"/>
        <v>494</v>
      </c>
      <c r="C499" s="427">
        <v>42884</v>
      </c>
      <c r="D499" s="426">
        <v>210003</v>
      </c>
      <c r="E499" s="425" t="str">
        <f t="shared" ca="1" si="133"/>
        <v>Н-Наамал дүнз</v>
      </c>
      <c r="F499" s="428" t="str">
        <f t="shared" ca="1" si="127"/>
        <v>м2</v>
      </c>
      <c r="G499" s="378"/>
      <c r="H499" s="378"/>
      <c r="I499" s="378"/>
      <c r="J499" s="378"/>
      <c r="K499" s="1220"/>
      <c r="L499" s="378">
        <v>20.98</v>
      </c>
      <c r="M499" s="378">
        <v>254549.78779999999</v>
      </c>
      <c r="N499" s="378">
        <f t="shared" si="134"/>
        <v>5340454.5480439998</v>
      </c>
      <c r="O499" s="378">
        <f t="shared" si="129"/>
        <v>534045.45480439998</v>
      </c>
      <c r="P499" s="378">
        <f t="shared" si="130"/>
        <v>5874500.0028483998</v>
      </c>
      <c r="Q499" s="378">
        <f t="shared" ca="1" si="131"/>
        <v>191123.56673210167</v>
      </c>
      <c r="R499" s="378">
        <f t="shared" ca="1" si="132"/>
        <v>4009772.4300394929</v>
      </c>
      <c r="S499" s="602">
        <v>150101</v>
      </c>
      <c r="T499" s="378" t="str">
        <f>+IFERROR(VLOOKUP(S499,STAT1!$C$4:$D$189,2,FALSE),"")</f>
        <v>Бараа бэлэн бүтээгдэхүүн БОЛОВСРУУЛАХ ЦЕХ /нарс/</v>
      </c>
      <c r="U499" s="1225"/>
      <c r="V499" s="1216">
        <v>4009772.4300394929</v>
      </c>
      <c r="W499" s="326">
        <v>3040</v>
      </c>
      <c r="X499" s="328" t="str">
        <f>IFERROR(VLOOKUP(W499,DATA!$G$4:$H$400,2,FALSE),"")</f>
        <v xml:space="preserve">АР ПИ ДИ ХХК </v>
      </c>
      <c r="Y499" s="1205"/>
      <c r="Z499" s="1205"/>
      <c r="AA499" s="1205"/>
    </row>
    <row r="500" spans="1:27" ht="12.75" customHeight="1">
      <c r="A500" s="15">
        <v>126</v>
      </c>
      <c r="B500" s="369">
        <f t="shared" si="125"/>
        <v>495</v>
      </c>
      <c r="C500" s="427">
        <v>42884</v>
      </c>
      <c r="D500" s="426"/>
      <c r="E500" s="425" t="str">
        <f t="shared" ca="1" si="133"/>
        <v/>
      </c>
      <c r="F500" s="428" t="str">
        <f t="shared" ca="1" si="127"/>
        <v/>
      </c>
      <c r="G500" s="378"/>
      <c r="H500" s="378"/>
      <c r="I500" s="378"/>
      <c r="J500" s="378"/>
      <c r="K500" s="1220"/>
      <c r="L500" s="378"/>
      <c r="M500" s="378"/>
      <c r="N500" s="378" t="str">
        <f t="shared" si="134"/>
        <v/>
      </c>
      <c r="O500" s="378" t="str">
        <f t="shared" si="129"/>
        <v/>
      </c>
      <c r="P500" s="378" t="str">
        <f t="shared" si="130"/>
        <v/>
      </c>
      <c r="Q500" s="378" t="str">
        <f t="shared" si="131"/>
        <v/>
      </c>
      <c r="R500" s="378" t="str">
        <f t="shared" si="132"/>
        <v/>
      </c>
      <c r="S500" s="602">
        <v>610100</v>
      </c>
      <c r="T500" s="378" t="str">
        <f>+IFERROR(VLOOKUP(S500,STAT1!$C$4:$D$189,2,FALSE),"")</f>
        <v>Борлуулсан барааны өртөг</v>
      </c>
      <c r="U500" s="1225">
        <v>4009772.4300394929</v>
      </c>
      <c r="V500" s="1216"/>
      <c r="W500" s="326">
        <v>3040</v>
      </c>
      <c r="X500" s="328" t="str">
        <f>IFERROR(VLOOKUP(W500,DATA!$G$4:$H$400,2,FALSE),"")</f>
        <v xml:space="preserve">АР ПИ ДИ ХХК </v>
      </c>
      <c r="Y500" s="1205"/>
      <c r="Z500" s="1205"/>
      <c r="AA500" s="1205"/>
    </row>
    <row r="501" spans="1:27" ht="12.75" customHeight="1">
      <c r="A501" s="15">
        <v>126</v>
      </c>
      <c r="B501" s="369">
        <f t="shared" si="125"/>
        <v>496</v>
      </c>
      <c r="C501" s="427">
        <v>42884</v>
      </c>
      <c r="D501" s="426"/>
      <c r="E501" s="425" t="str">
        <f t="shared" ca="1" si="133"/>
        <v/>
      </c>
      <c r="F501" s="428" t="str">
        <f t="shared" ca="1" si="127"/>
        <v/>
      </c>
      <c r="G501" s="378"/>
      <c r="H501" s="378"/>
      <c r="I501" s="378"/>
      <c r="J501" s="378"/>
      <c r="K501" s="1220"/>
      <c r="L501" s="378"/>
      <c r="M501" s="378"/>
      <c r="N501" s="378" t="str">
        <f t="shared" si="134"/>
        <v/>
      </c>
      <c r="O501" s="378" t="str">
        <f t="shared" si="129"/>
        <v/>
      </c>
      <c r="P501" s="378" t="str">
        <f t="shared" si="130"/>
        <v/>
      </c>
      <c r="Q501" s="378" t="str">
        <f t="shared" si="131"/>
        <v/>
      </c>
      <c r="R501" s="378" t="str">
        <f t="shared" si="132"/>
        <v/>
      </c>
      <c r="S501" s="602">
        <v>310500</v>
      </c>
      <c r="T501" s="378" t="str">
        <f>+IFERROR(VLOOKUP(S501,STAT1!$C$4:$D$189,2,FALSE),"")</f>
        <v>НӨАТ өглөг</v>
      </c>
      <c r="U501" s="1225"/>
      <c r="V501" s="1216">
        <v>534045.45480439998</v>
      </c>
      <c r="W501" s="326">
        <v>3040</v>
      </c>
      <c r="X501" s="328" t="str">
        <f>IFERROR(VLOOKUP(W501,DATA!$G$4:$H$400,2,FALSE),"")</f>
        <v xml:space="preserve">АР ПИ ДИ ХХК </v>
      </c>
      <c r="Y501" s="1205"/>
      <c r="Z501" s="1205"/>
      <c r="AA501" s="1205"/>
    </row>
    <row r="502" spans="1:27" ht="12.75" customHeight="1">
      <c r="A502" s="15">
        <v>126</v>
      </c>
      <c r="B502" s="369">
        <f t="shared" si="125"/>
        <v>497</v>
      </c>
      <c r="C502" s="427">
        <v>42884</v>
      </c>
      <c r="D502" s="426"/>
      <c r="E502" s="425" t="str">
        <f t="shared" ca="1" si="133"/>
        <v/>
      </c>
      <c r="F502" s="428" t="str">
        <f t="shared" ca="1" si="127"/>
        <v/>
      </c>
      <c r="G502" s="378"/>
      <c r="H502" s="378"/>
      <c r="I502" s="378"/>
      <c r="J502" s="378"/>
      <c r="K502" s="1220"/>
      <c r="L502" s="378"/>
      <c r="M502" s="378"/>
      <c r="N502" s="378" t="str">
        <f t="shared" si="134"/>
        <v/>
      </c>
      <c r="O502" s="378" t="str">
        <f t="shared" si="129"/>
        <v/>
      </c>
      <c r="P502" s="378" t="str">
        <f t="shared" si="130"/>
        <v/>
      </c>
      <c r="Q502" s="378" t="str">
        <f t="shared" si="131"/>
        <v/>
      </c>
      <c r="R502" s="378" t="str">
        <f t="shared" si="132"/>
        <v/>
      </c>
      <c r="S502" s="602">
        <v>510000</v>
      </c>
      <c r="T502" s="378" t="str">
        <f>+IFERROR(VLOOKUP(S502,STAT1!$C$4:$D$189,2,FALSE),"")</f>
        <v>Үндсэн үйл ажиллагааны борлуулалт</v>
      </c>
      <c r="U502" s="1225"/>
      <c r="V502" s="1216">
        <v>5340454.5480439998</v>
      </c>
      <c r="W502" s="326">
        <v>3040</v>
      </c>
      <c r="X502" s="328" t="str">
        <f>IFERROR(VLOOKUP(W502,DATA!$G$4:$H$400,2,FALSE),"")</f>
        <v xml:space="preserve">АР ПИ ДИ ХХК </v>
      </c>
      <c r="Y502" s="1205"/>
      <c r="Z502" s="1205"/>
      <c r="AA502" s="1205"/>
    </row>
    <row r="503" spans="1:27" ht="12.75" customHeight="1">
      <c r="A503" s="15">
        <v>126</v>
      </c>
      <c r="B503" s="369">
        <f t="shared" si="125"/>
        <v>498</v>
      </c>
      <c r="C503" s="427">
        <v>42884</v>
      </c>
      <c r="D503" s="426"/>
      <c r="E503" s="425" t="str">
        <f t="shared" ca="1" si="133"/>
        <v/>
      </c>
      <c r="F503" s="428" t="str">
        <f t="shared" ca="1" si="127"/>
        <v/>
      </c>
      <c r="G503" s="378"/>
      <c r="H503" s="378"/>
      <c r="I503" s="378"/>
      <c r="J503" s="378"/>
      <c r="K503" s="1220"/>
      <c r="L503" s="378"/>
      <c r="M503" s="378"/>
      <c r="N503" s="378" t="str">
        <f t="shared" si="134"/>
        <v/>
      </c>
      <c r="O503" s="378" t="str">
        <f t="shared" si="129"/>
        <v/>
      </c>
      <c r="P503" s="378" t="str">
        <f t="shared" si="130"/>
        <v/>
      </c>
      <c r="Q503" s="378" t="str">
        <f t="shared" si="131"/>
        <v/>
      </c>
      <c r="R503" s="378" t="str">
        <f t="shared" si="132"/>
        <v/>
      </c>
      <c r="S503" s="602">
        <v>320100</v>
      </c>
      <c r="T503" s="378" t="str">
        <f>+IFERROR(VLOOKUP(S503,STAT1!$C$4:$D$189,2,FALSE),"")</f>
        <v>Урьдчилж орсон орлого MNT</v>
      </c>
      <c r="U503" s="1225">
        <v>5874500.0028483998</v>
      </c>
      <c r="V503" s="1216"/>
      <c r="W503" s="326">
        <v>3040</v>
      </c>
      <c r="X503" s="328" t="str">
        <f>IFERROR(VLOOKUP(W503,DATA!$G$4:$H$400,2,FALSE),"")</f>
        <v xml:space="preserve">АР ПИ ДИ ХХК </v>
      </c>
      <c r="Y503" s="1205"/>
      <c r="Z503" s="1205"/>
      <c r="AA503" s="1205"/>
    </row>
    <row r="504" spans="1:27" ht="12.75" customHeight="1">
      <c r="A504" s="15">
        <v>127</v>
      </c>
      <c r="B504" s="369">
        <f t="shared" si="125"/>
        <v>499</v>
      </c>
      <c r="C504" s="427">
        <v>42884</v>
      </c>
      <c r="D504" s="426">
        <v>211501</v>
      </c>
      <c r="E504" s="425" t="str">
        <f t="shared" ca="1" si="133"/>
        <v>Н-Евровагонка /зузаан-2.2см/</v>
      </c>
      <c r="F504" s="428" t="str">
        <f t="shared" ca="1" si="127"/>
        <v>м2</v>
      </c>
      <c r="G504" s="378"/>
      <c r="H504" s="378"/>
      <c r="I504" s="378"/>
      <c r="J504" s="378"/>
      <c r="K504" s="1220"/>
      <c r="L504" s="378">
        <v>30</v>
      </c>
      <c r="M504" s="378">
        <v>30000</v>
      </c>
      <c r="N504" s="378">
        <f t="shared" si="134"/>
        <v>900000</v>
      </c>
      <c r="O504" s="378">
        <f t="shared" si="129"/>
        <v>90000</v>
      </c>
      <c r="P504" s="378">
        <f t="shared" si="130"/>
        <v>990000</v>
      </c>
      <c r="Q504" s="378">
        <f t="shared" ca="1" si="131"/>
        <v>13118.37</v>
      </c>
      <c r="R504" s="378">
        <f t="shared" ca="1" si="132"/>
        <v>393551.10000000003</v>
      </c>
      <c r="S504" s="602">
        <v>150101</v>
      </c>
      <c r="T504" s="378" t="str">
        <f>+IFERROR(VLOOKUP(S504,STAT1!$C$4:$D$189,2,FALSE),"")</f>
        <v>Бараа бэлэн бүтээгдэхүүн БОЛОВСРУУЛАХ ЦЕХ /нарс/</v>
      </c>
      <c r="U504" s="1225"/>
      <c r="V504" s="1216">
        <v>393551.10000000003</v>
      </c>
      <c r="W504" s="326">
        <v>3062</v>
      </c>
      <c r="X504" s="328" t="str">
        <f>IFERROR(VLOOKUP(W504,DATA!$G$4:$H$400,2,FALSE),"")</f>
        <v>УНДРУУЛАН ФҮҮД ХХК</v>
      </c>
      <c r="Y504" s="1205"/>
      <c r="Z504" s="1205"/>
      <c r="AA504" s="1205"/>
    </row>
    <row r="505" spans="1:27" ht="12.75" customHeight="1">
      <c r="A505" s="15">
        <v>127</v>
      </c>
      <c r="B505" s="369">
        <f t="shared" si="125"/>
        <v>500</v>
      </c>
      <c r="C505" s="427">
        <v>42884</v>
      </c>
      <c r="D505" s="426"/>
      <c r="E505" s="425" t="str">
        <f t="shared" ca="1" si="133"/>
        <v/>
      </c>
      <c r="F505" s="428" t="str">
        <f t="shared" ca="1" si="127"/>
        <v/>
      </c>
      <c r="G505" s="378"/>
      <c r="H505" s="378"/>
      <c r="I505" s="378"/>
      <c r="J505" s="378"/>
      <c r="K505" s="1220"/>
      <c r="L505" s="378"/>
      <c r="M505" s="378"/>
      <c r="N505" s="378" t="str">
        <f t="shared" si="134"/>
        <v/>
      </c>
      <c r="O505" s="378" t="str">
        <f t="shared" si="129"/>
        <v/>
      </c>
      <c r="P505" s="378" t="str">
        <f t="shared" si="130"/>
        <v/>
      </c>
      <c r="Q505" s="378" t="str">
        <f t="shared" si="131"/>
        <v/>
      </c>
      <c r="R505" s="378" t="str">
        <f t="shared" si="132"/>
        <v/>
      </c>
      <c r="S505" s="602">
        <v>610100</v>
      </c>
      <c r="T505" s="378" t="str">
        <f>+IFERROR(VLOOKUP(S505,STAT1!$C$4:$D$189,2,FALSE),"")</f>
        <v>Борлуулсан барааны өртөг</v>
      </c>
      <c r="U505" s="1225">
        <v>393551.10000000003</v>
      </c>
      <c r="V505" s="1216"/>
      <c r="W505" s="326">
        <v>3062</v>
      </c>
      <c r="X505" s="328" t="str">
        <f>IFERROR(VLOOKUP(W505,DATA!$G$4:$H$400,2,FALSE),"")</f>
        <v>УНДРУУЛАН ФҮҮД ХХК</v>
      </c>
      <c r="Y505" s="1205"/>
      <c r="Z505" s="1205"/>
      <c r="AA505" s="1205"/>
    </row>
    <row r="506" spans="1:27" ht="12.75" customHeight="1">
      <c r="A506" s="15">
        <v>127</v>
      </c>
      <c r="B506" s="369">
        <f t="shared" si="125"/>
        <v>501</v>
      </c>
      <c r="C506" s="427">
        <v>42884</v>
      </c>
      <c r="D506" s="426"/>
      <c r="E506" s="425" t="str">
        <f t="shared" ca="1" si="133"/>
        <v/>
      </c>
      <c r="F506" s="428" t="str">
        <f t="shared" ca="1" si="127"/>
        <v/>
      </c>
      <c r="G506" s="378"/>
      <c r="H506" s="378"/>
      <c r="I506" s="378"/>
      <c r="J506" s="378"/>
      <c r="K506" s="1220"/>
      <c r="L506" s="378"/>
      <c r="M506" s="378"/>
      <c r="N506" s="378" t="str">
        <f t="shared" si="134"/>
        <v/>
      </c>
      <c r="O506" s="378" t="str">
        <f t="shared" si="129"/>
        <v/>
      </c>
      <c r="P506" s="378" t="str">
        <f t="shared" si="130"/>
        <v/>
      </c>
      <c r="Q506" s="378" t="str">
        <f t="shared" si="131"/>
        <v/>
      </c>
      <c r="R506" s="378" t="str">
        <f t="shared" si="132"/>
        <v/>
      </c>
      <c r="S506" s="602">
        <v>310500</v>
      </c>
      <c r="T506" s="378" t="str">
        <f>+IFERROR(VLOOKUP(S506,STAT1!$C$4:$D$189,2,FALSE),"")</f>
        <v>НӨАТ өглөг</v>
      </c>
      <c r="U506" s="1225"/>
      <c r="V506" s="1216">
        <v>90000</v>
      </c>
      <c r="W506" s="326">
        <v>3062</v>
      </c>
      <c r="X506" s="328" t="str">
        <f>IFERROR(VLOOKUP(W506,DATA!$G$4:$H$400,2,FALSE),"")</f>
        <v>УНДРУУЛАН ФҮҮД ХХК</v>
      </c>
      <c r="Y506" s="1205"/>
      <c r="Z506" s="1205"/>
      <c r="AA506" s="1205"/>
    </row>
    <row r="507" spans="1:27" ht="12.75" customHeight="1">
      <c r="A507" s="15">
        <v>127</v>
      </c>
      <c r="B507" s="369">
        <f t="shared" si="125"/>
        <v>502</v>
      </c>
      <c r="C507" s="427">
        <v>42884</v>
      </c>
      <c r="D507" s="426"/>
      <c r="E507" s="425" t="str">
        <f t="shared" ca="1" si="133"/>
        <v/>
      </c>
      <c r="F507" s="428" t="str">
        <f t="shared" ca="1" si="127"/>
        <v/>
      </c>
      <c r="G507" s="378"/>
      <c r="H507" s="378"/>
      <c r="I507" s="378"/>
      <c r="J507" s="378"/>
      <c r="K507" s="1220"/>
      <c r="L507" s="378"/>
      <c r="M507" s="378"/>
      <c r="N507" s="378" t="str">
        <f t="shared" si="134"/>
        <v/>
      </c>
      <c r="O507" s="378" t="str">
        <f t="shared" si="129"/>
        <v/>
      </c>
      <c r="P507" s="378" t="str">
        <f t="shared" si="130"/>
        <v/>
      </c>
      <c r="Q507" s="378" t="str">
        <f t="shared" si="131"/>
        <v/>
      </c>
      <c r="R507" s="378" t="str">
        <f t="shared" si="132"/>
        <v/>
      </c>
      <c r="S507" s="602">
        <v>510000</v>
      </c>
      <c r="T507" s="378" t="str">
        <f>+IFERROR(VLOOKUP(S507,STAT1!$C$4:$D$189,2,FALSE),"")</f>
        <v>Үндсэн үйл ажиллагааны борлуулалт</v>
      </c>
      <c r="U507" s="1225"/>
      <c r="V507" s="1216">
        <v>900000</v>
      </c>
      <c r="W507" s="326">
        <v>3062</v>
      </c>
      <c r="X507" s="328" t="str">
        <f>IFERROR(VLOOKUP(W507,DATA!$G$4:$H$400,2,FALSE),"")</f>
        <v>УНДРУУЛАН ФҮҮД ХХК</v>
      </c>
      <c r="Y507" s="1205"/>
      <c r="Z507" s="1205"/>
      <c r="AA507" s="1205"/>
    </row>
    <row r="508" spans="1:27" ht="12.75" customHeight="1">
      <c r="A508" s="15">
        <v>127</v>
      </c>
      <c r="B508" s="369">
        <f t="shared" si="125"/>
        <v>503</v>
      </c>
      <c r="C508" s="427">
        <v>42884</v>
      </c>
      <c r="D508" s="426"/>
      <c r="E508" s="425" t="str">
        <f t="shared" ca="1" si="133"/>
        <v/>
      </c>
      <c r="F508" s="428" t="str">
        <f t="shared" ca="1" si="127"/>
        <v/>
      </c>
      <c r="G508" s="378"/>
      <c r="H508" s="378"/>
      <c r="I508" s="378"/>
      <c r="J508" s="378"/>
      <c r="K508" s="1220"/>
      <c r="L508" s="378"/>
      <c r="M508" s="378"/>
      <c r="N508" s="378" t="str">
        <f t="shared" si="134"/>
        <v/>
      </c>
      <c r="O508" s="378" t="str">
        <f t="shared" si="129"/>
        <v/>
      </c>
      <c r="P508" s="378" t="str">
        <f t="shared" si="130"/>
        <v/>
      </c>
      <c r="Q508" s="378" t="str">
        <f t="shared" si="131"/>
        <v/>
      </c>
      <c r="R508" s="378" t="str">
        <f t="shared" si="132"/>
        <v/>
      </c>
      <c r="S508" s="602">
        <v>320100</v>
      </c>
      <c r="T508" s="378" t="str">
        <f>+IFERROR(VLOOKUP(S508,STAT1!$C$4:$D$189,2,FALSE),"")</f>
        <v>Урьдчилж орсон орлого MNT</v>
      </c>
      <c r="U508" s="1225">
        <v>990000</v>
      </c>
      <c r="V508" s="1216"/>
      <c r="W508" s="326">
        <v>3062</v>
      </c>
      <c r="X508" s="328" t="str">
        <f>IFERROR(VLOOKUP(W508,DATA!$G$4:$H$400,2,FALSE),"")</f>
        <v>УНДРУУЛАН ФҮҮД ХХК</v>
      </c>
      <c r="Y508" s="1205"/>
      <c r="Z508" s="1205"/>
      <c r="AA508" s="1205"/>
    </row>
    <row r="509" spans="1:27" ht="12.75" customHeight="1">
      <c r="A509" s="15">
        <v>128</v>
      </c>
      <c r="B509" s="369">
        <f t="shared" si="125"/>
        <v>504</v>
      </c>
      <c r="C509" s="427">
        <v>42884</v>
      </c>
      <c r="D509" s="426">
        <v>210003</v>
      </c>
      <c r="E509" s="425" t="str">
        <f t="shared" ca="1" si="133"/>
        <v>Н-Наамал дүнз</v>
      </c>
      <c r="F509" s="428" t="str">
        <f t="shared" ca="1" si="127"/>
        <v>м2</v>
      </c>
      <c r="G509" s="378"/>
      <c r="H509" s="378"/>
      <c r="I509" s="378"/>
      <c r="J509" s="378"/>
      <c r="K509" s="1220"/>
      <c r="L509" s="378">
        <v>3.625</v>
      </c>
      <c r="M509" s="378">
        <v>254545.454</v>
      </c>
      <c r="N509" s="378">
        <f t="shared" si="134"/>
        <v>922727.27075000003</v>
      </c>
      <c r="O509" s="378">
        <f t="shared" si="129"/>
        <v>92272.727075000003</v>
      </c>
      <c r="P509" s="378">
        <f t="shared" si="130"/>
        <v>1014999.997825</v>
      </c>
      <c r="Q509" s="378">
        <f t="shared" ca="1" si="131"/>
        <v>191123.56673210167</v>
      </c>
      <c r="R509" s="378">
        <f t="shared" ca="1" si="132"/>
        <v>692822.9294038685</v>
      </c>
      <c r="S509" s="602">
        <v>150101</v>
      </c>
      <c r="T509" s="378" t="str">
        <f>+IFERROR(VLOOKUP(S509,STAT1!$C$4:$D$189,2,FALSE),"")</f>
        <v>Бараа бэлэн бүтээгдэхүүн БОЛОВСРУУЛАХ ЦЕХ /нарс/</v>
      </c>
      <c r="U509" s="1225"/>
      <c r="V509" s="1216">
        <v>692822.9294038685</v>
      </c>
      <c r="W509" s="326">
        <v>3039</v>
      </c>
      <c r="X509" s="328" t="str">
        <f>IFERROR(VLOOKUP(W509,DATA!$G$4:$H$400,2,FALSE),"")</f>
        <v xml:space="preserve">САССИР ХХК </v>
      </c>
      <c r="Y509" s="1205"/>
      <c r="Z509" s="1205"/>
      <c r="AA509" s="1205"/>
    </row>
    <row r="510" spans="1:27" ht="12.75" customHeight="1">
      <c r="A510" s="15">
        <v>128</v>
      </c>
      <c r="B510" s="369">
        <f t="shared" si="125"/>
        <v>505</v>
      </c>
      <c r="C510" s="427">
        <v>42884</v>
      </c>
      <c r="D510" s="426"/>
      <c r="E510" s="425" t="str">
        <f t="shared" ca="1" si="133"/>
        <v/>
      </c>
      <c r="F510" s="428" t="str">
        <f t="shared" ca="1" si="127"/>
        <v/>
      </c>
      <c r="G510" s="378"/>
      <c r="H510" s="378"/>
      <c r="I510" s="378"/>
      <c r="J510" s="378"/>
      <c r="K510" s="1220"/>
      <c r="L510" s="378"/>
      <c r="M510" s="378"/>
      <c r="N510" s="378" t="str">
        <f t="shared" si="134"/>
        <v/>
      </c>
      <c r="O510" s="378" t="str">
        <f t="shared" si="129"/>
        <v/>
      </c>
      <c r="P510" s="378" t="str">
        <f t="shared" si="130"/>
        <v/>
      </c>
      <c r="Q510" s="378" t="str">
        <f t="shared" si="131"/>
        <v/>
      </c>
      <c r="R510" s="378" t="str">
        <f t="shared" si="132"/>
        <v/>
      </c>
      <c r="S510" s="602">
        <v>610100</v>
      </c>
      <c r="T510" s="378" t="str">
        <f>+IFERROR(VLOOKUP(S510,STAT1!$C$4:$D$189,2,FALSE),"")</f>
        <v>Борлуулсан барааны өртөг</v>
      </c>
      <c r="U510" s="1225">
        <v>692822.9294038685</v>
      </c>
      <c r="V510" s="1216"/>
      <c r="W510" s="326">
        <v>3039</v>
      </c>
      <c r="X510" s="328" t="str">
        <f>IFERROR(VLOOKUP(W510,DATA!$G$4:$H$400,2,FALSE),"")</f>
        <v xml:space="preserve">САССИР ХХК </v>
      </c>
      <c r="Y510" s="1205"/>
      <c r="Z510" s="1205"/>
      <c r="AA510" s="1205"/>
    </row>
    <row r="511" spans="1:27" ht="12.75" customHeight="1">
      <c r="A511" s="15">
        <v>128</v>
      </c>
      <c r="B511" s="369">
        <f t="shared" si="125"/>
        <v>506</v>
      </c>
      <c r="C511" s="427">
        <v>42884</v>
      </c>
      <c r="D511" s="426"/>
      <c r="E511" s="425" t="str">
        <f t="shared" ca="1" si="133"/>
        <v/>
      </c>
      <c r="F511" s="428" t="str">
        <f t="shared" ca="1" si="127"/>
        <v/>
      </c>
      <c r="G511" s="378"/>
      <c r="H511" s="378"/>
      <c r="I511" s="378"/>
      <c r="J511" s="378"/>
      <c r="K511" s="1220"/>
      <c r="L511" s="378"/>
      <c r="M511" s="378"/>
      <c r="N511" s="378" t="str">
        <f t="shared" si="134"/>
        <v/>
      </c>
      <c r="O511" s="378" t="str">
        <f t="shared" si="129"/>
        <v/>
      </c>
      <c r="P511" s="378" t="str">
        <f t="shared" si="130"/>
        <v/>
      </c>
      <c r="Q511" s="378" t="str">
        <f t="shared" si="131"/>
        <v/>
      </c>
      <c r="R511" s="378" t="str">
        <f t="shared" si="132"/>
        <v/>
      </c>
      <c r="S511" s="602">
        <v>310500</v>
      </c>
      <c r="T511" s="378" t="str">
        <f>+IFERROR(VLOOKUP(S511,STAT1!$C$4:$D$189,2,FALSE),"")</f>
        <v>НӨАТ өглөг</v>
      </c>
      <c r="U511" s="1225"/>
      <c r="V511" s="1216">
        <v>92272.727075000003</v>
      </c>
      <c r="W511" s="326">
        <v>3039</v>
      </c>
      <c r="X511" s="328" t="str">
        <f>IFERROR(VLOOKUP(W511,DATA!$G$4:$H$400,2,FALSE),"")</f>
        <v xml:space="preserve">САССИР ХХК </v>
      </c>
      <c r="Y511" s="1205"/>
      <c r="Z511" s="1205"/>
      <c r="AA511" s="1205"/>
    </row>
    <row r="512" spans="1:27" ht="12.75" customHeight="1">
      <c r="A512" s="15">
        <v>128</v>
      </c>
      <c r="B512" s="369">
        <f t="shared" si="125"/>
        <v>507</v>
      </c>
      <c r="C512" s="427">
        <v>42884</v>
      </c>
      <c r="D512" s="426"/>
      <c r="E512" s="425" t="str">
        <f t="shared" ca="1" si="133"/>
        <v/>
      </c>
      <c r="F512" s="428" t="str">
        <f t="shared" ca="1" si="127"/>
        <v/>
      </c>
      <c r="G512" s="378"/>
      <c r="H512" s="378"/>
      <c r="I512" s="378"/>
      <c r="J512" s="378"/>
      <c r="K512" s="1220"/>
      <c r="L512" s="378"/>
      <c r="M512" s="378"/>
      <c r="N512" s="378" t="str">
        <f t="shared" si="134"/>
        <v/>
      </c>
      <c r="O512" s="378" t="str">
        <f t="shared" si="129"/>
        <v/>
      </c>
      <c r="P512" s="378" t="str">
        <f t="shared" si="130"/>
        <v/>
      </c>
      <c r="Q512" s="378" t="str">
        <f t="shared" si="131"/>
        <v/>
      </c>
      <c r="R512" s="378" t="str">
        <f t="shared" si="132"/>
        <v/>
      </c>
      <c r="S512" s="602">
        <v>510000</v>
      </c>
      <c r="T512" s="378" t="str">
        <f>+IFERROR(VLOOKUP(S512,STAT1!$C$4:$D$189,2,FALSE),"")</f>
        <v>Үндсэн үйл ажиллагааны борлуулалт</v>
      </c>
      <c r="U512" s="1225"/>
      <c r="V512" s="1216">
        <v>922727.27075000003</v>
      </c>
      <c r="W512" s="326">
        <v>3039</v>
      </c>
      <c r="X512" s="328" t="str">
        <f>IFERROR(VLOOKUP(W512,DATA!$G$4:$H$400,2,FALSE),"")</f>
        <v xml:space="preserve">САССИР ХХК </v>
      </c>
      <c r="Y512" s="1205"/>
      <c r="Z512" s="1205"/>
      <c r="AA512" s="1205"/>
    </row>
    <row r="513" spans="1:27" ht="12.75" customHeight="1">
      <c r="A513" s="15">
        <v>128</v>
      </c>
      <c r="B513" s="369">
        <f t="shared" si="125"/>
        <v>508</v>
      </c>
      <c r="C513" s="427">
        <v>42884</v>
      </c>
      <c r="D513" s="426"/>
      <c r="E513" s="425" t="str">
        <f t="shared" ca="1" si="133"/>
        <v/>
      </c>
      <c r="F513" s="428" t="str">
        <f t="shared" ca="1" si="127"/>
        <v/>
      </c>
      <c r="G513" s="378"/>
      <c r="H513" s="378"/>
      <c r="I513" s="378"/>
      <c r="J513" s="378"/>
      <c r="K513" s="1220"/>
      <c r="L513" s="378"/>
      <c r="M513" s="378"/>
      <c r="N513" s="378" t="str">
        <f t="shared" si="134"/>
        <v/>
      </c>
      <c r="O513" s="378" t="str">
        <f t="shared" si="129"/>
        <v/>
      </c>
      <c r="P513" s="378" t="str">
        <f t="shared" si="130"/>
        <v/>
      </c>
      <c r="Q513" s="378" t="str">
        <f t="shared" si="131"/>
        <v/>
      </c>
      <c r="R513" s="378" t="str">
        <f t="shared" si="132"/>
        <v/>
      </c>
      <c r="S513" s="602">
        <v>320100</v>
      </c>
      <c r="T513" s="378" t="str">
        <f>+IFERROR(VLOOKUP(S513,STAT1!$C$4:$D$189,2,FALSE),"")</f>
        <v>Урьдчилж орсон орлого MNT</v>
      </c>
      <c r="U513" s="1225">
        <v>1014999.997825</v>
      </c>
      <c r="V513" s="1216"/>
      <c r="W513" s="326">
        <v>3039</v>
      </c>
      <c r="X513" s="328" t="str">
        <f>IFERROR(VLOOKUP(W513,DATA!$G$4:$H$400,2,FALSE),"")</f>
        <v xml:space="preserve">САССИР ХХК </v>
      </c>
      <c r="Y513" s="1205"/>
      <c r="Z513" s="1205"/>
      <c r="AA513" s="1205"/>
    </row>
    <row r="514" spans="1:27" ht="12.75" customHeight="1">
      <c r="A514" s="15">
        <v>129</v>
      </c>
      <c r="B514" s="369">
        <f t="shared" si="125"/>
        <v>509</v>
      </c>
      <c r="C514" s="427">
        <v>42885</v>
      </c>
      <c r="D514" s="426">
        <v>211503</v>
      </c>
      <c r="E514" s="425" t="str">
        <f t="shared" ca="1" si="133"/>
        <v>Н-Евровагонка /зузаан-1.2см/</v>
      </c>
      <c r="F514" s="428" t="str">
        <f t="shared" ca="1" si="127"/>
        <v>м2</v>
      </c>
      <c r="G514" s="378"/>
      <c r="H514" s="378"/>
      <c r="I514" s="378"/>
      <c r="J514" s="378"/>
      <c r="K514" s="1220"/>
      <c r="L514" s="378">
        <v>4.0599999999999996</v>
      </c>
      <c r="M514" s="378">
        <v>21607.702000000001</v>
      </c>
      <c r="N514" s="378">
        <f t="shared" si="134"/>
        <v>87727.270120000001</v>
      </c>
      <c r="O514" s="378">
        <f t="shared" si="129"/>
        <v>8772.7270120000012</v>
      </c>
      <c r="P514" s="378">
        <f t="shared" si="130"/>
        <v>96499.997132000004</v>
      </c>
      <c r="Q514" s="378">
        <f t="shared" ca="1" si="131"/>
        <v>12622.237683513316</v>
      </c>
      <c r="R514" s="378">
        <f t="shared" ca="1" si="132"/>
        <v>51246.284995064059</v>
      </c>
      <c r="S514" s="602">
        <v>150101</v>
      </c>
      <c r="T514" s="378" t="str">
        <f>+IFERROR(VLOOKUP(S514,STAT1!$C$4:$D$189,2,FALSE),"")</f>
        <v>Бараа бэлэн бүтээгдэхүүн БОЛОВСРУУЛАХ ЦЕХ /нарс/</v>
      </c>
      <c r="U514" s="1225"/>
      <c r="V514" s="1216">
        <v>51246.284995064059</v>
      </c>
      <c r="W514" s="326">
        <v>3064</v>
      </c>
      <c r="X514" s="328" t="str">
        <f>IFERROR(VLOOKUP(W514,DATA!$G$4:$H$400,2,FALSE),"")</f>
        <v xml:space="preserve">МИОТ ХХ </v>
      </c>
      <c r="Y514" s="1205"/>
      <c r="Z514" s="1205"/>
      <c r="AA514" s="1205"/>
    </row>
    <row r="515" spans="1:27" ht="12.75" customHeight="1">
      <c r="A515" s="15">
        <v>129</v>
      </c>
      <c r="B515" s="369">
        <f t="shared" si="125"/>
        <v>510</v>
      </c>
      <c r="C515" s="427">
        <v>42885</v>
      </c>
      <c r="D515" s="426"/>
      <c r="E515" s="425" t="str">
        <f t="shared" ca="1" si="133"/>
        <v/>
      </c>
      <c r="F515" s="428" t="str">
        <f t="shared" ca="1" si="127"/>
        <v/>
      </c>
      <c r="G515" s="378"/>
      <c r="H515" s="378"/>
      <c r="I515" s="378"/>
      <c r="J515" s="378"/>
      <c r="K515" s="1220"/>
      <c r="L515" s="378"/>
      <c r="M515" s="378"/>
      <c r="N515" s="378" t="str">
        <f t="shared" si="134"/>
        <v/>
      </c>
      <c r="O515" s="378" t="str">
        <f t="shared" si="129"/>
        <v/>
      </c>
      <c r="P515" s="378" t="str">
        <f t="shared" si="130"/>
        <v/>
      </c>
      <c r="Q515" s="378" t="str">
        <f t="shared" si="131"/>
        <v/>
      </c>
      <c r="R515" s="378" t="str">
        <f t="shared" si="132"/>
        <v/>
      </c>
      <c r="S515" s="602">
        <v>610100</v>
      </c>
      <c r="T515" s="378" t="str">
        <f>+IFERROR(VLOOKUP(S515,STAT1!$C$4:$D$189,2,FALSE),"")</f>
        <v>Борлуулсан барааны өртөг</v>
      </c>
      <c r="U515" s="1216">
        <v>51246.284995064059</v>
      </c>
      <c r="V515" s="1216"/>
      <c r="W515" s="326">
        <v>3064</v>
      </c>
      <c r="X515" s="328" t="str">
        <f>IFERROR(VLOOKUP(W515,DATA!$G$4:$H$400,2,FALSE),"")</f>
        <v xml:space="preserve">МИОТ ХХ </v>
      </c>
      <c r="Y515" s="1205"/>
      <c r="Z515" s="1205"/>
      <c r="AA515" s="1205"/>
    </row>
    <row r="516" spans="1:27" ht="12.75" customHeight="1">
      <c r="A516" s="15">
        <v>129</v>
      </c>
      <c r="B516" s="369">
        <f t="shared" si="125"/>
        <v>511</v>
      </c>
      <c r="C516" s="427">
        <v>42885</v>
      </c>
      <c r="D516" s="426"/>
      <c r="E516" s="425" t="str">
        <f t="shared" ca="1" si="133"/>
        <v/>
      </c>
      <c r="F516" s="428" t="str">
        <f t="shared" ca="1" si="127"/>
        <v/>
      </c>
      <c r="G516" s="378"/>
      <c r="H516" s="378"/>
      <c r="I516" s="378"/>
      <c r="J516" s="378"/>
      <c r="K516" s="1220"/>
      <c r="L516" s="378"/>
      <c r="M516" s="378"/>
      <c r="N516" s="378" t="str">
        <f t="shared" si="134"/>
        <v/>
      </c>
      <c r="O516" s="378" t="str">
        <f t="shared" si="129"/>
        <v/>
      </c>
      <c r="P516" s="378" t="str">
        <f t="shared" si="130"/>
        <v/>
      </c>
      <c r="Q516" s="378" t="str">
        <f t="shared" si="131"/>
        <v/>
      </c>
      <c r="R516" s="378" t="str">
        <f t="shared" si="132"/>
        <v/>
      </c>
      <c r="S516" s="602">
        <v>310500</v>
      </c>
      <c r="T516" s="378" t="str">
        <f>+IFERROR(VLOOKUP(S516,STAT1!$C$4:$D$189,2,FALSE),"")</f>
        <v>НӨАТ өглөг</v>
      </c>
      <c r="U516" s="1225"/>
      <c r="V516" s="1216">
        <v>8772.7270120000012</v>
      </c>
      <c r="W516" s="326">
        <v>3064</v>
      </c>
      <c r="X516" s="328" t="str">
        <f>IFERROR(VLOOKUP(W516,DATA!$G$4:$H$400,2,FALSE),"")</f>
        <v xml:space="preserve">МИОТ ХХ </v>
      </c>
      <c r="Y516" s="1205"/>
      <c r="Z516" s="1205"/>
      <c r="AA516" s="1205"/>
    </row>
    <row r="517" spans="1:27" ht="12.75" customHeight="1">
      <c r="A517" s="15">
        <v>129</v>
      </c>
      <c r="B517" s="369">
        <f t="shared" si="125"/>
        <v>512</v>
      </c>
      <c r="C517" s="427">
        <v>42885</v>
      </c>
      <c r="D517" s="426"/>
      <c r="E517" s="425" t="str">
        <f t="shared" ca="1" si="133"/>
        <v/>
      </c>
      <c r="F517" s="428" t="str">
        <f t="shared" ca="1" si="127"/>
        <v/>
      </c>
      <c r="G517" s="378"/>
      <c r="H517" s="378"/>
      <c r="I517" s="378"/>
      <c r="J517" s="378"/>
      <c r="K517" s="1220"/>
      <c r="L517" s="378"/>
      <c r="M517" s="378"/>
      <c r="N517" s="378" t="str">
        <f t="shared" si="134"/>
        <v/>
      </c>
      <c r="O517" s="378" t="str">
        <f t="shared" si="129"/>
        <v/>
      </c>
      <c r="P517" s="378" t="str">
        <f t="shared" si="130"/>
        <v/>
      </c>
      <c r="Q517" s="378" t="str">
        <f t="shared" si="131"/>
        <v/>
      </c>
      <c r="R517" s="378" t="str">
        <f t="shared" si="132"/>
        <v/>
      </c>
      <c r="S517" s="602">
        <v>510000</v>
      </c>
      <c r="T517" s="378" t="str">
        <f>+IFERROR(VLOOKUP(S517,STAT1!$C$4:$D$189,2,FALSE),"")</f>
        <v>Үндсэн үйл ажиллагааны борлуулалт</v>
      </c>
      <c r="U517" s="1225"/>
      <c r="V517" s="1216">
        <v>87727.270120000001</v>
      </c>
      <c r="W517" s="326">
        <v>3064</v>
      </c>
      <c r="X517" s="328" t="str">
        <f>IFERROR(VLOOKUP(W517,DATA!$G$4:$H$400,2,FALSE),"")</f>
        <v xml:space="preserve">МИОТ ХХ </v>
      </c>
      <c r="Y517" s="1205"/>
      <c r="Z517" s="1205"/>
      <c r="AA517" s="1205"/>
    </row>
    <row r="518" spans="1:27" ht="12.75" customHeight="1">
      <c r="A518" s="15">
        <v>129</v>
      </c>
      <c r="B518" s="369">
        <f t="shared" ref="B518:B581" si="135">+IF(C518="","",ROW()-5)</f>
        <v>513</v>
      </c>
      <c r="C518" s="427">
        <v>42885</v>
      </c>
      <c r="D518" s="426"/>
      <c r="E518" s="425" t="str">
        <f t="shared" ca="1" si="133"/>
        <v/>
      </c>
      <c r="F518" s="428" t="str">
        <f t="shared" ca="1" si="127"/>
        <v/>
      </c>
      <c r="G518" s="378"/>
      <c r="H518" s="378"/>
      <c r="I518" s="378"/>
      <c r="J518" s="378"/>
      <c r="K518" s="1220"/>
      <c r="L518" s="378"/>
      <c r="M518" s="378"/>
      <c r="N518" s="378" t="str">
        <f t="shared" si="134"/>
        <v/>
      </c>
      <c r="O518" s="378" t="str">
        <f t="shared" si="129"/>
        <v/>
      </c>
      <c r="P518" s="378" t="str">
        <f t="shared" si="130"/>
        <v/>
      </c>
      <c r="Q518" s="378" t="str">
        <f t="shared" si="131"/>
        <v/>
      </c>
      <c r="R518" s="378" t="str">
        <f t="shared" si="132"/>
        <v/>
      </c>
      <c r="S518" s="602">
        <v>320100</v>
      </c>
      <c r="T518" s="378" t="str">
        <f>+IFERROR(VLOOKUP(S518,STAT1!$C$4:$D$189,2,FALSE),"")</f>
        <v>Урьдчилж орсон орлого MNT</v>
      </c>
      <c r="U518" s="1225">
        <v>96499.997132000004</v>
      </c>
      <c r="V518" s="1216"/>
      <c r="W518" s="326">
        <v>3064</v>
      </c>
      <c r="X518" s="328" t="str">
        <f>IFERROR(VLOOKUP(W518,DATA!$G$4:$H$400,2,FALSE),"")</f>
        <v xml:space="preserve">МИОТ ХХ </v>
      </c>
      <c r="Y518" s="1205"/>
      <c r="Z518" s="1205"/>
      <c r="AA518" s="1205"/>
    </row>
    <row r="519" spans="1:27" ht="12.75" customHeight="1">
      <c r="A519" s="15">
        <v>130</v>
      </c>
      <c r="B519" s="369">
        <f t="shared" si="135"/>
        <v>514</v>
      </c>
      <c r="C519" s="427">
        <v>42886</v>
      </c>
      <c r="D519" s="426">
        <v>211710</v>
      </c>
      <c r="E519" s="425" t="str">
        <f t="shared" ca="1" si="133"/>
        <v xml:space="preserve">Н-Хавтан /зузаан-3см/-яртай </v>
      </c>
      <c r="F519" s="428" t="str">
        <f t="shared" ca="1" si="127"/>
        <v>м2</v>
      </c>
      <c r="G519" s="378"/>
      <c r="H519" s="378"/>
      <c r="I519" s="378"/>
      <c r="J519" s="378"/>
      <c r="K519" s="1220"/>
      <c r="L519" s="378">
        <v>36</v>
      </c>
      <c r="M519" s="378">
        <v>40000</v>
      </c>
      <c r="N519" s="378">
        <f t="shared" si="134"/>
        <v>1440000</v>
      </c>
      <c r="O519" s="378">
        <f t="shared" si="129"/>
        <v>144000</v>
      </c>
      <c r="P519" s="378">
        <f t="shared" si="130"/>
        <v>1584000</v>
      </c>
      <c r="Q519" s="378">
        <f t="shared" ca="1" si="131"/>
        <v>32877.788914248587</v>
      </c>
      <c r="R519" s="378">
        <f t="shared" ca="1" si="132"/>
        <v>1183600.4009129491</v>
      </c>
      <c r="S519" s="602">
        <v>150101</v>
      </c>
      <c r="T519" s="378" t="str">
        <f>+IFERROR(VLOOKUP(S519,STAT1!$C$4:$D$189,2,FALSE),"")</f>
        <v>Бараа бэлэн бүтээгдэхүүн БОЛОВСРУУЛАХ ЦЕХ /нарс/</v>
      </c>
      <c r="U519" s="1225"/>
      <c r="V519" s="1216">
        <v>1183600.4009129491</v>
      </c>
      <c r="W519" s="326">
        <v>3041</v>
      </c>
      <c r="X519" s="328" t="str">
        <f>IFERROR(VLOOKUP(W519,DATA!$G$4:$H$400,2,FALSE),"")</f>
        <v>БҮТЭЭГЧ ХХК</v>
      </c>
      <c r="Y519" s="1205"/>
      <c r="Z519" s="1205"/>
      <c r="AA519" s="1205"/>
    </row>
    <row r="520" spans="1:27" ht="12.75" customHeight="1">
      <c r="A520" s="15">
        <v>130</v>
      </c>
      <c r="B520" s="369">
        <f t="shared" si="135"/>
        <v>515</v>
      </c>
      <c r="C520" s="427">
        <v>42886</v>
      </c>
      <c r="D520" s="426"/>
      <c r="E520" s="425" t="str">
        <f t="shared" ca="1" si="133"/>
        <v/>
      </c>
      <c r="F520" s="428" t="str">
        <f t="shared" ca="1" si="127"/>
        <v/>
      </c>
      <c r="G520" s="378"/>
      <c r="H520" s="378"/>
      <c r="I520" s="378"/>
      <c r="J520" s="378"/>
      <c r="K520" s="1220"/>
      <c r="L520" s="378"/>
      <c r="M520" s="378"/>
      <c r="N520" s="378" t="str">
        <f t="shared" si="134"/>
        <v/>
      </c>
      <c r="O520" s="378" t="str">
        <f t="shared" si="129"/>
        <v/>
      </c>
      <c r="P520" s="378" t="str">
        <f t="shared" si="130"/>
        <v/>
      </c>
      <c r="Q520" s="378" t="str">
        <f t="shared" si="131"/>
        <v/>
      </c>
      <c r="R520" s="378" t="str">
        <f t="shared" si="132"/>
        <v/>
      </c>
      <c r="S520" s="602">
        <v>610100</v>
      </c>
      <c r="T520" s="378" t="str">
        <f>+IFERROR(VLOOKUP(S520,STAT1!$C$4:$D$189,2,FALSE),"")</f>
        <v>Борлуулсан барааны өртөг</v>
      </c>
      <c r="U520" s="1216">
        <v>1183600.4009129491</v>
      </c>
      <c r="V520" s="1216"/>
      <c r="W520" s="326">
        <v>3041</v>
      </c>
      <c r="X520" s="328" t="str">
        <f>IFERROR(VLOOKUP(W520,DATA!$G$4:$H$400,2,FALSE),"")</f>
        <v>БҮТЭЭГЧ ХХК</v>
      </c>
      <c r="Y520" s="1205"/>
      <c r="Z520" s="1205"/>
      <c r="AA520" s="1205"/>
    </row>
    <row r="521" spans="1:27" ht="12.75" customHeight="1">
      <c r="A521" s="15">
        <v>130</v>
      </c>
      <c r="B521" s="369">
        <f t="shared" si="135"/>
        <v>516</v>
      </c>
      <c r="C521" s="427">
        <v>42886</v>
      </c>
      <c r="D521" s="426"/>
      <c r="E521" s="425" t="str">
        <f t="shared" ca="1" si="133"/>
        <v/>
      </c>
      <c r="F521" s="428" t="str">
        <f t="shared" ca="1" si="127"/>
        <v/>
      </c>
      <c r="G521" s="378"/>
      <c r="H521" s="378"/>
      <c r="I521" s="378"/>
      <c r="J521" s="378"/>
      <c r="K521" s="1220"/>
      <c r="L521" s="378"/>
      <c r="M521" s="378"/>
      <c r="N521" s="378" t="str">
        <f t="shared" si="134"/>
        <v/>
      </c>
      <c r="O521" s="378" t="str">
        <f t="shared" si="129"/>
        <v/>
      </c>
      <c r="P521" s="378" t="str">
        <f t="shared" si="130"/>
        <v/>
      </c>
      <c r="Q521" s="378" t="str">
        <f t="shared" si="131"/>
        <v/>
      </c>
      <c r="R521" s="378" t="str">
        <f t="shared" si="132"/>
        <v/>
      </c>
      <c r="S521" s="602">
        <v>310500</v>
      </c>
      <c r="T521" s="378" t="str">
        <f>+IFERROR(VLOOKUP(S521,STAT1!$C$4:$D$189,2,FALSE),"")</f>
        <v>НӨАТ өглөг</v>
      </c>
      <c r="U521" s="1225"/>
      <c r="V521" s="1216">
        <v>144000</v>
      </c>
      <c r="W521" s="326">
        <v>3041</v>
      </c>
      <c r="X521" s="328" t="str">
        <f>IFERROR(VLOOKUP(W521,DATA!$G$4:$H$400,2,FALSE),"")</f>
        <v>БҮТЭЭГЧ ХХК</v>
      </c>
      <c r="Y521" s="1205"/>
      <c r="Z521" s="1205"/>
      <c r="AA521" s="1205"/>
    </row>
    <row r="522" spans="1:27" ht="12.75" customHeight="1">
      <c r="A522" s="15">
        <v>130</v>
      </c>
      <c r="B522" s="369">
        <f t="shared" si="135"/>
        <v>517</v>
      </c>
      <c r="C522" s="427">
        <v>42886</v>
      </c>
      <c r="D522" s="426"/>
      <c r="E522" s="425" t="str">
        <f t="shared" ca="1" si="133"/>
        <v/>
      </c>
      <c r="F522" s="428" t="str">
        <f t="shared" ca="1" si="127"/>
        <v/>
      </c>
      <c r="G522" s="378"/>
      <c r="H522" s="378"/>
      <c r="I522" s="378"/>
      <c r="J522" s="378"/>
      <c r="K522" s="1220"/>
      <c r="L522" s="378"/>
      <c r="M522" s="378"/>
      <c r="N522" s="378" t="str">
        <f t="shared" si="134"/>
        <v/>
      </c>
      <c r="O522" s="378" t="str">
        <f t="shared" si="129"/>
        <v/>
      </c>
      <c r="P522" s="378" t="str">
        <f t="shared" si="130"/>
        <v/>
      </c>
      <c r="Q522" s="378" t="str">
        <f t="shared" si="131"/>
        <v/>
      </c>
      <c r="R522" s="378" t="str">
        <f t="shared" si="132"/>
        <v/>
      </c>
      <c r="S522" s="602">
        <v>510000</v>
      </c>
      <c r="T522" s="378" t="str">
        <f>+IFERROR(VLOOKUP(S522,STAT1!$C$4:$D$189,2,FALSE),"")</f>
        <v>Үндсэн үйл ажиллагааны борлуулалт</v>
      </c>
      <c r="U522" s="1225"/>
      <c r="V522" s="1216">
        <v>1440000</v>
      </c>
      <c r="W522" s="326">
        <v>3041</v>
      </c>
      <c r="X522" s="328" t="str">
        <f>IFERROR(VLOOKUP(W522,DATA!$G$4:$H$400,2,FALSE),"")</f>
        <v>БҮТЭЭГЧ ХХК</v>
      </c>
      <c r="Y522" s="1205"/>
      <c r="Z522" s="1205"/>
      <c r="AA522" s="1205"/>
    </row>
    <row r="523" spans="1:27" ht="12.75" customHeight="1">
      <c r="A523" s="15">
        <v>130</v>
      </c>
      <c r="B523" s="369">
        <f t="shared" si="135"/>
        <v>518</v>
      </c>
      <c r="C523" s="427">
        <v>42886</v>
      </c>
      <c r="D523" s="426"/>
      <c r="E523" s="425" t="str">
        <f t="shared" ca="1" si="133"/>
        <v/>
      </c>
      <c r="F523" s="428" t="str">
        <f t="shared" ca="1" si="127"/>
        <v/>
      </c>
      <c r="G523" s="378"/>
      <c r="H523" s="378"/>
      <c r="I523" s="378"/>
      <c r="J523" s="378"/>
      <c r="K523" s="1220"/>
      <c r="L523" s="378"/>
      <c r="M523" s="378"/>
      <c r="N523" s="378" t="str">
        <f t="shared" si="134"/>
        <v/>
      </c>
      <c r="O523" s="378" t="str">
        <f t="shared" si="129"/>
        <v/>
      </c>
      <c r="P523" s="378" t="str">
        <f t="shared" si="130"/>
        <v/>
      </c>
      <c r="Q523" s="378" t="str">
        <f t="shared" si="131"/>
        <v/>
      </c>
      <c r="R523" s="378" t="str">
        <f t="shared" si="132"/>
        <v/>
      </c>
      <c r="S523" s="602">
        <v>320100</v>
      </c>
      <c r="T523" s="378" t="str">
        <f>+IFERROR(VLOOKUP(S523,STAT1!$C$4:$D$189,2,FALSE),"")</f>
        <v>Урьдчилж орсон орлого MNT</v>
      </c>
      <c r="U523" s="1225">
        <v>1584000</v>
      </c>
      <c r="V523" s="1216"/>
      <c r="W523" s="326">
        <v>3041</v>
      </c>
      <c r="X523" s="328" t="str">
        <f>IFERROR(VLOOKUP(W523,DATA!$G$4:$H$400,2,FALSE),"")</f>
        <v>БҮТЭЭГЧ ХХК</v>
      </c>
      <c r="Y523" s="1205"/>
      <c r="Z523" s="1205"/>
      <c r="AA523" s="1205"/>
    </row>
    <row r="524" spans="1:27" ht="12.75" customHeight="1">
      <c r="A524" s="15">
        <v>131</v>
      </c>
      <c r="B524" s="369">
        <f t="shared" si="135"/>
        <v>519</v>
      </c>
      <c r="C524" s="427">
        <v>42886</v>
      </c>
      <c r="D524" s="426">
        <v>211713</v>
      </c>
      <c r="E524" s="425" t="str">
        <f t="shared" ca="1" si="133"/>
        <v>Н-Хавтан /зузаан-2см/</v>
      </c>
      <c r="F524" s="428" t="str">
        <f t="shared" ca="1" si="127"/>
        <v>м2</v>
      </c>
      <c r="G524" s="378"/>
      <c r="H524" s="378"/>
      <c r="I524" s="378"/>
      <c r="J524" s="378"/>
      <c r="K524" s="1220"/>
      <c r="L524" s="378">
        <v>2.04</v>
      </c>
      <c r="M524" s="378">
        <v>30000</v>
      </c>
      <c r="N524" s="378">
        <f t="shared" si="134"/>
        <v>61200</v>
      </c>
      <c r="O524" s="378">
        <f t="shared" si="129"/>
        <v>6120</v>
      </c>
      <c r="P524" s="378">
        <f t="shared" si="130"/>
        <v>67320</v>
      </c>
      <c r="Q524" s="378">
        <f t="shared" ca="1" si="131"/>
        <v>20836.299698816012</v>
      </c>
      <c r="R524" s="378">
        <f t="shared" ca="1" si="132"/>
        <v>42506.051385584666</v>
      </c>
      <c r="S524" s="602">
        <v>150101</v>
      </c>
      <c r="T524" s="378" t="str">
        <f>+IFERROR(VLOOKUP(S524,STAT1!$C$4:$D$189,2,FALSE),"")</f>
        <v>Бараа бэлэн бүтээгдэхүүн БОЛОВСРУУЛАХ ЦЕХ /нарс/</v>
      </c>
      <c r="U524" s="1225"/>
      <c r="V524" s="1216">
        <v>42506.051385584666</v>
      </c>
      <c r="W524" s="326">
        <v>3051</v>
      </c>
      <c r="X524" s="328" t="str">
        <f>IFERROR(VLOOKUP(W524,DATA!$G$4:$H$400,2,FALSE),"")</f>
        <v xml:space="preserve">НОМАДС ТУР ХХК </v>
      </c>
      <c r="Y524" s="1205"/>
      <c r="Z524" s="1205"/>
      <c r="AA524" s="1205"/>
    </row>
    <row r="525" spans="1:27" ht="12.75" customHeight="1">
      <c r="A525" s="15">
        <v>131</v>
      </c>
      <c r="B525" s="369">
        <f t="shared" si="135"/>
        <v>520</v>
      </c>
      <c r="C525" s="427">
        <v>42886</v>
      </c>
      <c r="D525" s="426"/>
      <c r="E525" s="425" t="str">
        <f t="shared" ca="1" si="133"/>
        <v/>
      </c>
      <c r="F525" s="428" t="str">
        <f t="shared" ca="1" si="127"/>
        <v/>
      </c>
      <c r="G525" s="378"/>
      <c r="H525" s="378"/>
      <c r="I525" s="378"/>
      <c r="J525" s="378"/>
      <c r="K525" s="1220"/>
      <c r="L525" s="378"/>
      <c r="M525" s="378"/>
      <c r="N525" s="378" t="str">
        <f t="shared" si="134"/>
        <v/>
      </c>
      <c r="O525" s="378" t="str">
        <f t="shared" si="129"/>
        <v/>
      </c>
      <c r="P525" s="378" t="str">
        <f t="shared" si="130"/>
        <v/>
      </c>
      <c r="Q525" s="378" t="str">
        <f t="shared" si="131"/>
        <v/>
      </c>
      <c r="R525" s="378" t="str">
        <f t="shared" si="132"/>
        <v/>
      </c>
      <c r="S525" s="602">
        <v>610100</v>
      </c>
      <c r="T525" s="378" t="str">
        <f>+IFERROR(VLOOKUP(S525,STAT1!$C$4:$D$189,2,FALSE),"")</f>
        <v>Борлуулсан барааны өртөг</v>
      </c>
      <c r="U525" s="1216">
        <v>42506.051385584666</v>
      </c>
      <c r="V525" s="1216"/>
      <c r="W525" s="326">
        <v>3051</v>
      </c>
      <c r="X525" s="328" t="str">
        <f>IFERROR(VLOOKUP(W525,DATA!$G$4:$H$400,2,FALSE),"")</f>
        <v xml:space="preserve">НОМАДС ТУР ХХК </v>
      </c>
      <c r="Y525" s="1205"/>
      <c r="Z525" s="1205"/>
      <c r="AA525" s="1205"/>
    </row>
    <row r="526" spans="1:27" ht="12.75" customHeight="1">
      <c r="A526" s="15">
        <v>131</v>
      </c>
      <c r="B526" s="369">
        <f t="shared" si="135"/>
        <v>521</v>
      </c>
      <c r="C526" s="427">
        <v>42886</v>
      </c>
      <c r="D526" s="426"/>
      <c r="E526" s="425" t="str">
        <f t="shared" ref="E526:E541" ca="1" si="136">+IFERROR(VLOOKUP(D526,TN_table,2,FALSE),"")</f>
        <v/>
      </c>
      <c r="F526" s="428" t="str">
        <f t="shared" ref="F526:F589" ca="1" si="137">+IFERROR(VLOOKUP(D526,TN_table,3,FALSE),"")</f>
        <v/>
      </c>
      <c r="G526" s="378"/>
      <c r="H526" s="378"/>
      <c r="I526" s="378"/>
      <c r="J526" s="378"/>
      <c r="K526" s="1220"/>
      <c r="L526" s="378"/>
      <c r="M526" s="378"/>
      <c r="N526" s="378" t="str">
        <f t="shared" ref="N526:N555" si="138">+IF(L526="","",L526*M526)</f>
        <v/>
      </c>
      <c r="O526" s="378" t="str">
        <f t="shared" ref="O526:O589" si="139">+IF(L526="","",N526*0.1)</f>
        <v/>
      </c>
      <c r="P526" s="378" t="str">
        <f t="shared" ref="P526:P589" si="140">+IF(L526="","",N526+O526)</f>
        <v/>
      </c>
      <c r="Q526" s="378" t="str">
        <f t="shared" ref="Q526:Q589" si="141">IF(L526="","",IFERROR((SUMIFS(TN_balC1_totol,TN_code,D526)+SUMIFS(RC_or_totol,RC_Code,D526,RC_date,"&lt;="&amp;C526)-SUMIFS(RC_zar_totol,RC_Code,D526,RC_date,"&lt;"&amp;C526)) /( SUMIFS(TN_balC1_unit,TN_code,D526)+SUMIFS(RC_or_unit,RC_Code,D526,RC_date,"&lt;="&amp;C526)-SUMIFS(RC_zar_unit,RC_Code,D526,RC_date,"&lt;"&amp;C526)),0 ))</f>
        <v/>
      </c>
      <c r="R526" s="378" t="str">
        <f t="shared" ref="R526:R589" si="142">+IF(L526="","",L526*Q526)</f>
        <v/>
      </c>
      <c r="S526" s="602">
        <v>310500</v>
      </c>
      <c r="T526" s="378" t="str">
        <f>+IFERROR(VLOOKUP(S526,STAT1!$C$4:$D$189,2,FALSE),"")</f>
        <v>НӨАТ өглөг</v>
      </c>
      <c r="U526" s="1225"/>
      <c r="V526" s="1216">
        <v>6120</v>
      </c>
      <c r="W526" s="326">
        <v>3051</v>
      </c>
      <c r="X526" s="328" t="str">
        <f>IFERROR(VLOOKUP(W526,DATA!$G$4:$H$400,2,FALSE),"")</f>
        <v xml:space="preserve">НОМАДС ТУР ХХК </v>
      </c>
      <c r="Y526" s="1205"/>
      <c r="Z526" s="1205"/>
      <c r="AA526" s="1205"/>
    </row>
    <row r="527" spans="1:27" ht="12.75" customHeight="1">
      <c r="A527" s="15">
        <v>131</v>
      </c>
      <c r="B527" s="369">
        <f t="shared" si="135"/>
        <v>522</v>
      </c>
      <c r="C527" s="427">
        <v>42886</v>
      </c>
      <c r="D527" s="426"/>
      <c r="E527" s="425" t="str">
        <f t="shared" ca="1" si="136"/>
        <v/>
      </c>
      <c r="F527" s="428" t="str">
        <f t="shared" ca="1" si="137"/>
        <v/>
      </c>
      <c r="G527" s="378"/>
      <c r="H527" s="378"/>
      <c r="I527" s="378"/>
      <c r="J527" s="378"/>
      <c r="K527" s="1220"/>
      <c r="L527" s="378"/>
      <c r="M527" s="378"/>
      <c r="N527" s="378" t="str">
        <f t="shared" si="138"/>
        <v/>
      </c>
      <c r="O527" s="378" t="str">
        <f t="shared" si="139"/>
        <v/>
      </c>
      <c r="P527" s="378" t="str">
        <f t="shared" si="140"/>
        <v/>
      </c>
      <c r="Q527" s="378" t="str">
        <f t="shared" si="141"/>
        <v/>
      </c>
      <c r="R527" s="378" t="str">
        <f t="shared" si="142"/>
        <v/>
      </c>
      <c r="S527" s="602">
        <v>510000</v>
      </c>
      <c r="T527" s="378" t="str">
        <f>+IFERROR(VLOOKUP(S527,STAT1!$C$4:$D$189,2,FALSE),"")</f>
        <v>Үндсэн үйл ажиллагааны борлуулалт</v>
      </c>
      <c r="U527" s="1225"/>
      <c r="V527" s="1216">
        <v>61200</v>
      </c>
      <c r="W527" s="326">
        <v>3051</v>
      </c>
      <c r="X527" s="328" t="str">
        <f>IFERROR(VLOOKUP(W527,DATA!$G$4:$H$400,2,FALSE),"")</f>
        <v xml:space="preserve">НОМАДС ТУР ХХК </v>
      </c>
      <c r="Y527" s="1205"/>
      <c r="Z527" s="1205"/>
      <c r="AA527" s="1205"/>
    </row>
    <row r="528" spans="1:27" ht="12.75" customHeight="1">
      <c r="A528" s="15">
        <v>131</v>
      </c>
      <c r="B528" s="369">
        <f t="shared" si="135"/>
        <v>523</v>
      </c>
      <c r="C528" s="427">
        <v>42886</v>
      </c>
      <c r="D528" s="426"/>
      <c r="E528" s="425" t="str">
        <f t="shared" ca="1" si="136"/>
        <v/>
      </c>
      <c r="F528" s="428" t="str">
        <f t="shared" ca="1" si="137"/>
        <v/>
      </c>
      <c r="G528" s="378"/>
      <c r="H528" s="378"/>
      <c r="I528" s="378"/>
      <c r="J528" s="378"/>
      <c r="K528" s="1220"/>
      <c r="L528" s="378"/>
      <c r="M528" s="378"/>
      <c r="N528" s="378" t="str">
        <f t="shared" si="138"/>
        <v/>
      </c>
      <c r="O528" s="378" t="str">
        <f t="shared" si="139"/>
        <v/>
      </c>
      <c r="P528" s="378" t="str">
        <f t="shared" si="140"/>
        <v/>
      </c>
      <c r="Q528" s="378" t="str">
        <f t="shared" si="141"/>
        <v/>
      </c>
      <c r="R528" s="378" t="str">
        <f t="shared" si="142"/>
        <v/>
      </c>
      <c r="S528" s="602">
        <v>320100</v>
      </c>
      <c r="T528" s="378" t="str">
        <f>+IFERROR(VLOOKUP(S528,STAT1!$C$4:$D$189,2,FALSE),"")</f>
        <v>Урьдчилж орсон орлого MNT</v>
      </c>
      <c r="U528" s="1225">
        <v>67320</v>
      </c>
      <c r="V528" s="1216"/>
      <c r="W528" s="326">
        <v>3051</v>
      </c>
      <c r="X528" s="328" t="str">
        <f>IFERROR(VLOOKUP(W528,DATA!$G$4:$H$400,2,FALSE),"")</f>
        <v xml:space="preserve">НОМАДС ТУР ХХК </v>
      </c>
      <c r="Y528" s="1205"/>
      <c r="Z528" s="1205"/>
      <c r="AA528" s="1205"/>
    </row>
    <row r="529" spans="1:27" ht="12.75" customHeight="1">
      <c r="A529" s="15">
        <v>132</v>
      </c>
      <c r="B529" s="369">
        <f t="shared" si="135"/>
        <v>524</v>
      </c>
      <c r="C529" s="427">
        <v>42886</v>
      </c>
      <c r="D529" s="426">
        <v>410082</v>
      </c>
      <c r="E529" s="425" t="str">
        <f t="shared" ca="1" si="136"/>
        <v>Будаг /Хонка/</v>
      </c>
      <c r="F529" s="428" t="str">
        <f t="shared" ca="1" si="137"/>
        <v>кг</v>
      </c>
      <c r="G529" s="378">
        <v>3.5</v>
      </c>
      <c r="H529" s="378">
        <v>19015.5844</v>
      </c>
      <c r="I529" s="378">
        <f>+IF(G529="","",G529*H529)</f>
        <v>66554.545400000003</v>
      </c>
      <c r="J529" s="378">
        <f>+IF(G529="","",I529*0.1)</f>
        <v>6655.4545400000006</v>
      </c>
      <c r="K529" s="1220">
        <f>+IF(G529="","",I529+J529)</f>
        <v>73209.999940000009</v>
      </c>
      <c r="L529" s="378"/>
      <c r="M529" s="378"/>
      <c r="N529" s="378" t="str">
        <f t="shared" si="138"/>
        <v/>
      </c>
      <c r="O529" s="378" t="str">
        <f t="shared" si="139"/>
        <v/>
      </c>
      <c r="P529" s="378" t="str">
        <f t="shared" si="140"/>
        <v/>
      </c>
      <c r="Q529" s="378" t="str">
        <f t="shared" si="141"/>
        <v/>
      </c>
      <c r="R529" s="378" t="str">
        <f t="shared" si="142"/>
        <v/>
      </c>
      <c r="S529" s="602">
        <v>160100</v>
      </c>
      <c r="T529" s="378" t="str">
        <f>+IFERROR(VLOOKUP(S529,STAT1!$C$4:$D$189,2,FALSE),"")</f>
        <v xml:space="preserve">Барилгын материал </v>
      </c>
      <c r="U529" s="1225">
        <v>66554.545400000003</v>
      </c>
      <c r="V529" s="1216"/>
      <c r="W529" s="326">
        <v>1005</v>
      </c>
      <c r="X529" s="328" t="str">
        <f>IFERROR(VLOOKUP(W529,DATA!$G$4:$H$400,2,FALSE),"")</f>
        <v>Золжаргал</v>
      </c>
      <c r="Y529" s="1205"/>
      <c r="Z529" s="1205"/>
      <c r="AA529" s="1205"/>
    </row>
    <row r="530" spans="1:27" ht="12.75" customHeight="1">
      <c r="A530" s="15">
        <v>132</v>
      </c>
      <c r="B530" s="369">
        <f t="shared" si="135"/>
        <v>525</v>
      </c>
      <c r="C530" s="427">
        <v>42886</v>
      </c>
      <c r="D530" s="426"/>
      <c r="E530" s="425" t="str">
        <f t="shared" ca="1" si="136"/>
        <v/>
      </c>
      <c r="F530" s="428" t="str">
        <f t="shared" ca="1" si="137"/>
        <v/>
      </c>
      <c r="G530" s="378"/>
      <c r="H530" s="378"/>
      <c r="I530" s="378" t="str">
        <f>+IF(G530="","",G530*H530)</f>
        <v/>
      </c>
      <c r="J530" s="378" t="str">
        <f>+IF(G530="","",I530*0.1)</f>
        <v/>
      </c>
      <c r="K530" s="1220" t="str">
        <f>+IF(G530="","",I530+J530)</f>
        <v/>
      </c>
      <c r="L530" s="378"/>
      <c r="M530" s="378"/>
      <c r="N530" s="378" t="str">
        <f t="shared" si="138"/>
        <v/>
      </c>
      <c r="O530" s="378" t="str">
        <f t="shared" si="139"/>
        <v/>
      </c>
      <c r="P530" s="378" t="str">
        <f t="shared" si="140"/>
        <v/>
      </c>
      <c r="Q530" s="378" t="str">
        <f t="shared" si="141"/>
        <v/>
      </c>
      <c r="R530" s="378" t="str">
        <f t="shared" si="142"/>
        <v/>
      </c>
      <c r="S530" s="602">
        <v>120600</v>
      </c>
      <c r="T530" s="378" t="str">
        <f>+IFERROR(VLOOKUP(S530,STAT1!$C$4:$D$189,2,FALSE),"")</f>
        <v>НӨАТ авлага</v>
      </c>
      <c r="U530" s="1225">
        <v>6655.4545400000006</v>
      </c>
      <c r="V530" s="1216"/>
      <c r="W530" s="326">
        <v>1005</v>
      </c>
      <c r="X530" s="328" t="str">
        <f>IFERROR(VLOOKUP(W530,DATA!$G$4:$H$400,2,FALSE),"")</f>
        <v>Золжаргал</v>
      </c>
      <c r="Y530" s="1205"/>
      <c r="Z530" s="1205"/>
      <c r="AA530" s="1205"/>
    </row>
    <row r="531" spans="1:27" ht="12.75" customHeight="1">
      <c r="A531" s="15">
        <v>132</v>
      </c>
      <c r="B531" s="369">
        <f t="shared" si="135"/>
        <v>526</v>
      </c>
      <c r="C531" s="427">
        <v>42886</v>
      </c>
      <c r="D531" s="426"/>
      <c r="E531" s="425" t="str">
        <f t="shared" ca="1" si="136"/>
        <v/>
      </c>
      <c r="F531" s="428" t="str">
        <f t="shared" ca="1" si="137"/>
        <v/>
      </c>
      <c r="G531" s="378"/>
      <c r="H531" s="378"/>
      <c r="I531" s="378" t="str">
        <f>+IF(G531="","",G531*H531)</f>
        <v/>
      </c>
      <c r="J531" s="378" t="str">
        <f>+IF(G531="","",I531*0.1)</f>
        <v/>
      </c>
      <c r="K531" s="1220" t="str">
        <f>+IF(G531="","",I531+J531)</f>
        <v/>
      </c>
      <c r="L531" s="378"/>
      <c r="M531" s="378"/>
      <c r="N531" s="378" t="str">
        <f t="shared" si="138"/>
        <v/>
      </c>
      <c r="O531" s="378" t="str">
        <f t="shared" si="139"/>
        <v/>
      </c>
      <c r="P531" s="378" t="str">
        <f t="shared" si="140"/>
        <v/>
      </c>
      <c r="Q531" s="378" t="str">
        <f t="shared" si="141"/>
        <v/>
      </c>
      <c r="R531" s="378" t="str">
        <f t="shared" si="142"/>
        <v/>
      </c>
      <c r="S531" s="602">
        <v>121200</v>
      </c>
      <c r="T531" s="378" t="str">
        <f>+IFERROR(VLOOKUP(S531,STAT1!$C$4:$D$189,2,FALSE),"")</f>
        <v xml:space="preserve">Ажилчидын дараа тайлангийн тооцоо </v>
      </c>
      <c r="U531" s="1225"/>
      <c r="V531" s="1216">
        <v>73209.999940000009</v>
      </c>
      <c r="W531" s="326">
        <v>1005</v>
      </c>
      <c r="X531" s="328" t="str">
        <f>IFERROR(VLOOKUP(W531,DATA!$G$4:$H$400,2,FALSE),"")</f>
        <v>Золжаргал</v>
      </c>
      <c r="Y531" s="1205"/>
      <c r="Z531" s="1205"/>
      <c r="AA531" s="1205"/>
    </row>
    <row r="532" spans="1:27" ht="12.75" customHeight="1">
      <c r="A532" s="15">
        <v>133</v>
      </c>
      <c r="B532" s="369">
        <f t="shared" si="135"/>
        <v>527</v>
      </c>
      <c r="C532" s="427">
        <v>42888</v>
      </c>
      <c r="D532" s="426">
        <v>211504</v>
      </c>
      <c r="E532" s="425" t="str">
        <f t="shared" ca="1" si="136"/>
        <v xml:space="preserve">Н-Евровагонка /зузаан-1.2см/-яртай </v>
      </c>
      <c r="F532" s="428" t="str">
        <f t="shared" ca="1" si="137"/>
        <v>м2</v>
      </c>
      <c r="G532" s="378"/>
      <c r="H532" s="378"/>
      <c r="I532" s="378"/>
      <c r="J532" s="378"/>
      <c r="K532" s="1220"/>
      <c r="L532" s="378">
        <v>38</v>
      </c>
      <c r="M532" s="378">
        <v>18005.741600000001</v>
      </c>
      <c r="N532" s="378">
        <f t="shared" si="138"/>
        <v>684218.18080000009</v>
      </c>
      <c r="O532" s="378">
        <f t="shared" si="139"/>
        <v>68421.818080000012</v>
      </c>
      <c r="P532" s="378">
        <f t="shared" si="140"/>
        <v>752639.99888000009</v>
      </c>
      <c r="Q532" s="378">
        <f t="shared" ca="1" si="141"/>
        <v>10540.117978141456</v>
      </c>
      <c r="R532" s="378">
        <f t="shared" ca="1" si="142"/>
        <v>400524.48316937534</v>
      </c>
      <c r="S532" s="602">
        <v>610100</v>
      </c>
      <c r="T532" s="378" t="str">
        <f>+IFERROR(VLOOKUP(S532,STAT1!$C$4:$D$189,2,FALSE),"")</f>
        <v>Борлуулсан барааны өртөг</v>
      </c>
      <c r="U532" s="1216">
        <v>801397.33</v>
      </c>
      <c r="V532" s="1216"/>
      <c r="W532" s="326">
        <v>4001</v>
      </c>
      <c r="X532" s="328" t="str">
        <f>IFERROR(VLOOKUP(W532,DATA!$G$4:$H$400,2,FALSE),"")</f>
        <v>Сайннямбуу</v>
      </c>
      <c r="Y532" s="1205"/>
      <c r="Z532" s="1205"/>
      <c r="AA532" s="1205"/>
    </row>
    <row r="533" spans="1:27" ht="12.75" customHeight="1">
      <c r="A533" s="15">
        <v>133</v>
      </c>
      <c r="B533" s="369">
        <f t="shared" si="135"/>
        <v>528</v>
      </c>
      <c r="C533" s="427">
        <v>42888</v>
      </c>
      <c r="D533" s="426">
        <v>211715</v>
      </c>
      <c r="E533" s="425" t="str">
        <f t="shared" ca="1" si="136"/>
        <v>Н-Хавтан /зузаан-1.8см/</v>
      </c>
      <c r="F533" s="428" t="str">
        <f t="shared" ca="1" si="137"/>
        <v>м2</v>
      </c>
      <c r="G533" s="378"/>
      <c r="H533" s="378"/>
      <c r="I533" s="378"/>
      <c r="J533" s="378"/>
      <c r="K533" s="1220"/>
      <c r="L533" s="378">
        <v>15.32</v>
      </c>
      <c r="M533" s="378">
        <v>28328.922500000001</v>
      </c>
      <c r="N533" s="378">
        <f t="shared" si="138"/>
        <v>433999.09270000004</v>
      </c>
      <c r="O533" s="378">
        <f t="shared" si="139"/>
        <v>43399.909270000004</v>
      </c>
      <c r="P533" s="378">
        <f t="shared" si="140"/>
        <v>477399.00197000004</v>
      </c>
      <c r="Q533" s="378">
        <f t="shared" ca="1" si="141"/>
        <v>18716.907616612858</v>
      </c>
      <c r="R533" s="378">
        <f t="shared" ca="1" si="142"/>
        <v>286743.02468650899</v>
      </c>
      <c r="S533" s="602">
        <v>310500</v>
      </c>
      <c r="T533" s="378" t="str">
        <f>+IFERROR(VLOOKUP(S533,STAT1!$C$4:$D$189,2,FALSE),"")</f>
        <v>НӨАТ өглөг</v>
      </c>
      <c r="U533" s="1225"/>
      <c r="V533" s="1216">
        <v>137921.72735</v>
      </c>
      <c r="W533" s="326">
        <v>4001</v>
      </c>
      <c r="X533" s="328" t="str">
        <f>IFERROR(VLOOKUP(W533,DATA!$G$4:$H$400,2,FALSE),"")</f>
        <v>Сайннямбуу</v>
      </c>
      <c r="Y533" s="1205"/>
      <c r="Z533" s="1205"/>
      <c r="AA533" s="1205"/>
    </row>
    <row r="534" spans="1:27" ht="12.75" customHeight="1">
      <c r="A534" s="15">
        <v>133</v>
      </c>
      <c r="B534" s="369">
        <f t="shared" si="135"/>
        <v>529</v>
      </c>
      <c r="C534" s="427">
        <v>42888</v>
      </c>
      <c r="D534" s="426"/>
      <c r="E534" s="425" t="str">
        <f t="shared" ca="1" si="136"/>
        <v/>
      </c>
      <c r="F534" s="428" t="str">
        <f t="shared" ca="1" si="137"/>
        <v/>
      </c>
      <c r="G534" s="378"/>
      <c r="H534" s="378"/>
      <c r="I534" s="378"/>
      <c r="J534" s="378"/>
      <c r="K534" s="1220"/>
      <c r="L534" s="378"/>
      <c r="M534" s="378"/>
      <c r="N534" s="378" t="str">
        <f t="shared" si="138"/>
        <v/>
      </c>
      <c r="O534" s="378" t="str">
        <f t="shared" si="139"/>
        <v/>
      </c>
      <c r="P534" s="378" t="str">
        <f t="shared" si="140"/>
        <v/>
      </c>
      <c r="Q534" s="378" t="str">
        <f t="shared" si="141"/>
        <v/>
      </c>
      <c r="R534" s="378" t="str">
        <f t="shared" si="142"/>
        <v/>
      </c>
      <c r="S534" s="602">
        <v>510000</v>
      </c>
      <c r="T534" s="378" t="str">
        <f>+IFERROR(VLOOKUP(S534,STAT1!$C$4:$D$189,2,FALSE),"")</f>
        <v>Үндсэн үйл ажиллагааны борлуулалт</v>
      </c>
      <c r="U534" s="1225"/>
      <c r="V534" s="1216">
        <v>1379217.2735000001</v>
      </c>
      <c r="W534" s="326">
        <v>4001</v>
      </c>
      <c r="X534" s="328" t="str">
        <f>IFERROR(VLOOKUP(W534,DATA!$G$4:$H$400,2,FALSE),"")</f>
        <v>Сайннямбуу</v>
      </c>
      <c r="Y534" s="1205"/>
      <c r="Z534" s="1205"/>
      <c r="AA534" s="1205"/>
    </row>
    <row r="535" spans="1:27" ht="12.75" customHeight="1">
      <c r="A535" s="15">
        <v>133</v>
      </c>
      <c r="B535" s="369">
        <f t="shared" si="135"/>
        <v>530</v>
      </c>
      <c r="C535" s="427">
        <v>42888</v>
      </c>
      <c r="D535" s="426"/>
      <c r="E535" s="425" t="str">
        <f t="shared" ca="1" si="136"/>
        <v/>
      </c>
      <c r="F535" s="428" t="str">
        <f t="shared" ca="1" si="137"/>
        <v/>
      </c>
      <c r="G535" s="378"/>
      <c r="H535" s="378"/>
      <c r="I535" s="378"/>
      <c r="J535" s="378"/>
      <c r="K535" s="1220"/>
      <c r="L535" s="378"/>
      <c r="M535" s="378"/>
      <c r="N535" s="378" t="str">
        <f t="shared" si="138"/>
        <v/>
      </c>
      <c r="O535" s="378" t="str">
        <f t="shared" si="139"/>
        <v/>
      </c>
      <c r="P535" s="378" t="str">
        <f t="shared" si="140"/>
        <v/>
      </c>
      <c r="Q535" s="378" t="str">
        <f t="shared" si="141"/>
        <v/>
      </c>
      <c r="R535" s="378" t="str">
        <f t="shared" si="142"/>
        <v/>
      </c>
      <c r="S535" s="602">
        <v>320100</v>
      </c>
      <c r="T535" s="378" t="str">
        <f>+IFERROR(VLOOKUP(S535,STAT1!$C$4:$D$189,2,FALSE),"")</f>
        <v>Урьдчилж орсон орлого MNT</v>
      </c>
      <c r="U535" s="1225">
        <v>1517139.0008500002</v>
      </c>
      <c r="V535" s="1216"/>
      <c r="W535" s="326">
        <v>4001</v>
      </c>
      <c r="X535" s="328" t="str">
        <f>IFERROR(VLOOKUP(W535,DATA!$G$4:$H$400,2,FALSE),"")</f>
        <v>Сайннямбуу</v>
      </c>
      <c r="Y535" s="1205"/>
      <c r="Z535" s="1205"/>
      <c r="AA535" s="1205"/>
    </row>
    <row r="536" spans="1:27" ht="12.75" customHeight="1">
      <c r="A536" s="15">
        <v>133</v>
      </c>
      <c r="B536" s="369">
        <f t="shared" si="135"/>
        <v>531</v>
      </c>
      <c r="C536" s="427">
        <v>42888</v>
      </c>
      <c r="D536" s="426">
        <v>211501</v>
      </c>
      <c r="E536" s="425" t="str">
        <f t="shared" ca="1" si="136"/>
        <v>Н-Евровагонка /зузаан-2.2см/</v>
      </c>
      <c r="F536" s="428" t="str">
        <f t="shared" ca="1" si="137"/>
        <v>м2</v>
      </c>
      <c r="G536" s="378"/>
      <c r="H536" s="378"/>
      <c r="I536" s="378"/>
      <c r="J536" s="378"/>
      <c r="K536" s="1220"/>
      <c r="L536" s="378">
        <v>8.6999999999999993</v>
      </c>
      <c r="M536" s="378">
        <v>30000</v>
      </c>
      <c r="N536" s="378">
        <f t="shared" si="138"/>
        <v>260999.99999999997</v>
      </c>
      <c r="O536" s="378">
        <f t="shared" si="139"/>
        <v>26100</v>
      </c>
      <c r="P536" s="378">
        <f t="shared" si="140"/>
        <v>287100</v>
      </c>
      <c r="Q536" s="378">
        <f t="shared" ca="1" si="141"/>
        <v>13118.369999999999</v>
      </c>
      <c r="R536" s="378">
        <f t="shared" ca="1" si="142"/>
        <v>114129.81899999999</v>
      </c>
      <c r="S536" s="602">
        <v>150101</v>
      </c>
      <c r="T536" s="378" t="str">
        <f>+IFERROR(VLOOKUP(S536,STAT1!$C$4:$D$189,2,FALSE),"")</f>
        <v>Бараа бэлэн бүтээгдэхүүн БОЛОВСРУУЛАХ ЦЕХ /нарс/</v>
      </c>
      <c r="U536" s="1225"/>
      <c r="V536" s="1216">
        <v>801397.33</v>
      </c>
      <c r="W536" s="326">
        <v>4001</v>
      </c>
      <c r="X536" s="328" t="str">
        <f>IFERROR(VLOOKUP(W536,DATA!$G$4:$H$400,2,FALSE),"")</f>
        <v>Сайннямбуу</v>
      </c>
      <c r="Y536" s="1205"/>
      <c r="Z536" s="1205"/>
      <c r="AA536" s="1205"/>
    </row>
    <row r="537" spans="1:27" ht="12.75" customHeight="1">
      <c r="A537" s="15">
        <v>131</v>
      </c>
      <c r="B537" s="369">
        <f t="shared" si="135"/>
        <v>532</v>
      </c>
      <c r="C537" s="427">
        <v>42889</v>
      </c>
      <c r="D537" s="426">
        <v>211501</v>
      </c>
      <c r="E537" s="425" t="str">
        <f t="shared" ca="1" si="136"/>
        <v>Н-Евровагонка /зузаан-2.2см/</v>
      </c>
      <c r="F537" s="428" t="str">
        <f t="shared" ca="1" si="137"/>
        <v>м2</v>
      </c>
      <c r="G537" s="378"/>
      <c r="H537" s="378"/>
      <c r="I537" s="378"/>
      <c r="J537" s="378"/>
      <c r="K537" s="1220"/>
      <c r="L537" s="378">
        <v>54</v>
      </c>
      <c r="M537" s="378">
        <v>30000</v>
      </c>
      <c r="N537" s="378">
        <f t="shared" si="138"/>
        <v>1620000</v>
      </c>
      <c r="O537" s="378">
        <f t="shared" si="139"/>
        <v>162000</v>
      </c>
      <c r="P537" s="378">
        <f t="shared" si="140"/>
        <v>1782000</v>
      </c>
      <c r="Q537" s="378">
        <f t="shared" ca="1" si="141"/>
        <v>13118.37</v>
      </c>
      <c r="R537" s="378">
        <f t="shared" ca="1" si="142"/>
        <v>708391.9800000001</v>
      </c>
      <c r="S537" s="602">
        <v>150101</v>
      </c>
      <c r="T537" s="378" t="str">
        <f>+IFERROR(VLOOKUP(S537,STAT1!$C$4:$D$189,2,FALSE),"")</f>
        <v>Бараа бэлэн бүтээгдэхүүн БОЛОВСРУУЛАХ ЦЕХ /нарс/</v>
      </c>
      <c r="U537" s="1225"/>
      <c r="V537" s="1216">
        <v>708391.98</v>
      </c>
      <c r="W537" s="326">
        <v>3042</v>
      </c>
      <c r="X537" s="328" t="str">
        <f>IFERROR(VLOOKUP(W537,DATA!$G$4:$H$400,2,FALSE),"")</f>
        <v xml:space="preserve">ЖУРМАК ХХК </v>
      </c>
      <c r="Y537" s="1205"/>
      <c r="Z537" s="1205"/>
      <c r="AA537" s="1205"/>
    </row>
    <row r="538" spans="1:27" ht="12.75" customHeight="1">
      <c r="A538" s="15">
        <v>131</v>
      </c>
      <c r="B538" s="369">
        <f t="shared" si="135"/>
        <v>533</v>
      </c>
      <c r="C538" s="427">
        <v>42889</v>
      </c>
      <c r="D538" s="426"/>
      <c r="E538" s="425" t="str">
        <f t="shared" ca="1" si="136"/>
        <v/>
      </c>
      <c r="F538" s="428" t="str">
        <f t="shared" ca="1" si="137"/>
        <v/>
      </c>
      <c r="G538" s="378"/>
      <c r="H538" s="378"/>
      <c r="I538" s="378"/>
      <c r="J538" s="378"/>
      <c r="K538" s="1220"/>
      <c r="L538" s="378"/>
      <c r="M538" s="378"/>
      <c r="N538" s="378" t="str">
        <f t="shared" si="138"/>
        <v/>
      </c>
      <c r="O538" s="378" t="str">
        <f t="shared" si="139"/>
        <v/>
      </c>
      <c r="P538" s="378" t="str">
        <f t="shared" si="140"/>
        <v/>
      </c>
      <c r="Q538" s="378" t="str">
        <f t="shared" si="141"/>
        <v/>
      </c>
      <c r="R538" s="378" t="str">
        <f t="shared" si="142"/>
        <v/>
      </c>
      <c r="S538" s="602">
        <v>610100</v>
      </c>
      <c r="T538" s="378" t="str">
        <f>+IFERROR(VLOOKUP(S538,STAT1!$C$4:$D$189,2,FALSE),"")</f>
        <v>Борлуулсан барааны өртөг</v>
      </c>
      <c r="U538" s="1225">
        <v>708391.98</v>
      </c>
      <c r="V538" s="1216"/>
      <c r="W538" s="326">
        <v>3042</v>
      </c>
      <c r="X538" s="328" t="str">
        <f>IFERROR(VLOOKUP(W538,DATA!$G$4:$H$400,2,FALSE),"")</f>
        <v xml:space="preserve">ЖУРМАК ХХК </v>
      </c>
      <c r="Y538" s="1205"/>
      <c r="Z538" s="1205"/>
      <c r="AA538" s="1205"/>
    </row>
    <row r="539" spans="1:27" ht="12.75" customHeight="1">
      <c r="A539" s="15">
        <v>131</v>
      </c>
      <c r="B539" s="369">
        <f t="shared" si="135"/>
        <v>534</v>
      </c>
      <c r="C539" s="427">
        <v>42889</v>
      </c>
      <c r="D539" s="426"/>
      <c r="E539" s="425" t="str">
        <f t="shared" ca="1" si="136"/>
        <v/>
      </c>
      <c r="F539" s="428" t="str">
        <f t="shared" ca="1" si="137"/>
        <v/>
      </c>
      <c r="G539" s="378"/>
      <c r="H539" s="378"/>
      <c r="I539" s="378"/>
      <c r="J539" s="378"/>
      <c r="K539" s="1220"/>
      <c r="L539" s="378"/>
      <c r="M539" s="378"/>
      <c r="N539" s="378" t="str">
        <f t="shared" si="138"/>
        <v/>
      </c>
      <c r="O539" s="378" t="str">
        <f t="shared" si="139"/>
        <v/>
      </c>
      <c r="P539" s="378" t="str">
        <f t="shared" si="140"/>
        <v/>
      </c>
      <c r="Q539" s="378" t="str">
        <f t="shared" si="141"/>
        <v/>
      </c>
      <c r="R539" s="378" t="str">
        <f t="shared" si="142"/>
        <v/>
      </c>
      <c r="S539" s="602">
        <v>310500</v>
      </c>
      <c r="T539" s="378" t="str">
        <f>+IFERROR(VLOOKUP(S539,STAT1!$C$4:$D$189,2,FALSE),"")</f>
        <v>НӨАТ өглөг</v>
      </c>
      <c r="U539" s="1225"/>
      <c r="V539" s="1216">
        <v>162000</v>
      </c>
      <c r="W539" s="326">
        <v>3042</v>
      </c>
      <c r="X539" s="328" t="str">
        <f>IFERROR(VLOOKUP(W539,DATA!$G$4:$H$400,2,FALSE),"")</f>
        <v xml:space="preserve">ЖУРМАК ХХК </v>
      </c>
      <c r="Y539" s="1205"/>
      <c r="Z539" s="1205"/>
      <c r="AA539" s="1205"/>
    </row>
    <row r="540" spans="1:27" ht="12.75" customHeight="1">
      <c r="A540" s="15">
        <v>131</v>
      </c>
      <c r="B540" s="369">
        <f t="shared" si="135"/>
        <v>535</v>
      </c>
      <c r="C540" s="427">
        <v>42889</v>
      </c>
      <c r="D540" s="426"/>
      <c r="E540" s="425" t="str">
        <f t="shared" ca="1" si="136"/>
        <v/>
      </c>
      <c r="F540" s="428" t="str">
        <f t="shared" ca="1" si="137"/>
        <v/>
      </c>
      <c r="G540" s="378"/>
      <c r="H540" s="378"/>
      <c r="I540" s="378"/>
      <c r="J540" s="378"/>
      <c r="K540" s="1220"/>
      <c r="L540" s="378"/>
      <c r="M540" s="378"/>
      <c r="N540" s="378" t="str">
        <f t="shared" si="138"/>
        <v/>
      </c>
      <c r="O540" s="378" t="str">
        <f t="shared" si="139"/>
        <v/>
      </c>
      <c r="P540" s="378" t="str">
        <f t="shared" si="140"/>
        <v/>
      </c>
      <c r="Q540" s="378" t="str">
        <f t="shared" si="141"/>
        <v/>
      </c>
      <c r="R540" s="378" t="str">
        <f t="shared" si="142"/>
        <v/>
      </c>
      <c r="S540" s="602">
        <v>510000</v>
      </c>
      <c r="T540" s="378" t="str">
        <f>+IFERROR(VLOOKUP(S540,STAT1!$C$4:$D$189,2,FALSE),"")</f>
        <v>Үндсэн үйл ажиллагааны борлуулалт</v>
      </c>
      <c r="U540" s="1225"/>
      <c r="V540" s="1216">
        <v>1620000</v>
      </c>
      <c r="W540" s="326">
        <v>3042</v>
      </c>
      <c r="X540" s="328" t="str">
        <f>IFERROR(VLOOKUP(W540,DATA!$G$4:$H$400,2,FALSE),"")</f>
        <v xml:space="preserve">ЖУРМАК ХХК </v>
      </c>
      <c r="Y540" s="1205"/>
      <c r="Z540" s="1205"/>
      <c r="AA540" s="1205"/>
    </row>
    <row r="541" spans="1:27" ht="12.75" customHeight="1">
      <c r="A541" s="15">
        <v>131</v>
      </c>
      <c r="B541" s="369">
        <f t="shared" si="135"/>
        <v>536</v>
      </c>
      <c r="C541" s="427">
        <v>42889</v>
      </c>
      <c r="D541" s="426"/>
      <c r="E541" s="425" t="str">
        <f t="shared" ca="1" si="136"/>
        <v/>
      </c>
      <c r="F541" s="428" t="str">
        <f t="shared" ca="1" si="137"/>
        <v/>
      </c>
      <c r="G541" s="378"/>
      <c r="H541" s="378"/>
      <c r="I541" s="378"/>
      <c r="J541" s="378"/>
      <c r="K541" s="1220"/>
      <c r="L541" s="378"/>
      <c r="M541" s="378"/>
      <c r="N541" s="378" t="str">
        <f t="shared" si="138"/>
        <v/>
      </c>
      <c r="O541" s="378" t="str">
        <f t="shared" si="139"/>
        <v/>
      </c>
      <c r="P541" s="378" t="str">
        <f t="shared" si="140"/>
        <v/>
      </c>
      <c r="Q541" s="378" t="str">
        <f t="shared" si="141"/>
        <v/>
      </c>
      <c r="R541" s="378" t="str">
        <f t="shared" si="142"/>
        <v/>
      </c>
      <c r="S541" s="602">
        <v>320100</v>
      </c>
      <c r="T541" s="378" t="str">
        <f>+IFERROR(VLOOKUP(S541,STAT1!$C$4:$D$189,2,FALSE),"")</f>
        <v>Урьдчилж орсон орлого MNT</v>
      </c>
      <c r="U541" s="1225">
        <v>1782000</v>
      </c>
      <c r="V541" s="1216"/>
      <c r="W541" s="326">
        <v>3042</v>
      </c>
      <c r="X541" s="328" t="str">
        <f>IFERROR(VLOOKUP(W541,DATA!$G$4:$H$400,2,FALSE),"")</f>
        <v xml:space="preserve">ЖУРМАК ХХК </v>
      </c>
      <c r="Y541" s="1205"/>
      <c r="Z541" s="1205"/>
      <c r="AA541" s="1205"/>
    </row>
    <row r="542" spans="1:27" ht="12.75" customHeight="1">
      <c r="A542" s="15">
        <v>132</v>
      </c>
      <c r="B542" s="369">
        <f t="shared" si="135"/>
        <v>537</v>
      </c>
      <c r="C542" s="427">
        <v>42893</v>
      </c>
      <c r="D542" s="426">
        <v>410085</v>
      </c>
      <c r="E542" s="425" t="s">
        <v>1640</v>
      </c>
      <c r="F542" s="428" t="str">
        <f t="shared" ca="1" si="137"/>
        <v>кг</v>
      </c>
      <c r="G542" s="378">
        <v>135</v>
      </c>
      <c r="H542" s="378">
        <v>7555.55555</v>
      </c>
      <c r="I542" s="378">
        <f>+IF(G542="","",G542*H542)</f>
        <v>1019999.99925</v>
      </c>
      <c r="J542" s="378">
        <f>+IF(G542="","",I542*0.1)</f>
        <v>101999.99992500001</v>
      </c>
      <c r="K542" s="1220">
        <f>+IF(G542="","",I542+J542)</f>
        <v>1121999.999175</v>
      </c>
      <c r="L542" s="378"/>
      <c r="M542" s="378"/>
      <c r="N542" s="378" t="str">
        <f t="shared" si="138"/>
        <v/>
      </c>
      <c r="O542" s="378" t="str">
        <f t="shared" si="139"/>
        <v/>
      </c>
      <c r="P542" s="378" t="str">
        <f t="shared" si="140"/>
        <v/>
      </c>
      <c r="Q542" s="378" t="str">
        <f t="shared" si="141"/>
        <v/>
      </c>
      <c r="R542" s="378" t="str">
        <f t="shared" si="142"/>
        <v/>
      </c>
      <c r="S542" s="602">
        <v>160100</v>
      </c>
      <c r="T542" s="378" t="str">
        <f>+IFERROR(VLOOKUP(S542,STAT1!$C$4:$D$189,2,FALSE),"")</f>
        <v xml:space="preserve">Барилгын материал </v>
      </c>
      <c r="U542" s="1225">
        <v>1199999.9992499999</v>
      </c>
      <c r="V542" s="1216"/>
      <c r="W542" s="326">
        <v>3017</v>
      </c>
      <c r="X542" s="328" t="str">
        <f>IFERROR(VLOOKUP(W542,DATA!$G$4:$H$400,2,FALSE),"")</f>
        <v xml:space="preserve">ВОС ХХК </v>
      </c>
      <c r="Y542" s="1205"/>
      <c r="Z542" s="1205"/>
      <c r="AA542" s="1205"/>
    </row>
    <row r="543" spans="1:27" ht="12.75" customHeight="1">
      <c r="A543" s="15">
        <v>132</v>
      </c>
      <c r="B543" s="369">
        <f t="shared" si="135"/>
        <v>538</v>
      </c>
      <c r="C543" s="427">
        <v>42893</v>
      </c>
      <c r="D543" s="426">
        <v>410054</v>
      </c>
      <c r="E543" s="425" t="s">
        <v>1637</v>
      </c>
      <c r="F543" s="428" t="str">
        <f t="shared" ca="1" si="137"/>
        <v>ш</v>
      </c>
      <c r="G543" s="378">
        <v>100</v>
      </c>
      <c r="H543" s="378">
        <v>1800</v>
      </c>
      <c r="I543" s="378">
        <f>+IF(G543="","",G543*H543)</f>
        <v>180000</v>
      </c>
      <c r="J543" s="378">
        <f>+IF(G543="","",I543*0.1)</f>
        <v>18000</v>
      </c>
      <c r="K543" s="1220">
        <f>+IF(G543="","",I543+J543)</f>
        <v>198000</v>
      </c>
      <c r="L543" s="378"/>
      <c r="M543" s="378"/>
      <c r="N543" s="378" t="str">
        <f t="shared" si="138"/>
        <v/>
      </c>
      <c r="O543" s="378" t="str">
        <f t="shared" si="139"/>
        <v/>
      </c>
      <c r="P543" s="378" t="str">
        <f t="shared" si="140"/>
        <v/>
      </c>
      <c r="Q543" s="378" t="str">
        <f t="shared" si="141"/>
        <v/>
      </c>
      <c r="R543" s="378" t="str">
        <f t="shared" si="142"/>
        <v/>
      </c>
      <c r="S543" s="602">
        <v>120600</v>
      </c>
      <c r="T543" s="378" t="str">
        <f>+IFERROR(VLOOKUP(S543,STAT1!$C$4:$D$189,2,FALSE),"")</f>
        <v>НӨАТ авлага</v>
      </c>
      <c r="U543" s="1225">
        <v>119999.99992500001</v>
      </c>
      <c r="V543" s="1216"/>
      <c r="W543" s="326">
        <v>3017</v>
      </c>
      <c r="X543" s="328" t="str">
        <f>IFERROR(VLOOKUP(W543,DATA!$G$4:$H$400,2,FALSE),"")</f>
        <v xml:space="preserve">ВОС ХХК </v>
      </c>
      <c r="Y543" s="1205"/>
      <c r="Z543" s="1205"/>
      <c r="AA543" s="1205"/>
    </row>
    <row r="544" spans="1:27" ht="12.75" customHeight="1">
      <c r="A544" s="15">
        <v>132</v>
      </c>
      <c r="B544" s="369">
        <f t="shared" si="135"/>
        <v>539</v>
      </c>
      <c r="C544" s="427">
        <v>42893</v>
      </c>
      <c r="D544" s="426"/>
      <c r="E544" s="425"/>
      <c r="F544" s="428" t="str">
        <f t="shared" ca="1" si="137"/>
        <v/>
      </c>
      <c r="G544" s="378"/>
      <c r="H544" s="378"/>
      <c r="I544" s="378" t="str">
        <f>+IF(G544="","",G544*H544)</f>
        <v/>
      </c>
      <c r="J544" s="378" t="str">
        <f>+IF(G544="","",I544*0.1)</f>
        <v/>
      </c>
      <c r="K544" s="1220" t="str">
        <f>+IF(G544="","",I544+J544)</f>
        <v/>
      </c>
      <c r="L544" s="378"/>
      <c r="M544" s="378"/>
      <c r="N544" s="378" t="str">
        <f t="shared" si="138"/>
        <v/>
      </c>
      <c r="O544" s="378" t="str">
        <f t="shared" si="139"/>
        <v/>
      </c>
      <c r="P544" s="378" t="str">
        <f t="shared" si="140"/>
        <v/>
      </c>
      <c r="Q544" s="378" t="str">
        <f t="shared" si="141"/>
        <v/>
      </c>
      <c r="R544" s="378" t="str">
        <f t="shared" si="142"/>
        <v/>
      </c>
      <c r="S544" s="602">
        <v>120100</v>
      </c>
      <c r="T544" s="378" t="str">
        <f>+IFERROR(VLOOKUP(S544,STAT1!$C$4:$D$189,2,FALSE),"")</f>
        <v xml:space="preserve">Дансны авлага MNT </v>
      </c>
      <c r="U544" s="1225"/>
      <c r="V544" s="1216">
        <v>1319999.999175</v>
      </c>
      <c r="W544" s="326">
        <v>3017</v>
      </c>
      <c r="X544" s="328" t="str">
        <f>IFERROR(VLOOKUP(W544,DATA!$G$4:$H$400,2,FALSE),"")</f>
        <v xml:space="preserve">ВОС ХХК </v>
      </c>
      <c r="Y544" s="1205"/>
      <c r="Z544" s="1205"/>
      <c r="AA544" s="1205"/>
    </row>
    <row r="545" spans="1:27" ht="12.75" customHeight="1">
      <c r="A545" s="15">
        <v>133</v>
      </c>
      <c r="B545" s="369">
        <f t="shared" si="135"/>
        <v>540</v>
      </c>
      <c r="C545" s="427">
        <v>42896</v>
      </c>
      <c r="D545" s="426">
        <v>211501</v>
      </c>
      <c r="E545" s="425" t="str">
        <f t="shared" ref="E545:E584" ca="1" si="143">+IFERROR(VLOOKUP(D545,TN_table,2,FALSE),"")</f>
        <v>Н-Евровагонка /зузаан-2.2см/</v>
      </c>
      <c r="F545" s="428" t="str">
        <f t="shared" ca="1" si="137"/>
        <v>м2</v>
      </c>
      <c r="G545" s="378"/>
      <c r="H545" s="378"/>
      <c r="I545" s="378"/>
      <c r="J545" s="378"/>
      <c r="K545" s="1220"/>
      <c r="L545" s="378">
        <v>26.7</v>
      </c>
      <c r="M545" s="378">
        <v>30000</v>
      </c>
      <c r="N545" s="378">
        <f t="shared" si="138"/>
        <v>801000</v>
      </c>
      <c r="O545" s="378">
        <f t="shared" si="139"/>
        <v>80100</v>
      </c>
      <c r="P545" s="378">
        <f t="shared" si="140"/>
        <v>881100</v>
      </c>
      <c r="Q545" s="378">
        <f t="shared" ca="1" si="141"/>
        <v>13118.37</v>
      </c>
      <c r="R545" s="378">
        <f t="shared" ca="1" si="142"/>
        <v>350260.47899999999</v>
      </c>
      <c r="S545" s="602">
        <v>150101</v>
      </c>
      <c r="T545" s="378" t="str">
        <f>+IFERROR(VLOOKUP(S545,STAT1!$C$4:$D$189,2,FALSE),"")</f>
        <v>Бараа бэлэн бүтээгдэхүүн БОЛОВСРУУЛАХ ЦЕХ /нарс/</v>
      </c>
      <c r="U545" s="1225"/>
      <c r="V545" s="1216">
        <v>350260.47899999999</v>
      </c>
      <c r="W545" s="326">
        <v>3073</v>
      </c>
      <c r="X545" s="328" t="str">
        <f>IFERROR(VLOOKUP(W545,DATA!$G$4:$H$400,2,FALSE),"")</f>
        <v>ХАНГАЛ КОНСТРАКШН ХХК</v>
      </c>
      <c r="Y545" s="1205"/>
      <c r="Z545" s="1205"/>
      <c r="AA545" s="1205"/>
    </row>
    <row r="546" spans="1:27" ht="12.75" customHeight="1">
      <c r="A546" s="15">
        <v>133</v>
      </c>
      <c r="B546" s="369">
        <f t="shared" si="135"/>
        <v>541</v>
      </c>
      <c r="C546" s="427">
        <v>42896</v>
      </c>
      <c r="D546" s="426"/>
      <c r="E546" s="425" t="str">
        <f t="shared" ca="1" si="143"/>
        <v/>
      </c>
      <c r="F546" s="428" t="str">
        <f t="shared" ca="1" si="137"/>
        <v/>
      </c>
      <c r="G546" s="378"/>
      <c r="H546" s="378"/>
      <c r="I546" s="378"/>
      <c r="J546" s="378"/>
      <c r="K546" s="1220"/>
      <c r="L546" s="378"/>
      <c r="M546" s="378"/>
      <c r="N546" s="378" t="str">
        <f t="shared" si="138"/>
        <v/>
      </c>
      <c r="O546" s="378" t="str">
        <f t="shared" si="139"/>
        <v/>
      </c>
      <c r="P546" s="378" t="str">
        <f t="shared" si="140"/>
        <v/>
      </c>
      <c r="Q546" s="378" t="str">
        <f t="shared" si="141"/>
        <v/>
      </c>
      <c r="R546" s="378" t="str">
        <f t="shared" si="142"/>
        <v/>
      </c>
      <c r="S546" s="602">
        <v>610100</v>
      </c>
      <c r="T546" s="378" t="str">
        <f>+IFERROR(VLOOKUP(S546,STAT1!$C$4:$D$189,2,FALSE),"")</f>
        <v>Борлуулсан барааны өртөг</v>
      </c>
      <c r="U546" s="1225">
        <v>350260.47899999999</v>
      </c>
      <c r="V546" s="1216"/>
      <c r="W546" s="326">
        <v>3073</v>
      </c>
      <c r="X546" s="328" t="str">
        <f>IFERROR(VLOOKUP(W546,DATA!$G$4:$H$400,2,FALSE),"")</f>
        <v>ХАНГАЛ КОНСТРАКШН ХХК</v>
      </c>
      <c r="Y546" s="1205"/>
      <c r="Z546" s="1205"/>
      <c r="AA546" s="1205"/>
    </row>
    <row r="547" spans="1:27" ht="12.75" customHeight="1">
      <c r="A547" s="15">
        <v>133</v>
      </c>
      <c r="B547" s="369">
        <f t="shared" si="135"/>
        <v>542</v>
      </c>
      <c r="C547" s="427">
        <v>42896</v>
      </c>
      <c r="D547" s="426"/>
      <c r="E547" s="425" t="str">
        <f t="shared" ca="1" si="143"/>
        <v/>
      </c>
      <c r="F547" s="428" t="str">
        <f t="shared" ca="1" si="137"/>
        <v/>
      </c>
      <c r="G547" s="378"/>
      <c r="H547" s="378"/>
      <c r="I547" s="378"/>
      <c r="J547" s="378"/>
      <c r="K547" s="1220"/>
      <c r="L547" s="378"/>
      <c r="M547" s="378"/>
      <c r="N547" s="378" t="str">
        <f t="shared" si="138"/>
        <v/>
      </c>
      <c r="O547" s="378" t="str">
        <f t="shared" si="139"/>
        <v/>
      </c>
      <c r="P547" s="378" t="str">
        <f t="shared" si="140"/>
        <v/>
      </c>
      <c r="Q547" s="378" t="str">
        <f t="shared" si="141"/>
        <v/>
      </c>
      <c r="R547" s="378" t="str">
        <f t="shared" si="142"/>
        <v/>
      </c>
      <c r="S547" s="602">
        <v>310500</v>
      </c>
      <c r="T547" s="378" t="str">
        <f>+IFERROR(VLOOKUP(S547,STAT1!$C$4:$D$189,2,FALSE),"")</f>
        <v>НӨАТ өглөг</v>
      </c>
      <c r="U547" s="1225"/>
      <c r="V547" s="1216">
        <v>80100</v>
      </c>
      <c r="W547" s="326">
        <v>3073</v>
      </c>
      <c r="X547" s="328" t="str">
        <f>IFERROR(VLOOKUP(W547,DATA!$G$4:$H$400,2,FALSE),"")</f>
        <v>ХАНГАЛ КОНСТРАКШН ХХК</v>
      </c>
      <c r="Y547" s="1205"/>
      <c r="Z547" s="1205"/>
      <c r="AA547" s="1205"/>
    </row>
    <row r="548" spans="1:27" ht="12.75" customHeight="1">
      <c r="A548" s="15">
        <v>133</v>
      </c>
      <c r="B548" s="369">
        <f t="shared" si="135"/>
        <v>543</v>
      </c>
      <c r="C548" s="427">
        <v>42896</v>
      </c>
      <c r="D548" s="426"/>
      <c r="E548" s="425" t="str">
        <f t="shared" ca="1" si="143"/>
        <v/>
      </c>
      <c r="F548" s="428" t="str">
        <f t="shared" ca="1" si="137"/>
        <v/>
      </c>
      <c r="G548" s="378"/>
      <c r="H548" s="378"/>
      <c r="I548" s="378"/>
      <c r="J548" s="378"/>
      <c r="K548" s="1220"/>
      <c r="L548" s="378"/>
      <c r="M548" s="378"/>
      <c r="N548" s="378" t="str">
        <f t="shared" si="138"/>
        <v/>
      </c>
      <c r="O548" s="378" t="str">
        <f t="shared" si="139"/>
        <v/>
      </c>
      <c r="P548" s="378" t="str">
        <f t="shared" si="140"/>
        <v/>
      </c>
      <c r="Q548" s="378" t="str">
        <f t="shared" si="141"/>
        <v/>
      </c>
      <c r="R548" s="378" t="str">
        <f t="shared" si="142"/>
        <v/>
      </c>
      <c r="S548" s="602">
        <v>510000</v>
      </c>
      <c r="T548" s="378" t="str">
        <f>+IFERROR(VLOOKUP(S548,STAT1!$C$4:$D$189,2,FALSE),"")</f>
        <v>Үндсэн үйл ажиллагааны борлуулалт</v>
      </c>
      <c r="U548" s="1225"/>
      <c r="V548" s="1216">
        <v>801000</v>
      </c>
      <c r="W548" s="326">
        <v>3073</v>
      </c>
      <c r="X548" s="328" t="str">
        <f>IFERROR(VLOOKUP(W548,DATA!$G$4:$H$400,2,FALSE),"")</f>
        <v>ХАНГАЛ КОНСТРАКШН ХХК</v>
      </c>
      <c r="Y548" s="1205"/>
      <c r="Z548" s="1205"/>
      <c r="AA548" s="1205"/>
    </row>
    <row r="549" spans="1:27" ht="12.75" customHeight="1">
      <c r="A549" s="15">
        <v>133</v>
      </c>
      <c r="B549" s="369">
        <f t="shared" si="135"/>
        <v>544</v>
      </c>
      <c r="C549" s="427">
        <v>42896</v>
      </c>
      <c r="D549" s="426"/>
      <c r="E549" s="425" t="str">
        <f t="shared" ca="1" si="143"/>
        <v/>
      </c>
      <c r="F549" s="428" t="str">
        <f t="shared" ca="1" si="137"/>
        <v/>
      </c>
      <c r="G549" s="378"/>
      <c r="H549" s="378"/>
      <c r="I549" s="378"/>
      <c r="J549" s="378"/>
      <c r="K549" s="1220"/>
      <c r="L549" s="378"/>
      <c r="M549" s="378"/>
      <c r="N549" s="378" t="str">
        <f t="shared" si="138"/>
        <v/>
      </c>
      <c r="O549" s="378" t="str">
        <f t="shared" si="139"/>
        <v/>
      </c>
      <c r="P549" s="378" t="str">
        <f t="shared" si="140"/>
        <v/>
      </c>
      <c r="Q549" s="378" t="str">
        <f t="shared" si="141"/>
        <v/>
      </c>
      <c r="R549" s="378" t="str">
        <f t="shared" si="142"/>
        <v/>
      </c>
      <c r="S549" s="602">
        <v>320100</v>
      </c>
      <c r="T549" s="378" t="str">
        <f>+IFERROR(VLOOKUP(S549,STAT1!$C$4:$D$189,2,FALSE),"")</f>
        <v>Урьдчилж орсон орлого MNT</v>
      </c>
      <c r="U549" s="1225">
        <v>881100</v>
      </c>
      <c r="V549" s="1216"/>
      <c r="W549" s="326">
        <v>3073</v>
      </c>
      <c r="X549" s="328" t="str">
        <f>IFERROR(VLOOKUP(W549,DATA!$G$4:$H$400,2,FALSE),"")</f>
        <v>ХАНГАЛ КОНСТРАКШН ХХК</v>
      </c>
      <c r="Y549" s="1205"/>
      <c r="Z549" s="1205"/>
      <c r="AA549" s="1205"/>
    </row>
    <row r="550" spans="1:27" ht="12.75" customHeight="1">
      <c r="A550" s="15">
        <v>134</v>
      </c>
      <c r="B550" s="369">
        <f t="shared" si="135"/>
        <v>545</v>
      </c>
      <c r="C550" s="427">
        <v>42896</v>
      </c>
      <c r="D550" s="426">
        <v>211504</v>
      </c>
      <c r="E550" s="425" t="str">
        <f t="shared" ca="1" si="143"/>
        <v xml:space="preserve">Н-Евровагонка /зузаан-1.2см/-яртай </v>
      </c>
      <c r="F550" s="428" t="str">
        <f t="shared" ca="1" si="137"/>
        <v>м2</v>
      </c>
      <c r="G550" s="378"/>
      <c r="H550" s="378"/>
      <c r="I550" s="378"/>
      <c r="J550" s="378"/>
      <c r="K550" s="1220"/>
      <c r="L550" s="378">
        <v>23.47</v>
      </c>
      <c r="M550" s="378">
        <v>18006.1201</v>
      </c>
      <c r="N550" s="378">
        <f t="shared" si="138"/>
        <v>422603.63874699996</v>
      </c>
      <c r="O550" s="378">
        <f t="shared" si="139"/>
        <v>42260.3638747</v>
      </c>
      <c r="P550" s="378">
        <f t="shared" si="140"/>
        <v>464864.00262169994</v>
      </c>
      <c r="Q550" s="378">
        <f t="shared" ca="1" si="141"/>
        <v>10540.117978141456</v>
      </c>
      <c r="R550" s="378">
        <f t="shared" ca="1" si="142"/>
        <v>247376.56894697994</v>
      </c>
      <c r="S550" s="602">
        <v>150101</v>
      </c>
      <c r="T550" s="378" t="str">
        <f>+IFERROR(VLOOKUP(S550,STAT1!$C$4:$D$189,2,FALSE),"")</f>
        <v>Бараа бэлэн бүтээгдэхүүн БОЛОВСРУУЛАХ ЦЕХ /нарс/</v>
      </c>
      <c r="U550" s="1225"/>
      <c r="V550" s="1216">
        <v>247376.56894697994</v>
      </c>
      <c r="W550" s="326">
        <v>3071</v>
      </c>
      <c r="X550" s="328" t="str">
        <f>IFERROR(VLOOKUP(W550,DATA!$G$4:$H$400,2,FALSE),"")</f>
        <v>ЭЛ ВИ ЭЙС ХХК</v>
      </c>
      <c r="Y550" s="1205"/>
      <c r="Z550" s="1205"/>
      <c r="AA550" s="1205"/>
    </row>
    <row r="551" spans="1:27" ht="12.75" customHeight="1">
      <c r="A551" s="15">
        <v>134</v>
      </c>
      <c r="B551" s="369">
        <f t="shared" si="135"/>
        <v>546</v>
      </c>
      <c r="C551" s="427">
        <v>42896</v>
      </c>
      <c r="D551" s="426"/>
      <c r="E551" s="425" t="str">
        <f t="shared" ca="1" si="143"/>
        <v/>
      </c>
      <c r="F551" s="428" t="str">
        <f t="shared" ca="1" si="137"/>
        <v/>
      </c>
      <c r="G551" s="378"/>
      <c r="H551" s="378"/>
      <c r="I551" s="378"/>
      <c r="J551" s="378"/>
      <c r="K551" s="1220"/>
      <c r="L551" s="378"/>
      <c r="M551" s="378"/>
      <c r="N551" s="378" t="str">
        <f t="shared" si="138"/>
        <v/>
      </c>
      <c r="O551" s="378" t="str">
        <f t="shared" si="139"/>
        <v/>
      </c>
      <c r="P551" s="378" t="str">
        <f t="shared" si="140"/>
        <v/>
      </c>
      <c r="Q551" s="378" t="str">
        <f t="shared" si="141"/>
        <v/>
      </c>
      <c r="R551" s="378" t="str">
        <f t="shared" si="142"/>
        <v/>
      </c>
      <c r="S551" s="602">
        <v>610100</v>
      </c>
      <c r="T551" s="378" t="str">
        <f>+IFERROR(VLOOKUP(S551,STAT1!$C$4:$D$189,2,FALSE),"")</f>
        <v>Борлуулсан барааны өртөг</v>
      </c>
      <c r="U551" s="1216">
        <v>247376.56894697994</v>
      </c>
      <c r="V551" s="1216"/>
      <c r="W551" s="326">
        <v>3071</v>
      </c>
      <c r="X551" s="328" t="str">
        <f>IFERROR(VLOOKUP(W551,DATA!$G$4:$H$400,2,FALSE),"")</f>
        <v>ЭЛ ВИ ЭЙС ХХК</v>
      </c>
      <c r="Y551" s="1205"/>
      <c r="Z551" s="1205"/>
      <c r="AA551" s="1205"/>
    </row>
    <row r="552" spans="1:27" ht="12.75" customHeight="1">
      <c r="A552" s="15">
        <v>134</v>
      </c>
      <c r="B552" s="369">
        <f t="shared" si="135"/>
        <v>547</v>
      </c>
      <c r="C552" s="427">
        <v>42896</v>
      </c>
      <c r="D552" s="426"/>
      <c r="E552" s="425" t="str">
        <f t="shared" ca="1" si="143"/>
        <v/>
      </c>
      <c r="F552" s="428" t="str">
        <f t="shared" ca="1" si="137"/>
        <v/>
      </c>
      <c r="G552" s="378"/>
      <c r="H552" s="378"/>
      <c r="I552" s="378"/>
      <c r="J552" s="378"/>
      <c r="K552" s="1220"/>
      <c r="L552" s="378"/>
      <c r="M552" s="378"/>
      <c r="N552" s="378" t="str">
        <f t="shared" si="138"/>
        <v/>
      </c>
      <c r="O552" s="378" t="str">
        <f t="shared" si="139"/>
        <v/>
      </c>
      <c r="P552" s="378" t="str">
        <f t="shared" si="140"/>
        <v/>
      </c>
      <c r="Q552" s="378" t="str">
        <f t="shared" si="141"/>
        <v/>
      </c>
      <c r="R552" s="378" t="str">
        <f t="shared" si="142"/>
        <v/>
      </c>
      <c r="S552" s="602">
        <v>310500</v>
      </c>
      <c r="T552" s="378" t="str">
        <f>+IFERROR(VLOOKUP(S552,STAT1!$C$4:$D$189,2,FALSE),"")</f>
        <v>НӨАТ өглөг</v>
      </c>
      <c r="U552" s="1225"/>
      <c r="V552" s="1216">
        <v>42260.3638747</v>
      </c>
      <c r="W552" s="326">
        <v>3071</v>
      </c>
      <c r="X552" s="328" t="str">
        <f>IFERROR(VLOOKUP(W552,DATA!$G$4:$H$400,2,FALSE),"")</f>
        <v>ЭЛ ВИ ЭЙС ХХК</v>
      </c>
      <c r="Y552" s="1205"/>
      <c r="Z552" s="1205"/>
      <c r="AA552" s="1205"/>
    </row>
    <row r="553" spans="1:27" ht="12.75" customHeight="1">
      <c r="A553" s="15">
        <v>134</v>
      </c>
      <c r="B553" s="369">
        <f t="shared" si="135"/>
        <v>548</v>
      </c>
      <c r="C553" s="427">
        <v>42896</v>
      </c>
      <c r="D553" s="426"/>
      <c r="E553" s="425" t="str">
        <f t="shared" ca="1" si="143"/>
        <v/>
      </c>
      <c r="F553" s="428" t="str">
        <f t="shared" ca="1" si="137"/>
        <v/>
      </c>
      <c r="G553" s="378"/>
      <c r="H553" s="378"/>
      <c r="I553" s="378"/>
      <c r="J553" s="378"/>
      <c r="K553" s="1220"/>
      <c r="L553" s="378"/>
      <c r="M553" s="378"/>
      <c r="N553" s="378" t="str">
        <f t="shared" si="138"/>
        <v/>
      </c>
      <c r="O553" s="378" t="str">
        <f t="shared" si="139"/>
        <v/>
      </c>
      <c r="P553" s="378" t="str">
        <f t="shared" si="140"/>
        <v/>
      </c>
      <c r="Q553" s="378" t="str">
        <f t="shared" si="141"/>
        <v/>
      </c>
      <c r="R553" s="378" t="str">
        <f t="shared" si="142"/>
        <v/>
      </c>
      <c r="S553" s="602">
        <v>510000</v>
      </c>
      <c r="T553" s="378" t="str">
        <f>+IFERROR(VLOOKUP(S553,STAT1!$C$4:$D$189,2,FALSE),"")</f>
        <v>Үндсэн үйл ажиллагааны борлуулалт</v>
      </c>
      <c r="U553" s="1225"/>
      <c r="V553" s="1216">
        <v>422603.63874699996</v>
      </c>
      <c r="W553" s="326">
        <v>3071</v>
      </c>
      <c r="X553" s="328" t="str">
        <f>IFERROR(VLOOKUP(W553,DATA!$G$4:$H$400,2,FALSE),"")</f>
        <v>ЭЛ ВИ ЭЙС ХХК</v>
      </c>
      <c r="Y553" s="1205"/>
      <c r="Z553" s="1205"/>
      <c r="AA553" s="1205"/>
    </row>
    <row r="554" spans="1:27" ht="12.75" customHeight="1">
      <c r="A554" s="15">
        <v>134</v>
      </c>
      <c r="B554" s="369">
        <f t="shared" si="135"/>
        <v>549</v>
      </c>
      <c r="C554" s="427">
        <v>42896</v>
      </c>
      <c r="D554" s="426"/>
      <c r="E554" s="425" t="str">
        <f t="shared" ca="1" si="143"/>
        <v/>
      </c>
      <c r="F554" s="428" t="str">
        <f t="shared" ca="1" si="137"/>
        <v/>
      </c>
      <c r="G554" s="378"/>
      <c r="H554" s="378"/>
      <c r="I554" s="378"/>
      <c r="J554" s="378"/>
      <c r="K554" s="1220"/>
      <c r="L554" s="378"/>
      <c r="M554" s="378"/>
      <c r="N554" s="378" t="str">
        <f t="shared" si="138"/>
        <v/>
      </c>
      <c r="O554" s="378" t="str">
        <f t="shared" si="139"/>
        <v/>
      </c>
      <c r="P554" s="378" t="str">
        <f t="shared" si="140"/>
        <v/>
      </c>
      <c r="Q554" s="378" t="str">
        <f t="shared" si="141"/>
        <v/>
      </c>
      <c r="R554" s="378" t="str">
        <f t="shared" si="142"/>
        <v/>
      </c>
      <c r="S554" s="602">
        <v>320100</v>
      </c>
      <c r="T554" s="378" t="str">
        <f>+IFERROR(VLOOKUP(S554,STAT1!$C$4:$D$189,2,FALSE),"")</f>
        <v>Урьдчилж орсон орлого MNT</v>
      </c>
      <c r="U554" s="1225">
        <v>464864.00262169994</v>
      </c>
      <c r="V554" s="1216"/>
      <c r="W554" s="326">
        <v>3071</v>
      </c>
      <c r="X554" s="328" t="str">
        <f>IFERROR(VLOOKUP(W554,DATA!$G$4:$H$400,2,FALSE),"")</f>
        <v>ЭЛ ВИ ЭЙС ХХК</v>
      </c>
      <c r="Y554" s="1205"/>
      <c r="Z554" s="1205"/>
      <c r="AA554" s="1205"/>
    </row>
    <row r="555" spans="1:27" ht="12.75" customHeight="1">
      <c r="A555" s="15">
        <v>135</v>
      </c>
      <c r="B555" s="369">
        <f t="shared" si="135"/>
        <v>550</v>
      </c>
      <c r="C555" s="427">
        <v>42898</v>
      </c>
      <c r="D555" s="426">
        <v>211715</v>
      </c>
      <c r="E555" s="425" t="str">
        <f t="shared" ca="1" si="143"/>
        <v>Н-Хавтан /зузаан-1.8см/</v>
      </c>
      <c r="F555" s="428" t="str">
        <f t="shared" ca="1" si="137"/>
        <v>м2</v>
      </c>
      <c r="G555" s="378"/>
      <c r="H555" s="378"/>
      <c r="I555" s="378"/>
      <c r="J555" s="378"/>
      <c r="K555" s="1220"/>
      <c r="L555" s="378">
        <v>25.27</v>
      </c>
      <c r="M555" s="378">
        <v>28332.554</v>
      </c>
      <c r="N555" s="378">
        <f t="shared" si="138"/>
        <v>715963.63957999996</v>
      </c>
      <c r="O555" s="378">
        <f t="shared" si="139"/>
        <v>71596.363958000002</v>
      </c>
      <c r="P555" s="378">
        <f t="shared" si="140"/>
        <v>787560.00353799993</v>
      </c>
      <c r="Q555" s="378">
        <f t="shared" ca="1" si="141"/>
        <v>18716.907616612854</v>
      </c>
      <c r="R555" s="378">
        <f t="shared" ca="1" si="142"/>
        <v>472976.2554718068</v>
      </c>
      <c r="S555" s="602">
        <v>150101</v>
      </c>
      <c r="T555" s="378" t="str">
        <f>+IFERROR(VLOOKUP(S555,STAT1!$C$4:$D$189,2,FALSE),"")</f>
        <v>Бараа бэлэн бүтээгдэхүүн БОЛОВСРУУЛАХ ЦЕХ /нарс/</v>
      </c>
      <c r="U555" s="1225"/>
      <c r="V555" s="1216">
        <v>472976.2554718068</v>
      </c>
      <c r="W555" s="326">
        <v>3042</v>
      </c>
      <c r="X555" s="328" t="str">
        <f>IFERROR(VLOOKUP(W555,DATA!$G$4:$H$400,2,FALSE),"")</f>
        <v xml:space="preserve">ЖУРМАК ХХК </v>
      </c>
      <c r="Y555" s="1205"/>
      <c r="Z555" s="1205"/>
      <c r="AA555" s="1205"/>
    </row>
    <row r="556" spans="1:27" ht="12.75" customHeight="1">
      <c r="A556" s="15">
        <v>135</v>
      </c>
      <c r="B556" s="369">
        <f t="shared" si="135"/>
        <v>551</v>
      </c>
      <c r="C556" s="427">
        <v>42898</v>
      </c>
      <c r="D556" s="426"/>
      <c r="E556" s="425" t="str">
        <f t="shared" ca="1" si="143"/>
        <v/>
      </c>
      <c r="F556" s="428" t="str">
        <f t="shared" ca="1" si="137"/>
        <v/>
      </c>
      <c r="G556" s="378"/>
      <c r="H556" s="378"/>
      <c r="I556" s="378"/>
      <c r="J556" s="378"/>
      <c r="K556" s="1220"/>
      <c r="L556" s="378"/>
      <c r="M556" s="378"/>
      <c r="N556" s="378"/>
      <c r="O556" s="378" t="str">
        <f t="shared" si="139"/>
        <v/>
      </c>
      <c r="P556" s="378" t="str">
        <f t="shared" si="140"/>
        <v/>
      </c>
      <c r="Q556" s="378" t="str">
        <f t="shared" si="141"/>
        <v/>
      </c>
      <c r="R556" s="378" t="str">
        <f t="shared" si="142"/>
        <v/>
      </c>
      <c r="S556" s="602">
        <v>610100</v>
      </c>
      <c r="T556" s="378" t="str">
        <f>+IFERROR(VLOOKUP(S556,STAT1!$C$4:$D$189,2,FALSE),"")</f>
        <v>Борлуулсан барааны өртөг</v>
      </c>
      <c r="U556" s="1216">
        <v>472976.2554718068</v>
      </c>
      <c r="V556" s="1216"/>
      <c r="W556" s="326">
        <v>3042</v>
      </c>
      <c r="X556" s="328" t="str">
        <f>IFERROR(VLOOKUP(W556,DATA!$G$4:$H$400,2,FALSE),"")</f>
        <v xml:space="preserve">ЖУРМАК ХХК </v>
      </c>
      <c r="Y556" s="1205"/>
      <c r="Z556" s="1205"/>
      <c r="AA556" s="1205"/>
    </row>
    <row r="557" spans="1:27" ht="12.75" customHeight="1">
      <c r="A557" s="15">
        <v>135</v>
      </c>
      <c r="B557" s="369">
        <f t="shared" si="135"/>
        <v>552</v>
      </c>
      <c r="C557" s="427">
        <v>42898</v>
      </c>
      <c r="D557" s="426"/>
      <c r="E557" s="425" t="str">
        <f t="shared" ca="1" si="143"/>
        <v/>
      </c>
      <c r="F557" s="428" t="str">
        <f t="shared" ca="1" si="137"/>
        <v/>
      </c>
      <c r="G557" s="378"/>
      <c r="H557" s="378"/>
      <c r="I557" s="378"/>
      <c r="J557" s="378"/>
      <c r="K557" s="1220"/>
      <c r="L557" s="378"/>
      <c r="M557" s="378"/>
      <c r="N557" s="378"/>
      <c r="O557" s="378" t="str">
        <f t="shared" si="139"/>
        <v/>
      </c>
      <c r="P557" s="378" t="str">
        <f t="shared" si="140"/>
        <v/>
      </c>
      <c r="Q557" s="378" t="str">
        <f t="shared" si="141"/>
        <v/>
      </c>
      <c r="R557" s="378" t="str">
        <f t="shared" si="142"/>
        <v/>
      </c>
      <c r="S557" s="602">
        <v>310500</v>
      </c>
      <c r="T557" s="378" t="str">
        <f>+IFERROR(VLOOKUP(S557,STAT1!$C$4:$D$189,2,FALSE),"")</f>
        <v>НӨАТ өглөг</v>
      </c>
      <c r="U557" s="1225"/>
      <c r="V557" s="1216">
        <v>71596.363958000002</v>
      </c>
      <c r="W557" s="326">
        <v>3042</v>
      </c>
      <c r="X557" s="328" t="str">
        <f>IFERROR(VLOOKUP(W557,DATA!$G$4:$H$400,2,FALSE),"")</f>
        <v xml:space="preserve">ЖУРМАК ХХК </v>
      </c>
      <c r="Y557" s="1205"/>
      <c r="Z557" s="1205"/>
      <c r="AA557" s="1205"/>
    </row>
    <row r="558" spans="1:27" ht="12.75" customHeight="1">
      <c r="A558" s="15">
        <v>135</v>
      </c>
      <c r="B558" s="369">
        <f t="shared" si="135"/>
        <v>553</v>
      </c>
      <c r="C558" s="427">
        <v>42898</v>
      </c>
      <c r="D558" s="426"/>
      <c r="E558" s="425" t="str">
        <f t="shared" ca="1" si="143"/>
        <v/>
      </c>
      <c r="F558" s="428" t="str">
        <f t="shared" ca="1" si="137"/>
        <v/>
      </c>
      <c r="G558" s="378"/>
      <c r="H558" s="378"/>
      <c r="I558" s="378"/>
      <c r="J558" s="378"/>
      <c r="K558" s="1220"/>
      <c r="L558" s="378"/>
      <c r="M558" s="378"/>
      <c r="N558" s="378" t="str">
        <f t="shared" ref="N558:N603" si="144">+IF(L558="","",L558*M558)</f>
        <v/>
      </c>
      <c r="O558" s="378" t="str">
        <f t="shared" si="139"/>
        <v/>
      </c>
      <c r="P558" s="378" t="str">
        <f t="shared" si="140"/>
        <v/>
      </c>
      <c r="Q558" s="378" t="str">
        <f t="shared" si="141"/>
        <v/>
      </c>
      <c r="R558" s="378" t="str">
        <f t="shared" si="142"/>
        <v/>
      </c>
      <c r="S558" s="602">
        <v>510000</v>
      </c>
      <c r="T558" s="378" t="str">
        <f>+IFERROR(VLOOKUP(S558,STAT1!$C$4:$D$189,2,FALSE),"")</f>
        <v>Үндсэн үйл ажиллагааны борлуулалт</v>
      </c>
      <c r="U558" s="1225"/>
      <c r="V558" s="1216">
        <v>715963.63957999996</v>
      </c>
      <c r="W558" s="326">
        <v>3042</v>
      </c>
      <c r="X558" s="328" t="str">
        <f>IFERROR(VLOOKUP(W558,DATA!$G$4:$H$400,2,FALSE),"")</f>
        <v xml:space="preserve">ЖУРМАК ХХК </v>
      </c>
      <c r="Y558" s="1205"/>
      <c r="Z558" s="1205"/>
      <c r="AA558" s="1205"/>
    </row>
    <row r="559" spans="1:27" ht="12.75" customHeight="1">
      <c r="A559" s="15">
        <v>135</v>
      </c>
      <c r="B559" s="369">
        <f t="shared" si="135"/>
        <v>554</v>
      </c>
      <c r="C559" s="427">
        <v>42898</v>
      </c>
      <c r="D559" s="426"/>
      <c r="E559" s="425" t="str">
        <f t="shared" ca="1" si="143"/>
        <v/>
      </c>
      <c r="F559" s="428" t="str">
        <f t="shared" ca="1" si="137"/>
        <v/>
      </c>
      <c r="G559" s="378"/>
      <c r="H559" s="378"/>
      <c r="I559" s="378"/>
      <c r="J559" s="378"/>
      <c r="K559" s="1220"/>
      <c r="L559" s="378"/>
      <c r="M559" s="378"/>
      <c r="N559" s="378" t="str">
        <f t="shared" si="144"/>
        <v/>
      </c>
      <c r="O559" s="378" t="str">
        <f t="shared" si="139"/>
        <v/>
      </c>
      <c r="P559" s="378" t="str">
        <f t="shared" si="140"/>
        <v/>
      </c>
      <c r="Q559" s="378" t="str">
        <f t="shared" si="141"/>
        <v/>
      </c>
      <c r="R559" s="378" t="str">
        <f t="shared" si="142"/>
        <v/>
      </c>
      <c r="S559" s="602">
        <v>320100</v>
      </c>
      <c r="T559" s="378" t="str">
        <f>+IFERROR(VLOOKUP(S559,STAT1!$C$4:$D$189,2,FALSE),"")</f>
        <v>Урьдчилж орсон орлого MNT</v>
      </c>
      <c r="U559" s="1216">
        <v>787560.00353799993</v>
      </c>
      <c r="V559" s="1216"/>
      <c r="W559" s="326">
        <v>3042</v>
      </c>
      <c r="X559" s="328" t="str">
        <f>IFERROR(VLOOKUP(W559,DATA!$G$4:$H$400,2,FALSE),"")</f>
        <v xml:space="preserve">ЖУРМАК ХХК </v>
      </c>
      <c r="Y559" s="1205"/>
      <c r="Z559" s="1205"/>
      <c r="AA559" s="1205"/>
    </row>
    <row r="560" spans="1:27" ht="12.75" customHeight="1">
      <c r="A560" s="15">
        <v>136</v>
      </c>
      <c r="B560" s="369">
        <f t="shared" si="135"/>
        <v>555</v>
      </c>
      <c r="C560" s="427">
        <v>42898</v>
      </c>
      <c r="D560" s="426">
        <v>211715</v>
      </c>
      <c r="E560" s="425" t="str">
        <f t="shared" ca="1" si="143"/>
        <v>Н-Хавтан /зузаан-1.8см/</v>
      </c>
      <c r="F560" s="428" t="str">
        <f t="shared" ca="1" si="137"/>
        <v>м2</v>
      </c>
      <c r="G560" s="378"/>
      <c r="H560" s="378"/>
      <c r="I560" s="378"/>
      <c r="J560" s="378"/>
      <c r="K560" s="1220"/>
      <c r="L560" s="378">
        <v>57.75</v>
      </c>
      <c r="M560" s="378">
        <v>28335.301100000001</v>
      </c>
      <c r="N560" s="378">
        <f t="shared" si="144"/>
        <v>1636363.6385250001</v>
      </c>
      <c r="O560" s="378">
        <f t="shared" si="139"/>
        <v>163636.36385250001</v>
      </c>
      <c r="P560" s="378">
        <f t="shared" si="140"/>
        <v>1800000.0023775001</v>
      </c>
      <c r="Q560" s="378">
        <f t="shared" ca="1" si="141"/>
        <v>18716.907616612854</v>
      </c>
      <c r="R560" s="378">
        <f t="shared" ca="1" si="142"/>
        <v>1080901.4148593924</v>
      </c>
      <c r="S560" s="602">
        <v>150101</v>
      </c>
      <c r="T560" s="378" t="str">
        <f>+IFERROR(VLOOKUP(S560,STAT1!$C$4:$D$189,2,FALSE),"")</f>
        <v>Бараа бэлэн бүтээгдэхүүн БОЛОВСРУУЛАХ ЦЕХ /нарс/</v>
      </c>
      <c r="U560" s="1225"/>
      <c r="V560" s="1216">
        <v>1080901.4148593924</v>
      </c>
      <c r="W560" s="326">
        <v>3065</v>
      </c>
      <c r="X560" s="328" t="str">
        <f>IFERROR(VLOOKUP(W560,DATA!$G$4:$H$400,2,FALSE),"")</f>
        <v>СИТИ ПАЛАС ХХК</v>
      </c>
      <c r="Y560" s="1205"/>
      <c r="Z560" s="1205"/>
      <c r="AA560" s="1205"/>
    </row>
    <row r="561" spans="1:27" ht="12.75" customHeight="1">
      <c r="A561" s="15">
        <v>136</v>
      </c>
      <c r="B561" s="369">
        <f t="shared" si="135"/>
        <v>556</v>
      </c>
      <c r="C561" s="427">
        <v>42898</v>
      </c>
      <c r="D561" s="426"/>
      <c r="E561" s="425" t="str">
        <f t="shared" ca="1" si="143"/>
        <v/>
      </c>
      <c r="F561" s="428" t="str">
        <f t="shared" ca="1" si="137"/>
        <v/>
      </c>
      <c r="G561" s="378"/>
      <c r="H561" s="378"/>
      <c r="I561" s="378"/>
      <c r="J561" s="378"/>
      <c r="K561" s="1220"/>
      <c r="L561" s="378"/>
      <c r="M561" s="378"/>
      <c r="N561" s="378" t="str">
        <f t="shared" si="144"/>
        <v/>
      </c>
      <c r="O561" s="378" t="str">
        <f t="shared" si="139"/>
        <v/>
      </c>
      <c r="P561" s="378" t="str">
        <f t="shared" si="140"/>
        <v/>
      </c>
      <c r="Q561" s="378" t="str">
        <f t="shared" si="141"/>
        <v/>
      </c>
      <c r="R561" s="378" t="str">
        <f t="shared" si="142"/>
        <v/>
      </c>
      <c r="S561" s="602">
        <v>610100</v>
      </c>
      <c r="T561" s="378" t="str">
        <f>+IFERROR(VLOOKUP(S561,STAT1!$C$4:$D$189,2,FALSE),"")</f>
        <v>Борлуулсан барааны өртөг</v>
      </c>
      <c r="U561" s="1216">
        <v>1080901.4148593924</v>
      </c>
      <c r="V561" s="1216"/>
      <c r="W561" s="326">
        <v>3065</v>
      </c>
      <c r="X561" s="328" t="str">
        <f>IFERROR(VLOOKUP(W561,DATA!$G$4:$H$400,2,FALSE),"")</f>
        <v>СИТИ ПАЛАС ХХК</v>
      </c>
      <c r="Y561" s="1205"/>
      <c r="Z561" s="1205"/>
      <c r="AA561" s="1205"/>
    </row>
    <row r="562" spans="1:27" ht="12.75" customHeight="1">
      <c r="A562" s="15">
        <v>136</v>
      </c>
      <c r="B562" s="369">
        <f t="shared" si="135"/>
        <v>557</v>
      </c>
      <c r="C562" s="427">
        <v>42898</v>
      </c>
      <c r="D562" s="426"/>
      <c r="E562" s="425" t="str">
        <f t="shared" ca="1" si="143"/>
        <v/>
      </c>
      <c r="F562" s="428" t="str">
        <f t="shared" ca="1" si="137"/>
        <v/>
      </c>
      <c r="G562" s="378"/>
      <c r="H562" s="378"/>
      <c r="I562" s="378"/>
      <c r="J562" s="378"/>
      <c r="K562" s="1220"/>
      <c r="L562" s="378"/>
      <c r="M562" s="378"/>
      <c r="N562" s="378" t="str">
        <f t="shared" si="144"/>
        <v/>
      </c>
      <c r="O562" s="378" t="str">
        <f t="shared" si="139"/>
        <v/>
      </c>
      <c r="P562" s="378" t="str">
        <f t="shared" si="140"/>
        <v/>
      </c>
      <c r="Q562" s="378" t="str">
        <f t="shared" si="141"/>
        <v/>
      </c>
      <c r="R562" s="378" t="str">
        <f t="shared" si="142"/>
        <v/>
      </c>
      <c r="S562" s="602">
        <v>310500</v>
      </c>
      <c r="T562" s="378" t="str">
        <f>+IFERROR(VLOOKUP(S562,STAT1!$C$4:$D$189,2,FALSE),"")</f>
        <v>НӨАТ өглөг</v>
      </c>
      <c r="U562" s="1225"/>
      <c r="V562" s="1216">
        <v>163636.36385250001</v>
      </c>
      <c r="W562" s="326">
        <v>3065</v>
      </c>
      <c r="X562" s="328" t="str">
        <f>IFERROR(VLOOKUP(W562,DATA!$G$4:$H$400,2,FALSE),"")</f>
        <v>СИТИ ПАЛАС ХХК</v>
      </c>
      <c r="Y562" s="1205"/>
      <c r="Z562" s="1205"/>
      <c r="AA562" s="1205"/>
    </row>
    <row r="563" spans="1:27" ht="12.75" customHeight="1">
      <c r="A563" s="15">
        <v>136</v>
      </c>
      <c r="B563" s="369">
        <f t="shared" si="135"/>
        <v>558</v>
      </c>
      <c r="C563" s="427">
        <v>42898</v>
      </c>
      <c r="D563" s="426"/>
      <c r="E563" s="425" t="str">
        <f t="shared" ca="1" si="143"/>
        <v/>
      </c>
      <c r="F563" s="428" t="str">
        <f t="shared" ca="1" si="137"/>
        <v/>
      </c>
      <c r="G563" s="378"/>
      <c r="H563" s="378"/>
      <c r="I563" s="378"/>
      <c r="J563" s="378"/>
      <c r="K563" s="1220"/>
      <c r="L563" s="378"/>
      <c r="M563" s="378"/>
      <c r="N563" s="378" t="str">
        <f t="shared" si="144"/>
        <v/>
      </c>
      <c r="O563" s="378" t="str">
        <f t="shared" si="139"/>
        <v/>
      </c>
      <c r="P563" s="378" t="str">
        <f t="shared" si="140"/>
        <v/>
      </c>
      <c r="Q563" s="378" t="str">
        <f t="shared" si="141"/>
        <v/>
      </c>
      <c r="R563" s="378" t="str">
        <f t="shared" si="142"/>
        <v/>
      </c>
      <c r="S563" s="602">
        <v>510000</v>
      </c>
      <c r="T563" s="378" t="str">
        <f>+IFERROR(VLOOKUP(S563,STAT1!$C$4:$D$189,2,FALSE),"")</f>
        <v>Үндсэн үйл ажиллагааны борлуулалт</v>
      </c>
      <c r="U563" s="1225"/>
      <c r="V563" s="1216">
        <v>1636363.6385250001</v>
      </c>
      <c r="W563" s="326">
        <v>3065</v>
      </c>
      <c r="X563" s="328" t="str">
        <f>IFERROR(VLOOKUP(W563,DATA!$G$4:$H$400,2,FALSE),"")</f>
        <v>СИТИ ПАЛАС ХХК</v>
      </c>
      <c r="Y563" s="1205"/>
      <c r="Z563" s="1205"/>
      <c r="AA563" s="1205"/>
    </row>
    <row r="564" spans="1:27" ht="12.75" customHeight="1">
      <c r="A564" s="15">
        <v>136</v>
      </c>
      <c r="B564" s="369">
        <f t="shared" si="135"/>
        <v>559</v>
      </c>
      <c r="C564" s="427">
        <v>42898</v>
      </c>
      <c r="D564" s="426"/>
      <c r="E564" s="425" t="str">
        <f t="shared" ca="1" si="143"/>
        <v/>
      </c>
      <c r="F564" s="428" t="str">
        <f t="shared" ca="1" si="137"/>
        <v/>
      </c>
      <c r="G564" s="378"/>
      <c r="H564" s="378"/>
      <c r="I564" s="378"/>
      <c r="J564" s="378"/>
      <c r="K564" s="1220"/>
      <c r="L564" s="378"/>
      <c r="M564" s="378"/>
      <c r="N564" s="378" t="str">
        <f t="shared" si="144"/>
        <v/>
      </c>
      <c r="O564" s="378" t="str">
        <f t="shared" si="139"/>
        <v/>
      </c>
      <c r="P564" s="378" t="str">
        <f t="shared" si="140"/>
        <v/>
      </c>
      <c r="Q564" s="378" t="str">
        <f t="shared" si="141"/>
        <v/>
      </c>
      <c r="R564" s="378" t="str">
        <f t="shared" si="142"/>
        <v/>
      </c>
      <c r="S564" s="602">
        <v>320100</v>
      </c>
      <c r="T564" s="378" t="str">
        <f>+IFERROR(VLOOKUP(S564,STAT1!$C$4:$D$189,2,FALSE),"")</f>
        <v>Урьдчилж орсон орлого MNT</v>
      </c>
      <c r="U564" s="1225">
        <v>1800000.0023775001</v>
      </c>
      <c r="V564" s="1216"/>
      <c r="W564" s="326">
        <v>3065</v>
      </c>
      <c r="X564" s="328" t="str">
        <f>IFERROR(VLOOKUP(W564,DATA!$G$4:$H$400,2,FALSE),"")</f>
        <v>СИТИ ПАЛАС ХХК</v>
      </c>
      <c r="Y564" s="1205"/>
      <c r="Z564" s="1205"/>
      <c r="AA564" s="1205"/>
    </row>
    <row r="565" spans="1:27" ht="12.75" customHeight="1">
      <c r="A565" s="15">
        <v>137</v>
      </c>
      <c r="B565" s="369">
        <f t="shared" si="135"/>
        <v>560</v>
      </c>
      <c r="C565" s="427">
        <v>42901</v>
      </c>
      <c r="D565" s="426">
        <v>211504</v>
      </c>
      <c r="E565" s="425" t="str">
        <f t="shared" ca="1" si="143"/>
        <v xml:space="preserve">Н-Евровагонка /зузаан-1.2см/-яртай </v>
      </c>
      <c r="F565" s="428" t="str">
        <f t="shared" ca="1" si="137"/>
        <v>м2</v>
      </c>
      <c r="G565" s="378"/>
      <c r="H565" s="378"/>
      <c r="I565" s="378"/>
      <c r="J565" s="378"/>
      <c r="K565" s="1220"/>
      <c r="L565" s="378">
        <v>45.31</v>
      </c>
      <c r="M565" s="378">
        <v>17999.638900000002</v>
      </c>
      <c r="N565" s="378">
        <f t="shared" si="144"/>
        <v>815563.6385590001</v>
      </c>
      <c r="O565" s="378">
        <f t="shared" si="139"/>
        <v>81556.36385590001</v>
      </c>
      <c r="P565" s="378">
        <f t="shared" si="140"/>
        <v>897120.00241490011</v>
      </c>
      <c r="Q565" s="378">
        <f t="shared" ca="1" si="141"/>
        <v>10540.117978141456</v>
      </c>
      <c r="R565" s="378">
        <f t="shared" ca="1" si="142"/>
        <v>477572.74558958941</v>
      </c>
      <c r="S565" s="602">
        <v>150101</v>
      </c>
      <c r="T565" s="378" t="str">
        <f>+IFERROR(VLOOKUP(S565,STAT1!$C$4:$D$189,2,FALSE),"")</f>
        <v>Бараа бэлэн бүтээгдэхүүн БОЛОВСРУУЛАХ ЦЕХ /нарс/</v>
      </c>
      <c r="U565" s="1225"/>
      <c r="V565" s="1216">
        <v>477572.74558958941</v>
      </c>
      <c r="W565" s="326">
        <v>3039</v>
      </c>
      <c r="X565" s="328" t="str">
        <f>IFERROR(VLOOKUP(W565,DATA!$G$4:$H$400,2,FALSE),"")</f>
        <v xml:space="preserve">САССИР ХХК </v>
      </c>
      <c r="Y565" s="1205"/>
      <c r="Z565" s="1205"/>
      <c r="AA565" s="1205"/>
    </row>
    <row r="566" spans="1:27" ht="12.75" customHeight="1">
      <c r="A566" s="15">
        <v>137</v>
      </c>
      <c r="B566" s="369">
        <f t="shared" si="135"/>
        <v>561</v>
      </c>
      <c r="C566" s="427">
        <v>42901</v>
      </c>
      <c r="D566" s="426"/>
      <c r="E566" s="425" t="str">
        <f t="shared" ca="1" si="143"/>
        <v/>
      </c>
      <c r="F566" s="428" t="str">
        <f t="shared" ca="1" si="137"/>
        <v/>
      </c>
      <c r="G566" s="378"/>
      <c r="H566" s="378"/>
      <c r="I566" s="378"/>
      <c r="J566" s="378"/>
      <c r="K566" s="1220"/>
      <c r="L566" s="378"/>
      <c r="M566" s="378"/>
      <c r="N566" s="378" t="str">
        <f t="shared" si="144"/>
        <v/>
      </c>
      <c r="O566" s="378" t="str">
        <f t="shared" si="139"/>
        <v/>
      </c>
      <c r="P566" s="378" t="str">
        <f t="shared" si="140"/>
        <v/>
      </c>
      <c r="Q566" s="378" t="str">
        <f t="shared" si="141"/>
        <v/>
      </c>
      <c r="R566" s="378" t="str">
        <f t="shared" si="142"/>
        <v/>
      </c>
      <c r="S566" s="602">
        <v>610100</v>
      </c>
      <c r="T566" s="378" t="str">
        <f>+IFERROR(VLOOKUP(S566,STAT1!$C$4:$D$189,2,FALSE),"")</f>
        <v>Борлуулсан барааны өртөг</v>
      </c>
      <c r="U566" s="1216">
        <v>477572.74558958941</v>
      </c>
      <c r="V566" s="1216"/>
      <c r="W566" s="326">
        <v>3039</v>
      </c>
      <c r="X566" s="328" t="str">
        <f>IFERROR(VLOOKUP(W566,DATA!$G$4:$H$400,2,FALSE),"")</f>
        <v xml:space="preserve">САССИР ХХК </v>
      </c>
      <c r="Y566" s="1205"/>
      <c r="Z566" s="1205"/>
      <c r="AA566" s="1205"/>
    </row>
    <row r="567" spans="1:27" ht="12.75" customHeight="1">
      <c r="A567" s="15">
        <v>137</v>
      </c>
      <c r="B567" s="369">
        <f t="shared" si="135"/>
        <v>562</v>
      </c>
      <c r="C567" s="427">
        <v>42901</v>
      </c>
      <c r="D567" s="426"/>
      <c r="E567" s="425" t="str">
        <f t="shared" ca="1" si="143"/>
        <v/>
      </c>
      <c r="F567" s="428" t="str">
        <f t="shared" ca="1" si="137"/>
        <v/>
      </c>
      <c r="G567" s="378"/>
      <c r="H567" s="378"/>
      <c r="I567" s="378"/>
      <c r="J567" s="378"/>
      <c r="K567" s="1220"/>
      <c r="L567" s="378"/>
      <c r="M567" s="378"/>
      <c r="N567" s="378" t="str">
        <f t="shared" si="144"/>
        <v/>
      </c>
      <c r="O567" s="378" t="str">
        <f t="shared" si="139"/>
        <v/>
      </c>
      <c r="P567" s="378" t="str">
        <f t="shared" si="140"/>
        <v/>
      </c>
      <c r="Q567" s="378" t="str">
        <f t="shared" si="141"/>
        <v/>
      </c>
      <c r="R567" s="378" t="str">
        <f t="shared" si="142"/>
        <v/>
      </c>
      <c r="S567" s="602">
        <v>310500</v>
      </c>
      <c r="T567" s="378" t="str">
        <f>+IFERROR(VLOOKUP(S567,STAT1!$C$4:$D$189,2,FALSE),"")</f>
        <v>НӨАТ өглөг</v>
      </c>
      <c r="U567" s="1225"/>
      <c r="V567" s="1216">
        <v>81556.36385590001</v>
      </c>
      <c r="W567" s="326">
        <v>3039</v>
      </c>
      <c r="X567" s="328" t="str">
        <f>IFERROR(VLOOKUP(W567,DATA!$G$4:$H$400,2,FALSE),"")</f>
        <v xml:space="preserve">САССИР ХХК </v>
      </c>
      <c r="Y567" s="1205"/>
      <c r="Z567" s="1205"/>
      <c r="AA567" s="1205"/>
    </row>
    <row r="568" spans="1:27" ht="12.75" customHeight="1">
      <c r="A568" s="15">
        <v>137</v>
      </c>
      <c r="B568" s="369">
        <f t="shared" si="135"/>
        <v>563</v>
      </c>
      <c r="C568" s="427">
        <v>42901</v>
      </c>
      <c r="D568" s="426"/>
      <c r="E568" s="425" t="str">
        <f t="shared" ca="1" si="143"/>
        <v/>
      </c>
      <c r="F568" s="428" t="str">
        <f t="shared" ca="1" si="137"/>
        <v/>
      </c>
      <c r="G568" s="378"/>
      <c r="H568" s="378"/>
      <c r="I568" s="378"/>
      <c r="J568" s="378"/>
      <c r="K568" s="1220"/>
      <c r="L568" s="378"/>
      <c r="M568" s="378"/>
      <c r="N568" s="378" t="str">
        <f t="shared" si="144"/>
        <v/>
      </c>
      <c r="O568" s="378" t="str">
        <f t="shared" si="139"/>
        <v/>
      </c>
      <c r="P568" s="378" t="str">
        <f t="shared" si="140"/>
        <v/>
      </c>
      <c r="Q568" s="378" t="str">
        <f t="shared" si="141"/>
        <v/>
      </c>
      <c r="R568" s="378" t="str">
        <f t="shared" si="142"/>
        <v/>
      </c>
      <c r="S568" s="602">
        <v>510000</v>
      </c>
      <c r="T568" s="378" t="str">
        <f>+IFERROR(VLOOKUP(S568,STAT1!$C$4:$D$189,2,FALSE),"")</f>
        <v>Үндсэн үйл ажиллагааны борлуулалт</v>
      </c>
      <c r="U568" s="1225"/>
      <c r="V568" s="1216">
        <v>815563.6385590001</v>
      </c>
      <c r="W568" s="326">
        <v>3039</v>
      </c>
      <c r="X568" s="328" t="str">
        <f>IFERROR(VLOOKUP(W568,DATA!$G$4:$H$400,2,FALSE),"")</f>
        <v xml:space="preserve">САССИР ХХК </v>
      </c>
      <c r="Y568" s="1205"/>
      <c r="Z568" s="1205"/>
      <c r="AA568" s="1205"/>
    </row>
    <row r="569" spans="1:27" ht="12.75" customHeight="1">
      <c r="A569" s="15">
        <v>137</v>
      </c>
      <c r="B569" s="369">
        <f t="shared" si="135"/>
        <v>564</v>
      </c>
      <c r="C569" s="427">
        <v>42901</v>
      </c>
      <c r="D569" s="426"/>
      <c r="E569" s="425" t="str">
        <f t="shared" ca="1" si="143"/>
        <v/>
      </c>
      <c r="F569" s="428" t="str">
        <f t="shared" ca="1" si="137"/>
        <v/>
      </c>
      <c r="G569" s="378"/>
      <c r="H569" s="378"/>
      <c r="I569" s="378"/>
      <c r="J569" s="378"/>
      <c r="K569" s="1220"/>
      <c r="L569" s="378"/>
      <c r="M569" s="378"/>
      <c r="N569" s="378" t="str">
        <f t="shared" si="144"/>
        <v/>
      </c>
      <c r="O569" s="378" t="str">
        <f t="shared" si="139"/>
        <v/>
      </c>
      <c r="P569" s="378" t="str">
        <f t="shared" si="140"/>
        <v/>
      </c>
      <c r="Q569" s="378" t="str">
        <f t="shared" si="141"/>
        <v/>
      </c>
      <c r="R569" s="378" t="str">
        <f t="shared" si="142"/>
        <v/>
      </c>
      <c r="S569" s="602">
        <v>320100</v>
      </c>
      <c r="T569" s="378" t="str">
        <f>+IFERROR(VLOOKUP(S569,STAT1!$C$4:$D$189,2,FALSE),"")</f>
        <v>Урьдчилж орсон орлого MNT</v>
      </c>
      <c r="U569" s="1225">
        <v>897120.00241490011</v>
      </c>
      <c r="V569" s="1216"/>
      <c r="W569" s="326">
        <v>3039</v>
      </c>
      <c r="X569" s="328" t="str">
        <f>IFERROR(VLOOKUP(W569,DATA!$G$4:$H$400,2,FALSE),"")</f>
        <v xml:space="preserve">САССИР ХХК </v>
      </c>
      <c r="Y569" s="1205"/>
      <c r="Z569" s="1205"/>
      <c r="AA569" s="1205"/>
    </row>
    <row r="570" spans="1:27" ht="12.75" customHeight="1">
      <c r="A570" s="15">
        <v>138</v>
      </c>
      <c r="B570" s="369">
        <f t="shared" si="135"/>
        <v>565</v>
      </c>
      <c r="C570" s="427">
        <v>42901</v>
      </c>
      <c r="D570" s="426">
        <v>211503</v>
      </c>
      <c r="E570" s="425" t="str">
        <f t="shared" ca="1" si="143"/>
        <v>Н-Евровагонка /зузаан-1.2см/</v>
      </c>
      <c r="F570" s="428" t="str">
        <f t="shared" ca="1" si="137"/>
        <v>м2</v>
      </c>
      <c r="G570" s="378"/>
      <c r="H570" s="378"/>
      <c r="I570" s="378"/>
      <c r="J570" s="378"/>
      <c r="K570" s="1220"/>
      <c r="L570" s="378">
        <v>1.5</v>
      </c>
      <c r="M570" s="378">
        <v>30000</v>
      </c>
      <c r="N570" s="378">
        <f t="shared" si="144"/>
        <v>45000</v>
      </c>
      <c r="O570" s="378">
        <f t="shared" si="139"/>
        <v>4500</v>
      </c>
      <c r="P570" s="378">
        <f t="shared" si="140"/>
        <v>49500</v>
      </c>
      <c r="Q570" s="378">
        <f t="shared" ca="1" si="141"/>
        <v>12622.237683513315</v>
      </c>
      <c r="R570" s="378">
        <f t="shared" ca="1" si="142"/>
        <v>18933.35652526997</v>
      </c>
      <c r="S570" s="602">
        <v>150101</v>
      </c>
      <c r="T570" s="378" t="str">
        <f>+IFERROR(VLOOKUP(S570,STAT1!$C$4:$D$189,2,FALSE),"")</f>
        <v>Бараа бэлэн бүтээгдэхүүн БОЛОВСРУУЛАХ ЦЕХ /нарс/</v>
      </c>
      <c r="U570" s="1225"/>
      <c r="V570" s="1216">
        <v>18933.35652526997</v>
      </c>
      <c r="W570" s="326">
        <v>3061</v>
      </c>
      <c r="X570" s="328" t="str">
        <f>IFERROR(VLOOKUP(W570,DATA!$G$4:$H$400,2,FALSE),"")</f>
        <v>СТИМО ХХК</v>
      </c>
      <c r="Y570" s="1205"/>
      <c r="Z570" s="1205"/>
      <c r="AA570" s="1205"/>
    </row>
    <row r="571" spans="1:27" ht="12.75" customHeight="1">
      <c r="A571" s="15">
        <v>138</v>
      </c>
      <c r="B571" s="369">
        <f t="shared" si="135"/>
        <v>566</v>
      </c>
      <c r="C571" s="427">
        <v>42901</v>
      </c>
      <c r="D571" s="426"/>
      <c r="E571" s="425" t="str">
        <f t="shared" ca="1" si="143"/>
        <v/>
      </c>
      <c r="F571" s="428" t="str">
        <f t="shared" ca="1" si="137"/>
        <v/>
      </c>
      <c r="G571" s="378"/>
      <c r="H571" s="378"/>
      <c r="I571" s="378"/>
      <c r="J571" s="378"/>
      <c r="K571" s="1220"/>
      <c r="L571" s="378"/>
      <c r="M571" s="378"/>
      <c r="N571" s="378" t="str">
        <f t="shared" si="144"/>
        <v/>
      </c>
      <c r="O571" s="378" t="str">
        <f t="shared" si="139"/>
        <v/>
      </c>
      <c r="P571" s="378" t="str">
        <f t="shared" si="140"/>
        <v/>
      </c>
      <c r="Q571" s="378" t="str">
        <f t="shared" si="141"/>
        <v/>
      </c>
      <c r="R571" s="378" t="str">
        <f t="shared" si="142"/>
        <v/>
      </c>
      <c r="S571" s="602">
        <v>610100</v>
      </c>
      <c r="T571" s="378" t="str">
        <f>+IFERROR(VLOOKUP(S571,STAT1!$C$4:$D$189,2,FALSE),"")</f>
        <v>Борлуулсан барааны өртөг</v>
      </c>
      <c r="U571" s="1216">
        <v>18933.35652526997</v>
      </c>
      <c r="V571" s="1216"/>
      <c r="W571" s="326">
        <v>3061</v>
      </c>
      <c r="X571" s="328" t="str">
        <f>IFERROR(VLOOKUP(W571,DATA!$G$4:$H$400,2,FALSE),"")</f>
        <v>СТИМО ХХК</v>
      </c>
      <c r="Y571" s="1205"/>
      <c r="Z571" s="1205"/>
      <c r="AA571" s="1205"/>
    </row>
    <row r="572" spans="1:27" ht="12.75" customHeight="1">
      <c r="A572" s="15">
        <v>138</v>
      </c>
      <c r="B572" s="369">
        <f t="shared" si="135"/>
        <v>567</v>
      </c>
      <c r="C572" s="427">
        <v>42901</v>
      </c>
      <c r="D572" s="426"/>
      <c r="E572" s="425" t="str">
        <f t="shared" ca="1" si="143"/>
        <v/>
      </c>
      <c r="F572" s="428" t="str">
        <f t="shared" ca="1" si="137"/>
        <v/>
      </c>
      <c r="G572" s="378"/>
      <c r="H572" s="378"/>
      <c r="I572" s="378"/>
      <c r="J572" s="378"/>
      <c r="K572" s="1220"/>
      <c r="L572" s="378"/>
      <c r="M572" s="378"/>
      <c r="N572" s="378" t="str">
        <f t="shared" si="144"/>
        <v/>
      </c>
      <c r="O572" s="378" t="str">
        <f t="shared" si="139"/>
        <v/>
      </c>
      <c r="P572" s="378" t="str">
        <f t="shared" si="140"/>
        <v/>
      </c>
      <c r="Q572" s="378" t="str">
        <f t="shared" si="141"/>
        <v/>
      </c>
      <c r="R572" s="378" t="str">
        <f t="shared" si="142"/>
        <v/>
      </c>
      <c r="S572" s="602">
        <v>310500</v>
      </c>
      <c r="T572" s="378" t="str">
        <f>+IFERROR(VLOOKUP(S572,STAT1!$C$4:$D$189,2,FALSE),"")</f>
        <v>НӨАТ өглөг</v>
      </c>
      <c r="U572" s="1225"/>
      <c r="V572" s="1216">
        <v>4500</v>
      </c>
      <c r="W572" s="326">
        <v>3061</v>
      </c>
      <c r="X572" s="328" t="str">
        <f>IFERROR(VLOOKUP(W572,DATA!$G$4:$H$400,2,FALSE),"")</f>
        <v>СТИМО ХХК</v>
      </c>
      <c r="Y572" s="1205"/>
      <c r="Z572" s="1205"/>
      <c r="AA572" s="1205"/>
    </row>
    <row r="573" spans="1:27" ht="12.75" customHeight="1">
      <c r="A573" s="15">
        <v>138</v>
      </c>
      <c r="B573" s="369">
        <f t="shared" si="135"/>
        <v>568</v>
      </c>
      <c r="C573" s="427">
        <v>42901</v>
      </c>
      <c r="D573" s="426"/>
      <c r="E573" s="425" t="str">
        <f t="shared" ca="1" si="143"/>
        <v/>
      </c>
      <c r="F573" s="428" t="str">
        <f t="shared" ca="1" si="137"/>
        <v/>
      </c>
      <c r="G573" s="378"/>
      <c r="H573" s="378"/>
      <c r="I573" s="378"/>
      <c r="J573" s="378"/>
      <c r="K573" s="1220"/>
      <c r="L573" s="378"/>
      <c r="M573" s="378"/>
      <c r="N573" s="378" t="str">
        <f t="shared" si="144"/>
        <v/>
      </c>
      <c r="O573" s="378" t="str">
        <f t="shared" si="139"/>
        <v/>
      </c>
      <c r="P573" s="378" t="str">
        <f t="shared" si="140"/>
        <v/>
      </c>
      <c r="Q573" s="378" t="str">
        <f t="shared" si="141"/>
        <v/>
      </c>
      <c r="R573" s="378" t="str">
        <f t="shared" si="142"/>
        <v/>
      </c>
      <c r="S573" s="602">
        <v>510000</v>
      </c>
      <c r="T573" s="378" t="str">
        <f>+IFERROR(VLOOKUP(S573,STAT1!$C$4:$D$189,2,FALSE),"")</f>
        <v>Үндсэн үйл ажиллагааны борлуулалт</v>
      </c>
      <c r="U573" s="1225"/>
      <c r="V573" s="1216">
        <v>45000</v>
      </c>
      <c r="W573" s="326">
        <v>3061</v>
      </c>
      <c r="X573" s="328" t="str">
        <f>IFERROR(VLOOKUP(W573,DATA!$G$4:$H$400,2,FALSE),"")</f>
        <v>СТИМО ХХК</v>
      </c>
      <c r="Y573" s="1205"/>
      <c r="Z573" s="1205"/>
      <c r="AA573" s="1205"/>
    </row>
    <row r="574" spans="1:27" ht="12.75" customHeight="1">
      <c r="A574" s="15">
        <v>138</v>
      </c>
      <c r="B574" s="369">
        <f t="shared" si="135"/>
        <v>569</v>
      </c>
      <c r="C574" s="427">
        <v>42901</v>
      </c>
      <c r="D574" s="426"/>
      <c r="E574" s="425" t="str">
        <f t="shared" ca="1" si="143"/>
        <v/>
      </c>
      <c r="F574" s="428" t="str">
        <f t="shared" ca="1" si="137"/>
        <v/>
      </c>
      <c r="G574" s="378"/>
      <c r="H574" s="378"/>
      <c r="I574" s="378"/>
      <c r="J574" s="378"/>
      <c r="K574" s="1220"/>
      <c r="L574" s="378"/>
      <c r="M574" s="378"/>
      <c r="N574" s="378" t="str">
        <f t="shared" si="144"/>
        <v/>
      </c>
      <c r="O574" s="378" t="str">
        <f t="shared" si="139"/>
        <v/>
      </c>
      <c r="P574" s="378" t="str">
        <f t="shared" si="140"/>
        <v/>
      </c>
      <c r="Q574" s="378" t="str">
        <f t="shared" si="141"/>
        <v/>
      </c>
      <c r="R574" s="378" t="str">
        <f t="shared" si="142"/>
        <v/>
      </c>
      <c r="S574" s="602">
        <v>320100</v>
      </c>
      <c r="T574" s="378" t="str">
        <f>+IFERROR(VLOOKUP(S574,STAT1!$C$4:$D$189,2,FALSE),"")</f>
        <v>Урьдчилж орсон орлого MNT</v>
      </c>
      <c r="U574" s="1225">
        <v>49500</v>
      </c>
      <c r="V574" s="1216"/>
      <c r="W574" s="326">
        <v>3061</v>
      </c>
      <c r="X574" s="328" t="str">
        <f>IFERROR(VLOOKUP(W574,DATA!$G$4:$H$400,2,FALSE),"")</f>
        <v>СТИМО ХХК</v>
      </c>
      <c r="Y574" s="1205"/>
      <c r="Z574" s="1205"/>
      <c r="AA574" s="1205"/>
    </row>
    <row r="575" spans="1:27" ht="12.75" customHeight="1">
      <c r="A575" s="15">
        <v>139</v>
      </c>
      <c r="B575" s="369">
        <f t="shared" si="135"/>
        <v>570</v>
      </c>
      <c r="C575" s="427">
        <v>42902</v>
      </c>
      <c r="D575" s="426">
        <v>211713</v>
      </c>
      <c r="E575" s="425" t="str">
        <f t="shared" ca="1" si="143"/>
        <v>Н-Хавтан /зузаан-2см/</v>
      </c>
      <c r="F575" s="428" t="str">
        <f t="shared" ca="1" si="137"/>
        <v>м2</v>
      </c>
      <c r="G575" s="378"/>
      <c r="H575" s="378"/>
      <c r="I575" s="378"/>
      <c r="J575" s="378"/>
      <c r="K575" s="1220"/>
      <c r="L575" s="378">
        <v>46.33</v>
      </c>
      <c r="M575" s="378">
        <v>30002.158428663934</v>
      </c>
      <c r="N575" s="378">
        <f t="shared" si="144"/>
        <v>1390000</v>
      </c>
      <c r="O575" s="378">
        <f t="shared" si="139"/>
        <v>139000</v>
      </c>
      <c r="P575" s="378">
        <f t="shared" si="140"/>
        <v>1529000</v>
      </c>
      <c r="Q575" s="378">
        <f t="shared" ca="1" si="141"/>
        <v>20836.299698816016</v>
      </c>
      <c r="R575" s="378">
        <f t="shared" ca="1" si="142"/>
        <v>965345.765046146</v>
      </c>
      <c r="S575" s="602">
        <v>150101</v>
      </c>
      <c r="T575" s="378" t="str">
        <f>+IFERROR(VLOOKUP(S575,STAT1!$C$4:$D$189,2,FALSE),"")</f>
        <v>Бараа бэлэн бүтээгдэхүүн БОЛОВСРУУЛАХ ЦЕХ /нарс/</v>
      </c>
      <c r="U575" s="1225"/>
      <c r="V575" s="1216">
        <v>965345.765046146</v>
      </c>
      <c r="W575" s="326">
        <v>3010</v>
      </c>
      <c r="X575" s="328" t="str">
        <f>IFERROR(VLOOKUP(W575,DATA!$G$4:$H$400,2,FALSE),"")</f>
        <v xml:space="preserve">РЕНДЕР ХХК </v>
      </c>
      <c r="Y575" s="1205"/>
      <c r="Z575" s="1205"/>
      <c r="AA575" s="1205"/>
    </row>
    <row r="576" spans="1:27" ht="12.75" customHeight="1">
      <c r="A576" s="15">
        <v>139</v>
      </c>
      <c r="B576" s="369">
        <f t="shared" si="135"/>
        <v>571</v>
      </c>
      <c r="C576" s="427">
        <v>42902</v>
      </c>
      <c r="D576" s="426"/>
      <c r="E576" s="425" t="str">
        <f t="shared" ca="1" si="143"/>
        <v/>
      </c>
      <c r="F576" s="428" t="str">
        <f t="shared" ca="1" si="137"/>
        <v/>
      </c>
      <c r="G576" s="378"/>
      <c r="H576" s="378"/>
      <c r="I576" s="378"/>
      <c r="J576" s="378"/>
      <c r="K576" s="1220"/>
      <c r="L576" s="378"/>
      <c r="M576" s="378"/>
      <c r="N576" s="378" t="str">
        <f t="shared" si="144"/>
        <v/>
      </c>
      <c r="O576" s="378" t="str">
        <f t="shared" si="139"/>
        <v/>
      </c>
      <c r="P576" s="378" t="str">
        <f t="shared" si="140"/>
        <v/>
      </c>
      <c r="Q576" s="378" t="str">
        <f t="shared" si="141"/>
        <v/>
      </c>
      <c r="R576" s="378" t="str">
        <f t="shared" si="142"/>
        <v/>
      </c>
      <c r="S576" s="602">
        <v>610100</v>
      </c>
      <c r="T576" s="378" t="str">
        <f>+IFERROR(VLOOKUP(S576,STAT1!$C$4:$D$189,2,FALSE),"")</f>
        <v>Борлуулсан барааны өртөг</v>
      </c>
      <c r="U576" s="1216">
        <v>965345.765046146</v>
      </c>
      <c r="V576" s="1216"/>
      <c r="W576" s="326">
        <v>3010</v>
      </c>
      <c r="X576" s="328" t="str">
        <f>IFERROR(VLOOKUP(W576,DATA!$G$4:$H$400,2,FALSE),"")</f>
        <v xml:space="preserve">РЕНДЕР ХХК </v>
      </c>
      <c r="Y576" s="1205"/>
      <c r="Z576" s="1205"/>
      <c r="AA576" s="1205"/>
    </row>
    <row r="577" spans="1:27" ht="12.75" customHeight="1">
      <c r="A577" s="15">
        <v>139</v>
      </c>
      <c r="B577" s="369">
        <f t="shared" si="135"/>
        <v>572</v>
      </c>
      <c r="C577" s="427">
        <v>42902</v>
      </c>
      <c r="D577" s="426"/>
      <c r="E577" s="425" t="str">
        <f t="shared" ca="1" si="143"/>
        <v/>
      </c>
      <c r="F577" s="428" t="str">
        <f t="shared" ca="1" si="137"/>
        <v/>
      </c>
      <c r="G577" s="378"/>
      <c r="H577" s="378"/>
      <c r="I577" s="378"/>
      <c r="J577" s="378"/>
      <c r="K577" s="1220"/>
      <c r="L577" s="378"/>
      <c r="M577" s="378"/>
      <c r="N577" s="378" t="str">
        <f t="shared" si="144"/>
        <v/>
      </c>
      <c r="O577" s="378" t="str">
        <f t="shared" si="139"/>
        <v/>
      </c>
      <c r="P577" s="378" t="str">
        <f t="shared" si="140"/>
        <v/>
      </c>
      <c r="Q577" s="378" t="str">
        <f t="shared" si="141"/>
        <v/>
      </c>
      <c r="R577" s="378" t="str">
        <f t="shared" si="142"/>
        <v/>
      </c>
      <c r="S577" s="602">
        <v>310500</v>
      </c>
      <c r="T577" s="378" t="str">
        <f>+IFERROR(VLOOKUP(S577,STAT1!$C$4:$D$189,2,FALSE),"")</f>
        <v>НӨАТ өглөг</v>
      </c>
      <c r="U577" s="1225"/>
      <c r="V577" s="1216">
        <v>139000</v>
      </c>
      <c r="W577" s="326">
        <v>3010</v>
      </c>
      <c r="X577" s="328" t="str">
        <f>IFERROR(VLOOKUP(W577,DATA!$G$4:$H$400,2,FALSE),"")</f>
        <v xml:space="preserve">РЕНДЕР ХХК </v>
      </c>
      <c r="Y577" s="1205"/>
      <c r="Z577" s="1205"/>
      <c r="AA577" s="1205"/>
    </row>
    <row r="578" spans="1:27" ht="12.75" customHeight="1">
      <c r="A578" s="15">
        <v>139</v>
      </c>
      <c r="B578" s="369">
        <f t="shared" si="135"/>
        <v>573</v>
      </c>
      <c r="C578" s="427">
        <v>42902</v>
      </c>
      <c r="D578" s="426"/>
      <c r="E578" s="425" t="str">
        <f t="shared" ca="1" si="143"/>
        <v/>
      </c>
      <c r="F578" s="428" t="str">
        <f t="shared" ca="1" si="137"/>
        <v/>
      </c>
      <c r="G578" s="378"/>
      <c r="H578" s="378"/>
      <c r="I578" s="378"/>
      <c r="J578" s="378"/>
      <c r="K578" s="1220"/>
      <c r="L578" s="378"/>
      <c r="M578" s="378"/>
      <c r="N578" s="378" t="str">
        <f t="shared" si="144"/>
        <v/>
      </c>
      <c r="O578" s="378" t="str">
        <f t="shared" si="139"/>
        <v/>
      </c>
      <c r="P578" s="378" t="str">
        <f t="shared" si="140"/>
        <v/>
      </c>
      <c r="Q578" s="378" t="str">
        <f t="shared" si="141"/>
        <v/>
      </c>
      <c r="R578" s="378" t="str">
        <f t="shared" si="142"/>
        <v/>
      </c>
      <c r="S578" s="602">
        <v>510000</v>
      </c>
      <c r="T578" s="378" t="str">
        <f>+IFERROR(VLOOKUP(S578,STAT1!$C$4:$D$189,2,FALSE),"")</f>
        <v>Үндсэн үйл ажиллагааны борлуулалт</v>
      </c>
      <c r="U578" s="1225"/>
      <c r="V578" s="1216">
        <v>1390000</v>
      </c>
      <c r="W578" s="326">
        <v>3010</v>
      </c>
      <c r="X578" s="328" t="str">
        <f>IFERROR(VLOOKUP(W578,DATA!$G$4:$H$400,2,FALSE),"")</f>
        <v xml:space="preserve">РЕНДЕР ХХК </v>
      </c>
      <c r="Y578" s="1205"/>
      <c r="Z578" s="1205"/>
      <c r="AA578" s="1205"/>
    </row>
    <row r="579" spans="1:27" ht="12.75" customHeight="1">
      <c r="A579" s="15">
        <v>139</v>
      </c>
      <c r="B579" s="369">
        <f t="shared" si="135"/>
        <v>574</v>
      </c>
      <c r="C579" s="427">
        <v>42902</v>
      </c>
      <c r="D579" s="426"/>
      <c r="E579" s="425" t="str">
        <f t="shared" ca="1" si="143"/>
        <v/>
      </c>
      <c r="F579" s="428" t="str">
        <f t="shared" ca="1" si="137"/>
        <v/>
      </c>
      <c r="G579" s="378"/>
      <c r="H579" s="378"/>
      <c r="I579" s="378"/>
      <c r="J579" s="378"/>
      <c r="K579" s="1220"/>
      <c r="L579" s="378"/>
      <c r="M579" s="378"/>
      <c r="N579" s="378" t="str">
        <f t="shared" si="144"/>
        <v/>
      </c>
      <c r="O579" s="378" t="str">
        <f t="shared" si="139"/>
        <v/>
      </c>
      <c r="P579" s="378" t="str">
        <f t="shared" si="140"/>
        <v/>
      </c>
      <c r="Q579" s="378" t="str">
        <f t="shared" si="141"/>
        <v/>
      </c>
      <c r="R579" s="378" t="str">
        <f t="shared" si="142"/>
        <v/>
      </c>
      <c r="S579" s="602">
        <v>320100</v>
      </c>
      <c r="T579" s="378" t="str">
        <f>+IFERROR(VLOOKUP(S579,STAT1!$C$4:$D$189,2,FALSE),"")</f>
        <v>Урьдчилж орсон орлого MNT</v>
      </c>
      <c r="U579" s="1225">
        <v>1529000</v>
      </c>
      <c r="V579" s="1216"/>
      <c r="W579" s="326">
        <v>3010</v>
      </c>
      <c r="X579" s="328" t="str">
        <f>IFERROR(VLOOKUP(W579,DATA!$G$4:$H$400,2,FALSE),"")</f>
        <v xml:space="preserve">РЕНДЕР ХХК </v>
      </c>
      <c r="Y579" s="1205"/>
      <c r="Z579" s="1205"/>
      <c r="AA579" s="1205"/>
    </row>
    <row r="580" spans="1:27" ht="12.75" customHeight="1">
      <c r="A580" s="15">
        <v>140</v>
      </c>
      <c r="B580" s="369">
        <f t="shared" si="135"/>
        <v>575</v>
      </c>
      <c r="C580" s="427">
        <v>42905</v>
      </c>
      <c r="D580" s="426">
        <v>211713</v>
      </c>
      <c r="E580" s="425" t="str">
        <f t="shared" ca="1" si="143"/>
        <v>Н-Хавтан /зузаан-2см/</v>
      </c>
      <c r="F580" s="428" t="str">
        <f t="shared" ca="1" si="137"/>
        <v>м2</v>
      </c>
      <c r="G580" s="378"/>
      <c r="H580" s="378"/>
      <c r="I580" s="378"/>
      <c r="J580" s="378"/>
      <c r="K580" s="1220"/>
      <c r="L580" s="378">
        <v>10.5</v>
      </c>
      <c r="M580" s="378">
        <v>30000</v>
      </c>
      <c r="N580" s="378">
        <f t="shared" si="144"/>
        <v>315000</v>
      </c>
      <c r="O580" s="378">
        <f t="shared" si="139"/>
        <v>31500</v>
      </c>
      <c r="P580" s="378">
        <f t="shared" si="140"/>
        <v>346500</v>
      </c>
      <c r="Q580" s="378">
        <f t="shared" ca="1" si="141"/>
        <v>20836.299698816012</v>
      </c>
      <c r="R580" s="378">
        <f t="shared" ca="1" si="142"/>
        <v>218781.14683756811</v>
      </c>
      <c r="S580" s="602">
        <v>150101</v>
      </c>
      <c r="T580" s="378" t="str">
        <f>+IFERROR(VLOOKUP(S580,STAT1!$C$4:$D$189,2,FALSE),"")</f>
        <v>Бараа бэлэн бүтээгдэхүүн БОЛОВСРУУЛАХ ЦЕХ /нарс/</v>
      </c>
      <c r="U580" s="1225"/>
      <c r="V580" s="1216">
        <v>218781.14683756811</v>
      </c>
      <c r="W580" s="326">
        <v>3070</v>
      </c>
      <c r="X580" s="328" t="str">
        <f>IFERROR(VLOOKUP(W580,DATA!$G$4:$H$400,2,FALSE),"")</f>
        <v>ВОТЕР ФОРД КАСТОМ ХӨҮМ ХХК</v>
      </c>
      <c r="Y580" s="1205"/>
      <c r="Z580" s="1205"/>
      <c r="AA580" s="1205"/>
    </row>
    <row r="581" spans="1:27" ht="12.75" customHeight="1">
      <c r="A581" s="15">
        <v>140</v>
      </c>
      <c r="B581" s="369">
        <f t="shared" si="135"/>
        <v>576</v>
      </c>
      <c r="C581" s="427">
        <v>42905</v>
      </c>
      <c r="D581" s="426"/>
      <c r="E581" s="425" t="str">
        <f t="shared" ca="1" si="143"/>
        <v/>
      </c>
      <c r="F581" s="428" t="str">
        <f t="shared" ca="1" si="137"/>
        <v/>
      </c>
      <c r="G581" s="378"/>
      <c r="H581" s="378"/>
      <c r="I581" s="378"/>
      <c r="J581" s="378"/>
      <c r="K581" s="1220"/>
      <c r="L581" s="378"/>
      <c r="M581" s="378"/>
      <c r="N581" s="378" t="str">
        <f t="shared" si="144"/>
        <v/>
      </c>
      <c r="O581" s="378" t="str">
        <f t="shared" si="139"/>
        <v/>
      </c>
      <c r="P581" s="378" t="str">
        <f t="shared" si="140"/>
        <v/>
      </c>
      <c r="Q581" s="378" t="str">
        <f t="shared" si="141"/>
        <v/>
      </c>
      <c r="R581" s="378" t="str">
        <f t="shared" si="142"/>
        <v/>
      </c>
      <c r="S581" s="602">
        <v>610100</v>
      </c>
      <c r="T581" s="378" t="str">
        <f>+IFERROR(VLOOKUP(S581,STAT1!$C$4:$D$189,2,FALSE),"")</f>
        <v>Борлуулсан барааны өртөг</v>
      </c>
      <c r="U581" s="1216">
        <v>218781.14683756811</v>
      </c>
      <c r="V581" s="1216"/>
      <c r="W581" s="326">
        <v>3070</v>
      </c>
      <c r="X581" s="328" t="str">
        <f>IFERROR(VLOOKUP(W581,DATA!$G$4:$H$400,2,FALSE),"")</f>
        <v>ВОТЕР ФОРД КАСТОМ ХӨҮМ ХХК</v>
      </c>
      <c r="Y581" s="1205"/>
      <c r="Z581" s="1205"/>
      <c r="AA581" s="1205"/>
    </row>
    <row r="582" spans="1:27" ht="12.75" customHeight="1">
      <c r="A582" s="15">
        <v>140</v>
      </c>
      <c r="B582" s="369">
        <f t="shared" ref="B582:B604" si="145">+IF(C582="","",ROW()-5)</f>
        <v>577</v>
      </c>
      <c r="C582" s="427">
        <v>42905</v>
      </c>
      <c r="D582" s="426"/>
      <c r="E582" s="425" t="str">
        <f t="shared" ca="1" si="143"/>
        <v/>
      </c>
      <c r="F582" s="428" t="str">
        <f t="shared" ca="1" si="137"/>
        <v/>
      </c>
      <c r="G582" s="378"/>
      <c r="H582" s="378"/>
      <c r="I582" s="378"/>
      <c r="J582" s="378"/>
      <c r="K582" s="1220"/>
      <c r="L582" s="378"/>
      <c r="M582" s="378"/>
      <c r="N582" s="378" t="str">
        <f t="shared" si="144"/>
        <v/>
      </c>
      <c r="O582" s="378" t="str">
        <f t="shared" si="139"/>
        <v/>
      </c>
      <c r="P582" s="378" t="str">
        <f t="shared" si="140"/>
        <v/>
      </c>
      <c r="Q582" s="378" t="str">
        <f t="shared" si="141"/>
        <v/>
      </c>
      <c r="R582" s="378" t="str">
        <f t="shared" si="142"/>
        <v/>
      </c>
      <c r="S582" s="602">
        <v>310500</v>
      </c>
      <c r="T582" s="378" t="str">
        <f>+IFERROR(VLOOKUP(S582,STAT1!$C$4:$D$189,2,FALSE),"")</f>
        <v>НӨАТ өглөг</v>
      </c>
      <c r="U582" s="1225"/>
      <c r="V582" s="1216">
        <v>31500</v>
      </c>
      <c r="W582" s="326">
        <v>3070</v>
      </c>
      <c r="X582" s="328" t="str">
        <f>IFERROR(VLOOKUP(W582,DATA!$G$4:$H$400,2,FALSE),"")</f>
        <v>ВОТЕР ФОРД КАСТОМ ХӨҮМ ХХК</v>
      </c>
      <c r="Y582" s="1205"/>
      <c r="Z582" s="1205"/>
      <c r="AA582" s="1205"/>
    </row>
    <row r="583" spans="1:27" ht="12.75" customHeight="1">
      <c r="A583" s="15">
        <v>140</v>
      </c>
      <c r="B583" s="369">
        <f t="shared" si="145"/>
        <v>578</v>
      </c>
      <c r="C583" s="427">
        <v>42905</v>
      </c>
      <c r="D583" s="426"/>
      <c r="E583" s="425" t="str">
        <f t="shared" ca="1" si="143"/>
        <v/>
      </c>
      <c r="F583" s="428" t="str">
        <f t="shared" ca="1" si="137"/>
        <v/>
      </c>
      <c r="G583" s="378"/>
      <c r="H583" s="378"/>
      <c r="I583" s="378"/>
      <c r="J583" s="378"/>
      <c r="K583" s="1220"/>
      <c r="L583" s="378"/>
      <c r="M583" s="378"/>
      <c r="N583" s="378" t="str">
        <f t="shared" si="144"/>
        <v/>
      </c>
      <c r="O583" s="378" t="str">
        <f t="shared" si="139"/>
        <v/>
      </c>
      <c r="P583" s="378" t="str">
        <f t="shared" si="140"/>
        <v/>
      </c>
      <c r="Q583" s="378" t="str">
        <f t="shared" si="141"/>
        <v/>
      </c>
      <c r="R583" s="378" t="str">
        <f t="shared" si="142"/>
        <v/>
      </c>
      <c r="S583" s="602">
        <v>510000</v>
      </c>
      <c r="T583" s="378" t="str">
        <f>+IFERROR(VLOOKUP(S583,STAT1!$C$4:$D$189,2,FALSE),"")</f>
        <v>Үндсэн үйл ажиллагааны борлуулалт</v>
      </c>
      <c r="U583" s="1225"/>
      <c r="V583" s="1216">
        <v>315000</v>
      </c>
      <c r="W583" s="326">
        <v>3070</v>
      </c>
      <c r="X583" s="328" t="str">
        <f>IFERROR(VLOOKUP(W583,DATA!$G$4:$H$400,2,FALSE),"")</f>
        <v>ВОТЕР ФОРД КАСТОМ ХӨҮМ ХХК</v>
      </c>
      <c r="Y583" s="1205"/>
      <c r="Z583" s="1205"/>
      <c r="AA583" s="1205"/>
    </row>
    <row r="584" spans="1:27" ht="12.75" customHeight="1">
      <c r="A584" s="15">
        <v>140</v>
      </c>
      <c r="B584" s="369">
        <f t="shared" si="145"/>
        <v>579</v>
      </c>
      <c r="C584" s="427">
        <v>42905</v>
      </c>
      <c r="D584" s="426"/>
      <c r="E584" s="425" t="str">
        <f t="shared" ca="1" si="143"/>
        <v/>
      </c>
      <c r="F584" s="428" t="str">
        <f t="shared" ca="1" si="137"/>
        <v/>
      </c>
      <c r="G584" s="378"/>
      <c r="H584" s="378"/>
      <c r="I584" s="378"/>
      <c r="J584" s="378"/>
      <c r="K584" s="1220"/>
      <c r="L584" s="378"/>
      <c r="M584" s="378"/>
      <c r="N584" s="378" t="str">
        <f t="shared" si="144"/>
        <v/>
      </c>
      <c r="O584" s="378" t="str">
        <f t="shared" si="139"/>
        <v/>
      </c>
      <c r="P584" s="378" t="str">
        <f t="shared" si="140"/>
        <v/>
      </c>
      <c r="Q584" s="378" t="str">
        <f t="shared" si="141"/>
        <v/>
      </c>
      <c r="R584" s="378" t="str">
        <f t="shared" si="142"/>
        <v/>
      </c>
      <c r="S584" s="602">
        <v>320100</v>
      </c>
      <c r="T584" s="378" t="str">
        <f>+IFERROR(VLOOKUP(S584,STAT1!$C$4:$D$189,2,FALSE),"")</f>
        <v>Урьдчилж орсон орлого MNT</v>
      </c>
      <c r="U584" s="1225">
        <v>346500</v>
      </c>
      <c r="V584" s="1216"/>
      <c r="W584" s="326">
        <v>3070</v>
      </c>
      <c r="X584" s="328" t="str">
        <f>IFERROR(VLOOKUP(W584,DATA!$G$4:$H$400,2,FALSE),"")</f>
        <v>ВОТЕР ФОРД КАСТОМ ХӨҮМ ХХК</v>
      </c>
      <c r="Y584" s="1205"/>
      <c r="Z584" s="1205"/>
      <c r="AA584" s="1205"/>
    </row>
    <row r="585" spans="1:27" ht="12.75" customHeight="1">
      <c r="A585" s="15">
        <v>141</v>
      </c>
      <c r="B585" s="369">
        <f t="shared" si="145"/>
        <v>580</v>
      </c>
      <c r="C585" s="427">
        <v>42906</v>
      </c>
      <c r="D585" s="426">
        <v>410085</v>
      </c>
      <c r="E585" s="425" t="s">
        <v>1640</v>
      </c>
      <c r="F585" s="428" t="str">
        <f t="shared" ca="1" si="137"/>
        <v>кг</v>
      </c>
      <c r="G585" s="378">
        <v>5.4</v>
      </c>
      <c r="H585" s="378">
        <v>32323.233</v>
      </c>
      <c r="I585" s="378">
        <f>+IF(G585="","",G585*H585)</f>
        <v>174545.45820000002</v>
      </c>
      <c r="J585" s="378">
        <f>+IF(G585="","",I585*0.1)</f>
        <v>17454.545820000003</v>
      </c>
      <c r="K585" s="1220">
        <f>+IF(G585="","",I585+J585)</f>
        <v>192000.00402000002</v>
      </c>
      <c r="L585" s="378"/>
      <c r="M585" s="378"/>
      <c r="N585" s="378" t="str">
        <f t="shared" si="144"/>
        <v/>
      </c>
      <c r="O585" s="378" t="str">
        <f t="shared" si="139"/>
        <v/>
      </c>
      <c r="P585" s="378" t="str">
        <f t="shared" si="140"/>
        <v/>
      </c>
      <c r="Q585" s="378" t="str">
        <f t="shared" si="141"/>
        <v/>
      </c>
      <c r="R585" s="378" t="str">
        <f t="shared" si="142"/>
        <v/>
      </c>
      <c r="S585" s="602">
        <v>160100</v>
      </c>
      <c r="T585" s="378" t="str">
        <f>+IFERROR(VLOOKUP(S585,STAT1!$C$4:$D$189,2,FALSE),"")</f>
        <v xml:space="preserve">Барилгын материал </v>
      </c>
      <c r="U585" s="1225">
        <v>174545.45820000002</v>
      </c>
      <c r="V585" s="1216"/>
      <c r="W585" s="326">
        <v>1004</v>
      </c>
      <c r="X585" s="328" t="str">
        <f>IFERROR(VLOOKUP(W585,DATA!$G$4:$H$400,2,FALSE),"")</f>
        <v xml:space="preserve">Түмэндэлгэр </v>
      </c>
      <c r="Y585" s="1205"/>
      <c r="Z585" s="1205"/>
      <c r="AA585" s="1205"/>
    </row>
    <row r="586" spans="1:27" ht="12.75" customHeight="1">
      <c r="A586" s="15">
        <v>141</v>
      </c>
      <c r="B586" s="369">
        <f t="shared" si="145"/>
        <v>581</v>
      </c>
      <c r="C586" s="427">
        <v>42906</v>
      </c>
      <c r="D586" s="426"/>
      <c r="E586" s="425" t="str">
        <f ca="1">+IFERROR(VLOOKUP(D586,TN_table,2,FALSE),"")</f>
        <v/>
      </c>
      <c r="F586" s="428" t="str">
        <f t="shared" ca="1" si="137"/>
        <v/>
      </c>
      <c r="G586" s="378"/>
      <c r="H586" s="378"/>
      <c r="I586" s="378" t="str">
        <f>+IF(G586="","",G586*H586)</f>
        <v/>
      </c>
      <c r="J586" s="378" t="str">
        <f>+IF(G586="","",I586*0.1)</f>
        <v/>
      </c>
      <c r="K586" s="1220" t="str">
        <f>+IF(G586="","",I586+J586)</f>
        <v/>
      </c>
      <c r="L586" s="378"/>
      <c r="M586" s="378"/>
      <c r="N586" s="378" t="str">
        <f t="shared" si="144"/>
        <v/>
      </c>
      <c r="O586" s="378" t="str">
        <f t="shared" si="139"/>
        <v/>
      </c>
      <c r="P586" s="378" t="str">
        <f t="shared" si="140"/>
        <v/>
      </c>
      <c r="Q586" s="378" t="str">
        <f t="shared" si="141"/>
        <v/>
      </c>
      <c r="R586" s="378" t="str">
        <f t="shared" si="142"/>
        <v/>
      </c>
      <c r="S586" s="602">
        <v>120600</v>
      </c>
      <c r="T586" s="378" t="str">
        <f>+IFERROR(VLOOKUP(S586,STAT1!$C$4:$D$189,2,FALSE),"")</f>
        <v>НӨАТ авлага</v>
      </c>
      <c r="U586" s="1225">
        <v>17454.545820000003</v>
      </c>
      <c r="V586" s="1216"/>
      <c r="W586" s="326">
        <v>1004</v>
      </c>
      <c r="X586" s="328" t="str">
        <f>IFERROR(VLOOKUP(W586,DATA!$G$4:$H$400,2,FALSE),"")</f>
        <v xml:space="preserve">Түмэндэлгэр </v>
      </c>
      <c r="Y586" s="1205"/>
      <c r="Z586" s="1205"/>
      <c r="AA586" s="1205"/>
    </row>
    <row r="587" spans="1:27" ht="12.75" customHeight="1">
      <c r="A587" s="15">
        <v>141</v>
      </c>
      <c r="B587" s="369">
        <f t="shared" si="145"/>
        <v>582</v>
      </c>
      <c r="C587" s="427">
        <v>42906</v>
      </c>
      <c r="D587" s="426"/>
      <c r="E587" s="425" t="str">
        <f ca="1">+IFERROR(VLOOKUP(D587,TN_table,2,FALSE),"")</f>
        <v/>
      </c>
      <c r="F587" s="428" t="str">
        <f t="shared" ca="1" si="137"/>
        <v/>
      </c>
      <c r="G587" s="378"/>
      <c r="H587" s="378"/>
      <c r="I587" s="378" t="str">
        <f>+IF(G587="","",G587*H587)</f>
        <v/>
      </c>
      <c r="J587" s="378" t="str">
        <f>+IF(G587="","",I587*0.1)</f>
        <v/>
      </c>
      <c r="K587" s="1220" t="str">
        <f>+IF(G587="","",I587+J587)</f>
        <v/>
      </c>
      <c r="L587" s="378"/>
      <c r="M587" s="378"/>
      <c r="N587" s="378" t="str">
        <f t="shared" si="144"/>
        <v/>
      </c>
      <c r="O587" s="378" t="str">
        <f t="shared" si="139"/>
        <v/>
      </c>
      <c r="P587" s="378" t="str">
        <f t="shared" si="140"/>
        <v/>
      </c>
      <c r="Q587" s="378" t="str">
        <f t="shared" si="141"/>
        <v/>
      </c>
      <c r="R587" s="378" t="str">
        <f t="shared" si="142"/>
        <v/>
      </c>
      <c r="S587" s="602">
        <v>121200</v>
      </c>
      <c r="T587" s="378" t="str">
        <f>+IFERROR(VLOOKUP(S587,STAT1!$C$4:$D$189,2,FALSE),"")</f>
        <v xml:space="preserve">Ажилчидын дараа тайлангийн тооцоо </v>
      </c>
      <c r="U587" s="1225"/>
      <c r="V587" s="1216">
        <v>192000.00402000002</v>
      </c>
      <c r="W587" s="326">
        <v>1004</v>
      </c>
      <c r="X587" s="328" t="str">
        <f>IFERROR(VLOOKUP(W587,DATA!$G$4:$H$400,2,FALSE),"")</f>
        <v xml:space="preserve">Түмэндэлгэр </v>
      </c>
      <c r="Y587" s="1205"/>
      <c r="Z587" s="1205"/>
      <c r="AA587" s="1205"/>
    </row>
    <row r="588" spans="1:27" ht="12.75" customHeight="1">
      <c r="A588" s="15">
        <v>142</v>
      </c>
      <c r="B588" s="369">
        <f t="shared" si="145"/>
        <v>583</v>
      </c>
      <c r="C588" s="427">
        <v>42909</v>
      </c>
      <c r="D588" s="426">
        <v>211503</v>
      </c>
      <c r="E588" s="425" t="str">
        <f ca="1">+IFERROR(VLOOKUP(D588,TN_table,2,FALSE),"")</f>
        <v>Н-Евровагонка /зузаан-1.2см/</v>
      </c>
      <c r="F588" s="428" t="str">
        <f t="shared" ca="1" si="137"/>
        <v>м2</v>
      </c>
      <c r="G588" s="378"/>
      <c r="H588" s="378"/>
      <c r="I588" s="378"/>
      <c r="J588" s="378"/>
      <c r="K588" s="1220"/>
      <c r="L588" s="378">
        <v>102.27</v>
      </c>
      <c r="M588" s="378">
        <v>21600.576000000001</v>
      </c>
      <c r="N588" s="378">
        <f t="shared" si="144"/>
        <v>2209090.9075199999</v>
      </c>
      <c r="O588" s="378">
        <f t="shared" si="139"/>
        <v>220909.09075199999</v>
      </c>
      <c r="P588" s="378">
        <f t="shared" si="140"/>
        <v>2429999.9982719999</v>
      </c>
      <c r="Q588" s="378">
        <f t="shared" ca="1" si="141"/>
        <v>12622.237683513316</v>
      </c>
      <c r="R588" s="378">
        <f t="shared" ca="1" si="142"/>
        <v>1290876.2478929069</v>
      </c>
      <c r="S588" s="602">
        <v>150101</v>
      </c>
      <c r="T588" s="378" t="str">
        <f>+IFERROR(VLOOKUP(S588,STAT1!$C$4:$D$189,2,FALSE),"")</f>
        <v>Бараа бэлэн бүтээгдэхүүн БОЛОВСРУУЛАХ ЦЕХ /нарс/</v>
      </c>
      <c r="U588" s="1225"/>
      <c r="V588" s="1216">
        <v>1290876.2478929067</v>
      </c>
      <c r="W588" s="326">
        <v>3069</v>
      </c>
      <c r="X588" s="328" t="str">
        <f>IFERROR(VLOOKUP(W588,DATA!$G$4:$H$400,2,FALSE),"")</f>
        <v>УУЛЫН ЗАМ ХХК</v>
      </c>
      <c r="Y588" s="1205"/>
      <c r="Z588" s="1205"/>
      <c r="AA588" s="1205"/>
    </row>
    <row r="589" spans="1:27" ht="12.75" customHeight="1">
      <c r="A589" s="15">
        <v>142</v>
      </c>
      <c r="B589" s="369">
        <f t="shared" si="145"/>
        <v>584</v>
      </c>
      <c r="C589" s="427">
        <v>42909</v>
      </c>
      <c r="D589" s="426"/>
      <c r="E589" s="425"/>
      <c r="F589" s="428" t="str">
        <f t="shared" ca="1" si="137"/>
        <v/>
      </c>
      <c r="G589" s="378"/>
      <c r="H589" s="378"/>
      <c r="I589" s="378"/>
      <c r="J589" s="378"/>
      <c r="K589" s="1220"/>
      <c r="L589" s="378"/>
      <c r="M589" s="378"/>
      <c r="N589" s="378" t="str">
        <f t="shared" si="144"/>
        <v/>
      </c>
      <c r="O589" s="378" t="str">
        <f t="shared" si="139"/>
        <v/>
      </c>
      <c r="P589" s="378" t="str">
        <f t="shared" si="140"/>
        <v/>
      </c>
      <c r="Q589" s="378" t="str">
        <f t="shared" si="141"/>
        <v/>
      </c>
      <c r="R589" s="378" t="str">
        <f t="shared" si="142"/>
        <v/>
      </c>
      <c r="S589" s="602">
        <v>610100</v>
      </c>
      <c r="T589" s="378" t="str">
        <f>+IFERROR(VLOOKUP(S589,STAT1!$C$4:$D$189,2,FALSE),"")</f>
        <v>Борлуулсан барааны өртөг</v>
      </c>
      <c r="U589" s="1216">
        <v>1290876.2478929067</v>
      </c>
      <c r="V589" s="1216"/>
      <c r="W589" s="326">
        <v>3069</v>
      </c>
      <c r="X589" s="328" t="str">
        <f>IFERROR(VLOOKUP(W589,DATA!$G$4:$H$400,2,FALSE),"")</f>
        <v>УУЛЫН ЗАМ ХХК</v>
      </c>
      <c r="Y589" s="1205"/>
      <c r="Z589" s="1205"/>
      <c r="AA589" s="1205"/>
    </row>
    <row r="590" spans="1:27" ht="12.75" customHeight="1">
      <c r="A590" s="15">
        <v>142</v>
      </c>
      <c r="B590" s="369">
        <f t="shared" si="145"/>
        <v>585</v>
      </c>
      <c r="C590" s="427">
        <v>42909</v>
      </c>
      <c r="D590" s="426"/>
      <c r="E590" s="425"/>
      <c r="F590" s="428" t="str">
        <f t="shared" ref="F590:F603" ca="1" si="146">+IFERROR(VLOOKUP(D590,TN_table,3,FALSE),"")</f>
        <v/>
      </c>
      <c r="G590" s="378"/>
      <c r="H590" s="378"/>
      <c r="I590" s="378"/>
      <c r="J590" s="378"/>
      <c r="K590" s="1220"/>
      <c r="L590" s="378"/>
      <c r="M590" s="378"/>
      <c r="N590" s="378" t="str">
        <f t="shared" si="144"/>
        <v/>
      </c>
      <c r="O590" s="378" t="str">
        <f t="shared" ref="O590:O603" si="147">+IF(L590="","",N590*0.1)</f>
        <v/>
      </c>
      <c r="P590" s="378" t="str">
        <f t="shared" ref="P590:P603" si="148">+IF(L590="","",N590+O590)</f>
        <v/>
      </c>
      <c r="Q590" s="378" t="str">
        <f t="shared" ref="Q590:Q603" si="149">IF(L590="","",IFERROR((SUMIFS(TN_balC1_totol,TN_code,D590)+SUMIFS(RC_or_totol,RC_Code,D590,RC_date,"&lt;="&amp;C590)-SUMIFS(RC_zar_totol,RC_Code,D590,RC_date,"&lt;"&amp;C590)) /( SUMIFS(TN_balC1_unit,TN_code,D590)+SUMIFS(RC_or_unit,RC_Code,D590,RC_date,"&lt;="&amp;C590)-SUMIFS(RC_zar_unit,RC_Code,D590,RC_date,"&lt;"&amp;C590)),0 ))</f>
        <v/>
      </c>
      <c r="R590" s="378" t="str">
        <f t="shared" ref="R590:R603" si="150">+IF(L590="","",L590*Q590)</f>
        <v/>
      </c>
      <c r="S590" s="602">
        <v>310500</v>
      </c>
      <c r="T590" s="378" t="str">
        <f>+IFERROR(VLOOKUP(S590,STAT1!$C$4:$D$189,2,FALSE),"")</f>
        <v>НӨАТ өглөг</v>
      </c>
      <c r="U590" s="1225"/>
      <c r="V590" s="1216">
        <v>220909.09075199999</v>
      </c>
      <c r="W590" s="326">
        <v>3069</v>
      </c>
      <c r="X590" s="328" t="str">
        <f>IFERROR(VLOOKUP(W590,DATA!$G$4:$H$400,2,FALSE),"")</f>
        <v>УУЛЫН ЗАМ ХХК</v>
      </c>
      <c r="Y590" s="1205"/>
      <c r="Z590" s="1205"/>
      <c r="AA590" s="1205"/>
    </row>
    <row r="591" spans="1:27" ht="12.75" customHeight="1">
      <c r="A591" s="15">
        <v>142</v>
      </c>
      <c r="B591" s="369">
        <f t="shared" si="145"/>
        <v>586</v>
      </c>
      <c r="C591" s="427">
        <v>42909</v>
      </c>
      <c r="D591" s="426"/>
      <c r="E591" s="425"/>
      <c r="F591" s="428" t="str">
        <f t="shared" ca="1" si="146"/>
        <v/>
      </c>
      <c r="G591" s="378"/>
      <c r="H591" s="378"/>
      <c r="I591" s="378"/>
      <c r="J591" s="378"/>
      <c r="K591" s="1220"/>
      <c r="L591" s="378"/>
      <c r="M591" s="378"/>
      <c r="N591" s="378" t="str">
        <f t="shared" si="144"/>
        <v/>
      </c>
      <c r="O591" s="378" t="str">
        <f t="shared" si="147"/>
        <v/>
      </c>
      <c r="P591" s="378" t="str">
        <f t="shared" si="148"/>
        <v/>
      </c>
      <c r="Q591" s="378" t="str">
        <f t="shared" si="149"/>
        <v/>
      </c>
      <c r="R591" s="378" t="str">
        <f t="shared" si="150"/>
        <v/>
      </c>
      <c r="S591" s="602">
        <v>510000</v>
      </c>
      <c r="T591" s="378" t="str">
        <f>+IFERROR(VLOOKUP(S591,STAT1!$C$4:$D$189,2,FALSE),"")</f>
        <v>Үндсэн үйл ажиллагааны борлуулалт</v>
      </c>
      <c r="U591" s="1225"/>
      <c r="V591" s="1216">
        <v>2209090.9075199999</v>
      </c>
      <c r="W591" s="326">
        <v>3069</v>
      </c>
      <c r="X591" s="328" t="str">
        <f>IFERROR(VLOOKUP(W591,DATA!$G$4:$H$400,2,FALSE),"")</f>
        <v>УУЛЫН ЗАМ ХХК</v>
      </c>
      <c r="Y591" s="1205"/>
      <c r="Z591" s="1205"/>
      <c r="AA591" s="1205"/>
    </row>
    <row r="592" spans="1:27" ht="12.75" customHeight="1">
      <c r="A592" s="15">
        <v>142</v>
      </c>
      <c r="B592" s="369">
        <f t="shared" si="145"/>
        <v>587</v>
      </c>
      <c r="C592" s="427">
        <v>42909</v>
      </c>
      <c r="D592" s="426"/>
      <c r="E592" s="425"/>
      <c r="F592" s="428" t="str">
        <f t="shared" ca="1" si="146"/>
        <v/>
      </c>
      <c r="G592" s="378"/>
      <c r="H592" s="378"/>
      <c r="I592" s="378"/>
      <c r="J592" s="378"/>
      <c r="K592" s="1220"/>
      <c r="L592" s="378"/>
      <c r="M592" s="378"/>
      <c r="N592" s="378" t="str">
        <f t="shared" si="144"/>
        <v/>
      </c>
      <c r="O592" s="378" t="str">
        <f t="shared" si="147"/>
        <v/>
      </c>
      <c r="P592" s="378" t="str">
        <f t="shared" si="148"/>
        <v/>
      </c>
      <c r="Q592" s="378" t="str">
        <f t="shared" si="149"/>
        <v/>
      </c>
      <c r="R592" s="378" t="str">
        <f t="shared" si="150"/>
        <v/>
      </c>
      <c r="S592" s="602">
        <v>320100</v>
      </c>
      <c r="T592" s="378" t="str">
        <f>+IFERROR(VLOOKUP(S592,STAT1!$C$4:$D$189,2,FALSE),"")</f>
        <v>Урьдчилж орсон орлого MNT</v>
      </c>
      <c r="U592" s="1225">
        <v>2429999.9982719999</v>
      </c>
      <c r="V592" s="1216"/>
      <c r="W592" s="326">
        <v>3069</v>
      </c>
      <c r="X592" s="328" t="str">
        <f>IFERROR(VLOOKUP(W592,DATA!$G$4:$H$400,2,FALSE),"")</f>
        <v>УУЛЫН ЗАМ ХХК</v>
      </c>
      <c r="Y592" s="1205"/>
      <c r="Z592" s="1205"/>
      <c r="AA592" s="1205"/>
    </row>
    <row r="593" spans="1:27" ht="12.75" customHeight="1">
      <c r="A593" s="15">
        <v>143</v>
      </c>
      <c r="B593" s="369">
        <f t="shared" si="145"/>
        <v>588</v>
      </c>
      <c r="C593" s="427">
        <v>42909</v>
      </c>
      <c r="D593" s="426">
        <v>211503</v>
      </c>
      <c r="E593" s="425" t="str">
        <f t="shared" ref="E593:E603" ca="1" si="151">+IFERROR(VLOOKUP(D593,TN_table,2,FALSE),"")</f>
        <v>Н-Евровагонка /зузаан-1.2см/</v>
      </c>
      <c r="F593" s="428" t="str">
        <f t="shared" ca="1" si="146"/>
        <v>м2</v>
      </c>
      <c r="G593" s="378"/>
      <c r="H593" s="378"/>
      <c r="I593" s="378"/>
      <c r="J593" s="378"/>
      <c r="K593" s="1220"/>
      <c r="L593" s="378">
        <v>3.36</v>
      </c>
      <c r="M593" s="378">
        <v>21645.020799999998</v>
      </c>
      <c r="N593" s="378">
        <f t="shared" si="144"/>
        <v>72727.269887999995</v>
      </c>
      <c r="O593" s="378">
        <f t="shared" si="147"/>
        <v>7272.7269888000001</v>
      </c>
      <c r="P593" s="378">
        <f t="shared" si="148"/>
        <v>79999.996876799996</v>
      </c>
      <c r="Q593" s="378">
        <f t="shared" ca="1" si="149"/>
        <v>12622.237683513316</v>
      </c>
      <c r="R593" s="378">
        <f t="shared" ca="1" si="150"/>
        <v>42410.71861660474</v>
      </c>
      <c r="S593" s="602">
        <v>150101</v>
      </c>
      <c r="T593" s="378" t="str">
        <f>+IFERROR(VLOOKUP(S593,STAT1!$C$4:$D$189,2,FALSE),"")</f>
        <v>Бараа бэлэн бүтээгдэхүүн БОЛОВСРУУЛАХ ЦЕХ /нарс/</v>
      </c>
      <c r="U593" s="1225"/>
      <c r="V593" s="1216">
        <v>42410.718616604732</v>
      </c>
      <c r="W593" s="326">
        <v>3072</v>
      </c>
      <c r="X593" s="328" t="str">
        <f>IFERROR(VLOOKUP(W593,DATA!$G$4:$H$400,2,FALSE),"")</f>
        <v>МЕТАЛ ХАУС ХХК</v>
      </c>
      <c r="Y593" s="1205"/>
      <c r="Z593" s="1205"/>
      <c r="AA593" s="1205"/>
    </row>
    <row r="594" spans="1:27" ht="12.75" customHeight="1">
      <c r="A594" s="15">
        <v>143</v>
      </c>
      <c r="B594" s="369">
        <f t="shared" si="145"/>
        <v>589</v>
      </c>
      <c r="C594" s="427">
        <v>42909</v>
      </c>
      <c r="D594" s="426"/>
      <c r="E594" s="425" t="str">
        <f t="shared" ca="1" si="151"/>
        <v/>
      </c>
      <c r="F594" s="428" t="str">
        <f t="shared" ca="1" si="146"/>
        <v/>
      </c>
      <c r="G594" s="378"/>
      <c r="H594" s="378"/>
      <c r="I594" s="378"/>
      <c r="J594" s="378"/>
      <c r="K594" s="1220"/>
      <c r="L594" s="378"/>
      <c r="M594" s="378"/>
      <c r="N594" s="378" t="str">
        <f t="shared" si="144"/>
        <v/>
      </c>
      <c r="O594" s="378" t="str">
        <f t="shared" si="147"/>
        <v/>
      </c>
      <c r="P594" s="378" t="str">
        <f t="shared" si="148"/>
        <v/>
      </c>
      <c r="Q594" s="378" t="str">
        <f t="shared" si="149"/>
        <v/>
      </c>
      <c r="R594" s="378" t="str">
        <f t="shared" si="150"/>
        <v/>
      </c>
      <c r="S594" s="602">
        <v>610100</v>
      </c>
      <c r="T594" s="378" t="str">
        <f>+IFERROR(VLOOKUP(S594,STAT1!$C$4:$D$189,2,FALSE),"")</f>
        <v>Борлуулсан барааны өртөг</v>
      </c>
      <c r="U594" s="1216">
        <v>42410.718616604732</v>
      </c>
      <c r="V594" s="1216"/>
      <c r="W594" s="326">
        <v>3072</v>
      </c>
      <c r="X594" s="328" t="str">
        <f>IFERROR(VLOOKUP(W594,DATA!$G$4:$H$400,2,FALSE),"")</f>
        <v>МЕТАЛ ХАУС ХХК</v>
      </c>
      <c r="Y594" s="1205"/>
      <c r="Z594" s="1205"/>
      <c r="AA594" s="1205"/>
    </row>
    <row r="595" spans="1:27" ht="12.75" customHeight="1">
      <c r="A595" s="15">
        <v>143</v>
      </c>
      <c r="B595" s="369">
        <f t="shared" si="145"/>
        <v>590</v>
      </c>
      <c r="C595" s="427">
        <v>42909</v>
      </c>
      <c r="D595" s="426"/>
      <c r="E595" s="425" t="str">
        <f t="shared" ca="1" si="151"/>
        <v/>
      </c>
      <c r="F595" s="428" t="str">
        <f t="shared" ca="1" si="146"/>
        <v/>
      </c>
      <c r="G595" s="378"/>
      <c r="H595" s="378"/>
      <c r="I595" s="378"/>
      <c r="J595" s="378"/>
      <c r="K595" s="1220"/>
      <c r="L595" s="378"/>
      <c r="M595" s="378"/>
      <c r="N595" s="378" t="str">
        <f t="shared" si="144"/>
        <v/>
      </c>
      <c r="O595" s="378" t="str">
        <f t="shared" si="147"/>
        <v/>
      </c>
      <c r="P595" s="378" t="str">
        <f t="shared" si="148"/>
        <v/>
      </c>
      <c r="Q595" s="378" t="str">
        <f t="shared" si="149"/>
        <v/>
      </c>
      <c r="R595" s="378" t="str">
        <f t="shared" si="150"/>
        <v/>
      </c>
      <c r="S595" s="602">
        <v>310500</v>
      </c>
      <c r="T595" s="378" t="str">
        <f>+IFERROR(VLOOKUP(S595,STAT1!$C$4:$D$189,2,FALSE),"")</f>
        <v>НӨАТ өглөг</v>
      </c>
      <c r="U595" s="1225"/>
      <c r="V595" s="1216">
        <v>7272.7269888000001</v>
      </c>
      <c r="W595" s="326">
        <v>3072</v>
      </c>
      <c r="X595" s="328" t="str">
        <f>IFERROR(VLOOKUP(W595,DATA!$G$4:$H$400,2,FALSE),"")</f>
        <v>МЕТАЛ ХАУС ХХК</v>
      </c>
      <c r="Y595" s="1205"/>
      <c r="Z595" s="1205"/>
      <c r="AA595" s="1205"/>
    </row>
    <row r="596" spans="1:27" ht="12.75" customHeight="1">
      <c r="A596" s="15">
        <v>143</v>
      </c>
      <c r="B596" s="369">
        <f t="shared" si="145"/>
        <v>591</v>
      </c>
      <c r="C596" s="427">
        <v>42909</v>
      </c>
      <c r="D596" s="426"/>
      <c r="E596" s="425" t="str">
        <f t="shared" ca="1" si="151"/>
        <v/>
      </c>
      <c r="F596" s="428" t="str">
        <f t="shared" ca="1" si="146"/>
        <v/>
      </c>
      <c r="G596" s="378"/>
      <c r="H596" s="378"/>
      <c r="I596" s="378"/>
      <c r="J596" s="378"/>
      <c r="K596" s="1220"/>
      <c r="L596" s="378"/>
      <c r="M596" s="378"/>
      <c r="N596" s="378" t="str">
        <f t="shared" si="144"/>
        <v/>
      </c>
      <c r="O596" s="378" t="str">
        <f t="shared" si="147"/>
        <v/>
      </c>
      <c r="P596" s="378" t="str">
        <f t="shared" si="148"/>
        <v/>
      </c>
      <c r="Q596" s="378" t="str">
        <f t="shared" si="149"/>
        <v/>
      </c>
      <c r="R596" s="378" t="str">
        <f t="shared" si="150"/>
        <v/>
      </c>
      <c r="S596" s="602">
        <v>510000</v>
      </c>
      <c r="T596" s="378" t="str">
        <f>+IFERROR(VLOOKUP(S596,STAT1!$C$4:$D$189,2,FALSE),"")</f>
        <v>Үндсэн үйл ажиллагааны борлуулалт</v>
      </c>
      <c r="U596" s="1225"/>
      <c r="V596" s="1216">
        <v>72727.269887999995</v>
      </c>
      <c r="W596" s="326">
        <v>3072</v>
      </c>
      <c r="X596" s="328" t="str">
        <f>IFERROR(VLOOKUP(W596,DATA!$G$4:$H$400,2,FALSE),"")</f>
        <v>МЕТАЛ ХАУС ХХК</v>
      </c>
      <c r="Y596" s="1205"/>
      <c r="Z596" s="1205"/>
      <c r="AA596" s="1205"/>
    </row>
    <row r="597" spans="1:27" ht="12.75" customHeight="1">
      <c r="A597" s="15">
        <v>143</v>
      </c>
      <c r="B597" s="369">
        <f t="shared" si="145"/>
        <v>592</v>
      </c>
      <c r="C597" s="427">
        <v>42909</v>
      </c>
      <c r="D597" s="426"/>
      <c r="E597" s="425" t="str">
        <f t="shared" ca="1" si="151"/>
        <v/>
      </c>
      <c r="F597" s="428" t="str">
        <f t="shared" ca="1" si="146"/>
        <v/>
      </c>
      <c r="G597" s="378"/>
      <c r="H597" s="378"/>
      <c r="I597" s="378"/>
      <c r="J597" s="378"/>
      <c r="K597" s="1220"/>
      <c r="L597" s="378"/>
      <c r="M597" s="378"/>
      <c r="N597" s="378" t="str">
        <f t="shared" si="144"/>
        <v/>
      </c>
      <c r="O597" s="378" t="str">
        <f t="shared" si="147"/>
        <v/>
      </c>
      <c r="P597" s="378" t="str">
        <f t="shared" si="148"/>
        <v/>
      </c>
      <c r="Q597" s="378" t="str">
        <f t="shared" si="149"/>
        <v/>
      </c>
      <c r="R597" s="378" t="str">
        <f t="shared" si="150"/>
        <v/>
      </c>
      <c r="S597" s="602">
        <v>320100</v>
      </c>
      <c r="T597" s="378" t="str">
        <f>+IFERROR(VLOOKUP(S597,STAT1!$C$4:$D$189,2,FALSE),"")</f>
        <v>Урьдчилж орсон орлого MNT</v>
      </c>
      <c r="U597" s="1225">
        <v>79999.996876799996</v>
      </c>
      <c r="V597" s="1216"/>
      <c r="W597" s="326">
        <v>3072</v>
      </c>
      <c r="X597" s="328" t="str">
        <f>IFERROR(VLOOKUP(W597,DATA!$G$4:$H$400,2,FALSE),"")</f>
        <v>МЕТАЛ ХАУС ХХК</v>
      </c>
      <c r="Y597" s="1205"/>
      <c r="Z597" s="1205"/>
      <c r="AA597" s="1205"/>
    </row>
    <row r="598" spans="1:27" ht="12.75" customHeight="1">
      <c r="A598" s="15">
        <v>144</v>
      </c>
      <c r="B598" s="369">
        <f t="shared" si="145"/>
        <v>593</v>
      </c>
      <c r="C598" s="427">
        <v>42910</v>
      </c>
      <c r="D598" s="426">
        <v>211503</v>
      </c>
      <c r="E598" s="425" t="str">
        <f t="shared" ca="1" si="151"/>
        <v>Н-Евровагонка /зузаан-1.2см/</v>
      </c>
      <c r="F598" s="428" t="str">
        <f t="shared" ca="1" si="146"/>
        <v>м2</v>
      </c>
      <c r="G598" s="378"/>
      <c r="H598" s="378"/>
      <c r="I598" s="378"/>
      <c r="J598" s="378"/>
      <c r="K598" s="1220"/>
      <c r="L598" s="378">
        <v>576.6</v>
      </c>
      <c r="M598" s="378">
        <v>21599.974765868883</v>
      </c>
      <c r="N598" s="378">
        <f t="shared" si="144"/>
        <v>12454545.449999999</v>
      </c>
      <c r="O598" s="378">
        <f t="shared" si="147"/>
        <v>1245454.5449999999</v>
      </c>
      <c r="P598" s="378">
        <f t="shared" si="148"/>
        <v>13699999.994999999</v>
      </c>
      <c r="Q598" s="378">
        <f t="shared" ca="1" si="149"/>
        <v>12622.237683513316</v>
      </c>
      <c r="R598" s="378">
        <f t="shared" ca="1" si="150"/>
        <v>7277982.2483137781</v>
      </c>
      <c r="S598" s="602">
        <v>150101</v>
      </c>
      <c r="T598" s="378" t="str">
        <f>+IFERROR(VLOOKUP(S598,STAT1!$C$4:$D$189,2,FALSE),"")</f>
        <v>Бараа бэлэн бүтээгдэхүүн БОЛОВСРУУЛАХ ЦЕХ /нарс/</v>
      </c>
      <c r="U598" s="1225"/>
      <c r="V598" s="1216">
        <v>7277982.2483137781</v>
      </c>
      <c r="W598" s="326">
        <v>3001</v>
      </c>
      <c r="X598" s="328" t="str">
        <f>IFERROR(VLOOKUP(W598,DATA!$G$4:$H$400,2,FALSE),"")</f>
        <v>ХУРД ГРУПП ХХК</v>
      </c>
      <c r="Y598" s="1205"/>
      <c r="Z598" s="1205"/>
      <c r="AA598" s="1205"/>
    </row>
    <row r="599" spans="1:27" ht="12.75" customHeight="1">
      <c r="A599" s="15">
        <v>144</v>
      </c>
      <c r="B599" s="369">
        <f t="shared" si="145"/>
        <v>594</v>
      </c>
      <c r="C599" s="427">
        <v>42910</v>
      </c>
      <c r="D599" s="426"/>
      <c r="E599" s="425" t="str">
        <f t="shared" ca="1" si="151"/>
        <v/>
      </c>
      <c r="F599" s="428" t="str">
        <f t="shared" ca="1" si="146"/>
        <v/>
      </c>
      <c r="G599" s="378"/>
      <c r="H599" s="378"/>
      <c r="I599" s="378"/>
      <c r="J599" s="378"/>
      <c r="K599" s="1220"/>
      <c r="L599" s="378"/>
      <c r="M599" s="378"/>
      <c r="N599" s="378" t="str">
        <f t="shared" si="144"/>
        <v/>
      </c>
      <c r="O599" s="378" t="str">
        <f t="shared" si="147"/>
        <v/>
      </c>
      <c r="P599" s="378" t="str">
        <f t="shared" si="148"/>
        <v/>
      </c>
      <c r="Q599" s="378" t="str">
        <f t="shared" si="149"/>
        <v/>
      </c>
      <c r="R599" s="378" t="str">
        <f t="shared" si="150"/>
        <v/>
      </c>
      <c r="S599" s="602">
        <v>610100</v>
      </c>
      <c r="T599" s="378" t="str">
        <f>+IFERROR(VLOOKUP(S599,STAT1!$C$4:$D$189,2,FALSE),"")</f>
        <v>Борлуулсан барааны өртөг</v>
      </c>
      <c r="U599" s="1216">
        <v>7277982.2483137781</v>
      </c>
      <c r="V599" s="1216"/>
      <c r="W599" s="326">
        <v>3001</v>
      </c>
      <c r="X599" s="328" t="str">
        <f>IFERROR(VLOOKUP(W599,DATA!$G$4:$H$400,2,FALSE),"")</f>
        <v>ХУРД ГРУПП ХХК</v>
      </c>
      <c r="Y599" s="1205"/>
      <c r="Z599" s="1205"/>
      <c r="AA599" s="1205"/>
    </row>
    <row r="600" spans="1:27" ht="12.75" customHeight="1">
      <c r="A600" s="15">
        <v>144</v>
      </c>
      <c r="B600" s="369">
        <f t="shared" si="145"/>
        <v>595</v>
      </c>
      <c r="C600" s="427">
        <v>42910</v>
      </c>
      <c r="D600" s="426"/>
      <c r="E600" s="425" t="str">
        <f t="shared" ca="1" si="151"/>
        <v/>
      </c>
      <c r="F600" s="428" t="str">
        <f t="shared" ca="1" si="146"/>
        <v/>
      </c>
      <c r="G600" s="378"/>
      <c r="H600" s="378"/>
      <c r="I600" s="378"/>
      <c r="J600" s="378"/>
      <c r="K600" s="1220"/>
      <c r="L600" s="378"/>
      <c r="M600" s="378"/>
      <c r="N600" s="378" t="str">
        <f t="shared" si="144"/>
        <v/>
      </c>
      <c r="O600" s="378" t="str">
        <f t="shared" si="147"/>
        <v/>
      </c>
      <c r="P600" s="378" t="str">
        <f t="shared" si="148"/>
        <v/>
      </c>
      <c r="Q600" s="378" t="str">
        <f t="shared" si="149"/>
        <v/>
      </c>
      <c r="R600" s="378" t="str">
        <f t="shared" si="150"/>
        <v/>
      </c>
      <c r="S600" s="602">
        <v>310500</v>
      </c>
      <c r="T600" s="378" t="str">
        <f>+IFERROR(VLOOKUP(S600,STAT1!$C$4:$D$189,2,FALSE),"")</f>
        <v>НӨАТ өглөг</v>
      </c>
      <c r="U600" s="1225"/>
      <c r="V600" s="1216">
        <v>1245454.5449999999</v>
      </c>
      <c r="W600" s="326">
        <v>3001</v>
      </c>
      <c r="X600" s="328" t="str">
        <f>IFERROR(VLOOKUP(W600,DATA!$G$4:$H$400,2,FALSE),"")</f>
        <v>ХУРД ГРУПП ХХК</v>
      </c>
      <c r="Y600" s="1205"/>
      <c r="Z600" s="1205"/>
      <c r="AA600" s="1205"/>
    </row>
    <row r="601" spans="1:27" ht="12.75" customHeight="1">
      <c r="A601" s="15">
        <v>144</v>
      </c>
      <c r="B601" s="369">
        <f t="shared" si="145"/>
        <v>596</v>
      </c>
      <c r="C601" s="427">
        <v>42910</v>
      </c>
      <c r="D601" s="426"/>
      <c r="E601" s="425" t="str">
        <f t="shared" ca="1" si="151"/>
        <v/>
      </c>
      <c r="F601" s="428" t="str">
        <f t="shared" ca="1" si="146"/>
        <v/>
      </c>
      <c r="G601" s="378"/>
      <c r="H601" s="378"/>
      <c r="I601" s="378"/>
      <c r="J601" s="378"/>
      <c r="K601" s="1220"/>
      <c r="L601" s="378"/>
      <c r="M601" s="378"/>
      <c r="N601" s="378" t="str">
        <f t="shared" si="144"/>
        <v/>
      </c>
      <c r="O601" s="378" t="str">
        <f t="shared" si="147"/>
        <v/>
      </c>
      <c r="P601" s="378" t="str">
        <f t="shared" si="148"/>
        <v/>
      </c>
      <c r="Q601" s="378" t="str">
        <f t="shared" si="149"/>
        <v/>
      </c>
      <c r="R601" s="378" t="str">
        <f t="shared" si="150"/>
        <v/>
      </c>
      <c r="S601" s="602">
        <v>510000</v>
      </c>
      <c r="T601" s="378" t="str">
        <f>+IFERROR(VLOOKUP(S601,STAT1!$C$4:$D$189,2,FALSE),"")</f>
        <v>Үндсэн үйл ажиллагааны борлуулалт</v>
      </c>
      <c r="U601" s="1225"/>
      <c r="V601" s="1216">
        <v>12454545.449999999</v>
      </c>
      <c r="W601" s="326">
        <v>3001</v>
      </c>
      <c r="X601" s="328" t="str">
        <f>IFERROR(VLOOKUP(W601,DATA!$G$4:$H$400,2,FALSE),"")</f>
        <v>ХУРД ГРУПП ХХК</v>
      </c>
      <c r="Y601" s="1205"/>
      <c r="Z601" s="1205"/>
      <c r="AA601" s="1205"/>
    </row>
    <row r="602" spans="1:27" ht="12.75" customHeight="1">
      <c r="A602" s="15">
        <v>144</v>
      </c>
      <c r="B602" s="369">
        <f t="shared" si="145"/>
        <v>597</v>
      </c>
      <c r="C602" s="427">
        <v>42910</v>
      </c>
      <c r="D602" s="426"/>
      <c r="E602" s="425" t="str">
        <f t="shared" ca="1" si="151"/>
        <v/>
      </c>
      <c r="F602" s="428" t="str">
        <f t="shared" ca="1" si="146"/>
        <v/>
      </c>
      <c r="G602" s="378"/>
      <c r="H602" s="378"/>
      <c r="I602" s="378"/>
      <c r="J602" s="378"/>
      <c r="K602" s="1220"/>
      <c r="L602" s="378"/>
      <c r="M602" s="378"/>
      <c r="N602" s="378" t="str">
        <f t="shared" si="144"/>
        <v/>
      </c>
      <c r="O602" s="378" t="str">
        <f t="shared" si="147"/>
        <v/>
      </c>
      <c r="P602" s="378" t="str">
        <f t="shared" si="148"/>
        <v/>
      </c>
      <c r="Q602" s="378" t="str">
        <f t="shared" si="149"/>
        <v/>
      </c>
      <c r="R602" s="378" t="str">
        <f t="shared" si="150"/>
        <v/>
      </c>
      <c r="S602" s="602">
        <v>320100</v>
      </c>
      <c r="T602" s="378" t="str">
        <f>+IFERROR(VLOOKUP(S602,STAT1!$C$4:$D$189,2,FALSE),"")</f>
        <v>Урьдчилж орсон орлого MNT</v>
      </c>
      <c r="U602" s="1225">
        <v>13699999.994999999</v>
      </c>
      <c r="V602" s="1216"/>
      <c r="W602" s="326">
        <v>3001</v>
      </c>
      <c r="X602" s="328" t="str">
        <f>IFERROR(VLOOKUP(W602,DATA!$G$4:$H$400,2,FALSE),"")</f>
        <v>ХУРД ГРУПП ХХК</v>
      </c>
      <c r="Y602" s="1205"/>
      <c r="Z602" s="1205"/>
      <c r="AA602" s="1205"/>
    </row>
    <row r="603" spans="1:27" ht="12.75" customHeight="1">
      <c r="A603" s="15">
        <v>145</v>
      </c>
      <c r="B603" s="369">
        <f t="shared" si="145"/>
        <v>598</v>
      </c>
      <c r="C603" s="427">
        <v>42916</v>
      </c>
      <c r="D603" s="426">
        <v>510001</v>
      </c>
      <c r="E603" s="425" t="str">
        <f t="shared" ca="1" si="151"/>
        <v>Цавуу 505</v>
      </c>
      <c r="F603" s="428" t="str">
        <f t="shared" ca="1" si="146"/>
        <v>кг</v>
      </c>
      <c r="G603" s="378"/>
      <c r="H603" s="378"/>
      <c r="I603" s="378"/>
      <c r="J603" s="378"/>
      <c r="K603" s="1220"/>
      <c r="L603" s="378">
        <v>900</v>
      </c>
      <c r="M603" s="378"/>
      <c r="N603" s="378">
        <f t="shared" si="144"/>
        <v>0</v>
      </c>
      <c r="O603" s="378">
        <f t="shared" si="147"/>
        <v>0</v>
      </c>
      <c r="P603" s="378">
        <f t="shared" si="148"/>
        <v>0</v>
      </c>
      <c r="Q603" s="378">
        <f t="shared" ca="1" si="149"/>
        <v>3995.26</v>
      </c>
      <c r="R603" s="378">
        <f t="shared" ca="1" si="150"/>
        <v>3595734</v>
      </c>
      <c r="S603" s="602">
        <v>140201</v>
      </c>
      <c r="T603" s="378" t="str">
        <f>+IFERROR(VLOOKUP(S603,STAT1!$C$4:$D$189,2,FALSE),"")</f>
        <v>ШМЗардал БОЛОВСРУУЛАХ ЦЕХ /нарс/</v>
      </c>
      <c r="U603" s="1225">
        <v>3595734</v>
      </c>
      <c r="V603" s="1216"/>
      <c r="W603" s="326">
        <v>1006</v>
      </c>
      <c r="X603" s="328" t="str">
        <f>IFERROR(VLOOKUP(W603,DATA!$G$4:$H$400,2,FALSE),"")</f>
        <v>Оюундэлгэр /нярав/</v>
      </c>
      <c r="Y603" s="1205"/>
      <c r="Z603" s="1205"/>
      <c r="AA603" s="1205"/>
    </row>
    <row r="604" spans="1:27" ht="12.75" customHeight="1">
      <c r="A604" s="15">
        <v>145</v>
      </c>
      <c r="B604" s="369">
        <f t="shared" si="145"/>
        <v>599</v>
      </c>
      <c r="C604" s="427">
        <v>42916</v>
      </c>
      <c r="D604" s="426"/>
      <c r="E604" s="425"/>
      <c r="F604" s="428"/>
      <c r="G604" s="378"/>
      <c r="H604" s="378"/>
      <c r="I604" s="378"/>
      <c r="J604" s="378"/>
      <c r="K604" s="1220"/>
      <c r="L604" s="378"/>
      <c r="M604" s="378"/>
      <c r="N604" s="378"/>
      <c r="O604" s="378"/>
      <c r="P604" s="378"/>
      <c r="Q604" s="378"/>
      <c r="R604" s="378"/>
      <c r="S604" s="602">
        <v>140100</v>
      </c>
      <c r="T604" s="378" t="str">
        <f>+IFERROR(VLOOKUP(S604,STAT1!$C$4:$D$189,2,FALSE),"")</f>
        <v>Түүхий эд материал</v>
      </c>
      <c r="U604" s="1225"/>
      <c r="V604" s="1216">
        <v>3595734</v>
      </c>
      <c r="W604" s="326">
        <v>1006</v>
      </c>
      <c r="X604" s="328" t="str">
        <f>IFERROR(VLOOKUP(W604,DATA!$G$4:$H$400,2,FALSE),"")</f>
        <v>Оюундэлгэр /нярав/</v>
      </c>
      <c r="Y604" s="1205"/>
      <c r="Z604" s="1205"/>
      <c r="AA604" s="1205"/>
    </row>
    <row r="605" spans="1:27" ht="12.75" customHeight="1">
      <c r="A605" s="15">
        <v>146</v>
      </c>
      <c r="B605" s="369">
        <f t="shared" ref="B605:B628" si="152">IF(C605="","",ROW()-5)</f>
        <v>600</v>
      </c>
      <c r="C605" s="427">
        <v>42917</v>
      </c>
      <c r="D605" s="426">
        <v>211401</v>
      </c>
      <c r="E605" s="425" t="str">
        <f t="shared" ref="E605:E626" ca="1" si="153">+IFERROR(VLOOKUP(D605,TN_table,2,FALSE),"")</f>
        <v xml:space="preserve">Н-Блок Хаус  /4.3*16.5см/-яртай </v>
      </c>
      <c r="F605" s="428" t="str">
        <f t="shared" ref="F605:F626" ca="1" si="154">+IFERROR(VLOOKUP(D605,TN_table,3,FALSE),"")</f>
        <v>м2</v>
      </c>
      <c r="G605" s="378"/>
      <c r="H605" s="378"/>
      <c r="I605" s="378" t="str">
        <f t="shared" ref="I605:I612" si="155">+IF(G605="","",G605*H605)</f>
        <v/>
      </c>
      <c r="J605" s="378" t="str">
        <f t="shared" ref="J605:J612" si="156">+IF(G605="","",I605*0.1)</f>
        <v/>
      </c>
      <c r="K605" s="1220" t="str">
        <f t="shared" ref="K605:K612" si="157">+IF(G605="","",I605+J605)</f>
        <v/>
      </c>
      <c r="L605" s="378">
        <v>19.597999999999999</v>
      </c>
      <c r="M605" s="378">
        <v>67956.8416</v>
      </c>
      <c r="N605" s="378">
        <f t="shared" ref="N605:N668" si="158">+IF(L605="","",L605*M605)</f>
        <v>1331818.1816767999</v>
      </c>
      <c r="O605" s="378">
        <f t="shared" ref="O605:O626" si="159">+IF(L605="","",N605*0.1)</f>
        <v>133181.81816768</v>
      </c>
      <c r="P605" s="378">
        <f t="shared" ref="P605:P626" si="160">+IF(L605="","",N605+O605)</f>
        <v>1464999.9998444798</v>
      </c>
      <c r="Q605" s="378">
        <f t="shared" ref="Q605:Q626" ca="1" si="161">IF(L605="","",IFERROR((SUMIFS(TN_balC1_totol,TN_code,D605)+SUMIFS(RC_or_totol,RC_Code,D605,RC_date,"&lt;="&amp;C605)-SUMIFS(RC_zar_totol,RC_Code,D605,RC_date,"&lt;"&amp;C605)) /( SUMIFS(TN_balC1_unit,TN_code,D605)+SUMIFS(RC_or_unit,RC_Code,D605,RC_date,"&lt;="&amp;C605)-SUMIFS(RC_zar_unit,RC_Code,D605,RC_date,"&lt;"&amp;C605)),0 ))</f>
        <v>51757.27978772315</v>
      </c>
      <c r="R605" s="378">
        <f t="shared" ref="R605:R626" ca="1" si="162">+IF(L605="","",L605*Q605)</f>
        <v>1014339.1692797983</v>
      </c>
      <c r="S605" s="602">
        <v>150101</v>
      </c>
      <c r="T605" s="378" t="str">
        <f>+IFERROR(VLOOKUP(S605,STAT1!$C$4:$D$189,2,FALSE),"")</f>
        <v>Бараа бэлэн бүтээгдэхүүн БОЛОВСРУУЛАХ ЦЕХ /нарс/</v>
      </c>
      <c r="U605" s="1225"/>
      <c r="V605" s="1216">
        <v>9778640.4758540541</v>
      </c>
      <c r="W605" s="326">
        <v>4002</v>
      </c>
      <c r="X605" s="328" t="str">
        <f>IFERROR(VLOOKUP(W605,DATA!$G$4:$H$400,2,FALSE),"")</f>
        <v xml:space="preserve">Хувь хүн </v>
      </c>
      <c r="Y605" s="1205"/>
      <c r="Z605" s="1205"/>
      <c r="AA605" s="1205"/>
    </row>
    <row r="606" spans="1:27" ht="12.75" customHeight="1">
      <c r="A606" s="15">
        <v>146</v>
      </c>
      <c r="B606" s="369">
        <f t="shared" si="152"/>
        <v>601</v>
      </c>
      <c r="C606" s="427">
        <v>42917</v>
      </c>
      <c r="D606" s="426">
        <v>211710</v>
      </c>
      <c r="E606" s="425" t="str">
        <f t="shared" ca="1" si="153"/>
        <v xml:space="preserve">Н-Хавтан /зузаан-3см/-яртай </v>
      </c>
      <c r="F606" s="428" t="str">
        <f t="shared" ca="1" si="154"/>
        <v>м2</v>
      </c>
      <c r="G606" s="378"/>
      <c r="H606" s="378"/>
      <c r="I606" s="378" t="str">
        <f t="shared" si="155"/>
        <v/>
      </c>
      <c r="J606" s="378" t="str">
        <f t="shared" si="156"/>
        <v/>
      </c>
      <c r="K606" s="1220" t="str">
        <f t="shared" si="157"/>
        <v/>
      </c>
      <c r="L606" s="378">
        <v>53.408999999999999</v>
      </c>
      <c r="M606" s="378">
        <v>40000.068099999997</v>
      </c>
      <c r="N606" s="378">
        <f t="shared" si="158"/>
        <v>2136363.6371529</v>
      </c>
      <c r="O606" s="378">
        <f t="shared" si="159"/>
        <v>213636.36371529</v>
      </c>
      <c r="P606" s="378">
        <f t="shared" si="160"/>
        <v>2350000.0008681901</v>
      </c>
      <c r="Q606" s="378">
        <f t="shared" ca="1" si="161"/>
        <v>32877.788914248587</v>
      </c>
      <c r="R606" s="378">
        <f t="shared" ca="1" si="162"/>
        <v>1755969.8281211029</v>
      </c>
      <c r="S606" s="602">
        <v>610100</v>
      </c>
      <c r="T606" s="378" t="str">
        <f>+IFERROR(VLOOKUP(S606,STAT1!$C$4:$D$189,2,FALSE),"")</f>
        <v>Борлуулсан барааны өртөг</v>
      </c>
      <c r="U606" s="1225">
        <v>9778640.4758540541</v>
      </c>
      <c r="V606" s="1216"/>
      <c r="W606" s="326">
        <v>4002</v>
      </c>
      <c r="X606" s="328" t="str">
        <f>IFERROR(VLOOKUP(W606,DATA!$G$4:$H$400,2,FALSE),"")</f>
        <v xml:space="preserve">Хувь хүн </v>
      </c>
      <c r="Y606" s="1205"/>
      <c r="Z606" s="1205"/>
      <c r="AA606" s="1205"/>
    </row>
    <row r="607" spans="1:27" ht="12.75" customHeight="1">
      <c r="A607" s="15">
        <v>146</v>
      </c>
      <c r="B607" s="369">
        <f t="shared" si="152"/>
        <v>602</v>
      </c>
      <c r="C607" s="427">
        <v>42917</v>
      </c>
      <c r="D607" s="426">
        <v>210003</v>
      </c>
      <c r="E607" s="425" t="str">
        <f t="shared" ca="1" si="153"/>
        <v>Н-Наамал дүнз</v>
      </c>
      <c r="F607" s="428" t="str">
        <f t="shared" ca="1" si="154"/>
        <v>м2</v>
      </c>
      <c r="G607" s="378"/>
      <c r="H607" s="378"/>
      <c r="I607" s="378" t="str">
        <f t="shared" si="155"/>
        <v/>
      </c>
      <c r="J607" s="378" t="str">
        <f t="shared" si="156"/>
        <v/>
      </c>
      <c r="K607" s="1220" t="str">
        <f t="shared" si="157"/>
        <v/>
      </c>
      <c r="L607" s="378">
        <v>5.5839999999999996</v>
      </c>
      <c r="M607" s="378">
        <v>254574.75899999999</v>
      </c>
      <c r="N607" s="378">
        <f t="shared" si="158"/>
        <v>1421545.4542559998</v>
      </c>
      <c r="O607" s="378">
        <f t="shared" si="159"/>
        <v>142154.54542559999</v>
      </c>
      <c r="P607" s="378">
        <f t="shared" si="160"/>
        <v>1563699.9996815997</v>
      </c>
      <c r="Q607" s="378">
        <f t="shared" ca="1" si="161"/>
        <v>191123.5667321017</v>
      </c>
      <c r="R607" s="378">
        <f t="shared" ca="1" si="162"/>
        <v>1067233.9966320558</v>
      </c>
      <c r="S607" s="602">
        <v>310500</v>
      </c>
      <c r="T607" s="378" t="str">
        <f>+IFERROR(VLOOKUP(S607,STAT1!$C$4:$D$189,2,FALSE),"")</f>
        <v>НӨАТ өглөг</v>
      </c>
      <c r="U607" s="1225"/>
      <c r="V607" s="1216">
        <v>1345751.7269987301</v>
      </c>
      <c r="W607" s="326">
        <v>4002</v>
      </c>
      <c r="X607" s="328" t="str">
        <f>IFERROR(VLOOKUP(W607,DATA!$G$4:$H$400,2,FALSE),"")</f>
        <v xml:space="preserve">Хувь хүн </v>
      </c>
      <c r="Y607" s="1205"/>
      <c r="Z607" s="1205"/>
      <c r="AA607" s="1205"/>
    </row>
    <row r="608" spans="1:27" ht="12.75" customHeight="1">
      <c r="A608" s="15">
        <v>146</v>
      </c>
      <c r="B608" s="369">
        <f t="shared" si="152"/>
        <v>603</v>
      </c>
      <c r="C608" s="427">
        <v>42917</v>
      </c>
      <c r="D608" s="426">
        <v>211504</v>
      </c>
      <c r="E608" s="425" t="str">
        <f t="shared" ca="1" si="153"/>
        <v xml:space="preserve">Н-Евровагонка /зузаан-1.2см/-яртай </v>
      </c>
      <c r="F608" s="428" t="str">
        <f t="shared" ca="1" si="154"/>
        <v>м2</v>
      </c>
      <c r="G608" s="378"/>
      <c r="H608" s="378"/>
      <c r="I608" s="378" t="str">
        <f t="shared" si="155"/>
        <v/>
      </c>
      <c r="J608" s="378" t="str">
        <f t="shared" si="156"/>
        <v/>
      </c>
      <c r="K608" s="1220" t="str">
        <f t="shared" si="157"/>
        <v/>
      </c>
      <c r="L608" s="378">
        <v>10</v>
      </c>
      <c r="M608" s="378">
        <v>18000</v>
      </c>
      <c r="N608" s="378">
        <f t="shared" si="158"/>
        <v>180000</v>
      </c>
      <c r="O608" s="378">
        <f t="shared" si="159"/>
        <v>18000</v>
      </c>
      <c r="P608" s="378">
        <f t="shared" si="160"/>
        <v>198000</v>
      </c>
      <c r="Q608" s="378">
        <f t="shared" ca="1" si="161"/>
        <v>11310.879514497638</v>
      </c>
      <c r="R608" s="378">
        <f t="shared" ca="1" si="162"/>
        <v>113108.79514497638</v>
      </c>
      <c r="S608" s="602">
        <v>510000</v>
      </c>
      <c r="T608" s="378" t="str">
        <f>+IFERROR(VLOOKUP(S608,STAT1!$C$4:$D$189,2,FALSE),"")</f>
        <v>Үндсэн үйл ажиллагааны борлуулалт</v>
      </c>
      <c r="U608" s="1225"/>
      <c r="V608" s="1216">
        <v>13457517.2699873</v>
      </c>
      <c r="W608" s="326">
        <v>4002</v>
      </c>
      <c r="X608" s="328" t="str">
        <f>IFERROR(VLOOKUP(W608,DATA!$G$4:$H$400,2,FALSE),"")</f>
        <v xml:space="preserve">Хувь хүн </v>
      </c>
      <c r="Y608" s="1205"/>
      <c r="Z608" s="1205"/>
      <c r="AA608" s="1205"/>
    </row>
    <row r="609" spans="1:27" ht="12.75" customHeight="1">
      <c r="A609" s="15">
        <v>146</v>
      </c>
      <c r="B609" s="369">
        <f t="shared" si="152"/>
        <v>604</v>
      </c>
      <c r="C609" s="427">
        <v>42917</v>
      </c>
      <c r="D609" s="426">
        <v>211715</v>
      </c>
      <c r="E609" s="425" t="str">
        <f t="shared" ca="1" si="153"/>
        <v>Н-Хавтан /зузаан-1.8см/</v>
      </c>
      <c r="F609" s="428" t="str">
        <f t="shared" ca="1" si="154"/>
        <v>м2</v>
      </c>
      <c r="G609" s="378"/>
      <c r="H609" s="378"/>
      <c r="I609" s="378" t="str">
        <f t="shared" si="155"/>
        <v/>
      </c>
      <c r="J609" s="378" t="str">
        <f t="shared" si="156"/>
        <v/>
      </c>
      <c r="K609" s="1220" t="str">
        <f t="shared" si="157"/>
        <v/>
      </c>
      <c r="L609" s="378">
        <v>3</v>
      </c>
      <c r="M609" s="378">
        <v>25000</v>
      </c>
      <c r="N609" s="378">
        <f t="shared" si="158"/>
        <v>75000</v>
      </c>
      <c r="O609" s="378">
        <f t="shared" si="159"/>
        <v>7500</v>
      </c>
      <c r="P609" s="378">
        <f t="shared" si="160"/>
        <v>82500</v>
      </c>
      <c r="Q609" s="378">
        <f t="shared" ca="1" si="161"/>
        <v>18716.907616612858</v>
      </c>
      <c r="R609" s="378">
        <f t="shared" ca="1" si="162"/>
        <v>56150.722849838574</v>
      </c>
      <c r="S609" s="602"/>
      <c r="T609" s="378" t="str">
        <f>+IFERROR(VLOOKUP(S609,STAT1!$C$4:$D$189,2,FALSE),"")</f>
        <v/>
      </c>
      <c r="U609" s="1225"/>
      <c r="V609" s="1216"/>
      <c r="W609" s="326">
        <v>4002</v>
      </c>
      <c r="X609" s="328" t="str">
        <f>IFERROR(VLOOKUP(W609,DATA!$G$4:$H$400,2,FALSE),"")</f>
        <v xml:space="preserve">Хувь хүн </v>
      </c>
      <c r="Y609" s="1205"/>
      <c r="Z609" s="1205"/>
      <c r="AA609" s="1205"/>
    </row>
    <row r="610" spans="1:27" ht="12.75" customHeight="1">
      <c r="A610" s="15">
        <v>146</v>
      </c>
      <c r="B610" s="369">
        <f t="shared" si="152"/>
        <v>605</v>
      </c>
      <c r="C610" s="427">
        <v>42917</v>
      </c>
      <c r="D610" s="426">
        <v>210003</v>
      </c>
      <c r="E610" s="425" t="str">
        <f t="shared" ca="1" si="153"/>
        <v>Н-Наамал дүнз</v>
      </c>
      <c r="F610" s="428" t="str">
        <f t="shared" ca="1" si="154"/>
        <v>м2</v>
      </c>
      <c r="G610" s="378"/>
      <c r="H610" s="378"/>
      <c r="I610" s="378" t="str">
        <f t="shared" si="155"/>
        <v/>
      </c>
      <c r="J610" s="378" t="str">
        <f t="shared" si="156"/>
        <v/>
      </c>
      <c r="K610" s="1220" t="str">
        <f t="shared" si="157"/>
        <v/>
      </c>
      <c r="L610" s="378">
        <v>18.477</v>
      </c>
      <c r="M610" s="378">
        <v>254554.31080000001</v>
      </c>
      <c r="N610" s="378">
        <f t="shared" si="158"/>
        <v>4703400.0006515998</v>
      </c>
      <c r="O610" s="378">
        <f t="shared" si="159"/>
        <v>470340.00006515998</v>
      </c>
      <c r="P610" s="378">
        <f t="shared" si="160"/>
        <v>5173740.0007167598</v>
      </c>
      <c r="Q610" s="378">
        <f t="shared" ca="1" si="161"/>
        <v>191123.5667321017</v>
      </c>
      <c r="R610" s="378">
        <f t="shared" ca="1" si="162"/>
        <v>3531390.1425090432</v>
      </c>
      <c r="S610" s="602">
        <v>320100</v>
      </c>
      <c r="T610" s="378" t="str">
        <f>+IFERROR(VLOOKUP(S610,STAT1!$C$4:$D$189,2,FALSE),"")</f>
        <v>Урьдчилж орсон орлого MNT</v>
      </c>
      <c r="U610" s="1225">
        <v>14803269</v>
      </c>
      <c r="V610" s="1216"/>
      <c r="W610" s="326">
        <v>4002</v>
      </c>
      <c r="X610" s="328" t="str">
        <f>IFERROR(VLOOKUP(W610,DATA!$G$4:$H$400,2,FALSE),"")</f>
        <v xml:space="preserve">Хувь хүн </v>
      </c>
      <c r="Y610" s="1205"/>
      <c r="Z610" s="1205"/>
      <c r="AA610" s="1205"/>
    </row>
    <row r="611" spans="1:27" ht="12.75" customHeight="1">
      <c r="A611" s="15">
        <v>146</v>
      </c>
      <c r="B611" s="369">
        <f t="shared" si="152"/>
        <v>606</v>
      </c>
      <c r="C611" s="427">
        <v>42917</v>
      </c>
      <c r="D611" s="426">
        <v>211503</v>
      </c>
      <c r="E611" s="425" t="str">
        <f t="shared" ca="1" si="153"/>
        <v>Н-Евровагонка /зузаан-1.2см/</v>
      </c>
      <c r="F611" s="428" t="str">
        <f t="shared" ca="1" si="154"/>
        <v>м2</v>
      </c>
      <c r="G611" s="378"/>
      <c r="H611" s="378"/>
      <c r="I611" s="378" t="str">
        <f t="shared" si="155"/>
        <v/>
      </c>
      <c r="J611" s="378" t="str">
        <f t="shared" si="156"/>
        <v/>
      </c>
      <c r="K611" s="1220" t="str">
        <f t="shared" si="157"/>
        <v/>
      </c>
      <c r="L611" s="378">
        <v>91</v>
      </c>
      <c r="M611" s="378">
        <v>21600</v>
      </c>
      <c r="N611" s="378">
        <f t="shared" si="158"/>
        <v>1965600</v>
      </c>
      <c r="O611" s="378">
        <f t="shared" si="159"/>
        <v>196560</v>
      </c>
      <c r="P611" s="378">
        <f t="shared" si="160"/>
        <v>2162160</v>
      </c>
      <c r="Q611" s="378">
        <f t="shared" ca="1" si="161"/>
        <v>13269.527397514295</v>
      </c>
      <c r="R611" s="378">
        <f t="shared" ca="1" si="162"/>
        <v>1207526.9931738009</v>
      </c>
      <c r="S611" s="602"/>
      <c r="T611" s="378" t="str">
        <f>+IFERROR(VLOOKUP(S611,STAT1!$C$4:$D$189,2,FALSE),"")</f>
        <v/>
      </c>
      <c r="U611" s="1225"/>
      <c r="V611" s="1216"/>
      <c r="W611" s="326">
        <v>4002</v>
      </c>
      <c r="X611" s="328" t="str">
        <f>IFERROR(VLOOKUP(W611,DATA!$G$4:$H$400,2,FALSE),"")</f>
        <v xml:space="preserve">Хувь хүн </v>
      </c>
      <c r="Y611" s="1205"/>
      <c r="Z611" s="1205"/>
      <c r="AA611" s="1205"/>
    </row>
    <row r="612" spans="1:27" ht="12.75" customHeight="1">
      <c r="A612" s="15">
        <v>146</v>
      </c>
      <c r="B612" s="369">
        <f t="shared" si="152"/>
        <v>607</v>
      </c>
      <c r="C612" s="427">
        <v>42917</v>
      </c>
      <c r="D612" s="426">
        <v>211504</v>
      </c>
      <c r="E612" s="425" t="str">
        <f t="shared" ca="1" si="153"/>
        <v xml:space="preserve">Н-Евровагонка /зузаан-1.2см/-яртай </v>
      </c>
      <c r="F612" s="428" t="str">
        <f t="shared" ca="1" si="154"/>
        <v>м2</v>
      </c>
      <c r="G612" s="378"/>
      <c r="H612" s="378"/>
      <c r="I612" s="378" t="str">
        <f t="shared" si="155"/>
        <v/>
      </c>
      <c r="J612" s="378" t="str">
        <f t="shared" si="156"/>
        <v/>
      </c>
      <c r="K612" s="1220" t="str">
        <f t="shared" si="157"/>
        <v/>
      </c>
      <c r="L612" s="378">
        <v>79.927999999999997</v>
      </c>
      <c r="M612" s="378">
        <v>18000.1319</v>
      </c>
      <c r="N612" s="378">
        <f t="shared" si="158"/>
        <v>1438714.5425032</v>
      </c>
      <c r="O612" s="378">
        <f t="shared" si="159"/>
        <v>143871.45425032001</v>
      </c>
      <c r="P612" s="378">
        <f t="shared" si="160"/>
        <v>1582585.9967535201</v>
      </c>
      <c r="Q612" s="378">
        <f t="shared" ca="1" si="161"/>
        <v>11310.879514497638</v>
      </c>
      <c r="R612" s="378">
        <f t="shared" ca="1" si="162"/>
        <v>904055.9778347672</v>
      </c>
      <c r="S612" s="602"/>
      <c r="T612" s="378" t="str">
        <f>+IFERROR(VLOOKUP(S612,STAT1!$C$4:$D$189,2,FALSE),"")</f>
        <v/>
      </c>
      <c r="U612" s="1225"/>
      <c r="V612" s="1216"/>
      <c r="W612" s="326">
        <v>4002</v>
      </c>
      <c r="X612" s="328" t="str">
        <f>IFERROR(VLOOKUP(W612,DATA!$G$4:$H$400,2,FALSE),"")</f>
        <v xml:space="preserve">Хувь хүн </v>
      </c>
      <c r="Y612" s="1205"/>
      <c r="Z612" s="1205"/>
      <c r="AA612" s="1205"/>
    </row>
    <row r="613" spans="1:27" ht="12.75" customHeight="1">
      <c r="A613" s="15">
        <v>146</v>
      </c>
      <c r="B613" s="369">
        <f t="shared" si="152"/>
        <v>608</v>
      </c>
      <c r="C613" s="427">
        <v>42917</v>
      </c>
      <c r="D613" s="426">
        <v>211504</v>
      </c>
      <c r="E613" s="425" t="str">
        <f t="shared" ca="1" si="153"/>
        <v xml:space="preserve">Н-Евровагонка /зузаан-1.2см/-яртай </v>
      </c>
      <c r="F613" s="428" t="str">
        <f t="shared" ca="1" si="154"/>
        <v>м2</v>
      </c>
      <c r="G613" s="378"/>
      <c r="H613" s="378"/>
      <c r="I613" s="378"/>
      <c r="J613" s="378"/>
      <c r="K613" s="1220"/>
      <c r="L613" s="378">
        <v>11.393000000000001</v>
      </c>
      <c r="M613" s="378">
        <v>18000.1276</v>
      </c>
      <c r="N613" s="378">
        <f t="shared" si="158"/>
        <v>205075.45374680002</v>
      </c>
      <c r="O613" s="378">
        <f t="shared" si="159"/>
        <v>20507.545374680005</v>
      </c>
      <c r="P613" s="378">
        <f t="shared" si="160"/>
        <v>225582.99912148004</v>
      </c>
      <c r="Q613" s="378">
        <f t="shared" ca="1" si="161"/>
        <v>11310.879514497638</v>
      </c>
      <c r="R613" s="378">
        <f t="shared" ca="1" si="162"/>
        <v>128864.85030867159</v>
      </c>
      <c r="S613" s="602"/>
      <c r="T613" s="378"/>
      <c r="U613" s="1225"/>
      <c r="V613" s="1216"/>
      <c r="W613" s="326">
        <v>4002</v>
      </c>
      <c r="X613" s="328" t="str">
        <f>IFERROR(VLOOKUP(W613,DATA!$G$4:$H$400,2,FALSE),"")</f>
        <v xml:space="preserve">Хувь хүн </v>
      </c>
      <c r="Y613" s="1205"/>
      <c r="Z613" s="1205"/>
      <c r="AA613" s="1205"/>
    </row>
    <row r="614" spans="1:27" ht="12.75" customHeight="1">
      <c r="A614" s="15">
        <v>147</v>
      </c>
      <c r="B614" s="369">
        <f t="shared" si="152"/>
        <v>609</v>
      </c>
      <c r="C614" s="427">
        <v>42917</v>
      </c>
      <c r="D614" s="426">
        <v>410369</v>
      </c>
      <c r="E614" s="425" t="str">
        <f t="shared" ca="1" si="153"/>
        <v>Ажлын хувцас</v>
      </c>
      <c r="F614" s="428" t="str">
        <f t="shared" ca="1" si="154"/>
        <v>ш</v>
      </c>
      <c r="G614" s="378"/>
      <c r="H614" s="378"/>
      <c r="I614" s="378" t="str">
        <f t="shared" ref="I614:I626" si="163">+IF(G614="","",G614*H614)</f>
        <v/>
      </c>
      <c r="J614" s="378" t="str">
        <f>+IF(G614="","",I614*0.1)</f>
        <v/>
      </c>
      <c r="K614" s="1220" t="str">
        <f t="shared" ref="K614:K626" si="164">+IF(G614="","",I614+J614)</f>
        <v/>
      </c>
      <c r="L614" s="378">
        <v>5</v>
      </c>
      <c r="M614" s="378"/>
      <c r="N614" s="378">
        <f t="shared" si="158"/>
        <v>0</v>
      </c>
      <c r="O614" s="378">
        <f t="shared" si="159"/>
        <v>0</v>
      </c>
      <c r="P614" s="378">
        <f t="shared" si="160"/>
        <v>0</v>
      </c>
      <c r="Q614" s="378">
        <f t="shared" ca="1" si="161"/>
        <v>93636.363635999995</v>
      </c>
      <c r="R614" s="378">
        <f t="shared" ca="1" si="162"/>
        <v>468181.81817999994</v>
      </c>
      <c r="S614" s="602">
        <v>704600</v>
      </c>
      <c r="T614" s="378" t="str">
        <f>+IFERROR(VLOOKUP(S614,STAT1!$C$4:$D$189,2,FALSE),"")</f>
        <v>Хөдөлмөр хамгаалалын зардал</v>
      </c>
      <c r="U614" s="1225">
        <v>468181.81</v>
      </c>
      <c r="V614" s="1216"/>
      <c r="W614" s="326">
        <v>1007</v>
      </c>
      <c r="X614" s="328" t="str">
        <f>IFERROR(VLOOKUP(W614,DATA!$G$4:$H$400,2,FALSE),"")</f>
        <v xml:space="preserve">Нэргүй </v>
      </c>
      <c r="Y614" s="1205"/>
      <c r="Z614" s="1205"/>
      <c r="AA614" s="1205"/>
    </row>
    <row r="615" spans="1:27" ht="12.75" customHeight="1">
      <c r="A615" s="15">
        <v>147</v>
      </c>
      <c r="B615" s="369">
        <f t="shared" si="152"/>
        <v>610</v>
      </c>
      <c r="C615" s="427">
        <v>42917</v>
      </c>
      <c r="D615" s="426"/>
      <c r="E615" s="425" t="str">
        <f t="shared" ca="1" si="153"/>
        <v/>
      </c>
      <c r="F615" s="428" t="str">
        <f t="shared" ca="1" si="154"/>
        <v/>
      </c>
      <c r="G615" s="378"/>
      <c r="H615" s="378"/>
      <c r="I615" s="378" t="str">
        <f t="shared" si="163"/>
        <v/>
      </c>
      <c r="J615" s="378" t="str">
        <f>+IF(G615="","",I615*0.1)</f>
        <v/>
      </c>
      <c r="K615" s="1220" t="str">
        <f t="shared" si="164"/>
        <v/>
      </c>
      <c r="L615" s="378"/>
      <c r="M615" s="378"/>
      <c r="N615" s="378" t="str">
        <f t="shared" si="158"/>
        <v/>
      </c>
      <c r="O615" s="378" t="str">
        <f t="shared" si="159"/>
        <v/>
      </c>
      <c r="P615" s="378" t="str">
        <f t="shared" si="160"/>
        <v/>
      </c>
      <c r="Q615" s="378" t="str">
        <f t="shared" si="161"/>
        <v/>
      </c>
      <c r="R615" s="378" t="str">
        <f t="shared" si="162"/>
        <v/>
      </c>
      <c r="S615" s="602">
        <v>160100</v>
      </c>
      <c r="T615" s="378" t="str">
        <f>+IFERROR(VLOOKUP(S615,STAT1!$C$4:$D$189,2,FALSE),"")</f>
        <v xml:space="preserve">Барилгын материал </v>
      </c>
      <c r="U615" s="1225"/>
      <c r="V615" s="1225">
        <v>468181.81</v>
      </c>
      <c r="W615" s="326">
        <v>1007</v>
      </c>
      <c r="X615" s="328" t="str">
        <f>IFERROR(VLOOKUP(W615,DATA!$G$4:$H$400,2,FALSE),"")</f>
        <v xml:space="preserve">Нэргүй </v>
      </c>
      <c r="Y615" s="1205"/>
      <c r="Z615" s="1205"/>
      <c r="AA615" s="1205"/>
    </row>
    <row r="616" spans="1:27" ht="12.75" customHeight="1">
      <c r="A616" s="621">
        <v>148</v>
      </c>
      <c r="B616" s="369">
        <f t="shared" si="152"/>
        <v>611</v>
      </c>
      <c r="C616" s="427">
        <v>42917</v>
      </c>
      <c r="D616" s="426">
        <v>410085</v>
      </c>
      <c r="E616" s="425" t="str">
        <f t="shared" ca="1" si="153"/>
        <v xml:space="preserve">НЦ-лак </v>
      </c>
      <c r="F616" s="428" t="str">
        <f t="shared" ca="1" si="154"/>
        <v>кг</v>
      </c>
      <c r="G616" s="378">
        <v>288</v>
      </c>
      <c r="H616" s="378">
        <v>8437.5</v>
      </c>
      <c r="I616" s="378">
        <f t="shared" si="163"/>
        <v>2430000</v>
      </c>
      <c r="J616" s="378">
        <f>+IF(G616="","",I616*0.1)</f>
        <v>243000</v>
      </c>
      <c r="K616" s="1220">
        <f t="shared" si="164"/>
        <v>2673000</v>
      </c>
      <c r="L616" s="378"/>
      <c r="M616" s="378"/>
      <c r="N616" s="378" t="str">
        <f t="shared" si="158"/>
        <v/>
      </c>
      <c r="O616" s="378" t="str">
        <f t="shared" si="159"/>
        <v/>
      </c>
      <c r="P616" s="378" t="str">
        <f t="shared" si="160"/>
        <v/>
      </c>
      <c r="Q616" s="378" t="str">
        <f t="shared" si="161"/>
        <v/>
      </c>
      <c r="R616" s="378" t="str">
        <f t="shared" si="162"/>
        <v/>
      </c>
      <c r="S616" s="602">
        <v>140100</v>
      </c>
      <c r="T616" s="378" t="str">
        <f>+IFERROR(VLOOKUP(S616,STAT1!$C$4:$D$189,2,FALSE),"")</f>
        <v>Түүхий эд материал</v>
      </c>
      <c r="U616" s="1225"/>
      <c r="V616" s="1216">
        <v>2810665.41</v>
      </c>
      <c r="W616" s="326">
        <v>1006</v>
      </c>
      <c r="X616" s="328" t="str">
        <f>IFERROR(VLOOKUP(W616,DATA!$G$4:$H$400,2,FALSE),"")</f>
        <v>Оюундэлгэр /нярав/</v>
      </c>
      <c r="Y616" s="1205"/>
      <c r="Z616" s="1205"/>
      <c r="AA616" s="1205"/>
    </row>
    <row r="617" spans="1:27" ht="12.75" customHeight="1">
      <c r="A617" s="621">
        <v>148</v>
      </c>
      <c r="B617" s="369">
        <f t="shared" si="152"/>
        <v>612</v>
      </c>
      <c r="C617" s="427">
        <v>42917</v>
      </c>
      <c r="D617" s="426">
        <v>310001</v>
      </c>
      <c r="E617" s="425" t="str">
        <f t="shared" ca="1" si="153"/>
        <v xml:space="preserve">Хатаасан нарсан банз </v>
      </c>
      <c r="F617" s="428" t="str">
        <f t="shared" ca="1" si="154"/>
        <v>м3</v>
      </c>
      <c r="G617" s="378"/>
      <c r="H617" s="378"/>
      <c r="I617" s="378" t="str">
        <f t="shared" si="163"/>
        <v/>
      </c>
      <c r="J617" s="378" t="str">
        <f>+IF(G617="","",I617*0.1)</f>
        <v/>
      </c>
      <c r="K617" s="1220" t="str">
        <f t="shared" si="164"/>
        <v/>
      </c>
      <c r="L617" s="378">
        <v>250</v>
      </c>
      <c r="M617" s="378"/>
      <c r="N617" s="378">
        <f t="shared" si="158"/>
        <v>0</v>
      </c>
      <c r="O617" s="378">
        <f t="shared" si="159"/>
        <v>0</v>
      </c>
      <c r="P617" s="378">
        <f t="shared" si="160"/>
        <v>0</v>
      </c>
      <c r="Q617" s="378">
        <f t="shared" ca="1" si="161"/>
        <v>252685.42269888311</v>
      </c>
      <c r="R617" s="378">
        <f t="shared" ca="1" si="162"/>
        <v>63171355.674720779</v>
      </c>
      <c r="S617" s="602">
        <v>150100</v>
      </c>
      <c r="T617" s="378" t="str">
        <f>+IFERROR(VLOOKUP(S617,STAT1!$C$4:$D$189,2,FALSE),"")</f>
        <v>Бараа бэлэн бүтээгдэхүүн ХАТААХ ЦЕХ /нарс/</v>
      </c>
      <c r="U617" s="1225"/>
      <c r="V617" s="1216">
        <v>87396970.025346071</v>
      </c>
      <c r="W617" s="326">
        <v>1006</v>
      </c>
      <c r="X617" s="328" t="str">
        <f>IFERROR(VLOOKUP(W617,DATA!$G$4:$H$400,2,FALSE),"")</f>
        <v>Оюундэлгэр /нярав/</v>
      </c>
      <c r="Y617" s="1205"/>
      <c r="Z617" s="1205"/>
      <c r="AA617" s="1205"/>
    </row>
    <row r="618" spans="1:27" ht="12.75" customHeight="1">
      <c r="A618" s="621">
        <v>148</v>
      </c>
      <c r="B618" s="369">
        <f t="shared" si="152"/>
        <v>613</v>
      </c>
      <c r="C618" s="427">
        <v>42917</v>
      </c>
      <c r="D618" s="426">
        <v>510001</v>
      </c>
      <c r="E618" s="425" t="str">
        <f t="shared" ca="1" si="153"/>
        <v>Цавуу 505</v>
      </c>
      <c r="F618" s="428" t="str">
        <f t="shared" ca="1" si="154"/>
        <v>кг</v>
      </c>
      <c r="G618" s="378"/>
      <c r="H618" s="378"/>
      <c r="I618" s="378" t="str">
        <f t="shared" si="163"/>
        <v/>
      </c>
      <c r="J618" s="378" t="str">
        <f>+IF(G618="","",I618*0.1)</f>
        <v/>
      </c>
      <c r="K618" s="1220" t="str">
        <f t="shared" si="164"/>
        <v/>
      </c>
      <c r="L618" s="378">
        <v>703.5</v>
      </c>
      <c r="M618" s="378"/>
      <c r="N618" s="378">
        <f t="shared" si="158"/>
        <v>0</v>
      </c>
      <c r="O618" s="378">
        <f t="shared" si="159"/>
        <v>0</v>
      </c>
      <c r="P618" s="378">
        <f t="shared" si="160"/>
        <v>0</v>
      </c>
      <c r="Q618" s="378">
        <f t="shared" ca="1" si="161"/>
        <v>3995.26</v>
      </c>
      <c r="R618" s="378">
        <f t="shared" ca="1" si="162"/>
        <v>2810665.41</v>
      </c>
      <c r="S618" s="602">
        <v>140201</v>
      </c>
      <c r="T618" s="378" t="str">
        <f>+IFERROR(VLOOKUP(S618,STAT1!$C$4:$D$189,2,FALSE),"")</f>
        <v>ШМЗардал БОЛОВСРУУЛАХ ЦЕХ /нарс/</v>
      </c>
      <c r="U618" s="1225">
        <v>90207635.435346067</v>
      </c>
      <c r="V618" s="1216"/>
      <c r="W618" s="326">
        <v>1006</v>
      </c>
      <c r="X618" s="328" t="str">
        <f>IFERROR(VLOOKUP(W618,DATA!$G$4:$H$400,2,FALSE),"")</f>
        <v>Оюундэлгэр /нярав/</v>
      </c>
      <c r="Y618" s="1205"/>
      <c r="Z618" s="1205"/>
      <c r="AA618" s="1205"/>
    </row>
    <row r="619" spans="1:27" ht="12.75" customHeight="1">
      <c r="A619" s="15">
        <v>149</v>
      </c>
      <c r="B619" s="369">
        <f t="shared" si="152"/>
        <v>614</v>
      </c>
      <c r="C619" s="427">
        <v>42917</v>
      </c>
      <c r="D619" s="379">
        <v>211717</v>
      </c>
      <c r="E619" s="425" t="str">
        <f t="shared" ca="1" si="153"/>
        <v xml:space="preserve">Í-Õàâòàí /çóçààí-4сì/-ÿðòàé </v>
      </c>
      <c r="F619" s="428" t="str">
        <f t="shared" ca="1" si="154"/>
        <v>м2</v>
      </c>
      <c r="G619" s="378">
        <v>125</v>
      </c>
      <c r="H619" s="378">
        <v>47531.929213377298</v>
      </c>
      <c r="I619" s="378">
        <f t="shared" si="163"/>
        <v>5941491.1516721621</v>
      </c>
      <c r="J619" s="378"/>
      <c r="K619" s="1220">
        <f t="shared" si="164"/>
        <v>5941491.1516721621</v>
      </c>
      <c r="L619" s="378"/>
      <c r="M619" s="378"/>
      <c r="N619" s="378" t="str">
        <f t="shared" si="158"/>
        <v/>
      </c>
      <c r="O619" s="378" t="str">
        <f t="shared" si="159"/>
        <v/>
      </c>
      <c r="P619" s="378" t="str">
        <f t="shared" si="160"/>
        <v/>
      </c>
      <c r="Q619" s="378" t="str">
        <f t="shared" si="161"/>
        <v/>
      </c>
      <c r="R619" s="378" t="str">
        <f t="shared" si="162"/>
        <v/>
      </c>
      <c r="S619" s="602">
        <v>150101</v>
      </c>
      <c r="T619" s="378" t="str">
        <f>+IFERROR(VLOOKUP(S619,STAT1!$C$4:$D$189,2,FALSE),"")</f>
        <v>Бараа бэлэн бүтээгдэхүүн БОЛОВСРУУЛАХ ЦЕХ /нарс/</v>
      </c>
      <c r="U619" s="1225">
        <v>126137857.15000001</v>
      </c>
      <c r="V619" s="1216"/>
      <c r="W619" s="326">
        <v>1006</v>
      </c>
      <c r="X619" s="328" t="str">
        <f>IFERROR(VLOOKUP(W619,DATA!$G$4:$H$400,2,FALSE),"")</f>
        <v>Оюундэлгэр /нярав/</v>
      </c>
      <c r="Y619" s="1205"/>
      <c r="Z619" s="1205"/>
      <c r="AA619" s="1205"/>
    </row>
    <row r="620" spans="1:27" ht="12.75" customHeight="1">
      <c r="A620" s="15">
        <v>149</v>
      </c>
      <c r="B620" s="369">
        <f t="shared" si="152"/>
        <v>615</v>
      </c>
      <c r="C620" s="427">
        <v>42917</v>
      </c>
      <c r="D620" s="379">
        <v>211711</v>
      </c>
      <c r="E620" s="425" t="str">
        <f t="shared" ca="1" si="153"/>
        <v>Н-Хавтан /зузаан-2.6см/</v>
      </c>
      <c r="F620" s="428" t="str">
        <f t="shared" ca="1" si="154"/>
        <v>м2</v>
      </c>
      <c r="G620" s="378">
        <v>250</v>
      </c>
      <c r="H620" s="378">
        <v>30895.753988695244</v>
      </c>
      <c r="I620" s="378">
        <f t="shared" si="163"/>
        <v>7723938.4971738113</v>
      </c>
      <c r="J620" s="378"/>
      <c r="K620" s="1220">
        <f t="shared" si="164"/>
        <v>7723938.4971738113</v>
      </c>
      <c r="L620" s="378"/>
      <c r="M620" s="378"/>
      <c r="N620" s="378" t="str">
        <f t="shared" si="158"/>
        <v/>
      </c>
      <c r="O620" s="378" t="str">
        <f t="shared" si="159"/>
        <v/>
      </c>
      <c r="P620" s="378" t="str">
        <f t="shared" si="160"/>
        <v/>
      </c>
      <c r="Q620" s="378" t="str">
        <f t="shared" si="161"/>
        <v/>
      </c>
      <c r="R620" s="378" t="str">
        <f t="shared" si="162"/>
        <v/>
      </c>
      <c r="S620" s="602">
        <v>140501</v>
      </c>
      <c r="T620" s="378" t="str">
        <f>+IFERROR(VLOOKUP(S620,STAT1!$C$4:$D$189,2,FALSE),"")</f>
        <v>Нэгтгэл зардал БОЛОВСРУУЛАХ ЦЕХ /нарс/</v>
      </c>
      <c r="U620" s="1225"/>
      <c r="V620" s="1216">
        <v>126137857.15000001</v>
      </c>
      <c r="W620" s="326">
        <v>1006</v>
      </c>
      <c r="X620" s="328" t="str">
        <f>IFERROR(VLOOKUP(W620,DATA!$G$4:$H$400,2,FALSE),"")</f>
        <v>Оюундэлгэр /нярав/</v>
      </c>
      <c r="Y620" s="1205"/>
      <c r="Z620" s="1205"/>
      <c r="AA620" s="1205"/>
    </row>
    <row r="621" spans="1:27" ht="12.75" customHeight="1">
      <c r="A621" s="15">
        <v>149</v>
      </c>
      <c r="B621" s="369">
        <f t="shared" si="152"/>
        <v>616</v>
      </c>
      <c r="C621" s="427">
        <v>42917</v>
      </c>
      <c r="D621" s="379">
        <v>211801</v>
      </c>
      <c r="E621" s="425" t="str">
        <f t="shared" ca="1" si="153"/>
        <v>Н-Ембүү /20*30мм/</v>
      </c>
      <c r="F621" s="428" t="str">
        <f t="shared" ca="1" si="154"/>
        <v>м</v>
      </c>
      <c r="G621" s="378">
        <v>4500</v>
      </c>
      <c r="H621" s="378">
        <v>712.9789382006594</v>
      </c>
      <c r="I621" s="378">
        <f t="shared" si="163"/>
        <v>3208405.2219029674</v>
      </c>
      <c r="J621" s="378"/>
      <c r="K621" s="1220">
        <f t="shared" si="164"/>
        <v>3208405.2219029674</v>
      </c>
      <c r="L621" s="378"/>
      <c r="M621" s="378"/>
      <c r="N621" s="378" t="str">
        <f t="shared" si="158"/>
        <v/>
      </c>
      <c r="O621" s="378" t="str">
        <f t="shared" si="159"/>
        <v/>
      </c>
      <c r="P621" s="378" t="str">
        <f t="shared" si="160"/>
        <v/>
      </c>
      <c r="Q621" s="378" t="str">
        <f t="shared" si="161"/>
        <v/>
      </c>
      <c r="R621" s="378" t="str">
        <f t="shared" si="162"/>
        <v/>
      </c>
      <c r="S621" s="602"/>
      <c r="T621" s="378" t="str">
        <f>+IFERROR(VLOOKUP(S621,STAT1!$C$4:$D$189,2,FALSE),"")</f>
        <v/>
      </c>
      <c r="U621" s="1225"/>
      <c r="V621" s="1216"/>
      <c r="W621" s="326">
        <v>1006</v>
      </c>
      <c r="X621" s="328" t="str">
        <f>IFERROR(VLOOKUP(W621,DATA!$G$4:$H$400,2,FALSE),"")</f>
        <v>Оюундэлгэр /нярав/</v>
      </c>
      <c r="Y621" s="1205"/>
      <c r="Z621" s="1205"/>
      <c r="AA621" s="1205"/>
    </row>
    <row r="622" spans="1:27" ht="12.75" customHeight="1">
      <c r="A622" s="15">
        <v>149</v>
      </c>
      <c r="B622" s="369">
        <f t="shared" si="152"/>
        <v>617</v>
      </c>
      <c r="C622" s="427">
        <v>42917</v>
      </c>
      <c r="D622" s="379">
        <v>211802</v>
      </c>
      <c r="E622" s="425" t="str">
        <f t="shared" ca="1" si="153"/>
        <v xml:space="preserve">Н-Уголок </v>
      </c>
      <c r="F622" s="428" t="str">
        <f t="shared" ca="1" si="154"/>
        <v>м</v>
      </c>
      <c r="G622" s="378">
        <v>4500</v>
      </c>
      <c r="H622" s="378">
        <v>1901.2771685350917</v>
      </c>
      <c r="I622" s="378">
        <f t="shared" si="163"/>
        <v>8555747.2584079131</v>
      </c>
      <c r="J622" s="378"/>
      <c r="K622" s="1220">
        <f t="shared" si="164"/>
        <v>8555747.2584079131</v>
      </c>
      <c r="L622" s="378"/>
      <c r="M622" s="378"/>
      <c r="N622" s="378" t="str">
        <f t="shared" si="158"/>
        <v/>
      </c>
      <c r="O622" s="378" t="str">
        <f t="shared" si="159"/>
        <v/>
      </c>
      <c r="P622" s="378" t="str">
        <f t="shared" si="160"/>
        <v/>
      </c>
      <c r="Q622" s="378" t="str">
        <f t="shared" si="161"/>
        <v/>
      </c>
      <c r="R622" s="378" t="str">
        <f t="shared" si="162"/>
        <v/>
      </c>
      <c r="S622" s="602"/>
      <c r="T622" s="378" t="str">
        <f>+IFERROR(VLOOKUP(S622,STAT1!$C$4:$D$189,2,FALSE),"")</f>
        <v/>
      </c>
      <c r="U622" s="1225"/>
      <c r="V622" s="1216"/>
      <c r="W622" s="326">
        <v>1006</v>
      </c>
      <c r="X622" s="328" t="str">
        <f>IFERROR(VLOOKUP(W622,DATA!$G$4:$H$400,2,FALSE),"")</f>
        <v>Оюундэлгэр /нярав/</v>
      </c>
      <c r="Y622" s="1205"/>
      <c r="Z622" s="1205"/>
      <c r="AA622" s="1205"/>
    </row>
    <row r="623" spans="1:27" ht="12.75" customHeight="1">
      <c r="A623" s="15">
        <v>149</v>
      </c>
      <c r="B623" s="369">
        <f t="shared" si="152"/>
        <v>618</v>
      </c>
      <c r="C623" s="427">
        <v>42917</v>
      </c>
      <c r="D623" s="379">
        <v>211401</v>
      </c>
      <c r="E623" s="425" t="str">
        <f t="shared" ca="1" si="153"/>
        <v xml:space="preserve">Н-Блок Хаус  /4.3*16.5см/-яртай </v>
      </c>
      <c r="F623" s="428" t="str">
        <f t="shared" ca="1" si="154"/>
        <v>м2</v>
      </c>
      <c r="G623" s="378">
        <v>950</v>
      </c>
      <c r="H623" s="378">
        <v>53473.42036504946</v>
      </c>
      <c r="I623" s="378">
        <f t="shared" si="163"/>
        <v>50799749.346796989</v>
      </c>
      <c r="J623" s="378"/>
      <c r="K623" s="1220">
        <f t="shared" si="164"/>
        <v>50799749.346796989</v>
      </c>
      <c r="L623" s="378"/>
      <c r="M623" s="378"/>
      <c r="N623" s="378" t="str">
        <f t="shared" si="158"/>
        <v/>
      </c>
      <c r="O623" s="378" t="str">
        <f t="shared" si="159"/>
        <v/>
      </c>
      <c r="P623" s="378" t="str">
        <f t="shared" si="160"/>
        <v/>
      </c>
      <c r="Q623" s="378" t="str">
        <f t="shared" si="161"/>
        <v/>
      </c>
      <c r="R623" s="378" t="str">
        <f t="shared" si="162"/>
        <v/>
      </c>
      <c r="S623" s="602"/>
      <c r="T623" s="378" t="str">
        <f>+IFERROR(VLOOKUP(S623,STAT1!$C$4:$D$189,2,FALSE),"")</f>
        <v/>
      </c>
      <c r="U623" s="1225"/>
      <c r="V623" s="1216"/>
      <c r="W623" s="326">
        <v>1006</v>
      </c>
      <c r="X623" s="328" t="str">
        <f>IFERROR(VLOOKUP(W623,DATA!$G$4:$H$400,2,FALSE),"")</f>
        <v>Оюундэлгэр /нярав/</v>
      </c>
      <c r="Y623" s="1205"/>
      <c r="Z623" s="1205"/>
      <c r="AA623" s="1205"/>
    </row>
    <row r="624" spans="1:27" ht="12.75" customHeight="1">
      <c r="A624" s="15">
        <v>149</v>
      </c>
      <c r="B624" s="369">
        <f t="shared" si="152"/>
        <v>619</v>
      </c>
      <c r="C624" s="427">
        <v>42917</v>
      </c>
      <c r="D624" s="617">
        <v>211503</v>
      </c>
      <c r="E624" s="425" t="str">
        <f t="shared" ca="1" si="153"/>
        <v>Н-Евровагонка /зузаан-1.2см/</v>
      </c>
      <c r="F624" s="428" t="str">
        <f t="shared" ca="1" si="154"/>
        <v>м2</v>
      </c>
      <c r="G624" s="378">
        <v>2500</v>
      </c>
      <c r="H624" s="378">
        <v>14259.578764013189</v>
      </c>
      <c r="I624" s="378">
        <f t="shared" si="163"/>
        <v>35648946.910032973</v>
      </c>
      <c r="J624" s="378"/>
      <c r="K624" s="1220">
        <f t="shared" si="164"/>
        <v>35648946.910032973</v>
      </c>
      <c r="L624" s="378"/>
      <c r="M624" s="378"/>
      <c r="N624" s="378" t="str">
        <f t="shared" si="158"/>
        <v/>
      </c>
      <c r="O624" s="378" t="str">
        <f t="shared" si="159"/>
        <v/>
      </c>
      <c r="P624" s="378" t="str">
        <f t="shared" si="160"/>
        <v/>
      </c>
      <c r="Q624" s="378" t="str">
        <f t="shared" si="161"/>
        <v/>
      </c>
      <c r="R624" s="378" t="str">
        <f t="shared" si="162"/>
        <v/>
      </c>
      <c r="S624" s="602"/>
      <c r="T624" s="378" t="str">
        <f>+IFERROR(VLOOKUP(S624,STAT1!$C$4:$D$189,2,FALSE),"")</f>
        <v/>
      </c>
      <c r="U624" s="1225"/>
      <c r="V624" s="1216"/>
      <c r="W624" s="326">
        <v>1006</v>
      </c>
      <c r="X624" s="328" t="str">
        <f>IFERROR(VLOOKUP(W624,DATA!$G$4:$H$400,2,FALSE),"")</f>
        <v>Оюундэлгэр /нярав/</v>
      </c>
      <c r="Y624" s="1205"/>
      <c r="Z624" s="1205"/>
      <c r="AA624" s="1205"/>
    </row>
    <row r="625" spans="1:27" ht="12.75" customHeight="1">
      <c r="A625" s="15">
        <v>149</v>
      </c>
      <c r="B625" s="369">
        <f t="shared" si="152"/>
        <v>620</v>
      </c>
      <c r="C625" s="427">
        <v>42917</v>
      </c>
      <c r="D625" s="617">
        <v>211504</v>
      </c>
      <c r="E625" s="425" t="str">
        <f t="shared" ca="1" si="153"/>
        <v xml:space="preserve">Н-Евровагонка /зузаан-1.2см/-яртай </v>
      </c>
      <c r="F625" s="428" t="str">
        <f t="shared" ca="1" si="154"/>
        <v>м2</v>
      </c>
      <c r="G625" s="378">
        <v>1000</v>
      </c>
      <c r="H625" s="378">
        <v>14259.578764013189</v>
      </c>
      <c r="I625" s="378">
        <f t="shared" si="163"/>
        <v>14259578.76401319</v>
      </c>
      <c r="J625" s="378"/>
      <c r="K625" s="1220">
        <f t="shared" si="164"/>
        <v>14259578.76401319</v>
      </c>
      <c r="L625" s="378"/>
      <c r="M625" s="378"/>
      <c r="N625" s="378" t="str">
        <f t="shared" si="158"/>
        <v/>
      </c>
      <c r="O625" s="378" t="str">
        <f t="shared" si="159"/>
        <v/>
      </c>
      <c r="P625" s="378" t="str">
        <f t="shared" si="160"/>
        <v/>
      </c>
      <c r="Q625" s="378" t="str">
        <f t="shared" si="161"/>
        <v/>
      </c>
      <c r="R625" s="378" t="str">
        <f t="shared" si="162"/>
        <v/>
      </c>
      <c r="S625" s="602"/>
      <c r="T625" s="378" t="str">
        <f>+IFERROR(VLOOKUP(S625,STAT1!$C$4:$D$189,2,FALSE),"")</f>
        <v/>
      </c>
      <c r="U625" s="1225"/>
      <c r="V625" s="1216"/>
      <c r="W625" s="326">
        <v>1006</v>
      </c>
      <c r="X625" s="328" t="str">
        <f>IFERROR(VLOOKUP(W625,DATA!$G$4:$H$400,2,FALSE),"")</f>
        <v>Оюундэлгэр /нярав/</v>
      </c>
      <c r="Y625" s="1205"/>
      <c r="Z625" s="1205"/>
      <c r="AA625" s="1205"/>
    </row>
    <row r="626" spans="1:27" ht="12.75" customHeight="1">
      <c r="A626" s="15">
        <v>150</v>
      </c>
      <c r="B626" s="369">
        <f t="shared" si="152"/>
        <v>621</v>
      </c>
      <c r="C626" s="427">
        <v>42921</v>
      </c>
      <c r="D626" s="426">
        <v>410082</v>
      </c>
      <c r="E626" s="425" t="str">
        <f t="shared" ca="1" si="153"/>
        <v>Будаг /Хонка/</v>
      </c>
      <c r="F626" s="428" t="str">
        <f t="shared" ca="1" si="154"/>
        <v>кг</v>
      </c>
      <c r="G626" s="378">
        <v>15</v>
      </c>
      <c r="H626" s="378">
        <v>29090.909</v>
      </c>
      <c r="I626" s="378">
        <f t="shared" si="163"/>
        <v>436363.63500000001</v>
      </c>
      <c r="J626" s="378">
        <f>+IF(G626="","",I626*0.1)</f>
        <v>43636.363500000007</v>
      </c>
      <c r="K626" s="1220">
        <f t="shared" si="164"/>
        <v>479999.99849999999</v>
      </c>
      <c r="L626" s="378"/>
      <c r="M626" s="378"/>
      <c r="N626" s="378" t="str">
        <f t="shared" si="158"/>
        <v/>
      </c>
      <c r="O626" s="378" t="str">
        <f t="shared" si="159"/>
        <v/>
      </c>
      <c r="P626" s="378" t="str">
        <f t="shared" si="160"/>
        <v/>
      </c>
      <c r="Q626" s="378" t="str">
        <f t="shared" si="161"/>
        <v/>
      </c>
      <c r="R626" s="378" t="str">
        <f t="shared" si="162"/>
        <v/>
      </c>
      <c r="S626" s="602">
        <v>160100</v>
      </c>
      <c r="T626" s="378" t="str">
        <f>+IFERROR(VLOOKUP(S626,STAT1!$C$4:$D$189,2,FALSE),"")</f>
        <v xml:space="preserve">Барилгын материал </v>
      </c>
      <c r="U626" s="1225">
        <v>436363.63500000001</v>
      </c>
      <c r="V626" s="1216"/>
      <c r="W626" s="326">
        <v>1005</v>
      </c>
      <c r="X626" s="328" t="str">
        <f>IFERROR(VLOOKUP(W626,DATA!$G$4:$H$400,2,FALSE),"")</f>
        <v>Золжаргал</v>
      </c>
      <c r="Y626" s="1205"/>
      <c r="Z626" s="1205"/>
      <c r="AA626" s="1205"/>
    </row>
    <row r="627" spans="1:27" ht="12.75" customHeight="1">
      <c r="A627" s="15">
        <v>150</v>
      </c>
      <c r="B627" s="369">
        <f t="shared" si="152"/>
        <v>622</v>
      </c>
      <c r="C627" s="427">
        <v>42921</v>
      </c>
      <c r="D627" s="426"/>
      <c r="E627" s="425"/>
      <c r="F627" s="428"/>
      <c r="G627" s="378"/>
      <c r="H627" s="378"/>
      <c r="I627" s="378"/>
      <c r="J627" s="378"/>
      <c r="K627" s="1220"/>
      <c r="L627" s="378"/>
      <c r="M627" s="378"/>
      <c r="N627" s="378" t="str">
        <f t="shared" si="158"/>
        <v/>
      </c>
      <c r="O627" s="378"/>
      <c r="P627" s="378"/>
      <c r="Q627" s="378"/>
      <c r="R627" s="378"/>
      <c r="S627" s="602">
        <v>120600</v>
      </c>
      <c r="T627" s="378" t="str">
        <f>+IFERROR(VLOOKUP(S627,STAT1!$C$4:$D$189,2,FALSE),"")</f>
        <v>НӨАТ авлага</v>
      </c>
      <c r="U627" s="1225">
        <v>43636.363500000007</v>
      </c>
      <c r="V627" s="1216"/>
      <c r="W627" s="326">
        <v>1005</v>
      </c>
      <c r="X627" s="328" t="str">
        <f>IFERROR(VLOOKUP(W627,DATA!$G$4:$H$400,2,FALSE),"")</f>
        <v>Золжаргал</v>
      </c>
      <c r="Y627" s="1205"/>
      <c r="Z627" s="1205"/>
      <c r="AA627" s="1205"/>
    </row>
    <row r="628" spans="1:27" ht="12.75" customHeight="1">
      <c r="A628" s="15">
        <v>150</v>
      </c>
      <c r="B628" s="369">
        <f t="shared" si="152"/>
        <v>623</v>
      </c>
      <c r="C628" s="427">
        <v>42921</v>
      </c>
      <c r="D628" s="426"/>
      <c r="E628" s="425"/>
      <c r="F628" s="428"/>
      <c r="G628" s="378"/>
      <c r="H628" s="378"/>
      <c r="I628" s="378" t="str">
        <f t="shared" ref="I628:I691" si="165">+IF(G628="","",G628*H628)</f>
        <v/>
      </c>
      <c r="J628" s="378" t="str">
        <f t="shared" ref="J628:J671" si="166">+IF(G628="","",I628*0.1)</f>
        <v/>
      </c>
      <c r="K628" s="1220" t="str">
        <f t="shared" ref="K628:K691" si="167">+IF(G628="","",I628+J628)</f>
        <v/>
      </c>
      <c r="L628" s="378"/>
      <c r="M628" s="378"/>
      <c r="N628" s="378" t="str">
        <f t="shared" si="158"/>
        <v/>
      </c>
      <c r="O628" s="378"/>
      <c r="P628" s="378"/>
      <c r="Q628" s="378"/>
      <c r="R628" s="378"/>
      <c r="S628" s="602">
        <v>121200</v>
      </c>
      <c r="T628" s="378" t="str">
        <f>+IFERROR(VLOOKUP(S628,STAT1!$C$4:$D$189,2,FALSE),"")</f>
        <v xml:space="preserve">Ажилчидын дараа тайлангийн тооцоо </v>
      </c>
      <c r="U628" s="1225"/>
      <c r="V628" s="1216">
        <v>479999.99849999999</v>
      </c>
      <c r="W628" s="326">
        <v>1005</v>
      </c>
      <c r="X628" s="328" t="str">
        <f>IFERROR(VLOOKUP(W628,DATA!$G$4:$H$400,2,FALSE),"")</f>
        <v>Золжаргал</v>
      </c>
      <c r="Y628" s="1205"/>
      <c r="Z628" s="1205"/>
      <c r="AA628" s="1205"/>
    </row>
    <row r="629" spans="1:27" ht="12.75" customHeight="1">
      <c r="A629" s="15">
        <v>151</v>
      </c>
      <c r="B629" s="369">
        <f t="shared" ref="B629:B648" si="168">+IF(C629="","",ROW()-5)</f>
        <v>624</v>
      </c>
      <c r="C629" s="427">
        <v>42922</v>
      </c>
      <c r="D629" s="426">
        <v>211504</v>
      </c>
      <c r="E629" s="425" t="str">
        <f t="shared" ref="E629:E671" ca="1" si="169">+IFERROR(VLOOKUP(D629,TN_table,2,FALSE),"")</f>
        <v xml:space="preserve">Н-Евровагонка /зузаан-1.2см/-яртай </v>
      </c>
      <c r="F629" s="428" t="str">
        <f t="shared" ref="F629:F692" ca="1" si="170">+IFERROR(VLOOKUP(D629,TN_table,3,FALSE),"")</f>
        <v>м2</v>
      </c>
      <c r="G629" s="378"/>
      <c r="H629" s="378"/>
      <c r="I629" s="378" t="str">
        <f t="shared" si="165"/>
        <v/>
      </c>
      <c r="J629" s="378" t="str">
        <f t="shared" si="166"/>
        <v/>
      </c>
      <c r="K629" s="1220" t="str">
        <f t="shared" si="167"/>
        <v/>
      </c>
      <c r="L629" s="378">
        <v>100</v>
      </c>
      <c r="M629" s="378">
        <v>18000</v>
      </c>
      <c r="N629" s="378">
        <f t="shared" si="158"/>
        <v>1800000</v>
      </c>
      <c r="O629" s="378">
        <f t="shared" ref="O629:O692" si="171">+IF(L629="","",N629*0.1)</f>
        <v>180000</v>
      </c>
      <c r="P629" s="378">
        <f t="shared" ref="P629:P692" si="172">+IF(L629="","",N629+O629)</f>
        <v>1980000</v>
      </c>
      <c r="Q629" s="378">
        <f t="shared" ref="Q629:Q692" ca="1" si="173">IF(L629="","",IFERROR((SUMIFS(TN_balC1_totol,TN_code,D629)+SUMIFS(RC_or_totol,RC_Code,D629,RC_date,"&lt;="&amp;C629)-SUMIFS(RC_zar_totol,RC_Code,D629,RC_date,"&lt;"&amp;C629)) /( SUMIFS(TN_balC1_unit,TN_code,D629)+SUMIFS(RC_or_unit,RC_Code,D629,RC_date,"&lt;="&amp;C629)-SUMIFS(RC_zar_unit,RC_Code,D629,RC_date,"&lt;"&amp;C629)),0 ))</f>
        <v>11310.879514497638</v>
      </c>
      <c r="R629" s="378">
        <f t="shared" ref="R629:R692" ca="1" si="174">+IF(L629="","",L629*Q629)</f>
        <v>1131087.9514497637</v>
      </c>
      <c r="S629" s="602">
        <v>150101</v>
      </c>
      <c r="T629" s="378" t="str">
        <f>+IFERROR(VLOOKUP(S629,STAT1!$C$4:$D$189,2,FALSE),"")</f>
        <v>Бараа бэлэн бүтээгдэхүүн БОЛОВСРУУЛАХ ЦЕХ /нарс/</v>
      </c>
      <c r="U629" s="1225"/>
      <c r="V629" s="1225">
        <v>1131087.95</v>
      </c>
      <c r="W629" s="326">
        <v>3079</v>
      </c>
      <c r="X629" s="328" t="str">
        <f>IFERROR(VLOOKUP(W629,DATA!$G$4:$H$400,2,FALSE),"")</f>
        <v>ДА ХОТ ХХК</v>
      </c>
      <c r="Y629" s="1205"/>
      <c r="Z629" s="1205"/>
      <c r="AA629" s="1205"/>
    </row>
    <row r="630" spans="1:27" ht="12.75" customHeight="1">
      <c r="A630" s="15">
        <v>151</v>
      </c>
      <c r="B630" s="369">
        <f t="shared" si="168"/>
        <v>625</v>
      </c>
      <c r="C630" s="427">
        <v>42922</v>
      </c>
      <c r="D630" s="426"/>
      <c r="E630" s="425" t="str">
        <f t="shared" ca="1" si="169"/>
        <v/>
      </c>
      <c r="F630" s="428" t="str">
        <f t="shared" ca="1" si="170"/>
        <v/>
      </c>
      <c r="G630" s="378"/>
      <c r="H630" s="378"/>
      <c r="I630" s="378" t="str">
        <f t="shared" si="165"/>
        <v/>
      </c>
      <c r="J630" s="378" t="str">
        <f t="shared" si="166"/>
        <v/>
      </c>
      <c r="K630" s="1220" t="str">
        <f t="shared" si="167"/>
        <v/>
      </c>
      <c r="L630" s="378"/>
      <c r="M630" s="378"/>
      <c r="N630" s="378" t="str">
        <f t="shared" si="158"/>
        <v/>
      </c>
      <c r="O630" s="378" t="str">
        <f t="shared" si="171"/>
        <v/>
      </c>
      <c r="P630" s="378" t="str">
        <f t="shared" si="172"/>
        <v/>
      </c>
      <c r="Q630" s="378" t="str">
        <f t="shared" si="173"/>
        <v/>
      </c>
      <c r="R630" s="378" t="str">
        <f t="shared" si="174"/>
        <v/>
      </c>
      <c r="S630" s="602">
        <v>610100</v>
      </c>
      <c r="T630" s="378" t="str">
        <f>+IFERROR(VLOOKUP(S630,STAT1!$C$4:$D$189,2,FALSE),"")</f>
        <v>Борлуулсан барааны өртөг</v>
      </c>
      <c r="U630" s="1225">
        <v>1131087.95</v>
      </c>
      <c r="V630" s="1216"/>
      <c r="W630" s="326">
        <v>3079</v>
      </c>
      <c r="X630" s="328" t="str">
        <f>IFERROR(VLOOKUP(W630,DATA!$G$4:$H$400,2,FALSE),"")</f>
        <v>ДА ХОТ ХХК</v>
      </c>
      <c r="Y630" s="1205"/>
      <c r="Z630" s="1205"/>
      <c r="AA630" s="1205"/>
    </row>
    <row r="631" spans="1:27" ht="12.75" customHeight="1">
      <c r="A631" s="15">
        <v>151</v>
      </c>
      <c r="B631" s="369">
        <f t="shared" si="168"/>
        <v>626</v>
      </c>
      <c r="C631" s="427">
        <v>42922</v>
      </c>
      <c r="D631" s="426"/>
      <c r="E631" s="425" t="str">
        <f t="shared" ca="1" si="169"/>
        <v/>
      </c>
      <c r="F631" s="428" t="str">
        <f t="shared" ca="1" si="170"/>
        <v/>
      </c>
      <c r="G631" s="378"/>
      <c r="H631" s="378"/>
      <c r="I631" s="378" t="str">
        <f t="shared" si="165"/>
        <v/>
      </c>
      <c r="J631" s="378" t="str">
        <f t="shared" si="166"/>
        <v/>
      </c>
      <c r="K631" s="1220" t="str">
        <f t="shared" si="167"/>
        <v/>
      </c>
      <c r="L631" s="378"/>
      <c r="M631" s="378"/>
      <c r="N631" s="378" t="str">
        <f t="shared" si="158"/>
        <v/>
      </c>
      <c r="O631" s="378" t="str">
        <f t="shared" si="171"/>
        <v/>
      </c>
      <c r="P631" s="378" t="str">
        <f t="shared" si="172"/>
        <v/>
      </c>
      <c r="Q631" s="378" t="str">
        <f t="shared" si="173"/>
        <v/>
      </c>
      <c r="R631" s="378" t="str">
        <f t="shared" si="174"/>
        <v/>
      </c>
      <c r="S631" s="602">
        <v>310500</v>
      </c>
      <c r="T631" s="378" t="str">
        <f>+IFERROR(VLOOKUP(S631,STAT1!$C$4:$D$189,2,FALSE),"")</f>
        <v>НӨАТ өглөг</v>
      </c>
      <c r="U631" s="1225"/>
      <c r="V631" s="1216">
        <v>180000</v>
      </c>
      <c r="W631" s="326">
        <v>3079</v>
      </c>
      <c r="X631" s="328" t="str">
        <f>IFERROR(VLOOKUP(W631,DATA!$G$4:$H$400,2,FALSE),"")</f>
        <v>ДА ХОТ ХХК</v>
      </c>
      <c r="Y631" s="1205"/>
      <c r="Z631" s="1205"/>
      <c r="AA631" s="1205"/>
    </row>
    <row r="632" spans="1:27" ht="12.75" customHeight="1">
      <c r="A632" s="15">
        <v>151</v>
      </c>
      <c r="B632" s="369">
        <f t="shared" si="168"/>
        <v>627</v>
      </c>
      <c r="C632" s="427">
        <v>42922</v>
      </c>
      <c r="D632" s="426"/>
      <c r="E632" s="425" t="str">
        <f t="shared" ca="1" si="169"/>
        <v/>
      </c>
      <c r="F632" s="428" t="str">
        <f t="shared" ca="1" si="170"/>
        <v/>
      </c>
      <c r="G632" s="378"/>
      <c r="H632" s="378"/>
      <c r="I632" s="378" t="str">
        <f t="shared" si="165"/>
        <v/>
      </c>
      <c r="J632" s="378" t="str">
        <f t="shared" si="166"/>
        <v/>
      </c>
      <c r="K632" s="1220" t="str">
        <f t="shared" si="167"/>
        <v/>
      </c>
      <c r="L632" s="378"/>
      <c r="M632" s="378"/>
      <c r="N632" s="378" t="str">
        <f t="shared" si="158"/>
        <v/>
      </c>
      <c r="O632" s="378" t="str">
        <f t="shared" si="171"/>
        <v/>
      </c>
      <c r="P632" s="378" t="str">
        <f t="shared" si="172"/>
        <v/>
      </c>
      <c r="Q632" s="378" t="str">
        <f t="shared" si="173"/>
        <v/>
      </c>
      <c r="R632" s="378" t="str">
        <f t="shared" si="174"/>
        <v/>
      </c>
      <c r="S632" s="602">
        <v>510000</v>
      </c>
      <c r="T632" s="378" t="str">
        <f>+IFERROR(VLOOKUP(S632,STAT1!$C$4:$D$189,2,FALSE),"")</f>
        <v>Үндсэн үйл ажиллагааны борлуулалт</v>
      </c>
      <c r="U632" s="1225"/>
      <c r="V632" s="1216">
        <v>1800000</v>
      </c>
      <c r="W632" s="326">
        <v>3079</v>
      </c>
      <c r="X632" s="328" t="str">
        <f>IFERROR(VLOOKUP(W632,DATA!$G$4:$H$400,2,FALSE),"")</f>
        <v>ДА ХОТ ХХК</v>
      </c>
      <c r="Y632" s="1205"/>
      <c r="Z632" s="1205"/>
      <c r="AA632" s="1205"/>
    </row>
    <row r="633" spans="1:27" ht="12.75" customHeight="1">
      <c r="A633" s="15">
        <v>151</v>
      </c>
      <c r="B633" s="369">
        <f t="shared" si="168"/>
        <v>628</v>
      </c>
      <c r="C633" s="427">
        <v>42922</v>
      </c>
      <c r="D633" s="426"/>
      <c r="E633" s="425" t="str">
        <f t="shared" ca="1" si="169"/>
        <v/>
      </c>
      <c r="F633" s="428" t="str">
        <f t="shared" ca="1" si="170"/>
        <v/>
      </c>
      <c r="G633" s="378"/>
      <c r="H633" s="378"/>
      <c r="I633" s="378" t="str">
        <f t="shared" si="165"/>
        <v/>
      </c>
      <c r="J633" s="378" t="str">
        <f t="shared" si="166"/>
        <v/>
      </c>
      <c r="K633" s="1220" t="str">
        <f t="shared" si="167"/>
        <v/>
      </c>
      <c r="L633" s="378"/>
      <c r="M633" s="378"/>
      <c r="N633" s="378" t="str">
        <f t="shared" si="158"/>
        <v/>
      </c>
      <c r="O633" s="378" t="str">
        <f t="shared" si="171"/>
        <v/>
      </c>
      <c r="P633" s="378" t="str">
        <f t="shared" si="172"/>
        <v/>
      </c>
      <c r="Q633" s="378" t="str">
        <f t="shared" si="173"/>
        <v/>
      </c>
      <c r="R633" s="378" t="str">
        <f t="shared" si="174"/>
        <v/>
      </c>
      <c r="S633" s="602">
        <v>320100</v>
      </c>
      <c r="T633" s="378" t="str">
        <f>+IFERROR(VLOOKUP(S633,STAT1!$C$4:$D$189,2,FALSE),"")</f>
        <v>Урьдчилж орсон орлого MNT</v>
      </c>
      <c r="U633" s="1225">
        <v>1980000</v>
      </c>
      <c r="V633" s="1216"/>
      <c r="W633" s="326">
        <v>3079</v>
      </c>
      <c r="X633" s="328" t="str">
        <f>IFERROR(VLOOKUP(W633,DATA!$G$4:$H$400,2,FALSE),"")</f>
        <v>ДА ХОТ ХХК</v>
      </c>
      <c r="Y633" s="1205"/>
      <c r="Z633" s="1205"/>
      <c r="AA633" s="1205"/>
    </row>
    <row r="634" spans="1:27" ht="12.75" customHeight="1">
      <c r="A634" s="15">
        <v>152</v>
      </c>
      <c r="B634" s="369">
        <f t="shared" si="168"/>
        <v>629</v>
      </c>
      <c r="C634" s="427">
        <v>42922</v>
      </c>
      <c r="D634" s="426">
        <v>211801</v>
      </c>
      <c r="E634" s="425" t="str">
        <f t="shared" ca="1" si="169"/>
        <v>Н-Ембүү /20*30мм/</v>
      </c>
      <c r="F634" s="428" t="str">
        <f t="shared" ca="1" si="170"/>
        <v>м</v>
      </c>
      <c r="G634" s="378"/>
      <c r="H634" s="378"/>
      <c r="I634" s="378" t="str">
        <f t="shared" si="165"/>
        <v/>
      </c>
      <c r="J634" s="378" t="str">
        <f t="shared" si="166"/>
        <v/>
      </c>
      <c r="K634" s="1220" t="str">
        <f t="shared" si="167"/>
        <v/>
      </c>
      <c r="L634" s="378">
        <v>527</v>
      </c>
      <c r="M634" s="378">
        <v>1500</v>
      </c>
      <c r="N634" s="378">
        <f t="shared" si="158"/>
        <v>790500</v>
      </c>
      <c r="O634" s="378">
        <f t="shared" si="171"/>
        <v>79050</v>
      </c>
      <c r="P634" s="378">
        <f t="shared" si="172"/>
        <v>869550</v>
      </c>
      <c r="Q634" s="378">
        <f t="shared" ca="1" si="173"/>
        <v>647.50519478531237</v>
      </c>
      <c r="R634" s="378">
        <f t="shared" ca="1" si="174"/>
        <v>341235.23765185964</v>
      </c>
      <c r="S634" s="602">
        <v>150101</v>
      </c>
      <c r="T634" s="378" t="str">
        <f>+IFERROR(VLOOKUP(S634,STAT1!$C$4:$D$189,2,FALSE),"")</f>
        <v>Бараа бэлэн бүтээгдэхүүн БОЛОВСРУУЛАХ ЦЕХ /нарс/</v>
      </c>
      <c r="U634" s="1225"/>
      <c r="V634" s="1216">
        <v>501236.12954625359</v>
      </c>
      <c r="W634" s="326">
        <v>3048</v>
      </c>
      <c r="X634" s="328" t="str">
        <f>IFERROR(VLOOKUP(W634,DATA!$G$4:$H$400,2,FALSE),"")</f>
        <v xml:space="preserve">МАК ХХК </v>
      </c>
      <c r="Y634" s="1205"/>
      <c r="Z634" s="1205"/>
      <c r="AA634" s="1205"/>
    </row>
    <row r="635" spans="1:27" ht="12.75" customHeight="1">
      <c r="A635" s="15">
        <v>152</v>
      </c>
      <c r="B635" s="369">
        <f t="shared" si="168"/>
        <v>630</v>
      </c>
      <c r="C635" s="427">
        <v>42922</v>
      </c>
      <c r="D635" s="426">
        <v>211802</v>
      </c>
      <c r="E635" s="425" t="str">
        <f t="shared" ca="1" si="169"/>
        <v xml:space="preserve">Н-Уголок </v>
      </c>
      <c r="F635" s="428" t="str">
        <f t="shared" ca="1" si="170"/>
        <v>м</v>
      </c>
      <c r="G635" s="378"/>
      <c r="H635" s="378"/>
      <c r="I635" s="378" t="str">
        <f t="shared" si="165"/>
        <v/>
      </c>
      <c r="J635" s="378" t="str">
        <f t="shared" si="166"/>
        <v/>
      </c>
      <c r="K635" s="1220" t="str">
        <f t="shared" si="167"/>
        <v/>
      </c>
      <c r="L635" s="378">
        <v>113.3</v>
      </c>
      <c r="M635" s="378">
        <v>3000</v>
      </c>
      <c r="N635" s="378">
        <f t="shared" si="158"/>
        <v>339900</v>
      </c>
      <c r="O635" s="378">
        <f t="shared" si="171"/>
        <v>33990</v>
      </c>
      <c r="P635" s="378">
        <f t="shared" si="172"/>
        <v>373890</v>
      </c>
      <c r="Q635" s="378">
        <f t="shared" ca="1" si="173"/>
        <v>1412.1879249284552</v>
      </c>
      <c r="R635" s="378">
        <f t="shared" ca="1" si="174"/>
        <v>160000.89189439398</v>
      </c>
      <c r="S635" s="602">
        <v>610100</v>
      </c>
      <c r="T635" s="378" t="str">
        <f>+IFERROR(VLOOKUP(S635,STAT1!$C$4:$D$189,2,FALSE),"")</f>
        <v>Борлуулсан барааны өртөг</v>
      </c>
      <c r="U635" s="1225">
        <v>501236.12954625359</v>
      </c>
      <c r="V635" s="1216"/>
      <c r="W635" s="326">
        <v>3048</v>
      </c>
      <c r="X635" s="328" t="str">
        <f>IFERROR(VLOOKUP(W635,DATA!$G$4:$H$400,2,FALSE),"")</f>
        <v xml:space="preserve">МАК ХХК </v>
      </c>
      <c r="Y635" s="1205"/>
      <c r="Z635" s="1205"/>
      <c r="AA635" s="1205"/>
    </row>
    <row r="636" spans="1:27" ht="12.75" customHeight="1">
      <c r="A636" s="15">
        <v>152</v>
      </c>
      <c r="B636" s="369">
        <f t="shared" si="168"/>
        <v>631</v>
      </c>
      <c r="C636" s="427">
        <v>42922</v>
      </c>
      <c r="D636" s="426"/>
      <c r="E636" s="425" t="str">
        <f t="shared" ca="1" si="169"/>
        <v/>
      </c>
      <c r="F636" s="428" t="str">
        <f t="shared" ca="1" si="170"/>
        <v/>
      </c>
      <c r="G636" s="378"/>
      <c r="H636" s="378"/>
      <c r="I636" s="378" t="str">
        <f t="shared" si="165"/>
        <v/>
      </c>
      <c r="J636" s="378" t="str">
        <f t="shared" si="166"/>
        <v/>
      </c>
      <c r="K636" s="1220" t="str">
        <f t="shared" si="167"/>
        <v/>
      </c>
      <c r="L636" s="378"/>
      <c r="M636" s="378"/>
      <c r="N636" s="378" t="str">
        <f t="shared" si="158"/>
        <v/>
      </c>
      <c r="O636" s="378" t="str">
        <f t="shared" si="171"/>
        <v/>
      </c>
      <c r="P636" s="378" t="str">
        <f t="shared" si="172"/>
        <v/>
      </c>
      <c r="Q636" s="378" t="str">
        <f t="shared" si="173"/>
        <v/>
      </c>
      <c r="R636" s="378" t="str">
        <f t="shared" si="174"/>
        <v/>
      </c>
      <c r="S636" s="602">
        <v>310500</v>
      </c>
      <c r="T636" s="378" t="str">
        <f>+IFERROR(VLOOKUP(S636,STAT1!$C$4:$D$189,2,FALSE),"")</f>
        <v>НӨАТ өглөг</v>
      </c>
      <c r="U636" s="1225"/>
      <c r="V636" s="1216">
        <v>113040</v>
      </c>
      <c r="W636" s="326">
        <v>3048</v>
      </c>
      <c r="X636" s="328" t="str">
        <f>IFERROR(VLOOKUP(W636,DATA!$G$4:$H$400,2,FALSE),"")</f>
        <v xml:space="preserve">МАК ХХК </v>
      </c>
      <c r="Y636" s="1205"/>
      <c r="Z636" s="1205"/>
      <c r="AA636" s="1205"/>
    </row>
    <row r="637" spans="1:27" ht="12.75" customHeight="1">
      <c r="A637" s="15">
        <v>152</v>
      </c>
      <c r="B637" s="369">
        <f t="shared" si="168"/>
        <v>632</v>
      </c>
      <c r="C637" s="427">
        <v>42922</v>
      </c>
      <c r="D637" s="426"/>
      <c r="E637" s="425" t="str">
        <f t="shared" ca="1" si="169"/>
        <v/>
      </c>
      <c r="F637" s="428" t="str">
        <f t="shared" ca="1" si="170"/>
        <v/>
      </c>
      <c r="G637" s="378"/>
      <c r="H637" s="378"/>
      <c r="I637" s="378" t="str">
        <f t="shared" si="165"/>
        <v/>
      </c>
      <c r="J637" s="378" t="str">
        <f t="shared" si="166"/>
        <v/>
      </c>
      <c r="K637" s="1220" t="str">
        <f t="shared" si="167"/>
        <v/>
      </c>
      <c r="L637" s="378"/>
      <c r="M637" s="378"/>
      <c r="N637" s="378" t="str">
        <f t="shared" si="158"/>
        <v/>
      </c>
      <c r="O637" s="378" t="str">
        <f t="shared" si="171"/>
        <v/>
      </c>
      <c r="P637" s="378" t="str">
        <f t="shared" si="172"/>
        <v/>
      </c>
      <c r="Q637" s="378" t="str">
        <f t="shared" si="173"/>
        <v/>
      </c>
      <c r="R637" s="378" t="str">
        <f t="shared" si="174"/>
        <v/>
      </c>
      <c r="S637" s="602">
        <v>510000</v>
      </c>
      <c r="T637" s="378" t="str">
        <f>+IFERROR(VLOOKUP(S637,STAT1!$C$4:$D$189,2,FALSE),"")</f>
        <v>Үндсэн үйл ажиллагааны борлуулалт</v>
      </c>
      <c r="U637" s="1225"/>
      <c r="V637" s="1216">
        <v>1130400</v>
      </c>
      <c r="W637" s="326">
        <v>3048</v>
      </c>
      <c r="X637" s="328" t="str">
        <f>IFERROR(VLOOKUP(W637,DATA!$G$4:$H$400,2,FALSE),"")</f>
        <v xml:space="preserve">МАК ХХК </v>
      </c>
      <c r="Y637" s="1205"/>
      <c r="Z637" s="1205"/>
      <c r="AA637" s="1205"/>
    </row>
    <row r="638" spans="1:27" ht="12.75" customHeight="1">
      <c r="A638" s="15">
        <v>152</v>
      </c>
      <c r="B638" s="369">
        <f t="shared" si="168"/>
        <v>633</v>
      </c>
      <c r="C638" s="427">
        <v>42922</v>
      </c>
      <c r="D638" s="426"/>
      <c r="E638" s="425" t="str">
        <f t="shared" ca="1" si="169"/>
        <v/>
      </c>
      <c r="F638" s="428" t="str">
        <f t="shared" ca="1" si="170"/>
        <v/>
      </c>
      <c r="G638" s="378"/>
      <c r="H638" s="378"/>
      <c r="I638" s="378" t="str">
        <f t="shared" si="165"/>
        <v/>
      </c>
      <c r="J638" s="378" t="str">
        <f t="shared" si="166"/>
        <v/>
      </c>
      <c r="K638" s="1220" t="str">
        <f t="shared" si="167"/>
        <v/>
      </c>
      <c r="L638" s="378"/>
      <c r="M638" s="378"/>
      <c r="N638" s="378" t="str">
        <f t="shared" si="158"/>
        <v/>
      </c>
      <c r="O638" s="378" t="str">
        <f t="shared" si="171"/>
        <v/>
      </c>
      <c r="P638" s="378" t="str">
        <f t="shared" si="172"/>
        <v/>
      </c>
      <c r="Q638" s="378" t="str">
        <f t="shared" si="173"/>
        <v/>
      </c>
      <c r="R638" s="378" t="str">
        <f t="shared" si="174"/>
        <v/>
      </c>
      <c r="S638" s="602">
        <v>320100</v>
      </c>
      <c r="T638" s="378" t="str">
        <f>+IFERROR(VLOOKUP(S638,STAT1!$C$4:$D$189,2,FALSE),"")</f>
        <v>Урьдчилж орсон орлого MNT</v>
      </c>
      <c r="U638" s="1225">
        <v>1243440</v>
      </c>
      <c r="V638" s="1216"/>
      <c r="W638" s="326">
        <v>3048</v>
      </c>
      <c r="X638" s="328" t="str">
        <f>IFERROR(VLOOKUP(W638,DATA!$G$4:$H$400,2,FALSE),"")</f>
        <v xml:space="preserve">МАК ХХК </v>
      </c>
      <c r="Y638" s="1205"/>
      <c r="Z638" s="1205"/>
      <c r="AA638" s="1205"/>
    </row>
    <row r="639" spans="1:27" ht="12.75" customHeight="1">
      <c r="A639" s="15">
        <v>153</v>
      </c>
      <c r="B639" s="369">
        <f t="shared" si="168"/>
        <v>634</v>
      </c>
      <c r="C639" s="427">
        <v>42922</v>
      </c>
      <c r="D639" s="426">
        <v>211503</v>
      </c>
      <c r="E639" s="425" t="str">
        <f t="shared" ca="1" si="169"/>
        <v>Н-Евровагонка /зузаан-1.2см/</v>
      </c>
      <c r="F639" s="428" t="str">
        <f t="shared" ca="1" si="170"/>
        <v>м2</v>
      </c>
      <c r="G639" s="378"/>
      <c r="H639" s="378"/>
      <c r="I639" s="378" t="str">
        <f t="shared" si="165"/>
        <v/>
      </c>
      <c r="J639" s="378" t="str">
        <f t="shared" si="166"/>
        <v/>
      </c>
      <c r="K639" s="1220" t="str">
        <f t="shared" si="167"/>
        <v/>
      </c>
      <c r="L639" s="378">
        <v>38.22</v>
      </c>
      <c r="M639" s="378">
        <v>21600.066699999999</v>
      </c>
      <c r="N639" s="378">
        <f t="shared" si="158"/>
        <v>825554.54927399999</v>
      </c>
      <c r="O639" s="378">
        <f t="shared" si="171"/>
        <v>82555.454927400002</v>
      </c>
      <c r="P639" s="378">
        <f t="shared" si="172"/>
        <v>908110.00420139998</v>
      </c>
      <c r="Q639" s="378">
        <f t="shared" ca="1" si="173"/>
        <v>13269.527397514297</v>
      </c>
      <c r="R639" s="378">
        <f t="shared" ca="1" si="174"/>
        <v>507161.33713299641</v>
      </c>
      <c r="S639" s="602">
        <v>150101</v>
      </c>
      <c r="T639" s="378" t="str">
        <f>+IFERROR(VLOOKUP(S639,STAT1!$C$4:$D$189,2,FALSE),"")</f>
        <v>Бараа бэлэн бүтээгдэхүүн БОЛОВСРУУЛАХ ЦЕХ /нарс/</v>
      </c>
      <c r="U639" s="1225"/>
      <c r="V639" s="1216">
        <v>507161.33713299636</v>
      </c>
      <c r="W639" s="326">
        <v>3078</v>
      </c>
      <c r="X639" s="328" t="str">
        <f>IFERROR(VLOOKUP(W639,DATA!$G$4:$H$400,2,FALSE),"")</f>
        <v>МӨНХ ЭНХРИЙ ХХК</v>
      </c>
      <c r="Y639" s="1205"/>
      <c r="Z639" s="1205"/>
      <c r="AA639" s="1205"/>
    </row>
    <row r="640" spans="1:27" ht="12.75" customHeight="1">
      <c r="A640" s="15">
        <v>153</v>
      </c>
      <c r="B640" s="369">
        <f t="shared" si="168"/>
        <v>635</v>
      </c>
      <c r="C640" s="427">
        <v>42922</v>
      </c>
      <c r="D640" s="426">
        <v>211503</v>
      </c>
      <c r="E640" s="425" t="str">
        <f t="shared" ca="1" si="169"/>
        <v>Н-Евровагонка /зузаан-1.2см/</v>
      </c>
      <c r="F640" s="428" t="str">
        <f t="shared" ca="1" si="170"/>
        <v>м2</v>
      </c>
      <c r="G640" s="378"/>
      <c r="H640" s="378"/>
      <c r="I640" s="378" t="str">
        <f t="shared" si="165"/>
        <v/>
      </c>
      <c r="J640" s="378" t="str">
        <f t="shared" si="166"/>
        <v/>
      </c>
      <c r="K640" s="1220" t="str">
        <f t="shared" si="167"/>
        <v/>
      </c>
      <c r="L640" s="378"/>
      <c r="M640" s="378"/>
      <c r="N640" s="378" t="str">
        <f t="shared" si="158"/>
        <v/>
      </c>
      <c r="O640" s="378" t="str">
        <f t="shared" si="171"/>
        <v/>
      </c>
      <c r="P640" s="378" t="str">
        <f t="shared" si="172"/>
        <v/>
      </c>
      <c r="Q640" s="378" t="str">
        <f t="shared" si="173"/>
        <v/>
      </c>
      <c r="R640" s="378" t="str">
        <f t="shared" si="174"/>
        <v/>
      </c>
      <c r="S640" s="602">
        <v>610100</v>
      </c>
      <c r="T640" s="378" t="str">
        <f>+IFERROR(VLOOKUP(S640,STAT1!$C$4:$D$189,2,FALSE),"")</f>
        <v>Борлуулсан барааны өртөг</v>
      </c>
      <c r="U640" s="1225">
        <v>507161.33713299636</v>
      </c>
      <c r="V640" s="1216"/>
      <c r="W640" s="326">
        <v>3078</v>
      </c>
      <c r="X640" s="328" t="str">
        <f>IFERROR(VLOOKUP(W640,DATA!$G$4:$H$400,2,FALSE),"")</f>
        <v>МӨНХ ЭНХРИЙ ХХК</v>
      </c>
      <c r="Y640" s="1205"/>
      <c r="Z640" s="1205"/>
      <c r="AA640" s="1205"/>
    </row>
    <row r="641" spans="1:27" ht="12.75" customHeight="1">
      <c r="A641" s="15">
        <v>153</v>
      </c>
      <c r="B641" s="369">
        <f t="shared" si="168"/>
        <v>636</v>
      </c>
      <c r="C641" s="427">
        <v>42922</v>
      </c>
      <c r="D641" s="426">
        <v>211503</v>
      </c>
      <c r="E641" s="425" t="str">
        <f t="shared" ca="1" si="169"/>
        <v>Н-Евровагонка /зузаан-1.2см/</v>
      </c>
      <c r="F641" s="428" t="str">
        <f t="shared" ca="1" si="170"/>
        <v>м2</v>
      </c>
      <c r="G641" s="378"/>
      <c r="H641" s="378"/>
      <c r="I641" s="378" t="str">
        <f t="shared" si="165"/>
        <v/>
      </c>
      <c r="J641" s="378" t="str">
        <f t="shared" si="166"/>
        <v/>
      </c>
      <c r="K641" s="1220" t="str">
        <f t="shared" si="167"/>
        <v/>
      </c>
      <c r="L641" s="378"/>
      <c r="M641" s="378"/>
      <c r="N641" s="378" t="str">
        <f t="shared" si="158"/>
        <v/>
      </c>
      <c r="O641" s="378" t="str">
        <f t="shared" si="171"/>
        <v/>
      </c>
      <c r="P641" s="378" t="str">
        <f t="shared" si="172"/>
        <v/>
      </c>
      <c r="Q641" s="378" t="str">
        <f t="shared" si="173"/>
        <v/>
      </c>
      <c r="R641" s="378" t="str">
        <f t="shared" si="174"/>
        <v/>
      </c>
      <c r="S641" s="602">
        <v>310500</v>
      </c>
      <c r="T641" s="378" t="str">
        <f>+IFERROR(VLOOKUP(S641,STAT1!$C$4:$D$189,2,FALSE),"")</f>
        <v>НӨАТ өглөг</v>
      </c>
      <c r="U641" s="1225"/>
      <c r="V641" s="1216">
        <v>82555.454927400002</v>
      </c>
      <c r="W641" s="326">
        <v>3078</v>
      </c>
      <c r="X641" s="328" t="str">
        <f>IFERROR(VLOOKUP(W641,DATA!$G$4:$H$400,2,FALSE),"")</f>
        <v>МӨНХ ЭНХРИЙ ХХК</v>
      </c>
      <c r="Y641" s="1205"/>
      <c r="Z641" s="1205"/>
      <c r="AA641" s="1205"/>
    </row>
    <row r="642" spans="1:27" ht="12.75" customHeight="1">
      <c r="A642" s="15">
        <v>153</v>
      </c>
      <c r="B642" s="369">
        <f t="shared" si="168"/>
        <v>637</v>
      </c>
      <c r="C642" s="427">
        <v>42922</v>
      </c>
      <c r="D642" s="426">
        <v>211503</v>
      </c>
      <c r="E642" s="425" t="str">
        <f t="shared" ca="1" si="169"/>
        <v>Н-Евровагонка /зузаан-1.2см/</v>
      </c>
      <c r="F642" s="428" t="str">
        <f t="shared" ca="1" si="170"/>
        <v>м2</v>
      </c>
      <c r="G642" s="378"/>
      <c r="H642" s="378"/>
      <c r="I642" s="378" t="str">
        <f t="shared" si="165"/>
        <v/>
      </c>
      <c r="J642" s="378" t="str">
        <f t="shared" si="166"/>
        <v/>
      </c>
      <c r="K642" s="1220" t="str">
        <f t="shared" si="167"/>
        <v/>
      </c>
      <c r="L642" s="378"/>
      <c r="M642" s="378"/>
      <c r="N642" s="378" t="str">
        <f t="shared" si="158"/>
        <v/>
      </c>
      <c r="O642" s="378" t="str">
        <f t="shared" si="171"/>
        <v/>
      </c>
      <c r="P642" s="378" t="str">
        <f t="shared" si="172"/>
        <v/>
      </c>
      <c r="Q642" s="378" t="str">
        <f t="shared" si="173"/>
        <v/>
      </c>
      <c r="R642" s="378" t="str">
        <f t="shared" si="174"/>
        <v/>
      </c>
      <c r="S642" s="602">
        <v>510000</v>
      </c>
      <c r="T642" s="378" t="str">
        <f>+IFERROR(VLOOKUP(S642,STAT1!$C$4:$D$189,2,FALSE),"")</f>
        <v>Үндсэн үйл ажиллагааны борлуулалт</v>
      </c>
      <c r="U642" s="1225"/>
      <c r="V642" s="1216">
        <v>825554.54927399999</v>
      </c>
      <c r="W642" s="326">
        <v>3078</v>
      </c>
      <c r="X642" s="328" t="str">
        <f>IFERROR(VLOOKUP(W642,DATA!$G$4:$H$400,2,FALSE),"")</f>
        <v>МӨНХ ЭНХРИЙ ХХК</v>
      </c>
      <c r="Y642" s="1205"/>
      <c r="Z642" s="1205"/>
      <c r="AA642" s="1205"/>
    </row>
    <row r="643" spans="1:27" ht="12.75" customHeight="1">
      <c r="A643" s="15">
        <v>153</v>
      </c>
      <c r="B643" s="369">
        <f t="shared" si="168"/>
        <v>638</v>
      </c>
      <c r="C643" s="427">
        <v>42922</v>
      </c>
      <c r="D643" s="426">
        <v>211503</v>
      </c>
      <c r="E643" s="425" t="str">
        <f t="shared" ca="1" si="169"/>
        <v>Н-Евровагонка /зузаан-1.2см/</v>
      </c>
      <c r="F643" s="428" t="str">
        <f t="shared" ca="1" si="170"/>
        <v>м2</v>
      </c>
      <c r="G643" s="378"/>
      <c r="H643" s="378"/>
      <c r="I643" s="378" t="str">
        <f t="shared" si="165"/>
        <v/>
      </c>
      <c r="J643" s="378" t="str">
        <f t="shared" si="166"/>
        <v/>
      </c>
      <c r="K643" s="1220" t="str">
        <f t="shared" si="167"/>
        <v/>
      </c>
      <c r="L643" s="378"/>
      <c r="M643" s="378"/>
      <c r="N643" s="378" t="str">
        <f t="shared" si="158"/>
        <v/>
      </c>
      <c r="O643" s="378" t="str">
        <f t="shared" si="171"/>
        <v/>
      </c>
      <c r="P643" s="378" t="str">
        <f t="shared" si="172"/>
        <v/>
      </c>
      <c r="Q643" s="378" t="str">
        <f t="shared" si="173"/>
        <v/>
      </c>
      <c r="R643" s="378" t="str">
        <f t="shared" si="174"/>
        <v/>
      </c>
      <c r="S643" s="602">
        <v>320100</v>
      </c>
      <c r="T643" s="378" t="str">
        <f>+IFERROR(VLOOKUP(S643,STAT1!$C$4:$D$189,2,FALSE),"")</f>
        <v>Урьдчилж орсон орлого MNT</v>
      </c>
      <c r="U643" s="1225">
        <v>908110</v>
      </c>
      <c r="V643" s="1216"/>
      <c r="W643" s="326">
        <v>3078</v>
      </c>
      <c r="X643" s="328" t="str">
        <f>IFERROR(VLOOKUP(W643,DATA!$G$4:$H$400,2,FALSE),"")</f>
        <v>МӨНХ ЭНХРИЙ ХХК</v>
      </c>
      <c r="Y643" s="1205"/>
      <c r="Z643" s="1205"/>
      <c r="AA643" s="1205"/>
    </row>
    <row r="644" spans="1:27" ht="12.75" customHeight="1">
      <c r="A644" s="15">
        <v>154</v>
      </c>
      <c r="B644" s="369">
        <f t="shared" si="168"/>
        <v>639</v>
      </c>
      <c r="C644" s="427">
        <v>42922</v>
      </c>
      <c r="D644" s="426">
        <v>211710</v>
      </c>
      <c r="E644" s="425" t="str">
        <f t="shared" ca="1" si="169"/>
        <v xml:space="preserve">Н-Хавтан /зузаан-3см/-яртай </v>
      </c>
      <c r="F644" s="428" t="str">
        <f t="shared" ca="1" si="170"/>
        <v>м2</v>
      </c>
      <c r="G644" s="378"/>
      <c r="H644" s="378"/>
      <c r="I644" s="378" t="str">
        <f t="shared" si="165"/>
        <v/>
      </c>
      <c r="J644" s="378" t="str">
        <f t="shared" si="166"/>
        <v/>
      </c>
      <c r="K644" s="1220" t="str">
        <f t="shared" si="167"/>
        <v/>
      </c>
      <c r="L644" s="378">
        <v>16.238</v>
      </c>
      <c r="M644" s="378">
        <v>40001.5674</v>
      </c>
      <c r="N644" s="378">
        <f t="shared" si="158"/>
        <v>649545.45144119998</v>
      </c>
      <c r="O644" s="378">
        <f t="shared" si="171"/>
        <v>64954.545144119998</v>
      </c>
      <c r="P644" s="378">
        <f t="shared" si="172"/>
        <v>714499.99658531998</v>
      </c>
      <c r="Q644" s="378">
        <f t="shared" ca="1" si="173"/>
        <v>32877.788914248587</v>
      </c>
      <c r="R644" s="378">
        <f t="shared" ca="1" si="174"/>
        <v>533869.53638956859</v>
      </c>
      <c r="S644" s="602">
        <v>150101</v>
      </c>
      <c r="T644" s="378" t="str">
        <f>+IFERROR(VLOOKUP(S644,STAT1!$C$4:$D$189,2,FALSE),"")</f>
        <v>Бараа бэлэн бүтээгдэхүүн БОЛОВСРУУЛАХ ЦЕХ /нарс/</v>
      </c>
      <c r="U644" s="1225"/>
      <c r="V644" s="1216">
        <v>533869.53638956859</v>
      </c>
      <c r="W644" s="326">
        <v>3077</v>
      </c>
      <c r="X644" s="328" t="str">
        <f>IFERROR(VLOOKUP(W644,DATA!$G$4:$H$400,2,FALSE),"")</f>
        <v>КАРАНДАШ ХХК</v>
      </c>
      <c r="Y644" s="1205"/>
      <c r="Z644" s="1205"/>
      <c r="AA644" s="1205"/>
    </row>
    <row r="645" spans="1:27" ht="12.75" customHeight="1">
      <c r="A645" s="15">
        <v>154</v>
      </c>
      <c r="B645" s="369">
        <f t="shared" si="168"/>
        <v>640</v>
      </c>
      <c r="C645" s="427">
        <v>42922</v>
      </c>
      <c r="D645" s="426">
        <v>211710</v>
      </c>
      <c r="E645" s="425" t="str">
        <f t="shared" ca="1" si="169"/>
        <v xml:space="preserve">Н-Хавтан /зузаан-3см/-яртай </v>
      </c>
      <c r="F645" s="428" t="str">
        <f t="shared" ca="1" si="170"/>
        <v>м2</v>
      </c>
      <c r="G645" s="378"/>
      <c r="H645" s="378"/>
      <c r="I645" s="378" t="str">
        <f t="shared" si="165"/>
        <v/>
      </c>
      <c r="J645" s="378" t="str">
        <f t="shared" si="166"/>
        <v/>
      </c>
      <c r="K645" s="1220" t="str">
        <f t="shared" si="167"/>
        <v/>
      </c>
      <c r="L645" s="378"/>
      <c r="M645" s="378"/>
      <c r="N645" s="378" t="str">
        <f t="shared" si="158"/>
        <v/>
      </c>
      <c r="O645" s="378" t="str">
        <f t="shared" si="171"/>
        <v/>
      </c>
      <c r="P645" s="378" t="str">
        <f t="shared" si="172"/>
        <v/>
      </c>
      <c r="Q645" s="378" t="str">
        <f t="shared" si="173"/>
        <v/>
      </c>
      <c r="R645" s="378" t="str">
        <f t="shared" si="174"/>
        <v/>
      </c>
      <c r="S645" s="602">
        <v>610100</v>
      </c>
      <c r="T645" s="378" t="str">
        <f>+IFERROR(VLOOKUP(S645,STAT1!$C$4:$D$189,2,FALSE),"")</f>
        <v>Борлуулсан барааны өртөг</v>
      </c>
      <c r="U645" s="1225">
        <v>533869.53638956859</v>
      </c>
      <c r="V645" s="1216"/>
      <c r="W645" s="326">
        <v>3077</v>
      </c>
      <c r="X645" s="328" t="str">
        <f>IFERROR(VLOOKUP(W645,DATA!$G$4:$H$400,2,FALSE),"")</f>
        <v>КАРАНДАШ ХХК</v>
      </c>
      <c r="Y645" s="1205"/>
      <c r="Z645" s="1205"/>
      <c r="AA645" s="1205"/>
    </row>
    <row r="646" spans="1:27" ht="12.75" customHeight="1">
      <c r="A646" s="15">
        <v>154</v>
      </c>
      <c r="B646" s="369">
        <f t="shared" si="168"/>
        <v>641</v>
      </c>
      <c r="C646" s="427">
        <v>42922</v>
      </c>
      <c r="D646" s="426">
        <v>211710</v>
      </c>
      <c r="E646" s="425" t="str">
        <f t="shared" ca="1" si="169"/>
        <v xml:space="preserve">Н-Хавтан /зузаан-3см/-яртай </v>
      </c>
      <c r="F646" s="428" t="str">
        <f t="shared" ca="1" si="170"/>
        <v>м2</v>
      </c>
      <c r="G646" s="378"/>
      <c r="H646" s="378"/>
      <c r="I646" s="378" t="str">
        <f t="shared" si="165"/>
        <v/>
      </c>
      <c r="J646" s="378" t="str">
        <f t="shared" si="166"/>
        <v/>
      </c>
      <c r="K646" s="1220" t="str">
        <f t="shared" si="167"/>
        <v/>
      </c>
      <c r="L646" s="378"/>
      <c r="M646" s="378"/>
      <c r="N646" s="378" t="str">
        <f t="shared" si="158"/>
        <v/>
      </c>
      <c r="O646" s="378" t="str">
        <f t="shared" si="171"/>
        <v/>
      </c>
      <c r="P646" s="378" t="str">
        <f t="shared" si="172"/>
        <v/>
      </c>
      <c r="Q646" s="378" t="str">
        <f t="shared" si="173"/>
        <v/>
      </c>
      <c r="R646" s="378" t="str">
        <f t="shared" si="174"/>
        <v/>
      </c>
      <c r="S646" s="602">
        <v>310500</v>
      </c>
      <c r="T646" s="378" t="str">
        <f>+IFERROR(VLOOKUP(S646,STAT1!$C$4:$D$189,2,FALSE),"")</f>
        <v>НӨАТ өглөг</v>
      </c>
      <c r="U646" s="1225"/>
      <c r="V646" s="1216">
        <v>64954.545144119998</v>
      </c>
      <c r="W646" s="326">
        <v>3077</v>
      </c>
      <c r="X646" s="328" t="str">
        <f>IFERROR(VLOOKUP(W646,DATA!$G$4:$H$400,2,FALSE),"")</f>
        <v>КАРАНДАШ ХХК</v>
      </c>
      <c r="Y646" s="1205"/>
      <c r="Z646" s="1205"/>
      <c r="AA646" s="1205"/>
    </row>
    <row r="647" spans="1:27" ht="12.75" customHeight="1">
      <c r="A647" s="15">
        <v>154</v>
      </c>
      <c r="B647" s="369">
        <f t="shared" si="168"/>
        <v>642</v>
      </c>
      <c r="C647" s="427">
        <v>42922</v>
      </c>
      <c r="D647" s="426">
        <v>211710</v>
      </c>
      <c r="E647" s="425" t="str">
        <f t="shared" ca="1" si="169"/>
        <v xml:space="preserve">Н-Хавтан /зузаан-3см/-яртай </v>
      </c>
      <c r="F647" s="428" t="str">
        <f t="shared" ca="1" si="170"/>
        <v>м2</v>
      </c>
      <c r="G647" s="378"/>
      <c r="H647" s="378"/>
      <c r="I647" s="378" t="str">
        <f t="shared" si="165"/>
        <v/>
      </c>
      <c r="J647" s="378" t="str">
        <f t="shared" si="166"/>
        <v/>
      </c>
      <c r="K647" s="1220" t="str">
        <f t="shared" si="167"/>
        <v/>
      </c>
      <c r="L647" s="378"/>
      <c r="M647" s="378"/>
      <c r="N647" s="378" t="str">
        <f t="shared" si="158"/>
        <v/>
      </c>
      <c r="O647" s="378" t="str">
        <f t="shared" si="171"/>
        <v/>
      </c>
      <c r="P647" s="378" t="str">
        <f t="shared" si="172"/>
        <v/>
      </c>
      <c r="Q647" s="378" t="str">
        <f t="shared" si="173"/>
        <v/>
      </c>
      <c r="R647" s="378" t="str">
        <f t="shared" si="174"/>
        <v/>
      </c>
      <c r="S647" s="602">
        <v>510000</v>
      </c>
      <c r="T647" s="378" t="str">
        <f>+IFERROR(VLOOKUP(S647,STAT1!$C$4:$D$189,2,FALSE),"")</f>
        <v>Үндсэн үйл ажиллагааны борлуулалт</v>
      </c>
      <c r="U647" s="1225"/>
      <c r="V647" s="1216">
        <v>649545.45144119998</v>
      </c>
      <c r="W647" s="326">
        <v>3077</v>
      </c>
      <c r="X647" s="328" t="str">
        <f>IFERROR(VLOOKUP(W647,DATA!$G$4:$H$400,2,FALSE),"")</f>
        <v>КАРАНДАШ ХХК</v>
      </c>
      <c r="Y647" s="1205"/>
      <c r="Z647" s="1205"/>
      <c r="AA647" s="1205"/>
    </row>
    <row r="648" spans="1:27" ht="12.75" customHeight="1">
      <c r="A648" s="15">
        <v>154</v>
      </c>
      <c r="B648" s="369">
        <f t="shared" si="168"/>
        <v>643</v>
      </c>
      <c r="C648" s="427">
        <v>42922</v>
      </c>
      <c r="D648" s="426">
        <v>211710</v>
      </c>
      <c r="E648" s="425" t="str">
        <f t="shared" ca="1" si="169"/>
        <v xml:space="preserve">Н-Хавтан /зузаан-3см/-яртай </v>
      </c>
      <c r="F648" s="428" t="str">
        <f t="shared" ca="1" si="170"/>
        <v>м2</v>
      </c>
      <c r="G648" s="378"/>
      <c r="H648" s="378"/>
      <c r="I648" s="378" t="str">
        <f t="shared" si="165"/>
        <v/>
      </c>
      <c r="J648" s="378" t="str">
        <f t="shared" si="166"/>
        <v/>
      </c>
      <c r="K648" s="1220" t="str">
        <f t="shared" si="167"/>
        <v/>
      </c>
      <c r="L648" s="378"/>
      <c r="M648" s="378"/>
      <c r="N648" s="378" t="str">
        <f t="shared" si="158"/>
        <v/>
      </c>
      <c r="O648" s="378" t="str">
        <f t="shared" si="171"/>
        <v/>
      </c>
      <c r="P648" s="378" t="str">
        <f t="shared" si="172"/>
        <v/>
      </c>
      <c r="Q648" s="378" t="str">
        <f t="shared" si="173"/>
        <v/>
      </c>
      <c r="R648" s="378" t="str">
        <f t="shared" si="174"/>
        <v/>
      </c>
      <c r="S648" s="602">
        <v>320100</v>
      </c>
      <c r="T648" s="378" t="str">
        <f>+IFERROR(VLOOKUP(S648,STAT1!$C$4:$D$189,2,FALSE),"")</f>
        <v>Урьдчилж орсон орлого MNT</v>
      </c>
      <c r="U648" s="1225">
        <v>714500</v>
      </c>
      <c r="V648" s="1216"/>
      <c r="W648" s="326">
        <v>3077</v>
      </c>
      <c r="X648" s="328" t="str">
        <f>IFERROR(VLOOKUP(W648,DATA!$G$4:$H$400,2,FALSE),"")</f>
        <v>КАРАНДАШ ХХК</v>
      </c>
      <c r="Y648" s="1205"/>
      <c r="Z648" s="1205"/>
      <c r="AA648" s="1205"/>
    </row>
    <row r="649" spans="1:27" ht="12.75" customHeight="1">
      <c r="A649" s="15">
        <v>155</v>
      </c>
      <c r="B649" s="369">
        <f>IF(C649="","",ROW()-5)</f>
        <v>644</v>
      </c>
      <c r="C649" s="427">
        <v>42925</v>
      </c>
      <c r="D649" s="426">
        <v>410366</v>
      </c>
      <c r="E649" s="425" t="str">
        <f t="shared" ca="1" si="169"/>
        <v xml:space="preserve">Модны замаска </v>
      </c>
      <c r="F649" s="428" t="str">
        <f t="shared" ca="1" si="170"/>
        <v>ш</v>
      </c>
      <c r="G649" s="378">
        <v>18</v>
      </c>
      <c r="H649" s="378">
        <v>4300</v>
      </c>
      <c r="I649" s="378">
        <f t="shared" si="165"/>
        <v>77400</v>
      </c>
      <c r="J649" s="378">
        <f t="shared" si="166"/>
        <v>7740</v>
      </c>
      <c r="K649" s="1220">
        <f t="shared" si="167"/>
        <v>85140</v>
      </c>
      <c r="L649" s="378"/>
      <c r="M649" s="378"/>
      <c r="N649" s="378" t="str">
        <f t="shared" si="158"/>
        <v/>
      </c>
      <c r="O649" s="378" t="str">
        <f t="shared" si="171"/>
        <v/>
      </c>
      <c r="P649" s="378" t="str">
        <f t="shared" si="172"/>
        <v/>
      </c>
      <c r="Q649" s="378" t="str">
        <f t="shared" si="173"/>
        <v/>
      </c>
      <c r="R649" s="378" t="str">
        <f t="shared" si="174"/>
        <v/>
      </c>
      <c r="S649" s="602">
        <v>120100</v>
      </c>
      <c r="T649" s="378" t="str">
        <f>+IFERROR(VLOOKUP(S649,STAT1!$C$4:$D$189,2,FALSE),"")</f>
        <v xml:space="preserve">Дансны авлага MNT </v>
      </c>
      <c r="U649" s="1225"/>
      <c r="V649" s="1216">
        <v>4850339.999175</v>
      </c>
      <c r="W649" s="326">
        <v>3017</v>
      </c>
      <c r="X649" s="328" t="str">
        <f>IFERROR(VLOOKUP(W649,DATA!$G$4:$H$400,2,FALSE),"")</f>
        <v xml:space="preserve">ВОС ХХК </v>
      </c>
      <c r="Y649" s="1205"/>
      <c r="Z649" s="1205"/>
      <c r="AA649" s="1205"/>
    </row>
    <row r="650" spans="1:27" ht="12.75" customHeight="1">
      <c r="A650" s="15">
        <v>155</v>
      </c>
      <c r="B650" s="369">
        <f>IF(C650="","",ROW()-5)</f>
        <v>645</v>
      </c>
      <c r="C650" s="427">
        <v>42925</v>
      </c>
      <c r="D650" s="426">
        <v>410085</v>
      </c>
      <c r="E650" s="425" t="str">
        <f t="shared" ca="1" si="169"/>
        <v xml:space="preserve">НЦ-лак </v>
      </c>
      <c r="F650" s="428" t="str">
        <f t="shared" ca="1" si="170"/>
        <v>кг</v>
      </c>
      <c r="G650" s="378">
        <v>225</v>
      </c>
      <c r="H650" s="378">
        <v>7333.3333300000004</v>
      </c>
      <c r="I650" s="378">
        <f t="shared" si="165"/>
        <v>1649999.9992500001</v>
      </c>
      <c r="J650" s="378">
        <f t="shared" si="166"/>
        <v>164999.99992500001</v>
      </c>
      <c r="K650" s="1220">
        <f t="shared" si="167"/>
        <v>1814999.999175</v>
      </c>
      <c r="L650" s="378"/>
      <c r="M650" s="378"/>
      <c r="N650" s="378" t="str">
        <f t="shared" si="158"/>
        <v/>
      </c>
      <c r="O650" s="378" t="str">
        <f t="shared" si="171"/>
        <v/>
      </c>
      <c r="P650" s="378" t="str">
        <f t="shared" si="172"/>
        <v/>
      </c>
      <c r="Q650" s="378" t="str">
        <f t="shared" si="173"/>
        <v/>
      </c>
      <c r="R650" s="378" t="str">
        <f t="shared" si="174"/>
        <v/>
      </c>
      <c r="S650" s="602">
        <v>160100</v>
      </c>
      <c r="T650" s="378" t="str">
        <f>+IFERROR(VLOOKUP(S650,STAT1!$C$4:$D$189,2,FALSE),"")</f>
        <v xml:space="preserve">Барилгын материал </v>
      </c>
      <c r="U650" s="1225">
        <v>4409399.9992500003</v>
      </c>
      <c r="V650" s="1216"/>
      <c r="W650" s="326">
        <v>3017</v>
      </c>
      <c r="X650" s="328" t="str">
        <f>IFERROR(VLOOKUP(W650,DATA!$G$4:$H$400,2,FALSE),"")</f>
        <v xml:space="preserve">ВОС ХХК </v>
      </c>
      <c r="Y650" s="1205"/>
      <c r="Z650" s="1205"/>
      <c r="AA650" s="1205"/>
    </row>
    <row r="651" spans="1:27" ht="12.75" customHeight="1">
      <c r="A651" s="15">
        <v>155</v>
      </c>
      <c r="B651" s="369">
        <f>IF(C651="","",ROW()-5)</f>
        <v>646</v>
      </c>
      <c r="C651" s="427">
        <v>42925</v>
      </c>
      <c r="D651" s="426">
        <v>410054</v>
      </c>
      <c r="E651" s="425" t="str">
        <f t="shared" ca="1" si="169"/>
        <v xml:space="preserve">Будаг шингэлэгч </v>
      </c>
      <c r="F651" s="428" t="str">
        <f t="shared" ca="1" si="170"/>
        <v>ш</v>
      </c>
      <c r="G651" s="378">
        <v>140</v>
      </c>
      <c r="H651" s="378">
        <v>1800</v>
      </c>
      <c r="I651" s="378">
        <f t="shared" si="165"/>
        <v>252000</v>
      </c>
      <c r="J651" s="378">
        <f t="shared" si="166"/>
        <v>25200</v>
      </c>
      <c r="K651" s="1220">
        <f t="shared" si="167"/>
        <v>277200</v>
      </c>
      <c r="L651" s="378"/>
      <c r="M651" s="378"/>
      <c r="N651" s="378" t="str">
        <f t="shared" si="158"/>
        <v/>
      </c>
      <c r="O651" s="378" t="str">
        <f t="shared" si="171"/>
        <v/>
      </c>
      <c r="P651" s="378" t="str">
        <f t="shared" si="172"/>
        <v/>
      </c>
      <c r="Q651" s="378" t="str">
        <f t="shared" si="173"/>
        <v/>
      </c>
      <c r="R651" s="378" t="str">
        <f t="shared" si="174"/>
        <v/>
      </c>
      <c r="S651" s="602">
        <v>120600</v>
      </c>
      <c r="T651" s="378" t="str">
        <f>+IFERROR(VLOOKUP(S651,STAT1!$C$4:$D$189,2,FALSE),"")</f>
        <v>НӨАТ авлага</v>
      </c>
      <c r="U651" s="1225">
        <v>440939.99992500001</v>
      </c>
      <c r="V651" s="1216"/>
      <c r="W651" s="326">
        <v>3017</v>
      </c>
      <c r="X651" s="328" t="str">
        <f>IFERROR(VLOOKUP(W651,DATA!$G$4:$H$400,2,FALSE),"")</f>
        <v xml:space="preserve">ВОС ХХК </v>
      </c>
      <c r="Y651" s="1205"/>
      <c r="Z651" s="1205"/>
      <c r="AA651" s="1205"/>
    </row>
    <row r="652" spans="1:27" ht="12.75" customHeight="1">
      <c r="A652" s="15">
        <v>156</v>
      </c>
      <c r="B652" s="369">
        <f t="shared" ref="B652:B658" si="175">+IF(C652="","",ROW()-5)</f>
        <v>647</v>
      </c>
      <c r="C652" s="427">
        <v>42925</v>
      </c>
      <c r="D652" s="426">
        <v>210003</v>
      </c>
      <c r="E652" s="425" t="str">
        <f t="shared" ca="1" si="169"/>
        <v>Н-Наамал дүнз</v>
      </c>
      <c r="F652" s="428" t="str">
        <f t="shared" ca="1" si="170"/>
        <v>м2</v>
      </c>
      <c r="G652" s="378"/>
      <c r="H652" s="378"/>
      <c r="I652" s="378" t="str">
        <f t="shared" si="165"/>
        <v/>
      </c>
      <c r="J652" s="378" t="str">
        <f t="shared" si="166"/>
        <v/>
      </c>
      <c r="K652" s="1220" t="str">
        <f t="shared" si="167"/>
        <v/>
      </c>
      <c r="L652" s="378">
        <v>23.18</v>
      </c>
      <c r="M652" s="378">
        <v>254545.45449999999</v>
      </c>
      <c r="N652" s="378">
        <f t="shared" si="158"/>
        <v>5900363.6353099998</v>
      </c>
      <c r="O652" s="378">
        <f t="shared" si="171"/>
        <v>590036.36353099998</v>
      </c>
      <c r="P652" s="378">
        <f t="shared" si="172"/>
        <v>6490399.9988409998</v>
      </c>
      <c r="Q652" s="378">
        <f t="shared" ca="1" si="173"/>
        <v>191123.56673210167</v>
      </c>
      <c r="R652" s="378">
        <f t="shared" ca="1" si="174"/>
        <v>4430244.2768501164</v>
      </c>
      <c r="S652" s="602">
        <v>150101</v>
      </c>
      <c r="T652" s="378" t="str">
        <f>+IFERROR(VLOOKUP(S652,STAT1!$C$4:$D$189,2,FALSE),"")</f>
        <v>Бараа бэлэн бүтээгдэхүүн БОЛОВСРУУЛАХ ЦЕХ /нарс/</v>
      </c>
      <c r="U652" s="1225"/>
      <c r="V652" s="1216">
        <v>4430244.2699999996</v>
      </c>
      <c r="W652" s="326">
        <v>3067</v>
      </c>
      <c r="X652" s="328" t="str">
        <f>IFERROR(VLOOKUP(W652,DATA!$G$4:$H$400,2,FALSE),"")</f>
        <v>ЦЭЦЭН УРЧУУД ХХК</v>
      </c>
      <c r="Y652" s="1205"/>
      <c r="Z652" s="1205"/>
      <c r="AA652" s="1205"/>
    </row>
    <row r="653" spans="1:27" ht="12.75" customHeight="1">
      <c r="A653" s="15">
        <v>156</v>
      </c>
      <c r="B653" s="369">
        <f t="shared" si="175"/>
        <v>648</v>
      </c>
      <c r="C653" s="427">
        <v>42925</v>
      </c>
      <c r="D653" s="426"/>
      <c r="E653" s="425" t="str">
        <f t="shared" ca="1" si="169"/>
        <v/>
      </c>
      <c r="F653" s="428" t="str">
        <f t="shared" ca="1" si="170"/>
        <v/>
      </c>
      <c r="G653" s="378"/>
      <c r="H653" s="378"/>
      <c r="I653" s="378" t="str">
        <f t="shared" si="165"/>
        <v/>
      </c>
      <c r="J653" s="378" t="str">
        <f t="shared" si="166"/>
        <v/>
      </c>
      <c r="K653" s="1220" t="str">
        <f t="shared" si="167"/>
        <v/>
      </c>
      <c r="L653" s="378"/>
      <c r="M653" s="378"/>
      <c r="N653" s="378" t="str">
        <f t="shared" si="158"/>
        <v/>
      </c>
      <c r="O653" s="378" t="str">
        <f t="shared" si="171"/>
        <v/>
      </c>
      <c r="P653" s="378" t="str">
        <f t="shared" si="172"/>
        <v/>
      </c>
      <c r="Q653" s="378" t="str">
        <f t="shared" si="173"/>
        <v/>
      </c>
      <c r="R653" s="378" t="str">
        <f t="shared" si="174"/>
        <v/>
      </c>
      <c r="S653" s="602">
        <v>610100</v>
      </c>
      <c r="T653" s="378" t="str">
        <f>+IFERROR(VLOOKUP(S653,STAT1!$C$4:$D$189,2,FALSE),"")</f>
        <v>Борлуулсан барааны өртөг</v>
      </c>
      <c r="U653" s="1216">
        <v>4430244.2699999996</v>
      </c>
      <c r="V653" s="1216"/>
      <c r="W653" s="326">
        <v>3067</v>
      </c>
      <c r="X653" s="328" t="str">
        <f>IFERROR(VLOOKUP(W653,DATA!$G$4:$H$400,2,FALSE),"")</f>
        <v>ЦЭЦЭН УРЧУУД ХХК</v>
      </c>
      <c r="Y653" s="1205"/>
      <c r="Z653" s="1205"/>
      <c r="AA653" s="1205"/>
    </row>
    <row r="654" spans="1:27" ht="12.75" customHeight="1">
      <c r="A654" s="15">
        <v>156</v>
      </c>
      <c r="B654" s="369">
        <f t="shared" si="175"/>
        <v>649</v>
      </c>
      <c r="C654" s="427">
        <v>42925</v>
      </c>
      <c r="D654" s="426"/>
      <c r="E654" s="425" t="str">
        <f t="shared" ca="1" si="169"/>
        <v/>
      </c>
      <c r="F654" s="428" t="str">
        <f t="shared" ca="1" si="170"/>
        <v/>
      </c>
      <c r="G654" s="378"/>
      <c r="H654" s="378"/>
      <c r="I654" s="378" t="str">
        <f t="shared" si="165"/>
        <v/>
      </c>
      <c r="J654" s="378" t="str">
        <f t="shared" si="166"/>
        <v/>
      </c>
      <c r="K654" s="1220" t="str">
        <f t="shared" si="167"/>
        <v/>
      </c>
      <c r="L654" s="378"/>
      <c r="M654" s="378"/>
      <c r="N654" s="378" t="str">
        <f t="shared" si="158"/>
        <v/>
      </c>
      <c r="O654" s="378" t="str">
        <f t="shared" si="171"/>
        <v/>
      </c>
      <c r="P654" s="378" t="str">
        <f t="shared" si="172"/>
        <v/>
      </c>
      <c r="Q654" s="378" t="str">
        <f t="shared" si="173"/>
        <v/>
      </c>
      <c r="R654" s="378" t="str">
        <f t="shared" si="174"/>
        <v/>
      </c>
      <c r="S654" s="602">
        <v>310500</v>
      </c>
      <c r="T654" s="378" t="str">
        <f>+IFERROR(VLOOKUP(S654,STAT1!$C$4:$D$189,2,FALSE),"")</f>
        <v>НӨАТ өглөг</v>
      </c>
      <c r="U654" s="1225"/>
      <c r="V654" s="1216">
        <v>590036.36353099998</v>
      </c>
      <c r="W654" s="326">
        <v>3067</v>
      </c>
      <c r="X654" s="328" t="str">
        <f>IFERROR(VLOOKUP(W654,DATA!$G$4:$H$400,2,FALSE),"")</f>
        <v>ЦЭЦЭН УРЧУУД ХХК</v>
      </c>
      <c r="Y654" s="1205"/>
      <c r="Z654" s="1205"/>
      <c r="AA654" s="1205"/>
    </row>
    <row r="655" spans="1:27" ht="12.75" customHeight="1">
      <c r="A655" s="15">
        <v>156</v>
      </c>
      <c r="B655" s="369">
        <f t="shared" si="175"/>
        <v>650</v>
      </c>
      <c r="C655" s="427">
        <v>42925</v>
      </c>
      <c r="D655" s="426"/>
      <c r="E655" s="425" t="str">
        <f t="shared" ca="1" si="169"/>
        <v/>
      </c>
      <c r="F655" s="428" t="str">
        <f t="shared" ca="1" si="170"/>
        <v/>
      </c>
      <c r="G655" s="378"/>
      <c r="H655" s="378"/>
      <c r="I655" s="378" t="str">
        <f t="shared" si="165"/>
        <v/>
      </c>
      <c r="J655" s="378" t="str">
        <f t="shared" si="166"/>
        <v/>
      </c>
      <c r="K655" s="1220" t="str">
        <f t="shared" si="167"/>
        <v/>
      </c>
      <c r="L655" s="378"/>
      <c r="M655" s="378"/>
      <c r="N655" s="378" t="str">
        <f t="shared" si="158"/>
        <v/>
      </c>
      <c r="O655" s="378" t="str">
        <f t="shared" si="171"/>
        <v/>
      </c>
      <c r="P655" s="378" t="str">
        <f t="shared" si="172"/>
        <v/>
      </c>
      <c r="Q655" s="378" t="str">
        <f t="shared" si="173"/>
        <v/>
      </c>
      <c r="R655" s="378" t="str">
        <f t="shared" si="174"/>
        <v/>
      </c>
      <c r="S655" s="602">
        <v>510000</v>
      </c>
      <c r="T655" s="378" t="str">
        <f>+IFERROR(VLOOKUP(S655,STAT1!$C$4:$D$189,2,FALSE),"")</f>
        <v>Үндсэн үйл ажиллагааны борлуулалт</v>
      </c>
      <c r="U655" s="1225"/>
      <c r="V655" s="1216">
        <v>5900363.6353099998</v>
      </c>
      <c r="W655" s="326">
        <v>3067</v>
      </c>
      <c r="X655" s="328" t="str">
        <f>IFERROR(VLOOKUP(W655,DATA!$G$4:$H$400,2,FALSE),"")</f>
        <v>ЦЭЦЭН УРЧУУД ХХК</v>
      </c>
      <c r="Y655" s="1205"/>
      <c r="Z655" s="1205"/>
      <c r="AA655" s="1205"/>
    </row>
    <row r="656" spans="1:27" ht="12.75" customHeight="1">
      <c r="A656" s="15">
        <v>156</v>
      </c>
      <c r="B656" s="369">
        <f t="shared" si="175"/>
        <v>651</v>
      </c>
      <c r="C656" s="427">
        <v>42925</v>
      </c>
      <c r="D656" s="426"/>
      <c r="E656" s="425" t="str">
        <f t="shared" ca="1" si="169"/>
        <v/>
      </c>
      <c r="F656" s="428" t="str">
        <f t="shared" ca="1" si="170"/>
        <v/>
      </c>
      <c r="G656" s="378"/>
      <c r="H656" s="378"/>
      <c r="I656" s="378" t="str">
        <f t="shared" si="165"/>
        <v/>
      </c>
      <c r="J656" s="378" t="str">
        <f t="shared" si="166"/>
        <v/>
      </c>
      <c r="K656" s="1220" t="str">
        <f t="shared" si="167"/>
        <v/>
      </c>
      <c r="L656" s="378"/>
      <c r="M656" s="378"/>
      <c r="N656" s="378" t="str">
        <f t="shared" si="158"/>
        <v/>
      </c>
      <c r="O656" s="378" t="str">
        <f t="shared" si="171"/>
        <v/>
      </c>
      <c r="P656" s="378" t="str">
        <f t="shared" si="172"/>
        <v/>
      </c>
      <c r="Q656" s="378" t="str">
        <f t="shared" si="173"/>
        <v/>
      </c>
      <c r="R656" s="378" t="str">
        <f t="shared" si="174"/>
        <v/>
      </c>
      <c r="S656" s="602">
        <v>320100</v>
      </c>
      <c r="T656" s="378" t="str">
        <f>+IFERROR(VLOOKUP(S656,STAT1!$C$4:$D$189,2,FALSE),"")</f>
        <v>Урьдчилж орсон орлого MNT</v>
      </c>
      <c r="U656" s="1225">
        <v>6490399.9988409998</v>
      </c>
      <c r="V656" s="1216"/>
      <c r="W656" s="326">
        <v>3067</v>
      </c>
      <c r="X656" s="328" t="str">
        <f>IFERROR(VLOOKUP(W656,DATA!$G$4:$H$400,2,FALSE),"")</f>
        <v>ЦЭЦЭН УРЧУУД ХХК</v>
      </c>
      <c r="Y656" s="1205"/>
      <c r="Z656" s="1205"/>
      <c r="AA656" s="1205"/>
    </row>
    <row r="657" spans="1:27" ht="12.75" customHeight="1">
      <c r="A657" s="15">
        <v>157</v>
      </c>
      <c r="B657" s="369">
        <f t="shared" si="175"/>
        <v>652</v>
      </c>
      <c r="C657" s="427">
        <v>42940</v>
      </c>
      <c r="D657" s="426">
        <v>211710</v>
      </c>
      <c r="E657" s="425" t="str">
        <f t="shared" ca="1" si="169"/>
        <v xml:space="preserve">Н-Хавтан /зузаан-3см/-яртай </v>
      </c>
      <c r="F657" s="428" t="str">
        <f t="shared" ca="1" si="170"/>
        <v>м2</v>
      </c>
      <c r="G657" s="378"/>
      <c r="H657" s="378"/>
      <c r="I657" s="378" t="str">
        <f t="shared" si="165"/>
        <v/>
      </c>
      <c r="J657" s="378" t="str">
        <f t="shared" si="166"/>
        <v/>
      </c>
      <c r="K657" s="1220" t="str">
        <f t="shared" si="167"/>
        <v/>
      </c>
      <c r="L657" s="378">
        <v>2.5</v>
      </c>
      <c r="M657" s="378">
        <v>40000</v>
      </c>
      <c r="N657" s="378">
        <f t="shared" si="158"/>
        <v>100000</v>
      </c>
      <c r="O657" s="378">
        <f t="shared" si="171"/>
        <v>10000</v>
      </c>
      <c r="P657" s="378">
        <f t="shared" si="172"/>
        <v>110000</v>
      </c>
      <c r="Q657" s="378">
        <f t="shared" ca="1" si="173"/>
        <v>32877.78891424858</v>
      </c>
      <c r="R657" s="378">
        <f t="shared" ca="1" si="174"/>
        <v>82194.47228562145</v>
      </c>
      <c r="S657" s="602">
        <v>150101</v>
      </c>
      <c r="T657" s="378" t="str">
        <f>+IFERROR(VLOOKUP(S657,STAT1!$C$4:$D$189,2,FALSE),"")</f>
        <v>Бараа бэлэн бүтээгдэхүүн БОЛОВСРУУЛАХ ЦЕХ /нарс/</v>
      </c>
      <c r="U657" s="1225"/>
      <c r="V657" s="1216">
        <v>82194.47228562145</v>
      </c>
      <c r="W657" s="326">
        <v>3007</v>
      </c>
      <c r="X657" s="328" t="str">
        <f>IFERROR(VLOOKUP(W657,DATA!$G$4:$H$400,2,FALSE),"")</f>
        <v xml:space="preserve">АЯНЧИН АУТФИТТЕРС ХХК </v>
      </c>
      <c r="Y657" s="1205"/>
      <c r="Z657" s="1205"/>
      <c r="AA657" s="1205"/>
    </row>
    <row r="658" spans="1:27" ht="12.75" customHeight="1">
      <c r="A658" s="15">
        <v>157</v>
      </c>
      <c r="B658" s="369">
        <f t="shared" si="175"/>
        <v>653</v>
      </c>
      <c r="C658" s="427">
        <v>42940</v>
      </c>
      <c r="D658" s="426"/>
      <c r="E658" s="425" t="str">
        <f t="shared" ca="1" si="169"/>
        <v/>
      </c>
      <c r="F658" s="428" t="str">
        <f t="shared" ca="1" si="170"/>
        <v/>
      </c>
      <c r="G658" s="378"/>
      <c r="H658" s="378"/>
      <c r="I658" s="378" t="str">
        <f t="shared" si="165"/>
        <v/>
      </c>
      <c r="J658" s="378" t="str">
        <f t="shared" si="166"/>
        <v/>
      </c>
      <c r="K658" s="1220" t="str">
        <f t="shared" si="167"/>
        <v/>
      </c>
      <c r="L658" s="378"/>
      <c r="M658" s="378"/>
      <c r="N658" s="378" t="str">
        <f t="shared" si="158"/>
        <v/>
      </c>
      <c r="O658" s="378" t="str">
        <f t="shared" si="171"/>
        <v/>
      </c>
      <c r="P658" s="378" t="str">
        <f t="shared" si="172"/>
        <v/>
      </c>
      <c r="Q658" s="378" t="str">
        <f t="shared" si="173"/>
        <v/>
      </c>
      <c r="R658" s="378" t="str">
        <f t="shared" si="174"/>
        <v/>
      </c>
      <c r="S658" s="602">
        <v>610100</v>
      </c>
      <c r="T658" s="378" t="str">
        <f>+IFERROR(VLOOKUP(S658,STAT1!$C$4:$D$189,2,FALSE),"")</f>
        <v>Борлуулсан барааны өртөг</v>
      </c>
      <c r="U658" s="1225">
        <v>82194.47228562145</v>
      </c>
      <c r="V658" s="1216"/>
      <c r="W658" s="326">
        <v>3007</v>
      </c>
      <c r="X658" s="328" t="str">
        <f>IFERROR(VLOOKUP(W658,DATA!$G$4:$H$400,2,FALSE),"")</f>
        <v xml:space="preserve">АЯНЧИН АУТФИТТЕРС ХХК </v>
      </c>
      <c r="Y658" s="1205"/>
      <c r="Z658" s="1205"/>
      <c r="AA658" s="1205"/>
    </row>
    <row r="659" spans="1:27" ht="12.75" customHeight="1">
      <c r="A659" s="15">
        <v>157</v>
      </c>
      <c r="B659" s="369">
        <f>IF(C659="","",ROW()-5)</f>
        <v>654</v>
      </c>
      <c r="C659" s="427">
        <v>42940</v>
      </c>
      <c r="D659" s="426"/>
      <c r="E659" s="425" t="str">
        <f t="shared" ca="1" si="169"/>
        <v/>
      </c>
      <c r="F659" s="428" t="str">
        <f t="shared" ca="1" si="170"/>
        <v/>
      </c>
      <c r="G659" s="378"/>
      <c r="H659" s="378"/>
      <c r="I659" s="378" t="str">
        <f t="shared" si="165"/>
        <v/>
      </c>
      <c r="J659" s="378" t="str">
        <f t="shared" si="166"/>
        <v/>
      </c>
      <c r="K659" s="1220" t="str">
        <f t="shared" si="167"/>
        <v/>
      </c>
      <c r="L659" s="378"/>
      <c r="M659" s="378"/>
      <c r="N659" s="378" t="str">
        <f t="shared" si="158"/>
        <v/>
      </c>
      <c r="O659" s="378" t="str">
        <f t="shared" si="171"/>
        <v/>
      </c>
      <c r="P659" s="378" t="str">
        <f t="shared" si="172"/>
        <v/>
      </c>
      <c r="Q659" s="378" t="str">
        <f t="shared" si="173"/>
        <v/>
      </c>
      <c r="R659" s="378" t="str">
        <f t="shared" si="174"/>
        <v/>
      </c>
      <c r="S659" s="602">
        <v>310500</v>
      </c>
      <c r="T659" s="378" t="str">
        <f>+IFERROR(VLOOKUP(S659,STAT1!$C$4:$D$189,2,FALSE),"")</f>
        <v>НӨАТ өглөг</v>
      </c>
      <c r="U659" s="1225"/>
      <c r="V659" s="1216">
        <v>10000</v>
      </c>
      <c r="W659" s="326">
        <v>3007</v>
      </c>
      <c r="X659" s="328" t="str">
        <f>IFERROR(VLOOKUP(W659,DATA!$G$4:$H$400,2,FALSE),"")</f>
        <v xml:space="preserve">АЯНЧИН АУТФИТТЕРС ХХК </v>
      </c>
      <c r="Y659" s="1205"/>
      <c r="Z659" s="1205"/>
      <c r="AA659" s="1205"/>
    </row>
    <row r="660" spans="1:27" ht="12.75" customHeight="1">
      <c r="A660" s="15">
        <v>157</v>
      </c>
      <c r="B660" s="369">
        <f>IF(C660="","",ROW()-5)</f>
        <v>655</v>
      </c>
      <c r="C660" s="427">
        <v>42940</v>
      </c>
      <c r="D660" s="426"/>
      <c r="E660" s="425" t="str">
        <f t="shared" ca="1" si="169"/>
        <v/>
      </c>
      <c r="F660" s="428" t="str">
        <f t="shared" ca="1" si="170"/>
        <v/>
      </c>
      <c r="G660" s="378"/>
      <c r="H660" s="378"/>
      <c r="I660" s="378" t="str">
        <f t="shared" si="165"/>
        <v/>
      </c>
      <c r="J660" s="378" t="str">
        <f t="shared" si="166"/>
        <v/>
      </c>
      <c r="K660" s="1220" t="str">
        <f t="shared" si="167"/>
        <v/>
      </c>
      <c r="L660" s="378"/>
      <c r="M660" s="378"/>
      <c r="N660" s="378" t="str">
        <f t="shared" si="158"/>
        <v/>
      </c>
      <c r="O660" s="378" t="str">
        <f t="shared" si="171"/>
        <v/>
      </c>
      <c r="P660" s="378" t="str">
        <f t="shared" si="172"/>
        <v/>
      </c>
      <c r="Q660" s="378" t="str">
        <f t="shared" si="173"/>
        <v/>
      </c>
      <c r="R660" s="378" t="str">
        <f t="shared" si="174"/>
        <v/>
      </c>
      <c r="S660" s="602">
        <v>510000</v>
      </c>
      <c r="T660" s="378" t="str">
        <f>+IFERROR(VLOOKUP(S660,STAT1!$C$4:$D$189,2,FALSE),"")</f>
        <v>Үндсэн үйл ажиллагааны борлуулалт</v>
      </c>
      <c r="U660" s="1225"/>
      <c r="V660" s="1216">
        <v>100000</v>
      </c>
      <c r="W660" s="326">
        <v>3007</v>
      </c>
      <c r="X660" s="328" t="str">
        <f>IFERROR(VLOOKUP(W660,DATA!$G$4:$H$400,2,FALSE),"")</f>
        <v xml:space="preserve">АЯНЧИН АУТФИТТЕРС ХХК </v>
      </c>
      <c r="Y660" s="1205"/>
      <c r="Z660" s="1205"/>
      <c r="AA660" s="1205"/>
    </row>
    <row r="661" spans="1:27" ht="12.75" customHeight="1">
      <c r="A661" s="15">
        <v>157</v>
      </c>
      <c r="B661" s="369">
        <f>IF(C661="","",ROW()-5)</f>
        <v>656</v>
      </c>
      <c r="C661" s="427">
        <v>42940</v>
      </c>
      <c r="D661" s="426"/>
      <c r="E661" s="425" t="str">
        <f t="shared" ca="1" si="169"/>
        <v/>
      </c>
      <c r="F661" s="428" t="str">
        <f t="shared" ca="1" si="170"/>
        <v/>
      </c>
      <c r="G661" s="378"/>
      <c r="H661" s="378"/>
      <c r="I661" s="378" t="str">
        <f t="shared" si="165"/>
        <v/>
      </c>
      <c r="J661" s="378" t="str">
        <f t="shared" si="166"/>
        <v/>
      </c>
      <c r="K661" s="1220" t="str">
        <f t="shared" si="167"/>
        <v/>
      </c>
      <c r="L661" s="378"/>
      <c r="M661" s="378"/>
      <c r="N661" s="378" t="str">
        <f t="shared" si="158"/>
        <v/>
      </c>
      <c r="O661" s="378" t="str">
        <f t="shared" si="171"/>
        <v/>
      </c>
      <c r="P661" s="378" t="str">
        <f t="shared" si="172"/>
        <v/>
      </c>
      <c r="Q661" s="378" t="str">
        <f t="shared" si="173"/>
        <v/>
      </c>
      <c r="R661" s="378" t="str">
        <f t="shared" si="174"/>
        <v/>
      </c>
      <c r="S661" s="602">
        <v>320100</v>
      </c>
      <c r="T661" s="378" t="str">
        <f>+IFERROR(VLOOKUP(S661,STAT1!$C$4:$D$189,2,FALSE),"")</f>
        <v>Урьдчилж орсон орлого MNT</v>
      </c>
      <c r="U661" s="1225">
        <v>110000</v>
      </c>
      <c r="V661" s="1216"/>
      <c r="W661" s="326">
        <v>3007</v>
      </c>
      <c r="X661" s="328" t="str">
        <f>IFERROR(VLOOKUP(W661,DATA!$G$4:$H$400,2,FALSE),"")</f>
        <v xml:space="preserve">АЯНЧИН АУТФИТТЕРС ХХК </v>
      </c>
      <c r="Y661" s="1205"/>
      <c r="Z661" s="1205"/>
      <c r="AA661" s="1205"/>
    </row>
    <row r="662" spans="1:27" ht="12.75" customHeight="1">
      <c r="A662" s="622">
        <v>158</v>
      </c>
      <c r="B662" s="369">
        <f t="shared" ref="B662:B676" si="176">+IF(C662="","",ROW()-5)</f>
        <v>657</v>
      </c>
      <c r="C662" s="427">
        <v>42943</v>
      </c>
      <c r="D662" s="426">
        <v>211713</v>
      </c>
      <c r="E662" s="425" t="str">
        <f t="shared" ca="1" si="169"/>
        <v>Н-Хавтан /зузаан-2см/</v>
      </c>
      <c r="F662" s="428" t="str">
        <f t="shared" ca="1" si="170"/>
        <v>м2</v>
      </c>
      <c r="G662" s="378"/>
      <c r="H662" s="378"/>
      <c r="I662" s="378" t="str">
        <f t="shared" si="165"/>
        <v/>
      </c>
      <c r="J662" s="378" t="str">
        <f t="shared" si="166"/>
        <v/>
      </c>
      <c r="K662" s="1220" t="str">
        <f t="shared" si="167"/>
        <v/>
      </c>
      <c r="L662" s="378">
        <v>10</v>
      </c>
      <c r="M662" s="378">
        <v>30000</v>
      </c>
      <c r="N662" s="378">
        <f t="shared" si="158"/>
        <v>300000</v>
      </c>
      <c r="O662" s="378">
        <f t="shared" si="171"/>
        <v>30000</v>
      </c>
      <c r="P662" s="378">
        <f t="shared" si="172"/>
        <v>330000</v>
      </c>
      <c r="Q662" s="378">
        <f t="shared" ca="1" si="173"/>
        <v>20836.299698816016</v>
      </c>
      <c r="R662" s="378">
        <f t="shared" ca="1" si="174"/>
        <v>208362.99698816016</v>
      </c>
      <c r="S662" s="602">
        <v>150101</v>
      </c>
      <c r="T662" s="378" t="str">
        <f>+IFERROR(VLOOKUP(S662,STAT1!$C$4:$D$189,2,FALSE),"")</f>
        <v>Бараа бэлэн бүтээгдэхүүн БОЛОВСРУУЛАХ ЦЕХ /нарс/</v>
      </c>
      <c r="U662" s="1225"/>
      <c r="V662" s="1216">
        <v>354160.23393003474</v>
      </c>
      <c r="W662" s="326">
        <v>3010</v>
      </c>
      <c r="X662" s="328" t="str">
        <f>IFERROR(VLOOKUP(W662,DATA!$G$4:$H$400,2,FALSE),"")</f>
        <v xml:space="preserve">РЕНДЕР ХХК </v>
      </c>
      <c r="Y662" s="1205"/>
      <c r="Z662" s="1205"/>
      <c r="AA662" s="1205"/>
    </row>
    <row r="663" spans="1:27" ht="12.75" customHeight="1">
      <c r="A663" s="15">
        <v>158</v>
      </c>
      <c r="B663" s="369">
        <f t="shared" si="176"/>
        <v>658</v>
      </c>
      <c r="C663" s="427">
        <v>42943</v>
      </c>
      <c r="D663" s="426">
        <v>211504</v>
      </c>
      <c r="E663" s="425" t="str">
        <f t="shared" ca="1" si="169"/>
        <v xml:space="preserve">Н-Евровагонка /зузаан-1.2см/-яртай </v>
      </c>
      <c r="F663" s="428" t="str">
        <f t="shared" ca="1" si="170"/>
        <v>м2</v>
      </c>
      <c r="G663" s="378"/>
      <c r="H663" s="378"/>
      <c r="I663" s="378" t="str">
        <f t="shared" si="165"/>
        <v/>
      </c>
      <c r="J663" s="378" t="str">
        <f t="shared" si="166"/>
        <v/>
      </c>
      <c r="K663" s="1220" t="str">
        <f t="shared" si="167"/>
        <v/>
      </c>
      <c r="L663" s="378">
        <v>12.89</v>
      </c>
      <c r="M663" s="378">
        <v>17998.448499999999</v>
      </c>
      <c r="N663" s="378">
        <f t="shared" si="158"/>
        <v>232000.00116499999</v>
      </c>
      <c r="O663" s="378">
        <f t="shared" si="171"/>
        <v>23200.000116499999</v>
      </c>
      <c r="P663" s="378">
        <f t="shared" si="172"/>
        <v>255200.00128149998</v>
      </c>
      <c r="Q663" s="378">
        <f t="shared" ca="1" si="173"/>
        <v>11310.879514497639</v>
      </c>
      <c r="R663" s="378">
        <f t="shared" ca="1" si="174"/>
        <v>145797.23694187458</v>
      </c>
      <c r="S663" s="602">
        <v>610100</v>
      </c>
      <c r="T663" s="378" t="str">
        <f>+IFERROR(VLOOKUP(S663,STAT1!$C$4:$D$189,2,FALSE),"")</f>
        <v>Борлуулсан барааны өртөг</v>
      </c>
      <c r="U663" s="1225">
        <v>354160.23393003474</v>
      </c>
      <c r="V663" s="1216"/>
      <c r="W663" s="326">
        <v>3010</v>
      </c>
      <c r="X663" s="328" t="str">
        <f>IFERROR(VLOOKUP(W663,DATA!$G$4:$H$400,2,FALSE),"")</f>
        <v xml:space="preserve">РЕНДЕР ХХК </v>
      </c>
      <c r="Y663" s="1205"/>
      <c r="Z663" s="1205"/>
      <c r="AA663" s="1205"/>
    </row>
    <row r="664" spans="1:27" ht="12.75" customHeight="1">
      <c r="A664" s="15">
        <v>158</v>
      </c>
      <c r="B664" s="369">
        <f t="shared" si="176"/>
        <v>659</v>
      </c>
      <c r="C664" s="427">
        <v>42943</v>
      </c>
      <c r="D664" s="426"/>
      <c r="E664" s="425" t="str">
        <f t="shared" ca="1" si="169"/>
        <v/>
      </c>
      <c r="F664" s="428" t="str">
        <f t="shared" ca="1" si="170"/>
        <v/>
      </c>
      <c r="G664" s="378"/>
      <c r="H664" s="378"/>
      <c r="I664" s="378" t="str">
        <f t="shared" si="165"/>
        <v/>
      </c>
      <c r="J664" s="378" t="str">
        <f t="shared" si="166"/>
        <v/>
      </c>
      <c r="K664" s="1220" t="str">
        <f t="shared" si="167"/>
        <v/>
      </c>
      <c r="L664" s="378"/>
      <c r="M664" s="378"/>
      <c r="N664" s="378" t="str">
        <f t="shared" si="158"/>
        <v/>
      </c>
      <c r="O664" s="378" t="str">
        <f t="shared" si="171"/>
        <v/>
      </c>
      <c r="P664" s="378" t="str">
        <f t="shared" si="172"/>
        <v/>
      </c>
      <c r="Q664" s="378" t="str">
        <f t="shared" si="173"/>
        <v/>
      </c>
      <c r="R664" s="378" t="str">
        <f t="shared" si="174"/>
        <v/>
      </c>
      <c r="S664" s="602">
        <v>310500</v>
      </c>
      <c r="T664" s="378" t="str">
        <f>+IFERROR(VLOOKUP(S664,STAT1!$C$4:$D$189,2,FALSE),"")</f>
        <v>НӨАТ өглөг</v>
      </c>
      <c r="U664" s="1225"/>
      <c r="V664" s="1216">
        <v>53200.000116499999</v>
      </c>
      <c r="W664" s="326">
        <v>3010</v>
      </c>
      <c r="X664" s="328" t="str">
        <f>IFERROR(VLOOKUP(W664,DATA!$G$4:$H$400,2,FALSE),"")</f>
        <v xml:space="preserve">РЕНДЕР ХХК </v>
      </c>
      <c r="Y664" s="1205"/>
      <c r="Z664" s="1205"/>
      <c r="AA664" s="1205"/>
    </row>
    <row r="665" spans="1:27" ht="12.75" customHeight="1">
      <c r="A665" s="15">
        <v>158</v>
      </c>
      <c r="B665" s="369">
        <f t="shared" si="176"/>
        <v>660</v>
      </c>
      <c r="C665" s="427">
        <v>42943</v>
      </c>
      <c r="D665" s="426"/>
      <c r="E665" s="425" t="str">
        <f t="shared" ca="1" si="169"/>
        <v/>
      </c>
      <c r="F665" s="428" t="str">
        <f t="shared" ca="1" si="170"/>
        <v/>
      </c>
      <c r="G665" s="378"/>
      <c r="H665" s="378"/>
      <c r="I665" s="378" t="str">
        <f t="shared" si="165"/>
        <v/>
      </c>
      <c r="J665" s="378" t="str">
        <f t="shared" si="166"/>
        <v/>
      </c>
      <c r="K665" s="1220" t="str">
        <f t="shared" si="167"/>
        <v/>
      </c>
      <c r="L665" s="378"/>
      <c r="M665" s="378"/>
      <c r="N665" s="378" t="str">
        <f t="shared" si="158"/>
        <v/>
      </c>
      <c r="O665" s="378" t="str">
        <f t="shared" si="171"/>
        <v/>
      </c>
      <c r="P665" s="378" t="str">
        <f t="shared" si="172"/>
        <v/>
      </c>
      <c r="Q665" s="378" t="str">
        <f t="shared" si="173"/>
        <v/>
      </c>
      <c r="R665" s="378" t="str">
        <f t="shared" si="174"/>
        <v/>
      </c>
      <c r="S665" s="602">
        <v>510000</v>
      </c>
      <c r="T665" s="378" t="str">
        <f>+IFERROR(VLOOKUP(S665,STAT1!$C$4:$D$189,2,FALSE),"")</f>
        <v>Үндсэн үйл ажиллагааны борлуулалт</v>
      </c>
      <c r="U665" s="1225"/>
      <c r="V665" s="1216">
        <v>532000.00116500002</v>
      </c>
      <c r="W665" s="326">
        <v>3010</v>
      </c>
      <c r="X665" s="328" t="str">
        <f>IFERROR(VLOOKUP(W665,DATA!$G$4:$H$400,2,FALSE),"")</f>
        <v xml:space="preserve">РЕНДЕР ХХК </v>
      </c>
      <c r="Y665" s="1205"/>
      <c r="Z665" s="1205"/>
      <c r="AA665" s="1205"/>
    </row>
    <row r="666" spans="1:27" ht="12.75" customHeight="1">
      <c r="A666" s="15">
        <v>158</v>
      </c>
      <c r="B666" s="369">
        <f t="shared" si="176"/>
        <v>661</v>
      </c>
      <c r="C666" s="427">
        <v>42943</v>
      </c>
      <c r="D666" s="426"/>
      <c r="E666" s="425" t="str">
        <f t="shared" ca="1" si="169"/>
        <v/>
      </c>
      <c r="F666" s="428" t="str">
        <f t="shared" ca="1" si="170"/>
        <v/>
      </c>
      <c r="G666" s="378"/>
      <c r="H666" s="378"/>
      <c r="I666" s="378" t="str">
        <f t="shared" si="165"/>
        <v/>
      </c>
      <c r="J666" s="378" t="str">
        <f t="shared" si="166"/>
        <v/>
      </c>
      <c r="K666" s="1220" t="str">
        <f t="shared" si="167"/>
        <v/>
      </c>
      <c r="L666" s="378"/>
      <c r="M666" s="378"/>
      <c r="N666" s="378" t="str">
        <f t="shared" si="158"/>
        <v/>
      </c>
      <c r="O666" s="378" t="str">
        <f t="shared" si="171"/>
        <v/>
      </c>
      <c r="P666" s="378" t="str">
        <f t="shared" si="172"/>
        <v/>
      </c>
      <c r="Q666" s="378" t="str">
        <f t="shared" si="173"/>
        <v/>
      </c>
      <c r="R666" s="378" t="str">
        <f t="shared" si="174"/>
        <v/>
      </c>
      <c r="S666" s="602">
        <v>320100</v>
      </c>
      <c r="T666" s="378" t="str">
        <f>+IFERROR(VLOOKUP(S666,STAT1!$C$4:$D$189,2,FALSE),"")</f>
        <v>Урьдчилж орсон орлого MNT</v>
      </c>
      <c r="U666" s="1225">
        <v>585200.00128149998</v>
      </c>
      <c r="V666" s="1216"/>
      <c r="W666" s="326">
        <v>3010</v>
      </c>
      <c r="X666" s="328" t="str">
        <f>IFERROR(VLOOKUP(W666,DATA!$G$4:$H$400,2,FALSE),"")</f>
        <v xml:space="preserve">РЕНДЕР ХХК </v>
      </c>
      <c r="Y666" s="1205"/>
      <c r="Z666" s="1205"/>
      <c r="AA666" s="1205"/>
    </row>
    <row r="667" spans="1:27" ht="12.75" customHeight="1">
      <c r="A667" s="15">
        <v>159</v>
      </c>
      <c r="B667" s="369">
        <f t="shared" si="176"/>
        <v>662</v>
      </c>
      <c r="C667" s="427">
        <v>42943</v>
      </c>
      <c r="D667" s="426">
        <v>211503</v>
      </c>
      <c r="E667" s="425" t="str">
        <f t="shared" ca="1" si="169"/>
        <v>Н-Евровагонка /зузаан-1.2см/</v>
      </c>
      <c r="F667" s="428" t="str">
        <f t="shared" ca="1" si="170"/>
        <v>м2</v>
      </c>
      <c r="G667" s="378"/>
      <c r="H667" s="378"/>
      <c r="I667" s="378" t="str">
        <f t="shared" si="165"/>
        <v/>
      </c>
      <c r="J667" s="378" t="str">
        <f t="shared" si="166"/>
        <v/>
      </c>
      <c r="K667" s="1220" t="str">
        <f t="shared" si="167"/>
        <v/>
      </c>
      <c r="L667" s="378">
        <v>7.87</v>
      </c>
      <c r="M667" s="378">
        <v>21601.016500000002</v>
      </c>
      <c r="N667" s="378">
        <f t="shared" si="158"/>
        <v>169999.999855</v>
      </c>
      <c r="O667" s="378">
        <f t="shared" si="171"/>
        <v>16999.999985500002</v>
      </c>
      <c r="P667" s="378">
        <f t="shared" si="172"/>
        <v>186999.99984050001</v>
      </c>
      <c r="Q667" s="378">
        <f t="shared" ca="1" si="173"/>
        <v>13269.527397514295</v>
      </c>
      <c r="R667" s="378">
        <f t="shared" ca="1" si="174"/>
        <v>104431.1806184375</v>
      </c>
      <c r="S667" s="602">
        <v>150101</v>
      </c>
      <c r="T667" s="378" t="str">
        <f>+IFERROR(VLOOKUP(S667,STAT1!$C$4:$D$189,2,FALSE),"")</f>
        <v>Бараа бэлэн бүтээгдэхүүн БОЛОВСРУУЛАХ ЦЕХ /нарс/</v>
      </c>
      <c r="U667" s="1225"/>
      <c r="V667" s="1216">
        <v>104431.1806184375</v>
      </c>
      <c r="W667" s="326">
        <v>3076</v>
      </c>
      <c r="X667" s="328" t="str">
        <f>IFERROR(VLOOKUP(W667,DATA!$G$4:$H$400,2,FALSE),"")</f>
        <v>ЖИ ЭЙ БИ ӨҮ ТИ ХХК</v>
      </c>
      <c r="Y667" s="1205"/>
      <c r="Z667" s="1205"/>
      <c r="AA667" s="1205"/>
    </row>
    <row r="668" spans="1:27" ht="12.75" customHeight="1">
      <c r="A668" s="15">
        <v>159</v>
      </c>
      <c r="B668" s="369">
        <f t="shared" si="176"/>
        <v>663</v>
      </c>
      <c r="C668" s="427">
        <v>42943</v>
      </c>
      <c r="D668" s="426"/>
      <c r="E668" s="425" t="str">
        <f t="shared" ca="1" si="169"/>
        <v/>
      </c>
      <c r="F668" s="428" t="str">
        <f t="shared" ca="1" si="170"/>
        <v/>
      </c>
      <c r="G668" s="378"/>
      <c r="H668" s="378"/>
      <c r="I668" s="378" t="str">
        <f t="shared" si="165"/>
        <v/>
      </c>
      <c r="J668" s="378" t="str">
        <f t="shared" si="166"/>
        <v/>
      </c>
      <c r="K668" s="1220" t="str">
        <f t="shared" si="167"/>
        <v/>
      </c>
      <c r="L668" s="378"/>
      <c r="M668" s="378"/>
      <c r="N668" s="378" t="str">
        <f t="shared" si="158"/>
        <v/>
      </c>
      <c r="O668" s="378" t="str">
        <f t="shared" si="171"/>
        <v/>
      </c>
      <c r="P668" s="378" t="str">
        <f t="shared" si="172"/>
        <v/>
      </c>
      <c r="Q668" s="378" t="str">
        <f t="shared" si="173"/>
        <v/>
      </c>
      <c r="R668" s="378" t="str">
        <f t="shared" si="174"/>
        <v/>
      </c>
      <c r="S668" s="602">
        <v>610100</v>
      </c>
      <c r="T668" s="378" t="str">
        <f>+IFERROR(VLOOKUP(S668,STAT1!$C$4:$D$189,2,FALSE),"")</f>
        <v>Борлуулсан барааны өртөг</v>
      </c>
      <c r="U668" s="1225">
        <v>104431.1806184375</v>
      </c>
      <c r="V668" s="1216"/>
      <c r="W668" s="326">
        <v>3076</v>
      </c>
      <c r="X668" s="328" t="str">
        <f>IFERROR(VLOOKUP(W668,DATA!$G$4:$H$400,2,FALSE),"")</f>
        <v>ЖИ ЭЙ БИ ӨҮ ТИ ХХК</v>
      </c>
      <c r="Y668" s="1205"/>
      <c r="Z668" s="1205"/>
      <c r="AA668" s="1205"/>
    </row>
    <row r="669" spans="1:27" ht="12.75" customHeight="1">
      <c r="A669" s="15">
        <v>159</v>
      </c>
      <c r="B669" s="369">
        <f t="shared" si="176"/>
        <v>664</v>
      </c>
      <c r="C669" s="427">
        <v>42943</v>
      </c>
      <c r="D669" s="426"/>
      <c r="E669" s="425" t="str">
        <f t="shared" ca="1" si="169"/>
        <v/>
      </c>
      <c r="F669" s="428" t="str">
        <f t="shared" ca="1" si="170"/>
        <v/>
      </c>
      <c r="G669" s="378"/>
      <c r="H669" s="378"/>
      <c r="I669" s="378" t="str">
        <f t="shared" si="165"/>
        <v/>
      </c>
      <c r="J669" s="378" t="str">
        <f t="shared" si="166"/>
        <v/>
      </c>
      <c r="K669" s="1220" t="str">
        <f t="shared" si="167"/>
        <v/>
      </c>
      <c r="L669" s="378"/>
      <c r="M669" s="378"/>
      <c r="N669" s="378" t="str">
        <f t="shared" ref="N669:N732" si="177">+IF(L669="","",L669*M669)</f>
        <v/>
      </c>
      <c r="O669" s="378" t="str">
        <f t="shared" si="171"/>
        <v/>
      </c>
      <c r="P669" s="378" t="str">
        <f t="shared" si="172"/>
        <v/>
      </c>
      <c r="Q669" s="378" t="str">
        <f t="shared" si="173"/>
        <v/>
      </c>
      <c r="R669" s="378" t="str">
        <f t="shared" si="174"/>
        <v/>
      </c>
      <c r="S669" s="602">
        <v>310500</v>
      </c>
      <c r="T669" s="378" t="str">
        <f>+IFERROR(VLOOKUP(S669,STAT1!$C$4:$D$189,2,FALSE),"")</f>
        <v>НӨАТ өглөг</v>
      </c>
      <c r="U669" s="1225"/>
      <c r="V669" s="1216">
        <v>16999.999985500002</v>
      </c>
      <c r="W669" s="326">
        <v>3076</v>
      </c>
      <c r="X669" s="328" t="str">
        <f>IFERROR(VLOOKUP(W669,DATA!$G$4:$H$400,2,FALSE),"")</f>
        <v>ЖИ ЭЙ БИ ӨҮ ТИ ХХК</v>
      </c>
      <c r="Y669" s="1205"/>
      <c r="Z669" s="1205"/>
      <c r="AA669" s="1205"/>
    </row>
    <row r="670" spans="1:27" ht="12.75" customHeight="1">
      <c r="A670" s="15">
        <v>159</v>
      </c>
      <c r="B670" s="369">
        <f t="shared" si="176"/>
        <v>665</v>
      </c>
      <c r="C670" s="427">
        <v>42943</v>
      </c>
      <c r="D670" s="426"/>
      <c r="E670" s="425" t="str">
        <f t="shared" ca="1" si="169"/>
        <v/>
      </c>
      <c r="F670" s="428" t="str">
        <f t="shared" ca="1" si="170"/>
        <v/>
      </c>
      <c r="G670" s="378"/>
      <c r="H670" s="378"/>
      <c r="I670" s="378" t="str">
        <f t="shared" si="165"/>
        <v/>
      </c>
      <c r="J670" s="378" t="str">
        <f t="shared" si="166"/>
        <v/>
      </c>
      <c r="K670" s="1220" t="str">
        <f t="shared" si="167"/>
        <v/>
      </c>
      <c r="L670" s="378"/>
      <c r="M670" s="378"/>
      <c r="N670" s="378" t="str">
        <f t="shared" si="177"/>
        <v/>
      </c>
      <c r="O670" s="378" t="str">
        <f t="shared" si="171"/>
        <v/>
      </c>
      <c r="P670" s="378" t="str">
        <f t="shared" si="172"/>
        <v/>
      </c>
      <c r="Q670" s="378" t="str">
        <f t="shared" si="173"/>
        <v/>
      </c>
      <c r="R670" s="378" t="str">
        <f t="shared" si="174"/>
        <v/>
      </c>
      <c r="S670" s="602">
        <v>510000</v>
      </c>
      <c r="T670" s="378" t="str">
        <f>+IFERROR(VLOOKUP(S670,STAT1!$C$4:$D$189,2,FALSE),"")</f>
        <v>Үндсэн үйл ажиллагааны борлуулалт</v>
      </c>
      <c r="U670" s="1225"/>
      <c r="V670" s="1216">
        <v>170000</v>
      </c>
      <c r="W670" s="326">
        <v>3076</v>
      </c>
      <c r="X670" s="328" t="str">
        <f>IFERROR(VLOOKUP(W670,DATA!$G$4:$H$400,2,FALSE),"")</f>
        <v>ЖИ ЭЙ БИ ӨҮ ТИ ХХК</v>
      </c>
      <c r="Y670" s="1205"/>
      <c r="Z670" s="1205"/>
      <c r="AA670" s="1205"/>
    </row>
    <row r="671" spans="1:27" ht="12.75" customHeight="1">
      <c r="A671" s="15">
        <v>159</v>
      </c>
      <c r="B671" s="369">
        <f t="shared" si="176"/>
        <v>666</v>
      </c>
      <c r="C671" s="427">
        <v>42943</v>
      </c>
      <c r="D671" s="426"/>
      <c r="E671" s="425" t="str">
        <f t="shared" ca="1" si="169"/>
        <v/>
      </c>
      <c r="F671" s="428" t="str">
        <f t="shared" ca="1" si="170"/>
        <v/>
      </c>
      <c r="G671" s="378"/>
      <c r="H671" s="378"/>
      <c r="I671" s="378" t="str">
        <f t="shared" si="165"/>
        <v/>
      </c>
      <c r="J671" s="378" t="str">
        <f t="shared" si="166"/>
        <v/>
      </c>
      <c r="K671" s="1220" t="str">
        <f t="shared" si="167"/>
        <v/>
      </c>
      <c r="L671" s="378"/>
      <c r="M671" s="378"/>
      <c r="N671" s="378" t="str">
        <f t="shared" si="177"/>
        <v/>
      </c>
      <c r="O671" s="378" t="str">
        <f t="shared" si="171"/>
        <v/>
      </c>
      <c r="P671" s="378" t="str">
        <f t="shared" si="172"/>
        <v/>
      </c>
      <c r="Q671" s="378" t="str">
        <f t="shared" si="173"/>
        <v/>
      </c>
      <c r="R671" s="378" t="str">
        <f t="shared" si="174"/>
        <v/>
      </c>
      <c r="S671" s="602">
        <v>320100</v>
      </c>
      <c r="T671" s="378" t="str">
        <f>+IFERROR(VLOOKUP(S671,STAT1!$C$4:$D$189,2,FALSE),"")</f>
        <v>Урьдчилж орсон орлого MNT</v>
      </c>
      <c r="U671" s="1225">
        <v>187000</v>
      </c>
      <c r="V671" s="1216"/>
      <c r="W671" s="326">
        <v>3076</v>
      </c>
      <c r="X671" s="328" t="str">
        <f>IFERROR(VLOOKUP(W671,DATA!$G$4:$H$400,2,FALSE),"")</f>
        <v>ЖИ ЭЙ БИ ӨҮ ТИ ХХК</v>
      </c>
      <c r="Y671" s="1205"/>
      <c r="Z671" s="1205"/>
      <c r="AA671" s="1205"/>
    </row>
    <row r="672" spans="1:27" ht="12.75" customHeight="1">
      <c r="A672" s="15">
        <v>160</v>
      </c>
      <c r="B672" s="369">
        <f t="shared" si="176"/>
        <v>667</v>
      </c>
      <c r="C672" s="427">
        <v>42947</v>
      </c>
      <c r="D672" s="426">
        <v>211802</v>
      </c>
      <c r="E672" s="425" t="s">
        <v>1660</v>
      </c>
      <c r="F672" s="428" t="str">
        <f t="shared" ca="1" si="170"/>
        <v>м</v>
      </c>
      <c r="G672" s="378"/>
      <c r="H672" s="378"/>
      <c r="I672" s="378" t="str">
        <f t="shared" si="165"/>
        <v/>
      </c>
      <c r="J672" s="378"/>
      <c r="K672" s="1220" t="str">
        <f t="shared" si="167"/>
        <v/>
      </c>
      <c r="L672" s="378">
        <v>21</v>
      </c>
      <c r="M672" s="378">
        <v>3000</v>
      </c>
      <c r="N672" s="378">
        <f t="shared" si="177"/>
        <v>63000</v>
      </c>
      <c r="O672" s="378">
        <f t="shared" si="171"/>
        <v>6300</v>
      </c>
      <c r="P672" s="378">
        <f t="shared" si="172"/>
        <v>69300</v>
      </c>
      <c r="Q672" s="378">
        <f t="shared" ca="1" si="173"/>
        <v>1412.1879249284552</v>
      </c>
      <c r="R672" s="378">
        <f t="shared" ca="1" si="174"/>
        <v>29655.94642349756</v>
      </c>
      <c r="S672" s="602">
        <v>150101</v>
      </c>
      <c r="T672" s="378" t="str">
        <f>+IFERROR(VLOOKUP(S672,STAT1!$C$4:$D$189,2,FALSE),"")</f>
        <v>Бараа бэлэн бүтээгдэхүүн БОЛОВСРУУЛАХ ЦЕХ /нарс/</v>
      </c>
      <c r="U672" s="1225"/>
      <c r="V672" s="1216">
        <v>53929.093861609494</v>
      </c>
      <c r="W672" s="326">
        <v>3075</v>
      </c>
      <c r="X672" s="328" t="str">
        <f>IFERROR(VLOOKUP(W672,DATA!$G$4:$H$400,2,FALSE),"")</f>
        <v>СИ АЙ ТИ ХХК</v>
      </c>
      <c r="Y672" s="1205"/>
      <c r="Z672" s="1205"/>
      <c r="AA672" s="1205"/>
    </row>
    <row r="673" spans="1:27" ht="12.75" customHeight="1">
      <c r="A673" s="15">
        <v>160</v>
      </c>
      <c r="B673" s="369">
        <f t="shared" si="176"/>
        <v>668</v>
      </c>
      <c r="C673" s="427">
        <v>42947</v>
      </c>
      <c r="D673" s="426">
        <v>211504</v>
      </c>
      <c r="E673" s="425" t="s">
        <v>1644</v>
      </c>
      <c r="F673" s="428" t="str">
        <f t="shared" ca="1" si="170"/>
        <v>м2</v>
      </c>
      <c r="G673" s="378"/>
      <c r="H673" s="378"/>
      <c r="I673" s="378" t="str">
        <f t="shared" si="165"/>
        <v/>
      </c>
      <c r="J673" s="378" t="str">
        <f t="shared" ref="J673:J736" si="178">+IF(G673="","",I673*0.1)</f>
        <v/>
      </c>
      <c r="K673" s="1220" t="str">
        <f t="shared" si="167"/>
        <v/>
      </c>
      <c r="L673" s="378">
        <v>2.1459999999999999</v>
      </c>
      <c r="M673" s="378">
        <v>18003.8956</v>
      </c>
      <c r="N673" s="378">
        <f t="shared" si="177"/>
        <v>38636.359957599998</v>
      </c>
      <c r="O673" s="378">
        <f t="shared" si="171"/>
        <v>3863.6359957599998</v>
      </c>
      <c r="P673" s="378">
        <f t="shared" si="172"/>
        <v>42499.995953359998</v>
      </c>
      <c r="Q673" s="378">
        <f t="shared" ca="1" si="173"/>
        <v>11310.879514497639</v>
      </c>
      <c r="R673" s="378">
        <f t="shared" ca="1" si="174"/>
        <v>24273.147438111933</v>
      </c>
      <c r="S673" s="602">
        <v>610100</v>
      </c>
      <c r="T673" s="378" t="str">
        <f>+IFERROR(VLOOKUP(S673,STAT1!$C$4:$D$189,2,FALSE),"")</f>
        <v>Борлуулсан барааны өртөг</v>
      </c>
      <c r="U673" s="1225">
        <v>53929.093861609494</v>
      </c>
      <c r="V673" s="1216"/>
      <c r="W673" s="326">
        <v>3075</v>
      </c>
      <c r="X673" s="328" t="str">
        <f>IFERROR(VLOOKUP(W673,DATA!$G$4:$H$400,2,FALSE),"")</f>
        <v>СИ АЙ ТИ ХХК</v>
      </c>
      <c r="Y673" s="1205"/>
      <c r="Z673" s="1205"/>
      <c r="AA673" s="1205"/>
    </row>
    <row r="674" spans="1:27" ht="12.75" customHeight="1">
      <c r="A674" s="15">
        <v>160</v>
      </c>
      <c r="B674" s="369">
        <f t="shared" si="176"/>
        <v>669</v>
      </c>
      <c r="C674" s="427">
        <v>42947</v>
      </c>
      <c r="D674" s="426"/>
      <c r="E674" s="425" t="str">
        <f t="shared" ref="E674:E693" ca="1" si="179">+IFERROR(VLOOKUP(D674,TN_table,2,FALSE),"")</f>
        <v/>
      </c>
      <c r="F674" s="428" t="str">
        <f t="shared" ca="1" si="170"/>
        <v/>
      </c>
      <c r="G674" s="378"/>
      <c r="H674" s="378"/>
      <c r="I674" s="378" t="str">
        <f t="shared" si="165"/>
        <v/>
      </c>
      <c r="J674" s="378" t="str">
        <f t="shared" si="178"/>
        <v/>
      </c>
      <c r="K674" s="1220" t="str">
        <f t="shared" si="167"/>
        <v/>
      </c>
      <c r="L674" s="378"/>
      <c r="M674" s="378"/>
      <c r="N674" s="378" t="str">
        <f t="shared" si="177"/>
        <v/>
      </c>
      <c r="O674" s="378" t="str">
        <f t="shared" si="171"/>
        <v/>
      </c>
      <c r="P674" s="378" t="str">
        <f t="shared" si="172"/>
        <v/>
      </c>
      <c r="Q674" s="378" t="str">
        <f t="shared" si="173"/>
        <v/>
      </c>
      <c r="R674" s="378" t="str">
        <f t="shared" si="174"/>
        <v/>
      </c>
      <c r="S674" s="602">
        <v>310500</v>
      </c>
      <c r="T674" s="378" t="str">
        <f>+IFERROR(VLOOKUP(S674,STAT1!$C$4:$D$189,2,FALSE),"")</f>
        <v>НӨАТ өглөг</v>
      </c>
      <c r="U674" s="1225"/>
      <c r="V674" s="1216">
        <v>10163.63599576</v>
      </c>
      <c r="W674" s="326">
        <v>3075</v>
      </c>
      <c r="X674" s="328" t="str">
        <f>IFERROR(VLOOKUP(W674,DATA!$G$4:$H$400,2,FALSE),"")</f>
        <v>СИ АЙ ТИ ХХК</v>
      </c>
      <c r="Y674" s="1205"/>
      <c r="Z674" s="1205"/>
      <c r="AA674" s="1205"/>
    </row>
    <row r="675" spans="1:27" ht="12.75" customHeight="1">
      <c r="A675" s="15">
        <v>160</v>
      </c>
      <c r="B675" s="369">
        <f t="shared" si="176"/>
        <v>670</v>
      </c>
      <c r="C675" s="427">
        <v>42947</v>
      </c>
      <c r="D675" s="426"/>
      <c r="E675" s="425" t="str">
        <f t="shared" ca="1" si="179"/>
        <v/>
      </c>
      <c r="F675" s="428" t="str">
        <f t="shared" ca="1" si="170"/>
        <v/>
      </c>
      <c r="G675" s="378"/>
      <c r="H675" s="378"/>
      <c r="I675" s="378" t="str">
        <f t="shared" si="165"/>
        <v/>
      </c>
      <c r="J675" s="378" t="str">
        <f t="shared" si="178"/>
        <v/>
      </c>
      <c r="K675" s="1220" t="str">
        <f t="shared" si="167"/>
        <v/>
      </c>
      <c r="L675" s="378"/>
      <c r="M675" s="378"/>
      <c r="N675" s="378" t="str">
        <f t="shared" si="177"/>
        <v/>
      </c>
      <c r="O675" s="378" t="str">
        <f t="shared" si="171"/>
        <v/>
      </c>
      <c r="P675" s="378" t="str">
        <f t="shared" si="172"/>
        <v/>
      </c>
      <c r="Q675" s="378" t="str">
        <f t="shared" si="173"/>
        <v/>
      </c>
      <c r="R675" s="378" t="str">
        <f t="shared" si="174"/>
        <v/>
      </c>
      <c r="S675" s="602">
        <v>510000</v>
      </c>
      <c r="T675" s="378" t="str">
        <f>+IFERROR(VLOOKUP(S675,STAT1!$C$4:$D$189,2,FALSE),"")</f>
        <v>Үндсэн үйл ажиллагааны борлуулалт</v>
      </c>
      <c r="U675" s="1225"/>
      <c r="V675" s="1216">
        <v>101636.3599576</v>
      </c>
      <c r="W675" s="326">
        <v>3075</v>
      </c>
      <c r="X675" s="328" t="str">
        <f>IFERROR(VLOOKUP(W675,DATA!$G$4:$H$400,2,FALSE),"")</f>
        <v>СИ АЙ ТИ ХХК</v>
      </c>
      <c r="Y675" s="1205"/>
      <c r="Z675" s="1205"/>
      <c r="AA675" s="1205"/>
    </row>
    <row r="676" spans="1:27" ht="12.75" customHeight="1">
      <c r="A676" s="15">
        <v>160</v>
      </c>
      <c r="B676" s="369">
        <f t="shared" si="176"/>
        <v>671</v>
      </c>
      <c r="C676" s="427">
        <v>42947</v>
      </c>
      <c r="D676" s="426"/>
      <c r="E676" s="425" t="str">
        <f t="shared" ca="1" si="179"/>
        <v/>
      </c>
      <c r="F676" s="428" t="str">
        <f t="shared" ca="1" si="170"/>
        <v/>
      </c>
      <c r="G676" s="378"/>
      <c r="H676" s="378"/>
      <c r="I676" s="378" t="str">
        <f t="shared" si="165"/>
        <v/>
      </c>
      <c r="J676" s="378" t="str">
        <f t="shared" si="178"/>
        <v/>
      </c>
      <c r="K676" s="1220" t="str">
        <f t="shared" si="167"/>
        <v/>
      </c>
      <c r="L676" s="378"/>
      <c r="M676" s="378"/>
      <c r="N676" s="378" t="str">
        <f t="shared" si="177"/>
        <v/>
      </c>
      <c r="O676" s="378" t="str">
        <f t="shared" si="171"/>
        <v/>
      </c>
      <c r="P676" s="378" t="str">
        <f t="shared" si="172"/>
        <v/>
      </c>
      <c r="Q676" s="378" t="str">
        <f t="shared" si="173"/>
        <v/>
      </c>
      <c r="R676" s="378" t="str">
        <f t="shared" si="174"/>
        <v/>
      </c>
      <c r="S676" s="602">
        <v>320100</v>
      </c>
      <c r="T676" s="378" t="str">
        <f>+IFERROR(VLOOKUP(S676,STAT1!$C$4:$D$189,2,FALSE),"")</f>
        <v>Урьдчилж орсон орлого MNT</v>
      </c>
      <c r="U676" s="1225">
        <v>111799.99595335999</v>
      </c>
      <c r="V676" s="1216"/>
      <c r="W676" s="326">
        <v>3075</v>
      </c>
      <c r="X676" s="328" t="str">
        <f>IFERROR(VLOOKUP(W676,DATA!$G$4:$H$400,2,FALSE),"")</f>
        <v>СИ АЙ ТИ ХХК</v>
      </c>
      <c r="Y676" s="1205"/>
      <c r="Z676" s="1205"/>
      <c r="AA676" s="1205"/>
    </row>
    <row r="677" spans="1:27" ht="12.75" customHeight="1">
      <c r="A677" s="15">
        <v>161</v>
      </c>
      <c r="B677" s="369">
        <f t="shared" ref="B677:B740" si="180">IF(C677="","",ROW()-5)</f>
        <v>672</v>
      </c>
      <c r="C677" s="427">
        <v>42948</v>
      </c>
      <c r="D677" s="426">
        <v>430028</v>
      </c>
      <c r="E677" s="425" t="str">
        <f t="shared" ca="1" si="179"/>
        <v>Дрель</v>
      </c>
      <c r="F677" s="428" t="str">
        <f t="shared" ca="1" si="170"/>
        <v>ш</v>
      </c>
      <c r="G677" s="378"/>
      <c r="H677" s="378"/>
      <c r="I677" s="378" t="str">
        <f t="shared" si="165"/>
        <v/>
      </c>
      <c r="J677" s="378" t="str">
        <f t="shared" si="178"/>
        <v/>
      </c>
      <c r="K677" s="1220" t="str">
        <f t="shared" si="167"/>
        <v/>
      </c>
      <c r="L677" s="378">
        <v>1</v>
      </c>
      <c r="M677" s="378"/>
      <c r="N677" s="378">
        <f t="shared" si="177"/>
        <v>0</v>
      </c>
      <c r="O677" s="378">
        <f t="shared" si="171"/>
        <v>0</v>
      </c>
      <c r="P677" s="378">
        <f t="shared" si="172"/>
        <v>0</v>
      </c>
      <c r="Q677" s="378">
        <f t="shared" ca="1" si="173"/>
        <v>74500</v>
      </c>
      <c r="R677" s="378">
        <f t="shared" ca="1" si="174"/>
        <v>74500</v>
      </c>
      <c r="S677" s="602">
        <v>610101</v>
      </c>
      <c r="T677" s="378" t="str">
        <f>+IFERROR(VLOOKUP(S677,STAT1!$C$4:$D$189,2,FALSE),"")</f>
        <v>Борлуулсан барааны өртөг - Бусад</v>
      </c>
      <c r="U677" s="1225">
        <v>31666067.885124702</v>
      </c>
      <c r="V677" s="1216"/>
      <c r="W677" s="326">
        <v>3001</v>
      </c>
      <c r="X677" s="328" t="str">
        <f>IFERROR(VLOOKUP(W677,DATA!$G$4:$H$400,2,FALSE),"")</f>
        <v>ХУРД ГРУПП ХХК</v>
      </c>
      <c r="Y677" s="1205"/>
      <c r="Z677" s="1205"/>
      <c r="AA677" s="1205"/>
    </row>
    <row r="678" spans="1:27" ht="12.75" customHeight="1">
      <c r="A678" s="15">
        <v>161</v>
      </c>
      <c r="B678" s="369">
        <f t="shared" si="180"/>
        <v>673</v>
      </c>
      <c r="C678" s="427">
        <v>42948</v>
      </c>
      <c r="D678" s="426">
        <v>410001</v>
      </c>
      <c r="E678" s="425" t="str">
        <f t="shared" ca="1" si="179"/>
        <v xml:space="preserve">Квадрат төмөр </v>
      </c>
      <c r="F678" s="428" t="str">
        <f t="shared" ca="1" si="170"/>
        <v>м</v>
      </c>
      <c r="G678" s="378"/>
      <c r="H678" s="378"/>
      <c r="I678" s="378" t="str">
        <f t="shared" si="165"/>
        <v/>
      </c>
      <c r="J678" s="378" t="str">
        <f t="shared" si="178"/>
        <v/>
      </c>
      <c r="K678" s="1220" t="str">
        <f t="shared" si="167"/>
        <v/>
      </c>
      <c r="L678" s="378">
        <v>110</v>
      </c>
      <c r="M678" s="378"/>
      <c r="N678" s="378">
        <f t="shared" si="177"/>
        <v>0</v>
      </c>
      <c r="O678" s="378">
        <f t="shared" si="171"/>
        <v>0</v>
      </c>
      <c r="P678" s="378">
        <f t="shared" si="172"/>
        <v>0</v>
      </c>
      <c r="Q678" s="378">
        <f t="shared" ca="1" si="173"/>
        <v>95867.768595041314</v>
      </c>
      <c r="R678" s="378">
        <f t="shared" ca="1" si="174"/>
        <v>10545454.545454545</v>
      </c>
      <c r="S678" s="602">
        <v>150101</v>
      </c>
      <c r="T678" s="378" t="str">
        <f>+IFERROR(VLOOKUP(S678,STAT1!$C$4:$D$189,2,FALSE),"")</f>
        <v>Бараа бэлэн бүтээгдэхүүн БОЛОВСРУУЛАХ ЦЕХ /нарс/</v>
      </c>
      <c r="U678" s="1216"/>
      <c r="V678" s="1216">
        <v>18156738.839549661</v>
      </c>
      <c r="W678" s="326">
        <v>3001</v>
      </c>
      <c r="X678" s="328" t="str">
        <f>IFERROR(VLOOKUP(W678,DATA!$G$4:$H$400,2,FALSE),"")</f>
        <v>ХУРД ГРУПП ХХК</v>
      </c>
      <c r="Y678" s="1205"/>
      <c r="Z678" s="1205"/>
      <c r="AA678" s="1205"/>
    </row>
    <row r="679" spans="1:27" ht="12.75" customHeight="1">
      <c r="A679" s="15">
        <v>161</v>
      </c>
      <c r="B679" s="369">
        <f t="shared" si="180"/>
        <v>674</v>
      </c>
      <c r="C679" s="427">
        <v>42948</v>
      </c>
      <c r="D679" s="426">
        <v>410366</v>
      </c>
      <c r="E679" s="425" t="str">
        <f t="shared" ca="1" si="179"/>
        <v xml:space="preserve">Модны замаска </v>
      </c>
      <c r="F679" s="428" t="str">
        <f t="shared" ca="1" si="170"/>
        <v>ш</v>
      </c>
      <c r="G679" s="378"/>
      <c r="H679" s="378"/>
      <c r="I679" s="378" t="str">
        <f t="shared" si="165"/>
        <v/>
      </c>
      <c r="J679" s="378" t="str">
        <f t="shared" si="178"/>
        <v/>
      </c>
      <c r="K679" s="1220" t="str">
        <f t="shared" si="167"/>
        <v/>
      </c>
      <c r="L679" s="378">
        <v>9</v>
      </c>
      <c r="M679" s="378"/>
      <c r="N679" s="378">
        <f t="shared" si="177"/>
        <v>0</v>
      </c>
      <c r="O679" s="378">
        <f t="shared" si="171"/>
        <v>0</v>
      </c>
      <c r="P679" s="378">
        <f t="shared" si="172"/>
        <v>0</v>
      </c>
      <c r="Q679" s="378">
        <f t="shared" ca="1" si="173"/>
        <v>2990.909090909091</v>
      </c>
      <c r="R679" s="378">
        <f t="shared" ca="1" si="174"/>
        <v>26918.18181818182</v>
      </c>
      <c r="S679" s="602">
        <v>160100</v>
      </c>
      <c r="T679" s="378" t="str">
        <f>+IFERROR(VLOOKUP(S679,STAT1!$C$4:$D$189,2,FALSE),"")</f>
        <v xml:space="preserve">Барилгын материал </v>
      </c>
      <c r="U679" s="1225"/>
      <c r="V679" s="1216">
        <v>13095662.375575041</v>
      </c>
      <c r="W679" s="326">
        <v>3001</v>
      </c>
      <c r="X679" s="328" t="str">
        <f>IFERROR(VLOOKUP(W679,DATA!$G$4:$H$400,2,FALSE),"")</f>
        <v>ХУРД ГРУПП ХХК</v>
      </c>
      <c r="Y679" s="1205"/>
      <c r="Z679" s="1205"/>
      <c r="AA679" s="1205"/>
    </row>
    <row r="680" spans="1:27" ht="12.75" customHeight="1">
      <c r="A680" s="15">
        <v>161</v>
      </c>
      <c r="B680" s="369">
        <f t="shared" si="180"/>
        <v>675</v>
      </c>
      <c r="C680" s="427">
        <v>42948</v>
      </c>
      <c r="D680" s="426">
        <v>210003</v>
      </c>
      <c r="E680" s="425" t="str">
        <f t="shared" ca="1" si="179"/>
        <v>Н-Наамал дүнз</v>
      </c>
      <c r="F680" s="428" t="str">
        <f t="shared" ca="1" si="170"/>
        <v>м2</v>
      </c>
      <c r="G680" s="378"/>
      <c r="H680" s="378"/>
      <c r="I680" s="378" t="str">
        <f t="shared" si="165"/>
        <v/>
      </c>
      <c r="J680" s="378" t="str">
        <f t="shared" si="178"/>
        <v/>
      </c>
      <c r="K680" s="1220" t="str">
        <f t="shared" si="167"/>
        <v/>
      </c>
      <c r="L680" s="378">
        <v>95</v>
      </c>
      <c r="M680" s="378"/>
      <c r="N680" s="378">
        <f t="shared" si="177"/>
        <v>0</v>
      </c>
      <c r="O680" s="378">
        <f t="shared" si="171"/>
        <v>0</v>
      </c>
      <c r="P680" s="378">
        <f t="shared" si="172"/>
        <v>0</v>
      </c>
      <c r="Q680" s="378">
        <f t="shared" ca="1" si="173"/>
        <v>191123.5667321017</v>
      </c>
      <c r="R680" s="378">
        <f t="shared" ca="1" si="174"/>
        <v>18156738.839549661</v>
      </c>
      <c r="S680" s="602">
        <v>160200</v>
      </c>
      <c r="T680" s="378" t="str">
        <f>+IFERROR(VLOOKUP(S680,STAT1!$C$4:$D$189,2,FALSE),"")</f>
        <v>Агуулахад байгаа материал, хангамж</v>
      </c>
      <c r="U680" s="1225"/>
      <c r="V680" s="1216">
        <v>413666.67</v>
      </c>
      <c r="W680" s="326">
        <v>3001</v>
      </c>
      <c r="X680" s="328" t="str">
        <f>IFERROR(VLOOKUP(W680,DATA!$G$4:$H$400,2,FALSE),"")</f>
        <v>ХУРД ГРУПП ХХК</v>
      </c>
      <c r="Y680" s="1205"/>
      <c r="Z680" s="1205"/>
      <c r="AA680" s="1205"/>
    </row>
    <row r="681" spans="1:27" ht="12.75" customHeight="1">
      <c r="A681" s="15">
        <v>161</v>
      </c>
      <c r="B681" s="369">
        <f t="shared" si="180"/>
        <v>676</v>
      </c>
      <c r="C681" s="427">
        <v>42948</v>
      </c>
      <c r="D681" s="426">
        <v>410370</v>
      </c>
      <c r="E681" s="425" t="str">
        <f t="shared" ca="1" si="179"/>
        <v xml:space="preserve">Хатаасан шил </v>
      </c>
      <c r="F681" s="428" t="str">
        <f t="shared" ca="1" si="170"/>
        <v>ш</v>
      </c>
      <c r="G681" s="378"/>
      <c r="H681" s="378"/>
      <c r="I681" s="378" t="str">
        <f t="shared" si="165"/>
        <v/>
      </c>
      <c r="J681" s="378" t="str">
        <f t="shared" si="178"/>
        <v/>
      </c>
      <c r="K681" s="1220" t="str">
        <f t="shared" si="167"/>
        <v/>
      </c>
      <c r="L681" s="378">
        <v>5</v>
      </c>
      <c r="M681" s="378"/>
      <c r="N681" s="378">
        <f t="shared" si="177"/>
        <v>0</v>
      </c>
      <c r="O681" s="378">
        <f t="shared" si="171"/>
        <v>0</v>
      </c>
      <c r="P681" s="378">
        <f t="shared" si="172"/>
        <v>0</v>
      </c>
      <c r="Q681" s="378">
        <f t="shared" ca="1" si="173"/>
        <v>37454.545400000003</v>
      </c>
      <c r="R681" s="378">
        <f t="shared" ca="1" si="174"/>
        <v>187272.72700000001</v>
      </c>
      <c r="S681" s="602"/>
      <c r="T681" s="378" t="str">
        <f>+IFERROR(VLOOKUP(S681,STAT1!$C$4:$D$189,2,FALSE),"")</f>
        <v/>
      </c>
      <c r="U681" s="1225"/>
      <c r="V681" s="1216"/>
      <c r="W681" s="326">
        <v>3001</v>
      </c>
      <c r="X681" s="328" t="str">
        <f>IFERROR(VLOOKUP(W681,DATA!$G$4:$H$400,2,FALSE),"")</f>
        <v>ХУРД ГРУПП ХХК</v>
      </c>
      <c r="Y681" s="1205"/>
      <c r="Z681" s="1205"/>
      <c r="AA681" s="1205"/>
    </row>
    <row r="682" spans="1:27" ht="12.75" customHeight="1">
      <c r="A682" s="15">
        <v>161</v>
      </c>
      <c r="B682" s="369">
        <f t="shared" si="180"/>
        <v>677</v>
      </c>
      <c r="C682" s="427">
        <v>42948</v>
      </c>
      <c r="D682" s="426">
        <v>410371</v>
      </c>
      <c r="E682" s="425" t="str">
        <f t="shared" ca="1" si="179"/>
        <v xml:space="preserve">Боолт </v>
      </c>
      <c r="F682" s="428" t="str">
        <f t="shared" ca="1" si="170"/>
        <v>ш</v>
      </c>
      <c r="G682" s="378"/>
      <c r="H682" s="378"/>
      <c r="I682" s="378" t="str">
        <f t="shared" si="165"/>
        <v/>
      </c>
      <c r="J682" s="378" t="str">
        <f t="shared" si="178"/>
        <v/>
      </c>
      <c r="K682" s="1220" t="str">
        <f t="shared" si="167"/>
        <v/>
      </c>
      <c r="L682" s="378">
        <v>2500</v>
      </c>
      <c r="M682" s="378"/>
      <c r="N682" s="378">
        <f t="shared" si="177"/>
        <v>0</v>
      </c>
      <c r="O682" s="378">
        <f t="shared" si="171"/>
        <v>0</v>
      </c>
      <c r="P682" s="378">
        <f t="shared" si="172"/>
        <v>0</v>
      </c>
      <c r="Q682" s="378">
        <f t="shared" ca="1" si="173"/>
        <v>127.272727</v>
      </c>
      <c r="R682" s="378">
        <f t="shared" ca="1" si="174"/>
        <v>318181.8175</v>
      </c>
      <c r="S682" s="602"/>
      <c r="T682" s="378" t="str">
        <f>+IFERROR(VLOOKUP(S682,STAT1!$C$4:$D$189,2,FALSE),"")</f>
        <v/>
      </c>
      <c r="U682" s="1225"/>
      <c r="V682" s="1216"/>
      <c r="W682" s="326">
        <v>3001</v>
      </c>
      <c r="X682" s="328" t="str">
        <f>IFERROR(VLOOKUP(W682,DATA!$G$4:$H$400,2,FALSE),"")</f>
        <v>ХУРД ГРУПП ХХК</v>
      </c>
      <c r="Y682" s="1205"/>
      <c r="Z682" s="1205"/>
      <c r="AA682" s="1205"/>
    </row>
    <row r="683" spans="1:27" ht="12.75" customHeight="1">
      <c r="A683" s="15">
        <v>161</v>
      </c>
      <c r="B683" s="369">
        <f t="shared" si="180"/>
        <v>678</v>
      </c>
      <c r="C683" s="427">
        <v>42948</v>
      </c>
      <c r="D683" s="426">
        <v>410085</v>
      </c>
      <c r="E683" s="425" t="str">
        <f t="shared" ca="1" si="179"/>
        <v xml:space="preserve">НЦ-лак </v>
      </c>
      <c r="F683" s="428" t="str">
        <f t="shared" ca="1" si="170"/>
        <v>кг</v>
      </c>
      <c r="G683" s="378"/>
      <c r="H683" s="378"/>
      <c r="I683" s="378" t="str">
        <f t="shared" si="165"/>
        <v/>
      </c>
      <c r="J683" s="378" t="str">
        <f t="shared" si="178"/>
        <v/>
      </c>
      <c r="K683" s="1220" t="str">
        <f t="shared" si="167"/>
        <v/>
      </c>
      <c r="L683" s="378">
        <v>240</v>
      </c>
      <c r="M683" s="378"/>
      <c r="N683" s="378">
        <f t="shared" si="177"/>
        <v>0</v>
      </c>
      <c r="O683" s="378">
        <f t="shared" si="171"/>
        <v>0</v>
      </c>
      <c r="P683" s="378">
        <f t="shared" si="172"/>
        <v>0</v>
      </c>
      <c r="Q683" s="378">
        <f t="shared" ca="1" si="173"/>
        <v>7438.0756074908086</v>
      </c>
      <c r="R683" s="378">
        <f t="shared" ca="1" si="174"/>
        <v>1785138.145797794</v>
      </c>
      <c r="S683" s="602"/>
      <c r="T683" s="378" t="str">
        <f>+IFERROR(VLOOKUP(S683,STAT1!$C$4:$D$189,2,FALSE),"")</f>
        <v/>
      </c>
      <c r="U683" s="1225"/>
      <c r="V683" s="1216"/>
      <c r="W683" s="326">
        <v>3001</v>
      </c>
      <c r="X683" s="328" t="str">
        <f>IFERROR(VLOOKUP(W683,DATA!$G$4:$H$400,2,FALSE),"")</f>
        <v>ХУРД ГРУПП ХХК</v>
      </c>
      <c r="Y683" s="1205"/>
      <c r="Z683" s="1205"/>
      <c r="AA683" s="1205"/>
    </row>
    <row r="684" spans="1:27" ht="12.75" customHeight="1">
      <c r="A684" s="15">
        <v>161</v>
      </c>
      <c r="B684" s="369">
        <f t="shared" si="180"/>
        <v>679</v>
      </c>
      <c r="C684" s="427">
        <v>42948</v>
      </c>
      <c r="D684" s="426">
        <v>430023</v>
      </c>
      <c r="E684" s="425" t="str">
        <f t="shared" ca="1" si="179"/>
        <v xml:space="preserve">Градустай хөрөө </v>
      </c>
      <c r="F684" s="428" t="str">
        <f t="shared" ca="1" si="170"/>
        <v>ш</v>
      </c>
      <c r="G684" s="378"/>
      <c r="H684" s="378"/>
      <c r="I684" s="378" t="str">
        <f t="shared" si="165"/>
        <v/>
      </c>
      <c r="J684" s="378" t="str">
        <f t="shared" si="178"/>
        <v/>
      </c>
      <c r="K684" s="1220" t="str">
        <f t="shared" si="167"/>
        <v/>
      </c>
      <c r="L684" s="378">
        <v>1</v>
      </c>
      <c r="M684" s="378"/>
      <c r="N684" s="378">
        <f t="shared" si="177"/>
        <v>0</v>
      </c>
      <c r="O684" s="378">
        <f t="shared" si="171"/>
        <v>0</v>
      </c>
      <c r="P684" s="378">
        <f t="shared" si="172"/>
        <v>0</v>
      </c>
      <c r="Q684" s="378">
        <f t="shared" ca="1" si="173"/>
        <v>339166.67</v>
      </c>
      <c r="R684" s="378">
        <f t="shared" ca="1" si="174"/>
        <v>339166.67</v>
      </c>
      <c r="S684" s="602"/>
      <c r="T684" s="378" t="str">
        <f>+IFERROR(VLOOKUP(S684,STAT1!$C$4:$D$189,2,FALSE),"")</f>
        <v/>
      </c>
      <c r="U684" s="1225"/>
      <c r="V684" s="1216"/>
      <c r="W684" s="326">
        <v>3001</v>
      </c>
      <c r="X684" s="328" t="str">
        <f>IFERROR(VLOOKUP(W684,DATA!$G$4:$H$400,2,FALSE),"")</f>
        <v>ХУРД ГРУПП ХХК</v>
      </c>
      <c r="Y684" s="1205"/>
      <c r="Z684" s="1205"/>
      <c r="AA684" s="1205"/>
    </row>
    <row r="685" spans="1:27" ht="12.75" customHeight="1">
      <c r="A685" s="15">
        <v>161</v>
      </c>
      <c r="B685" s="369">
        <f t="shared" si="180"/>
        <v>680</v>
      </c>
      <c r="C685" s="427">
        <v>42948</v>
      </c>
      <c r="D685" s="426">
        <v>410054</v>
      </c>
      <c r="E685" s="425" t="str">
        <f t="shared" ca="1" si="179"/>
        <v xml:space="preserve">Будаг шингэлэгч </v>
      </c>
      <c r="F685" s="428" t="str">
        <f t="shared" ca="1" si="170"/>
        <v>ш</v>
      </c>
      <c r="G685" s="378"/>
      <c r="H685" s="378"/>
      <c r="I685" s="378" t="str">
        <f t="shared" si="165"/>
        <v/>
      </c>
      <c r="J685" s="378" t="str">
        <f t="shared" si="178"/>
        <v/>
      </c>
      <c r="K685" s="1220" t="str">
        <f t="shared" si="167"/>
        <v/>
      </c>
      <c r="L685" s="378">
        <v>120</v>
      </c>
      <c r="M685" s="378"/>
      <c r="N685" s="378">
        <f t="shared" si="177"/>
        <v>0</v>
      </c>
      <c r="O685" s="378">
        <f t="shared" si="171"/>
        <v>0</v>
      </c>
      <c r="P685" s="378">
        <f t="shared" si="172"/>
        <v>0</v>
      </c>
      <c r="Q685" s="378">
        <f t="shared" ca="1" si="173"/>
        <v>1939.1413167043283</v>
      </c>
      <c r="R685" s="378">
        <f t="shared" ca="1" si="174"/>
        <v>232696.9580045194</v>
      </c>
      <c r="S685" s="602"/>
      <c r="T685" s="378" t="str">
        <f>+IFERROR(VLOOKUP(S685,STAT1!$C$4:$D$189,2,FALSE),"")</f>
        <v/>
      </c>
      <c r="U685" s="1225"/>
      <c r="V685" s="1216"/>
      <c r="W685" s="326">
        <v>3001</v>
      </c>
      <c r="X685" s="328" t="str">
        <f>IFERROR(VLOOKUP(W685,DATA!$G$4:$H$400,2,FALSE),"")</f>
        <v>ХУРД ГРУПП ХХК</v>
      </c>
      <c r="Y685" s="1205"/>
      <c r="Z685" s="1205"/>
      <c r="AA685" s="1205"/>
    </row>
    <row r="686" spans="1:27" ht="12.75" customHeight="1">
      <c r="A686" s="15">
        <v>162</v>
      </c>
      <c r="B686" s="369">
        <f t="shared" si="180"/>
        <v>681</v>
      </c>
      <c r="C686" s="427">
        <v>42948</v>
      </c>
      <c r="D686" s="426">
        <v>211713</v>
      </c>
      <c r="E686" s="425" t="str">
        <f t="shared" ca="1" si="179"/>
        <v>Н-Хавтан /зузаан-2см/</v>
      </c>
      <c r="F686" s="428" t="str">
        <f t="shared" ca="1" si="170"/>
        <v>м2</v>
      </c>
      <c r="G686" s="378"/>
      <c r="H686" s="378"/>
      <c r="I686" s="378" t="str">
        <f t="shared" si="165"/>
        <v/>
      </c>
      <c r="J686" s="378" t="str">
        <f t="shared" si="178"/>
        <v/>
      </c>
      <c r="K686" s="1220" t="str">
        <f t="shared" si="167"/>
        <v/>
      </c>
      <c r="L686" s="378">
        <v>20.74</v>
      </c>
      <c r="M686" s="378">
        <v>30000</v>
      </c>
      <c r="N686" s="378">
        <f t="shared" si="177"/>
        <v>622200</v>
      </c>
      <c r="O686" s="378">
        <f t="shared" si="171"/>
        <v>62220</v>
      </c>
      <c r="P686" s="378">
        <f t="shared" si="172"/>
        <v>684420</v>
      </c>
      <c r="Q686" s="378">
        <f t="shared" ca="1" si="173"/>
        <v>20836.299698816016</v>
      </c>
      <c r="R686" s="378">
        <f t="shared" ca="1" si="174"/>
        <v>432144.85575344414</v>
      </c>
      <c r="S686" s="602">
        <v>150101</v>
      </c>
      <c r="T686" s="378" t="str">
        <f>+IFERROR(VLOOKUP(S686,STAT1!$C$4:$D$189,2,FALSE),"")</f>
        <v>Бараа бэлэн бүтээгдэхүүн БОЛОВСРУУЛАХ ЦЕХ /нарс/</v>
      </c>
      <c r="U686" s="1225"/>
      <c r="V686" s="1216">
        <v>432144.85</v>
      </c>
      <c r="W686" s="326">
        <v>3068</v>
      </c>
      <c r="X686" s="328" t="str">
        <f>IFERROR(VLOOKUP(W686,DATA!$G$4:$H$400,2,FALSE),"")</f>
        <v>ҮЛЭМЖИТ ХХК</v>
      </c>
      <c r="Y686" s="1205"/>
      <c r="Z686" s="1205"/>
      <c r="AA686" s="1205"/>
    </row>
    <row r="687" spans="1:27" ht="12.75" customHeight="1">
      <c r="A687" s="15">
        <v>162</v>
      </c>
      <c r="B687" s="369">
        <f t="shared" si="180"/>
        <v>682</v>
      </c>
      <c r="C687" s="427">
        <v>42948</v>
      </c>
      <c r="D687" s="426"/>
      <c r="E687" s="425" t="str">
        <f t="shared" ca="1" si="179"/>
        <v/>
      </c>
      <c r="F687" s="428" t="str">
        <f t="shared" ca="1" si="170"/>
        <v/>
      </c>
      <c r="G687" s="378"/>
      <c r="H687" s="378"/>
      <c r="I687" s="378" t="str">
        <f t="shared" si="165"/>
        <v/>
      </c>
      <c r="J687" s="378" t="str">
        <f t="shared" si="178"/>
        <v/>
      </c>
      <c r="K687" s="1220" t="str">
        <f t="shared" si="167"/>
        <v/>
      </c>
      <c r="L687" s="378"/>
      <c r="M687" s="378"/>
      <c r="N687" s="378" t="str">
        <f t="shared" si="177"/>
        <v/>
      </c>
      <c r="O687" s="378" t="str">
        <f t="shared" si="171"/>
        <v/>
      </c>
      <c r="P687" s="378" t="str">
        <f t="shared" si="172"/>
        <v/>
      </c>
      <c r="Q687" s="378" t="str">
        <f t="shared" si="173"/>
        <v/>
      </c>
      <c r="R687" s="378" t="str">
        <f t="shared" si="174"/>
        <v/>
      </c>
      <c r="S687" s="602">
        <v>610100</v>
      </c>
      <c r="T687" s="378" t="str">
        <f>+IFERROR(VLOOKUP(S687,STAT1!$C$4:$D$189,2,FALSE),"")</f>
        <v>Борлуулсан барааны өртөг</v>
      </c>
      <c r="U687" s="1216">
        <v>432144.85</v>
      </c>
      <c r="V687" s="1216"/>
      <c r="W687" s="326">
        <v>3068</v>
      </c>
      <c r="X687" s="328" t="str">
        <f>IFERROR(VLOOKUP(W687,DATA!$G$4:$H$400,2,FALSE),"")</f>
        <v>ҮЛЭМЖИТ ХХК</v>
      </c>
      <c r="Y687" s="1205"/>
      <c r="Z687" s="1205"/>
      <c r="AA687" s="1205"/>
    </row>
    <row r="688" spans="1:27" ht="12.75" customHeight="1">
      <c r="A688" s="15">
        <v>162</v>
      </c>
      <c r="B688" s="369">
        <f t="shared" si="180"/>
        <v>683</v>
      </c>
      <c r="C688" s="427">
        <v>42948</v>
      </c>
      <c r="D688" s="426"/>
      <c r="E688" s="425" t="str">
        <f t="shared" ca="1" si="179"/>
        <v/>
      </c>
      <c r="F688" s="428" t="str">
        <f t="shared" ca="1" si="170"/>
        <v/>
      </c>
      <c r="G688" s="378"/>
      <c r="H688" s="378"/>
      <c r="I688" s="378" t="str">
        <f t="shared" si="165"/>
        <v/>
      </c>
      <c r="J688" s="378" t="str">
        <f t="shared" si="178"/>
        <v/>
      </c>
      <c r="K688" s="1220" t="str">
        <f t="shared" si="167"/>
        <v/>
      </c>
      <c r="L688" s="378"/>
      <c r="M688" s="378"/>
      <c r="N688" s="378" t="str">
        <f t="shared" si="177"/>
        <v/>
      </c>
      <c r="O688" s="378" t="str">
        <f t="shared" si="171"/>
        <v/>
      </c>
      <c r="P688" s="378" t="str">
        <f t="shared" si="172"/>
        <v/>
      </c>
      <c r="Q688" s="378" t="str">
        <f t="shared" si="173"/>
        <v/>
      </c>
      <c r="R688" s="378" t="str">
        <f t="shared" si="174"/>
        <v/>
      </c>
      <c r="S688" s="602">
        <v>310500</v>
      </c>
      <c r="T688" s="378" t="str">
        <f>+IFERROR(VLOOKUP(S688,STAT1!$C$4:$D$189,2,FALSE),"")</f>
        <v>НӨАТ өглөг</v>
      </c>
      <c r="U688" s="1225"/>
      <c r="V688" s="1216">
        <v>62220</v>
      </c>
      <c r="W688" s="326">
        <v>3068</v>
      </c>
      <c r="X688" s="328" t="str">
        <f>IFERROR(VLOOKUP(W688,DATA!$G$4:$H$400,2,FALSE),"")</f>
        <v>ҮЛЭМЖИТ ХХК</v>
      </c>
      <c r="Y688" s="1205"/>
      <c r="Z688" s="1205"/>
      <c r="AA688" s="1205"/>
    </row>
    <row r="689" spans="1:27" ht="12.75" customHeight="1">
      <c r="A689" s="15">
        <v>162</v>
      </c>
      <c r="B689" s="369">
        <f t="shared" si="180"/>
        <v>684</v>
      </c>
      <c r="C689" s="427">
        <v>42948</v>
      </c>
      <c r="D689" s="426"/>
      <c r="E689" s="425" t="str">
        <f t="shared" ca="1" si="179"/>
        <v/>
      </c>
      <c r="F689" s="428" t="str">
        <f t="shared" ca="1" si="170"/>
        <v/>
      </c>
      <c r="G689" s="378"/>
      <c r="H689" s="378"/>
      <c r="I689" s="378" t="str">
        <f t="shared" si="165"/>
        <v/>
      </c>
      <c r="J689" s="378" t="str">
        <f t="shared" si="178"/>
        <v/>
      </c>
      <c r="K689" s="1220" t="str">
        <f t="shared" si="167"/>
        <v/>
      </c>
      <c r="L689" s="378"/>
      <c r="M689" s="378"/>
      <c r="N689" s="378" t="str">
        <f t="shared" si="177"/>
        <v/>
      </c>
      <c r="O689" s="378" t="str">
        <f t="shared" si="171"/>
        <v/>
      </c>
      <c r="P689" s="378" t="str">
        <f t="shared" si="172"/>
        <v/>
      </c>
      <c r="Q689" s="378" t="str">
        <f t="shared" si="173"/>
        <v/>
      </c>
      <c r="R689" s="378" t="str">
        <f t="shared" si="174"/>
        <v/>
      </c>
      <c r="S689" s="602">
        <v>510000</v>
      </c>
      <c r="T689" s="378" t="str">
        <f>+IFERROR(VLOOKUP(S689,STAT1!$C$4:$D$189,2,FALSE),"")</f>
        <v>Үндсэн үйл ажиллагааны борлуулалт</v>
      </c>
      <c r="U689" s="1225"/>
      <c r="V689" s="1216">
        <v>622200</v>
      </c>
      <c r="W689" s="326">
        <v>3068</v>
      </c>
      <c r="X689" s="328" t="str">
        <f>IFERROR(VLOOKUP(W689,DATA!$G$4:$H$400,2,FALSE),"")</f>
        <v>ҮЛЭМЖИТ ХХК</v>
      </c>
      <c r="Y689" s="1205"/>
      <c r="Z689" s="1205"/>
      <c r="AA689" s="1205"/>
    </row>
    <row r="690" spans="1:27" ht="12.75" customHeight="1">
      <c r="A690" s="15">
        <v>162</v>
      </c>
      <c r="B690" s="369">
        <f t="shared" si="180"/>
        <v>685</v>
      </c>
      <c r="C690" s="427">
        <v>42948</v>
      </c>
      <c r="D690" s="426"/>
      <c r="E690" s="425" t="str">
        <f t="shared" ca="1" si="179"/>
        <v/>
      </c>
      <c r="F690" s="428" t="str">
        <f t="shared" ca="1" si="170"/>
        <v/>
      </c>
      <c r="G690" s="378"/>
      <c r="H690" s="378"/>
      <c r="I690" s="378" t="str">
        <f t="shared" si="165"/>
        <v/>
      </c>
      <c r="J690" s="378" t="str">
        <f t="shared" si="178"/>
        <v/>
      </c>
      <c r="K690" s="1220" t="str">
        <f t="shared" si="167"/>
        <v/>
      </c>
      <c r="L690" s="378"/>
      <c r="M690" s="378"/>
      <c r="N690" s="378" t="str">
        <f t="shared" si="177"/>
        <v/>
      </c>
      <c r="O690" s="378" t="str">
        <f t="shared" si="171"/>
        <v/>
      </c>
      <c r="P690" s="378" t="str">
        <f t="shared" si="172"/>
        <v/>
      </c>
      <c r="Q690" s="378" t="str">
        <f t="shared" si="173"/>
        <v/>
      </c>
      <c r="R690" s="378" t="str">
        <f t="shared" si="174"/>
        <v/>
      </c>
      <c r="S690" s="602">
        <v>320100</v>
      </c>
      <c r="T690" s="378" t="str">
        <f>+IFERROR(VLOOKUP(S690,STAT1!$C$4:$D$189,2,FALSE),"")</f>
        <v>Урьдчилж орсон орлого MNT</v>
      </c>
      <c r="U690" s="1225">
        <v>684420</v>
      </c>
      <c r="V690" s="1216"/>
      <c r="W690" s="326">
        <v>3068</v>
      </c>
      <c r="X690" s="328" t="str">
        <f>IFERROR(VLOOKUP(W690,DATA!$G$4:$H$400,2,FALSE),"")</f>
        <v>ҮЛЭМЖИТ ХХК</v>
      </c>
      <c r="Y690" s="1205"/>
      <c r="Z690" s="1205"/>
      <c r="AA690" s="1205"/>
    </row>
    <row r="691" spans="1:27" ht="12.75" customHeight="1">
      <c r="A691" s="15">
        <v>163</v>
      </c>
      <c r="B691" s="369">
        <f t="shared" si="180"/>
        <v>686</v>
      </c>
      <c r="C691" s="427">
        <v>42948</v>
      </c>
      <c r="D691" s="426">
        <v>211710</v>
      </c>
      <c r="E691" s="425" t="str">
        <f t="shared" ca="1" si="179"/>
        <v xml:space="preserve">Н-Хавтан /зузаан-3см/-яртай </v>
      </c>
      <c r="F691" s="428" t="str">
        <f t="shared" ca="1" si="170"/>
        <v>м2</v>
      </c>
      <c r="G691" s="378"/>
      <c r="H691" s="378"/>
      <c r="I691" s="378" t="str">
        <f t="shared" si="165"/>
        <v/>
      </c>
      <c r="J691" s="378" t="str">
        <f t="shared" si="178"/>
        <v/>
      </c>
      <c r="K691" s="1220" t="str">
        <f t="shared" si="167"/>
        <v/>
      </c>
      <c r="L691" s="378">
        <v>26.11</v>
      </c>
      <c r="M691" s="378">
        <v>40000</v>
      </c>
      <c r="N691" s="378">
        <f t="shared" si="177"/>
        <v>1044400</v>
      </c>
      <c r="O691" s="378">
        <f t="shared" si="171"/>
        <v>104440</v>
      </c>
      <c r="P691" s="378">
        <f t="shared" si="172"/>
        <v>1148840</v>
      </c>
      <c r="Q691" s="378">
        <f t="shared" ca="1" si="173"/>
        <v>32877.788914248587</v>
      </c>
      <c r="R691" s="378">
        <f t="shared" ca="1" si="174"/>
        <v>858439.06855103059</v>
      </c>
      <c r="S691" s="602">
        <v>150101</v>
      </c>
      <c r="T691" s="378" t="str">
        <f>+IFERROR(VLOOKUP(S691,STAT1!$C$4:$D$189,2,FALSE),"")</f>
        <v>Бараа бэлэн бүтээгдэхүүн БОЛОВСРУУЛАХ ЦЕХ /нарс/</v>
      </c>
      <c r="U691" s="1225"/>
      <c r="V691" s="1216">
        <v>858439.06855103059</v>
      </c>
      <c r="W691" s="326">
        <v>3080</v>
      </c>
      <c r="X691" s="328" t="str">
        <f>IFERROR(VLOOKUP(W691,DATA!$G$4:$H$400,2,FALSE),"")</f>
        <v>ДИ ЭЙЧ ЭЛ ГЭЙТВЭЙ ХХК</v>
      </c>
      <c r="Y691" s="1205"/>
      <c r="Z691" s="1205"/>
      <c r="AA691" s="1205"/>
    </row>
    <row r="692" spans="1:27" ht="12.75" customHeight="1">
      <c r="A692" s="15">
        <v>163</v>
      </c>
      <c r="B692" s="369">
        <f t="shared" si="180"/>
        <v>687</v>
      </c>
      <c r="C692" s="427">
        <v>42948</v>
      </c>
      <c r="D692" s="426"/>
      <c r="E692" s="425" t="str">
        <f t="shared" ca="1" si="179"/>
        <v/>
      </c>
      <c r="F692" s="428" t="str">
        <f t="shared" ca="1" si="170"/>
        <v/>
      </c>
      <c r="G692" s="378"/>
      <c r="H692" s="378"/>
      <c r="I692" s="378" t="str">
        <f t="shared" ref="I692:I755" si="181">+IF(G692="","",G692*H692)</f>
        <v/>
      </c>
      <c r="J692" s="378" t="str">
        <f t="shared" si="178"/>
        <v/>
      </c>
      <c r="K692" s="1220" t="str">
        <f t="shared" ref="K692:K755" si="182">+IF(G692="","",I692+J692)</f>
        <v/>
      </c>
      <c r="L692" s="378"/>
      <c r="M692" s="378"/>
      <c r="N692" s="378" t="str">
        <f t="shared" si="177"/>
        <v/>
      </c>
      <c r="O692" s="378" t="str">
        <f t="shared" si="171"/>
        <v/>
      </c>
      <c r="P692" s="378" t="str">
        <f t="shared" si="172"/>
        <v/>
      </c>
      <c r="Q692" s="378" t="str">
        <f t="shared" si="173"/>
        <v/>
      </c>
      <c r="R692" s="378" t="str">
        <f t="shared" si="174"/>
        <v/>
      </c>
      <c r="S692" s="602">
        <v>610100</v>
      </c>
      <c r="T692" s="378" t="str">
        <f>+IFERROR(VLOOKUP(S692,STAT1!$C$4:$D$189,2,FALSE),"")</f>
        <v>Борлуулсан барааны өртөг</v>
      </c>
      <c r="U692" s="1225">
        <v>858439.06855103059</v>
      </c>
      <c r="V692" s="1216"/>
      <c r="W692" s="326">
        <v>3080</v>
      </c>
      <c r="X692" s="328" t="str">
        <f>IFERROR(VLOOKUP(W692,DATA!$G$4:$H$400,2,FALSE),"")</f>
        <v>ДИ ЭЙЧ ЭЛ ГЭЙТВЭЙ ХХК</v>
      </c>
      <c r="Y692" s="1205"/>
      <c r="Z692" s="1205"/>
      <c r="AA692" s="1205"/>
    </row>
    <row r="693" spans="1:27" ht="12.75" customHeight="1">
      <c r="A693" s="15">
        <v>163</v>
      </c>
      <c r="B693" s="369">
        <f t="shared" si="180"/>
        <v>688</v>
      </c>
      <c r="C693" s="427">
        <v>42948</v>
      </c>
      <c r="D693" s="426"/>
      <c r="E693" s="425" t="str">
        <f t="shared" ca="1" si="179"/>
        <v/>
      </c>
      <c r="F693" s="428" t="str">
        <f t="shared" ref="F693:F756" ca="1" si="183">+IFERROR(VLOOKUP(D693,TN_table,3,FALSE),"")</f>
        <v/>
      </c>
      <c r="G693" s="378"/>
      <c r="H693" s="378"/>
      <c r="I693" s="378" t="str">
        <f t="shared" si="181"/>
        <v/>
      </c>
      <c r="J693" s="378" t="str">
        <f t="shared" si="178"/>
        <v/>
      </c>
      <c r="K693" s="1220" t="str">
        <f t="shared" si="182"/>
        <v/>
      </c>
      <c r="L693" s="378"/>
      <c r="M693" s="378"/>
      <c r="N693" s="378" t="str">
        <f t="shared" si="177"/>
        <v/>
      </c>
      <c r="O693" s="378" t="str">
        <f t="shared" ref="O693:O756" si="184">+IF(L693="","",N693*0.1)</f>
        <v/>
      </c>
      <c r="P693" s="378" t="str">
        <f t="shared" ref="P693:P756" si="185">+IF(L693="","",N693+O693)</f>
        <v/>
      </c>
      <c r="Q693" s="378" t="str">
        <f t="shared" ref="Q693:Q756" si="186">IF(L693="","",IFERROR((SUMIFS(TN_balC1_totol,TN_code,D693)+SUMIFS(RC_or_totol,RC_Code,D693,RC_date,"&lt;="&amp;C693)-SUMIFS(RC_zar_totol,RC_Code,D693,RC_date,"&lt;"&amp;C693)) /( SUMIFS(TN_balC1_unit,TN_code,D693)+SUMIFS(RC_or_unit,RC_Code,D693,RC_date,"&lt;="&amp;C693)-SUMIFS(RC_zar_unit,RC_Code,D693,RC_date,"&lt;"&amp;C693)),0 ))</f>
        <v/>
      </c>
      <c r="R693" s="378" t="str">
        <f t="shared" ref="R693:R756" si="187">+IF(L693="","",L693*Q693)</f>
        <v/>
      </c>
      <c r="S693" s="602">
        <v>310500</v>
      </c>
      <c r="T693" s="378" t="str">
        <f>+IFERROR(VLOOKUP(S693,STAT1!$C$4:$D$189,2,FALSE),"")</f>
        <v>НӨАТ өглөг</v>
      </c>
      <c r="U693" s="1225"/>
      <c r="V693" s="1216">
        <v>104440</v>
      </c>
      <c r="W693" s="326">
        <v>3080</v>
      </c>
      <c r="X693" s="328" t="str">
        <f>IFERROR(VLOOKUP(W693,DATA!$G$4:$H$400,2,FALSE),"")</f>
        <v>ДИ ЭЙЧ ЭЛ ГЭЙТВЭЙ ХХК</v>
      </c>
      <c r="Y693" s="1205"/>
      <c r="Z693" s="1205"/>
      <c r="AA693" s="1205"/>
    </row>
    <row r="694" spans="1:27" ht="12.75" customHeight="1">
      <c r="A694" s="15">
        <v>163</v>
      </c>
      <c r="B694" s="369">
        <f t="shared" si="180"/>
        <v>689</v>
      </c>
      <c r="C694" s="427">
        <v>42948</v>
      </c>
      <c r="D694" s="426"/>
      <c r="E694" s="425"/>
      <c r="F694" s="428" t="str">
        <f t="shared" ca="1" si="183"/>
        <v/>
      </c>
      <c r="G694" s="378"/>
      <c r="H694" s="378"/>
      <c r="I694" s="378" t="str">
        <f t="shared" si="181"/>
        <v/>
      </c>
      <c r="J694" s="378" t="str">
        <f t="shared" si="178"/>
        <v/>
      </c>
      <c r="K694" s="1220" t="str">
        <f t="shared" si="182"/>
        <v/>
      </c>
      <c r="L694" s="378"/>
      <c r="M694" s="378"/>
      <c r="N694" s="378" t="str">
        <f t="shared" si="177"/>
        <v/>
      </c>
      <c r="O694" s="378" t="str">
        <f t="shared" si="184"/>
        <v/>
      </c>
      <c r="P694" s="378" t="str">
        <f t="shared" si="185"/>
        <v/>
      </c>
      <c r="Q694" s="378" t="str">
        <f t="shared" si="186"/>
        <v/>
      </c>
      <c r="R694" s="378" t="str">
        <f t="shared" si="187"/>
        <v/>
      </c>
      <c r="S694" s="602">
        <v>510000</v>
      </c>
      <c r="T694" s="378" t="str">
        <f>+IFERROR(VLOOKUP(S694,STAT1!$C$4:$D$189,2,FALSE),"")</f>
        <v>Үндсэн үйл ажиллагааны борлуулалт</v>
      </c>
      <c r="U694" s="1225"/>
      <c r="V694" s="1216">
        <v>1044400</v>
      </c>
      <c r="W694" s="326">
        <v>3080</v>
      </c>
      <c r="X694" s="328" t="str">
        <f>IFERROR(VLOOKUP(W694,DATA!$G$4:$H$400,2,FALSE),"")</f>
        <v>ДИ ЭЙЧ ЭЛ ГЭЙТВЭЙ ХХК</v>
      </c>
      <c r="Y694" s="1205"/>
      <c r="Z694" s="1205"/>
      <c r="AA694" s="1205"/>
    </row>
    <row r="695" spans="1:27" ht="12.75" customHeight="1">
      <c r="A695" s="15">
        <v>163</v>
      </c>
      <c r="B695" s="369">
        <f t="shared" si="180"/>
        <v>690</v>
      </c>
      <c r="C695" s="427">
        <v>42948</v>
      </c>
      <c r="D695" s="426"/>
      <c r="E695" s="425" t="str">
        <f t="shared" ref="E695:E758" ca="1" si="188">+IFERROR(VLOOKUP(D695,TN_table,2,FALSE),"")</f>
        <v/>
      </c>
      <c r="F695" s="428" t="str">
        <f t="shared" ca="1" si="183"/>
        <v/>
      </c>
      <c r="G695" s="378"/>
      <c r="H695" s="378"/>
      <c r="I695" s="378" t="str">
        <f t="shared" si="181"/>
        <v/>
      </c>
      <c r="J695" s="378" t="str">
        <f t="shared" si="178"/>
        <v/>
      </c>
      <c r="K695" s="1220" t="str">
        <f t="shared" si="182"/>
        <v/>
      </c>
      <c r="L695" s="378"/>
      <c r="M695" s="378"/>
      <c r="N695" s="378" t="str">
        <f t="shared" si="177"/>
        <v/>
      </c>
      <c r="O695" s="378" t="str">
        <f t="shared" si="184"/>
        <v/>
      </c>
      <c r="P695" s="378" t="str">
        <f t="shared" si="185"/>
        <v/>
      </c>
      <c r="Q695" s="378" t="str">
        <f t="shared" si="186"/>
        <v/>
      </c>
      <c r="R695" s="378" t="str">
        <f t="shared" si="187"/>
        <v/>
      </c>
      <c r="S695" s="602">
        <v>320100</v>
      </c>
      <c r="T695" s="378" t="str">
        <f>+IFERROR(VLOOKUP(S695,STAT1!$C$4:$D$189,2,FALSE),"")</f>
        <v>Урьдчилж орсон орлого MNT</v>
      </c>
      <c r="U695" s="1225">
        <v>1148840</v>
      </c>
      <c r="V695" s="1216"/>
      <c r="W695" s="326">
        <v>3080</v>
      </c>
      <c r="X695" s="328" t="str">
        <f>IFERROR(VLOOKUP(W695,DATA!$G$4:$H$400,2,FALSE),"")</f>
        <v>ДИ ЭЙЧ ЭЛ ГЭЙТВЭЙ ХХК</v>
      </c>
      <c r="Y695" s="1205"/>
      <c r="Z695" s="1205"/>
      <c r="AA695" s="1205"/>
    </row>
    <row r="696" spans="1:27" ht="12.75" customHeight="1">
      <c r="A696" s="15">
        <v>164</v>
      </c>
      <c r="B696" s="369">
        <f t="shared" si="180"/>
        <v>691</v>
      </c>
      <c r="C696" s="427">
        <v>42950</v>
      </c>
      <c r="D696" s="426">
        <v>211802</v>
      </c>
      <c r="E696" s="425" t="str">
        <f t="shared" ca="1" si="188"/>
        <v xml:space="preserve">Н-Уголок </v>
      </c>
      <c r="F696" s="428" t="str">
        <f t="shared" ca="1" si="183"/>
        <v>м</v>
      </c>
      <c r="G696" s="378"/>
      <c r="H696" s="378"/>
      <c r="I696" s="378" t="str">
        <f t="shared" si="181"/>
        <v/>
      </c>
      <c r="J696" s="378" t="str">
        <f t="shared" si="178"/>
        <v/>
      </c>
      <c r="K696" s="1220" t="str">
        <f t="shared" si="182"/>
        <v/>
      </c>
      <c r="L696" s="378">
        <v>17</v>
      </c>
      <c r="M696" s="378">
        <v>3001.0695000000001</v>
      </c>
      <c r="N696" s="378">
        <f t="shared" si="177"/>
        <v>51018.181499999999</v>
      </c>
      <c r="O696" s="378">
        <f t="shared" si="184"/>
        <v>5101.8181500000001</v>
      </c>
      <c r="P696" s="378">
        <f t="shared" si="185"/>
        <v>56119.999649999998</v>
      </c>
      <c r="Q696" s="378">
        <f t="shared" ca="1" si="186"/>
        <v>1412.1879249284552</v>
      </c>
      <c r="R696" s="378">
        <f t="shared" ca="1" si="187"/>
        <v>24007.194723783738</v>
      </c>
      <c r="S696" s="602">
        <v>150101</v>
      </c>
      <c r="T696" s="378" t="str">
        <f>+IFERROR(VLOOKUP(S696,STAT1!$C$4:$D$189,2,FALSE),"")</f>
        <v>Бараа бэлэн бүтээгдэхүүн БОЛОВСРУУЛАХ ЦЕХ /нарс/</v>
      </c>
      <c r="U696" s="1225"/>
      <c r="V696" s="1216">
        <v>24007.194723783738</v>
      </c>
      <c r="W696" s="326">
        <v>3093</v>
      </c>
      <c r="X696" s="328" t="str">
        <f>IFERROR(VLOOKUP(W696,DATA!$G$4:$H$400,2,FALSE),"")</f>
        <v xml:space="preserve">НЬЮ ЭРА ТУР МОНГОЛИА ХХК </v>
      </c>
      <c r="Y696" s="1205"/>
      <c r="Z696" s="1205"/>
      <c r="AA696" s="1205"/>
    </row>
    <row r="697" spans="1:27" ht="12.75" customHeight="1">
      <c r="A697" s="15">
        <v>164</v>
      </c>
      <c r="B697" s="369">
        <f t="shared" si="180"/>
        <v>692</v>
      </c>
      <c r="C697" s="427">
        <v>42950</v>
      </c>
      <c r="D697" s="426"/>
      <c r="E697" s="425" t="str">
        <f t="shared" ca="1" si="188"/>
        <v/>
      </c>
      <c r="F697" s="428" t="str">
        <f t="shared" ca="1" si="183"/>
        <v/>
      </c>
      <c r="G697" s="378"/>
      <c r="H697" s="378"/>
      <c r="I697" s="378" t="str">
        <f t="shared" si="181"/>
        <v/>
      </c>
      <c r="J697" s="378" t="str">
        <f t="shared" si="178"/>
        <v/>
      </c>
      <c r="K697" s="1220" t="str">
        <f t="shared" si="182"/>
        <v/>
      </c>
      <c r="L697" s="378"/>
      <c r="M697" s="378"/>
      <c r="N697" s="378" t="str">
        <f t="shared" si="177"/>
        <v/>
      </c>
      <c r="O697" s="378" t="str">
        <f t="shared" si="184"/>
        <v/>
      </c>
      <c r="P697" s="378" t="str">
        <f t="shared" si="185"/>
        <v/>
      </c>
      <c r="Q697" s="378" t="str">
        <f t="shared" si="186"/>
        <v/>
      </c>
      <c r="R697" s="378" t="str">
        <f t="shared" si="187"/>
        <v/>
      </c>
      <c r="S697" s="602">
        <v>610100</v>
      </c>
      <c r="T697" s="378" t="str">
        <f>+IFERROR(VLOOKUP(S697,STAT1!$C$4:$D$189,2,FALSE),"")</f>
        <v>Борлуулсан барааны өртөг</v>
      </c>
      <c r="U697" s="1225">
        <v>24007.194723783738</v>
      </c>
      <c r="V697" s="1216"/>
      <c r="W697" s="326">
        <v>3093</v>
      </c>
      <c r="X697" s="328" t="str">
        <f>IFERROR(VLOOKUP(W697,DATA!$G$4:$H$400,2,FALSE),"")</f>
        <v xml:space="preserve">НЬЮ ЭРА ТУР МОНГОЛИА ХХК </v>
      </c>
      <c r="Y697" s="1205"/>
      <c r="Z697" s="1205"/>
      <c r="AA697" s="1205"/>
    </row>
    <row r="698" spans="1:27" ht="12.75" customHeight="1">
      <c r="A698" s="15">
        <v>164</v>
      </c>
      <c r="B698" s="369">
        <f t="shared" si="180"/>
        <v>693</v>
      </c>
      <c r="C698" s="427">
        <v>42950</v>
      </c>
      <c r="D698" s="426"/>
      <c r="E698" s="425" t="str">
        <f t="shared" ca="1" si="188"/>
        <v/>
      </c>
      <c r="F698" s="428" t="str">
        <f t="shared" ca="1" si="183"/>
        <v/>
      </c>
      <c r="G698" s="378"/>
      <c r="H698" s="378"/>
      <c r="I698" s="378" t="str">
        <f t="shared" si="181"/>
        <v/>
      </c>
      <c r="J698" s="378" t="str">
        <f t="shared" si="178"/>
        <v/>
      </c>
      <c r="K698" s="1220" t="str">
        <f t="shared" si="182"/>
        <v/>
      </c>
      <c r="L698" s="378"/>
      <c r="M698" s="378"/>
      <c r="N698" s="378" t="str">
        <f t="shared" si="177"/>
        <v/>
      </c>
      <c r="O698" s="378" t="str">
        <f t="shared" si="184"/>
        <v/>
      </c>
      <c r="P698" s="378" t="str">
        <f t="shared" si="185"/>
        <v/>
      </c>
      <c r="Q698" s="378" t="str">
        <f t="shared" si="186"/>
        <v/>
      </c>
      <c r="R698" s="378" t="str">
        <f t="shared" si="187"/>
        <v/>
      </c>
      <c r="S698" s="602">
        <v>310500</v>
      </c>
      <c r="T698" s="378" t="str">
        <f>+IFERROR(VLOOKUP(S698,STAT1!$C$4:$D$189,2,FALSE),"")</f>
        <v>НӨАТ өглөг</v>
      </c>
      <c r="U698" s="1225"/>
      <c r="V698" s="1216">
        <v>5101.8181500000001</v>
      </c>
      <c r="W698" s="326">
        <v>3093</v>
      </c>
      <c r="X698" s="328" t="str">
        <f>IFERROR(VLOOKUP(W698,DATA!$G$4:$H$400,2,FALSE),"")</f>
        <v xml:space="preserve">НЬЮ ЭРА ТУР МОНГОЛИА ХХК </v>
      </c>
      <c r="Y698" s="1205"/>
      <c r="Z698" s="1205"/>
      <c r="AA698" s="1205"/>
    </row>
    <row r="699" spans="1:27" ht="12.75" customHeight="1">
      <c r="A699" s="15">
        <v>164</v>
      </c>
      <c r="B699" s="369">
        <f t="shared" si="180"/>
        <v>694</v>
      </c>
      <c r="C699" s="427">
        <v>42950</v>
      </c>
      <c r="D699" s="426"/>
      <c r="E699" s="425" t="str">
        <f t="shared" ca="1" si="188"/>
        <v/>
      </c>
      <c r="F699" s="428" t="str">
        <f t="shared" ca="1" si="183"/>
        <v/>
      </c>
      <c r="G699" s="378"/>
      <c r="H699" s="378"/>
      <c r="I699" s="378" t="str">
        <f t="shared" si="181"/>
        <v/>
      </c>
      <c r="J699" s="378" t="str">
        <f t="shared" si="178"/>
        <v/>
      </c>
      <c r="K699" s="1220" t="str">
        <f t="shared" si="182"/>
        <v/>
      </c>
      <c r="L699" s="378"/>
      <c r="M699" s="378"/>
      <c r="N699" s="378" t="str">
        <f t="shared" si="177"/>
        <v/>
      </c>
      <c r="O699" s="378" t="str">
        <f t="shared" si="184"/>
        <v/>
      </c>
      <c r="P699" s="378" t="str">
        <f t="shared" si="185"/>
        <v/>
      </c>
      <c r="Q699" s="378" t="str">
        <f t="shared" si="186"/>
        <v/>
      </c>
      <c r="R699" s="378" t="str">
        <f t="shared" si="187"/>
        <v/>
      </c>
      <c r="S699" s="602">
        <v>510000</v>
      </c>
      <c r="T699" s="378" t="str">
        <f>+IFERROR(VLOOKUP(S699,STAT1!$C$4:$D$189,2,FALSE),"")</f>
        <v>Үндсэн үйл ажиллагааны борлуулалт</v>
      </c>
      <c r="U699" s="1225"/>
      <c r="V699" s="1216">
        <v>51018.181499999999</v>
      </c>
      <c r="W699" s="326">
        <v>3093</v>
      </c>
      <c r="X699" s="328" t="str">
        <f>IFERROR(VLOOKUP(W699,DATA!$G$4:$H$400,2,FALSE),"")</f>
        <v xml:space="preserve">НЬЮ ЭРА ТУР МОНГОЛИА ХХК </v>
      </c>
      <c r="Y699" s="1205"/>
      <c r="Z699" s="1205"/>
      <c r="AA699" s="1205"/>
    </row>
    <row r="700" spans="1:27" ht="12.75" customHeight="1">
      <c r="A700" s="15">
        <v>164</v>
      </c>
      <c r="B700" s="369">
        <f t="shared" si="180"/>
        <v>695</v>
      </c>
      <c r="C700" s="427">
        <v>42950</v>
      </c>
      <c r="D700" s="426"/>
      <c r="E700" s="425" t="str">
        <f t="shared" ca="1" si="188"/>
        <v/>
      </c>
      <c r="F700" s="428" t="str">
        <f t="shared" ca="1" si="183"/>
        <v/>
      </c>
      <c r="G700" s="378"/>
      <c r="H700" s="378"/>
      <c r="I700" s="378" t="str">
        <f t="shared" si="181"/>
        <v/>
      </c>
      <c r="J700" s="378" t="str">
        <f t="shared" si="178"/>
        <v/>
      </c>
      <c r="K700" s="1220" t="str">
        <f t="shared" si="182"/>
        <v/>
      </c>
      <c r="L700" s="378"/>
      <c r="M700" s="378"/>
      <c r="N700" s="378" t="str">
        <f t="shared" si="177"/>
        <v/>
      </c>
      <c r="O700" s="378" t="str">
        <f t="shared" si="184"/>
        <v/>
      </c>
      <c r="P700" s="378" t="str">
        <f t="shared" si="185"/>
        <v/>
      </c>
      <c r="Q700" s="378" t="str">
        <f t="shared" si="186"/>
        <v/>
      </c>
      <c r="R700" s="378" t="str">
        <f t="shared" si="187"/>
        <v/>
      </c>
      <c r="S700" s="602">
        <v>320100</v>
      </c>
      <c r="T700" s="378" t="str">
        <f>+IFERROR(VLOOKUP(S700,STAT1!$C$4:$D$189,2,FALSE),"")</f>
        <v>Урьдчилж орсон орлого MNT</v>
      </c>
      <c r="U700" s="1225">
        <v>56119.999649999998</v>
      </c>
      <c r="V700" s="1216"/>
      <c r="W700" s="326">
        <v>3093</v>
      </c>
      <c r="X700" s="328" t="str">
        <f>IFERROR(VLOOKUP(W700,DATA!$G$4:$H$400,2,FALSE),"")</f>
        <v xml:space="preserve">НЬЮ ЭРА ТУР МОНГОЛИА ХХК </v>
      </c>
      <c r="Y700" s="1205"/>
      <c r="Z700" s="1205"/>
      <c r="AA700" s="1205"/>
    </row>
    <row r="701" spans="1:27" ht="12.75" customHeight="1">
      <c r="A701" s="15">
        <v>165</v>
      </c>
      <c r="B701" s="369">
        <f t="shared" si="180"/>
        <v>696</v>
      </c>
      <c r="C701" s="427">
        <v>42952</v>
      </c>
      <c r="D701" s="618">
        <v>211503</v>
      </c>
      <c r="E701" s="425" t="str">
        <f t="shared" ca="1" si="188"/>
        <v>Н-Евровагонка /зузаан-1.2см/</v>
      </c>
      <c r="F701" s="428" t="str">
        <f t="shared" ca="1" si="183"/>
        <v>м2</v>
      </c>
      <c r="G701" s="378"/>
      <c r="H701" s="378"/>
      <c r="I701" s="378" t="str">
        <f t="shared" si="181"/>
        <v/>
      </c>
      <c r="J701" s="378" t="str">
        <f t="shared" si="178"/>
        <v/>
      </c>
      <c r="K701" s="1220" t="str">
        <f t="shared" si="182"/>
        <v/>
      </c>
      <c r="L701" s="378">
        <v>1974</v>
      </c>
      <c r="M701" s="378"/>
      <c r="N701" s="378">
        <f t="shared" si="177"/>
        <v>0</v>
      </c>
      <c r="O701" s="378">
        <f t="shared" si="184"/>
        <v>0</v>
      </c>
      <c r="P701" s="378">
        <f t="shared" si="185"/>
        <v>0</v>
      </c>
      <c r="Q701" s="378">
        <f t="shared" ca="1" si="186"/>
        <v>13269.527397514295</v>
      </c>
      <c r="R701" s="378">
        <f t="shared" ca="1" si="187"/>
        <v>26194047.082693219</v>
      </c>
      <c r="S701" s="602">
        <v>610101</v>
      </c>
      <c r="T701" s="378" t="str">
        <f>+IFERROR(VLOOKUP(S701,STAT1!$C$4:$D$189,2,FALSE),"")</f>
        <v>Борлуулсан барааны өртөг - Бусад</v>
      </c>
      <c r="U701" s="1225">
        <v>46224390.729999997</v>
      </c>
      <c r="V701" s="1216"/>
      <c r="W701" s="326">
        <v>3074</v>
      </c>
      <c r="X701" s="328" t="str">
        <f>IFERROR(VLOOKUP(W701,DATA!$G$4:$H$400,2,FALSE),"")</f>
        <v>КАМДЕР ХХК</v>
      </c>
      <c r="Y701" s="1205"/>
      <c r="Z701" s="1205"/>
      <c r="AA701" s="1205"/>
    </row>
    <row r="702" spans="1:27" ht="12.75" customHeight="1">
      <c r="A702" s="15">
        <v>165</v>
      </c>
      <c r="B702" s="369">
        <f t="shared" si="180"/>
        <v>697</v>
      </c>
      <c r="C702" s="427">
        <v>42952</v>
      </c>
      <c r="D702" s="618">
        <v>211801</v>
      </c>
      <c r="E702" s="425" t="str">
        <f t="shared" ca="1" si="188"/>
        <v>Н-Ембүү /20*30мм/</v>
      </c>
      <c r="F702" s="428" t="str">
        <f t="shared" ca="1" si="183"/>
        <v>м</v>
      </c>
      <c r="G702" s="378"/>
      <c r="H702" s="378"/>
      <c r="I702" s="378" t="str">
        <f t="shared" si="181"/>
        <v/>
      </c>
      <c r="J702" s="378" t="str">
        <f t="shared" si="178"/>
        <v/>
      </c>
      <c r="K702" s="1220" t="str">
        <f t="shared" si="182"/>
        <v/>
      </c>
      <c r="L702" s="378">
        <v>2820</v>
      </c>
      <c r="M702" s="378"/>
      <c r="N702" s="378">
        <f t="shared" si="177"/>
        <v>0</v>
      </c>
      <c r="O702" s="378">
        <f t="shared" si="184"/>
        <v>0</v>
      </c>
      <c r="P702" s="378">
        <f t="shared" si="185"/>
        <v>0</v>
      </c>
      <c r="Q702" s="378">
        <f t="shared" ca="1" si="186"/>
        <v>647.50519478531248</v>
      </c>
      <c r="R702" s="378">
        <f t="shared" ca="1" si="187"/>
        <v>1825964.6492945813</v>
      </c>
      <c r="S702" s="602">
        <v>150101</v>
      </c>
      <c r="T702" s="378" t="str">
        <f>+IFERROR(VLOOKUP(S702,STAT1!$C$4:$D$189,2,FALSE),"")</f>
        <v>Бараа бэлэн бүтээгдэхүүн БОЛОВСРУУЛАХ ЦЕХ /нарс/</v>
      </c>
      <c r="U702" s="1225"/>
      <c r="V702" s="1216">
        <v>35110019.147080824</v>
      </c>
      <c r="W702" s="326">
        <v>3074</v>
      </c>
      <c r="X702" s="328" t="str">
        <f>IFERROR(VLOOKUP(W702,DATA!$G$4:$H$400,2,FALSE),"")</f>
        <v>КАМДЕР ХХК</v>
      </c>
      <c r="Y702" s="1205"/>
      <c r="Z702" s="1205"/>
      <c r="AA702" s="1205"/>
    </row>
    <row r="703" spans="1:27" ht="12.75" customHeight="1">
      <c r="A703" s="15">
        <v>165</v>
      </c>
      <c r="B703" s="369">
        <f t="shared" si="180"/>
        <v>698</v>
      </c>
      <c r="C703" s="427">
        <v>42952</v>
      </c>
      <c r="D703" s="618">
        <v>211802</v>
      </c>
      <c r="E703" s="425" t="str">
        <f t="shared" ca="1" si="188"/>
        <v xml:space="preserve">Н-Уголок </v>
      </c>
      <c r="F703" s="428" t="str">
        <f t="shared" ca="1" si="183"/>
        <v>м</v>
      </c>
      <c r="G703" s="378"/>
      <c r="H703" s="378"/>
      <c r="I703" s="378" t="str">
        <f t="shared" si="181"/>
        <v/>
      </c>
      <c r="J703" s="378" t="str">
        <f t="shared" si="178"/>
        <v/>
      </c>
      <c r="K703" s="1220" t="str">
        <f t="shared" si="182"/>
        <v/>
      </c>
      <c r="L703" s="378">
        <v>1692</v>
      </c>
      <c r="M703" s="378"/>
      <c r="N703" s="378">
        <f t="shared" si="177"/>
        <v>0</v>
      </c>
      <c r="O703" s="378">
        <f t="shared" si="184"/>
        <v>0</v>
      </c>
      <c r="P703" s="378">
        <f t="shared" si="185"/>
        <v>0</v>
      </c>
      <c r="Q703" s="378">
        <f t="shared" ca="1" si="186"/>
        <v>1412.1879249284552</v>
      </c>
      <c r="R703" s="378">
        <f t="shared" ca="1" si="187"/>
        <v>2389421.9689789461</v>
      </c>
      <c r="S703" s="602">
        <v>160100</v>
      </c>
      <c r="T703" s="378" t="str">
        <f>+IFERROR(VLOOKUP(S703,STAT1!$C$4:$D$189,2,FALSE),"")</f>
        <v xml:space="preserve">Барилгын материал </v>
      </c>
      <c r="U703" s="1225"/>
      <c r="V703" s="1216">
        <v>11114371.58029451</v>
      </c>
      <c r="W703" s="326">
        <v>3074</v>
      </c>
      <c r="X703" s="328" t="str">
        <f>IFERROR(VLOOKUP(W703,DATA!$G$4:$H$400,2,FALSE),"")</f>
        <v>КАМДЕР ХХК</v>
      </c>
      <c r="Y703" s="1205"/>
      <c r="Z703" s="1205"/>
      <c r="AA703" s="1205"/>
    </row>
    <row r="704" spans="1:27" ht="12.75" customHeight="1">
      <c r="A704" s="15">
        <v>165</v>
      </c>
      <c r="B704" s="369">
        <f t="shared" si="180"/>
        <v>699</v>
      </c>
      <c r="C704" s="427">
        <v>42952</v>
      </c>
      <c r="D704" s="618">
        <v>410085</v>
      </c>
      <c r="E704" s="425" t="str">
        <f t="shared" ca="1" si="188"/>
        <v xml:space="preserve">НЦ-лак </v>
      </c>
      <c r="F704" s="428" t="str">
        <f t="shared" ca="1" si="183"/>
        <v>кг</v>
      </c>
      <c r="G704" s="378"/>
      <c r="H704" s="378"/>
      <c r="I704" s="378" t="str">
        <f t="shared" si="181"/>
        <v/>
      </c>
      <c r="J704" s="378" t="str">
        <f t="shared" si="178"/>
        <v/>
      </c>
      <c r="K704" s="1220" t="str">
        <f t="shared" si="182"/>
        <v/>
      </c>
      <c r="L704" s="378">
        <v>908</v>
      </c>
      <c r="M704" s="378"/>
      <c r="N704" s="378">
        <f t="shared" si="177"/>
        <v>0</v>
      </c>
      <c r="O704" s="378">
        <f t="shared" si="184"/>
        <v>0</v>
      </c>
      <c r="P704" s="378">
        <f t="shared" si="185"/>
        <v>0</v>
      </c>
      <c r="Q704" s="378">
        <f t="shared" ca="1" si="186"/>
        <v>7438.0756074908086</v>
      </c>
      <c r="R704" s="378">
        <f t="shared" ca="1" si="187"/>
        <v>6753772.6516016545</v>
      </c>
      <c r="S704" s="602"/>
      <c r="T704" s="378" t="str">
        <f>+IFERROR(VLOOKUP(S704,STAT1!$C$4:$D$189,2,FALSE),"")</f>
        <v/>
      </c>
      <c r="U704" s="1225"/>
      <c r="V704" s="1216"/>
      <c r="W704" s="326">
        <v>3074</v>
      </c>
      <c r="X704" s="328" t="str">
        <f>IFERROR(VLOOKUP(W704,DATA!$G$4:$H$400,2,FALSE),"")</f>
        <v>КАМДЕР ХХК</v>
      </c>
      <c r="Y704" s="1205"/>
      <c r="Z704" s="1205"/>
      <c r="AA704" s="1205"/>
    </row>
    <row r="705" spans="1:27" ht="12.75" customHeight="1">
      <c r="A705" s="15">
        <v>165</v>
      </c>
      <c r="B705" s="369">
        <f t="shared" si="180"/>
        <v>700</v>
      </c>
      <c r="C705" s="427">
        <v>42952</v>
      </c>
      <c r="D705" s="618">
        <v>410366</v>
      </c>
      <c r="E705" s="425" t="str">
        <f t="shared" ca="1" si="188"/>
        <v xml:space="preserve">Модны замаска </v>
      </c>
      <c r="F705" s="428" t="str">
        <f t="shared" ca="1" si="183"/>
        <v>ш</v>
      </c>
      <c r="G705" s="378"/>
      <c r="H705" s="378"/>
      <c r="I705" s="378" t="str">
        <f t="shared" si="181"/>
        <v/>
      </c>
      <c r="J705" s="378" t="str">
        <f t="shared" si="178"/>
        <v/>
      </c>
      <c r="K705" s="1220" t="str">
        <f t="shared" si="182"/>
        <v/>
      </c>
      <c r="L705" s="378">
        <v>32</v>
      </c>
      <c r="M705" s="378"/>
      <c r="N705" s="378">
        <f t="shared" si="177"/>
        <v>0</v>
      </c>
      <c r="O705" s="378">
        <f t="shared" si="184"/>
        <v>0</v>
      </c>
      <c r="P705" s="378">
        <f t="shared" si="185"/>
        <v>0</v>
      </c>
      <c r="Q705" s="378">
        <f t="shared" ca="1" si="186"/>
        <v>2990.909090909091</v>
      </c>
      <c r="R705" s="378">
        <f t="shared" ca="1" si="187"/>
        <v>95709.090909090912</v>
      </c>
      <c r="S705" s="602"/>
      <c r="T705" s="378" t="str">
        <f>+IFERROR(VLOOKUP(S705,STAT1!$C$4:$D$189,2,FALSE),"")</f>
        <v/>
      </c>
      <c r="U705" s="1225"/>
      <c r="V705" s="1216"/>
      <c r="W705" s="326">
        <v>3074</v>
      </c>
      <c r="X705" s="328" t="str">
        <f>IFERROR(VLOOKUP(W705,DATA!$G$4:$H$400,2,FALSE),"")</f>
        <v>КАМДЕР ХХК</v>
      </c>
      <c r="Y705" s="1205"/>
      <c r="Z705" s="1205"/>
      <c r="AA705" s="1205"/>
    </row>
    <row r="706" spans="1:27" ht="12.75" customHeight="1">
      <c r="A706" s="15">
        <v>165</v>
      </c>
      <c r="B706" s="369">
        <f t="shared" si="180"/>
        <v>701</v>
      </c>
      <c r="C706" s="427">
        <v>42952</v>
      </c>
      <c r="D706" s="618">
        <v>410054</v>
      </c>
      <c r="E706" s="425" t="str">
        <f t="shared" ca="1" si="188"/>
        <v xml:space="preserve">Будаг шингэлэгч </v>
      </c>
      <c r="F706" s="428" t="str">
        <f t="shared" ca="1" si="183"/>
        <v>ш</v>
      </c>
      <c r="G706" s="378"/>
      <c r="H706" s="378"/>
      <c r="I706" s="378" t="str">
        <f t="shared" si="181"/>
        <v/>
      </c>
      <c r="J706" s="378" t="str">
        <f t="shared" si="178"/>
        <v/>
      </c>
      <c r="K706" s="1220" t="str">
        <f t="shared" si="182"/>
        <v/>
      </c>
      <c r="L706" s="378">
        <v>454</v>
      </c>
      <c r="M706" s="378"/>
      <c r="N706" s="378">
        <f t="shared" si="177"/>
        <v>0</v>
      </c>
      <c r="O706" s="378">
        <f t="shared" si="184"/>
        <v>0</v>
      </c>
      <c r="P706" s="378">
        <f t="shared" si="185"/>
        <v>0</v>
      </c>
      <c r="Q706" s="378">
        <f t="shared" ca="1" si="186"/>
        <v>1939.1413167043283</v>
      </c>
      <c r="R706" s="378">
        <f t="shared" ca="1" si="187"/>
        <v>880370.15778376511</v>
      </c>
      <c r="S706" s="602"/>
      <c r="T706" s="378" t="str">
        <f>+IFERROR(VLOOKUP(S706,STAT1!$C$4:$D$189,2,FALSE),"")</f>
        <v/>
      </c>
      <c r="U706" s="1225"/>
      <c r="V706" s="1216"/>
      <c r="W706" s="326">
        <v>3074</v>
      </c>
      <c r="X706" s="328" t="str">
        <f>IFERROR(VLOOKUP(W706,DATA!$G$4:$H$400,2,FALSE),"")</f>
        <v>КАМДЕР ХХК</v>
      </c>
      <c r="Y706" s="1205"/>
      <c r="Z706" s="1205"/>
      <c r="AA706" s="1205"/>
    </row>
    <row r="707" spans="1:27" ht="12.75" customHeight="1">
      <c r="A707" s="15">
        <v>165</v>
      </c>
      <c r="B707" s="369">
        <f t="shared" si="180"/>
        <v>702</v>
      </c>
      <c r="C707" s="427">
        <v>42952</v>
      </c>
      <c r="D707" s="618">
        <v>410050</v>
      </c>
      <c r="E707" s="425" t="str">
        <f t="shared" ca="1" si="188"/>
        <v>Лист 2см</v>
      </c>
      <c r="F707" s="428" t="str">
        <f t="shared" ca="1" si="183"/>
        <v>ш</v>
      </c>
      <c r="G707" s="378"/>
      <c r="H707" s="378"/>
      <c r="I707" s="378" t="str">
        <f t="shared" si="181"/>
        <v/>
      </c>
      <c r="J707" s="378" t="str">
        <f t="shared" si="178"/>
        <v/>
      </c>
      <c r="K707" s="1220" t="str">
        <f t="shared" si="182"/>
        <v/>
      </c>
      <c r="L707" s="378">
        <v>256</v>
      </c>
      <c r="M707" s="378"/>
      <c r="N707" s="378">
        <f t="shared" si="177"/>
        <v>0</v>
      </c>
      <c r="O707" s="378">
        <f t="shared" si="184"/>
        <v>0</v>
      </c>
      <c r="P707" s="378">
        <f t="shared" si="185"/>
        <v>0</v>
      </c>
      <c r="Q707" s="378">
        <f t="shared" ca="1" si="186"/>
        <v>13220.78</v>
      </c>
      <c r="R707" s="378">
        <f t="shared" ca="1" si="187"/>
        <v>3384519.68</v>
      </c>
      <c r="S707" s="602"/>
      <c r="T707" s="378" t="str">
        <f>+IFERROR(VLOOKUP(S707,STAT1!$C$4:$D$189,2,FALSE),"")</f>
        <v/>
      </c>
      <c r="U707" s="1225"/>
      <c r="V707" s="1216"/>
      <c r="W707" s="326">
        <v>3074</v>
      </c>
      <c r="X707" s="328" t="str">
        <f>IFERROR(VLOOKUP(W707,DATA!$G$4:$H$400,2,FALSE),"")</f>
        <v>КАМДЕР ХХК</v>
      </c>
      <c r="Y707" s="1205"/>
      <c r="Z707" s="1205"/>
      <c r="AA707" s="1205"/>
    </row>
    <row r="708" spans="1:27" ht="12.75" customHeight="1">
      <c r="A708" s="15">
        <v>165</v>
      </c>
      <c r="B708" s="369">
        <f t="shared" si="180"/>
        <v>703</v>
      </c>
      <c r="C708" s="427">
        <v>42952</v>
      </c>
      <c r="D708" s="426">
        <v>211504</v>
      </c>
      <c r="E708" s="425" t="str">
        <f t="shared" ca="1" si="188"/>
        <v xml:space="preserve">Н-Евровагонка /зузаан-1.2см/-яртай </v>
      </c>
      <c r="F708" s="428" t="str">
        <f t="shared" ca="1" si="183"/>
        <v>м2</v>
      </c>
      <c r="G708" s="378"/>
      <c r="H708" s="378"/>
      <c r="I708" s="378" t="str">
        <f t="shared" si="181"/>
        <v/>
      </c>
      <c r="J708" s="378" t="str">
        <f t="shared" si="178"/>
        <v/>
      </c>
      <c r="K708" s="1220" t="str">
        <f t="shared" si="182"/>
        <v/>
      </c>
      <c r="L708" s="378">
        <v>329</v>
      </c>
      <c r="M708" s="378"/>
      <c r="N708" s="378">
        <f t="shared" si="177"/>
        <v>0</v>
      </c>
      <c r="O708" s="378">
        <f t="shared" si="184"/>
        <v>0</v>
      </c>
      <c r="P708" s="378">
        <f t="shared" si="185"/>
        <v>0</v>
      </c>
      <c r="Q708" s="378">
        <f t="shared" ca="1" si="186"/>
        <v>11310.879514497638</v>
      </c>
      <c r="R708" s="378">
        <f t="shared" ca="1" si="187"/>
        <v>3721279.3602697225</v>
      </c>
      <c r="S708" s="602"/>
      <c r="T708" s="378" t="str">
        <f>+IFERROR(VLOOKUP(S708,STAT1!$C$4:$D$189,2,FALSE),"")</f>
        <v/>
      </c>
      <c r="U708" s="1225"/>
      <c r="V708" s="1216"/>
      <c r="W708" s="326">
        <v>3074</v>
      </c>
      <c r="X708" s="328" t="str">
        <f>IFERROR(VLOOKUP(W708,DATA!$G$4:$H$400,2,FALSE),"")</f>
        <v>КАМДЕР ХХК</v>
      </c>
      <c r="Y708" s="1205"/>
      <c r="Z708" s="1205"/>
      <c r="AA708" s="1205"/>
    </row>
    <row r="709" spans="1:27" ht="12.75" customHeight="1">
      <c r="A709" s="15">
        <v>165</v>
      </c>
      <c r="B709" s="369">
        <f t="shared" si="180"/>
        <v>704</v>
      </c>
      <c r="C709" s="427">
        <v>42952</v>
      </c>
      <c r="D709" s="426">
        <v>211713</v>
      </c>
      <c r="E709" s="425" t="str">
        <f t="shared" ca="1" si="188"/>
        <v>Н-Хавтан /зузаан-2см/</v>
      </c>
      <c r="F709" s="428" t="str">
        <f t="shared" ca="1" si="183"/>
        <v>м2</v>
      </c>
      <c r="G709" s="378"/>
      <c r="H709" s="378"/>
      <c r="I709" s="378" t="str">
        <f t="shared" si="181"/>
        <v/>
      </c>
      <c r="J709" s="378" t="str">
        <f t="shared" si="178"/>
        <v/>
      </c>
      <c r="K709" s="1220" t="str">
        <f t="shared" si="182"/>
        <v/>
      </c>
      <c r="L709" s="378">
        <v>47</v>
      </c>
      <c r="M709" s="378"/>
      <c r="N709" s="378">
        <f t="shared" si="177"/>
        <v>0</v>
      </c>
      <c r="O709" s="378">
        <f t="shared" si="184"/>
        <v>0</v>
      </c>
      <c r="P709" s="378">
        <f t="shared" si="185"/>
        <v>0</v>
      </c>
      <c r="Q709" s="378">
        <f t="shared" ca="1" si="186"/>
        <v>20836.299698816012</v>
      </c>
      <c r="R709" s="378">
        <f t="shared" ca="1" si="187"/>
        <v>979306.08584435261</v>
      </c>
      <c r="S709" s="602"/>
      <c r="T709" s="378" t="str">
        <f>+IFERROR(VLOOKUP(S709,STAT1!$C$4:$D$189,2,FALSE),"")</f>
        <v/>
      </c>
      <c r="U709" s="1225"/>
      <c r="V709" s="1216"/>
      <c r="W709" s="326">
        <v>3074</v>
      </c>
      <c r="X709" s="328" t="str">
        <f>IFERROR(VLOOKUP(W709,DATA!$G$4:$H$400,2,FALSE),"")</f>
        <v>КАМДЕР ХХК</v>
      </c>
      <c r="Y709" s="1205"/>
      <c r="Z709" s="1205"/>
      <c r="AA709" s="1205"/>
    </row>
    <row r="710" spans="1:27" ht="12.75" customHeight="1">
      <c r="A710" s="15">
        <v>166</v>
      </c>
      <c r="B710" s="369">
        <f t="shared" si="180"/>
        <v>705</v>
      </c>
      <c r="C710" s="427">
        <v>42952</v>
      </c>
      <c r="D710" s="426">
        <v>211714</v>
      </c>
      <c r="E710" s="425" t="str">
        <f t="shared" ca="1" si="188"/>
        <v xml:space="preserve">Н-Хавтан /зузаан-2см/-яртай </v>
      </c>
      <c r="F710" s="428" t="str">
        <f t="shared" ca="1" si="183"/>
        <v>м2</v>
      </c>
      <c r="G710" s="378"/>
      <c r="H710" s="378"/>
      <c r="I710" s="378" t="str">
        <f t="shared" si="181"/>
        <v/>
      </c>
      <c r="J710" s="378" t="str">
        <f t="shared" si="178"/>
        <v/>
      </c>
      <c r="K710" s="1220" t="str">
        <f t="shared" si="182"/>
        <v/>
      </c>
      <c r="L710" s="378">
        <v>15</v>
      </c>
      <c r="M710" s="378">
        <v>26666.6666</v>
      </c>
      <c r="N710" s="378">
        <f t="shared" si="177"/>
        <v>399999.99900000001</v>
      </c>
      <c r="O710" s="378">
        <f t="shared" si="184"/>
        <v>39999.999900000003</v>
      </c>
      <c r="P710" s="378">
        <f t="shared" si="185"/>
        <v>439999.99890000001</v>
      </c>
      <c r="Q710" s="378">
        <f t="shared" ca="1" si="186"/>
        <v>18125.309466931165</v>
      </c>
      <c r="R710" s="378">
        <f t="shared" ca="1" si="187"/>
        <v>271879.64200396748</v>
      </c>
      <c r="S710" s="602">
        <v>610100</v>
      </c>
      <c r="T710" s="378" t="str">
        <f>+IFERROR(VLOOKUP(S710,STAT1!$C$4:$D$189,2,FALSE),"")</f>
        <v>Борлуулсан барааны өртөг</v>
      </c>
      <c r="U710" s="1225">
        <v>784170.19470865303</v>
      </c>
      <c r="V710" s="1216"/>
      <c r="W710" s="326">
        <v>3081</v>
      </c>
      <c r="X710" s="328" t="str">
        <f>IFERROR(VLOOKUP(W710,DATA!$G$4:$H$400,2,FALSE),"")</f>
        <v>ПИ АЙ ЭМ ЭМ ХХК</v>
      </c>
      <c r="Y710" s="1205"/>
      <c r="Z710" s="1205"/>
      <c r="AA710" s="1205"/>
    </row>
    <row r="711" spans="1:27" ht="12.75" customHeight="1">
      <c r="A711" s="15">
        <v>166</v>
      </c>
      <c r="B711" s="369">
        <f t="shared" si="180"/>
        <v>706</v>
      </c>
      <c r="C711" s="427">
        <v>42952</v>
      </c>
      <c r="D711" s="426">
        <v>211802</v>
      </c>
      <c r="E711" s="425" t="str">
        <f t="shared" ca="1" si="188"/>
        <v xml:space="preserve">Н-Уголок </v>
      </c>
      <c r="F711" s="428" t="str">
        <f t="shared" ca="1" si="183"/>
        <v>м</v>
      </c>
      <c r="G711" s="378"/>
      <c r="H711" s="378"/>
      <c r="I711" s="378" t="str">
        <f t="shared" si="181"/>
        <v/>
      </c>
      <c r="J711" s="378" t="str">
        <f t="shared" si="178"/>
        <v/>
      </c>
      <c r="K711" s="1220" t="str">
        <f t="shared" si="182"/>
        <v/>
      </c>
      <c r="L711" s="378">
        <v>63.5</v>
      </c>
      <c r="M711" s="378">
        <v>3000</v>
      </c>
      <c r="N711" s="378">
        <f t="shared" si="177"/>
        <v>190500</v>
      </c>
      <c r="O711" s="378">
        <f t="shared" si="184"/>
        <v>19050</v>
      </c>
      <c r="P711" s="378">
        <f t="shared" si="185"/>
        <v>209550</v>
      </c>
      <c r="Q711" s="378">
        <f t="shared" ca="1" si="186"/>
        <v>1412.1879249284552</v>
      </c>
      <c r="R711" s="378">
        <f t="shared" ca="1" si="187"/>
        <v>89673.933232956901</v>
      </c>
      <c r="S711" s="602">
        <v>310500</v>
      </c>
      <c r="T711" s="378" t="str">
        <f>+IFERROR(VLOOKUP(S711,STAT1!$C$4:$D$189,2,FALSE),"")</f>
        <v>НӨАТ өглөг</v>
      </c>
      <c r="U711" s="1225"/>
      <c r="V711" s="1216">
        <v>113013.63623790001</v>
      </c>
      <c r="W711" s="326">
        <v>3081</v>
      </c>
      <c r="X711" s="328" t="str">
        <f>IFERROR(VLOOKUP(W711,DATA!$G$4:$H$400,2,FALSE),"")</f>
        <v>ПИ АЙ ЭМ ЭМ ХХК</v>
      </c>
      <c r="Y711" s="1205"/>
      <c r="Z711" s="1205"/>
      <c r="AA711" s="1205"/>
    </row>
    <row r="712" spans="1:27" ht="12.75" customHeight="1">
      <c r="A712" s="15">
        <v>166</v>
      </c>
      <c r="B712" s="369">
        <f t="shared" si="180"/>
        <v>707</v>
      </c>
      <c r="C712" s="427">
        <v>42952</v>
      </c>
      <c r="D712" s="426">
        <v>211710</v>
      </c>
      <c r="E712" s="425" t="str">
        <f t="shared" ca="1" si="188"/>
        <v xml:space="preserve">Н-Хавтан /зузаан-3см/-яртай </v>
      </c>
      <c r="F712" s="428" t="str">
        <f t="shared" ca="1" si="183"/>
        <v>м2</v>
      </c>
      <c r="G712" s="378"/>
      <c r="H712" s="378"/>
      <c r="I712" s="378" t="str">
        <f t="shared" si="181"/>
        <v/>
      </c>
      <c r="J712" s="378" t="str">
        <f t="shared" si="178"/>
        <v/>
      </c>
      <c r="K712" s="1220" t="str">
        <f t="shared" si="182"/>
        <v/>
      </c>
      <c r="L712" s="378">
        <v>10.79</v>
      </c>
      <c r="M712" s="378">
        <v>40003.3701</v>
      </c>
      <c r="N712" s="378">
        <f t="shared" si="177"/>
        <v>431636.36337899999</v>
      </c>
      <c r="O712" s="378">
        <f t="shared" si="184"/>
        <v>43163.636337900003</v>
      </c>
      <c r="P712" s="378">
        <f t="shared" si="185"/>
        <v>474799.9997169</v>
      </c>
      <c r="Q712" s="378">
        <f t="shared" ca="1" si="186"/>
        <v>32877.788914248595</v>
      </c>
      <c r="R712" s="378">
        <f t="shared" ca="1" si="187"/>
        <v>354751.34238474228</v>
      </c>
      <c r="S712" s="602">
        <v>510000</v>
      </c>
      <c r="T712" s="378" t="str">
        <f>+IFERROR(VLOOKUP(S712,STAT1!$C$4:$D$189,2,FALSE),"")</f>
        <v>Үндсэн үйл ажиллагааны борлуулалт</v>
      </c>
      <c r="U712" s="1225"/>
      <c r="V712" s="1216">
        <v>1130136.3623790001</v>
      </c>
      <c r="W712" s="326">
        <v>3081</v>
      </c>
      <c r="X712" s="328" t="str">
        <f>IFERROR(VLOOKUP(W712,DATA!$G$4:$H$400,2,FALSE),"")</f>
        <v>ПИ АЙ ЭМ ЭМ ХХК</v>
      </c>
      <c r="Y712" s="1205"/>
      <c r="Z712" s="1205"/>
      <c r="AA712" s="1205"/>
    </row>
    <row r="713" spans="1:27" ht="12.75" customHeight="1">
      <c r="A713" s="15">
        <v>166</v>
      </c>
      <c r="B713" s="369">
        <f t="shared" si="180"/>
        <v>708</v>
      </c>
      <c r="C713" s="427">
        <v>42952</v>
      </c>
      <c r="D713" s="426"/>
      <c r="E713" s="425" t="str">
        <f t="shared" ca="1" si="188"/>
        <v/>
      </c>
      <c r="F713" s="428" t="str">
        <f t="shared" ca="1" si="183"/>
        <v/>
      </c>
      <c r="G713" s="378"/>
      <c r="H713" s="378"/>
      <c r="I713" s="378" t="str">
        <f t="shared" si="181"/>
        <v/>
      </c>
      <c r="J713" s="378" t="str">
        <f t="shared" si="178"/>
        <v/>
      </c>
      <c r="K713" s="1220" t="str">
        <f t="shared" si="182"/>
        <v/>
      </c>
      <c r="L713" s="378"/>
      <c r="M713" s="378"/>
      <c r="N713" s="378" t="str">
        <f t="shared" si="177"/>
        <v/>
      </c>
      <c r="O713" s="378" t="str">
        <f t="shared" si="184"/>
        <v/>
      </c>
      <c r="P713" s="378" t="str">
        <f t="shared" si="185"/>
        <v/>
      </c>
      <c r="Q713" s="378" t="str">
        <f t="shared" si="186"/>
        <v/>
      </c>
      <c r="R713" s="378" t="str">
        <f t="shared" si="187"/>
        <v/>
      </c>
      <c r="S713" s="602">
        <v>320100</v>
      </c>
      <c r="T713" s="378" t="str">
        <f>+IFERROR(VLOOKUP(S713,STAT1!$C$4:$D$189,2,FALSE),"")</f>
        <v>Урьдчилж орсон орлого MNT</v>
      </c>
      <c r="U713" s="1225">
        <v>1243149.9986169001</v>
      </c>
      <c r="V713" s="1216"/>
      <c r="W713" s="326">
        <v>3081</v>
      </c>
      <c r="X713" s="328" t="str">
        <f>IFERROR(VLOOKUP(W713,DATA!$G$4:$H$400,2,FALSE),"")</f>
        <v>ПИ АЙ ЭМ ЭМ ХХК</v>
      </c>
      <c r="Y713" s="1205"/>
      <c r="Z713" s="1205"/>
      <c r="AA713" s="1205"/>
    </row>
    <row r="714" spans="1:27" ht="12.75" customHeight="1">
      <c r="A714" s="15">
        <v>166</v>
      </c>
      <c r="B714" s="369">
        <f t="shared" si="180"/>
        <v>709</v>
      </c>
      <c r="C714" s="427">
        <v>42952</v>
      </c>
      <c r="D714" s="426">
        <v>211504</v>
      </c>
      <c r="E714" s="425" t="str">
        <f t="shared" ca="1" si="188"/>
        <v xml:space="preserve">Н-Евровагонка /зузаан-1.2см/-яртай </v>
      </c>
      <c r="F714" s="428" t="str">
        <f t="shared" ca="1" si="183"/>
        <v>м2</v>
      </c>
      <c r="G714" s="378"/>
      <c r="H714" s="378"/>
      <c r="I714" s="378" t="str">
        <f t="shared" si="181"/>
        <v/>
      </c>
      <c r="J714" s="378" t="str">
        <f t="shared" si="178"/>
        <v/>
      </c>
      <c r="K714" s="1220" t="str">
        <f t="shared" si="182"/>
        <v/>
      </c>
      <c r="L714" s="378">
        <v>6</v>
      </c>
      <c r="M714" s="378">
        <v>18000</v>
      </c>
      <c r="N714" s="378">
        <f t="shared" si="177"/>
        <v>108000</v>
      </c>
      <c r="O714" s="378">
        <f t="shared" si="184"/>
        <v>10800</v>
      </c>
      <c r="P714" s="378">
        <f t="shared" si="185"/>
        <v>118800</v>
      </c>
      <c r="Q714" s="378">
        <f t="shared" ca="1" si="186"/>
        <v>11310.879514497638</v>
      </c>
      <c r="R714" s="378">
        <f t="shared" ca="1" si="187"/>
        <v>67865.277086985821</v>
      </c>
      <c r="S714" s="602">
        <v>150101</v>
      </c>
      <c r="T714" s="378" t="str">
        <f>+IFERROR(VLOOKUP(S714,STAT1!$C$4:$D$189,2,FALSE),"")</f>
        <v>Бараа бэлэн бүтээгдэхүүн БОЛОВСРУУЛАХ ЦЕХ /нарс/</v>
      </c>
      <c r="U714" s="1225"/>
      <c r="V714" s="1216">
        <v>784170.19470865256</v>
      </c>
      <c r="W714" s="326">
        <v>3081</v>
      </c>
      <c r="X714" s="328" t="str">
        <f>IFERROR(VLOOKUP(W714,DATA!$G$4:$H$400,2,FALSE),"")</f>
        <v>ПИ АЙ ЭМ ЭМ ХХК</v>
      </c>
      <c r="Y714" s="1205"/>
      <c r="Z714" s="1205"/>
      <c r="AA714" s="1205"/>
    </row>
    <row r="715" spans="1:27" ht="12.75" customHeight="1">
      <c r="A715" s="15">
        <v>167</v>
      </c>
      <c r="B715" s="369">
        <f t="shared" si="180"/>
        <v>710</v>
      </c>
      <c r="C715" s="427">
        <v>42952</v>
      </c>
      <c r="D715" s="426">
        <v>211710</v>
      </c>
      <c r="E715" s="425" t="str">
        <f t="shared" ca="1" si="188"/>
        <v xml:space="preserve">Н-Хавтан /зузаан-3см/-яртай </v>
      </c>
      <c r="F715" s="428" t="str">
        <f t="shared" ca="1" si="183"/>
        <v>м2</v>
      </c>
      <c r="G715" s="378"/>
      <c r="H715" s="378"/>
      <c r="I715" s="378" t="str">
        <f t="shared" si="181"/>
        <v/>
      </c>
      <c r="J715" s="378" t="str">
        <f t="shared" si="178"/>
        <v/>
      </c>
      <c r="K715" s="1220" t="str">
        <f t="shared" si="182"/>
        <v/>
      </c>
      <c r="L715" s="378">
        <v>380.1</v>
      </c>
      <c r="M715" s="378">
        <v>40000</v>
      </c>
      <c r="N715" s="378">
        <f t="shared" si="177"/>
        <v>15204000</v>
      </c>
      <c r="O715" s="378">
        <f t="shared" si="184"/>
        <v>1520400</v>
      </c>
      <c r="P715" s="378">
        <f t="shared" si="185"/>
        <v>16724400</v>
      </c>
      <c r="Q715" s="378">
        <f t="shared" ca="1" si="186"/>
        <v>32877.788914248595</v>
      </c>
      <c r="R715" s="378">
        <f t="shared" ca="1" si="187"/>
        <v>12496847.566305891</v>
      </c>
      <c r="S715" s="602">
        <v>150101</v>
      </c>
      <c r="T715" s="378" t="str">
        <f>+IFERROR(VLOOKUP(S715,STAT1!$C$4:$D$189,2,FALSE),"")</f>
        <v>Бараа бэлэн бүтээгдэхүүн БОЛОВСРУУЛАХ ЦЕХ /нарс/</v>
      </c>
      <c r="U715" s="1225"/>
      <c r="V715" s="1216">
        <v>18731754.644526076</v>
      </c>
      <c r="W715" s="326">
        <v>3002</v>
      </c>
      <c r="X715" s="328" t="str">
        <f>IFERROR(VLOOKUP(W715,DATA!$G$4:$H$400,2,FALSE),"")</f>
        <v>ЭКО КОНСТРАКШН ХХК</v>
      </c>
      <c r="Y715" s="1205"/>
      <c r="Z715" s="1205"/>
      <c r="AA715" s="1205"/>
    </row>
    <row r="716" spans="1:27" ht="12.75" customHeight="1">
      <c r="A716" s="15">
        <v>167</v>
      </c>
      <c r="B716" s="369">
        <f t="shared" si="180"/>
        <v>711</v>
      </c>
      <c r="C716" s="427">
        <v>42952</v>
      </c>
      <c r="D716" s="426">
        <v>211714</v>
      </c>
      <c r="E716" s="425" t="str">
        <f t="shared" ca="1" si="188"/>
        <v xml:space="preserve">Н-Хавтан /зузаан-2см/-яртай </v>
      </c>
      <c r="F716" s="428" t="str">
        <f t="shared" ca="1" si="183"/>
        <v>м2</v>
      </c>
      <c r="G716" s="378"/>
      <c r="H716" s="378"/>
      <c r="I716" s="378" t="str">
        <f t="shared" si="181"/>
        <v/>
      </c>
      <c r="J716" s="378" t="str">
        <f t="shared" si="178"/>
        <v/>
      </c>
      <c r="K716" s="1220" t="str">
        <f t="shared" si="182"/>
        <v/>
      </c>
      <c r="L716" s="378">
        <v>343.98899999999998</v>
      </c>
      <c r="M716" s="378">
        <v>26666.676640000001</v>
      </c>
      <c r="N716" s="378">
        <f t="shared" si="177"/>
        <v>9173043.4307169598</v>
      </c>
      <c r="O716" s="378">
        <f t="shared" si="184"/>
        <v>917304.343071696</v>
      </c>
      <c r="P716" s="378">
        <f t="shared" si="185"/>
        <v>10090347.773788655</v>
      </c>
      <c r="Q716" s="378">
        <f t="shared" ca="1" si="186"/>
        <v>18125.309466931165</v>
      </c>
      <c r="R716" s="378">
        <f t="shared" ca="1" si="187"/>
        <v>6234907.078220184</v>
      </c>
      <c r="S716" s="602">
        <v>610100</v>
      </c>
      <c r="T716" s="378" t="str">
        <f>+IFERROR(VLOOKUP(S716,STAT1!$C$4:$D$189,2,FALSE),"")</f>
        <v>Борлуулсан барааны өртөг</v>
      </c>
      <c r="U716" s="1225">
        <v>18731754.644526076</v>
      </c>
      <c r="V716" s="1216"/>
      <c r="W716" s="326">
        <v>3002</v>
      </c>
      <c r="X716" s="328" t="str">
        <f>IFERROR(VLOOKUP(W716,DATA!$G$4:$H$400,2,FALSE),"")</f>
        <v>ЭКО КОНСТРАКШН ХХК</v>
      </c>
      <c r="Y716" s="1205"/>
      <c r="Z716" s="1205"/>
      <c r="AA716" s="1205"/>
    </row>
    <row r="717" spans="1:27" ht="12.75" customHeight="1">
      <c r="A717" s="15">
        <v>167</v>
      </c>
      <c r="B717" s="369">
        <f t="shared" si="180"/>
        <v>712</v>
      </c>
      <c r="C717" s="427">
        <v>42952</v>
      </c>
      <c r="D717" s="426"/>
      <c r="E717" s="425" t="str">
        <f t="shared" ca="1" si="188"/>
        <v/>
      </c>
      <c r="F717" s="428" t="str">
        <f t="shared" ca="1" si="183"/>
        <v/>
      </c>
      <c r="G717" s="378"/>
      <c r="H717" s="378"/>
      <c r="I717" s="378" t="str">
        <f t="shared" si="181"/>
        <v/>
      </c>
      <c r="J717" s="378" t="str">
        <f t="shared" si="178"/>
        <v/>
      </c>
      <c r="K717" s="1220" t="str">
        <f t="shared" si="182"/>
        <v/>
      </c>
      <c r="L717" s="378"/>
      <c r="M717" s="378"/>
      <c r="N717" s="378" t="str">
        <f t="shared" si="177"/>
        <v/>
      </c>
      <c r="O717" s="378" t="str">
        <f t="shared" si="184"/>
        <v/>
      </c>
      <c r="P717" s="378" t="str">
        <f t="shared" si="185"/>
        <v/>
      </c>
      <c r="Q717" s="378" t="str">
        <f t="shared" si="186"/>
        <v/>
      </c>
      <c r="R717" s="378" t="str">
        <f t="shared" si="187"/>
        <v/>
      </c>
      <c r="S717" s="602">
        <v>310500</v>
      </c>
      <c r="T717" s="378" t="str">
        <f>+IFERROR(VLOOKUP(S717,STAT1!$C$4:$D$189,2,FALSE),"")</f>
        <v>НӨАТ өглөг</v>
      </c>
      <c r="U717" s="1225"/>
      <c r="V717" s="1216">
        <v>2437704.3430716959</v>
      </c>
      <c r="W717" s="326">
        <v>3002</v>
      </c>
      <c r="X717" s="328" t="str">
        <f>IFERROR(VLOOKUP(W717,DATA!$G$4:$H$400,2,FALSE),"")</f>
        <v>ЭКО КОНСТРАКШН ХХК</v>
      </c>
      <c r="Y717" s="1205"/>
      <c r="Z717" s="1205"/>
      <c r="AA717" s="1205"/>
    </row>
    <row r="718" spans="1:27" ht="12.75" customHeight="1">
      <c r="A718" s="15">
        <v>167</v>
      </c>
      <c r="B718" s="369">
        <f t="shared" si="180"/>
        <v>713</v>
      </c>
      <c r="C718" s="427">
        <v>42952</v>
      </c>
      <c r="D718" s="426"/>
      <c r="E718" s="425" t="str">
        <f t="shared" ca="1" si="188"/>
        <v/>
      </c>
      <c r="F718" s="428" t="str">
        <f t="shared" ca="1" si="183"/>
        <v/>
      </c>
      <c r="G718" s="378"/>
      <c r="H718" s="378"/>
      <c r="I718" s="378" t="str">
        <f t="shared" si="181"/>
        <v/>
      </c>
      <c r="J718" s="378" t="str">
        <f t="shared" si="178"/>
        <v/>
      </c>
      <c r="K718" s="1220" t="str">
        <f t="shared" si="182"/>
        <v/>
      </c>
      <c r="L718" s="378"/>
      <c r="M718" s="378"/>
      <c r="N718" s="378" t="str">
        <f t="shared" si="177"/>
        <v/>
      </c>
      <c r="O718" s="378" t="str">
        <f t="shared" si="184"/>
        <v/>
      </c>
      <c r="P718" s="378" t="str">
        <f t="shared" si="185"/>
        <v/>
      </c>
      <c r="Q718" s="378" t="str">
        <f t="shared" si="186"/>
        <v/>
      </c>
      <c r="R718" s="378" t="str">
        <f t="shared" si="187"/>
        <v/>
      </c>
      <c r="S718" s="602">
        <v>510000</v>
      </c>
      <c r="T718" s="378" t="str">
        <f>+IFERROR(VLOOKUP(S718,STAT1!$C$4:$D$189,2,FALSE),"")</f>
        <v>Үндсэн үйл ажиллагааны борлуулалт</v>
      </c>
      <c r="U718" s="1225"/>
      <c r="V718" s="1216">
        <v>24377043.430716962</v>
      </c>
      <c r="W718" s="326">
        <v>3002</v>
      </c>
      <c r="X718" s="328" t="str">
        <f>IFERROR(VLOOKUP(W718,DATA!$G$4:$H$400,2,FALSE),"")</f>
        <v>ЭКО КОНСТРАКШН ХХК</v>
      </c>
      <c r="Y718" s="1205"/>
      <c r="Z718" s="1205"/>
      <c r="AA718" s="1205"/>
    </row>
    <row r="719" spans="1:27" ht="12.75" customHeight="1">
      <c r="A719" s="15">
        <v>167</v>
      </c>
      <c r="B719" s="369">
        <f t="shared" si="180"/>
        <v>714</v>
      </c>
      <c r="C719" s="427">
        <v>42952</v>
      </c>
      <c r="D719" s="426"/>
      <c r="E719" s="425" t="str">
        <f t="shared" ca="1" si="188"/>
        <v/>
      </c>
      <c r="F719" s="428" t="str">
        <f t="shared" ca="1" si="183"/>
        <v/>
      </c>
      <c r="G719" s="378"/>
      <c r="H719" s="378"/>
      <c r="I719" s="378" t="str">
        <f t="shared" si="181"/>
        <v/>
      </c>
      <c r="J719" s="378" t="str">
        <f t="shared" si="178"/>
        <v/>
      </c>
      <c r="K719" s="1220" t="str">
        <f t="shared" si="182"/>
        <v/>
      </c>
      <c r="L719" s="378"/>
      <c r="M719" s="378"/>
      <c r="N719" s="378" t="str">
        <f t="shared" si="177"/>
        <v/>
      </c>
      <c r="O719" s="378" t="str">
        <f t="shared" si="184"/>
        <v/>
      </c>
      <c r="P719" s="378" t="str">
        <f t="shared" si="185"/>
        <v/>
      </c>
      <c r="Q719" s="378" t="str">
        <f t="shared" si="186"/>
        <v/>
      </c>
      <c r="R719" s="378" t="str">
        <f t="shared" si="187"/>
        <v/>
      </c>
      <c r="S719" s="602">
        <v>320100</v>
      </c>
      <c r="T719" s="378" t="str">
        <f>+IFERROR(VLOOKUP(S719,STAT1!$C$4:$D$189,2,FALSE),"")</f>
        <v>Урьдчилж орсон орлого MNT</v>
      </c>
      <c r="U719" s="1225">
        <v>26814747.773788653</v>
      </c>
      <c r="V719" s="1216"/>
      <c r="W719" s="326">
        <v>3002</v>
      </c>
      <c r="X719" s="328" t="str">
        <f>IFERROR(VLOOKUP(W719,DATA!$G$4:$H$400,2,FALSE),"")</f>
        <v>ЭКО КОНСТРАКШН ХХК</v>
      </c>
      <c r="Y719" s="1205"/>
      <c r="Z719" s="1205"/>
      <c r="AA719" s="1205"/>
    </row>
    <row r="720" spans="1:27" ht="12.75" customHeight="1">
      <c r="A720" s="15">
        <v>167</v>
      </c>
      <c r="B720" s="369">
        <f t="shared" si="180"/>
        <v>715</v>
      </c>
      <c r="C720" s="427">
        <v>42957</v>
      </c>
      <c r="D720" s="426">
        <v>211401</v>
      </c>
      <c r="E720" s="425" t="str">
        <f t="shared" ca="1" si="188"/>
        <v xml:space="preserve">Н-Блок Хаус  /4.3*16.5см/-яртай </v>
      </c>
      <c r="F720" s="428" t="str">
        <f t="shared" ca="1" si="183"/>
        <v>м2</v>
      </c>
      <c r="G720" s="378"/>
      <c r="H720" s="378"/>
      <c r="I720" s="378" t="str">
        <f t="shared" si="181"/>
        <v/>
      </c>
      <c r="J720" s="378" t="str">
        <f t="shared" si="178"/>
        <v/>
      </c>
      <c r="K720" s="1220" t="str">
        <f t="shared" si="182"/>
        <v/>
      </c>
      <c r="L720" s="378">
        <v>3.74</v>
      </c>
      <c r="M720" s="378">
        <v>67956.245999999999</v>
      </c>
      <c r="N720" s="378">
        <f t="shared" si="177"/>
        <v>254156.36004</v>
      </c>
      <c r="O720" s="378">
        <f t="shared" si="184"/>
        <v>25415.636004</v>
      </c>
      <c r="P720" s="378">
        <f t="shared" si="185"/>
        <v>279571.99604400003</v>
      </c>
      <c r="Q720" s="378">
        <f t="shared" ca="1" si="186"/>
        <v>51757.27978772315</v>
      </c>
      <c r="R720" s="378">
        <f t="shared" ca="1" si="187"/>
        <v>193572.22640608458</v>
      </c>
      <c r="S720" s="602">
        <v>150101</v>
      </c>
      <c r="T720" s="378" t="str">
        <f>+IFERROR(VLOOKUP(S720,STAT1!$C$4:$D$189,2,FALSE),"")</f>
        <v>Бараа бэлэн бүтээгдэхүүн БОЛОВСРУУЛАХ ЦЕХ /нарс/</v>
      </c>
      <c r="U720" s="1225"/>
      <c r="V720" s="1216">
        <v>193572.22640608458</v>
      </c>
      <c r="W720" s="326">
        <v>3083</v>
      </c>
      <c r="X720" s="328" t="str">
        <f>IFERROR(VLOOKUP(W720,DATA!$G$4:$H$400,2,FALSE),"")</f>
        <v xml:space="preserve">БЧГ ХХК </v>
      </c>
      <c r="Y720" s="1205"/>
      <c r="Z720" s="1205"/>
      <c r="AA720" s="1205"/>
    </row>
    <row r="721" spans="1:27" ht="12.75" customHeight="1">
      <c r="A721" s="15">
        <v>167</v>
      </c>
      <c r="B721" s="369">
        <f t="shared" si="180"/>
        <v>716</v>
      </c>
      <c r="C721" s="427">
        <v>42957</v>
      </c>
      <c r="D721" s="426"/>
      <c r="E721" s="425" t="str">
        <f t="shared" ca="1" si="188"/>
        <v/>
      </c>
      <c r="F721" s="428" t="str">
        <f t="shared" ca="1" si="183"/>
        <v/>
      </c>
      <c r="G721" s="378"/>
      <c r="H721" s="378"/>
      <c r="I721" s="378" t="str">
        <f t="shared" si="181"/>
        <v/>
      </c>
      <c r="J721" s="378" t="str">
        <f t="shared" si="178"/>
        <v/>
      </c>
      <c r="K721" s="1220" t="str">
        <f t="shared" si="182"/>
        <v/>
      </c>
      <c r="L721" s="378"/>
      <c r="M721" s="378"/>
      <c r="N721" s="378" t="str">
        <f t="shared" si="177"/>
        <v/>
      </c>
      <c r="O721" s="378" t="str">
        <f t="shared" si="184"/>
        <v/>
      </c>
      <c r="P721" s="378" t="str">
        <f t="shared" si="185"/>
        <v/>
      </c>
      <c r="Q721" s="378" t="str">
        <f t="shared" si="186"/>
        <v/>
      </c>
      <c r="R721" s="378" t="str">
        <f t="shared" si="187"/>
        <v/>
      </c>
      <c r="S721" s="602">
        <v>610100</v>
      </c>
      <c r="T721" s="378" t="str">
        <f>+IFERROR(VLOOKUP(S721,STAT1!$C$4:$D$189,2,FALSE),"")</f>
        <v>Борлуулсан барааны өртөг</v>
      </c>
      <c r="U721" s="1225">
        <v>193572.22640608458</v>
      </c>
      <c r="V721" s="1216"/>
      <c r="W721" s="326">
        <v>3083</v>
      </c>
      <c r="X721" s="328" t="str">
        <f>IFERROR(VLOOKUP(W721,DATA!$G$4:$H$400,2,FALSE),"")</f>
        <v xml:space="preserve">БЧГ ХХК </v>
      </c>
      <c r="Y721" s="1205"/>
      <c r="Z721" s="1205"/>
      <c r="AA721" s="1205"/>
    </row>
    <row r="722" spans="1:27" ht="12.75" customHeight="1">
      <c r="A722" s="15">
        <v>167</v>
      </c>
      <c r="B722" s="369">
        <f t="shared" si="180"/>
        <v>717</v>
      </c>
      <c r="C722" s="427">
        <v>42957</v>
      </c>
      <c r="D722" s="426"/>
      <c r="E722" s="425" t="str">
        <f t="shared" ca="1" si="188"/>
        <v/>
      </c>
      <c r="F722" s="428" t="str">
        <f t="shared" ca="1" si="183"/>
        <v/>
      </c>
      <c r="G722" s="378"/>
      <c r="H722" s="378"/>
      <c r="I722" s="378" t="str">
        <f t="shared" si="181"/>
        <v/>
      </c>
      <c r="J722" s="378" t="str">
        <f t="shared" si="178"/>
        <v/>
      </c>
      <c r="K722" s="1220" t="str">
        <f t="shared" si="182"/>
        <v/>
      </c>
      <c r="L722" s="378"/>
      <c r="M722" s="378"/>
      <c r="N722" s="378" t="str">
        <f t="shared" si="177"/>
        <v/>
      </c>
      <c r="O722" s="378" t="str">
        <f t="shared" si="184"/>
        <v/>
      </c>
      <c r="P722" s="378" t="str">
        <f t="shared" si="185"/>
        <v/>
      </c>
      <c r="Q722" s="378" t="str">
        <f t="shared" si="186"/>
        <v/>
      </c>
      <c r="R722" s="378" t="str">
        <f t="shared" si="187"/>
        <v/>
      </c>
      <c r="S722" s="602">
        <v>310500</v>
      </c>
      <c r="T722" s="378" t="str">
        <f>+IFERROR(VLOOKUP(S722,STAT1!$C$4:$D$189,2,FALSE),"")</f>
        <v>НӨАТ өглөг</v>
      </c>
      <c r="U722" s="1225"/>
      <c r="V722" s="1216">
        <v>25415.636004</v>
      </c>
      <c r="W722" s="326">
        <v>3083</v>
      </c>
      <c r="X722" s="328" t="str">
        <f>IFERROR(VLOOKUP(W722,DATA!$G$4:$H$400,2,FALSE),"")</f>
        <v xml:space="preserve">БЧГ ХХК </v>
      </c>
      <c r="Y722" s="1205"/>
      <c r="Z722" s="1205"/>
      <c r="AA722" s="1205"/>
    </row>
    <row r="723" spans="1:27" ht="12.75" customHeight="1">
      <c r="A723" s="15">
        <v>167</v>
      </c>
      <c r="B723" s="369">
        <f t="shared" si="180"/>
        <v>718</v>
      </c>
      <c r="C723" s="427">
        <v>42957</v>
      </c>
      <c r="D723" s="426"/>
      <c r="E723" s="425" t="str">
        <f t="shared" ca="1" si="188"/>
        <v/>
      </c>
      <c r="F723" s="428" t="str">
        <f t="shared" ca="1" si="183"/>
        <v/>
      </c>
      <c r="G723" s="378"/>
      <c r="H723" s="378"/>
      <c r="I723" s="378" t="str">
        <f t="shared" si="181"/>
        <v/>
      </c>
      <c r="J723" s="378" t="str">
        <f t="shared" si="178"/>
        <v/>
      </c>
      <c r="K723" s="1220" t="str">
        <f t="shared" si="182"/>
        <v/>
      </c>
      <c r="L723" s="378"/>
      <c r="M723" s="378"/>
      <c r="N723" s="378" t="str">
        <f t="shared" si="177"/>
        <v/>
      </c>
      <c r="O723" s="378" t="str">
        <f t="shared" si="184"/>
        <v/>
      </c>
      <c r="P723" s="378" t="str">
        <f t="shared" si="185"/>
        <v/>
      </c>
      <c r="Q723" s="378" t="str">
        <f t="shared" si="186"/>
        <v/>
      </c>
      <c r="R723" s="378" t="str">
        <f t="shared" si="187"/>
        <v/>
      </c>
      <c r="S723" s="602">
        <v>510000</v>
      </c>
      <c r="T723" s="378" t="str">
        <f>+IFERROR(VLOOKUP(S723,STAT1!$C$4:$D$189,2,FALSE),"")</f>
        <v>Үндсэн үйл ажиллагааны борлуулалт</v>
      </c>
      <c r="U723" s="1225"/>
      <c r="V723" s="1216">
        <v>254156.36004</v>
      </c>
      <c r="W723" s="326">
        <v>3083</v>
      </c>
      <c r="X723" s="328" t="str">
        <f>IFERROR(VLOOKUP(W723,DATA!$G$4:$H$400,2,FALSE),"")</f>
        <v xml:space="preserve">БЧГ ХХК </v>
      </c>
      <c r="Y723" s="1205"/>
      <c r="Z723" s="1205"/>
      <c r="AA723" s="1205"/>
    </row>
    <row r="724" spans="1:27" ht="12.75" customHeight="1">
      <c r="A724" s="15">
        <v>167</v>
      </c>
      <c r="B724" s="369">
        <f t="shared" si="180"/>
        <v>719</v>
      </c>
      <c r="C724" s="427">
        <v>42957</v>
      </c>
      <c r="D724" s="426"/>
      <c r="E724" s="425" t="str">
        <f t="shared" ca="1" si="188"/>
        <v/>
      </c>
      <c r="F724" s="428" t="str">
        <f t="shared" ca="1" si="183"/>
        <v/>
      </c>
      <c r="G724" s="378"/>
      <c r="H724" s="378"/>
      <c r="I724" s="378" t="str">
        <f t="shared" si="181"/>
        <v/>
      </c>
      <c r="J724" s="378" t="str">
        <f t="shared" si="178"/>
        <v/>
      </c>
      <c r="K724" s="1220" t="str">
        <f t="shared" si="182"/>
        <v/>
      </c>
      <c r="L724" s="378"/>
      <c r="M724" s="378"/>
      <c r="N724" s="378" t="str">
        <f t="shared" si="177"/>
        <v/>
      </c>
      <c r="O724" s="378" t="str">
        <f t="shared" si="184"/>
        <v/>
      </c>
      <c r="P724" s="378" t="str">
        <f t="shared" si="185"/>
        <v/>
      </c>
      <c r="Q724" s="378" t="str">
        <f t="shared" si="186"/>
        <v/>
      </c>
      <c r="R724" s="378" t="str">
        <f t="shared" si="187"/>
        <v/>
      </c>
      <c r="S724" s="602">
        <v>320100</v>
      </c>
      <c r="T724" s="378" t="str">
        <f>+IFERROR(VLOOKUP(S724,STAT1!$C$4:$D$189,2,FALSE),"")</f>
        <v>Урьдчилж орсон орлого MNT</v>
      </c>
      <c r="U724" s="1225">
        <v>279571.99604400003</v>
      </c>
      <c r="V724" s="1216"/>
      <c r="W724" s="326">
        <v>3083</v>
      </c>
      <c r="X724" s="328" t="str">
        <f>IFERROR(VLOOKUP(W724,DATA!$G$4:$H$400,2,FALSE),"")</f>
        <v xml:space="preserve">БЧГ ХХК </v>
      </c>
      <c r="Y724" s="1205"/>
      <c r="Z724" s="1205"/>
      <c r="AA724" s="1205"/>
    </row>
    <row r="725" spans="1:27" ht="12.75" customHeight="1">
      <c r="A725" s="15">
        <v>169</v>
      </c>
      <c r="B725" s="369">
        <f t="shared" si="180"/>
        <v>720</v>
      </c>
      <c r="C725" s="427">
        <v>42960</v>
      </c>
      <c r="D725" s="426">
        <v>211710</v>
      </c>
      <c r="E725" s="425" t="str">
        <f t="shared" ca="1" si="188"/>
        <v xml:space="preserve">Н-Хавтан /зузаан-3см/-яртай </v>
      </c>
      <c r="F725" s="428" t="str">
        <f t="shared" ca="1" si="183"/>
        <v>м2</v>
      </c>
      <c r="G725" s="378"/>
      <c r="H725" s="378"/>
      <c r="I725" s="378" t="str">
        <f t="shared" si="181"/>
        <v/>
      </c>
      <c r="J725" s="378" t="str">
        <f t="shared" si="178"/>
        <v/>
      </c>
      <c r="K725" s="1220" t="str">
        <f t="shared" si="182"/>
        <v/>
      </c>
      <c r="L725" s="378">
        <v>17</v>
      </c>
      <c r="M725" s="378">
        <v>40000</v>
      </c>
      <c r="N725" s="378">
        <f t="shared" si="177"/>
        <v>680000</v>
      </c>
      <c r="O725" s="378">
        <f t="shared" si="184"/>
        <v>68000</v>
      </c>
      <c r="P725" s="378">
        <f t="shared" si="185"/>
        <v>748000</v>
      </c>
      <c r="Q725" s="378">
        <f t="shared" ca="1" si="186"/>
        <v>32877.78891424858</v>
      </c>
      <c r="R725" s="378">
        <f t="shared" ca="1" si="187"/>
        <v>558922.41154222586</v>
      </c>
      <c r="S725" s="602">
        <v>150101</v>
      </c>
      <c r="T725" s="378" t="str">
        <f>+IFERROR(VLOOKUP(S725,STAT1!$C$4:$D$189,2,FALSE),"")</f>
        <v>Бараа бэлэн бүтээгдэхүүн БОЛОВСРУУЛАХ ЦЕХ /нарс/</v>
      </c>
      <c r="U725" s="1225"/>
      <c r="V725" s="1216">
        <v>558922.41154222586</v>
      </c>
      <c r="W725" s="326">
        <v>3090</v>
      </c>
      <c r="X725" s="328" t="str">
        <f>IFERROR(VLOOKUP(W725,DATA!$G$4:$H$400,2,FALSE),"")</f>
        <v>ЭНХ ЭРХЭС ХХК</v>
      </c>
      <c r="Y725" s="1205"/>
      <c r="Z725" s="1205"/>
      <c r="AA725" s="1205"/>
    </row>
    <row r="726" spans="1:27" ht="12.75" customHeight="1">
      <c r="A726" s="15">
        <v>169</v>
      </c>
      <c r="B726" s="369">
        <f t="shared" si="180"/>
        <v>721</v>
      </c>
      <c r="C726" s="427">
        <v>42960</v>
      </c>
      <c r="D726" s="426"/>
      <c r="E726" s="425" t="str">
        <f t="shared" ca="1" si="188"/>
        <v/>
      </c>
      <c r="F726" s="428" t="str">
        <f t="shared" ca="1" si="183"/>
        <v/>
      </c>
      <c r="G726" s="378"/>
      <c r="H726" s="378"/>
      <c r="I726" s="378" t="str">
        <f t="shared" si="181"/>
        <v/>
      </c>
      <c r="J726" s="378" t="str">
        <f t="shared" si="178"/>
        <v/>
      </c>
      <c r="K726" s="1220" t="str">
        <f t="shared" si="182"/>
        <v/>
      </c>
      <c r="L726" s="378"/>
      <c r="M726" s="378"/>
      <c r="N726" s="378" t="str">
        <f t="shared" si="177"/>
        <v/>
      </c>
      <c r="O726" s="378" t="str">
        <f t="shared" si="184"/>
        <v/>
      </c>
      <c r="P726" s="378" t="str">
        <f t="shared" si="185"/>
        <v/>
      </c>
      <c r="Q726" s="378" t="str">
        <f t="shared" si="186"/>
        <v/>
      </c>
      <c r="R726" s="378" t="str">
        <f t="shared" si="187"/>
        <v/>
      </c>
      <c r="S726" s="602">
        <v>610100</v>
      </c>
      <c r="T726" s="378" t="str">
        <f>+IFERROR(VLOOKUP(S726,STAT1!$C$4:$D$189,2,FALSE),"")</f>
        <v>Борлуулсан барааны өртөг</v>
      </c>
      <c r="U726" s="1225">
        <v>558922.41154222586</v>
      </c>
      <c r="V726" s="1216"/>
      <c r="W726" s="326">
        <v>3090</v>
      </c>
      <c r="X726" s="328" t="str">
        <f>IFERROR(VLOOKUP(W726,DATA!$G$4:$H$400,2,FALSE),"")</f>
        <v>ЭНХ ЭРХЭС ХХК</v>
      </c>
      <c r="Y726" s="1205"/>
      <c r="Z726" s="1205"/>
      <c r="AA726" s="1205"/>
    </row>
    <row r="727" spans="1:27" ht="12.75" customHeight="1">
      <c r="A727" s="15">
        <v>169</v>
      </c>
      <c r="B727" s="369">
        <f t="shared" si="180"/>
        <v>722</v>
      </c>
      <c r="C727" s="427">
        <v>42960</v>
      </c>
      <c r="D727" s="426"/>
      <c r="E727" s="425" t="str">
        <f t="shared" ca="1" si="188"/>
        <v/>
      </c>
      <c r="F727" s="428" t="str">
        <f t="shared" ca="1" si="183"/>
        <v/>
      </c>
      <c r="G727" s="378"/>
      <c r="H727" s="378"/>
      <c r="I727" s="378" t="str">
        <f t="shared" si="181"/>
        <v/>
      </c>
      <c r="J727" s="378" t="str">
        <f t="shared" si="178"/>
        <v/>
      </c>
      <c r="K727" s="1220" t="str">
        <f t="shared" si="182"/>
        <v/>
      </c>
      <c r="L727" s="378"/>
      <c r="M727" s="378"/>
      <c r="N727" s="378" t="str">
        <f t="shared" si="177"/>
        <v/>
      </c>
      <c r="O727" s="378" t="str">
        <f t="shared" si="184"/>
        <v/>
      </c>
      <c r="P727" s="378" t="str">
        <f t="shared" si="185"/>
        <v/>
      </c>
      <c r="Q727" s="378" t="str">
        <f t="shared" si="186"/>
        <v/>
      </c>
      <c r="R727" s="378" t="str">
        <f t="shared" si="187"/>
        <v/>
      </c>
      <c r="S727" s="602">
        <v>310500</v>
      </c>
      <c r="T727" s="378" t="str">
        <f>+IFERROR(VLOOKUP(S727,STAT1!$C$4:$D$189,2,FALSE),"")</f>
        <v>НӨАТ өглөг</v>
      </c>
      <c r="U727" s="1225"/>
      <c r="V727" s="1216">
        <v>68000</v>
      </c>
      <c r="W727" s="326">
        <v>3090</v>
      </c>
      <c r="X727" s="328" t="str">
        <f>IFERROR(VLOOKUP(W727,DATA!$G$4:$H$400,2,FALSE),"")</f>
        <v>ЭНХ ЭРХЭС ХХК</v>
      </c>
      <c r="Y727" s="1205"/>
      <c r="Z727" s="1205"/>
      <c r="AA727" s="1205"/>
    </row>
    <row r="728" spans="1:27" ht="12.75" customHeight="1">
      <c r="A728" s="15">
        <v>169</v>
      </c>
      <c r="B728" s="369">
        <f t="shared" si="180"/>
        <v>723</v>
      </c>
      <c r="C728" s="427">
        <v>42960</v>
      </c>
      <c r="D728" s="426"/>
      <c r="E728" s="425" t="str">
        <f t="shared" ca="1" si="188"/>
        <v/>
      </c>
      <c r="F728" s="428" t="str">
        <f t="shared" ca="1" si="183"/>
        <v/>
      </c>
      <c r="G728" s="378"/>
      <c r="H728" s="378"/>
      <c r="I728" s="378" t="str">
        <f t="shared" si="181"/>
        <v/>
      </c>
      <c r="J728" s="378" t="str">
        <f t="shared" si="178"/>
        <v/>
      </c>
      <c r="K728" s="1220" t="str">
        <f t="shared" si="182"/>
        <v/>
      </c>
      <c r="L728" s="378"/>
      <c r="M728" s="378"/>
      <c r="N728" s="378" t="str">
        <f t="shared" si="177"/>
        <v/>
      </c>
      <c r="O728" s="378" t="str">
        <f t="shared" si="184"/>
        <v/>
      </c>
      <c r="P728" s="378" t="str">
        <f t="shared" si="185"/>
        <v/>
      </c>
      <c r="Q728" s="378" t="str">
        <f t="shared" si="186"/>
        <v/>
      </c>
      <c r="R728" s="378" t="str">
        <f t="shared" si="187"/>
        <v/>
      </c>
      <c r="S728" s="602">
        <v>510000</v>
      </c>
      <c r="T728" s="378" t="str">
        <f>+IFERROR(VLOOKUP(S728,STAT1!$C$4:$D$189,2,FALSE),"")</f>
        <v>Үндсэн үйл ажиллагааны борлуулалт</v>
      </c>
      <c r="U728" s="1225"/>
      <c r="V728" s="1216">
        <v>680000</v>
      </c>
      <c r="W728" s="326">
        <v>3090</v>
      </c>
      <c r="X728" s="328" t="str">
        <f>IFERROR(VLOOKUP(W728,DATA!$G$4:$H$400,2,FALSE),"")</f>
        <v>ЭНХ ЭРХЭС ХХК</v>
      </c>
      <c r="Y728" s="1205"/>
      <c r="Z728" s="1205"/>
      <c r="AA728" s="1205"/>
    </row>
    <row r="729" spans="1:27" ht="12.75" customHeight="1">
      <c r="A729" s="15">
        <v>169</v>
      </c>
      <c r="B729" s="369">
        <f t="shared" si="180"/>
        <v>724</v>
      </c>
      <c r="C729" s="427">
        <v>42960</v>
      </c>
      <c r="D729" s="426"/>
      <c r="E729" s="425" t="str">
        <f t="shared" ca="1" si="188"/>
        <v/>
      </c>
      <c r="F729" s="428" t="str">
        <f t="shared" ca="1" si="183"/>
        <v/>
      </c>
      <c r="G729" s="378"/>
      <c r="H729" s="378"/>
      <c r="I729" s="378" t="str">
        <f t="shared" si="181"/>
        <v/>
      </c>
      <c r="J729" s="378" t="str">
        <f t="shared" si="178"/>
        <v/>
      </c>
      <c r="K729" s="1220" t="str">
        <f t="shared" si="182"/>
        <v/>
      </c>
      <c r="L729" s="378"/>
      <c r="M729" s="378"/>
      <c r="N729" s="378" t="str">
        <f t="shared" si="177"/>
        <v/>
      </c>
      <c r="O729" s="378" t="str">
        <f t="shared" si="184"/>
        <v/>
      </c>
      <c r="P729" s="378" t="str">
        <f t="shared" si="185"/>
        <v/>
      </c>
      <c r="Q729" s="378" t="str">
        <f t="shared" si="186"/>
        <v/>
      </c>
      <c r="R729" s="378" t="str">
        <f t="shared" si="187"/>
        <v/>
      </c>
      <c r="S729" s="602">
        <v>320100</v>
      </c>
      <c r="T729" s="378" t="str">
        <f>+IFERROR(VLOOKUP(S729,STAT1!$C$4:$D$189,2,FALSE),"")</f>
        <v>Урьдчилж орсон орлого MNT</v>
      </c>
      <c r="U729" s="1225">
        <v>748000</v>
      </c>
      <c r="V729" s="1216"/>
      <c r="W729" s="326">
        <v>3090</v>
      </c>
      <c r="X729" s="328" t="str">
        <f>IFERROR(VLOOKUP(W729,DATA!$G$4:$H$400,2,FALSE),"")</f>
        <v>ЭНХ ЭРХЭС ХХК</v>
      </c>
      <c r="Y729" s="1205"/>
      <c r="Z729" s="1205"/>
      <c r="AA729" s="1205"/>
    </row>
    <row r="730" spans="1:27" ht="12.75" customHeight="1">
      <c r="A730" s="15">
        <v>170</v>
      </c>
      <c r="B730" s="369">
        <f t="shared" si="180"/>
        <v>725</v>
      </c>
      <c r="C730" s="427">
        <v>42961</v>
      </c>
      <c r="D730" s="426">
        <v>211710</v>
      </c>
      <c r="E730" s="425" t="str">
        <f t="shared" ca="1" si="188"/>
        <v xml:space="preserve">Н-Хавтан /зузаан-3см/-яртай </v>
      </c>
      <c r="F730" s="428" t="str">
        <f t="shared" ca="1" si="183"/>
        <v>м2</v>
      </c>
      <c r="G730" s="378"/>
      <c r="H730" s="378"/>
      <c r="I730" s="378" t="str">
        <f t="shared" si="181"/>
        <v/>
      </c>
      <c r="J730" s="378" t="str">
        <f t="shared" si="178"/>
        <v/>
      </c>
      <c r="K730" s="1220" t="str">
        <f t="shared" si="182"/>
        <v/>
      </c>
      <c r="L730" s="378">
        <v>21.25</v>
      </c>
      <c r="M730" s="378">
        <v>40000</v>
      </c>
      <c r="N730" s="378">
        <f t="shared" si="177"/>
        <v>850000</v>
      </c>
      <c r="O730" s="378">
        <f t="shared" si="184"/>
        <v>85000</v>
      </c>
      <c r="P730" s="378">
        <f t="shared" si="185"/>
        <v>935000</v>
      </c>
      <c r="Q730" s="378">
        <f t="shared" ca="1" si="186"/>
        <v>32877.78891424858</v>
      </c>
      <c r="R730" s="378">
        <f t="shared" ca="1" si="187"/>
        <v>698653.01442778227</v>
      </c>
      <c r="S730" s="602">
        <v>150101</v>
      </c>
      <c r="T730" s="378" t="str">
        <f>+IFERROR(VLOOKUP(S730,STAT1!$C$4:$D$189,2,FALSE),"")</f>
        <v>Бараа бэлэн бүтээгдэхүүн БОЛОВСРУУЛАХ ЦЕХ /нарс/</v>
      </c>
      <c r="U730" s="1225"/>
      <c r="V730" s="1216">
        <v>698653.01442778227</v>
      </c>
      <c r="W730" s="326">
        <v>3092</v>
      </c>
      <c r="X730" s="328" t="str">
        <f>IFERROR(VLOOKUP(W730,DATA!$G$4:$H$400,2,FALSE),"")</f>
        <v>МӨНХ ВҮҮД ХХК</v>
      </c>
      <c r="Y730" s="1205"/>
      <c r="Z730" s="1205"/>
      <c r="AA730" s="1205"/>
    </row>
    <row r="731" spans="1:27" ht="12.75" customHeight="1">
      <c r="A731" s="15">
        <v>170</v>
      </c>
      <c r="B731" s="369">
        <f t="shared" si="180"/>
        <v>726</v>
      </c>
      <c r="C731" s="427">
        <v>42961</v>
      </c>
      <c r="D731" s="426"/>
      <c r="E731" s="425" t="str">
        <f t="shared" ca="1" si="188"/>
        <v/>
      </c>
      <c r="F731" s="428" t="str">
        <f t="shared" ca="1" si="183"/>
        <v/>
      </c>
      <c r="G731" s="378"/>
      <c r="H731" s="378"/>
      <c r="I731" s="378" t="str">
        <f t="shared" si="181"/>
        <v/>
      </c>
      <c r="J731" s="378" t="str">
        <f t="shared" si="178"/>
        <v/>
      </c>
      <c r="K731" s="1220" t="str">
        <f t="shared" si="182"/>
        <v/>
      </c>
      <c r="L731" s="378"/>
      <c r="M731" s="378"/>
      <c r="N731" s="378" t="str">
        <f t="shared" si="177"/>
        <v/>
      </c>
      <c r="O731" s="378" t="str">
        <f t="shared" si="184"/>
        <v/>
      </c>
      <c r="P731" s="378" t="str">
        <f t="shared" si="185"/>
        <v/>
      </c>
      <c r="Q731" s="378" t="str">
        <f t="shared" si="186"/>
        <v/>
      </c>
      <c r="R731" s="378" t="str">
        <f t="shared" si="187"/>
        <v/>
      </c>
      <c r="S731" s="602">
        <v>610100</v>
      </c>
      <c r="T731" s="378" t="str">
        <f>+IFERROR(VLOOKUP(S731,STAT1!$C$4:$D$189,2,FALSE),"")</f>
        <v>Борлуулсан барааны өртөг</v>
      </c>
      <c r="U731" s="1225">
        <v>698653.01442778227</v>
      </c>
      <c r="V731" s="1216"/>
      <c r="W731" s="326">
        <v>3092</v>
      </c>
      <c r="X731" s="328" t="str">
        <f>IFERROR(VLOOKUP(W731,DATA!$G$4:$H$400,2,FALSE),"")</f>
        <v>МӨНХ ВҮҮД ХХК</v>
      </c>
      <c r="Y731" s="1205"/>
      <c r="Z731" s="1205"/>
      <c r="AA731" s="1205"/>
    </row>
    <row r="732" spans="1:27" ht="12.75" customHeight="1">
      <c r="A732" s="15">
        <v>170</v>
      </c>
      <c r="B732" s="369">
        <f t="shared" si="180"/>
        <v>727</v>
      </c>
      <c r="C732" s="427">
        <v>42961</v>
      </c>
      <c r="D732" s="426"/>
      <c r="E732" s="425" t="str">
        <f t="shared" ca="1" si="188"/>
        <v/>
      </c>
      <c r="F732" s="428" t="str">
        <f t="shared" ca="1" si="183"/>
        <v/>
      </c>
      <c r="G732" s="378"/>
      <c r="H732" s="378"/>
      <c r="I732" s="378" t="str">
        <f t="shared" si="181"/>
        <v/>
      </c>
      <c r="J732" s="378" t="str">
        <f t="shared" si="178"/>
        <v/>
      </c>
      <c r="K732" s="1220" t="str">
        <f t="shared" si="182"/>
        <v/>
      </c>
      <c r="L732" s="378"/>
      <c r="M732" s="378"/>
      <c r="N732" s="378" t="str">
        <f t="shared" si="177"/>
        <v/>
      </c>
      <c r="O732" s="378" t="str">
        <f t="shared" si="184"/>
        <v/>
      </c>
      <c r="P732" s="378" t="str">
        <f t="shared" si="185"/>
        <v/>
      </c>
      <c r="Q732" s="378" t="str">
        <f t="shared" si="186"/>
        <v/>
      </c>
      <c r="R732" s="378" t="str">
        <f t="shared" si="187"/>
        <v/>
      </c>
      <c r="S732" s="602">
        <v>310500</v>
      </c>
      <c r="T732" s="378" t="str">
        <f>+IFERROR(VLOOKUP(S732,STAT1!$C$4:$D$189,2,FALSE),"")</f>
        <v>НӨАТ өглөг</v>
      </c>
      <c r="U732" s="1225"/>
      <c r="V732" s="1216">
        <v>85000</v>
      </c>
      <c r="W732" s="326">
        <v>3092</v>
      </c>
      <c r="X732" s="328" t="str">
        <f>IFERROR(VLOOKUP(W732,DATA!$G$4:$H$400,2,FALSE),"")</f>
        <v>МӨНХ ВҮҮД ХХК</v>
      </c>
      <c r="Y732" s="1205"/>
      <c r="Z732" s="1205"/>
      <c r="AA732" s="1205"/>
    </row>
    <row r="733" spans="1:27" ht="12.75" customHeight="1">
      <c r="A733" s="15">
        <v>170</v>
      </c>
      <c r="B733" s="369">
        <f t="shared" si="180"/>
        <v>728</v>
      </c>
      <c r="C733" s="427">
        <v>42961</v>
      </c>
      <c r="D733" s="426"/>
      <c r="E733" s="425" t="str">
        <f t="shared" ca="1" si="188"/>
        <v/>
      </c>
      <c r="F733" s="428" t="str">
        <f t="shared" ca="1" si="183"/>
        <v/>
      </c>
      <c r="G733" s="378"/>
      <c r="H733" s="378"/>
      <c r="I733" s="378" t="str">
        <f t="shared" si="181"/>
        <v/>
      </c>
      <c r="J733" s="378" t="str">
        <f t="shared" si="178"/>
        <v/>
      </c>
      <c r="K733" s="1220" t="str">
        <f t="shared" si="182"/>
        <v/>
      </c>
      <c r="L733" s="378"/>
      <c r="M733" s="378"/>
      <c r="N733" s="378" t="str">
        <f t="shared" ref="N733:N796" si="189">+IF(L733="","",L733*M733)</f>
        <v/>
      </c>
      <c r="O733" s="378" t="str">
        <f t="shared" si="184"/>
        <v/>
      </c>
      <c r="P733" s="378" t="str">
        <f t="shared" si="185"/>
        <v/>
      </c>
      <c r="Q733" s="378" t="str">
        <f t="shared" si="186"/>
        <v/>
      </c>
      <c r="R733" s="378" t="str">
        <f t="shared" si="187"/>
        <v/>
      </c>
      <c r="S733" s="602">
        <v>510000</v>
      </c>
      <c r="T733" s="378" t="str">
        <f>+IFERROR(VLOOKUP(S733,STAT1!$C$4:$D$189,2,FALSE),"")</f>
        <v>Үндсэн үйл ажиллагааны борлуулалт</v>
      </c>
      <c r="U733" s="1225"/>
      <c r="V733" s="1216">
        <v>850000</v>
      </c>
      <c r="W733" s="326">
        <v>3092</v>
      </c>
      <c r="X733" s="328" t="str">
        <f>IFERROR(VLOOKUP(W733,DATA!$G$4:$H$400,2,FALSE),"")</f>
        <v>МӨНХ ВҮҮД ХХК</v>
      </c>
      <c r="Y733" s="1205"/>
      <c r="Z733" s="1205"/>
      <c r="AA733" s="1205"/>
    </row>
    <row r="734" spans="1:27" ht="12.75" customHeight="1">
      <c r="A734" s="15">
        <v>170</v>
      </c>
      <c r="B734" s="369">
        <f t="shared" si="180"/>
        <v>729</v>
      </c>
      <c r="C734" s="427">
        <v>42961</v>
      </c>
      <c r="D734" s="426"/>
      <c r="E734" s="425" t="str">
        <f t="shared" ca="1" si="188"/>
        <v/>
      </c>
      <c r="F734" s="428" t="str">
        <f t="shared" ca="1" si="183"/>
        <v/>
      </c>
      <c r="G734" s="378"/>
      <c r="H734" s="378"/>
      <c r="I734" s="378" t="str">
        <f t="shared" si="181"/>
        <v/>
      </c>
      <c r="J734" s="378" t="str">
        <f t="shared" si="178"/>
        <v/>
      </c>
      <c r="K734" s="1220" t="str">
        <f t="shared" si="182"/>
        <v/>
      </c>
      <c r="L734" s="378"/>
      <c r="M734" s="378"/>
      <c r="N734" s="378" t="str">
        <f t="shared" si="189"/>
        <v/>
      </c>
      <c r="O734" s="378" t="str">
        <f t="shared" si="184"/>
        <v/>
      </c>
      <c r="P734" s="378" t="str">
        <f t="shared" si="185"/>
        <v/>
      </c>
      <c r="Q734" s="378" t="str">
        <f t="shared" si="186"/>
        <v/>
      </c>
      <c r="R734" s="378" t="str">
        <f t="shared" si="187"/>
        <v/>
      </c>
      <c r="S734" s="602">
        <v>320100</v>
      </c>
      <c r="T734" s="378" t="str">
        <f>+IFERROR(VLOOKUP(S734,STAT1!$C$4:$D$189,2,FALSE),"")</f>
        <v>Урьдчилж орсон орлого MNT</v>
      </c>
      <c r="U734" s="1225">
        <v>935000</v>
      </c>
      <c r="V734" s="1216"/>
      <c r="W734" s="326">
        <v>3092</v>
      </c>
      <c r="X734" s="328" t="str">
        <f>IFERROR(VLOOKUP(W734,DATA!$G$4:$H$400,2,FALSE),"")</f>
        <v>МӨНХ ВҮҮД ХХК</v>
      </c>
      <c r="Y734" s="1205"/>
      <c r="Z734" s="1205"/>
      <c r="AA734" s="1205"/>
    </row>
    <row r="735" spans="1:27" ht="12.75" customHeight="1">
      <c r="A735" s="15">
        <v>171</v>
      </c>
      <c r="B735" s="369">
        <f t="shared" si="180"/>
        <v>730</v>
      </c>
      <c r="C735" s="427">
        <v>42961</v>
      </c>
      <c r="D735" s="426">
        <v>211713</v>
      </c>
      <c r="E735" s="425" t="str">
        <f t="shared" ca="1" si="188"/>
        <v>Н-Хавтан /зузаан-2см/</v>
      </c>
      <c r="F735" s="428" t="str">
        <f t="shared" ca="1" si="183"/>
        <v>м2</v>
      </c>
      <c r="G735" s="378"/>
      <c r="H735" s="378"/>
      <c r="I735" s="378" t="str">
        <f t="shared" si="181"/>
        <v/>
      </c>
      <c r="J735" s="378" t="str">
        <f t="shared" si="178"/>
        <v/>
      </c>
      <c r="K735" s="1220" t="str">
        <f t="shared" si="182"/>
        <v/>
      </c>
      <c r="L735" s="378">
        <v>6.1</v>
      </c>
      <c r="M735" s="378">
        <v>30000</v>
      </c>
      <c r="N735" s="378">
        <f t="shared" si="189"/>
        <v>183000</v>
      </c>
      <c r="O735" s="378">
        <f t="shared" si="184"/>
        <v>18300</v>
      </c>
      <c r="P735" s="378">
        <f t="shared" si="185"/>
        <v>201300</v>
      </c>
      <c r="Q735" s="378">
        <f t="shared" ca="1" si="186"/>
        <v>20836.299698816012</v>
      </c>
      <c r="R735" s="378">
        <f t="shared" ca="1" si="187"/>
        <v>127101.42816277767</v>
      </c>
      <c r="S735" s="602">
        <v>150101</v>
      </c>
      <c r="T735" s="378" t="str">
        <f>+IFERROR(VLOOKUP(S735,STAT1!$C$4:$D$189,2,FALSE),"")</f>
        <v>Бараа бэлэн бүтээгдэхүүн БОЛОВСРУУЛАХ ЦЕХ /нарс/</v>
      </c>
      <c r="U735" s="1225"/>
      <c r="V735" s="1216">
        <v>127101.42816277767</v>
      </c>
      <c r="W735" s="326">
        <v>3091</v>
      </c>
      <c r="X735" s="328" t="str">
        <f>IFERROR(VLOOKUP(W735,DATA!$G$4:$H$400,2,FALSE),"")</f>
        <v xml:space="preserve">ДЭРСТЭЙ ТАВАН САЛАА ХХК </v>
      </c>
      <c r="Y735" s="1205"/>
      <c r="Z735" s="1205"/>
      <c r="AA735" s="1205"/>
    </row>
    <row r="736" spans="1:27" ht="12.75" customHeight="1">
      <c r="A736" s="15">
        <v>171</v>
      </c>
      <c r="B736" s="369">
        <f t="shared" si="180"/>
        <v>731</v>
      </c>
      <c r="C736" s="427">
        <v>42961</v>
      </c>
      <c r="D736" s="426"/>
      <c r="E736" s="425" t="str">
        <f t="shared" ca="1" si="188"/>
        <v/>
      </c>
      <c r="F736" s="428" t="str">
        <f t="shared" ca="1" si="183"/>
        <v/>
      </c>
      <c r="G736" s="378"/>
      <c r="H736" s="378"/>
      <c r="I736" s="378" t="str">
        <f t="shared" si="181"/>
        <v/>
      </c>
      <c r="J736" s="378" t="str">
        <f t="shared" si="178"/>
        <v/>
      </c>
      <c r="K736" s="1220" t="str">
        <f t="shared" si="182"/>
        <v/>
      </c>
      <c r="L736" s="378"/>
      <c r="M736" s="378"/>
      <c r="N736" s="378" t="str">
        <f t="shared" si="189"/>
        <v/>
      </c>
      <c r="O736" s="378" t="str">
        <f t="shared" si="184"/>
        <v/>
      </c>
      <c r="P736" s="378" t="str">
        <f t="shared" si="185"/>
        <v/>
      </c>
      <c r="Q736" s="378" t="str">
        <f t="shared" si="186"/>
        <v/>
      </c>
      <c r="R736" s="378" t="str">
        <f t="shared" si="187"/>
        <v/>
      </c>
      <c r="S736" s="602">
        <v>610100</v>
      </c>
      <c r="T736" s="378" t="str">
        <f>+IFERROR(VLOOKUP(S736,STAT1!$C$4:$D$189,2,FALSE),"")</f>
        <v>Борлуулсан барааны өртөг</v>
      </c>
      <c r="U736" s="1225">
        <v>127101.42816277767</v>
      </c>
      <c r="V736" s="1216"/>
      <c r="W736" s="326">
        <v>3091</v>
      </c>
      <c r="X736" s="328" t="str">
        <f>IFERROR(VLOOKUP(W736,DATA!$G$4:$H$400,2,FALSE),"")</f>
        <v xml:space="preserve">ДЭРСТЭЙ ТАВАН САЛАА ХХК </v>
      </c>
      <c r="Y736" s="1205"/>
      <c r="Z736" s="1205"/>
      <c r="AA736" s="1205"/>
    </row>
    <row r="737" spans="1:27" ht="12.75" customHeight="1">
      <c r="A737" s="15">
        <v>171</v>
      </c>
      <c r="B737" s="369">
        <f t="shared" si="180"/>
        <v>732</v>
      </c>
      <c r="C737" s="427">
        <v>42961</v>
      </c>
      <c r="D737" s="426"/>
      <c r="E737" s="425" t="str">
        <f t="shared" ca="1" si="188"/>
        <v/>
      </c>
      <c r="F737" s="428" t="str">
        <f t="shared" ca="1" si="183"/>
        <v/>
      </c>
      <c r="G737" s="378"/>
      <c r="H737" s="378"/>
      <c r="I737" s="378" t="str">
        <f t="shared" si="181"/>
        <v/>
      </c>
      <c r="J737" s="378" t="str">
        <f t="shared" ref="J737:J800" si="190">+IF(G737="","",I737*0.1)</f>
        <v/>
      </c>
      <c r="K737" s="1220" t="str">
        <f t="shared" si="182"/>
        <v/>
      </c>
      <c r="L737" s="378"/>
      <c r="M737" s="378"/>
      <c r="N737" s="378" t="str">
        <f t="shared" si="189"/>
        <v/>
      </c>
      <c r="O737" s="378" t="str">
        <f t="shared" si="184"/>
        <v/>
      </c>
      <c r="P737" s="378" t="str">
        <f t="shared" si="185"/>
        <v/>
      </c>
      <c r="Q737" s="378" t="str">
        <f t="shared" si="186"/>
        <v/>
      </c>
      <c r="R737" s="378" t="str">
        <f t="shared" si="187"/>
        <v/>
      </c>
      <c r="S737" s="602">
        <v>310500</v>
      </c>
      <c r="T737" s="378" t="str">
        <f>+IFERROR(VLOOKUP(S737,STAT1!$C$4:$D$189,2,FALSE),"")</f>
        <v>НӨАТ өглөг</v>
      </c>
      <c r="U737" s="1225"/>
      <c r="V737" s="1216">
        <v>18300</v>
      </c>
      <c r="W737" s="326">
        <v>3091</v>
      </c>
      <c r="X737" s="328" t="str">
        <f>IFERROR(VLOOKUP(W737,DATA!$G$4:$H$400,2,FALSE),"")</f>
        <v xml:space="preserve">ДЭРСТЭЙ ТАВАН САЛАА ХХК </v>
      </c>
      <c r="Y737" s="1205"/>
      <c r="Z737" s="1205"/>
      <c r="AA737" s="1205"/>
    </row>
    <row r="738" spans="1:27" ht="12.75" customHeight="1">
      <c r="A738" s="15">
        <v>171</v>
      </c>
      <c r="B738" s="369">
        <f t="shared" si="180"/>
        <v>733</v>
      </c>
      <c r="C738" s="427">
        <v>42961</v>
      </c>
      <c r="D738" s="426"/>
      <c r="E738" s="425" t="str">
        <f t="shared" ca="1" si="188"/>
        <v/>
      </c>
      <c r="F738" s="428" t="str">
        <f t="shared" ca="1" si="183"/>
        <v/>
      </c>
      <c r="G738" s="378"/>
      <c r="H738" s="378"/>
      <c r="I738" s="378" t="str">
        <f t="shared" si="181"/>
        <v/>
      </c>
      <c r="J738" s="378" t="str">
        <f t="shared" si="190"/>
        <v/>
      </c>
      <c r="K738" s="1220" t="str">
        <f t="shared" si="182"/>
        <v/>
      </c>
      <c r="L738" s="378"/>
      <c r="M738" s="378"/>
      <c r="N738" s="378" t="str">
        <f t="shared" si="189"/>
        <v/>
      </c>
      <c r="O738" s="378" t="str">
        <f t="shared" si="184"/>
        <v/>
      </c>
      <c r="P738" s="378" t="str">
        <f t="shared" si="185"/>
        <v/>
      </c>
      <c r="Q738" s="378" t="str">
        <f t="shared" si="186"/>
        <v/>
      </c>
      <c r="R738" s="378" t="str">
        <f t="shared" si="187"/>
        <v/>
      </c>
      <c r="S738" s="602">
        <v>510000</v>
      </c>
      <c r="T738" s="378" t="str">
        <f>+IFERROR(VLOOKUP(S738,STAT1!$C$4:$D$189,2,FALSE),"")</f>
        <v>Үндсэн үйл ажиллагааны борлуулалт</v>
      </c>
      <c r="U738" s="1225"/>
      <c r="V738" s="1216">
        <v>183000</v>
      </c>
      <c r="W738" s="326">
        <v>3091</v>
      </c>
      <c r="X738" s="328" t="str">
        <f>IFERROR(VLOOKUP(W738,DATA!$G$4:$H$400,2,FALSE),"")</f>
        <v xml:space="preserve">ДЭРСТЭЙ ТАВАН САЛАА ХХК </v>
      </c>
      <c r="Y738" s="1205"/>
      <c r="Z738" s="1205"/>
      <c r="AA738" s="1205"/>
    </row>
    <row r="739" spans="1:27" ht="12.75" customHeight="1">
      <c r="A739" s="15">
        <v>171</v>
      </c>
      <c r="B739" s="369">
        <f t="shared" si="180"/>
        <v>734</v>
      </c>
      <c r="C739" s="427">
        <v>42961</v>
      </c>
      <c r="D739" s="426"/>
      <c r="E739" s="425" t="str">
        <f t="shared" ca="1" si="188"/>
        <v/>
      </c>
      <c r="F739" s="428" t="str">
        <f t="shared" ca="1" si="183"/>
        <v/>
      </c>
      <c r="G739" s="378"/>
      <c r="H739" s="378"/>
      <c r="I739" s="378" t="str">
        <f t="shared" si="181"/>
        <v/>
      </c>
      <c r="J739" s="378" t="str">
        <f t="shared" si="190"/>
        <v/>
      </c>
      <c r="K739" s="1220" t="str">
        <f t="shared" si="182"/>
        <v/>
      </c>
      <c r="L739" s="378"/>
      <c r="M739" s="378"/>
      <c r="N739" s="378" t="str">
        <f t="shared" si="189"/>
        <v/>
      </c>
      <c r="O739" s="378" t="str">
        <f t="shared" si="184"/>
        <v/>
      </c>
      <c r="P739" s="378" t="str">
        <f t="shared" si="185"/>
        <v/>
      </c>
      <c r="Q739" s="378" t="str">
        <f t="shared" si="186"/>
        <v/>
      </c>
      <c r="R739" s="378" t="str">
        <f t="shared" si="187"/>
        <v/>
      </c>
      <c r="S739" s="602">
        <v>320100</v>
      </c>
      <c r="T739" s="378" t="str">
        <f>+IFERROR(VLOOKUP(S739,STAT1!$C$4:$D$189,2,FALSE),"")</f>
        <v>Урьдчилж орсон орлого MNT</v>
      </c>
      <c r="U739" s="1225">
        <v>201300</v>
      </c>
      <c r="V739" s="1216"/>
      <c r="W739" s="326">
        <v>3091</v>
      </c>
      <c r="X739" s="328" t="str">
        <f>IFERROR(VLOOKUP(W739,DATA!$G$4:$H$400,2,FALSE),"")</f>
        <v xml:space="preserve">ДЭРСТЭЙ ТАВАН САЛАА ХХК </v>
      </c>
      <c r="Y739" s="1205"/>
      <c r="Z739" s="1205"/>
      <c r="AA739" s="1205"/>
    </row>
    <row r="740" spans="1:27" ht="12.75" customHeight="1">
      <c r="A740" s="15">
        <v>172</v>
      </c>
      <c r="B740" s="369">
        <f t="shared" si="180"/>
        <v>735</v>
      </c>
      <c r="C740" s="427">
        <v>42962</v>
      </c>
      <c r="D740" s="426">
        <v>211713</v>
      </c>
      <c r="E740" s="425" t="str">
        <f t="shared" ca="1" si="188"/>
        <v>Н-Хавтан /зузаан-2см/</v>
      </c>
      <c r="F740" s="428" t="str">
        <f t="shared" ca="1" si="183"/>
        <v>м2</v>
      </c>
      <c r="G740" s="378"/>
      <c r="H740" s="378"/>
      <c r="I740" s="378" t="str">
        <f t="shared" si="181"/>
        <v/>
      </c>
      <c r="J740" s="378" t="str">
        <f t="shared" si="190"/>
        <v/>
      </c>
      <c r="K740" s="1220" t="str">
        <f t="shared" si="182"/>
        <v/>
      </c>
      <c r="L740" s="378">
        <v>1.9</v>
      </c>
      <c r="M740" s="378">
        <v>30000</v>
      </c>
      <c r="N740" s="378">
        <f t="shared" si="189"/>
        <v>57000</v>
      </c>
      <c r="O740" s="378">
        <f t="shared" si="184"/>
        <v>5700</v>
      </c>
      <c r="P740" s="378">
        <f t="shared" si="185"/>
        <v>62700</v>
      </c>
      <c r="Q740" s="378">
        <f t="shared" ca="1" si="186"/>
        <v>20836.299698816016</v>
      </c>
      <c r="R740" s="378">
        <f t="shared" ca="1" si="187"/>
        <v>39588.969427750431</v>
      </c>
      <c r="S740" s="602">
        <v>150101</v>
      </c>
      <c r="T740" s="378" t="str">
        <f>+IFERROR(VLOOKUP(S740,STAT1!$C$4:$D$189,2,FALSE),"")</f>
        <v>Бараа бэлэн бүтээгдэхүүн БОЛОВСРУУЛАХ ЦЕХ /нарс/</v>
      </c>
      <c r="U740" s="1225"/>
      <c r="V740" s="1216">
        <v>39588.969427750431</v>
      </c>
      <c r="W740" s="326">
        <v>3089</v>
      </c>
      <c r="X740" s="328" t="str">
        <f>IFERROR(VLOOKUP(W740,DATA!$G$4:$H$400,2,FALSE),"")</f>
        <v>ГУУЛИЙН ДӨШ ХХК</v>
      </c>
      <c r="Y740" s="1205"/>
      <c r="Z740" s="1205"/>
      <c r="AA740" s="1205"/>
    </row>
    <row r="741" spans="1:27" ht="12.75" customHeight="1">
      <c r="A741" s="15">
        <v>172</v>
      </c>
      <c r="B741" s="369">
        <f t="shared" ref="B741:B804" si="191">IF(C741="","",ROW()-5)</f>
        <v>736</v>
      </c>
      <c r="C741" s="427">
        <v>42962</v>
      </c>
      <c r="D741" s="426"/>
      <c r="E741" s="425" t="str">
        <f t="shared" ca="1" si="188"/>
        <v/>
      </c>
      <c r="F741" s="428" t="str">
        <f t="shared" ca="1" si="183"/>
        <v/>
      </c>
      <c r="G741" s="378"/>
      <c r="H741" s="378"/>
      <c r="I741" s="378" t="str">
        <f t="shared" si="181"/>
        <v/>
      </c>
      <c r="J741" s="378" t="str">
        <f t="shared" si="190"/>
        <v/>
      </c>
      <c r="K741" s="1220" t="str">
        <f t="shared" si="182"/>
        <v/>
      </c>
      <c r="L741" s="378"/>
      <c r="M741" s="378"/>
      <c r="N741" s="378" t="str">
        <f t="shared" si="189"/>
        <v/>
      </c>
      <c r="O741" s="378" t="str">
        <f t="shared" si="184"/>
        <v/>
      </c>
      <c r="P741" s="378" t="str">
        <f t="shared" si="185"/>
        <v/>
      </c>
      <c r="Q741" s="378" t="str">
        <f t="shared" si="186"/>
        <v/>
      </c>
      <c r="R741" s="378" t="str">
        <f t="shared" si="187"/>
        <v/>
      </c>
      <c r="S741" s="602">
        <v>610100</v>
      </c>
      <c r="T741" s="378" t="str">
        <f>+IFERROR(VLOOKUP(S741,STAT1!$C$4:$D$189,2,FALSE),"")</f>
        <v>Борлуулсан барааны өртөг</v>
      </c>
      <c r="U741" s="1225">
        <v>39588.969427750431</v>
      </c>
      <c r="V741" s="1216"/>
      <c r="W741" s="326">
        <v>3089</v>
      </c>
      <c r="X741" s="328" t="str">
        <f>IFERROR(VLOOKUP(W741,DATA!$G$4:$H$400,2,FALSE),"")</f>
        <v>ГУУЛИЙН ДӨШ ХХК</v>
      </c>
      <c r="Y741" s="1205"/>
      <c r="Z741" s="1205"/>
      <c r="AA741" s="1205"/>
    </row>
    <row r="742" spans="1:27" ht="12.75" customHeight="1">
      <c r="A742" s="15">
        <v>172</v>
      </c>
      <c r="B742" s="369">
        <f t="shared" si="191"/>
        <v>737</v>
      </c>
      <c r="C742" s="427">
        <v>42962</v>
      </c>
      <c r="D742" s="426"/>
      <c r="E742" s="425" t="str">
        <f t="shared" ca="1" si="188"/>
        <v/>
      </c>
      <c r="F742" s="428" t="str">
        <f t="shared" ca="1" si="183"/>
        <v/>
      </c>
      <c r="G742" s="378"/>
      <c r="H742" s="378"/>
      <c r="I742" s="378" t="str">
        <f t="shared" si="181"/>
        <v/>
      </c>
      <c r="J742" s="378" t="str">
        <f t="shared" si="190"/>
        <v/>
      </c>
      <c r="K742" s="1220" t="str">
        <f t="shared" si="182"/>
        <v/>
      </c>
      <c r="L742" s="378"/>
      <c r="M742" s="378"/>
      <c r="N742" s="378" t="str">
        <f t="shared" si="189"/>
        <v/>
      </c>
      <c r="O742" s="378" t="str">
        <f t="shared" si="184"/>
        <v/>
      </c>
      <c r="P742" s="378" t="str">
        <f t="shared" si="185"/>
        <v/>
      </c>
      <c r="Q742" s="378" t="str">
        <f t="shared" si="186"/>
        <v/>
      </c>
      <c r="R742" s="378" t="str">
        <f t="shared" si="187"/>
        <v/>
      </c>
      <c r="S742" s="602">
        <v>310500</v>
      </c>
      <c r="T742" s="378" t="str">
        <f>+IFERROR(VLOOKUP(S742,STAT1!$C$4:$D$189,2,FALSE),"")</f>
        <v>НӨАТ өглөг</v>
      </c>
      <c r="U742" s="1225"/>
      <c r="V742" s="1216">
        <v>5700</v>
      </c>
      <c r="W742" s="326">
        <v>3089</v>
      </c>
      <c r="X742" s="328" t="str">
        <f>IFERROR(VLOOKUP(W742,DATA!$G$4:$H$400,2,FALSE),"")</f>
        <v>ГУУЛИЙН ДӨШ ХХК</v>
      </c>
      <c r="Y742" s="1205"/>
      <c r="Z742" s="1205"/>
      <c r="AA742" s="1205"/>
    </row>
    <row r="743" spans="1:27" ht="12.75" customHeight="1">
      <c r="A743" s="15">
        <v>172</v>
      </c>
      <c r="B743" s="369">
        <f t="shared" si="191"/>
        <v>738</v>
      </c>
      <c r="C743" s="427">
        <v>42962</v>
      </c>
      <c r="D743" s="426"/>
      <c r="E743" s="425" t="str">
        <f t="shared" ca="1" si="188"/>
        <v/>
      </c>
      <c r="F743" s="428" t="str">
        <f t="shared" ca="1" si="183"/>
        <v/>
      </c>
      <c r="G743" s="378"/>
      <c r="H743" s="378"/>
      <c r="I743" s="378" t="str">
        <f t="shared" si="181"/>
        <v/>
      </c>
      <c r="J743" s="378" t="str">
        <f t="shared" si="190"/>
        <v/>
      </c>
      <c r="K743" s="1220" t="str">
        <f t="shared" si="182"/>
        <v/>
      </c>
      <c r="L743" s="378"/>
      <c r="M743" s="378"/>
      <c r="N743" s="378" t="str">
        <f t="shared" si="189"/>
        <v/>
      </c>
      <c r="O743" s="378" t="str">
        <f t="shared" si="184"/>
        <v/>
      </c>
      <c r="P743" s="378" t="str">
        <f t="shared" si="185"/>
        <v/>
      </c>
      <c r="Q743" s="378" t="str">
        <f t="shared" si="186"/>
        <v/>
      </c>
      <c r="R743" s="378" t="str">
        <f t="shared" si="187"/>
        <v/>
      </c>
      <c r="S743" s="602">
        <v>510000</v>
      </c>
      <c r="T743" s="378" t="str">
        <f>+IFERROR(VLOOKUP(S743,STAT1!$C$4:$D$189,2,FALSE),"")</f>
        <v>Үндсэн үйл ажиллагааны борлуулалт</v>
      </c>
      <c r="U743" s="1225"/>
      <c r="V743" s="1216">
        <v>57000</v>
      </c>
      <c r="W743" s="326">
        <v>3089</v>
      </c>
      <c r="X743" s="328" t="str">
        <f>IFERROR(VLOOKUP(W743,DATA!$G$4:$H$400,2,FALSE),"")</f>
        <v>ГУУЛИЙН ДӨШ ХХК</v>
      </c>
      <c r="Y743" s="1205"/>
      <c r="Z743" s="1205"/>
      <c r="AA743" s="1205"/>
    </row>
    <row r="744" spans="1:27" ht="12.75" customHeight="1">
      <c r="A744" s="15">
        <v>172</v>
      </c>
      <c r="B744" s="369">
        <f t="shared" si="191"/>
        <v>739</v>
      </c>
      <c r="C744" s="427">
        <v>42962</v>
      </c>
      <c r="D744" s="426"/>
      <c r="E744" s="425" t="str">
        <f t="shared" ca="1" si="188"/>
        <v/>
      </c>
      <c r="F744" s="428" t="str">
        <f t="shared" ca="1" si="183"/>
        <v/>
      </c>
      <c r="G744" s="378"/>
      <c r="H744" s="378"/>
      <c r="I744" s="378" t="str">
        <f t="shared" si="181"/>
        <v/>
      </c>
      <c r="J744" s="378" t="str">
        <f t="shared" si="190"/>
        <v/>
      </c>
      <c r="K744" s="1220" t="str">
        <f t="shared" si="182"/>
        <v/>
      </c>
      <c r="L744" s="378"/>
      <c r="M744" s="378"/>
      <c r="N744" s="378" t="str">
        <f t="shared" si="189"/>
        <v/>
      </c>
      <c r="O744" s="378" t="str">
        <f t="shared" si="184"/>
        <v/>
      </c>
      <c r="P744" s="378" t="str">
        <f t="shared" si="185"/>
        <v/>
      </c>
      <c r="Q744" s="378" t="str">
        <f t="shared" si="186"/>
        <v/>
      </c>
      <c r="R744" s="378" t="str">
        <f t="shared" si="187"/>
        <v/>
      </c>
      <c r="S744" s="602">
        <v>320100</v>
      </c>
      <c r="T744" s="378" t="str">
        <f>+IFERROR(VLOOKUP(S744,STAT1!$C$4:$D$189,2,FALSE),"")</f>
        <v>Урьдчилж орсон орлого MNT</v>
      </c>
      <c r="U744" s="1225">
        <v>62700</v>
      </c>
      <c r="V744" s="1216"/>
      <c r="W744" s="326">
        <v>3089</v>
      </c>
      <c r="X744" s="328" t="str">
        <f>IFERROR(VLOOKUP(W744,DATA!$G$4:$H$400,2,FALSE),"")</f>
        <v>ГУУЛИЙН ДӨШ ХХК</v>
      </c>
      <c r="Y744" s="1205"/>
      <c r="Z744" s="1205"/>
      <c r="AA744" s="1205"/>
    </row>
    <row r="745" spans="1:27" ht="12.75" customHeight="1">
      <c r="A745" s="15">
        <v>173</v>
      </c>
      <c r="B745" s="369">
        <f t="shared" si="191"/>
        <v>740</v>
      </c>
      <c r="C745" s="427">
        <v>42963</v>
      </c>
      <c r="D745" s="426">
        <v>211714</v>
      </c>
      <c r="E745" s="425" t="str">
        <f t="shared" ca="1" si="188"/>
        <v xml:space="preserve">Н-Хавтан /зузаан-2см/-яртай </v>
      </c>
      <c r="F745" s="428" t="str">
        <f t="shared" ca="1" si="183"/>
        <v>м2</v>
      </c>
      <c r="G745" s="378"/>
      <c r="H745" s="378"/>
      <c r="I745" s="378" t="str">
        <f t="shared" si="181"/>
        <v/>
      </c>
      <c r="J745" s="378" t="str">
        <f t="shared" si="190"/>
        <v/>
      </c>
      <c r="K745" s="1220" t="str">
        <f t="shared" si="182"/>
        <v/>
      </c>
      <c r="L745" s="378">
        <v>35.1</v>
      </c>
      <c r="M745" s="378">
        <v>27272.727200000001</v>
      </c>
      <c r="N745" s="378">
        <f t="shared" si="189"/>
        <v>957272.72472000006</v>
      </c>
      <c r="O745" s="378">
        <f t="shared" si="184"/>
        <v>95727.272472000011</v>
      </c>
      <c r="P745" s="378">
        <f t="shared" si="185"/>
        <v>1052999.997192</v>
      </c>
      <c r="Q745" s="378">
        <f t="shared" ca="1" si="186"/>
        <v>18125.309466931165</v>
      </c>
      <c r="R745" s="378">
        <f t="shared" ca="1" si="187"/>
        <v>636198.36228928389</v>
      </c>
      <c r="S745" s="602">
        <v>150101</v>
      </c>
      <c r="T745" s="378" t="str">
        <f>+IFERROR(VLOOKUP(S745,STAT1!$C$4:$D$189,2,FALSE),"")</f>
        <v>Бараа бэлэн бүтээгдэхүүн БОЛОВСРУУЛАХ ЦЕХ /нарс/</v>
      </c>
      <c r="U745" s="1225"/>
      <c r="V745" s="1216">
        <v>636198.36228928389</v>
      </c>
      <c r="W745" s="326">
        <v>3082</v>
      </c>
      <c r="X745" s="328" t="str">
        <f>IFERROR(VLOOKUP(W745,DATA!$G$4:$H$400,2,FALSE),"")</f>
        <v xml:space="preserve">ӨСӨХ БЭЙС ХХК </v>
      </c>
      <c r="Y745" s="1205"/>
      <c r="Z745" s="1205"/>
      <c r="AA745" s="1205"/>
    </row>
    <row r="746" spans="1:27" ht="12.75" customHeight="1">
      <c r="A746" s="15">
        <v>173</v>
      </c>
      <c r="B746" s="369">
        <f t="shared" si="191"/>
        <v>741</v>
      </c>
      <c r="C746" s="427">
        <v>42963</v>
      </c>
      <c r="D746" s="426"/>
      <c r="E746" s="425" t="str">
        <f t="shared" ca="1" si="188"/>
        <v/>
      </c>
      <c r="F746" s="428" t="str">
        <f t="shared" ca="1" si="183"/>
        <v/>
      </c>
      <c r="G746" s="378"/>
      <c r="H746" s="378"/>
      <c r="I746" s="378" t="str">
        <f t="shared" si="181"/>
        <v/>
      </c>
      <c r="J746" s="378" t="str">
        <f t="shared" si="190"/>
        <v/>
      </c>
      <c r="K746" s="1220" t="str">
        <f t="shared" si="182"/>
        <v/>
      </c>
      <c r="L746" s="378"/>
      <c r="M746" s="378"/>
      <c r="N746" s="378" t="str">
        <f t="shared" si="189"/>
        <v/>
      </c>
      <c r="O746" s="378" t="str">
        <f t="shared" si="184"/>
        <v/>
      </c>
      <c r="P746" s="378" t="str">
        <f t="shared" si="185"/>
        <v/>
      </c>
      <c r="Q746" s="378" t="str">
        <f t="shared" si="186"/>
        <v/>
      </c>
      <c r="R746" s="378" t="str">
        <f t="shared" si="187"/>
        <v/>
      </c>
      <c r="S746" s="602">
        <v>610100</v>
      </c>
      <c r="T746" s="378" t="str">
        <f>+IFERROR(VLOOKUP(S746,STAT1!$C$4:$D$189,2,FALSE),"")</f>
        <v>Борлуулсан барааны өртөг</v>
      </c>
      <c r="U746" s="1225">
        <v>636198.36228928389</v>
      </c>
      <c r="V746" s="1216"/>
      <c r="W746" s="326">
        <v>3082</v>
      </c>
      <c r="X746" s="328" t="str">
        <f>IFERROR(VLOOKUP(W746,DATA!$G$4:$H$400,2,FALSE),"")</f>
        <v xml:space="preserve">ӨСӨХ БЭЙС ХХК </v>
      </c>
      <c r="Y746" s="1205"/>
      <c r="Z746" s="1205"/>
      <c r="AA746" s="1205"/>
    </row>
    <row r="747" spans="1:27" ht="12.75" customHeight="1">
      <c r="A747" s="15">
        <v>173</v>
      </c>
      <c r="B747" s="369">
        <f t="shared" si="191"/>
        <v>742</v>
      </c>
      <c r="C747" s="427">
        <v>42963</v>
      </c>
      <c r="D747" s="426"/>
      <c r="E747" s="425" t="str">
        <f t="shared" ca="1" si="188"/>
        <v/>
      </c>
      <c r="F747" s="428" t="str">
        <f t="shared" ca="1" si="183"/>
        <v/>
      </c>
      <c r="G747" s="378"/>
      <c r="H747" s="378"/>
      <c r="I747" s="378" t="str">
        <f t="shared" si="181"/>
        <v/>
      </c>
      <c r="J747" s="378" t="str">
        <f t="shared" si="190"/>
        <v/>
      </c>
      <c r="K747" s="1220" t="str">
        <f t="shared" si="182"/>
        <v/>
      </c>
      <c r="L747" s="378"/>
      <c r="M747" s="378"/>
      <c r="N747" s="378" t="str">
        <f t="shared" si="189"/>
        <v/>
      </c>
      <c r="O747" s="378" t="str">
        <f t="shared" si="184"/>
        <v/>
      </c>
      <c r="P747" s="378" t="str">
        <f t="shared" si="185"/>
        <v/>
      </c>
      <c r="Q747" s="378" t="str">
        <f t="shared" si="186"/>
        <v/>
      </c>
      <c r="R747" s="378" t="str">
        <f t="shared" si="187"/>
        <v/>
      </c>
      <c r="S747" s="602">
        <v>310500</v>
      </c>
      <c r="T747" s="378" t="str">
        <f>+IFERROR(VLOOKUP(S747,STAT1!$C$4:$D$189,2,FALSE),"")</f>
        <v>НӨАТ өглөг</v>
      </c>
      <c r="U747" s="1225"/>
      <c r="V747" s="1216">
        <v>95727.272472000011</v>
      </c>
      <c r="W747" s="326">
        <v>3082</v>
      </c>
      <c r="X747" s="328" t="str">
        <f>IFERROR(VLOOKUP(W747,DATA!$G$4:$H$400,2,FALSE),"")</f>
        <v xml:space="preserve">ӨСӨХ БЭЙС ХХК </v>
      </c>
      <c r="Y747" s="1205"/>
      <c r="Z747" s="1205"/>
      <c r="AA747" s="1205"/>
    </row>
    <row r="748" spans="1:27" ht="12.75" customHeight="1">
      <c r="A748" s="15">
        <v>173</v>
      </c>
      <c r="B748" s="369">
        <f t="shared" si="191"/>
        <v>743</v>
      </c>
      <c r="C748" s="427">
        <v>42963</v>
      </c>
      <c r="D748" s="426"/>
      <c r="E748" s="425" t="str">
        <f t="shared" ca="1" si="188"/>
        <v/>
      </c>
      <c r="F748" s="428" t="str">
        <f t="shared" ca="1" si="183"/>
        <v/>
      </c>
      <c r="G748" s="378"/>
      <c r="H748" s="378"/>
      <c r="I748" s="378" t="str">
        <f t="shared" si="181"/>
        <v/>
      </c>
      <c r="J748" s="378" t="str">
        <f t="shared" si="190"/>
        <v/>
      </c>
      <c r="K748" s="1220" t="str">
        <f t="shared" si="182"/>
        <v/>
      </c>
      <c r="L748" s="378"/>
      <c r="M748" s="378"/>
      <c r="N748" s="378" t="str">
        <f t="shared" si="189"/>
        <v/>
      </c>
      <c r="O748" s="378" t="str">
        <f t="shared" si="184"/>
        <v/>
      </c>
      <c r="P748" s="378" t="str">
        <f t="shared" si="185"/>
        <v/>
      </c>
      <c r="Q748" s="378" t="str">
        <f t="shared" si="186"/>
        <v/>
      </c>
      <c r="R748" s="378" t="str">
        <f t="shared" si="187"/>
        <v/>
      </c>
      <c r="S748" s="602">
        <v>510000</v>
      </c>
      <c r="T748" s="378" t="str">
        <f>+IFERROR(VLOOKUP(S748,STAT1!$C$4:$D$189,2,FALSE),"")</f>
        <v>Үндсэн үйл ажиллагааны борлуулалт</v>
      </c>
      <c r="U748" s="1225"/>
      <c r="V748" s="1216">
        <v>957272.72472000006</v>
      </c>
      <c r="W748" s="326">
        <v>3082</v>
      </c>
      <c r="X748" s="328" t="str">
        <f>IFERROR(VLOOKUP(W748,DATA!$G$4:$H$400,2,FALSE),"")</f>
        <v xml:space="preserve">ӨСӨХ БЭЙС ХХК </v>
      </c>
      <c r="Y748" s="1205"/>
      <c r="Z748" s="1205"/>
      <c r="AA748" s="1205"/>
    </row>
    <row r="749" spans="1:27" ht="12.75" customHeight="1">
      <c r="A749" s="15">
        <v>173</v>
      </c>
      <c r="B749" s="369">
        <f t="shared" si="191"/>
        <v>744</v>
      </c>
      <c r="C749" s="427">
        <v>42963</v>
      </c>
      <c r="D749" s="426"/>
      <c r="E749" s="425" t="str">
        <f t="shared" ca="1" si="188"/>
        <v/>
      </c>
      <c r="F749" s="428" t="str">
        <f t="shared" ca="1" si="183"/>
        <v/>
      </c>
      <c r="G749" s="378"/>
      <c r="H749" s="378"/>
      <c r="I749" s="378" t="str">
        <f t="shared" si="181"/>
        <v/>
      </c>
      <c r="J749" s="378" t="str">
        <f t="shared" si="190"/>
        <v/>
      </c>
      <c r="K749" s="1220" t="str">
        <f t="shared" si="182"/>
        <v/>
      </c>
      <c r="L749" s="378"/>
      <c r="M749" s="378"/>
      <c r="N749" s="378" t="str">
        <f t="shared" si="189"/>
        <v/>
      </c>
      <c r="O749" s="378" t="str">
        <f t="shared" si="184"/>
        <v/>
      </c>
      <c r="P749" s="378" t="str">
        <f t="shared" si="185"/>
        <v/>
      </c>
      <c r="Q749" s="378" t="str">
        <f t="shared" si="186"/>
        <v/>
      </c>
      <c r="R749" s="378" t="str">
        <f t="shared" si="187"/>
        <v/>
      </c>
      <c r="S749" s="602">
        <v>320100</v>
      </c>
      <c r="T749" s="378" t="str">
        <f>+IFERROR(VLOOKUP(S749,STAT1!$C$4:$D$189,2,FALSE),"")</f>
        <v>Урьдчилж орсон орлого MNT</v>
      </c>
      <c r="U749" s="1225">
        <v>1052999.997192</v>
      </c>
      <c r="V749" s="1216"/>
      <c r="W749" s="326">
        <v>3082</v>
      </c>
      <c r="X749" s="328" t="str">
        <f>IFERROR(VLOOKUP(W749,DATA!$G$4:$H$400,2,FALSE),"")</f>
        <v xml:space="preserve">ӨСӨХ БЭЙС ХХК </v>
      </c>
      <c r="Y749" s="1205"/>
      <c r="Z749" s="1205"/>
      <c r="AA749" s="1205"/>
    </row>
    <row r="750" spans="1:27" ht="12.75" customHeight="1">
      <c r="A750" s="15">
        <v>174</v>
      </c>
      <c r="B750" s="369">
        <f t="shared" si="191"/>
        <v>745</v>
      </c>
      <c r="C750" s="427">
        <v>42968</v>
      </c>
      <c r="D750" s="426">
        <v>211801</v>
      </c>
      <c r="E750" s="425" t="str">
        <f t="shared" ca="1" si="188"/>
        <v>Н-Ембүү /20*30мм/</v>
      </c>
      <c r="F750" s="428" t="str">
        <f t="shared" ca="1" si="183"/>
        <v>м</v>
      </c>
      <c r="G750" s="378"/>
      <c r="H750" s="378"/>
      <c r="I750" s="378" t="str">
        <f t="shared" si="181"/>
        <v/>
      </c>
      <c r="J750" s="378" t="str">
        <f t="shared" si="190"/>
        <v/>
      </c>
      <c r="K750" s="1220" t="str">
        <f t="shared" si="182"/>
        <v/>
      </c>
      <c r="L750" s="378">
        <v>190</v>
      </c>
      <c r="M750" s="378">
        <v>1500</v>
      </c>
      <c r="N750" s="378">
        <f t="shared" si="189"/>
        <v>285000</v>
      </c>
      <c r="O750" s="378">
        <f t="shared" si="184"/>
        <v>28500</v>
      </c>
      <c r="P750" s="378">
        <f t="shared" si="185"/>
        <v>313500</v>
      </c>
      <c r="Q750" s="378">
        <f t="shared" ca="1" si="186"/>
        <v>647.50519478531237</v>
      </c>
      <c r="R750" s="378">
        <f t="shared" ca="1" si="187"/>
        <v>123025.98700920935</v>
      </c>
      <c r="S750" s="602">
        <v>150101</v>
      </c>
      <c r="T750" s="378" t="str">
        <f>+IFERROR(VLOOKUP(S750,STAT1!$C$4:$D$189,2,FALSE),"")</f>
        <v>Бараа бэлэн бүтээгдэхүүн БОЛОВСРУУЛАХ ЦЕХ /нарс/</v>
      </c>
      <c r="U750" s="1225"/>
      <c r="V750" s="1216">
        <v>123025.98700920935</v>
      </c>
      <c r="W750" s="326">
        <v>3061</v>
      </c>
      <c r="X750" s="328" t="str">
        <f>IFERROR(VLOOKUP(W750,DATA!$G$4:$H$400,2,FALSE),"")</f>
        <v>СТИМО ХХК</v>
      </c>
      <c r="Y750" s="1205"/>
      <c r="Z750" s="1205"/>
      <c r="AA750" s="1205"/>
    </row>
    <row r="751" spans="1:27" ht="12.75" customHeight="1">
      <c r="A751" s="15">
        <v>174</v>
      </c>
      <c r="B751" s="369">
        <f t="shared" si="191"/>
        <v>746</v>
      </c>
      <c r="C751" s="427">
        <v>42968</v>
      </c>
      <c r="D751" s="426"/>
      <c r="E751" s="425" t="str">
        <f t="shared" ca="1" si="188"/>
        <v/>
      </c>
      <c r="F751" s="428" t="str">
        <f t="shared" ca="1" si="183"/>
        <v/>
      </c>
      <c r="G751" s="378"/>
      <c r="H751" s="378"/>
      <c r="I751" s="378" t="str">
        <f t="shared" si="181"/>
        <v/>
      </c>
      <c r="J751" s="378" t="str">
        <f t="shared" si="190"/>
        <v/>
      </c>
      <c r="K751" s="1220" t="str">
        <f t="shared" si="182"/>
        <v/>
      </c>
      <c r="L751" s="378"/>
      <c r="M751" s="378"/>
      <c r="N751" s="378" t="str">
        <f t="shared" si="189"/>
        <v/>
      </c>
      <c r="O751" s="378" t="str">
        <f t="shared" si="184"/>
        <v/>
      </c>
      <c r="P751" s="378" t="str">
        <f t="shared" si="185"/>
        <v/>
      </c>
      <c r="Q751" s="378" t="str">
        <f t="shared" si="186"/>
        <v/>
      </c>
      <c r="R751" s="378" t="str">
        <f t="shared" si="187"/>
        <v/>
      </c>
      <c r="S751" s="602">
        <v>610100</v>
      </c>
      <c r="T751" s="378" t="str">
        <f>+IFERROR(VLOOKUP(S751,STAT1!$C$4:$D$189,2,FALSE),"")</f>
        <v>Борлуулсан барааны өртөг</v>
      </c>
      <c r="U751" s="1225">
        <v>123025.98700920935</v>
      </c>
      <c r="V751" s="1216"/>
      <c r="W751" s="326">
        <v>3061</v>
      </c>
      <c r="X751" s="328" t="str">
        <f>IFERROR(VLOOKUP(W751,DATA!$G$4:$H$400,2,FALSE),"")</f>
        <v>СТИМО ХХК</v>
      </c>
      <c r="Y751" s="1205"/>
      <c r="Z751" s="1205"/>
      <c r="AA751" s="1205"/>
    </row>
    <row r="752" spans="1:27" ht="12.75" customHeight="1">
      <c r="A752" s="15">
        <v>174</v>
      </c>
      <c r="B752" s="369">
        <f t="shared" si="191"/>
        <v>747</v>
      </c>
      <c r="C752" s="427">
        <v>42968</v>
      </c>
      <c r="D752" s="426"/>
      <c r="E752" s="425" t="str">
        <f t="shared" ca="1" si="188"/>
        <v/>
      </c>
      <c r="F752" s="428" t="str">
        <f t="shared" ca="1" si="183"/>
        <v/>
      </c>
      <c r="G752" s="378"/>
      <c r="H752" s="378"/>
      <c r="I752" s="378" t="str">
        <f t="shared" si="181"/>
        <v/>
      </c>
      <c r="J752" s="378" t="str">
        <f t="shared" si="190"/>
        <v/>
      </c>
      <c r="K752" s="1220" t="str">
        <f t="shared" si="182"/>
        <v/>
      </c>
      <c r="L752" s="378"/>
      <c r="M752" s="378"/>
      <c r="N752" s="378" t="str">
        <f t="shared" si="189"/>
        <v/>
      </c>
      <c r="O752" s="378" t="str">
        <f t="shared" si="184"/>
        <v/>
      </c>
      <c r="P752" s="378" t="str">
        <f t="shared" si="185"/>
        <v/>
      </c>
      <c r="Q752" s="378" t="str">
        <f t="shared" si="186"/>
        <v/>
      </c>
      <c r="R752" s="378" t="str">
        <f t="shared" si="187"/>
        <v/>
      </c>
      <c r="S752" s="602">
        <v>310500</v>
      </c>
      <c r="T752" s="378" t="str">
        <f>+IFERROR(VLOOKUP(S752,STAT1!$C$4:$D$189,2,FALSE),"")</f>
        <v>НӨАТ өглөг</v>
      </c>
      <c r="U752" s="1225"/>
      <c r="V752" s="1216">
        <v>28500</v>
      </c>
      <c r="W752" s="326">
        <v>3061</v>
      </c>
      <c r="X752" s="328" t="str">
        <f>IFERROR(VLOOKUP(W752,DATA!$G$4:$H$400,2,FALSE),"")</f>
        <v>СТИМО ХХК</v>
      </c>
      <c r="Y752" s="1205"/>
      <c r="Z752" s="1205"/>
      <c r="AA752" s="1205"/>
    </row>
    <row r="753" spans="1:27" ht="12.75" customHeight="1">
      <c r="A753" s="15">
        <v>174</v>
      </c>
      <c r="B753" s="369">
        <f t="shared" si="191"/>
        <v>748</v>
      </c>
      <c r="C753" s="427">
        <v>42968</v>
      </c>
      <c r="D753" s="426"/>
      <c r="E753" s="425" t="str">
        <f t="shared" ca="1" si="188"/>
        <v/>
      </c>
      <c r="F753" s="428" t="str">
        <f t="shared" ca="1" si="183"/>
        <v/>
      </c>
      <c r="G753" s="378"/>
      <c r="H753" s="378"/>
      <c r="I753" s="378" t="str">
        <f t="shared" si="181"/>
        <v/>
      </c>
      <c r="J753" s="378" t="str">
        <f t="shared" si="190"/>
        <v/>
      </c>
      <c r="K753" s="1220" t="str">
        <f t="shared" si="182"/>
        <v/>
      </c>
      <c r="L753" s="378"/>
      <c r="M753" s="378"/>
      <c r="N753" s="378" t="str">
        <f t="shared" si="189"/>
        <v/>
      </c>
      <c r="O753" s="378" t="str">
        <f t="shared" si="184"/>
        <v/>
      </c>
      <c r="P753" s="378" t="str">
        <f t="shared" si="185"/>
        <v/>
      </c>
      <c r="Q753" s="378" t="str">
        <f t="shared" si="186"/>
        <v/>
      </c>
      <c r="R753" s="378" t="str">
        <f t="shared" si="187"/>
        <v/>
      </c>
      <c r="S753" s="602">
        <v>510000</v>
      </c>
      <c r="T753" s="378" t="str">
        <f>+IFERROR(VLOOKUP(S753,STAT1!$C$4:$D$189,2,FALSE),"")</f>
        <v>Үндсэн үйл ажиллагааны борлуулалт</v>
      </c>
      <c r="U753" s="1225"/>
      <c r="V753" s="1216">
        <v>285000</v>
      </c>
      <c r="W753" s="326">
        <v>3061</v>
      </c>
      <c r="X753" s="328" t="str">
        <f>IFERROR(VLOOKUP(W753,DATA!$G$4:$H$400,2,FALSE),"")</f>
        <v>СТИМО ХХК</v>
      </c>
      <c r="Y753" s="1205"/>
      <c r="Z753" s="1205"/>
      <c r="AA753" s="1205"/>
    </row>
    <row r="754" spans="1:27" ht="12.75" customHeight="1">
      <c r="A754" s="15">
        <v>174</v>
      </c>
      <c r="B754" s="369">
        <f t="shared" si="191"/>
        <v>749</v>
      </c>
      <c r="C754" s="427">
        <v>42968</v>
      </c>
      <c r="D754" s="426"/>
      <c r="E754" s="425" t="str">
        <f t="shared" ca="1" si="188"/>
        <v/>
      </c>
      <c r="F754" s="428" t="str">
        <f t="shared" ca="1" si="183"/>
        <v/>
      </c>
      <c r="G754" s="378"/>
      <c r="H754" s="378"/>
      <c r="I754" s="378" t="str">
        <f t="shared" si="181"/>
        <v/>
      </c>
      <c r="J754" s="378" t="str">
        <f t="shared" si="190"/>
        <v/>
      </c>
      <c r="K754" s="1220" t="str">
        <f t="shared" si="182"/>
        <v/>
      </c>
      <c r="L754" s="378"/>
      <c r="M754" s="378"/>
      <c r="N754" s="378" t="str">
        <f t="shared" si="189"/>
        <v/>
      </c>
      <c r="O754" s="378" t="str">
        <f t="shared" si="184"/>
        <v/>
      </c>
      <c r="P754" s="378" t="str">
        <f t="shared" si="185"/>
        <v/>
      </c>
      <c r="Q754" s="378" t="str">
        <f t="shared" si="186"/>
        <v/>
      </c>
      <c r="R754" s="378" t="str">
        <f t="shared" si="187"/>
        <v/>
      </c>
      <c r="S754" s="602">
        <v>320100</v>
      </c>
      <c r="T754" s="378" t="str">
        <f>+IFERROR(VLOOKUP(S754,STAT1!$C$4:$D$189,2,FALSE),"")</f>
        <v>Урьдчилж орсон орлого MNT</v>
      </c>
      <c r="U754" s="1225">
        <v>313500</v>
      </c>
      <c r="V754" s="1216"/>
      <c r="W754" s="326">
        <v>3061</v>
      </c>
      <c r="X754" s="328" t="str">
        <f>IFERROR(VLOOKUP(W754,DATA!$G$4:$H$400,2,FALSE),"")</f>
        <v>СТИМО ХХК</v>
      </c>
      <c r="Y754" s="1205"/>
      <c r="Z754" s="1205"/>
      <c r="AA754" s="1205"/>
    </row>
    <row r="755" spans="1:27" ht="12.75" customHeight="1">
      <c r="A755" s="15">
        <v>175</v>
      </c>
      <c r="B755" s="369">
        <f t="shared" si="191"/>
        <v>750</v>
      </c>
      <c r="C755" s="427">
        <v>42968</v>
      </c>
      <c r="D755" s="426">
        <v>211714</v>
      </c>
      <c r="E755" s="425" t="str">
        <f t="shared" ca="1" si="188"/>
        <v xml:space="preserve">Н-Хавтан /зузаан-2см/-яртай </v>
      </c>
      <c r="F755" s="428" t="str">
        <f t="shared" ca="1" si="183"/>
        <v>м2</v>
      </c>
      <c r="G755" s="378"/>
      <c r="H755" s="378"/>
      <c r="I755" s="378" t="str">
        <f t="shared" si="181"/>
        <v/>
      </c>
      <c r="J755" s="378" t="str">
        <f t="shared" si="190"/>
        <v/>
      </c>
      <c r="K755" s="1220" t="str">
        <f t="shared" si="182"/>
        <v/>
      </c>
      <c r="L755" s="378">
        <v>31.5</v>
      </c>
      <c r="M755" s="378">
        <v>27272.727200000001</v>
      </c>
      <c r="N755" s="378">
        <f t="shared" si="189"/>
        <v>859090.9068</v>
      </c>
      <c r="O755" s="378">
        <f t="shared" si="184"/>
        <v>85909.090680000008</v>
      </c>
      <c r="P755" s="378">
        <f t="shared" si="185"/>
        <v>944999.99748000002</v>
      </c>
      <c r="Q755" s="378">
        <f t="shared" ca="1" si="186"/>
        <v>18125.309466931161</v>
      </c>
      <c r="R755" s="378">
        <f t="shared" ca="1" si="187"/>
        <v>570947.24820833153</v>
      </c>
      <c r="S755" s="602">
        <v>150101</v>
      </c>
      <c r="T755" s="378" t="str">
        <f>+IFERROR(VLOOKUP(S755,STAT1!$C$4:$D$189,2,FALSE),"")</f>
        <v>Бараа бэлэн бүтээгдэхүүн БОЛОВСРУУЛАХ ЦЕХ /нарс/</v>
      </c>
      <c r="U755" s="1225"/>
      <c r="V755" s="1216">
        <v>570947.24820833164</v>
      </c>
      <c r="W755" s="326">
        <v>3066</v>
      </c>
      <c r="X755" s="328" t="str">
        <f>IFERROR(VLOOKUP(W755,DATA!$G$4:$H$400,2,FALSE),"")</f>
        <v>МСҮТөв</v>
      </c>
      <c r="Y755" s="1205"/>
      <c r="Z755" s="1205"/>
      <c r="AA755" s="1205"/>
    </row>
    <row r="756" spans="1:27" ht="12.75" customHeight="1">
      <c r="A756" s="15">
        <v>175</v>
      </c>
      <c r="B756" s="369">
        <f t="shared" si="191"/>
        <v>751</v>
      </c>
      <c r="C756" s="427">
        <v>42968</v>
      </c>
      <c r="D756" s="426"/>
      <c r="E756" s="425" t="str">
        <f t="shared" ca="1" si="188"/>
        <v/>
      </c>
      <c r="F756" s="428" t="str">
        <f t="shared" ca="1" si="183"/>
        <v/>
      </c>
      <c r="G756" s="378"/>
      <c r="H756" s="378"/>
      <c r="I756" s="378" t="str">
        <f t="shared" ref="I756:I819" si="192">+IF(G756="","",G756*H756)</f>
        <v/>
      </c>
      <c r="J756" s="378" t="str">
        <f t="shared" si="190"/>
        <v/>
      </c>
      <c r="K756" s="1220" t="str">
        <f t="shared" ref="K756:K819" si="193">+IF(G756="","",I756+J756)</f>
        <v/>
      </c>
      <c r="L756" s="378"/>
      <c r="M756" s="378"/>
      <c r="N756" s="378" t="str">
        <f t="shared" si="189"/>
        <v/>
      </c>
      <c r="O756" s="378" t="str">
        <f t="shared" si="184"/>
        <v/>
      </c>
      <c r="P756" s="378" t="str">
        <f t="shared" si="185"/>
        <v/>
      </c>
      <c r="Q756" s="378" t="str">
        <f t="shared" si="186"/>
        <v/>
      </c>
      <c r="R756" s="378" t="str">
        <f t="shared" si="187"/>
        <v/>
      </c>
      <c r="S756" s="602">
        <v>610100</v>
      </c>
      <c r="T756" s="378" t="str">
        <f>+IFERROR(VLOOKUP(S756,STAT1!$C$4:$D$189,2,FALSE),"")</f>
        <v>Борлуулсан барааны өртөг</v>
      </c>
      <c r="U756" s="1225">
        <v>570947.24820833164</v>
      </c>
      <c r="V756" s="1216"/>
      <c r="W756" s="326">
        <v>3066</v>
      </c>
      <c r="X756" s="328" t="str">
        <f>IFERROR(VLOOKUP(W756,DATA!$G$4:$H$400,2,FALSE),"")</f>
        <v>МСҮТөв</v>
      </c>
      <c r="Y756" s="1205"/>
      <c r="Z756" s="1205"/>
      <c r="AA756" s="1205"/>
    </row>
    <row r="757" spans="1:27" ht="12.75" customHeight="1">
      <c r="A757" s="15">
        <v>175</v>
      </c>
      <c r="B757" s="369">
        <f t="shared" si="191"/>
        <v>752</v>
      </c>
      <c r="C757" s="427">
        <v>42968</v>
      </c>
      <c r="D757" s="426"/>
      <c r="E757" s="425" t="str">
        <f t="shared" ca="1" si="188"/>
        <v/>
      </c>
      <c r="F757" s="428" t="str">
        <f t="shared" ref="F757:F820" ca="1" si="194">+IFERROR(VLOOKUP(D757,TN_table,3,FALSE),"")</f>
        <v/>
      </c>
      <c r="G757" s="378"/>
      <c r="H757" s="378"/>
      <c r="I757" s="378" t="str">
        <f t="shared" si="192"/>
        <v/>
      </c>
      <c r="J757" s="378" t="str">
        <f t="shared" si="190"/>
        <v/>
      </c>
      <c r="K757" s="1220" t="str">
        <f t="shared" si="193"/>
        <v/>
      </c>
      <c r="L757" s="378"/>
      <c r="M757" s="378"/>
      <c r="N757" s="378" t="str">
        <f t="shared" si="189"/>
        <v/>
      </c>
      <c r="O757" s="378" t="str">
        <f t="shared" ref="O757:O820" si="195">+IF(L757="","",N757*0.1)</f>
        <v/>
      </c>
      <c r="P757" s="378" t="str">
        <f t="shared" ref="P757:P820" si="196">+IF(L757="","",N757+O757)</f>
        <v/>
      </c>
      <c r="Q757" s="378" t="str">
        <f t="shared" ref="Q757:Q820" si="197">IF(L757="","",IFERROR((SUMIFS(TN_balC1_totol,TN_code,D757)+SUMIFS(RC_or_totol,RC_Code,D757,RC_date,"&lt;="&amp;C757)-SUMIFS(RC_zar_totol,RC_Code,D757,RC_date,"&lt;"&amp;C757)) /( SUMIFS(TN_balC1_unit,TN_code,D757)+SUMIFS(RC_or_unit,RC_Code,D757,RC_date,"&lt;="&amp;C757)-SUMIFS(RC_zar_unit,RC_Code,D757,RC_date,"&lt;"&amp;C757)),0 ))</f>
        <v/>
      </c>
      <c r="R757" s="378" t="str">
        <f t="shared" ref="R757:R820" si="198">+IF(L757="","",L757*Q757)</f>
        <v/>
      </c>
      <c r="S757" s="602">
        <v>310500</v>
      </c>
      <c r="T757" s="378" t="str">
        <f>+IFERROR(VLOOKUP(S757,STAT1!$C$4:$D$189,2,FALSE),"")</f>
        <v>НӨАТ өглөг</v>
      </c>
      <c r="U757" s="1225"/>
      <c r="V757" s="1216">
        <v>85909.090680000008</v>
      </c>
      <c r="W757" s="326">
        <v>3066</v>
      </c>
      <c r="X757" s="328" t="str">
        <f>IFERROR(VLOOKUP(W757,DATA!$G$4:$H$400,2,FALSE),"")</f>
        <v>МСҮТөв</v>
      </c>
      <c r="Y757" s="1205"/>
      <c r="Z757" s="1205"/>
      <c r="AA757" s="1205"/>
    </row>
    <row r="758" spans="1:27" ht="12.75" customHeight="1">
      <c r="A758" s="15">
        <v>175</v>
      </c>
      <c r="B758" s="369">
        <f t="shared" si="191"/>
        <v>753</v>
      </c>
      <c r="C758" s="427">
        <v>42968</v>
      </c>
      <c r="D758" s="426"/>
      <c r="E758" s="425" t="str">
        <f t="shared" ca="1" si="188"/>
        <v/>
      </c>
      <c r="F758" s="428" t="str">
        <f t="shared" ca="1" si="194"/>
        <v/>
      </c>
      <c r="G758" s="378"/>
      <c r="H758" s="378"/>
      <c r="I758" s="378" t="str">
        <f t="shared" si="192"/>
        <v/>
      </c>
      <c r="J758" s="378" t="str">
        <f t="shared" si="190"/>
        <v/>
      </c>
      <c r="K758" s="1220" t="str">
        <f t="shared" si="193"/>
        <v/>
      </c>
      <c r="L758" s="378"/>
      <c r="M758" s="378"/>
      <c r="N758" s="378" t="str">
        <f t="shared" si="189"/>
        <v/>
      </c>
      <c r="O758" s="378" t="str">
        <f t="shared" si="195"/>
        <v/>
      </c>
      <c r="P758" s="378" t="str">
        <f t="shared" si="196"/>
        <v/>
      </c>
      <c r="Q758" s="378" t="str">
        <f t="shared" si="197"/>
        <v/>
      </c>
      <c r="R758" s="378" t="str">
        <f t="shared" si="198"/>
        <v/>
      </c>
      <c r="S758" s="602">
        <v>510000</v>
      </c>
      <c r="T758" s="378" t="str">
        <f>+IFERROR(VLOOKUP(S758,STAT1!$C$4:$D$189,2,FALSE),"")</f>
        <v>Үндсэн үйл ажиллагааны борлуулалт</v>
      </c>
      <c r="U758" s="1225"/>
      <c r="V758" s="1216">
        <v>859090.9068</v>
      </c>
      <c r="W758" s="326">
        <v>3066</v>
      </c>
      <c r="X758" s="328" t="str">
        <f>IFERROR(VLOOKUP(W758,DATA!$G$4:$H$400,2,FALSE),"")</f>
        <v>МСҮТөв</v>
      </c>
      <c r="Y758" s="1205"/>
      <c r="Z758" s="1205"/>
      <c r="AA758" s="1205"/>
    </row>
    <row r="759" spans="1:27" ht="12.75" customHeight="1">
      <c r="A759" s="15">
        <v>175</v>
      </c>
      <c r="B759" s="369">
        <f t="shared" si="191"/>
        <v>754</v>
      </c>
      <c r="C759" s="427">
        <v>42968</v>
      </c>
      <c r="D759" s="426"/>
      <c r="E759" s="425" t="str">
        <f t="shared" ref="E759:E822" ca="1" si="199">+IFERROR(VLOOKUP(D759,TN_table,2,FALSE),"")</f>
        <v/>
      </c>
      <c r="F759" s="428" t="str">
        <f t="shared" ca="1" si="194"/>
        <v/>
      </c>
      <c r="G759" s="378"/>
      <c r="H759" s="378"/>
      <c r="I759" s="378" t="str">
        <f t="shared" si="192"/>
        <v/>
      </c>
      <c r="J759" s="378" t="str">
        <f t="shared" si="190"/>
        <v/>
      </c>
      <c r="K759" s="1220" t="str">
        <f t="shared" si="193"/>
        <v/>
      </c>
      <c r="L759" s="378"/>
      <c r="M759" s="378"/>
      <c r="N759" s="378" t="str">
        <f t="shared" si="189"/>
        <v/>
      </c>
      <c r="O759" s="378" t="str">
        <f t="shared" si="195"/>
        <v/>
      </c>
      <c r="P759" s="378" t="str">
        <f t="shared" si="196"/>
        <v/>
      </c>
      <c r="Q759" s="378" t="str">
        <f t="shared" si="197"/>
        <v/>
      </c>
      <c r="R759" s="378" t="str">
        <f t="shared" si="198"/>
        <v/>
      </c>
      <c r="S759" s="602">
        <v>320100</v>
      </c>
      <c r="T759" s="378" t="str">
        <f>+IFERROR(VLOOKUP(S759,STAT1!$C$4:$D$189,2,FALSE),"")</f>
        <v>Урьдчилж орсон орлого MNT</v>
      </c>
      <c r="U759" s="1225">
        <v>944999.99748000002</v>
      </c>
      <c r="V759" s="1216"/>
      <c r="W759" s="326">
        <v>3066</v>
      </c>
      <c r="X759" s="328" t="str">
        <f>IFERROR(VLOOKUP(W759,DATA!$G$4:$H$400,2,FALSE),"")</f>
        <v>МСҮТөв</v>
      </c>
      <c r="Y759" s="1205"/>
      <c r="Z759" s="1205"/>
      <c r="AA759" s="1205"/>
    </row>
    <row r="760" spans="1:27" ht="12.75" customHeight="1">
      <c r="A760" s="15">
        <v>176</v>
      </c>
      <c r="B760" s="369">
        <f t="shared" si="191"/>
        <v>755</v>
      </c>
      <c r="C760" s="427">
        <v>42968</v>
      </c>
      <c r="D760" s="426">
        <v>211503</v>
      </c>
      <c r="E760" s="425" t="str">
        <f t="shared" ca="1" si="199"/>
        <v>Н-Евровагонка /зузаан-1.2см/</v>
      </c>
      <c r="F760" s="428" t="str">
        <f t="shared" ca="1" si="194"/>
        <v>м2</v>
      </c>
      <c r="G760" s="378"/>
      <c r="H760" s="378"/>
      <c r="I760" s="378" t="str">
        <f t="shared" si="192"/>
        <v/>
      </c>
      <c r="J760" s="378" t="str">
        <f t="shared" si="190"/>
        <v/>
      </c>
      <c r="K760" s="1220" t="str">
        <f t="shared" si="193"/>
        <v/>
      </c>
      <c r="L760" s="378">
        <v>20.02</v>
      </c>
      <c r="M760" s="378">
        <v>21600.2179</v>
      </c>
      <c r="N760" s="378">
        <f t="shared" si="189"/>
        <v>432436.36235799995</v>
      </c>
      <c r="O760" s="378">
        <f t="shared" si="195"/>
        <v>43243.636235799997</v>
      </c>
      <c r="P760" s="378">
        <f t="shared" si="196"/>
        <v>475679.99859379994</v>
      </c>
      <c r="Q760" s="378">
        <f t="shared" ca="1" si="197"/>
        <v>13269.527397514297</v>
      </c>
      <c r="R760" s="378">
        <f t="shared" ca="1" si="198"/>
        <v>265655.93849823624</v>
      </c>
      <c r="S760" s="602">
        <v>150101</v>
      </c>
      <c r="T760" s="378" t="str">
        <f>+IFERROR(VLOOKUP(S760,STAT1!$C$4:$D$189,2,FALSE),"")</f>
        <v>Бараа бэлэн бүтээгдэхүүн БОЛОВСРУУЛАХ ЦЕХ /нарс/</v>
      </c>
      <c r="U760" s="1225"/>
      <c r="V760" s="1216">
        <v>265655.93849823618</v>
      </c>
      <c r="W760" s="326">
        <v>3006</v>
      </c>
      <c r="X760" s="328" t="str">
        <f>IFERROR(VLOOKUP(W760,DATA!$G$4:$H$400,2,FALSE),"")</f>
        <v xml:space="preserve">ПАЙОНЕРИНГ ИНТЕРНЭШНЛ ХХК </v>
      </c>
      <c r="Y760" s="1205"/>
      <c r="Z760" s="1205"/>
      <c r="AA760" s="1205"/>
    </row>
    <row r="761" spans="1:27" ht="12.75" customHeight="1">
      <c r="A761" s="15">
        <v>176</v>
      </c>
      <c r="B761" s="369">
        <f t="shared" si="191"/>
        <v>756</v>
      </c>
      <c r="C761" s="427">
        <v>42968</v>
      </c>
      <c r="D761" s="426"/>
      <c r="E761" s="425" t="str">
        <f t="shared" ca="1" si="199"/>
        <v/>
      </c>
      <c r="F761" s="428" t="str">
        <f t="shared" ca="1" si="194"/>
        <v/>
      </c>
      <c r="G761" s="378"/>
      <c r="H761" s="378"/>
      <c r="I761" s="378" t="str">
        <f t="shared" si="192"/>
        <v/>
      </c>
      <c r="J761" s="378" t="str">
        <f t="shared" si="190"/>
        <v/>
      </c>
      <c r="K761" s="1220" t="str">
        <f t="shared" si="193"/>
        <v/>
      </c>
      <c r="L761" s="378"/>
      <c r="M761" s="378"/>
      <c r="N761" s="378" t="str">
        <f t="shared" si="189"/>
        <v/>
      </c>
      <c r="O761" s="378" t="str">
        <f t="shared" si="195"/>
        <v/>
      </c>
      <c r="P761" s="378" t="str">
        <f t="shared" si="196"/>
        <v/>
      </c>
      <c r="Q761" s="378" t="str">
        <f t="shared" si="197"/>
        <v/>
      </c>
      <c r="R761" s="378" t="str">
        <f t="shared" si="198"/>
        <v/>
      </c>
      <c r="S761" s="602">
        <v>610100</v>
      </c>
      <c r="T761" s="378" t="str">
        <f>+IFERROR(VLOOKUP(S761,STAT1!$C$4:$D$189,2,FALSE),"")</f>
        <v>Борлуулсан барааны өртөг</v>
      </c>
      <c r="U761" s="1225">
        <v>265655.93849823618</v>
      </c>
      <c r="V761" s="1216"/>
      <c r="W761" s="326">
        <v>3006</v>
      </c>
      <c r="X761" s="328" t="str">
        <f>IFERROR(VLOOKUP(W761,DATA!$G$4:$H$400,2,FALSE),"")</f>
        <v xml:space="preserve">ПАЙОНЕРИНГ ИНТЕРНЭШНЛ ХХК </v>
      </c>
      <c r="Y761" s="1205"/>
      <c r="Z761" s="1205"/>
      <c r="AA761" s="1205"/>
    </row>
    <row r="762" spans="1:27" ht="12.75" customHeight="1">
      <c r="A762" s="15">
        <v>176</v>
      </c>
      <c r="B762" s="369">
        <f t="shared" si="191"/>
        <v>757</v>
      </c>
      <c r="C762" s="427">
        <v>42968</v>
      </c>
      <c r="D762" s="426"/>
      <c r="E762" s="425" t="str">
        <f t="shared" ca="1" si="199"/>
        <v/>
      </c>
      <c r="F762" s="428" t="str">
        <f t="shared" ca="1" si="194"/>
        <v/>
      </c>
      <c r="G762" s="378"/>
      <c r="H762" s="378"/>
      <c r="I762" s="378" t="str">
        <f t="shared" si="192"/>
        <v/>
      </c>
      <c r="J762" s="378" t="str">
        <f t="shared" si="190"/>
        <v/>
      </c>
      <c r="K762" s="1220" t="str">
        <f t="shared" si="193"/>
        <v/>
      </c>
      <c r="L762" s="378"/>
      <c r="M762" s="378"/>
      <c r="N762" s="378" t="str">
        <f t="shared" si="189"/>
        <v/>
      </c>
      <c r="O762" s="378" t="str">
        <f t="shared" si="195"/>
        <v/>
      </c>
      <c r="P762" s="378" t="str">
        <f t="shared" si="196"/>
        <v/>
      </c>
      <c r="Q762" s="378" t="str">
        <f t="shared" si="197"/>
        <v/>
      </c>
      <c r="R762" s="378" t="str">
        <f t="shared" si="198"/>
        <v/>
      </c>
      <c r="S762" s="602">
        <v>310500</v>
      </c>
      <c r="T762" s="378" t="str">
        <f>+IFERROR(VLOOKUP(S762,STAT1!$C$4:$D$189,2,FALSE),"")</f>
        <v>НӨАТ өглөг</v>
      </c>
      <c r="U762" s="1225"/>
      <c r="V762" s="1216">
        <v>43243.636235799997</v>
      </c>
      <c r="W762" s="326">
        <v>3006</v>
      </c>
      <c r="X762" s="328" t="str">
        <f>IFERROR(VLOOKUP(W762,DATA!$G$4:$H$400,2,FALSE),"")</f>
        <v xml:space="preserve">ПАЙОНЕРИНГ ИНТЕРНЭШНЛ ХХК </v>
      </c>
      <c r="Y762" s="1205"/>
      <c r="Z762" s="1205"/>
      <c r="AA762" s="1205"/>
    </row>
    <row r="763" spans="1:27" ht="12.75" customHeight="1">
      <c r="A763" s="15">
        <v>176</v>
      </c>
      <c r="B763" s="369">
        <f t="shared" si="191"/>
        <v>758</v>
      </c>
      <c r="C763" s="427">
        <v>42968</v>
      </c>
      <c r="D763" s="426"/>
      <c r="E763" s="425" t="str">
        <f t="shared" ca="1" si="199"/>
        <v/>
      </c>
      <c r="F763" s="428" t="str">
        <f t="shared" ca="1" si="194"/>
        <v/>
      </c>
      <c r="G763" s="378"/>
      <c r="H763" s="378"/>
      <c r="I763" s="378" t="str">
        <f t="shared" si="192"/>
        <v/>
      </c>
      <c r="J763" s="378" t="str">
        <f t="shared" si="190"/>
        <v/>
      </c>
      <c r="K763" s="1220" t="str">
        <f t="shared" si="193"/>
        <v/>
      </c>
      <c r="L763" s="378"/>
      <c r="M763" s="378"/>
      <c r="N763" s="378" t="str">
        <f t="shared" si="189"/>
        <v/>
      </c>
      <c r="O763" s="378" t="str">
        <f t="shared" si="195"/>
        <v/>
      </c>
      <c r="P763" s="378" t="str">
        <f t="shared" si="196"/>
        <v/>
      </c>
      <c r="Q763" s="378" t="str">
        <f t="shared" si="197"/>
        <v/>
      </c>
      <c r="R763" s="378" t="str">
        <f t="shared" si="198"/>
        <v/>
      </c>
      <c r="S763" s="602">
        <v>510000</v>
      </c>
      <c r="T763" s="378" t="str">
        <f>+IFERROR(VLOOKUP(S763,STAT1!$C$4:$D$189,2,FALSE),"")</f>
        <v>Үндсэн үйл ажиллагааны борлуулалт</v>
      </c>
      <c r="U763" s="1225"/>
      <c r="V763" s="1216">
        <v>432436.36235799995</v>
      </c>
      <c r="W763" s="326">
        <v>3006</v>
      </c>
      <c r="X763" s="328" t="str">
        <f>IFERROR(VLOOKUP(W763,DATA!$G$4:$H$400,2,FALSE),"")</f>
        <v xml:space="preserve">ПАЙОНЕРИНГ ИНТЕРНЭШНЛ ХХК </v>
      </c>
      <c r="Y763" s="1205"/>
      <c r="Z763" s="1205"/>
      <c r="AA763" s="1205"/>
    </row>
    <row r="764" spans="1:27" ht="12.75" customHeight="1">
      <c r="A764" s="15">
        <v>176</v>
      </c>
      <c r="B764" s="369">
        <f t="shared" si="191"/>
        <v>759</v>
      </c>
      <c r="C764" s="427">
        <v>42968</v>
      </c>
      <c r="D764" s="426"/>
      <c r="E764" s="425" t="str">
        <f t="shared" ca="1" si="199"/>
        <v/>
      </c>
      <c r="F764" s="428" t="str">
        <f t="shared" ca="1" si="194"/>
        <v/>
      </c>
      <c r="G764" s="378"/>
      <c r="H764" s="378"/>
      <c r="I764" s="378" t="str">
        <f t="shared" si="192"/>
        <v/>
      </c>
      <c r="J764" s="378" t="str">
        <f t="shared" si="190"/>
        <v/>
      </c>
      <c r="K764" s="1220" t="str">
        <f t="shared" si="193"/>
        <v/>
      </c>
      <c r="L764" s="378"/>
      <c r="M764" s="378"/>
      <c r="N764" s="378" t="str">
        <f t="shared" si="189"/>
        <v/>
      </c>
      <c r="O764" s="378" t="str">
        <f t="shared" si="195"/>
        <v/>
      </c>
      <c r="P764" s="378" t="str">
        <f t="shared" si="196"/>
        <v/>
      </c>
      <c r="Q764" s="378" t="str">
        <f t="shared" si="197"/>
        <v/>
      </c>
      <c r="R764" s="378" t="str">
        <f t="shared" si="198"/>
        <v/>
      </c>
      <c r="S764" s="602">
        <v>320100</v>
      </c>
      <c r="T764" s="378" t="str">
        <f>+IFERROR(VLOOKUP(S764,STAT1!$C$4:$D$189,2,FALSE),"")</f>
        <v>Урьдчилж орсон орлого MNT</v>
      </c>
      <c r="U764" s="1225">
        <v>475679.99859379994</v>
      </c>
      <c r="V764" s="1216"/>
      <c r="W764" s="326">
        <v>3006</v>
      </c>
      <c r="X764" s="328" t="str">
        <f>IFERROR(VLOOKUP(W764,DATA!$G$4:$H$400,2,FALSE),"")</f>
        <v xml:space="preserve">ПАЙОНЕРИНГ ИНТЕРНЭШНЛ ХХК </v>
      </c>
      <c r="Y764" s="1205"/>
      <c r="Z764" s="1205"/>
      <c r="AA764" s="1205"/>
    </row>
    <row r="765" spans="1:27" ht="12.75" customHeight="1">
      <c r="A765" s="15">
        <v>177</v>
      </c>
      <c r="B765" s="369">
        <f t="shared" si="191"/>
        <v>760</v>
      </c>
      <c r="C765" s="427">
        <v>42969</v>
      </c>
      <c r="D765" s="426">
        <v>410085</v>
      </c>
      <c r="E765" s="425" t="str">
        <f t="shared" ca="1" si="199"/>
        <v xml:space="preserve">НЦ-лак </v>
      </c>
      <c r="F765" s="428" t="str">
        <f t="shared" ca="1" si="194"/>
        <v>кг</v>
      </c>
      <c r="G765" s="378">
        <v>135</v>
      </c>
      <c r="H765" s="378">
        <v>7111.1111000000001</v>
      </c>
      <c r="I765" s="378">
        <f t="shared" si="192"/>
        <v>959999.99849999999</v>
      </c>
      <c r="J765" s="378">
        <f t="shared" si="190"/>
        <v>95999.999850000007</v>
      </c>
      <c r="K765" s="1220">
        <f t="shared" si="193"/>
        <v>1055999.99835</v>
      </c>
      <c r="L765" s="378"/>
      <c r="M765" s="378"/>
      <c r="N765" s="378" t="str">
        <f t="shared" si="189"/>
        <v/>
      </c>
      <c r="O765" s="378" t="str">
        <f t="shared" si="195"/>
        <v/>
      </c>
      <c r="P765" s="378" t="str">
        <f t="shared" si="196"/>
        <v/>
      </c>
      <c r="Q765" s="378" t="str">
        <f t="shared" si="197"/>
        <v/>
      </c>
      <c r="R765" s="378" t="str">
        <f t="shared" si="198"/>
        <v/>
      </c>
      <c r="S765" s="602">
        <v>160100</v>
      </c>
      <c r="T765" s="378" t="str">
        <f>+IFERROR(VLOOKUP(S765,STAT1!$C$4:$D$189,2,FALSE),"")</f>
        <v xml:space="preserve">Барилгын материал </v>
      </c>
      <c r="U765" s="1225">
        <v>1175999.9985</v>
      </c>
      <c r="V765" s="1216"/>
      <c r="W765" s="326">
        <v>3017</v>
      </c>
      <c r="X765" s="328" t="str">
        <f>IFERROR(VLOOKUP(W765,DATA!$G$4:$H$400,2,FALSE),"")</f>
        <v xml:space="preserve">ВОС ХХК </v>
      </c>
      <c r="Y765" s="1205"/>
      <c r="Z765" s="1205"/>
      <c r="AA765" s="1205"/>
    </row>
    <row r="766" spans="1:27" ht="12.75" customHeight="1">
      <c r="A766" s="15">
        <v>177</v>
      </c>
      <c r="B766" s="369">
        <f t="shared" si="191"/>
        <v>761</v>
      </c>
      <c r="C766" s="427">
        <v>42969</v>
      </c>
      <c r="D766" s="426">
        <v>410054</v>
      </c>
      <c r="E766" s="425" t="str">
        <f t="shared" ca="1" si="199"/>
        <v xml:space="preserve">Будаг шингэлэгч </v>
      </c>
      <c r="F766" s="428" t="str">
        <f t="shared" ca="1" si="194"/>
        <v>ш</v>
      </c>
      <c r="G766" s="378">
        <v>80</v>
      </c>
      <c r="H766" s="378">
        <v>1800</v>
      </c>
      <c r="I766" s="378">
        <f t="shared" si="192"/>
        <v>144000</v>
      </c>
      <c r="J766" s="378">
        <f t="shared" si="190"/>
        <v>14400</v>
      </c>
      <c r="K766" s="1220">
        <f t="shared" si="193"/>
        <v>158400</v>
      </c>
      <c r="L766" s="378"/>
      <c r="M766" s="378"/>
      <c r="N766" s="378" t="str">
        <f t="shared" si="189"/>
        <v/>
      </c>
      <c r="O766" s="378" t="str">
        <f t="shared" si="195"/>
        <v/>
      </c>
      <c r="P766" s="378" t="str">
        <f t="shared" si="196"/>
        <v/>
      </c>
      <c r="Q766" s="378" t="str">
        <f t="shared" si="197"/>
        <v/>
      </c>
      <c r="R766" s="378" t="str">
        <f t="shared" si="198"/>
        <v/>
      </c>
      <c r="S766" s="602">
        <v>120600</v>
      </c>
      <c r="T766" s="378" t="str">
        <f>+IFERROR(VLOOKUP(S766,STAT1!$C$4:$D$189,2,FALSE),"")</f>
        <v>НӨАТ авлага</v>
      </c>
      <c r="U766" s="1225">
        <v>117599.99985000001</v>
      </c>
      <c r="V766" s="1216"/>
      <c r="W766" s="326">
        <v>3017</v>
      </c>
      <c r="X766" s="328" t="str">
        <f>IFERROR(VLOOKUP(W766,DATA!$G$4:$H$400,2,FALSE),"")</f>
        <v xml:space="preserve">ВОС ХХК </v>
      </c>
      <c r="Y766" s="1205"/>
      <c r="Z766" s="1205"/>
      <c r="AA766" s="1205"/>
    </row>
    <row r="767" spans="1:27" ht="12.75" customHeight="1">
      <c r="A767" s="15">
        <v>177</v>
      </c>
      <c r="B767" s="369">
        <f t="shared" si="191"/>
        <v>762</v>
      </c>
      <c r="C767" s="427">
        <v>42969</v>
      </c>
      <c r="D767" s="426">
        <v>410366</v>
      </c>
      <c r="E767" s="425" t="str">
        <f t="shared" ca="1" si="199"/>
        <v xml:space="preserve">Модны замаска </v>
      </c>
      <c r="F767" s="428" t="str">
        <f t="shared" ca="1" si="194"/>
        <v>ш</v>
      </c>
      <c r="G767" s="378">
        <v>24</v>
      </c>
      <c r="H767" s="378">
        <v>3000</v>
      </c>
      <c r="I767" s="378">
        <f t="shared" si="192"/>
        <v>72000</v>
      </c>
      <c r="J767" s="378">
        <f t="shared" si="190"/>
        <v>7200</v>
      </c>
      <c r="K767" s="1220">
        <f t="shared" si="193"/>
        <v>79200</v>
      </c>
      <c r="L767" s="378"/>
      <c r="M767" s="378"/>
      <c r="N767" s="378" t="str">
        <f t="shared" si="189"/>
        <v/>
      </c>
      <c r="O767" s="378" t="str">
        <f t="shared" si="195"/>
        <v/>
      </c>
      <c r="P767" s="378" t="str">
        <f t="shared" si="196"/>
        <v/>
      </c>
      <c r="Q767" s="378" t="str">
        <f t="shared" si="197"/>
        <v/>
      </c>
      <c r="R767" s="378" t="str">
        <f t="shared" si="198"/>
        <v/>
      </c>
      <c r="S767" s="602">
        <v>120100</v>
      </c>
      <c r="T767" s="378" t="str">
        <f>+IFERROR(VLOOKUP(S767,STAT1!$C$4:$D$189,2,FALSE),"")</f>
        <v xml:space="preserve">Дансны авлага MNT </v>
      </c>
      <c r="U767" s="1225"/>
      <c r="V767" s="1216">
        <v>1293599.99835</v>
      </c>
      <c r="W767" s="326">
        <v>3017</v>
      </c>
      <c r="X767" s="328" t="str">
        <f>IFERROR(VLOOKUP(W767,DATA!$G$4:$H$400,2,FALSE),"")</f>
        <v xml:space="preserve">ВОС ХХК </v>
      </c>
      <c r="Y767" s="1205"/>
      <c r="Z767" s="1205"/>
      <c r="AA767" s="1205"/>
    </row>
    <row r="768" spans="1:27" ht="12.75" customHeight="1">
      <c r="A768" s="15">
        <v>178</v>
      </c>
      <c r="B768" s="369">
        <f t="shared" si="191"/>
        <v>763</v>
      </c>
      <c r="C768" s="427">
        <v>42970</v>
      </c>
      <c r="D768" s="426">
        <v>211503</v>
      </c>
      <c r="E768" s="425" t="str">
        <f t="shared" ca="1" si="199"/>
        <v>Н-Евровагонка /зузаан-1.2см/</v>
      </c>
      <c r="F768" s="428" t="str">
        <f t="shared" ca="1" si="194"/>
        <v>м2</v>
      </c>
      <c r="G768" s="378"/>
      <c r="H768" s="378"/>
      <c r="I768" s="378" t="str">
        <f t="shared" si="192"/>
        <v/>
      </c>
      <c r="J768" s="378" t="str">
        <f t="shared" si="190"/>
        <v/>
      </c>
      <c r="K768" s="1220" t="str">
        <f t="shared" si="193"/>
        <v/>
      </c>
      <c r="L768" s="378">
        <v>17.22</v>
      </c>
      <c r="M768" s="378">
        <v>21600.147799999999</v>
      </c>
      <c r="N768" s="378">
        <f t="shared" si="189"/>
        <v>371954.54511599994</v>
      </c>
      <c r="O768" s="378">
        <f t="shared" si="195"/>
        <v>37195.454511599994</v>
      </c>
      <c r="P768" s="378">
        <f t="shared" si="196"/>
        <v>409149.99962759996</v>
      </c>
      <c r="Q768" s="378">
        <f t="shared" ca="1" si="197"/>
        <v>13269.527397514299</v>
      </c>
      <c r="R768" s="378">
        <f t="shared" ca="1" si="198"/>
        <v>228501.26178519623</v>
      </c>
      <c r="S768" s="602">
        <v>150101</v>
      </c>
      <c r="T768" s="378" t="str">
        <f>+IFERROR(VLOOKUP(S768,STAT1!$C$4:$D$189,2,FALSE),"")</f>
        <v>Бараа бэлэн бүтээгдэхүүн БОЛОВСРУУЛАХ ЦЕХ /нарс/</v>
      </c>
      <c r="U768" s="1225"/>
      <c r="V768" s="1216">
        <v>306849.39035421895</v>
      </c>
      <c r="W768" s="326">
        <v>3084</v>
      </c>
      <c r="X768" s="328" t="str">
        <f>IFERROR(VLOOKUP(W768,DATA!$G$4:$H$400,2,FALSE),"")</f>
        <v xml:space="preserve">ТОРГО ЗАГВАР </v>
      </c>
      <c r="Y768" s="1205"/>
      <c r="Z768" s="1205"/>
      <c r="AA768" s="1205"/>
    </row>
    <row r="769" spans="1:27" ht="12.75" customHeight="1">
      <c r="A769" s="15">
        <v>178</v>
      </c>
      <c r="B769" s="369">
        <f t="shared" si="191"/>
        <v>764</v>
      </c>
      <c r="C769" s="427">
        <v>42970</v>
      </c>
      <c r="D769" s="426">
        <v>211801</v>
      </c>
      <c r="E769" s="425" t="str">
        <f t="shared" ca="1" si="199"/>
        <v>Н-Ембүү /20*30мм/</v>
      </c>
      <c r="F769" s="428" t="str">
        <f t="shared" ca="1" si="194"/>
        <v>м</v>
      </c>
      <c r="G769" s="378"/>
      <c r="H769" s="378"/>
      <c r="I769" s="378" t="str">
        <f t="shared" si="192"/>
        <v/>
      </c>
      <c r="J769" s="378" t="str">
        <f t="shared" si="190"/>
        <v/>
      </c>
      <c r="K769" s="1220" t="str">
        <f t="shared" si="193"/>
        <v/>
      </c>
      <c r="L769" s="378">
        <v>121</v>
      </c>
      <c r="M769" s="378">
        <v>1500</v>
      </c>
      <c r="N769" s="378">
        <f t="shared" si="189"/>
        <v>181500</v>
      </c>
      <c r="O769" s="378">
        <f t="shared" si="195"/>
        <v>18150</v>
      </c>
      <c r="P769" s="378">
        <f t="shared" si="196"/>
        <v>199650</v>
      </c>
      <c r="Q769" s="378">
        <f t="shared" ca="1" si="197"/>
        <v>647.50519478531237</v>
      </c>
      <c r="R769" s="378">
        <f t="shared" ca="1" si="198"/>
        <v>78348.128569022796</v>
      </c>
      <c r="S769" s="602">
        <v>610100</v>
      </c>
      <c r="T769" s="378" t="str">
        <f>+IFERROR(VLOOKUP(S769,STAT1!$C$4:$D$189,2,FALSE),"")</f>
        <v>Борлуулсан барааны өртөг</v>
      </c>
      <c r="U769" s="1225">
        <v>306849.39035421895</v>
      </c>
      <c r="V769" s="1216"/>
      <c r="W769" s="326">
        <v>3084</v>
      </c>
      <c r="X769" s="328" t="str">
        <f>IFERROR(VLOOKUP(W769,DATA!$G$4:$H$400,2,FALSE),"")</f>
        <v xml:space="preserve">ТОРГО ЗАГВАР </v>
      </c>
      <c r="Y769" s="1205"/>
      <c r="Z769" s="1205"/>
      <c r="AA769" s="1205"/>
    </row>
    <row r="770" spans="1:27" ht="12.75" customHeight="1">
      <c r="A770" s="15">
        <v>178</v>
      </c>
      <c r="B770" s="369">
        <f t="shared" si="191"/>
        <v>765</v>
      </c>
      <c r="C770" s="427">
        <v>42970</v>
      </c>
      <c r="D770" s="426"/>
      <c r="E770" s="425" t="str">
        <f t="shared" ca="1" si="199"/>
        <v/>
      </c>
      <c r="F770" s="428" t="str">
        <f t="shared" ca="1" si="194"/>
        <v/>
      </c>
      <c r="G770" s="378"/>
      <c r="H770" s="378"/>
      <c r="I770" s="378" t="str">
        <f t="shared" si="192"/>
        <v/>
      </c>
      <c r="J770" s="378" t="str">
        <f t="shared" si="190"/>
        <v/>
      </c>
      <c r="K770" s="1220" t="str">
        <f t="shared" si="193"/>
        <v/>
      </c>
      <c r="L770" s="378"/>
      <c r="M770" s="378"/>
      <c r="N770" s="378" t="str">
        <f t="shared" si="189"/>
        <v/>
      </c>
      <c r="O770" s="378" t="str">
        <f t="shared" si="195"/>
        <v/>
      </c>
      <c r="P770" s="378" t="str">
        <f t="shared" si="196"/>
        <v/>
      </c>
      <c r="Q770" s="378" t="str">
        <f t="shared" si="197"/>
        <v/>
      </c>
      <c r="R770" s="378" t="str">
        <f t="shared" si="198"/>
        <v/>
      </c>
      <c r="S770" s="602">
        <v>310500</v>
      </c>
      <c r="T770" s="378" t="str">
        <f>+IFERROR(VLOOKUP(S770,STAT1!$C$4:$D$189,2,FALSE),"")</f>
        <v>НӨАТ өглөг</v>
      </c>
      <c r="U770" s="1225"/>
      <c r="V770" s="1216">
        <v>55345.454511599994</v>
      </c>
      <c r="W770" s="326">
        <v>3084</v>
      </c>
      <c r="X770" s="328" t="str">
        <f>IFERROR(VLOOKUP(W770,DATA!$G$4:$H$400,2,FALSE),"")</f>
        <v xml:space="preserve">ТОРГО ЗАГВАР </v>
      </c>
      <c r="Y770" s="1205"/>
      <c r="Z770" s="1205"/>
      <c r="AA770" s="1205"/>
    </row>
    <row r="771" spans="1:27" ht="12.75" customHeight="1">
      <c r="A771" s="15">
        <v>178</v>
      </c>
      <c r="B771" s="369">
        <f t="shared" si="191"/>
        <v>766</v>
      </c>
      <c r="C771" s="427">
        <v>42970</v>
      </c>
      <c r="D771" s="426"/>
      <c r="E771" s="425" t="str">
        <f t="shared" ca="1" si="199"/>
        <v/>
      </c>
      <c r="F771" s="428" t="str">
        <f t="shared" ca="1" si="194"/>
        <v/>
      </c>
      <c r="G771" s="378"/>
      <c r="H771" s="378"/>
      <c r="I771" s="378" t="str">
        <f t="shared" si="192"/>
        <v/>
      </c>
      <c r="J771" s="378" t="str">
        <f t="shared" si="190"/>
        <v/>
      </c>
      <c r="K771" s="1220" t="str">
        <f t="shared" si="193"/>
        <v/>
      </c>
      <c r="L771" s="378"/>
      <c r="M771" s="378"/>
      <c r="N771" s="378" t="str">
        <f t="shared" si="189"/>
        <v/>
      </c>
      <c r="O771" s="378" t="str">
        <f t="shared" si="195"/>
        <v/>
      </c>
      <c r="P771" s="378" t="str">
        <f t="shared" si="196"/>
        <v/>
      </c>
      <c r="Q771" s="378" t="str">
        <f t="shared" si="197"/>
        <v/>
      </c>
      <c r="R771" s="378" t="str">
        <f t="shared" si="198"/>
        <v/>
      </c>
      <c r="S771" s="602">
        <v>510000</v>
      </c>
      <c r="T771" s="378" t="str">
        <f>+IFERROR(VLOOKUP(S771,STAT1!$C$4:$D$189,2,FALSE),"")</f>
        <v>Үндсэн үйл ажиллагааны борлуулалт</v>
      </c>
      <c r="U771" s="1225"/>
      <c r="V771" s="1216">
        <v>553454.55000000005</v>
      </c>
      <c r="W771" s="326">
        <v>3084</v>
      </c>
      <c r="X771" s="328" t="str">
        <f>IFERROR(VLOOKUP(W771,DATA!$G$4:$H$400,2,FALSE),"")</f>
        <v xml:space="preserve">ТОРГО ЗАГВАР </v>
      </c>
      <c r="Y771" s="1205"/>
      <c r="Z771" s="1205"/>
      <c r="AA771" s="1205"/>
    </row>
    <row r="772" spans="1:27" ht="12.75" customHeight="1">
      <c r="A772" s="15">
        <v>178</v>
      </c>
      <c r="B772" s="369">
        <f t="shared" si="191"/>
        <v>767</v>
      </c>
      <c r="C772" s="427">
        <v>42970</v>
      </c>
      <c r="D772" s="426"/>
      <c r="E772" s="425" t="str">
        <f t="shared" ca="1" si="199"/>
        <v/>
      </c>
      <c r="F772" s="428" t="str">
        <f t="shared" ca="1" si="194"/>
        <v/>
      </c>
      <c r="G772" s="378"/>
      <c r="H772" s="378"/>
      <c r="I772" s="378" t="str">
        <f t="shared" si="192"/>
        <v/>
      </c>
      <c r="J772" s="378" t="str">
        <f t="shared" si="190"/>
        <v/>
      </c>
      <c r="K772" s="1220" t="str">
        <f t="shared" si="193"/>
        <v/>
      </c>
      <c r="L772" s="378"/>
      <c r="M772" s="378"/>
      <c r="N772" s="378" t="str">
        <f t="shared" si="189"/>
        <v/>
      </c>
      <c r="O772" s="378" t="str">
        <f t="shared" si="195"/>
        <v/>
      </c>
      <c r="P772" s="378" t="str">
        <f t="shared" si="196"/>
        <v/>
      </c>
      <c r="Q772" s="378" t="str">
        <f t="shared" si="197"/>
        <v/>
      </c>
      <c r="R772" s="378" t="str">
        <f t="shared" si="198"/>
        <v/>
      </c>
      <c r="S772" s="602">
        <v>320100</v>
      </c>
      <c r="T772" s="378" t="str">
        <f>+IFERROR(VLOOKUP(S772,STAT1!$C$4:$D$189,2,FALSE),"")</f>
        <v>Урьдчилж орсон орлого MNT</v>
      </c>
      <c r="U772" s="1225">
        <v>608800</v>
      </c>
      <c r="V772" s="1216"/>
      <c r="W772" s="326">
        <v>3084</v>
      </c>
      <c r="X772" s="328" t="str">
        <f>IFERROR(VLOOKUP(W772,DATA!$G$4:$H$400,2,FALSE),"")</f>
        <v xml:space="preserve">ТОРГО ЗАГВАР </v>
      </c>
      <c r="Y772" s="1205"/>
      <c r="Z772" s="1205"/>
      <c r="AA772" s="1205"/>
    </row>
    <row r="773" spans="1:27" ht="12.75" customHeight="1">
      <c r="A773" s="15">
        <v>179</v>
      </c>
      <c r="B773" s="369">
        <f t="shared" si="191"/>
        <v>768</v>
      </c>
      <c r="C773" s="427">
        <v>42971</v>
      </c>
      <c r="D773" s="426">
        <v>211503</v>
      </c>
      <c r="E773" s="425" t="str">
        <f t="shared" ca="1" si="199"/>
        <v>Н-Евровагонка /зузаан-1.2см/</v>
      </c>
      <c r="F773" s="428" t="str">
        <f t="shared" ca="1" si="194"/>
        <v>м2</v>
      </c>
      <c r="G773" s="378"/>
      <c r="H773" s="378"/>
      <c r="I773" s="378" t="str">
        <f t="shared" si="192"/>
        <v/>
      </c>
      <c r="J773" s="378" t="str">
        <f t="shared" si="190"/>
        <v/>
      </c>
      <c r="K773" s="1220" t="str">
        <f t="shared" si="193"/>
        <v/>
      </c>
      <c r="L773" s="378">
        <v>32</v>
      </c>
      <c r="M773" s="378">
        <v>21600</v>
      </c>
      <c r="N773" s="378">
        <f t="shared" si="189"/>
        <v>691200</v>
      </c>
      <c r="O773" s="378">
        <f t="shared" si="195"/>
        <v>69120</v>
      </c>
      <c r="P773" s="378">
        <f t="shared" si="196"/>
        <v>760320</v>
      </c>
      <c r="Q773" s="378">
        <f t="shared" ca="1" si="197"/>
        <v>13269.527397514301</v>
      </c>
      <c r="R773" s="378">
        <f t="shared" ca="1" si="198"/>
        <v>424624.87672045763</v>
      </c>
      <c r="S773" s="602">
        <v>150101</v>
      </c>
      <c r="T773" s="378" t="str">
        <f>+IFERROR(VLOOKUP(S773,STAT1!$C$4:$D$189,2,FALSE),"")</f>
        <v>Бараа бэлэн бүтээгдэхүүн БОЛОВСРУУЛАХ ЦЕХ /нарс/</v>
      </c>
      <c r="U773" s="1225"/>
      <c r="V773" s="1216">
        <v>717846.6829604574</v>
      </c>
      <c r="W773" s="326">
        <v>3001</v>
      </c>
      <c r="X773" s="328" t="str">
        <f>IFERROR(VLOOKUP(W773,DATA!$G$4:$H$400,2,FALSE),"")</f>
        <v>ХУРД ГРУПП ХХК</v>
      </c>
      <c r="Y773" s="1205"/>
      <c r="Z773" s="1205"/>
      <c r="AA773" s="1205"/>
    </row>
    <row r="774" spans="1:27" ht="12.75" customHeight="1">
      <c r="A774" s="15">
        <v>179</v>
      </c>
      <c r="B774" s="369">
        <f t="shared" si="191"/>
        <v>769</v>
      </c>
      <c r="C774" s="427">
        <v>42971</v>
      </c>
      <c r="D774" s="426">
        <v>211501</v>
      </c>
      <c r="E774" s="425" t="str">
        <f t="shared" ca="1" si="199"/>
        <v>Н-Евровагонка /зузаан-2.2см/</v>
      </c>
      <c r="F774" s="428" t="str">
        <f t="shared" ca="1" si="194"/>
        <v>м2</v>
      </c>
      <c r="G774" s="378"/>
      <c r="H774" s="378"/>
      <c r="I774" s="378" t="str">
        <f t="shared" si="192"/>
        <v/>
      </c>
      <c r="J774" s="378" t="str">
        <f t="shared" si="190"/>
        <v/>
      </c>
      <c r="K774" s="1220" t="str">
        <f t="shared" si="193"/>
        <v/>
      </c>
      <c r="L774" s="378">
        <v>22.352</v>
      </c>
      <c r="M774" s="378">
        <v>30000</v>
      </c>
      <c r="N774" s="378">
        <f t="shared" si="189"/>
        <v>670560</v>
      </c>
      <c r="O774" s="378">
        <f t="shared" si="195"/>
        <v>67056</v>
      </c>
      <c r="P774" s="378">
        <f t="shared" si="196"/>
        <v>737616</v>
      </c>
      <c r="Q774" s="378">
        <f t="shared" ca="1" si="197"/>
        <v>13118.37</v>
      </c>
      <c r="R774" s="378">
        <f t="shared" ca="1" si="198"/>
        <v>293221.80624000001</v>
      </c>
      <c r="S774" s="602">
        <v>610100</v>
      </c>
      <c r="T774" s="378" t="str">
        <f>+IFERROR(VLOOKUP(S774,STAT1!$C$4:$D$189,2,FALSE),"")</f>
        <v>Борлуулсан барааны өртөг</v>
      </c>
      <c r="U774" s="1225">
        <v>717846.6829604574</v>
      </c>
      <c r="V774" s="1216"/>
      <c r="W774" s="326">
        <v>3001</v>
      </c>
      <c r="X774" s="328" t="str">
        <f>IFERROR(VLOOKUP(W774,DATA!$G$4:$H$400,2,FALSE),"")</f>
        <v>ХУРД ГРУПП ХХК</v>
      </c>
      <c r="Y774" s="1205"/>
      <c r="Z774" s="1205"/>
      <c r="AA774" s="1205"/>
    </row>
    <row r="775" spans="1:27" ht="12.75" customHeight="1">
      <c r="A775" s="15">
        <v>179</v>
      </c>
      <c r="B775" s="369">
        <f t="shared" si="191"/>
        <v>770</v>
      </c>
      <c r="C775" s="427">
        <v>42971</v>
      </c>
      <c r="D775" s="426"/>
      <c r="E775" s="425" t="str">
        <f t="shared" ca="1" si="199"/>
        <v/>
      </c>
      <c r="F775" s="428" t="str">
        <f t="shared" ca="1" si="194"/>
        <v/>
      </c>
      <c r="G775" s="378"/>
      <c r="H775" s="378"/>
      <c r="I775" s="378" t="str">
        <f t="shared" si="192"/>
        <v/>
      </c>
      <c r="J775" s="378" t="str">
        <f t="shared" si="190"/>
        <v/>
      </c>
      <c r="K775" s="1220" t="str">
        <f t="shared" si="193"/>
        <v/>
      </c>
      <c r="L775" s="378"/>
      <c r="M775" s="378"/>
      <c r="N775" s="378" t="str">
        <f t="shared" si="189"/>
        <v/>
      </c>
      <c r="O775" s="378" t="str">
        <f t="shared" si="195"/>
        <v/>
      </c>
      <c r="P775" s="378" t="str">
        <f t="shared" si="196"/>
        <v/>
      </c>
      <c r="Q775" s="378" t="str">
        <f t="shared" si="197"/>
        <v/>
      </c>
      <c r="R775" s="378" t="str">
        <f t="shared" si="198"/>
        <v/>
      </c>
      <c r="S775" s="602">
        <v>310500</v>
      </c>
      <c r="T775" s="378" t="str">
        <f>+IFERROR(VLOOKUP(S775,STAT1!$C$4:$D$189,2,FALSE),"")</f>
        <v>НӨАТ өглөг</v>
      </c>
      <c r="U775" s="1225"/>
      <c r="V775" s="1216">
        <v>136176</v>
      </c>
      <c r="W775" s="326">
        <v>3001</v>
      </c>
      <c r="X775" s="328" t="str">
        <f>IFERROR(VLOOKUP(W775,DATA!$G$4:$H$400,2,FALSE),"")</f>
        <v>ХУРД ГРУПП ХХК</v>
      </c>
      <c r="Y775" s="1205"/>
      <c r="Z775" s="1205"/>
      <c r="AA775" s="1205"/>
    </row>
    <row r="776" spans="1:27" ht="12.75" customHeight="1">
      <c r="A776" s="15">
        <v>179</v>
      </c>
      <c r="B776" s="369">
        <f t="shared" si="191"/>
        <v>771</v>
      </c>
      <c r="C776" s="427">
        <v>42971</v>
      </c>
      <c r="D776" s="426"/>
      <c r="E776" s="425" t="str">
        <f t="shared" ca="1" si="199"/>
        <v/>
      </c>
      <c r="F776" s="428" t="str">
        <f t="shared" ca="1" si="194"/>
        <v/>
      </c>
      <c r="G776" s="378"/>
      <c r="H776" s="378"/>
      <c r="I776" s="378" t="str">
        <f t="shared" si="192"/>
        <v/>
      </c>
      <c r="J776" s="378" t="str">
        <f t="shared" si="190"/>
        <v/>
      </c>
      <c r="K776" s="1220" t="str">
        <f t="shared" si="193"/>
        <v/>
      </c>
      <c r="L776" s="378"/>
      <c r="M776" s="378"/>
      <c r="N776" s="378" t="str">
        <f t="shared" si="189"/>
        <v/>
      </c>
      <c r="O776" s="378" t="str">
        <f t="shared" si="195"/>
        <v/>
      </c>
      <c r="P776" s="378" t="str">
        <f t="shared" si="196"/>
        <v/>
      </c>
      <c r="Q776" s="378" t="str">
        <f t="shared" si="197"/>
        <v/>
      </c>
      <c r="R776" s="378" t="str">
        <f t="shared" si="198"/>
        <v/>
      </c>
      <c r="S776" s="602">
        <v>510000</v>
      </c>
      <c r="T776" s="378" t="str">
        <f>+IFERROR(VLOOKUP(S776,STAT1!$C$4:$D$189,2,FALSE),"")</f>
        <v>Үндсэн үйл ажиллагааны борлуулалт</v>
      </c>
      <c r="U776" s="1225"/>
      <c r="V776" s="1216">
        <v>1361760</v>
      </c>
      <c r="W776" s="326">
        <v>3001</v>
      </c>
      <c r="X776" s="328" t="str">
        <f>IFERROR(VLOOKUP(W776,DATA!$G$4:$H$400,2,FALSE),"")</f>
        <v>ХУРД ГРУПП ХХК</v>
      </c>
      <c r="Y776" s="1205"/>
      <c r="Z776" s="1205"/>
      <c r="AA776" s="1205"/>
    </row>
    <row r="777" spans="1:27" ht="12.75" customHeight="1">
      <c r="A777" s="15">
        <v>179</v>
      </c>
      <c r="B777" s="369">
        <f t="shared" si="191"/>
        <v>772</v>
      </c>
      <c r="C777" s="427">
        <v>42971</v>
      </c>
      <c r="D777" s="426"/>
      <c r="E777" s="425" t="str">
        <f t="shared" ca="1" si="199"/>
        <v/>
      </c>
      <c r="F777" s="428" t="str">
        <f t="shared" ca="1" si="194"/>
        <v/>
      </c>
      <c r="G777" s="378"/>
      <c r="H777" s="378"/>
      <c r="I777" s="378" t="str">
        <f t="shared" si="192"/>
        <v/>
      </c>
      <c r="J777" s="378" t="str">
        <f t="shared" si="190"/>
        <v/>
      </c>
      <c r="K777" s="1220" t="str">
        <f t="shared" si="193"/>
        <v/>
      </c>
      <c r="L777" s="378"/>
      <c r="M777" s="378"/>
      <c r="N777" s="378" t="str">
        <f t="shared" si="189"/>
        <v/>
      </c>
      <c r="O777" s="378" t="str">
        <f t="shared" si="195"/>
        <v/>
      </c>
      <c r="P777" s="378" t="str">
        <f t="shared" si="196"/>
        <v/>
      </c>
      <c r="Q777" s="378" t="str">
        <f t="shared" si="197"/>
        <v/>
      </c>
      <c r="R777" s="378" t="str">
        <f t="shared" si="198"/>
        <v/>
      </c>
      <c r="S777" s="602">
        <v>320100</v>
      </c>
      <c r="T777" s="378" t="str">
        <f>+IFERROR(VLOOKUP(S777,STAT1!$C$4:$D$189,2,FALSE),"")</f>
        <v>Урьдчилж орсон орлого MNT</v>
      </c>
      <c r="U777" s="1225">
        <v>1497936</v>
      </c>
      <c r="V777" s="1216"/>
      <c r="W777" s="326">
        <v>3001</v>
      </c>
      <c r="X777" s="328" t="str">
        <f>IFERROR(VLOOKUP(W777,DATA!$G$4:$H$400,2,FALSE),"")</f>
        <v>ХУРД ГРУПП ХХК</v>
      </c>
      <c r="Y777" s="1205"/>
      <c r="Z777" s="1205"/>
      <c r="AA777" s="1205"/>
    </row>
    <row r="778" spans="1:27" ht="12.75" customHeight="1">
      <c r="A778" s="15">
        <v>180</v>
      </c>
      <c r="B778" s="369">
        <f t="shared" si="191"/>
        <v>773</v>
      </c>
      <c r="C778" s="427">
        <v>42971</v>
      </c>
      <c r="D778" s="426">
        <v>211504</v>
      </c>
      <c r="E778" s="425" t="str">
        <f t="shared" ca="1" si="199"/>
        <v xml:space="preserve">Н-Евровагонка /зузаан-1.2см/-яртай </v>
      </c>
      <c r="F778" s="428" t="str">
        <f t="shared" ca="1" si="194"/>
        <v>м2</v>
      </c>
      <c r="G778" s="378"/>
      <c r="H778" s="378"/>
      <c r="I778" s="378" t="str">
        <f t="shared" si="192"/>
        <v/>
      </c>
      <c r="J778" s="378" t="str">
        <f t="shared" si="190"/>
        <v/>
      </c>
      <c r="K778" s="1220" t="str">
        <f t="shared" si="193"/>
        <v/>
      </c>
      <c r="L778" s="378">
        <v>9</v>
      </c>
      <c r="M778" s="378">
        <v>18000</v>
      </c>
      <c r="N778" s="378">
        <f t="shared" si="189"/>
        <v>162000</v>
      </c>
      <c r="O778" s="378">
        <f t="shared" si="195"/>
        <v>16200</v>
      </c>
      <c r="P778" s="378">
        <f t="shared" si="196"/>
        <v>178200</v>
      </c>
      <c r="Q778" s="378">
        <f t="shared" ca="1" si="197"/>
        <v>11310.879514497639</v>
      </c>
      <c r="R778" s="378">
        <f t="shared" ca="1" si="198"/>
        <v>101797.91563047876</v>
      </c>
      <c r="S778" s="602">
        <v>150101</v>
      </c>
      <c r="T778" s="378" t="str">
        <f>+IFERROR(VLOOKUP(S778,STAT1!$C$4:$D$189,2,FALSE),"")</f>
        <v>Бараа бэлэн бүтээгдэхүүн БОЛОВСРУУЛАХ ЦЕХ /нарс/</v>
      </c>
      <c r="U778" s="1225"/>
      <c r="V778" s="1216">
        <v>101797.91563047876</v>
      </c>
      <c r="W778" s="326">
        <v>3088</v>
      </c>
      <c r="X778" s="328" t="str">
        <f>IFERROR(VLOOKUP(W778,DATA!$G$4:$H$400,2,FALSE),"")</f>
        <v xml:space="preserve">ОГТОРГУЙН ХУДАГ ХХК </v>
      </c>
      <c r="Y778" s="1205"/>
      <c r="Z778" s="1205"/>
      <c r="AA778" s="1205"/>
    </row>
    <row r="779" spans="1:27" ht="12.75" customHeight="1">
      <c r="A779" s="15">
        <v>180</v>
      </c>
      <c r="B779" s="369">
        <f t="shared" si="191"/>
        <v>774</v>
      </c>
      <c r="C779" s="427">
        <v>42971</v>
      </c>
      <c r="D779" s="426"/>
      <c r="E779" s="425" t="str">
        <f t="shared" ca="1" si="199"/>
        <v/>
      </c>
      <c r="F779" s="428" t="str">
        <f t="shared" ca="1" si="194"/>
        <v/>
      </c>
      <c r="G779" s="378"/>
      <c r="H779" s="378"/>
      <c r="I779" s="378" t="str">
        <f t="shared" si="192"/>
        <v/>
      </c>
      <c r="J779" s="378" t="str">
        <f t="shared" si="190"/>
        <v/>
      </c>
      <c r="K779" s="1220" t="str">
        <f t="shared" si="193"/>
        <v/>
      </c>
      <c r="L779" s="378"/>
      <c r="M779" s="378"/>
      <c r="N779" s="378" t="str">
        <f t="shared" si="189"/>
        <v/>
      </c>
      <c r="O779" s="378" t="str">
        <f t="shared" si="195"/>
        <v/>
      </c>
      <c r="P779" s="378" t="str">
        <f t="shared" si="196"/>
        <v/>
      </c>
      <c r="Q779" s="378" t="str">
        <f t="shared" si="197"/>
        <v/>
      </c>
      <c r="R779" s="378" t="str">
        <f t="shared" si="198"/>
        <v/>
      </c>
      <c r="S779" s="602">
        <v>610100</v>
      </c>
      <c r="T779" s="378" t="str">
        <f>+IFERROR(VLOOKUP(S779,STAT1!$C$4:$D$189,2,FALSE),"")</f>
        <v>Борлуулсан барааны өртөг</v>
      </c>
      <c r="U779" s="1225">
        <v>101797.91563047876</v>
      </c>
      <c r="V779" s="1216"/>
      <c r="W779" s="326">
        <v>3088</v>
      </c>
      <c r="X779" s="328" t="str">
        <f>IFERROR(VLOOKUP(W779,DATA!$G$4:$H$400,2,FALSE),"")</f>
        <v xml:space="preserve">ОГТОРГУЙН ХУДАГ ХХК </v>
      </c>
      <c r="Y779" s="1205"/>
      <c r="Z779" s="1205"/>
      <c r="AA779" s="1205"/>
    </row>
    <row r="780" spans="1:27" ht="12.75" customHeight="1">
      <c r="A780" s="15">
        <v>180</v>
      </c>
      <c r="B780" s="369">
        <f t="shared" si="191"/>
        <v>775</v>
      </c>
      <c r="C780" s="427">
        <v>42971</v>
      </c>
      <c r="D780" s="426"/>
      <c r="E780" s="425" t="str">
        <f t="shared" ca="1" si="199"/>
        <v/>
      </c>
      <c r="F780" s="428" t="str">
        <f t="shared" ca="1" si="194"/>
        <v/>
      </c>
      <c r="G780" s="378"/>
      <c r="H780" s="378"/>
      <c r="I780" s="378" t="str">
        <f t="shared" si="192"/>
        <v/>
      </c>
      <c r="J780" s="378" t="str">
        <f t="shared" si="190"/>
        <v/>
      </c>
      <c r="K780" s="1220" t="str">
        <f t="shared" si="193"/>
        <v/>
      </c>
      <c r="L780" s="378"/>
      <c r="M780" s="378"/>
      <c r="N780" s="378" t="str">
        <f t="shared" si="189"/>
        <v/>
      </c>
      <c r="O780" s="378" t="str">
        <f t="shared" si="195"/>
        <v/>
      </c>
      <c r="P780" s="378" t="str">
        <f t="shared" si="196"/>
        <v/>
      </c>
      <c r="Q780" s="378" t="str">
        <f t="shared" si="197"/>
        <v/>
      </c>
      <c r="R780" s="378" t="str">
        <f t="shared" si="198"/>
        <v/>
      </c>
      <c r="S780" s="602">
        <v>310500</v>
      </c>
      <c r="T780" s="378" t="str">
        <f>+IFERROR(VLOOKUP(S780,STAT1!$C$4:$D$189,2,FALSE),"")</f>
        <v>НӨАТ өглөг</v>
      </c>
      <c r="U780" s="1225"/>
      <c r="V780" s="1216">
        <v>16200</v>
      </c>
      <c r="W780" s="326">
        <v>3088</v>
      </c>
      <c r="X780" s="328" t="str">
        <f>IFERROR(VLOOKUP(W780,DATA!$G$4:$H$400,2,FALSE),"")</f>
        <v xml:space="preserve">ОГТОРГУЙН ХУДАГ ХХК </v>
      </c>
      <c r="Y780" s="1205"/>
      <c r="Z780" s="1205"/>
      <c r="AA780" s="1205"/>
    </row>
    <row r="781" spans="1:27" ht="12.75" customHeight="1">
      <c r="A781" s="15">
        <v>180</v>
      </c>
      <c r="B781" s="369">
        <f t="shared" si="191"/>
        <v>776</v>
      </c>
      <c r="C781" s="427">
        <v>42971</v>
      </c>
      <c r="D781" s="426"/>
      <c r="E781" s="425" t="str">
        <f t="shared" ca="1" si="199"/>
        <v/>
      </c>
      <c r="F781" s="428" t="str">
        <f t="shared" ca="1" si="194"/>
        <v/>
      </c>
      <c r="G781" s="378"/>
      <c r="H781" s="378"/>
      <c r="I781" s="378" t="str">
        <f t="shared" si="192"/>
        <v/>
      </c>
      <c r="J781" s="378" t="str">
        <f t="shared" si="190"/>
        <v/>
      </c>
      <c r="K781" s="1220" t="str">
        <f t="shared" si="193"/>
        <v/>
      </c>
      <c r="L781" s="378"/>
      <c r="M781" s="378"/>
      <c r="N781" s="378" t="str">
        <f t="shared" si="189"/>
        <v/>
      </c>
      <c r="O781" s="378" t="str">
        <f t="shared" si="195"/>
        <v/>
      </c>
      <c r="P781" s="378" t="str">
        <f t="shared" si="196"/>
        <v/>
      </c>
      <c r="Q781" s="378" t="str">
        <f t="shared" si="197"/>
        <v/>
      </c>
      <c r="R781" s="378" t="str">
        <f t="shared" si="198"/>
        <v/>
      </c>
      <c r="S781" s="602">
        <v>510000</v>
      </c>
      <c r="T781" s="378" t="str">
        <f>+IFERROR(VLOOKUP(S781,STAT1!$C$4:$D$189,2,FALSE),"")</f>
        <v>Үндсэн үйл ажиллагааны борлуулалт</v>
      </c>
      <c r="U781" s="1225"/>
      <c r="V781" s="1216">
        <v>162000</v>
      </c>
      <c r="W781" s="326">
        <v>3088</v>
      </c>
      <c r="X781" s="328" t="str">
        <f>IFERROR(VLOOKUP(W781,DATA!$G$4:$H$400,2,FALSE),"")</f>
        <v xml:space="preserve">ОГТОРГУЙН ХУДАГ ХХК </v>
      </c>
      <c r="Y781" s="1205"/>
      <c r="Z781" s="1205"/>
      <c r="AA781" s="1205"/>
    </row>
    <row r="782" spans="1:27" ht="12.75" customHeight="1">
      <c r="A782" s="15">
        <v>180</v>
      </c>
      <c r="B782" s="369">
        <f t="shared" si="191"/>
        <v>777</v>
      </c>
      <c r="C782" s="427">
        <v>42971</v>
      </c>
      <c r="D782" s="426"/>
      <c r="E782" s="425" t="str">
        <f t="shared" ca="1" si="199"/>
        <v/>
      </c>
      <c r="F782" s="428" t="str">
        <f t="shared" ca="1" si="194"/>
        <v/>
      </c>
      <c r="G782" s="378"/>
      <c r="H782" s="378"/>
      <c r="I782" s="378" t="str">
        <f t="shared" si="192"/>
        <v/>
      </c>
      <c r="J782" s="378" t="str">
        <f t="shared" si="190"/>
        <v/>
      </c>
      <c r="K782" s="1220" t="str">
        <f t="shared" si="193"/>
        <v/>
      </c>
      <c r="L782" s="378"/>
      <c r="M782" s="378"/>
      <c r="N782" s="378" t="str">
        <f t="shared" si="189"/>
        <v/>
      </c>
      <c r="O782" s="378" t="str">
        <f t="shared" si="195"/>
        <v/>
      </c>
      <c r="P782" s="378" t="str">
        <f t="shared" si="196"/>
        <v/>
      </c>
      <c r="Q782" s="378" t="str">
        <f t="shared" si="197"/>
        <v/>
      </c>
      <c r="R782" s="378" t="str">
        <f t="shared" si="198"/>
        <v/>
      </c>
      <c r="S782" s="602">
        <v>320100</v>
      </c>
      <c r="T782" s="378" t="str">
        <f>+IFERROR(VLOOKUP(S782,STAT1!$C$4:$D$189,2,FALSE),"")</f>
        <v>Урьдчилж орсон орлого MNT</v>
      </c>
      <c r="U782" s="1225">
        <v>178200</v>
      </c>
      <c r="V782" s="1216"/>
      <c r="W782" s="326">
        <v>3088</v>
      </c>
      <c r="X782" s="328" t="str">
        <f>IFERROR(VLOOKUP(W782,DATA!$G$4:$H$400,2,FALSE),"")</f>
        <v xml:space="preserve">ОГТОРГУЙН ХУДАГ ХХК </v>
      </c>
      <c r="Y782" s="1205"/>
      <c r="Z782" s="1205"/>
      <c r="AA782" s="1205"/>
    </row>
    <row r="783" spans="1:27" ht="12.75" customHeight="1">
      <c r="A783" s="15">
        <v>181</v>
      </c>
      <c r="B783" s="369">
        <f t="shared" si="191"/>
        <v>778</v>
      </c>
      <c r="C783" s="427">
        <v>42972</v>
      </c>
      <c r="D783" s="426">
        <v>211801</v>
      </c>
      <c r="E783" s="425" t="str">
        <f t="shared" ca="1" si="199"/>
        <v>Н-Ембүү /20*30мм/</v>
      </c>
      <c r="F783" s="428" t="str">
        <f t="shared" ca="1" si="194"/>
        <v>м</v>
      </c>
      <c r="G783" s="378"/>
      <c r="H783" s="378"/>
      <c r="I783" s="378" t="str">
        <f t="shared" si="192"/>
        <v/>
      </c>
      <c r="J783" s="378" t="str">
        <f t="shared" si="190"/>
        <v/>
      </c>
      <c r="K783" s="1220" t="str">
        <f t="shared" si="193"/>
        <v/>
      </c>
      <c r="L783" s="378">
        <v>275</v>
      </c>
      <c r="M783" s="378">
        <v>1500</v>
      </c>
      <c r="N783" s="378">
        <f t="shared" si="189"/>
        <v>412500</v>
      </c>
      <c r="O783" s="378">
        <f t="shared" si="195"/>
        <v>41250</v>
      </c>
      <c r="P783" s="378">
        <f t="shared" si="196"/>
        <v>453750</v>
      </c>
      <c r="Q783" s="378">
        <f t="shared" ca="1" si="197"/>
        <v>647.50519478531237</v>
      </c>
      <c r="R783" s="378">
        <f t="shared" ca="1" si="198"/>
        <v>178063.9285659609</v>
      </c>
      <c r="S783" s="602">
        <v>150101</v>
      </c>
      <c r="T783" s="378" t="str">
        <f>+IFERROR(VLOOKUP(S783,STAT1!$C$4:$D$189,2,FALSE),"")</f>
        <v>Бараа бэлэн бүтээгдэхүүн БОЛОВСРУУЛАХ ЦЕХ /нарс/</v>
      </c>
      <c r="U783" s="1225"/>
      <c r="V783" s="1216">
        <v>178063.9285659609</v>
      </c>
      <c r="W783" s="326">
        <v>3087</v>
      </c>
      <c r="X783" s="328" t="str">
        <f>IFERROR(VLOOKUP(W783,DATA!$G$4:$H$400,2,FALSE),"")</f>
        <v xml:space="preserve">ОРГИЛ ХАУС ХХК </v>
      </c>
      <c r="Y783" s="1205"/>
      <c r="Z783" s="1205"/>
      <c r="AA783" s="1205"/>
    </row>
    <row r="784" spans="1:27" ht="12.75" customHeight="1">
      <c r="A784" s="15">
        <v>181</v>
      </c>
      <c r="B784" s="369">
        <f t="shared" si="191"/>
        <v>779</v>
      </c>
      <c r="C784" s="427">
        <v>42972</v>
      </c>
      <c r="D784" s="426"/>
      <c r="E784" s="425" t="str">
        <f t="shared" ca="1" si="199"/>
        <v/>
      </c>
      <c r="F784" s="428" t="str">
        <f t="shared" ca="1" si="194"/>
        <v/>
      </c>
      <c r="G784" s="378"/>
      <c r="H784" s="378"/>
      <c r="I784" s="378" t="str">
        <f t="shared" si="192"/>
        <v/>
      </c>
      <c r="J784" s="378" t="str">
        <f t="shared" si="190"/>
        <v/>
      </c>
      <c r="K784" s="1220" t="str">
        <f t="shared" si="193"/>
        <v/>
      </c>
      <c r="L784" s="378"/>
      <c r="M784" s="378"/>
      <c r="N784" s="378" t="str">
        <f t="shared" si="189"/>
        <v/>
      </c>
      <c r="O784" s="378" t="str">
        <f t="shared" si="195"/>
        <v/>
      </c>
      <c r="P784" s="378" t="str">
        <f t="shared" si="196"/>
        <v/>
      </c>
      <c r="Q784" s="378" t="str">
        <f t="shared" si="197"/>
        <v/>
      </c>
      <c r="R784" s="378" t="str">
        <f t="shared" si="198"/>
        <v/>
      </c>
      <c r="S784" s="602">
        <v>610100</v>
      </c>
      <c r="T784" s="378" t="str">
        <f>+IFERROR(VLOOKUP(S784,STAT1!$C$4:$D$189,2,FALSE),"")</f>
        <v>Борлуулсан барааны өртөг</v>
      </c>
      <c r="U784" s="1225">
        <v>178063.9285659609</v>
      </c>
      <c r="V784" s="1216"/>
      <c r="W784" s="326">
        <v>3087</v>
      </c>
      <c r="X784" s="328" t="str">
        <f>IFERROR(VLOOKUP(W784,DATA!$G$4:$H$400,2,FALSE),"")</f>
        <v xml:space="preserve">ОРГИЛ ХАУС ХХК </v>
      </c>
      <c r="Y784" s="1205"/>
      <c r="Z784" s="1205"/>
      <c r="AA784" s="1205"/>
    </row>
    <row r="785" spans="1:27" ht="12.75" customHeight="1">
      <c r="A785" s="15">
        <v>181</v>
      </c>
      <c r="B785" s="369">
        <f t="shared" si="191"/>
        <v>780</v>
      </c>
      <c r="C785" s="427">
        <v>42972</v>
      </c>
      <c r="D785" s="426"/>
      <c r="E785" s="425" t="str">
        <f t="shared" ca="1" si="199"/>
        <v/>
      </c>
      <c r="F785" s="428" t="str">
        <f t="shared" ca="1" si="194"/>
        <v/>
      </c>
      <c r="G785" s="378"/>
      <c r="H785" s="378"/>
      <c r="I785" s="378" t="str">
        <f t="shared" si="192"/>
        <v/>
      </c>
      <c r="J785" s="378" t="str">
        <f t="shared" si="190"/>
        <v/>
      </c>
      <c r="K785" s="1220" t="str">
        <f t="shared" si="193"/>
        <v/>
      </c>
      <c r="L785" s="378"/>
      <c r="M785" s="378"/>
      <c r="N785" s="378" t="str">
        <f t="shared" si="189"/>
        <v/>
      </c>
      <c r="O785" s="378" t="str">
        <f t="shared" si="195"/>
        <v/>
      </c>
      <c r="P785" s="378" t="str">
        <f t="shared" si="196"/>
        <v/>
      </c>
      <c r="Q785" s="378" t="str">
        <f t="shared" si="197"/>
        <v/>
      </c>
      <c r="R785" s="378" t="str">
        <f t="shared" si="198"/>
        <v/>
      </c>
      <c r="S785" s="602">
        <v>310500</v>
      </c>
      <c r="T785" s="378" t="str">
        <f>+IFERROR(VLOOKUP(S785,STAT1!$C$4:$D$189,2,FALSE),"")</f>
        <v>НӨАТ өглөг</v>
      </c>
      <c r="U785" s="1225"/>
      <c r="V785" s="1216">
        <v>41250</v>
      </c>
      <c r="W785" s="326">
        <v>3087</v>
      </c>
      <c r="X785" s="328" t="str">
        <f>IFERROR(VLOOKUP(W785,DATA!$G$4:$H$400,2,FALSE),"")</f>
        <v xml:space="preserve">ОРГИЛ ХАУС ХХК </v>
      </c>
      <c r="Y785" s="1205"/>
      <c r="Z785" s="1205"/>
      <c r="AA785" s="1205"/>
    </row>
    <row r="786" spans="1:27" ht="12.75" customHeight="1">
      <c r="A786" s="15">
        <v>181</v>
      </c>
      <c r="B786" s="369">
        <f t="shared" si="191"/>
        <v>781</v>
      </c>
      <c r="C786" s="427">
        <v>42972</v>
      </c>
      <c r="D786" s="426"/>
      <c r="E786" s="425" t="str">
        <f t="shared" ca="1" si="199"/>
        <v/>
      </c>
      <c r="F786" s="428" t="str">
        <f t="shared" ca="1" si="194"/>
        <v/>
      </c>
      <c r="G786" s="378"/>
      <c r="H786" s="378"/>
      <c r="I786" s="378" t="str">
        <f t="shared" si="192"/>
        <v/>
      </c>
      <c r="J786" s="378" t="str">
        <f t="shared" si="190"/>
        <v/>
      </c>
      <c r="K786" s="1220" t="str">
        <f t="shared" si="193"/>
        <v/>
      </c>
      <c r="L786" s="378"/>
      <c r="M786" s="378"/>
      <c r="N786" s="378" t="str">
        <f t="shared" si="189"/>
        <v/>
      </c>
      <c r="O786" s="378" t="str">
        <f t="shared" si="195"/>
        <v/>
      </c>
      <c r="P786" s="378" t="str">
        <f t="shared" si="196"/>
        <v/>
      </c>
      <c r="Q786" s="378" t="str">
        <f t="shared" si="197"/>
        <v/>
      </c>
      <c r="R786" s="378" t="str">
        <f t="shared" si="198"/>
        <v/>
      </c>
      <c r="S786" s="602">
        <v>510000</v>
      </c>
      <c r="T786" s="378" t="str">
        <f>+IFERROR(VLOOKUP(S786,STAT1!$C$4:$D$189,2,FALSE),"")</f>
        <v>Үндсэн үйл ажиллагааны борлуулалт</v>
      </c>
      <c r="U786" s="1225"/>
      <c r="V786" s="1216">
        <v>412500</v>
      </c>
      <c r="W786" s="326">
        <v>3087</v>
      </c>
      <c r="X786" s="328" t="str">
        <f>IFERROR(VLOOKUP(W786,DATA!$G$4:$H$400,2,FALSE),"")</f>
        <v xml:space="preserve">ОРГИЛ ХАУС ХХК </v>
      </c>
      <c r="Y786" s="1205"/>
      <c r="Z786" s="1205"/>
      <c r="AA786" s="1205"/>
    </row>
    <row r="787" spans="1:27" ht="12.75" customHeight="1">
      <c r="A787" s="15">
        <v>181</v>
      </c>
      <c r="B787" s="369">
        <f t="shared" si="191"/>
        <v>782</v>
      </c>
      <c r="C787" s="427">
        <v>42972</v>
      </c>
      <c r="D787" s="426"/>
      <c r="E787" s="425" t="str">
        <f t="shared" ca="1" si="199"/>
        <v/>
      </c>
      <c r="F787" s="428" t="str">
        <f t="shared" ca="1" si="194"/>
        <v/>
      </c>
      <c r="G787" s="378"/>
      <c r="H787" s="378"/>
      <c r="I787" s="378" t="str">
        <f t="shared" si="192"/>
        <v/>
      </c>
      <c r="J787" s="378" t="str">
        <f t="shared" si="190"/>
        <v/>
      </c>
      <c r="K787" s="1220" t="str">
        <f t="shared" si="193"/>
        <v/>
      </c>
      <c r="L787" s="378"/>
      <c r="M787" s="378"/>
      <c r="N787" s="378" t="str">
        <f t="shared" si="189"/>
        <v/>
      </c>
      <c r="O787" s="378" t="str">
        <f t="shared" si="195"/>
        <v/>
      </c>
      <c r="P787" s="378" t="str">
        <f t="shared" si="196"/>
        <v/>
      </c>
      <c r="Q787" s="378" t="str">
        <f t="shared" si="197"/>
        <v/>
      </c>
      <c r="R787" s="378" t="str">
        <f t="shared" si="198"/>
        <v/>
      </c>
      <c r="S787" s="602">
        <v>320100</v>
      </c>
      <c r="T787" s="378" t="str">
        <f>+IFERROR(VLOOKUP(S787,STAT1!$C$4:$D$189,2,FALSE),"")</f>
        <v>Урьдчилж орсон орлого MNT</v>
      </c>
      <c r="U787" s="1225">
        <v>453750</v>
      </c>
      <c r="V787" s="1216"/>
      <c r="W787" s="326">
        <v>3087</v>
      </c>
      <c r="X787" s="328" t="str">
        <f>IFERROR(VLOOKUP(W787,DATA!$G$4:$H$400,2,FALSE),"")</f>
        <v xml:space="preserve">ОРГИЛ ХАУС ХХК </v>
      </c>
      <c r="Y787" s="1205"/>
      <c r="Z787" s="1205"/>
      <c r="AA787" s="1205"/>
    </row>
    <row r="788" spans="1:27" ht="12.75" customHeight="1">
      <c r="A788" s="15">
        <v>182</v>
      </c>
      <c r="B788" s="369">
        <f t="shared" si="191"/>
        <v>783</v>
      </c>
      <c r="C788" s="427">
        <v>42975</v>
      </c>
      <c r="D788" s="426">
        <v>211802</v>
      </c>
      <c r="E788" s="425" t="str">
        <f t="shared" ca="1" si="199"/>
        <v xml:space="preserve">Н-Уголок </v>
      </c>
      <c r="F788" s="428" t="str">
        <f t="shared" ca="1" si="194"/>
        <v>м</v>
      </c>
      <c r="G788" s="378"/>
      <c r="H788" s="378"/>
      <c r="I788" s="378" t="str">
        <f t="shared" si="192"/>
        <v/>
      </c>
      <c r="J788" s="378" t="str">
        <f t="shared" si="190"/>
        <v/>
      </c>
      <c r="K788" s="1220" t="str">
        <f t="shared" si="193"/>
        <v/>
      </c>
      <c r="L788" s="378">
        <v>19</v>
      </c>
      <c r="M788" s="378">
        <v>3000</v>
      </c>
      <c r="N788" s="378">
        <f t="shared" si="189"/>
        <v>57000</v>
      </c>
      <c r="O788" s="378">
        <f t="shared" si="195"/>
        <v>5700</v>
      </c>
      <c r="P788" s="378">
        <f t="shared" si="196"/>
        <v>62700</v>
      </c>
      <c r="Q788" s="378">
        <f t="shared" ca="1" si="197"/>
        <v>1412.1879249284552</v>
      </c>
      <c r="R788" s="378">
        <f t="shared" ca="1" si="198"/>
        <v>26831.570573640649</v>
      </c>
      <c r="S788" s="602">
        <v>150101</v>
      </c>
      <c r="T788" s="378" t="str">
        <f>+IFERROR(VLOOKUP(S788,STAT1!$C$4:$D$189,2,FALSE),"")</f>
        <v>Бараа бэлэн бүтээгдэхүүн БОЛОВСРУУЛАХ ЦЕХ /нарс/</v>
      </c>
      <c r="U788" s="1225"/>
      <c r="V788" s="1216">
        <v>26831.570573640649</v>
      </c>
      <c r="W788" s="326">
        <v>3086</v>
      </c>
      <c r="X788" s="328" t="str">
        <f>IFERROR(VLOOKUP(W788,DATA!$G$4:$H$400,2,FALSE),"")</f>
        <v xml:space="preserve">УНИВЕРСАЛ АВТО КОМПЛЕКС ХХК </v>
      </c>
      <c r="Y788" s="1205"/>
      <c r="Z788" s="1205"/>
      <c r="AA788" s="1205"/>
    </row>
    <row r="789" spans="1:27" ht="12.75" customHeight="1">
      <c r="A789" s="15">
        <v>182</v>
      </c>
      <c r="B789" s="369">
        <f t="shared" si="191"/>
        <v>784</v>
      </c>
      <c r="C789" s="427">
        <v>42975</v>
      </c>
      <c r="D789" s="426"/>
      <c r="E789" s="425" t="str">
        <f t="shared" ca="1" si="199"/>
        <v/>
      </c>
      <c r="F789" s="428" t="str">
        <f t="shared" ca="1" si="194"/>
        <v/>
      </c>
      <c r="G789" s="378"/>
      <c r="H789" s="378"/>
      <c r="I789" s="378" t="str">
        <f t="shared" si="192"/>
        <v/>
      </c>
      <c r="J789" s="378" t="str">
        <f t="shared" si="190"/>
        <v/>
      </c>
      <c r="K789" s="1220" t="str">
        <f t="shared" si="193"/>
        <v/>
      </c>
      <c r="L789" s="378"/>
      <c r="M789" s="378"/>
      <c r="N789" s="378" t="str">
        <f t="shared" si="189"/>
        <v/>
      </c>
      <c r="O789" s="378" t="str">
        <f t="shared" si="195"/>
        <v/>
      </c>
      <c r="P789" s="378" t="str">
        <f t="shared" si="196"/>
        <v/>
      </c>
      <c r="Q789" s="378" t="str">
        <f t="shared" si="197"/>
        <v/>
      </c>
      <c r="R789" s="378" t="str">
        <f t="shared" si="198"/>
        <v/>
      </c>
      <c r="S789" s="602">
        <v>610100</v>
      </c>
      <c r="T789" s="378" t="str">
        <f>+IFERROR(VLOOKUP(S789,STAT1!$C$4:$D$189,2,FALSE),"")</f>
        <v>Борлуулсан барааны өртөг</v>
      </c>
      <c r="U789" s="1225">
        <v>26831.570573640649</v>
      </c>
      <c r="V789" s="1216"/>
      <c r="W789" s="326">
        <v>3086</v>
      </c>
      <c r="X789" s="328" t="str">
        <f>IFERROR(VLOOKUP(W789,DATA!$G$4:$H$400,2,FALSE),"")</f>
        <v xml:space="preserve">УНИВЕРСАЛ АВТО КОМПЛЕКС ХХК </v>
      </c>
      <c r="Y789" s="1205"/>
      <c r="Z789" s="1205"/>
      <c r="AA789" s="1205"/>
    </row>
    <row r="790" spans="1:27" ht="12.75" customHeight="1">
      <c r="A790" s="15">
        <v>182</v>
      </c>
      <c r="B790" s="369">
        <f t="shared" si="191"/>
        <v>785</v>
      </c>
      <c r="C790" s="427">
        <v>42975</v>
      </c>
      <c r="D790" s="426"/>
      <c r="E790" s="425" t="str">
        <f t="shared" ca="1" si="199"/>
        <v/>
      </c>
      <c r="F790" s="428" t="str">
        <f t="shared" ca="1" si="194"/>
        <v/>
      </c>
      <c r="G790" s="378"/>
      <c r="H790" s="378"/>
      <c r="I790" s="378" t="str">
        <f t="shared" si="192"/>
        <v/>
      </c>
      <c r="J790" s="378" t="str">
        <f t="shared" si="190"/>
        <v/>
      </c>
      <c r="K790" s="1220" t="str">
        <f t="shared" si="193"/>
        <v/>
      </c>
      <c r="L790" s="378"/>
      <c r="M790" s="378"/>
      <c r="N790" s="378" t="str">
        <f t="shared" si="189"/>
        <v/>
      </c>
      <c r="O790" s="378" t="str">
        <f t="shared" si="195"/>
        <v/>
      </c>
      <c r="P790" s="378" t="str">
        <f t="shared" si="196"/>
        <v/>
      </c>
      <c r="Q790" s="378" t="str">
        <f t="shared" si="197"/>
        <v/>
      </c>
      <c r="R790" s="378" t="str">
        <f t="shared" si="198"/>
        <v/>
      </c>
      <c r="S790" s="602">
        <v>310500</v>
      </c>
      <c r="T790" s="378" t="str">
        <f>+IFERROR(VLOOKUP(S790,STAT1!$C$4:$D$189,2,FALSE),"")</f>
        <v>НӨАТ өглөг</v>
      </c>
      <c r="U790" s="1225"/>
      <c r="V790" s="1216">
        <v>5700</v>
      </c>
      <c r="W790" s="326">
        <v>3086</v>
      </c>
      <c r="X790" s="328" t="str">
        <f>IFERROR(VLOOKUP(W790,DATA!$G$4:$H$400,2,FALSE),"")</f>
        <v xml:space="preserve">УНИВЕРСАЛ АВТО КОМПЛЕКС ХХК </v>
      </c>
      <c r="Y790" s="1205"/>
      <c r="Z790" s="1205"/>
      <c r="AA790" s="1205"/>
    </row>
    <row r="791" spans="1:27" ht="12.75" customHeight="1">
      <c r="A791" s="15">
        <v>182</v>
      </c>
      <c r="B791" s="369">
        <f t="shared" si="191"/>
        <v>786</v>
      </c>
      <c r="C791" s="427">
        <v>42975</v>
      </c>
      <c r="D791" s="426"/>
      <c r="E791" s="425" t="str">
        <f t="shared" ca="1" si="199"/>
        <v/>
      </c>
      <c r="F791" s="428" t="str">
        <f t="shared" ca="1" si="194"/>
        <v/>
      </c>
      <c r="G791" s="378"/>
      <c r="H791" s="378"/>
      <c r="I791" s="378" t="str">
        <f t="shared" si="192"/>
        <v/>
      </c>
      <c r="J791" s="378" t="str">
        <f t="shared" si="190"/>
        <v/>
      </c>
      <c r="K791" s="1220" t="str">
        <f t="shared" si="193"/>
        <v/>
      </c>
      <c r="L791" s="378"/>
      <c r="M791" s="378"/>
      <c r="N791" s="378" t="str">
        <f t="shared" si="189"/>
        <v/>
      </c>
      <c r="O791" s="378" t="str">
        <f t="shared" si="195"/>
        <v/>
      </c>
      <c r="P791" s="378" t="str">
        <f t="shared" si="196"/>
        <v/>
      </c>
      <c r="Q791" s="378" t="str">
        <f t="shared" si="197"/>
        <v/>
      </c>
      <c r="R791" s="378" t="str">
        <f t="shared" si="198"/>
        <v/>
      </c>
      <c r="S791" s="602">
        <v>510000</v>
      </c>
      <c r="T791" s="378" t="str">
        <f>+IFERROR(VLOOKUP(S791,STAT1!$C$4:$D$189,2,FALSE),"")</f>
        <v>Үндсэн үйл ажиллагааны борлуулалт</v>
      </c>
      <c r="U791" s="1225"/>
      <c r="V791" s="1216">
        <v>57000</v>
      </c>
      <c r="W791" s="326">
        <v>3086</v>
      </c>
      <c r="X791" s="328" t="str">
        <f>IFERROR(VLOOKUP(W791,DATA!$G$4:$H$400,2,FALSE),"")</f>
        <v xml:space="preserve">УНИВЕРСАЛ АВТО КОМПЛЕКС ХХК </v>
      </c>
      <c r="Y791" s="1205"/>
      <c r="Z791" s="1205"/>
      <c r="AA791" s="1205"/>
    </row>
    <row r="792" spans="1:27" ht="12.75" customHeight="1">
      <c r="A792" s="15">
        <v>182</v>
      </c>
      <c r="B792" s="369">
        <f t="shared" si="191"/>
        <v>787</v>
      </c>
      <c r="C792" s="427">
        <v>42975</v>
      </c>
      <c r="D792" s="426"/>
      <c r="E792" s="425" t="str">
        <f t="shared" ca="1" si="199"/>
        <v/>
      </c>
      <c r="F792" s="428" t="str">
        <f t="shared" ca="1" si="194"/>
        <v/>
      </c>
      <c r="G792" s="378"/>
      <c r="H792" s="378"/>
      <c r="I792" s="378" t="str">
        <f t="shared" si="192"/>
        <v/>
      </c>
      <c r="J792" s="378" t="str">
        <f t="shared" si="190"/>
        <v/>
      </c>
      <c r="K792" s="1220" t="str">
        <f t="shared" si="193"/>
        <v/>
      </c>
      <c r="L792" s="378"/>
      <c r="M792" s="378"/>
      <c r="N792" s="378" t="str">
        <f t="shared" si="189"/>
        <v/>
      </c>
      <c r="O792" s="378" t="str">
        <f t="shared" si="195"/>
        <v/>
      </c>
      <c r="P792" s="378" t="str">
        <f t="shared" si="196"/>
        <v/>
      </c>
      <c r="Q792" s="378" t="str">
        <f t="shared" si="197"/>
        <v/>
      </c>
      <c r="R792" s="378" t="str">
        <f t="shared" si="198"/>
        <v/>
      </c>
      <c r="S792" s="602">
        <v>320100</v>
      </c>
      <c r="T792" s="378" t="str">
        <f>+IFERROR(VLOOKUP(S792,STAT1!$C$4:$D$189,2,FALSE),"")</f>
        <v>Урьдчилж орсон орлого MNT</v>
      </c>
      <c r="U792" s="1225">
        <v>62700</v>
      </c>
      <c r="V792" s="1216"/>
      <c r="W792" s="326">
        <v>3086</v>
      </c>
      <c r="X792" s="328" t="str">
        <f>IFERROR(VLOOKUP(W792,DATA!$G$4:$H$400,2,FALSE),"")</f>
        <v xml:space="preserve">УНИВЕРСАЛ АВТО КОМПЛЕКС ХХК </v>
      </c>
      <c r="Y792" s="1205"/>
      <c r="Z792" s="1205"/>
      <c r="AA792" s="1205"/>
    </row>
    <row r="793" spans="1:27" ht="12.75" customHeight="1">
      <c r="A793" s="15">
        <v>183</v>
      </c>
      <c r="B793" s="369">
        <f t="shared" si="191"/>
        <v>788</v>
      </c>
      <c r="C793" s="427">
        <v>42978</v>
      </c>
      <c r="D793" s="426">
        <v>211801</v>
      </c>
      <c r="E793" s="425" t="str">
        <f t="shared" ca="1" si="199"/>
        <v>Н-Ембүү /20*30мм/</v>
      </c>
      <c r="F793" s="428" t="str">
        <f t="shared" ca="1" si="194"/>
        <v>м</v>
      </c>
      <c r="G793" s="378"/>
      <c r="H793" s="378"/>
      <c r="I793" s="378" t="str">
        <f t="shared" si="192"/>
        <v/>
      </c>
      <c r="J793" s="378" t="str">
        <f t="shared" si="190"/>
        <v/>
      </c>
      <c r="K793" s="1220" t="str">
        <f t="shared" si="193"/>
        <v/>
      </c>
      <c r="L793" s="378">
        <v>76</v>
      </c>
      <c r="M793" s="378">
        <v>1500</v>
      </c>
      <c r="N793" s="378">
        <f t="shared" si="189"/>
        <v>114000</v>
      </c>
      <c r="O793" s="378">
        <f t="shared" si="195"/>
        <v>11400</v>
      </c>
      <c r="P793" s="378">
        <f t="shared" si="196"/>
        <v>125400</v>
      </c>
      <c r="Q793" s="378">
        <f t="shared" ca="1" si="197"/>
        <v>647.50519478531237</v>
      </c>
      <c r="R793" s="378">
        <f t="shared" ca="1" si="198"/>
        <v>49210.394803683739</v>
      </c>
      <c r="S793" s="602">
        <v>150101</v>
      </c>
      <c r="T793" s="378" t="str">
        <f>+IFERROR(VLOOKUP(S793,STAT1!$C$4:$D$189,2,FALSE),"")</f>
        <v>Бараа бэлэн бүтээгдэхүүн БОЛОВСРУУЛАХ ЦЕХ /нарс/</v>
      </c>
      <c r="U793" s="1225"/>
      <c r="V793" s="1216">
        <v>49210.39</v>
      </c>
      <c r="W793" s="326">
        <v>3085</v>
      </c>
      <c r="X793" s="328" t="str">
        <f>IFERROR(VLOOKUP(W793,DATA!$G$4:$H$400,2,FALSE),"")</f>
        <v>УС ЭЛЕКТРО МОНТАЖ ХХК</v>
      </c>
      <c r="Y793" s="1205"/>
      <c r="Z793" s="1205"/>
      <c r="AA793" s="1205"/>
    </row>
    <row r="794" spans="1:27" ht="12.75" customHeight="1">
      <c r="A794" s="15">
        <v>183</v>
      </c>
      <c r="B794" s="369">
        <f t="shared" si="191"/>
        <v>789</v>
      </c>
      <c r="C794" s="427">
        <v>42978</v>
      </c>
      <c r="D794" s="426"/>
      <c r="E794" s="425" t="str">
        <f t="shared" ca="1" si="199"/>
        <v/>
      </c>
      <c r="F794" s="428" t="str">
        <f t="shared" ca="1" si="194"/>
        <v/>
      </c>
      <c r="G794" s="378"/>
      <c r="H794" s="378"/>
      <c r="I794" s="378" t="str">
        <f t="shared" si="192"/>
        <v/>
      </c>
      <c r="J794" s="378" t="str">
        <f t="shared" si="190"/>
        <v/>
      </c>
      <c r="K794" s="1220" t="str">
        <f t="shared" si="193"/>
        <v/>
      </c>
      <c r="L794" s="378"/>
      <c r="M794" s="378"/>
      <c r="N794" s="378" t="str">
        <f t="shared" si="189"/>
        <v/>
      </c>
      <c r="O794" s="378" t="str">
        <f t="shared" si="195"/>
        <v/>
      </c>
      <c r="P794" s="378" t="str">
        <f t="shared" si="196"/>
        <v/>
      </c>
      <c r="Q794" s="378" t="str">
        <f t="shared" si="197"/>
        <v/>
      </c>
      <c r="R794" s="378" t="str">
        <f t="shared" si="198"/>
        <v/>
      </c>
      <c r="S794" s="602">
        <v>610100</v>
      </c>
      <c r="T794" s="378" t="str">
        <f>+IFERROR(VLOOKUP(S794,STAT1!$C$4:$D$189,2,FALSE),"")</f>
        <v>Борлуулсан барааны өртөг</v>
      </c>
      <c r="U794" s="1225">
        <v>49210.394803683746</v>
      </c>
      <c r="V794" s="1216"/>
      <c r="W794" s="326">
        <v>3085</v>
      </c>
      <c r="X794" s="328" t="str">
        <f>IFERROR(VLOOKUP(W794,DATA!$G$4:$H$400,2,FALSE),"")</f>
        <v>УС ЭЛЕКТРО МОНТАЖ ХХК</v>
      </c>
      <c r="Y794" s="1205"/>
      <c r="Z794" s="1205"/>
      <c r="AA794" s="1205"/>
    </row>
    <row r="795" spans="1:27" ht="12.75" customHeight="1">
      <c r="A795" s="15">
        <v>183</v>
      </c>
      <c r="B795" s="369">
        <f t="shared" si="191"/>
        <v>790</v>
      </c>
      <c r="C795" s="427">
        <v>42978</v>
      </c>
      <c r="D795" s="426"/>
      <c r="E795" s="425" t="str">
        <f t="shared" ca="1" si="199"/>
        <v/>
      </c>
      <c r="F795" s="428" t="str">
        <f t="shared" ca="1" si="194"/>
        <v/>
      </c>
      <c r="G795" s="378"/>
      <c r="H795" s="378"/>
      <c r="I795" s="378" t="str">
        <f t="shared" si="192"/>
        <v/>
      </c>
      <c r="J795" s="378" t="str">
        <f t="shared" si="190"/>
        <v/>
      </c>
      <c r="K795" s="1220" t="str">
        <f t="shared" si="193"/>
        <v/>
      </c>
      <c r="L795" s="378"/>
      <c r="M795" s="378"/>
      <c r="N795" s="378" t="str">
        <f t="shared" si="189"/>
        <v/>
      </c>
      <c r="O795" s="378" t="str">
        <f t="shared" si="195"/>
        <v/>
      </c>
      <c r="P795" s="378" t="str">
        <f t="shared" si="196"/>
        <v/>
      </c>
      <c r="Q795" s="378" t="str">
        <f t="shared" si="197"/>
        <v/>
      </c>
      <c r="R795" s="378" t="str">
        <f t="shared" si="198"/>
        <v/>
      </c>
      <c r="S795" s="602">
        <v>310500</v>
      </c>
      <c r="T795" s="378" t="str">
        <f>+IFERROR(VLOOKUP(S795,STAT1!$C$4:$D$189,2,FALSE),"")</f>
        <v>НӨАТ өглөг</v>
      </c>
      <c r="U795" s="1225"/>
      <c r="V795" s="1216">
        <v>11400</v>
      </c>
      <c r="W795" s="326">
        <v>3085</v>
      </c>
      <c r="X795" s="328" t="str">
        <f>IFERROR(VLOOKUP(W795,DATA!$G$4:$H$400,2,FALSE),"")</f>
        <v>УС ЭЛЕКТРО МОНТАЖ ХХК</v>
      </c>
      <c r="Y795" s="1205"/>
      <c r="Z795" s="1205"/>
      <c r="AA795" s="1205"/>
    </row>
    <row r="796" spans="1:27" ht="12.75" customHeight="1">
      <c r="A796" s="15">
        <v>183</v>
      </c>
      <c r="B796" s="369">
        <f t="shared" si="191"/>
        <v>791</v>
      </c>
      <c r="C796" s="427">
        <v>42978</v>
      </c>
      <c r="D796" s="426"/>
      <c r="E796" s="425" t="str">
        <f t="shared" ca="1" si="199"/>
        <v/>
      </c>
      <c r="F796" s="428" t="str">
        <f t="shared" ca="1" si="194"/>
        <v/>
      </c>
      <c r="G796" s="378"/>
      <c r="H796" s="378"/>
      <c r="I796" s="378" t="str">
        <f t="shared" si="192"/>
        <v/>
      </c>
      <c r="J796" s="378" t="str">
        <f t="shared" si="190"/>
        <v/>
      </c>
      <c r="K796" s="1220" t="str">
        <f t="shared" si="193"/>
        <v/>
      </c>
      <c r="L796" s="378"/>
      <c r="M796" s="378"/>
      <c r="N796" s="378" t="str">
        <f t="shared" si="189"/>
        <v/>
      </c>
      <c r="O796" s="378" t="str">
        <f t="shared" si="195"/>
        <v/>
      </c>
      <c r="P796" s="378" t="str">
        <f t="shared" si="196"/>
        <v/>
      </c>
      <c r="Q796" s="378" t="str">
        <f t="shared" si="197"/>
        <v/>
      </c>
      <c r="R796" s="378" t="str">
        <f t="shared" si="198"/>
        <v/>
      </c>
      <c r="S796" s="602">
        <v>510000</v>
      </c>
      <c r="T796" s="378" t="str">
        <f>+IFERROR(VLOOKUP(S796,STAT1!$C$4:$D$189,2,FALSE),"")</f>
        <v>Үндсэн үйл ажиллагааны борлуулалт</v>
      </c>
      <c r="U796" s="1225"/>
      <c r="V796" s="1216">
        <v>114000</v>
      </c>
      <c r="W796" s="326">
        <v>3085</v>
      </c>
      <c r="X796" s="328" t="str">
        <f>IFERROR(VLOOKUP(W796,DATA!$G$4:$H$400,2,FALSE),"")</f>
        <v>УС ЭЛЕКТРО МОНТАЖ ХХК</v>
      </c>
      <c r="Y796" s="1205"/>
      <c r="Z796" s="1205"/>
      <c r="AA796" s="1205"/>
    </row>
    <row r="797" spans="1:27" ht="12.75" customHeight="1">
      <c r="A797" s="15">
        <v>183</v>
      </c>
      <c r="B797" s="369">
        <f t="shared" si="191"/>
        <v>792</v>
      </c>
      <c r="C797" s="427">
        <v>42978</v>
      </c>
      <c r="D797" s="426"/>
      <c r="E797" s="425" t="str">
        <f t="shared" ca="1" si="199"/>
        <v/>
      </c>
      <c r="F797" s="428" t="str">
        <f t="shared" ca="1" si="194"/>
        <v/>
      </c>
      <c r="G797" s="378"/>
      <c r="H797" s="378"/>
      <c r="I797" s="378" t="str">
        <f t="shared" si="192"/>
        <v/>
      </c>
      <c r="J797" s="378" t="str">
        <f t="shared" si="190"/>
        <v/>
      </c>
      <c r="K797" s="1220" t="str">
        <f t="shared" si="193"/>
        <v/>
      </c>
      <c r="L797" s="378"/>
      <c r="M797" s="378"/>
      <c r="N797" s="378" t="str">
        <f t="shared" ref="N797:N860" si="200">+IF(L797="","",L797*M797)</f>
        <v/>
      </c>
      <c r="O797" s="378" t="str">
        <f t="shared" si="195"/>
        <v/>
      </c>
      <c r="P797" s="378" t="str">
        <f t="shared" si="196"/>
        <v/>
      </c>
      <c r="Q797" s="378" t="str">
        <f t="shared" si="197"/>
        <v/>
      </c>
      <c r="R797" s="378" t="str">
        <f t="shared" si="198"/>
        <v/>
      </c>
      <c r="S797" s="602">
        <v>320100</v>
      </c>
      <c r="T797" s="378" t="str">
        <f>+IFERROR(VLOOKUP(S797,STAT1!$C$4:$D$189,2,FALSE),"")</f>
        <v>Урьдчилж орсон орлого MNT</v>
      </c>
      <c r="U797" s="1225">
        <v>125400</v>
      </c>
      <c r="V797" s="1216"/>
      <c r="W797" s="326">
        <v>3085</v>
      </c>
      <c r="X797" s="328" t="str">
        <f>IFERROR(VLOOKUP(W797,DATA!$G$4:$H$400,2,FALSE),"")</f>
        <v>УС ЭЛЕКТРО МОНТАЖ ХХК</v>
      </c>
      <c r="Y797" s="1205"/>
      <c r="Z797" s="1205"/>
      <c r="AA797" s="1205"/>
    </row>
    <row r="798" spans="1:27" ht="12.75" customHeight="1">
      <c r="A798" s="15">
        <v>184</v>
      </c>
      <c r="B798" s="369">
        <f t="shared" si="191"/>
        <v>793</v>
      </c>
      <c r="C798" s="427">
        <v>42983</v>
      </c>
      <c r="D798" s="426">
        <v>211401</v>
      </c>
      <c r="E798" s="425" t="str">
        <f t="shared" ca="1" si="199"/>
        <v xml:space="preserve">Н-Блок Хаус  /4.3*16.5см/-яртай </v>
      </c>
      <c r="F798" s="428" t="str">
        <f t="shared" ca="1" si="194"/>
        <v>м2</v>
      </c>
      <c r="G798" s="378"/>
      <c r="H798" s="378"/>
      <c r="I798" s="378" t="str">
        <f t="shared" si="192"/>
        <v/>
      </c>
      <c r="J798" s="378" t="str">
        <f t="shared" si="190"/>
        <v/>
      </c>
      <c r="K798" s="1220" t="str">
        <f t="shared" si="193"/>
        <v/>
      </c>
      <c r="L798" s="378">
        <v>20.399999999999999</v>
      </c>
      <c r="M798" s="378">
        <v>67954.545499999993</v>
      </c>
      <c r="N798" s="378">
        <f t="shared" si="200"/>
        <v>1386272.7281999998</v>
      </c>
      <c r="O798" s="378">
        <f t="shared" si="195"/>
        <v>138627.27281999998</v>
      </c>
      <c r="P798" s="378">
        <f t="shared" si="196"/>
        <v>1524900.0010199999</v>
      </c>
      <c r="Q798" s="378">
        <f t="shared" ca="1" si="197"/>
        <v>51757.27978772315</v>
      </c>
      <c r="R798" s="378">
        <f t="shared" ca="1" si="198"/>
        <v>1055848.5076695522</v>
      </c>
      <c r="S798" s="602">
        <v>150101</v>
      </c>
      <c r="T798" s="378" t="str">
        <f>+IFERROR(VLOOKUP(S798,STAT1!$C$4:$D$189,2,FALSE),"")</f>
        <v>Бараа бэлэн бүтээгдэхүүн БОЛОВСРУУЛАХ ЦЕХ /нарс/</v>
      </c>
      <c r="U798" s="1225"/>
      <c r="V798" s="1216">
        <v>1055848.5076695522</v>
      </c>
      <c r="W798" s="326">
        <v>3006</v>
      </c>
      <c r="X798" s="328" t="str">
        <f>IFERROR(VLOOKUP(W798,DATA!$G$4:$H$400,2,FALSE),"")</f>
        <v xml:space="preserve">ПАЙОНЕРИНГ ИНТЕРНЭШНЛ ХХК </v>
      </c>
      <c r="Y798" s="1205"/>
      <c r="Z798" s="1205"/>
      <c r="AA798" s="1205"/>
    </row>
    <row r="799" spans="1:27" ht="12.75" customHeight="1">
      <c r="A799" s="15">
        <v>184</v>
      </c>
      <c r="B799" s="369">
        <f t="shared" si="191"/>
        <v>794</v>
      </c>
      <c r="C799" s="427">
        <v>42983</v>
      </c>
      <c r="D799" s="426"/>
      <c r="E799" s="425" t="str">
        <f t="shared" ca="1" si="199"/>
        <v/>
      </c>
      <c r="F799" s="428" t="str">
        <f t="shared" ca="1" si="194"/>
        <v/>
      </c>
      <c r="G799" s="378"/>
      <c r="H799" s="378"/>
      <c r="I799" s="378" t="str">
        <f t="shared" si="192"/>
        <v/>
      </c>
      <c r="J799" s="378" t="str">
        <f t="shared" si="190"/>
        <v/>
      </c>
      <c r="K799" s="1220" t="str">
        <f t="shared" si="193"/>
        <v/>
      </c>
      <c r="L799" s="378"/>
      <c r="M799" s="378"/>
      <c r="N799" s="378" t="str">
        <f t="shared" si="200"/>
        <v/>
      </c>
      <c r="O799" s="378" t="str">
        <f t="shared" si="195"/>
        <v/>
      </c>
      <c r="P799" s="378" t="str">
        <f t="shared" si="196"/>
        <v/>
      </c>
      <c r="Q799" s="378" t="str">
        <f t="shared" si="197"/>
        <v/>
      </c>
      <c r="R799" s="378" t="str">
        <f t="shared" si="198"/>
        <v/>
      </c>
      <c r="S799" s="602">
        <v>610100</v>
      </c>
      <c r="T799" s="378" t="str">
        <f>+IFERROR(VLOOKUP(S799,STAT1!$C$4:$D$189,2,FALSE),"")</f>
        <v>Борлуулсан барааны өртөг</v>
      </c>
      <c r="U799" s="1225">
        <v>1055848.5076695522</v>
      </c>
      <c r="V799" s="1216"/>
      <c r="W799" s="326">
        <v>3006</v>
      </c>
      <c r="X799" s="328" t="str">
        <f>IFERROR(VLOOKUP(W799,DATA!$G$4:$H$400,2,FALSE),"")</f>
        <v xml:space="preserve">ПАЙОНЕРИНГ ИНТЕРНЭШНЛ ХХК </v>
      </c>
      <c r="Y799" s="1205"/>
      <c r="Z799" s="1205"/>
      <c r="AA799" s="1205"/>
    </row>
    <row r="800" spans="1:27" ht="12.75" customHeight="1">
      <c r="A800" s="15">
        <v>184</v>
      </c>
      <c r="B800" s="369">
        <f t="shared" si="191"/>
        <v>795</v>
      </c>
      <c r="C800" s="427">
        <v>42983</v>
      </c>
      <c r="D800" s="426"/>
      <c r="E800" s="425" t="str">
        <f t="shared" ca="1" si="199"/>
        <v/>
      </c>
      <c r="F800" s="428" t="str">
        <f t="shared" ca="1" si="194"/>
        <v/>
      </c>
      <c r="G800" s="378"/>
      <c r="H800" s="378"/>
      <c r="I800" s="378" t="str">
        <f t="shared" si="192"/>
        <v/>
      </c>
      <c r="J800" s="378" t="str">
        <f t="shared" si="190"/>
        <v/>
      </c>
      <c r="K800" s="1220" t="str">
        <f t="shared" si="193"/>
        <v/>
      </c>
      <c r="L800" s="378"/>
      <c r="M800" s="378"/>
      <c r="N800" s="378" t="str">
        <f t="shared" si="200"/>
        <v/>
      </c>
      <c r="O800" s="378" t="str">
        <f t="shared" si="195"/>
        <v/>
      </c>
      <c r="P800" s="378" t="str">
        <f t="shared" si="196"/>
        <v/>
      </c>
      <c r="Q800" s="378" t="str">
        <f t="shared" si="197"/>
        <v/>
      </c>
      <c r="R800" s="378" t="str">
        <f t="shared" si="198"/>
        <v/>
      </c>
      <c r="S800" s="602">
        <v>310500</v>
      </c>
      <c r="T800" s="378" t="str">
        <f>+IFERROR(VLOOKUP(S800,STAT1!$C$4:$D$189,2,FALSE),"")</f>
        <v>НӨАТ өглөг</v>
      </c>
      <c r="U800" s="1225"/>
      <c r="V800" s="1216">
        <v>138627.27281999998</v>
      </c>
      <c r="W800" s="326">
        <v>3006</v>
      </c>
      <c r="X800" s="328" t="str">
        <f>IFERROR(VLOOKUP(W800,DATA!$G$4:$H$400,2,FALSE),"")</f>
        <v xml:space="preserve">ПАЙОНЕРИНГ ИНТЕРНЭШНЛ ХХК </v>
      </c>
      <c r="Y800" s="1205"/>
      <c r="Z800" s="1205"/>
      <c r="AA800" s="1205"/>
    </row>
    <row r="801" spans="1:27" ht="12.75" customHeight="1">
      <c r="A801" s="15">
        <v>184</v>
      </c>
      <c r="B801" s="369">
        <f t="shared" si="191"/>
        <v>796</v>
      </c>
      <c r="C801" s="427">
        <v>42983</v>
      </c>
      <c r="D801" s="426"/>
      <c r="E801" s="425" t="str">
        <f t="shared" ca="1" si="199"/>
        <v/>
      </c>
      <c r="F801" s="428" t="str">
        <f t="shared" ca="1" si="194"/>
        <v/>
      </c>
      <c r="G801" s="378"/>
      <c r="H801" s="378"/>
      <c r="I801" s="378" t="str">
        <f t="shared" si="192"/>
        <v/>
      </c>
      <c r="J801" s="378" t="str">
        <f t="shared" ref="J801:J864" si="201">+IF(G801="","",I801*0.1)</f>
        <v/>
      </c>
      <c r="K801" s="1220" t="str">
        <f t="shared" si="193"/>
        <v/>
      </c>
      <c r="L801" s="378"/>
      <c r="M801" s="378"/>
      <c r="N801" s="378" t="str">
        <f t="shared" si="200"/>
        <v/>
      </c>
      <c r="O801" s="378" t="str">
        <f t="shared" si="195"/>
        <v/>
      </c>
      <c r="P801" s="378" t="str">
        <f t="shared" si="196"/>
        <v/>
      </c>
      <c r="Q801" s="378" t="str">
        <f t="shared" si="197"/>
        <v/>
      </c>
      <c r="R801" s="378" t="str">
        <f t="shared" si="198"/>
        <v/>
      </c>
      <c r="S801" s="602">
        <v>510000</v>
      </c>
      <c r="T801" s="378" t="str">
        <f>+IFERROR(VLOOKUP(S801,STAT1!$C$4:$D$189,2,FALSE),"")</f>
        <v>Үндсэн үйл ажиллагааны борлуулалт</v>
      </c>
      <c r="U801" s="1225"/>
      <c r="V801" s="1216">
        <v>1386272.7281999998</v>
      </c>
      <c r="W801" s="326">
        <v>3006</v>
      </c>
      <c r="X801" s="328" t="str">
        <f>IFERROR(VLOOKUP(W801,DATA!$G$4:$H$400,2,FALSE),"")</f>
        <v xml:space="preserve">ПАЙОНЕРИНГ ИНТЕРНЭШНЛ ХХК </v>
      </c>
      <c r="Y801" s="1205"/>
      <c r="Z801" s="1205"/>
      <c r="AA801" s="1205"/>
    </row>
    <row r="802" spans="1:27" ht="12.75" customHeight="1">
      <c r="A802" s="15">
        <v>184</v>
      </c>
      <c r="B802" s="369">
        <f t="shared" si="191"/>
        <v>797</v>
      </c>
      <c r="C802" s="427">
        <v>42983</v>
      </c>
      <c r="D802" s="426"/>
      <c r="E802" s="425" t="str">
        <f t="shared" ca="1" si="199"/>
        <v/>
      </c>
      <c r="F802" s="428" t="str">
        <f t="shared" ca="1" si="194"/>
        <v/>
      </c>
      <c r="G802" s="378"/>
      <c r="H802" s="378"/>
      <c r="I802" s="378" t="str">
        <f t="shared" si="192"/>
        <v/>
      </c>
      <c r="J802" s="378" t="str">
        <f t="shared" si="201"/>
        <v/>
      </c>
      <c r="K802" s="1220" t="str">
        <f t="shared" si="193"/>
        <v/>
      </c>
      <c r="L802" s="378"/>
      <c r="M802" s="378"/>
      <c r="N802" s="378" t="str">
        <f t="shared" si="200"/>
        <v/>
      </c>
      <c r="O802" s="378" t="str">
        <f t="shared" si="195"/>
        <v/>
      </c>
      <c r="P802" s="378" t="str">
        <f t="shared" si="196"/>
        <v/>
      </c>
      <c r="Q802" s="378" t="str">
        <f t="shared" si="197"/>
        <v/>
      </c>
      <c r="R802" s="378" t="str">
        <f t="shared" si="198"/>
        <v/>
      </c>
      <c r="S802" s="602">
        <v>320100</v>
      </c>
      <c r="T802" s="378" t="str">
        <f>+IFERROR(VLOOKUP(S802,STAT1!$C$4:$D$189,2,FALSE),"")</f>
        <v>Урьдчилж орсон орлого MNT</v>
      </c>
      <c r="U802" s="1225">
        <v>1524900.0010199999</v>
      </c>
      <c r="V802" s="1216"/>
      <c r="W802" s="326">
        <v>3006</v>
      </c>
      <c r="X802" s="328" t="str">
        <f>IFERROR(VLOOKUP(W802,DATA!$G$4:$H$400,2,FALSE),"")</f>
        <v xml:space="preserve">ПАЙОНЕРИНГ ИНТЕРНЭШНЛ ХХК </v>
      </c>
      <c r="Y802" s="1205"/>
      <c r="Z802" s="1205"/>
      <c r="AA802" s="1205"/>
    </row>
    <row r="803" spans="1:27" ht="12.75" customHeight="1">
      <c r="A803" s="15">
        <v>185</v>
      </c>
      <c r="B803" s="369">
        <f t="shared" si="191"/>
        <v>798</v>
      </c>
      <c r="C803" s="427">
        <v>42985</v>
      </c>
      <c r="D803" s="426">
        <v>210003</v>
      </c>
      <c r="E803" s="425" t="str">
        <f t="shared" ca="1" si="199"/>
        <v>Н-Наамал дүнз</v>
      </c>
      <c r="F803" s="428" t="str">
        <f t="shared" ca="1" si="194"/>
        <v>м2</v>
      </c>
      <c r="G803" s="378"/>
      <c r="H803" s="378"/>
      <c r="I803" s="378" t="str">
        <f t="shared" si="192"/>
        <v/>
      </c>
      <c r="J803" s="378" t="str">
        <f t="shared" si="201"/>
        <v/>
      </c>
      <c r="K803" s="1220" t="str">
        <f t="shared" si="193"/>
        <v/>
      </c>
      <c r="L803" s="378">
        <v>3.87</v>
      </c>
      <c r="M803" s="378">
        <v>254780.361</v>
      </c>
      <c r="N803" s="378">
        <f t="shared" si="200"/>
        <v>985999.99707000004</v>
      </c>
      <c r="O803" s="378">
        <f t="shared" si="195"/>
        <v>98599.99970700001</v>
      </c>
      <c r="P803" s="378">
        <f t="shared" si="196"/>
        <v>1084599.9967770001</v>
      </c>
      <c r="Q803" s="378">
        <f t="shared" ca="1" si="197"/>
        <v>191123.5667321017</v>
      </c>
      <c r="R803" s="378">
        <f t="shared" ca="1" si="198"/>
        <v>739648.20325323357</v>
      </c>
      <c r="S803" s="602">
        <v>150101</v>
      </c>
      <c r="T803" s="378" t="str">
        <f>+IFERROR(VLOOKUP(S803,STAT1!$C$4:$D$189,2,FALSE),"")</f>
        <v>Бараа бэлэн бүтээгдэхүүн БОЛОВСРУУЛАХ ЦЕХ /нарс/</v>
      </c>
      <c r="U803" s="1225"/>
      <c r="V803" s="1216">
        <v>739648.20325323357</v>
      </c>
      <c r="W803" s="326">
        <v>3039</v>
      </c>
      <c r="X803" s="328" t="str">
        <f>IFERROR(VLOOKUP(W803,DATA!$G$4:$H$400,2,FALSE),"")</f>
        <v xml:space="preserve">САССИР ХХК </v>
      </c>
      <c r="Y803" s="1205"/>
      <c r="Z803" s="1205"/>
      <c r="AA803" s="1205"/>
    </row>
    <row r="804" spans="1:27" ht="12.75" customHeight="1">
      <c r="A804" s="15">
        <v>185</v>
      </c>
      <c r="B804" s="369">
        <f t="shared" si="191"/>
        <v>799</v>
      </c>
      <c r="C804" s="427">
        <v>42985</v>
      </c>
      <c r="D804" s="426"/>
      <c r="E804" s="425" t="str">
        <f t="shared" ca="1" si="199"/>
        <v/>
      </c>
      <c r="F804" s="428" t="str">
        <f t="shared" ca="1" si="194"/>
        <v/>
      </c>
      <c r="G804" s="378"/>
      <c r="H804" s="378"/>
      <c r="I804" s="378" t="str">
        <f t="shared" si="192"/>
        <v/>
      </c>
      <c r="J804" s="378" t="str">
        <f t="shared" si="201"/>
        <v/>
      </c>
      <c r="K804" s="1220" t="str">
        <f t="shared" si="193"/>
        <v/>
      </c>
      <c r="L804" s="378"/>
      <c r="M804" s="378"/>
      <c r="N804" s="378" t="str">
        <f t="shared" si="200"/>
        <v/>
      </c>
      <c r="O804" s="378" t="str">
        <f t="shared" si="195"/>
        <v/>
      </c>
      <c r="P804" s="378" t="str">
        <f t="shared" si="196"/>
        <v/>
      </c>
      <c r="Q804" s="378" t="str">
        <f t="shared" si="197"/>
        <v/>
      </c>
      <c r="R804" s="378" t="str">
        <f t="shared" si="198"/>
        <v/>
      </c>
      <c r="S804" s="602">
        <v>610100</v>
      </c>
      <c r="T804" s="378" t="str">
        <f>+IFERROR(VLOOKUP(S804,STAT1!$C$4:$D$189,2,FALSE),"")</f>
        <v>Борлуулсан барааны өртөг</v>
      </c>
      <c r="U804" s="1225">
        <v>739648.20325323357</v>
      </c>
      <c r="V804" s="1216"/>
      <c r="W804" s="326">
        <v>3039</v>
      </c>
      <c r="X804" s="328" t="str">
        <f>IFERROR(VLOOKUP(W804,DATA!$G$4:$H$400,2,FALSE),"")</f>
        <v xml:space="preserve">САССИР ХХК </v>
      </c>
      <c r="Y804" s="1205"/>
      <c r="Z804" s="1205"/>
      <c r="AA804" s="1205"/>
    </row>
    <row r="805" spans="1:27" ht="12.75" customHeight="1">
      <c r="A805" s="15">
        <v>185</v>
      </c>
      <c r="B805" s="369">
        <f t="shared" ref="B805:B868" si="202">IF(C805="","",ROW()-5)</f>
        <v>800</v>
      </c>
      <c r="C805" s="427">
        <v>42985</v>
      </c>
      <c r="D805" s="426"/>
      <c r="E805" s="425" t="str">
        <f t="shared" ca="1" si="199"/>
        <v/>
      </c>
      <c r="F805" s="428" t="str">
        <f t="shared" ca="1" si="194"/>
        <v/>
      </c>
      <c r="G805" s="378"/>
      <c r="H805" s="378"/>
      <c r="I805" s="378" t="str">
        <f t="shared" si="192"/>
        <v/>
      </c>
      <c r="J805" s="378" t="str">
        <f t="shared" si="201"/>
        <v/>
      </c>
      <c r="K805" s="1220" t="str">
        <f t="shared" si="193"/>
        <v/>
      </c>
      <c r="L805" s="378"/>
      <c r="M805" s="378"/>
      <c r="N805" s="378" t="str">
        <f t="shared" si="200"/>
        <v/>
      </c>
      <c r="O805" s="378" t="str">
        <f t="shared" si="195"/>
        <v/>
      </c>
      <c r="P805" s="378" t="str">
        <f t="shared" si="196"/>
        <v/>
      </c>
      <c r="Q805" s="378" t="str">
        <f t="shared" si="197"/>
        <v/>
      </c>
      <c r="R805" s="378" t="str">
        <f t="shared" si="198"/>
        <v/>
      </c>
      <c r="S805" s="602">
        <v>310500</v>
      </c>
      <c r="T805" s="378" t="str">
        <f>+IFERROR(VLOOKUP(S805,STAT1!$C$4:$D$189,2,FALSE),"")</f>
        <v>НӨАТ өглөг</v>
      </c>
      <c r="U805" s="1225"/>
      <c r="V805" s="1216">
        <v>98599.99970700001</v>
      </c>
      <c r="W805" s="326">
        <v>3039</v>
      </c>
      <c r="X805" s="328" t="str">
        <f>IFERROR(VLOOKUP(W805,DATA!$G$4:$H$400,2,FALSE),"")</f>
        <v xml:space="preserve">САССИР ХХК </v>
      </c>
      <c r="Y805" s="1205"/>
      <c r="Z805" s="1205"/>
      <c r="AA805" s="1205"/>
    </row>
    <row r="806" spans="1:27" ht="12.75" customHeight="1">
      <c r="A806" s="15">
        <v>185</v>
      </c>
      <c r="B806" s="369">
        <f t="shared" si="202"/>
        <v>801</v>
      </c>
      <c r="C806" s="427">
        <v>42985</v>
      </c>
      <c r="D806" s="426"/>
      <c r="E806" s="425" t="str">
        <f t="shared" ca="1" si="199"/>
        <v/>
      </c>
      <c r="F806" s="428" t="str">
        <f t="shared" ca="1" si="194"/>
        <v/>
      </c>
      <c r="G806" s="378"/>
      <c r="H806" s="378"/>
      <c r="I806" s="378" t="str">
        <f t="shared" si="192"/>
        <v/>
      </c>
      <c r="J806" s="378" t="str">
        <f t="shared" si="201"/>
        <v/>
      </c>
      <c r="K806" s="1220" t="str">
        <f t="shared" si="193"/>
        <v/>
      </c>
      <c r="L806" s="378"/>
      <c r="M806" s="378"/>
      <c r="N806" s="378" t="str">
        <f t="shared" si="200"/>
        <v/>
      </c>
      <c r="O806" s="378" t="str">
        <f t="shared" si="195"/>
        <v/>
      </c>
      <c r="P806" s="378" t="str">
        <f t="shared" si="196"/>
        <v/>
      </c>
      <c r="Q806" s="378" t="str">
        <f t="shared" si="197"/>
        <v/>
      </c>
      <c r="R806" s="378" t="str">
        <f t="shared" si="198"/>
        <v/>
      </c>
      <c r="S806" s="602">
        <v>510000</v>
      </c>
      <c r="T806" s="378" t="str">
        <f>+IFERROR(VLOOKUP(S806,STAT1!$C$4:$D$189,2,FALSE),"")</f>
        <v>Үндсэн үйл ажиллагааны борлуулалт</v>
      </c>
      <c r="U806" s="1225"/>
      <c r="V806" s="1216">
        <v>985999.99707000004</v>
      </c>
      <c r="W806" s="326">
        <v>3039</v>
      </c>
      <c r="X806" s="328" t="str">
        <f>IFERROR(VLOOKUP(W806,DATA!$G$4:$H$400,2,FALSE),"")</f>
        <v xml:space="preserve">САССИР ХХК </v>
      </c>
      <c r="Y806" s="1205"/>
      <c r="Z806" s="1205"/>
      <c r="AA806" s="1205"/>
    </row>
    <row r="807" spans="1:27" ht="12.75" customHeight="1">
      <c r="A807" s="15">
        <v>185</v>
      </c>
      <c r="B807" s="369">
        <f t="shared" si="202"/>
        <v>802</v>
      </c>
      <c r="C807" s="427">
        <v>42985</v>
      </c>
      <c r="D807" s="426"/>
      <c r="E807" s="425" t="str">
        <f t="shared" ca="1" si="199"/>
        <v/>
      </c>
      <c r="F807" s="428" t="str">
        <f t="shared" ca="1" si="194"/>
        <v/>
      </c>
      <c r="G807" s="378"/>
      <c r="H807" s="378"/>
      <c r="I807" s="378" t="str">
        <f t="shared" si="192"/>
        <v/>
      </c>
      <c r="J807" s="378" t="str">
        <f t="shared" si="201"/>
        <v/>
      </c>
      <c r="K807" s="1220" t="str">
        <f t="shared" si="193"/>
        <v/>
      </c>
      <c r="L807" s="378"/>
      <c r="M807" s="378"/>
      <c r="N807" s="378" t="str">
        <f t="shared" si="200"/>
        <v/>
      </c>
      <c r="O807" s="378" t="str">
        <f t="shared" si="195"/>
        <v/>
      </c>
      <c r="P807" s="378" t="str">
        <f t="shared" si="196"/>
        <v/>
      </c>
      <c r="Q807" s="378" t="str">
        <f t="shared" si="197"/>
        <v/>
      </c>
      <c r="R807" s="378" t="str">
        <f t="shared" si="198"/>
        <v/>
      </c>
      <c r="S807" s="602">
        <v>320100</v>
      </c>
      <c r="T807" s="378" t="str">
        <f>+IFERROR(VLOOKUP(S807,STAT1!$C$4:$D$189,2,FALSE),"")</f>
        <v>Урьдчилж орсон орлого MNT</v>
      </c>
      <c r="U807" s="1225">
        <v>1084599.9967770001</v>
      </c>
      <c r="V807" s="1216"/>
      <c r="W807" s="326">
        <v>3039</v>
      </c>
      <c r="X807" s="328" t="str">
        <f>IFERROR(VLOOKUP(W807,DATA!$G$4:$H$400,2,FALSE),"")</f>
        <v xml:space="preserve">САССИР ХХК </v>
      </c>
      <c r="Y807" s="1205"/>
      <c r="Z807" s="1205"/>
      <c r="AA807" s="1205"/>
    </row>
    <row r="808" spans="1:27" ht="12.75" customHeight="1">
      <c r="A808" s="15">
        <v>186</v>
      </c>
      <c r="B808" s="369">
        <f t="shared" si="202"/>
        <v>803</v>
      </c>
      <c r="C808" s="427">
        <v>42985</v>
      </c>
      <c r="D808" s="426">
        <v>211801</v>
      </c>
      <c r="E808" s="425" t="str">
        <f t="shared" ca="1" si="199"/>
        <v>Н-Ембүү /20*30мм/</v>
      </c>
      <c r="F808" s="428" t="str">
        <f t="shared" ca="1" si="194"/>
        <v>м</v>
      </c>
      <c r="G808" s="378"/>
      <c r="H808" s="378"/>
      <c r="I808" s="378" t="str">
        <f t="shared" si="192"/>
        <v/>
      </c>
      <c r="J808" s="378" t="str">
        <f t="shared" si="201"/>
        <v/>
      </c>
      <c r="K808" s="1220" t="str">
        <f t="shared" si="193"/>
        <v/>
      </c>
      <c r="L808" s="378">
        <v>36</v>
      </c>
      <c r="M808" s="378">
        <v>1500</v>
      </c>
      <c r="N808" s="378">
        <f t="shared" si="200"/>
        <v>54000</v>
      </c>
      <c r="O808" s="378">
        <f t="shared" si="195"/>
        <v>5400</v>
      </c>
      <c r="P808" s="378">
        <f t="shared" si="196"/>
        <v>59400</v>
      </c>
      <c r="Q808" s="378">
        <f t="shared" ca="1" si="197"/>
        <v>647.50519478531237</v>
      </c>
      <c r="R808" s="378">
        <f t="shared" ca="1" si="198"/>
        <v>23310.187012271246</v>
      </c>
      <c r="S808" s="602">
        <v>150101</v>
      </c>
      <c r="T808" s="378" t="str">
        <f>+IFERROR(VLOOKUP(S808,STAT1!$C$4:$D$189,2,FALSE),"")</f>
        <v>Бараа бэлэн бүтээгдэхүүн БОЛОВСРУУЛАХ ЦЕХ /нарс/</v>
      </c>
      <c r="U808" s="1225"/>
      <c r="V808" s="1216">
        <v>29582.709099666186</v>
      </c>
      <c r="W808" s="326">
        <v>4002</v>
      </c>
      <c r="X808" s="328" t="str">
        <f>IFERROR(VLOOKUP(W808,DATA!$G$4:$H$400,2,FALSE),"")</f>
        <v xml:space="preserve">Хувь хүн </v>
      </c>
      <c r="Y808" s="1205"/>
      <c r="Z808" s="1205"/>
      <c r="AA808" s="1205"/>
    </row>
    <row r="809" spans="1:27" ht="12.75" customHeight="1">
      <c r="A809" s="15">
        <v>186</v>
      </c>
      <c r="B809" s="369">
        <f t="shared" si="202"/>
        <v>804</v>
      </c>
      <c r="C809" s="427">
        <v>42985</v>
      </c>
      <c r="D809" s="426">
        <v>211802</v>
      </c>
      <c r="E809" s="425" t="str">
        <f t="shared" ca="1" si="199"/>
        <v xml:space="preserve">Н-Уголок </v>
      </c>
      <c r="F809" s="428" t="str">
        <f t="shared" ca="1" si="194"/>
        <v>м</v>
      </c>
      <c r="G809" s="378"/>
      <c r="H809" s="378"/>
      <c r="I809" s="378" t="str">
        <f t="shared" si="192"/>
        <v/>
      </c>
      <c r="J809" s="378" t="str">
        <f t="shared" si="201"/>
        <v/>
      </c>
      <c r="K809" s="1220" t="str">
        <f t="shared" si="193"/>
        <v/>
      </c>
      <c r="L809" s="378">
        <v>3</v>
      </c>
      <c r="M809" s="378">
        <v>4000</v>
      </c>
      <c r="N809" s="378">
        <f t="shared" si="200"/>
        <v>12000</v>
      </c>
      <c r="O809" s="378">
        <f t="shared" si="195"/>
        <v>1200</v>
      </c>
      <c r="P809" s="378">
        <f t="shared" si="196"/>
        <v>13200</v>
      </c>
      <c r="Q809" s="378">
        <f t="shared" ca="1" si="197"/>
        <v>1412.1879249284552</v>
      </c>
      <c r="R809" s="378">
        <f t="shared" ca="1" si="198"/>
        <v>4236.5637747853652</v>
      </c>
      <c r="S809" s="602">
        <v>610100</v>
      </c>
      <c r="T809" s="378" t="str">
        <f>+IFERROR(VLOOKUP(S809,STAT1!$C$4:$D$189,2,FALSE),"")</f>
        <v>Борлуулсан барааны өртөг</v>
      </c>
      <c r="U809" s="1225">
        <v>29582.709099666186</v>
      </c>
      <c r="V809" s="1216"/>
      <c r="W809" s="326">
        <v>4002</v>
      </c>
      <c r="X809" s="328" t="str">
        <f>IFERROR(VLOOKUP(W809,DATA!$G$4:$H$400,2,FALSE),"")</f>
        <v xml:space="preserve">Хувь хүн </v>
      </c>
      <c r="Y809" s="1205"/>
      <c r="Z809" s="1205"/>
      <c r="AA809" s="1205"/>
    </row>
    <row r="810" spans="1:27" ht="12.75" customHeight="1">
      <c r="A810" s="15">
        <v>186</v>
      </c>
      <c r="B810" s="369">
        <f t="shared" si="202"/>
        <v>805</v>
      </c>
      <c r="C810" s="427">
        <v>42985</v>
      </c>
      <c r="D810" s="426">
        <v>211504</v>
      </c>
      <c r="E810" s="425" t="str">
        <f t="shared" ca="1" si="199"/>
        <v xml:space="preserve">Н-Евровагонка /зузаан-1.2см/-яртай </v>
      </c>
      <c r="F810" s="428" t="str">
        <f t="shared" ca="1" si="194"/>
        <v>м2</v>
      </c>
      <c r="G810" s="378"/>
      <c r="H810" s="378"/>
      <c r="I810" s="378" t="str">
        <f t="shared" si="192"/>
        <v/>
      </c>
      <c r="J810" s="378" t="str">
        <f t="shared" si="201"/>
        <v/>
      </c>
      <c r="K810" s="1220" t="str">
        <f t="shared" si="193"/>
        <v/>
      </c>
      <c r="L810" s="378">
        <v>0.18</v>
      </c>
      <c r="M810" s="378">
        <v>18181.8181</v>
      </c>
      <c r="N810" s="378">
        <f t="shared" si="200"/>
        <v>3272.7272579999999</v>
      </c>
      <c r="O810" s="378">
        <f t="shared" si="195"/>
        <v>327.27272579999999</v>
      </c>
      <c r="P810" s="378">
        <f t="shared" si="196"/>
        <v>3599.9999837999999</v>
      </c>
      <c r="Q810" s="378">
        <f t="shared" ca="1" si="197"/>
        <v>11310.879514497638</v>
      </c>
      <c r="R810" s="378">
        <f t="shared" ca="1" si="198"/>
        <v>2035.9583126095747</v>
      </c>
      <c r="S810" s="602">
        <v>310500</v>
      </c>
      <c r="T810" s="378" t="str">
        <f>+IFERROR(VLOOKUP(S810,STAT1!$C$4:$D$189,2,FALSE),"")</f>
        <v>НӨАТ өглөг</v>
      </c>
      <c r="U810" s="1225"/>
      <c r="V810" s="1216">
        <v>6927.2727257999995</v>
      </c>
      <c r="W810" s="326">
        <v>4002</v>
      </c>
      <c r="X810" s="328" t="str">
        <f>IFERROR(VLOOKUP(W810,DATA!$G$4:$H$400,2,FALSE),"")</f>
        <v xml:space="preserve">Хувь хүн </v>
      </c>
      <c r="Y810" s="1205"/>
      <c r="Z810" s="1205"/>
      <c r="AA810" s="1205"/>
    </row>
    <row r="811" spans="1:27" ht="12.75" customHeight="1">
      <c r="A811" s="15">
        <v>186</v>
      </c>
      <c r="B811" s="369">
        <f t="shared" si="202"/>
        <v>806</v>
      </c>
      <c r="C811" s="427">
        <v>42985</v>
      </c>
      <c r="D811" s="426"/>
      <c r="E811" s="425" t="str">
        <f t="shared" ca="1" si="199"/>
        <v/>
      </c>
      <c r="F811" s="428" t="str">
        <f t="shared" ca="1" si="194"/>
        <v/>
      </c>
      <c r="G811" s="378"/>
      <c r="H811" s="378"/>
      <c r="I811" s="378" t="str">
        <f t="shared" si="192"/>
        <v/>
      </c>
      <c r="J811" s="378" t="str">
        <f t="shared" si="201"/>
        <v/>
      </c>
      <c r="K811" s="1220" t="str">
        <f t="shared" si="193"/>
        <v/>
      </c>
      <c r="L811" s="378"/>
      <c r="M811" s="378"/>
      <c r="N811" s="378" t="str">
        <f t="shared" si="200"/>
        <v/>
      </c>
      <c r="O811" s="378" t="str">
        <f t="shared" si="195"/>
        <v/>
      </c>
      <c r="P811" s="378" t="str">
        <f t="shared" si="196"/>
        <v/>
      </c>
      <c r="Q811" s="378" t="str">
        <f t="shared" si="197"/>
        <v/>
      </c>
      <c r="R811" s="378" t="str">
        <f t="shared" si="198"/>
        <v/>
      </c>
      <c r="S811" s="602">
        <v>510000</v>
      </c>
      <c r="T811" s="378" t="str">
        <f>+IFERROR(VLOOKUP(S811,STAT1!$C$4:$D$189,2,FALSE),"")</f>
        <v>Үндсэн үйл ажиллагааны борлуулалт</v>
      </c>
      <c r="U811" s="1225"/>
      <c r="V811" s="1216">
        <v>69272.727257999999</v>
      </c>
      <c r="W811" s="326">
        <v>4002</v>
      </c>
      <c r="X811" s="328" t="str">
        <f>IFERROR(VLOOKUP(W811,DATA!$G$4:$H$400,2,FALSE),"")</f>
        <v xml:space="preserve">Хувь хүн </v>
      </c>
      <c r="Y811" s="1205"/>
      <c r="Z811" s="1205"/>
      <c r="AA811" s="1205"/>
    </row>
    <row r="812" spans="1:27" ht="12.75" customHeight="1">
      <c r="A812" s="15">
        <v>186</v>
      </c>
      <c r="B812" s="369">
        <f t="shared" si="202"/>
        <v>807</v>
      </c>
      <c r="C812" s="427">
        <v>42985</v>
      </c>
      <c r="D812" s="426"/>
      <c r="E812" s="425" t="str">
        <f t="shared" ca="1" si="199"/>
        <v/>
      </c>
      <c r="F812" s="428" t="str">
        <f t="shared" ca="1" si="194"/>
        <v/>
      </c>
      <c r="G812" s="378"/>
      <c r="H812" s="378"/>
      <c r="I812" s="378" t="str">
        <f t="shared" si="192"/>
        <v/>
      </c>
      <c r="J812" s="378" t="str">
        <f t="shared" si="201"/>
        <v/>
      </c>
      <c r="K812" s="1220" t="str">
        <f t="shared" si="193"/>
        <v/>
      </c>
      <c r="L812" s="378"/>
      <c r="M812" s="378"/>
      <c r="N812" s="378" t="str">
        <f t="shared" si="200"/>
        <v/>
      </c>
      <c r="O812" s="378" t="str">
        <f t="shared" si="195"/>
        <v/>
      </c>
      <c r="P812" s="378" t="str">
        <f t="shared" si="196"/>
        <v/>
      </c>
      <c r="Q812" s="378" t="str">
        <f t="shared" si="197"/>
        <v/>
      </c>
      <c r="R812" s="378" t="str">
        <f t="shared" si="198"/>
        <v/>
      </c>
      <c r="S812" s="602">
        <v>320100</v>
      </c>
      <c r="T812" s="378" t="str">
        <f>+IFERROR(VLOOKUP(S812,STAT1!$C$4:$D$189,2,FALSE),"")</f>
        <v>Урьдчилж орсон орлого MNT</v>
      </c>
      <c r="U812" s="1225">
        <v>76199.999983799993</v>
      </c>
      <c r="V812" s="1216"/>
      <c r="W812" s="326">
        <v>4002</v>
      </c>
      <c r="X812" s="328" t="str">
        <f>IFERROR(VLOOKUP(W812,DATA!$G$4:$H$400,2,FALSE),"")</f>
        <v xml:space="preserve">Хувь хүн </v>
      </c>
      <c r="Y812" s="1205"/>
      <c r="Z812" s="1205"/>
      <c r="AA812" s="1205"/>
    </row>
    <row r="813" spans="1:27" ht="12.75" customHeight="1">
      <c r="A813" s="15">
        <v>187</v>
      </c>
      <c r="B813" s="369">
        <f t="shared" si="202"/>
        <v>808</v>
      </c>
      <c r="C813" s="427">
        <v>42986</v>
      </c>
      <c r="D813" s="426">
        <v>211801</v>
      </c>
      <c r="E813" s="425" t="str">
        <f t="shared" ca="1" si="199"/>
        <v>Н-Ембүү /20*30мм/</v>
      </c>
      <c r="F813" s="428" t="str">
        <f t="shared" ca="1" si="194"/>
        <v>м</v>
      </c>
      <c r="G813" s="378"/>
      <c r="H813" s="378"/>
      <c r="I813" s="378" t="str">
        <f t="shared" si="192"/>
        <v/>
      </c>
      <c r="J813" s="378" t="str">
        <f t="shared" si="201"/>
        <v/>
      </c>
      <c r="K813" s="1220" t="str">
        <f t="shared" si="193"/>
        <v/>
      </c>
      <c r="L813" s="378">
        <v>72</v>
      </c>
      <c r="M813" s="378">
        <v>1500</v>
      </c>
      <c r="N813" s="378">
        <f t="shared" si="200"/>
        <v>108000</v>
      </c>
      <c r="O813" s="378">
        <f t="shared" si="195"/>
        <v>10800</v>
      </c>
      <c r="P813" s="378">
        <f t="shared" si="196"/>
        <v>118800</v>
      </c>
      <c r="Q813" s="378">
        <f t="shared" ca="1" si="197"/>
        <v>647.50519478531237</v>
      </c>
      <c r="R813" s="378">
        <f t="shared" ca="1" si="198"/>
        <v>46620.374024542492</v>
      </c>
      <c r="S813" s="602">
        <v>150101</v>
      </c>
      <c r="T813" s="378" t="str">
        <f>+IFERROR(VLOOKUP(S813,STAT1!$C$4:$D$189,2,FALSE),"")</f>
        <v>Бараа бэлэн бүтээгдэхүүн БОЛОВСРУУЛАХ ЦЕХ /нарс/</v>
      </c>
      <c r="U813" s="1225"/>
      <c r="V813" s="1216">
        <v>55093.501574113223</v>
      </c>
      <c r="W813" s="326">
        <v>4002</v>
      </c>
      <c r="X813" s="328" t="str">
        <f>IFERROR(VLOOKUP(W813,DATA!$G$4:$H$400,2,FALSE),"")</f>
        <v xml:space="preserve">Хувь хүн </v>
      </c>
      <c r="Y813" s="1205"/>
      <c r="Z813" s="1205"/>
      <c r="AA813" s="1205"/>
    </row>
    <row r="814" spans="1:27" ht="12.75" customHeight="1">
      <c r="A814" s="15">
        <v>187</v>
      </c>
      <c r="B814" s="369">
        <f t="shared" si="202"/>
        <v>809</v>
      </c>
      <c r="C814" s="427">
        <v>42986</v>
      </c>
      <c r="D814" s="426">
        <v>211802</v>
      </c>
      <c r="E814" s="425" t="str">
        <f t="shared" ca="1" si="199"/>
        <v xml:space="preserve">Н-Уголок </v>
      </c>
      <c r="F814" s="428" t="str">
        <f t="shared" ca="1" si="194"/>
        <v>м</v>
      </c>
      <c r="G814" s="378"/>
      <c r="H814" s="378"/>
      <c r="I814" s="378" t="str">
        <f t="shared" si="192"/>
        <v/>
      </c>
      <c r="J814" s="378" t="str">
        <f t="shared" si="201"/>
        <v/>
      </c>
      <c r="K814" s="1220" t="str">
        <f t="shared" si="193"/>
        <v/>
      </c>
      <c r="L814" s="378">
        <v>6</v>
      </c>
      <c r="M814" s="378">
        <v>3000</v>
      </c>
      <c r="N814" s="378">
        <f t="shared" si="200"/>
        <v>18000</v>
      </c>
      <c r="O814" s="378">
        <f t="shared" si="195"/>
        <v>1800</v>
      </c>
      <c r="P814" s="378">
        <f t="shared" si="196"/>
        <v>19800</v>
      </c>
      <c r="Q814" s="378">
        <f t="shared" ca="1" si="197"/>
        <v>1412.1879249284552</v>
      </c>
      <c r="R814" s="378">
        <f t="shared" ca="1" si="198"/>
        <v>8473.1275495707305</v>
      </c>
      <c r="S814" s="602">
        <v>610100</v>
      </c>
      <c r="T814" s="378" t="str">
        <f>+IFERROR(VLOOKUP(S814,STAT1!$C$4:$D$189,2,FALSE),"")</f>
        <v>Борлуулсан барааны өртөг</v>
      </c>
      <c r="U814" s="1225">
        <v>55093.501574113223</v>
      </c>
      <c r="V814" s="1216"/>
      <c r="W814" s="326">
        <v>4002</v>
      </c>
      <c r="X814" s="328" t="str">
        <f>IFERROR(VLOOKUP(W814,DATA!$G$4:$H$400,2,FALSE),"")</f>
        <v xml:space="preserve">Хувь хүн </v>
      </c>
      <c r="Y814" s="1205"/>
      <c r="Z814" s="1205"/>
      <c r="AA814" s="1205"/>
    </row>
    <row r="815" spans="1:27" ht="12.75" customHeight="1">
      <c r="A815" s="15">
        <v>187</v>
      </c>
      <c r="B815" s="369">
        <f t="shared" si="202"/>
        <v>810</v>
      </c>
      <c r="C815" s="427">
        <v>42986</v>
      </c>
      <c r="D815" s="426"/>
      <c r="E815" s="425" t="str">
        <f t="shared" ca="1" si="199"/>
        <v/>
      </c>
      <c r="F815" s="428" t="str">
        <f t="shared" ca="1" si="194"/>
        <v/>
      </c>
      <c r="G815" s="378"/>
      <c r="H815" s="378"/>
      <c r="I815" s="378" t="str">
        <f t="shared" si="192"/>
        <v/>
      </c>
      <c r="J815" s="378" t="str">
        <f t="shared" si="201"/>
        <v/>
      </c>
      <c r="K815" s="1220" t="str">
        <f t="shared" si="193"/>
        <v/>
      </c>
      <c r="L815" s="378"/>
      <c r="M815" s="378"/>
      <c r="N815" s="378" t="str">
        <f t="shared" si="200"/>
        <v/>
      </c>
      <c r="O815" s="378" t="str">
        <f t="shared" si="195"/>
        <v/>
      </c>
      <c r="P815" s="378" t="str">
        <f t="shared" si="196"/>
        <v/>
      </c>
      <c r="Q815" s="378" t="str">
        <f t="shared" si="197"/>
        <v/>
      </c>
      <c r="R815" s="378" t="str">
        <f t="shared" si="198"/>
        <v/>
      </c>
      <c r="S815" s="602">
        <v>310500</v>
      </c>
      <c r="T815" s="378" t="str">
        <f>+IFERROR(VLOOKUP(S815,STAT1!$C$4:$D$189,2,FALSE),"")</f>
        <v>НӨАТ өглөг</v>
      </c>
      <c r="U815" s="1225"/>
      <c r="V815" s="1216">
        <v>12600</v>
      </c>
      <c r="W815" s="326">
        <v>4002</v>
      </c>
      <c r="X815" s="328" t="str">
        <f>IFERROR(VLOOKUP(W815,DATA!$G$4:$H$400,2,FALSE),"")</f>
        <v xml:space="preserve">Хувь хүн </v>
      </c>
      <c r="Y815" s="1205"/>
      <c r="Z815" s="1205"/>
      <c r="AA815" s="1205"/>
    </row>
    <row r="816" spans="1:27" ht="12.75" customHeight="1">
      <c r="A816" s="15">
        <v>187</v>
      </c>
      <c r="B816" s="369">
        <f t="shared" si="202"/>
        <v>811</v>
      </c>
      <c r="C816" s="427">
        <v>42986</v>
      </c>
      <c r="D816" s="426"/>
      <c r="E816" s="425" t="str">
        <f t="shared" ca="1" si="199"/>
        <v/>
      </c>
      <c r="F816" s="428" t="str">
        <f t="shared" ca="1" si="194"/>
        <v/>
      </c>
      <c r="G816" s="378"/>
      <c r="H816" s="378"/>
      <c r="I816" s="378" t="str">
        <f t="shared" si="192"/>
        <v/>
      </c>
      <c r="J816" s="378" t="str">
        <f t="shared" si="201"/>
        <v/>
      </c>
      <c r="K816" s="1220" t="str">
        <f t="shared" si="193"/>
        <v/>
      </c>
      <c r="L816" s="378"/>
      <c r="M816" s="378"/>
      <c r="N816" s="378" t="str">
        <f t="shared" si="200"/>
        <v/>
      </c>
      <c r="O816" s="378" t="str">
        <f t="shared" si="195"/>
        <v/>
      </c>
      <c r="P816" s="378" t="str">
        <f t="shared" si="196"/>
        <v/>
      </c>
      <c r="Q816" s="378" t="str">
        <f t="shared" si="197"/>
        <v/>
      </c>
      <c r="R816" s="378" t="str">
        <f t="shared" si="198"/>
        <v/>
      </c>
      <c r="S816" s="602">
        <v>510000</v>
      </c>
      <c r="T816" s="378" t="str">
        <f>+IFERROR(VLOOKUP(S816,STAT1!$C$4:$D$189,2,FALSE),"")</f>
        <v>Үндсэн үйл ажиллагааны борлуулалт</v>
      </c>
      <c r="U816" s="1225"/>
      <c r="V816" s="1216">
        <v>126000</v>
      </c>
      <c r="W816" s="326">
        <v>4002</v>
      </c>
      <c r="X816" s="328" t="str">
        <f>IFERROR(VLOOKUP(W816,DATA!$G$4:$H$400,2,FALSE),"")</f>
        <v xml:space="preserve">Хувь хүн </v>
      </c>
      <c r="Y816" s="1205"/>
      <c r="Z816" s="1205"/>
      <c r="AA816" s="1205"/>
    </row>
    <row r="817" spans="1:27" ht="12.75" customHeight="1">
      <c r="A817" s="15">
        <v>187</v>
      </c>
      <c r="B817" s="369">
        <f t="shared" si="202"/>
        <v>812</v>
      </c>
      <c r="C817" s="427">
        <v>42986</v>
      </c>
      <c r="D817" s="426"/>
      <c r="E817" s="425" t="str">
        <f t="shared" ca="1" si="199"/>
        <v/>
      </c>
      <c r="F817" s="428" t="str">
        <f t="shared" ca="1" si="194"/>
        <v/>
      </c>
      <c r="G817" s="378"/>
      <c r="H817" s="378"/>
      <c r="I817" s="378" t="str">
        <f t="shared" si="192"/>
        <v/>
      </c>
      <c r="J817" s="378" t="str">
        <f t="shared" si="201"/>
        <v/>
      </c>
      <c r="K817" s="1220" t="str">
        <f t="shared" si="193"/>
        <v/>
      </c>
      <c r="L817" s="378"/>
      <c r="M817" s="378"/>
      <c r="N817" s="378" t="str">
        <f t="shared" si="200"/>
        <v/>
      </c>
      <c r="O817" s="378" t="str">
        <f t="shared" si="195"/>
        <v/>
      </c>
      <c r="P817" s="378" t="str">
        <f t="shared" si="196"/>
        <v/>
      </c>
      <c r="Q817" s="378" t="str">
        <f t="shared" si="197"/>
        <v/>
      </c>
      <c r="R817" s="378" t="str">
        <f t="shared" si="198"/>
        <v/>
      </c>
      <c r="S817" s="602">
        <v>320100</v>
      </c>
      <c r="T817" s="378" t="str">
        <f>+IFERROR(VLOOKUP(S817,STAT1!$C$4:$D$189,2,FALSE),"")</f>
        <v>Урьдчилж орсон орлого MNT</v>
      </c>
      <c r="U817" s="1225">
        <v>138600</v>
      </c>
      <c r="V817" s="1216"/>
      <c r="W817" s="326">
        <v>4002</v>
      </c>
      <c r="X817" s="328" t="str">
        <f>IFERROR(VLOOKUP(W817,DATA!$G$4:$H$400,2,FALSE),"")</f>
        <v xml:space="preserve">Хувь хүн </v>
      </c>
      <c r="Y817" s="1205"/>
      <c r="Z817" s="1205"/>
      <c r="AA817" s="1205"/>
    </row>
    <row r="818" spans="1:27" ht="12.75" customHeight="1">
      <c r="A818" s="15">
        <v>188</v>
      </c>
      <c r="B818" s="369">
        <f t="shared" si="202"/>
        <v>813</v>
      </c>
      <c r="C818" s="427">
        <v>42990</v>
      </c>
      <c r="D818" s="426">
        <v>211504</v>
      </c>
      <c r="E818" s="425" t="str">
        <f t="shared" ca="1" si="199"/>
        <v xml:space="preserve">Н-Евровагонка /зузаан-1.2см/-яртай </v>
      </c>
      <c r="F818" s="428" t="str">
        <f t="shared" ca="1" si="194"/>
        <v>м2</v>
      </c>
      <c r="G818" s="378"/>
      <c r="H818" s="378"/>
      <c r="I818" s="378" t="str">
        <f t="shared" si="192"/>
        <v/>
      </c>
      <c r="J818" s="378" t="str">
        <f t="shared" si="201"/>
        <v/>
      </c>
      <c r="K818" s="1220" t="str">
        <f t="shared" si="193"/>
        <v/>
      </c>
      <c r="L818" s="378">
        <v>52.433</v>
      </c>
      <c r="M818" s="378">
        <v>18000.114399999999</v>
      </c>
      <c r="N818" s="378">
        <f t="shared" si="200"/>
        <v>943799.9983351999</v>
      </c>
      <c r="O818" s="378">
        <f t="shared" si="195"/>
        <v>94379.999833519993</v>
      </c>
      <c r="P818" s="378">
        <f t="shared" si="196"/>
        <v>1038179.9981687199</v>
      </c>
      <c r="Q818" s="378">
        <f t="shared" ca="1" si="197"/>
        <v>11310.879514497638</v>
      </c>
      <c r="R818" s="378">
        <f t="shared" ca="1" si="198"/>
        <v>593063.34558365459</v>
      </c>
      <c r="S818" s="602">
        <v>150101</v>
      </c>
      <c r="T818" s="378" t="str">
        <f>+IFERROR(VLOOKUP(S818,STAT1!$C$4:$D$189,2,FALSE),"")</f>
        <v>Бараа бэлэн бүтээгдэхүүн БОЛОВСРУУЛАХ ЦЕХ /нарс/</v>
      </c>
      <c r="U818" s="1225"/>
      <c r="V818" s="1216">
        <v>593063.34558365459</v>
      </c>
      <c r="W818" s="326">
        <v>3094</v>
      </c>
      <c r="X818" s="328" t="str">
        <f>IFERROR(VLOOKUP(W818,DATA!$G$4:$H$400,2,FALSE),"")</f>
        <v xml:space="preserve">ТОД УНДАРГА ХХК </v>
      </c>
      <c r="Y818" s="1205"/>
      <c r="Z818" s="1205"/>
      <c r="AA818" s="1205"/>
    </row>
    <row r="819" spans="1:27" ht="12.75" customHeight="1">
      <c r="A819" s="15">
        <v>188</v>
      </c>
      <c r="B819" s="369">
        <f t="shared" si="202"/>
        <v>814</v>
      </c>
      <c r="C819" s="427">
        <v>42990</v>
      </c>
      <c r="D819" s="426"/>
      <c r="E819" s="425" t="str">
        <f t="shared" ca="1" si="199"/>
        <v/>
      </c>
      <c r="F819" s="428" t="str">
        <f t="shared" ca="1" si="194"/>
        <v/>
      </c>
      <c r="G819" s="378"/>
      <c r="H819" s="378"/>
      <c r="I819" s="378" t="str">
        <f t="shared" si="192"/>
        <v/>
      </c>
      <c r="J819" s="378" t="str">
        <f t="shared" si="201"/>
        <v/>
      </c>
      <c r="K819" s="1220" t="str">
        <f t="shared" si="193"/>
        <v/>
      </c>
      <c r="L819" s="378"/>
      <c r="M819" s="378"/>
      <c r="N819" s="378" t="str">
        <f t="shared" si="200"/>
        <v/>
      </c>
      <c r="O819" s="378" t="str">
        <f t="shared" si="195"/>
        <v/>
      </c>
      <c r="P819" s="378" t="str">
        <f t="shared" si="196"/>
        <v/>
      </c>
      <c r="Q819" s="378" t="str">
        <f t="shared" si="197"/>
        <v/>
      </c>
      <c r="R819" s="378" t="str">
        <f t="shared" si="198"/>
        <v/>
      </c>
      <c r="S819" s="602">
        <v>610100</v>
      </c>
      <c r="T819" s="378" t="str">
        <f>+IFERROR(VLOOKUP(S819,STAT1!$C$4:$D$189,2,FALSE),"")</f>
        <v>Борлуулсан барааны өртөг</v>
      </c>
      <c r="U819" s="1225">
        <v>593063.34558365459</v>
      </c>
      <c r="V819" s="1216"/>
      <c r="W819" s="326">
        <v>3094</v>
      </c>
      <c r="X819" s="328" t="str">
        <f>IFERROR(VLOOKUP(W819,DATA!$G$4:$H$400,2,FALSE),"")</f>
        <v xml:space="preserve">ТОД УНДАРГА ХХК </v>
      </c>
      <c r="Y819" s="1205"/>
      <c r="Z819" s="1205"/>
      <c r="AA819" s="1205"/>
    </row>
    <row r="820" spans="1:27" ht="12.75" customHeight="1">
      <c r="A820" s="15">
        <v>188</v>
      </c>
      <c r="B820" s="369">
        <f t="shared" si="202"/>
        <v>815</v>
      </c>
      <c r="C820" s="427">
        <v>42990</v>
      </c>
      <c r="D820" s="426"/>
      <c r="E820" s="425" t="str">
        <f t="shared" ca="1" si="199"/>
        <v/>
      </c>
      <c r="F820" s="428" t="str">
        <f t="shared" ca="1" si="194"/>
        <v/>
      </c>
      <c r="G820" s="378"/>
      <c r="H820" s="378"/>
      <c r="I820" s="378" t="str">
        <f t="shared" ref="I820:I883" si="203">+IF(G820="","",G820*H820)</f>
        <v/>
      </c>
      <c r="J820" s="378" t="str">
        <f t="shared" si="201"/>
        <v/>
      </c>
      <c r="K820" s="1220" t="str">
        <f t="shared" ref="K820:K883" si="204">+IF(G820="","",I820+J820)</f>
        <v/>
      </c>
      <c r="L820" s="378"/>
      <c r="M820" s="378"/>
      <c r="N820" s="378" t="str">
        <f t="shared" si="200"/>
        <v/>
      </c>
      <c r="O820" s="378" t="str">
        <f t="shared" si="195"/>
        <v/>
      </c>
      <c r="P820" s="378" t="str">
        <f t="shared" si="196"/>
        <v/>
      </c>
      <c r="Q820" s="378" t="str">
        <f t="shared" si="197"/>
        <v/>
      </c>
      <c r="R820" s="378" t="str">
        <f t="shared" si="198"/>
        <v/>
      </c>
      <c r="S820" s="602">
        <v>310500</v>
      </c>
      <c r="T820" s="378" t="str">
        <f>+IFERROR(VLOOKUP(S820,STAT1!$C$4:$D$189,2,FALSE),"")</f>
        <v>НӨАТ өглөг</v>
      </c>
      <c r="U820" s="1225"/>
      <c r="V820" s="1216">
        <v>94379.999833519993</v>
      </c>
      <c r="W820" s="326">
        <v>3094</v>
      </c>
      <c r="X820" s="328" t="str">
        <f>IFERROR(VLOOKUP(W820,DATA!$G$4:$H$400,2,FALSE),"")</f>
        <v xml:space="preserve">ТОД УНДАРГА ХХК </v>
      </c>
      <c r="Y820" s="1205"/>
      <c r="Z820" s="1205"/>
      <c r="AA820" s="1205"/>
    </row>
    <row r="821" spans="1:27" ht="12.75" customHeight="1">
      <c r="A821" s="15">
        <v>188</v>
      </c>
      <c r="B821" s="369">
        <f t="shared" si="202"/>
        <v>816</v>
      </c>
      <c r="C821" s="427">
        <v>42990</v>
      </c>
      <c r="D821" s="426"/>
      <c r="E821" s="425" t="str">
        <f t="shared" ca="1" si="199"/>
        <v/>
      </c>
      <c r="F821" s="428" t="str">
        <f t="shared" ref="F821:F884" ca="1" si="205">+IFERROR(VLOOKUP(D821,TN_table,3,FALSE),"")</f>
        <v/>
      </c>
      <c r="G821" s="378"/>
      <c r="H821" s="378"/>
      <c r="I821" s="378" t="str">
        <f t="shared" si="203"/>
        <v/>
      </c>
      <c r="J821" s="378" t="str">
        <f t="shared" si="201"/>
        <v/>
      </c>
      <c r="K821" s="1220" t="str">
        <f t="shared" si="204"/>
        <v/>
      </c>
      <c r="L821" s="378"/>
      <c r="M821" s="378"/>
      <c r="N821" s="378" t="str">
        <f t="shared" si="200"/>
        <v/>
      </c>
      <c r="O821" s="378" t="str">
        <f t="shared" ref="O821:O884" si="206">+IF(L821="","",N821*0.1)</f>
        <v/>
      </c>
      <c r="P821" s="378" t="str">
        <f t="shared" ref="P821:P884" si="207">+IF(L821="","",N821+O821)</f>
        <v/>
      </c>
      <c r="Q821" s="378" t="str">
        <f t="shared" ref="Q821:Q884" si="208">IF(L821="","",IFERROR((SUMIFS(TN_balC1_totol,TN_code,D821)+SUMIFS(RC_or_totol,RC_Code,D821,RC_date,"&lt;="&amp;C821)-SUMIFS(RC_zar_totol,RC_Code,D821,RC_date,"&lt;"&amp;C821)) /( SUMIFS(TN_balC1_unit,TN_code,D821)+SUMIFS(RC_or_unit,RC_Code,D821,RC_date,"&lt;="&amp;C821)-SUMIFS(RC_zar_unit,RC_Code,D821,RC_date,"&lt;"&amp;C821)),0 ))</f>
        <v/>
      </c>
      <c r="R821" s="378" t="str">
        <f t="shared" ref="R821:R884" si="209">+IF(L821="","",L821*Q821)</f>
        <v/>
      </c>
      <c r="S821" s="602">
        <v>510000</v>
      </c>
      <c r="T821" s="378" t="str">
        <f>+IFERROR(VLOOKUP(S821,STAT1!$C$4:$D$189,2,FALSE),"")</f>
        <v>Үндсэн үйл ажиллагааны борлуулалт</v>
      </c>
      <c r="U821" s="1225"/>
      <c r="V821" s="1216">
        <v>943799.9983351999</v>
      </c>
      <c r="W821" s="326">
        <v>3094</v>
      </c>
      <c r="X821" s="328" t="str">
        <f>IFERROR(VLOOKUP(W821,DATA!$G$4:$H$400,2,FALSE),"")</f>
        <v xml:space="preserve">ТОД УНДАРГА ХХК </v>
      </c>
      <c r="Y821" s="1205"/>
      <c r="Z821" s="1205"/>
      <c r="AA821" s="1205"/>
    </row>
    <row r="822" spans="1:27" ht="12.75" customHeight="1">
      <c r="A822" s="15">
        <v>188</v>
      </c>
      <c r="B822" s="369">
        <f t="shared" si="202"/>
        <v>817</v>
      </c>
      <c r="C822" s="427">
        <v>42990</v>
      </c>
      <c r="D822" s="426"/>
      <c r="E822" s="425" t="str">
        <f t="shared" ca="1" si="199"/>
        <v/>
      </c>
      <c r="F822" s="428" t="str">
        <f t="shared" ca="1" si="205"/>
        <v/>
      </c>
      <c r="G822" s="378"/>
      <c r="H822" s="378"/>
      <c r="I822" s="378" t="str">
        <f t="shared" si="203"/>
        <v/>
      </c>
      <c r="J822" s="378" t="str">
        <f t="shared" si="201"/>
        <v/>
      </c>
      <c r="K822" s="1220" t="str">
        <f t="shared" si="204"/>
        <v/>
      </c>
      <c r="L822" s="378"/>
      <c r="M822" s="378"/>
      <c r="N822" s="378" t="str">
        <f t="shared" si="200"/>
        <v/>
      </c>
      <c r="O822" s="378" t="str">
        <f t="shared" si="206"/>
        <v/>
      </c>
      <c r="P822" s="378" t="str">
        <f t="shared" si="207"/>
        <v/>
      </c>
      <c r="Q822" s="378" t="str">
        <f t="shared" si="208"/>
        <v/>
      </c>
      <c r="R822" s="378" t="str">
        <f t="shared" si="209"/>
        <v/>
      </c>
      <c r="S822" s="602">
        <v>320100</v>
      </c>
      <c r="T822" s="378" t="str">
        <f>+IFERROR(VLOOKUP(S822,STAT1!$C$4:$D$189,2,FALSE),"")</f>
        <v>Урьдчилж орсон орлого MNT</v>
      </c>
      <c r="U822" s="1225">
        <v>1038179.9981687199</v>
      </c>
      <c r="V822" s="1216"/>
      <c r="W822" s="326">
        <v>3094</v>
      </c>
      <c r="X822" s="328" t="str">
        <f>IFERROR(VLOOKUP(W822,DATA!$G$4:$H$400,2,FALSE),"")</f>
        <v xml:space="preserve">ТОД УНДАРГА ХХК </v>
      </c>
      <c r="Y822" s="1205"/>
      <c r="Z822" s="1205"/>
      <c r="AA822" s="1205"/>
    </row>
    <row r="823" spans="1:27" ht="12.75" customHeight="1">
      <c r="A823" s="15">
        <v>189</v>
      </c>
      <c r="B823" s="369">
        <f t="shared" si="202"/>
        <v>818</v>
      </c>
      <c r="C823" s="427">
        <v>42992</v>
      </c>
      <c r="D823" s="426">
        <v>211802</v>
      </c>
      <c r="E823" s="425" t="str">
        <f t="shared" ref="E823:E886" ca="1" si="210">+IFERROR(VLOOKUP(D823,TN_table,2,FALSE),"")</f>
        <v xml:space="preserve">Н-Уголок </v>
      </c>
      <c r="F823" s="428" t="str">
        <f t="shared" ca="1" si="205"/>
        <v>м</v>
      </c>
      <c r="G823" s="378"/>
      <c r="H823" s="378"/>
      <c r="I823" s="378" t="str">
        <f t="shared" si="203"/>
        <v/>
      </c>
      <c r="J823" s="378" t="str">
        <f t="shared" si="201"/>
        <v/>
      </c>
      <c r="K823" s="1220" t="str">
        <f t="shared" si="204"/>
        <v/>
      </c>
      <c r="L823" s="378">
        <v>30</v>
      </c>
      <c r="M823" s="378">
        <v>4000</v>
      </c>
      <c r="N823" s="378">
        <f t="shared" si="200"/>
        <v>120000</v>
      </c>
      <c r="O823" s="378">
        <f t="shared" si="206"/>
        <v>12000</v>
      </c>
      <c r="P823" s="378">
        <f t="shared" si="207"/>
        <v>132000</v>
      </c>
      <c r="Q823" s="378">
        <f t="shared" ca="1" si="208"/>
        <v>1412.1879249284552</v>
      </c>
      <c r="R823" s="378">
        <f t="shared" ca="1" si="209"/>
        <v>42365.63774785366</v>
      </c>
      <c r="S823" s="602">
        <v>150101</v>
      </c>
      <c r="T823" s="378" t="str">
        <f>+IFERROR(VLOOKUP(S823,STAT1!$C$4:$D$189,2,FALSE),"")</f>
        <v>Бараа бэлэн бүтээгдэхүүн БОЛОВСРУУЛАХ ЦЕХ /нарс/</v>
      </c>
      <c r="U823" s="1225"/>
      <c r="V823" s="1216">
        <v>333742.97540124424</v>
      </c>
      <c r="W823" s="326">
        <v>3061</v>
      </c>
      <c r="X823" s="328" t="str">
        <f>IFERROR(VLOOKUP(W823,DATA!$G$4:$H$400,2,FALSE),"")</f>
        <v>СТИМО ХХК</v>
      </c>
      <c r="Y823" s="1205"/>
      <c r="Z823" s="1205"/>
      <c r="AA823" s="1205"/>
    </row>
    <row r="824" spans="1:27" ht="12.75" customHeight="1">
      <c r="A824" s="15">
        <v>189</v>
      </c>
      <c r="B824" s="369">
        <f t="shared" si="202"/>
        <v>819</v>
      </c>
      <c r="C824" s="427">
        <v>42992</v>
      </c>
      <c r="D824" s="426">
        <v>211801</v>
      </c>
      <c r="E824" s="425" t="str">
        <f t="shared" ca="1" si="210"/>
        <v>Н-Ембүү /20*30мм/</v>
      </c>
      <c r="F824" s="428" t="str">
        <f t="shared" ca="1" si="205"/>
        <v>м</v>
      </c>
      <c r="G824" s="378"/>
      <c r="H824" s="378"/>
      <c r="I824" s="378" t="str">
        <f t="shared" si="203"/>
        <v/>
      </c>
      <c r="J824" s="378" t="str">
        <f t="shared" si="201"/>
        <v/>
      </c>
      <c r="K824" s="1220" t="str">
        <f t="shared" si="204"/>
        <v/>
      </c>
      <c r="L824" s="378">
        <v>450</v>
      </c>
      <c r="M824" s="378">
        <v>1500</v>
      </c>
      <c r="N824" s="378">
        <f t="shared" si="200"/>
        <v>675000</v>
      </c>
      <c r="O824" s="378">
        <f t="shared" si="206"/>
        <v>67500</v>
      </c>
      <c r="P824" s="378">
        <f t="shared" si="207"/>
        <v>742500</v>
      </c>
      <c r="Q824" s="378">
        <f t="shared" ca="1" si="208"/>
        <v>647.50519478531248</v>
      </c>
      <c r="R824" s="378">
        <f t="shared" ca="1" si="209"/>
        <v>291377.3376533906</v>
      </c>
      <c r="S824" s="602">
        <v>610100</v>
      </c>
      <c r="T824" s="378" t="str">
        <f>+IFERROR(VLOOKUP(S824,STAT1!$C$4:$D$189,2,FALSE),"")</f>
        <v>Борлуулсан барааны өртөг</v>
      </c>
      <c r="U824" s="1225">
        <v>333742.97540124424</v>
      </c>
      <c r="V824" s="1216"/>
      <c r="W824" s="326">
        <v>3061</v>
      </c>
      <c r="X824" s="328" t="str">
        <f>IFERROR(VLOOKUP(W824,DATA!$G$4:$H$400,2,FALSE),"")</f>
        <v>СТИМО ХХК</v>
      </c>
      <c r="Y824" s="1205"/>
      <c r="Z824" s="1205"/>
      <c r="AA824" s="1205"/>
    </row>
    <row r="825" spans="1:27" ht="12.75" customHeight="1">
      <c r="A825" s="15">
        <v>189</v>
      </c>
      <c r="B825" s="369">
        <f t="shared" si="202"/>
        <v>820</v>
      </c>
      <c r="C825" s="427">
        <v>42992</v>
      </c>
      <c r="D825" s="426"/>
      <c r="E825" s="425" t="str">
        <f t="shared" ca="1" si="210"/>
        <v/>
      </c>
      <c r="F825" s="428" t="str">
        <f t="shared" ca="1" si="205"/>
        <v/>
      </c>
      <c r="G825" s="378"/>
      <c r="H825" s="378"/>
      <c r="I825" s="378" t="str">
        <f t="shared" si="203"/>
        <v/>
      </c>
      <c r="J825" s="378" t="str">
        <f t="shared" si="201"/>
        <v/>
      </c>
      <c r="K825" s="1220" t="str">
        <f t="shared" si="204"/>
        <v/>
      </c>
      <c r="L825" s="378"/>
      <c r="M825" s="378"/>
      <c r="N825" s="378" t="str">
        <f t="shared" si="200"/>
        <v/>
      </c>
      <c r="O825" s="378" t="str">
        <f t="shared" si="206"/>
        <v/>
      </c>
      <c r="P825" s="378" t="str">
        <f t="shared" si="207"/>
        <v/>
      </c>
      <c r="Q825" s="378" t="str">
        <f t="shared" si="208"/>
        <v/>
      </c>
      <c r="R825" s="378" t="str">
        <f t="shared" si="209"/>
        <v/>
      </c>
      <c r="S825" s="602">
        <v>310500</v>
      </c>
      <c r="T825" s="378" t="str">
        <f>+IFERROR(VLOOKUP(S825,STAT1!$C$4:$D$189,2,FALSE),"")</f>
        <v>НӨАТ өглөг</v>
      </c>
      <c r="U825" s="1225"/>
      <c r="V825" s="1216">
        <v>79500</v>
      </c>
      <c r="W825" s="326">
        <v>3061</v>
      </c>
      <c r="X825" s="328" t="str">
        <f>IFERROR(VLOOKUP(W825,DATA!$G$4:$H$400,2,FALSE),"")</f>
        <v>СТИМО ХХК</v>
      </c>
      <c r="Y825" s="1205"/>
      <c r="Z825" s="1205"/>
      <c r="AA825" s="1205"/>
    </row>
    <row r="826" spans="1:27" ht="12.75" customHeight="1">
      <c r="A826" s="15">
        <v>189</v>
      </c>
      <c r="B826" s="369">
        <f t="shared" si="202"/>
        <v>821</v>
      </c>
      <c r="C826" s="427">
        <v>42992</v>
      </c>
      <c r="D826" s="426"/>
      <c r="E826" s="425" t="str">
        <f t="shared" ca="1" si="210"/>
        <v/>
      </c>
      <c r="F826" s="428" t="str">
        <f t="shared" ca="1" si="205"/>
        <v/>
      </c>
      <c r="G826" s="378"/>
      <c r="H826" s="378"/>
      <c r="I826" s="378" t="str">
        <f t="shared" si="203"/>
        <v/>
      </c>
      <c r="J826" s="378" t="str">
        <f t="shared" si="201"/>
        <v/>
      </c>
      <c r="K826" s="1220" t="str">
        <f t="shared" si="204"/>
        <v/>
      </c>
      <c r="L826" s="378"/>
      <c r="M826" s="378"/>
      <c r="N826" s="378" t="str">
        <f t="shared" si="200"/>
        <v/>
      </c>
      <c r="O826" s="378" t="str">
        <f t="shared" si="206"/>
        <v/>
      </c>
      <c r="P826" s="378" t="str">
        <f t="shared" si="207"/>
        <v/>
      </c>
      <c r="Q826" s="378" t="str">
        <f t="shared" si="208"/>
        <v/>
      </c>
      <c r="R826" s="378" t="str">
        <f t="shared" si="209"/>
        <v/>
      </c>
      <c r="S826" s="602">
        <v>510000</v>
      </c>
      <c r="T826" s="378" t="str">
        <f>+IFERROR(VLOOKUP(S826,STAT1!$C$4:$D$189,2,FALSE),"")</f>
        <v>Үндсэн үйл ажиллагааны борлуулалт</v>
      </c>
      <c r="U826" s="1225"/>
      <c r="V826" s="1216">
        <v>795000</v>
      </c>
      <c r="W826" s="326">
        <v>3061</v>
      </c>
      <c r="X826" s="328" t="str">
        <f>IFERROR(VLOOKUP(W826,DATA!$G$4:$H$400,2,FALSE),"")</f>
        <v>СТИМО ХХК</v>
      </c>
      <c r="Y826" s="1205"/>
      <c r="Z826" s="1205"/>
      <c r="AA826" s="1205"/>
    </row>
    <row r="827" spans="1:27" ht="12.75" customHeight="1">
      <c r="A827" s="15">
        <v>189</v>
      </c>
      <c r="B827" s="369">
        <f t="shared" si="202"/>
        <v>822</v>
      </c>
      <c r="C827" s="427">
        <v>42992</v>
      </c>
      <c r="D827" s="426"/>
      <c r="E827" s="425" t="str">
        <f t="shared" ca="1" si="210"/>
        <v/>
      </c>
      <c r="F827" s="428" t="str">
        <f t="shared" ca="1" si="205"/>
        <v/>
      </c>
      <c r="G827" s="378"/>
      <c r="H827" s="378"/>
      <c r="I827" s="378" t="str">
        <f t="shared" si="203"/>
        <v/>
      </c>
      <c r="J827" s="378" t="str">
        <f t="shared" si="201"/>
        <v/>
      </c>
      <c r="K827" s="1220" t="str">
        <f t="shared" si="204"/>
        <v/>
      </c>
      <c r="L827" s="378"/>
      <c r="M827" s="378"/>
      <c r="N827" s="378" t="str">
        <f t="shared" si="200"/>
        <v/>
      </c>
      <c r="O827" s="378" t="str">
        <f t="shared" si="206"/>
        <v/>
      </c>
      <c r="P827" s="378" t="str">
        <f t="shared" si="207"/>
        <v/>
      </c>
      <c r="Q827" s="378" t="str">
        <f t="shared" si="208"/>
        <v/>
      </c>
      <c r="R827" s="378" t="str">
        <f t="shared" si="209"/>
        <v/>
      </c>
      <c r="S827" s="602">
        <v>320100</v>
      </c>
      <c r="T827" s="378" t="str">
        <f>+IFERROR(VLOOKUP(S827,STAT1!$C$4:$D$189,2,FALSE),"")</f>
        <v>Урьдчилж орсон орлого MNT</v>
      </c>
      <c r="U827" s="1225">
        <v>874500</v>
      </c>
      <c r="V827" s="1216"/>
      <c r="W827" s="326">
        <v>3061</v>
      </c>
      <c r="X827" s="328" t="str">
        <f>IFERROR(VLOOKUP(W827,DATA!$G$4:$H$400,2,FALSE),"")</f>
        <v>СТИМО ХХК</v>
      </c>
      <c r="Y827" s="1205"/>
      <c r="Z827" s="1205"/>
      <c r="AA827" s="1205"/>
    </row>
    <row r="828" spans="1:27" ht="12.75" customHeight="1">
      <c r="A828" s="15">
        <v>190</v>
      </c>
      <c r="B828" s="369">
        <f t="shared" si="202"/>
        <v>823</v>
      </c>
      <c r="C828" s="427">
        <v>42996</v>
      </c>
      <c r="D828" s="426">
        <v>211801</v>
      </c>
      <c r="E828" s="425" t="str">
        <f t="shared" ca="1" si="210"/>
        <v>Н-Ембүү /20*30мм/</v>
      </c>
      <c r="F828" s="428" t="str">
        <f t="shared" ca="1" si="205"/>
        <v>м</v>
      </c>
      <c r="G828" s="378"/>
      <c r="H828" s="378"/>
      <c r="I828" s="378" t="str">
        <f t="shared" si="203"/>
        <v/>
      </c>
      <c r="J828" s="378" t="str">
        <f t="shared" si="201"/>
        <v/>
      </c>
      <c r="K828" s="1220" t="str">
        <f t="shared" si="204"/>
        <v/>
      </c>
      <c r="L828" s="378">
        <v>240</v>
      </c>
      <c r="M828" s="378">
        <v>1500</v>
      </c>
      <c r="N828" s="378">
        <f t="shared" si="200"/>
        <v>360000</v>
      </c>
      <c r="O828" s="378">
        <f t="shared" si="206"/>
        <v>36000</v>
      </c>
      <c r="P828" s="378">
        <f t="shared" si="207"/>
        <v>396000</v>
      </c>
      <c r="Q828" s="378">
        <f t="shared" ca="1" si="208"/>
        <v>647.50519478531237</v>
      </c>
      <c r="R828" s="378">
        <f t="shared" ca="1" si="209"/>
        <v>155401.24674847498</v>
      </c>
      <c r="S828" s="602">
        <v>150101</v>
      </c>
      <c r="T828" s="378" t="str">
        <f>+IFERROR(VLOOKUP(S828,STAT1!$C$4:$D$189,2,FALSE),"")</f>
        <v>Бараа бэлэн бүтээгдэхүүн БОЛОВСРУУЛАХ ЦЕХ /нарс/</v>
      </c>
      <c r="U828" s="1225"/>
      <c r="V828" s="1216">
        <v>324863.79773988959</v>
      </c>
      <c r="W828" s="326">
        <v>3042</v>
      </c>
      <c r="X828" s="328" t="str">
        <f>IFERROR(VLOOKUP(W828,DATA!$G$4:$H$400,2,FALSE),"")</f>
        <v xml:space="preserve">ЖУРМАК ХХК </v>
      </c>
      <c r="Y828" s="1205"/>
      <c r="Z828" s="1205"/>
      <c r="AA828" s="1205"/>
    </row>
    <row r="829" spans="1:27" ht="12.75" customHeight="1">
      <c r="A829" s="15">
        <v>190</v>
      </c>
      <c r="B829" s="369">
        <f t="shared" si="202"/>
        <v>824</v>
      </c>
      <c r="C829" s="427">
        <v>42996</v>
      </c>
      <c r="D829" s="426">
        <v>211802</v>
      </c>
      <c r="E829" s="425" t="str">
        <f t="shared" ca="1" si="210"/>
        <v xml:space="preserve">Н-Уголок </v>
      </c>
      <c r="F829" s="428" t="str">
        <f t="shared" ca="1" si="205"/>
        <v>м</v>
      </c>
      <c r="G829" s="378"/>
      <c r="H829" s="378"/>
      <c r="I829" s="378" t="str">
        <f t="shared" si="203"/>
        <v/>
      </c>
      <c r="J829" s="378" t="str">
        <f t="shared" si="201"/>
        <v/>
      </c>
      <c r="K829" s="1220" t="str">
        <f t="shared" si="204"/>
        <v/>
      </c>
      <c r="L829" s="378">
        <v>120</v>
      </c>
      <c r="M829" s="378">
        <v>4000</v>
      </c>
      <c r="N829" s="378">
        <f t="shared" si="200"/>
        <v>480000</v>
      </c>
      <c r="O829" s="378">
        <f t="shared" si="206"/>
        <v>48000</v>
      </c>
      <c r="P829" s="378">
        <f t="shared" si="207"/>
        <v>528000</v>
      </c>
      <c r="Q829" s="378">
        <f t="shared" ca="1" si="208"/>
        <v>1412.1879249284552</v>
      </c>
      <c r="R829" s="378">
        <f t="shared" ca="1" si="209"/>
        <v>169462.55099141464</v>
      </c>
      <c r="S829" s="602">
        <v>610100</v>
      </c>
      <c r="T829" s="378" t="str">
        <f>+IFERROR(VLOOKUP(S829,STAT1!$C$4:$D$189,2,FALSE),"")</f>
        <v>Борлуулсан барааны өртөг</v>
      </c>
      <c r="U829" s="1225">
        <v>324863.79773988959</v>
      </c>
      <c r="V829" s="1216"/>
      <c r="W829" s="326">
        <v>3042</v>
      </c>
      <c r="X829" s="328" t="str">
        <f>IFERROR(VLOOKUP(W829,DATA!$G$4:$H$400,2,FALSE),"")</f>
        <v xml:space="preserve">ЖУРМАК ХХК </v>
      </c>
      <c r="Y829" s="1205"/>
      <c r="Z829" s="1205"/>
      <c r="AA829" s="1205"/>
    </row>
    <row r="830" spans="1:27" ht="12.75" customHeight="1">
      <c r="A830" s="15">
        <v>190</v>
      </c>
      <c r="B830" s="369">
        <f t="shared" si="202"/>
        <v>825</v>
      </c>
      <c r="C830" s="427">
        <v>42996</v>
      </c>
      <c r="D830" s="426"/>
      <c r="E830" s="425" t="str">
        <f t="shared" ca="1" si="210"/>
        <v/>
      </c>
      <c r="F830" s="428" t="str">
        <f t="shared" ca="1" si="205"/>
        <v/>
      </c>
      <c r="G830" s="378"/>
      <c r="H830" s="378"/>
      <c r="I830" s="378" t="str">
        <f t="shared" si="203"/>
        <v/>
      </c>
      <c r="J830" s="378" t="str">
        <f t="shared" si="201"/>
        <v/>
      </c>
      <c r="K830" s="1220" t="str">
        <f t="shared" si="204"/>
        <v/>
      </c>
      <c r="L830" s="378"/>
      <c r="M830" s="378"/>
      <c r="N830" s="378" t="str">
        <f t="shared" si="200"/>
        <v/>
      </c>
      <c r="O830" s="378" t="str">
        <f t="shared" si="206"/>
        <v/>
      </c>
      <c r="P830" s="378" t="str">
        <f t="shared" si="207"/>
        <v/>
      </c>
      <c r="Q830" s="378" t="str">
        <f t="shared" si="208"/>
        <v/>
      </c>
      <c r="R830" s="378" t="str">
        <f t="shared" si="209"/>
        <v/>
      </c>
      <c r="S830" s="602">
        <v>310500</v>
      </c>
      <c r="T830" s="378" t="str">
        <f>+IFERROR(VLOOKUP(S830,STAT1!$C$4:$D$189,2,FALSE),"")</f>
        <v>НӨАТ өглөг</v>
      </c>
      <c r="U830" s="1225"/>
      <c r="V830" s="1216">
        <v>84000</v>
      </c>
      <c r="W830" s="326">
        <v>3042</v>
      </c>
      <c r="X830" s="328" t="str">
        <f>IFERROR(VLOOKUP(W830,DATA!$G$4:$H$400,2,FALSE),"")</f>
        <v xml:space="preserve">ЖУРМАК ХХК </v>
      </c>
      <c r="Y830" s="1205"/>
      <c r="Z830" s="1205"/>
      <c r="AA830" s="1205"/>
    </row>
    <row r="831" spans="1:27" ht="12.75" customHeight="1">
      <c r="A831" s="15">
        <v>190</v>
      </c>
      <c r="B831" s="369">
        <f t="shared" si="202"/>
        <v>826</v>
      </c>
      <c r="C831" s="427">
        <v>42996</v>
      </c>
      <c r="D831" s="426"/>
      <c r="E831" s="425" t="str">
        <f t="shared" ca="1" si="210"/>
        <v/>
      </c>
      <c r="F831" s="428" t="str">
        <f t="shared" ca="1" si="205"/>
        <v/>
      </c>
      <c r="G831" s="378"/>
      <c r="H831" s="378"/>
      <c r="I831" s="378" t="str">
        <f t="shared" si="203"/>
        <v/>
      </c>
      <c r="J831" s="378" t="str">
        <f t="shared" si="201"/>
        <v/>
      </c>
      <c r="K831" s="1220" t="str">
        <f t="shared" si="204"/>
        <v/>
      </c>
      <c r="L831" s="378"/>
      <c r="M831" s="378"/>
      <c r="N831" s="378" t="str">
        <f t="shared" si="200"/>
        <v/>
      </c>
      <c r="O831" s="378" t="str">
        <f t="shared" si="206"/>
        <v/>
      </c>
      <c r="P831" s="378" t="str">
        <f t="shared" si="207"/>
        <v/>
      </c>
      <c r="Q831" s="378" t="str">
        <f t="shared" si="208"/>
        <v/>
      </c>
      <c r="R831" s="378" t="str">
        <f t="shared" si="209"/>
        <v/>
      </c>
      <c r="S831" s="602">
        <v>510000</v>
      </c>
      <c r="T831" s="378" t="str">
        <f>+IFERROR(VLOOKUP(S831,STAT1!$C$4:$D$189,2,FALSE),"")</f>
        <v>Үндсэн үйл ажиллагааны борлуулалт</v>
      </c>
      <c r="U831" s="1225"/>
      <c r="V831" s="1216">
        <v>840000</v>
      </c>
      <c r="W831" s="326">
        <v>3042</v>
      </c>
      <c r="X831" s="328" t="str">
        <f>IFERROR(VLOOKUP(W831,DATA!$G$4:$H$400,2,FALSE),"")</f>
        <v xml:space="preserve">ЖУРМАК ХХК </v>
      </c>
      <c r="Y831" s="1205"/>
      <c r="Z831" s="1205"/>
      <c r="AA831" s="1205"/>
    </row>
    <row r="832" spans="1:27" ht="12.75" customHeight="1">
      <c r="A832" s="15">
        <v>190</v>
      </c>
      <c r="B832" s="369">
        <f t="shared" si="202"/>
        <v>827</v>
      </c>
      <c r="C832" s="427">
        <v>42996</v>
      </c>
      <c r="D832" s="426"/>
      <c r="E832" s="425" t="str">
        <f t="shared" ca="1" si="210"/>
        <v/>
      </c>
      <c r="F832" s="428" t="str">
        <f t="shared" ca="1" si="205"/>
        <v/>
      </c>
      <c r="G832" s="378"/>
      <c r="H832" s="378"/>
      <c r="I832" s="378" t="str">
        <f t="shared" si="203"/>
        <v/>
      </c>
      <c r="J832" s="378" t="str">
        <f t="shared" si="201"/>
        <v/>
      </c>
      <c r="K832" s="1220" t="str">
        <f t="shared" si="204"/>
        <v/>
      </c>
      <c r="L832" s="378"/>
      <c r="M832" s="378"/>
      <c r="N832" s="378" t="str">
        <f t="shared" si="200"/>
        <v/>
      </c>
      <c r="O832" s="378" t="str">
        <f t="shared" si="206"/>
        <v/>
      </c>
      <c r="P832" s="378" t="str">
        <f t="shared" si="207"/>
        <v/>
      </c>
      <c r="Q832" s="378" t="str">
        <f t="shared" si="208"/>
        <v/>
      </c>
      <c r="R832" s="378" t="str">
        <f t="shared" si="209"/>
        <v/>
      </c>
      <c r="S832" s="602">
        <v>320100</v>
      </c>
      <c r="T832" s="378" t="str">
        <f>+IFERROR(VLOOKUP(S832,STAT1!$C$4:$D$189,2,FALSE),"")</f>
        <v>Урьдчилж орсон орлого MNT</v>
      </c>
      <c r="U832" s="1225">
        <v>924000</v>
      </c>
      <c r="V832" s="1216"/>
      <c r="W832" s="326">
        <v>3042</v>
      </c>
      <c r="X832" s="328" t="str">
        <f>IFERROR(VLOOKUP(W832,DATA!$G$4:$H$400,2,FALSE),"")</f>
        <v xml:space="preserve">ЖУРМАК ХХК </v>
      </c>
      <c r="Y832" s="1205"/>
      <c r="Z832" s="1205"/>
      <c r="AA832" s="1205"/>
    </row>
    <row r="833" spans="1:27" ht="12.75" customHeight="1">
      <c r="A833" s="15">
        <v>191</v>
      </c>
      <c r="B833" s="369">
        <f t="shared" si="202"/>
        <v>828</v>
      </c>
      <c r="C833" s="427">
        <v>42996</v>
      </c>
      <c r="D833" s="426">
        <v>211801</v>
      </c>
      <c r="E833" s="425" t="str">
        <f t="shared" ca="1" si="210"/>
        <v>Н-Ембүү /20*30мм/</v>
      </c>
      <c r="F833" s="428" t="str">
        <f t="shared" ca="1" si="205"/>
        <v>м</v>
      </c>
      <c r="G833" s="378"/>
      <c r="H833" s="378"/>
      <c r="I833" s="378" t="str">
        <f t="shared" si="203"/>
        <v/>
      </c>
      <c r="J833" s="378" t="str">
        <f t="shared" si="201"/>
        <v/>
      </c>
      <c r="K833" s="1220" t="str">
        <f t="shared" si="204"/>
        <v/>
      </c>
      <c r="L833" s="378">
        <v>39</v>
      </c>
      <c r="M833" s="378">
        <v>1500</v>
      </c>
      <c r="N833" s="378">
        <f t="shared" si="200"/>
        <v>58500</v>
      </c>
      <c r="O833" s="378">
        <f t="shared" si="206"/>
        <v>5850</v>
      </c>
      <c r="P833" s="378">
        <f t="shared" si="207"/>
        <v>64350</v>
      </c>
      <c r="Q833" s="378">
        <f t="shared" ca="1" si="208"/>
        <v>647.50519478531237</v>
      </c>
      <c r="R833" s="378">
        <f t="shared" ca="1" si="209"/>
        <v>25252.702596627183</v>
      </c>
      <c r="S833" s="602">
        <v>150101</v>
      </c>
      <c r="T833" s="378" t="str">
        <f>+IFERROR(VLOOKUP(S833,STAT1!$C$4:$D$189,2,FALSE),"")</f>
        <v>Бараа бэлэн бүтээгдэхүүн БОЛОВСРУУЛАХ ЦЕХ /нарс/</v>
      </c>
      <c r="U833" s="1225"/>
      <c r="V833" s="1216">
        <v>92512.627102700964</v>
      </c>
      <c r="W833" s="326">
        <v>4002</v>
      </c>
      <c r="X833" s="328" t="str">
        <f>IFERROR(VLOOKUP(W833,DATA!$G$4:$H$400,2,FALSE),"")</f>
        <v xml:space="preserve">Хувь хүн </v>
      </c>
      <c r="Y833" s="1205"/>
      <c r="Z833" s="1205"/>
      <c r="AA833" s="1205"/>
    </row>
    <row r="834" spans="1:27" ht="12.75" customHeight="1">
      <c r="A834" s="15">
        <v>191</v>
      </c>
      <c r="B834" s="369">
        <f t="shared" si="202"/>
        <v>829</v>
      </c>
      <c r="C834" s="427">
        <v>42996</v>
      </c>
      <c r="D834" s="426">
        <v>211802</v>
      </c>
      <c r="E834" s="425" t="str">
        <f t="shared" ca="1" si="210"/>
        <v xml:space="preserve">Н-Уголок </v>
      </c>
      <c r="F834" s="428" t="str">
        <f t="shared" ca="1" si="205"/>
        <v>м</v>
      </c>
      <c r="G834" s="378"/>
      <c r="H834" s="378"/>
      <c r="I834" s="378" t="str">
        <f t="shared" si="203"/>
        <v/>
      </c>
      <c r="J834" s="378" t="str">
        <f t="shared" si="201"/>
        <v/>
      </c>
      <c r="K834" s="1220" t="str">
        <f t="shared" si="204"/>
        <v/>
      </c>
      <c r="L834" s="378">
        <v>24</v>
      </c>
      <c r="M834" s="378">
        <v>4000</v>
      </c>
      <c r="N834" s="378">
        <f t="shared" si="200"/>
        <v>96000</v>
      </c>
      <c r="O834" s="378">
        <f t="shared" si="206"/>
        <v>9600</v>
      </c>
      <c r="P834" s="378">
        <f t="shared" si="207"/>
        <v>105600</v>
      </c>
      <c r="Q834" s="378">
        <f t="shared" ca="1" si="208"/>
        <v>1412.1879249284552</v>
      </c>
      <c r="R834" s="378">
        <f t="shared" ca="1" si="209"/>
        <v>33892.510198282922</v>
      </c>
      <c r="S834" s="602">
        <v>610100</v>
      </c>
      <c r="T834" s="378" t="str">
        <f>+IFERROR(VLOOKUP(S834,STAT1!$C$4:$D$189,2,FALSE),"")</f>
        <v>Борлуулсан барааны өртөг</v>
      </c>
      <c r="U834" s="1225">
        <v>92512.627102700964</v>
      </c>
      <c r="V834" s="1216"/>
      <c r="W834" s="326">
        <v>4002</v>
      </c>
      <c r="X834" s="328" t="str">
        <f>IFERROR(VLOOKUP(W834,DATA!$G$4:$H$400,2,FALSE),"")</f>
        <v xml:space="preserve">Хувь хүн </v>
      </c>
      <c r="Y834" s="1205"/>
      <c r="Z834" s="1205"/>
      <c r="AA834" s="1205"/>
    </row>
    <row r="835" spans="1:27" ht="12.75" customHeight="1">
      <c r="A835" s="15">
        <v>191</v>
      </c>
      <c r="B835" s="369">
        <f t="shared" si="202"/>
        <v>830</v>
      </c>
      <c r="C835" s="427">
        <v>42996</v>
      </c>
      <c r="D835" s="426">
        <v>211711</v>
      </c>
      <c r="E835" s="425" t="str">
        <f t="shared" ca="1" si="210"/>
        <v>Н-Хавтан /зузаан-2.6см/</v>
      </c>
      <c r="F835" s="428" t="str">
        <f t="shared" ca="1" si="205"/>
        <v>м2</v>
      </c>
      <c r="G835" s="378"/>
      <c r="H835" s="378"/>
      <c r="I835" s="378" t="str">
        <f t="shared" si="203"/>
        <v/>
      </c>
      <c r="J835" s="378" t="str">
        <f t="shared" si="201"/>
        <v/>
      </c>
      <c r="K835" s="1220" t="str">
        <f t="shared" si="204"/>
        <v/>
      </c>
      <c r="L835" s="378">
        <v>1.08</v>
      </c>
      <c r="M835" s="378">
        <v>33333.33</v>
      </c>
      <c r="N835" s="378">
        <f t="shared" si="200"/>
        <v>35999.996400000004</v>
      </c>
      <c r="O835" s="378">
        <f t="shared" si="206"/>
        <v>3599.9996400000005</v>
      </c>
      <c r="P835" s="378">
        <f t="shared" si="207"/>
        <v>39599.996040000005</v>
      </c>
      <c r="Q835" s="378">
        <f t="shared" ca="1" si="208"/>
        <v>30895.753988695247</v>
      </c>
      <c r="R835" s="378">
        <f t="shared" ca="1" si="209"/>
        <v>33367.414307790867</v>
      </c>
      <c r="S835" s="602">
        <v>310500</v>
      </c>
      <c r="T835" s="378" t="str">
        <f>+IFERROR(VLOOKUP(S835,STAT1!$C$4:$D$189,2,FALSE),"")</f>
        <v>НӨАТ өглөг</v>
      </c>
      <c r="U835" s="1225"/>
      <c r="V835" s="1216">
        <v>19049.999640000002</v>
      </c>
      <c r="W835" s="326">
        <v>4002</v>
      </c>
      <c r="X835" s="328" t="str">
        <f>IFERROR(VLOOKUP(W835,DATA!$G$4:$H$400,2,FALSE),"")</f>
        <v xml:space="preserve">Хувь хүн </v>
      </c>
      <c r="Y835" s="1205"/>
      <c r="Z835" s="1205"/>
      <c r="AA835" s="1205"/>
    </row>
    <row r="836" spans="1:27" ht="12.75" customHeight="1">
      <c r="A836" s="15">
        <v>191</v>
      </c>
      <c r="B836" s="369">
        <f t="shared" si="202"/>
        <v>831</v>
      </c>
      <c r="C836" s="427">
        <v>42996</v>
      </c>
      <c r="D836" s="426"/>
      <c r="E836" s="425" t="str">
        <f t="shared" ca="1" si="210"/>
        <v/>
      </c>
      <c r="F836" s="428" t="str">
        <f t="shared" ca="1" si="205"/>
        <v/>
      </c>
      <c r="G836" s="378"/>
      <c r="H836" s="378"/>
      <c r="I836" s="378" t="str">
        <f t="shared" si="203"/>
        <v/>
      </c>
      <c r="J836" s="378" t="str">
        <f t="shared" si="201"/>
        <v/>
      </c>
      <c r="K836" s="1220" t="str">
        <f t="shared" si="204"/>
        <v/>
      </c>
      <c r="L836" s="378"/>
      <c r="M836" s="378"/>
      <c r="N836" s="378" t="str">
        <f t="shared" si="200"/>
        <v/>
      </c>
      <c r="O836" s="378" t="str">
        <f t="shared" si="206"/>
        <v/>
      </c>
      <c r="P836" s="378" t="str">
        <f t="shared" si="207"/>
        <v/>
      </c>
      <c r="Q836" s="378" t="str">
        <f t="shared" si="208"/>
        <v/>
      </c>
      <c r="R836" s="378" t="str">
        <f t="shared" si="209"/>
        <v/>
      </c>
      <c r="S836" s="602">
        <v>510000</v>
      </c>
      <c r="T836" s="378" t="str">
        <f>+IFERROR(VLOOKUP(S836,STAT1!$C$4:$D$189,2,FALSE),"")</f>
        <v>Үндсэн үйл ажиллагааны борлуулалт</v>
      </c>
      <c r="U836" s="1225"/>
      <c r="V836" s="1216">
        <v>190499.9964</v>
      </c>
      <c r="W836" s="326">
        <v>4002</v>
      </c>
      <c r="X836" s="328" t="str">
        <f>IFERROR(VLOOKUP(W836,DATA!$G$4:$H$400,2,FALSE),"")</f>
        <v xml:space="preserve">Хувь хүн </v>
      </c>
      <c r="Y836" s="1205"/>
      <c r="Z836" s="1205"/>
      <c r="AA836" s="1205"/>
    </row>
    <row r="837" spans="1:27" ht="12.75" customHeight="1">
      <c r="A837" s="15">
        <v>191</v>
      </c>
      <c r="B837" s="369">
        <f t="shared" si="202"/>
        <v>832</v>
      </c>
      <c r="C837" s="427">
        <v>42996</v>
      </c>
      <c r="D837" s="426"/>
      <c r="E837" s="425" t="str">
        <f t="shared" ca="1" si="210"/>
        <v/>
      </c>
      <c r="F837" s="428" t="str">
        <f t="shared" ca="1" si="205"/>
        <v/>
      </c>
      <c r="G837" s="378"/>
      <c r="H837" s="378"/>
      <c r="I837" s="378" t="str">
        <f t="shared" si="203"/>
        <v/>
      </c>
      <c r="J837" s="378" t="str">
        <f t="shared" si="201"/>
        <v/>
      </c>
      <c r="K837" s="1220" t="str">
        <f t="shared" si="204"/>
        <v/>
      </c>
      <c r="L837" s="378"/>
      <c r="M837" s="378"/>
      <c r="N837" s="378" t="str">
        <f t="shared" si="200"/>
        <v/>
      </c>
      <c r="O837" s="378" t="str">
        <f t="shared" si="206"/>
        <v/>
      </c>
      <c r="P837" s="378" t="str">
        <f t="shared" si="207"/>
        <v/>
      </c>
      <c r="Q837" s="378" t="str">
        <f t="shared" si="208"/>
        <v/>
      </c>
      <c r="R837" s="378" t="str">
        <f t="shared" si="209"/>
        <v/>
      </c>
      <c r="S837" s="602">
        <v>320100</v>
      </c>
      <c r="T837" s="378" t="str">
        <f>+IFERROR(VLOOKUP(S837,STAT1!$C$4:$D$189,2,FALSE),"")</f>
        <v>Урьдчилж орсон орлого MNT</v>
      </c>
      <c r="U837" s="1225">
        <v>209549.99604</v>
      </c>
      <c r="V837" s="1216"/>
      <c r="W837" s="326">
        <v>4002</v>
      </c>
      <c r="X837" s="328" t="str">
        <f>IFERROR(VLOOKUP(W837,DATA!$G$4:$H$400,2,FALSE),"")</f>
        <v xml:space="preserve">Хувь хүн </v>
      </c>
      <c r="Y837" s="1205"/>
      <c r="Z837" s="1205"/>
      <c r="AA837" s="1205"/>
    </row>
    <row r="838" spans="1:27" ht="12.75" customHeight="1">
      <c r="A838" s="15">
        <v>192</v>
      </c>
      <c r="B838" s="369">
        <f t="shared" si="202"/>
        <v>833</v>
      </c>
      <c r="C838" s="427">
        <v>42997</v>
      </c>
      <c r="D838" s="426">
        <v>211801</v>
      </c>
      <c r="E838" s="425" t="str">
        <f t="shared" ca="1" si="210"/>
        <v>Н-Ембүү /20*30мм/</v>
      </c>
      <c r="F838" s="428" t="str">
        <f t="shared" ca="1" si="205"/>
        <v>м</v>
      </c>
      <c r="G838" s="378"/>
      <c r="H838" s="378"/>
      <c r="I838" s="378" t="str">
        <f t="shared" si="203"/>
        <v/>
      </c>
      <c r="J838" s="378" t="str">
        <f t="shared" si="201"/>
        <v/>
      </c>
      <c r="K838" s="1220" t="str">
        <f t="shared" si="204"/>
        <v/>
      </c>
      <c r="L838" s="378">
        <v>57</v>
      </c>
      <c r="M838" s="378">
        <v>1500</v>
      </c>
      <c r="N838" s="378">
        <f t="shared" si="200"/>
        <v>85500</v>
      </c>
      <c r="O838" s="378">
        <f t="shared" si="206"/>
        <v>8550</v>
      </c>
      <c r="P838" s="378">
        <f t="shared" si="207"/>
        <v>94050</v>
      </c>
      <c r="Q838" s="378">
        <f t="shared" ca="1" si="208"/>
        <v>647.50519478531248</v>
      </c>
      <c r="R838" s="378">
        <f t="shared" ca="1" si="209"/>
        <v>36907.796102762812</v>
      </c>
      <c r="S838" s="602">
        <v>150101</v>
      </c>
      <c r="T838" s="378" t="str">
        <f>+IFERROR(VLOOKUP(S838,STAT1!$C$4:$D$189,2,FALSE),"")</f>
        <v>Бараа бэлэн бүтээгдэхүүн БОЛОВСРУУЛАХ ЦЕХ /нарс/</v>
      </c>
      <c r="U838" s="1225"/>
      <c r="V838" s="1216">
        <v>36907.796102762812</v>
      </c>
      <c r="W838" s="326">
        <v>3098</v>
      </c>
      <c r="X838" s="328" t="str">
        <f>IFERROR(VLOOKUP(W838,DATA!$G$4:$H$400,2,FALSE),"")</f>
        <v xml:space="preserve">ЭБСО ХХК </v>
      </c>
      <c r="Y838" s="1205"/>
      <c r="Z838" s="1205"/>
      <c r="AA838" s="1205"/>
    </row>
    <row r="839" spans="1:27" ht="12.75" customHeight="1">
      <c r="A839" s="15">
        <v>192</v>
      </c>
      <c r="B839" s="369">
        <f t="shared" si="202"/>
        <v>834</v>
      </c>
      <c r="C839" s="427">
        <v>42997</v>
      </c>
      <c r="D839" s="426"/>
      <c r="E839" s="425" t="str">
        <f t="shared" ca="1" si="210"/>
        <v/>
      </c>
      <c r="F839" s="428" t="str">
        <f t="shared" ca="1" si="205"/>
        <v/>
      </c>
      <c r="G839" s="378"/>
      <c r="H839" s="378"/>
      <c r="I839" s="378" t="str">
        <f t="shared" si="203"/>
        <v/>
      </c>
      <c r="J839" s="378" t="str">
        <f t="shared" si="201"/>
        <v/>
      </c>
      <c r="K839" s="1220" t="str">
        <f t="shared" si="204"/>
        <v/>
      </c>
      <c r="L839" s="378"/>
      <c r="M839" s="378"/>
      <c r="N839" s="378" t="str">
        <f t="shared" si="200"/>
        <v/>
      </c>
      <c r="O839" s="378" t="str">
        <f t="shared" si="206"/>
        <v/>
      </c>
      <c r="P839" s="378" t="str">
        <f t="shared" si="207"/>
        <v/>
      </c>
      <c r="Q839" s="378" t="str">
        <f t="shared" si="208"/>
        <v/>
      </c>
      <c r="R839" s="378" t="str">
        <f t="shared" si="209"/>
        <v/>
      </c>
      <c r="S839" s="602">
        <v>610100</v>
      </c>
      <c r="T839" s="378" t="str">
        <f>+IFERROR(VLOOKUP(S839,STAT1!$C$4:$D$189,2,FALSE),"")</f>
        <v>Борлуулсан барааны өртөг</v>
      </c>
      <c r="U839" s="1225">
        <v>36907.796102762812</v>
      </c>
      <c r="V839" s="1216"/>
      <c r="W839" s="326">
        <v>3098</v>
      </c>
      <c r="X839" s="328" t="str">
        <f>IFERROR(VLOOKUP(W839,DATA!$G$4:$H$400,2,FALSE),"")</f>
        <v xml:space="preserve">ЭБСО ХХК </v>
      </c>
      <c r="Y839" s="1205"/>
      <c r="Z839" s="1205"/>
      <c r="AA839" s="1205"/>
    </row>
    <row r="840" spans="1:27" ht="12.75" customHeight="1">
      <c r="A840" s="15">
        <v>192</v>
      </c>
      <c r="B840" s="369">
        <f t="shared" si="202"/>
        <v>835</v>
      </c>
      <c r="C840" s="427">
        <v>42997</v>
      </c>
      <c r="D840" s="426"/>
      <c r="E840" s="425" t="str">
        <f t="shared" ca="1" si="210"/>
        <v/>
      </c>
      <c r="F840" s="428" t="str">
        <f t="shared" ca="1" si="205"/>
        <v/>
      </c>
      <c r="G840" s="378"/>
      <c r="H840" s="378"/>
      <c r="I840" s="378" t="str">
        <f t="shared" si="203"/>
        <v/>
      </c>
      <c r="J840" s="378" t="str">
        <f t="shared" si="201"/>
        <v/>
      </c>
      <c r="K840" s="1220" t="str">
        <f t="shared" si="204"/>
        <v/>
      </c>
      <c r="L840" s="378"/>
      <c r="M840" s="378"/>
      <c r="N840" s="378" t="str">
        <f t="shared" si="200"/>
        <v/>
      </c>
      <c r="O840" s="378" t="str">
        <f t="shared" si="206"/>
        <v/>
      </c>
      <c r="P840" s="378" t="str">
        <f t="shared" si="207"/>
        <v/>
      </c>
      <c r="Q840" s="378" t="str">
        <f t="shared" si="208"/>
        <v/>
      </c>
      <c r="R840" s="378" t="str">
        <f t="shared" si="209"/>
        <v/>
      </c>
      <c r="S840" s="602">
        <v>310500</v>
      </c>
      <c r="T840" s="378" t="str">
        <f>+IFERROR(VLOOKUP(S840,STAT1!$C$4:$D$189,2,FALSE),"")</f>
        <v>НӨАТ өглөг</v>
      </c>
      <c r="U840" s="1225"/>
      <c r="V840" s="1216">
        <v>8550</v>
      </c>
      <c r="W840" s="326">
        <v>3098</v>
      </c>
      <c r="X840" s="328" t="str">
        <f>IFERROR(VLOOKUP(W840,DATA!$G$4:$H$400,2,FALSE),"")</f>
        <v xml:space="preserve">ЭБСО ХХК </v>
      </c>
      <c r="Y840" s="1205"/>
      <c r="Z840" s="1205"/>
      <c r="AA840" s="1205"/>
    </row>
    <row r="841" spans="1:27" ht="12.75" customHeight="1">
      <c r="A841" s="15">
        <v>192</v>
      </c>
      <c r="B841" s="369">
        <f t="shared" si="202"/>
        <v>836</v>
      </c>
      <c r="C841" s="427">
        <v>42997</v>
      </c>
      <c r="D841" s="426"/>
      <c r="E841" s="425" t="str">
        <f t="shared" ca="1" si="210"/>
        <v/>
      </c>
      <c r="F841" s="428" t="str">
        <f t="shared" ca="1" si="205"/>
        <v/>
      </c>
      <c r="G841" s="378"/>
      <c r="H841" s="378"/>
      <c r="I841" s="378" t="str">
        <f t="shared" si="203"/>
        <v/>
      </c>
      <c r="J841" s="378" t="str">
        <f t="shared" si="201"/>
        <v/>
      </c>
      <c r="K841" s="1220" t="str">
        <f t="shared" si="204"/>
        <v/>
      </c>
      <c r="L841" s="378"/>
      <c r="M841" s="378"/>
      <c r="N841" s="378" t="str">
        <f t="shared" si="200"/>
        <v/>
      </c>
      <c r="O841" s="378" t="str">
        <f t="shared" si="206"/>
        <v/>
      </c>
      <c r="P841" s="378" t="str">
        <f t="shared" si="207"/>
        <v/>
      </c>
      <c r="Q841" s="378" t="str">
        <f t="shared" si="208"/>
        <v/>
      </c>
      <c r="R841" s="378" t="str">
        <f t="shared" si="209"/>
        <v/>
      </c>
      <c r="S841" s="602">
        <v>510000</v>
      </c>
      <c r="T841" s="378" t="str">
        <f>+IFERROR(VLOOKUP(S841,STAT1!$C$4:$D$189,2,FALSE),"")</f>
        <v>Үндсэн үйл ажиллагааны борлуулалт</v>
      </c>
      <c r="U841" s="1225"/>
      <c r="V841" s="1216">
        <v>85500</v>
      </c>
      <c r="W841" s="326">
        <v>3098</v>
      </c>
      <c r="X841" s="328" t="str">
        <f>IFERROR(VLOOKUP(W841,DATA!$G$4:$H$400,2,FALSE),"")</f>
        <v xml:space="preserve">ЭБСО ХХК </v>
      </c>
      <c r="Y841" s="1205"/>
      <c r="Z841" s="1205"/>
      <c r="AA841" s="1205"/>
    </row>
    <row r="842" spans="1:27" ht="12.75" customHeight="1">
      <c r="A842" s="15">
        <v>192</v>
      </c>
      <c r="B842" s="369">
        <f t="shared" si="202"/>
        <v>837</v>
      </c>
      <c r="C842" s="427">
        <v>42997</v>
      </c>
      <c r="D842" s="426"/>
      <c r="E842" s="425" t="str">
        <f t="shared" ca="1" si="210"/>
        <v/>
      </c>
      <c r="F842" s="428" t="str">
        <f t="shared" ca="1" si="205"/>
        <v/>
      </c>
      <c r="G842" s="378"/>
      <c r="H842" s="378"/>
      <c r="I842" s="378" t="str">
        <f t="shared" si="203"/>
        <v/>
      </c>
      <c r="J842" s="378" t="str">
        <f t="shared" si="201"/>
        <v/>
      </c>
      <c r="K842" s="1220" t="str">
        <f t="shared" si="204"/>
        <v/>
      </c>
      <c r="L842" s="378"/>
      <c r="M842" s="378"/>
      <c r="N842" s="378" t="str">
        <f t="shared" si="200"/>
        <v/>
      </c>
      <c r="O842" s="378" t="str">
        <f t="shared" si="206"/>
        <v/>
      </c>
      <c r="P842" s="378" t="str">
        <f t="shared" si="207"/>
        <v/>
      </c>
      <c r="Q842" s="378" t="str">
        <f t="shared" si="208"/>
        <v/>
      </c>
      <c r="R842" s="378" t="str">
        <f t="shared" si="209"/>
        <v/>
      </c>
      <c r="S842" s="602">
        <v>320100</v>
      </c>
      <c r="T842" s="378" t="str">
        <f>+IFERROR(VLOOKUP(S842,STAT1!$C$4:$D$189,2,FALSE),"")</f>
        <v>Урьдчилж орсон орлого MNT</v>
      </c>
      <c r="U842" s="1225">
        <v>94050</v>
      </c>
      <c r="V842" s="1216"/>
      <c r="W842" s="326">
        <v>3098</v>
      </c>
      <c r="X842" s="328" t="str">
        <f>IFERROR(VLOOKUP(W842,DATA!$G$4:$H$400,2,FALSE),"")</f>
        <v xml:space="preserve">ЭБСО ХХК </v>
      </c>
      <c r="Y842" s="1205"/>
      <c r="Z842" s="1205"/>
      <c r="AA842" s="1205"/>
    </row>
    <row r="843" spans="1:27" ht="12.75" customHeight="1">
      <c r="A843" s="15">
        <v>193</v>
      </c>
      <c r="B843" s="369">
        <f t="shared" si="202"/>
        <v>838</v>
      </c>
      <c r="C843" s="427">
        <v>42998</v>
      </c>
      <c r="D843" s="426">
        <v>211710</v>
      </c>
      <c r="E843" s="425" t="str">
        <f t="shared" ca="1" si="210"/>
        <v xml:space="preserve">Н-Хавтан /зузаан-3см/-яртай </v>
      </c>
      <c r="F843" s="428" t="str">
        <f t="shared" ca="1" si="205"/>
        <v>м2</v>
      </c>
      <c r="G843" s="378"/>
      <c r="H843" s="378"/>
      <c r="I843" s="378" t="str">
        <f t="shared" si="203"/>
        <v/>
      </c>
      <c r="J843" s="378" t="str">
        <f t="shared" si="201"/>
        <v/>
      </c>
      <c r="K843" s="1220" t="str">
        <f t="shared" si="204"/>
        <v/>
      </c>
      <c r="L843" s="378">
        <v>25</v>
      </c>
      <c r="M843" s="378">
        <v>40000</v>
      </c>
      <c r="N843" s="378">
        <f t="shared" si="200"/>
        <v>1000000</v>
      </c>
      <c r="O843" s="378">
        <f t="shared" si="206"/>
        <v>100000</v>
      </c>
      <c r="P843" s="378">
        <f t="shared" si="207"/>
        <v>1100000</v>
      </c>
      <c r="Q843" s="378">
        <f t="shared" ca="1" si="208"/>
        <v>32877.788914248587</v>
      </c>
      <c r="R843" s="378">
        <f t="shared" ca="1" si="209"/>
        <v>821944.72285621474</v>
      </c>
      <c r="S843" s="602">
        <v>150101</v>
      </c>
      <c r="T843" s="378" t="str">
        <f>+IFERROR(VLOOKUP(S843,STAT1!$C$4:$D$189,2,FALSE),"")</f>
        <v>Бараа бэлэн бүтээгдэхүүн БОЛОВСРУУЛАХ ЦЕХ /нарс/</v>
      </c>
      <c r="U843" s="1225"/>
      <c r="V843" s="1216">
        <v>821944.72285621474</v>
      </c>
      <c r="W843" s="326">
        <v>3096</v>
      </c>
      <c r="X843" s="328" t="str">
        <f>IFERROR(VLOOKUP(W843,DATA!$G$4:$H$400,2,FALSE),"")</f>
        <v>ЭРДЭНЭДРИЙЛИНГ ХХК</v>
      </c>
      <c r="Y843" s="1205"/>
      <c r="Z843" s="1205"/>
      <c r="AA843" s="1205"/>
    </row>
    <row r="844" spans="1:27" ht="12.75" customHeight="1">
      <c r="A844" s="15">
        <v>193</v>
      </c>
      <c r="B844" s="369">
        <f t="shared" si="202"/>
        <v>839</v>
      </c>
      <c r="C844" s="427">
        <v>42998</v>
      </c>
      <c r="D844" s="426"/>
      <c r="E844" s="425" t="str">
        <f t="shared" ca="1" si="210"/>
        <v/>
      </c>
      <c r="F844" s="428" t="str">
        <f t="shared" ca="1" si="205"/>
        <v/>
      </c>
      <c r="G844" s="378"/>
      <c r="H844" s="378"/>
      <c r="I844" s="378" t="str">
        <f t="shared" si="203"/>
        <v/>
      </c>
      <c r="J844" s="378" t="str">
        <f t="shared" si="201"/>
        <v/>
      </c>
      <c r="K844" s="1220" t="str">
        <f t="shared" si="204"/>
        <v/>
      </c>
      <c r="L844" s="378"/>
      <c r="M844" s="378"/>
      <c r="N844" s="378" t="str">
        <f t="shared" si="200"/>
        <v/>
      </c>
      <c r="O844" s="378" t="str">
        <f t="shared" si="206"/>
        <v/>
      </c>
      <c r="P844" s="378" t="str">
        <f t="shared" si="207"/>
        <v/>
      </c>
      <c r="Q844" s="378" t="str">
        <f t="shared" si="208"/>
        <v/>
      </c>
      <c r="R844" s="378" t="str">
        <f t="shared" si="209"/>
        <v/>
      </c>
      <c r="S844" s="602">
        <v>610100</v>
      </c>
      <c r="T844" s="378" t="str">
        <f>+IFERROR(VLOOKUP(S844,STAT1!$C$4:$D$189,2,FALSE),"")</f>
        <v>Борлуулсан барааны өртөг</v>
      </c>
      <c r="U844" s="1225">
        <v>821944.72285621474</v>
      </c>
      <c r="V844" s="1216"/>
      <c r="W844" s="326">
        <v>3096</v>
      </c>
      <c r="X844" s="328" t="str">
        <f>IFERROR(VLOOKUP(W844,DATA!$G$4:$H$400,2,FALSE),"")</f>
        <v>ЭРДЭНЭДРИЙЛИНГ ХХК</v>
      </c>
      <c r="Y844" s="1205"/>
      <c r="Z844" s="1205"/>
      <c r="AA844" s="1205"/>
    </row>
    <row r="845" spans="1:27" ht="12.75" customHeight="1">
      <c r="A845" s="15">
        <v>193</v>
      </c>
      <c r="B845" s="369">
        <f t="shared" si="202"/>
        <v>840</v>
      </c>
      <c r="C845" s="427">
        <v>42998</v>
      </c>
      <c r="D845" s="426"/>
      <c r="E845" s="425" t="str">
        <f t="shared" ca="1" si="210"/>
        <v/>
      </c>
      <c r="F845" s="428" t="str">
        <f t="shared" ca="1" si="205"/>
        <v/>
      </c>
      <c r="G845" s="378"/>
      <c r="H845" s="378"/>
      <c r="I845" s="378" t="str">
        <f t="shared" si="203"/>
        <v/>
      </c>
      <c r="J845" s="378" t="str">
        <f t="shared" si="201"/>
        <v/>
      </c>
      <c r="K845" s="1220" t="str">
        <f t="shared" si="204"/>
        <v/>
      </c>
      <c r="L845" s="378"/>
      <c r="M845" s="378"/>
      <c r="N845" s="378" t="str">
        <f t="shared" si="200"/>
        <v/>
      </c>
      <c r="O845" s="378" t="str">
        <f t="shared" si="206"/>
        <v/>
      </c>
      <c r="P845" s="378" t="str">
        <f t="shared" si="207"/>
        <v/>
      </c>
      <c r="Q845" s="378" t="str">
        <f t="shared" si="208"/>
        <v/>
      </c>
      <c r="R845" s="378" t="str">
        <f t="shared" si="209"/>
        <v/>
      </c>
      <c r="S845" s="602">
        <v>310500</v>
      </c>
      <c r="T845" s="378" t="str">
        <f>+IFERROR(VLOOKUP(S845,STAT1!$C$4:$D$189,2,FALSE),"")</f>
        <v>НӨАТ өглөг</v>
      </c>
      <c r="U845" s="1225"/>
      <c r="V845" s="1216">
        <v>100000</v>
      </c>
      <c r="W845" s="326">
        <v>3096</v>
      </c>
      <c r="X845" s="328" t="str">
        <f>IFERROR(VLOOKUP(W845,DATA!$G$4:$H$400,2,FALSE),"")</f>
        <v>ЭРДЭНЭДРИЙЛИНГ ХХК</v>
      </c>
      <c r="Y845" s="1205"/>
      <c r="Z845" s="1205"/>
      <c r="AA845" s="1205"/>
    </row>
    <row r="846" spans="1:27" ht="12.75" customHeight="1">
      <c r="A846" s="15">
        <v>193</v>
      </c>
      <c r="B846" s="369">
        <f t="shared" si="202"/>
        <v>841</v>
      </c>
      <c r="C846" s="427">
        <v>42998</v>
      </c>
      <c r="D846" s="426"/>
      <c r="E846" s="425" t="str">
        <f t="shared" ca="1" si="210"/>
        <v/>
      </c>
      <c r="F846" s="428" t="str">
        <f t="shared" ca="1" si="205"/>
        <v/>
      </c>
      <c r="G846" s="378"/>
      <c r="H846" s="378"/>
      <c r="I846" s="378" t="str">
        <f t="shared" si="203"/>
        <v/>
      </c>
      <c r="J846" s="378" t="str">
        <f t="shared" si="201"/>
        <v/>
      </c>
      <c r="K846" s="1220" t="str">
        <f t="shared" si="204"/>
        <v/>
      </c>
      <c r="L846" s="378"/>
      <c r="M846" s="378"/>
      <c r="N846" s="378" t="str">
        <f t="shared" si="200"/>
        <v/>
      </c>
      <c r="O846" s="378" t="str">
        <f t="shared" si="206"/>
        <v/>
      </c>
      <c r="P846" s="378" t="str">
        <f t="shared" si="207"/>
        <v/>
      </c>
      <c r="Q846" s="378" t="str">
        <f t="shared" si="208"/>
        <v/>
      </c>
      <c r="R846" s="378" t="str">
        <f t="shared" si="209"/>
        <v/>
      </c>
      <c r="S846" s="602">
        <v>510000</v>
      </c>
      <c r="T846" s="378" t="str">
        <f>+IFERROR(VLOOKUP(S846,STAT1!$C$4:$D$189,2,FALSE),"")</f>
        <v>Үндсэн үйл ажиллагааны борлуулалт</v>
      </c>
      <c r="U846" s="1225"/>
      <c r="V846" s="1216">
        <v>1000000</v>
      </c>
      <c r="W846" s="326">
        <v>3096</v>
      </c>
      <c r="X846" s="328" t="str">
        <f>IFERROR(VLOOKUP(W846,DATA!$G$4:$H$400,2,FALSE),"")</f>
        <v>ЭРДЭНЭДРИЙЛИНГ ХХК</v>
      </c>
      <c r="Y846" s="1205"/>
      <c r="Z846" s="1205"/>
      <c r="AA846" s="1205"/>
    </row>
    <row r="847" spans="1:27" ht="12.75" customHeight="1">
      <c r="A847" s="15">
        <v>193</v>
      </c>
      <c r="B847" s="369">
        <f t="shared" si="202"/>
        <v>842</v>
      </c>
      <c r="C847" s="427">
        <v>42998</v>
      </c>
      <c r="D847" s="426"/>
      <c r="E847" s="425" t="str">
        <f t="shared" ca="1" si="210"/>
        <v/>
      </c>
      <c r="F847" s="428" t="str">
        <f t="shared" ca="1" si="205"/>
        <v/>
      </c>
      <c r="G847" s="378"/>
      <c r="H847" s="378"/>
      <c r="I847" s="378" t="str">
        <f t="shared" si="203"/>
        <v/>
      </c>
      <c r="J847" s="378" t="str">
        <f t="shared" si="201"/>
        <v/>
      </c>
      <c r="K847" s="1220" t="str">
        <f t="shared" si="204"/>
        <v/>
      </c>
      <c r="L847" s="378"/>
      <c r="M847" s="378"/>
      <c r="N847" s="378" t="str">
        <f t="shared" si="200"/>
        <v/>
      </c>
      <c r="O847" s="378" t="str">
        <f t="shared" si="206"/>
        <v/>
      </c>
      <c r="P847" s="378" t="str">
        <f t="shared" si="207"/>
        <v/>
      </c>
      <c r="Q847" s="378" t="str">
        <f t="shared" si="208"/>
        <v/>
      </c>
      <c r="R847" s="378" t="str">
        <f t="shared" si="209"/>
        <v/>
      </c>
      <c r="S847" s="602">
        <v>320100</v>
      </c>
      <c r="T847" s="378" t="str">
        <f>+IFERROR(VLOOKUP(S847,STAT1!$C$4:$D$189,2,FALSE),"")</f>
        <v>Урьдчилж орсон орлого MNT</v>
      </c>
      <c r="U847" s="1225">
        <v>1100000</v>
      </c>
      <c r="V847" s="1216"/>
      <c r="W847" s="326">
        <v>3096</v>
      </c>
      <c r="X847" s="328" t="str">
        <f>IFERROR(VLOOKUP(W847,DATA!$G$4:$H$400,2,FALSE),"")</f>
        <v>ЭРДЭНЭДРИЙЛИНГ ХХК</v>
      </c>
      <c r="Y847" s="1205"/>
      <c r="Z847" s="1205"/>
      <c r="AA847" s="1205"/>
    </row>
    <row r="848" spans="1:27" ht="12.75" customHeight="1">
      <c r="A848" s="15">
        <v>194</v>
      </c>
      <c r="B848" s="369">
        <f t="shared" si="202"/>
        <v>843</v>
      </c>
      <c r="C848" s="427">
        <v>43002</v>
      </c>
      <c r="D848" s="426">
        <v>211504</v>
      </c>
      <c r="E848" s="425" t="str">
        <f t="shared" ca="1" si="210"/>
        <v xml:space="preserve">Н-Евровагонка /зузаан-1.2см/-яртай </v>
      </c>
      <c r="F848" s="428" t="str">
        <f t="shared" ca="1" si="205"/>
        <v>м2</v>
      </c>
      <c r="G848" s="378"/>
      <c r="H848" s="378"/>
      <c r="I848" s="378" t="str">
        <f t="shared" si="203"/>
        <v/>
      </c>
      <c r="J848" s="378" t="str">
        <f t="shared" si="201"/>
        <v/>
      </c>
      <c r="K848" s="1220" t="str">
        <f t="shared" si="204"/>
        <v/>
      </c>
      <c r="L848" s="378">
        <v>14.08</v>
      </c>
      <c r="M848" s="378">
        <v>18001.032999999999</v>
      </c>
      <c r="N848" s="378">
        <f t="shared" si="200"/>
        <v>253454.54464000001</v>
      </c>
      <c r="O848" s="378">
        <f t="shared" si="206"/>
        <v>25345.454464000002</v>
      </c>
      <c r="P848" s="378">
        <f t="shared" si="207"/>
        <v>278799.99910399999</v>
      </c>
      <c r="Q848" s="378">
        <f t="shared" ca="1" si="208"/>
        <v>11310.879514497639</v>
      </c>
      <c r="R848" s="378">
        <f t="shared" ca="1" si="209"/>
        <v>159257.18356412675</v>
      </c>
      <c r="S848" s="602">
        <v>150101</v>
      </c>
      <c r="T848" s="378" t="str">
        <f>+IFERROR(VLOOKUP(S848,STAT1!$C$4:$D$189,2,FALSE),"")</f>
        <v>Бараа бэлэн бүтээгдэхүүн БОЛОВСРУУЛАХ ЦЕХ /нарс/</v>
      </c>
      <c r="U848" s="1225"/>
      <c r="V848" s="1216">
        <v>159257.18356412675</v>
      </c>
      <c r="W848" s="326">
        <v>3095</v>
      </c>
      <c r="X848" s="328" t="str">
        <f>IFERROR(VLOOKUP(W848,DATA!$G$4:$H$400,2,FALSE),"")</f>
        <v xml:space="preserve">БАТС ӨРГӨӨ ХХК </v>
      </c>
      <c r="Y848" s="1205"/>
      <c r="Z848" s="1205"/>
      <c r="AA848" s="1205"/>
    </row>
    <row r="849" spans="1:27" ht="12.75" customHeight="1">
      <c r="A849" s="15">
        <v>194</v>
      </c>
      <c r="B849" s="369">
        <f t="shared" si="202"/>
        <v>844</v>
      </c>
      <c r="C849" s="427">
        <v>43002</v>
      </c>
      <c r="D849" s="426"/>
      <c r="E849" s="425" t="str">
        <f t="shared" ca="1" si="210"/>
        <v/>
      </c>
      <c r="F849" s="428" t="str">
        <f t="shared" ca="1" si="205"/>
        <v/>
      </c>
      <c r="G849" s="378"/>
      <c r="H849" s="378"/>
      <c r="I849" s="378" t="str">
        <f t="shared" si="203"/>
        <v/>
      </c>
      <c r="J849" s="378" t="str">
        <f t="shared" si="201"/>
        <v/>
      </c>
      <c r="K849" s="1220" t="str">
        <f t="shared" si="204"/>
        <v/>
      </c>
      <c r="L849" s="378"/>
      <c r="M849" s="378"/>
      <c r="N849" s="378" t="str">
        <f t="shared" si="200"/>
        <v/>
      </c>
      <c r="O849" s="378" t="str">
        <f t="shared" si="206"/>
        <v/>
      </c>
      <c r="P849" s="378" t="str">
        <f t="shared" si="207"/>
        <v/>
      </c>
      <c r="Q849" s="378" t="str">
        <f t="shared" si="208"/>
        <v/>
      </c>
      <c r="R849" s="378" t="str">
        <f t="shared" si="209"/>
        <v/>
      </c>
      <c r="S849" s="602">
        <v>610100</v>
      </c>
      <c r="T849" s="378" t="str">
        <f>+IFERROR(VLOOKUP(S849,STAT1!$C$4:$D$189,2,FALSE),"")</f>
        <v>Борлуулсан барааны өртөг</v>
      </c>
      <c r="U849" s="1225">
        <v>159257.18356412675</v>
      </c>
      <c r="V849" s="1216"/>
      <c r="W849" s="326">
        <v>3095</v>
      </c>
      <c r="X849" s="328" t="str">
        <f>IFERROR(VLOOKUP(W849,DATA!$G$4:$H$400,2,FALSE),"")</f>
        <v xml:space="preserve">БАТС ӨРГӨӨ ХХК </v>
      </c>
      <c r="Y849" s="1205"/>
      <c r="Z849" s="1205"/>
      <c r="AA849" s="1205"/>
    </row>
    <row r="850" spans="1:27" ht="12.75" customHeight="1">
      <c r="A850" s="15">
        <v>194</v>
      </c>
      <c r="B850" s="369">
        <f t="shared" si="202"/>
        <v>845</v>
      </c>
      <c r="C850" s="427">
        <v>43002</v>
      </c>
      <c r="D850" s="426"/>
      <c r="E850" s="425" t="str">
        <f t="shared" ca="1" si="210"/>
        <v/>
      </c>
      <c r="F850" s="428" t="str">
        <f t="shared" ca="1" si="205"/>
        <v/>
      </c>
      <c r="G850" s="378"/>
      <c r="H850" s="378"/>
      <c r="I850" s="378" t="str">
        <f t="shared" si="203"/>
        <v/>
      </c>
      <c r="J850" s="378" t="str">
        <f t="shared" si="201"/>
        <v/>
      </c>
      <c r="K850" s="1220" t="str">
        <f t="shared" si="204"/>
        <v/>
      </c>
      <c r="L850" s="378"/>
      <c r="M850" s="378"/>
      <c r="N850" s="378" t="str">
        <f t="shared" si="200"/>
        <v/>
      </c>
      <c r="O850" s="378" t="str">
        <f t="shared" si="206"/>
        <v/>
      </c>
      <c r="P850" s="378" t="str">
        <f t="shared" si="207"/>
        <v/>
      </c>
      <c r="Q850" s="378" t="str">
        <f t="shared" si="208"/>
        <v/>
      </c>
      <c r="R850" s="378" t="str">
        <f t="shared" si="209"/>
        <v/>
      </c>
      <c r="S850" s="602">
        <v>310500</v>
      </c>
      <c r="T850" s="378" t="str">
        <f>+IFERROR(VLOOKUP(S850,STAT1!$C$4:$D$189,2,FALSE),"")</f>
        <v>НӨАТ өглөг</v>
      </c>
      <c r="U850" s="1225"/>
      <c r="V850" s="1216">
        <v>25345.454464000002</v>
      </c>
      <c r="W850" s="326">
        <v>3095</v>
      </c>
      <c r="X850" s="328" t="str">
        <f>IFERROR(VLOOKUP(W850,DATA!$G$4:$H$400,2,FALSE),"")</f>
        <v xml:space="preserve">БАТС ӨРГӨӨ ХХК </v>
      </c>
      <c r="Y850" s="1205"/>
      <c r="Z850" s="1205"/>
      <c r="AA850" s="1205"/>
    </row>
    <row r="851" spans="1:27" ht="12.75" customHeight="1">
      <c r="A851" s="15">
        <v>194</v>
      </c>
      <c r="B851" s="369">
        <f t="shared" si="202"/>
        <v>846</v>
      </c>
      <c r="C851" s="427">
        <v>43002</v>
      </c>
      <c r="D851" s="426"/>
      <c r="E851" s="425" t="str">
        <f t="shared" ca="1" si="210"/>
        <v/>
      </c>
      <c r="F851" s="428" t="str">
        <f t="shared" ca="1" si="205"/>
        <v/>
      </c>
      <c r="G851" s="378"/>
      <c r="H851" s="378"/>
      <c r="I851" s="378" t="str">
        <f t="shared" si="203"/>
        <v/>
      </c>
      <c r="J851" s="378" t="str">
        <f t="shared" si="201"/>
        <v/>
      </c>
      <c r="K851" s="1220" t="str">
        <f t="shared" si="204"/>
        <v/>
      </c>
      <c r="L851" s="378"/>
      <c r="M851" s="378"/>
      <c r="N851" s="378" t="str">
        <f t="shared" si="200"/>
        <v/>
      </c>
      <c r="O851" s="378" t="str">
        <f t="shared" si="206"/>
        <v/>
      </c>
      <c r="P851" s="378" t="str">
        <f t="shared" si="207"/>
        <v/>
      </c>
      <c r="Q851" s="378" t="str">
        <f t="shared" si="208"/>
        <v/>
      </c>
      <c r="R851" s="378" t="str">
        <f t="shared" si="209"/>
        <v/>
      </c>
      <c r="S851" s="602">
        <v>510000</v>
      </c>
      <c r="T851" s="378" t="str">
        <f>+IFERROR(VLOOKUP(S851,STAT1!$C$4:$D$189,2,FALSE),"")</f>
        <v>Үндсэн үйл ажиллагааны борлуулалт</v>
      </c>
      <c r="U851" s="1225"/>
      <c r="V851" s="1216">
        <v>253454.54464000001</v>
      </c>
      <c r="W851" s="326">
        <v>3095</v>
      </c>
      <c r="X851" s="328" t="str">
        <f>IFERROR(VLOOKUP(W851,DATA!$G$4:$H$400,2,FALSE),"")</f>
        <v xml:space="preserve">БАТС ӨРГӨӨ ХХК </v>
      </c>
      <c r="Y851" s="1205"/>
      <c r="Z851" s="1205"/>
      <c r="AA851" s="1205"/>
    </row>
    <row r="852" spans="1:27" ht="12.75" customHeight="1">
      <c r="A852" s="15">
        <v>194</v>
      </c>
      <c r="B852" s="369">
        <f t="shared" si="202"/>
        <v>847</v>
      </c>
      <c r="C852" s="427">
        <v>43002</v>
      </c>
      <c r="D852" s="426"/>
      <c r="E852" s="425" t="str">
        <f t="shared" ca="1" si="210"/>
        <v/>
      </c>
      <c r="F852" s="428" t="str">
        <f t="shared" ca="1" si="205"/>
        <v/>
      </c>
      <c r="G852" s="378"/>
      <c r="H852" s="378"/>
      <c r="I852" s="378" t="str">
        <f t="shared" si="203"/>
        <v/>
      </c>
      <c r="J852" s="378" t="str">
        <f t="shared" si="201"/>
        <v/>
      </c>
      <c r="K852" s="1220" t="str">
        <f t="shared" si="204"/>
        <v/>
      </c>
      <c r="L852" s="378"/>
      <c r="M852" s="378"/>
      <c r="N852" s="378" t="str">
        <f t="shared" si="200"/>
        <v/>
      </c>
      <c r="O852" s="378" t="str">
        <f t="shared" si="206"/>
        <v/>
      </c>
      <c r="P852" s="378" t="str">
        <f t="shared" si="207"/>
        <v/>
      </c>
      <c r="Q852" s="378" t="str">
        <f t="shared" si="208"/>
        <v/>
      </c>
      <c r="R852" s="378" t="str">
        <f t="shared" si="209"/>
        <v/>
      </c>
      <c r="S852" s="602">
        <v>320100</v>
      </c>
      <c r="T852" s="378" t="str">
        <f>+IFERROR(VLOOKUP(S852,STAT1!$C$4:$D$189,2,FALSE),"")</f>
        <v>Урьдчилж орсон орлого MNT</v>
      </c>
      <c r="U852" s="1225">
        <v>278799.99910399999</v>
      </c>
      <c r="V852" s="1216"/>
      <c r="W852" s="326">
        <v>3095</v>
      </c>
      <c r="X852" s="328" t="str">
        <f>IFERROR(VLOOKUP(W852,DATA!$G$4:$H$400,2,FALSE),"")</f>
        <v xml:space="preserve">БАТС ӨРГӨӨ ХХК </v>
      </c>
      <c r="Y852" s="1205"/>
      <c r="Z852" s="1205"/>
      <c r="AA852" s="1205"/>
    </row>
    <row r="853" spans="1:27" ht="12.75" customHeight="1">
      <c r="A853" s="15">
        <v>195</v>
      </c>
      <c r="B853" s="369">
        <f t="shared" si="202"/>
        <v>848</v>
      </c>
      <c r="C853" s="427">
        <v>43003</v>
      </c>
      <c r="D853" s="426">
        <v>430010</v>
      </c>
      <c r="E853" s="425" t="str">
        <f t="shared" ca="1" si="210"/>
        <v xml:space="preserve"> Хөрөөний ир </v>
      </c>
      <c r="F853" s="428" t="str">
        <f t="shared" ca="1" si="205"/>
        <v xml:space="preserve">ш </v>
      </c>
      <c r="G853" s="378">
        <v>1</v>
      </c>
      <c r="H853" s="378">
        <v>45909.09</v>
      </c>
      <c r="I853" s="378">
        <f t="shared" si="203"/>
        <v>45909.09</v>
      </c>
      <c r="J853" s="378">
        <f t="shared" si="201"/>
        <v>4590.9089999999997</v>
      </c>
      <c r="K853" s="1220">
        <f t="shared" si="204"/>
        <v>50499.998999999996</v>
      </c>
      <c r="L853" s="378"/>
      <c r="M853" s="378"/>
      <c r="N853" s="378" t="str">
        <f t="shared" si="200"/>
        <v/>
      </c>
      <c r="O853" s="378" t="str">
        <f t="shared" si="206"/>
        <v/>
      </c>
      <c r="P853" s="378" t="str">
        <f t="shared" si="207"/>
        <v/>
      </c>
      <c r="Q853" s="378" t="str">
        <f t="shared" si="208"/>
        <v/>
      </c>
      <c r="R853" s="378" t="str">
        <f t="shared" si="209"/>
        <v/>
      </c>
      <c r="S853" s="602">
        <v>160200</v>
      </c>
      <c r="T853" s="378" t="str">
        <f>+IFERROR(VLOOKUP(S853,STAT1!$C$4:$D$189,2,FALSE),"")</f>
        <v>Агуулахад байгаа материал, хангамж</v>
      </c>
      <c r="U853" s="1225">
        <v>95909.09</v>
      </c>
      <c r="V853" s="1216"/>
      <c r="W853" s="326">
        <v>1005</v>
      </c>
      <c r="X853" s="328" t="str">
        <f>IFERROR(VLOOKUP(W853,DATA!$G$4:$H$400,2,FALSE),"")</f>
        <v>Золжаргал</v>
      </c>
      <c r="Y853" s="1205"/>
      <c r="Z853" s="1205"/>
      <c r="AA853" s="1205"/>
    </row>
    <row r="854" spans="1:27" ht="12.75" customHeight="1">
      <c r="A854" s="15">
        <v>195</v>
      </c>
      <c r="B854" s="369">
        <f t="shared" si="202"/>
        <v>849</v>
      </c>
      <c r="C854" s="427">
        <v>43003</v>
      </c>
      <c r="D854" s="426">
        <v>430010</v>
      </c>
      <c r="E854" s="425" t="str">
        <f t="shared" ca="1" si="210"/>
        <v xml:space="preserve"> Хөрөөний ир </v>
      </c>
      <c r="F854" s="428" t="str">
        <f t="shared" ca="1" si="205"/>
        <v xml:space="preserve">ш </v>
      </c>
      <c r="G854" s="378">
        <v>1</v>
      </c>
      <c r="H854" s="378">
        <v>50000</v>
      </c>
      <c r="I854" s="378">
        <f t="shared" si="203"/>
        <v>50000</v>
      </c>
      <c r="J854" s="378">
        <f t="shared" si="201"/>
        <v>5000</v>
      </c>
      <c r="K854" s="1220">
        <f t="shared" si="204"/>
        <v>55000</v>
      </c>
      <c r="L854" s="378"/>
      <c r="M854" s="378"/>
      <c r="N854" s="378" t="str">
        <f t="shared" si="200"/>
        <v/>
      </c>
      <c r="O854" s="378" t="str">
        <f t="shared" si="206"/>
        <v/>
      </c>
      <c r="P854" s="378" t="str">
        <f t="shared" si="207"/>
        <v/>
      </c>
      <c r="Q854" s="378" t="str">
        <f t="shared" si="208"/>
        <v/>
      </c>
      <c r="R854" s="378" t="str">
        <f t="shared" si="209"/>
        <v/>
      </c>
      <c r="S854" s="602">
        <v>120600</v>
      </c>
      <c r="T854" s="378" t="str">
        <f>+IFERROR(VLOOKUP(S854,STAT1!$C$4:$D$189,2,FALSE),"")</f>
        <v>НӨАТ авлага</v>
      </c>
      <c r="U854" s="1225">
        <v>9590.9089999999997</v>
      </c>
      <c r="V854" s="1216"/>
      <c r="W854" s="326">
        <v>1005</v>
      </c>
      <c r="X854" s="328" t="str">
        <f>IFERROR(VLOOKUP(W854,DATA!$G$4:$H$400,2,FALSE),"")</f>
        <v>Золжаргал</v>
      </c>
      <c r="Y854" s="1205"/>
      <c r="Z854" s="1205"/>
      <c r="AA854" s="1205"/>
    </row>
    <row r="855" spans="1:27" ht="12.75" customHeight="1">
      <c r="A855" s="15">
        <v>195</v>
      </c>
      <c r="B855" s="369">
        <f t="shared" si="202"/>
        <v>850</v>
      </c>
      <c r="C855" s="427">
        <v>43003</v>
      </c>
      <c r="D855" s="426">
        <v>410085</v>
      </c>
      <c r="E855" s="425" t="str">
        <f t="shared" ca="1" si="210"/>
        <v xml:space="preserve">НЦ-лак </v>
      </c>
      <c r="F855" s="428" t="str">
        <f t="shared" ca="1" si="205"/>
        <v>кг</v>
      </c>
      <c r="G855" s="378">
        <v>270</v>
      </c>
      <c r="H855" s="378">
        <v>7111.1111000000001</v>
      </c>
      <c r="I855" s="378">
        <f t="shared" si="203"/>
        <v>1919999.997</v>
      </c>
      <c r="J855" s="378">
        <f t="shared" si="201"/>
        <v>191999.99970000001</v>
      </c>
      <c r="K855" s="1220">
        <f t="shared" si="204"/>
        <v>2111999.9967</v>
      </c>
      <c r="L855" s="378"/>
      <c r="M855" s="378"/>
      <c r="N855" s="378" t="str">
        <f t="shared" si="200"/>
        <v/>
      </c>
      <c r="O855" s="378" t="str">
        <f t="shared" si="206"/>
        <v/>
      </c>
      <c r="P855" s="378" t="str">
        <f t="shared" si="207"/>
        <v/>
      </c>
      <c r="Q855" s="378" t="str">
        <f t="shared" si="208"/>
        <v/>
      </c>
      <c r="R855" s="378" t="str">
        <f t="shared" si="209"/>
        <v/>
      </c>
      <c r="S855" s="602">
        <v>121200</v>
      </c>
      <c r="T855" s="378" t="str">
        <f>+IFERROR(VLOOKUP(S855,STAT1!$C$4:$D$189,2,FALSE),"")</f>
        <v xml:space="preserve">Ажилчидын дараа тайлангийн тооцоо </v>
      </c>
      <c r="U855" s="1225"/>
      <c r="V855" s="1216">
        <v>105500</v>
      </c>
      <c r="W855" s="326">
        <v>1005</v>
      </c>
      <c r="X855" s="328" t="str">
        <f>IFERROR(VLOOKUP(W855,DATA!$G$4:$H$400,2,FALSE),"")</f>
        <v>Золжаргал</v>
      </c>
      <c r="Y855" s="1205"/>
      <c r="Z855" s="1205"/>
      <c r="AA855" s="1205"/>
    </row>
    <row r="856" spans="1:27" ht="12.75" customHeight="1">
      <c r="A856" s="15">
        <v>196</v>
      </c>
      <c r="B856" s="369">
        <f t="shared" si="202"/>
        <v>851</v>
      </c>
      <c r="C856" s="427">
        <v>43003</v>
      </c>
      <c r="D856" s="426">
        <v>211802</v>
      </c>
      <c r="E856" s="425" t="str">
        <f t="shared" ca="1" si="210"/>
        <v xml:space="preserve">Н-Уголок </v>
      </c>
      <c r="F856" s="428" t="str">
        <f t="shared" ca="1" si="205"/>
        <v>м</v>
      </c>
      <c r="G856" s="378"/>
      <c r="H856" s="378"/>
      <c r="I856" s="378" t="str">
        <f t="shared" si="203"/>
        <v/>
      </c>
      <c r="J856" s="378" t="str">
        <f t="shared" si="201"/>
        <v/>
      </c>
      <c r="K856" s="1220" t="str">
        <f t="shared" si="204"/>
        <v/>
      </c>
      <c r="L856" s="378">
        <v>7</v>
      </c>
      <c r="M856" s="378">
        <v>3000</v>
      </c>
      <c r="N856" s="378">
        <f t="shared" si="200"/>
        <v>21000</v>
      </c>
      <c r="O856" s="378">
        <f t="shared" si="206"/>
        <v>2100</v>
      </c>
      <c r="P856" s="378">
        <f t="shared" si="207"/>
        <v>23100</v>
      </c>
      <c r="Q856" s="378">
        <f t="shared" ca="1" si="208"/>
        <v>1412.1879249284552</v>
      </c>
      <c r="R856" s="378">
        <f t="shared" ca="1" si="209"/>
        <v>9885.3154744991862</v>
      </c>
      <c r="S856" s="602">
        <v>150101</v>
      </c>
      <c r="T856" s="378" t="str">
        <f>+IFERROR(VLOOKUP(S856,STAT1!$C$4:$D$189,2,FALSE),"")</f>
        <v>Бараа бэлэн бүтээгдэхүүн БОЛОВСРУУЛАХ ЦЕХ /нарс/</v>
      </c>
      <c r="U856" s="1225"/>
      <c r="V856" s="1216">
        <v>48735.627161617937</v>
      </c>
      <c r="W856" s="326">
        <v>3021</v>
      </c>
      <c r="X856" s="328" t="str">
        <f>IFERROR(VLOOKUP(W856,DATA!$G$4:$H$400,2,FALSE),"")</f>
        <v>БАНДИА ХХК</v>
      </c>
      <c r="Y856" s="1205"/>
      <c r="Z856" s="1205"/>
      <c r="AA856" s="1205"/>
    </row>
    <row r="857" spans="1:27" ht="12.75" customHeight="1">
      <c r="A857" s="15">
        <v>196</v>
      </c>
      <c r="B857" s="369">
        <f t="shared" si="202"/>
        <v>852</v>
      </c>
      <c r="C857" s="427">
        <v>43003</v>
      </c>
      <c r="D857" s="426">
        <v>211801</v>
      </c>
      <c r="E857" s="425" t="str">
        <f t="shared" ca="1" si="210"/>
        <v>Н-Ембүү /20*30мм/</v>
      </c>
      <c r="F857" s="428" t="str">
        <f t="shared" ca="1" si="205"/>
        <v>м</v>
      </c>
      <c r="G857" s="378"/>
      <c r="H857" s="378"/>
      <c r="I857" s="378" t="str">
        <f t="shared" si="203"/>
        <v/>
      </c>
      <c r="J857" s="378" t="str">
        <f t="shared" si="201"/>
        <v/>
      </c>
      <c r="K857" s="1220" t="str">
        <f t="shared" si="204"/>
        <v/>
      </c>
      <c r="L857" s="378">
        <v>60</v>
      </c>
      <c r="M857" s="378">
        <v>1500</v>
      </c>
      <c r="N857" s="378">
        <f t="shared" si="200"/>
        <v>90000</v>
      </c>
      <c r="O857" s="378">
        <f t="shared" si="206"/>
        <v>9000</v>
      </c>
      <c r="P857" s="378">
        <f t="shared" si="207"/>
        <v>99000</v>
      </c>
      <c r="Q857" s="378">
        <f t="shared" ca="1" si="208"/>
        <v>647.50519478531248</v>
      </c>
      <c r="R857" s="378">
        <f t="shared" ca="1" si="209"/>
        <v>38850.311687118752</v>
      </c>
      <c r="S857" s="602">
        <v>610100</v>
      </c>
      <c r="T857" s="378" t="str">
        <f>+IFERROR(VLOOKUP(S857,STAT1!$C$4:$D$189,2,FALSE),"")</f>
        <v>Борлуулсан барааны өртөг</v>
      </c>
      <c r="U857" s="1225">
        <v>48735.627161617937</v>
      </c>
      <c r="V857" s="1216"/>
      <c r="W857" s="326">
        <v>3021</v>
      </c>
      <c r="X857" s="328" t="str">
        <f>IFERROR(VLOOKUP(W857,DATA!$G$4:$H$400,2,FALSE),"")</f>
        <v>БАНДИА ХХК</v>
      </c>
      <c r="Y857" s="1205"/>
      <c r="Z857" s="1205"/>
      <c r="AA857" s="1205"/>
    </row>
    <row r="858" spans="1:27" ht="12.75" customHeight="1">
      <c r="A858" s="15">
        <v>196</v>
      </c>
      <c r="B858" s="369">
        <f t="shared" si="202"/>
        <v>853</v>
      </c>
      <c r="C858" s="427">
        <v>43003</v>
      </c>
      <c r="D858" s="426"/>
      <c r="E858" s="425" t="str">
        <f t="shared" ca="1" si="210"/>
        <v/>
      </c>
      <c r="F858" s="428" t="str">
        <f t="shared" ca="1" si="205"/>
        <v/>
      </c>
      <c r="G858" s="378"/>
      <c r="H858" s="378"/>
      <c r="I858" s="378" t="str">
        <f t="shared" si="203"/>
        <v/>
      </c>
      <c r="J858" s="378" t="str">
        <f t="shared" si="201"/>
        <v/>
      </c>
      <c r="K858" s="1220" t="str">
        <f t="shared" si="204"/>
        <v/>
      </c>
      <c r="L858" s="378"/>
      <c r="M858" s="378"/>
      <c r="N858" s="378" t="str">
        <f t="shared" si="200"/>
        <v/>
      </c>
      <c r="O858" s="378" t="str">
        <f t="shared" si="206"/>
        <v/>
      </c>
      <c r="P858" s="378" t="str">
        <f t="shared" si="207"/>
        <v/>
      </c>
      <c r="Q858" s="378" t="str">
        <f t="shared" si="208"/>
        <v/>
      </c>
      <c r="R858" s="378" t="str">
        <f t="shared" si="209"/>
        <v/>
      </c>
      <c r="S858" s="602">
        <v>310500</v>
      </c>
      <c r="T858" s="378" t="str">
        <f>+IFERROR(VLOOKUP(S858,STAT1!$C$4:$D$189,2,FALSE),"")</f>
        <v>НӨАТ өглөг</v>
      </c>
      <c r="U858" s="1225"/>
      <c r="V858" s="1216">
        <v>11100</v>
      </c>
      <c r="W858" s="326">
        <v>3021</v>
      </c>
      <c r="X858" s="328" t="str">
        <f>IFERROR(VLOOKUP(W858,DATA!$G$4:$H$400,2,FALSE),"")</f>
        <v>БАНДИА ХХК</v>
      </c>
      <c r="Y858" s="1205"/>
      <c r="Z858" s="1205"/>
      <c r="AA858" s="1205"/>
    </row>
    <row r="859" spans="1:27" ht="12.75" customHeight="1">
      <c r="A859" s="15">
        <v>196</v>
      </c>
      <c r="B859" s="369">
        <f t="shared" si="202"/>
        <v>854</v>
      </c>
      <c r="C859" s="427">
        <v>43003</v>
      </c>
      <c r="D859" s="426"/>
      <c r="E859" s="425" t="str">
        <f t="shared" ca="1" si="210"/>
        <v/>
      </c>
      <c r="F859" s="428" t="str">
        <f t="shared" ca="1" si="205"/>
        <v/>
      </c>
      <c r="G859" s="378"/>
      <c r="H859" s="378"/>
      <c r="I859" s="378" t="str">
        <f t="shared" si="203"/>
        <v/>
      </c>
      <c r="J859" s="378" t="str">
        <f t="shared" si="201"/>
        <v/>
      </c>
      <c r="K859" s="1220" t="str">
        <f t="shared" si="204"/>
        <v/>
      </c>
      <c r="L859" s="378"/>
      <c r="M859" s="378"/>
      <c r="N859" s="378" t="str">
        <f t="shared" si="200"/>
        <v/>
      </c>
      <c r="O859" s="378" t="str">
        <f t="shared" si="206"/>
        <v/>
      </c>
      <c r="P859" s="378" t="str">
        <f t="shared" si="207"/>
        <v/>
      </c>
      <c r="Q859" s="378" t="str">
        <f t="shared" si="208"/>
        <v/>
      </c>
      <c r="R859" s="378" t="str">
        <f t="shared" si="209"/>
        <v/>
      </c>
      <c r="S859" s="602">
        <v>510000</v>
      </c>
      <c r="T859" s="378" t="str">
        <f>+IFERROR(VLOOKUP(S859,STAT1!$C$4:$D$189,2,FALSE),"")</f>
        <v>Үндсэн үйл ажиллагааны борлуулалт</v>
      </c>
      <c r="U859" s="1225"/>
      <c r="V859" s="1216">
        <v>111000</v>
      </c>
      <c r="W859" s="326">
        <v>3021</v>
      </c>
      <c r="X859" s="328" t="str">
        <f>IFERROR(VLOOKUP(W859,DATA!$G$4:$H$400,2,FALSE),"")</f>
        <v>БАНДИА ХХК</v>
      </c>
      <c r="Y859" s="1205"/>
      <c r="Z859" s="1205"/>
      <c r="AA859" s="1205"/>
    </row>
    <row r="860" spans="1:27" ht="12.75" customHeight="1">
      <c r="A860" s="15">
        <v>196</v>
      </c>
      <c r="B860" s="369">
        <f t="shared" si="202"/>
        <v>855</v>
      </c>
      <c r="C860" s="427">
        <v>43003</v>
      </c>
      <c r="D860" s="426"/>
      <c r="E860" s="425" t="str">
        <f t="shared" ca="1" si="210"/>
        <v/>
      </c>
      <c r="F860" s="428" t="str">
        <f t="shared" ca="1" si="205"/>
        <v/>
      </c>
      <c r="G860" s="378"/>
      <c r="H860" s="378"/>
      <c r="I860" s="378" t="str">
        <f t="shared" si="203"/>
        <v/>
      </c>
      <c r="J860" s="378" t="str">
        <f t="shared" si="201"/>
        <v/>
      </c>
      <c r="K860" s="1220" t="str">
        <f t="shared" si="204"/>
        <v/>
      </c>
      <c r="L860" s="378"/>
      <c r="M860" s="378"/>
      <c r="N860" s="378" t="str">
        <f t="shared" si="200"/>
        <v/>
      </c>
      <c r="O860" s="378" t="str">
        <f t="shared" si="206"/>
        <v/>
      </c>
      <c r="P860" s="378" t="str">
        <f t="shared" si="207"/>
        <v/>
      </c>
      <c r="Q860" s="378" t="str">
        <f t="shared" si="208"/>
        <v/>
      </c>
      <c r="R860" s="378" t="str">
        <f t="shared" si="209"/>
        <v/>
      </c>
      <c r="S860" s="602">
        <v>320100</v>
      </c>
      <c r="T860" s="378" t="str">
        <f>+IFERROR(VLOOKUP(S860,STAT1!$C$4:$D$189,2,FALSE),"")</f>
        <v>Урьдчилж орсон орлого MNT</v>
      </c>
      <c r="U860" s="1225">
        <v>122100</v>
      </c>
      <c r="V860" s="1216"/>
      <c r="W860" s="326">
        <v>3021</v>
      </c>
      <c r="X860" s="328" t="str">
        <f>IFERROR(VLOOKUP(W860,DATA!$G$4:$H$400,2,FALSE),"")</f>
        <v>БАНДИА ХХК</v>
      </c>
      <c r="Y860" s="1205"/>
      <c r="Z860" s="1205"/>
      <c r="AA860" s="1205"/>
    </row>
    <row r="861" spans="1:27" ht="12.75" customHeight="1">
      <c r="A861" s="15">
        <v>197</v>
      </c>
      <c r="B861" s="369">
        <f t="shared" si="202"/>
        <v>856</v>
      </c>
      <c r="C861" s="427">
        <v>43003</v>
      </c>
      <c r="D861" s="426">
        <v>211713</v>
      </c>
      <c r="E861" s="425" t="str">
        <f t="shared" ca="1" si="210"/>
        <v>Н-Хавтан /зузаан-2см/</v>
      </c>
      <c r="F861" s="428" t="str">
        <f t="shared" ca="1" si="205"/>
        <v>м2</v>
      </c>
      <c r="G861" s="378"/>
      <c r="H861" s="378"/>
      <c r="I861" s="378" t="str">
        <f t="shared" si="203"/>
        <v/>
      </c>
      <c r="J861" s="378" t="str">
        <f t="shared" si="201"/>
        <v/>
      </c>
      <c r="K861" s="1220" t="str">
        <f t="shared" si="204"/>
        <v/>
      </c>
      <c r="L861" s="378">
        <v>43.03</v>
      </c>
      <c r="M861" s="378">
        <v>30000.211200000002</v>
      </c>
      <c r="N861" s="378">
        <f t="shared" ref="N861:N924" si="211">+IF(L861="","",L861*M861)</f>
        <v>1290909.0879360002</v>
      </c>
      <c r="O861" s="378">
        <f t="shared" si="206"/>
        <v>129090.90879360003</v>
      </c>
      <c r="P861" s="378">
        <f t="shared" si="207"/>
        <v>1419999.9967296002</v>
      </c>
      <c r="Q861" s="378">
        <f t="shared" ca="1" si="208"/>
        <v>20836.299698816016</v>
      </c>
      <c r="R861" s="378">
        <f t="shared" ca="1" si="209"/>
        <v>896585.97604005318</v>
      </c>
      <c r="S861" s="602">
        <v>150101</v>
      </c>
      <c r="T861" s="378" t="str">
        <f>+IFERROR(VLOOKUP(S861,STAT1!$C$4:$D$189,2,FALSE),"")</f>
        <v>Бараа бэлэн бүтээгдэхүүн БОЛОВСРУУЛАХ ЦЕХ /нарс/</v>
      </c>
      <c r="U861" s="1225"/>
      <c r="V861" s="1216">
        <v>896585.97604005318</v>
      </c>
      <c r="W861" s="326">
        <v>3074</v>
      </c>
      <c r="X861" s="328" t="str">
        <f>IFERROR(VLOOKUP(W861,DATA!$G$4:$H$400,2,FALSE),"")</f>
        <v>КАМДЕР ХХК</v>
      </c>
      <c r="Y861" s="1205"/>
      <c r="Z861" s="1205"/>
      <c r="AA861" s="1205"/>
    </row>
    <row r="862" spans="1:27" ht="12.75" customHeight="1">
      <c r="A862" s="15">
        <v>197</v>
      </c>
      <c r="B862" s="369">
        <f t="shared" si="202"/>
        <v>857</v>
      </c>
      <c r="C862" s="427">
        <v>43003</v>
      </c>
      <c r="D862" s="426"/>
      <c r="E862" s="425" t="str">
        <f t="shared" ca="1" si="210"/>
        <v/>
      </c>
      <c r="F862" s="428" t="str">
        <f t="shared" ca="1" si="205"/>
        <v/>
      </c>
      <c r="G862" s="378"/>
      <c r="H862" s="378"/>
      <c r="I862" s="378" t="str">
        <f t="shared" si="203"/>
        <v/>
      </c>
      <c r="J862" s="378" t="str">
        <f t="shared" si="201"/>
        <v/>
      </c>
      <c r="K862" s="1220" t="str">
        <f t="shared" si="204"/>
        <v/>
      </c>
      <c r="L862" s="378"/>
      <c r="M862" s="378"/>
      <c r="N862" s="378" t="str">
        <f t="shared" si="211"/>
        <v/>
      </c>
      <c r="O862" s="378" t="str">
        <f t="shared" si="206"/>
        <v/>
      </c>
      <c r="P862" s="378" t="str">
        <f t="shared" si="207"/>
        <v/>
      </c>
      <c r="Q862" s="378" t="str">
        <f t="shared" si="208"/>
        <v/>
      </c>
      <c r="R862" s="378" t="str">
        <f t="shared" si="209"/>
        <v/>
      </c>
      <c r="S862" s="602">
        <v>610100</v>
      </c>
      <c r="T862" s="378" t="str">
        <f>+IFERROR(VLOOKUP(S862,STAT1!$C$4:$D$189,2,FALSE),"")</f>
        <v>Борлуулсан барааны өртөг</v>
      </c>
      <c r="U862" s="1225">
        <v>896585.97604005318</v>
      </c>
      <c r="V862" s="1216"/>
      <c r="W862" s="326">
        <v>3074</v>
      </c>
      <c r="X862" s="328" t="str">
        <f>IFERROR(VLOOKUP(W862,DATA!$G$4:$H$400,2,FALSE),"")</f>
        <v>КАМДЕР ХХК</v>
      </c>
      <c r="Y862" s="1205"/>
      <c r="Z862" s="1205"/>
      <c r="AA862" s="1205"/>
    </row>
    <row r="863" spans="1:27" ht="12.75" customHeight="1">
      <c r="A863" s="15">
        <v>197</v>
      </c>
      <c r="B863" s="369">
        <f t="shared" si="202"/>
        <v>858</v>
      </c>
      <c r="C863" s="427">
        <v>43003</v>
      </c>
      <c r="D863" s="426"/>
      <c r="E863" s="425" t="str">
        <f t="shared" ca="1" si="210"/>
        <v/>
      </c>
      <c r="F863" s="428" t="str">
        <f t="shared" ca="1" si="205"/>
        <v/>
      </c>
      <c r="G863" s="378"/>
      <c r="H863" s="378"/>
      <c r="I863" s="378" t="str">
        <f t="shared" si="203"/>
        <v/>
      </c>
      <c r="J863" s="378" t="str">
        <f t="shared" si="201"/>
        <v/>
      </c>
      <c r="K863" s="1220" t="str">
        <f t="shared" si="204"/>
        <v/>
      </c>
      <c r="L863" s="378"/>
      <c r="M863" s="378"/>
      <c r="N863" s="378" t="str">
        <f t="shared" si="211"/>
        <v/>
      </c>
      <c r="O863" s="378" t="str">
        <f t="shared" si="206"/>
        <v/>
      </c>
      <c r="P863" s="378" t="str">
        <f t="shared" si="207"/>
        <v/>
      </c>
      <c r="Q863" s="378" t="str">
        <f t="shared" si="208"/>
        <v/>
      </c>
      <c r="R863" s="378" t="str">
        <f t="shared" si="209"/>
        <v/>
      </c>
      <c r="S863" s="602">
        <v>310500</v>
      </c>
      <c r="T863" s="378" t="str">
        <f>+IFERROR(VLOOKUP(S863,STAT1!$C$4:$D$189,2,FALSE),"")</f>
        <v>НӨАТ өглөг</v>
      </c>
      <c r="U863" s="1225"/>
      <c r="V863" s="1216">
        <v>129090.90879360003</v>
      </c>
      <c r="W863" s="326">
        <v>3074</v>
      </c>
      <c r="X863" s="328" t="str">
        <f>IFERROR(VLOOKUP(W863,DATA!$G$4:$H$400,2,FALSE),"")</f>
        <v>КАМДЕР ХХК</v>
      </c>
      <c r="Y863" s="1205"/>
      <c r="Z863" s="1205"/>
      <c r="AA863" s="1205"/>
    </row>
    <row r="864" spans="1:27" ht="12.75" customHeight="1">
      <c r="A864" s="15">
        <v>197</v>
      </c>
      <c r="B864" s="369">
        <f t="shared" si="202"/>
        <v>859</v>
      </c>
      <c r="C864" s="427">
        <v>43003</v>
      </c>
      <c r="D864" s="426"/>
      <c r="E864" s="425" t="str">
        <f t="shared" ca="1" si="210"/>
        <v/>
      </c>
      <c r="F864" s="428" t="str">
        <f t="shared" ca="1" si="205"/>
        <v/>
      </c>
      <c r="G864" s="378"/>
      <c r="H864" s="378"/>
      <c r="I864" s="378" t="str">
        <f t="shared" si="203"/>
        <v/>
      </c>
      <c r="J864" s="378" t="str">
        <f t="shared" si="201"/>
        <v/>
      </c>
      <c r="K864" s="1220" t="str">
        <f t="shared" si="204"/>
        <v/>
      </c>
      <c r="L864" s="378"/>
      <c r="M864" s="378"/>
      <c r="N864" s="378" t="str">
        <f t="shared" si="211"/>
        <v/>
      </c>
      <c r="O864" s="378" t="str">
        <f t="shared" si="206"/>
        <v/>
      </c>
      <c r="P864" s="378" t="str">
        <f t="shared" si="207"/>
        <v/>
      </c>
      <c r="Q864" s="378" t="str">
        <f t="shared" si="208"/>
        <v/>
      </c>
      <c r="R864" s="378" t="str">
        <f t="shared" si="209"/>
        <v/>
      </c>
      <c r="S864" s="602">
        <v>510000</v>
      </c>
      <c r="T864" s="378" t="str">
        <f>+IFERROR(VLOOKUP(S864,STAT1!$C$4:$D$189,2,FALSE),"")</f>
        <v>Үндсэн үйл ажиллагааны борлуулалт</v>
      </c>
      <c r="U864" s="1225"/>
      <c r="V864" s="1216">
        <v>1290909.0879360002</v>
      </c>
      <c r="W864" s="326">
        <v>3074</v>
      </c>
      <c r="X864" s="328" t="str">
        <f>IFERROR(VLOOKUP(W864,DATA!$G$4:$H$400,2,FALSE),"")</f>
        <v>КАМДЕР ХХК</v>
      </c>
      <c r="Y864" s="1205"/>
      <c r="Z864" s="1205"/>
      <c r="AA864" s="1205"/>
    </row>
    <row r="865" spans="1:27" ht="12.75" customHeight="1">
      <c r="A865" s="15">
        <v>197</v>
      </c>
      <c r="B865" s="369">
        <f t="shared" si="202"/>
        <v>860</v>
      </c>
      <c r="C865" s="427">
        <v>43003</v>
      </c>
      <c r="D865" s="426"/>
      <c r="E865" s="425" t="str">
        <f t="shared" ca="1" si="210"/>
        <v/>
      </c>
      <c r="F865" s="428" t="str">
        <f t="shared" ca="1" si="205"/>
        <v/>
      </c>
      <c r="G865" s="378"/>
      <c r="H865" s="378"/>
      <c r="I865" s="378" t="str">
        <f t="shared" si="203"/>
        <v/>
      </c>
      <c r="J865" s="378" t="str">
        <f t="shared" ref="J865:J910" si="212">+IF(G865="","",I865*0.1)</f>
        <v/>
      </c>
      <c r="K865" s="1220" t="str">
        <f t="shared" si="204"/>
        <v/>
      </c>
      <c r="L865" s="378"/>
      <c r="M865" s="378"/>
      <c r="N865" s="378" t="str">
        <f t="shared" si="211"/>
        <v/>
      </c>
      <c r="O865" s="378" t="str">
        <f t="shared" si="206"/>
        <v/>
      </c>
      <c r="P865" s="378" t="str">
        <f t="shared" si="207"/>
        <v/>
      </c>
      <c r="Q865" s="378" t="str">
        <f t="shared" si="208"/>
        <v/>
      </c>
      <c r="R865" s="378" t="str">
        <f t="shared" si="209"/>
        <v/>
      </c>
      <c r="S865" s="602">
        <v>320100</v>
      </c>
      <c r="T865" s="378" t="str">
        <f>+IFERROR(VLOOKUP(S865,STAT1!$C$4:$D$189,2,FALSE),"")</f>
        <v>Урьдчилж орсон орлого MNT</v>
      </c>
      <c r="U865" s="1225">
        <v>1419999.9967296002</v>
      </c>
      <c r="V865" s="1216"/>
      <c r="W865" s="326">
        <v>3074</v>
      </c>
      <c r="X865" s="328" t="str">
        <f>IFERROR(VLOOKUP(W865,DATA!$G$4:$H$400,2,FALSE),"")</f>
        <v>КАМДЕР ХХК</v>
      </c>
      <c r="Y865" s="1205"/>
      <c r="Z865" s="1205"/>
      <c r="AA865" s="1205"/>
    </row>
    <row r="866" spans="1:27" ht="12.75" customHeight="1">
      <c r="A866" s="15">
        <v>198</v>
      </c>
      <c r="B866" s="369">
        <f t="shared" si="202"/>
        <v>861</v>
      </c>
      <c r="C866" s="427">
        <v>43006</v>
      </c>
      <c r="D866" s="426">
        <v>211710</v>
      </c>
      <c r="E866" s="425" t="str">
        <f t="shared" ca="1" si="210"/>
        <v xml:space="preserve">Н-Хавтан /зузаан-3см/-яртай </v>
      </c>
      <c r="F866" s="428" t="str">
        <f t="shared" ca="1" si="205"/>
        <v>м2</v>
      </c>
      <c r="G866" s="378"/>
      <c r="H866" s="378"/>
      <c r="I866" s="378" t="str">
        <f t="shared" si="203"/>
        <v/>
      </c>
      <c r="J866" s="378" t="str">
        <f t="shared" si="212"/>
        <v/>
      </c>
      <c r="K866" s="1220" t="str">
        <f t="shared" si="204"/>
        <v/>
      </c>
      <c r="L866" s="378">
        <v>63.198999999999998</v>
      </c>
      <c r="M866" s="378">
        <v>40000.172599999998</v>
      </c>
      <c r="N866" s="378">
        <f t="shared" si="211"/>
        <v>2527970.9081473998</v>
      </c>
      <c r="O866" s="378">
        <f t="shared" si="206"/>
        <v>252797.09081473999</v>
      </c>
      <c r="P866" s="378">
        <f t="shared" si="207"/>
        <v>2780767.9989621397</v>
      </c>
      <c r="Q866" s="378">
        <f t="shared" ca="1" si="208"/>
        <v>32877.78891424858</v>
      </c>
      <c r="R866" s="378">
        <f t="shared" ca="1" si="209"/>
        <v>2077843.3815915959</v>
      </c>
      <c r="S866" s="602">
        <v>150101</v>
      </c>
      <c r="T866" s="378" t="str">
        <f>+IFERROR(VLOOKUP(S866,STAT1!$C$4:$D$189,2,FALSE),"")</f>
        <v>Бараа бэлэн бүтээгдэхүүн БОЛОВСРУУЛАХ ЦЕХ /нарс/</v>
      </c>
      <c r="U866" s="1225"/>
      <c r="V866" s="1216">
        <v>2077843.3815915959</v>
      </c>
      <c r="W866" s="326">
        <v>3002</v>
      </c>
      <c r="X866" s="328" t="str">
        <f>IFERROR(VLOOKUP(W866,DATA!$G$4:$H$400,2,FALSE),"")</f>
        <v>ЭКО КОНСТРАКШН ХХК</v>
      </c>
      <c r="Y866" s="1205"/>
      <c r="Z866" s="1205"/>
      <c r="AA866" s="1205"/>
    </row>
    <row r="867" spans="1:27" ht="12.75" customHeight="1">
      <c r="A867" s="15">
        <v>198</v>
      </c>
      <c r="B867" s="369">
        <f t="shared" si="202"/>
        <v>862</v>
      </c>
      <c r="C867" s="427">
        <v>43006</v>
      </c>
      <c r="D867" s="426"/>
      <c r="E867" s="425" t="str">
        <f t="shared" ca="1" si="210"/>
        <v/>
      </c>
      <c r="F867" s="428" t="str">
        <f t="shared" ca="1" si="205"/>
        <v/>
      </c>
      <c r="G867" s="378"/>
      <c r="H867" s="378"/>
      <c r="I867" s="378" t="str">
        <f t="shared" si="203"/>
        <v/>
      </c>
      <c r="J867" s="378" t="str">
        <f t="shared" si="212"/>
        <v/>
      </c>
      <c r="K867" s="1220" t="str">
        <f t="shared" si="204"/>
        <v/>
      </c>
      <c r="L867" s="378"/>
      <c r="M867" s="378"/>
      <c r="N867" s="378" t="str">
        <f t="shared" si="211"/>
        <v/>
      </c>
      <c r="O867" s="378" t="str">
        <f t="shared" si="206"/>
        <v/>
      </c>
      <c r="P867" s="378" t="str">
        <f t="shared" si="207"/>
        <v/>
      </c>
      <c r="Q867" s="378" t="str">
        <f t="shared" si="208"/>
        <v/>
      </c>
      <c r="R867" s="378" t="str">
        <f t="shared" si="209"/>
        <v/>
      </c>
      <c r="S867" s="602">
        <v>610100</v>
      </c>
      <c r="T867" s="378" t="str">
        <f>+IFERROR(VLOOKUP(S867,STAT1!$C$4:$D$189,2,FALSE),"")</f>
        <v>Борлуулсан барааны өртөг</v>
      </c>
      <c r="U867" s="1225">
        <v>2077843.3815915959</v>
      </c>
      <c r="V867" s="1216"/>
      <c r="W867" s="326">
        <v>3002</v>
      </c>
      <c r="X867" s="328" t="str">
        <f>IFERROR(VLOOKUP(W867,DATA!$G$4:$H$400,2,FALSE),"")</f>
        <v>ЭКО КОНСТРАКШН ХХК</v>
      </c>
      <c r="Y867" s="1205"/>
      <c r="Z867" s="1205"/>
      <c r="AA867" s="1205"/>
    </row>
    <row r="868" spans="1:27" ht="12.75" customHeight="1">
      <c r="A868" s="15">
        <v>198</v>
      </c>
      <c r="B868" s="369">
        <f t="shared" si="202"/>
        <v>863</v>
      </c>
      <c r="C868" s="427">
        <v>43006</v>
      </c>
      <c r="D868" s="426"/>
      <c r="E868" s="425" t="str">
        <f t="shared" ca="1" si="210"/>
        <v/>
      </c>
      <c r="F868" s="428" t="str">
        <f t="shared" ca="1" si="205"/>
        <v/>
      </c>
      <c r="G868" s="378"/>
      <c r="H868" s="378"/>
      <c r="I868" s="378" t="str">
        <f t="shared" si="203"/>
        <v/>
      </c>
      <c r="J868" s="378" t="str">
        <f t="shared" si="212"/>
        <v/>
      </c>
      <c r="K868" s="1220" t="str">
        <f t="shared" si="204"/>
        <v/>
      </c>
      <c r="L868" s="378"/>
      <c r="M868" s="378"/>
      <c r="N868" s="378" t="str">
        <f t="shared" si="211"/>
        <v/>
      </c>
      <c r="O868" s="378" t="str">
        <f t="shared" si="206"/>
        <v/>
      </c>
      <c r="P868" s="378" t="str">
        <f t="shared" si="207"/>
        <v/>
      </c>
      <c r="Q868" s="378" t="str">
        <f t="shared" si="208"/>
        <v/>
      </c>
      <c r="R868" s="378" t="str">
        <f t="shared" si="209"/>
        <v/>
      </c>
      <c r="S868" s="602">
        <v>310500</v>
      </c>
      <c r="T868" s="378" t="str">
        <f>+IFERROR(VLOOKUP(S868,STAT1!$C$4:$D$189,2,FALSE),"")</f>
        <v>НӨАТ өглөг</v>
      </c>
      <c r="U868" s="1225"/>
      <c r="V868" s="1216">
        <v>252797.09081473999</v>
      </c>
      <c r="W868" s="326">
        <v>3002</v>
      </c>
      <c r="X868" s="328" t="str">
        <f>IFERROR(VLOOKUP(W868,DATA!$G$4:$H$400,2,FALSE),"")</f>
        <v>ЭКО КОНСТРАКШН ХХК</v>
      </c>
      <c r="Y868" s="1205"/>
      <c r="Z868" s="1205"/>
      <c r="AA868" s="1205"/>
    </row>
    <row r="869" spans="1:27" ht="12.75" customHeight="1">
      <c r="A869" s="15">
        <v>198</v>
      </c>
      <c r="B869" s="369">
        <f t="shared" ref="B869:B932" si="213">IF(C869="","",ROW()-5)</f>
        <v>864</v>
      </c>
      <c r="C869" s="427">
        <v>43006</v>
      </c>
      <c r="D869" s="426"/>
      <c r="E869" s="425" t="str">
        <f t="shared" ca="1" si="210"/>
        <v/>
      </c>
      <c r="F869" s="428" t="str">
        <f t="shared" ca="1" si="205"/>
        <v/>
      </c>
      <c r="G869" s="378"/>
      <c r="H869" s="378"/>
      <c r="I869" s="378" t="str">
        <f t="shared" si="203"/>
        <v/>
      </c>
      <c r="J869" s="378" t="str">
        <f t="shared" si="212"/>
        <v/>
      </c>
      <c r="K869" s="1220" t="str">
        <f t="shared" si="204"/>
        <v/>
      </c>
      <c r="L869" s="378"/>
      <c r="M869" s="378"/>
      <c r="N869" s="378" t="str">
        <f t="shared" si="211"/>
        <v/>
      </c>
      <c r="O869" s="378" t="str">
        <f t="shared" si="206"/>
        <v/>
      </c>
      <c r="P869" s="378" t="str">
        <f t="shared" si="207"/>
        <v/>
      </c>
      <c r="Q869" s="378" t="str">
        <f t="shared" si="208"/>
        <v/>
      </c>
      <c r="R869" s="378" t="str">
        <f t="shared" si="209"/>
        <v/>
      </c>
      <c r="S869" s="602">
        <v>510000</v>
      </c>
      <c r="T869" s="378" t="str">
        <f>+IFERROR(VLOOKUP(S869,STAT1!$C$4:$D$189,2,FALSE),"")</f>
        <v>Үндсэн үйл ажиллагааны борлуулалт</v>
      </c>
      <c r="U869" s="1225"/>
      <c r="V869" s="1216">
        <v>2527970.9081473998</v>
      </c>
      <c r="W869" s="326">
        <v>3002</v>
      </c>
      <c r="X869" s="328" t="str">
        <f>IFERROR(VLOOKUP(W869,DATA!$G$4:$H$400,2,FALSE),"")</f>
        <v>ЭКО КОНСТРАКШН ХХК</v>
      </c>
      <c r="Y869" s="1205"/>
      <c r="Z869" s="1205"/>
      <c r="AA869" s="1205"/>
    </row>
    <row r="870" spans="1:27" ht="12.75" customHeight="1">
      <c r="A870" s="15">
        <v>198</v>
      </c>
      <c r="B870" s="369">
        <f t="shared" si="213"/>
        <v>865</v>
      </c>
      <c r="C870" s="427">
        <v>43006</v>
      </c>
      <c r="D870" s="426"/>
      <c r="E870" s="425" t="str">
        <f t="shared" ca="1" si="210"/>
        <v/>
      </c>
      <c r="F870" s="428" t="str">
        <f t="shared" ca="1" si="205"/>
        <v/>
      </c>
      <c r="G870" s="378"/>
      <c r="H870" s="378"/>
      <c r="I870" s="378" t="str">
        <f t="shared" si="203"/>
        <v/>
      </c>
      <c r="J870" s="378" t="str">
        <f t="shared" si="212"/>
        <v/>
      </c>
      <c r="K870" s="1220" t="str">
        <f t="shared" si="204"/>
        <v/>
      </c>
      <c r="L870" s="378"/>
      <c r="M870" s="378"/>
      <c r="N870" s="378" t="str">
        <f t="shared" si="211"/>
        <v/>
      </c>
      <c r="O870" s="378" t="str">
        <f t="shared" si="206"/>
        <v/>
      </c>
      <c r="P870" s="378" t="str">
        <f t="shared" si="207"/>
        <v/>
      </c>
      <c r="Q870" s="378" t="str">
        <f t="shared" si="208"/>
        <v/>
      </c>
      <c r="R870" s="378" t="str">
        <f t="shared" si="209"/>
        <v/>
      </c>
      <c r="S870" s="602">
        <v>320100</v>
      </c>
      <c r="T870" s="378" t="str">
        <f>+IFERROR(VLOOKUP(S870,STAT1!$C$4:$D$189,2,FALSE),"")</f>
        <v>Урьдчилж орсон орлого MNT</v>
      </c>
      <c r="U870" s="1225">
        <v>2780767.9989621397</v>
      </c>
      <c r="V870" s="1216"/>
      <c r="W870" s="326">
        <v>3002</v>
      </c>
      <c r="X870" s="328" t="str">
        <f>IFERROR(VLOOKUP(W870,DATA!$G$4:$H$400,2,FALSE),"")</f>
        <v>ЭКО КОНСТРАКШН ХХК</v>
      </c>
      <c r="Y870" s="1205"/>
      <c r="Z870" s="1205"/>
      <c r="AA870" s="1205"/>
    </row>
    <row r="871" spans="1:27" ht="12.75" customHeight="1">
      <c r="A871" s="15">
        <v>199</v>
      </c>
      <c r="B871" s="369">
        <f t="shared" si="213"/>
        <v>866</v>
      </c>
      <c r="C871" s="427">
        <v>43006</v>
      </c>
      <c r="D871" s="426">
        <v>211801</v>
      </c>
      <c r="E871" s="425" t="str">
        <f t="shared" ca="1" si="210"/>
        <v>Н-Ембүү /20*30мм/</v>
      </c>
      <c r="F871" s="428" t="str">
        <f t="shared" ca="1" si="205"/>
        <v>м</v>
      </c>
      <c r="G871" s="378"/>
      <c r="H871" s="378"/>
      <c r="I871" s="378" t="str">
        <f t="shared" si="203"/>
        <v/>
      </c>
      <c r="J871" s="378" t="str">
        <f t="shared" si="212"/>
        <v/>
      </c>
      <c r="K871" s="1220" t="str">
        <f t="shared" si="204"/>
        <v/>
      </c>
      <c r="L871" s="378">
        <v>8</v>
      </c>
      <c r="M871" s="378">
        <v>1500</v>
      </c>
      <c r="N871" s="378">
        <f t="shared" si="211"/>
        <v>12000</v>
      </c>
      <c r="O871" s="378">
        <f t="shared" si="206"/>
        <v>1200</v>
      </c>
      <c r="P871" s="378">
        <f t="shared" si="207"/>
        <v>13200</v>
      </c>
      <c r="Q871" s="378">
        <f t="shared" ca="1" si="208"/>
        <v>647.50519478531248</v>
      </c>
      <c r="R871" s="378">
        <f t="shared" ca="1" si="209"/>
        <v>5180.0415582824999</v>
      </c>
      <c r="S871" s="602">
        <v>150101</v>
      </c>
      <c r="T871" s="378" t="str">
        <f>+IFERROR(VLOOKUP(S871,STAT1!$C$4:$D$189,2,FALSE),"")</f>
        <v>Бараа бэлэн бүтээгдэхүүн БОЛОВСРУУЛАХ ЦЕХ /нарс/</v>
      </c>
      <c r="U871" s="1225"/>
      <c r="V871" s="1216">
        <v>5180.0415582824999</v>
      </c>
      <c r="W871" s="326">
        <v>3093</v>
      </c>
      <c r="X871" s="328" t="str">
        <f>IFERROR(VLOOKUP(W871,DATA!$G$4:$H$400,2,FALSE),"")</f>
        <v xml:space="preserve">НЬЮ ЭРА ТУР МОНГОЛИА ХХК </v>
      </c>
      <c r="Y871" s="1205"/>
      <c r="Z871" s="1205"/>
      <c r="AA871" s="1205"/>
    </row>
    <row r="872" spans="1:27" ht="12.75" customHeight="1">
      <c r="A872" s="15">
        <v>199</v>
      </c>
      <c r="B872" s="369">
        <f t="shared" si="213"/>
        <v>867</v>
      </c>
      <c r="C872" s="427">
        <v>43006</v>
      </c>
      <c r="D872" s="426"/>
      <c r="E872" s="425" t="str">
        <f t="shared" ca="1" si="210"/>
        <v/>
      </c>
      <c r="F872" s="428" t="str">
        <f t="shared" ca="1" si="205"/>
        <v/>
      </c>
      <c r="G872" s="378"/>
      <c r="H872" s="378"/>
      <c r="I872" s="378" t="str">
        <f t="shared" si="203"/>
        <v/>
      </c>
      <c r="J872" s="378" t="str">
        <f t="shared" si="212"/>
        <v/>
      </c>
      <c r="K872" s="1220" t="str">
        <f t="shared" si="204"/>
        <v/>
      </c>
      <c r="L872" s="378"/>
      <c r="M872" s="378"/>
      <c r="N872" s="378" t="str">
        <f t="shared" si="211"/>
        <v/>
      </c>
      <c r="O872" s="378" t="str">
        <f t="shared" si="206"/>
        <v/>
      </c>
      <c r="P872" s="378" t="str">
        <f t="shared" si="207"/>
        <v/>
      </c>
      <c r="Q872" s="378" t="str">
        <f t="shared" si="208"/>
        <v/>
      </c>
      <c r="R872" s="378" t="str">
        <f t="shared" si="209"/>
        <v/>
      </c>
      <c r="S872" s="602">
        <v>610100</v>
      </c>
      <c r="T872" s="378" t="str">
        <f>+IFERROR(VLOOKUP(S872,STAT1!$C$4:$D$189,2,FALSE),"")</f>
        <v>Борлуулсан барааны өртөг</v>
      </c>
      <c r="U872" s="1225">
        <v>5180.0415582824999</v>
      </c>
      <c r="V872" s="1216"/>
      <c r="W872" s="326">
        <v>3093</v>
      </c>
      <c r="X872" s="328" t="str">
        <f>IFERROR(VLOOKUP(W872,DATA!$G$4:$H$400,2,FALSE),"")</f>
        <v xml:space="preserve">НЬЮ ЭРА ТУР МОНГОЛИА ХХК </v>
      </c>
      <c r="Y872" s="1205"/>
      <c r="Z872" s="1205"/>
      <c r="AA872" s="1205"/>
    </row>
    <row r="873" spans="1:27" ht="12.75" customHeight="1">
      <c r="A873" s="15">
        <v>199</v>
      </c>
      <c r="B873" s="369">
        <f t="shared" si="213"/>
        <v>868</v>
      </c>
      <c r="C873" s="427">
        <v>43006</v>
      </c>
      <c r="D873" s="426"/>
      <c r="E873" s="425" t="str">
        <f t="shared" ca="1" si="210"/>
        <v/>
      </c>
      <c r="F873" s="428" t="str">
        <f t="shared" ca="1" si="205"/>
        <v/>
      </c>
      <c r="G873" s="378"/>
      <c r="H873" s="378"/>
      <c r="I873" s="378" t="str">
        <f t="shared" si="203"/>
        <v/>
      </c>
      <c r="J873" s="378" t="str">
        <f t="shared" si="212"/>
        <v/>
      </c>
      <c r="K873" s="1220" t="str">
        <f t="shared" si="204"/>
        <v/>
      </c>
      <c r="L873" s="378"/>
      <c r="M873" s="378"/>
      <c r="N873" s="378" t="str">
        <f t="shared" si="211"/>
        <v/>
      </c>
      <c r="O873" s="378" t="str">
        <f t="shared" si="206"/>
        <v/>
      </c>
      <c r="P873" s="378" t="str">
        <f t="shared" si="207"/>
        <v/>
      </c>
      <c r="Q873" s="378" t="str">
        <f t="shared" si="208"/>
        <v/>
      </c>
      <c r="R873" s="378" t="str">
        <f t="shared" si="209"/>
        <v/>
      </c>
      <c r="S873" s="602">
        <v>310500</v>
      </c>
      <c r="T873" s="378" t="str">
        <f>+IFERROR(VLOOKUP(S873,STAT1!$C$4:$D$189,2,FALSE),"")</f>
        <v>НӨАТ өглөг</v>
      </c>
      <c r="U873" s="1225"/>
      <c r="V873" s="1216">
        <v>1200</v>
      </c>
      <c r="W873" s="326">
        <v>3093</v>
      </c>
      <c r="X873" s="328" t="str">
        <f>IFERROR(VLOOKUP(W873,DATA!$G$4:$H$400,2,FALSE),"")</f>
        <v xml:space="preserve">НЬЮ ЭРА ТУР МОНГОЛИА ХХК </v>
      </c>
      <c r="Y873" s="1205"/>
      <c r="Z873" s="1205"/>
      <c r="AA873" s="1205"/>
    </row>
    <row r="874" spans="1:27" ht="12.75" customHeight="1">
      <c r="A874" s="15">
        <v>199</v>
      </c>
      <c r="B874" s="369">
        <f t="shared" si="213"/>
        <v>869</v>
      </c>
      <c r="C874" s="427">
        <v>43006</v>
      </c>
      <c r="D874" s="426"/>
      <c r="E874" s="425" t="str">
        <f t="shared" ca="1" si="210"/>
        <v/>
      </c>
      <c r="F874" s="428" t="str">
        <f t="shared" ca="1" si="205"/>
        <v/>
      </c>
      <c r="G874" s="378"/>
      <c r="H874" s="378"/>
      <c r="I874" s="378" t="str">
        <f t="shared" si="203"/>
        <v/>
      </c>
      <c r="J874" s="378" t="str">
        <f t="shared" si="212"/>
        <v/>
      </c>
      <c r="K874" s="1220" t="str">
        <f t="shared" si="204"/>
        <v/>
      </c>
      <c r="L874" s="378"/>
      <c r="M874" s="378"/>
      <c r="N874" s="378" t="str">
        <f t="shared" si="211"/>
        <v/>
      </c>
      <c r="O874" s="378" t="str">
        <f t="shared" si="206"/>
        <v/>
      </c>
      <c r="P874" s="378" t="str">
        <f t="shared" si="207"/>
        <v/>
      </c>
      <c r="Q874" s="378" t="str">
        <f t="shared" si="208"/>
        <v/>
      </c>
      <c r="R874" s="378" t="str">
        <f t="shared" si="209"/>
        <v/>
      </c>
      <c r="S874" s="602">
        <v>510000</v>
      </c>
      <c r="T874" s="378" t="str">
        <f>+IFERROR(VLOOKUP(S874,STAT1!$C$4:$D$189,2,FALSE),"")</f>
        <v>Үндсэн үйл ажиллагааны борлуулалт</v>
      </c>
      <c r="U874" s="1225"/>
      <c r="V874" s="1216">
        <v>12000</v>
      </c>
      <c r="W874" s="326">
        <v>3093</v>
      </c>
      <c r="X874" s="328" t="str">
        <f>IFERROR(VLOOKUP(W874,DATA!$G$4:$H$400,2,FALSE),"")</f>
        <v xml:space="preserve">НЬЮ ЭРА ТУР МОНГОЛИА ХХК </v>
      </c>
      <c r="Y874" s="1205"/>
      <c r="Z874" s="1205"/>
      <c r="AA874" s="1205"/>
    </row>
    <row r="875" spans="1:27" ht="12.75" customHeight="1">
      <c r="A875" s="15">
        <v>199</v>
      </c>
      <c r="B875" s="369">
        <f t="shared" si="213"/>
        <v>870</v>
      </c>
      <c r="C875" s="427">
        <v>43006</v>
      </c>
      <c r="D875" s="426"/>
      <c r="E875" s="425" t="str">
        <f t="shared" ca="1" si="210"/>
        <v/>
      </c>
      <c r="F875" s="428" t="str">
        <f t="shared" ca="1" si="205"/>
        <v/>
      </c>
      <c r="G875" s="378"/>
      <c r="H875" s="378"/>
      <c r="I875" s="378" t="str">
        <f t="shared" si="203"/>
        <v/>
      </c>
      <c r="J875" s="378" t="str">
        <f t="shared" si="212"/>
        <v/>
      </c>
      <c r="K875" s="1220" t="str">
        <f t="shared" si="204"/>
        <v/>
      </c>
      <c r="L875" s="378"/>
      <c r="M875" s="378"/>
      <c r="N875" s="378" t="str">
        <f t="shared" si="211"/>
        <v/>
      </c>
      <c r="O875" s="378" t="str">
        <f t="shared" si="206"/>
        <v/>
      </c>
      <c r="P875" s="378" t="str">
        <f t="shared" si="207"/>
        <v/>
      </c>
      <c r="Q875" s="378" t="str">
        <f t="shared" si="208"/>
        <v/>
      </c>
      <c r="R875" s="378" t="str">
        <f t="shared" si="209"/>
        <v/>
      </c>
      <c r="S875" s="602">
        <v>320100</v>
      </c>
      <c r="T875" s="378" t="str">
        <f>+IFERROR(VLOOKUP(S875,STAT1!$C$4:$D$189,2,FALSE),"")</f>
        <v>Урьдчилж орсон орлого MNT</v>
      </c>
      <c r="U875" s="1225">
        <v>13200</v>
      </c>
      <c r="V875" s="1216"/>
      <c r="W875" s="326">
        <v>3093</v>
      </c>
      <c r="X875" s="328" t="str">
        <f>IFERROR(VLOOKUP(W875,DATA!$G$4:$H$400,2,FALSE),"")</f>
        <v xml:space="preserve">НЬЮ ЭРА ТУР МОНГОЛИА ХХК </v>
      </c>
      <c r="Y875" s="1205"/>
      <c r="Z875" s="1205"/>
      <c r="AA875" s="1205"/>
    </row>
    <row r="876" spans="1:27" ht="12.75" customHeight="1">
      <c r="A876" s="15">
        <v>200</v>
      </c>
      <c r="B876" s="369">
        <f t="shared" si="213"/>
        <v>871</v>
      </c>
      <c r="C876" s="427">
        <v>43006</v>
      </c>
      <c r="D876" s="426">
        <v>211401</v>
      </c>
      <c r="E876" s="425" t="str">
        <f t="shared" ca="1" si="210"/>
        <v xml:space="preserve">Н-Блок Хаус  /4.3*16.5см/-яртай </v>
      </c>
      <c r="F876" s="428" t="str">
        <f t="shared" ca="1" si="205"/>
        <v>м2</v>
      </c>
      <c r="G876" s="378"/>
      <c r="H876" s="378"/>
      <c r="I876" s="378" t="str">
        <f t="shared" si="203"/>
        <v/>
      </c>
      <c r="J876" s="378" t="str">
        <f t="shared" si="212"/>
        <v/>
      </c>
      <c r="K876" s="1220" t="str">
        <f t="shared" si="204"/>
        <v/>
      </c>
      <c r="L876" s="378">
        <v>23.2</v>
      </c>
      <c r="M876" s="378">
        <v>67952.978000000003</v>
      </c>
      <c r="N876" s="378">
        <f t="shared" si="211"/>
        <v>1576509.0896000001</v>
      </c>
      <c r="O876" s="378">
        <f t="shared" si="206"/>
        <v>157650.90896000003</v>
      </c>
      <c r="P876" s="378">
        <f t="shared" si="207"/>
        <v>1734159.9985600002</v>
      </c>
      <c r="Q876" s="378">
        <f t="shared" ca="1" si="208"/>
        <v>51757.279787723157</v>
      </c>
      <c r="R876" s="378">
        <f t="shared" ca="1" si="209"/>
        <v>1200768.8910751771</v>
      </c>
      <c r="S876" s="602">
        <v>150101</v>
      </c>
      <c r="T876" s="378" t="str">
        <f>+IFERROR(VLOOKUP(S876,STAT1!$C$4:$D$189,2,FALSE),"")</f>
        <v>Бараа бэлэн бүтээгдэхүүн БОЛОВСРУУЛАХ ЦЕХ /нарс/</v>
      </c>
      <c r="U876" s="1225"/>
      <c r="V876" s="1216">
        <v>1200768.8910751771</v>
      </c>
      <c r="W876" s="326">
        <v>4002</v>
      </c>
      <c r="X876" s="328" t="str">
        <f>IFERROR(VLOOKUP(W876,DATA!$G$4:$H$400,2,FALSE),"")</f>
        <v xml:space="preserve">Хувь хүн </v>
      </c>
      <c r="Y876" s="1205"/>
      <c r="Z876" s="1205"/>
      <c r="AA876" s="1205"/>
    </row>
    <row r="877" spans="1:27" ht="12.75" customHeight="1">
      <c r="A877" s="15">
        <v>200</v>
      </c>
      <c r="B877" s="369">
        <f t="shared" si="213"/>
        <v>872</v>
      </c>
      <c r="C877" s="427">
        <v>43006</v>
      </c>
      <c r="D877" s="426"/>
      <c r="E877" s="425" t="str">
        <f t="shared" ca="1" si="210"/>
        <v/>
      </c>
      <c r="F877" s="428" t="str">
        <f t="shared" ca="1" si="205"/>
        <v/>
      </c>
      <c r="G877" s="378"/>
      <c r="H877" s="378"/>
      <c r="I877" s="378" t="str">
        <f t="shared" si="203"/>
        <v/>
      </c>
      <c r="J877" s="378" t="str">
        <f t="shared" si="212"/>
        <v/>
      </c>
      <c r="K877" s="1220" t="str">
        <f t="shared" si="204"/>
        <v/>
      </c>
      <c r="L877" s="378"/>
      <c r="M877" s="378"/>
      <c r="N877" s="378" t="str">
        <f t="shared" si="211"/>
        <v/>
      </c>
      <c r="O877" s="378" t="str">
        <f t="shared" si="206"/>
        <v/>
      </c>
      <c r="P877" s="378" t="str">
        <f t="shared" si="207"/>
        <v/>
      </c>
      <c r="Q877" s="378" t="str">
        <f t="shared" si="208"/>
        <v/>
      </c>
      <c r="R877" s="378" t="str">
        <f t="shared" si="209"/>
        <v/>
      </c>
      <c r="S877" s="602">
        <v>610100</v>
      </c>
      <c r="T877" s="378" t="str">
        <f>+IFERROR(VLOOKUP(S877,STAT1!$C$4:$D$189,2,FALSE),"")</f>
        <v>Борлуулсан барааны өртөг</v>
      </c>
      <c r="U877" s="1225">
        <v>1200768.8910751771</v>
      </c>
      <c r="V877" s="1216"/>
      <c r="W877" s="326">
        <v>4002</v>
      </c>
      <c r="X877" s="328" t="str">
        <f>IFERROR(VLOOKUP(W877,DATA!$G$4:$H$400,2,FALSE),"")</f>
        <v xml:space="preserve">Хувь хүн </v>
      </c>
      <c r="Y877" s="1205"/>
      <c r="Z877" s="1205"/>
      <c r="AA877" s="1205"/>
    </row>
    <row r="878" spans="1:27" ht="12.75" customHeight="1">
      <c r="A878" s="15">
        <v>200</v>
      </c>
      <c r="B878" s="369">
        <f t="shared" si="213"/>
        <v>873</v>
      </c>
      <c r="C878" s="427">
        <v>43006</v>
      </c>
      <c r="D878" s="426"/>
      <c r="E878" s="425" t="str">
        <f t="shared" ca="1" si="210"/>
        <v/>
      </c>
      <c r="F878" s="428" t="str">
        <f t="shared" ca="1" si="205"/>
        <v/>
      </c>
      <c r="G878" s="378"/>
      <c r="H878" s="378"/>
      <c r="I878" s="378" t="str">
        <f t="shared" si="203"/>
        <v/>
      </c>
      <c r="J878" s="378" t="str">
        <f t="shared" si="212"/>
        <v/>
      </c>
      <c r="K878" s="1220" t="str">
        <f t="shared" si="204"/>
        <v/>
      </c>
      <c r="L878" s="378"/>
      <c r="M878" s="378"/>
      <c r="N878" s="378" t="str">
        <f t="shared" si="211"/>
        <v/>
      </c>
      <c r="O878" s="378" t="str">
        <f t="shared" si="206"/>
        <v/>
      </c>
      <c r="P878" s="378" t="str">
        <f t="shared" si="207"/>
        <v/>
      </c>
      <c r="Q878" s="378" t="str">
        <f t="shared" si="208"/>
        <v/>
      </c>
      <c r="R878" s="378" t="str">
        <f t="shared" si="209"/>
        <v/>
      </c>
      <c r="S878" s="602">
        <v>310500</v>
      </c>
      <c r="T878" s="378" t="str">
        <f>+IFERROR(VLOOKUP(S878,STAT1!$C$4:$D$189,2,FALSE),"")</f>
        <v>НӨАТ өглөг</v>
      </c>
      <c r="U878" s="1225"/>
      <c r="V878" s="1216">
        <v>157650.90896000003</v>
      </c>
      <c r="W878" s="326">
        <v>4002</v>
      </c>
      <c r="X878" s="328" t="str">
        <f>IFERROR(VLOOKUP(W878,DATA!$G$4:$H$400,2,FALSE),"")</f>
        <v xml:space="preserve">Хувь хүн </v>
      </c>
      <c r="Y878" s="1205"/>
      <c r="Z878" s="1205"/>
      <c r="AA878" s="1205"/>
    </row>
    <row r="879" spans="1:27" ht="12.75" customHeight="1">
      <c r="A879" s="15">
        <v>200</v>
      </c>
      <c r="B879" s="369">
        <f t="shared" si="213"/>
        <v>874</v>
      </c>
      <c r="C879" s="427">
        <v>43006</v>
      </c>
      <c r="D879" s="426"/>
      <c r="E879" s="425" t="str">
        <f t="shared" ca="1" si="210"/>
        <v/>
      </c>
      <c r="F879" s="428" t="str">
        <f t="shared" ca="1" si="205"/>
        <v/>
      </c>
      <c r="G879" s="378"/>
      <c r="H879" s="378"/>
      <c r="I879" s="378" t="str">
        <f t="shared" si="203"/>
        <v/>
      </c>
      <c r="J879" s="378" t="str">
        <f t="shared" si="212"/>
        <v/>
      </c>
      <c r="K879" s="1220" t="str">
        <f t="shared" si="204"/>
        <v/>
      </c>
      <c r="L879" s="378"/>
      <c r="M879" s="378"/>
      <c r="N879" s="378" t="str">
        <f t="shared" si="211"/>
        <v/>
      </c>
      <c r="O879" s="378" t="str">
        <f t="shared" si="206"/>
        <v/>
      </c>
      <c r="P879" s="378" t="str">
        <f t="shared" si="207"/>
        <v/>
      </c>
      <c r="Q879" s="378" t="str">
        <f t="shared" si="208"/>
        <v/>
      </c>
      <c r="R879" s="378" t="str">
        <f t="shared" si="209"/>
        <v/>
      </c>
      <c r="S879" s="602">
        <v>510000</v>
      </c>
      <c r="T879" s="378" t="str">
        <f>+IFERROR(VLOOKUP(S879,STAT1!$C$4:$D$189,2,FALSE),"")</f>
        <v>Үндсэн үйл ажиллагааны борлуулалт</v>
      </c>
      <c r="U879" s="1225"/>
      <c r="V879" s="1216">
        <v>1576509.0896000001</v>
      </c>
      <c r="W879" s="326">
        <v>4002</v>
      </c>
      <c r="X879" s="328" t="str">
        <f>IFERROR(VLOOKUP(W879,DATA!$G$4:$H$400,2,FALSE),"")</f>
        <v xml:space="preserve">Хувь хүн </v>
      </c>
      <c r="Y879" s="1205"/>
      <c r="Z879" s="1205"/>
      <c r="AA879" s="1205"/>
    </row>
    <row r="880" spans="1:27" ht="12.75" customHeight="1">
      <c r="A880" s="15">
        <v>200</v>
      </c>
      <c r="B880" s="369">
        <f t="shared" si="213"/>
        <v>875</v>
      </c>
      <c r="C880" s="427">
        <v>43006</v>
      </c>
      <c r="D880" s="426"/>
      <c r="E880" s="425" t="str">
        <f t="shared" ca="1" si="210"/>
        <v/>
      </c>
      <c r="F880" s="428" t="str">
        <f t="shared" ca="1" si="205"/>
        <v/>
      </c>
      <c r="G880" s="378"/>
      <c r="H880" s="378"/>
      <c r="I880" s="378" t="str">
        <f t="shared" si="203"/>
        <v/>
      </c>
      <c r="J880" s="378" t="str">
        <f t="shared" si="212"/>
        <v/>
      </c>
      <c r="K880" s="1220" t="str">
        <f t="shared" si="204"/>
        <v/>
      </c>
      <c r="L880" s="378"/>
      <c r="M880" s="378"/>
      <c r="N880" s="378" t="str">
        <f t="shared" si="211"/>
        <v/>
      </c>
      <c r="O880" s="378" t="str">
        <f t="shared" si="206"/>
        <v/>
      </c>
      <c r="P880" s="378" t="str">
        <f t="shared" si="207"/>
        <v/>
      </c>
      <c r="Q880" s="378" t="str">
        <f t="shared" si="208"/>
        <v/>
      </c>
      <c r="R880" s="378" t="str">
        <f t="shared" si="209"/>
        <v/>
      </c>
      <c r="S880" s="602">
        <v>320100</v>
      </c>
      <c r="T880" s="378" t="str">
        <f>+IFERROR(VLOOKUP(S880,STAT1!$C$4:$D$189,2,FALSE),"")</f>
        <v>Урьдчилж орсон орлого MNT</v>
      </c>
      <c r="U880" s="1225">
        <v>1734159.9985600002</v>
      </c>
      <c r="V880" s="1216"/>
      <c r="W880" s="326">
        <v>4002</v>
      </c>
      <c r="X880" s="328" t="str">
        <f>IFERROR(VLOOKUP(W880,DATA!$G$4:$H$400,2,FALSE),"")</f>
        <v xml:space="preserve">Хувь хүн </v>
      </c>
      <c r="Y880" s="1205"/>
      <c r="Z880" s="1205"/>
      <c r="AA880" s="1205"/>
    </row>
    <row r="881" spans="1:27" ht="12.75" customHeight="1">
      <c r="A881" s="15">
        <v>201</v>
      </c>
      <c r="B881" s="369">
        <f t="shared" si="213"/>
        <v>876</v>
      </c>
      <c r="C881" s="427">
        <v>43007</v>
      </c>
      <c r="D881" s="426">
        <v>211801</v>
      </c>
      <c r="E881" s="425" t="str">
        <f t="shared" ca="1" si="210"/>
        <v>Н-Ембүү /20*30мм/</v>
      </c>
      <c r="F881" s="428" t="str">
        <f t="shared" ca="1" si="205"/>
        <v>м</v>
      </c>
      <c r="G881" s="378"/>
      <c r="H881" s="378"/>
      <c r="I881" s="378" t="str">
        <f t="shared" si="203"/>
        <v/>
      </c>
      <c r="J881" s="378" t="str">
        <f t="shared" si="212"/>
        <v/>
      </c>
      <c r="K881" s="1220" t="str">
        <f t="shared" si="204"/>
        <v/>
      </c>
      <c r="L881" s="378">
        <v>342</v>
      </c>
      <c r="M881" s="378">
        <v>1500</v>
      </c>
      <c r="N881" s="378">
        <f t="shared" si="211"/>
        <v>513000</v>
      </c>
      <c r="O881" s="378">
        <f t="shared" si="206"/>
        <v>51300</v>
      </c>
      <c r="P881" s="378">
        <f t="shared" si="207"/>
        <v>564300</v>
      </c>
      <c r="Q881" s="378">
        <f t="shared" ca="1" si="208"/>
        <v>647.50519478531248</v>
      </c>
      <c r="R881" s="378">
        <f t="shared" ca="1" si="209"/>
        <v>221446.77661657686</v>
      </c>
      <c r="S881" s="602">
        <v>150101</v>
      </c>
      <c r="T881" s="378" t="str">
        <f>+IFERROR(VLOOKUP(S881,STAT1!$C$4:$D$189,2,FALSE),"")</f>
        <v>Бараа бэлэн бүтээгдэхүүн БОЛОВСРУУЛАХ ЦЕХ /нарс/</v>
      </c>
      <c r="U881" s="1225"/>
      <c r="V881" s="1216">
        <v>221446.77661657686</v>
      </c>
      <c r="W881" s="326">
        <v>3097</v>
      </c>
      <c r="X881" s="328" t="str">
        <f>IFERROR(VLOOKUP(W881,DATA!$G$4:$H$400,2,FALSE),"")</f>
        <v xml:space="preserve">ХӨВСГӨЛ ТРЕЙВЛ ХХК </v>
      </c>
      <c r="Y881" s="1205"/>
      <c r="Z881" s="1205"/>
      <c r="AA881" s="1205"/>
    </row>
    <row r="882" spans="1:27" ht="12.75" customHeight="1">
      <c r="A882" s="15">
        <v>201</v>
      </c>
      <c r="B882" s="369">
        <f t="shared" si="213"/>
        <v>877</v>
      </c>
      <c r="C882" s="427">
        <v>43007</v>
      </c>
      <c r="D882" s="426"/>
      <c r="E882" s="425" t="str">
        <f t="shared" ca="1" si="210"/>
        <v/>
      </c>
      <c r="F882" s="428" t="str">
        <f t="shared" ca="1" si="205"/>
        <v/>
      </c>
      <c r="G882" s="378"/>
      <c r="H882" s="378"/>
      <c r="I882" s="378" t="str">
        <f t="shared" si="203"/>
        <v/>
      </c>
      <c r="J882" s="378" t="str">
        <f t="shared" si="212"/>
        <v/>
      </c>
      <c r="K882" s="1220" t="str">
        <f t="shared" si="204"/>
        <v/>
      </c>
      <c r="L882" s="378"/>
      <c r="M882" s="378"/>
      <c r="N882" s="378" t="str">
        <f t="shared" si="211"/>
        <v/>
      </c>
      <c r="O882" s="378" t="str">
        <f t="shared" si="206"/>
        <v/>
      </c>
      <c r="P882" s="378" t="str">
        <f t="shared" si="207"/>
        <v/>
      </c>
      <c r="Q882" s="378" t="str">
        <f t="shared" si="208"/>
        <v/>
      </c>
      <c r="R882" s="378" t="str">
        <f t="shared" si="209"/>
        <v/>
      </c>
      <c r="S882" s="602">
        <v>610100</v>
      </c>
      <c r="T882" s="378" t="str">
        <f>+IFERROR(VLOOKUP(S882,STAT1!$C$4:$D$189,2,FALSE),"")</f>
        <v>Борлуулсан барааны өртөг</v>
      </c>
      <c r="U882" s="1225">
        <v>221446.77661657686</v>
      </c>
      <c r="V882" s="1216"/>
      <c r="W882" s="326">
        <v>3097</v>
      </c>
      <c r="X882" s="328" t="str">
        <f>IFERROR(VLOOKUP(W882,DATA!$G$4:$H$400,2,FALSE),"")</f>
        <v xml:space="preserve">ХӨВСГӨЛ ТРЕЙВЛ ХХК </v>
      </c>
      <c r="Y882" s="1205"/>
      <c r="Z882" s="1205"/>
      <c r="AA882" s="1205"/>
    </row>
    <row r="883" spans="1:27" ht="12.75" customHeight="1">
      <c r="A883" s="15">
        <v>201</v>
      </c>
      <c r="B883" s="92">
        <f t="shared" si="213"/>
        <v>878</v>
      </c>
      <c r="C883" s="320">
        <v>43007</v>
      </c>
      <c r="D883" s="321"/>
      <c r="E883" s="323" t="str">
        <f t="shared" ca="1" si="210"/>
        <v/>
      </c>
      <c r="F883" s="322" t="str">
        <f t="shared" ca="1" si="205"/>
        <v/>
      </c>
      <c r="G883" s="325"/>
      <c r="H883" s="325"/>
      <c r="I883" s="325" t="str">
        <f t="shared" si="203"/>
        <v/>
      </c>
      <c r="J883" s="325" t="str">
        <f t="shared" si="212"/>
        <v/>
      </c>
      <c r="K883" s="621" t="str">
        <f t="shared" si="204"/>
        <v/>
      </c>
      <c r="L883" s="325"/>
      <c r="M883" s="325"/>
      <c r="N883" s="325" t="str">
        <f t="shared" si="211"/>
        <v/>
      </c>
      <c r="O883" s="325" t="str">
        <f t="shared" si="206"/>
        <v/>
      </c>
      <c r="P883" s="325" t="str">
        <f t="shared" si="207"/>
        <v/>
      </c>
      <c r="Q883" s="325" t="str">
        <f t="shared" si="208"/>
        <v/>
      </c>
      <c r="R883" s="325" t="str">
        <f t="shared" si="209"/>
        <v/>
      </c>
      <c r="S883" s="609">
        <v>310500</v>
      </c>
      <c r="T883" s="325" t="str">
        <f>+IFERROR(VLOOKUP(S883,STAT1!$C$4:$D$189,2,FALSE),"")</f>
        <v>НӨАТ өглөг</v>
      </c>
      <c r="U883" s="1226"/>
      <c r="V883" s="1217">
        <v>51300</v>
      </c>
      <c r="W883" s="326">
        <v>3097</v>
      </c>
      <c r="X883" s="328" t="str">
        <f>IFERROR(VLOOKUP(W883,DATA!$G$4:$H$400,2,FALSE),"")</f>
        <v xml:space="preserve">ХӨВСГӨЛ ТРЕЙВЛ ХХК </v>
      </c>
      <c r="Y883" s="1205"/>
      <c r="Z883" s="1205"/>
      <c r="AA883" s="1205"/>
    </row>
    <row r="884" spans="1:27" ht="12.75" customHeight="1">
      <c r="A884" s="15">
        <v>201</v>
      </c>
      <c r="B884" s="92">
        <f t="shared" si="213"/>
        <v>879</v>
      </c>
      <c r="C884" s="320">
        <v>43007</v>
      </c>
      <c r="D884" s="321"/>
      <c r="E884" s="323" t="str">
        <f t="shared" ca="1" si="210"/>
        <v/>
      </c>
      <c r="F884" s="322" t="str">
        <f t="shared" ca="1" si="205"/>
        <v/>
      </c>
      <c r="G884" s="325"/>
      <c r="H884" s="325"/>
      <c r="I884" s="325" t="str">
        <f t="shared" ref="I884:I947" si="214">+IF(G884="","",G884*H884)</f>
        <v/>
      </c>
      <c r="J884" s="325" t="str">
        <f t="shared" si="212"/>
        <v/>
      </c>
      <c r="K884" s="621" t="str">
        <f t="shared" ref="K884:K947" si="215">+IF(G884="","",I884+J884)</f>
        <v/>
      </c>
      <c r="L884" s="325"/>
      <c r="M884" s="325"/>
      <c r="N884" s="325" t="str">
        <f t="shared" si="211"/>
        <v/>
      </c>
      <c r="O884" s="325" t="str">
        <f t="shared" si="206"/>
        <v/>
      </c>
      <c r="P884" s="325" t="str">
        <f t="shared" si="207"/>
        <v/>
      </c>
      <c r="Q884" s="325" t="str">
        <f t="shared" si="208"/>
        <v/>
      </c>
      <c r="R884" s="325" t="str">
        <f t="shared" si="209"/>
        <v/>
      </c>
      <c r="S884" s="609">
        <v>510000</v>
      </c>
      <c r="T884" s="325" t="str">
        <f>+IFERROR(VLOOKUP(S884,STAT1!$C$4:$D$189,2,FALSE),"")</f>
        <v>Үндсэн үйл ажиллагааны борлуулалт</v>
      </c>
      <c r="U884" s="1226"/>
      <c r="V884" s="1217">
        <v>513000</v>
      </c>
      <c r="W884" s="326">
        <v>3097</v>
      </c>
      <c r="X884" s="328" t="str">
        <f>IFERROR(VLOOKUP(W884,DATA!$G$4:$H$400,2,FALSE),"")</f>
        <v xml:space="preserve">ХӨВСГӨЛ ТРЕЙВЛ ХХК </v>
      </c>
      <c r="Y884" s="1205"/>
      <c r="Z884" s="1205"/>
      <c r="AA884" s="1205"/>
    </row>
    <row r="885" spans="1:27" ht="12.75" customHeight="1">
      <c r="A885" s="15">
        <v>201</v>
      </c>
      <c r="B885" s="92">
        <f t="shared" si="213"/>
        <v>880</v>
      </c>
      <c r="C885" s="320">
        <v>43007</v>
      </c>
      <c r="D885" s="321"/>
      <c r="E885" s="323" t="str">
        <f t="shared" ca="1" si="210"/>
        <v/>
      </c>
      <c r="F885" s="322" t="str">
        <f t="shared" ref="F885:F908" ca="1" si="216">+IFERROR(VLOOKUP(D885,TN_table,3,FALSE),"")</f>
        <v/>
      </c>
      <c r="G885" s="325"/>
      <c r="H885" s="325"/>
      <c r="I885" s="325" t="str">
        <f t="shared" si="214"/>
        <v/>
      </c>
      <c r="J885" s="325" t="str">
        <f t="shared" si="212"/>
        <v/>
      </c>
      <c r="K885" s="621" t="str">
        <f t="shared" si="215"/>
        <v/>
      </c>
      <c r="L885" s="325"/>
      <c r="M885" s="325"/>
      <c r="N885" s="325" t="str">
        <f t="shared" si="211"/>
        <v/>
      </c>
      <c r="O885" s="325" t="str">
        <f t="shared" ref="O885:O948" si="217">+IF(L885="","",N885*0.1)</f>
        <v/>
      </c>
      <c r="P885" s="325" t="str">
        <f t="shared" ref="P885:P948" si="218">+IF(L885="","",N885+O885)</f>
        <v/>
      </c>
      <c r="Q885" s="325" t="str">
        <f t="shared" ref="Q885:Q948" si="219">IF(L885="","",IFERROR((SUMIFS(TN_balC1_totol,TN_code,D885)+SUMIFS(RC_or_totol,RC_Code,D885,RC_date,"&lt;="&amp;C885)-SUMIFS(RC_zar_totol,RC_Code,D885,RC_date,"&lt;"&amp;C885)) /( SUMIFS(TN_balC1_unit,TN_code,D885)+SUMIFS(RC_or_unit,RC_Code,D885,RC_date,"&lt;="&amp;C885)-SUMIFS(RC_zar_unit,RC_Code,D885,RC_date,"&lt;"&amp;C885)),0 ))</f>
        <v/>
      </c>
      <c r="R885" s="325" t="str">
        <f t="shared" ref="R885:R909" si="220">+IF(L885="","",L885*Q885)</f>
        <v/>
      </c>
      <c r="S885" s="609">
        <v>320100</v>
      </c>
      <c r="T885" s="325" t="str">
        <f>+IFERROR(VLOOKUP(S885,STAT1!$C$4:$D$189,2,FALSE),"")</f>
        <v>Урьдчилж орсон орлого MNT</v>
      </c>
      <c r="U885" s="1226">
        <v>564300</v>
      </c>
      <c r="V885" s="1217"/>
      <c r="W885" s="326">
        <v>3097</v>
      </c>
      <c r="X885" s="328" t="str">
        <f>IFERROR(VLOOKUP(W885,DATA!$G$4:$H$400,2,FALSE),"")</f>
        <v xml:space="preserve">ХӨВСГӨЛ ТРЕЙВЛ ХХК </v>
      </c>
      <c r="Y885" s="1205"/>
      <c r="Z885" s="1205"/>
      <c r="AA885" s="1205"/>
    </row>
    <row r="886" spans="1:27" ht="12.75" customHeight="1">
      <c r="A886" s="15">
        <v>202</v>
      </c>
      <c r="B886" s="92">
        <f t="shared" si="213"/>
        <v>881</v>
      </c>
      <c r="C886" s="320">
        <v>43008</v>
      </c>
      <c r="D886" s="321">
        <v>211802</v>
      </c>
      <c r="E886" s="323" t="str">
        <f t="shared" ca="1" si="210"/>
        <v xml:space="preserve">Н-Уголок </v>
      </c>
      <c r="F886" s="322" t="str">
        <f t="shared" ca="1" si="216"/>
        <v>м</v>
      </c>
      <c r="G886" s="325"/>
      <c r="H886" s="325"/>
      <c r="I886" s="325" t="str">
        <f t="shared" si="214"/>
        <v/>
      </c>
      <c r="J886" s="325" t="str">
        <f t="shared" si="212"/>
        <v/>
      </c>
      <c r="K886" s="621" t="str">
        <f t="shared" si="215"/>
        <v/>
      </c>
      <c r="L886" s="325">
        <v>35</v>
      </c>
      <c r="M886" s="325">
        <v>3000</v>
      </c>
      <c r="N886" s="325">
        <f t="shared" si="211"/>
        <v>105000</v>
      </c>
      <c r="O886" s="325">
        <f t="shared" si="217"/>
        <v>10500</v>
      </c>
      <c r="P886" s="325">
        <f t="shared" si="218"/>
        <v>115500</v>
      </c>
      <c r="Q886" s="325">
        <f t="shared" ca="1" si="219"/>
        <v>1412.1879249284552</v>
      </c>
      <c r="R886" s="325">
        <f t="shared" ca="1" si="220"/>
        <v>49426.577372495936</v>
      </c>
      <c r="S886" s="609">
        <v>150101</v>
      </c>
      <c r="T886" s="325" t="str">
        <f>+IFERROR(VLOOKUP(S886,STAT1!$C$4:$D$189,2,FALSE),"")</f>
        <v>Бараа бэлэн бүтээгдэхүүн БОЛОВСРУУЛАХ ЦЕХ /нарс/</v>
      </c>
      <c r="U886" s="1226"/>
      <c r="V886" s="1217">
        <v>243678.13580808963</v>
      </c>
      <c r="W886" s="326">
        <v>3021</v>
      </c>
      <c r="X886" s="328" t="str">
        <f>IFERROR(VLOOKUP(W886,DATA!$G$4:$H$400,2,FALSE),"")</f>
        <v>БАНДИА ХХК</v>
      </c>
      <c r="Y886" s="1205"/>
      <c r="Z886" s="1205"/>
      <c r="AA886" s="1205"/>
    </row>
    <row r="887" spans="1:27" ht="12.75" customHeight="1">
      <c r="A887" s="15">
        <v>202</v>
      </c>
      <c r="B887" s="92">
        <f t="shared" si="213"/>
        <v>882</v>
      </c>
      <c r="C887" s="320">
        <v>43008</v>
      </c>
      <c r="D887" s="321">
        <v>211801</v>
      </c>
      <c r="E887" s="323" t="str">
        <f t="shared" ref="E887:E950" ca="1" si="221">+IFERROR(VLOOKUP(D887,TN_table,2,FALSE),"")</f>
        <v>Н-Ембүү /20*30мм/</v>
      </c>
      <c r="F887" s="322" t="str">
        <f t="shared" ca="1" si="216"/>
        <v>м</v>
      </c>
      <c r="G887" s="325"/>
      <c r="H887" s="325"/>
      <c r="I887" s="325" t="str">
        <f t="shared" si="214"/>
        <v/>
      </c>
      <c r="J887" s="325" t="str">
        <f t="shared" si="212"/>
        <v/>
      </c>
      <c r="K887" s="621" t="str">
        <f t="shared" si="215"/>
        <v/>
      </c>
      <c r="L887" s="325">
        <v>300</v>
      </c>
      <c r="M887" s="325">
        <v>1500</v>
      </c>
      <c r="N887" s="325">
        <f t="shared" si="211"/>
        <v>450000</v>
      </c>
      <c r="O887" s="325">
        <f t="shared" si="217"/>
        <v>45000</v>
      </c>
      <c r="P887" s="325">
        <f t="shared" si="218"/>
        <v>495000</v>
      </c>
      <c r="Q887" s="325">
        <f t="shared" ca="1" si="219"/>
        <v>647.50519478531237</v>
      </c>
      <c r="R887" s="325">
        <f t="shared" ca="1" si="220"/>
        <v>194251.5584355937</v>
      </c>
      <c r="S887" s="609">
        <v>610100</v>
      </c>
      <c r="T887" s="325" t="str">
        <f>+IFERROR(VLOOKUP(S887,STAT1!$C$4:$D$189,2,FALSE),"")</f>
        <v>Борлуулсан барааны өртөг</v>
      </c>
      <c r="U887" s="1226">
        <v>243678.13580808963</v>
      </c>
      <c r="V887" s="1217"/>
      <c r="W887" s="326">
        <v>3021</v>
      </c>
      <c r="X887" s="328" t="str">
        <f>IFERROR(VLOOKUP(W887,DATA!$G$4:$H$400,2,FALSE),"")</f>
        <v>БАНДИА ХХК</v>
      </c>
      <c r="Y887" s="1205"/>
      <c r="Z887" s="1205"/>
      <c r="AA887" s="1205"/>
    </row>
    <row r="888" spans="1:27" ht="12.75" customHeight="1">
      <c r="A888" s="15">
        <v>202</v>
      </c>
      <c r="B888" s="92">
        <f t="shared" si="213"/>
        <v>883</v>
      </c>
      <c r="C888" s="320">
        <v>43008</v>
      </c>
      <c r="D888" s="321"/>
      <c r="E888" s="323" t="str">
        <f t="shared" ca="1" si="221"/>
        <v/>
      </c>
      <c r="F888" s="322" t="str">
        <f t="shared" ca="1" si="216"/>
        <v/>
      </c>
      <c r="G888" s="325"/>
      <c r="H888" s="325"/>
      <c r="I888" s="325" t="str">
        <f t="shared" si="214"/>
        <v/>
      </c>
      <c r="J888" s="325" t="str">
        <f t="shared" si="212"/>
        <v/>
      </c>
      <c r="K888" s="621" t="str">
        <f t="shared" si="215"/>
        <v/>
      </c>
      <c r="L888" s="325"/>
      <c r="M888" s="325"/>
      <c r="N888" s="325" t="str">
        <f t="shared" si="211"/>
        <v/>
      </c>
      <c r="O888" s="325" t="str">
        <f t="shared" si="217"/>
        <v/>
      </c>
      <c r="P888" s="325" t="str">
        <f t="shared" si="218"/>
        <v/>
      </c>
      <c r="Q888" s="325" t="str">
        <f t="shared" si="219"/>
        <v/>
      </c>
      <c r="R888" s="325" t="str">
        <f t="shared" si="220"/>
        <v/>
      </c>
      <c r="S888" s="609">
        <v>310500</v>
      </c>
      <c r="T888" s="325" t="str">
        <f>+IFERROR(VLOOKUP(S888,STAT1!$C$4:$D$189,2,FALSE),"")</f>
        <v>НӨАТ өглөг</v>
      </c>
      <c r="U888" s="1226"/>
      <c r="V888" s="1217">
        <v>55500</v>
      </c>
      <c r="W888" s="326">
        <v>3021</v>
      </c>
      <c r="X888" s="328" t="str">
        <f>IFERROR(VLOOKUP(W888,DATA!$G$4:$H$400,2,FALSE),"")</f>
        <v>БАНДИА ХХК</v>
      </c>
      <c r="Y888" s="1205"/>
      <c r="Z888" s="1205"/>
      <c r="AA888" s="1205"/>
    </row>
    <row r="889" spans="1:27" ht="12.75" customHeight="1">
      <c r="A889" s="15">
        <v>202</v>
      </c>
      <c r="B889" s="92">
        <f t="shared" si="213"/>
        <v>884</v>
      </c>
      <c r="C889" s="320">
        <v>43008</v>
      </c>
      <c r="D889" s="321"/>
      <c r="E889" s="323" t="str">
        <f t="shared" ca="1" si="221"/>
        <v/>
      </c>
      <c r="F889" s="322" t="str">
        <f t="shared" ca="1" si="216"/>
        <v/>
      </c>
      <c r="G889" s="325"/>
      <c r="H889" s="325"/>
      <c r="I889" s="325" t="str">
        <f t="shared" si="214"/>
        <v/>
      </c>
      <c r="J889" s="325" t="str">
        <f t="shared" si="212"/>
        <v/>
      </c>
      <c r="K889" s="621" t="str">
        <f t="shared" si="215"/>
        <v/>
      </c>
      <c r="L889" s="325"/>
      <c r="M889" s="325"/>
      <c r="N889" s="325" t="str">
        <f t="shared" si="211"/>
        <v/>
      </c>
      <c r="O889" s="325" t="str">
        <f t="shared" si="217"/>
        <v/>
      </c>
      <c r="P889" s="325" t="str">
        <f t="shared" si="218"/>
        <v/>
      </c>
      <c r="Q889" s="325" t="str">
        <f t="shared" si="219"/>
        <v/>
      </c>
      <c r="R889" s="325" t="str">
        <f t="shared" si="220"/>
        <v/>
      </c>
      <c r="S889" s="609">
        <v>510000</v>
      </c>
      <c r="T889" s="325" t="str">
        <f>+IFERROR(VLOOKUP(S889,STAT1!$C$4:$D$189,2,FALSE),"")</f>
        <v>Үндсэн үйл ажиллагааны борлуулалт</v>
      </c>
      <c r="U889" s="1226"/>
      <c r="V889" s="1217">
        <v>555000</v>
      </c>
      <c r="W889" s="326">
        <v>3021</v>
      </c>
      <c r="X889" s="328" t="str">
        <f>IFERROR(VLOOKUP(W889,DATA!$G$4:$H$400,2,FALSE),"")</f>
        <v>БАНДИА ХХК</v>
      </c>
      <c r="Y889" s="1205"/>
      <c r="Z889" s="1205"/>
      <c r="AA889" s="1205"/>
    </row>
    <row r="890" spans="1:27" ht="12.75" customHeight="1">
      <c r="A890" s="15">
        <v>202</v>
      </c>
      <c r="B890" s="92">
        <f t="shared" si="213"/>
        <v>885</v>
      </c>
      <c r="C890" s="320">
        <v>43008</v>
      </c>
      <c r="D890" s="321"/>
      <c r="E890" s="323" t="str">
        <f t="shared" ca="1" si="221"/>
        <v/>
      </c>
      <c r="F890" s="322" t="str">
        <f t="shared" ca="1" si="216"/>
        <v/>
      </c>
      <c r="G890" s="325"/>
      <c r="H890" s="325"/>
      <c r="I890" s="325" t="str">
        <f t="shared" si="214"/>
        <v/>
      </c>
      <c r="J890" s="325" t="str">
        <f t="shared" si="212"/>
        <v/>
      </c>
      <c r="K890" s="621" t="str">
        <f t="shared" si="215"/>
        <v/>
      </c>
      <c r="L890" s="325"/>
      <c r="M890" s="325"/>
      <c r="N890" s="325" t="str">
        <f t="shared" si="211"/>
        <v/>
      </c>
      <c r="O890" s="325" t="str">
        <f t="shared" si="217"/>
        <v/>
      </c>
      <c r="P890" s="325" t="str">
        <f t="shared" si="218"/>
        <v/>
      </c>
      <c r="Q890" s="325" t="str">
        <f t="shared" si="219"/>
        <v/>
      </c>
      <c r="R890" s="325" t="str">
        <f t="shared" si="220"/>
        <v/>
      </c>
      <c r="S890" s="609">
        <v>320100</v>
      </c>
      <c r="T890" s="325" t="str">
        <f>+IFERROR(VLOOKUP(S890,STAT1!$C$4:$D$189,2,FALSE),"")</f>
        <v>Урьдчилж орсон орлого MNT</v>
      </c>
      <c r="U890" s="1226">
        <v>610500</v>
      </c>
      <c r="V890" s="1217"/>
      <c r="W890" s="326">
        <v>3021</v>
      </c>
      <c r="X890" s="328" t="str">
        <f>IFERROR(VLOOKUP(W890,DATA!$G$4:$H$400,2,FALSE),"")</f>
        <v>БАНДИА ХХК</v>
      </c>
      <c r="Y890" s="1205"/>
      <c r="Z890" s="1205"/>
      <c r="AA890" s="1205"/>
    </row>
    <row r="891" spans="1:27" ht="12.75" customHeight="1">
      <c r="A891" s="15">
        <v>203</v>
      </c>
      <c r="B891" s="92">
        <f t="shared" si="213"/>
        <v>886</v>
      </c>
      <c r="C891" s="320">
        <v>43008</v>
      </c>
      <c r="D891" s="321">
        <v>410085</v>
      </c>
      <c r="E891" s="323" t="str">
        <f t="shared" ca="1" si="221"/>
        <v xml:space="preserve">НЦ-лак </v>
      </c>
      <c r="F891" s="322" t="str">
        <f t="shared" ca="1" si="216"/>
        <v>кг</v>
      </c>
      <c r="G891" s="325">
        <v>90</v>
      </c>
      <c r="H891" s="325">
        <v>7555.55555</v>
      </c>
      <c r="I891" s="325">
        <f t="shared" si="214"/>
        <v>679999.99950000003</v>
      </c>
      <c r="J891" s="325">
        <f t="shared" si="212"/>
        <v>67999.999950000012</v>
      </c>
      <c r="K891" s="621">
        <f t="shared" si="215"/>
        <v>747999.99945</v>
      </c>
      <c r="L891" s="325"/>
      <c r="M891" s="325"/>
      <c r="N891" s="325" t="str">
        <f t="shared" si="211"/>
        <v/>
      </c>
      <c r="O891" s="325" t="str">
        <f t="shared" si="217"/>
        <v/>
      </c>
      <c r="P891" s="325" t="str">
        <f t="shared" si="218"/>
        <v/>
      </c>
      <c r="Q891" s="325" t="str">
        <f t="shared" si="219"/>
        <v/>
      </c>
      <c r="R891" s="325" t="str">
        <f t="shared" si="220"/>
        <v/>
      </c>
      <c r="S891" s="609">
        <v>120100</v>
      </c>
      <c r="T891" s="325" t="str">
        <f>+IFERROR(VLOOKUP(S891,STAT1!$C$4:$D$189,2,FALSE),"")</f>
        <v xml:space="preserve">Дансны авлага MNT </v>
      </c>
      <c r="U891" s="1226"/>
      <c r="V891" s="1217">
        <v>3485240</v>
      </c>
      <c r="W891" s="326">
        <v>3017</v>
      </c>
      <c r="X891" s="328" t="str">
        <f>IFERROR(VLOOKUP(W891,DATA!$G$4:$H$400,2,FALSE),"")</f>
        <v xml:space="preserve">ВОС ХХК </v>
      </c>
      <c r="Y891" s="1205"/>
      <c r="Z891" s="1205"/>
      <c r="AA891" s="1205"/>
    </row>
    <row r="892" spans="1:27" ht="12.75" customHeight="1">
      <c r="A892" s="15">
        <v>203</v>
      </c>
      <c r="B892" s="92">
        <f t="shared" si="213"/>
        <v>887</v>
      </c>
      <c r="C892" s="320">
        <v>43008</v>
      </c>
      <c r="D892" s="321">
        <v>410002</v>
      </c>
      <c r="E892" s="323" t="str">
        <f t="shared" ca="1" si="221"/>
        <v xml:space="preserve">Морилка </v>
      </c>
      <c r="F892" s="322" t="str">
        <f t="shared" ca="1" si="216"/>
        <v xml:space="preserve">ш </v>
      </c>
      <c r="G892" s="325">
        <v>35</v>
      </c>
      <c r="H892" s="325">
        <v>4000</v>
      </c>
      <c r="I892" s="325">
        <f t="shared" si="214"/>
        <v>140000</v>
      </c>
      <c r="J892" s="325">
        <f t="shared" si="212"/>
        <v>14000</v>
      </c>
      <c r="K892" s="621">
        <f t="shared" si="215"/>
        <v>154000</v>
      </c>
      <c r="L892" s="325"/>
      <c r="M892" s="325"/>
      <c r="N892" s="325" t="str">
        <f t="shared" si="211"/>
        <v/>
      </c>
      <c r="O892" s="325" t="str">
        <f t="shared" si="217"/>
        <v/>
      </c>
      <c r="P892" s="325" t="str">
        <f t="shared" si="218"/>
        <v/>
      </c>
      <c r="Q892" s="325" t="str">
        <f t="shared" si="219"/>
        <v/>
      </c>
      <c r="R892" s="325" t="str">
        <f t="shared" si="220"/>
        <v/>
      </c>
      <c r="S892" s="609">
        <v>160100</v>
      </c>
      <c r="T892" s="325" t="str">
        <f>+IFERROR(VLOOKUP(S892,STAT1!$C$4:$D$189,2,FALSE),"")</f>
        <v xml:space="preserve">Барилгын материал </v>
      </c>
      <c r="U892" s="1226">
        <v>3168399.9964999999</v>
      </c>
      <c r="V892" s="1217"/>
      <c r="W892" s="326">
        <v>3017</v>
      </c>
      <c r="X892" s="328" t="str">
        <f>IFERROR(VLOOKUP(W892,DATA!$G$4:$H$400,2,FALSE),"")</f>
        <v xml:space="preserve">ВОС ХХК </v>
      </c>
      <c r="Y892" s="1205"/>
      <c r="Z892" s="1205"/>
      <c r="AA892" s="1205"/>
    </row>
    <row r="893" spans="1:27" ht="12.75" customHeight="1">
      <c r="A893" s="15">
        <v>203</v>
      </c>
      <c r="B893" s="92">
        <f t="shared" si="213"/>
        <v>888</v>
      </c>
      <c r="C893" s="320">
        <v>43008</v>
      </c>
      <c r="D893" s="321">
        <v>410054</v>
      </c>
      <c r="E893" s="323" t="str">
        <f t="shared" ca="1" si="221"/>
        <v xml:space="preserve">Будаг шингэлэгч </v>
      </c>
      <c r="F893" s="322" t="str">
        <f t="shared" ca="1" si="216"/>
        <v>ш</v>
      </c>
      <c r="G893" s="325">
        <v>140</v>
      </c>
      <c r="H893" s="325">
        <v>1950</v>
      </c>
      <c r="I893" s="325">
        <f t="shared" si="214"/>
        <v>273000</v>
      </c>
      <c r="J893" s="325">
        <f t="shared" si="212"/>
        <v>27300</v>
      </c>
      <c r="K893" s="621">
        <f t="shared" si="215"/>
        <v>300300</v>
      </c>
      <c r="L893" s="325"/>
      <c r="M893" s="325"/>
      <c r="N893" s="325" t="str">
        <f t="shared" si="211"/>
        <v/>
      </c>
      <c r="O893" s="325" t="str">
        <f t="shared" si="217"/>
        <v/>
      </c>
      <c r="P893" s="325" t="str">
        <f t="shared" si="218"/>
        <v/>
      </c>
      <c r="Q893" s="325" t="str">
        <f t="shared" si="219"/>
        <v/>
      </c>
      <c r="R893" s="325" t="str">
        <f t="shared" si="220"/>
        <v/>
      </c>
      <c r="S893" s="609">
        <v>120600</v>
      </c>
      <c r="T893" s="325" t="str">
        <f>+IFERROR(VLOOKUP(S893,STAT1!$C$4:$D$189,2,FALSE),"")</f>
        <v>НӨАТ авлага</v>
      </c>
      <c r="U893" s="1226">
        <v>316839.99965000001</v>
      </c>
      <c r="V893" s="1217"/>
      <c r="W893" s="326">
        <v>3017</v>
      </c>
      <c r="X893" s="328" t="str">
        <f>IFERROR(VLOOKUP(W893,DATA!$G$4:$H$400,2,FALSE),"")</f>
        <v xml:space="preserve">ВОС ХХК </v>
      </c>
      <c r="Y893" s="1205"/>
      <c r="Z893" s="1205"/>
      <c r="AA893" s="1205"/>
    </row>
    <row r="894" spans="1:27" ht="12.75" customHeight="1">
      <c r="A894" s="15">
        <v>204</v>
      </c>
      <c r="B894" s="92">
        <f t="shared" si="213"/>
        <v>889</v>
      </c>
      <c r="C894" s="320">
        <v>43008</v>
      </c>
      <c r="D894" s="321">
        <v>430023</v>
      </c>
      <c r="E894" s="323" t="str">
        <f t="shared" ca="1" si="221"/>
        <v xml:space="preserve">Градустай хөрөө </v>
      </c>
      <c r="F894" s="322" t="str">
        <f t="shared" ca="1" si="216"/>
        <v>ш</v>
      </c>
      <c r="G894" s="325"/>
      <c r="H894" s="325"/>
      <c r="I894" s="325" t="str">
        <f t="shared" si="214"/>
        <v/>
      </c>
      <c r="J894" s="325" t="str">
        <f t="shared" si="212"/>
        <v/>
      </c>
      <c r="K894" s="621" t="str">
        <f t="shared" si="215"/>
        <v/>
      </c>
      <c r="L894" s="325">
        <v>1</v>
      </c>
      <c r="M894" s="325"/>
      <c r="N894" s="325">
        <f t="shared" si="211"/>
        <v>0</v>
      </c>
      <c r="O894" s="325">
        <f t="shared" si="217"/>
        <v>0</v>
      </c>
      <c r="P894" s="325">
        <f t="shared" si="218"/>
        <v>0</v>
      </c>
      <c r="Q894" s="325">
        <f t="shared" ca="1" si="219"/>
        <v>339166.67</v>
      </c>
      <c r="R894" s="325">
        <f t="shared" ca="1" si="220"/>
        <v>339166.67</v>
      </c>
      <c r="S894" s="609">
        <v>140401</v>
      </c>
      <c r="T894" s="325" t="str">
        <f>+IFERROR(VLOOKUP(S894,STAT1!$C$4:$D$189,2,FALSE),"")</f>
        <v>ҮНЗардал БОЛОВСРУУЛАХ ЦЕХ /нарс/</v>
      </c>
      <c r="U894" s="1226">
        <v>1701682.5391611392</v>
      </c>
      <c r="V894" s="1217"/>
      <c r="W894" s="326">
        <v>1006</v>
      </c>
      <c r="X894" s="328" t="str">
        <f>IFERROR(VLOOKUP(W894,DATA!$G$4:$H$400,2,FALSE),"")</f>
        <v>Оюундэлгэр /нярав/</v>
      </c>
      <c r="Y894" s="1205"/>
      <c r="Z894" s="1205"/>
      <c r="AA894" s="1205"/>
    </row>
    <row r="895" spans="1:27" ht="12.75" customHeight="1">
      <c r="A895" s="15">
        <v>204</v>
      </c>
      <c r="B895" s="92">
        <f t="shared" si="213"/>
        <v>890</v>
      </c>
      <c r="C895" s="320">
        <v>43008</v>
      </c>
      <c r="D895" s="321">
        <v>430028</v>
      </c>
      <c r="E895" s="323" t="str">
        <f t="shared" ca="1" si="221"/>
        <v>Дрель</v>
      </c>
      <c r="F895" s="322" t="str">
        <f t="shared" ca="1" si="216"/>
        <v>ш</v>
      </c>
      <c r="G895" s="325"/>
      <c r="H895" s="325"/>
      <c r="I895" s="325" t="str">
        <f t="shared" si="214"/>
        <v/>
      </c>
      <c r="J895" s="325" t="str">
        <f t="shared" si="212"/>
        <v/>
      </c>
      <c r="K895" s="621" t="str">
        <f t="shared" si="215"/>
        <v/>
      </c>
      <c r="L895" s="325">
        <v>2</v>
      </c>
      <c r="M895" s="325"/>
      <c r="N895" s="325">
        <f t="shared" si="211"/>
        <v>0</v>
      </c>
      <c r="O895" s="325">
        <f t="shared" si="217"/>
        <v>0</v>
      </c>
      <c r="P895" s="325">
        <f t="shared" si="218"/>
        <v>0</v>
      </c>
      <c r="Q895" s="325">
        <f t="shared" ca="1" si="219"/>
        <v>74500</v>
      </c>
      <c r="R895" s="325">
        <f t="shared" ca="1" si="220"/>
        <v>149000</v>
      </c>
      <c r="S895" s="609">
        <v>160200</v>
      </c>
      <c r="T895" s="325" t="str">
        <f>+IFERROR(VLOOKUP(S895,STAT1!$C$4:$D$189,2,FALSE),"")</f>
        <v>Агуулахад байгаа материал, хангамж</v>
      </c>
      <c r="U895" s="1226"/>
      <c r="V895" s="1217">
        <v>584075.76</v>
      </c>
      <c r="W895" s="326">
        <v>1006</v>
      </c>
      <c r="X895" s="328" t="str">
        <f>IFERROR(VLOOKUP(W895,DATA!$G$4:$H$400,2,FALSE),"")</f>
        <v>Оюундэлгэр /нярав/</v>
      </c>
      <c r="Y895" s="1205"/>
      <c r="Z895" s="1205"/>
      <c r="AA895" s="1205"/>
    </row>
    <row r="896" spans="1:27" ht="12.75" customHeight="1">
      <c r="A896" s="15">
        <v>204</v>
      </c>
      <c r="B896" s="92">
        <f t="shared" si="213"/>
        <v>891</v>
      </c>
      <c r="C896" s="320">
        <v>43008</v>
      </c>
      <c r="D896" s="426">
        <v>410311</v>
      </c>
      <c r="E896" s="323" t="str">
        <f t="shared" ca="1" si="221"/>
        <v>Кабель/галд тэсвэртэй/</v>
      </c>
      <c r="F896" s="322" t="str">
        <f t="shared" ca="1" si="216"/>
        <v>м</v>
      </c>
      <c r="G896" s="325"/>
      <c r="H896" s="325"/>
      <c r="I896" s="325" t="str">
        <f t="shared" si="214"/>
        <v/>
      </c>
      <c r="J896" s="325" t="str">
        <f t="shared" si="212"/>
        <v/>
      </c>
      <c r="K896" s="621" t="str">
        <f t="shared" si="215"/>
        <v/>
      </c>
      <c r="L896" s="325">
        <v>120</v>
      </c>
      <c r="M896" s="325"/>
      <c r="N896" s="325">
        <f t="shared" si="211"/>
        <v>0</v>
      </c>
      <c r="O896" s="325">
        <f t="shared" si="217"/>
        <v>0</v>
      </c>
      <c r="P896" s="325">
        <f t="shared" si="218"/>
        <v>0</v>
      </c>
      <c r="Q896" s="325">
        <f t="shared" ca="1" si="219"/>
        <v>4958.2491824034332</v>
      </c>
      <c r="R896" s="325">
        <f t="shared" ca="1" si="220"/>
        <v>594989.90188841196</v>
      </c>
      <c r="S896" s="609">
        <v>160100</v>
      </c>
      <c r="T896" s="325" t="str">
        <f>+IFERROR(VLOOKUP(S896,STAT1!$C$4:$D$189,2,FALSE),"")</f>
        <v xml:space="preserve">Барилгын материал </v>
      </c>
      <c r="U896" s="1226"/>
      <c r="V896" s="1217">
        <v>1117606.7791611392</v>
      </c>
      <c r="W896" s="326">
        <v>1006</v>
      </c>
      <c r="X896" s="328" t="str">
        <f>IFERROR(VLOOKUP(W896,DATA!$G$4:$H$400,2,FALSE),"")</f>
        <v>Оюундэлгэр /нярав/</v>
      </c>
      <c r="Y896" s="1205"/>
      <c r="Z896" s="1205"/>
      <c r="AA896" s="1205"/>
    </row>
    <row r="897" spans="1:27" ht="12.75" customHeight="1">
      <c r="A897" s="15">
        <v>204</v>
      </c>
      <c r="B897" s="92">
        <f t="shared" si="213"/>
        <v>892</v>
      </c>
      <c r="C897" s="320">
        <v>43008</v>
      </c>
      <c r="D897" s="426">
        <v>410344</v>
      </c>
      <c r="E897" s="323" t="str">
        <f t="shared" ca="1" si="221"/>
        <v xml:space="preserve">Контактор </v>
      </c>
      <c r="F897" s="322" t="str">
        <f t="shared" ca="1" si="216"/>
        <v>ш</v>
      </c>
      <c r="G897" s="325"/>
      <c r="H897" s="325"/>
      <c r="I897" s="325" t="str">
        <f t="shared" si="214"/>
        <v/>
      </c>
      <c r="J897" s="325" t="str">
        <f t="shared" si="212"/>
        <v/>
      </c>
      <c r="K897" s="621" t="str">
        <f t="shared" si="215"/>
        <v/>
      </c>
      <c r="L897" s="325">
        <v>2</v>
      </c>
      <c r="M897" s="325"/>
      <c r="N897" s="325">
        <f t="shared" si="211"/>
        <v>0</v>
      </c>
      <c r="O897" s="325">
        <f t="shared" si="217"/>
        <v>0</v>
      </c>
      <c r="P897" s="325">
        <f t="shared" si="218"/>
        <v>0</v>
      </c>
      <c r="Q897" s="325">
        <f t="shared" ca="1" si="219"/>
        <v>141449.35</v>
      </c>
      <c r="R897" s="325">
        <f t="shared" ca="1" si="220"/>
        <v>282898.7</v>
      </c>
      <c r="S897" s="609"/>
      <c r="T897" s="325" t="str">
        <f>+IFERROR(VLOOKUP(S897,STAT1!$C$4:$D$189,2,FALSE),"")</f>
        <v/>
      </c>
      <c r="U897" s="1226"/>
      <c r="V897" s="1217"/>
      <c r="W897" s="326">
        <v>1006</v>
      </c>
      <c r="X897" s="328" t="str">
        <f>IFERROR(VLOOKUP(W897,DATA!$G$4:$H$400,2,FALSE),"")</f>
        <v>Оюундэлгэр /нярав/</v>
      </c>
      <c r="Y897" s="1205"/>
      <c r="Z897" s="1205"/>
      <c r="AA897" s="1205"/>
    </row>
    <row r="898" spans="1:27" ht="12.75" customHeight="1">
      <c r="A898" s="15">
        <v>204</v>
      </c>
      <c r="B898" s="92">
        <f t="shared" si="213"/>
        <v>893</v>
      </c>
      <c r="C898" s="320">
        <v>43008</v>
      </c>
      <c r="D898" s="426">
        <v>410366</v>
      </c>
      <c r="E898" s="323" t="str">
        <f t="shared" ca="1" si="221"/>
        <v xml:space="preserve">Модны замаска </v>
      </c>
      <c r="F898" s="322" t="str">
        <f t="shared" ca="1" si="216"/>
        <v>ш</v>
      </c>
      <c r="G898" s="325"/>
      <c r="H898" s="325"/>
      <c r="I898" s="325" t="str">
        <f t="shared" si="214"/>
        <v/>
      </c>
      <c r="J898" s="325" t="str">
        <f t="shared" si="212"/>
        <v/>
      </c>
      <c r="K898" s="621" t="str">
        <f t="shared" si="215"/>
        <v/>
      </c>
      <c r="L898" s="325">
        <v>67</v>
      </c>
      <c r="M898" s="325"/>
      <c r="N898" s="325">
        <f t="shared" si="211"/>
        <v>0</v>
      </c>
      <c r="O898" s="325">
        <f t="shared" si="217"/>
        <v>0</v>
      </c>
      <c r="P898" s="325">
        <f t="shared" si="218"/>
        <v>0</v>
      </c>
      <c r="Q898" s="325">
        <f t="shared" ca="1" si="219"/>
        <v>3345.8616010854817</v>
      </c>
      <c r="R898" s="325">
        <f t="shared" ca="1" si="220"/>
        <v>224172.72727272726</v>
      </c>
      <c r="S898" s="609"/>
      <c r="T898" s="325" t="str">
        <f>+IFERROR(VLOOKUP(S898,STAT1!$C$4:$D$189,2,FALSE),"")</f>
        <v/>
      </c>
      <c r="U898" s="1226"/>
      <c r="V898" s="1217"/>
      <c r="W898" s="326">
        <v>1006</v>
      </c>
      <c r="X898" s="328" t="str">
        <f>IFERROR(VLOOKUP(W898,DATA!$G$4:$H$400,2,FALSE),"")</f>
        <v>Оюундэлгэр /нярав/</v>
      </c>
      <c r="Y898" s="1205"/>
      <c r="Z898" s="1205"/>
      <c r="AA898" s="1205"/>
    </row>
    <row r="899" spans="1:27" ht="12.75" customHeight="1">
      <c r="A899" s="15">
        <v>204</v>
      </c>
      <c r="B899" s="92">
        <f t="shared" si="213"/>
        <v>894</v>
      </c>
      <c r="C899" s="320">
        <v>43008</v>
      </c>
      <c r="D899" s="426">
        <v>410368</v>
      </c>
      <c r="E899" s="323" t="str">
        <f t="shared" ca="1" si="221"/>
        <v xml:space="preserve">Өрөм </v>
      </c>
      <c r="F899" s="322" t="str">
        <f t="shared" ca="1" si="216"/>
        <v>ш</v>
      </c>
      <c r="G899" s="325"/>
      <c r="H899" s="325"/>
      <c r="I899" s="325" t="str">
        <f t="shared" si="214"/>
        <v/>
      </c>
      <c r="J899" s="325" t="str">
        <f t="shared" si="212"/>
        <v/>
      </c>
      <c r="K899" s="621" t="str">
        <f t="shared" si="215"/>
        <v/>
      </c>
      <c r="L899" s="325">
        <v>1</v>
      </c>
      <c r="M899" s="325"/>
      <c r="N899" s="325">
        <f t="shared" si="211"/>
        <v>0</v>
      </c>
      <c r="O899" s="325">
        <f t="shared" si="217"/>
        <v>0</v>
      </c>
      <c r="P899" s="325">
        <f t="shared" si="218"/>
        <v>0</v>
      </c>
      <c r="Q899" s="325">
        <f t="shared" ca="1" si="219"/>
        <v>15545.45</v>
      </c>
      <c r="R899" s="325">
        <f t="shared" ca="1" si="220"/>
        <v>15545.45</v>
      </c>
      <c r="S899" s="609"/>
      <c r="T899" s="325" t="str">
        <f>+IFERROR(VLOOKUP(S899,STAT1!$C$4:$D$189,2,FALSE),"")</f>
        <v/>
      </c>
      <c r="U899" s="1226"/>
      <c r="V899" s="1217"/>
      <c r="W899" s="326">
        <v>1006</v>
      </c>
      <c r="X899" s="328" t="str">
        <f>IFERROR(VLOOKUP(W899,DATA!$G$4:$H$400,2,FALSE),"")</f>
        <v>Оюундэлгэр /нярав/</v>
      </c>
      <c r="Y899" s="1205"/>
      <c r="Z899" s="1205"/>
      <c r="AA899" s="1205"/>
    </row>
    <row r="900" spans="1:27" ht="12.75" customHeight="1">
      <c r="A900" s="15">
        <v>204</v>
      </c>
      <c r="B900" s="92">
        <f t="shared" si="213"/>
        <v>895</v>
      </c>
      <c r="C900" s="320">
        <v>43008</v>
      </c>
      <c r="D900" s="426">
        <v>430010</v>
      </c>
      <c r="E900" s="323" t="str">
        <f t="shared" ca="1" si="221"/>
        <v xml:space="preserve"> Хөрөөний ир </v>
      </c>
      <c r="F900" s="322" t="str">
        <f t="shared" ca="1" si="216"/>
        <v xml:space="preserve">ш </v>
      </c>
      <c r="G900" s="325"/>
      <c r="H900" s="325"/>
      <c r="I900" s="325" t="str">
        <f t="shared" si="214"/>
        <v/>
      </c>
      <c r="J900" s="325" t="str">
        <f t="shared" si="212"/>
        <v/>
      </c>
      <c r="K900" s="621" t="str">
        <f t="shared" si="215"/>
        <v/>
      </c>
      <c r="L900" s="325">
        <v>2</v>
      </c>
      <c r="M900" s="325"/>
      <c r="N900" s="325">
        <f t="shared" si="211"/>
        <v>0</v>
      </c>
      <c r="O900" s="325">
        <f t="shared" si="217"/>
        <v>0</v>
      </c>
      <c r="P900" s="325">
        <f t="shared" si="218"/>
        <v>0</v>
      </c>
      <c r="Q900" s="325">
        <f t="shared" ca="1" si="219"/>
        <v>47954.544999999998</v>
      </c>
      <c r="R900" s="325">
        <f t="shared" ca="1" si="220"/>
        <v>95909.09</v>
      </c>
      <c r="S900" s="609"/>
      <c r="T900" s="325" t="str">
        <f>+IFERROR(VLOOKUP(S900,STAT1!$C$4:$D$189,2,FALSE),"")</f>
        <v/>
      </c>
      <c r="U900" s="1226"/>
      <c r="V900" s="1217"/>
      <c r="W900" s="326">
        <v>1006</v>
      </c>
      <c r="X900" s="328" t="str">
        <f>IFERROR(VLOOKUP(W900,DATA!$G$4:$H$400,2,FALSE),"")</f>
        <v>Оюундэлгэр /нярав/</v>
      </c>
      <c r="Y900" s="1205"/>
      <c r="Z900" s="1205"/>
      <c r="AA900" s="1205"/>
    </row>
    <row r="901" spans="1:27" ht="12.75" customHeight="1">
      <c r="A901" s="15">
        <v>203</v>
      </c>
      <c r="B901" s="92">
        <f t="shared" si="213"/>
        <v>896</v>
      </c>
      <c r="C901" s="320">
        <v>43008</v>
      </c>
      <c r="D901" s="426">
        <v>410366</v>
      </c>
      <c r="E901" s="323" t="str">
        <f t="shared" ca="1" si="221"/>
        <v xml:space="preserve">Модны замаска </v>
      </c>
      <c r="F901" s="322" t="str">
        <f t="shared" ca="1" si="216"/>
        <v>ш</v>
      </c>
      <c r="G901" s="325">
        <v>18</v>
      </c>
      <c r="H901" s="325">
        <v>4300</v>
      </c>
      <c r="I901" s="325">
        <f t="shared" si="214"/>
        <v>77400</v>
      </c>
      <c r="J901" s="325">
        <f t="shared" si="212"/>
        <v>7740</v>
      </c>
      <c r="K901" s="621">
        <f t="shared" si="215"/>
        <v>85140</v>
      </c>
      <c r="L901" s="325"/>
      <c r="M901" s="378"/>
      <c r="N901" s="325" t="str">
        <f t="shared" si="211"/>
        <v/>
      </c>
      <c r="O901" s="378" t="str">
        <f t="shared" si="217"/>
        <v/>
      </c>
      <c r="P901" s="325" t="str">
        <f t="shared" si="218"/>
        <v/>
      </c>
      <c r="Q901" s="325" t="str">
        <f t="shared" si="219"/>
        <v/>
      </c>
      <c r="R901" s="325" t="str">
        <f t="shared" si="220"/>
        <v/>
      </c>
      <c r="S901" s="609"/>
      <c r="T901" s="325" t="str">
        <f>+IFERROR(VLOOKUP(S901,STAT1!$C$4:$D$189,2,FALSE),"")</f>
        <v/>
      </c>
      <c r="U901" s="1226"/>
      <c r="V901" s="1217"/>
      <c r="W901" s="326">
        <v>3017</v>
      </c>
      <c r="X901" s="328" t="str">
        <f>IFERROR(VLOOKUP(W901,DATA!$G$4:$H$400,2,FALSE),"")</f>
        <v xml:space="preserve">ВОС ХХК </v>
      </c>
      <c r="Y901" s="1205"/>
      <c r="Z901" s="1205"/>
      <c r="AA901" s="1205"/>
    </row>
    <row r="902" spans="1:27" ht="12.75" customHeight="1">
      <c r="A902" s="15">
        <v>203</v>
      </c>
      <c r="B902" s="92">
        <f t="shared" si="213"/>
        <v>897</v>
      </c>
      <c r="C902" s="320">
        <v>43008</v>
      </c>
      <c r="D902" s="426">
        <v>410054</v>
      </c>
      <c r="E902" s="323" t="str">
        <f t="shared" ca="1" si="221"/>
        <v xml:space="preserve">Будаг шингэлэгч </v>
      </c>
      <c r="F902" s="322" t="str">
        <f t="shared" ca="1" si="216"/>
        <v>ш</v>
      </c>
      <c r="G902" s="325">
        <v>40</v>
      </c>
      <c r="H902" s="325">
        <v>1950</v>
      </c>
      <c r="I902" s="325">
        <f t="shared" si="214"/>
        <v>78000</v>
      </c>
      <c r="J902" s="325">
        <f t="shared" si="212"/>
        <v>7800</v>
      </c>
      <c r="K902" s="621">
        <f t="shared" si="215"/>
        <v>85800</v>
      </c>
      <c r="L902" s="325"/>
      <c r="M902" s="378"/>
      <c r="N902" s="378" t="str">
        <f t="shared" si="211"/>
        <v/>
      </c>
      <c r="O902" s="378" t="str">
        <f t="shared" si="217"/>
        <v/>
      </c>
      <c r="P902" s="325" t="str">
        <f t="shared" si="218"/>
        <v/>
      </c>
      <c r="Q902" s="325" t="str">
        <f t="shared" si="219"/>
        <v/>
      </c>
      <c r="R902" s="325" t="str">
        <f t="shared" si="220"/>
        <v/>
      </c>
      <c r="S902" s="609"/>
      <c r="T902" s="325" t="str">
        <f>+IFERROR(VLOOKUP(S902,STAT1!$C$4:$D$189,2,FALSE),"")</f>
        <v/>
      </c>
      <c r="U902" s="1226"/>
      <c r="V902" s="1217"/>
      <c r="W902" s="326">
        <v>3017</v>
      </c>
      <c r="X902" s="328" t="str">
        <f>IFERROR(VLOOKUP(W902,DATA!$G$4:$H$400,2,FALSE),"")</f>
        <v xml:space="preserve">ВОС ХХК </v>
      </c>
      <c r="Y902" s="1205"/>
      <c r="Z902" s="1205"/>
      <c r="AA902" s="1205"/>
    </row>
    <row r="903" spans="1:27" ht="12.75" customHeight="1">
      <c r="A903" s="15">
        <v>204</v>
      </c>
      <c r="B903" s="92">
        <f t="shared" si="213"/>
        <v>898</v>
      </c>
      <c r="C903" s="320">
        <v>43009</v>
      </c>
      <c r="D903" s="321">
        <v>211713</v>
      </c>
      <c r="E903" s="323" t="str">
        <f t="shared" ca="1" si="221"/>
        <v>Н-Хавтан /зузаан-2см/</v>
      </c>
      <c r="F903" s="322" t="str">
        <f t="shared" ca="1" si="216"/>
        <v>м2</v>
      </c>
      <c r="G903" s="325"/>
      <c r="H903" s="325"/>
      <c r="I903" s="325" t="str">
        <f t="shared" si="214"/>
        <v/>
      </c>
      <c r="J903" s="325" t="str">
        <f t="shared" si="212"/>
        <v/>
      </c>
      <c r="K903" s="621" t="str">
        <f t="shared" si="215"/>
        <v/>
      </c>
      <c r="L903" s="325">
        <v>122</v>
      </c>
      <c r="M903" s="378"/>
      <c r="N903" s="378">
        <f t="shared" si="211"/>
        <v>0</v>
      </c>
      <c r="O903" s="378">
        <f t="shared" si="217"/>
        <v>0</v>
      </c>
      <c r="P903" s="325">
        <f t="shared" si="218"/>
        <v>0</v>
      </c>
      <c r="Q903" s="325">
        <f t="shared" ca="1" si="219"/>
        <v>20836.299698816016</v>
      </c>
      <c r="R903" s="325">
        <f t="shared" ca="1" si="220"/>
        <v>2542028.5632555541</v>
      </c>
      <c r="S903" s="609">
        <v>141201</v>
      </c>
      <c r="T903" s="325" t="str">
        <f>+IFERROR(VLOOKUP(S903,STAT1!$C$4:$D$189,2,FALSE),"")</f>
        <v>ШМЗардал БУСАД</v>
      </c>
      <c r="U903" s="1226">
        <v>6403997.8118424602</v>
      </c>
      <c r="V903" s="1217"/>
      <c r="W903" s="326">
        <v>3001</v>
      </c>
      <c r="X903" s="328" t="str">
        <f>IFERROR(VLOOKUP(W903,DATA!$G$4:$H$400,2,FALSE),"")</f>
        <v>ХУРД ГРУПП ХХК</v>
      </c>
      <c r="Y903" s="1205"/>
      <c r="Z903" s="1205"/>
      <c r="AA903" s="1205"/>
    </row>
    <row r="904" spans="1:27" ht="12.75" customHeight="1">
      <c r="A904" s="15">
        <v>204</v>
      </c>
      <c r="B904" s="92">
        <f t="shared" si="213"/>
        <v>899</v>
      </c>
      <c r="C904" s="320">
        <v>43009</v>
      </c>
      <c r="D904" s="321">
        <v>211711</v>
      </c>
      <c r="E904" s="323" t="str">
        <f t="shared" ca="1" si="221"/>
        <v>Н-Хавтан /зузаан-2.6см/</v>
      </c>
      <c r="F904" s="322" t="str">
        <f t="shared" ca="1" si="216"/>
        <v>м2</v>
      </c>
      <c r="G904" s="325"/>
      <c r="H904" s="325"/>
      <c r="I904" s="325" t="str">
        <f t="shared" si="214"/>
        <v/>
      </c>
      <c r="J904" s="325" t="str">
        <f t="shared" si="212"/>
        <v/>
      </c>
      <c r="K904" s="621" t="str">
        <f t="shared" si="215"/>
        <v/>
      </c>
      <c r="L904" s="325">
        <v>125</v>
      </c>
      <c r="M904" s="378"/>
      <c r="N904" s="378">
        <f t="shared" si="211"/>
        <v>0</v>
      </c>
      <c r="O904" s="378">
        <f t="shared" si="217"/>
        <v>0</v>
      </c>
      <c r="P904" s="325">
        <f t="shared" si="218"/>
        <v>0</v>
      </c>
      <c r="Q904" s="325">
        <f t="shared" ca="1" si="219"/>
        <v>30895.753988695247</v>
      </c>
      <c r="R904" s="325">
        <f t="shared" ca="1" si="220"/>
        <v>3861969.2485869061</v>
      </c>
      <c r="S904" s="609">
        <v>150101</v>
      </c>
      <c r="T904" s="325" t="str">
        <f>+IFERROR(VLOOKUP(S904,STAT1!$C$4:$D$189,2,FALSE),"")</f>
        <v>Бараа бэлэн бүтээгдэхүүн БОЛОВСРУУЛАХ ЦЕХ /нарс/</v>
      </c>
      <c r="U904" s="1226"/>
      <c r="V904" s="1217">
        <v>6403997.8118424602</v>
      </c>
      <c r="W904" s="326">
        <v>3001</v>
      </c>
      <c r="X904" s="328" t="str">
        <f>IFERROR(VLOOKUP(W904,DATA!$G$4:$H$400,2,FALSE),"")</f>
        <v>ХУРД ГРУПП ХХК</v>
      </c>
      <c r="Y904" s="1205"/>
      <c r="Z904" s="1205"/>
      <c r="AA904" s="1205"/>
    </row>
    <row r="905" spans="1:27" ht="12.75" customHeight="1">
      <c r="A905" s="15">
        <v>204</v>
      </c>
      <c r="B905" s="92">
        <f t="shared" si="213"/>
        <v>900</v>
      </c>
      <c r="C905" s="320">
        <v>43009</v>
      </c>
      <c r="D905" s="321">
        <v>410054</v>
      </c>
      <c r="E905" s="323" t="str">
        <f t="shared" ca="1" si="221"/>
        <v xml:space="preserve">Будаг шингэлэгч </v>
      </c>
      <c r="F905" s="322" t="str">
        <f t="shared" ca="1" si="216"/>
        <v>ш</v>
      </c>
      <c r="G905" s="325"/>
      <c r="H905" s="325"/>
      <c r="I905" s="325" t="str">
        <f t="shared" si="214"/>
        <v/>
      </c>
      <c r="J905" s="325" t="str">
        <f t="shared" si="212"/>
        <v/>
      </c>
      <c r="K905" s="621" t="str">
        <f t="shared" si="215"/>
        <v/>
      </c>
      <c r="L905" s="325">
        <v>45</v>
      </c>
      <c r="M905" s="378"/>
      <c r="N905" s="378">
        <f t="shared" si="211"/>
        <v>0</v>
      </c>
      <c r="O905" s="378">
        <f t="shared" si="217"/>
        <v>0</v>
      </c>
      <c r="P905" s="325">
        <f t="shared" si="218"/>
        <v>0</v>
      </c>
      <c r="Q905" s="325">
        <f t="shared" ca="1" si="219"/>
        <v>1926.6047834486926</v>
      </c>
      <c r="R905" s="325">
        <f t="shared" ca="1" si="220"/>
        <v>86697.215255191171</v>
      </c>
      <c r="S905" s="609">
        <v>160100</v>
      </c>
      <c r="T905" s="325" t="str">
        <f>+IFERROR(VLOOKUP(S905,STAT1!$C$4:$D$189,2,FALSE),"")</f>
        <v xml:space="preserve">Барилгын материал </v>
      </c>
      <c r="U905" s="1226"/>
      <c r="V905" s="1217">
        <v>831723.32377208234</v>
      </c>
      <c r="W905" s="326">
        <v>3001</v>
      </c>
      <c r="X905" s="328" t="str">
        <f>IFERROR(VLOOKUP(W905,DATA!$G$4:$H$400,2,FALSE),"")</f>
        <v>ХУРД ГРУПП ХХК</v>
      </c>
      <c r="Y905" s="1205"/>
      <c r="Z905" s="1205"/>
      <c r="AA905" s="1205"/>
    </row>
    <row r="906" spans="1:27" ht="12.75" customHeight="1">
      <c r="A906" s="15">
        <v>204</v>
      </c>
      <c r="B906" s="92">
        <f t="shared" si="213"/>
        <v>901</v>
      </c>
      <c r="C906" s="320">
        <v>43009</v>
      </c>
      <c r="D906" s="321">
        <v>410085</v>
      </c>
      <c r="E906" s="323" t="str">
        <f t="shared" ca="1" si="221"/>
        <v xml:space="preserve">НЦ-лак </v>
      </c>
      <c r="F906" s="322" t="str">
        <f t="shared" ca="1" si="216"/>
        <v>кг</v>
      </c>
      <c r="G906" s="325"/>
      <c r="H906" s="325"/>
      <c r="I906" s="325" t="str">
        <f t="shared" si="214"/>
        <v/>
      </c>
      <c r="J906" s="325" t="str">
        <f t="shared" si="212"/>
        <v/>
      </c>
      <c r="K906" s="621" t="str">
        <f t="shared" si="215"/>
        <v/>
      </c>
      <c r="L906" s="325">
        <v>90</v>
      </c>
      <c r="M906" s="378"/>
      <c r="N906" s="378">
        <f t="shared" si="211"/>
        <v>0</v>
      </c>
      <c r="O906" s="378">
        <f t="shared" si="217"/>
        <v>0</v>
      </c>
      <c r="P906" s="325">
        <f t="shared" si="218"/>
        <v>0</v>
      </c>
      <c r="Q906" s="325">
        <f t="shared" ca="1" si="219"/>
        <v>7344.7345390765686</v>
      </c>
      <c r="R906" s="325">
        <f t="shared" ca="1" si="220"/>
        <v>661026.10851689114</v>
      </c>
      <c r="S906" s="609">
        <v>141401</v>
      </c>
      <c r="T906" s="325" t="str">
        <f>+IFERROR(VLOOKUP(S906,STAT1!$C$4:$D$189,2,FALSE),"")</f>
        <v xml:space="preserve">ҮНЗардал БУСАД </v>
      </c>
      <c r="U906" s="1226">
        <v>831723.32377208234</v>
      </c>
      <c r="V906" s="1217"/>
      <c r="W906" s="326">
        <v>3001</v>
      </c>
      <c r="X906" s="328" t="str">
        <f>IFERROR(VLOOKUP(W906,DATA!$G$4:$H$400,2,FALSE),"")</f>
        <v>ХУРД ГРУПП ХХК</v>
      </c>
      <c r="Y906" s="1205"/>
      <c r="Z906" s="1205"/>
      <c r="AA906" s="1205"/>
    </row>
    <row r="907" spans="1:27" ht="12.75" customHeight="1">
      <c r="A907" s="15">
        <v>204</v>
      </c>
      <c r="B907" s="92">
        <f t="shared" si="213"/>
        <v>902</v>
      </c>
      <c r="C907" s="320">
        <v>43009</v>
      </c>
      <c r="D907" s="321">
        <v>410002</v>
      </c>
      <c r="E907" s="323" t="str">
        <f t="shared" ca="1" si="221"/>
        <v xml:space="preserve">Морилка </v>
      </c>
      <c r="F907" s="322" t="str">
        <f t="shared" ca="1" si="216"/>
        <v xml:space="preserve">ш </v>
      </c>
      <c r="G907" s="325"/>
      <c r="H907" s="325"/>
      <c r="I907" s="325" t="str">
        <f t="shared" si="214"/>
        <v/>
      </c>
      <c r="J907" s="325" t="str">
        <f t="shared" si="212"/>
        <v/>
      </c>
      <c r="K907" s="621" t="str">
        <f t="shared" si="215"/>
        <v/>
      </c>
      <c r="L907" s="325">
        <v>10</v>
      </c>
      <c r="M907" s="378"/>
      <c r="N907" s="378">
        <f t="shared" si="211"/>
        <v>0</v>
      </c>
      <c r="O907" s="378">
        <f t="shared" si="217"/>
        <v>0</v>
      </c>
      <c r="P907" s="325">
        <f t="shared" si="218"/>
        <v>0</v>
      </c>
      <c r="Q907" s="325">
        <f t="shared" ca="1" si="219"/>
        <v>4000</v>
      </c>
      <c r="R907" s="325">
        <f t="shared" ca="1" si="220"/>
        <v>40000</v>
      </c>
      <c r="S907" s="609"/>
      <c r="T907" s="325" t="str">
        <f>+IFERROR(VLOOKUP(S907,STAT1!$C$4:$D$189,2,FALSE),"")</f>
        <v/>
      </c>
      <c r="U907" s="1226"/>
      <c r="V907" s="1217"/>
      <c r="W907" s="326">
        <v>3001</v>
      </c>
      <c r="X907" s="328" t="str">
        <f>IFERROR(VLOOKUP(W907,DATA!$G$4:$H$400,2,FALSE),"")</f>
        <v>ХУРД ГРУПП ХХК</v>
      </c>
      <c r="Y907" s="1205"/>
      <c r="Z907" s="1205"/>
      <c r="AA907" s="1205"/>
    </row>
    <row r="908" spans="1:27" ht="12.75" customHeight="1">
      <c r="A908" s="15">
        <v>204</v>
      </c>
      <c r="B908" s="92">
        <f t="shared" si="213"/>
        <v>903</v>
      </c>
      <c r="C908" s="320">
        <v>43009</v>
      </c>
      <c r="D908" s="321">
        <v>410322</v>
      </c>
      <c r="E908" s="323" t="str">
        <f t="shared" ca="1" si="221"/>
        <v>Ниви</v>
      </c>
      <c r="F908" s="322" t="str">
        <f t="shared" ca="1" si="216"/>
        <v>ш</v>
      </c>
      <c r="G908" s="325"/>
      <c r="H908" s="325"/>
      <c r="I908" s="325" t="str">
        <f t="shared" si="214"/>
        <v/>
      </c>
      <c r="J908" s="325" t="str">
        <f t="shared" si="212"/>
        <v/>
      </c>
      <c r="K908" s="621" t="str">
        <f t="shared" si="215"/>
        <v/>
      </c>
      <c r="L908" s="325">
        <v>2</v>
      </c>
      <c r="M908" s="378"/>
      <c r="N908" s="378">
        <f t="shared" si="211"/>
        <v>0</v>
      </c>
      <c r="O908" s="378">
        <f t="shared" si="217"/>
        <v>0</v>
      </c>
      <c r="P908" s="325">
        <f t="shared" si="218"/>
        <v>0</v>
      </c>
      <c r="Q908" s="325">
        <f t="shared" ca="1" si="219"/>
        <v>22000</v>
      </c>
      <c r="R908" s="325">
        <f t="shared" ca="1" si="220"/>
        <v>44000</v>
      </c>
      <c r="S908" s="609"/>
      <c r="T908" s="325" t="str">
        <f>+IFERROR(VLOOKUP(S908,STAT1!$C$4:$D$189,2,FALSE),"")</f>
        <v/>
      </c>
      <c r="U908" s="1226"/>
      <c r="V908" s="1217"/>
      <c r="W908" s="326">
        <v>3001</v>
      </c>
      <c r="X908" s="328" t="str">
        <f>IFERROR(VLOOKUP(W908,DATA!$G$4:$H$400,2,FALSE),"")</f>
        <v>ХУРД ГРУПП ХХК</v>
      </c>
      <c r="Y908" s="1205"/>
      <c r="Z908" s="1205"/>
      <c r="AA908" s="1205"/>
    </row>
    <row r="909" spans="1:27" ht="12.75" customHeight="1">
      <c r="A909" s="15">
        <v>205</v>
      </c>
      <c r="B909" s="92">
        <f t="shared" si="213"/>
        <v>904</v>
      </c>
      <c r="C909" s="320">
        <v>43009</v>
      </c>
      <c r="D909" s="321">
        <v>310001</v>
      </c>
      <c r="E909" s="323" t="str">
        <f t="shared" ca="1" si="221"/>
        <v xml:space="preserve">Хатаасан нарсан банз </v>
      </c>
      <c r="F909" s="322"/>
      <c r="G909" s="325"/>
      <c r="H909" s="325"/>
      <c r="I909" s="325" t="str">
        <f t="shared" si="214"/>
        <v/>
      </c>
      <c r="J909" s="325" t="str">
        <f t="shared" si="212"/>
        <v/>
      </c>
      <c r="K909" s="621" t="str">
        <f t="shared" si="215"/>
        <v/>
      </c>
      <c r="L909" s="1229">
        <v>233.87607003941895</v>
      </c>
      <c r="M909" s="378"/>
      <c r="N909" s="378">
        <f t="shared" si="211"/>
        <v>0</v>
      </c>
      <c r="O909" s="378">
        <f t="shared" si="217"/>
        <v>0</v>
      </c>
      <c r="P909" s="325">
        <f t="shared" si="218"/>
        <v>0</v>
      </c>
      <c r="Q909" s="325">
        <f t="shared" ca="1" si="219"/>
        <v>252685.42269888317</v>
      </c>
      <c r="R909" s="325">
        <f t="shared" ca="1" si="220"/>
        <v>59097073.617064178</v>
      </c>
      <c r="S909" s="609">
        <v>150100</v>
      </c>
      <c r="T909" s="325" t="str">
        <f>+IFERROR(VLOOKUP(S909,STAT1!$C$4:$D$189,2,FALSE),"")</f>
        <v>Бараа бэлэн бүтээгдэхүүн ХАТААХ ЦЕХ /нарс/</v>
      </c>
      <c r="U909" s="1226"/>
      <c r="V909" s="1227">
        <v>82838103.029275104</v>
      </c>
      <c r="W909" s="326">
        <v>1005</v>
      </c>
      <c r="X909" s="328" t="str">
        <f>IFERROR(VLOOKUP(W909,DATA!$G$4:$H$400,2,FALSE),"")</f>
        <v>Золжаргал</v>
      </c>
      <c r="Y909" s="1205"/>
      <c r="Z909" s="1205"/>
      <c r="AA909" s="1205"/>
    </row>
    <row r="910" spans="1:27" ht="12.75" customHeight="1">
      <c r="A910" s="15">
        <v>205</v>
      </c>
      <c r="B910" s="92">
        <f t="shared" si="213"/>
        <v>905</v>
      </c>
      <c r="C910" s="320">
        <v>43009</v>
      </c>
      <c r="D910" s="321"/>
      <c r="E910" s="323" t="str">
        <f t="shared" ca="1" si="221"/>
        <v/>
      </c>
      <c r="F910" s="322"/>
      <c r="G910" s="325"/>
      <c r="H910" s="325"/>
      <c r="I910" s="325" t="str">
        <f t="shared" si="214"/>
        <v/>
      </c>
      <c r="J910" s="325" t="str">
        <f t="shared" si="212"/>
        <v/>
      </c>
      <c r="K910" s="621" t="str">
        <f t="shared" si="215"/>
        <v/>
      </c>
      <c r="L910" s="325"/>
      <c r="M910" s="378"/>
      <c r="N910" s="378" t="str">
        <f t="shared" si="211"/>
        <v/>
      </c>
      <c r="O910" s="378" t="str">
        <f t="shared" si="217"/>
        <v/>
      </c>
      <c r="P910" s="325" t="str">
        <f t="shared" si="218"/>
        <v/>
      </c>
      <c r="Q910" s="325" t="str">
        <f t="shared" si="219"/>
        <v/>
      </c>
      <c r="R910" s="325"/>
      <c r="S910" s="609">
        <v>140201</v>
      </c>
      <c r="T910" s="325" t="str">
        <f>+IFERROR(VLOOKUP(S910,STAT1!$C$4:$D$189,2,FALSE),"")</f>
        <v>ШМЗардал БОЛОВСРУУЛАХ ЦЕХ /нарс/</v>
      </c>
      <c r="U910" s="1227">
        <v>82838103.029275104</v>
      </c>
      <c r="V910" s="1217"/>
      <c r="W910" s="326">
        <v>1005</v>
      </c>
      <c r="X910" s="328" t="str">
        <f>IFERROR(VLOOKUP(W910,DATA!$G$4:$H$400,2,FALSE),"")</f>
        <v>Золжаргал</v>
      </c>
      <c r="Y910" s="1205"/>
      <c r="Z910" s="1205"/>
      <c r="AA910" s="1205"/>
    </row>
    <row r="911" spans="1:27" ht="12.75" customHeight="1">
      <c r="A911" s="15">
        <v>206</v>
      </c>
      <c r="B911" s="92">
        <f t="shared" si="213"/>
        <v>906</v>
      </c>
      <c r="C911" s="320">
        <v>43009</v>
      </c>
      <c r="D911" s="359">
        <v>211717</v>
      </c>
      <c r="E911" s="323" t="str">
        <f t="shared" ca="1" si="221"/>
        <v xml:space="preserve">Í-Õàâòàí /çóçààí-4сì/-ÿðòàé </v>
      </c>
      <c r="F911" s="322"/>
      <c r="G911" s="325">
        <v>950</v>
      </c>
      <c r="H911" s="325">
        <v>45122.351656783343</v>
      </c>
      <c r="I911" s="325">
        <f t="shared" si="214"/>
        <v>42866234.073944174</v>
      </c>
      <c r="J911" s="325"/>
      <c r="K911" s="621">
        <f t="shared" si="215"/>
        <v>42866234.073944174</v>
      </c>
      <c r="L911" s="325"/>
      <c r="M911" s="378"/>
      <c r="N911" s="378" t="str">
        <f t="shared" si="211"/>
        <v/>
      </c>
      <c r="O911" s="378" t="str">
        <f t="shared" si="217"/>
        <v/>
      </c>
      <c r="P911" s="325" t="str">
        <f t="shared" si="218"/>
        <v/>
      </c>
      <c r="Q911" s="325" t="str">
        <f t="shared" si="219"/>
        <v/>
      </c>
      <c r="R911" s="325" t="str">
        <f t="shared" ref="R911:R942" si="222">+IF(L911="","",L911*Q911)</f>
        <v/>
      </c>
      <c r="S911" s="609">
        <v>150101</v>
      </c>
      <c r="T911" s="325" t="str">
        <f>+IFERROR(VLOOKUP(S911,STAT1!$C$4:$D$189,2,FALSE),"")</f>
        <v>Бараа бэлэн бүтээгдэхүүн БОЛОВСРУУЛАХ ЦЕХ /нарс/</v>
      </c>
      <c r="U911" s="1226">
        <v>133730918.5</v>
      </c>
      <c r="V911" s="1217"/>
      <c r="W911" s="326">
        <v>1005</v>
      </c>
      <c r="X911" s="328" t="str">
        <f>IFERROR(VLOOKUP(W911,DATA!$G$4:$H$400,2,FALSE),"")</f>
        <v>Золжаргал</v>
      </c>
      <c r="Y911" s="1205"/>
      <c r="Z911" s="1205"/>
      <c r="AA911" s="1205"/>
    </row>
    <row r="912" spans="1:27" ht="12.75" customHeight="1">
      <c r="A912" s="15">
        <v>206</v>
      </c>
      <c r="B912" s="92">
        <f t="shared" si="213"/>
        <v>907</v>
      </c>
      <c r="C912" s="320">
        <v>43009</v>
      </c>
      <c r="D912" s="321">
        <v>211803</v>
      </c>
      <c r="E912" s="323" t="str">
        <f t="shared" ca="1" si="221"/>
        <v>Н-Шатны бариул /58*68мм/</v>
      </c>
      <c r="F912" s="322"/>
      <c r="G912" s="325">
        <v>900</v>
      </c>
      <c r="H912" s="325">
        <v>4449.0638733588376</v>
      </c>
      <c r="I912" s="325">
        <f t="shared" si="214"/>
        <v>4004157.4860229539</v>
      </c>
      <c r="J912" s="325"/>
      <c r="K912" s="621">
        <f t="shared" si="215"/>
        <v>4004157.4860229539</v>
      </c>
      <c r="L912" s="325"/>
      <c r="M912" s="378"/>
      <c r="N912" s="378" t="str">
        <f t="shared" si="211"/>
        <v/>
      </c>
      <c r="O912" s="378" t="str">
        <f t="shared" si="217"/>
        <v/>
      </c>
      <c r="P912" s="325" t="str">
        <f t="shared" si="218"/>
        <v/>
      </c>
      <c r="Q912" s="325" t="str">
        <f t="shared" si="219"/>
        <v/>
      </c>
      <c r="R912" s="325" t="str">
        <f t="shared" si="222"/>
        <v/>
      </c>
      <c r="S912" s="609">
        <v>140501</v>
      </c>
      <c r="T912" s="325" t="str">
        <f>+IFERROR(VLOOKUP(S912,STAT1!$C$4:$D$189,2,FALSE),"")</f>
        <v>Нэгтгэл зардал БОЛОВСРУУЛАХ ЦЕХ /нарс/</v>
      </c>
      <c r="U912" s="1226"/>
      <c r="V912" s="1226">
        <v>133730918.5</v>
      </c>
      <c r="W912" s="326">
        <v>1005</v>
      </c>
      <c r="X912" s="328" t="str">
        <f>IFERROR(VLOOKUP(W912,DATA!$G$4:$H$400,2,FALSE),"")</f>
        <v>Золжаргал</v>
      </c>
      <c r="Y912" s="1205"/>
      <c r="Z912" s="1205"/>
      <c r="AA912" s="1205"/>
    </row>
    <row r="913" spans="1:27" ht="12.75" customHeight="1">
      <c r="A913" s="15">
        <v>206</v>
      </c>
      <c r="B913" s="92">
        <f t="shared" si="213"/>
        <v>908</v>
      </c>
      <c r="C913" s="320">
        <v>43009</v>
      </c>
      <c r="D913" s="321">
        <v>211804</v>
      </c>
      <c r="E913" s="323" t="str">
        <f t="shared" ca="1" si="221"/>
        <v>Н-Хэлбэртэй плинтус /20*80мм/</v>
      </c>
      <c r="F913" s="322"/>
      <c r="G913" s="325">
        <v>2500</v>
      </c>
      <c r="H913" s="325">
        <v>1804.8940662713337</v>
      </c>
      <c r="I913" s="325">
        <f t="shared" si="214"/>
        <v>4512235.1656783344</v>
      </c>
      <c r="J913" s="325"/>
      <c r="K913" s="621">
        <f t="shared" si="215"/>
        <v>4512235.1656783344</v>
      </c>
      <c r="L913" s="325"/>
      <c r="M913" s="378"/>
      <c r="N913" s="378" t="str">
        <f t="shared" si="211"/>
        <v/>
      </c>
      <c r="O913" s="378" t="str">
        <f t="shared" si="217"/>
        <v/>
      </c>
      <c r="P913" s="325" t="str">
        <f t="shared" si="218"/>
        <v/>
      </c>
      <c r="Q913" s="325" t="str">
        <f t="shared" si="219"/>
        <v/>
      </c>
      <c r="R913" s="325" t="str">
        <f t="shared" si="222"/>
        <v/>
      </c>
      <c r="S913" s="609"/>
      <c r="T913" s="325" t="str">
        <f>+IFERROR(VLOOKUP(S913,STAT1!$C$4:$D$189,2,FALSE),"")</f>
        <v/>
      </c>
      <c r="U913" s="1226"/>
      <c r="V913" s="1217"/>
      <c r="W913" s="326">
        <v>1005</v>
      </c>
      <c r="X913" s="328" t="str">
        <f>IFERROR(VLOOKUP(W913,DATA!$G$4:$H$400,2,FALSE),"")</f>
        <v>Золжаргал</v>
      </c>
      <c r="Y913" s="1205"/>
      <c r="Z913" s="1205"/>
      <c r="AA913" s="1205"/>
    </row>
    <row r="914" spans="1:27" ht="12.75" customHeight="1">
      <c r="A914" s="15">
        <v>206</v>
      </c>
      <c r="B914" s="92">
        <f t="shared" si="213"/>
        <v>909</v>
      </c>
      <c r="C914" s="320">
        <v>43009</v>
      </c>
      <c r="D914" s="321">
        <v>211805</v>
      </c>
      <c r="E914" s="323" t="str">
        <f t="shared" ca="1" si="221"/>
        <v>Н-Хагас хэлбэртэй плинтус /20*30мм/</v>
      </c>
      <c r="F914" s="322"/>
      <c r="G914" s="325">
        <v>2500</v>
      </c>
      <c r="H914" s="325">
        <v>676.83527485175011</v>
      </c>
      <c r="I914" s="325">
        <f t="shared" si="214"/>
        <v>1692088.1871293753</v>
      </c>
      <c r="J914" s="325"/>
      <c r="K914" s="621">
        <f t="shared" si="215"/>
        <v>1692088.1871293753</v>
      </c>
      <c r="L914" s="325"/>
      <c r="M914" s="378"/>
      <c r="N914" s="378" t="str">
        <f t="shared" si="211"/>
        <v/>
      </c>
      <c r="O914" s="378" t="str">
        <f t="shared" si="217"/>
        <v/>
      </c>
      <c r="P914" s="325" t="str">
        <f t="shared" si="218"/>
        <v/>
      </c>
      <c r="Q914" s="325" t="str">
        <f t="shared" si="219"/>
        <v/>
      </c>
      <c r="R914" s="325" t="str">
        <f t="shared" si="222"/>
        <v/>
      </c>
      <c r="S914" s="609"/>
      <c r="T914" s="325" t="str">
        <f>+IFERROR(VLOOKUP(S914,STAT1!$C$4:$D$189,2,FALSE),"")</f>
        <v/>
      </c>
      <c r="U914" s="1226"/>
      <c r="V914" s="1217"/>
      <c r="W914" s="326">
        <v>1005</v>
      </c>
      <c r="X914" s="328" t="str">
        <f>IFERROR(VLOOKUP(W914,DATA!$G$4:$H$400,2,FALSE),"")</f>
        <v>Золжаргал</v>
      </c>
      <c r="Y914" s="1205"/>
      <c r="Z914" s="1205"/>
      <c r="AA914" s="1205"/>
    </row>
    <row r="915" spans="1:27" ht="12.75" customHeight="1">
      <c r="A915" s="15">
        <v>206</v>
      </c>
      <c r="B915" s="92">
        <f t="shared" si="213"/>
        <v>910</v>
      </c>
      <c r="C915" s="320">
        <v>43009</v>
      </c>
      <c r="D915" s="321">
        <v>211806</v>
      </c>
      <c r="E915" s="323" t="str">
        <f t="shared" ca="1" si="221"/>
        <v xml:space="preserve">Н-Сауны шал </v>
      </c>
      <c r="F915" s="322"/>
      <c r="G915" s="325">
        <v>500</v>
      </c>
      <c r="H915" s="325">
        <v>22561.175828391672</v>
      </c>
      <c r="I915" s="325">
        <f t="shared" si="214"/>
        <v>11280587.914195836</v>
      </c>
      <c r="J915" s="325"/>
      <c r="K915" s="621">
        <f t="shared" si="215"/>
        <v>11280587.914195836</v>
      </c>
      <c r="L915" s="325"/>
      <c r="M915" s="378"/>
      <c r="N915" s="378" t="str">
        <f t="shared" si="211"/>
        <v/>
      </c>
      <c r="O915" s="378" t="str">
        <f t="shared" si="217"/>
        <v/>
      </c>
      <c r="P915" s="325" t="str">
        <f t="shared" si="218"/>
        <v/>
      </c>
      <c r="Q915" s="325" t="str">
        <f t="shared" si="219"/>
        <v/>
      </c>
      <c r="R915" s="325" t="str">
        <f t="shared" si="222"/>
        <v/>
      </c>
      <c r="S915" s="609"/>
      <c r="T915" s="325" t="str">
        <f>+IFERROR(VLOOKUP(S915,STAT1!$C$4:$D$189,2,FALSE),"")</f>
        <v/>
      </c>
      <c r="U915" s="1226"/>
      <c r="V915" s="1217"/>
      <c r="W915" s="326">
        <v>1005</v>
      </c>
      <c r="X915" s="328" t="str">
        <f>IFERROR(VLOOKUP(W915,DATA!$G$4:$H$400,2,FALSE),"")</f>
        <v>Золжаргал</v>
      </c>
      <c r="Y915" s="1205"/>
      <c r="Z915" s="1205"/>
      <c r="AA915" s="1205"/>
    </row>
    <row r="916" spans="1:27" ht="12.75" customHeight="1">
      <c r="A916" s="15">
        <v>206</v>
      </c>
      <c r="B916" s="92">
        <f t="shared" si="213"/>
        <v>911</v>
      </c>
      <c r="C916" s="320">
        <v>43009</v>
      </c>
      <c r="D916" s="360">
        <v>211503</v>
      </c>
      <c r="E916" s="323" t="str">
        <f t="shared" ca="1" si="221"/>
        <v>Н-Евровагонка /зузаан-1.2см/</v>
      </c>
      <c r="F916" s="322"/>
      <c r="G916" s="325">
        <v>2000</v>
      </c>
      <c r="H916" s="325">
        <v>13536.705497035002</v>
      </c>
      <c r="I916" s="325">
        <f t="shared" si="214"/>
        <v>27073410.994070005</v>
      </c>
      <c r="J916" s="325"/>
      <c r="K916" s="621">
        <f t="shared" si="215"/>
        <v>27073410.994070005</v>
      </c>
      <c r="L916" s="325"/>
      <c r="M916" s="378"/>
      <c r="N916" s="378" t="str">
        <f t="shared" si="211"/>
        <v/>
      </c>
      <c r="O916" s="378" t="str">
        <f t="shared" si="217"/>
        <v/>
      </c>
      <c r="P916" s="325" t="str">
        <f t="shared" si="218"/>
        <v/>
      </c>
      <c r="Q916" s="325" t="str">
        <f t="shared" si="219"/>
        <v/>
      </c>
      <c r="R916" s="325" t="str">
        <f t="shared" si="222"/>
        <v/>
      </c>
      <c r="S916" s="609"/>
      <c r="T916" s="325" t="str">
        <f>+IFERROR(VLOOKUP(S916,STAT1!$C$4:$D$189,2,FALSE),"")</f>
        <v/>
      </c>
      <c r="U916" s="1226"/>
      <c r="V916" s="1217"/>
      <c r="W916" s="326">
        <v>1005</v>
      </c>
      <c r="X916" s="328" t="str">
        <f>IFERROR(VLOOKUP(W916,DATA!$G$4:$H$400,2,FALSE),"")</f>
        <v>Золжаргал</v>
      </c>
      <c r="Y916" s="1205"/>
      <c r="Z916" s="1205"/>
      <c r="AA916" s="1205"/>
    </row>
    <row r="917" spans="1:27" ht="12.75" customHeight="1">
      <c r="A917" s="15">
        <v>206</v>
      </c>
      <c r="B917" s="92">
        <f t="shared" si="213"/>
        <v>912</v>
      </c>
      <c r="C917" s="320">
        <v>43009</v>
      </c>
      <c r="D917" s="360">
        <v>211504</v>
      </c>
      <c r="E917" s="323" t="str">
        <f t="shared" ca="1" si="221"/>
        <v xml:space="preserve">Н-Евровагонка /зузаан-1.2см/-яртай </v>
      </c>
      <c r="F917" s="322"/>
      <c r="G917" s="325">
        <v>1500</v>
      </c>
      <c r="H917" s="325">
        <v>13536.705497035002</v>
      </c>
      <c r="I917" s="325">
        <f t="shared" si="214"/>
        <v>20305058.245552503</v>
      </c>
      <c r="J917" s="325"/>
      <c r="K917" s="621">
        <f t="shared" si="215"/>
        <v>20305058.245552503</v>
      </c>
      <c r="L917" s="325"/>
      <c r="M917" s="378"/>
      <c r="N917" s="378" t="str">
        <f t="shared" si="211"/>
        <v/>
      </c>
      <c r="O917" s="378" t="str">
        <f t="shared" si="217"/>
        <v/>
      </c>
      <c r="P917" s="325" t="str">
        <f t="shared" si="218"/>
        <v/>
      </c>
      <c r="Q917" s="325" t="str">
        <f t="shared" si="219"/>
        <v/>
      </c>
      <c r="R917" s="325" t="str">
        <f t="shared" si="222"/>
        <v/>
      </c>
      <c r="S917" s="609"/>
      <c r="T917" s="325" t="str">
        <f>+IFERROR(VLOOKUP(S917,STAT1!$C$4:$D$189,2,FALSE),"")</f>
        <v/>
      </c>
      <c r="U917" s="1226"/>
      <c r="V917" s="1217"/>
      <c r="W917" s="326">
        <v>1005</v>
      </c>
      <c r="X917" s="328" t="str">
        <f>IFERROR(VLOOKUP(W917,DATA!$G$4:$H$400,2,FALSE),"")</f>
        <v>Золжаргал</v>
      </c>
      <c r="Y917" s="1205"/>
      <c r="Z917" s="1205"/>
      <c r="AA917" s="1205"/>
    </row>
    <row r="918" spans="1:27" ht="12.75" customHeight="1">
      <c r="A918" s="15">
        <v>206</v>
      </c>
      <c r="B918" s="92">
        <f t="shared" si="213"/>
        <v>913</v>
      </c>
      <c r="C918" s="320">
        <v>43009</v>
      </c>
      <c r="D918" s="360">
        <v>211712</v>
      </c>
      <c r="E918" s="323" t="str">
        <f t="shared" ca="1" si="221"/>
        <v xml:space="preserve">Н-Хавтан /зузаан-2.6см/-яртай </v>
      </c>
      <c r="F918" s="322"/>
      <c r="G918" s="325">
        <v>750</v>
      </c>
      <c r="H918" s="325">
        <v>29329.528576909175</v>
      </c>
      <c r="I918" s="325">
        <f t="shared" si="214"/>
        <v>21997146.432681881</v>
      </c>
      <c r="J918" s="325"/>
      <c r="K918" s="621">
        <f t="shared" si="215"/>
        <v>21997146.432681881</v>
      </c>
      <c r="L918" s="325"/>
      <c r="M918" s="378"/>
      <c r="N918" s="378" t="str">
        <f t="shared" si="211"/>
        <v/>
      </c>
      <c r="O918" s="378" t="str">
        <f t="shared" si="217"/>
        <v/>
      </c>
      <c r="P918" s="325" t="str">
        <f t="shared" si="218"/>
        <v/>
      </c>
      <c r="Q918" s="325" t="str">
        <f t="shared" si="219"/>
        <v/>
      </c>
      <c r="R918" s="325" t="str">
        <f t="shared" si="222"/>
        <v/>
      </c>
      <c r="S918" s="609"/>
      <c r="T918" s="325" t="str">
        <f>+IFERROR(VLOOKUP(S918,STAT1!$C$4:$D$189,2,FALSE),"")</f>
        <v/>
      </c>
      <c r="U918" s="1226"/>
      <c r="V918" s="1217"/>
      <c r="W918" s="326">
        <v>1005</v>
      </c>
      <c r="X918" s="328" t="str">
        <f>IFERROR(VLOOKUP(W918,DATA!$G$4:$H$400,2,FALSE),"")</f>
        <v>Золжаргал</v>
      </c>
      <c r="Y918" s="1205"/>
      <c r="Z918" s="1205"/>
      <c r="AA918" s="1205"/>
    </row>
    <row r="919" spans="1:27" ht="12.75" customHeight="1">
      <c r="A919" s="15">
        <v>207</v>
      </c>
      <c r="B919" s="92">
        <f t="shared" si="213"/>
        <v>914</v>
      </c>
      <c r="C919" s="320">
        <v>43010</v>
      </c>
      <c r="D919" s="321">
        <v>211801</v>
      </c>
      <c r="E919" s="323" t="str">
        <f t="shared" ca="1" si="221"/>
        <v>Н-Ембүү /20*30мм/</v>
      </c>
      <c r="F919" s="322" t="str">
        <f t="shared" ref="F919:F950" ca="1" si="223">+IFERROR(VLOOKUP(D919,TN_table,3,FALSE),"")</f>
        <v>м</v>
      </c>
      <c r="G919" s="325"/>
      <c r="H919" s="325"/>
      <c r="I919" s="325" t="str">
        <f t="shared" si="214"/>
        <v/>
      </c>
      <c r="J919" s="325" t="str">
        <f t="shared" ref="J919:J950" si="224">+IF(G919="","",I919*0.1)</f>
        <v/>
      </c>
      <c r="K919" s="621" t="str">
        <f t="shared" si="215"/>
        <v/>
      </c>
      <c r="L919" s="325">
        <v>120</v>
      </c>
      <c r="M919" s="325">
        <v>1500</v>
      </c>
      <c r="N919" s="378">
        <f t="shared" si="211"/>
        <v>180000</v>
      </c>
      <c r="O919" s="378">
        <f t="shared" si="217"/>
        <v>18000</v>
      </c>
      <c r="P919" s="325">
        <f t="shared" si="218"/>
        <v>198000</v>
      </c>
      <c r="Q919" s="325">
        <f t="shared" ca="1" si="219"/>
        <v>647.50519478531237</v>
      </c>
      <c r="R919" s="325">
        <f t="shared" ca="1" si="222"/>
        <v>77700.62337423749</v>
      </c>
      <c r="S919" s="609">
        <v>150101</v>
      </c>
      <c r="T919" s="325" t="str">
        <f>+IFERROR(VLOOKUP(S919,STAT1!$C$4:$D$189,2,FALSE),"")</f>
        <v>Бараа бэлэн бүтээгдэхүүн БОЛОВСРУУЛАХ ЦЕХ /нарс/</v>
      </c>
      <c r="U919" s="1226"/>
      <c r="V919" s="1217">
        <v>247163.17436565214</v>
      </c>
      <c r="W919" s="326">
        <v>3042</v>
      </c>
      <c r="X919" s="328" t="str">
        <f>IFERROR(VLOOKUP(W919,DATA!$G$4:$H$400,2,FALSE),"")</f>
        <v xml:space="preserve">ЖУРМАК ХХК </v>
      </c>
      <c r="Y919" s="1205"/>
      <c r="Z919" s="1205"/>
      <c r="AA919" s="1205"/>
    </row>
    <row r="920" spans="1:27" ht="12.75" customHeight="1">
      <c r="A920" s="15">
        <v>207</v>
      </c>
      <c r="B920" s="92">
        <f t="shared" si="213"/>
        <v>915</v>
      </c>
      <c r="C920" s="320">
        <v>43010</v>
      </c>
      <c r="D920" s="321">
        <v>211802</v>
      </c>
      <c r="E920" s="323" t="str">
        <f t="shared" ca="1" si="221"/>
        <v xml:space="preserve">Н-Уголок </v>
      </c>
      <c r="F920" s="322" t="str">
        <f t="shared" ca="1" si="223"/>
        <v>м</v>
      </c>
      <c r="G920" s="325"/>
      <c r="H920" s="325"/>
      <c r="I920" s="325" t="str">
        <f t="shared" si="214"/>
        <v/>
      </c>
      <c r="J920" s="325" t="str">
        <f t="shared" si="224"/>
        <v/>
      </c>
      <c r="K920" s="621" t="str">
        <f t="shared" si="215"/>
        <v/>
      </c>
      <c r="L920" s="325">
        <v>120</v>
      </c>
      <c r="M920" s="325">
        <v>4000</v>
      </c>
      <c r="N920" s="378">
        <f t="shared" si="211"/>
        <v>480000</v>
      </c>
      <c r="O920" s="378">
        <f t="shared" si="217"/>
        <v>48000</v>
      </c>
      <c r="P920" s="325">
        <f t="shared" si="218"/>
        <v>528000</v>
      </c>
      <c r="Q920" s="325">
        <f t="shared" ca="1" si="219"/>
        <v>1412.1879249284552</v>
      </c>
      <c r="R920" s="325">
        <f t="shared" ca="1" si="222"/>
        <v>169462.55099141464</v>
      </c>
      <c r="S920" s="609">
        <v>610100</v>
      </c>
      <c r="T920" s="325" t="str">
        <f>+IFERROR(VLOOKUP(S920,STAT1!$C$4:$D$189,2,FALSE),"")</f>
        <v>Борлуулсан барааны өртөг</v>
      </c>
      <c r="U920" s="1226">
        <v>247163.17436565214</v>
      </c>
      <c r="V920" s="1217"/>
      <c r="W920" s="326">
        <v>3042</v>
      </c>
      <c r="X920" s="328" t="str">
        <f>IFERROR(VLOOKUP(W920,DATA!$G$4:$H$400,2,FALSE),"")</f>
        <v xml:space="preserve">ЖУРМАК ХХК </v>
      </c>
      <c r="Y920" s="1205"/>
      <c r="Z920" s="1205"/>
      <c r="AA920" s="1205"/>
    </row>
    <row r="921" spans="1:27" ht="12.75" customHeight="1">
      <c r="A921" s="15">
        <v>207</v>
      </c>
      <c r="B921" s="92">
        <f t="shared" si="213"/>
        <v>916</v>
      </c>
      <c r="C921" s="320">
        <v>43010</v>
      </c>
      <c r="D921" s="321"/>
      <c r="E921" s="323" t="str">
        <f t="shared" ca="1" si="221"/>
        <v/>
      </c>
      <c r="F921" s="322" t="str">
        <f t="shared" ca="1" si="223"/>
        <v/>
      </c>
      <c r="G921" s="325"/>
      <c r="H921" s="325"/>
      <c r="I921" s="325" t="str">
        <f t="shared" si="214"/>
        <v/>
      </c>
      <c r="J921" s="325" t="str">
        <f t="shared" si="224"/>
        <v/>
      </c>
      <c r="K921" s="621" t="str">
        <f t="shared" si="215"/>
        <v/>
      </c>
      <c r="L921" s="325"/>
      <c r="M921" s="325"/>
      <c r="N921" s="378" t="str">
        <f t="shared" si="211"/>
        <v/>
      </c>
      <c r="O921" s="378" t="str">
        <f t="shared" si="217"/>
        <v/>
      </c>
      <c r="P921" s="325" t="str">
        <f t="shared" si="218"/>
        <v/>
      </c>
      <c r="Q921" s="325" t="str">
        <f t="shared" si="219"/>
        <v/>
      </c>
      <c r="R921" s="325" t="str">
        <f t="shared" si="222"/>
        <v/>
      </c>
      <c r="S921" s="609">
        <v>310500</v>
      </c>
      <c r="T921" s="325" t="str">
        <f>+IFERROR(VLOOKUP(S921,STAT1!$C$4:$D$189,2,FALSE),"")</f>
        <v>НӨАТ өглөг</v>
      </c>
      <c r="U921" s="1226"/>
      <c r="V921" s="1217">
        <v>66000</v>
      </c>
      <c r="W921" s="326">
        <v>3042</v>
      </c>
      <c r="X921" s="328" t="str">
        <f>IFERROR(VLOOKUP(W921,DATA!$G$4:$H$400,2,FALSE),"")</f>
        <v xml:space="preserve">ЖУРМАК ХХК </v>
      </c>
      <c r="Y921" s="1205"/>
      <c r="Z921" s="1205"/>
      <c r="AA921" s="1205"/>
    </row>
    <row r="922" spans="1:27" ht="12.75" customHeight="1">
      <c r="A922" s="15">
        <v>207</v>
      </c>
      <c r="B922" s="92">
        <f t="shared" si="213"/>
        <v>917</v>
      </c>
      <c r="C922" s="320">
        <v>43010</v>
      </c>
      <c r="D922" s="321"/>
      <c r="E922" s="323" t="str">
        <f t="shared" ca="1" si="221"/>
        <v/>
      </c>
      <c r="F922" s="322" t="str">
        <f t="shared" ca="1" si="223"/>
        <v/>
      </c>
      <c r="G922" s="325"/>
      <c r="H922" s="325"/>
      <c r="I922" s="325" t="str">
        <f t="shared" si="214"/>
        <v/>
      </c>
      <c r="J922" s="325" t="str">
        <f t="shared" si="224"/>
        <v/>
      </c>
      <c r="K922" s="621" t="str">
        <f t="shared" si="215"/>
        <v/>
      </c>
      <c r="L922" s="325"/>
      <c r="M922" s="325"/>
      <c r="N922" s="378" t="str">
        <f t="shared" si="211"/>
        <v/>
      </c>
      <c r="O922" s="378" t="str">
        <f t="shared" si="217"/>
        <v/>
      </c>
      <c r="P922" s="325" t="str">
        <f t="shared" si="218"/>
        <v/>
      </c>
      <c r="Q922" s="325" t="str">
        <f t="shared" si="219"/>
        <v/>
      </c>
      <c r="R922" s="325" t="str">
        <f t="shared" si="222"/>
        <v/>
      </c>
      <c r="S922" s="609">
        <v>510000</v>
      </c>
      <c r="T922" s="325" t="str">
        <f>+IFERROR(VLOOKUP(S922,STAT1!$C$4:$D$189,2,FALSE),"")</f>
        <v>Үндсэн үйл ажиллагааны борлуулалт</v>
      </c>
      <c r="U922" s="1226"/>
      <c r="V922" s="1217">
        <v>660000</v>
      </c>
      <c r="W922" s="326">
        <v>3042</v>
      </c>
      <c r="X922" s="328" t="str">
        <f>IFERROR(VLOOKUP(W922,DATA!$G$4:$H$400,2,FALSE),"")</f>
        <v xml:space="preserve">ЖУРМАК ХХК </v>
      </c>
      <c r="Y922" s="1205"/>
      <c r="Z922" s="1205"/>
      <c r="AA922" s="1205"/>
    </row>
    <row r="923" spans="1:27" ht="12.75" customHeight="1">
      <c r="A923" s="15">
        <v>207</v>
      </c>
      <c r="B923" s="92">
        <f t="shared" si="213"/>
        <v>918</v>
      </c>
      <c r="C923" s="320">
        <v>43010</v>
      </c>
      <c r="D923" s="321"/>
      <c r="E923" s="323" t="str">
        <f t="shared" ca="1" si="221"/>
        <v/>
      </c>
      <c r="F923" s="322" t="str">
        <f t="shared" ca="1" si="223"/>
        <v/>
      </c>
      <c r="G923" s="325"/>
      <c r="H923" s="325"/>
      <c r="I923" s="325" t="str">
        <f t="shared" si="214"/>
        <v/>
      </c>
      <c r="J923" s="325" t="str">
        <f t="shared" si="224"/>
        <v/>
      </c>
      <c r="K923" s="621" t="str">
        <f t="shared" si="215"/>
        <v/>
      </c>
      <c r="L923" s="325"/>
      <c r="M923" s="325"/>
      <c r="N923" s="378" t="str">
        <f t="shared" si="211"/>
        <v/>
      </c>
      <c r="O923" s="378" t="str">
        <f t="shared" si="217"/>
        <v/>
      </c>
      <c r="P923" s="325" t="str">
        <f t="shared" si="218"/>
        <v/>
      </c>
      <c r="Q923" s="325" t="str">
        <f t="shared" si="219"/>
        <v/>
      </c>
      <c r="R923" s="325" t="str">
        <f t="shared" si="222"/>
        <v/>
      </c>
      <c r="S923" s="609">
        <v>320100</v>
      </c>
      <c r="T923" s="325" t="str">
        <f>+IFERROR(VLOOKUP(S923,STAT1!$C$4:$D$189,2,FALSE),"")</f>
        <v>Урьдчилж орсон орлого MNT</v>
      </c>
      <c r="U923" s="1226">
        <v>726000</v>
      </c>
      <c r="V923" s="1217"/>
      <c r="W923" s="326">
        <v>3042</v>
      </c>
      <c r="X923" s="328" t="str">
        <f>IFERROR(VLOOKUP(W923,DATA!$G$4:$H$400,2,FALSE),"")</f>
        <v xml:space="preserve">ЖУРМАК ХХК </v>
      </c>
      <c r="Y923" s="1205"/>
      <c r="Z923" s="1205"/>
      <c r="AA923" s="1205"/>
    </row>
    <row r="924" spans="1:27" ht="12.75" customHeight="1">
      <c r="A924" s="15">
        <v>208</v>
      </c>
      <c r="B924" s="92">
        <f t="shared" si="213"/>
        <v>919</v>
      </c>
      <c r="C924" s="320">
        <v>43010</v>
      </c>
      <c r="D924" s="321">
        <v>211801</v>
      </c>
      <c r="E924" s="323" t="str">
        <f t="shared" ca="1" si="221"/>
        <v>Н-Ембүү /20*30мм/</v>
      </c>
      <c r="F924" s="322" t="str">
        <f t="shared" ca="1" si="223"/>
        <v>м</v>
      </c>
      <c r="G924" s="325"/>
      <c r="H924" s="325"/>
      <c r="I924" s="325" t="str">
        <f t="shared" si="214"/>
        <v/>
      </c>
      <c r="J924" s="325" t="str">
        <f t="shared" si="224"/>
        <v/>
      </c>
      <c r="K924" s="621" t="str">
        <f t="shared" si="215"/>
        <v/>
      </c>
      <c r="L924" s="325">
        <v>240</v>
      </c>
      <c r="M924" s="325">
        <v>1500</v>
      </c>
      <c r="N924" s="378">
        <f t="shared" si="211"/>
        <v>360000</v>
      </c>
      <c r="O924" s="378">
        <f t="shared" si="217"/>
        <v>36000</v>
      </c>
      <c r="P924" s="325">
        <f t="shared" si="218"/>
        <v>396000</v>
      </c>
      <c r="Q924" s="325">
        <f t="shared" ca="1" si="219"/>
        <v>647.50519478531237</v>
      </c>
      <c r="R924" s="325">
        <f t="shared" ca="1" si="222"/>
        <v>155401.24674847498</v>
      </c>
      <c r="S924" s="609">
        <v>150101</v>
      </c>
      <c r="T924" s="325" t="str">
        <f>+IFERROR(VLOOKUP(S924,STAT1!$C$4:$D$189,2,FALSE),"")</f>
        <v>Бараа бэлэн бүтээгдэхүүн БОЛОВСРУУЛАХ ЦЕХ /нарс/</v>
      </c>
      <c r="U924" s="1226"/>
      <c r="V924" s="1217">
        <v>155401.24674847498</v>
      </c>
      <c r="W924" s="326">
        <v>4002</v>
      </c>
      <c r="X924" s="328" t="str">
        <f>IFERROR(VLOOKUP(W924,DATA!$G$4:$H$400,2,FALSE),"")</f>
        <v xml:space="preserve">Хувь хүн </v>
      </c>
      <c r="Y924" s="1205"/>
      <c r="Z924" s="1205"/>
      <c r="AA924" s="1205"/>
    </row>
    <row r="925" spans="1:27" ht="12.75" customHeight="1">
      <c r="A925" s="15">
        <v>208</v>
      </c>
      <c r="B925" s="92">
        <f t="shared" si="213"/>
        <v>920</v>
      </c>
      <c r="C925" s="320">
        <v>43010</v>
      </c>
      <c r="D925" s="321"/>
      <c r="E925" s="323" t="str">
        <f t="shared" ca="1" si="221"/>
        <v/>
      </c>
      <c r="F925" s="322" t="str">
        <f t="shared" ca="1" si="223"/>
        <v/>
      </c>
      <c r="G925" s="325"/>
      <c r="H925" s="325"/>
      <c r="I925" s="325" t="str">
        <f t="shared" si="214"/>
        <v/>
      </c>
      <c r="J925" s="325" t="str">
        <f t="shared" si="224"/>
        <v/>
      </c>
      <c r="K925" s="621" t="str">
        <f t="shared" si="215"/>
        <v/>
      </c>
      <c r="L925" s="325"/>
      <c r="M925" s="325"/>
      <c r="N925" s="378"/>
      <c r="O925" s="378" t="str">
        <f t="shared" si="217"/>
        <v/>
      </c>
      <c r="P925" s="325" t="str">
        <f t="shared" si="218"/>
        <v/>
      </c>
      <c r="Q925" s="325" t="str">
        <f t="shared" si="219"/>
        <v/>
      </c>
      <c r="R925" s="325" t="str">
        <f t="shared" si="222"/>
        <v/>
      </c>
      <c r="S925" s="609">
        <v>610100</v>
      </c>
      <c r="T925" s="325" t="str">
        <f>+IFERROR(VLOOKUP(S925,STAT1!$C$4:$D$189,2,FALSE),"")</f>
        <v>Борлуулсан барааны өртөг</v>
      </c>
      <c r="U925" s="1226">
        <v>155401.24674847498</v>
      </c>
      <c r="V925" s="1217"/>
      <c r="W925" s="326">
        <v>4002</v>
      </c>
      <c r="X925" s="328" t="str">
        <f>IFERROR(VLOOKUP(W925,DATA!$G$4:$H$400,2,FALSE),"")</f>
        <v xml:space="preserve">Хувь хүн </v>
      </c>
      <c r="Y925" s="1205"/>
      <c r="Z925" s="1205"/>
      <c r="AA925" s="1205"/>
    </row>
    <row r="926" spans="1:27" ht="12.75" customHeight="1">
      <c r="A926" s="15">
        <v>208</v>
      </c>
      <c r="B926" s="92">
        <f t="shared" si="213"/>
        <v>921</v>
      </c>
      <c r="C926" s="320">
        <v>43010</v>
      </c>
      <c r="D926" s="321"/>
      <c r="E926" s="323" t="str">
        <f t="shared" ca="1" si="221"/>
        <v/>
      </c>
      <c r="F926" s="322" t="str">
        <f t="shared" ca="1" si="223"/>
        <v/>
      </c>
      <c r="G926" s="325"/>
      <c r="H926" s="325"/>
      <c r="I926" s="325" t="str">
        <f t="shared" si="214"/>
        <v/>
      </c>
      <c r="J926" s="325" t="str">
        <f t="shared" si="224"/>
        <v/>
      </c>
      <c r="K926" s="621" t="str">
        <f t="shared" si="215"/>
        <v/>
      </c>
      <c r="L926" s="325"/>
      <c r="M926" s="325"/>
      <c r="N926" s="378"/>
      <c r="O926" s="378" t="str">
        <f t="shared" si="217"/>
        <v/>
      </c>
      <c r="P926" s="325" t="str">
        <f t="shared" si="218"/>
        <v/>
      </c>
      <c r="Q926" s="325" t="str">
        <f t="shared" si="219"/>
        <v/>
      </c>
      <c r="R926" s="325" t="str">
        <f t="shared" si="222"/>
        <v/>
      </c>
      <c r="S926" s="609">
        <v>310500</v>
      </c>
      <c r="T926" s="325" t="str">
        <f>+IFERROR(VLOOKUP(S926,STAT1!$C$4:$D$189,2,FALSE),"")</f>
        <v>НӨАТ өглөг</v>
      </c>
      <c r="U926" s="1226"/>
      <c r="V926" s="1217">
        <v>36000</v>
      </c>
      <c r="W926" s="326">
        <v>4002</v>
      </c>
      <c r="X926" s="328" t="str">
        <f>IFERROR(VLOOKUP(W926,DATA!$G$4:$H$400,2,FALSE),"")</f>
        <v xml:space="preserve">Хувь хүн </v>
      </c>
      <c r="Y926" s="1205"/>
      <c r="Z926" s="1205"/>
      <c r="AA926" s="1205"/>
    </row>
    <row r="927" spans="1:27" ht="12.75" customHeight="1">
      <c r="A927" s="15">
        <v>208</v>
      </c>
      <c r="B927" s="92">
        <f t="shared" si="213"/>
        <v>922</v>
      </c>
      <c r="C927" s="320">
        <v>43010</v>
      </c>
      <c r="D927" s="321"/>
      <c r="E927" s="323" t="str">
        <f t="shared" ca="1" si="221"/>
        <v/>
      </c>
      <c r="F927" s="322" t="str">
        <f t="shared" ca="1" si="223"/>
        <v/>
      </c>
      <c r="G927" s="325"/>
      <c r="H927" s="325"/>
      <c r="I927" s="325" t="str">
        <f t="shared" si="214"/>
        <v/>
      </c>
      <c r="J927" s="325" t="str">
        <f t="shared" si="224"/>
        <v/>
      </c>
      <c r="K927" s="621" t="str">
        <f t="shared" si="215"/>
        <v/>
      </c>
      <c r="L927" s="325"/>
      <c r="M927" s="325"/>
      <c r="N927" s="378"/>
      <c r="O927" s="378" t="str">
        <f t="shared" si="217"/>
        <v/>
      </c>
      <c r="P927" s="325" t="str">
        <f t="shared" si="218"/>
        <v/>
      </c>
      <c r="Q927" s="325" t="str">
        <f t="shared" si="219"/>
        <v/>
      </c>
      <c r="R927" s="325" t="str">
        <f t="shared" si="222"/>
        <v/>
      </c>
      <c r="S927" s="609">
        <v>510000</v>
      </c>
      <c r="T927" s="325" t="str">
        <f>+IFERROR(VLOOKUP(S927,STAT1!$C$4:$D$189,2,FALSE),"")</f>
        <v>Үндсэн үйл ажиллагааны борлуулалт</v>
      </c>
      <c r="U927" s="1226"/>
      <c r="V927" s="1217">
        <v>360000</v>
      </c>
      <c r="W927" s="326">
        <v>4002</v>
      </c>
      <c r="X927" s="328" t="str">
        <f>IFERROR(VLOOKUP(W927,DATA!$G$4:$H$400,2,FALSE),"")</f>
        <v xml:space="preserve">Хувь хүн </v>
      </c>
      <c r="Y927" s="1205"/>
      <c r="Z927" s="1205"/>
      <c r="AA927" s="1205"/>
    </row>
    <row r="928" spans="1:27" ht="12.75" customHeight="1">
      <c r="A928" s="15">
        <v>208</v>
      </c>
      <c r="B928" s="92">
        <f t="shared" si="213"/>
        <v>923</v>
      </c>
      <c r="C928" s="320">
        <v>43010</v>
      </c>
      <c r="D928" s="321"/>
      <c r="E928" s="323" t="str">
        <f t="shared" ca="1" si="221"/>
        <v/>
      </c>
      <c r="F928" s="322" t="str">
        <f t="shared" ca="1" si="223"/>
        <v/>
      </c>
      <c r="G928" s="325"/>
      <c r="H928" s="325"/>
      <c r="I928" s="325" t="str">
        <f t="shared" si="214"/>
        <v/>
      </c>
      <c r="J928" s="325" t="str">
        <f t="shared" si="224"/>
        <v/>
      </c>
      <c r="K928" s="621" t="str">
        <f t="shared" si="215"/>
        <v/>
      </c>
      <c r="L928" s="325"/>
      <c r="M928" s="325"/>
      <c r="N928" s="378"/>
      <c r="O928" s="378" t="str">
        <f t="shared" si="217"/>
        <v/>
      </c>
      <c r="P928" s="325" t="str">
        <f t="shared" si="218"/>
        <v/>
      </c>
      <c r="Q928" s="325" t="str">
        <f t="shared" si="219"/>
        <v/>
      </c>
      <c r="R928" s="325" t="str">
        <f t="shared" si="222"/>
        <v/>
      </c>
      <c r="S928" s="609">
        <v>320100</v>
      </c>
      <c r="T928" s="325" t="str">
        <f>+IFERROR(VLOOKUP(S928,STAT1!$C$4:$D$189,2,FALSE),"")</f>
        <v>Урьдчилж орсон орлого MNT</v>
      </c>
      <c r="U928" s="1226">
        <v>396000</v>
      </c>
      <c r="V928" s="1217"/>
      <c r="W928" s="326">
        <v>4002</v>
      </c>
      <c r="X928" s="328" t="str">
        <f>IFERROR(VLOOKUP(W928,DATA!$G$4:$H$400,2,FALSE),"")</f>
        <v xml:space="preserve">Хувь хүн </v>
      </c>
      <c r="Y928" s="1205"/>
      <c r="Z928" s="1205"/>
      <c r="AA928" s="1205"/>
    </row>
    <row r="929" spans="1:27" ht="12.75" customHeight="1">
      <c r="A929" s="15">
        <v>209</v>
      </c>
      <c r="B929" s="92">
        <f t="shared" si="213"/>
        <v>924</v>
      </c>
      <c r="C929" s="320">
        <v>43012</v>
      </c>
      <c r="D929" s="321">
        <v>211501</v>
      </c>
      <c r="E929" s="323" t="str">
        <f t="shared" ca="1" si="221"/>
        <v>Н-Евровагонка /зузаан-2.2см/</v>
      </c>
      <c r="F929" s="322" t="str">
        <f t="shared" ca="1" si="223"/>
        <v>м2</v>
      </c>
      <c r="G929" s="325"/>
      <c r="H929" s="325"/>
      <c r="I929" s="325" t="str">
        <f t="shared" si="214"/>
        <v/>
      </c>
      <c r="J929" s="325" t="str">
        <f t="shared" si="224"/>
        <v/>
      </c>
      <c r="K929" s="621" t="str">
        <f t="shared" si="215"/>
        <v/>
      </c>
      <c r="L929" s="325">
        <v>17.28</v>
      </c>
      <c r="M929" s="325">
        <v>30000</v>
      </c>
      <c r="N929" s="378">
        <f t="shared" ref="N929:N960" si="225">+IF(L929="","",L929*M929)</f>
        <v>518400.00000000006</v>
      </c>
      <c r="O929" s="378">
        <f t="shared" si="217"/>
        <v>51840.000000000007</v>
      </c>
      <c r="P929" s="325">
        <f t="shared" si="218"/>
        <v>570240.00000000012</v>
      </c>
      <c r="Q929" s="325">
        <f t="shared" ca="1" si="219"/>
        <v>13118.37</v>
      </c>
      <c r="R929" s="325">
        <f t="shared" ca="1" si="222"/>
        <v>226685.43360000002</v>
      </c>
      <c r="S929" s="609">
        <v>150101</v>
      </c>
      <c r="T929" s="325" t="str">
        <f>+IFERROR(VLOOKUP(S929,STAT1!$C$4:$D$189,2,FALSE),"")</f>
        <v>Бараа бэлэн бүтээгдэхүүн БОЛОВСРУУЛАХ ЦЕХ /нарс/</v>
      </c>
      <c r="U929" s="1226"/>
      <c r="V929" s="1217">
        <v>226685.43360000002</v>
      </c>
      <c r="W929" s="326">
        <v>3006</v>
      </c>
      <c r="X929" s="328" t="str">
        <f>IFERROR(VLOOKUP(W929,DATA!$G$4:$H$400,2,FALSE),"")</f>
        <v xml:space="preserve">ПАЙОНЕРИНГ ИНТЕРНЭШНЛ ХХК </v>
      </c>
      <c r="Y929" s="1205"/>
      <c r="Z929" s="1205"/>
      <c r="AA929" s="1205"/>
    </row>
    <row r="930" spans="1:27" ht="12.75" customHeight="1">
      <c r="A930" s="15">
        <v>209</v>
      </c>
      <c r="B930" s="92">
        <f t="shared" si="213"/>
        <v>925</v>
      </c>
      <c r="C930" s="320">
        <v>43012</v>
      </c>
      <c r="D930" s="321"/>
      <c r="E930" s="323" t="str">
        <f t="shared" ca="1" si="221"/>
        <v/>
      </c>
      <c r="F930" s="322" t="str">
        <f t="shared" ca="1" si="223"/>
        <v/>
      </c>
      <c r="G930" s="325"/>
      <c r="H930" s="325"/>
      <c r="I930" s="325" t="str">
        <f t="shared" si="214"/>
        <v/>
      </c>
      <c r="J930" s="325" t="str">
        <f t="shared" si="224"/>
        <v/>
      </c>
      <c r="K930" s="621" t="str">
        <f t="shared" si="215"/>
        <v/>
      </c>
      <c r="L930" s="325"/>
      <c r="M930" s="325"/>
      <c r="N930" s="378" t="str">
        <f t="shared" si="225"/>
        <v/>
      </c>
      <c r="O930" s="378" t="str">
        <f t="shared" si="217"/>
        <v/>
      </c>
      <c r="P930" s="325" t="str">
        <f t="shared" si="218"/>
        <v/>
      </c>
      <c r="Q930" s="325" t="str">
        <f t="shared" si="219"/>
        <v/>
      </c>
      <c r="R930" s="325" t="str">
        <f t="shared" si="222"/>
        <v/>
      </c>
      <c r="S930" s="609">
        <v>610100</v>
      </c>
      <c r="T930" s="325" t="str">
        <f>+IFERROR(VLOOKUP(S930,STAT1!$C$4:$D$189,2,FALSE),"")</f>
        <v>Борлуулсан барааны өртөг</v>
      </c>
      <c r="U930" s="1226">
        <v>226685.43360000002</v>
      </c>
      <c r="V930" s="1217"/>
      <c r="W930" s="326">
        <v>3006</v>
      </c>
      <c r="X930" s="328" t="str">
        <f>IFERROR(VLOOKUP(W930,DATA!$G$4:$H$400,2,FALSE),"")</f>
        <v xml:space="preserve">ПАЙОНЕРИНГ ИНТЕРНЭШНЛ ХХК </v>
      </c>
      <c r="Y930" s="1205"/>
      <c r="Z930" s="1205"/>
      <c r="AA930" s="1205"/>
    </row>
    <row r="931" spans="1:27" ht="12.75" customHeight="1">
      <c r="A931" s="15">
        <v>209</v>
      </c>
      <c r="B931" s="92">
        <f t="shared" si="213"/>
        <v>926</v>
      </c>
      <c r="C931" s="320">
        <v>43012</v>
      </c>
      <c r="D931" s="321"/>
      <c r="E931" s="323" t="str">
        <f t="shared" ca="1" si="221"/>
        <v/>
      </c>
      <c r="F931" s="322" t="str">
        <f t="shared" ca="1" si="223"/>
        <v/>
      </c>
      <c r="G931" s="325"/>
      <c r="H931" s="325"/>
      <c r="I931" s="325" t="str">
        <f t="shared" si="214"/>
        <v/>
      </c>
      <c r="J931" s="325" t="str">
        <f t="shared" si="224"/>
        <v/>
      </c>
      <c r="K931" s="621" t="str">
        <f t="shared" si="215"/>
        <v/>
      </c>
      <c r="L931" s="325"/>
      <c r="M931" s="325"/>
      <c r="N931" s="378" t="str">
        <f t="shared" si="225"/>
        <v/>
      </c>
      <c r="O931" s="378" t="str">
        <f t="shared" si="217"/>
        <v/>
      </c>
      <c r="P931" s="325" t="str">
        <f t="shared" si="218"/>
        <v/>
      </c>
      <c r="Q931" s="325" t="str">
        <f t="shared" si="219"/>
        <v/>
      </c>
      <c r="R931" s="325" t="str">
        <f t="shared" si="222"/>
        <v/>
      </c>
      <c r="S931" s="609">
        <v>310500</v>
      </c>
      <c r="T931" s="325" t="str">
        <f>+IFERROR(VLOOKUP(S931,STAT1!$C$4:$D$189,2,FALSE),"")</f>
        <v>НӨАТ өглөг</v>
      </c>
      <c r="U931" s="1226"/>
      <c r="V931" s="1217">
        <v>51840</v>
      </c>
      <c r="W931" s="326">
        <v>3006</v>
      </c>
      <c r="X931" s="328" t="str">
        <f>IFERROR(VLOOKUP(W931,DATA!$G$4:$H$400,2,FALSE),"")</f>
        <v xml:space="preserve">ПАЙОНЕРИНГ ИНТЕРНЭШНЛ ХХК </v>
      </c>
      <c r="Y931" s="1205"/>
      <c r="Z931" s="1205"/>
      <c r="AA931" s="1205"/>
    </row>
    <row r="932" spans="1:27" ht="12.75" customHeight="1">
      <c r="A932" s="15">
        <v>209</v>
      </c>
      <c r="B932" s="92">
        <f t="shared" si="213"/>
        <v>927</v>
      </c>
      <c r="C932" s="320">
        <v>43012</v>
      </c>
      <c r="D932" s="321"/>
      <c r="E932" s="323" t="str">
        <f t="shared" ca="1" si="221"/>
        <v/>
      </c>
      <c r="F932" s="322" t="str">
        <f t="shared" ca="1" si="223"/>
        <v/>
      </c>
      <c r="G932" s="325"/>
      <c r="H932" s="325"/>
      <c r="I932" s="325" t="str">
        <f t="shared" si="214"/>
        <v/>
      </c>
      <c r="J932" s="325" t="str">
        <f t="shared" si="224"/>
        <v/>
      </c>
      <c r="K932" s="621" t="str">
        <f t="shared" si="215"/>
        <v/>
      </c>
      <c r="L932" s="325"/>
      <c r="M932" s="325"/>
      <c r="N932" s="378" t="str">
        <f t="shared" si="225"/>
        <v/>
      </c>
      <c r="O932" s="378" t="str">
        <f t="shared" si="217"/>
        <v/>
      </c>
      <c r="P932" s="325" t="str">
        <f t="shared" si="218"/>
        <v/>
      </c>
      <c r="Q932" s="325" t="str">
        <f t="shared" si="219"/>
        <v/>
      </c>
      <c r="R932" s="325" t="str">
        <f t="shared" si="222"/>
        <v/>
      </c>
      <c r="S932" s="609">
        <v>510000</v>
      </c>
      <c r="T932" s="325" t="str">
        <f>+IFERROR(VLOOKUP(S932,STAT1!$C$4:$D$189,2,FALSE),"")</f>
        <v>Үндсэн үйл ажиллагааны борлуулалт</v>
      </c>
      <c r="U932" s="1226"/>
      <c r="V932" s="1217">
        <v>518400</v>
      </c>
      <c r="W932" s="326">
        <v>3006</v>
      </c>
      <c r="X932" s="328" t="str">
        <f>IFERROR(VLOOKUP(W932,DATA!$G$4:$H$400,2,FALSE),"")</f>
        <v xml:space="preserve">ПАЙОНЕРИНГ ИНТЕРНЭШНЛ ХХК </v>
      </c>
      <c r="Y932" s="1205"/>
      <c r="Z932" s="1205"/>
      <c r="AA932" s="1205"/>
    </row>
    <row r="933" spans="1:27" ht="12.75" customHeight="1">
      <c r="A933" s="15">
        <v>209</v>
      </c>
      <c r="B933" s="92">
        <f t="shared" ref="B933:B996" si="226">IF(C933="","",ROW()-5)</f>
        <v>928</v>
      </c>
      <c r="C933" s="320">
        <v>43012</v>
      </c>
      <c r="D933" s="321"/>
      <c r="E933" s="323" t="str">
        <f t="shared" ca="1" si="221"/>
        <v/>
      </c>
      <c r="F933" s="322" t="str">
        <f t="shared" ca="1" si="223"/>
        <v/>
      </c>
      <c r="G933" s="325"/>
      <c r="H933" s="325"/>
      <c r="I933" s="325" t="str">
        <f t="shared" si="214"/>
        <v/>
      </c>
      <c r="J933" s="325" t="str">
        <f t="shared" si="224"/>
        <v/>
      </c>
      <c r="K933" s="621" t="str">
        <f t="shared" si="215"/>
        <v/>
      </c>
      <c r="L933" s="325"/>
      <c r="M933" s="325"/>
      <c r="N933" s="378" t="str">
        <f t="shared" si="225"/>
        <v/>
      </c>
      <c r="O933" s="378" t="str">
        <f t="shared" si="217"/>
        <v/>
      </c>
      <c r="P933" s="325" t="str">
        <f t="shared" si="218"/>
        <v/>
      </c>
      <c r="Q933" s="325" t="str">
        <f t="shared" si="219"/>
        <v/>
      </c>
      <c r="R933" s="325" t="str">
        <f t="shared" si="222"/>
        <v/>
      </c>
      <c r="S933" s="609">
        <v>320100</v>
      </c>
      <c r="T933" s="325" t="str">
        <f>+IFERROR(VLOOKUP(S933,STAT1!$C$4:$D$189,2,FALSE),"")</f>
        <v>Урьдчилж орсон орлого MNT</v>
      </c>
      <c r="U933" s="1226">
        <v>570240</v>
      </c>
      <c r="V933" s="1217"/>
      <c r="W933" s="326">
        <v>3006</v>
      </c>
      <c r="X933" s="328" t="str">
        <f>IFERROR(VLOOKUP(W933,DATA!$G$4:$H$400,2,FALSE),"")</f>
        <v xml:space="preserve">ПАЙОНЕРИНГ ИНТЕРНЭШНЛ ХХК </v>
      </c>
      <c r="Y933" s="1205"/>
      <c r="Z933" s="1205"/>
      <c r="AA933" s="1205"/>
    </row>
    <row r="934" spans="1:27" ht="12.75" customHeight="1">
      <c r="A934" s="15">
        <v>210</v>
      </c>
      <c r="B934" s="92">
        <f t="shared" si="226"/>
        <v>929</v>
      </c>
      <c r="C934" s="320">
        <v>43014</v>
      </c>
      <c r="D934" s="321">
        <v>211501</v>
      </c>
      <c r="E934" s="323" t="str">
        <f t="shared" ca="1" si="221"/>
        <v>Н-Евровагонка /зузаан-2.2см/</v>
      </c>
      <c r="F934" s="322" t="str">
        <f t="shared" ca="1" si="223"/>
        <v>м2</v>
      </c>
      <c r="G934" s="325"/>
      <c r="H934" s="325"/>
      <c r="I934" s="325" t="str">
        <f t="shared" si="214"/>
        <v/>
      </c>
      <c r="J934" s="325" t="str">
        <f t="shared" si="224"/>
        <v/>
      </c>
      <c r="K934" s="621" t="str">
        <f t="shared" si="215"/>
        <v/>
      </c>
      <c r="L934" s="325">
        <v>9.36</v>
      </c>
      <c r="M934" s="325">
        <v>30000</v>
      </c>
      <c r="N934" s="378">
        <f t="shared" si="225"/>
        <v>280800</v>
      </c>
      <c r="O934" s="378">
        <f t="shared" si="217"/>
        <v>28080</v>
      </c>
      <c r="P934" s="325">
        <f t="shared" si="218"/>
        <v>308880</v>
      </c>
      <c r="Q934" s="325">
        <f t="shared" ca="1" si="219"/>
        <v>13118.37</v>
      </c>
      <c r="R934" s="325">
        <f t="shared" ca="1" si="222"/>
        <v>122787.94319999999</v>
      </c>
      <c r="S934" s="609">
        <v>150101</v>
      </c>
      <c r="T934" s="325" t="str">
        <f>+IFERROR(VLOOKUP(S934,STAT1!$C$4:$D$189,2,FALSE),"")</f>
        <v>Бараа бэлэн бүтээгдэхүүн БОЛОВСРУУЛАХ ЦЕХ /нарс/</v>
      </c>
      <c r="U934" s="1226"/>
      <c r="V934" s="1217">
        <v>122787.94319999999</v>
      </c>
      <c r="W934" s="326">
        <v>3006</v>
      </c>
      <c r="X934" s="328" t="str">
        <f>IFERROR(VLOOKUP(W934,DATA!$G$4:$H$400,2,FALSE),"")</f>
        <v xml:space="preserve">ПАЙОНЕРИНГ ИНТЕРНЭШНЛ ХХК </v>
      </c>
      <c r="Y934" s="1205"/>
      <c r="Z934" s="1205"/>
      <c r="AA934" s="1205"/>
    </row>
    <row r="935" spans="1:27" ht="12.75" customHeight="1">
      <c r="A935" s="15">
        <v>210</v>
      </c>
      <c r="B935" s="92">
        <f t="shared" si="226"/>
        <v>930</v>
      </c>
      <c r="C935" s="320">
        <v>43014</v>
      </c>
      <c r="D935" s="321"/>
      <c r="E935" s="323" t="str">
        <f t="shared" ca="1" si="221"/>
        <v/>
      </c>
      <c r="F935" s="322" t="str">
        <f t="shared" ca="1" si="223"/>
        <v/>
      </c>
      <c r="G935" s="325"/>
      <c r="H935" s="325"/>
      <c r="I935" s="325" t="str">
        <f t="shared" si="214"/>
        <v/>
      </c>
      <c r="J935" s="325" t="str">
        <f t="shared" si="224"/>
        <v/>
      </c>
      <c r="K935" s="621" t="str">
        <f t="shared" si="215"/>
        <v/>
      </c>
      <c r="L935" s="325"/>
      <c r="M935" s="325"/>
      <c r="N935" s="378" t="str">
        <f t="shared" si="225"/>
        <v/>
      </c>
      <c r="O935" s="378" t="str">
        <f t="shared" si="217"/>
        <v/>
      </c>
      <c r="P935" s="325" t="str">
        <f t="shared" si="218"/>
        <v/>
      </c>
      <c r="Q935" s="325" t="str">
        <f t="shared" si="219"/>
        <v/>
      </c>
      <c r="R935" s="325" t="str">
        <f t="shared" si="222"/>
        <v/>
      </c>
      <c r="S935" s="609">
        <v>610100</v>
      </c>
      <c r="T935" s="325" t="str">
        <f>+IFERROR(VLOOKUP(S935,STAT1!$C$4:$D$189,2,FALSE),"")</f>
        <v>Борлуулсан барааны өртөг</v>
      </c>
      <c r="U935" s="1226">
        <v>122787.94319999999</v>
      </c>
      <c r="V935" s="1217"/>
      <c r="W935" s="326">
        <v>3006</v>
      </c>
      <c r="X935" s="328" t="str">
        <f>IFERROR(VLOOKUP(W935,DATA!$G$4:$H$400,2,FALSE),"")</f>
        <v xml:space="preserve">ПАЙОНЕРИНГ ИНТЕРНЭШНЛ ХХК </v>
      </c>
      <c r="Y935" s="1205"/>
      <c r="Z935" s="1205"/>
      <c r="AA935" s="1205"/>
    </row>
    <row r="936" spans="1:27" ht="12.75" customHeight="1">
      <c r="A936" s="15">
        <v>210</v>
      </c>
      <c r="B936" s="92">
        <f t="shared" si="226"/>
        <v>931</v>
      </c>
      <c r="C936" s="320">
        <v>43014</v>
      </c>
      <c r="D936" s="321"/>
      <c r="E936" s="323" t="str">
        <f t="shared" ca="1" si="221"/>
        <v/>
      </c>
      <c r="F936" s="322" t="str">
        <f t="shared" ca="1" si="223"/>
        <v/>
      </c>
      <c r="G936" s="325"/>
      <c r="H936" s="325"/>
      <c r="I936" s="325" t="str">
        <f t="shared" si="214"/>
        <v/>
      </c>
      <c r="J936" s="325" t="str">
        <f t="shared" si="224"/>
        <v/>
      </c>
      <c r="K936" s="621" t="str">
        <f t="shared" si="215"/>
        <v/>
      </c>
      <c r="L936" s="325"/>
      <c r="M936" s="325"/>
      <c r="N936" s="378" t="str">
        <f t="shared" si="225"/>
        <v/>
      </c>
      <c r="O936" s="378" t="str">
        <f t="shared" si="217"/>
        <v/>
      </c>
      <c r="P936" s="325" t="str">
        <f t="shared" si="218"/>
        <v/>
      </c>
      <c r="Q936" s="325" t="str">
        <f t="shared" si="219"/>
        <v/>
      </c>
      <c r="R936" s="325" t="str">
        <f t="shared" si="222"/>
        <v/>
      </c>
      <c r="S936" s="609">
        <v>310500</v>
      </c>
      <c r="T936" s="325" t="str">
        <f>+IFERROR(VLOOKUP(S936,STAT1!$C$4:$D$189,2,FALSE),"")</f>
        <v>НӨАТ өглөг</v>
      </c>
      <c r="U936" s="1226"/>
      <c r="V936" s="1217">
        <v>28080</v>
      </c>
      <c r="W936" s="326">
        <v>3006</v>
      </c>
      <c r="X936" s="328" t="str">
        <f>IFERROR(VLOOKUP(W936,DATA!$G$4:$H$400,2,FALSE),"")</f>
        <v xml:space="preserve">ПАЙОНЕРИНГ ИНТЕРНЭШНЛ ХХК </v>
      </c>
      <c r="Y936" s="1205"/>
      <c r="Z936" s="1205"/>
      <c r="AA936" s="1205"/>
    </row>
    <row r="937" spans="1:27" ht="12.75" customHeight="1">
      <c r="A937" s="15">
        <v>210</v>
      </c>
      <c r="B937" s="92">
        <f t="shared" si="226"/>
        <v>932</v>
      </c>
      <c r="C937" s="320">
        <v>43014</v>
      </c>
      <c r="D937" s="321"/>
      <c r="E937" s="323" t="str">
        <f t="shared" ca="1" si="221"/>
        <v/>
      </c>
      <c r="F937" s="322" t="str">
        <f t="shared" ca="1" si="223"/>
        <v/>
      </c>
      <c r="G937" s="325"/>
      <c r="H937" s="325"/>
      <c r="I937" s="325" t="str">
        <f t="shared" si="214"/>
        <v/>
      </c>
      <c r="J937" s="325" t="str">
        <f t="shared" si="224"/>
        <v/>
      </c>
      <c r="K937" s="621" t="str">
        <f t="shared" si="215"/>
        <v/>
      </c>
      <c r="L937" s="325"/>
      <c r="M937" s="325"/>
      <c r="N937" s="378" t="str">
        <f t="shared" si="225"/>
        <v/>
      </c>
      <c r="O937" s="378" t="str">
        <f t="shared" si="217"/>
        <v/>
      </c>
      <c r="P937" s="325" t="str">
        <f t="shared" si="218"/>
        <v/>
      </c>
      <c r="Q937" s="325" t="str">
        <f t="shared" si="219"/>
        <v/>
      </c>
      <c r="R937" s="325" t="str">
        <f t="shared" si="222"/>
        <v/>
      </c>
      <c r="S937" s="609">
        <v>510000</v>
      </c>
      <c r="T937" s="325" t="str">
        <f>+IFERROR(VLOOKUP(S937,STAT1!$C$4:$D$189,2,FALSE),"")</f>
        <v>Үндсэн үйл ажиллагааны борлуулалт</v>
      </c>
      <c r="U937" s="1226"/>
      <c r="V937" s="1217">
        <v>280800</v>
      </c>
      <c r="W937" s="326">
        <v>3006</v>
      </c>
      <c r="X937" s="328" t="str">
        <f>IFERROR(VLOOKUP(W937,DATA!$G$4:$H$400,2,FALSE),"")</f>
        <v xml:space="preserve">ПАЙОНЕРИНГ ИНТЕРНЭШНЛ ХХК </v>
      </c>
      <c r="Y937" s="1205"/>
      <c r="Z937" s="1205"/>
      <c r="AA937" s="1205"/>
    </row>
    <row r="938" spans="1:27" ht="12.75" customHeight="1">
      <c r="A938" s="15">
        <v>210</v>
      </c>
      <c r="B938" s="92">
        <f t="shared" si="226"/>
        <v>933</v>
      </c>
      <c r="C938" s="320">
        <v>43014</v>
      </c>
      <c r="D938" s="321"/>
      <c r="E938" s="323" t="str">
        <f t="shared" ca="1" si="221"/>
        <v/>
      </c>
      <c r="F938" s="322" t="str">
        <f t="shared" ca="1" si="223"/>
        <v/>
      </c>
      <c r="G938" s="325"/>
      <c r="H938" s="325"/>
      <c r="I938" s="325" t="str">
        <f t="shared" si="214"/>
        <v/>
      </c>
      <c r="J938" s="325" t="str">
        <f t="shared" si="224"/>
        <v/>
      </c>
      <c r="K938" s="621" t="str">
        <f t="shared" si="215"/>
        <v/>
      </c>
      <c r="L938" s="325"/>
      <c r="M938" s="325"/>
      <c r="N938" s="378" t="str">
        <f t="shared" si="225"/>
        <v/>
      </c>
      <c r="O938" s="378" t="str">
        <f t="shared" si="217"/>
        <v/>
      </c>
      <c r="P938" s="325" t="str">
        <f t="shared" si="218"/>
        <v/>
      </c>
      <c r="Q938" s="325" t="str">
        <f t="shared" si="219"/>
        <v/>
      </c>
      <c r="R938" s="325" t="str">
        <f t="shared" si="222"/>
        <v/>
      </c>
      <c r="S938" s="609">
        <v>320100</v>
      </c>
      <c r="T938" s="325" t="str">
        <f>+IFERROR(VLOOKUP(S938,STAT1!$C$4:$D$189,2,FALSE),"")</f>
        <v>Урьдчилж орсон орлого MNT</v>
      </c>
      <c r="U938" s="1226">
        <v>308880</v>
      </c>
      <c r="V938" s="1217"/>
      <c r="W938" s="326">
        <v>3006</v>
      </c>
      <c r="X938" s="328" t="str">
        <f>IFERROR(VLOOKUP(W938,DATA!$G$4:$H$400,2,FALSE),"")</f>
        <v xml:space="preserve">ПАЙОНЕРИНГ ИНТЕРНЭШНЛ ХХК </v>
      </c>
      <c r="Y938" s="1205"/>
      <c r="Z938" s="1205"/>
      <c r="AA938" s="1205"/>
    </row>
    <row r="939" spans="1:27" ht="12.75" customHeight="1">
      <c r="A939" s="15">
        <v>211</v>
      </c>
      <c r="B939" s="92">
        <f t="shared" si="226"/>
        <v>934</v>
      </c>
      <c r="C939" s="320">
        <v>43017</v>
      </c>
      <c r="D939" s="321">
        <v>211401</v>
      </c>
      <c r="E939" s="323" t="str">
        <f t="shared" ca="1" si="221"/>
        <v xml:space="preserve">Н-Блок Хаус  /4.3*16.5см/-яртай </v>
      </c>
      <c r="F939" s="322" t="str">
        <f t="shared" ca="1" si="223"/>
        <v>м2</v>
      </c>
      <c r="G939" s="325"/>
      <c r="H939" s="325"/>
      <c r="I939" s="325" t="str">
        <f t="shared" si="214"/>
        <v/>
      </c>
      <c r="J939" s="325" t="str">
        <f t="shared" si="224"/>
        <v/>
      </c>
      <c r="K939" s="621" t="str">
        <f t="shared" si="215"/>
        <v/>
      </c>
      <c r="L939" s="325">
        <v>86.9</v>
      </c>
      <c r="M939" s="325">
        <v>67998.744600000005</v>
      </c>
      <c r="N939" s="325">
        <f t="shared" si="225"/>
        <v>5909090.9057400012</v>
      </c>
      <c r="O939" s="325">
        <f t="shared" si="217"/>
        <v>590909.09057400015</v>
      </c>
      <c r="P939" s="325">
        <f t="shared" si="218"/>
        <v>6499999.9963140013</v>
      </c>
      <c r="Q939" s="325">
        <f t="shared" ca="1" si="219"/>
        <v>51757.279787723157</v>
      </c>
      <c r="R939" s="325">
        <f t="shared" ca="1" si="222"/>
        <v>4497707.6135531422</v>
      </c>
      <c r="S939" s="609">
        <v>150101</v>
      </c>
      <c r="T939" s="325" t="str">
        <f>+IFERROR(VLOOKUP(S939,STAT1!$C$4:$D$189,2,FALSE),"")</f>
        <v>Бараа бэлэн бүтээгдэхүүн БОЛОВСРУУЛАХ ЦЕХ /нарс/</v>
      </c>
      <c r="U939" s="1226"/>
      <c r="V939" s="1217">
        <v>4497707.6135531422</v>
      </c>
      <c r="W939" s="326">
        <v>3099</v>
      </c>
      <c r="X939" s="328" t="str">
        <f>IFERROR(VLOOKUP(W939,DATA!$G$4:$H$400,2,FALSE),"")</f>
        <v>ÃÐÀÍÄ ÑËÀÁ ÕÕÊ</v>
      </c>
      <c r="Y939" s="1205"/>
      <c r="Z939" s="1205"/>
      <c r="AA939" s="1205"/>
    </row>
    <row r="940" spans="1:27" ht="12.75" customHeight="1">
      <c r="A940" s="15">
        <v>211</v>
      </c>
      <c r="B940" s="92">
        <f t="shared" si="226"/>
        <v>935</v>
      </c>
      <c r="C940" s="320">
        <v>43017</v>
      </c>
      <c r="D940" s="321"/>
      <c r="E940" s="323" t="str">
        <f t="shared" ca="1" si="221"/>
        <v/>
      </c>
      <c r="F940" s="322" t="str">
        <f t="shared" ca="1" si="223"/>
        <v/>
      </c>
      <c r="G940" s="325"/>
      <c r="H940" s="325"/>
      <c r="I940" s="325" t="str">
        <f t="shared" si="214"/>
        <v/>
      </c>
      <c r="J940" s="325" t="str">
        <f t="shared" si="224"/>
        <v/>
      </c>
      <c r="K940" s="621" t="str">
        <f t="shared" si="215"/>
        <v/>
      </c>
      <c r="L940" s="325"/>
      <c r="M940" s="325"/>
      <c r="N940" s="325" t="str">
        <f t="shared" si="225"/>
        <v/>
      </c>
      <c r="O940" s="325" t="str">
        <f t="shared" si="217"/>
        <v/>
      </c>
      <c r="P940" s="325" t="str">
        <f t="shared" si="218"/>
        <v/>
      </c>
      <c r="Q940" s="325" t="str">
        <f t="shared" si="219"/>
        <v/>
      </c>
      <c r="R940" s="325" t="str">
        <f t="shared" si="222"/>
        <v/>
      </c>
      <c r="S940" s="609">
        <v>610100</v>
      </c>
      <c r="T940" s="325" t="str">
        <f>+IFERROR(VLOOKUP(S940,STAT1!$C$4:$D$189,2,FALSE),"")</f>
        <v>Борлуулсан барааны өртөг</v>
      </c>
      <c r="U940" s="1226">
        <v>4497707.6135531422</v>
      </c>
      <c r="V940" s="1217"/>
      <c r="W940" s="326">
        <v>3099</v>
      </c>
      <c r="X940" s="328" t="str">
        <f>IFERROR(VLOOKUP(W940,DATA!$G$4:$H$400,2,FALSE),"")</f>
        <v>ÃÐÀÍÄ ÑËÀÁ ÕÕÊ</v>
      </c>
      <c r="Y940" s="1205"/>
      <c r="Z940" s="1205"/>
      <c r="AA940" s="1205"/>
    </row>
    <row r="941" spans="1:27" ht="12.75" customHeight="1">
      <c r="A941" s="15">
        <v>211</v>
      </c>
      <c r="B941" s="92">
        <f t="shared" si="226"/>
        <v>936</v>
      </c>
      <c r="C941" s="320">
        <v>43017</v>
      </c>
      <c r="D941" s="321"/>
      <c r="E941" s="323" t="str">
        <f t="shared" ca="1" si="221"/>
        <v/>
      </c>
      <c r="F941" s="322" t="str">
        <f t="shared" ca="1" si="223"/>
        <v/>
      </c>
      <c r="G941" s="325"/>
      <c r="H941" s="325"/>
      <c r="I941" s="325" t="str">
        <f t="shared" si="214"/>
        <v/>
      </c>
      <c r="J941" s="325" t="str">
        <f t="shared" si="224"/>
        <v/>
      </c>
      <c r="K941" s="621" t="str">
        <f t="shared" si="215"/>
        <v/>
      </c>
      <c r="L941" s="325"/>
      <c r="M941" s="325"/>
      <c r="N941" s="325" t="str">
        <f t="shared" si="225"/>
        <v/>
      </c>
      <c r="O941" s="325" t="str">
        <f t="shared" si="217"/>
        <v/>
      </c>
      <c r="P941" s="325" t="str">
        <f t="shared" si="218"/>
        <v/>
      </c>
      <c r="Q941" s="325" t="str">
        <f t="shared" si="219"/>
        <v/>
      </c>
      <c r="R941" s="325" t="str">
        <f t="shared" si="222"/>
        <v/>
      </c>
      <c r="S941" s="609">
        <v>310500</v>
      </c>
      <c r="T941" s="325" t="str">
        <f>+IFERROR(VLOOKUP(S941,STAT1!$C$4:$D$189,2,FALSE),"")</f>
        <v>НӨАТ өглөг</v>
      </c>
      <c r="U941" s="1226"/>
      <c r="V941" s="1217">
        <v>590909.09</v>
      </c>
      <c r="W941" s="326">
        <v>3099</v>
      </c>
      <c r="X941" s="328" t="str">
        <f>IFERROR(VLOOKUP(W941,DATA!$G$4:$H$400,2,FALSE),"")</f>
        <v>ÃÐÀÍÄ ÑËÀÁ ÕÕÊ</v>
      </c>
      <c r="Y941" s="1205"/>
      <c r="Z941" s="1205"/>
      <c r="AA941" s="1205"/>
    </row>
    <row r="942" spans="1:27" ht="12.75" customHeight="1">
      <c r="A942" s="15">
        <v>211</v>
      </c>
      <c r="B942" s="92">
        <f t="shared" si="226"/>
        <v>937</v>
      </c>
      <c r="C942" s="320">
        <v>43017</v>
      </c>
      <c r="D942" s="321"/>
      <c r="E942" s="323" t="str">
        <f t="shared" ca="1" si="221"/>
        <v/>
      </c>
      <c r="F942" s="322" t="str">
        <f t="shared" ca="1" si="223"/>
        <v/>
      </c>
      <c r="G942" s="325"/>
      <c r="H942" s="325"/>
      <c r="I942" s="325" t="str">
        <f t="shared" si="214"/>
        <v/>
      </c>
      <c r="J942" s="325" t="str">
        <f t="shared" si="224"/>
        <v/>
      </c>
      <c r="K942" s="621" t="str">
        <f t="shared" si="215"/>
        <v/>
      </c>
      <c r="L942" s="325"/>
      <c r="M942" s="325"/>
      <c r="N942" s="325" t="str">
        <f t="shared" si="225"/>
        <v/>
      </c>
      <c r="O942" s="325" t="str">
        <f t="shared" si="217"/>
        <v/>
      </c>
      <c r="P942" s="325" t="str">
        <f t="shared" si="218"/>
        <v/>
      </c>
      <c r="Q942" s="325" t="str">
        <f t="shared" si="219"/>
        <v/>
      </c>
      <c r="R942" s="325" t="str">
        <f t="shared" si="222"/>
        <v/>
      </c>
      <c r="S942" s="609">
        <v>510000</v>
      </c>
      <c r="T942" s="325" t="str">
        <f>+IFERROR(VLOOKUP(S942,STAT1!$C$4:$D$189,2,FALSE),"")</f>
        <v>Үндсэн үйл ажиллагааны борлуулалт</v>
      </c>
      <c r="U942" s="1226"/>
      <c r="V942" s="1217">
        <v>5909090.9100000001</v>
      </c>
      <c r="W942" s="326">
        <v>3099</v>
      </c>
      <c r="X942" s="328" t="str">
        <f>IFERROR(VLOOKUP(W942,DATA!$G$4:$H$400,2,FALSE),"")</f>
        <v>ÃÐÀÍÄ ÑËÀÁ ÕÕÊ</v>
      </c>
      <c r="Y942" s="1205"/>
      <c r="Z942" s="1205"/>
      <c r="AA942" s="1205"/>
    </row>
    <row r="943" spans="1:27" ht="12.75" customHeight="1">
      <c r="A943" s="15">
        <v>211</v>
      </c>
      <c r="B943" s="92">
        <f t="shared" si="226"/>
        <v>938</v>
      </c>
      <c r="C943" s="320">
        <v>43017</v>
      </c>
      <c r="D943" s="321"/>
      <c r="E943" s="323" t="str">
        <f t="shared" ca="1" si="221"/>
        <v/>
      </c>
      <c r="F943" s="322" t="str">
        <f t="shared" ca="1" si="223"/>
        <v/>
      </c>
      <c r="G943" s="325"/>
      <c r="H943" s="325"/>
      <c r="I943" s="325" t="str">
        <f t="shared" si="214"/>
        <v/>
      </c>
      <c r="J943" s="325" t="str">
        <f t="shared" si="224"/>
        <v/>
      </c>
      <c r="K943" s="621" t="str">
        <f t="shared" si="215"/>
        <v/>
      </c>
      <c r="L943" s="325"/>
      <c r="M943" s="325"/>
      <c r="N943" s="378" t="str">
        <f t="shared" si="225"/>
        <v/>
      </c>
      <c r="O943" s="378" t="str">
        <f t="shared" si="217"/>
        <v/>
      </c>
      <c r="P943" s="325" t="str">
        <f t="shared" si="218"/>
        <v/>
      </c>
      <c r="Q943" s="325" t="str">
        <f t="shared" si="219"/>
        <v/>
      </c>
      <c r="R943" s="325" t="str">
        <f t="shared" ref="R943:R974" si="227">+IF(L943="","",L943*Q943)</f>
        <v/>
      </c>
      <c r="S943" s="609">
        <v>320100</v>
      </c>
      <c r="T943" s="325" t="str">
        <f>+IFERROR(VLOOKUP(S943,STAT1!$C$4:$D$189,2,FALSE),"")</f>
        <v>Урьдчилж орсон орлого MNT</v>
      </c>
      <c r="U943" s="1226">
        <v>6500000</v>
      </c>
      <c r="V943" s="1217"/>
      <c r="W943" s="326">
        <v>3099</v>
      </c>
      <c r="X943" s="328" t="str">
        <f>IFERROR(VLOOKUP(W943,DATA!$G$4:$H$400,2,FALSE),"")</f>
        <v>ÃÐÀÍÄ ÑËÀÁ ÕÕÊ</v>
      </c>
      <c r="Y943" s="1205"/>
      <c r="Z943" s="1205"/>
      <c r="AA943" s="1205"/>
    </row>
    <row r="944" spans="1:27" ht="12.75" customHeight="1">
      <c r="A944" s="15">
        <v>212</v>
      </c>
      <c r="B944" s="92">
        <f t="shared" si="226"/>
        <v>939</v>
      </c>
      <c r="C944" s="320">
        <v>43017</v>
      </c>
      <c r="D944" s="321">
        <v>211504</v>
      </c>
      <c r="E944" s="323" t="str">
        <f t="shared" ca="1" si="221"/>
        <v xml:space="preserve">Н-Евровагонка /зузаан-1.2см/-яртай </v>
      </c>
      <c r="F944" s="322" t="str">
        <f t="shared" ca="1" si="223"/>
        <v>м2</v>
      </c>
      <c r="G944" s="325"/>
      <c r="H944" s="325"/>
      <c r="I944" s="325" t="str">
        <f t="shared" si="214"/>
        <v/>
      </c>
      <c r="J944" s="325" t="str">
        <f t="shared" si="224"/>
        <v/>
      </c>
      <c r="K944" s="621" t="str">
        <f t="shared" si="215"/>
        <v/>
      </c>
      <c r="L944" s="325">
        <f>94545.45/18000</f>
        <v>5.2525249999999994</v>
      </c>
      <c r="M944" s="325">
        <v>18000</v>
      </c>
      <c r="N944" s="378">
        <f t="shared" si="225"/>
        <v>94545.45</v>
      </c>
      <c r="O944" s="378">
        <f t="shared" si="217"/>
        <v>9454.5450000000001</v>
      </c>
      <c r="P944" s="325">
        <f t="shared" si="218"/>
        <v>103999.995</v>
      </c>
      <c r="Q944" s="325">
        <f t="shared" ca="1" si="219"/>
        <v>11896.762377267905</v>
      </c>
      <c r="R944" s="325">
        <f t="shared" ca="1" si="227"/>
        <v>62488.041805659101</v>
      </c>
      <c r="S944" s="609">
        <v>150101</v>
      </c>
      <c r="T944" s="325" t="str">
        <f>+IFERROR(VLOOKUP(S944,STAT1!$C$4:$D$189,2,FALSE),"")</f>
        <v>Бараа бэлэн бүтээгдэхүүн БОЛОВСРУУЛАХ ЦЕХ /нарс/</v>
      </c>
      <c r="U944" s="1226"/>
      <c r="V944" s="1217">
        <v>62488.041805659101</v>
      </c>
      <c r="W944" s="326">
        <v>3100</v>
      </c>
      <c r="X944" s="328" t="str">
        <f>IFERROR(VLOOKUP(W944,DATA!$G$4:$H$400,2,FALSE),"")</f>
        <v xml:space="preserve">УЛЬТРАСОНИК ХХК </v>
      </c>
      <c r="Y944" s="1205"/>
      <c r="Z944" s="1205"/>
      <c r="AA944" s="1205"/>
    </row>
    <row r="945" spans="1:27" ht="12.75" customHeight="1">
      <c r="A945" s="15">
        <v>212</v>
      </c>
      <c r="B945" s="92">
        <f t="shared" si="226"/>
        <v>940</v>
      </c>
      <c r="C945" s="320">
        <v>43017</v>
      </c>
      <c r="D945" s="321"/>
      <c r="E945" s="323" t="str">
        <f t="shared" ca="1" si="221"/>
        <v/>
      </c>
      <c r="F945" s="322" t="str">
        <f t="shared" ca="1" si="223"/>
        <v/>
      </c>
      <c r="G945" s="325"/>
      <c r="H945" s="325"/>
      <c r="I945" s="325" t="str">
        <f t="shared" si="214"/>
        <v/>
      </c>
      <c r="J945" s="325" t="str">
        <f t="shared" si="224"/>
        <v/>
      </c>
      <c r="K945" s="621" t="str">
        <f t="shared" si="215"/>
        <v/>
      </c>
      <c r="L945" s="325"/>
      <c r="M945" s="325"/>
      <c r="N945" s="378" t="str">
        <f t="shared" si="225"/>
        <v/>
      </c>
      <c r="O945" s="378" t="str">
        <f t="shared" si="217"/>
        <v/>
      </c>
      <c r="P945" s="325" t="str">
        <f t="shared" si="218"/>
        <v/>
      </c>
      <c r="Q945" s="325" t="str">
        <f t="shared" si="219"/>
        <v/>
      </c>
      <c r="R945" s="325" t="str">
        <f t="shared" si="227"/>
        <v/>
      </c>
      <c r="S945" s="609">
        <v>610100</v>
      </c>
      <c r="T945" s="325" t="str">
        <f>+IFERROR(VLOOKUP(S945,STAT1!$C$4:$D$189,2,FALSE),"")</f>
        <v>Борлуулсан барааны өртөг</v>
      </c>
      <c r="U945" s="1226">
        <v>62488.041805659101</v>
      </c>
      <c r="V945" s="1217"/>
      <c r="W945" s="326">
        <v>3100</v>
      </c>
      <c r="X945" s="328" t="str">
        <f>IFERROR(VLOOKUP(W945,DATA!$G$4:$H$400,2,FALSE),"")</f>
        <v xml:space="preserve">УЛЬТРАСОНИК ХХК </v>
      </c>
      <c r="Y945" s="1205"/>
      <c r="Z945" s="1205"/>
      <c r="AA945" s="1205"/>
    </row>
    <row r="946" spans="1:27" ht="12.75" customHeight="1">
      <c r="A946" s="15">
        <v>212</v>
      </c>
      <c r="B946" s="92">
        <f t="shared" si="226"/>
        <v>941</v>
      </c>
      <c r="C946" s="320">
        <v>43017</v>
      </c>
      <c r="D946" s="321"/>
      <c r="E946" s="323" t="str">
        <f t="shared" ca="1" si="221"/>
        <v/>
      </c>
      <c r="F946" s="322" t="str">
        <f t="shared" ca="1" si="223"/>
        <v/>
      </c>
      <c r="G946" s="325"/>
      <c r="H946" s="325"/>
      <c r="I946" s="325" t="str">
        <f t="shared" si="214"/>
        <v/>
      </c>
      <c r="J946" s="325" t="str">
        <f t="shared" si="224"/>
        <v/>
      </c>
      <c r="K946" s="621" t="str">
        <f t="shared" si="215"/>
        <v/>
      </c>
      <c r="L946" s="325"/>
      <c r="M946" s="325"/>
      <c r="N946" s="378" t="str">
        <f t="shared" si="225"/>
        <v/>
      </c>
      <c r="O946" s="378" t="str">
        <f t="shared" si="217"/>
        <v/>
      </c>
      <c r="P946" s="325" t="str">
        <f t="shared" si="218"/>
        <v/>
      </c>
      <c r="Q946" s="325" t="str">
        <f t="shared" si="219"/>
        <v/>
      </c>
      <c r="R946" s="325" t="str">
        <f t="shared" si="227"/>
        <v/>
      </c>
      <c r="S946" s="609">
        <v>310500</v>
      </c>
      <c r="T946" s="325" t="str">
        <f>+IFERROR(VLOOKUP(S946,STAT1!$C$4:$D$189,2,FALSE),"")</f>
        <v>НӨАТ өглөг</v>
      </c>
      <c r="U946" s="1226"/>
      <c r="V946" s="1217">
        <v>9454.5499999999993</v>
      </c>
      <c r="W946" s="326">
        <v>3100</v>
      </c>
      <c r="X946" s="328" t="str">
        <f>IFERROR(VLOOKUP(W946,DATA!$G$4:$H$400,2,FALSE),"")</f>
        <v xml:space="preserve">УЛЬТРАСОНИК ХХК </v>
      </c>
      <c r="Y946" s="1205"/>
      <c r="Z946" s="1205"/>
      <c r="AA946" s="1205"/>
    </row>
    <row r="947" spans="1:27" ht="12.75" customHeight="1">
      <c r="A947" s="15">
        <v>212</v>
      </c>
      <c r="B947" s="92">
        <f t="shared" si="226"/>
        <v>942</v>
      </c>
      <c r="C947" s="320">
        <v>43017</v>
      </c>
      <c r="D947" s="321"/>
      <c r="E947" s="323" t="str">
        <f t="shared" ca="1" si="221"/>
        <v/>
      </c>
      <c r="F947" s="322" t="str">
        <f t="shared" ca="1" si="223"/>
        <v/>
      </c>
      <c r="G947" s="325"/>
      <c r="H947" s="325"/>
      <c r="I947" s="325" t="str">
        <f t="shared" si="214"/>
        <v/>
      </c>
      <c r="J947" s="325" t="str">
        <f t="shared" si="224"/>
        <v/>
      </c>
      <c r="K947" s="621" t="str">
        <f t="shared" si="215"/>
        <v/>
      </c>
      <c r="L947" s="325"/>
      <c r="M947" s="325"/>
      <c r="N947" s="378" t="str">
        <f t="shared" si="225"/>
        <v/>
      </c>
      <c r="O947" s="378" t="str">
        <f t="shared" si="217"/>
        <v/>
      </c>
      <c r="P947" s="325" t="str">
        <f t="shared" si="218"/>
        <v/>
      </c>
      <c r="Q947" s="325" t="str">
        <f t="shared" si="219"/>
        <v/>
      </c>
      <c r="R947" s="325" t="str">
        <f t="shared" si="227"/>
        <v/>
      </c>
      <c r="S947" s="609">
        <v>510000</v>
      </c>
      <c r="T947" s="325" t="str">
        <f>+IFERROR(VLOOKUP(S947,STAT1!$C$4:$D$189,2,FALSE),"")</f>
        <v>Үндсэн үйл ажиллагааны борлуулалт</v>
      </c>
      <c r="U947" s="1226"/>
      <c r="V947" s="1217">
        <v>94545.45</v>
      </c>
      <c r="W947" s="326">
        <v>3100</v>
      </c>
      <c r="X947" s="328" t="str">
        <f>IFERROR(VLOOKUP(W947,DATA!$G$4:$H$400,2,FALSE),"")</f>
        <v xml:space="preserve">УЛЬТРАСОНИК ХХК </v>
      </c>
      <c r="Y947" s="1205"/>
      <c r="Z947" s="1205"/>
      <c r="AA947" s="1205"/>
    </row>
    <row r="948" spans="1:27" ht="12.75" customHeight="1">
      <c r="A948" s="15">
        <v>212</v>
      </c>
      <c r="B948" s="92">
        <f t="shared" si="226"/>
        <v>943</v>
      </c>
      <c r="C948" s="320">
        <v>43017</v>
      </c>
      <c r="D948" s="321"/>
      <c r="E948" s="323" t="str">
        <f t="shared" ca="1" si="221"/>
        <v/>
      </c>
      <c r="F948" s="322" t="str">
        <f t="shared" ca="1" si="223"/>
        <v/>
      </c>
      <c r="G948" s="325"/>
      <c r="H948" s="325"/>
      <c r="I948" s="325" t="str">
        <f t="shared" ref="I948:I1011" si="228">+IF(G948="","",G948*H948)</f>
        <v/>
      </c>
      <c r="J948" s="325" t="str">
        <f t="shared" si="224"/>
        <v/>
      </c>
      <c r="K948" s="621" t="str">
        <f t="shared" ref="K948:K1011" si="229">+IF(G948="","",I948+J948)</f>
        <v/>
      </c>
      <c r="L948" s="325"/>
      <c r="M948" s="325"/>
      <c r="N948" s="378" t="str">
        <f t="shared" si="225"/>
        <v/>
      </c>
      <c r="O948" s="378" t="str">
        <f t="shared" si="217"/>
        <v/>
      </c>
      <c r="P948" s="325" t="str">
        <f t="shared" si="218"/>
        <v/>
      </c>
      <c r="Q948" s="325" t="str">
        <f t="shared" si="219"/>
        <v/>
      </c>
      <c r="R948" s="325" t="str">
        <f t="shared" si="227"/>
        <v/>
      </c>
      <c r="S948" s="609">
        <v>320100</v>
      </c>
      <c r="T948" s="325" t="str">
        <f>+IFERROR(VLOOKUP(S948,STAT1!$C$4:$D$189,2,FALSE),"")</f>
        <v>Урьдчилж орсон орлого MNT</v>
      </c>
      <c r="U948" s="1226">
        <v>104000</v>
      </c>
      <c r="V948" s="1217"/>
      <c r="W948" s="326">
        <v>3100</v>
      </c>
      <c r="X948" s="328" t="str">
        <f>IFERROR(VLOOKUP(W948,DATA!$G$4:$H$400,2,FALSE),"")</f>
        <v xml:space="preserve">УЛЬТРАСОНИК ХХК </v>
      </c>
      <c r="Y948" s="1205"/>
      <c r="Z948" s="1205"/>
      <c r="AA948" s="1205"/>
    </row>
    <row r="949" spans="1:27" ht="12.75" customHeight="1">
      <c r="A949" s="15">
        <v>213</v>
      </c>
      <c r="B949" s="92">
        <f t="shared" si="226"/>
        <v>944</v>
      </c>
      <c r="C949" s="320">
        <v>43018</v>
      </c>
      <c r="D949" s="321">
        <v>211801</v>
      </c>
      <c r="E949" s="323" t="str">
        <f t="shared" ca="1" si="221"/>
        <v>Н-Ембүү /20*30мм/</v>
      </c>
      <c r="F949" s="322" t="str">
        <f t="shared" ca="1" si="223"/>
        <v>м</v>
      </c>
      <c r="G949" s="325"/>
      <c r="H949" s="325"/>
      <c r="I949" s="325" t="str">
        <f t="shared" si="228"/>
        <v/>
      </c>
      <c r="J949" s="325" t="str">
        <f t="shared" si="224"/>
        <v/>
      </c>
      <c r="K949" s="621" t="str">
        <f t="shared" si="229"/>
        <v/>
      </c>
      <c r="L949" s="325">
        <v>300</v>
      </c>
      <c r="M949" s="325">
        <v>1500</v>
      </c>
      <c r="N949" s="378">
        <f t="shared" si="225"/>
        <v>450000</v>
      </c>
      <c r="O949" s="378">
        <f t="shared" ref="O949:O1012" si="230">+IF(L949="","",N949*0.1)</f>
        <v>45000</v>
      </c>
      <c r="P949" s="325">
        <f t="shared" ref="P949:P1012" si="231">+IF(L949="","",N949+O949)</f>
        <v>495000</v>
      </c>
      <c r="Q949" s="325">
        <f t="shared" ref="Q949:Q1012" ca="1" si="232">IF(L949="","",IFERROR((SUMIFS(TN_balC1_totol,TN_code,D949)+SUMIFS(RC_or_totol,RC_Code,D949,RC_date,"&lt;="&amp;C949)-SUMIFS(RC_zar_totol,RC_Code,D949,RC_date,"&lt;"&amp;C949)) /( SUMIFS(TN_balC1_unit,TN_code,D949)+SUMIFS(RC_or_unit,RC_Code,D949,RC_date,"&lt;="&amp;C949)-SUMIFS(RC_zar_unit,RC_Code,D949,RC_date,"&lt;"&amp;C949)),0 ))</f>
        <v>647.50519478531237</v>
      </c>
      <c r="R949" s="325">
        <f t="shared" ca="1" si="227"/>
        <v>194251.5584355937</v>
      </c>
      <c r="S949" s="609">
        <v>150101</v>
      </c>
      <c r="T949" s="325" t="str">
        <f>+IFERROR(VLOOKUP(S949,STAT1!$C$4:$D$189,2,FALSE),"")</f>
        <v>Бараа бэлэн бүтээгдэхүүн БОЛОВСРУУЛАХ ЦЕХ /нарс/</v>
      </c>
      <c r="U949" s="1226"/>
      <c r="V949" s="1217">
        <v>194251.5584355937</v>
      </c>
      <c r="W949" s="326">
        <v>4002</v>
      </c>
      <c r="X949" s="328" t="str">
        <f>IFERROR(VLOOKUP(W949,DATA!$G$4:$H$400,2,FALSE),"")</f>
        <v xml:space="preserve">Хувь хүн </v>
      </c>
      <c r="Y949" s="1205"/>
      <c r="Z949" s="1205"/>
      <c r="AA949" s="1205"/>
    </row>
    <row r="950" spans="1:27" ht="12.75" customHeight="1">
      <c r="A950" s="15">
        <v>213</v>
      </c>
      <c r="B950" s="92">
        <f t="shared" si="226"/>
        <v>945</v>
      </c>
      <c r="C950" s="320">
        <v>43018</v>
      </c>
      <c r="D950" s="321"/>
      <c r="E950" s="323" t="str">
        <f t="shared" ca="1" si="221"/>
        <v/>
      </c>
      <c r="F950" s="322" t="str">
        <f t="shared" ca="1" si="223"/>
        <v/>
      </c>
      <c r="G950" s="325"/>
      <c r="H950" s="325"/>
      <c r="I950" s="325" t="str">
        <f t="shared" si="228"/>
        <v/>
      </c>
      <c r="J950" s="325" t="str">
        <f t="shared" si="224"/>
        <v/>
      </c>
      <c r="K950" s="621" t="str">
        <f t="shared" si="229"/>
        <v/>
      </c>
      <c r="L950" s="325"/>
      <c r="M950" s="325"/>
      <c r="N950" s="378" t="str">
        <f t="shared" si="225"/>
        <v/>
      </c>
      <c r="O950" s="378" t="str">
        <f t="shared" si="230"/>
        <v/>
      </c>
      <c r="P950" s="325" t="str">
        <f t="shared" si="231"/>
        <v/>
      </c>
      <c r="Q950" s="325" t="str">
        <f t="shared" si="232"/>
        <v/>
      </c>
      <c r="R950" s="325" t="str">
        <f t="shared" si="227"/>
        <v/>
      </c>
      <c r="S950" s="609">
        <v>610100</v>
      </c>
      <c r="T950" s="325" t="str">
        <f>+IFERROR(VLOOKUP(S950,STAT1!$C$4:$D$189,2,FALSE),"")</f>
        <v>Борлуулсан барааны өртөг</v>
      </c>
      <c r="U950" s="1226">
        <v>194251.5584355937</v>
      </c>
      <c r="V950" s="1217"/>
      <c r="W950" s="326">
        <v>4002</v>
      </c>
      <c r="X950" s="328" t="str">
        <f>IFERROR(VLOOKUP(W950,DATA!$G$4:$H$400,2,FALSE),"")</f>
        <v xml:space="preserve">Хувь хүн </v>
      </c>
      <c r="Y950" s="1205"/>
      <c r="Z950" s="1205"/>
      <c r="AA950" s="1205"/>
    </row>
    <row r="951" spans="1:27" ht="12.75" customHeight="1">
      <c r="A951" s="15">
        <v>213</v>
      </c>
      <c r="B951" s="92">
        <f t="shared" si="226"/>
        <v>946</v>
      </c>
      <c r="C951" s="320">
        <v>43018</v>
      </c>
      <c r="D951" s="321"/>
      <c r="E951" s="323" t="str">
        <f t="shared" ref="E951:E1014" ca="1" si="233">+IFERROR(VLOOKUP(D951,TN_table,2,FALSE),"")</f>
        <v/>
      </c>
      <c r="F951" s="322" t="str">
        <f t="shared" ref="F951:F982" ca="1" si="234">+IFERROR(VLOOKUP(D951,TN_table,3,FALSE),"")</f>
        <v/>
      </c>
      <c r="G951" s="325"/>
      <c r="H951" s="325"/>
      <c r="I951" s="325" t="str">
        <f t="shared" si="228"/>
        <v/>
      </c>
      <c r="J951" s="325" t="str">
        <f t="shared" ref="J951:J982" si="235">+IF(G951="","",I951*0.1)</f>
        <v/>
      </c>
      <c r="K951" s="621" t="str">
        <f t="shared" si="229"/>
        <v/>
      </c>
      <c r="L951" s="325"/>
      <c r="M951" s="325"/>
      <c r="N951" s="378" t="str">
        <f t="shared" si="225"/>
        <v/>
      </c>
      <c r="O951" s="378" t="str">
        <f t="shared" si="230"/>
        <v/>
      </c>
      <c r="P951" s="325" t="str">
        <f t="shared" si="231"/>
        <v/>
      </c>
      <c r="Q951" s="325" t="str">
        <f t="shared" si="232"/>
        <v/>
      </c>
      <c r="R951" s="325" t="str">
        <f t="shared" si="227"/>
        <v/>
      </c>
      <c r="S951" s="609">
        <v>310500</v>
      </c>
      <c r="T951" s="325" t="str">
        <f>+IFERROR(VLOOKUP(S951,STAT1!$C$4:$D$189,2,FALSE),"")</f>
        <v>НӨАТ өглөг</v>
      </c>
      <c r="U951" s="1226"/>
      <c r="V951" s="1217">
        <v>45000</v>
      </c>
      <c r="W951" s="326">
        <v>4002</v>
      </c>
      <c r="X951" s="328" t="str">
        <f>IFERROR(VLOOKUP(W951,DATA!$G$4:$H$400,2,FALSE),"")</f>
        <v xml:space="preserve">Хувь хүн </v>
      </c>
      <c r="Y951" s="1205"/>
      <c r="Z951" s="1205"/>
      <c r="AA951" s="1205"/>
    </row>
    <row r="952" spans="1:27" ht="12.75" customHeight="1">
      <c r="A952" s="15">
        <v>213</v>
      </c>
      <c r="B952" s="92">
        <f t="shared" si="226"/>
        <v>947</v>
      </c>
      <c r="C952" s="320">
        <v>43018</v>
      </c>
      <c r="D952" s="321"/>
      <c r="E952" s="323" t="str">
        <f t="shared" ca="1" si="233"/>
        <v/>
      </c>
      <c r="F952" s="322" t="str">
        <f t="shared" ca="1" si="234"/>
        <v/>
      </c>
      <c r="G952" s="325"/>
      <c r="H952" s="325"/>
      <c r="I952" s="325" t="str">
        <f t="shared" si="228"/>
        <v/>
      </c>
      <c r="J952" s="325" t="str">
        <f t="shared" si="235"/>
        <v/>
      </c>
      <c r="K952" s="621" t="str">
        <f t="shared" si="229"/>
        <v/>
      </c>
      <c r="L952" s="325"/>
      <c r="M952" s="325"/>
      <c r="N952" s="378" t="str">
        <f t="shared" si="225"/>
        <v/>
      </c>
      <c r="O952" s="378" t="str">
        <f t="shared" si="230"/>
        <v/>
      </c>
      <c r="P952" s="325" t="str">
        <f t="shared" si="231"/>
        <v/>
      </c>
      <c r="Q952" s="325" t="str">
        <f t="shared" si="232"/>
        <v/>
      </c>
      <c r="R952" s="325" t="str">
        <f t="shared" si="227"/>
        <v/>
      </c>
      <c r="S952" s="609">
        <v>510000</v>
      </c>
      <c r="T952" s="325" t="str">
        <f>+IFERROR(VLOOKUP(S952,STAT1!$C$4:$D$189,2,FALSE),"")</f>
        <v>Үндсэн үйл ажиллагааны борлуулалт</v>
      </c>
      <c r="U952" s="1226"/>
      <c r="V952" s="1217">
        <v>450000</v>
      </c>
      <c r="W952" s="326">
        <v>4002</v>
      </c>
      <c r="X952" s="328" t="str">
        <f>IFERROR(VLOOKUP(W952,DATA!$G$4:$H$400,2,FALSE),"")</f>
        <v xml:space="preserve">Хувь хүн </v>
      </c>
      <c r="Y952" s="1205"/>
      <c r="Z952" s="1205"/>
      <c r="AA952" s="1205"/>
    </row>
    <row r="953" spans="1:27" ht="12.75" customHeight="1">
      <c r="A953" s="15">
        <v>213</v>
      </c>
      <c r="B953" s="92">
        <f t="shared" si="226"/>
        <v>948</v>
      </c>
      <c r="C953" s="320">
        <v>43018</v>
      </c>
      <c r="D953" s="321"/>
      <c r="E953" s="323" t="str">
        <f t="shared" ca="1" si="233"/>
        <v/>
      </c>
      <c r="F953" s="322" t="str">
        <f t="shared" ca="1" si="234"/>
        <v/>
      </c>
      <c r="G953" s="325"/>
      <c r="H953" s="325"/>
      <c r="I953" s="325" t="str">
        <f t="shared" si="228"/>
        <v/>
      </c>
      <c r="J953" s="325" t="str">
        <f t="shared" si="235"/>
        <v/>
      </c>
      <c r="K953" s="621" t="str">
        <f t="shared" si="229"/>
        <v/>
      </c>
      <c r="L953" s="325"/>
      <c r="M953" s="325"/>
      <c r="N953" s="378" t="str">
        <f t="shared" si="225"/>
        <v/>
      </c>
      <c r="O953" s="378" t="str">
        <f t="shared" si="230"/>
        <v/>
      </c>
      <c r="P953" s="325" t="str">
        <f t="shared" si="231"/>
        <v/>
      </c>
      <c r="Q953" s="325" t="str">
        <f t="shared" si="232"/>
        <v/>
      </c>
      <c r="R953" s="325" t="str">
        <f t="shared" si="227"/>
        <v/>
      </c>
      <c r="S953" s="609">
        <v>320100</v>
      </c>
      <c r="T953" s="325" t="str">
        <f>+IFERROR(VLOOKUP(S953,STAT1!$C$4:$D$189,2,FALSE),"")</f>
        <v>Урьдчилж орсон орлого MNT</v>
      </c>
      <c r="U953" s="1226">
        <v>495000</v>
      </c>
      <c r="V953" s="1217"/>
      <c r="W953" s="326">
        <v>4002</v>
      </c>
      <c r="X953" s="328" t="str">
        <f>IFERROR(VLOOKUP(W953,DATA!$G$4:$H$400,2,FALSE),"")</f>
        <v xml:space="preserve">Хувь хүн </v>
      </c>
      <c r="Y953" s="1205"/>
      <c r="Z953" s="1205"/>
      <c r="AA953" s="1205"/>
    </row>
    <row r="954" spans="1:27" ht="12.75" customHeight="1">
      <c r="A954" s="15">
        <v>214</v>
      </c>
      <c r="B954" s="92">
        <f t="shared" si="226"/>
        <v>949</v>
      </c>
      <c r="C954" s="320">
        <v>43019</v>
      </c>
      <c r="D954" s="321">
        <v>211717</v>
      </c>
      <c r="E954" s="323" t="str">
        <f t="shared" ca="1" si="233"/>
        <v xml:space="preserve">Í-Õàâòàí /çóçààí-4сì/-ÿðòàé </v>
      </c>
      <c r="F954" s="322" t="str">
        <f t="shared" ca="1" si="234"/>
        <v>м2</v>
      </c>
      <c r="G954" s="325"/>
      <c r="H954" s="325"/>
      <c r="I954" s="325" t="str">
        <f t="shared" si="228"/>
        <v/>
      </c>
      <c r="J954" s="325" t="str">
        <f t="shared" si="235"/>
        <v/>
      </c>
      <c r="K954" s="621" t="str">
        <f t="shared" si="229"/>
        <v/>
      </c>
      <c r="L954" s="325">
        <v>6</v>
      </c>
      <c r="M954" s="325">
        <v>50000</v>
      </c>
      <c r="N954" s="378">
        <f t="shared" si="225"/>
        <v>300000</v>
      </c>
      <c r="O954" s="378">
        <f t="shared" si="230"/>
        <v>30000</v>
      </c>
      <c r="P954" s="325">
        <f t="shared" si="231"/>
        <v>330000</v>
      </c>
      <c r="Q954" s="325">
        <f t="shared" ca="1" si="232"/>
        <v>45402.535093596591</v>
      </c>
      <c r="R954" s="325">
        <f t="shared" ca="1" si="227"/>
        <v>272415.21056157956</v>
      </c>
      <c r="S954" s="609">
        <v>150101</v>
      </c>
      <c r="T954" s="325" t="str">
        <f>+IFERROR(VLOOKUP(S954,STAT1!$C$4:$D$189,2,FALSE),"")</f>
        <v>Бараа бэлэн бүтээгдэхүүн БОЛОВСРУУЛАХ ЦЕХ /нарс/</v>
      </c>
      <c r="U954" s="1226"/>
      <c r="V954" s="1217">
        <v>272415.21056157956</v>
      </c>
      <c r="W954" s="326">
        <v>3087</v>
      </c>
      <c r="X954" s="328" t="str">
        <f>IFERROR(VLOOKUP(W954,DATA!$G$4:$H$400,2,FALSE),"")</f>
        <v xml:space="preserve">ОРГИЛ ХАУС ХХК </v>
      </c>
      <c r="Y954" s="1205"/>
      <c r="Z954" s="1205"/>
      <c r="AA954" s="1205"/>
    </row>
    <row r="955" spans="1:27" ht="12.75" customHeight="1">
      <c r="A955" s="15">
        <v>214</v>
      </c>
      <c r="B955" s="92">
        <f t="shared" si="226"/>
        <v>950</v>
      </c>
      <c r="C955" s="320">
        <v>43019</v>
      </c>
      <c r="D955" s="321"/>
      <c r="E955" s="323" t="str">
        <f t="shared" ca="1" si="233"/>
        <v/>
      </c>
      <c r="F955" s="322" t="str">
        <f t="shared" ca="1" si="234"/>
        <v/>
      </c>
      <c r="G955" s="325"/>
      <c r="H955" s="325"/>
      <c r="I955" s="325" t="str">
        <f t="shared" si="228"/>
        <v/>
      </c>
      <c r="J955" s="325" t="str">
        <f t="shared" si="235"/>
        <v/>
      </c>
      <c r="K955" s="621" t="str">
        <f t="shared" si="229"/>
        <v/>
      </c>
      <c r="L955" s="325"/>
      <c r="M955" s="325"/>
      <c r="N955" s="378" t="str">
        <f t="shared" si="225"/>
        <v/>
      </c>
      <c r="O955" s="378" t="str">
        <f t="shared" si="230"/>
        <v/>
      </c>
      <c r="P955" s="325" t="str">
        <f t="shared" si="231"/>
        <v/>
      </c>
      <c r="Q955" s="325" t="str">
        <f t="shared" si="232"/>
        <v/>
      </c>
      <c r="R955" s="325" t="str">
        <f t="shared" si="227"/>
        <v/>
      </c>
      <c r="S955" s="609">
        <v>610100</v>
      </c>
      <c r="T955" s="325" t="str">
        <f>+IFERROR(VLOOKUP(S955,STAT1!$C$4:$D$189,2,FALSE),"")</f>
        <v>Борлуулсан барааны өртөг</v>
      </c>
      <c r="U955" s="1226">
        <v>272415.21056157956</v>
      </c>
      <c r="V955" s="1217"/>
      <c r="W955" s="326">
        <v>3087</v>
      </c>
      <c r="X955" s="328" t="str">
        <f>IFERROR(VLOOKUP(W955,DATA!$G$4:$H$400,2,FALSE),"")</f>
        <v xml:space="preserve">ОРГИЛ ХАУС ХХК </v>
      </c>
      <c r="Y955" s="1205"/>
      <c r="Z955" s="1205"/>
      <c r="AA955" s="1205"/>
    </row>
    <row r="956" spans="1:27" ht="12.75" customHeight="1">
      <c r="A956" s="15">
        <v>214</v>
      </c>
      <c r="B956" s="92">
        <f t="shared" si="226"/>
        <v>951</v>
      </c>
      <c r="C956" s="320">
        <v>43019</v>
      </c>
      <c r="D956" s="321"/>
      <c r="E956" s="323" t="str">
        <f t="shared" ca="1" si="233"/>
        <v/>
      </c>
      <c r="F956" s="322" t="str">
        <f t="shared" ca="1" si="234"/>
        <v/>
      </c>
      <c r="G956" s="325"/>
      <c r="H956" s="325"/>
      <c r="I956" s="325" t="str">
        <f t="shared" si="228"/>
        <v/>
      </c>
      <c r="J956" s="325" t="str">
        <f t="shared" si="235"/>
        <v/>
      </c>
      <c r="K956" s="621" t="str">
        <f t="shared" si="229"/>
        <v/>
      </c>
      <c r="L956" s="325"/>
      <c r="M956" s="325"/>
      <c r="N956" s="378" t="str">
        <f t="shared" si="225"/>
        <v/>
      </c>
      <c r="O956" s="378" t="str">
        <f t="shared" si="230"/>
        <v/>
      </c>
      <c r="P956" s="325" t="str">
        <f t="shared" si="231"/>
        <v/>
      </c>
      <c r="Q956" s="325" t="str">
        <f t="shared" si="232"/>
        <v/>
      </c>
      <c r="R956" s="325" t="str">
        <f t="shared" si="227"/>
        <v/>
      </c>
      <c r="S956" s="609">
        <v>310500</v>
      </c>
      <c r="T956" s="325" t="str">
        <f>+IFERROR(VLOOKUP(S956,STAT1!$C$4:$D$189,2,FALSE),"")</f>
        <v>НӨАТ өглөг</v>
      </c>
      <c r="U956" s="1226"/>
      <c r="V956" s="1217">
        <v>30000</v>
      </c>
      <c r="W956" s="326">
        <v>3087</v>
      </c>
      <c r="X956" s="328" t="str">
        <f>IFERROR(VLOOKUP(W956,DATA!$G$4:$H$400,2,FALSE),"")</f>
        <v xml:space="preserve">ОРГИЛ ХАУС ХХК </v>
      </c>
      <c r="Y956" s="1205"/>
      <c r="Z956" s="1205"/>
      <c r="AA956" s="1205"/>
    </row>
    <row r="957" spans="1:27" ht="12.75" customHeight="1">
      <c r="A957" s="15">
        <v>214</v>
      </c>
      <c r="B957" s="92">
        <f t="shared" si="226"/>
        <v>952</v>
      </c>
      <c r="C957" s="320">
        <v>43019</v>
      </c>
      <c r="D957" s="321"/>
      <c r="E957" s="323" t="str">
        <f t="shared" ca="1" si="233"/>
        <v/>
      </c>
      <c r="F957" s="322" t="str">
        <f t="shared" ca="1" si="234"/>
        <v/>
      </c>
      <c r="G957" s="325"/>
      <c r="H957" s="325"/>
      <c r="I957" s="325" t="str">
        <f t="shared" si="228"/>
        <v/>
      </c>
      <c r="J957" s="325" t="str">
        <f t="shared" si="235"/>
        <v/>
      </c>
      <c r="K957" s="621" t="str">
        <f t="shared" si="229"/>
        <v/>
      </c>
      <c r="L957" s="325"/>
      <c r="M957" s="325"/>
      <c r="N957" s="378" t="str">
        <f t="shared" si="225"/>
        <v/>
      </c>
      <c r="O957" s="378" t="str">
        <f t="shared" si="230"/>
        <v/>
      </c>
      <c r="P957" s="325" t="str">
        <f t="shared" si="231"/>
        <v/>
      </c>
      <c r="Q957" s="325" t="str">
        <f t="shared" si="232"/>
        <v/>
      </c>
      <c r="R957" s="325" t="str">
        <f t="shared" si="227"/>
        <v/>
      </c>
      <c r="S957" s="609">
        <v>510000</v>
      </c>
      <c r="T957" s="325" t="str">
        <f>+IFERROR(VLOOKUP(S957,STAT1!$C$4:$D$189,2,FALSE),"")</f>
        <v>Үндсэн үйл ажиллагааны борлуулалт</v>
      </c>
      <c r="U957" s="1226"/>
      <c r="V957" s="1217">
        <v>300000</v>
      </c>
      <c r="W957" s="326">
        <v>3087</v>
      </c>
      <c r="X957" s="328" t="str">
        <f>IFERROR(VLOOKUP(W957,DATA!$G$4:$H$400,2,FALSE),"")</f>
        <v xml:space="preserve">ОРГИЛ ХАУС ХХК </v>
      </c>
      <c r="Y957" s="1205"/>
      <c r="Z957" s="1205"/>
      <c r="AA957" s="1205"/>
    </row>
    <row r="958" spans="1:27" ht="12.75" customHeight="1">
      <c r="A958" s="15">
        <v>214</v>
      </c>
      <c r="B958" s="92">
        <f t="shared" si="226"/>
        <v>953</v>
      </c>
      <c r="C958" s="320">
        <v>43019</v>
      </c>
      <c r="D958" s="321"/>
      <c r="E958" s="323" t="str">
        <f t="shared" ca="1" si="233"/>
        <v/>
      </c>
      <c r="F958" s="322" t="str">
        <f t="shared" ca="1" si="234"/>
        <v/>
      </c>
      <c r="G958" s="325"/>
      <c r="H958" s="325"/>
      <c r="I958" s="325" t="str">
        <f t="shared" si="228"/>
        <v/>
      </c>
      <c r="J958" s="325" t="str">
        <f t="shared" si="235"/>
        <v/>
      </c>
      <c r="K958" s="621" t="str">
        <f t="shared" si="229"/>
        <v/>
      </c>
      <c r="L958" s="325"/>
      <c r="M958" s="325"/>
      <c r="N958" s="378" t="str">
        <f t="shared" si="225"/>
        <v/>
      </c>
      <c r="O958" s="378" t="str">
        <f t="shared" si="230"/>
        <v/>
      </c>
      <c r="P958" s="325" t="str">
        <f t="shared" si="231"/>
        <v/>
      </c>
      <c r="Q958" s="325" t="str">
        <f t="shared" si="232"/>
        <v/>
      </c>
      <c r="R958" s="325" t="str">
        <f t="shared" si="227"/>
        <v/>
      </c>
      <c r="S958" s="609">
        <v>320100</v>
      </c>
      <c r="T958" s="325" t="str">
        <f>+IFERROR(VLOOKUP(S958,STAT1!$C$4:$D$189,2,FALSE),"")</f>
        <v>Урьдчилж орсон орлого MNT</v>
      </c>
      <c r="U958" s="1226">
        <v>330000</v>
      </c>
      <c r="V958" s="1217"/>
      <c r="W958" s="326">
        <v>3087</v>
      </c>
      <c r="X958" s="328" t="str">
        <f>IFERROR(VLOOKUP(W958,DATA!$G$4:$H$400,2,FALSE),"")</f>
        <v xml:space="preserve">ОРГИЛ ХАУС ХХК </v>
      </c>
      <c r="Y958" s="1205"/>
      <c r="Z958" s="1205"/>
      <c r="AA958" s="1205"/>
    </row>
    <row r="959" spans="1:27" ht="12.75" customHeight="1">
      <c r="A959" s="15">
        <v>216</v>
      </c>
      <c r="B959" s="92">
        <f t="shared" si="226"/>
        <v>954</v>
      </c>
      <c r="C959" s="320">
        <v>43024</v>
      </c>
      <c r="D959" s="321">
        <v>211801</v>
      </c>
      <c r="E959" s="323" t="str">
        <f t="shared" ca="1" si="233"/>
        <v>Н-Ембүү /20*30мм/</v>
      </c>
      <c r="F959" s="322" t="str">
        <f t="shared" ca="1" si="234"/>
        <v>м</v>
      </c>
      <c r="G959" s="325"/>
      <c r="H959" s="325"/>
      <c r="I959" s="325" t="str">
        <f t="shared" si="228"/>
        <v/>
      </c>
      <c r="J959" s="325" t="str">
        <f t="shared" si="235"/>
        <v/>
      </c>
      <c r="K959" s="621" t="str">
        <f t="shared" si="229"/>
        <v/>
      </c>
      <c r="L959" s="325">
        <v>180</v>
      </c>
      <c r="M959" s="325">
        <v>1500</v>
      </c>
      <c r="N959" s="378">
        <f t="shared" si="225"/>
        <v>270000</v>
      </c>
      <c r="O959" s="378">
        <f t="shared" si="230"/>
        <v>27000</v>
      </c>
      <c r="P959" s="325">
        <f t="shared" si="231"/>
        <v>297000</v>
      </c>
      <c r="Q959" s="325">
        <f t="shared" ca="1" si="232"/>
        <v>647.50519478531237</v>
      </c>
      <c r="R959" s="325">
        <f t="shared" ca="1" si="227"/>
        <v>116550.93506135623</v>
      </c>
      <c r="S959" s="609">
        <v>150101</v>
      </c>
      <c r="T959" s="325" t="str">
        <f>+IFERROR(VLOOKUP(S959,STAT1!$C$4:$D$189,2,FALSE),"")</f>
        <v>Бараа бэлэн бүтээгдэхүүн БОЛОВСРУУЛАХ ЦЕХ /нарс/</v>
      </c>
      <c r="U959" s="1226"/>
      <c r="V959" s="1217">
        <v>201282.21055706355</v>
      </c>
      <c r="W959" s="326">
        <v>3042</v>
      </c>
      <c r="X959" s="328" t="str">
        <f>IFERROR(VLOOKUP(W959,DATA!$G$4:$H$400,2,FALSE),"")</f>
        <v xml:space="preserve">ЖУРМАК ХХК </v>
      </c>
      <c r="Y959" s="1205"/>
      <c r="Z959" s="1205"/>
      <c r="AA959" s="1205"/>
    </row>
    <row r="960" spans="1:27" ht="12.75" customHeight="1">
      <c r="A960" s="15">
        <v>216</v>
      </c>
      <c r="B960" s="92">
        <f t="shared" si="226"/>
        <v>955</v>
      </c>
      <c r="C960" s="320">
        <v>43024</v>
      </c>
      <c r="D960" s="321">
        <v>211802</v>
      </c>
      <c r="E960" s="323" t="str">
        <f t="shared" ca="1" si="233"/>
        <v xml:space="preserve">Н-Уголок </v>
      </c>
      <c r="F960" s="322" t="str">
        <f t="shared" ca="1" si="234"/>
        <v>м</v>
      </c>
      <c r="G960" s="325"/>
      <c r="H960" s="325"/>
      <c r="I960" s="325" t="str">
        <f t="shared" si="228"/>
        <v/>
      </c>
      <c r="J960" s="325" t="str">
        <f t="shared" si="235"/>
        <v/>
      </c>
      <c r="K960" s="621" t="str">
        <f t="shared" si="229"/>
        <v/>
      </c>
      <c r="L960" s="325">
        <v>60</v>
      </c>
      <c r="M960" s="325">
        <v>4000</v>
      </c>
      <c r="N960" s="378">
        <f t="shared" si="225"/>
        <v>240000</v>
      </c>
      <c r="O960" s="378">
        <f t="shared" si="230"/>
        <v>24000</v>
      </c>
      <c r="P960" s="325">
        <f t="shared" si="231"/>
        <v>264000</v>
      </c>
      <c r="Q960" s="325">
        <f t="shared" ca="1" si="232"/>
        <v>1412.1879249284552</v>
      </c>
      <c r="R960" s="325">
        <f t="shared" ca="1" si="227"/>
        <v>84731.275495707319</v>
      </c>
      <c r="S960" s="609">
        <v>610100</v>
      </c>
      <c r="T960" s="325" t="str">
        <f>+IFERROR(VLOOKUP(S960,STAT1!$C$4:$D$189,2,FALSE),"")</f>
        <v>Борлуулсан барааны өртөг</v>
      </c>
      <c r="U960" s="1226">
        <v>201282.21055706355</v>
      </c>
      <c r="V960" s="1217"/>
      <c r="W960" s="326">
        <v>3042</v>
      </c>
      <c r="X960" s="328" t="str">
        <f>IFERROR(VLOOKUP(W960,DATA!$G$4:$H$400,2,FALSE),"")</f>
        <v xml:space="preserve">ЖУРМАК ХХК </v>
      </c>
      <c r="Y960" s="1205"/>
      <c r="Z960" s="1205"/>
      <c r="AA960" s="1205"/>
    </row>
    <row r="961" spans="1:27" ht="12.75" customHeight="1">
      <c r="A961" s="15">
        <v>216</v>
      </c>
      <c r="B961" s="92">
        <f t="shared" si="226"/>
        <v>956</v>
      </c>
      <c r="C961" s="320">
        <v>43024</v>
      </c>
      <c r="D961" s="321"/>
      <c r="E961" s="323" t="str">
        <f t="shared" ca="1" si="233"/>
        <v/>
      </c>
      <c r="F961" s="322" t="str">
        <f t="shared" ca="1" si="234"/>
        <v/>
      </c>
      <c r="G961" s="325"/>
      <c r="H961" s="325"/>
      <c r="I961" s="325" t="str">
        <f t="shared" si="228"/>
        <v/>
      </c>
      <c r="J961" s="325" t="str">
        <f t="shared" si="235"/>
        <v/>
      </c>
      <c r="K961" s="621" t="str">
        <f t="shared" si="229"/>
        <v/>
      </c>
      <c r="L961" s="325"/>
      <c r="M961" s="325"/>
      <c r="N961" s="378" t="str">
        <f t="shared" ref="N961:N992" si="236">+IF(L961="","",L961*M961)</f>
        <v/>
      </c>
      <c r="O961" s="378" t="str">
        <f t="shared" si="230"/>
        <v/>
      </c>
      <c r="P961" s="325" t="str">
        <f t="shared" si="231"/>
        <v/>
      </c>
      <c r="Q961" s="325" t="str">
        <f t="shared" si="232"/>
        <v/>
      </c>
      <c r="R961" s="325" t="str">
        <f t="shared" si="227"/>
        <v/>
      </c>
      <c r="S961" s="609">
        <v>310500</v>
      </c>
      <c r="T961" s="325" t="str">
        <f>+IFERROR(VLOOKUP(S961,STAT1!$C$4:$D$189,2,FALSE),"")</f>
        <v>НӨАТ өглөг</v>
      </c>
      <c r="U961" s="1226"/>
      <c r="V961" s="1217">
        <v>51000</v>
      </c>
      <c r="W961" s="326">
        <v>3042</v>
      </c>
      <c r="X961" s="328" t="str">
        <f>IFERROR(VLOOKUP(W961,DATA!$G$4:$H$400,2,FALSE),"")</f>
        <v xml:space="preserve">ЖУРМАК ХХК </v>
      </c>
      <c r="Y961" s="1205"/>
      <c r="Z961" s="1205"/>
      <c r="AA961" s="1205"/>
    </row>
    <row r="962" spans="1:27" ht="12.75" customHeight="1">
      <c r="A962" s="15">
        <v>216</v>
      </c>
      <c r="B962" s="92">
        <f t="shared" si="226"/>
        <v>957</v>
      </c>
      <c r="C962" s="320">
        <v>43024</v>
      </c>
      <c r="D962" s="321"/>
      <c r="E962" s="323" t="str">
        <f t="shared" ca="1" si="233"/>
        <v/>
      </c>
      <c r="F962" s="322" t="str">
        <f t="shared" ca="1" si="234"/>
        <v/>
      </c>
      <c r="G962" s="325"/>
      <c r="H962" s="325"/>
      <c r="I962" s="325" t="str">
        <f t="shared" si="228"/>
        <v/>
      </c>
      <c r="J962" s="325" t="str">
        <f t="shared" si="235"/>
        <v/>
      </c>
      <c r="K962" s="621" t="str">
        <f t="shared" si="229"/>
        <v/>
      </c>
      <c r="L962" s="325"/>
      <c r="M962" s="325"/>
      <c r="N962" s="378" t="str">
        <f t="shared" si="236"/>
        <v/>
      </c>
      <c r="O962" s="378" t="str">
        <f t="shared" si="230"/>
        <v/>
      </c>
      <c r="P962" s="325" t="str">
        <f t="shared" si="231"/>
        <v/>
      </c>
      <c r="Q962" s="325" t="str">
        <f t="shared" si="232"/>
        <v/>
      </c>
      <c r="R962" s="325" t="str">
        <f t="shared" si="227"/>
        <v/>
      </c>
      <c r="S962" s="609">
        <v>510000</v>
      </c>
      <c r="T962" s="325" t="str">
        <f>+IFERROR(VLOOKUP(S962,STAT1!$C$4:$D$189,2,FALSE),"")</f>
        <v>Үндсэн үйл ажиллагааны борлуулалт</v>
      </c>
      <c r="U962" s="1226"/>
      <c r="V962" s="1217">
        <v>510000</v>
      </c>
      <c r="W962" s="326">
        <v>3042</v>
      </c>
      <c r="X962" s="328" t="str">
        <f>IFERROR(VLOOKUP(W962,DATA!$G$4:$H$400,2,FALSE),"")</f>
        <v xml:space="preserve">ЖУРМАК ХХК </v>
      </c>
      <c r="Y962" s="1205"/>
      <c r="Z962" s="1205"/>
      <c r="AA962" s="1205"/>
    </row>
    <row r="963" spans="1:27" ht="12.75" customHeight="1">
      <c r="A963" s="15">
        <v>216</v>
      </c>
      <c r="B963" s="92">
        <f t="shared" si="226"/>
        <v>958</v>
      </c>
      <c r="C963" s="320">
        <v>43024</v>
      </c>
      <c r="D963" s="321"/>
      <c r="E963" s="323" t="str">
        <f t="shared" ca="1" si="233"/>
        <v/>
      </c>
      <c r="F963" s="322" t="str">
        <f t="shared" ca="1" si="234"/>
        <v/>
      </c>
      <c r="G963" s="325"/>
      <c r="H963" s="325"/>
      <c r="I963" s="325" t="str">
        <f t="shared" si="228"/>
        <v/>
      </c>
      <c r="J963" s="325" t="str">
        <f t="shared" si="235"/>
        <v/>
      </c>
      <c r="K963" s="621" t="str">
        <f t="shared" si="229"/>
        <v/>
      </c>
      <c r="L963" s="325"/>
      <c r="M963" s="325"/>
      <c r="N963" s="378" t="str">
        <f t="shared" si="236"/>
        <v/>
      </c>
      <c r="O963" s="378" t="str">
        <f t="shared" si="230"/>
        <v/>
      </c>
      <c r="P963" s="325" t="str">
        <f t="shared" si="231"/>
        <v/>
      </c>
      <c r="Q963" s="325" t="str">
        <f t="shared" si="232"/>
        <v/>
      </c>
      <c r="R963" s="325" t="str">
        <f t="shared" si="227"/>
        <v/>
      </c>
      <c r="S963" s="609">
        <v>320100</v>
      </c>
      <c r="T963" s="325" t="str">
        <f>+IFERROR(VLOOKUP(S963,STAT1!$C$4:$D$189,2,FALSE),"")</f>
        <v>Урьдчилж орсон орлого MNT</v>
      </c>
      <c r="U963" s="1226">
        <v>561000</v>
      </c>
      <c r="V963" s="1217"/>
      <c r="W963" s="326">
        <v>3042</v>
      </c>
      <c r="X963" s="328" t="str">
        <f>IFERROR(VLOOKUP(W963,DATA!$G$4:$H$400,2,FALSE),"")</f>
        <v xml:space="preserve">ЖУРМАК ХХК </v>
      </c>
      <c r="Y963" s="1205"/>
      <c r="Z963" s="1205"/>
      <c r="AA963" s="1205"/>
    </row>
    <row r="964" spans="1:27" ht="12.75" customHeight="1">
      <c r="A964" s="15">
        <v>217</v>
      </c>
      <c r="B964" s="92">
        <f t="shared" si="226"/>
        <v>959</v>
      </c>
      <c r="C964" s="320">
        <v>43026</v>
      </c>
      <c r="D964" s="321">
        <v>211801</v>
      </c>
      <c r="E964" s="323" t="str">
        <f t="shared" ca="1" si="233"/>
        <v>Н-Ембүү /20*30мм/</v>
      </c>
      <c r="F964" s="322" t="str">
        <f t="shared" ca="1" si="234"/>
        <v>м</v>
      </c>
      <c r="G964" s="325"/>
      <c r="H964" s="325"/>
      <c r="I964" s="325" t="str">
        <f t="shared" si="228"/>
        <v/>
      </c>
      <c r="J964" s="325" t="str">
        <f t="shared" si="235"/>
        <v/>
      </c>
      <c r="K964" s="621" t="str">
        <f t="shared" si="229"/>
        <v/>
      </c>
      <c r="L964" s="325">
        <v>120</v>
      </c>
      <c r="M964" s="325">
        <v>1500</v>
      </c>
      <c r="N964" s="378">
        <f t="shared" si="236"/>
        <v>180000</v>
      </c>
      <c r="O964" s="378">
        <f t="shared" si="230"/>
        <v>18000</v>
      </c>
      <c r="P964" s="325">
        <f t="shared" si="231"/>
        <v>198000</v>
      </c>
      <c r="Q964" s="325">
        <f t="shared" ca="1" si="232"/>
        <v>647.50519478531248</v>
      </c>
      <c r="R964" s="325">
        <f t="shared" ca="1" si="227"/>
        <v>77700.623374237504</v>
      </c>
      <c r="S964" s="609">
        <v>150101</v>
      </c>
      <c r="T964" s="325" t="str">
        <f>+IFERROR(VLOOKUP(S964,STAT1!$C$4:$D$189,2,FALSE),"")</f>
        <v>Бараа бэлэн бүтээгдэхүүн БОЛОВСРУУЛАХ ЦЕХ /нарс/</v>
      </c>
      <c r="U964" s="1226"/>
      <c r="V964" s="1217">
        <v>77700.623374237504</v>
      </c>
      <c r="W964" s="326">
        <v>3042</v>
      </c>
      <c r="X964" s="328" t="str">
        <f>IFERROR(VLOOKUP(W964,DATA!$G$4:$H$400,2,FALSE),"")</f>
        <v xml:space="preserve">ЖУРМАК ХХК </v>
      </c>
      <c r="Y964" s="1205"/>
      <c r="Z964" s="1205"/>
      <c r="AA964" s="1205"/>
    </row>
    <row r="965" spans="1:27" ht="12.75" customHeight="1">
      <c r="A965" s="15">
        <v>217</v>
      </c>
      <c r="B965" s="92">
        <f t="shared" si="226"/>
        <v>960</v>
      </c>
      <c r="C965" s="320">
        <v>43026</v>
      </c>
      <c r="D965" s="321"/>
      <c r="E965" s="323" t="str">
        <f t="shared" ca="1" si="233"/>
        <v/>
      </c>
      <c r="F965" s="322" t="str">
        <f t="shared" ca="1" si="234"/>
        <v/>
      </c>
      <c r="G965" s="325"/>
      <c r="H965" s="325"/>
      <c r="I965" s="325" t="str">
        <f t="shared" si="228"/>
        <v/>
      </c>
      <c r="J965" s="325" t="str">
        <f t="shared" si="235"/>
        <v/>
      </c>
      <c r="K965" s="621" t="str">
        <f t="shared" si="229"/>
        <v/>
      </c>
      <c r="L965" s="325"/>
      <c r="M965" s="325"/>
      <c r="N965" s="378" t="str">
        <f t="shared" si="236"/>
        <v/>
      </c>
      <c r="O965" s="378" t="str">
        <f t="shared" si="230"/>
        <v/>
      </c>
      <c r="P965" s="325" t="str">
        <f t="shared" si="231"/>
        <v/>
      </c>
      <c r="Q965" s="325" t="str">
        <f t="shared" si="232"/>
        <v/>
      </c>
      <c r="R965" s="325" t="str">
        <f t="shared" si="227"/>
        <v/>
      </c>
      <c r="S965" s="609">
        <v>610100</v>
      </c>
      <c r="T965" s="325" t="str">
        <f>+IFERROR(VLOOKUP(S965,STAT1!$C$4:$D$189,2,FALSE),"")</f>
        <v>Борлуулсан барааны өртөг</v>
      </c>
      <c r="U965" s="1226">
        <v>77700.623374237504</v>
      </c>
      <c r="V965" s="1217"/>
      <c r="W965" s="326">
        <v>3042</v>
      </c>
      <c r="X965" s="328" t="str">
        <f>IFERROR(VLOOKUP(W965,DATA!$G$4:$H$400,2,FALSE),"")</f>
        <v xml:space="preserve">ЖУРМАК ХХК </v>
      </c>
      <c r="Y965" s="1205"/>
      <c r="Z965" s="1205"/>
      <c r="AA965" s="1205"/>
    </row>
    <row r="966" spans="1:27" ht="12.75" customHeight="1">
      <c r="A966" s="15">
        <v>217</v>
      </c>
      <c r="B966" s="92">
        <f t="shared" si="226"/>
        <v>961</v>
      </c>
      <c r="C966" s="320">
        <v>43026</v>
      </c>
      <c r="D966" s="321"/>
      <c r="E966" s="323" t="str">
        <f t="shared" ca="1" si="233"/>
        <v/>
      </c>
      <c r="F966" s="322" t="str">
        <f t="shared" ca="1" si="234"/>
        <v/>
      </c>
      <c r="G966" s="325"/>
      <c r="H966" s="325"/>
      <c r="I966" s="325" t="str">
        <f t="shared" si="228"/>
        <v/>
      </c>
      <c r="J966" s="325" t="str">
        <f t="shared" si="235"/>
        <v/>
      </c>
      <c r="K966" s="621" t="str">
        <f t="shared" si="229"/>
        <v/>
      </c>
      <c r="L966" s="325"/>
      <c r="M966" s="325"/>
      <c r="N966" s="378" t="str">
        <f t="shared" si="236"/>
        <v/>
      </c>
      <c r="O966" s="378" t="str">
        <f t="shared" si="230"/>
        <v/>
      </c>
      <c r="P966" s="325" t="str">
        <f t="shared" si="231"/>
        <v/>
      </c>
      <c r="Q966" s="325" t="str">
        <f t="shared" si="232"/>
        <v/>
      </c>
      <c r="R966" s="325" t="str">
        <f t="shared" si="227"/>
        <v/>
      </c>
      <c r="S966" s="609">
        <v>310500</v>
      </c>
      <c r="T966" s="325" t="str">
        <f>+IFERROR(VLOOKUP(S966,STAT1!$C$4:$D$189,2,FALSE),"")</f>
        <v>НӨАТ өглөг</v>
      </c>
      <c r="U966" s="1226"/>
      <c r="V966" s="1217">
        <v>18000</v>
      </c>
      <c r="W966" s="326">
        <v>3042</v>
      </c>
      <c r="X966" s="328" t="str">
        <f>IFERROR(VLOOKUP(W966,DATA!$G$4:$H$400,2,FALSE),"")</f>
        <v xml:space="preserve">ЖУРМАК ХХК </v>
      </c>
      <c r="Y966" s="1205"/>
      <c r="Z966" s="1205"/>
      <c r="AA966" s="1205"/>
    </row>
    <row r="967" spans="1:27" ht="12.75" customHeight="1">
      <c r="A967" s="15">
        <v>217</v>
      </c>
      <c r="B967" s="92">
        <f t="shared" si="226"/>
        <v>962</v>
      </c>
      <c r="C967" s="320">
        <v>43026</v>
      </c>
      <c r="D967" s="321"/>
      <c r="E967" s="323" t="str">
        <f t="shared" ca="1" si="233"/>
        <v/>
      </c>
      <c r="F967" s="322" t="str">
        <f t="shared" ca="1" si="234"/>
        <v/>
      </c>
      <c r="G967" s="325"/>
      <c r="H967" s="325"/>
      <c r="I967" s="325" t="str">
        <f t="shared" si="228"/>
        <v/>
      </c>
      <c r="J967" s="325" t="str">
        <f t="shared" si="235"/>
        <v/>
      </c>
      <c r="K967" s="621" t="str">
        <f t="shared" si="229"/>
        <v/>
      </c>
      <c r="L967" s="325"/>
      <c r="M967" s="325"/>
      <c r="N967" s="378" t="str">
        <f t="shared" si="236"/>
        <v/>
      </c>
      <c r="O967" s="378" t="str">
        <f t="shared" si="230"/>
        <v/>
      </c>
      <c r="P967" s="325" t="str">
        <f t="shared" si="231"/>
        <v/>
      </c>
      <c r="Q967" s="325" t="str">
        <f t="shared" si="232"/>
        <v/>
      </c>
      <c r="R967" s="325" t="str">
        <f t="shared" si="227"/>
        <v/>
      </c>
      <c r="S967" s="609">
        <v>510000</v>
      </c>
      <c r="T967" s="325" t="str">
        <f>+IFERROR(VLOOKUP(S967,STAT1!$C$4:$D$189,2,FALSE),"")</f>
        <v>Үндсэн үйл ажиллагааны борлуулалт</v>
      </c>
      <c r="U967" s="1226"/>
      <c r="V967" s="1217">
        <v>180000</v>
      </c>
      <c r="W967" s="326">
        <v>3042</v>
      </c>
      <c r="X967" s="328" t="str">
        <f>IFERROR(VLOOKUP(W967,DATA!$G$4:$H$400,2,FALSE),"")</f>
        <v xml:space="preserve">ЖУРМАК ХХК </v>
      </c>
      <c r="Y967" s="1205"/>
      <c r="Z967" s="1205"/>
      <c r="AA967" s="1205"/>
    </row>
    <row r="968" spans="1:27" ht="12.75" customHeight="1">
      <c r="A968" s="15">
        <v>217</v>
      </c>
      <c r="B968" s="92">
        <f t="shared" si="226"/>
        <v>963</v>
      </c>
      <c r="C968" s="320">
        <v>43026</v>
      </c>
      <c r="D968" s="321"/>
      <c r="E968" s="323" t="str">
        <f t="shared" ca="1" si="233"/>
        <v/>
      </c>
      <c r="F968" s="322" t="str">
        <f t="shared" ca="1" si="234"/>
        <v/>
      </c>
      <c r="G968" s="325"/>
      <c r="H968" s="325"/>
      <c r="I968" s="325" t="str">
        <f t="shared" si="228"/>
        <v/>
      </c>
      <c r="J968" s="325" t="str">
        <f t="shared" si="235"/>
        <v/>
      </c>
      <c r="K968" s="621" t="str">
        <f t="shared" si="229"/>
        <v/>
      </c>
      <c r="L968" s="325"/>
      <c r="M968" s="325"/>
      <c r="N968" s="378" t="str">
        <f t="shared" si="236"/>
        <v/>
      </c>
      <c r="O968" s="378" t="str">
        <f t="shared" si="230"/>
        <v/>
      </c>
      <c r="P968" s="325" t="str">
        <f t="shared" si="231"/>
        <v/>
      </c>
      <c r="Q968" s="325" t="str">
        <f t="shared" si="232"/>
        <v/>
      </c>
      <c r="R968" s="325" t="str">
        <f t="shared" si="227"/>
        <v/>
      </c>
      <c r="S968" s="609">
        <v>320100</v>
      </c>
      <c r="T968" s="325" t="str">
        <f>+IFERROR(VLOOKUP(S968,STAT1!$C$4:$D$189,2,FALSE),"")</f>
        <v>Урьдчилж орсон орлого MNT</v>
      </c>
      <c r="U968" s="1226">
        <v>198000</v>
      </c>
      <c r="V968" s="1217"/>
      <c r="W968" s="326">
        <v>3042</v>
      </c>
      <c r="X968" s="328" t="str">
        <f>IFERROR(VLOOKUP(W968,DATA!$G$4:$H$400,2,FALSE),"")</f>
        <v xml:space="preserve">ЖУРМАК ХХК </v>
      </c>
      <c r="Y968" s="1205"/>
      <c r="Z968" s="1205"/>
      <c r="AA968" s="1205"/>
    </row>
    <row r="969" spans="1:27" ht="12.75" customHeight="1">
      <c r="A969" s="15">
        <v>218</v>
      </c>
      <c r="B969" s="92">
        <f t="shared" si="226"/>
        <v>964</v>
      </c>
      <c r="C969" s="320">
        <v>43028</v>
      </c>
      <c r="D969" s="321">
        <v>211710</v>
      </c>
      <c r="E969" s="323" t="str">
        <f t="shared" ca="1" si="233"/>
        <v xml:space="preserve">Н-Хавтан /зузаан-3см/-яртай </v>
      </c>
      <c r="F969" s="322" t="str">
        <f t="shared" ca="1" si="234"/>
        <v>м2</v>
      </c>
      <c r="G969" s="325"/>
      <c r="H969" s="325"/>
      <c r="I969" s="325" t="str">
        <f t="shared" si="228"/>
        <v/>
      </c>
      <c r="J969" s="325" t="str">
        <f t="shared" si="235"/>
        <v/>
      </c>
      <c r="K969" s="621" t="str">
        <f t="shared" si="229"/>
        <v/>
      </c>
      <c r="L969" s="325">
        <v>3</v>
      </c>
      <c r="M969" s="325">
        <v>40000</v>
      </c>
      <c r="N969" s="378">
        <f t="shared" si="236"/>
        <v>120000</v>
      </c>
      <c r="O969" s="378">
        <f t="shared" si="230"/>
        <v>12000</v>
      </c>
      <c r="P969" s="325">
        <f t="shared" si="231"/>
        <v>132000</v>
      </c>
      <c r="Q969" s="325">
        <f t="shared" ca="1" si="232"/>
        <v>32877.78891424858</v>
      </c>
      <c r="R969" s="325">
        <f t="shared" ca="1" si="227"/>
        <v>98633.36674274574</v>
      </c>
      <c r="S969" s="609">
        <v>150101</v>
      </c>
      <c r="T969" s="325" t="str">
        <f>+IFERROR(VLOOKUP(S969,STAT1!$C$4:$D$189,2,FALSE),"")</f>
        <v>Бараа бэлэн бүтээгдэхүүн БОЛОВСРУУЛАХ ЦЕХ /нарс/</v>
      </c>
      <c r="U969" s="1226"/>
      <c r="V969" s="1217">
        <v>98633.36674274574</v>
      </c>
      <c r="W969" s="326">
        <v>3102</v>
      </c>
      <c r="X969" s="328" t="str">
        <f>IFERROR(VLOOKUP(W969,DATA!$G$4:$H$400,2,FALSE),"")</f>
        <v xml:space="preserve">ВОРК ШОП ХХК </v>
      </c>
      <c r="Y969" s="1205"/>
      <c r="Z969" s="1205"/>
      <c r="AA969" s="1205"/>
    </row>
    <row r="970" spans="1:27" ht="12.75" customHeight="1">
      <c r="A970" s="15">
        <v>218</v>
      </c>
      <c r="B970" s="92">
        <f t="shared" si="226"/>
        <v>965</v>
      </c>
      <c r="C970" s="320">
        <v>43028</v>
      </c>
      <c r="D970" s="321"/>
      <c r="E970" s="323" t="str">
        <f t="shared" ca="1" si="233"/>
        <v/>
      </c>
      <c r="F970" s="322" t="str">
        <f t="shared" ca="1" si="234"/>
        <v/>
      </c>
      <c r="G970" s="325"/>
      <c r="H970" s="325"/>
      <c r="I970" s="325" t="str">
        <f t="shared" si="228"/>
        <v/>
      </c>
      <c r="J970" s="325" t="str">
        <f t="shared" si="235"/>
        <v/>
      </c>
      <c r="K970" s="621" t="str">
        <f t="shared" si="229"/>
        <v/>
      </c>
      <c r="L970" s="325"/>
      <c r="M970" s="325"/>
      <c r="N970" s="378" t="str">
        <f t="shared" si="236"/>
        <v/>
      </c>
      <c r="O970" s="378" t="str">
        <f t="shared" si="230"/>
        <v/>
      </c>
      <c r="P970" s="325" t="str">
        <f t="shared" si="231"/>
        <v/>
      </c>
      <c r="Q970" s="325" t="str">
        <f t="shared" si="232"/>
        <v/>
      </c>
      <c r="R970" s="325" t="str">
        <f t="shared" si="227"/>
        <v/>
      </c>
      <c r="S970" s="609">
        <v>610100</v>
      </c>
      <c r="T970" s="325" t="str">
        <f>+IFERROR(VLOOKUP(S970,STAT1!$C$4:$D$189,2,FALSE),"")</f>
        <v>Борлуулсан барааны өртөг</v>
      </c>
      <c r="U970" s="1226">
        <v>98633.36674274574</v>
      </c>
      <c r="V970" s="1217"/>
      <c r="W970" s="326">
        <v>3102</v>
      </c>
      <c r="X970" s="328" t="str">
        <f>IFERROR(VLOOKUP(W970,DATA!$G$4:$H$400,2,FALSE),"")</f>
        <v xml:space="preserve">ВОРК ШОП ХХК </v>
      </c>
      <c r="Y970" s="1205"/>
      <c r="Z970" s="1205"/>
      <c r="AA970" s="1205"/>
    </row>
    <row r="971" spans="1:27" ht="12.75" customHeight="1">
      <c r="A971" s="15">
        <v>218</v>
      </c>
      <c r="B971" s="92">
        <f t="shared" si="226"/>
        <v>966</v>
      </c>
      <c r="C971" s="320">
        <v>43028</v>
      </c>
      <c r="D971" s="321"/>
      <c r="E971" s="323" t="str">
        <f t="shared" ca="1" si="233"/>
        <v/>
      </c>
      <c r="F971" s="322" t="str">
        <f t="shared" ca="1" si="234"/>
        <v/>
      </c>
      <c r="G971" s="325"/>
      <c r="H971" s="325"/>
      <c r="I971" s="325" t="str">
        <f t="shared" si="228"/>
        <v/>
      </c>
      <c r="J971" s="325" t="str">
        <f t="shared" si="235"/>
        <v/>
      </c>
      <c r="K971" s="621" t="str">
        <f t="shared" si="229"/>
        <v/>
      </c>
      <c r="L971" s="325"/>
      <c r="M971" s="325"/>
      <c r="N971" s="378" t="str">
        <f t="shared" si="236"/>
        <v/>
      </c>
      <c r="O971" s="378" t="str">
        <f t="shared" si="230"/>
        <v/>
      </c>
      <c r="P971" s="325" t="str">
        <f t="shared" si="231"/>
        <v/>
      </c>
      <c r="Q971" s="325" t="str">
        <f t="shared" si="232"/>
        <v/>
      </c>
      <c r="R971" s="325" t="str">
        <f t="shared" si="227"/>
        <v/>
      </c>
      <c r="S971" s="609">
        <v>310500</v>
      </c>
      <c r="T971" s="325" t="str">
        <f>+IFERROR(VLOOKUP(S971,STAT1!$C$4:$D$189,2,FALSE),"")</f>
        <v>НӨАТ өглөг</v>
      </c>
      <c r="U971" s="1226"/>
      <c r="V971" s="1217">
        <v>12000</v>
      </c>
      <c r="W971" s="326">
        <v>3102</v>
      </c>
      <c r="X971" s="328" t="str">
        <f>IFERROR(VLOOKUP(W971,DATA!$G$4:$H$400,2,FALSE),"")</f>
        <v xml:space="preserve">ВОРК ШОП ХХК </v>
      </c>
      <c r="Y971" s="1205"/>
      <c r="Z971" s="1205"/>
      <c r="AA971" s="1205"/>
    </row>
    <row r="972" spans="1:27" ht="12.75" customHeight="1">
      <c r="A972" s="15">
        <v>218</v>
      </c>
      <c r="B972" s="92">
        <f t="shared" si="226"/>
        <v>967</v>
      </c>
      <c r="C972" s="320">
        <v>43028</v>
      </c>
      <c r="D972" s="321"/>
      <c r="E972" s="323" t="str">
        <f t="shared" ca="1" si="233"/>
        <v/>
      </c>
      <c r="F972" s="322" t="str">
        <f t="shared" ca="1" si="234"/>
        <v/>
      </c>
      <c r="G972" s="325"/>
      <c r="H972" s="325"/>
      <c r="I972" s="325" t="str">
        <f t="shared" si="228"/>
        <v/>
      </c>
      <c r="J972" s="325" t="str">
        <f t="shared" si="235"/>
        <v/>
      </c>
      <c r="K972" s="621" t="str">
        <f t="shared" si="229"/>
        <v/>
      </c>
      <c r="L972" s="325"/>
      <c r="M972" s="325"/>
      <c r="N972" s="378" t="str">
        <f t="shared" si="236"/>
        <v/>
      </c>
      <c r="O972" s="378" t="str">
        <f t="shared" si="230"/>
        <v/>
      </c>
      <c r="P972" s="325" t="str">
        <f t="shared" si="231"/>
        <v/>
      </c>
      <c r="Q972" s="325" t="str">
        <f t="shared" si="232"/>
        <v/>
      </c>
      <c r="R972" s="325" t="str">
        <f t="shared" si="227"/>
        <v/>
      </c>
      <c r="S972" s="609">
        <v>510000</v>
      </c>
      <c r="T972" s="325" t="str">
        <f>+IFERROR(VLOOKUP(S972,STAT1!$C$4:$D$189,2,FALSE),"")</f>
        <v>Үндсэн үйл ажиллагааны борлуулалт</v>
      </c>
      <c r="U972" s="1226"/>
      <c r="V972" s="1217">
        <v>120000</v>
      </c>
      <c r="W972" s="326">
        <v>3102</v>
      </c>
      <c r="X972" s="328" t="str">
        <f>IFERROR(VLOOKUP(W972,DATA!$G$4:$H$400,2,FALSE),"")</f>
        <v xml:space="preserve">ВОРК ШОП ХХК </v>
      </c>
      <c r="Y972" s="1205"/>
      <c r="Z972" s="1205"/>
      <c r="AA972" s="1205"/>
    </row>
    <row r="973" spans="1:27" ht="12.75" customHeight="1">
      <c r="A973" s="15">
        <v>218</v>
      </c>
      <c r="B973" s="92">
        <f t="shared" si="226"/>
        <v>968</v>
      </c>
      <c r="C973" s="320">
        <v>43028</v>
      </c>
      <c r="D973" s="321"/>
      <c r="E973" s="323" t="str">
        <f t="shared" ca="1" si="233"/>
        <v/>
      </c>
      <c r="F973" s="322" t="str">
        <f t="shared" ca="1" si="234"/>
        <v/>
      </c>
      <c r="G973" s="325"/>
      <c r="H973" s="325"/>
      <c r="I973" s="325" t="str">
        <f t="shared" si="228"/>
        <v/>
      </c>
      <c r="J973" s="325" t="str">
        <f t="shared" si="235"/>
        <v/>
      </c>
      <c r="K973" s="621" t="str">
        <f t="shared" si="229"/>
        <v/>
      </c>
      <c r="L973" s="325"/>
      <c r="M973" s="325"/>
      <c r="N973" s="378" t="str">
        <f t="shared" si="236"/>
        <v/>
      </c>
      <c r="O973" s="378" t="str">
        <f t="shared" si="230"/>
        <v/>
      </c>
      <c r="P973" s="325" t="str">
        <f t="shared" si="231"/>
        <v/>
      </c>
      <c r="Q973" s="325" t="str">
        <f t="shared" si="232"/>
        <v/>
      </c>
      <c r="R973" s="325" t="str">
        <f t="shared" si="227"/>
        <v/>
      </c>
      <c r="S973" s="609">
        <v>320100</v>
      </c>
      <c r="T973" s="325" t="str">
        <f>+IFERROR(VLOOKUP(S973,STAT1!$C$4:$D$189,2,FALSE),"")</f>
        <v>Урьдчилж орсон орлого MNT</v>
      </c>
      <c r="U973" s="1226">
        <v>132000</v>
      </c>
      <c r="V973" s="1217"/>
      <c r="W973" s="326">
        <v>3102</v>
      </c>
      <c r="X973" s="328" t="str">
        <f>IFERROR(VLOOKUP(W973,DATA!$G$4:$H$400,2,FALSE),"")</f>
        <v xml:space="preserve">ВОРК ШОП ХХК </v>
      </c>
      <c r="Y973" s="1205"/>
      <c r="Z973" s="1205"/>
      <c r="AA973" s="1205"/>
    </row>
    <row r="974" spans="1:27" ht="12.75" customHeight="1">
      <c r="A974" s="15">
        <v>219</v>
      </c>
      <c r="B974" s="92">
        <f t="shared" si="226"/>
        <v>969</v>
      </c>
      <c r="C974" s="320">
        <v>43029</v>
      </c>
      <c r="D974" s="321">
        <v>211710</v>
      </c>
      <c r="E974" s="323" t="str">
        <f t="shared" ca="1" si="233"/>
        <v xml:space="preserve">Н-Хавтан /зузаан-3см/-яртай </v>
      </c>
      <c r="F974" s="322" t="str">
        <f t="shared" ca="1" si="234"/>
        <v>м2</v>
      </c>
      <c r="G974" s="325"/>
      <c r="H974" s="325"/>
      <c r="I974" s="325" t="str">
        <f t="shared" si="228"/>
        <v/>
      </c>
      <c r="J974" s="325" t="str">
        <f t="shared" si="235"/>
        <v/>
      </c>
      <c r="K974" s="621" t="str">
        <f t="shared" si="229"/>
        <v/>
      </c>
      <c r="L974" s="325"/>
      <c r="M974" s="325"/>
      <c r="N974" s="378" t="str">
        <f t="shared" si="236"/>
        <v/>
      </c>
      <c r="O974" s="378" t="str">
        <f t="shared" si="230"/>
        <v/>
      </c>
      <c r="P974" s="325" t="str">
        <f t="shared" si="231"/>
        <v/>
      </c>
      <c r="Q974" s="325" t="str">
        <f t="shared" si="232"/>
        <v/>
      </c>
      <c r="R974" s="325" t="str">
        <f t="shared" si="227"/>
        <v/>
      </c>
      <c r="S974" s="609">
        <v>150101</v>
      </c>
      <c r="T974" s="325" t="str">
        <f>+IFERROR(VLOOKUP(S974,STAT1!$C$4:$D$189,2,FALSE),"")</f>
        <v>Бараа бэлэн бүтээгдэхүүн БОЛОВСРУУЛАХ ЦЕХ /нарс/</v>
      </c>
      <c r="U974" s="1226"/>
      <c r="V974" s="1217" t="s">
        <v>587</v>
      </c>
      <c r="W974" s="326">
        <v>4002</v>
      </c>
      <c r="X974" s="328" t="str">
        <f>IFERROR(VLOOKUP(W974,DATA!$G$4:$H$400,2,FALSE),"")</f>
        <v xml:space="preserve">Хувь хүн </v>
      </c>
      <c r="Y974" s="1205"/>
      <c r="Z974" s="1205"/>
      <c r="AA974" s="1205"/>
    </row>
    <row r="975" spans="1:27" ht="12.75" customHeight="1">
      <c r="A975" s="15">
        <v>219</v>
      </c>
      <c r="B975" s="92">
        <f t="shared" si="226"/>
        <v>970</v>
      </c>
      <c r="C975" s="320">
        <v>43029</v>
      </c>
      <c r="D975" s="321"/>
      <c r="E975" s="323" t="str">
        <f t="shared" ca="1" si="233"/>
        <v/>
      </c>
      <c r="F975" s="322" t="str">
        <f t="shared" ca="1" si="234"/>
        <v/>
      </c>
      <c r="G975" s="325"/>
      <c r="H975" s="325"/>
      <c r="I975" s="325" t="str">
        <f t="shared" si="228"/>
        <v/>
      </c>
      <c r="J975" s="325" t="str">
        <f t="shared" si="235"/>
        <v/>
      </c>
      <c r="K975" s="621" t="str">
        <f t="shared" si="229"/>
        <v/>
      </c>
      <c r="L975" s="325"/>
      <c r="M975" s="325"/>
      <c r="N975" s="378" t="str">
        <f t="shared" si="236"/>
        <v/>
      </c>
      <c r="O975" s="378" t="str">
        <f t="shared" si="230"/>
        <v/>
      </c>
      <c r="P975" s="325" t="str">
        <f t="shared" si="231"/>
        <v/>
      </c>
      <c r="Q975" s="325" t="str">
        <f t="shared" si="232"/>
        <v/>
      </c>
      <c r="R975" s="325" t="str">
        <f t="shared" ref="R975:R1006" si="237">+IF(L975="","",L975*Q975)</f>
        <v/>
      </c>
      <c r="S975" s="609">
        <v>610100</v>
      </c>
      <c r="T975" s="325" t="str">
        <f>+IFERROR(VLOOKUP(S975,STAT1!$C$4:$D$189,2,FALSE),"")</f>
        <v>Борлуулсан барааны өртөг</v>
      </c>
      <c r="U975" s="1226" t="s">
        <v>587</v>
      </c>
      <c r="V975" s="1217"/>
      <c r="W975" s="326">
        <v>4002</v>
      </c>
      <c r="X975" s="328" t="str">
        <f>IFERROR(VLOOKUP(W975,DATA!$G$4:$H$400,2,FALSE),"")</f>
        <v xml:space="preserve">Хувь хүн </v>
      </c>
      <c r="Y975" s="1205"/>
      <c r="Z975" s="1205"/>
      <c r="AA975" s="1205"/>
    </row>
    <row r="976" spans="1:27" ht="12.75" customHeight="1">
      <c r="A976" s="15">
        <v>219</v>
      </c>
      <c r="B976" s="92">
        <f t="shared" si="226"/>
        <v>971</v>
      </c>
      <c r="C976" s="320">
        <v>43029</v>
      </c>
      <c r="D976" s="321"/>
      <c r="E976" s="323" t="str">
        <f t="shared" ca="1" si="233"/>
        <v/>
      </c>
      <c r="F976" s="322" t="str">
        <f t="shared" ca="1" si="234"/>
        <v/>
      </c>
      <c r="G976" s="325"/>
      <c r="H976" s="325"/>
      <c r="I976" s="325" t="str">
        <f t="shared" si="228"/>
        <v/>
      </c>
      <c r="J976" s="325" t="str">
        <f t="shared" si="235"/>
        <v/>
      </c>
      <c r="K976" s="621" t="str">
        <f t="shared" si="229"/>
        <v/>
      </c>
      <c r="L976" s="325"/>
      <c r="M976" s="325"/>
      <c r="N976" s="378" t="str">
        <f t="shared" si="236"/>
        <v/>
      </c>
      <c r="O976" s="378" t="str">
        <f t="shared" si="230"/>
        <v/>
      </c>
      <c r="P976" s="325" t="str">
        <f t="shared" si="231"/>
        <v/>
      </c>
      <c r="Q976" s="325" t="str">
        <f t="shared" si="232"/>
        <v/>
      </c>
      <c r="R976" s="325" t="str">
        <f t="shared" si="237"/>
        <v/>
      </c>
      <c r="S976" s="609">
        <v>310500</v>
      </c>
      <c r="T976" s="325" t="str">
        <f>+IFERROR(VLOOKUP(S976,STAT1!$C$4:$D$189,2,FALSE),"")</f>
        <v>НӨАТ өглөг</v>
      </c>
      <c r="U976" s="1226"/>
      <c r="V976" s="1217">
        <v>12000</v>
      </c>
      <c r="W976" s="326">
        <v>4002</v>
      </c>
      <c r="X976" s="328" t="str">
        <f>IFERROR(VLOOKUP(W976,DATA!$G$4:$H$400,2,FALSE),"")</f>
        <v xml:space="preserve">Хувь хүн </v>
      </c>
      <c r="Y976" s="1205"/>
      <c r="Z976" s="1205"/>
      <c r="AA976" s="1205"/>
    </row>
    <row r="977" spans="1:27" ht="12.75" customHeight="1">
      <c r="A977" s="15">
        <v>219</v>
      </c>
      <c r="B977" s="92">
        <f t="shared" si="226"/>
        <v>972</v>
      </c>
      <c r="C977" s="320">
        <v>43029</v>
      </c>
      <c r="D977" s="321"/>
      <c r="E977" s="323" t="str">
        <f t="shared" ca="1" si="233"/>
        <v/>
      </c>
      <c r="F977" s="322" t="str">
        <f t="shared" ca="1" si="234"/>
        <v/>
      </c>
      <c r="G977" s="325"/>
      <c r="H977" s="325"/>
      <c r="I977" s="325" t="str">
        <f t="shared" si="228"/>
        <v/>
      </c>
      <c r="J977" s="325" t="str">
        <f t="shared" si="235"/>
        <v/>
      </c>
      <c r="K977" s="621" t="str">
        <f t="shared" si="229"/>
        <v/>
      </c>
      <c r="L977" s="325"/>
      <c r="M977" s="325"/>
      <c r="N977" s="378" t="str">
        <f t="shared" si="236"/>
        <v/>
      </c>
      <c r="O977" s="378" t="str">
        <f t="shared" si="230"/>
        <v/>
      </c>
      <c r="P977" s="325" t="str">
        <f t="shared" si="231"/>
        <v/>
      </c>
      <c r="Q977" s="325" t="str">
        <f t="shared" si="232"/>
        <v/>
      </c>
      <c r="R977" s="325" t="str">
        <f t="shared" si="237"/>
        <v/>
      </c>
      <c r="S977" s="609">
        <v>510000</v>
      </c>
      <c r="T977" s="325" t="str">
        <f>+IFERROR(VLOOKUP(S977,STAT1!$C$4:$D$189,2,FALSE),"")</f>
        <v>Үндсэн үйл ажиллагааны борлуулалт</v>
      </c>
      <c r="U977" s="1226"/>
      <c r="V977" s="1217">
        <v>120000</v>
      </c>
      <c r="W977" s="326">
        <v>4002</v>
      </c>
      <c r="X977" s="328" t="str">
        <f>IFERROR(VLOOKUP(W977,DATA!$G$4:$H$400,2,FALSE),"")</f>
        <v xml:space="preserve">Хувь хүн </v>
      </c>
      <c r="Y977" s="1205"/>
      <c r="Z977" s="1205"/>
      <c r="AA977" s="1205"/>
    </row>
    <row r="978" spans="1:27" ht="12.75" customHeight="1">
      <c r="A978" s="15">
        <v>219</v>
      </c>
      <c r="B978" s="92">
        <f t="shared" si="226"/>
        <v>973</v>
      </c>
      <c r="C978" s="320">
        <v>43029</v>
      </c>
      <c r="D978" s="321"/>
      <c r="E978" s="323" t="str">
        <f t="shared" ca="1" si="233"/>
        <v/>
      </c>
      <c r="F978" s="322" t="str">
        <f t="shared" ca="1" si="234"/>
        <v/>
      </c>
      <c r="G978" s="325"/>
      <c r="H978" s="325"/>
      <c r="I978" s="325" t="str">
        <f t="shared" si="228"/>
        <v/>
      </c>
      <c r="J978" s="325" t="str">
        <f t="shared" si="235"/>
        <v/>
      </c>
      <c r="K978" s="621" t="str">
        <f t="shared" si="229"/>
        <v/>
      </c>
      <c r="L978" s="325"/>
      <c r="M978" s="325"/>
      <c r="N978" s="378" t="str">
        <f t="shared" si="236"/>
        <v/>
      </c>
      <c r="O978" s="378" t="str">
        <f t="shared" si="230"/>
        <v/>
      </c>
      <c r="P978" s="325" t="str">
        <f t="shared" si="231"/>
        <v/>
      </c>
      <c r="Q978" s="325" t="str">
        <f t="shared" si="232"/>
        <v/>
      </c>
      <c r="R978" s="325" t="str">
        <f t="shared" si="237"/>
        <v/>
      </c>
      <c r="S978" s="609">
        <v>320100</v>
      </c>
      <c r="T978" s="325" t="str">
        <f>+IFERROR(VLOOKUP(S978,STAT1!$C$4:$D$189,2,FALSE),"")</f>
        <v>Урьдчилж орсон орлого MNT</v>
      </c>
      <c r="U978" s="1226">
        <v>132000</v>
      </c>
      <c r="V978" s="1217"/>
      <c r="W978" s="326">
        <v>4002</v>
      </c>
      <c r="X978" s="328" t="str">
        <f>IFERROR(VLOOKUP(W978,DATA!$G$4:$H$400,2,FALSE),"")</f>
        <v xml:space="preserve">Хувь хүн </v>
      </c>
      <c r="Y978" s="1205"/>
      <c r="Z978" s="1205"/>
      <c r="AA978" s="1205"/>
    </row>
    <row r="979" spans="1:27" ht="12.75" customHeight="1">
      <c r="A979" s="15">
        <v>220</v>
      </c>
      <c r="B979" s="92">
        <f t="shared" si="226"/>
        <v>974</v>
      </c>
      <c r="C979" s="320">
        <v>43031</v>
      </c>
      <c r="D979" s="321">
        <v>410085</v>
      </c>
      <c r="E979" s="323" t="str">
        <f t="shared" ca="1" si="233"/>
        <v xml:space="preserve">НЦ-лак </v>
      </c>
      <c r="F979" s="322" t="str">
        <f t="shared" ca="1" si="234"/>
        <v>кг</v>
      </c>
      <c r="G979" s="325"/>
      <c r="H979" s="325"/>
      <c r="I979" s="325" t="str">
        <f t="shared" si="228"/>
        <v/>
      </c>
      <c r="J979" s="325" t="str">
        <f t="shared" si="235"/>
        <v/>
      </c>
      <c r="K979" s="621" t="str">
        <f t="shared" si="229"/>
        <v/>
      </c>
      <c r="L979" s="325">
        <v>25</v>
      </c>
      <c r="M979" s="325"/>
      <c r="N979" s="378">
        <f t="shared" si="236"/>
        <v>0</v>
      </c>
      <c r="O979" s="378">
        <f t="shared" si="230"/>
        <v>0</v>
      </c>
      <c r="P979" s="325">
        <f t="shared" si="231"/>
        <v>0</v>
      </c>
      <c r="Q979" s="325">
        <f t="shared" ca="1" si="232"/>
        <v>7344.7345390765695</v>
      </c>
      <c r="R979" s="325">
        <f t="shared" ca="1" si="237"/>
        <v>183618.36347691424</v>
      </c>
      <c r="S979" s="609">
        <v>141201</v>
      </c>
      <c r="T979" s="325" t="str">
        <f>+IFERROR(VLOOKUP(S979,STAT1!$C$4:$D$189,2,FALSE),"")</f>
        <v>ШМЗардал БУСАД</v>
      </c>
      <c r="U979" s="1226">
        <v>2260402.7974249171</v>
      </c>
      <c r="V979" s="1217"/>
      <c r="W979" s="326">
        <v>3099</v>
      </c>
      <c r="X979" s="328" t="str">
        <f>IFERROR(VLOOKUP(W979,DATA!$G$4:$H$400,2,FALSE),"")</f>
        <v>ÃÐÀÍÄ ÑËÀÁ ÕÕÊ</v>
      </c>
      <c r="Y979" s="1205"/>
      <c r="Z979" s="1205"/>
      <c r="AA979" s="1205"/>
    </row>
    <row r="980" spans="1:27" ht="12.75" customHeight="1">
      <c r="A980" s="15">
        <v>220</v>
      </c>
      <c r="B980" s="92">
        <f t="shared" si="226"/>
        <v>975</v>
      </c>
      <c r="C980" s="320">
        <v>43031</v>
      </c>
      <c r="D980" s="321">
        <v>410002</v>
      </c>
      <c r="E980" s="323" t="str">
        <f t="shared" ca="1" si="233"/>
        <v xml:space="preserve">Морилка </v>
      </c>
      <c r="F980" s="322" t="str">
        <f t="shared" ca="1" si="234"/>
        <v xml:space="preserve">ш </v>
      </c>
      <c r="G980" s="325"/>
      <c r="H980" s="325"/>
      <c r="I980" s="325" t="str">
        <f t="shared" si="228"/>
        <v/>
      </c>
      <c r="J980" s="325" t="str">
        <f t="shared" si="235"/>
        <v/>
      </c>
      <c r="K980" s="621" t="str">
        <f t="shared" si="229"/>
        <v/>
      </c>
      <c r="L980" s="325">
        <v>5</v>
      </c>
      <c r="M980" s="325"/>
      <c r="N980" s="378">
        <f t="shared" si="236"/>
        <v>0</v>
      </c>
      <c r="O980" s="378">
        <f t="shared" si="230"/>
        <v>0</v>
      </c>
      <c r="P980" s="325">
        <f t="shared" si="231"/>
        <v>0</v>
      </c>
      <c r="Q980" s="325">
        <f t="shared" ca="1" si="232"/>
        <v>4000</v>
      </c>
      <c r="R980" s="325">
        <f t="shared" ca="1" si="237"/>
        <v>20000</v>
      </c>
      <c r="S980" s="609">
        <v>150101</v>
      </c>
      <c r="T980" s="325" t="str">
        <f>+IFERROR(VLOOKUP(S980,STAT1!$C$4:$D$189,2,FALSE),"")</f>
        <v>Бараа бэлэн бүтээгдэхүүн БОЛОВСРУУЛАХ ЦЕХ /нарс/</v>
      </c>
      <c r="U980" s="1226"/>
      <c r="V980" s="1217">
        <v>2260402.7974249171</v>
      </c>
      <c r="W980" s="326">
        <v>3099</v>
      </c>
      <c r="X980" s="328" t="str">
        <f>IFERROR(VLOOKUP(W980,DATA!$G$4:$H$400,2,FALSE),"")</f>
        <v>ÃÐÀÍÄ ÑËÀÁ ÕÕÊ</v>
      </c>
      <c r="Y980" s="1205"/>
      <c r="Z980" s="1205"/>
      <c r="AA980" s="1205"/>
    </row>
    <row r="981" spans="1:27" ht="12.75" customHeight="1">
      <c r="A981" s="15">
        <v>220</v>
      </c>
      <c r="B981" s="92">
        <f t="shared" si="226"/>
        <v>976</v>
      </c>
      <c r="C981" s="320">
        <v>43031</v>
      </c>
      <c r="D981" s="321">
        <v>410054</v>
      </c>
      <c r="E981" s="323" t="str">
        <f t="shared" ca="1" si="233"/>
        <v xml:space="preserve">Будаг шингэлэгч </v>
      </c>
      <c r="F981" s="322" t="str">
        <f t="shared" ca="1" si="234"/>
        <v>ш</v>
      </c>
      <c r="G981" s="325"/>
      <c r="H981" s="325"/>
      <c r="I981" s="325" t="str">
        <f t="shared" si="228"/>
        <v/>
      </c>
      <c r="J981" s="325" t="str">
        <f t="shared" si="235"/>
        <v/>
      </c>
      <c r="K981" s="621" t="str">
        <f t="shared" si="229"/>
        <v/>
      </c>
      <c r="L981" s="325">
        <v>15</v>
      </c>
      <c r="M981" s="325"/>
      <c r="N981" s="378">
        <f t="shared" si="236"/>
        <v>0</v>
      </c>
      <c r="O981" s="378">
        <f t="shared" si="230"/>
        <v>0</v>
      </c>
      <c r="P981" s="325">
        <f t="shared" si="231"/>
        <v>0</v>
      </c>
      <c r="Q981" s="325">
        <f t="shared" ca="1" si="232"/>
        <v>1926.6047834486926</v>
      </c>
      <c r="R981" s="325">
        <f t="shared" ca="1" si="237"/>
        <v>28899.071751730389</v>
      </c>
      <c r="S981" s="609">
        <v>160100</v>
      </c>
      <c r="T981" s="325" t="str">
        <f>+IFERROR(VLOOKUP(S981,STAT1!$C$4:$D$189,2,FALSE),"")</f>
        <v xml:space="preserve">Барилгын материал </v>
      </c>
      <c r="U981" s="1226"/>
      <c r="V981" s="1217">
        <v>5286400.7451639045</v>
      </c>
      <c r="W981" s="326">
        <v>3099</v>
      </c>
      <c r="X981" s="328" t="str">
        <f>IFERROR(VLOOKUP(W981,DATA!$G$4:$H$400,2,FALSE),"")</f>
        <v>ÃÐÀÍÄ ÑËÀÁ ÕÕÊ</v>
      </c>
      <c r="Y981" s="1205"/>
      <c r="Z981" s="1205"/>
      <c r="AA981" s="1205"/>
    </row>
    <row r="982" spans="1:27" ht="12.75" customHeight="1">
      <c r="A982" s="15">
        <v>220</v>
      </c>
      <c r="B982" s="92">
        <f t="shared" si="226"/>
        <v>977</v>
      </c>
      <c r="C982" s="320">
        <v>43031</v>
      </c>
      <c r="D982" s="321">
        <v>410082</v>
      </c>
      <c r="E982" s="323" t="str">
        <f t="shared" ca="1" si="233"/>
        <v>Будаг /Хонка/</v>
      </c>
      <c r="F982" s="322" t="str">
        <f t="shared" ca="1" si="234"/>
        <v>кг</v>
      </c>
      <c r="G982" s="325"/>
      <c r="H982" s="325"/>
      <c r="I982" s="325" t="str">
        <f t="shared" si="228"/>
        <v/>
      </c>
      <c r="J982" s="325" t="str">
        <f t="shared" si="235"/>
        <v/>
      </c>
      <c r="K982" s="621" t="str">
        <f t="shared" si="229"/>
        <v/>
      </c>
      <c r="L982" s="325">
        <v>33</v>
      </c>
      <c r="M982" s="325"/>
      <c r="N982" s="378">
        <f t="shared" si="236"/>
        <v>0</v>
      </c>
      <c r="O982" s="378">
        <f t="shared" si="230"/>
        <v>0</v>
      </c>
      <c r="P982" s="325">
        <f t="shared" si="231"/>
        <v>0</v>
      </c>
      <c r="Q982" s="325">
        <f t="shared" ca="1" si="232"/>
        <v>16355.964240462423</v>
      </c>
      <c r="R982" s="325">
        <f t="shared" ca="1" si="237"/>
        <v>539746.81993525999</v>
      </c>
      <c r="S982" s="609">
        <v>141401</v>
      </c>
      <c r="T982" s="325" t="str">
        <f>+IFERROR(VLOOKUP(S982,STAT1!$C$4:$D$189,2,FALSE),"")</f>
        <v xml:space="preserve">ҮНЗардал БУСАД </v>
      </c>
      <c r="U982" s="1226">
        <v>5286400.7451639045</v>
      </c>
      <c r="V982" s="1217"/>
      <c r="W982" s="326">
        <v>3099</v>
      </c>
      <c r="X982" s="328" t="str">
        <f>IFERROR(VLOOKUP(W982,DATA!$G$4:$H$400,2,FALSE),"")</f>
        <v>ÃÐÀÍÄ ÑËÀÁ ÕÕÊ</v>
      </c>
      <c r="Y982" s="1205"/>
      <c r="Z982" s="1205"/>
      <c r="AA982" s="1205"/>
    </row>
    <row r="983" spans="1:27" ht="12.75" customHeight="1">
      <c r="A983" s="15">
        <v>220</v>
      </c>
      <c r="B983" s="92">
        <f t="shared" si="226"/>
        <v>978</v>
      </c>
      <c r="C983" s="320">
        <v>43031</v>
      </c>
      <c r="D983" s="321">
        <v>410089</v>
      </c>
      <c r="E983" s="323" t="str">
        <f t="shared" ca="1" si="233"/>
        <v>Чулуу</v>
      </c>
      <c r="F983" s="322" t="str">
        <f t="shared" ref="F983:F1014" ca="1" si="238">+IFERROR(VLOOKUP(D983,TN_table,3,FALSE),"")</f>
        <v>м2</v>
      </c>
      <c r="G983" s="325"/>
      <c r="H983" s="325"/>
      <c r="I983" s="325" t="str">
        <f t="shared" si="228"/>
        <v/>
      </c>
      <c r="J983" s="325" t="str">
        <f t="shared" ref="J983:J1014" si="239">+IF(G983="","",I983*0.1)</f>
        <v/>
      </c>
      <c r="K983" s="621" t="str">
        <f t="shared" si="229"/>
        <v/>
      </c>
      <c r="L983" s="325">
        <v>15</v>
      </c>
      <c r="M983" s="325"/>
      <c r="N983" s="378">
        <f t="shared" si="236"/>
        <v>0</v>
      </c>
      <c r="O983" s="378">
        <f t="shared" si="230"/>
        <v>0</v>
      </c>
      <c r="P983" s="325">
        <f t="shared" si="231"/>
        <v>0</v>
      </c>
      <c r="Q983" s="325">
        <f t="shared" ca="1" si="232"/>
        <v>30000</v>
      </c>
      <c r="R983" s="325">
        <f t="shared" ca="1" si="237"/>
        <v>450000</v>
      </c>
      <c r="S983" s="602"/>
      <c r="T983" s="325" t="str">
        <f>+IFERROR(VLOOKUP(S983,STAT1!$C$4:$D$189,2,FALSE),"")</f>
        <v/>
      </c>
      <c r="U983" s="1226"/>
      <c r="V983" s="1217"/>
      <c r="W983" s="326">
        <v>3099</v>
      </c>
      <c r="X983" s="328" t="str">
        <f>IFERROR(VLOOKUP(W983,DATA!$G$4:$H$400,2,FALSE),"")</f>
        <v>ÃÐÀÍÄ ÑËÀÁ ÕÕÊ</v>
      </c>
      <c r="Y983" s="1205"/>
      <c r="Z983" s="1205"/>
      <c r="AA983" s="1205"/>
    </row>
    <row r="984" spans="1:27" ht="12.75" customHeight="1">
      <c r="A984" s="15">
        <v>220</v>
      </c>
      <c r="B984" s="92">
        <f t="shared" si="226"/>
        <v>979</v>
      </c>
      <c r="C984" s="320">
        <v>43031</v>
      </c>
      <c r="D984" s="321">
        <v>410098</v>
      </c>
      <c r="E984" s="323" t="str">
        <f t="shared" ca="1" si="233"/>
        <v xml:space="preserve">Угаалтуур </v>
      </c>
      <c r="F984" s="322" t="str">
        <f t="shared" ca="1" si="238"/>
        <v>ш</v>
      </c>
      <c r="G984" s="325"/>
      <c r="H984" s="325"/>
      <c r="I984" s="325" t="str">
        <f t="shared" si="228"/>
        <v/>
      </c>
      <c r="J984" s="325" t="str">
        <f t="shared" si="239"/>
        <v/>
      </c>
      <c r="K984" s="621" t="str">
        <f t="shared" si="229"/>
        <v/>
      </c>
      <c r="L984" s="325">
        <v>4</v>
      </c>
      <c r="M984" s="325"/>
      <c r="N984" s="378">
        <f t="shared" si="236"/>
        <v>0</v>
      </c>
      <c r="O984" s="378">
        <f t="shared" si="230"/>
        <v>0</v>
      </c>
      <c r="P984" s="325">
        <f t="shared" si="231"/>
        <v>0</v>
      </c>
      <c r="Q984" s="325">
        <f t="shared" ca="1" si="232"/>
        <v>303295.46000000002</v>
      </c>
      <c r="R984" s="325">
        <f t="shared" ca="1" si="237"/>
        <v>1213181.8400000001</v>
      </c>
      <c r="S984" s="602"/>
      <c r="T984" s="325" t="str">
        <f>+IFERROR(VLOOKUP(S984,STAT1!$C$4:$D$189,2,FALSE),"")</f>
        <v/>
      </c>
      <c r="U984" s="1226"/>
      <c r="V984" s="1217"/>
      <c r="W984" s="326">
        <v>3099</v>
      </c>
      <c r="X984" s="328" t="str">
        <f>IFERROR(VLOOKUP(W984,DATA!$G$4:$H$400,2,FALSE),"")</f>
        <v>ÃÐÀÍÄ ÑËÀÁ ÕÕÊ</v>
      </c>
      <c r="Y984" s="1205"/>
      <c r="Z984" s="1205"/>
      <c r="AA984" s="1205"/>
    </row>
    <row r="985" spans="1:27" ht="12.75" customHeight="1">
      <c r="A985" s="15">
        <v>220</v>
      </c>
      <c r="B985" s="92">
        <f t="shared" si="226"/>
        <v>980</v>
      </c>
      <c r="C985" s="320">
        <v>43031</v>
      </c>
      <c r="D985" s="321">
        <v>410083</v>
      </c>
      <c r="E985" s="323" t="str">
        <f t="shared" ca="1" si="233"/>
        <v xml:space="preserve">ОСП хавтан </v>
      </c>
      <c r="F985" s="322" t="str">
        <f t="shared" ca="1" si="238"/>
        <v>ш</v>
      </c>
      <c r="G985" s="325"/>
      <c r="H985" s="325"/>
      <c r="I985" s="325" t="str">
        <f t="shared" si="228"/>
        <v/>
      </c>
      <c r="J985" s="325" t="str">
        <f t="shared" si="239"/>
        <v/>
      </c>
      <c r="K985" s="621" t="str">
        <f t="shared" si="229"/>
        <v/>
      </c>
      <c r="L985" s="325">
        <v>23</v>
      </c>
      <c r="M985" s="325"/>
      <c r="N985" s="378">
        <f t="shared" si="236"/>
        <v>0</v>
      </c>
      <c r="O985" s="378">
        <f t="shared" si="230"/>
        <v>0</v>
      </c>
      <c r="P985" s="325">
        <f t="shared" si="231"/>
        <v>0</v>
      </c>
      <c r="Q985" s="325">
        <f t="shared" ca="1" si="232"/>
        <v>123954.55</v>
      </c>
      <c r="R985" s="325">
        <f t="shared" ca="1" si="237"/>
        <v>2850954.65</v>
      </c>
      <c r="S985" s="602"/>
      <c r="T985" s="325" t="str">
        <f>+IFERROR(VLOOKUP(S985,STAT1!$C$4:$D$189,2,FALSE),"")</f>
        <v/>
      </c>
      <c r="U985" s="1226"/>
      <c r="V985" s="1217"/>
      <c r="W985" s="326">
        <v>3099</v>
      </c>
      <c r="X985" s="328" t="str">
        <f>IFERROR(VLOOKUP(W985,DATA!$G$4:$H$400,2,FALSE),"")</f>
        <v>ÃÐÀÍÄ ÑËÀÁ ÕÕÊ</v>
      </c>
      <c r="Y985" s="1205"/>
      <c r="Z985" s="1205"/>
      <c r="AA985" s="1205"/>
    </row>
    <row r="986" spans="1:27" ht="12.75" customHeight="1">
      <c r="A986" s="15">
        <v>220</v>
      </c>
      <c r="B986" s="92">
        <f t="shared" si="226"/>
        <v>981</v>
      </c>
      <c r="C986" s="320">
        <v>43031</v>
      </c>
      <c r="D986" s="321">
        <v>211710</v>
      </c>
      <c r="E986" s="323" t="str">
        <f t="shared" ca="1" si="233"/>
        <v xml:space="preserve">Н-Хавтан /зузаан-3см/-яртай </v>
      </c>
      <c r="F986" s="322" t="str">
        <f t="shared" ca="1" si="238"/>
        <v>м2</v>
      </c>
      <c r="G986" s="325"/>
      <c r="H986" s="325"/>
      <c r="I986" s="325" t="str">
        <f t="shared" si="228"/>
        <v/>
      </c>
      <c r="J986" s="325" t="str">
        <f t="shared" si="239"/>
        <v/>
      </c>
      <c r="K986" s="621" t="str">
        <f t="shared" si="229"/>
        <v/>
      </c>
      <c r="L986" s="325">
        <f>14.1*3.55+3*5*1</f>
        <v>65.055000000000007</v>
      </c>
      <c r="M986" s="325"/>
      <c r="N986" s="378">
        <f t="shared" si="236"/>
        <v>0</v>
      </c>
      <c r="O986" s="378">
        <f t="shared" si="230"/>
        <v>0</v>
      </c>
      <c r="P986" s="325">
        <f t="shared" si="231"/>
        <v>0</v>
      </c>
      <c r="Q986" s="325">
        <f t="shared" ca="1" si="232"/>
        <v>32877.78891424858</v>
      </c>
      <c r="R986" s="325">
        <f t="shared" ca="1" si="237"/>
        <v>2138864.5578164416</v>
      </c>
      <c r="S986" s="609"/>
      <c r="T986" s="325" t="str">
        <f>+IFERROR(VLOOKUP(S986,STAT1!$C$4:$D$189,2,FALSE),"")</f>
        <v/>
      </c>
      <c r="U986" s="1226"/>
      <c r="V986" s="1217"/>
      <c r="W986" s="326">
        <v>3099</v>
      </c>
      <c r="X986" s="328" t="str">
        <f>IFERROR(VLOOKUP(W986,DATA!$G$4:$H$400,2,FALSE),"")</f>
        <v>ÃÐÀÍÄ ÑËÀÁ ÕÕÊ</v>
      </c>
      <c r="Y986" s="1205"/>
      <c r="Z986" s="1205"/>
      <c r="AA986" s="1205"/>
    </row>
    <row r="987" spans="1:27" ht="12.75" customHeight="1">
      <c r="A987" s="15">
        <v>220</v>
      </c>
      <c r="B987" s="92">
        <f t="shared" si="226"/>
        <v>982</v>
      </c>
      <c r="C987" s="320">
        <v>43031</v>
      </c>
      <c r="D987" s="321">
        <v>211715</v>
      </c>
      <c r="E987" s="323" t="str">
        <f t="shared" ca="1" si="233"/>
        <v>Н-Хавтан /зузаан-1.8см/</v>
      </c>
      <c r="F987" s="322" t="str">
        <f t="shared" ca="1" si="238"/>
        <v>м2</v>
      </c>
      <c r="G987" s="325"/>
      <c r="H987" s="325"/>
      <c r="I987" s="325" t="str">
        <f t="shared" si="228"/>
        <v/>
      </c>
      <c r="J987" s="325" t="str">
        <f t="shared" si="239"/>
        <v/>
      </c>
      <c r="K987" s="621" t="str">
        <f t="shared" si="229"/>
        <v/>
      </c>
      <c r="L987" s="325">
        <f>3.33*1.2+3.33*0.75</f>
        <v>6.4935</v>
      </c>
      <c r="M987" s="325"/>
      <c r="N987" s="378">
        <f t="shared" si="236"/>
        <v>0</v>
      </c>
      <c r="O987" s="378">
        <f t="shared" si="230"/>
        <v>0</v>
      </c>
      <c r="P987" s="325">
        <f t="shared" si="231"/>
        <v>0</v>
      </c>
      <c r="Q987" s="325">
        <f t="shared" ca="1" si="232"/>
        <v>18716.907616612858</v>
      </c>
      <c r="R987" s="325">
        <f t="shared" ca="1" si="237"/>
        <v>121538.23960847559</v>
      </c>
      <c r="S987" s="609"/>
      <c r="T987" s="325" t="str">
        <f>+IFERROR(VLOOKUP(S987,STAT1!$C$4:$D$189,2,FALSE),"")</f>
        <v/>
      </c>
      <c r="U987" s="1226"/>
      <c r="V987" s="1217"/>
      <c r="W987" s="326">
        <v>3099</v>
      </c>
      <c r="X987" s="328" t="str">
        <f>IFERROR(VLOOKUP(W987,DATA!$G$4:$H$400,2,FALSE),"")</f>
        <v>ÃÐÀÍÄ ÑËÀÁ ÕÕÊ</v>
      </c>
      <c r="Y987" s="1205"/>
      <c r="Z987" s="1205"/>
      <c r="AA987" s="1205"/>
    </row>
    <row r="988" spans="1:27" ht="12.75" customHeight="1">
      <c r="A988" s="15">
        <v>221</v>
      </c>
      <c r="B988" s="92">
        <f t="shared" si="226"/>
        <v>983</v>
      </c>
      <c r="C988" s="320">
        <v>43032</v>
      </c>
      <c r="D988" s="321"/>
      <c r="E988" s="323" t="str">
        <f t="shared" ca="1" si="233"/>
        <v/>
      </c>
      <c r="F988" s="322" t="str">
        <f t="shared" ca="1" si="238"/>
        <v/>
      </c>
      <c r="G988" s="325"/>
      <c r="H988" s="325"/>
      <c r="I988" s="325" t="str">
        <f t="shared" si="228"/>
        <v/>
      </c>
      <c r="J988" s="325" t="str">
        <f t="shared" si="239"/>
        <v/>
      </c>
      <c r="K988" s="621" t="str">
        <f t="shared" si="229"/>
        <v/>
      </c>
      <c r="L988" s="325"/>
      <c r="M988" s="325"/>
      <c r="N988" s="378" t="str">
        <f t="shared" si="236"/>
        <v/>
      </c>
      <c r="O988" s="378" t="str">
        <f t="shared" si="230"/>
        <v/>
      </c>
      <c r="P988" s="325" t="str">
        <f t="shared" si="231"/>
        <v/>
      </c>
      <c r="Q988" s="325" t="str">
        <f t="shared" si="232"/>
        <v/>
      </c>
      <c r="R988" s="325" t="str">
        <f t="shared" si="237"/>
        <v/>
      </c>
      <c r="S988" s="609">
        <v>320100</v>
      </c>
      <c r="T988" s="325" t="str">
        <f>+IFERROR(VLOOKUP(S988,STAT1!$C$4:$D$189,2,FALSE),"")</f>
        <v>Урьдчилж орсон орлого MNT</v>
      </c>
      <c r="U988" s="1226">
        <v>247500</v>
      </c>
      <c r="V988" s="1217"/>
      <c r="W988" s="326">
        <v>3042</v>
      </c>
      <c r="X988" s="328" t="str">
        <f>IFERROR(VLOOKUP(W988,DATA!$G$4:$H$400,2,FALSE),"")</f>
        <v xml:space="preserve">ЖУРМАК ХХК </v>
      </c>
      <c r="Y988" s="1205"/>
      <c r="Z988" s="1205"/>
      <c r="AA988" s="1205"/>
    </row>
    <row r="989" spans="1:27" ht="12.75" customHeight="1">
      <c r="A989" s="15">
        <v>221</v>
      </c>
      <c r="B989" s="92">
        <f t="shared" si="226"/>
        <v>984</v>
      </c>
      <c r="C989" s="320">
        <v>43032</v>
      </c>
      <c r="D989" s="321">
        <v>211801</v>
      </c>
      <c r="E989" s="323" t="str">
        <f t="shared" ca="1" si="233"/>
        <v>Н-Ембүү /20*30мм/</v>
      </c>
      <c r="F989" s="322" t="str">
        <f t="shared" ca="1" si="238"/>
        <v>м</v>
      </c>
      <c r="G989" s="325"/>
      <c r="H989" s="325"/>
      <c r="I989" s="325" t="str">
        <f t="shared" si="228"/>
        <v/>
      </c>
      <c r="J989" s="325" t="str">
        <f t="shared" si="239"/>
        <v/>
      </c>
      <c r="K989" s="621" t="str">
        <f t="shared" si="229"/>
        <v/>
      </c>
      <c r="L989" s="325">
        <v>60</v>
      </c>
      <c r="M989" s="325">
        <v>1500</v>
      </c>
      <c r="N989" s="378">
        <f t="shared" si="236"/>
        <v>90000</v>
      </c>
      <c r="O989" s="378">
        <f t="shared" si="230"/>
        <v>9000</v>
      </c>
      <c r="P989" s="325">
        <f t="shared" si="231"/>
        <v>99000</v>
      </c>
      <c r="Q989" s="325">
        <f t="shared" ca="1" si="232"/>
        <v>647.50519478531237</v>
      </c>
      <c r="R989" s="325">
        <f t="shared" ca="1" si="237"/>
        <v>38850.311687118745</v>
      </c>
      <c r="S989" s="602">
        <v>150101</v>
      </c>
      <c r="T989" s="325" t="str">
        <f>+IFERROR(VLOOKUP(S989,STAT1!$C$4:$D$189,2,FALSE),"")</f>
        <v>Бараа бэлэн бүтээгдэхүүн БОЛОВСРУУЛАХ ЦЕХ /нарс/</v>
      </c>
      <c r="U989" s="1226"/>
      <c r="V989" s="1217">
        <v>102398.76830889922</v>
      </c>
      <c r="W989" s="326">
        <v>3042</v>
      </c>
      <c r="X989" s="328" t="str">
        <f>IFERROR(VLOOKUP(W989,DATA!$G$4:$H$400,2,FALSE),"")</f>
        <v xml:space="preserve">ЖУРМАК ХХК </v>
      </c>
      <c r="Y989" s="1205"/>
      <c r="Z989" s="1205"/>
      <c r="AA989" s="1205"/>
    </row>
    <row r="990" spans="1:27" ht="12.75" customHeight="1">
      <c r="A990" s="15">
        <v>221</v>
      </c>
      <c r="B990" s="92">
        <f t="shared" si="226"/>
        <v>985</v>
      </c>
      <c r="C990" s="320">
        <v>43032</v>
      </c>
      <c r="D990" s="321">
        <v>211802</v>
      </c>
      <c r="E990" s="323" t="str">
        <f t="shared" ca="1" si="233"/>
        <v xml:space="preserve">Н-Уголок </v>
      </c>
      <c r="F990" s="322" t="str">
        <f t="shared" ca="1" si="238"/>
        <v>м</v>
      </c>
      <c r="G990" s="325"/>
      <c r="H990" s="325"/>
      <c r="I990" s="325" t="str">
        <f t="shared" si="228"/>
        <v/>
      </c>
      <c r="J990" s="325" t="str">
        <f t="shared" si="239"/>
        <v/>
      </c>
      <c r="K990" s="621" t="str">
        <f t="shared" si="229"/>
        <v/>
      </c>
      <c r="L990" s="325">
        <v>45</v>
      </c>
      <c r="M990" s="325">
        <v>3000</v>
      </c>
      <c r="N990" s="378">
        <f t="shared" si="236"/>
        <v>135000</v>
      </c>
      <c r="O990" s="378">
        <f t="shared" si="230"/>
        <v>13500</v>
      </c>
      <c r="P990" s="325">
        <f t="shared" si="231"/>
        <v>148500</v>
      </c>
      <c r="Q990" s="325">
        <f t="shared" ca="1" si="232"/>
        <v>1412.1879249284552</v>
      </c>
      <c r="R990" s="325">
        <f t="shared" ca="1" si="237"/>
        <v>63548.456621780482</v>
      </c>
      <c r="S990" s="602">
        <v>610100</v>
      </c>
      <c r="T990" s="325" t="str">
        <f>+IFERROR(VLOOKUP(S990,STAT1!$C$4:$D$189,2,FALSE),"")</f>
        <v>Борлуулсан барааны өртөг</v>
      </c>
      <c r="U990" s="1226">
        <v>102398.76830889922</v>
      </c>
      <c r="V990" s="1217"/>
      <c r="W990" s="326">
        <v>3042</v>
      </c>
      <c r="X990" s="328" t="str">
        <f>IFERROR(VLOOKUP(W990,DATA!$G$4:$H$400,2,FALSE),"")</f>
        <v xml:space="preserve">ЖУРМАК ХХК </v>
      </c>
      <c r="Y990" s="1205"/>
      <c r="Z990" s="1205"/>
      <c r="AA990" s="1205"/>
    </row>
    <row r="991" spans="1:27" ht="12.75" customHeight="1">
      <c r="A991" s="15">
        <v>221</v>
      </c>
      <c r="B991" s="92">
        <f t="shared" si="226"/>
        <v>986</v>
      </c>
      <c r="C991" s="320">
        <v>43032</v>
      </c>
      <c r="D991" s="321"/>
      <c r="E991" s="323" t="str">
        <f t="shared" ca="1" si="233"/>
        <v/>
      </c>
      <c r="F991" s="322" t="str">
        <f t="shared" ca="1" si="238"/>
        <v/>
      </c>
      <c r="G991" s="325"/>
      <c r="H991" s="325"/>
      <c r="I991" s="325" t="str">
        <f t="shared" si="228"/>
        <v/>
      </c>
      <c r="J991" s="325" t="str">
        <f t="shared" si="239"/>
        <v/>
      </c>
      <c r="K991" s="621" t="str">
        <f t="shared" si="229"/>
        <v/>
      </c>
      <c r="L991" s="325"/>
      <c r="M991" s="325"/>
      <c r="N991" s="378" t="str">
        <f t="shared" si="236"/>
        <v/>
      </c>
      <c r="O991" s="378" t="str">
        <f t="shared" si="230"/>
        <v/>
      </c>
      <c r="P991" s="325" t="str">
        <f t="shared" si="231"/>
        <v/>
      </c>
      <c r="Q991" s="325" t="str">
        <f t="shared" si="232"/>
        <v/>
      </c>
      <c r="R991" s="325" t="str">
        <f t="shared" si="237"/>
        <v/>
      </c>
      <c r="S991" s="602">
        <v>310500</v>
      </c>
      <c r="T991" s="325" t="str">
        <f>+IFERROR(VLOOKUP(S991,STAT1!$C$4:$D$189,2,FALSE),"")</f>
        <v>НӨАТ өглөг</v>
      </c>
      <c r="U991" s="1226"/>
      <c r="V991" s="1217">
        <v>22500</v>
      </c>
      <c r="W991" s="326">
        <v>3042</v>
      </c>
      <c r="X991" s="328" t="str">
        <f>IFERROR(VLOOKUP(W991,DATA!$G$4:$H$400,2,FALSE),"")</f>
        <v xml:space="preserve">ЖУРМАК ХХК </v>
      </c>
      <c r="Y991" s="1205"/>
      <c r="Z991" s="1205"/>
      <c r="AA991" s="1205"/>
    </row>
    <row r="992" spans="1:27" ht="12.75" customHeight="1">
      <c r="A992" s="15">
        <v>221</v>
      </c>
      <c r="B992" s="92">
        <f t="shared" si="226"/>
        <v>987</v>
      </c>
      <c r="C992" s="320">
        <v>43032</v>
      </c>
      <c r="D992" s="321"/>
      <c r="E992" s="323" t="str">
        <f t="shared" ca="1" si="233"/>
        <v/>
      </c>
      <c r="F992" s="322" t="str">
        <f t="shared" ca="1" si="238"/>
        <v/>
      </c>
      <c r="G992" s="325"/>
      <c r="H992" s="325"/>
      <c r="I992" s="325" t="str">
        <f t="shared" si="228"/>
        <v/>
      </c>
      <c r="J992" s="325" t="str">
        <f t="shared" si="239"/>
        <v/>
      </c>
      <c r="K992" s="621" t="str">
        <f t="shared" si="229"/>
        <v/>
      </c>
      <c r="L992" s="325"/>
      <c r="M992" s="325"/>
      <c r="N992" s="378" t="str">
        <f t="shared" si="236"/>
        <v/>
      </c>
      <c r="O992" s="378" t="str">
        <f t="shared" si="230"/>
        <v/>
      </c>
      <c r="P992" s="325" t="str">
        <f t="shared" si="231"/>
        <v/>
      </c>
      <c r="Q992" s="325" t="str">
        <f t="shared" si="232"/>
        <v/>
      </c>
      <c r="R992" s="325" t="str">
        <f t="shared" si="237"/>
        <v/>
      </c>
      <c r="S992" s="609">
        <v>510000</v>
      </c>
      <c r="T992" s="325" t="str">
        <f>+IFERROR(VLOOKUP(S992,STAT1!$C$4:$D$189,2,FALSE),"")</f>
        <v>Үндсэн үйл ажиллагааны борлуулалт</v>
      </c>
      <c r="U992" s="1226"/>
      <c r="V992" s="1217">
        <v>225000</v>
      </c>
      <c r="W992" s="326">
        <v>3042</v>
      </c>
      <c r="X992" s="328" t="str">
        <f>IFERROR(VLOOKUP(W992,DATA!$G$4:$H$400,2,FALSE),"")</f>
        <v xml:space="preserve">ЖУРМАК ХХК </v>
      </c>
      <c r="Y992" s="1205"/>
      <c r="Z992" s="1205"/>
      <c r="AA992" s="1205"/>
    </row>
    <row r="993" spans="1:27" ht="12.75" customHeight="1">
      <c r="A993" s="15">
        <v>222</v>
      </c>
      <c r="B993" s="92">
        <f t="shared" si="226"/>
        <v>988</v>
      </c>
      <c r="C993" s="320">
        <v>43033</v>
      </c>
      <c r="D993" s="321">
        <v>211802</v>
      </c>
      <c r="E993" s="323" t="str">
        <f t="shared" ca="1" si="233"/>
        <v xml:space="preserve">Н-Уголок </v>
      </c>
      <c r="F993" s="322" t="str">
        <f t="shared" ca="1" si="238"/>
        <v>м</v>
      </c>
      <c r="G993" s="325"/>
      <c r="H993" s="325"/>
      <c r="I993" s="325" t="str">
        <f t="shared" si="228"/>
        <v/>
      </c>
      <c r="J993" s="325" t="str">
        <f t="shared" si="239"/>
        <v/>
      </c>
      <c r="K993" s="621" t="str">
        <f t="shared" si="229"/>
        <v/>
      </c>
      <c r="L993" s="325">
        <v>200</v>
      </c>
      <c r="M993" s="325">
        <v>4000</v>
      </c>
      <c r="N993" s="378">
        <f t="shared" ref="N993:N1024" si="240">+IF(L993="","",L993*M993)</f>
        <v>800000</v>
      </c>
      <c r="O993" s="378">
        <f t="shared" si="230"/>
        <v>80000</v>
      </c>
      <c r="P993" s="325">
        <f t="shared" si="231"/>
        <v>880000</v>
      </c>
      <c r="Q993" s="325">
        <f t="shared" ca="1" si="232"/>
        <v>1412.1879249284552</v>
      </c>
      <c r="R993" s="325">
        <f t="shared" ca="1" si="237"/>
        <v>282437.58498569106</v>
      </c>
      <c r="S993" s="609">
        <v>150101</v>
      </c>
      <c r="T993" s="325" t="str">
        <f>+IFERROR(VLOOKUP(S993,STAT1!$C$4:$D$189,2,FALSE),"")</f>
        <v>Бараа бэлэн бүтээгдэхүүн БОЛОВСРУУЛАХ ЦЕХ /нарс/</v>
      </c>
      <c r="U993" s="1226"/>
      <c r="V993" s="1217">
        <v>282437.58498569106</v>
      </c>
      <c r="W993" s="326">
        <v>3103</v>
      </c>
      <c r="X993" s="328" t="str">
        <f>IFERROR(VLOOKUP(W993,DATA!$G$4:$H$400,2,FALSE),"")</f>
        <v xml:space="preserve">СКАЙ ФОРТУН ХХК </v>
      </c>
      <c r="Y993" s="1205"/>
      <c r="Z993" s="1205"/>
      <c r="AA993" s="1205"/>
    </row>
    <row r="994" spans="1:27" ht="12.75" customHeight="1">
      <c r="A994" s="15">
        <v>222</v>
      </c>
      <c r="B994" s="92">
        <f t="shared" si="226"/>
        <v>989</v>
      </c>
      <c r="C994" s="320">
        <v>43033</v>
      </c>
      <c r="D994" s="321"/>
      <c r="E994" s="323" t="str">
        <f t="shared" ca="1" si="233"/>
        <v/>
      </c>
      <c r="F994" s="322" t="str">
        <f t="shared" ca="1" si="238"/>
        <v/>
      </c>
      <c r="G994" s="325"/>
      <c r="H994" s="325"/>
      <c r="I994" s="325" t="str">
        <f t="shared" si="228"/>
        <v/>
      </c>
      <c r="J994" s="325" t="str">
        <f t="shared" si="239"/>
        <v/>
      </c>
      <c r="K994" s="621" t="str">
        <f t="shared" si="229"/>
        <v/>
      </c>
      <c r="L994" s="325"/>
      <c r="M994" s="325"/>
      <c r="N994" s="378" t="str">
        <f t="shared" si="240"/>
        <v/>
      </c>
      <c r="O994" s="378" t="str">
        <f t="shared" si="230"/>
        <v/>
      </c>
      <c r="P994" s="325" t="str">
        <f t="shared" si="231"/>
        <v/>
      </c>
      <c r="Q994" s="325" t="str">
        <f t="shared" si="232"/>
        <v/>
      </c>
      <c r="R994" s="325" t="str">
        <f t="shared" si="237"/>
        <v/>
      </c>
      <c r="S994" s="609">
        <v>610100</v>
      </c>
      <c r="T994" s="325" t="str">
        <f>+IFERROR(VLOOKUP(S994,STAT1!$C$4:$D$189,2,FALSE),"")</f>
        <v>Борлуулсан барааны өртөг</v>
      </c>
      <c r="U994" s="1226">
        <v>282437.58498569106</v>
      </c>
      <c r="V994" s="1217"/>
      <c r="W994" s="326">
        <v>3103</v>
      </c>
      <c r="X994" s="328" t="str">
        <f>IFERROR(VLOOKUP(W994,DATA!$G$4:$H$400,2,FALSE),"")</f>
        <v xml:space="preserve">СКАЙ ФОРТУН ХХК </v>
      </c>
      <c r="Y994" s="1205"/>
      <c r="Z994" s="1205"/>
      <c r="AA994" s="1205"/>
    </row>
    <row r="995" spans="1:27" ht="12.75" customHeight="1">
      <c r="A995" s="15">
        <v>222</v>
      </c>
      <c r="B995" s="92">
        <f t="shared" si="226"/>
        <v>990</v>
      </c>
      <c r="C995" s="320">
        <v>43033</v>
      </c>
      <c r="D995" s="321"/>
      <c r="E995" s="323" t="str">
        <f t="shared" ca="1" si="233"/>
        <v/>
      </c>
      <c r="F995" s="322" t="str">
        <f t="shared" ca="1" si="238"/>
        <v/>
      </c>
      <c r="G995" s="325"/>
      <c r="H995" s="325"/>
      <c r="I995" s="325" t="str">
        <f t="shared" si="228"/>
        <v/>
      </c>
      <c r="J995" s="325" t="str">
        <f t="shared" si="239"/>
        <v/>
      </c>
      <c r="K995" s="621" t="str">
        <f t="shared" si="229"/>
        <v/>
      </c>
      <c r="L995" s="325"/>
      <c r="M995" s="325"/>
      <c r="N995" s="378" t="str">
        <f t="shared" si="240"/>
        <v/>
      </c>
      <c r="O995" s="378" t="str">
        <f t="shared" si="230"/>
        <v/>
      </c>
      <c r="P995" s="325" t="str">
        <f t="shared" si="231"/>
        <v/>
      </c>
      <c r="Q995" s="325" t="str">
        <f t="shared" si="232"/>
        <v/>
      </c>
      <c r="R995" s="325" t="str">
        <f t="shared" si="237"/>
        <v/>
      </c>
      <c r="S995" s="609">
        <v>310500</v>
      </c>
      <c r="T995" s="325" t="str">
        <f>+IFERROR(VLOOKUP(S995,STAT1!$C$4:$D$189,2,FALSE),"")</f>
        <v>НӨАТ өглөг</v>
      </c>
      <c r="U995" s="1226"/>
      <c r="V995" s="1217">
        <v>80000</v>
      </c>
      <c r="W995" s="326">
        <v>3103</v>
      </c>
      <c r="X995" s="328" t="str">
        <f>IFERROR(VLOOKUP(W995,DATA!$G$4:$H$400,2,FALSE),"")</f>
        <v xml:space="preserve">СКАЙ ФОРТУН ХХК </v>
      </c>
      <c r="Y995" s="1205"/>
      <c r="Z995" s="1205"/>
      <c r="AA995" s="1205"/>
    </row>
    <row r="996" spans="1:27" ht="12.75" customHeight="1">
      <c r="A996" s="15">
        <v>222</v>
      </c>
      <c r="B996" s="92">
        <f t="shared" si="226"/>
        <v>991</v>
      </c>
      <c r="C996" s="320">
        <v>43033</v>
      </c>
      <c r="D996" s="321"/>
      <c r="E996" s="323" t="str">
        <f t="shared" ca="1" si="233"/>
        <v/>
      </c>
      <c r="F996" s="322" t="str">
        <f t="shared" ca="1" si="238"/>
        <v/>
      </c>
      <c r="G996" s="325"/>
      <c r="H996" s="325"/>
      <c r="I996" s="325" t="str">
        <f t="shared" si="228"/>
        <v/>
      </c>
      <c r="J996" s="325" t="str">
        <f t="shared" si="239"/>
        <v/>
      </c>
      <c r="K996" s="621" t="str">
        <f t="shared" si="229"/>
        <v/>
      </c>
      <c r="L996" s="325"/>
      <c r="M996" s="325"/>
      <c r="N996" s="378" t="str">
        <f t="shared" si="240"/>
        <v/>
      </c>
      <c r="O996" s="378" t="str">
        <f t="shared" si="230"/>
        <v/>
      </c>
      <c r="P996" s="325" t="str">
        <f t="shared" si="231"/>
        <v/>
      </c>
      <c r="Q996" s="325" t="str">
        <f t="shared" si="232"/>
        <v/>
      </c>
      <c r="R996" s="325" t="str">
        <f t="shared" si="237"/>
        <v/>
      </c>
      <c r="S996" s="609">
        <v>510000</v>
      </c>
      <c r="T996" s="325" t="str">
        <f>+IFERROR(VLOOKUP(S996,STAT1!$C$4:$D$189,2,FALSE),"")</f>
        <v>Үндсэн үйл ажиллагааны борлуулалт</v>
      </c>
      <c r="U996" s="1226"/>
      <c r="V996" s="1217">
        <v>800000</v>
      </c>
      <c r="W996" s="326">
        <v>3103</v>
      </c>
      <c r="X996" s="328" t="str">
        <f>IFERROR(VLOOKUP(W996,DATA!$G$4:$H$400,2,FALSE),"")</f>
        <v xml:space="preserve">СКАЙ ФОРТУН ХХК </v>
      </c>
      <c r="Y996" s="1205"/>
      <c r="Z996" s="1205"/>
      <c r="AA996" s="1205"/>
    </row>
    <row r="997" spans="1:27" ht="12.75" customHeight="1">
      <c r="A997" s="15">
        <v>222</v>
      </c>
      <c r="B997" s="92">
        <f t="shared" ref="B997:B1060" si="241">IF(C997="","",ROW()-5)</f>
        <v>992</v>
      </c>
      <c r="C997" s="320">
        <v>43033</v>
      </c>
      <c r="D997" s="321"/>
      <c r="E997" s="323" t="str">
        <f t="shared" ca="1" si="233"/>
        <v/>
      </c>
      <c r="F997" s="322" t="str">
        <f t="shared" ca="1" si="238"/>
        <v/>
      </c>
      <c r="G997" s="325"/>
      <c r="H997" s="325"/>
      <c r="I997" s="325" t="str">
        <f t="shared" si="228"/>
        <v/>
      </c>
      <c r="J997" s="325" t="str">
        <f t="shared" si="239"/>
        <v/>
      </c>
      <c r="K997" s="621" t="str">
        <f t="shared" si="229"/>
        <v/>
      </c>
      <c r="L997" s="325"/>
      <c r="M997" s="325"/>
      <c r="N997" s="378" t="str">
        <f t="shared" si="240"/>
        <v/>
      </c>
      <c r="O997" s="378" t="str">
        <f t="shared" si="230"/>
        <v/>
      </c>
      <c r="P997" s="325" t="str">
        <f t="shared" si="231"/>
        <v/>
      </c>
      <c r="Q997" s="325" t="str">
        <f t="shared" si="232"/>
        <v/>
      </c>
      <c r="R997" s="325" t="str">
        <f t="shared" si="237"/>
        <v/>
      </c>
      <c r="S997" s="609">
        <v>320100</v>
      </c>
      <c r="T997" s="325" t="str">
        <f>+IFERROR(VLOOKUP(S997,STAT1!$C$4:$D$189,2,FALSE),"")</f>
        <v>Урьдчилж орсон орлого MNT</v>
      </c>
      <c r="U997" s="1226">
        <v>880000</v>
      </c>
      <c r="V997" s="1217"/>
      <c r="W997" s="326">
        <v>3103</v>
      </c>
      <c r="X997" s="328" t="str">
        <f>IFERROR(VLOOKUP(W997,DATA!$G$4:$H$400,2,FALSE),"")</f>
        <v xml:space="preserve">СКАЙ ФОРТУН ХХК </v>
      </c>
      <c r="Y997" s="1205"/>
      <c r="Z997" s="1205"/>
      <c r="AA997" s="1205"/>
    </row>
    <row r="998" spans="1:27" ht="12.75" customHeight="1">
      <c r="A998" s="15">
        <v>223</v>
      </c>
      <c r="B998" s="92">
        <f t="shared" si="241"/>
        <v>993</v>
      </c>
      <c r="C998" s="320">
        <v>43035</v>
      </c>
      <c r="D998" s="321">
        <v>211801</v>
      </c>
      <c r="E998" s="323" t="str">
        <f t="shared" ca="1" si="233"/>
        <v>Н-Ембүү /20*30мм/</v>
      </c>
      <c r="F998" s="322" t="str">
        <f t="shared" ca="1" si="238"/>
        <v>м</v>
      </c>
      <c r="G998" s="325"/>
      <c r="H998" s="325"/>
      <c r="I998" s="325" t="str">
        <f t="shared" si="228"/>
        <v/>
      </c>
      <c r="J998" s="325" t="str">
        <f t="shared" si="239"/>
        <v/>
      </c>
      <c r="K998" s="621" t="str">
        <f t="shared" si="229"/>
        <v/>
      </c>
      <c r="L998" s="325">
        <v>90</v>
      </c>
      <c r="M998" s="325">
        <v>1500</v>
      </c>
      <c r="N998" s="378">
        <f t="shared" si="240"/>
        <v>135000</v>
      </c>
      <c r="O998" s="378">
        <f t="shared" si="230"/>
        <v>13500</v>
      </c>
      <c r="P998" s="325">
        <f t="shared" si="231"/>
        <v>148500</v>
      </c>
      <c r="Q998" s="325">
        <f t="shared" ca="1" si="232"/>
        <v>647.50519478531248</v>
      </c>
      <c r="R998" s="325">
        <f t="shared" ca="1" si="237"/>
        <v>58275.467530678121</v>
      </c>
      <c r="S998" s="609">
        <v>150101</v>
      </c>
      <c r="T998" s="325" t="str">
        <f>+IFERROR(VLOOKUP(S998,STAT1!$C$4:$D$189,2,FALSE),"")</f>
        <v>Бараа бэлэн бүтээгдэхүүн БОЛОВСРУУЛАХ ЦЕХ /нарс/</v>
      </c>
      <c r="U998" s="1226"/>
      <c r="V998" s="1217">
        <v>58275.467530678121</v>
      </c>
      <c r="W998" s="326">
        <v>3061</v>
      </c>
      <c r="X998" s="328" t="str">
        <f>IFERROR(VLOOKUP(W998,DATA!$G$4:$H$400,2,FALSE),"")</f>
        <v>СТИМО ХХК</v>
      </c>
      <c r="Y998" s="1205"/>
      <c r="Z998" s="1205"/>
      <c r="AA998" s="1205"/>
    </row>
    <row r="999" spans="1:27" ht="12.75" customHeight="1">
      <c r="A999" s="15">
        <v>223</v>
      </c>
      <c r="B999" s="92">
        <f t="shared" si="241"/>
        <v>994</v>
      </c>
      <c r="C999" s="320">
        <v>43035</v>
      </c>
      <c r="D999" s="321"/>
      <c r="E999" s="323" t="str">
        <f t="shared" ca="1" si="233"/>
        <v/>
      </c>
      <c r="F999" s="322" t="str">
        <f t="shared" ca="1" si="238"/>
        <v/>
      </c>
      <c r="G999" s="325"/>
      <c r="H999" s="325"/>
      <c r="I999" s="325" t="str">
        <f t="shared" si="228"/>
        <v/>
      </c>
      <c r="J999" s="325" t="str">
        <f t="shared" si="239"/>
        <v/>
      </c>
      <c r="K999" s="621" t="str">
        <f t="shared" si="229"/>
        <v/>
      </c>
      <c r="L999" s="325"/>
      <c r="M999" s="325"/>
      <c r="N999" s="378" t="str">
        <f t="shared" si="240"/>
        <v/>
      </c>
      <c r="O999" s="378" t="str">
        <f t="shared" si="230"/>
        <v/>
      </c>
      <c r="P999" s="325" t="str">
        <f t="shared" si="231"/>
        <v/>
      </c>
      <c r="Q999" s="325" t="str">
        <f t="shared" si="232"/>
        <v/>
      </c>
      <c r="R999" s="325" t="str">
        <f t="shared" si="237"/>
        <v/>
      </c>
      <c r="S999" s="609">
        <v>610100</v>
      </c>
      <c r="T999" s="325" t="str">
        <f>+IFERROR(VLOOKUP(S999,STAT1!$C$4:$D$189,2,FALSE),"")</f>
        <v>Борлуулсан барааны өртөг</v>
      </c>
      <c r="U999" s="1226">
        <v>58275.467530678121</v>
      </c>
      <c r="V999" s="1217"/>
      <c r="W999" s="326">
        <v>3061</v>
      </c>
      <c r="X999" s="328" t="str">
        <f>IFERROR(VLOOKUP(W999,DATA!$G$4:$H$400,2,FALSE),"")</f>
        <v>СТИМО ХХК</v>
      </c>
      <c r="Y999" s="1205"/>
      <c r="Z999" s="1205"/>
      <c r="AA999" s="1205"/>
    </row>
    <row r="1000" spans="1:27" ht="12.75" customHeight="1">
      <c r="A1000" s="15">
        <v>223</v>
      </c>
      <c r="B1000" s="92">
        <f t="shared" si="241"/>
        <v>995</v>
      </c>
      <c r="C1000" s="320">
        <v>43035</v>
      </c>
      <c r="D1000" s="321"/>
      <c r="E1000" s="323" t="str">
        <f t="shared" ca="1" si="233"/>
        <v/>
      </c>
      <c r="F1000" s="322" t="str">
        <f t="shared" ca="1" si="238"/>
        <v/>
      </c>
      <c r="G1000" s="325"/>
      <c r="H1000" s="325"/>
      <c r="I1000" s="325" t="str">
        <f t="shared" si="228"/>
        <v/>
      </c>
      <c r="J1000" s="325" t="str">
        <f t="shared" si="239"/>
        <v/>
      </c>
      <c r="K1000" s="621" t="str">
        <f t="shared" si="229"/>
        <v/>
      </c>
      <c r="L1000" s="325"/>
      <c r="M1000" s="325"/>
      <c r="N1000" s="378" t="str">
        <f t="shared" si="240"/>
        <v/>
      </c>
      <c r="O1000" s="378" t="str">
        <f t="shared" si="230"/>
        <v/>
      </c>
      <c r="P1000" s="325" t="str">
        <f t="shared" si="231"/>
        <v/>
      </c>
      <c r="Q1000" s="325" t="str">
        <f t="shared" si="232"/>
        <v/>
      </c>
      <c r="R1000" s="325" t="str">
        <f t="shared" si="237"/>
        <v/>
      </c>
      <c r="S1000" s="609">
        <v>310500</v>
      </c>
      <c r="T1000" s="325" t="str">
        <f>+IFERROR(VLOOKUP(S1000,STAT1!$C$4:$D$189,2,FALSE),"")</f>
        <v>НӨАТ өглөг</v>
      </c>
      <c r="U1000" s="1226"/>
      <c r="V1000" s="1217">
        <v>13500</v>
      </c>
      <c r="W1000" s="326">
        <v>3061</v>
      </c>
      <c r="X1000" s="328" t="str">
        <f>IFERROR(VLOOKUP(W1000,DATA!$G$4:$H$400,2,FALSE),"")</f>
        <v>СТИМО ХХК</v>
      </c>
      <c r="Y1000" s="1205"/>
      <c r="Z1000" s="1205"/>
      <c r="AA1000" s="1205"/>
    </row>
    <row r="1001" spans="1:27" ht="12.75" customHeight="1">
      <c r="A1001" s="15">
        <v>223</v>
      </c>
      <c r="B1001" s="92">
        <f t="shared" si="241"/>
        <v>996</v>
      </c>
      <c r="C1001" s="320">
        <v>43035</v>
      </c>
      <c r="D1001" s="321"/>
      <c r="E1001" s="323" t="str">
        <f t="shared" ca="1" si="233"/>
        <v/>
      </c>
      <c r="F1001" s="322" t="str">
        <f t="shared" ca="1" si="238"/>
        <v/>
      </c>
      <c r="G1001" s="325"/>
      <c r="H1001" s="325"/>
      <c r="I1001" s="325" t="str">
        <f t="shared" si="228"/>
        <v/>
      </c>
      <c r="J1001" s="325" t="str">
        <f t="shared" si="239"/>
        <v/>
      </c>
      <c r="K1001" s="621" t="str">
        <f t="shared" si="229"/>
        <v/>
      </c>
      <c r="L1001" s="325"/>
      <c r="M1001" s="325"/>
      <c r="N1001" s="378" t="str">
        <f t="shared" si="240"/>
        <v/>
      </c>
      <c r="O1001" s="378" t="str">
        <f t="shared" si="230"/>
        <v/>
      </c>
      <c r="P1001" s="325" t="str">
        <f t="shared" si="231"/>
        <v/>
      </c>
      <c r="Q1001" s="325" t="str">
        <f t="shared" si="232"/>
        <v/>
      </c>
      <c r="R1001" s="325" t="str">
        <f t="shared" si="237"/>
        <v/>
      </c>
      <c r="S1001" s="609">
        <v>510000</v>
      </c>
      <c r="T1001" s="325" t="str">
        <f>+IFERROR(VLOOKUP(S1001,STAT1!$C$4:$D$189,2,FALSE),"")</f>
        <v>Үндсэн үйл ажиллагааны борлуулалт</v>
      </c>
      <c r="U1001" s="1226"/>
      <c r="V1001" s="1217">
        <v>135000</v>
      </c>
      <c r="W1001" s="326">
        <v>3061</v>
      </c>
      <c r="X1001" s="328" t="str">
        <f>IFERROR(VLOOKUP(W1001,DATA!$G$4:$H$400,2,FALSE),"")</f>
        <v>СТИМО ХХК</v>
      </c>
      <c r="Y1001" s="1205"/>
      <c r="Z1001" s="1205"/>
      <c r="AA1001" s="1205"/>
    </row>
    <row r="1002" spans="1:27" ht="12.75" customHeight="1">
      <c r="A1002" s="15">
        <v>223</v>
      </c>
      <c r="B1002" s="92">
        <f t="shared" si="241"/>
        <v>997</v>
      </c>
      <c r="C1002" s="320">
        <v>43035</v>
      </c>
      <c r="D1002" s="321"/>
      <c r="E1002" s="323" t="str">
        <f t="shared" ca="1" si="233"/>
        <v/>
      </c>
      <c r="F1002" s="322" t="str">
        <f t="shared" ca="1" si="238"/>
        <v/>
      </c>
      <c r="G1002" s="325"/>
      <c r="H1002" s="325"/>
      <c r="I1002" s="325" t="str">
        <f t="shared" si="228"/>
        <v/>
      </c>
      <c r="J1002" s="325" t="str">
        <f t="shared" si="239"/>
        <v/>
      </c>
      <c r="K1002" s="621" t="str">
        <f t="shared" si="229"/>
        <v/>
      </c>
      <c r="L1002" s="325"/>
      <c r="M1002" s="325"/>
      <c r="N1002" s="378" t="str">
        <f t="shared" si="240"/>
        <v/>
      </c>
      <c r="O1002" s="378" t="str">
        <f t="shared" si="230"/>
        <v/>
      </c>
      <c r="P1002" s="325" t="str">
        <f t="shared" si="231"/>
        <v/>
      </c>
      <c r="Q1002" s="325" t="str">
        <f t="shared" si="232"/>
        <v/>
      </c>
      <c r="R1002" s="325" t="str">
        <f t="shared" si="237"/>
        <v/>
      </c>
      <c r="S1002" s="609">
        <v>320100</v>
      </c>
      <c r="T1002" s="325" t="str">
        <f>+IFERROR(VLOOKUP(S1002,STAT1!$C$4:$D$189,2,FALSE),"")</f>
        <v>Урьдчилж орсон орлого MNT</v>
      </c>
      <c r="U1002" s="1226">
        <v>148500</v>
      </c>
      <c r="V1002" s="1217"/>
      <c r="W1002" s="326">
        <v>3061</v>
      </c>
      <c r="X1002" s="328" t="str">
        <f>IFERROR(VLOOKUP(W1002,DATA!$G$4:$H$400,2,FALSE),"")</f>
        <v>СТИМО ХХК</v>
      </c>
      <c r="Y1002" s="1205"/>
      <c r="Z1002" s="1205"/>
      <c r="AA1002" s="1205"/>
    </row>
    <row r="1003" spans="1:27" ht="12.75" customHeight="1">
      <c r="A1003" s="15">
        <v>224</v>
      </c>
      <c r="B1003" s="92">
        <f t="shared" si="241"/>
        <v>998</v>
      </c>
      <c r="C1003" s="320">
        <v>43038</v>
      </c>
      <c r="D1003" s="321">
        <v>211801</v>
      </c>
      <c r="E1003" s="323" t="str">
        <f t="shared" ca="1" si="233"/>
        <v>Н-Ембүү /20*30мм/</v>
      </c>
      <c r="F1003" s="322" t="str">
        <f t="shared" ca="1" si="238"/>
        <v>м</v>
      </c>
      <c r="G1003" s="325"/>
      <c r="H1003" s="325"/>
      <c r="I1003" s="325" t="str">
        <f t="shared" si="228"/>
        <v/>
      </c>
      <c r="J1003" s="325" t="str">
        <f t="shared" si="239"/>
        <v/>
      </c>
      <c r="K1003" s="621" t="str">
        <f t="shared" si="229"/>
        <v/>
      </c>
      <c r="L1003" s="325">
        <v>51</v>
      </c>
      <c r="M1003" s="325">
        <v>1500</v>
      </c>
      <c r="N1003" s="378">
        <f t="shared" si="240"/>
        <v>76500</v>
      </c>
      <c r="O1003" s="378">
        <f t="shared" si="230"/>
        <v>7650</v>
      </c>
      <c r="P1003" s="325">
        <f t="shared" si="231"/>
        <v>84150</v>
      </c>
      <c r="Q1003" s="325">
        <f t="shared" ca="1" si="232"/>
        <v>647.50519478531248</v>
      </c>
      <c r="R1003" s="325">
        <f t="shared" ca="1" si="237"/>
        <v>33022.764934050938</v>
      </c>
      <c r="S1003" s="609">
        <v>150101</v>
      </c>
      <c r="T1003" s="325" t="str">
        <f>+IFERROR(VLOOKUP(S1003,STAT1!$C$4:$D$189,2,FALSE),"")</f>
        <v>Бараа бэлэн бүтээгдэхүүн БОЛОВСРУУЛАХ ЦЕХ /нарс/</v>
      </c>
      <c r="U1003" s="1226"/>
      <c r="V1003" s="1217">
        <v>54205.583807977768</v>
      </c>
      <c r="W1003" s="326">
        <v>3006</v>
      </c>
      <c r="X1003" s="328" t="str">
        <f>IFERROR(VLOOKUP(W1003,DATA!$G$4:$H$400,2,FALSE),"")</f>
        <v xml:space="preserve">ПАЙОНЕРИНГ ИНТЕРНЭШНЛ ХХК </v>
      </c>
      <c r="Y1003" s="1205"/>
      <c r="Z1003" s="1205"/>
      <c r="AA1003" s="1205"/>
    </row>
    <row r="1004" spans="1:27" ht="12.75" customHeight="1">
      <c r="A1004" s="15">
        <v>224</v>
      </c>
      <c r="B1004" s="92">
        <f t="shared" si="241"/>
        <v>999</v>
      </c>
      <c r="C1004" s="320">
        <v>43038</v>
      </c>
      <c r="D1004" s="321">
        <v>211802</v>
      </c>
      <c r="E1004" s="323" t="str">
        <f t="shared" ca="1" si="233"/>
        <v xml:space="preserve">Н-Уголок </v>
      </c>
      <c r="F1004" s="322" t="str">
        <f t="shared" ca="1" si="238"/>
        <v>м</v>
      </c>
      <c r="G1004" s="325"/>
      <c r="H1004" s="325"/>
      <c r="I1004" s="325" t="str">
        <f t="shared" si="228"/>
        <v/>
      </c>
      <c r="J1004" s="325" t="str">
        <f t="shared" si="239"/>
        <v/>
      </c>
      <c r="K1004" s="621" t="str">
        <f t="shared" si="229"/>
        <v/>
      </c>
      <c r="L1004" s="325">
        <v>15</v>
      </c>
      <c r="M1004" s="325">
        <v>3000</v>
      </c>
      <c r="N1004" s="378">
        <f t="shared" si="240"/>
        <v>45000</v>
      </c>
      <c r="O1004" s="378">
        <f t="shared" si="230"/>
        <v>4500</v>
      </c>
      <c r="P1004" s="325">
        <f t="shared" si="231"/>
        <v>49500</v>
      </c>
      <c r="Q1004" s="325">
        <f t="shared" ca="1" si="232"/>
        <v>1412.1879249284552</v>
      </c>
      <c r="R1004" s="325">
        <f t="shared" ca="1" si="237"/>
        <v>21182.81887392683</v>
      </c>
      <c r="S1004" s="609">
        <v>610100</v>
      </c>
      <c r="T1004" s="325" t="str">
        <f>+IFERROR(VLOOKUP(S1004,STAT1!$C$4:$D$189,2,FALSE),"")</f>
        <v>Борлуулсан барааны өртөг</v>
      </c>
      <c r="U1004" s="1226">
        <v>54205.583807977768</v>
      </c>
      <c r="V1004" s="1217"/>
      <c r="W1004" s="326">
        <v>3006</v>
      </c>
      <c r="X1004" s="328" t="str">
        <f>IFERROR(VLOOKUP(W1004,DATA!$G$4:$H$400,2,FALSE),"")</f>
        <v xml:space="preserve">ПАЙОНЕРИНГ ИНТЕРНЭШНЛ ХХК </v>
      </c>
      <c r="Y1004" s="1205"/>
      <c r="Z1004" s="1205"/>
      <c r="AA1004" s="1205"/>
    </row>
    <row r="1005" spans="1:27" ht="12.75" customHeight="1">
      <c r="A1005" s="15">
        <v>224</v>
      </c>
      <c r="B1005" s="92">
        <f t="shared" si="241"/>
        <v>1000</v>
      </c>
      <c r="C1005" s="320">
        <v>43038</v>
      </c>
      <c r="D1005" s="321"/>
      <c r="E1005" s="323" t="str">
        <f t="shared" ca="1" si="233"/>
        <v/>
      </c>
      <c r="F1005" s="322" t="str">
        <f t="shared" ca="1" si="238"/>
        <v/>
      </c>
      <c r="G1005" s="325"/>
      <c r="H1005" s="325"/>
      <c r="I1005" s="325" t="str">
        <f t="shared" si="228"/>
        <v/>
      </c>
      <c r="J1005" s="325" t="str">
        <f t="shared" si="239"/>
        <v/>
      </c>
      <c r="K1005" s="621" t="str">
        <f t="shared" si="229"/>
        <v/>
      </c>
      <c r="L1005" s="325"/>
      <c r="M1005" s="325"/>
      <c r="N1005" s="378" t="str">
        <f t="shared" si="240"/>
        <v/>
      </c>
      <c r="O1005" s="378" t="str">
        <f t="shared" si="230"/>
        <v/>
      </c>
      <c r="P1005" s="325" t="str">
        <f t="shared" si="231"/>
        <v/>
      </c>
      <c r="Q1005" s="325" t="str">
        <f t="shared" si="232"/>
        <v/>
      </c>
      <c r="R1005" s="325" t="str">
        <f t="shared" si="237"/>
        <v/>
      </c>
      <c r="S1005" s="609">
        <v>310500</v>
      </c>
      <c r="T1005" s="325" t="str">
        <f>+IFERROR(VLOOKUP(S1005,STAT1!$C$4:$D$189,2,FALSE),"")</f>
        <v>НӨАТ өглөг</v>
      </c>
      <c r="U1005" s="1226"/>
      <c r="V1005" s="1217">
        <v>12150</v>
      </c>
      <c r="W1005" s="326">
        <v>3006</v>
      </c>
      <c r="X1005" s="328" t="str">
        <f>IFERROR(VLOOKUP(W1005,DATA!$G$4:$H$400,2,FALSE),"")</f>
        <v xml:space="preserve">ПАЙОНЕРИНГ ИНТЕРНЭШНЛ ХХК </v>
      </c>
      <c r="Y1005" s="1205"/>
      <c r="Z1005" s="1205"/>
      <c r="AA1005" s="1205"/>
    </row>
    <row r="1006" spans="1:27" ht="12.75" customHeight="1">
      <c r="A1006" s="15">
        <v>224</v>
      </c>
      <c r="B1006" s="92">
        <f t="shared" si="241"/>
        <v>1001</v>
      </c>
      <c r="C1006" s="320">
        <v>43038</v>
      </c>
      <c r="D1006" s="321"/>
      <c r="E1006" s="323" t="str">
        <f t="shared" ca="1" si="233"/>
        <v/>
      </c>
      <c r="F1006" s="322" t="str">
        <f t="shared" ca="1" si="238"/>
        <v/>
      </c>
      <c r="G1006" s="325"/>
      <c r="H1006" s="325"/>
      <c r="I1006" s="325" t="str">
        <f t="shared" si="228"/>
        <v/>
      </c>
      <c r="J1006" s="325" t="str">
        <f t="shared" si="239"/>
        <v/>
      </c>
      <c r="K1006" s="621" t="str">
        <f t="shared" si="229"/>
        <v/>
      </c>
      <c r="L1006" s="325"/>
      <c r="M1006" s="325"/>
      <c r="N1006" s="378" t="str">
        <f t="shared" si="240"/>
        <v/>
      </c>
      <c r="O1006" s="378" t="str">
        <f t="shared" si="230"/>
        <v/>
      </c>
      <c r="P1006" s="325" t="str">
        <f t="shared" si="231"/>
        <v/>
      </c>
      <c r="Q1006" s="325" t="str">
        <f t="shared" si="232"/>
        <v/>
      </c>
      <c r="R1006" s="325" t="str">
        <f t="shared" si="237"/>
        <v/>
      </c>
      <c r="S1006" s="609">
        <v>510000</v>
      </c>
      <c r="T1006" s="325" t="str">
        <f>+IFERROR(VLOOKUP(S1006,STAT1!$C$4:$D$189,2,FALSE),"")</f>
        <v>Үндсэн үйл ажиллагааны борлуулалт</v>
      </c>
      <c r="U1006" s="1226"/>
      <c r="V1006" s="1217">
        <v>121500</v>
      </c>
      <c r="W1006" s="326">
        <v>3006</v>
      </c>
      <c r="X1006" s="328" t="str">
        <f>IFERROR(VLOOKUP(W1006,DATA!$G$4:$H$400,2,FALSE),"")</f>
        <v xml:space="preserve">ПАЙОНЕРИНГ ИНТЕРНЭШНЛ ХХК </v>
      </c>
      <c r="Y1006" s="1205"/>
      <c r="Z1006" s="1205"/>
      <c r="AA1006" s="1205"/>
    </row>
    <row r="1007" spans="1:27" ht="12.75" customHeight="1">
      <c r="A1007" s="15">
        <v>224</v>
      </c>
      <c r="B1007" s="92">
        <f t="shared" si="241"/>
        <v>1002</v>
      </c>
      <c r="C1007" s="320">
        <v>43038</v>
      </c>
      <c r="D1007" s="321"/>
      <c r="E1007" s="323" t="str">
        <f t="shared" ca="1" si="233"/>
        <v/>
      </c>
      <c r="F1007" s="322" t="str">
        <f t="shared" ca="1" si="238"/>
        <v/>
      </c>
      <c r="G1007" s="325"/>
      <c r="H1007" s="325"/>
      <c r="I1007" s="325" t="str">
        <f t="shared" si="228"/>
        <v/>
      </c>
      <c r="J1007" s="325" t="str">
        <f t="shared" si="239"/>
        <v/>
      </c>
      <c r="K1007" s="621" t="str">
        <f t="shared" si="229"/>
        <v/>
      </c>
      <c r="L1007" s="325"/>
      <c r="M1007" s="325"/>
      <c r="N1007" s="378" t="str">
        <f t="shared" si="240"/>
        <v/>
      </c>
      <c r="O1007" s="378" t="str">
        <f t="shared" si="230"/>
        <v/>
      </c>
      <c r="P1007" s="325" t="str">
        <f t="shared" si="231"/>
        <v/>
      </c>
      <c r="Q1007" s="325" t="str">
        <f t="shared" si="232"/>
        <v/>
      </c>
      <c r="R1007" s="325" t="str">
        <f t="shared" ref="R1007:R1038" si="242">+IF(L1007="","",L1007*Q1007)</f>
        <v/>
      </c>
      <c r="S1007" s="609">
        <v>320100</v>
      </c>
      <c r="T1007" s="325" t="str">
        <f>+IFERROR(VLOOKUP(S1007,STAT1!$C$4:$D$189,2,FALSE),"")</f>
        <v>Урьдчилж орсон орлого MNT</v>
      </c>
      <c r="U1007" s="1226">
        <v>133650</v>
      </c>
      <c r="V1007" s="1217"/>
      <c r="W1007" s="326">
        <v>3006</v>
      </c>
      <c r="X1007" s="328" t="str">
        <f>IFERROR(VLOOKUP(W1007,DATA!$G$4:$H$400,2,FALSE),"")</f>
        <v xml:space="preserve">ПАЙОНЕРИНГ ИНТЕРНЭШНЛ ХХК </v>
      </c>
      <c r="Y1007" s="1205"/>
      <c r="Z1007" s="1205"/>
      <c r="AA1007" s="1205"/>
    </row>
    <row r="1008" spans="1:27" ht="12.75" customHeight="1">
      <c r="A1008" s="15">
        <v>225</v>
      </c>
      <c r="B1008" s="92">
        <f t="shared" si="241"/>
        <v>1003</v>
      </c>
      <c r="C1008" s="320">
        <v>43046</v>
      </c>
      <c r="D1008" s="321">
        <v>211806</v>
      </c>
      <c r="E1008" s="323" t="str">
        <f t="shared" ca="1" si="233"/>
        <v xml:space="preserve">Н-Сауны шал </v>
      </c>
      <c r="F1008" s="322" t="str">
        <f t="shared" ca="1" si="238"/>
        <v>м2</v>
      </c>
      <c r="G1008" s="325"/>
      <c r="H1008" s="325"/>
      <c r="I1008" s="325" t="str">
        <f t="shared" si="228"/>
        <v/>
      </c>
      <c r="J1008" s="325" t="str">
        <f t="shared" si="239"/>
        <v/>
      </c>
      <c r="K1008" s="621" t="str">
        <f t="shared" si="229"/>
        <v/>
      </c>
      <c r="L1008" s="325">
        <v>27.36</v>
      </c>
      <c r="M1008" s="325">
        <f>45000/1.1</f>
        <v>40909.090909090904</v>
      </c>
      <c r="N1008" s="378">
        <f t="shared" si="240"/>
        <v>1119272.7272727271</v>
      </c>
      <c r="O1008" s="378">
        <f t="shared" si="230"/>
        <v>111927.27272727271</v>
      </c>
      <c r="P1008" s="325">
        <f t="shared" si="231"/>
        <v>1231199.9999999998</v>
      </c>
      <c r="Q1008" s="325">
        <f t="shared" ca="1" si="232"/>
        <v>22561.175828391672</v>
      </c>
      <c r="R1008" s="325">
        <f t="shared" ca="1" si="242"/>
        <v>617273.77066479612</v>
      </c>
      <c r="S1008" s="609">
        <v>150101</v>
      </c>
      <c r="T1008" s="325" t="str">
        <f>+IFERROR(VLOOKUP(S1008,STAT1!$C$4:$D$189,2,FALSE),"")</f>
        <v>Бараа бэлэн бүтээгдэхүүн БОЛОВСРУУЛАХ ЦЕХ /нарс/</v>
      </c>
      <c r="U1008" s="1226"/>
      <c r="V1008" s="1217">
        <v>617273.77066479612</v>
      </c>
      <c r="W1008" s="326">
        <v>3051</v>
      </c>
      <c r="X1008" s="328" t="str">
        <f>IFERROR(VLOOKUP(W1008,DATA!$G$4:$H$400,2,FALSE),"")</f>
        <v xml:space="preserve">НОМАДС ТУР ХХК </v>
      </c>
      <c r="Y1008" s="1205"/>
      <c r="Z1008" s="1205"/>
      <c r="AA1008" s="1205"/>
    </row>
    <row r="1009" spans="1:27" ht="12.75" customHeight="1">
      <c r="A1009" s="15">
        <v>225</v>
      </c>
      <c r="B1009" s="92">
        <f t="shared" si="241"/>
        <v>1004</v>
      </c>
      <c r="C1009" s="320">
        <v>43046</v>
      </c>
      <c r="D1009" s="321"/>
      <c r="E1009" s="323" t="str">
        <f t="shared" ca="1" si="233"/>
        <v/>
      </c>
      <c r="F1009" s="322" t="str">
        <f t="shared" ca="1" si="238"/>
        <v/>
      </c>
      <c r="G1009" s="325"/>
      <c r="H1009" s="325"/>
      <c r="I1009" s="325" t="str">
        <f t="shared" si="228"/>
        <v/>
      </c>
      <c r="J1009" s="325" t="str">
        <f t="shared" si="239"/>
        <v/>
      </c>
      <c r="K1009" s="621" t="str">
        <f t="shared" si="229"/>
        <v/>
      </c>
      <c r="L1009" s="325"/>
      <c r="M1009" s="325"/>
      <c r="N1009" s="378" t="str">
        <f t="shared" si="240"/>
        <v/>
      </c>
      <c r="O1009" s="378" t="str">
        <f t="shared" si="230"/>
        <v/>
      </c>
      <c r="P1009" s="325" t="str">
        <f t="shared" si="231"/>
        <v/>
      </c>
      <c r="Q1009" s="325" t="str">
        <f t="shared" si="232"/>
        <v/>
      </c>
      <c r="R1009" s="325" t="str">
        <f t="shared" si="242"/>
        <v/>
      </c>
      <c r="S1009" s="609">
        <v>610100</v>
      </c>
      <c r="T1009" s="325" t="str">
        <f>+IFERROR(VLOOKUP(S1009,STAT1!$C$4:$D$189,2,FALSE),"")</f>
        <v>Борлуулсан барааны өртөг</v>
      </c>
      <c r="U1009" s="1226">
        <v>617273.77066479612</v>
      </c>
      <c r="V1009" s="1217"/>
      <c r="W1009" s="326">
        <v>3051</v>
      </c>
      <c r="X1009" s="328" t="str">
        <f>IFERROR(VLOOKUP(W1009,DATA!$G$4:$H$400,2,FALSE),"")</f>
        <v xml:space="preserve">НОМАДС ТУР ХХК </v>
      </c>
      <c r="Y1009" s="1205"/>
      <c r="Z1009" s="1205"/>
      <c r="AA1009" s="1205"/>
    </row>
    <row r="1010" spans="1:27" ht="12.75" customHeight="1">
      <c r="A1010" s="15">
        <v>225</v>
      </c>
      <c r="B1010" s="92">
        <f t="shared" si="241"/>
        <v>1005</v>
      </c>
      <c r="C1010" s="320">
        <v>43046</v>
      </c>
      <c r="D1010" s="321"/>
      <c r="E1010" s="323" t="str">
        <f t="shared" ca="1" si="233"/>
        <v/>
      </c>
      <c r="F1010" s="322" t="str">
        <f t="shared" ca="1" si="238"/>
        <v/>
      </c>
      <c r="G1010" s="325"/>
      <c r="H1010" s="325"/>
      <c r="I1010" s="325" t="str">
        <f t="shared" si="228"/>
        <v/>
      </c>
      <c r="J1010" s="325" t="str">
        <f t="shared" si="239"/>
        <v/>
      </c>
      <c r="K1010" s="621" t="str">
        <f t="shared" si="229"/>
        <v/>
      </c>
      <c r="L1010" s="325"/>
      <c r="M1010" s="325"/>
      <c r="N1010" s="378" t="str">
        <f t="shared" si="240"/>
        <v/>
      </c>
      <c r="O1010" s="378" t="str">
        <f t="shared" si="230"/>
        <v/>
      </c>
      <c r="P1010" s="325" t="str">
        <f t="shared" si="231"/>
        <v/>
      </c>
      <c r="Q1010" s="325" t="str">
        <f t="shared" si="232"/>
        <v/>
      </c>
      <c r="R1010" s="325" t="str">
        <f t="shared" si="242"/>
        <v/>
      </c>
      <c r="S1010" s="609">
        <v>310500</v>
      </c>
      <c r="T1010" s="325" t="str">
        <f>+IFERROR(VLOOKUP(S1010,STAT1!$C$4:$D$189,2,FALSE),"")</f>
        <v>НӨАТ өглөг</v>
      </c>
      <c r="U1010" s="1226"/>
      <c r="V1010" s="1217">
        <v>111927.27</v>
      </c>
      <c r="W1010" s="326">
        <v>3051</v>
      </c>
      <c r="X1010" s="328" t="str">
        <f>IFERROR(VLOOKUP(W1010,DATA!$G$4:$H$400,2,FALSE),"")</f>
        <v xml:space="preserve">НОМАДС ТУР ХХК </v>
      </c>
      <c r="Y1010" s="1205"/>
      <c r="Z1010" s="1205"/>
      <c r="AA1010" s="1205"/>
    </row>
    <row r="1011" spans="1:27" ht="12.75" customHeight="1">
      <c r="A1011" s="15">
        <v>225</v>
      </c>
      <c r="B1011" s="92">
        <f t="shared" si="241"/>
        <v>1006</v>
      </c>
      <c r="C1011" s="320">
        <v>43046</v>
      </c>
      <c r="D1011" s="321"/>
      <c r="E1011" s="323" t="str">
        <f t="shared" ca="1" si="233"/>
        <v/>
      </c>
      <c r="F1011" s="322" t="str">
        <f t="shared" ca="1" si="238"/>
        <v/>
      </c>
      <c r="G1011" s="325"/>
      <c r="H1011" s="325"/>
      <c r="I1011" s="325" t="str">
        <f t="shared" si="228"/>
        <v/>
      </c>
      <c r="J1011" s="325" t="str">
        <f t="shared" si="239"/>
        <v/>
      </c>
      <c r="K1011" s="621" t="str">
        <f t="shared" si="229"/>
        <v/>
      </c>
      <c r="L1011" s="325"/>
      <c r="M1011" s="325"/>
      <c r="N1011" s="378" t="str">
        <f t="shared" si="240"/>
        <v/>
      </c>
      <c r="O1011" s="378" t="str">
        <f t="shared" si="230"/>
        <v/>
      </c>
      <c r="P1011" s="325" t="str">
        <f t="shared" si="231"/>
        <v/>
      </c>
      <c r="Q1011" s="325" t="str">
        <f t="shared" si="232"/>
        <v/>
      </c>
      <c r="R1011" s="325" t="str">
        <f t="shared" si="242"/>
        <v/>
      </c>
      <c r="S1011" s="609">
        <v>510000</v>
      </c>
      <c r="T1011" s="325" t="str">
        <f>+IFERROR(VLOOKUP(S1011,STAT1!$C$4:$D$189,2,FALSE),"")</f>
        <v>Үндсэн үйл ажиллагааны борлуулалт</v>
      </c>
      <c r="U1011" s="1226"/>
      <c r="V1011" s="1217">
        <v>1119272.73</v>
      </c>
      <c r="W1011" s="326">
        <v>3051</v>
      </c>
      <c r="X1011" s="328" t="str">
        <f>IFERROR(VLOOKUP(W1011,DATA!$G$4:$H$400,2,FALSE),"")</f>
        <v xml:space="preserve">НОМАДС ТУР ХХК </v>
      </c>
      <c r="Y1011" s="1205"/>
      <c r="Z1011" s="1205"/>
      <c r="AA1011" s="1205"/>
    </row>
    <row r="1012" spans="1:27" ht="12.75" customHeight="1">
      <c r="A1012" s="15">
        <v>225</v>
      </c>
      <c r="B1012" s="92">
        <f t="shared" si="241"/>
        <v>1007</v>
      </c>
      <c r="C1012" s="320">
        <v>43046</v>
      </c>
      <c r="D1012" s="321"/>
      <c r="E1012" s="323" t="str">
        <f t="shared" ca="1" si="233"/>
        <v/>
      </c>
      <c r="F1012" s="322" t="str">
        <f t="shared" ca="1" si="238"/>
        <v/>
      </c>
      <c r="G1012" s="325"/>
      <c r="H1012" s="325"/>
      <c r="I1012" s="325" t="str">
        <f t="shared" ref="I1012:I1049" si="243">+IF(G1012="","",G1012*H1012)</f>
        <v/>
      </c>
      <c r="J1012" s="325" t="str">
        <f t="shared" si="239"/>
        <v/>
      </c>
      <c r="K1012" s="621" t="str">
        <f t="shared" ref="K1012:K1049" si="244">+IF(G1012="","",I1012+J1012)</f>
        <v/>
      </c>
      <c r="L1012" s="325"/>
      <c r="M1012" s="325"/>
      <c r="N1012" s="378" t="str">
        <f t="shared" si="240"/>
        <v/>
      </c>
      <c r="O1012" s="378" t="str">
        <f t="shared" si="230"/>
        <v/>
      </c>
      <c r="P1012" s="325" t="str">
        <f t="shared" si="231"/>
        <v/>
      </c>
      <c r="Q1012" s="325" t="str">
        <f t="shared" si="232"/>
        <v/>
      </c>
      <c r="R1012" s="325" t="str">
        <f t="shared" si="242"/>
        <v/>
      </c>
      <c r="S1012" s="609">
        <v>320100</v>
      </c>
      <c r="T1012" s="325" t="str">
        <f>+IFERROR(VLOOKUP(S1012,STAT1!$C$4:$D$189,2,FALSE),"")</f>
        <v>Урьдчилж орсон орлого MNT</v>
      </c>
      <c r="U1012" s="1226">
        <v>1231200</v>
      </c>
      <c r="V1012" s="1217"/>
      <c r="W1012" s="326">
        <v>3051</v>
      </c>
      <c r="X1012" s="328" t="str">
        <f>IFERROR(VLOOKUP(W1012,DATA!$G$4:$H$400,2,FALSE),"")</f>
        <v xml:space="preserve">НОМАДС ТУР ХХК </v>
      </c>
      <c r="Y1012" s="1205"/>
      <c r="Z1012" s="1205"/>
      <c r="AA1012" s="1205"/>
    </row>
    <row r="1013" spans="1:27" ht="12.75" customHeight="1">
      <c r="A1013" s="15">
        <v>226</v>
      </c>
      <c r="B1013" s="92">
        <f t="shared" si="241"/>
        <v>1008</v>
      </c>
      <c r="C1013" s="320">
        <v>43046</v>
      </c>
      <c r="D1013" s="321">
        <v>211713</v>
      </c>
      <c r="E1013" s="323" t="str">
        <f t="shared" ca="1" si="233"/>
        <v>Н-Хавтан /зузаан-2см/</v>
      </c>
      <c r="F1013" s="322" t="str">
        <f t="shared" ca="1" si="238"/>
        <v>м2</v>
      </c>
      <c r="G1013" s="325"/>
      <c r="H1013" s="325"/>
      <c r="I1013" s="325" t="str">
        <f t="shared" si="243"/>
        <v/>
      </c>
      <c r="J1013" s="325" t="str">
        <f t="shared" si="239"/>
        <v/>
      </c>
      <c r="K1013" s="621" t="str">
        <f t="shared" si="244"/>
        <v/>
      </c>
      <c r="L1013" s="325">
        <v>303.02999999999997</v>
      </c>
      <c r="M1013" s="325">
        <v>30000.03</v>
      </c>
      <c r="N1013" s="378">
        <f t="shared" si="240"/>
        <v>9090909.0908999983</v>
      </c>
      <c r="O1013" s="378">
        <f t="shared" ref="O1013:O1049" si="245">+IF(L1013="","",N1013*0.1)</f>
        <v>909090.90908999986</v>
      </c>
      <c r="P1013" s="325">
        <f t="shared" ref="P1013:P1049" si="246">+IF(L1013="","",N1013+O1013)</f>
        <v>9999999.9999899976</v>
      </c>
      <c r="Q1013" s="325">
        <f t="shared" ref="Q1013:Q1049" ca="1" si="247">IF(L1013="","",IFERROR((SUMIFS(TN_balC1_totol,TN_code,D1013)+SUMIFS(RC_or_totol,RC_Code,D1013,RC_date,"&lt;="&amp;C1013)-SUMIFS(RC_zar_totol,RC_Code,D1013,RC_date,"&lt;"&amp;C1013)) /( SUMIFS(TN_balC1_unit,TN_code,D1013)+SUMIFS(RC_or_unit,RC_Code,D1013,RC_date,"&lt;="&amp;C1013)-SUMIFS(RC_zar_unit,RC_Code,D1013,RC_date,"&lt;"&amp;C1013)),0 ))</f>
        <v>20836.299698816019</v>
      </c>
      <c r="R1013" s="325">
        <f t="shared" ca="1" si="242"/>
        <v>6314023.8977322178</v>
      </c>
      <c r="S1013" s="609">
        <v>150101</v>
      </c>
      <c r="T1013" s="325" t="str">
        <f>+IFERROR(VLOOKUP(S1013,STAT1!$C$4:$D$189,2,FALSE),"")</f>
        <v>Бараа бэлэн бүтээгдэхүүн БОЛОВСРУУЛАХ ЦЕХ /нарс/</v>
      </c>
      <c r="U1013" s="1226"/>
      <c r="V1013" s="1217">
        <v>6314023.8977322178</v>
      </c>
      <c r="W1013" s="326">
        <v>3096</v>
      </c>
      <c r="X1013" s="328" t="str">
        <f>IFERROR(VLOOKUP(W1013,DATA!$G$4:$H$400,2,FALSE),"")</f>
        <v>ЭРДЭНЭДРИЙЛИНГ ХХК</v>
      </c>
      <c r="Y1013" s="1205"/>
      <c r="Z1013" s="1205"/>
      <c r="AA1013" s="1205"/>
    </row>
    <row r="1014" spans="1:27" ht="12.75" customHeight="1">
      <c r="A1014" s="15">
        <v>226</v>
      </c>
      <c r="B1014" s="92">
        <f t="shared" si="241"/>
        <v>1009</v>
      </c>
      <c r="C1014" s="320">
        <v>43046</v>
      </c>
      <c r="D1014" s="321"/>
      <c r="E1014" s="323" t="str">
        <f t="shared" ca="1" si="233"/>
        <v/>
      </c>
      <c r="F1014" s="322" t="str">
        <f t="shared" ca="1" si="238"/>
        <v/>
      </c>
      <c r="G1014" s="325"/>
      <c r="H1014" s="325"/>
      <c r="I1014" s="325" t="str">
        <f t="shared" si="243"/>
        <v/>
      </c>
      <c r="J1014" s="325" t="str">
        <f t="shared" si="239"/>
        <v/>
      </c>
      <c r="K1014" s="621" t="str">
        <f t="shared" si="244"/>
        <v/>
      </c>
      <c r="L1014" s="325"/>
      <c r="M1014" s="325"/>
      <c r="N1014" s="378" t="str">
        <f t="shared" si="240"/>
        <v/>
      </c>
      <c r="O1014" s="378" t="str">
        <f t="shared" si="245"/>
        <v/>
      </c>
      <c r="P1014" s="325" t="str">
        <f t="shared" si="246"/>
        <v/>
      </c>
      <c r="Q1014" s="325" t="str">
        <f t="shared" si="247"/>
        <v/>
      </c>
      <c r="R1014" s="325" t="str">
        <f t="shared" si="242"/>
        <v/>
      </c>
      <c r="S1014" s="609">
        <v>610100</v>
      </c>
      <c r="T1014" s="325" t="str">
        <f>+IFERROR(VLOOKUP(S1014,STAT1!$C$4:$D$189,2,FALSE),"")</f>
        <v>Борлуулсан барааны өртөг</v>
      </c>
      <c r="U1014" s="1226">
        <v>6314023.8977322178</v>
      </c>
      <c r="V1014" s="1217"/>
      <c r="W1014" s="326">
        <v>3096</v>
      </c>
      <c r="X1014" s="328" t="str">
        <f>IFERROR(VLOOKUP(W1014,DATA!$G$4:$H$400,2,FALSE),"")</f>
        <v>ЭРДЭНЭДРИЙЛИНГ ХХК</v>
      </c>
      <c r="Y1014" s="1205"/>
      <c r="Z1014" s="1205"/>
      <c r="AA1014" s="1205"/>
    </row>
    <row r="1015" spans="1:27" ht="12.75" customHeight="1">
      <c r="A1015" s="15">
        <v>226</v>
      </c>
      <c r="B1015" s="92">
        <f t="shared" si="241"/>
        <v>1010</v>
      </c>
      <c r="C1015" s="320">
        <v>43046</v>
      </c>
      <c r="D1015" s="321"/>
      <c r="E1015" s="323" t="str">
        <f t="shared" ref="E1015:E1049" ca="1" si="248">+IFERROR(VLOOKUP(D1015,TN_table,2,FALSE),"")</f>
        <v/>
      </c>
      <c r="F1015" s="322" t="str">
        <f t="shared" ref="F1015:F1049" ca="1" si="249">+IFERROR(VLOOKUP(D1015,TN_table,3,FALSE),"")</f>
        <v/>
      </c>
      <c r="G1015" s="325"/>
      <c r="H1015" s="325"/>
      <c r="I1015" s="325" t="str">
        <f t="shared" si="243"/>
        <v/>
      </c>
      <c r="J1015" s="325" t="str">
        <f t="shared" ref="J1015:J1046" si="250">+IF(G1015="","",I1015*0.1)</f>
        <v/>
      </c>
      <c r="K1015" s="621" t="str">
        <f t="shared" si="244"/>
        <v/>
      </c>
      <c r="L1015" s="325"/>
      <c r="M1015" s="325"/>
      <c r="N1015" s="378" t="str">
        <f t="shared" si="240"/>
        <v/>
      </c>
      <c r="O1015" s="378" t="str">
        <f t="shared" si="245"/>
        <v/>
      </c>
      <c r="P1015" s="325" t="str">
        <f t="shared" si="246"/>
        <v/>
      </c>
      <c r="Q1015" s="325" t="str">
        <f t="shared" si="247"/>
        <v/>
      </c>
      <c r="R1015" s="325" t="str">
        <f t="shared" si="242"/>
        <v/>
      </c>
      <c r="S1015" s="609">
        <v>310500</v>
      </c>
      <c r="T1015" s="325" t="str">
        <f>+IFERROR(VLOOKUP(S1015,STAT1!$C$4:$D$189,2,FALSE),"")</f>
        <v>НӨАТ өглөг</v>
      </c>
      <c r="U1015" s="1226"/>
      <c r="V1015" s="1217">
        <v>909090.91</v>
      </c>
      <c r="W1015" s="326">
        <v>3096</v>
      </c>
      <c r="X1015" s="328" t="str">
        <f>IFERROR(VLOOKUP(W1015,DATA!$G$4:$H$400,2,FALSE),"")</f>
        <v>ЭРДЭНЭДРИЙЛИНГ ХХК</v>
      </c>
      <c r="Y1015" s="1205"/>
      <c r="Z1015" s="1205"/>
      <c r="AA1015" s="1205"/>
    </row>
    <row r="1016" spans="1:27" ht="12.75" customHeight="1">
      <c r="A1016" s="15">
        <v>226</v>
      </c>
      <c r="B1016" s="92">
        <f t="shared" si="241"/>
        <v>1011</v>
      </c>
      <c r="C1016" s="320">
        <v>43046</v>
      </c>
      <c r="D1016" s="321"/>
      <c r="E1016" s="323" t="str">
        <f t="shared" ca="1" si="248"/>
        <v/>
      </c>
      <c r="F1016" s="322" t="str">
        <f t="shared" ca="1" si="249"/>
        <v/>
      </c>
      <c r="G1016" s="325"/>
      <c r="H1016" s="325"/>
      <c r="I1016" s="325" t="str">
        <f t="shared" si="243"/>
        <v/>
      </c>
      <c r="J1016" s="325" t="str">
        <f t="shared" si="250"/>
        <v/>
      </c>
      <c r="K1016" s="621" t="str">
        <f t="shared" si="244"/>
        <v/>
      </c>
      <c r="L1016" s="325"/>
      <c r="M1016" s="325"/>
      <c r="N1016" s="378" t="str">
        <f t="shared" si="240"/>
        <v/>
      </c>
      <c r="O1016" s="378" t="str">
        <f t="shared" si="245"/>
        <v/>
      </c>
      <c r="P1016" s="325" t="str">
        <f t="shared" si="246"/>
        <v/>
      </c>
      <c r="Q1016" s="325" t="str">
        <f t="shared" si="247"/>
        <v/>
      </c>
      <c r="R1016" s="325" t="str">
        <f t="shared" si="242"/>
        <v/>
      </c>
      <c r="S1016" s="609">
        <v>510000</v>
      </c>
      <c r="T1016" s="325" t="str">
        <f>+IFERROR(VLOOKUP(S1016,STAT1!$C$4:$D$189,2,FALSE),"")</f>
        <v>Үндсэн үйл ажиллагааны борлуулалт</v>
      </c>
      <c r="U1016" s="1226"/>
      <c r="V1016" s="1217">
        <v>9090909.0899999999</v>
      </c>
      <c r="W1016" s="326">
        <v>3096</v>
      </c>
      <c r="X1016" s="328" t="str">
        <f>IFERROR(VLOOKUP(W1016,DATA!$G$4:$H$400,2,FALSE),"")</f>
        <v>ЭРДЭНЭДРИЙЛИНГ ХХК</v>
      </c>
      <c r="Y1016" s="1205"/>
      <c r="Z1016" s="1205"/>
      <c r="AA1016" s="1205"/>
    </row>
    <row r="1017" spans="1:27" ht="12.75" customHeight="1">
      <c r="A1017" s="15">
        <v>226</v>
      </c>
      <c r="B1017" s="92">
        <f t="shared" si="241"/>
        <v>1012</v>
      </c>
      <c r="C1017" s="320">
        <v>43046</v>
      </c>
      <c r="D1017" s="321"/>
      <c r="E1017" s="323" t="str">
        <f t="shared" ca="1" si="248"/>
        <v/>
      </c>
      <c r="F1017" s="322" t="str">
        <f t="shared" ca="1" si="249"/>
        <v/>
      </c>
      <c r="G1017" s="325"/>
      <c r="H1017" s="325"/>
      <c r="I1017" s="325" t="str">
        <f t="shared" si="243"/>
        <v/>
      </c>
      <c r="J1017" s="325" t="str">
        <f t="shared" si="250"/>
        <v/>
      </c>
      <c r="K1017" s="621" t="str">
        <f t="shared" si="244"/>
        <v/>
      </c>
      <c r="L1017" s="325"/>
      <c r="M1017" s="325"/>
      <c r="N1017" s="378" t="str">
        <f t="shared" si="240"/>
        <v/>
      </c>
      <c r="O1017" s="378" t="str">
        <f t="shared" si="245"/>
        <v/>
      </c>
      <c r="P1017" s="325" t="str">
        <f t="shared" si="246"/>
        <v/>
      </c>
      <c r="Q1017" s="325" t="str">
        <f t="shared" si="247"/>
        <v/>
      </c>
      <c r="R1017" s="325" t="str">
        <f t="shared" si="242"/>
        <v/>
      </c>
      <c r="S1017" s="609">
        <v>320100</v>
      </c>
      <c r="T1017" s="325" t="str">
        <f>+IFERROR(VLOOKUP(S1017,STAT1!$C$4:$D$189,2,FALSE),"")</f>
        <v>Урьдчилж орсон орлого MNT</v>
      </c>
      <c r="U1017" s="1226">
        <v>10000000</v>
      </c>
      <c r="V1017" s="1217"/>
      <c r="W1017" s="326">
        <v>3096</v>
      </c>
      <c r="X1017" s="328" t="str">
        <f>IFERROR(VLOOKUP(W1017,DATA!$G$4:$H$400,2,FALSE),"")</f>
        <v>ЭРДЭНЭДРИЙЛИНГ ХХК</v>
      </c>
      <c r="Y1017" s="1205"/>
      <c r="Z1017" s="1205"/>
      <c r="AA1017" s="1205"/>
    </row>
    <row r="1018" spans="1:27" ht="12.75" customHeight="1">
      <c r="A1018" s="15">
        <v>227</v>
      </c>
      <c r="B1018" s="92">
        <f t="shared" si="241"/>
        <v>1013</v>
      </c>
      <c r="C1018" s="320">
        <v>43050</v>
      </c>
      <c r="D1018" s="321">
        <v>211803</v>
      </c>
      <c r="E1018" s="323" t="str">
        <f t="shared" ca="1" si="248"/>
        <v>Н-Шатны бариул /58*68мм/</v>
      </c>
      <c r="F1018" s="322" t="str">
        <f t="shared" ca="1" si="249"/>
        <v>м</v>
      </c>
      <c r="G1018" s="325"/>
      <c r="H1018" s="325"/>
      <c r="I1018" s="325" t="str">
        <f t="shared" si="243"/>
        <v/>
      </c>
      <c r="J1018" s="325" t="str">
        <f t="shared" si="250"/>
        <v/>
      </c>
      <c r="K1018" s="621" t="str">
        <f t="shared" si="244"/>
        <v/>
      </c>
      <c r="L1018" s="325">
        <v>26</v>
      </c>
      <c r="M1018" s="325">
        <v>9500</v>
      </c>
      <c r="N1018" s="378">
        <f t="shared" si="240"/>
        <v>247000</v>
      </c>
      <c r="O1018" s="378">
        <f t="shared" si="245"/>
        <v>24700</v>
      </c>
      <c r="P1018" s="325">
        <f t="shared" si="246"/>
        <v>271700</v>
      </c>
      <c r="Q1018" s="325">
        <f t="shared" ca="1" si="247"/>
        <v>4449.0638733588376</v>
      </c>
      <c r="R1018" s="325">
        <f t="shared" ca="1" si="242"/>
        <v>115675.66070732978</v>
      </c>
      <c r="S1018" s="609">
        <v>150101</v>
      </c>
      <c r="T1018" s="325" t="str">
        <f>+IFERROR(VLOOKUP(S1018,STAT1!$C$4:$D$189,2,FALSE),"")</f>
        <v>Бараа бэлэн бүтээгдэхүүн БОЛОВСРУУЛАХ ЦЕХ /нарс/</v>
      </c>
      <c r="U1018" s="1226"/>
      <c r="V1018" s="1217">
        <v>115675.66070732978</v>
      </c>
      <c r="W1018" s="326">
        <v>3105</v>
      </c>
      <c r="X1018" s="328" t="str">
        <f>IFERROR(VLOOKUP(W1018,DATA!$G$4:$H$400,2,FALSE),"")</f>
        <v xml:space="preserve">ÆÈÍÑÒ ÕÀÉÐÕÀÍ ÕÕÊ </v>
      </c>
      <c r="Y1018" s="1205"/>
      <c r="Z1018" s="1205"/>
      <c r="AA1018" s="1205"/>
    </row>
    <row r="1019" spans="1:27" ht="12.75" customHeight="1">
      <c r="A1019" s="15">
        <v>227</v>
      </c>
      <c r="B1019" s="92">
        <f t="shared" si="241"/>
        <v>1014</v>
      </c>
      <c r="C1019" s="320">
        <v>43050</v>
      </c>
      <c r="D1019" s="321"/>
      <c r="E1019" s="323" t="str">
        <f t="shared" ca="1" si="248"/>
        <v/>
      </c>
      <c r="F1019" s="322" t="str">
        <f t="shared" ca="1" si="249"/>
        <v/>
      </c>
      <c r="G1019" s="325"/>
      <c r="H1019" s="325"/>
      <c r="I1019" s="325" t="str">
        <f t="shared" si="243"/>
        <v/>
      </c>
      <c r="J1019" s="325" t="str">
        <f t="shared" si="250"/>
        <v/>
      </c>
      <c r="K1019" s="621" t="str">
        <f t="shared" si="244"/>
        <v/>
      </c>
      <c r="L1019" s="325"/>
      <c r="M1019" s="325"/>
      <c r="N1019" s="378" t="str">
        <f t="shared" si="240"/>
        <v/>
      </c>
      <c r="O1019" s="378" t="str">
        <f t="shared" si="245"/>
        <v/>
      </c>
      <c r="P1019" s="325" t="str">
        <f t="shared" si="246"/>
        <v/>
      </c>
      <c r="Q1019" s="325" t="str">
        <f t="shared" si="247"/>
        <v/>
      </c>
      <c r="R1019" s="325" t="str">
        <f t="shared" si="242"/>
        <v/>
      </c>
      <c r="S1019" s="609">
        <v>610100</v>
      </c>
      <c r="T1019" s="325" t="str">
        <f>+IFERROR(VLOOKUP(S1019,STAT1!$C$4:$D$189,2,FALSE),"")</f>
        <v>Борлуулсан барааны өртөг</v>
      </c>
      <c r="U1019" s="1226">
        <v>115675.66070732978</v>
      </c>
      <c r="V1019" s="1217"/>
      <c r="W1019" s="326">
        <v>3105</v>
      </c>
      <c r="X1019" s="328" t="str">
        <f>IFERROR(VLOOKUP(W1019,DATA!$G$4:$H$400,2,FALSE),"")</f>
        <v xml:space="preserve">ÆÈÍÑÒ ÕÀÉÐÕÀÍ ÕÕÊ </v>
      </c>
      <c r="Y1019" s="1205"/>
      <c r="Z1019" s="1205"/>
      <c r="AA1019" s="1205"/>
    </row>
    <row r="1020" spans="1:27" ht="12.75" customHeight="1">
      <c r="A1020" s="15">
        <v>227</v>
      </c>
      <c r="B1020" s="92">
        <f t="shared" si="241"/>
        <v>1015</v>
      </c>
      <c r="C1020" s="320">
        <v>43050</v>
      </c>
      <c r="D1020" s="321"/>
      <c r="E1020" s="323" t="str">
        <f t="shared" ca="1" si="248"/>
        <v/>
      </c>
      <c r="F1020" s="322" t="str">
        <f t="shared" ca="1" si="249"/>
        <v/>
      </c>
      <c r="G1020" s="325"/>
      <c r="H1020" s="325"/>
      <c r="I1020" s="325" t="str">
        <f t="shared" si="243"/>
        <v/>
      </c>
      <c r="J1020" s="325" t="str">
        <f t="shared" si="250"/>
        <v/>
      </c>
      <c r="K1020" s="621" t="str">
        <f t="shared" si="244"/>
        <v/>
      </c>
      <c r="L1020" s="325"/>
      <c r="M1020" s="325"/>
      <c r="N1020" s="378" t="str">
        <f t="shared" si="240"/>
        <v/>
      </c>
      <c r="O1020" s="378" t="str">
        <f t="shared" si="245"/>
        <v/>
      </c>
      <c r="P1020" s="325" t="str">
        <f t="shared" si="246"/>
        <v/>
      </c>
      <c r="Q1020" s="325" t="str">
        <f t="shared" si="247"/>
        <v/>
      </c>
      <c r="R1020" s="325" t="str">
        <f t="shared" si="242"/>
        <v/>
      </c>
      <c r="S1020" s="609">
        <v>310500</v>
      </c>
      <c r="T1020" s="325" t="str">
        <f>+IFERROR(VLOOKUP(S1020,STAT1!$C$4:$D$189,2,FALSE),"")</f>
        <v>НӨАТ өглөг</v>
      </c>
      <c r="U1020" s="1226"/>
      <c r="V1020" s="1217">
        <v>24700</v>
      </c>
      <c r="W1020" s="326">
        <v>3105</v>
      </c>
      <c r="X1020" s="328" t="str">
        <f>IFERROR(VLOOKUP(W1020,DATA!$G$4:$H$400,2,FALSE),"")</f>
        <v xml:space="preserve">ÆÈÍÑÒ ÕÀÉÐÕÀÍ ÕÕÊ </v>
      </c>
      <c r="Y1020" s="1205"/>
      <c r="Z1020" s="1205"/>
      <c r="AA1020" s="1205"/>
    </row>
    <row r="1021" spans="1:27" ht="12.75" customHeight="1">
      <c r="A1021" s="15">
        <v>227</v>
      </c>
      <c r="B1021" s="92">
        <f t="shared" si="241"/>
        <v>1016</v>
      </c>
      <c r="C1021" s="320">
        <v>43050</v>
      </c>
      <c r="D1021" s="321"/>
      <c r="E1021" s="323" t="str">
        <f t="shared" ca="1" si="248"/>
        <v/>
      </c>
      <c r="F1021" s="322" t="str">
        <f t="shared" ca="1" si="249"/>
        <v/>
      </c>
      <c r="G1021" s="325"/>
      <c r="H1021" s="325"/>
      <c r="I1021" s="325" t="str">
        <f t="shared" si="243"/>
        <v/>
      </c>
      <c r="J1021" s="325" t="str">
        <f t="shared" si="250"/>
        <v/>
      </c>
      <c r="K1021" s="621" t="str">
        <f t="shared" si="244"/>
        <v/>
      </c>
      <c r="L1021" s="325"/>
      <c r="M1021" s="325"/>
      <c r="N1021" s="378" t="str">
        <f t="shared" si="240"/>
        <v/>
      </c>
      <c r="O1021" s="378" t="str">
        <f t="shared" si="245"/>
        <v/>
      </c>
      <c r="P1021" s="325" t="str">
        <f t="shared" si="246"/>
        <v/>
      </c>
      <c r="Q1021" s="325" t="str">
        <f t="shared" si="247"/>
        <v/>
      </c>
      <c r="R1021" s="325" t="str">
        <f t="shared" si="242"/>
        <v/>
      </c>
      <c r="S1021" s="609">
        <v>510000</v>
      </c>
      <c r="T1021" s="325" t="str">
        <f>+IFERROR(VLOOKUP(S1021,STAT1!$C$4:$D$189,2,FALSE),"")</f>
        <v>Үндсэн үйл ажиллагааны борлуулалт</v>
      </c>
      <c r="U1021" s="1226"/>
      <c r="V1021" s="1217">
        <v>247000</v>
      </c>
      <c r="W1021" s="326">
        <v>3105</v>
      </c>
      <c r="X1021" s="328" t="str">
        <f>IFERROR(VLOOKUP(W1021,DATA!$G$4:$H$400,2,FALSE),"")</f>
        <v xml:space="preserve">ÆÈÍÑÒ ÕÀÉÐÕÀÍ ÕÕÊ </v>
      </c>
      <c r="Y1021" s="1205"/>
      <c r="Z1021" s="1205"/>
      <c r="AA1021" s="1205"/>
    </row>
    <row r="1022" spans="1:27" ht="12.75" customHeight="1">
      <c r="A1022" s="15">
        <v>227</v>
      </c>
      <c r="B1022" s="92">
        <f t="shared" si="241"/>
        <v>1017</v>
      </c>
      <c r="C1022" s="320">
        <v>43050</v>
      </c>
      <c r="D1022" s="321"/>
      <c r="E1022" s="323" t="str">
        <f t="shared" ca="1" si="248"/>
        <v/>
      </c>
      <c r="F1022" s="322" t="str">
        <f t="shared" ca="1" si="249"/>
        <v/>
      </c>
      <c r="G1022" s="325"/>
      <c r="H1022" s="325"/>
      <c r="I1022" s="325" t="str">
        <f t="shared" si="243"/>
        <v/>
      </c>
      <c r="J1022" s="325" t="str">
        <f t="shared" si="250"/>
        <v/>
      </c>
      <c r="K1022" s="621" t="str">
        <f t="shared" si="244"/>
        <v/>
      </c>
      <c r="L1022" s="325"/>
      <c r="M1022" s="325"/>
      <c r="N1022" s="378" t="str">
        <f t="shared" si="240"/>
        <v/>
      </c>
      <c r="O1022" s="378" t="str">
        <f t="shared" si="245"/>
        <v/>
      </c>
      <c r="P1022" s="325" t="str">
        <f t="shared" si="246"/>
        <v/>
      </c>
      <c r="Q1022" s="325" t="str">
        <f t="shared" si="247"/>
        <v/>
      </c>
      <c r="R1022" s="325" t="str">
        <f t="shared" si="242"/>
        <v/>
      </c>
      <c r="S1022" s="609">
        <v>320100</v>
      </c>
      <c r="T1022" s="325" t="str">
        <f>+IFERROR(VLOOKUP(S1022,STAT1!$C$4:$D$189,2,FALSE),"")</f>
        <v>Урьдчилж орсон орлого MNT</v>
      </c>
      <c r="U1022" s="1226">
        <v>271700</v>
      </c>
      <c r="V1022" s="1217"/>
      <c r="W1022" s="326">
        <v>3105</v>
      </c>
      <c r="X1022" s="328" t="str">
        <f>IFERROR(VLOOKUP(W1022,DATA!$G$4:$H$400,2,FALSE),"")</f>
        <v xml:space="preserve">ÆÈÍÑÒ ÕÀÉÐÕÀÍ ÕÕÊ </v>
      </c>
      <c r="Y1022" s="1205"/>
      <c r="Z1022" s="1205"/>
      <c r="AA1022" s="1205"/>
    </row>
    <row r="1023" spans="1:27" ht="12.75" customHeight="1">
      <c r="A1023" s="15">
        <v>228</v>
      </c>
      <c r="B1023" s="92">
        <f t="shared" si="241"/>
        <v>1018</v>
      </c>
      <c r="C1023" s="320">
        <v>43052</v>
      </c>
      <c r="D1023" s="321">
        <v>211715</v>
      </c>
      <c r="E1023" s="323" t="str">
        <f t="shared" ca="1" si="248"/>
        <v>Н-Хавтан /зузаан-1.8см/</v>
      </c>
      <c r="F1023" s="322" t="str">
        <f t="shared" ca="1" si="249"/>
        <v>м2</v>
      </c>
      <c r="G1023" s="325"/>
      <c r="H1023" s="325"/>
      <c r="I1023" s="325" t="str">
        <f t="shared" si="243"/>
        <v/>
      </c>
      <c r="J1023" s="325" t="str">
        <f t="shared" si="250"/>
        <v/>
      </c>
      <c r="K1023" s="621" t="str">
        <f t="shared" si="244"/>
        <v/>
      </c>
      <c r="L1023" s="325">
        <v>6</v>
      </c>
      <c r="M1023" s="325">
        <f>168181.82/6</f>
        <v>28030.303333333333</v>
      </c>
      <c r="N1023" s="378">
        <f t="shared" si="240"/>
        <v>168181.82</v>
      </c>
      <c r="O1023" s="378">
        <f t="shared" si="245"/>
        <v>16818.182000000001</v>
      </c>
      <c r="P1023" s="325">
        <f t="shared" si="246"/>
        <v>185000.00200000001</v>
      </c>
      <c r="Q1023" s="325">
        <f t="shared" ca="1" si="247"/>
        <v>18716.907616612854</v>
      </c>
      <c r="R1023" s="325">
        <f t="shared" ca="1" si="242"/>
        <v>112301.44569967713</v>
      </c>
      <c r="S1023" s="609">
        <v>150101</v>
      </c>
      <c r="T1023" s="325" t="str">
        <f>+IFERROR(VLOOKUP(S1023,STAT1!$C$4:$D$189,2,FALSE),"")</f>
        <v>Бараа бэлэн бүтээгдэхүүн БОЛОВСРУУЛАХ ЦЕХ /нарс/</v>
      </c>
      <c r="U1023" s="1226"/>
      <c r="V1023" s="1217">
        <v>112301.44569967713</v>
      </c>
      <c r="W1023" s="326">
        <v>3108</v>
      </c>
      <c r="X1023" s="328" t="str">
        <f>IFERROR(VLOOKUP(W1023,DATA!$G$4:$H$400,2,FALSE),"")</f>
        <v>ИХ ГОВИЙН ЭРЧИМ ХУРД ХХК</v>
      </c>
      <c r="Y1023" s="1205"/>
      <c r="Z1023" s="1205"/>
      <c r="AA1023" s="1205"/>
    </row>
    <row r="1024" spans="1:27" ht="12.75" customHeight="1">
      <c r="A1024" s="15">
        <v>228</v>
      </c>
      <c r="B1024" s="92">
        <f t="shared" si="241"/>
        <v>1019</v>
      </c>
      <c r="C1024" s="320">
        <v>43052</v>
      </c>
      <c r="D1024" s="321"/>
      <c r="E1024" s="323" t="str">
        <f t="shared" ca="1" si="248"/>
        <v/>
      </c>
      <c r="F1024" s="322" t="str">
        <f t="shared" ca="1" si="249"/>
        <v/>
      </c>
      <c r="G1024" s="325"/>
      <c r="H1024" s="325"/>
      <c r="I1024" s="325" t="str">
        <f t="shared" si="243"/>
        <v/>
      </c>
      <c r="J1024" s="325" t="str">
        <f t="shared" si="250"/>
        <v/>
      </c>
      <c r="K1024" s="621" t="str">
        <f t="shared" si="244"/>
        <v/>
      </c>
      <c r="L1024" s="325"/>
      <c r="M1024" s="325"/>
      <c r="N1024" s="378" t="str">
        <f t="shared" si="240"/>
        <v/>
      </c>
      <c r="O1024" s="378" t="str">
        <f t="shared" si="245"/>
        <v/>
      </c>
      <c r="P1024" s="325" t="str">
        <f t="shared" si="246"/>
        <v/>
      </c>
      <c r="Q1024" s="325" t="str">
        <f t="shared" si="247"/>
        <v/>
      </c>
      <c r="R1024" s="325" t="str">
        <f t="shared" si="242"/>
        <v/>
      </c>
      <c r="S1024" s="609">
        <v>610100</v>
      </c>
      <c r="T1024" s="325" t="str">
        <f>+IFERROR(VLOOKUP(S1024,STAT1!$C$4:$D$189,2,FALSE),"")</f>
        <v>Борлуулсан барааны өртөг</v>
      </c>
      <c r="U1024" s="1226">
        <v>112301.44569967713</v>
      </c>
      <c r="V1024" s="1217"/>
      <c r="W1024" s="326">
        <v>3108</v>
      </c>
      <c r="X1024" s="328" t="str">
        <f>IFERROR(VLOOKUP(W1024,DATA!$G$4:$H$400,2,FALSE),"")</f>
        <v>ИХ ГОВИЙН ЭРЧИМ ХУРД ХХК</v>
      </c>
      <c r="Y1024" s="1205"/>
      <c r="Z1024" s="1205"/>
      <c r="AA1024" s="1205"/>
    </row>
    <row r="1025" spans="1:27" ht="12.75" customHeight="1">
      <c r="A1025" s="15">
        <v>228</v>
      </c>
      <c r="B1025" s="92">
        <f t="shared" si="241"/>
        <v>1020</v>
      </c>
      <c r="C1025" s="320">
        <v>43052</v>
      </c>
      <c r="D1025" s="321"/>
      <c r="E1025" s="323" t="str">
        <f t="shared" ca="1" si="248"/>
        <v/>
      </c>
      <c r="F1025" s="322" t="str">
        <f t="shared" ca="1" si="249"/>
        <v/>
      </c>
      <c r="G1025" s="325"/>
      <c r="H1025" s="325"/>
      <c r="I1025" s="325" t="str">
        <f t="shared" si="243"/>
        <v/>
      </c>
      <c r="J1025" s="325" t="str">
        <f t="shared" si="250"/>
        <v/>
      </c>
      <c r="K1025" s="621" t="str">
        <f t="shared" si="244"/>
        <v/>
      </c>
      <c r="L1025" s="325"/>
      <c r="M1025" s="325"/>
      <c r="N1025" s="378" t="str">
        <f t="shared" ref="N1025:N1049" si="251">+IF(L1025="","",L1025*M1025)</f>
        <v/>
      </c>
      <c r="O1025" s="378" t="str">
        <f t="shared" si="245"/>
        <v/>
      </c>
      <c r="P1025" s="325" t="str">
        <f t="shared" si="246"/>
        <v/>
      </c>
      <c r="Q1025" s="325" t="str">
        <f t="shared" si="247"/>
        <v/>
      </c>
      <c r="R1025" s="325" t="str">
        <f t="shared" si="242"/>
        <v/>
      </c>
      <c r="S1025" s="609">
        <v>310500</v>
      </c>
      <c r="T1025" s="325" t="str">
        <f>+IFERROR(VLOOKUP(S1025,STAT1!$C$4:$D$189,2,FALSE),"")</f>
        <v>НӨАТ өглөг</v>
      </c>
      <c r="U1025" s="1226"/>
      <c r="V1025" s="1217">
        <v>16818.18</v>
      </c>
      <c r="W1025" s="326">
        <v>3108</v>
      </c>
      <c r="X1025" s="328" t="str">
        <f>IFERROR(VLOOKUP(W1025,DATA!$G$4:$H$400,2,FALSE),"")</f>
        <v>ИХ ГОВИЙН ЭРЧИМ ХУРД ХХК</v>
      </c>
      <c r="Y1025" s="1205"/>
      <c r="Z1025" s="1205"/>
      <c r="AA1025" s="1205"/>
    </row>
    <row r="1026" spans="1:27" ht="12.75" customHeight="1">
      <c r="A1026" s="15">
        <v>228</v>
      </c>
      <c r="B1026" s="92">
        <f t="shared" si="241"/>
        <v>1021</v>
      </c>
      <c r="C1026" s="320">
        <v>43052</v>
      </c>
      <c r="D1026" s="321"/>
      <c r="E1026" s="323" t="str">
        <f t="shared" ca="1" si="248"/>
        <v/>
      </c>
      <c r="F1026" s="322" t="str">
        <f t="shared" ca="1" si="249"/>
        <v/>
      </c>
      <c r="G1026" s="325"/>
      <c r="H1026" s="325"/>
      <c r="I1026" s="325" t="str">
        <f t="shared" si="243"/>
        <v/>
      </c>
      <c r="J1026" s="325" t="str">
        <f t="shared" si="250"/>
        <v/>
      </c>
      <c r="K1026" s="621" t="str">
        <f t="shared" si="244"/>
        <v/>
      </c>
      <c r="L1026" s="325"/>
      <c r="M1026" s="325"/>
      <c r="N1026" s="378" t="str">
        <f t="shared" si="251"/>
        <v/>
      </c>
      <c r="O1026" s="378" t="str">
        <f t="shared" si="245"/>
        <v/>
      </c>
      <c r="P1026" s="325" t="str">
        <f t="shared" si="246"/>
        <v/>
      </c>
      <c r="Q1026" s="325" t="str">
        <f t="shared" si="247"/>
        <v/>
      </c>
      <c r="R1026" s="325" t="str">
        <f t="shared" si="242"/>
        <v/>
      </c>
      <c r="S1026" s="609">
        <v>510000</v>
      </c>
      <c r="T1026" s="325" t="str">
        <f>+IFERROR(VLOOKUP(S1026,STAT1!$C$4:$D$189,2,FALSE),"")</f>
        <v>Үндсэн үйл ажиллагааны борлуулалт</v>
      </c>
      <c r="U1026" s="1226"/>
      <c r="V1026" s="1217">
        <v>168181.82</v>
      </c>
      <c r="W1026" s="326">
        <v>3108</v>
      </c>
      <c r="X1026" s="328" t="str">
        <f>IFERROR(VLOOKUP(W1026,DATA!$G$4:$H$400,2,FALSE),"")</f>
        <v>ИХ ГОВИЙН ЭРЧИМ ХУРД ХХК</v>
      </c>
      <c r="Y1026" s="1205"/>
      <c r="Z1026" s="1205"/>
      <c r="AA1026" s="1205"/>
    </row>
    <row r="1027" spans="1:27" ht="12.75" customHeight="1">
      <c r="A1027" s="15">
        <v>228</v>
      </c>
      <c r="B1027" s="92">
        <f t="shared" si="241"/>
        <v>1022</v>
      </c>
      <c r="C1027" s="320">
        <v>43052</v>
      </c>
      <c r="D1027" s="321"/>
      <c r="E1027" s="323" t="str">
        <f t="shared" ca="1" si="248"/>
        <v/>
      </c>
      <c r="F1027" s="322" t="str">
        <f t="shared" ca="1" si="249"/>
        <v/>
      </c>
      <c r="G1027" s="325"/>
      <c r="H1027" s="325"/>
      <c r="I1027" s="325" t="str">
        <f t="shared" si="243"/>
        <v/>
      </c>
      <c r="J1027" s="325" t="str">
        <f t="shared" si="250"/>
        <v/>
      </c>
      <c r="K1027" s="621" t="str">
        <f t="shared" si="244"/>
        <v/>
      </c>
      <c r="L1027" s="325"/>
      <c r="M1027" s="325"/>
      <c r="N1027" s="378" t="str">
        <f t="shared" si="251"/>
        <v/>
      </c>
      <c r="O1027" s="378" t="str">
        <f t="shared" si="245"/>
        <v/>
      </c>
      <c r="P1027" s="325" t="str">
        <f t="shared" si="246"/>
        <v/>
      </c>
      <c r="Q1027" s="325" t="str">
        <f t="shared" si="247"/>
        <v/>
      </c>
      <c r="R1027" s="325" t="str">
        <f t="shared" si="242"/>
        <v/>
      </c>
      <c r="S1027" s="609">
        <v>320100</v>
      </c>
      <c r="T1027" s="325" t="str">
        <f>+IFERROR(VLOOKUP(S1027,STAT1!$C$4:$D$189,2,FALSE),"")</f>
        <v>Урьдчилж орсон орлого MNT</v>
      </c>
      <c r="U1027" s="1226">
        <v>185000</v>
      </c>
      <c r="V1027" s="1217"/>
      <c r="W1027" s="326">
        <v>3108</v>
      </c>
      <c r="X1027" s="328" t="str">
        <f>IFERROR(VLOOKUP(W1027,DATA!$G$4:$H$400,2,FALSE),"")</f>
        <v>ИХ ГОВИЙН ЭРЧИМ ХУРД ХХК</v>
      </c>
      <c r="Y1027" s="1205"/>
      <c r="Z1027" s="1205"/>
      <c r="AA1027" s="1205"/>
    </row>
    <row r="1028" spans="1:27" ht="12.75" customHeight="1">
      <c r="A1028" s="15">
        <v>229</v>
      </c>
      <c r="B1028" s="92">
        <f t="shared" si="241"/>
        <v>1023</v>
      </c>
      <c r="C1028" s="320">
        <v>43054</v>
      </c>
      <c r="D1028" s="321">
        <v>211804</v>
      </c>
      <c r="E1028" s="323" t="str">
        <f t="shared" ca="1" si="248"/>
        <v>Н-Хэлбэртэй плинтус /20*80мм/</v>
      </c>
      <c r="F1028" s="322" t="str">
        <f t="shared" ca="1" si="249"/>
        <v>м</v>
      </c>
      <c r="G1028" s="325"/>
      <c r="H1028" s="325"/>
      <c r="I1028" s="325" t="str">
        <f t="shared" si="243"/>
        <v/>
      </c>
      <c r="J1028" s="325" t="str">
        <f t="shared" si="250"/>
        <v/>
      </c>
      <c r="K1028" s="621" t="str">
        <f t="shared" si="244"/>
        <v/>
      </c>
      <c r="L1028" s="325">
        <v>300</v>
      </c>
      <c r="M1028" s="325">
        <v>4500</v>
      </c>
      <c r="N1028" s="378">
        <f t="shared" si="251"/>
        <v>1350000</v>
      </c>
      <c r="O1028" s="378">
        <f t="shared" si="245"/>
        <v>135000</v>
      </c>
      <c r="P1028" s="325">
        <f t="shared" si="246"/>
        <v>1485000</v>
      </c>
      <c r="Q1028" s="325">
        <f t="shared" ca="1" si="247"/>
        <v>1804.8940662713337</v>
      </c>
      <c r="R1028" s="325">
        <f t="shared" ca="1" si="242"/>
        <v>541468.21988140012</v>
      </c>
      <c r="S1028" s="609">
        <v>150101</v>
      </c>
      <c r="T1028" s="325" t="str">
        <f>+IFERROR(VLOOKUP(S1028,STAT1!$C$4:$D$189,2,FALSE),"")</f>
        <v>Бараа бэлэн бүтээгдэхүүн БОЛОВСРУУЛАХ ЦЕХ /нарс/</v>
      </c>
      <c r="U1028" s="1226"/>
      <c r="V1028" s="1217">
        <v>1497509.4661540359</v>
      </c>
      <c r="W1028" s="326">
        <v>3104</v>
      </c>
      <c r="X1028" s="328" t="str">
        <f>IFERROR(VLOOKUP(W1028,DATA!$G$4:$H$400,2,FALSE),"")</f>
        <v>ХҮРЭЭ ЦАМХАГ ХХК</v>
      </c>
      <c r="Y1028" s="1205"/>
      <c r="Z1028" s="1205"/>
      <c r="AA1028" s="1205"/>
    </row>
    <row r="1029" spans="1:27" ht="12.75" customHeight="1">
      <c r="A1029" s="15">
        <v>229</v>
      </c>
      <c r="B1029" s="92">
        <f t="shared" si="241"/>
        <v>1024</v>
      </c>
      <c r="C1029" s="320">
        <v>43054</v>
      </c>
      <c r="D1029" s="321">
        <v>211802</v>
      </c>
      <c r="E1029" s="323" t="str">
        <f t="shared" ca="1" si="248"/>
        <v xml:space="preserve">Н-Уголок </v>
      </c>
      <c r="F1029" s="322" t="str">
        <f t="shared" ca="1" si="249"/>
        <v>м</v>
      </c>
      <c r="G1029" s="325"/>
      <c r="H1029" s="325"/>
      <c r="I1029" s="325" t="str">
        <f t="shared" si="243"/>
        <v/>
      </c>
      <c r="J1029" s="325" t="str">
        <f t="shared" si="250"/>
        <v/>
      </c>
      <c r="K1029" s="621" t="str">
        <f t="shared" si="244"/>
        <v/>
      </c>
      <c r="L1029" s="325">
        <v>300</v>
      </c>
      <c r="M1029" s="325">
        <v>3000</v>
      </c>
      <c r="N1029" s="378">
        <f t="shared" si="251"/>
        <v>900000</v>
      </c>
      <c r="O1029" s="378">
        <f t="shared" si="245"/>
        <v>90000</v>
      </c>
      <c r="P1029" s="325">
        <f t="shared" si="246"/>
        <v>990000</v>
      </c>
      <c r="Q1029" s="325">
        <f t="shared" ca="1" si="247"/>
        <v>1412.1879249284552</v>
      </c>
      <c r="R1029" s="325">
        <f t="shared" ca="1" si="242"/>
        <v>423656.37747853657</v>
      </c>
      <c r="S1029" s="609">
        <v>610100</v>
      </c>
      <c r="T1029" s="325" t="str">
        <f>+IFERROR(VLOOKUP(S1029,STAT1!$C$4:$D$189,2,FALSE),"")</f>
        <v>Борлуулсан барааны өртөг</v>
      </c>
      <c r="U1029" s="1226">
        <v>1497509.4661540359</v>
      </c>
      <c r="V1029" s="1217"/>
      <c r="W1029" s="326">
        <v>3104</v>
      </c>
      <c r="X1029" s="328" t="str">
        <f>IFERROR(VLOOKUP(W1029,DATA!$G$4:$H$400,2,FALSE),"")</f>
        <v>ХҮРЭЭ ЦАМХАГ ХХК</v>
      </c>
      <c r="Y1029" s="1205"/>
      <c r="Z1029" s="1205"/>
      <c r="AA1029" s="1205"/>
    </row>
    <row r="1030" spans="1:27" ht="12.75" customHeight="1">
      <c r="A1030" s="15">
        <v>229</v>
      </c>
      <c r="B1030" s="92">
        <f t="shared" si="241"/>
        <v>1025</v>
      </c>
      <c r="C1030" s="320">
        <v>43054</v>
      </c>
      <c r="D1030" s="321">
        <v>211801</v>
      </c>
      <c r="E1030" s="323" t="str">
        <f t="shared" ca="1" si="248"/>
        <v>Н-Ембүү /20*30мм/</v>
      </c>
      <c r="F1030" s="322" t="str">
        <f t="shared" ca="1" si="249"/>
        <v>м</v>
      </c>
      <c r="G1030" s="325"/>
      <c r="H1030" s="325"/>
      <c r="I1030" s="325" t="str">
        <f t="shared" si="243"/>
        <v/>
      </c>
      <c r="J1030" s="325" t="str">
        <f t="shared" si="250"/>
        <v/>
      </c>
      <c r="K1030" s="621" t="str">
        <f t="shared" si="244"/>
        <v/>
      </c>
      <c r="L1030" s="325">
        <v>402</v>
      </c>
      <c r="M1030" s="325">
        <v>1500</v>
      </c>
      <c r="N1030" s="378">
        <f t="shared" si="251"/>
        <v>603000</v>
      </c>
      <c r="O1030" s="378">
        <f t="shared" si="245"/>
        <v>60300</v>
      </c>
      <c r="P1030" s="325">
        <f t="shared" si="246"/>
        <v>663300</v>
      </c>
      <c r="Q1030" s="325">
        <f t="shared" ca="1" si="247"/>
        <v>647.50519478531248</v>
      </c>
      <c r="R1030" s="325">
        <f t="shared" ca="1" si="242"/>
        <v>260297.08830369561</v>
      </c>
      <c r="S1030" s="609">
        <v>310500</v>
      </c>
      <c r="T1030" s="325" t="str">
        <f>+IFERROR(VLOOKUP(S1030,STAT1!$C$4:$D$189,2,FALSE),"")</f>
        <v>НӨАТ өглөг</v>
      </c>
      <c r="U1030" s="1226"/>
      <c r="V1030" s="1217">
        <v>426000</v>
      </c>
      <c r="W1030" s="326">
        <v>3104</v>
      </c>
      <c r="X1030" s="328" t="str">
        <f>IFERROR(VLOOKUP(W1030,DATA!$G$4:$H$400,2,FALSE),"")</f>
        <v>ХҮРЭЭ ЦАМХАГ ХХК</v>
      </c>
      <c r="Y1030" s="1205"/>
      <c r="Z1030" s="1205"/>
      <c r="AA1030" s="1205"/>
    </row>
    <row r="1031" spans="1:27" ht="12.75" customHeight="1">
      <c r="A1031" s="15">
        <v>229</v>
      </c>
      <c r="B1031" s="92">
        <f t="shared" si="241"/>
        <v>1026</v>
      </c>
      <c r="C1031" s="320">
        <v>43054</v>
      </c>
      <c r="D1031" s="321">
        <v>211805</v>
      </c>
      <c r="E1031" s="323" t="str">
        <f t="shared" ca="1" si="248"/>
        <v>Н-Хагас хэлбэртэй плинтус /20*30мм/</v>
      </c>
      <c r="F1031" s="322" t="str">
        <f t="shared" ca="1" si="249"/>
        <v>м</v>
      </c>
      <c r="G1031" s="325"/>
      <c r="H1031" s="325"/>
      <c r="I1031" s="325" t="str">
        <f t="shared" si="243"/>
        <v/>
      </c>
      <c r="J1031" s="325" t="str">
        <f t="shared" si="250"/>
        <v/>
      </c>
      <c r="K1031" s="621" t="str">
        <f t="shared" si="244"/>
        <v/>
      </c>
      <c r="L1031" s="325">
        <v>402</v>
      </c>
      <c r="M1031" s="325">
        <v>3500</v>
      </c>
      <c r="N1031" s="378">
        <f t="shared" si="251"/>
        <v>1407000</v>
      </c>
      <c r="O1031" s="378">
        <f t="shared" si="245"/>
        <v>140700</v>
      </c>
      <c r="P1031" s="325">
        <f t="shared" si="246"/>
        <v>1547700</v>
      </c>
      <c r="Q1031" s="325">
        <f t="shared" ca="1" si="247"/>
        <v>676.83527485175011</v>
      </c>
      <c r="R1031" s="325">
        <f t="shared" ca="1" si="242"/>
        <v>272087.78049040353</v>
      </c>
      <c r="S1031" s="609">
        <v>510000</v>
      </c>
      <c r="T1031" s="325" t="str">
        <f>+IFERROR(VLOOKUP(S1031,STAT1!$C$4:$D$189,2,FALSE),"")</f>
        <v>Үндсэн үйл ажиллагааны борлуулалт</v>
      </c>
      <c r="U1031" s="1226"/>
      <c r="V1031" s="1217">
        <v>4260000</v>
      </c>
      <c r="W1031" s="326">
        <v>3104</v>
      </c>
      <c r="X1031" s="328" t="str">
        <f>IFERROR(VLOOKUP(W1031,DATA!$G$4:$H$400,2,FALSE),"")</f>
        <v>ХҮРЭЭ ЦАМХАГ ХХК</v>
      </c>
      <c r="Y1031" s="1205"/>
      <c r="Z1031" s="1205"/>
      <c r="AA1031" s="1205"/>
    </row>
    <row r="1032" spans="1:27" ht="12.75" customHeight="1">
      <c r="A1032" s="15">
        <v>229</v>
      </c>
      <c r="B1032" s="92">
        <f t="shared" si="241"/>
        <v>1027</v>
      </c>
      <c r="C1032" s="320">
        <v>43054</v>
      </c>
      <c r="D1032" s="321"/>
      <c r="E1032" s="323" t="str">
        <f t="shared" ca="1" si="248"/>
        <v/>
      </c>
      <c r="F1032" s="322" t="str">
        <f t="shared" ca="1" si="249"/>
        <v/>
      </c>
      <c r="G1032" s="325"/>
      <c r="H1032" s="325"/>
      <c r="I1032" s="325" t="str">
        <f t="shared" si="243"/>
        <v/>
      </c>
      <c r="J1032" s="325" t="str">
        <f t="shared" si="250"/>
        <v/>
      </c>
      <c r="K1032" s="621" t="str">
        <f t="shared" si="244"/>
        <v/>
      </c>
      <c r="L1032" s="325"/>
      <c r="M1032" s="325"/>
      <c r="N1032" s="378" t="str">
        <f t="shared" si="251"/>
        <v/>
      </c>
      <c r="O1032" s="378" t="str">
        <f t="shared" si="245"/>
        <v/>
      </c>
      <c r="P1032" s="325" t="str">
        <f t="shared" si="246"/>
        <v/>
      </c>
      <c r="Q1032" s="325" t="str">
        <f t="shared" si="247"/>
        <v/>
      </c>
      <c r="R1032" s="325" t="str">
        <f t="shared" si="242"/>
        <v/>
      </c>
      <c r="S1032" s="609">
        <v>320100</v>
      </c>
      <c r="T1032" s="325" t="str">
        <f>+IFERROR(VLOOKUP(S1032,STAT1!$C$4:$D$189,2,FALSE),"")</f>
        <v>Урьдчилж орсон орлого MNT</v>
      </c>
      <c r="U1032" s="1226">
        <v>4686000</v>
      </c>
      <c r="V1032" s="1217"/>
      <c r="W1032" s="326">
        <v>3104</v>
      </c>
      <c r="X1032" s="328" t="str">
        <f>IFERROR(VLOOKUP(W1032,DATA!$G$4:$H$400,2,FALSE),"")</f>
        <v>ХҮРЭЭ ЦАМХАГ ХХК</v>
      </c>
      <c r="Y1032" s="1205"/>
      <c r="Z1032" s="1205"/>
      <c r="AA1032" s="1205"/>
    </row>
    <row r="1033" spans="1:27" ht="12.75" customHeight="1">
      <c r="A1033" s="15">
        <v>230</v>
      </c>
      <c r="B1033" s="92">
        <f t="shared" si="241"/>
        <v>1028</v>
      </c>
      <c r="C1033" s="320">
        <v>43054</v>
      </c>
      <c r="D1033" s="321">
        <v>211803</v>
      </c>
      <c r="E1033" s="323" t="str">
        <f t="shared" ca="1" si="248"/>
        <v>Н-Шатны бариул /58*68мм/</v>
      </c>
      <c r="F1033" s="322" t="str">
        <f t="shared" ca="1" si="249"/>
        <v>м</v>
      </c>
      <c r="G1033" s="325"/>
      <c r="H1033" s="325"/>
      <c r="I1033" s="325" t="str">
        <f t="shared" si="243"/>
        <v/>
      </c>
      <c r="J1033" s="325" t="str">
        <f t="shared" si="250"/>
        <v/>
      </c>
      <c r="K1033" s="621" t="str">
        <f t="shared" si="244"/>
        <v/>
      </c>
      <c r="L1033" s="325">
        <v>10</v>
      </c>
      <c r="M1033" s="325">
        <v>9500</v>
      </c>
      <c r="N1033" s="378">
        <f t="shared" si="251"/>
        <v>95000</v>
      </c>
      <c r="O1033" s="378">
        <f t="shared" si="245"/>
        <v>9500</v>
      </c>
      <c r="P1033" s="325">
        <f t="shared" si="246"/>
        <v>104500</v>
      </c>
      <c r="Q1033" s="325">
        <f t="shared" ca="1" si="247"/>
        <v>4449.0638733588376</v>
      </c>
      <c r="R1033" s="325">
        <f t="shared" ca="1" si="242"/>
        <v>44490.638733588377</v>
      </c>
      <c r="S1033" s="609">
        <v>150101</v>
      </c>
      <c r="T1033" s="325" t="str">
        <f>+IFERROR(VLOOKUP(S1033,STAT1!$C$4:$D$189,2,FALSE),"")</f>
        <v>Бараа бэлэн бүтээгдэхүүн БОЛОВСРУУЛАХ ЦЕХ /нарс/</v>
      </c>
      <c r="U1033" s="1226"/>
      <c r="V1033" s="1217">
        <v>78216.468879786291</v>
      </c>
      <c r="W1033" s="326">
        <v>3006</v>
      </c>
      <c r="X1033" s="328" t="str">
        <f>IFERROR(VLOOKUP(W1033,DATA!$G$4:$H$400,2,FALSE),"")</f>
        <v xml:space="preserve">ПАЙОНЕРИНГ ИНТЕРНЭШНЛ ХХК </v>
      </c>
      <c r="Y1033" s="1205"/>
      <c r="Z1033" s="1205"/>
      <c r="AA1033" s="1205"/>
    </row>
    <row r="1034" spans="1:27" ht="12.75" customHeight="1">
      <c r="A1034" s="15">
        <v>230</v>
      </c>
      <c r="B1034" s="92">
        <f t="shared" si="241"/>
        <v>1029</v>
      </c>
      <c r="C1034" s="320">
        <v>43054</v>
      </c>
      <c r="D1034" s="321">
        <v>211802</v>
      </c>
      <c r="E1034" s="323" t="str">
        <f t="shared" ca="1" si="248"/>
        <v xml:space="preserve">Н-Уголок </v>
      </c>
      <c r="F1034" s="322" t="str">
        <f t="shared" ca="1" si="249"/>
        <v>м</v>
      </c>
      <c r="G1034" s="325"/>
      <c r="H1034" s="325"/>
      <c r="I1034" s="325" t="str">
        <f t="shared" si="243"/>
        <v/>
      </c>
      <c r="J1034" s="325" t="str">
        <f t="shared" si="250"/>
        <v/>
      </c>
      <c r="K1034" s="621" t="str">
        <f t="shared" si="244"/>
        <v/>
      </c>
      <c r="L1034" s="325">
        <v>6</v>
      </c>
      <c r="M1034" s="325">
        <v>3000</v>
      </c>
      <c r="N1034" s="378">
        <f t="shared" si="251"/>
        <v>18000</v>
      </c>
      <c r="O1034" s="378">
        <f t="shared" si="245"/>
        <v>1800</v>
      </c>
      <c r="P1034" s="325">
        <f t="shared" si="246"/>
        <v>19800</v>
      </c>
      <c r="Q1034" s="325">
        <f t="shared" ca="1" si="247"/>
        <v>1412.1879249284552</v>
      </c>
      <c r="R1034" s="325">
        <f t="shared" ca="1" si="242"/>
        <v>8473.1275495707305</v>
      </c>
      <c r="S1034" s="609">
        <v>610100</v>
      </c>
      <c r="T1034" s="325" t="str">
        <f>+IFERROR(VLOOKUP(S1034,STAT1!$C$4:$D$189,2,FALSE),"")</f>
        <v>Борлуулсан барааны өртөг</v>
      </c>
      <c r="U1034" s="1226">
        <v>78216.468879786291</v>
      </c>
      <c r="V1034" s="1217"/>
      <c r="W1034" s="326">
        <v>3006</v>
      </c>
      <c r="X1034" s="328" t="str">
        <f>IFERROR(VLOOKUP(W1034,DATA!$G$4:$H$400,2,FALSE),"")</f>
        <v xml:space="preserve">ПАЙОНЕРИНГ ИНТЕРНЭШНЛ ХХК </v>
      </c>
      <c r="Y1034" s="1205"/>
      <c r="Z1034" s="1205"/>
      <c r="AA1034" s="1205"/>
    </row>
    <row r="1035" spans="1:27" ht="12.75" customHeight="1">
      <c r="A1035" s="15">
        <v>230</v>
      </c>
      <c r="B1035" s="92">
        <f t="shared" si="241"/>
        <v>1030</v>
      </c>
      <c r="C1035" s="320">
        <v>43054</v>
      </c>
      <c r="D1035" s="321">
        <v>211801</v>
      </c>
      <c r="E1035" s="323" t="str">
        <f t="shared" ca="1" si="248"/>
        <v>Н-Ембүү /20*30мм/</v>
      </c>
      <c r="F1035" s="322" t="str">
        <f t="shared" ca="1" si="249"/>
        <v>м</v>
      </c>
      <c r="G1035" s="325"/>
      <c r="H1035" s="325"/>
      <c r="I1035" s="325" t="str">
        <f t="shared" si="243"/>
        <v/>
      </c>
      <c r="J1035" s="325" t="str">
        <f t="shared" si="250"/>
        <v/>
      </c>
      <c r="K1035" s="621" t="str">
        <f t="shared" si="244"/>
        <v/>
      </c>
      <c r="L1035" s="325">
        <v>39</v>
      </c>
      <c r="M1035" s="325">
        <v>1500</v>
      </c>
      <c r="N1035" s="378">
        <f t="shared" si="251"/>
        <v>58500</v>
      </c>
      <c r="O1035" s="378">
        <f t="shared" si="245"/>
        <v>5850</v>
      </c>
      <c r="P1035" s="325">
        <f t="shared" si="246"/>
        <v>64350</v>
      </c>
      <c r="Q1035" s="325">
        <f t="shared" ca="1" si="247"/>
        <v>647.50519478531248</v>
      </c>
      <c r="R1035" s="325">
        <f t="shared" ca="1" si="242"/>
        <v>25252.702596627187</v>
      </c>
      <c r="S1035" s="609">
        <v>310500</v>
      </c>
      <c r="T1035" s="325" t="str">
        <f>+IFERROR(VLOOKUP(S1035,STAT1!$C$4:$D$189,2,FALSE),"")</f>
        <v>НӨАТ өглөг</v>
      </c>
      <c r="U1035" s="1226"/>
      <c r="V1035" s="1217">
        <v>17150</v>
      </c>
      <c r="W1035" s="326">
        <v>3006</v>
      </c>
      <c r="X1035" s="328" t="str">
        <f>IFERROR(VLOOKUP(W1035,DATA!$G$4:$H$400,2,FALSE),"")</f>
        <v xml:space="preserve">ПАЙОНЕРИНГ ИНТЕРНЭШНЛ ХХК </v>
      </c>
      <c r="Y1035" s="1205"/>
      <c r="Z1035" s="1205"/>
      <c r="AA1035" s="1205"/>
    </row>
    <row r="1036" spans="1:27" ht="12.75" customHeight="1">
      <c r="A1036" s="15">
        <v>230</v>
      </c>
      <c r="B1036" s="92">
        <f t="shared" si="241"/>
        <v>1031</v>
      </c>
      <c r="C1036" s="320">
        <v>43054</v>
      </c>
      <c r="D1036" s="321"/>
      <c r="E1036" s="323" t="str">
        <f t="shared" ca="1" si="248"/>
        <v/>
      </c>
      <c r="F1036" s="322" t="str">
        <f t="shared" ca="1" si="249"/>
        <v/>
      </c>
      <c r="G1036" s="325"/>
      <c r="H1036" s="325"/>
      <c r="I1036" s="325" t="str">
        <f t="shared" si="243"/>
        <v/>
      </c>
      <c r="J1036" s="325" t="str">
        <f t="shared" si="250"/>
        <v/>
      </c>
      <c r="K1036" s="621" t="str">
        <f t="shared" si="244"/>
        <v/>
      </c>
      <c r="L1036" s="325"/>
      <c r="M1036" s="325"/>
      <c r="N1036" s="378" t="str">
        <f t="shared" si="251"/>
        <v/>
      </c>
      <c r="O1036" s="378" t="str">
        <f t="shared" si="245"/>
        <v/>
      </c>
      <c r="P1036" s="325" t="str">
        <f t="shared" si="246"/>
        <v/>
      </c>
      <c r="Q1036" s="325" t="str">
        <f t="shared" si="247"/>
        <v/>
      </c>
      <c r="R1036" s="325" t="str">
        <f t="shared" si="242"/>
        <v/>
      </c>
      <c r="S1036" s="609">
        <v>510000</v>
      </c>
      <c r="T1036" s="325" t="str">
        <f>+IFERROR(VLOOKUP(S1036,STAT1!$C$4:$D$189,2,FALSE),"")</f>
        <v>Үндсэн үйл ажиллагааны борлуулалт</v>
      </c>
      <c r="U1036" s="1226"/>
      <c r="V1036" s="1217">
        <v>171500</v>
      </c>
      <c r="W1036" s="326">
        <v>3006</v>
      </c>
      <c r="X1036" s="328" t="str">
        <f>IFERROR(VLOOKUP(W1036,DATA!$G$4:$H$400,2,FALSE),"")</f>
        <v xml:space="preserve">ПАЙОНЕРИНГ ИНТЕРНЭШНЛ ХХК </v>
      </c>
      <c r="Y1036" s="1205"/>
      <c r="Z1036" s="1205"/>
      <c r="AA1036" s="1205"/>
    </row>
    <row r="1037" spans="1:27" ht="12.75" customHeight="1">
      <c r="A1037" s="15">
        <v>230</v>
      </c>
      <c r="B1037" s="92">
        <f t="shared" si="241"/>
        <v>1032</v>
      </c>
      <c r="C1037" s="320">
        <v>43054</v>
      </c>
      <c r="D1037" s="321"/>
      <c r="E1037" s="323" t="str">
        <f t="shared" ca="1" si="248"/>
        <v/>
      </c>
      <c r="F1037" s="322" t="str">
        <f t="shared" ca="1" si="249"/>
        <v/>
      </c>
      <c r="G1037" s="325"/>
      <c r="H1037" s="325"/>
      <c r="I1037" s="325" t="str">
        <f t="shared" si="243"/>
        <v/>
      </c>
      <c r="J1037" s="325" t="str">
        <f t="shared" si="250"/>
        <v/>
      </c>
      <c r="K1037" s="621" t="str">
        <f t="shared" si="244"/>
        <v/>
      </c>
      <c r="L1037" s="325"/>
      <c r="M1037" s="325"/>
      <c r="N1037" s="378" t="str">
        <f t="shared" si="251"/>
        <v/>
      </c>
      <c r="O1037" s="378" t="str">
        <f t="shared" si="245"/>
        <v/>
      </c>
      <c r="P1037" s="325" t="str">
        <f t="shared" si="246"/>
        <v/>
      </c>
      <c r="Q1037" s="325" t="str">
        <f t="shared" si="247"/>
        <v/>
      </c>
      <c r="R1037" s="325" t="str">
        <f t="shared" si="242"/>
        <v/>
      </c>
      <c r="S1037" s="609">
        <v>320100</v>
      </c>
      <c r="T1037" s="325" t="str">
        <f>+IFERROR(VLOOKUP(S1037,STAT1!$C$4:$D$189,2,FALSE),"")</f>
        <v>Урьдчилж орсон орлого MNT</v>
      </c>
      <c r="U1037" s="1226">
        <v>188650</v>
      </c>
      <c r="V1037" s="1217"/>
      <c r="W1037" s="326">
        <v>3006</v>
      </c>
      <c r="X1037" s="328" t="str">
        <f>IFERROR(VLOOKUP(W1037,DATA!$G$4:$H$400,2,FALSE),"")</f>
        <v xml:space="preserve">ПАЙОНЕРИНГ ИНТЕРНЭШНЛ ХХК </v>
      </c>
      <c r="Y1037" s="1205"/>
      <c r="Z1037" s="1205"/>
      <c r="AA1037" s="1205"/>
    </row>
    <row r="1038" spans="1:27" ht="12.75" customHeight="1">
      <c r="A1038" s="15">
        <v>231</v>
      </c>
      <c r="B1038" s="92">
        <f t="shared" si="241"/>
        <v>1033</v>
      </c>
      <c r="C1038" s="320">
        <v>43064</v>
      </c>
      <c r="D1038" s="321">
        <v>211503</v>
      </c>
      <c r="E1038" s="323" t="str">
        <f t="shared" ca="1" si="248"/>
        <v>Н-Евровагонка /зузаан-1.2см/</v>
      </c>
      <c r="F1038" s="322" t="str">
        <f t="shared" ca="1" si="249"/>
        <v>м2</v>
      </c>
      <c r="G1038" s="325"/>
      <c r="H1038" s="325"/>
      <c r="I1038" s="325" t="str">
        <f t="shared" si="243"/>
        <v/>
      </c>
      <c r="J1038" s="325" t="str">
        <f t="shared" si="250"/>
        <v/>
      </c>
      <c r="K1038" s="621" t="str">
        <f t="shared" si="244"/>
        <v/>
      </c>
      <c r="L1038" s="325">
        <v>15.28</v>
      </c>
      <c r="M1038" s="325">
        <v>21508.448100000001</v>
      </c>
      <c r="N1038" s="378">
        <f t="shared" si="251"/>
        <v>328649.08696799999</v>
      </c>
      <c r="O1038" s="378">
        <f t="shared" si="245"/>
        <v>32864.908696799997</v>
      </c>
      <c r="P1038" s="325">
        <f t="shared" si="246"/>
        <v>361513.99566479999</v>
      </c>
      <c r="Q1038" s="325">
        <f t="shared" ca="1" si="247"/>
        <v>13356.506456865674</v>
      </c>
      <c r="R1038" s="325">
        <f t="shared" ca="1" si="242"/>
        <v>204087.41866090748</v>
      </c>
      <c r="S1038" s="609">
        <v>150101</v>
      </c>
      <c r="T1038" s="325" t="str">
        <f>+IFERROR(VLOOKUP(S1038,STAT1!$C$4:$D$189,2,FALSE),"")</f>
        <v>Бараа бэлэн бүтээгдэхүүн БОЛОВСРУУЛАХ ЦЕХ /нарс/</v>
      </c>
      <c r="U1038" s="1226"/>
      <c r="V1038" s="1217">
        <v>204087.41866090748</v>
      </c>
      <c r="W1038" s="326">
        <v>3006</v>
      </c>
      <c r="X1038" s="328" t="str">
        <f>IFERROR(VLOOKUP(W1038,DATA!$G$4:$H$400,2,FALSE),"")</f>
        <v xml:space="preserve">ПАЙОНЕРИНГ ИНТЕРНЭШНЛ ХХК </v>
      </c>
      <c r="Y1038" s="1205"/>
      <c r="Z1038" s="1205"/>
      <c r="AA1038" s="1205"/>
    </row>
    <row r="1039" spans="1:27" ht="12.75" customHeight="1">
      <c r="A1039" s="15">
        <v>231</v>
      </c>
      <c r="B1039" s="92">
        <f t="shared" si="241"/>
        <v>1034</v>
      </c>
      <c r="C1039" s="320">
        <v>43064</v>
      </c>
      <c r="D1039" s="321"/>
      <c r="E1039" s="323" t="str">
        <f t="shared" ca="1" si="248"/>
        <v/>
      </c>
      <c r="F1039" s="322" t="str">
        <f t="shared" ca="1" si="249"/>
        <v/>
      </c>
      <c r="G1039" s="325"/>
      <c r="H1039" s="325"/>
      <c r="I1039" s="325" t="str">
        <f t="shared" si="243"/>
        <v/>
      </c>
      <c r="J1039" s="325" t="str">
        <f t="shared" si="250"/>
        <v/>
      </c>
      <c r="K1039" s="621" t="str">
        <f t="shared" si="244"/>
        <v/>
      </c>
      <c r="L1039" s="325"/>
      <c r="M1039" s="325"/>
      <c r="N1039" s="378" t="str">
        <f t="shared" si="251"/>
        <v/>
      </c>
      <c r="O1039" s="378" t="str">
        <f t="shared" si="245"/>
        <v/>
      </c>
      <c r="P1039" s="325" t="str">
        <f t="shared" si="246"/>
        <v/>
      </c>
      <c r="Q1039" s="325" t="str">
        <f t="shared" si="247"/>
        <v/>
      </c>
      <c r="R1039" s="325" t="str">
        <f t="shared" ref="R1039:R1049" si="252">+IF(L1039="","",L1039*Q1039)</f>
        <v/>
      </c>
      <c r="S1039" s="609">
        <v>610100</v>
      </c>
      <c r="T1039" s="325" t="str">
        <f>+IFERROR(VLOOKUP(S1039,STAT1!$C$4:$D$189,2,FALSE),"")</f>
        <v>Борлуулсан барааны өртөг</v>
      </c>
      <c r="U1039" s="1226">
        <v>204087.41866090748</v>
      </c>
      <c r="V1039" s="1217"/>
      <c r="W1039" s="326">
        <v>3006</v>
      </c>
      <c r="X1039" s="328" t="str">
        <f>IFERROR(VLOOKUP(W1039,DATA!$G$4:$H$400,2,FALSE),"")</f>
        <v xml:space="preserve">ПАЙОНЕРИНГ ИНТЕРНЭШНЛ ХХК </v>
      </c>
      <c r="Y1039" s="1205"/>
      <c r="Z1039" s="1205"/>
      <c r="AA1039" s="1205"/>
    </row>
    <row r="1040" spans="1:27" ht="12.75" customHeight="1">
      <c r="A1040" s="15">
        <v>231</v>
      </c>
      <c r="B1040" s="92">
        <f t="shared" si="241"/>
        <v>1035</v>
      </c>
      <c r="C1040" s="320">
        <v>43064</v>
      </c>
      <c r="D1040" s="321"/>
      <c r="E1040" s="323" t="str">
        <f t="shared" ca="1" si="248"/>
        <v/>
      </c>
      <c r="F1040" s="322" t="str">
        <f t="shared" ca="1" si="249"/>
        <v/>
      </c>
      <c r="G1040" s="325"/>
      <c r="H1040" s="325"/>
      <c r="I1040" s="325" t="str">
        <f t="shared" si="243"/>
        <v/>
      </c>
      <c r="J1040" s="325" t="str">
        <f t="shared" si="250"/>
        <v/>
      </c>
      <c r="K1040" s="621" t="str">
        <f t="shared" si="244"/>
        <v/>
      </c>
      <c r="L1040" s="325"/>
      <c r="M1040" s="325"/>
      <c r="N1040" s="378" t="str">
        <f t="shared" si="251"/>
        <v/>
      </c>
      <c r="O1040" s="378" t="str">
        <f t="shared" si="245"/>
        <v/>
      </c>
      <c r="P1040" s="325" t="str">
        <f t="shared" si="246"/>
        <v/>
      </c>
      <c r="Q1040" s="325" t="str">
        <f t="shared" si="247"/>
        <v/>
      </c>
      <c r="R1040" s="325" t="str">
        <f t="shared" si="252"/>
        <v/>
      </c>
      <c r="S1040" s="609">
        <v>310500</v>
      </c>
      <c r="T1040" s="325" t="str">
        <f>+IFERROR(VLOOKUP(S1040,STAT1!$C$4:$D$189,2,FALSE),"")</f>
        <v>НӨАТ өглөг</v>
      </c>
      <c r="U1040" s="1226"/>
      <c r="V1040" s="1217">
        <v>32864.910000000003</v>
      </c>
      <c r="W1040" s="326">
        <v>3006</v>
      </c>
      <c r="X1040" s="328" t="str">
        <f>IFERROR(VLOOKUP(W1040,DATA!$G$4:$H$400,2,FALSE),"")</f>
        <v xml:space="preserve">ПАЙОНЕРИНГ ИНТЕРНЭШНЛ ХХК </v>
      </c>
      <c r="Y1040" s="1205"/>
      <c r="Z1040" s="1205"/>
      <c r="AA1040" s="1205"/>
    </row>
    <row r="1041" spans="1:27" ht="12.75" customHeight="1">
      <c r="A1041" s="15">
        <v>231</v>
      </c>
      <c r="B1041" s="92">
        <f t="shared" si="241"/>
        <v>1036</v>
      </c>
      <c r="C1041" s="320">
        <v>43064</v>
      </c>
      <c r="D1041" s="321"/>
      <c r="E1041" s="323" t="str">
        <f t="shared" ca="1" si="248"/>
        <v/>
      </c>
      <c r="F1041" s="322" t="str">
        <f t="shared" ca="1" si="249"/>
        <v/>
      </c>
      <c r="G1041" s="325"/>
      <c r="H1041" s="325"/>
      <c r="I1041" s="325" t="str">
        <f t="shared" si="243"/>
        <v/>
      </c>
      <c r="J1041" s="325" t="str">
        <f t="shared" si="250"/>
        <v/>
      </c>
      <c r="K1041" s="621" t="str">
        <f t="shared" si="244"/>
        <v/>
      </c>
      <c r="L1041" s="325"/>
      <c r="M1041" s="325"/>
      <c r="N1041" s="378" t="str">
        <f t="shared" si="251"/>
        <v/>
      </c>
      <c r="O1041" s="378" t="str">
        <f t="shared" si="245"/>
        <v/>
      </c>
      <c r="P1041" s="325" t="str">
        <f t="shared" si="246"/>
        <v/>
      </c>
      <c r="Q1041" s="325" t="str">
        <f t="shared" si="247"/>
        <v/>
      </c>
      <c r="R1041" s="325" t="str">
        <f t="shared" si="252"/>
        <v/>
      </c>
      <c r="S1041" s="609">
        <v>510000</v>
      </c>
      <c r="T1041" s="325" t="str">
        <f>+IFERROR(VLOOKUP(S1041,STAT1!$C$4:$D$189,2,FALSE),"")</f>
        <v>Үндсэн үйл ажиллагааны борлуулалт</v>
      </c>
      <c r="U1041" s="1226"/>
      <c r="V1041" s="1217">
        <v>328649.09000000003</v>
      </c>
      <c r="W1041" s="326">
        <v>3006</v>
      </c>
      <c r="X1041" s="328" t="str">
        <f>IFERROR(VLOOKUP(W1041,DATA!$G$4:$H$400,2,FALSE),"")</f>
        <v xml:space="preserve">ПАЙОНЕРИНГ ИНТЕРНЭШНЛ ХХК </v>
      </c>
      <c r="Y1041" s="1205"/>
      <c r="Z1041" s="1205"/>
      <c r="AA1041" s="1205"/>
    </row>
    <row r="1042" spans="1:27" ht="12.75" customHeight="1">
      <c r="A1042" s="15">
        <v>231</v>
      </c>
      <c r="B1042" s="92">
        <f t="shared" si="241"/>
        <v>1037</v>
      </c>
      <c r="C1042" s="320">
        <v>43064</v>
      </c>
      <c r="D1042" s="321"/>
      <c r="E1042" s="323" t="str">
        <f t="shared" ca="1" si="248"/>
        <v/>
      </c>
      <c r="F1042" s="322" t="str">
        <f t="shared" ca="1" si="249"/>
        <v/>
      </c>
      <c r="G1042" s="325"/>
      <c r="H1042" s="325"/>
      <c r="I1042" s="325" t="str">
        <f t="shared" si="243"/>
        <v/>
      </c>
      <c r="J1042" s="325" t="str">
        <f t="shared" si="250"/>
        <v/>
      </c>
      <c r="K1042" s="621" t="str">
        <f t="shared" si="244"/>
        <v/>
      </c>
      <c r="L1042" s="325"/>
      <c r="M1042" s="325"/>
      <c r="N1042" s="378" t="str">
        <f t="shared" si="251"/>
        <v/>
      </c>
      <c r="O1042" s="378" t="str">
        <f t="shared" si="245"/>
        <v/>
      </c>
      <c r="P1042" s="325" t="str">
        <f t="shared" si="246"/>
        <v/>
      </c>
      <c r="Q1042" s="325" t="str">
        <f t="shared" si="247"/>
        <v/>
      </c>
      <c r="R1042" s="325" t="str">
        <f t="shared" si="252"/>
        <v/>
      </c>
      <c r="S1042" s="609">
        <v>320100</v>
      </c>
      <c r="T1042" s="325" t="str">
        <f>+IFERROR(VLOOKUP(S1042,STAT1!$C$4:$D$189,2,FALSE),"")</f>
        <v>Урьдчилж орсон орлого MNT</v>
      </c>
      <c r="U1042" s="1226">
        <v>361514</v>
      </c>
      <c r="V1042" s="1217"/>
      <c r="W1042" s="326">
        <v>3006</v>
      </c>
      <c r="X1042" s="328" t="str">
        <f>IFERROR(VLOOKUP(W1042,DATA!$G$4:$H$400,2,FALSE),"")</f>
        <v xml:space="preserve">ПАЙОНЕРИНГ ИНТЕРНЭШНЛ ХХК </v>
      </c>
      <c r="Y1042" s="1205"/>
      <c r="Z1042" s="1205"/>
      <c r="AA1042" s="1205"/>
    </row>
    <row r="1043" spans="1:27" ht="12.75" customHeight="1">
      <c r="A1043" s="15">
        <v>232</v>
      </c>
      <c r="B1043" s="92">
        <f t="shared" si="241"/>
        <v>1038</v>
      </c>
      <c r="C1043" s="320">
        <v>43066</v>
      </c>
      <c r="D1043" s="321">
        <v>211802</v>
      </c>
      <c r="E1043" s="323" t="str">
        <f t="shared" ca="1" si="248"/>
        <v xml:space="preserve">Н-Уголок </v>
      </c>
      <c r="F1043" s="322" t="str">
        <f t="shared" ca="1" si="249"/>
        <v>м</v>
      </c>
      <c r="G1043" s="325"/>
      <c r="H1043" s="325"/>
      <c r="I1043" s="325" t="str">
        <f t="shared" si="243"/>
        <v/>
      </c>
      <c r="J1043" s="325" t="str">
        <f t="shared" si="250"/>
        <v/>
      </c>
      <c r="K1043" s="621" t="str">
        <f t="shared" si="244"/>
        <v/>
      </c>
      <c r="L1043" s="325">
        <v>15</v>
      </c>
      <c r="M1043" s="325">
        <v>4000</v>
      </c>
      <c r="N1043" s="378">
        <f t="shared" si="251"/>
        <v>60000</v>
      </c>
      <c r="O1043" s="378">
        <f t="shared" si="245"/>
        <v>6000</v>
      </c>
      <c r="P1043" s="325">
        <f t="shared" si="246"/>
        <v>66000</v>
      </c>
      <c r="Q1043" s="325">
        <f t="shared" ca="1" si="247"/>
        <v>1412.1879249284552</v>
      </c>
      <c r="R1043" s="325">
        <f t="shared" ca="1" si="252"/>
        <v>21182.81887392683</v>
      </c>
      <c r="S1043" s="609">
        <v>150101</v>
      </c>
      <c r="T1043" s="325" t="str">
        <f>+IFERROR(VLOOKUP(S1043,STAT1!$C$4:$D$189,2,FALSE),"")</f>
        <v>Бараа бэлэн бүтээгдэхүүн БОЛОВСРУУЛАХ ЦЕХ /нарс/</v>
      </c>
      <c r="U1043" s="1226"/>
      <c r="V1043" s="1217">
        <v>30895.396795706518</v>
      </c>
      <c r="W1043" s="326">
        <v>3006</v>
      </c>
      <c r="X1043" s="328" t="str">
        <f>IFERROR(VLOOKUP(W1043,DATA!$G$4:$H$400,2,FALSE),"")</f>
        <v xml:space="preserve">ПАЙОНЕРИНГ ИНТЕРНЭШНЛ ХХК </v>
      </c>
      <c r="Y1043" s="1205"/>
      <c r="Z1043" s="1205"/>
      <c r="AA1043" s="1205"/>
    </row>
    <row r="1044" spans="1:27" ht="12.75" customHeight="1">
      <c r="A1044" s="15">
        <v>232</v>
      </c>
      <c r="B1044" s="92">
        <f t="shared" si="241"/>
        <v>1039</v>
      </c>
      <c r="C1044" s="320">
        <v>43066</v>
      </c>
      <c r="D1044" s="321">
        <v>211801</v>
      </c>
      <c r="E1044" s="323" t="str">
        <f t="shared" ca="1" si="248"/>
        <v>Н-Ембүү /20*30мм/</v>
      </c>
      <c r="F1044" s="322" t="str">
        <f t="shared" ca="1" si="249"/>
        <v>м</v>
      </c>
      <c r="G1044" s="325"/>
      <c r="H1044" s="325"/>
      <c r="I1044" s="325" t="str">
        <f t="shared" si="243"/>
        <v/>
      </c>
      <c r="J1044" s="325" t="str">
        <f t="shared" si="250"/>
        <v/>
      </c>
      <c r="K1044" s="621" t="str">
        <f t="shared" si="244"/>
        <v/>
      </c>
      <c r="L1044" s="325">
        <v>15</v>
      </c>
      <c r="M1044" s="325">
        <v>1500</v>
      </c>
      <c r="N1044" s="378">
        <f t="shared" si="251"/>
        <v>22500</v>
      </c>
      <c r="O1044" s="378">
        <f t="shared" si="245"/>
        <v>2250</v>
      </c>
      <c r="P1044" s="325">
        <f t="shared" si="246"/>
        <v>24750</v>
      </c>
      <c r="Q1044" s="325">
        <f t="shared" ca="1" si="247"/>
        <v>647.5051947853126</v>
      </c>
      <c r="R1044" s="325">
        <f t="shared" ca="1" si="252"/>
        <v>9712.577921779688</v>
      </c>
      <c r="S1044" s="609">
        <v>610100</v>
      </c>
      <c r="T1044" s="325" t="str">
        <f>+IFERROR(VLOOKUP(S1044,STAT1!$C$4:$D$189,2,FALSE),"")</f>
        <v>Борлуулсан барааны өртөг</v>
      </c>
      <c r="U1044" s="1226">
        <v>30895.396795706518</v>
      </c>
      <c r="V1044" s="1217"/>
      <c r="W1044" s="326">
        <v>3006</v>
      </c>
      <c r="X1044" s="328" t="str">
        <f>IFERROR(VLOOKUP(W1044,DATA!$G$4:$H$400,2,FALSE),"")</f>
        <v xml:space="preserve">ПАЙОНЕРИНГ ИНТЕРНЭШНЛ ХХК </v>
      </c>
      <c r="Y1044" s="1205"/>
      <c r="Z1044" s="1205"/>
      <c r="AA1044" s="1205"/>
    </row>
    <row r="1045" spans="1:27" ht="12.75" customHeight="1">
      <c r="A1045" s="15">
        <v>232</v>
      </c>
      <c r="B1045" s="92">
        <f t="shared" si="241"/>
        <v>1040</v>
      </c>
      <c r="C1045" s="320">
        <v>43066</v>
      </c>
      <c r="D1045" s="321"/>
      <c r="E1045" s="323" t="str">
        <f t="shared" ca="1" si="248"/>
        <v/>
      </c>
      <c r="F1045" s="322" t="str">
        <f t="shared" ca="1" si="249"/>
        <v/>
      </c>
      <c r="G1045" s="325"/>
      <c r="H1045" s="325"/>
      <c r="I1045" s="325" t="str">
        <f t="shared" si="243"/>
        <v/>
      </c>
      <c r="J1045" s="325" t="str">
        <f t="shared" si="250"/>
        <v/>
      </c>
      <c r="K1045" s="621" t="str">
        <f t="shared" si="244"/>
        <v/>
      </c>
      <c r="L1045" s="325"/>
      <c r="M1045" s="325"/>
      <c r="N1045" s="378" t="str">
        <f t="shared" si="251"/>
        <v/>
      </c>
      <c r="O1045" s="378" t="str">
        <f t="shared" si="245"/>
        <v/>
      </c>
      <c r="P1045" s="325" t="str">
        <f t="shared" si="246"/>
        <v/>
      </c>
      <c r="Q1045" s="325" t="str">
        <f t="shared" si="247"/>
        <v/>
      </c>
      <c r="R1045" s="325" t="str">
        <f t="shared" si="252"/>
        <v/>
      </c>
      <c r="S1045" s="609">
        <v>310500</v>
      </c>
      <c r="T1045" s="325" t="str">
        <f>+IFERROR(VLOOKUP(S1045,STAT1!$C$4:$D$189,2,FALSE),"")</f>
        <v>НӨАТ өглөг</v>
      </c>
      <c r="U1045" s="1226"/>
      <c r="V1045" s="1217">
        <v>8250</v>
      </c>
      <c r="W1045" s="326">
        <v>3006</v>
      </c>
      <c r="X1045" s="328" t="str">
        <f>IFERROR(VLOOKUP(W1045,DATA!$G$4:$H$400,2,FALSE),"")</f>
        <v xml:space="preserve">ПАЙОНЕРИНГ ИНТЕРНЭШНЛ ХХК </v>
      </c>
      <c r="Y1045" s="1205"/>
      <c r="Z1045" s="1205"/>
      <c r="AA1045" s="1205"/>
    </row>
    <row r="1046" spans="1:27" ht="12.75" customHeight="1">
      <c r="A1046" s="15">
        <v>232</v>
      </c>
      <c r="B1046" s="92">
        <f t="shared" si="241"/>
        <v>1041</v>
      </c>
      <c r="C1046" s="320">
        <v>43066</v>
      </c>
      <c r="D1046" s="321"/>
      <c r="E1046" s="323" t="str">
        <f t="shared" ca="1" si="248"/>
        <v/>
      </c>
      <c r="F1046" s="322" t="str">
        <f t="shared" ca="1" si="249"/>
        <v/>
      </c>
      <c r="G1046" s="325"/>
      <c r="H1046" s="325"/>
      <c r="I1046" s="325" t="str">
        <f t="shared" si="243"/>
        <v/>
      </c>
      <c r="J1046" s="325" t="str">
        <f t="shared" si="250"/>
        <v/>
      </c>
      <c r="K1046" s="621" t="str">
        <f t="shared" si="244"/>
        <v/>
      </c>
      <c r="L1046" s="325"/>
      <c r="M1046" s="325"/>
      <c r="N1046" s="378" t="str">
        <f t="shared" si="251"/>
        <v/>
      </c>
      <c r="O1046" s="378" t="str">
        <f t="shared" si="245"/>
        <v/>
      </c>
      <c r="P1046" s="325" t="str">
        <f t="shared" si="246"/>
        <v/>
      </c>
      <c r="Q1046" s="325" t="str">
        <f t="shared" si="247"/>
        <v/>
      </c>
      <c r="R1046" s="325" t="str">
        <f t="shared" si="252"/>
        <v/>
      </c>
      <c r="S1046" s="609">
        <v>510000</v>
      </c>
      <c r="T1046" s="325" t="str">
        <f>+IFERROR(VLOOKUP(S1046,STAT1!$C$4:$D$189,2,FALSE),"")</f>
        <v>Үндсэн үйл ажиллагааны борлуулалт</v>
      </c>
      <c r="U1046" s="1226"/>
      <c r="V1046" s="1217">
        <v>82500</v>
      </c>
      <c r="W1046" s="326">
        <v>3006</v>
      </c>
      <c r="X1046" s="328" t="str">
        <f>IFERROR(VLOOKUP(W1046,DATA!$G$4:$H$400,2,FALSE),"")</f>
        <v xml:space="preserve">ПАЙОНЕРИНГ ИНТЕРНЭШНЛ ХХК </v>
      </c>
      <c r="Y1046" s="1205"/>
      <c r="Z1046" s="1205"/>
      <c r="AA1046" s="1205"/>
    </row>
    <row r="1047" spans="1:27" ht="12.75" customHeight="1">
      <c r="A1047" s="15">
        <v>232</v>
      </c>
      <c r="B1047" s="92">
        <f t="shared" si="241"/>
        <v>1042</v>
      </c>
      <c r="C1047" s="320">
        <v>43066</v>
      </c>
      <c r="D1047" s="321"/>
      <c r="E1047" s="323" t="str">
        <f t="shared" ca="1" si="248"/>
        <v/>
      </c>
      <c r="F1047" s="322" t="str">
        <f t="shared" ca="1" si="249"/>
        <v/>
      </c>
      <c r="G1047" s="325"/>
      <c r="H1047" s="325"/>
      <c r="I1047" s="325" t="str">
        <f t="shared" si="243"/>
        <v/>
      </c>
      <c r="J1047" s="325" t="str">
        <f t="shared" ref="J1047:J1049" si="253">+IF(G1047="","",I1047*0.1)</f>
        <v/>
      </c>
      <c r="K1047" s="621" t="str">
        <f t="shared" si="244"/>
        <v/>
      </c>
      <c r="L1047" s="325"/>
      <c r="M1047" s="325"/>
      <c r="N1047" s="378" t="str">
        <f t="shared" si="251"/>
        <v/>
      </c>
      <c r="O1047" s="378" t="str">
        <f t="shared" si="245"/>
        <v/>
      </c>
      <c r="P1047" s="325" t="str">
        <f t="shared" si="246"/>
        <v/>
      </c>
      <c r="Q1047" s="325" t="str">
        <f t="shared" si="247"/>
        <v/>
      </c>
      <c r="R1047" s="325" t="str">
        <f t="shared" si="252"/>
        <v/>
      </c>
      <c r="S1047" s="609">
        <v>320100</v>
      </c>
      <c r="T1047" s="325" t="str">
        <f>+IFERROR(VLOOKUP(S1047,STAT1!$C$4:$D$189,2,FALSE),"")</f>
        <v>Урьдчилж орсон орлого MNT</v>
      </c>
      <c r="U1047" s="1226">
        <v>90750</v>
      </c>
      <c r="V1047" s="1217"/>
      <c r="W1047" s="326">
        <v>3006</v>
      </c>
      <c r="X1047" s="328" t="str">
        <f>IFERROR(VLOOKUP(W1047,DATA!$G$4:$H$400,2,FALSE),"")</f>
        <v xml:space="preserve">ПАЙОНЕРИНГ ИНТЕРНЭШНЛ ХХК </v>
      </c>
      <c r="Y1047" s="1205"/>
      <c r="Z1047" s="1205"/>
      <c r="AA1047" s="1205"/>
    </row>
    <row r="1048" spans="1:27" ht="12.75" customHeight="1">
      <c r="A1048" s="15">
        <v>233</v>
      </c>
      <c r="B1048" s="92">
        <f t="shared" si="241"/>
        <v>1043</v>
      </c>
      <c r="C1048" s="320">
        <v>43068</v>
      </c>
      <c r="D1048" s="321">
        <v>211717</v>
      </c>
      <c r="E1048" s="323" t="str">
        <f t="shared" ca="1" si="248"/>
        <v xml:space="preserve">Í-Õàâòàí /çóçààí-4сì/-ÿðòàé </v>
      </c>
      <c r="F1048" s="322" t="str">
        <f t="shared" ca="1" si="249"/>
        <v>м2</v>
      </c>
      <c r="G1048" s="325"/>
      <c r="H1048" s="325"/>
      <c r="I1048" s="325" t="str">
        <f t="shared" si="243"/>
        <v/>
      </c>
      <c r="J1048" s="325" t="str">
        <f t="shared" si="253"/>
        <v/>
      </c>
      <c r="K1048" s="621" t="str">
        <f t="shared" si="244"/>
        <v/>
      </c>
      <c r="L1048" s="325">
        <v>140</v>
      </c>
      <c r="M1048" s="325"/>
      <c r="N1048" s="378">
        <f t="shared" si="251"/>
        <v>0</v>
      </c>
      <c r="O1048" s="378">
        <f t="shared" si="245"/>
        <v>0</v>
      </c>
      <c r="P1048" s="325">
        <f t="shared" si="246"/>
        <v>0</v>
      </c>
      <c r="Q1048" s="325">
        <f t="shared" ca="1" si="247"/>
        <v>45402.535093596591</v>
      </c>
      <c r="R1048" s="325">
        <f t="shared" ca="1" si="252"/>
        <v>6356354.9131035227</v>
      </c>
      <c r="S1048" s="609">
        <v>150101</v>
      </c>
      <c r="T1048" s="325" t="str">
        <f>+IFERROR(VLOOKUP(S1048,STAT1!$C$4:$D$189,2,FALSE),"")</f>
        <v>Бараа бэлэн бүтээгдэхүүн БОЛОВСРУУЛАХ ЦЕХ /нарс/</v>
      </c>
      <c r="U1048" s="1226"/>
      <c r="V1048" s="1217">
        <v>6356354.9131035227</v>
      </c>
      <c r="W1048" s="326">
        <v>3002</v>
      </c>
      <c r="X1048" s="328" t="str">
        <f>IFERROR(VLOOKUP(W1048,DATA!$G$4:$H$400,2,FALSE),"")</f>
        <v>ЭКО КОНСТРАКШН ХХК</v>
      </c>
      <c r="Y1048" s="1205"/>
      <c r="Z1048" s="1205"/>
      <c r="AA1048" s="1205"/>
    </row>
    <row r="1049" spans="1:27" ht="12.75" customHeight="1">
      <c r="A1049" s="15">
        <v>233</v>
      </c>
      <c r="B1049" s="92">
        <f t="shared" si="241"/>
        <v>1044</v>
      </c>
      <c r="C1049" s="320">
        <v>43068</v>
      </c>
      <c r="D1049" s="321">
        <v>211714</v>
      </c>
      <c r="E1049" s="323" t="str">
        <f t="shared" ca="1" si="248"/>
        <v xml:space="preserve">Н-Хавтан /зузаан-2см/-яртай </v>
      </c>
      <c r="F1049" s="322" t="str">
        <f t="shared" ca="1" si="249"/>
        <v>м2</v>
      </c>
      <c r="G1049" s="325"/>
      <c r="H1049" s="325"/>
      <c r="I1049" s="325" t="str">
        <f t="shared" si="243"/>
        <v/>
      </c>
      <c r="J1049" s="325" t="str">
        <f t="shared" si="253"/>
        <v/>
      </c>
      <c r="K1049" s="621" t="str">
        <f t="shared" si="244"/>
        <v/>
      </c>
      <c r="L1049" s="325">
        <v>130</v>
      </c>
      <c r="M1049" s="325"/>
      <c r="N1049" s="378">
        <f t="shared" si="251"/>
        <v>0</v>
      </c>
      <c r="O1049" s="378">
        <f t="shared" si="245"/>
        <v>0</v>
      </c>
      <c r="P1049" s="325">
        <f t="shared" si="246"/>
        <v>0</v>
      </c>
      <c r="Q1049" s="325">
        <f t="shared" ca="1" si="247"/>
        <v>18125.309466931161</v>
      </c>
      <c r="R1049" s="325">
        <f t="shared" ca="1" si="252"/>
        <v>2356290.2307010512</v>
      </c>
      <c r="S1049" s="609">
        <v>150101</v>
      </c>
      <c r="T1049" s="325" t="str">
        <f>+IFERROR(VLOOKUP(S1049,STAT1!$C$4:$D$189,2,FALSE),"")</f>
        <v>Бараа бэлэн бүтээгдэхүүн БОЛОВСРУУЛАХ ЦЕХ /нарс/</v>
      </c>
      <c r="U1049" s="1226"/>
      <c r="V1049" s="1217">
        <v>2356290.2307010512</v>
      </c>
      <c r="W1049" s="326">
        <v>3002</v>
      </c>
      <c r="X1049" s="328" t="str">
        <f>IFERROR(VLOOKUP(W1049,DATA!$G$4:$H$400,2,FALSE),"")</f>
        <v>ЭКО КОНСТРАКШН ХХК</v>
      </c>
      <c r="Y1049" s="1205"/>
      <c r="Z1049" s="1205"/>
      <c r="AA1049" s="1205"/>
    </row>
    <row r="1050" spans="1:27" ht="12.75" customHeight="1">
      <c r="A1050" s="15">
        <v>233</v>
      </c>
      <c r="B1050" s="92">
        <f t="shared" si="241"/>
        <v>1045</v>
      </c>
      <c r="C1050" s="320">
        <v>43068</v>
      </c>
      <c r="D1050" s="321"/>
      <c r="E1050" s="323"/>
      <c r="F1050" s="322"/>
      <c r="G1050" s="325"/>
      <c r="H1050" s="325"/>
      <c r="I1050" s="325"/>
      <c r="J1050" s="325"/>
      <c r="K1050" s="621"/>
      <c r="L1050" s="325"/>
      <c r="M1050" s="325"/>
      <c r="N1050" s="378"/>
      <c r="O1050" s="378"/>
      <c r="P1050" s="325"/>
      <c r="Q1050" s="325"/>
      <c r="R1050" s="325"/>
      <c r="S1050" s="609">
        <v>141201</v>
      </c>
      <c r="T1050" s="325" t="str">
        <f>+IFERROR(VLOOKUP(S1050,STAT1!$C$4:$D$189,2,FALSE),"")</f>
        <v>ШМЗардал БУСАД</v>
      </c>
      <c r="U1050" s="1226">
        <v>8712645.1438045744</v>
      </c>
      <c r="V1050" s="1217"/>
      <c r="W1050" s="326">
        <v>3002</v>
      </c>
      <c r="X1050" s="328" t="str">
        <f>IFERROR(VLOOKUP(W1050,DATA!$G$4:$H$400,2,FALSE),"")</f>
        <v>ЭКО КОНСТРАКШН ХХК</v>
      </c>
      <c r="Y1050" s="1205"/>
      <c r="Z1050" s="1205"/>
      <c r="AA1050" s="1205"/>
    </row>
    <row r="1051" spans="1:27" ht="12.75" customHeight="1">
      <c r="A1051" s="15">
        <v>234</v>
      </c>
      <c r="B1051" s="92">
        <f t="shared" si="241"/>
        <v>1046</v>
      </c>
      <c r="C1051" s="320">
        <v>43068</v>
      </c>
      <c r="D1051" s="321">
        <v>410085</v>
      </c>
      <c r="E1051" s="323" t="str">
        <f t="shared" ref="E1051:E1067" ca="1" si="254">+IFERROR(VLOOKUP(D1051,TN_table,2,FALSE),"")</f>
        <v xml:space="preserve">НЦ-лак </v>
      </c>
      <c r="F1051" s="322" t="str">
        <f t="shared" ref="F1051:F1058" ca="1" si="255">+IFERROR(VLOOKUP(D1051,TN_table,3,FALSE),"")</f>
        <v>кг</v>
      </c>
      <c r="G1051" s="325"/>
      <c r="H1051" s="325"/>
      <c r="I1051" s="325" t="str">
        <f t="shared" ref="I1051:I1067" si="256">+IF(G1051="","",G1051*H1051)</f>
        <v/>
      </c>
      <c r="J1051" s="325" t="str">
        <f t="shared" ref="J1051:J1067" si="257">+IF(G1051="","",I1051*0.1)</f>
        <v/>
      </c>
      <c r="K1051" s="621" t="str">
        <f t="shared" ref="K1051:K1067" si="258">+IF(G1051="","",I1051+J1051)</f>
        <v/>
      </c>
      <c r="L1051" s="325">
        <v>250</v>
      </c>
      <c r="M1051" s="325"/>
      <c r="N1051" s="378">
        <f t="shared" ref="N1051:N1067" si="259">+IF(L1051="","",L1051*M1051)</f>
        <v>0</v>
      </c>
      <c r="O1051" s="378">
        <f t="shared" ref="O1051:O1067" si="260">+IF(L1051="","",N1051*0.1)</f>
        <v>0</v>
      </c>
      <c r="P1051" s="325">
        <f t="shared" ref="P1051:P1067" si="261">+IF(L1051="","",N1051+O1051)</f>
        <v>0</v>
      </c>
      <c r="Q1051" s="325">
        <f t="shared" ref="Q1051:Q1067" ca="1" si="262">IF(L1051="","",IFERROR((SUMIFS(TN_balC1_totol,TN_code,D1051)+SUMIFS(RC_or_totol,RC_Code,D1051,RC_date,"&lt;="&amp;C1051)-SUMIFS(RC_zar_totol,RC_Code,D1051,RC_date,"&lt;"&amp;C1051)) /( SUMIFS(TN_balC1_unit,TN_code,D1051)+SUMIFS(RC_or_unit,RC_Code,D1051,RC_date,"&lt;="&amp;C1051)-SUMIFS(RC_zar_unit,RC_Code,D1051,RC_date,"&lt;"&amp;C1051)),0 ))</f>
        <v>7344.7345390765695</v>
      </c>
      <c r="R1051" s="325">
        <f t="shared" ref="R1051:R1067" ca="1" si="263">+IF(L1051="","",L1051*Q1051)</f>
        <v>1836183.6347691424</v>
      </c>
      <c r="S1051" s="609">
        <v>160100</v>
      </c>
      <c r="T1051" s="325" t="str">
        <f>+IFERROR(VLOOKUP(S1051,STAT1!$C$4:$D$189,2,FALSE),"")</f>
        <v xml:space="preserve">Барилгын материал </v>
      </c>
      <c r="U1051" s="1226"/>
      <c r="V1051" s="1217">
        <v>1836183.6347691424</v>
      </c>
      <c r="W1051" s="326">
        <v>3002</v>
      </c>
      <c r="X1051" s="328" t="str">
        <f>IFERROR(VLOOKUP(W1051,DATA!$G$4:$H$400,2,FALSE),"")</f>
        <v>ЭКО КОНСТРАКШН ХХК</v>
      </c>
      <c r="Y1051" s="1205"/>
      <c r="Z1051" s="1205"/>
      <c r="AA1051" s="1205"/>
    </row>
    <row r="1052" spans="1:27" ht="12.75" customHeight="1">
      <c r="A1052" s="15">
        <v>234</v>
      </c>
      <c r="B1052" s="92">
        <f t="shared" si="241"/>
        <v>1047</v>
      </c>
      <c r="C1052" s="320">
        <v>43068</v>
      </c>
      <c r="D1052" s="321">
        <v>410002</v>
      </c>
      <c r="E1052" s="323" t="str">
        <f t="shared" ca="1" si="254"/>
        <v xml:space="preserve">Морилка </v>
      </c>
      <c r="F1052" s="322" t="str">
        <f t="shared" ca="1" si="255"/>
        <v xml:space="preserve">ш </v>
      </c>
      <c r="G1052" s="325"/>
      <c r="H1052" s="325"/>
      <c r="I1052" s="325" t="str">
        <f t="shared" si="256"/>
        <v/>
      </c>
      <c r="J1052" s="325" t="str">
        <f t="shared" si="257"/>
        <v/>
      </c>
      <c r="K1052" s="621" t="str">
        <f t="shared" si="258"/>
        <v/>
      </c>
      <c r="L1052" s="325">
        <v>20</v>
      </c>
      <c r="M1052" s="325"/>
      <c r="N1052" s="378">
        <f t="shared" si="259"/>
        <v>0</v>
      </c>
      <c r="O1052" s="378">
        <f t="shared" si="260"/>
        <v>0</v>
      </c>
      <c r="P1052" s="325">
        <f t="shared" si="261"/>
        <v>0</v>
      </c>
      <c r="Q1052" s="325">
        <f t="shared" ca="1" si="262"/>
        <v>4000</v>
      </c>
      <c r="R1052" s="325">
        <f t="shared" ca="1" si="263"/>
        <v>80000</v>
      </c>
      <c r="S1052" s="609">
        <v>160100</v>
      </c>
      <c r="T1052" s="325" t="str">
        <f>+IFERROR(VLOOKUP(S1052,STAT1!$C$4:$D$189,2,FALSE),"")</f>
        <v xml:space="preserve">Барилгын материал </v>
      </c>
      <c r="U1052" s="1226"/>
      <c r="V1052" s="1217">
        <v>80000</v>
      </c>
      <c r="W1052" s="326">
        <v>3002</v>
      </c>
      <c r="X1052" s="328" t="str">
        <f>IFERROR(VLOOKUP(W1052,DATA!$G$4:$H$400,2,FALSE),"")</f>
        <v>ЭКО КОНСТРАКШН ХХК</v>
      </c>
      <c r="Y1052" s="1205"/>
      <c r="Z1052" s="1205"/>
      <c r="AA1052" s="1205"/>
    </row>
    <row r="1053" spans="1:27" ht="12.75" customHeight="1">
      <c r="A1053" s="15">
        <v>234</v>
      </c>
      <c r="B1053" s="92">
        <f t="shared" si="241"/>
        <v>1048</v>
      </c>
      <c r="C1053" s="320">
        <v>43068</v>
      </c>
      <c r="D1053" s="321"/>
      <c r="E1053" s="323" t="str">
        <f t="shared" ca="1" si="254"/>
        <v/>
      </c>
      <c r="F1053" s="322" t="str">
        <f t="shared" ca="1" si="255"/>
        <v/>
      </c>
      <c r="G1053" s="325"/>
      <c r="H1053" s="325"/>
      <c r="I1053" s="325" t="str">
        <f t="shared" si="256"/>
        <v/>
      </c>
      <c r="J1053" s="325" t="str">
        <f t="shared" si="257"/>
        <v/>
      </c>
      <c r="K1053" s="621" t="str">
        <f t="shared" si="258"/>
        <v/>
      </c>
      <c r="L1053" s="325"/>
      <c r="M1053" s="325"/>
      <c r="N1053" s="378" t="str">
        <f t="shared" si="259"/>
        <v/>
      </c>
      <c r="O1053" s="378" t="str">
        <f t="shared" si="260"/>
        <v/>
      </c>
      <c r="P1053" s="325" t="str">
        <f t="shared" si="261"/>
        <v/>
      </c>
      <c r="Q1053" s="325" t="str">
        <f t="shared" si="262"/>
        <v/>
      </c>
      <c r="R1053" s="325" t="str">
        <f t="shared" si="263"/>
        <v/>
      </c>
      <c r="S1053" s="609">
        <v>141401</v>
      </c>
      <c r="T1053" s="325" t="str">
        <f>+IFERROR(VLOOKUP(S1053,STAT1!$C$4:$D$189,2,FALSE),"")</f>
        <v xml:space="preserve">ҮНЗардал БУСАД </v>
      </c>
      <c r="U1053" s="1226">
        <v>1916183.6347691424</v>
      </c>
      <c r="V1053" s="1217"/>
      <c r="W1053" s="326">
        <v>3002</v>
      </c>
      <c r="X1053" s="328" t="str">
        <f>IFERROR(VLOOKUP(W1053,DATA!$G$4:$H$400,2,FALSE),"")</f>
        <v>ЭКО КОНСТРАКШН ХХК</v>
      </c>
      <c r="Y1053" s="1205"/>
      <c r="Z1053" s="1205"/>
    </row>
    <row r="1054" spans="1:27" ht="12.75" customHeight="1">
      <c r="A1054" s="15">
        <v>235</v>
      </c>
      <c r="B1054" s="92">
        <f t="shared" si="241"/>
        <v>1049</v>
      </c>
      <c r="C1054" s="320">
        <v>43069</v>
      </c>
      <c r="D1054" s="321">
        <v>211805</v>
      </c>
      <c r="E1054" s="323" t="str">
        <f t="shared" ca="1" si="254"/>
        <v>Н-Хагас хэлбэртэй плинтус /20*30мм/</v>
      </c>
      <c r="F1054" s="322" t="str">
        <f t="shared" ca="1" si="255"/>
        <v>м</v>
      </c>
      <c r="G1054" s="325"/>
      <c r="H1054" s="325"/>
      <c r="I1054" s="325" t="str">
        <f t="shared" si="256"/>
        <v/>
      </c>
      <c r="J1054" s="325" t="str">
        <f t="shared" si="257"/>
        <v/>
      </c>
      <c r="K1054" s="621" t="str">
        <f t="shared" si="258"/>
        <v/>
      </c>
      <c r="L1054" s="325">
        <v>6</v>
      </c>
      <c r="M1054" s="325">
        <v>3500</v>
      </c>
      <c r="N1054" s="378">
        <f t="shared" si="259"/>
        <v>21000</v>
      </c>
      <c r="O1054" s="378">
        <f t="shared" si="260"/>
        <v>2100</v>
      </c>
      <c r="P1054" s="325">
        <f t="shared" si="261"/>
        <v>23100</v>
      </c>
      <c r="Q1054" s="325">
        <f t="shared" ca="1" si="262"/>
        <v>676.83527485175011</v>
      </c>
      <c r="R1054" s="325">
        <f t="shared" ca="1" si="263"/>
        <v>4061.0116491105009</v>
      </c>
      <c r="S1054" s="609">
        <v>150101</v>
      </c>
      <c r="T1054" s="325" t="str">
        <f>+IFERROR(VLOOKUP(S1054,STAT1!$C$4:$D$189,2,FALSE),"")</f>
        <v>Бараа бэлэн бүтээгдэхүүн БОЛОВСРУУЛАХ ЦЕХ /нарс/</v>
      </c>
      <c r="U1054" s="1226"/>
      <c r="V1054" s="1217">
        <v>4061.0116491105009</v>
      </c>
      <c r="W1054" s="326">
        <v>3107</v>
      </c>
      <c r="X1054" s="328" t="str">
        <f>IFERROR(VLOOKUP(W1054,DATA!$G$4:$H$400,2,FALSE),"")</f>
        <v>СЭФИЛО ХХК</v>
      </c>
      <c r="Y1054" s="1205"/>
      <c r="Z1054" s="1205"/>
    </row>
    <row r="1055" spans="1:27" ht="12.75" customHeight="1">
      <c r="A1055" s="15">
        <v>235</v>
      </c>
      <c r="B1055" s="92">
        <f t="shared" si="241"/>
        <v>1050</v>
      </c>
      <c r="C1055" s="320">
        <v>43069</v>
      </c>
      <c r="D1055" s="321"/>
      <c r="E1055" s="323" t="str">
        <f t="shared" ca="1" si="254"/>
        <v/>
      </c>
      <c r="F1055" s="322" t="str">
        <f t="shared" ca="1" si="255"/>
        <v/>
      </c>
      <c r="G1055" s="325"/>
      <c r="H1055" s="325"/>
      <c r="I1055" s="325" t="str">
        <f t="shared" si="256"/>
        <v/>
      </c>
      <c r="J1055" s="325" t="str">
        <f t="shared" si="257"/>
        <v/>
      </c>
      <c r="K1055" s="621" t="str">
        <f t="shared" si="258"/>
        <v/>
      </c>
      <c r="L1055" s="325"/>
      <c r="M1055" s="325"/>
      <c r="N1055" s="378" t="str">
        <f t="shared" si="259"/>
        <v/>
      </c>
      <c r="O1055" s="378" t="str">
        <f t="shared" si="260"/>
        <v/>
      </c>
      <c r="P1055" s="325" t="str">
        <f t="shared" si="261"/>
        <v/>
      </c>
      <c r="Q1055" s="325" t="str">
        <f t="shared" si="262"/>
        <v/>
      </c>
      <c r="R1055" s="325" t="str">
        <f t="shared" si="263"/>
        <v/>
      </c>
      <c r="S1055" s="609">
        <v>610100</v>
      </c>
      <c r="T1055" s="325" t="str">
        <f>+IFERROR(VLOOKUP(S1055,STAT1!$C$4:$D$189,2,FALSE),"")</f>
        <v>Борлуулсан барааны өртөг</v>
      </c>
      <c r="U1055" s="1226">
        <v>4061.0116491105009</v>
      </c>
      <c r="V1055" s="1217"/>
      <c r="W1055" s="326">
        <v>3107</v>
      </c>
      <c r="X1055" s="328" t="str">
        <f>IFERROR(VLOOKUP(W1055,DATA!$G$4:$H$400,2,FALSE),"")</f>
        <v>СЭФИЛО ХХК</v>
      </c>
      <c r="Y1055" s="1205"/>
      <c r="Z1055" s="1205"/>
    </row>
    <row r="1056" spans="1:27" ht="12.75" customHeight="1">
      <c r="A1056" s="15">
        <v>235</v>
      </c>
      <c r="B1056" s="92">
        <f t="shared" si="241"/>
        <v>1051</v>
      </c>
      <c r="C1056" s="320">
        <v>43069</v>
      </c>
      <c r="D1056" s="321"/>
      <c r="E1056" s="323" t="str">
        <f t="shared" ca="1" si="254"/>
        <v/>
      </c>
      <c r="F1056" s="322" t="str">
        <f t="shared" ca="1" si="255"/>
        <v/>
      </c>
      <c r="G1056" s="325"/>
      <c r="H1056" s="325"/>
      <c r="I1056" s="325" t="str">
        <f t="shared" si="256"/>
        <v/>
      </c>
      <c r="J1056" s="325" t="str">
        <f t="shared" si="257"/>
        <v/>
      </c>
      <c r="K1056" s="621" t="str">
        <f t="shared" si="258"/>
        <v/>
      </c>
      <c r="L1056" s="325"/>
      <c r="M1056" s="325"/>
      <c r="N1056" s="378" t="str">
        <f t="shared" si="259"/>
        <v/>
      </c>
      <c r="O1056" s="378" t="str">
        <f t="shared" si="260"/>
        <v/>
      </c>
      <c r="P1056" s="325" t="str">
        <f t="shared" si="261"/>
        <v/>
      </c>
      <c r="Q1056" s="325" t="str">
        <f t="shared" si="262"/>
        <v/>
      </c>
      <c r="R1056" s="325" t="str">
        <f t="shared" si="263"/>
        <v/>
      </c>
      <c r="S1056" s="609">
        <v>310500</v>
      </c>
      <c r="T1056" s="325" t="str">
        <f>+IFERROR(VLOOKUP(S1056,STAT1!$C$4:$D$189,2,FALSE),"")</f>
        <v>НӨАТ өглөг</v>
      </c>
      <c r="U1056" s="1226"/>
      <c r="V1056" s="1217">
        <v>2100</v>
      </c>
      <c r="W1056" s="326">
        <v>3107</v>
      </c>
      <c r="X1056" s="328" t="str">
        <f>IFERROR(VLOOKUP(W1056,DATA!$G$4:$H$400,2,FALSE),"")</f>
        <v>СЭФИЛО ХХК</v>
      </c>
      <c r="Y1056" s="1205"/>
      <c r="Z1056" s="1205"/>
    </row>
    <row r="1057" spans="1:26" ht="12.75" customHeight="1">
      <c r="A1057" s="15">
        <v>235</v>
      </c>
      <c r="B1057" s="92">
        <f t="shared" si="241"/>
        <v>1052</v>
      </c>
      <c r="C1057" s="320">
        <v>43069</v>
      </c>
      <c r="D1057" s="321"/>
      <c r="E1057" s="323" t="str">
        <f t="shared" ca="1" si="254"/>
        <v/>
      </c>
      <c r="F1057" s="322" t="str">
        <f t="shared" ca="1" si="255"/>
        <v/>
      </c>
      <c r="G1057" s="325"/>
      <c r="H1057" s="325"/>
      <c r="I1057" s="325" t="str">
        <f t="shared" si="256"/>
        <v/>
      </c>
      <c r="J1057" s="325" t="str">
        <f t="shared" si="257"/>
        <v/>
      </c>
      <c r="K1057" s="621" t="str">
        <f t="shared" si="258"/>
        <v/>
      </c>
      <c r="L1057" s="325"/>
      <c r="M1057" s="325"/>
      <c r="N1057" s="378" t="str">
        <f t="shared" si="259"/>
        <v/>
      </c>
      <c r="O1057" s="378" t="str">
        <f t="shared" si="260"/>
        <v/>
      </c>
      <c r="P1057" s="325" t="str">
        <f t="shared" si="261"/>
        <v/>
      </c>
      <c r="Q1057" s="325" t="str">
        <f t="shared" si="262"/>
        <v/>
      </c>
      <c r="R1057" s="325" t="str">
        <f t="shared" si="263"/>
        <v/>
      </c>
      <c r="S1057" s="609">
        <v>510000</v>
      </c>
      <c r="T1057" s="325" t="str">
        <f>+IFERROR(VLOOKUP(S1057,STAT1!$C$4:$D$189,2,FALSE),"")</f>
        <v>Үндсэн үйл ажиллагааны борлуулалт</v>
      </c>
      <c r="U1057" s="1226"/>
      <c r="V1057" s="1217">
        <v>21000</v>
      </c>
      <c r="W1057" s="326">
        <v>3107</v>
      </c>
      <c r="X1057" s="328" t="str">
        <f>IFERROR(VLOOKUP(W1057,DATA!$G$4:$H$400,2,FALSE),"")</f>
        <v>СЭФИЛО ХХК</v>
      </c>
      <c r="Y1057" s="1205"/>
      <c r="Z1057" s="1205"/>
    </row>
    <row r="1058" spans="1:26" ht="12.75" customHeight="1">
      <c r="A1058" s="15">
        <v>235</v>
      </c>
      <c r="B1058" s="92">
        <f t="shared" si="241"/>
        <v>1053</v>
      </c>
      <c r="C1058" s="320">
        <v>43069</v>
      </c>
      <c r="D1058" s="321"/>
      <c r="E1058" s="323" t="str">
        <f t="shared" ca="1" si="254"/>
        <v/>
      </c>
      <c r="F1058" s="322" t="str">
        <f t="shared" ca="1" si="255"/>
        <v/>
      </c>
      <c r="G1058" s="325"/>
      <c r="H1058" s="325"/>
      <c r="I1058" s="325" t="str">
        <f t="shared" si="256"/>
        <v/>
      </c>
      <c r="J1058" s="325" t="str">
        <f t="shared" si="257"/>
        <v/>
      </c>
      <c r="K1058" s="621" t="str">
        <f t="shared" si="258"/>
        <v/>
      </c>
      <c r="L1058" s="325"/>
      <c r="M1058" s="325"/>
      <c r="N1058" s="378" t="str">
        <f t="shared" si="259"/>
        <v/>
      </c>
      <c r="O1058" s="378" t="str">
        <f t="shared" si="260"/>
        <v/>
      </c>
      <c r="P1058" s="325" t="str">
        <f t="shared" si="261"/>
        <v/>
      </c>
      <c r="Q1058" s="325" t="str">
        <f t="shared" si="262"/>
        <v/>
      </c>
      <c r="R1058" s="325" t="str">
        <f t="shared" si="263"/>
        <v/>
      </c>
      <c r="S1058" s="609">
        <v>320100</v>
      </c>
      <c r="T1058" s="325" t="str">
        <f>+IFERROR(VLOOKUP(S1058,STAT1!$C$4:$D$189,2,FALSE),"")</f>
        <v>Урьдчилж орсон орлого MNT</v>
      </c>
      <c r="U1058" s="1226">
        <v>23100</v>
      </c>
      <c r="V1058" s="1217"/>
      <c r="W1058" s="326">
        <v>3107</v>
      </c>
      <c r="X1058" s="328" t="str">
        <f>IFERROR(VLOOKUP(W1058,DATA!$G$4:$H$400,2,FALSE),"")</f>
        <v>СЭФИЛО ХХК</v>
      </c>
      <c r="Y1058" s="1205"/>
      <c r="Z1058" s="1205"/>
    </row>
    <row r="1059" spans="1:26" ht="12.75" customHeight="1">
      <c r="A1059" s="15">
        <v>236</v>
      </c>
      <c r="B1059" s="92">
        <f t="shared" si="241"/>
        <v>1054</v>
      </c>
      <c r="C1059" s="320">
        <v>43070</v>
      </c>
      <c r="D1059" s="321">
        <v>131018</v>
      </c>
      <c r="E1059" s="323" t="str">
        <f t="shared" ca="1" si="254"/>
        <v xml:space="preserve">Нарсан банз /5см/ Буян Од </v>
      </c>
      <c r="F1059" s="322"/>
      <c r="G1059" s="325"/>
      <c r="H1059" s="325"/>
      <c r="I1059" s="325" t="str">
        <f t="shared" si="256"/>
        <v/>
      </c>
      <c r="J1059" s="325" t="str">
        <f t="shared" si="257"/>
        <v/>
      </c>
      <c r="K1059" s="621" t="str">
        <f t="shared" si="258"/>
        <v/>
      </c>
      <c r="L1059" s="325">
        <v>125</v>
      </c>
      <c r="M1059" s="325"/>
      <c r="N1059" s="378">
        <f t="shared" si="259"/>
        <v>0</v>
      </c>
      <c r="O1059" s="378">
        <f t="shared" si="260"/>
        <v>0</v>
      </c>
      <c r="P1059" s="325">
        <f t="shared" si="261"/>
        <v>0</v>
      </c>
      <c r="Q1059" s="325">
        <f t="shared" ca="1" si="262"/>
        <v>302568.68045867624</v>
      </c>
      <c r="R1059" s="325">
        <f t="shared" ca="1" si="263"/>
        <v>37821085.057334527</v>
      </c>
      <c r="S1059" s="609">
        <v>140100</v>
      </c>
      <c r="T1059" s="325" t="str">
        <f>+IFERROR(VLOOKUP(S1059,STAT1!$C$4:$D$189,2,FALSE),"")</f>
        <v>Түүхий эд материал</v>
      </c>
      <c r="U1059" s="1226"/>
      <c r="V1059" s="1217">
        <v>37821085.057334527</v>
      </c>
      <c r="W1059" s="326">
        <v>1005</v>
      </c>
      <c r="X1059" s="328" t="str">
        <f>IFERROR(VLOOKUP(W1059,DATA!$G$4:$H$400,2,FALSE),"")</f>
        <v>Золжаргал</v>
      </c>
      <c r="Y1059" s="1205"/>
      <c r="Z1059" s="1205"/>
    </row>
    <row r="1060" spans="1:26" ht="12.75" customHeight="1">
      <c r="A1060" s="15">
        <v>236</v>
      </c>
      <c r="B1060" s="92">
        <f t="shared" si="241"/>
        <v>1055</v>
      </c>
      <c r="C1060" s="320">
        <v>43070</v>
      </c>
      <c r="D1060" s="321"/>
      <c r="E1060" s="323" t="str">
        <f t="shared" ca="1" si="254"/>
        <v/>
      </c>
      <c r="F1060" s="322"/>
      <c r="G1060" s="325"/>
      <c r="H1060" s="325"/>
      <c r="I1060" s="325" t="str">
        <f t="shared" si="256"/>
        <v/>
      </c>
      <c r="J1060" s="325" t="str">
        <f t="shared" si="257"/>
        <v/>
      </c>
      <c r="K1060" s="621" t="str">
        <f t="shared" si="258"/>
        <v/>
      </c>
      <c r="L1060" s="325"/>
      <c r="M1060" s="325"/>
      <c r="N1060" s="378" t="str">
        <f t="shared" si="259"/>
        <v/>
      </c>
      <c r="O1060" s="378" t="str">
        <f t="shared" si="260"/>
        <v/>
      </c>
      <c r="P1060" s="325" t="str">
        <f t="shared" si="261"/>
        <v/>
      </c>
      <c r="Q1060" s="325" t="str">
        <f t="shared" si="262"/>
        <v/>
      </c>
      <c r="R1060" s="325" t="str">
        <f t="shared" si="263"/>
        <v/>
      </c>
      <c r="S1060" s="609">
        <v>140200</v>
      </c>
      <c r="T1060" s="325" t="str">
        <f>+IFERROR(VLOOKUP(S1060,STAT1!$C$4:$D$189,2,FALSE),"")</f>
        <v>ШМЗардал ХАТААХ ЦЕХ /нарс/</v>
      </c>
      <c r="U1060" s="1226">
        <v>37821085.057334527</v>
      </c>
      <c r="V1060" s="1217"/>
      <c r="W1060" s="326">
        <v>1005</v>
      </c>
      <c r="X1060" s="328" t="str">
        <f>IFERROR(VLOOKUP(W1060,DATA!$G$4:$H$400,2,FALSE),"")</f>
        <v>Золжаргал</v>
      </c>
      <c r="Y1060" s="1205"/>
      <c r="Z1060" s="1205"/>
    </row>
    <row r="1061" spans="1:26" ht="12.75" customHeight="1">
      <c r="A1061" s="15">
        <v>237</v>
      </c>
      <c r="B1061" s="92">
        <f t="shared" ref="B1061:B1124" si="264">IF(C1061="","",ROW()-5)</f>
        <v>1056</v>
      </c>
      <c r="C1061" s="320">
        <v>43077</v>
      </c>
      <c r="D1061" s="321">
        <v>211802</v>
      </c>
      <c r="E1061" s="323" t="str">
        <f t="shared" ca="1" si="254"/>
        <v xml:space="preserve">Н-Уголок </v>
      </c>
      <c r="F1061" s="322" t="str">
        <f t="shared" ref="F1061:F1067" ca="1" si="265">+IFERROR(VLOOKUP(D1061,TN_table,3,FALSE),"")</f>
        <v>м</v>
      </c>
      <c r="G1061" s="325"/>
      <c r="H1061" s="325"/>
      <c r="I1061" s="325" t="str">
        <f t="shared" si="256"/>
        <v/>
      </c>
      <c r="J1061" s="325" t="str">
        <f t="shared" si="257"/>
        <v/>
      </c>
      <c r="K1061" s="621" t="str">
        <f t="shared" si="258"/>
        <v/>
      </c>
      <c r="L1061" s="325">
        <v>36</v>
      </c>
      <c r="M1061" s="325">
        <v>3166.6669999999999</v>
      </c>
      <c r="N1061" s="378">
        <f t="shared" si="259"/>
        <v>114000.012</v>
      </c>
      <c r="O1061" s="378">
        <f t="shared" si="260"/>
        <v>11400.001200000001</v>
      </c>
      <c r="P1061" s="325">
        <f t="shared" si="261"/>
        <v>125400.0132</v>
      </c>
      <c r="Q1061" s="325">
        <f t="shared" ca="1" si="262"/>
        <v>1412.1879249284552</v>
      </c>
      <c r="R1061" s="325">
        <f t="shared" ca="1" si="263"/>
        <v>50838.76529742439</v>
      </c>
      <c r="S1061" s="609">
        <v>150101</v>
      </c>
      <c r="T1061" s="325" t="str">
        <f>+IFERROR(VLOOKUP(S1061,STAT1!$C$4:$D$189,2,FALSE),"")</f>
        <v>Бараа бэлэн бүтээгдэхүүн БОЛОВСРУУЛАХ ЦЕХ /нарс/</v>
      </c>
      <c r="U1061" s="1226"/>
      <c r="V1061" s="1217">
        <v>144065.00538533664</v>
      </c>
      <c r="W1061" s="326">
        <v>3112</v>
      </c>
      <c r="X1061" s="328" t="str">
        <f>IFERROR(VLOOKUP(W1061,DATA!$G$4:$H$400,2,FALSE),"")</f>
        <v>АЛИА ДАРХАН ХХК</v>
      </c>
      <c r="Y1061" s="1205"/>
      <c r="Z1061" s="1205"/>
    </row>
    <row r="1062" spans="1:26" ht="12.75" customHeight="1">
      <c r="A1062" s="15">
        <v>237</v>
      </c>
      <c r="B1062" s="92">
        <f t="shared" si="264"/>
        <v>1057</v>
      </c>
      <c r="C1062" s="320">
        <v>43077</v>
      </c>
      <c r="D1062" s="321">
        <v>211714</v>
      </c>
      <c r="E1062" s="323" t="str">
        <f t="shared" ca="1" si="254"/>
        <v xml:space="preserve">Н-Хавтан /зузаан-2см/-яртай </v>
      </c>
      <c r="F1062" s="322" t="str">
        <f t="shared" ca="1" si="265"/>
        <v>м2</v>
      </c>
      <c r="G1062" s="325"/>
      <c r="H1062" s="325"/>
      <c r="I1062" s="325" t="str">
        <f t="shared" si="256"/>
        <v/>
      </c>
      <c r="J1062" s="325" t="str">
        <f t="shared" si="257"/>
        <v/>
      </c>
      <c r="K1062" s="621" t="str">
        <f t="shared" si="258"/>
        <v/>
      </c>
      <c r="L1062" s="325">
        <v>3</v>
      </c>
      <c r="M1062" s="325">
        <f>80000/3</f>
        <v>26666.666666666668</v>
      </c>
      <c r="N1062" s="378">
        <f t="shared" si="259"/>
        <v>80000</v>
      </c>
      <c r="O1062" s="378">
        <f t="shared" si="260"/>
        <v>8000</v>
      </c>
      <c r="P1062" s="325">
        <f t="shared" si="261"/>
        <v>88000</v>
      </c>
      <c r="Q1062" s="325">
        <f t="shared" ca="1" si="262"/>
        <v>18125.309466931161</v>
      </c>
      <c r="R1062" s="325">
        <f t="shared" ca="1" si="263"/>
        <v>54375.928400793484</v>
      </c>
      <c r="S1062" s="609">
        <v>610100</v>
      </c>
      <c r="T1062" s="325" t="str">
        <f>+IFERROR(VLOOKUP(S1062,STAT1!$C$4:$D$189,2,FALSE),"")</f>
        <v>Борлуулсан барааны өртөг</v>
      </c>
      <c r="U1062" s="1226">
        <v>144065.00538533664</v>
      </c>
      <c r="V1062" s="1217"/>
      <c r="W1062" s="326">
        <v>3112</v>
      </c>
      <c r="X1062" s="328" t="str">
        <f>IFERROR(VLOOKUP(W1062,DATA!$G$4:$H$400,2,FALSE),"")</f>
        <v>АЛИА ДАРХАН ХХК</v>
      </c>
      <c r="Y1062" s="1205"/>
      <c r="Z1062" s="1205"/>
    </row>
    <row r="1063" spans="1:26" ht="12.75" customHeight="1">
      <c r="A1063" s="15">
        <v>237</v>
      </c>
      <c r="B1063" s="92">
        <f t="shared" si="264"/>
        <v>1058</v>
      </c>
      <c r="C1063" s="320">
        <v>43077</v>
      </c>
      <c r="D1063" s="321">
        <v>211801</v>
      </c>
      <c r="E1063" s="323" t="str">
        <f t="shared" ca="1" si="254"/>
        <v>Н-Ембүү /20*30мм/</v>
      </c>
      <c r="F1063" s="322" t="str">
        <f t="shared" ca="1" si="265"/>
        <v>м</v>
      </c>
      <c r="G1063" s="325"/>
      <c r="H1063" s="325"/>
      <c r="I1063" s="325" t="str">
        <f t="shared" si="256"/>
        <v/>
      </c>
      <c r="J1063" s="325" t="str">
        <f t="shared" si="257"/>
        <v/>
      </c>
      <c r="K1063" s="621" t="str">
        <f t="shared" si="258"/>
        <v/>
      </c>
      <c r="L1063" s="325">
        <v>60</v>
      </c>
      <c r="M1063" s="325">
        <v>1500</v>
      </c>
      <c r="N1063" s="378">
        <f t="shared" si="259"/>
        <v>90000</v>
      </c>
      <c r="O1063" s="378">
        <f t="shared" si="260"/>
        <v>9000</v>
      </c>
      <c r="P1063" s="325">
        <f t="shared" si="261"/>
        <v>99000</v>
      </c>
      <c r="Q1063" s="325">
        <f t="shared" ca="1" si="262"/>
        <v>647.50519478531248</v>
      </c>
      <c r="R1063" s="325">
        <f t="shared" ca="1" si="263"/>
        <v>38850.311687118752</v>
      </c>
      <c r="S1063" s="609">
        <v>310500</v>
      </c>
      <c r="T1063" s="325" t="str">
        <f>+IFERROR(VLOOKUP(S1063,STAT1!$C$4:$D$189,2,FALSE),"")</f>
        <v>НӨАТ өглөг</v>
      </c>
      <c r="U1063" s="1226"/>
      <c r="V1063" s="1217">
        <v>28400</v>
      </c>
      <c r="W1063" s="326">
        <v>3112</v>
      </c>
      <c r="X1063" s="328" t="str">
        <f>IFERROR(VLOOKUP(W1063,DATA!$G$4:$H$400,2,FALSE),"")</f>
        <v>АЛИА ДАРХАН ХХК</v>
      </c>
      <c r="Y1063" s="1205"/>
      <c r="Z1063" s="1205"/>
    </row>
    <row r="1064" spans="1:26" ht="12.75" customHeight="1">
      <c r="A1064" s="15">
        <v>237</v>
      </c>
      <c r="B1064" s="92">
        <f t="shared" si="264"/>
        <v>1059</v>
      </c>
      <c r="C1064" s="320">
        <v>43077</v>
      </c>
      <c r="D1064" s="321"/>
      <c r="E1064" s="323" t="str">
        <f t="shared" ca="1" si="254"/>
        <v/>
      </c>
      <c r="F1064" s="322" t="str">
        <f t="shared" ca="1" si="265"/>
        <v/>
      </c>
      <c r="G1064" s="325"/>
      <c r="H1064" s="325"/>
      <c r="I1064" s="325" t="str">
        <f t="shared" si="256"/>
        <v/>
      </c>
      <c r="J1064" s="325" t="str">
        <f t="shared" si="257"/>
        <v/>
      </c>
      <c r="K1064" s="621" t="str">
        <f t="shared" si="258"/>
        <v/>
      </c>
      <c r="L1064" s="325"/>
      <c r="M1064" s="325"/>
      <c r="N1064" s="378" t="str">
        <f t="shared" si="259"/>
        <v/>
      </c>
      <c r="O1064" s="378" t="str">
        <f t="shared" si="260"/>
        <v/>
      </c>
      <c r="P1064" s="325" t="str">
        <f t="shared" si="261"/>
        <v/>
      </c>
      <c r="Q1064" s="325" t="str">
        <f t="shared" si="262"/>
        <v/>
      </c>
      <c r="R1064" s="325" t="str">
        <f t="shared" si="263"/>
        <v/>
      </c>
      <c r="S1064" s="609">
        <v>510000</v>
      </c>
      <c r="T1064" s="325" t="str">
        <f>+IFERROR(VLOOKUP(S1064,STAT1!$C$4:$D$189,2,FALSE),"")</f>
        <v>Үндсэн үйл ажиллагааны борлуулалт</v>
      </c>
      <c r="U1064" s="1226"/>
      <c r="V1064" s="1217">
        <v>284000</v>
      </c>
      <c r="W1064" s="326">
        <v>3112</v>
      </c>
      <c r="X1064" s="328" t="str">
        <f>IFERROR(VLOOKUP(W1064,DATA!$G$4:$H$400,2,FALSE),"")</f>
        <v>АЛИА ДАРХАН ХХК</v>
      </c>
      <c r="Y1064" s="1205"/>
      <c r="Z1064" s="1205"/>
    </row>
    <row r="1065" spans="1:26" ht="12.75" customHeight="1">
      <c r="A1065" s="15">
        <v>237</v>
      </c>
      <c r="B1065" s="92">
        <f t="shared" si="264"/>
        <v>1060</v>
      </c>
      <c r="C1065" s="320">
        <v>43077</v>
      </c>
      <c r="D1065" s="321"/>
      <c r="E1065" s="323" t="str">
        <f t="shared" ca="1" si="254"/>
        <v/>
      </c>
      <c r="F1065" s="322" t="str">
        <f t="shared" ca="1" si="265"/>
        <v/>
      </c>
      <c r="G1065" s="325"/>
      <c r="H1065" s="325"/>
      <c r="I1065" s="325" t="str">
        <f t="shared" si="256"/>
        <v/>
      </c>
      <c r="J1065" s="325" t="str">
        <f t="shared" si="257"/>
        <v/>
      </c>
      <c r="K1065" s="621" t="str">
        <f t="shared" si="258"/>
        <v/>
      </c>
      <c r="L1065" s="325"/>
      <c r="M1065" s="325"/>
      <c r="N1065" s="378" t="str">
        <f t="shared" si="259"/>
        <v/>
      </c>
      <c r="O1065" s="378" t="str">
        <f t="shared" si="260"/>
        <v/>
      </c>
      <c r="P1065" s="325" t="str">
        <f t="shared" si="261"/>
        <v/>
      </c>
      <c r="Q1065" s="325" t="str">
        <f t="shared" si="262"/>
        <v/>
      </c>
      <c r="R1065" s="325" t="str">
        <f t="shared" si="263"/>
        <v/>
      </c>
      <c r="S1065" s="609">
        <v>320100</v>
      </c>
      <c r="T1065" s="325" t="str">
        <f>+IFERROR(VLOOKUP(S1065,STAT1!$C$4:$D$189,2,FALSE),"")</f>
        <v>Урьдчилж орсон орлого MNT</v>
      </c>
      <c r="U1065" s="1226">
        <v>312400</v>
      </c>
      <c r="V1065" s="1217"/>
      <c r="W1065" s="326">
        <v>3112</v>
      </c>
      <c r="X1065" s="328" t="str">
        <f>IFERROR(VLOOKUP(W1065,DATA!$G$4:$H$400,2,FALSE),"")</f>
        <v>АЛИА ДАРХАН ХХК</v>
      </c>
      <c r="Y1065" s="1205"/>
      <c r="Z1065" s="1205"/>
    </row>
    <row r="1066" spans="1:26" ht="12.75" customHeight="1">
      <c r="A1066" s="15">
        <v>238</v>
      </c>
      <c r="B1066" s="92">
        <f t="shared" si="264"/>
        <v>1061</v>
      </c>
      <c r="C1066" s="320">
        <v>43078</v>
      </c>
      <c r="D1066" s="321">
        <v>211710</v>
      </c>
      <c r="E1066" s="323" t="str">
        <f t="shared" ca="1" si="254"/>
        <v xml:space="preserve">Н-Хавтан /зузаан-3см/-яртай </v>
      </c>
      <c r="F1066" s="322" t="str">
        <f t="shared" ca="1" si="265"/>
        <v>м2</v>
      </c>
      <c r="G1066" s="325"/>
      <c r="H1066" s="325"/>
      <c r="I1066" s="325" t="str">
        <f t="shared" si="256"/>
        <v/>
      </c>
      <c r="J1066" s="325" t="str">
        <f t="shared" si="257"/>
        <v/>
      </c>
      <c r="K1066" s="621" t="str">
        <f t="shared" si="258"/>
        <v/>
      </c>
      <c r="L1066" s="325">
        <v>73</v>
      </c>
      <c r="M1066" s="325"/>
      <c r="N1066" s="378">
        <f t="shared" si="259"/>
        <v>0</v>
      </c>
      <c r="O1066" s="378">
        <f t="shared" si="260"/>
        <v>0</v>
      </c>
      <c r="P1066" s="325">
        <f t="shared" si="261"/>
        <v>0</v>
      </c>
      <c r="Q1066" s="325">
        <f t="shared" ca="1" si="262"/>
        <v>32877.78891424858</v>
      </c>
      <c r="R1066" s="325">
        <f t="shared" ca="1" si="263"/>
        <v>2400078.5907401461</v>
      </c>
      <c r="S1066" s="609">
        <v>150101</v>
      </c>
      <c r="T1066" s="325" t="str">
        <f>+IFERROR(VLOOKUP(S1066,STAT1!$C$4:$D$189,2,FALSE),"")</f>
        <v>Бараа бэлэн бүтээгдэхүүн БОЛОВСРУУЛАХ ЦЕХ /нарс/</v>
      </c>
      <c r="U1066" s="1226"/>
      <c r="V1066" s="1217">
        <v>2400078.5907401461</v>
      </c>
      <c r="W1066" s="326">
        <v>3002</v>
      </c>
      <c r="X1066" s="328" t="str">
        <f>IFERROR(VLOOKUP(W1066,DATA!$G$4:$H$400,2,FALSE),"")</f>
        <v>ЭКО КОНСТРАКШН ХХК</v>
      </c>
      <c r="Y1066" s="1205"/>
      <c r="Z1066" s="1205"/>
    </row>
    <row r="1067" spans="1:26" ht="12.75" customHeight="1">
      <c r="A1067" s="15">
        <v>238</v>
      </c>
      <c r="B1067" s="92">
        <f t="shared" si="264"/>
        <v>1062</v>
      </c>
      <c r="C1067" s="320">
        <v>43078</v>
      </c>
      <c r="D1067" s="321">
        <v>211714</v>
      </c>
      <c r="E1067" s="323" t="str">
        <f t="shared" ca="1" si="254"/>
        <v xml:space="preserve">Н-Хавтан /зузаан-2см/-яртай </v>
      </c>
      <c r="F1067" s="322" t="str">
        <f t="shared" ca="1" si="265"/>
        <v>м2</v>
      </c>
      <c r="G1067" s="325"/>
      <c r="H1067" s="325"/>
      <c r="I1067" s="325" t="str">
        <f t="shared" si="256"/>
        <v/>
      </c>
      <c r="J1067" s="325" t="str">
        <f t="shared" si="257"/>
        <v/>
      </c>
      <c r="K1067" s="621" t="str">
        <f t="shared" si="258"/>
        <v/>
      </c>
      <c r="L1067" s="325">
        <v>69</v>
      </c>
      <c r="M1067" s="325"/>
      <c r="N1067" s="378">
        <f t="shared" si="259"/>
        <v>0</v>
      </c>
      <c r="O1067" s="378">
        <f t="shared" si="260"/>
        <v>0</v>
      </c>
      <c r="P1067" s="325">
        <f t="shared" si="261"/>
        <v>0</v>
      </c>
      <c r="Q1067" s="325">
        <f t="shared" ca="1" si="262"/>
        <v>18125.309466931161</v>
      </c>
      <c r="R1067" s="325">
        <f t="shared" ca="1" si="263"/>
        <v>1250646.3532182502</v>
      </c>
      <c r="S1067" s="609">
        <v>150101</v>
      </c>
      <c r="T1067" s="325" t="str">
        <f>+IFERROR(VLOOKUP(S1067,STAT1!$C$4:$D$189,2,FALSE),"")</f>
        <v>Бараа бэлэн бүтээгдэхүүн БОЛОВСРУУЛАХ ЦЕХ /нарс/</v>
      </c>
      <c r="U1067" s="1226"/>
      <c r="V1067" s="1217">
        <v>1250646.3532182502</v>
      </c>
      <c r="W1067" s="326">
        <v>3002</v>
      </c>
      <c r="X1067" s="328" t="str">
        <f>IFERROR(VLOOKUP(W1067,DATA!$G$4:$H$400,2,FALSE),"")</f>
        <v>ЭКО КОНСТРАКШН ХХК</v>
      </c>
      <c r="Y1067" s="1205"/>
      <c r="Z1067" s="1205"/>
    </row>
    <row r="1068" spans="1:26" ht="12.75" customHeight="1">
      <c r="A1068" s="15">
        <v>238</v>
      </c>
      <c r="B1068" s="92">
        <f t="shared" si="264"/>
        <v>1063</v>
      </c>
      <c r="C1068" s="320">
        <v>43078</v>
      </c>
      <c r="D1068" s="321"/>
      <c r="E1068" s="323"/>
      <c r="F1068" s="322"/>
      <c r="G1068" s="325"/>
      <c r="H1068" s="325"/>
      <c r="I1068" s="325"/>
      <c r="J1068" s="325"/>
      <c r="K1068" s="621"/>
      <c r="L1068" s="325"/>
      <c r="M1068" s="325"/>
      <c r="N1068" s="378"/>
      <c r="O1068" s="378"/>
      <c r="P1068" s="325"/>
      <c r="Q1068" s="325"/>
      <c r="R1068" s="325"/>
      <c r="S1068" s="609">
        <v>141201</v>
      </c>
      <c r="T1068" s="325" t="str">
        <f>+IFERROR(VLOOKUP(S1068,STAT1!$C$4:$D$189,2,FALSE),"")</f>
        <v>ШМЗардал БУСАД</v>
      </c>
      <c r="U1068" s="1226">
        <v>3650724.9439583961</v>
      </c>
      <c r="V1068" s="1217"/>
      <c r="W1068" s="326">
        <v>3002</v>
      </c>
      <c r="X1068" s="328" t="str">
        <f>IFERROR(VLOOKUP(W1068,DATA!$G$4:$H$400,2,FALSE),"")</f>
        <v>ЭКО КОНСТРАКШН ХХК</v>
      </c>
      <c r="Y1068" s="1205"/>
      <c r="Z1068" s="1205"/>
    </row>
    <row r="1069" spans="1:26" ht="12.75" customHeight="1">
      <c r="A1069" s="15">
        <v>238</v>
      </c>
      <c r="B1069" s="92">
        <f t="shared" si="264"/>
        <v>1064</v>
      </c>
      <c r="C1069" s="320">
        <v>43078</v>
      </c>
      <c r="D1069" s="321">
        <v>410082</v>
      </c>
      <c r="E1069" s="323" t="str">
        <f t="shared" ref="E1069:E1085" ca="1" si="266">+IFERROR(VLOOKUP(D1069,TN_table,2,FALSE),"")</f>
        <v>Будаг /Хонка/</v>
      </c>
      <c r="F1069" s="322" t="str">
        <f t="shared" ref="F1069:F1081" ca="1" si="267">+IFERROR(VLOOKUP(D1069,TN_table,3,FALSE),"")</f>
        <v>кг</v>
      </c>
      <c r="G1069" s="325"/>
      <c r="H1069" s="325"/>
      <c r="I1069" s="325" t="str">
        <f t="shared" ref="I1069:I1085" si="268">+IF(G1069="","",G1069*H1069)</f>
        <v/>
      </c>
      <c r="J1069" s="325" t="str">
        <f t="shared" ref="J1069:J1081" si="269">+IF(G1069="","",I1069*0.1)</f>
        <v/>
      </c>
      <c r="K1069" s="621" t="str">
        <f t="shared" ref="K1069:K1085" si="270">+IF(G1069="","",I1069+J1069)</f>
        <v/>
      </c>
      <c r="L1069" s="325">
        <v>53.5</v>
      </c>
      <c r="M1069" s="325"/>
      <c r="N1069" s="378">
        <f t="shared" ref="N1069:N1085" si="271">+IF(L1069="","",L1069*M1069)</f>
        <v>0</v>
      </c>
      <c r="O1069" s="378">
        <f t="shared" ref="O1069:O1085" si="272">+IF(L1069="","",N1069*0.1)</f>
        <v>0</v>
      </c>
      <c r="P1069" s="325">
        <f t="shared" ref="P1069:P1085" si="273">+IF(L1069="","",N1069+O1069)</f>
        <v>0</v>
      </c>
      <c r="Q1069" s="325">
        <f t="shared" ref="Q1069:Q1085" ca="1" si="274">IF(L1069="","",IFERROR((SUMIFS(TN_balC1_totol,TN_code,D1069)+SUMIFS(RC_or_totol,RC_Code,D1069,RC_date,"&lt;="&amp;C1069)-SUMIFS(RC_zar_totol,RC_Code,D1069,RC_date,"&lt;"&amp;C1069)) /( SUMIFS(TN_balC1_unit,TN_code,D1069)+SUMIFS(RC_or_unit,RC_Code,D1069,RC_date,"&lt;="&amp;C1069)-SUMIFS(RC_zar_unit,RC_Code,D1069,RC_date,"&lt;"&amp;C1069)),0 ))</f>
        <v>16355.964240462421</v>
      </c>
      <c r="R1069" s="325">
        <f t="shared" ref="R1069:R1085" ca="1" si="275">+IF(L1069="","",L1069*Q1069)</f>
        <v>875044.08686473954</v>
      </c>
      <c r="S1069" s="609">
        <v>160100</v>
      </c>
      <c r="T1069" s="325" t="str">
        <f>+IFERROR(VLOOKUP(S1069,STAT1!$C$4:$D$189,2,FALSE),"")</f>
        <v xml:space="preserve">Барилгын материал </v>
      </c>
      <c r="U1069" s="1226"/>
      <c r="V1069" s="1217">
        <v>875044.08686473954</v>
      </c>
      <c r="W1069" s="326">
        <v>3002</v>
      </c>
      <c r="X1069" s="328" t="str">
        <f>IFERROR(VLOOKUP(W1069,DATA!$G$4:$H$400,2,FALSE),"")</f>
        <v>ЭКО КОНСТРАКШН ХХК</v>
      </c>
      <c r="Y1069" s="1205"/>
      <c r="Z1069" s="1205"/>
    </row>
    <row r="1070" spans="1:26" ht="12.75" customHeight="1">
      <c r="A1070" s="15">
        <v>238</v>
      </c>
      <c r="B1070" s="92">
        <f t="shared" si="264"/>
        <v>1065</v>
      </c>
      <c r="C1070" s="320">
        <v>43078</v>
      </c>
      <c r="D1070" s="321">
        <v>410054</v>
      </c>
      <c r="E1070" s="323" t="str">
        <f t="shared" ca="1" si="266"/>
        <v xml:space="preserve">Будаг шингэлэгч </v>
      </c>
      <c r="F1070" s="322" t="str">
        <f t="shared" ca="1" si="267"/>
        <v>ш</v>
      </c>
      <c r="G1070" s="325"/>
      <c r="H1070" s="325"/>
      <c r="I1070" s="325" t="str">
        <f t="shared" si="268"/>
        <v/>
      </c>
      <c r="J1070" s="325" t="str">
        <f t="shared" si="269"/>
        <v/>
      </c>
      <c r="K1070" s="621" t="str">
        <f t="shared" si="270"/>
        <v/>
      </c>
      <c r="L1070" s="325">
        <v>70</v>
      </c>
      <c r="M1070" s="325"/>
      <c r="N1070" s="378">
        <f t="shared" si="271"/>
        <v>0</v>
      </c>
      <c r="O1070" s="378">
        <f t="shared" si="272"/>
        <v>0</v>
      </c>
      <c r="P1070" s="325">
        <f t="shared" si="273"/>
        <v>0</v>
      </c>
      <c r="Q1070" s="325">
        <f t="shared" ca="1" si="274"/>
        <v>1926.6047834486928</v>
      </c>
      <c r="R1070" s="325">
        <f t="shared" ca="1" si="275"/>
        <v>134862.3348414085</v>
      </c>
      <c r="S1070" s="609">
        <v>160100</v>
      </c>
      <c r="T1070" s="325" t="str">
        <f>+IFERROR(VLOOKUP(S1070,STAT1!$C$4:$D$189,2,FALSE),"")</f>
        <v xml:space="preserve">Барилгын материал </v>
      </c>
      <c r="U1070" s="1226"/>
      <c r="V1070" s="1217">
        <v>134862.3348414085</v>
      </c>
      <c r="W1070" s="326">
        <v>3002</v>
      </c>
      <c r="X1070" s="328" t="str">
        <f>IFERROR(VLOOKUP(W1070,DATA!$G$4:$H$400,2,FALSE),"")</f>
        <v>ЭКО КОНСТРАКШН ХХК</v>
      </c>
      <c r="Y1070" s="1205"/>
      <c r="Z1070" s="1205"/>
    </row>
    <row r="1071" spans="1:26" ht="12.75" customHeight="1">
      <c r="A1071" s="15">
        <v>238</v>
      </c>
      <c r="B1071" s="92">
        <f t="shared" si="264"/>
        <v>1066</v>
      </c>
      <c r="C1071" s="320">
        <v>43078</v>
      </c>
      <c r="D1071" s="321"/>
      <c r="E1071" s="323" t="str">
        <f t="shared" ca="1" si="266"/>
        <v/>
      </c>
      <c r="F1071" s="322" t="str">
        <f t="shared" ca="1" si="267"/>
        <v/>
      </c>
      <c r="G1071" s="325"/>
      <c r="H1071" s="325"/>
      <c r="I1071" s="325" t="str">
        <f t="shared" si="268"/>
        <v/>
      </c>
      <c r="J1071" s="325" t="str">
        <f t="shared" si="269"/>
        <v/>
      </c>
      <c r="K1071" s="621" t="str">
        <f t="shared" si="270"/>
        <v/>
      </c>
      <c r="L1071" s="325"/>
      <c r="M1071" s="325"/>
      <c r="N1071" s="378" t="str">
        <f t="shared" si="271"/>
        <v/>
      </c>
      <c r="O1071" s="378" t="str">
        <f t="shared" si="272"/>
        <v/>
      </c>
      <c r="P1071" s="325" t="str">
        <f t="shared" si="273"/>
        <v/>
      </c>
      <c r="Q1071" s="325" t="str">
        <f t="shared" si="274"/>
        <v/>
      </c>
      <c r="R1071" s="325" t="str">
        <f t="shared" si="275"/>
        <v/>
      </c>
      <c r="S1071" s="609">
        <v>141401</v>
      </c>
      <c r="T1071" s="325" t="str">
        <f>+IFERROR(VLOOKUP(S1071,STAT1!$C$4:$D$189,2,FALSE),"")</f>
        <v xml:space="preserve">ҮНЗардал БУСАД </v>
      </c>
      <c r="U1071" s="1226">
        <v>1009906.4217061481</v>
      </c>
      <c r="V1071" s="1217"/>
      <c r="W1071" s="326">
        <v>3002</v>
      </c>
      <c r="X1071" s="328" t="str">
        <f>IFERROR(VLOOKUP(W1071,DATA!$G$4:$H$400,2,FALSE),"")</f>
        <v>ЭКО КОНСТРАКШН ХХК</v>
      </c>
      <c r="Y1071" s="1205"/>
      <c r="Z1071" s="1205"/>
    </row>
    <row r="1072" spans="1:26" ht="12.75" customHeight="1">
      <c r="A1072" s="15">
        <v>239</v>
      </c>
      <c r="B1072" s="92">
        <f t="shared" si="264"/>
        <v>1067</v>
      </c>
      <c r="C1072" s="320">
        <v>43081</v>
      </c>
      <c r="D1072" s="321">
        <v>211503</v>
      </c>
      <c r="E1072" s="323" t="str">
        <f t="shared" ca="1" si="266"/>
        <v>Н-Евровагонка /зузаан-1.2см/</v>
      </c>
      <c r="F1072" s="322" t="str">
        <f t="shared" ca="1" si="267"/>
        <v>м2</v>
      </c>
      <c r="G1072" s="325"/>
      <c r="H1072" s="325"/>
      <c r="I1072" s="325" t="str">
        <f t="shared" si="268"/>
        <v/>
      </c>
      <c r="J1072" s="325" t="str">
        <f t="shared" si="269"/>
        <v/>
      </c>
      <c r="K1072" s="621" t="str">
        <f t="shared" si="270"/>
        <v/>
      </c>
      <c r="L1072" s="325">
        <v>25.09</v>
      </c>
      <c r="M1072" s="325">
        <v>21600.240000000002</v>
      </c>
      <c r="N1072" s="378">
        <f t="shared" si="271"/>
        <v>541950.02160000009</v>
      </c>
      <c r="O1072" s="378">
        <f t="shared" si="272"/>
        <v>54195.002160000011</v>
      </c>
      <c r="P1072" s="325">
        <f t="shared" si="273"/>
        <v>596145.02376000013</v>
      </c>
      <c r="Q1072" s="325">
        <f t="shared" ca="1" si="274"/>
        <v>13356.506456865674</v>
      </c>
      <c r="R1072" s="325">
        <f t="shared" ca="1" si="275"/>
        <v>335114.74700275977</v>
      </c>
      <c r="S1072" s="609">
        <v>150101</v>
      </c>
      <c r="T1072" s="325" t="str">
        <f>+IFERROR(VLOOKUP(S1072,STAT1!$C$4:$D$189,2,FALSE),"")</f>
        <v>Бараа бэлэн бүтээгдэхүүн БОЛОВСРУУЛАХ ЦЕХ /нарс/</v>
      </c>
      <c r="U1072" s="1226"/>
      <c r="V1072" s="1217">
        <v>335114.74700275977</v>
      </c>
      <c r="W1072" s="326">
        <v>3101</v>
      </c>
      <c r="X1072" s="328" t="str">
        <f>IFERROR(VLOOKUP(W1072,DATA!$G$4:$H$400,2,FALSE),"")</f>
        <v xml:space="preserve">АЛТАН ТАРИА ХХК </v>
      </c>
      <c r="Y1072" s="1205"/>
      <c r="Z1072" s="1205"/>
    </row>
    <row r="1073" spans="1:26" ht="12.75" customHeight="1">
      <c r="A1073" s="15">
        <v>239</v>
      </c>
      <c r="B1073" s="92">
        <f t="shared" si="264"/>
        <v>1068</v>
      </c>
      <c r="C1073" s="320">
        <v>43081</v>
      </c>
      <c r="D1073" s="321"/>
      <c r="E1073" s="323" t="str">
        <f t="shared" ca="1" si="266"/>
        <v/>
      </c>
      <c r="F1073" s="322" t="str">
        <f t="shared" ca="1" si="267"/>
        <v/>
      </c>
      <c r="G1073" s="325"/>
      <c r="H1073" s="325"/>
      <c r="I1073" s="325" t="str">
        <f t="shared" si="268"/>
        <v/>
      </c>
      <c r="J1073" s="325" t="str">
        <f t="shared" si="269"/>
        <v/>
      </c>
      <c r="K1073" s="621" t="str">
        <f t="shared" si="270"/>
        <v/>
      </c>
      <c r="L1073" s="325"/>
      <c r="M1073" s="325"/>
      <c r="N1073" s="378" t="str">
        <f t="shared" si="271"/>
        <v/>
      </c>
      <c r="O1073" s="378" t="str">
        <f t="shared" si="272"/>
        <v/>
      </c>
      <c r="P1073" s="325" t="str">
        <f t="shared" si="273"/>
        <v/>
      </c>
      <c r="Q1073" s="325" t="str">
        <f t="shared" si="274"/>
        <v/>
      </c>
      <c r="R1073" s="325" t="str">
        <f t="shared" si="275"/>
        <v/>
      </c>
      <c r="S1073" s="609">
        <v>610100</v>
      </c>
      <c r="T1073" s="325" t="str">
        <f>+IFERROR(VLOOKUP(S1073,STAT1!$C$4:$D$189,2,FALSE),"")</f>
        <v>Борлуулсан барааны өртөг</v>
      </c>
      <c r="U1073" s="1226">
        <v>335114.74700275977</v>
      </c>
      <c r="V1073" s="1217"/>
      <c r="W1073" s="326">
        <v>3101</v>
      </c>
      <c r="X1073" s="328" t="str">
        <f>IFERROR(VLOOKUP(W1073,DATA!$G$4:$H$400,2,FALSE),"")</f>
        <v xml:space="preserve">АЛТАН ТАРИА ХХК </v>
      </c>
      <c r="Y1073" s="1205"/>
      <c r="Z1073" s="1205"/>
    </row>
    <row r="1074" spans="1:26" ht="12.75" customHeight="1">
      <c r="A1074" s="15">
        <v>239</v>
      </c>
      <c r="B1074" s="92">
        <f t="shared" si="264"/>
        <v>1069</v>
      </c>
      <c r="C1074" s="320">
        <v>43081</v>
      </c>
      <c r="D1074" s="321"/>
      <c r="E1074" s="323" t="str">
        <f t="shared" ca="1" si="266"/>
        <v/>
      </c>
      <c r="F1074" s="322" t="str">
        <f t="shared" ca="1" si="267"/>
        <v/>
      </c>
      <c r="G1074" s="325"/>
      <c r="H1074" s="325"/>
      <c r="I1074" s="325" t="str">
        <f t="shared" si="268"/>
        <v/>
      </c>
      <c r="J1074" s="325" t="str">
        <f t="shared" si="269"/>
        <v/>
      </c>
      <c r="K1074" s="621" t="str">
        <f t="shared" si="270"/>
        <v/>
      </c>
      <c r="L1074" s="325"/>
      <c r="M1074" s="325"/>
      <c r="N1074" s="378" t="str">
        <f t="shared" si="271"/>
        <v/>
      </c>
      <c r="O1074" s="378" t="str">
        <f t="shared" si="272"/>
        <v/>
      </c>
      <c r="P1074" s="325" t="str">
        <f t="shared" si="273"/>
        <v/>
      </c>
      <c r="Q1074" s="325" t="str">
        <f t="shared" si="274"/>
        <v/>
      </c>
      <c r="R1074" s="325" t="str">
        <f t="shared" si="275"/>
        <v/>
      </c>
      <c r="S1074" s="609">
        <v>310500</v>
      </c>
      <c r="T1074" s="325" t="str">
        <f>+IFERROR(VLOOKUP(S1074,STAT1!$C$4:$D$189,2,FALSE),"")</f>
        <v>НӨАТ өглөг</v>
      </c>
      <c r="U1074" s="1226"/>
      <c r="V1074" s="1217">
        <v>54195.002160000011</v>
      </c>
      <c r="W1074" s="326">
        <v>3101</v>
      </c>
      <c r="X1074" s="328" t="str">
        <f>IFERROR(VLOOKUP(W1074,DATA!$G$4:$H$400,2,FALSE),"")</f>
        <v xml:space="preserve">АЛТАН ТАРИА ХХК </v>
      </c>
      <c r="Y1074" s="1205"/>
      <c r="Z1074" s="1205"/>
    </row>
    <row r="1075" spans="1:26" ht="12.75" customHeight="1">
      <c r="A1075" s="15">
        <v>239</v>
      </c>
      <c r="B1075" s="92">
        <f t="shared" si="264"/>
        <v>1070</v>
      </c>
      <c r="C1075" s="320">
        <v>43081</v>
      </c>
      <c r="D1075" s="321"/>
      <c r="E1075" s="323" t="str">
        <f t="shared" ca="1" si="266"/>
        <v/>
      </c>
      <c r="F1075" s="322" t="str">
        <f t="shared" ca="1" si="267"/>
        <v/>
      </c>
      <c r="G1075" s="325"/>
      <c r="H1075" s="325"/>
      <c r="I1075" s="325" t="str">
        <f t="shared" si="268"/>
        <v/>
      </c>
      <c r="J1075" s="325" t="str">
        <f t="shared" si="269"/>
        <v/>
      </c>
      <c r="K1075" s="621" t="str">
        <f t="shared" si="270"/>
        <v/>
      </c>
      <c r="L1075" s="325"/>
      <c r="M1075" s="325"/>
      <c r="N1075" s="378" t="str">
        <f t="shared" si="271"/>
        <v/>
      </c>
      <c r="O1075" s="378" t="str">
        <f t="shared" si="272"/>
        <v/>
      </c>
      <c r="P1075" s="325" t="str">
        <f t="shared" si="273"/>
        <v/>
      </c>
      <c r="Q1075" s="325" t="str">
        <f t="shared" si="274"/>
        <v/>
      </c>
      <c r="R1075" s="325" t="str">
        <f t="shared" si="275"/>
        <v/>
      </c>
      <c r="S1075" s="609">
        <v>510000</v>
      </c>
      <c r="T1075" s="325" t="str">
        <f>+IFERROR(VLOOKUP(S1075,STAT1!$C$4:$D$189,2,FALSE),"")</f>
        <v>Үндсэн үйл ажиллагааны борлуулалт</v>
      </c>
      <c r="U1075" s="1226"/>
      <c r="V1075" s="1226">
        <v>541950</v>
      </c>
      <c r="W1075" s="326">
        <v>3101</v>
      </c>
      <c r="X1075" s="328" t="str">
        <f>IFERROR(VLOOKUP(W1075,DATA!$G$4:$H$400,2,FALSE),"")</f>
        <v xml:space="preserve">АЛТАН ТАРИА ХХК </v>
      </c>
      <c r="Y1075" s="1205"/>
      <c r="Z1075" s="1205"/>
    </row>
    <row r="1076" spans="1:26" ht="12.75" customHeight="1">
      <c r="A1076" s="15">
        <v>239</v>
      </c>
      <c r="B1076" s="92">
        <f t="shared" si="264"/>
        <v>1071</v>
      </c>
      <c r="C1076" s="320">
        <v>43081</v>
      </c>
      <c r="D1076" s="321"/>
      <c r="E1076" s="323" t="str">
        <f t="shared" ca="1" si="266"/>
        <v/>
      </c>
      <c r="F1076" s="322" t="str">
        <f t="shared" ca="1" si="267"/>
        <v/>
      </c>
      <c r="G1076" s="325"/>
      <c r="H1076" s="325"/>
      <c r="I1076" s="325" t="str">
        <f t="shared" si="268"/>
        <v/>
      </c>
      <c r="J1076" s="325" t="str">
        <f t="shared" si="269"/>
        <v/>
      </c>
      <c r="K1076" s="621" t="str">
        <f t="shared" si="270"/>
        <v/>
      </c>
      <c r="L1076" s="325"/>
      <c r="M1076" s="325"/>
      <c r="N1076" s="378" t="str">
        <f t="shared" si="271"/>
        <v/>
      </c>
      <c r="O1076" s="378" t="str">
        <f t="shared" si="272"/>
        <v/>
      </c>
      <c r="P1076" s="325" t="str">
        <f t="shared" si="273"/>
        <v/>
      </c>
      <c r="Q1076" s="325" t="str">
        <f t="shared" si="274"/>
        <v/>
      </c>
      <c r="R1076" s="325" t="str">
        <f t="shared" si="275"/>
        <v/>
      </c>
      <c r="S1076" s="609">
        <v>320100</v>
      </c>
      <c r="T1076" s="325" t="str">
        <f>+IFERROR(VLOOKUP(S1076,STAT1!$C$4:$D$189,2,FALSE),"")</f>
        <v>Урьдчилж орсон орлого MNT</v>
      </c>
      <c r="U1076" s="1226">
        <v>596145</v>
      </c>
      <c r="V1076" s="1217"/>
      <c r="W1076" s="326">
        <v>3101</v>
      </c>
      <c r="X1076" s="328" t="str">
        <f>IFERROR(VLOOKUP(W1076,DATA!$G$4:$H$400,2,FALSE),"")</f>
        <v xml:space="preserve">АЛТАН ТАРИА ХХК </v>
      </c>
      <c r="Y1076" s="1205"/>
      <c r="Z1076" s="1205"/>
    </row>
    <row r="1077" spans="1:26" ht="12.75" customHeight="1">
      <c r="A1077" s="15">
        <v>240</v>
      </c>
      <c r="B1077" s="92">
        <f t="shared" si="264"/>
        <v>1072</v>
      </c>
      <c r="C1077" s="320">
        <v>43082</v>
      </c>
      <c r="D1077" s="321">
        <v>410085</v>
      </c>
      <c r="E1077" s="323" t="str">
        <f t="shared" ca="1" si="266"/>
        <v xml:space="preserve">НЦ-лак </v>
      </c>
      <c r="F1077" s="322" t="str">
        <f t="shared" ca="1" si="267"/>
        <v>кг</v>
      </c>
      <c r="G1077" s="325">
        <v>90</v>
      </c>
      <c r="H1077" s="325">
        <f>726000/1.1/90</f>
        <v>7333.333333333333</v>
      </c>
      <c r="I1077" s="325">
        <f t="shared" si="268"/>
        <v>660000</v>
      </c>
      <c r="J1077" s="325">
        <f t="shared" si="269"/>
        <v>66000</v>
      </c>
      <c r="K1077" s="621">
        <f t="shared" si="270"/>
        <v>726000</v>
      </c>
      <c r="L1077" s="325"/>
      <c r="M1077" s="325"/>
      <c r="N1077" s="378" t="str">
        <f t="shared" si="271"/>
        <v/>
      </c>
      <c r="O1077" s="378" t="str">
        <f t="shared" si="272"/>
        <v/>
      </c>
      <c r="P1077" s="325" t="str">
        <f t="shared" si="273"/>
        <v/>
      </c>
      <c r="Q1077" s="325" t="str">
        <f t="shared" si="274"/>
        <v/>
      </c>
      <c r="R1077" s="325" t="str">
        <f t="shared" si="275"/>
        <v/>
      </c>
      <c r="S1077" s="609">
        <v>160100</v>
      </c>
      <c r="T1077" s="325" t="str">
        <f>+IFERROR(VLOOKUP(S1077,STAT1!$C$4:$D$189,2,FALSE),"")</f>
        <v xml:space="preserve">Барилгын материал </v>
      </c>
      <c r="U1077" s="1226">
        <v>660000</v>
      </c>
      <c r="V1077" s="1217"/>
      <c r="W1077" s="326">
        <v>3017</v>
      </c>
      <c r="X1077" s="328" t="str">
        <f>IFERROR(VLOOKUP(W1077,DATA!$G$4:$H$400,2,FALSE),"")</f>
        <v xml:space="preserve">ВОС ХХК </v>
      </c>
      <c r="Y1077" s="1205"/>
      <c r="Z1077" s="1205"/>
    </row>
    <row r="1078" spans="1:26" ht="12.75" customHeight="1">
      <c r="A1078" s="15">
        <v>240</v>
      </c>
      <c r="B1078" s="92">
        <f t="shared" si="264"/>
        <v>1073</v>
      </c>
      <c r="C1078" s="320">
        <v>43082</v>
      </c>
      <c r="D1078" s="321">
        <v>410054</v>
      </c>
      <c r="E1078" s="323" t="str">
        <f t="shared" ca="1" si="266"/>
        <v xml:space="preserve">Будаг шингэлэгч </v>
      </c>
      <c r="F1078" s="322" t="str">
        <f t="shared" ca="1" si="267"/>
        <v>ш</v>
      </c>
      <c r="G1078" s="325">
        <v>80</v>
      </c>
      <c r="H1078" s="325">
        <f>171600/80/1.1</f>
        <v>1949.9999999999998</v>
      </c>
      <c r="I1078" s="325">
        <f t="shared" si="268"/>
        <v>155999.99999999997</v>
      </c>
      <c r="J1078" s="325">
        <f t="shared" si="269"/>
        <v>15599.999999999998</v>
      </c>
      <c r="K1078" s="621">
        <f t="shared" si="270"/>
        <v>171599.99999999997</v>
      </c>
      <c r="L1078" s="325"/>
      <c r="M1078" s="325"/>
      <c r="N1078" s="378" t="str">
        <f t="shared" si="271"/>
        <v/>
      </c>
      <c r="O1078" s="378" t="str">
        <f t="shared" si="272"/>
        <v/>
      </c>
      <c r="P1078" s="325" t="str">
        <f t="shared" si="273"/>
        <v/>
      </c>
      <c r="Q1078" s="325" t="str">
        <f t="shared" si="274"/>
        <v/>
      </c>
      <c r="R1078" s="325" t="str">
        <f t="shared" si="275"/>
        <v/>
      </c>
      <c r="S1078" s="609">
        <v>160100</v>
      </c>
      <c r="T1078" s="325" t="str">
        <f>+IFERROR(VLOOKUP(S1078,STAT1!$C$4:$D$189,2,FALSE),"")</f>
        <v xml:space="preserve">Барилгын материал </v>
      </c>
      <c r="U1078" s="1226">
        <v>155999.99999999997</v>
      </c>
      <c r="V1078" s="1217"/>
      <c r="W1078" s="326">
        <v>3017</v>
      </c>
      <c r="X1078" s="328" t="str">
        <f>IFERROR(VLOOKUP(W1078,DATA!$G$4:$H$400,2,FALSE),"")</f>
        <v xml:space="preserve">ВОС ХХК </v>
      </c>
      <c r="Y1078" s="1205"/>
      <c r="Z1078" s="1205"/>
    </row>
    <row r="1079" spans="1:26" ht="12.75" customHeight="1">
      <c r="A1079" s="15">
        <v>240</v>
      </c>
      <c r="B1079" s="92">
        <f t="shared" si="264"/>
        <v>1074</v>
      </c>
      <c r="C1079" s="320">
        <v>43082</v>
      </c>
      <c r="D1079" s="321">
        <v>410002</v>
      </c>
      <c r="E1079" s="323" t="str">
        <f t="shared" ca="1" si="266"/>
        <v xml:space="preserve">Морилка </v>
      </c>
      <c r="F1079" s="322" t="str">
        <f t="shared" ca="1" si="267"/>
        <v xml:space="preserve">ш </v>
      </c>
      <c r="G1079" s="325">
        <v>48</v>
      </c>
      <c r="H1079" s="325">
        <f>184800/48/1.1</f>
        <v>3499.9999999999995</v>
      </c>
      <c r="I1079" s="325">
        <f t="shared" si="268"/>
        <v>167999.99999999997</v>
      </c>
      <c r="J1079" s="325">
        <f t="shared" si="269"/>
        <v>16799.999999999996</v>
      </c>
      <c r="K1079" s="621">
        <f t="shared" si="270"/>
        <v>184799.99999999997</v>
      </c>
      <c r="L1079" s="325"/>
      <c r="M1079" s="325"/>
      <c r="N1079" s="378" t="str">
        <f t="shared" si="271"/>
        <v/>
      </c>
      <c r="O1079" s="378" t="str">
        <f t="shared" si="272"/>
        <v/>
      </c>
      <c r="P1079" s="325" t="str">
        <f t="shared" si="273"/>
        <v/>
      </c>
      <c r="Q1079" s="325" t="str">
        <f t="shared" si="274"/>
        <v/>
      </c>
      <c r="R1079" s="325" t="str">
        <f t="shared" si="275"/>
        <v/>
      </c>
      <c r="S1079" s="609">
        <v>160100</v>
      </c>
      <c r="T1079" s="325" t="str">
        <f>+IFERROR(VLOOKUP(S1079,STAT1!$C$4:$D$189,2,FALSE),"")</f>
        <v xml:space="preserve">Барилгын материал </v>
      </c>
      <c r="U1079" s="1226">
        <v>167999.99999999997</v>
      </c>
      <c r="V1079" s="1217"/>
      <c r="W1079" s="326">
        <v>3017</v>
      </c>
      <c r="X1079" s="328" t="str">
        <f>IFERROR(VLOOKUP(W1079,DATA!$G$4:$H$400,2,FALSE),"")</f>
        <v xml:space="preserve">ВОС ХХК </v>
      </c>
      <c r="Y1079" s="1205"/>
      <c r="Z1079" s="1205"/>
    </row>
    <row r="1080" spans="1:26" ht="12.75" customHeight="1">
      <c r="A1080" s="15">
        <v>240</v>
      </c>
      <c r="B1080" s="92">
        <f t="shared" si="264"/>
        <v>1075</v>
      </c>
      <c r="C1080" s="320">
        <v>43082</v>
      </c>
      <c r="D1080" s="321"/>
      <c r="E1080" s="323" t="str">
        <f t="shared" ca="1" si="266"/>
        <v/>
      </c>
      <c r="F1080" s="322" t="str">
        <f t="shared" ca="1" si="267"/>
        <v/>
      </c>
      <c r="G1080" s="325"/>
      <c r="H1080" s="325"/>
      <c r="I1080" s="325" t="str">
        <f t="shared" si="268"/>
        <v/>
      </c>
      <c r="J1080" s="325" t="str">
        <f t="shared" si="269"/>
        <v/>
      </c>
      <c r="K1080" s="621" t="str">
        <f t="shared" si="270"/>
        <v/>
      </c>
      <c r="L1080" s="325"/>
      <c r="M1080" s="325"/>
      <c r="N1080" s="378" t="str">
        <f t="shared" si="271"/>
        <v/>
      </c>
      <c r="O1080" s="378" t="str">
        <f t="shared" si="272"/>
        <v/>
      </c>
      <c r="P1080" s="325" t="str">
        <f t="shared" si="273"/>
        <v/>
      </c>
      <c r="Q1080" s="325" t="str">
        <f t="shared" si="274"/>
        <v/>
      </c>
      <c r="R1080" s="325" t="str">
        <f t="shared" si="275"/>
        <v/>
      </c>
      <c r="S1080" s="609">
        <v>120600</v>
      </c>
      <c r="T1080" s="325" t="str">
        <f>+IFERROR(VLOOKUP(S1080,STAT1!$C$4:$D$189,2,FALSE),"")</f>
        <v>НӨАТ авлага</v>
      </c>
      <c r="U1080" s="1226">
        <v>98400</v>
      </c>
      <c r="V1080" s="1217"/>
      <c r="W1080" s="326">
        <v>3017</v>
      </c>
      <c r="X1080" s="328" t="str">
        <f>IFERROR(VLOOKUP(W1080,DATA!$G$4:$H$400,2,FALSE),"")</f>
        <v xml:space="preserve">ВОС ХХК </v>
      </c>
      <c r="Y1080" s="1205"/>
      <c r="Z1080" s="1205"/>
    </row>
    <row r="1081" spans="1:26" ht="12.75" customHeight="1">
      <c r="A1081" s="15">
        <v>240</v>
      </c>
      <c r="B1081" s="92">
        <f t="shared" si="264"/>
        <v>1076</v>
      </c>
      <c r="C1081" s="320">
        <v>43082</v>
      </c>
      <c r="D1081" s="321"/>
      <c r="E1081" s="323" t="str">
        <f t="shared" ca="1" si="266"/>
        <v/>
      </c>
      <c r="F1081" s="322" t="str">
        <f t="shared" ca="1" si="267"/>
        <v/>
      </c>
      <c r="G1081" s="325"/>
      <c r="H1081" s="325"/>
      <c r="I1081" s="325" t="str">
        <f t="shared" si="268"/>
        <v/>
      </c>
      <c r="J1081" s="325" t="str">
        <f t="shared" si="269"/>
        <v/>
      </c>
      <c r="K1081" s="621" t="str">
        <f t="shared" si="270"/>
        <v/>
      </c>
      <c r="L1081" s="325"/>
      <c r="M1081" s="325"/>
      <c r="N1081" s="378" t="str">
        <f t="shared" si="271"/>
        <v/>
      </c>
      <c r="O1081" s="378" t="str">
        <f t="shared" si="272"/>
        <v/>
      </c>
      <c r="P1081" s="325" t="str">
        <f t="shared" si="273"/>
        <v/>
      </c>
      <c r="Q1081" s="325" t="str">
        <f t="shared" si="274"/>
        <v/>
      </c>
      <c r="R1081" s="325" t="str">
        <f t="shared" si="275"/>
        <v/>
      </c>
      <c r="S1081" s="609">
        <v>120100</v>
      </c>
      <c r="T1081" s="325" t="str">
        <f>+IFERROR(VLOOKUP(S1081,STAT1!$C$4:$D$189,2,FALSE),"")</f>
        <v xml:space="preserve">Дансны авлага MNT </v>
      </c>
      <c r="U1081" s="1226"/>
      <c r="V1081" s="1217">
        <v>1082400</v>
      </c>
      <c r="W1081" s="326">
        <v>3017</v>
      </c>
      <c r="X1081" s="328" t="str">
        <f>IFERROR(VLOOKUP(W1081,DATA!$G$4:$H$400,2,FALSE),"")</f>
        <v xml:space="preserve">ВОС ХХК </v>
      </c>
      <c r="Y1081" s="1205"/>
      <c r="Z1081" s="1205"/>
    </row>
    <row r="1082" spans="1:26" ht="12.75" customHeight="1">
      <c r="A1082" s="15">
        <v>241</v>
      </c>
      <c r="B1082" s="92">
        <f t="shared" si="264"/>
        <v>1077</v>
      </c>
      <c r="C1082" s="320">
        <v>43084</v>
      </c>
      <c r="D1082" s="321">
        <v>310002</v>
      </c>
      <c r="E1082" s="323" t="str">
        <f t="shared" ca="1" si="266"/>
        <v xml:space="preserve">Хатаасан нарсан банз </v>
      </c>
      <c r="F1082" s="322"/>
      <c r="G1082" s="325">
        <v>125</v>
      </c>
      <c r="H1082" s="325">
        <v>348016.15501867625</v>
      </c>
      <c r="I1082" s="325">
        <f t="shared" si="268"/>
        <v>43502019.377334528</v>
      </c>
      <c r="J1082" s="1229"/>
      <c r="K1082" s="621">
        <f t="shared" si="270"/>
        <v>43502019.377334528</v>
      </c>
      <c r="L1082" s="325"/>
      <c r="M1082" s="325"/>
      <c r="N1082" s="378" t="str">
        <f t="shared" si="271"/>
        <v/>
      </c>
      <c r="O1082" s="378" t="str">
        <f t="shared" si="272"/>
        <v/>
      </c>
      <c r="P1082" s="325" t="str">
        <f t="shared" si="273"/>
        <v/>
      </c>
      <c r="Q1082" s="325" t="str">
        <f t="shared" si="274"/>
        <v/>
      </c>
      <c r="R1082" s="325" t="str">
        <f t="shared" si="275"/>
        <v/>
      </c>
      <c r="S1082" s="608">
        <v>140500</v>
      </c>
      <c r="T1082" s="619" t="str">
        <f>IFERROR(VLOOKUP(S1082,STAT1!$C$4:$D$8000,2,FALSE),"")</f>
        <v>Нэгтгэл зардал ХАТААХ ЦЕХ /нарс/</v>
      </c>
      <c r="U1082" s="1217"/>
      <c r="V1082" s="1217">
        <v>43502019.377334528</v>
      </c>
      <c r="W1082" s="326">
        <v>1005</v>
      </c>
      <c r="X1082" s="328" t="str">
        <f>IFERROR(VLOOKUP(W1082,DATA!$G$4:$H$400,2,FALSE),"")</f>
        <v>Золжаргал</v>
      </c>
      <c r="Y1082" s="1205"/>
      <c r="Z1082" s="1205"/>
    </row>
    <row r="1083" spans="1:26" ht="12.75" customHeight="1">
      <c r="A1083" s="15">
        <v>241</v>
      </c>
      <c r="B1083" s="92">
        <f t="shared" si="264"/>
        <v>1078</v>
      </c>
      <c r="C1083" s="320">
        <v>43084</v>
      </c>
      <c r="D1083" s="321"/>
      <c r="E1083" s="323" t="str">
        <f t="shared" ca="1" si="266"/>
        <v/>
      </c>
      <c r="F1083" s="322"/>
      <c r="G1083" s="325"/>
      <c r="H1083" s="325"/>
      <c r="I1083" s="325" t="str">
        <f t="shared" si="268"/>
        <v/>
      </c>
      <c r="J1083" s="325" t="str">
        <f>+IF(G1083="","",I1083*0.1)</f>
        <v/>
      </c>
      <c r="K1083" s="621" t="str">
        <f t="shared" si="270"/>
        <v/>
      </c>
      <c r="L1083" s="325"/>
      <c r="M1083" s="325"/>
      <c r="N1083" s="378" t="str">
        <f t="shared" si="271"/>
        <v/>
      </c>
      <c r="O1083" s="378" t="str">
        <f t="shared" si="272"/>
        <v/>
      </c>
      <c r="P1083" s="325" t="str">
        <f t="shared" si="273"/>
        <v/>
      </c>
      <c r="Q1083" s="325" t="str">
        <f t="shared" si="274"/>
        <v/>
      </c>
      <c r="R1083" s="325" t="str">
        <f t="shared" si="275"/>
        <v/>
      </c>
      <c r="S1083" s="608">
        <v>150100</v>
      </c>
      <c r="T1083" s="619" t="str">
        <f>IFERROR(VLOOKUP(S1083,STAT1!$C$4:$D$8000,2,FALSE),"")</f>
        <v>Бараа бэлэн бүтээгдэхүүн ХАТААХ ЦЕХ /нарс/</v>
      </c>
      <c r="U1083" s="1217">
        <v>43502019.377334528</v>
      </c>
      <c r="V1083" s="1217"/>
      <c r="W1083" s="326">
        <v>1005</v>
      </c>
      <c r="X1083" s="328" t="str">
        <f>IFERROR(VLOOKUP(W1083,DATA!$G$4:$H$400,2,FALSE),"")</f>
        <v>Золжаргал</v>
      </c>
      <c r="Y1083" s="1205"/>
      <c r="Z1083" s="1205"/>
    </row>
    <row r="1084" spans="1:26" ht="12.75" customHeight="1">
      <c r="A1084" s="15">
        <v>242</v>
      </c>
      <c r="B1084" s="92">
        <f t="shared" si="264"/>
        <v>1079</v>
      </c>
      <c r="C1084" s="320">
        <v>43089</v>
      </c>
      <c r="D1084" s="321">
        <v>211710</v>
      </c>
      <c r="E1084" s="323" t="str">
        <f t="shared" ca="1" si="266"/>
        <v xml:space="preserve">Н-Хавтан /зузаан-3см/-яртай </v>
      </c>
      <c r="F1084" s="322" t="str">
        <f ca="1">+IFERROR(VLOOKUP(D1084,TN_table,3,FALSE),"")</f>
        <v>м2</v>
      </c>
      <c r="G1084" s="325"/>
      <c r="H1084" s="325"/>
      <c r="I1084" s="325" t="str">
        <f t="shared" si="268"/>
        <v/>
      </c>
      <c r="J1084" s="325" t="str">
        <f>+IF(G1084="","",I1084*0.1)</f>
        <v/>
      </c>
      <c r="K1084" s="621" t="str">
        <f t="shared" si="270"/>
        <v/>
      </c>
      <c r="L1084" s="325">
        <v>128</v>
      </c>
      <c r="M1084" s="325"/>
      <c r="N1084" s="378">
        <f t="shared" si="271"/>
        <v>0</v>
      </c>
      <c r="O1084" s="378">
        <f t="shared" si="272"/>
        <v>0</v>
      </c>
      <c r="P1084" s="325">
        <f t="shared" si="273"/>
        <v>0</v>
      </c>
      <c r="Q1084" s="325">
        <f t="shared" ca="1" si="274"/>
        <v>32877.788914248573</v>
      </c>
      <c r="R1084" s="325">
        <f t="shared" ca="1" si="275"/>
        <v>4208356.9810238173</v>
      </c>
      <c r="S1084" s="609">
        <v>150101</v>
      </c>
      <c r="T1084" s="325" t="str">
        <f>+IFERROR(VLOOKUP(S1084,STAT1!$C$4:$D$189,2,FALSE),"")</f>
        <v>Бараа бэлэн бүтээгдэхүүн БОЛОВСРУУЛАХ ЦЕХ /нарс/</v>
      </c>
      <c r="U1084" s="1226"/>
      <c r="V1084" s="1217">
        <v>4208356.9810238173</v>
      </c>
      <c r="W1084" s="326">
        <v>3002</v>
      </c>
      <c r="X1084" s="328" t="str">
        <f>IFERROR(VLOOKUP(W1084,DATA!$G$4:$H$400,2,FALSE),"")</f>
        <v>ЭКО КОНСТРАКШН ХХК</v>
      </c>
      <c r="Y1084" s="1205"/>
      <c r="Z1084" s="1205"/>
    </row>
    <row r="1085" spans="1:26" ht="12.75" customHeight="1">
      <c r="A1085" s="15">
        <v>242</v>
      </c>
      <c r="B1085" s="92">
        <f t="shared" si="264"/>
        <v>1080</v>
      </c>
      <c r="C1085" s="320">
        <v>43089</v>
      </c>
      <c r="D1085" s="321">
        <v>211714</v>
      </c>
      <c r="E1085" s="323" t="str">
        <f t="shared" ca="1" si="266"/>
        <v xml:space="preserve">Н-Хавтан /зузаан-2см/-яртай </v>
      </c>
      <c r="F1085" s="322" t="str">
        <f ca="1">+IFERROR(VLOOKUP(D1085,TN_table,3,FALSE),"")</f>
        <v>м2</v>
      </c>
      <c r="G1085" s="325"/>
      <c r="H1085" s="325"/>
      <c r="I1085" s="325" t="str">
        <f t="shared" si="268"/>
        <v/>
      </c>
      <c r="J1085" s="325" t="str">
        <f>+IF(G1085="","",I1085*0.1)</f>
        <v/>
      </c>
      <c r="K1085" s="621" t="str">
        <f t="shared" si="270"/>
        <v/>
      </c>
      <c r="L1085" s="325">
        <v>109</v>
      </c>
      <c r="M1085" s="325"/>
      <c r="N1085" s="378">
        <f t="shared" si="271"/>
        <v>0</v>
      </c>
      <c r="O1085" s="378">
        <f t="shared" si="272"/>
        <v>0</v>
      </c>
      <c r="P1085" s="325">
        <f t="shared" si="273"/>
        <v>0</v>
      </c>
      <c r="Q1085" s="325">
        <f t="shared" ca="1" si="274"/>
        <v>18125.309466931161</v>
      </c>
      <c r="R1085" s="325">
        <f t="shared" ca="1" si="275"/>
        <v>1975658.7318954966</v>
      </c>
      <c r="S1085" s="609">
        <v>150101</v>
      </c>
      <c r="T1085" s="325" t="str">
        <f>+IFERROR(VLOOKUP(S1085,STAT1!$C$4:$D$189,2,FALSE),"")</f>
        <v>Бараа бэлэн бүтээгдэхүүн БОЛОВСРУУЛАХ ЦЕХ /нарс/</v>
      </c>
      <c r="U1085" s="1226"/>
      <c r="V1085" s="1217">
        <v>1975658.7318954966</v>
      </c>
      <c r="W1085" s="326">
        <v>3002</v>
      </c>
      <c r="X1085" s="328" t="str">
        <f>IFERROR(VLOOKUP(W1085,DATA!$G$4:$H$400,2,FALSE),"")</f>
        <v>ЭКО КОНСТРАКШН ХХК</v>
      </c>
      <c r="Y1085" s="1205"/>
      <c r="Z1085" s="1205"/>
    </row>
    <row r="1086" spans="1:26" ht="12.75" customHeight="1">
      <c r="A1086" s="15">
        <v>242</v>
      </c>
      <c r="B1086" s="92">
        <f t="shared" si="264"/>
        <v>1081</v>
      </c>
      <c r="C1086" s="320">
        <v>43089</v>
      </c>
      <c r="D1086" s="321"/>
      <c r="E1086" s="323"/>
      <c r="F1086" s="322"/>
      <c r="G1086" s="325"/>
      <c r="H1086" s="325"/>
      <c r="I1086" s="325"/>
      <c r="J1086" s="325"/>
      <c r="K1086" s="621"/>
      <c r="L1086" s="325"/>
      <c r="M1086" s="325"/>
      <c r="N1086" s="378"/>
      <c r="O1086" s="378"/>
      <c r="P1086" s="325"/>
      <c r="Q1086" s="325"/>
      <c r="R1086" s="325"/>
      <c r="S1086" s="609">
        <v>141201</v>
      </c>
      <c r="T1086" s="325" t="str">
        <f>+IFERROR(VLOOKUP(S1086,STAT1!$C$4:$D$189,2,FALSE),"")</f>
        <v>ШМЗардал БУСАД</v>
      </c>
      <c r="U1086" s="1226">
        <v>6184015.7129193135</v>
      </c>
      <c r="V1086" s="1217"/>
      <c r="W1086" s="326">
        <v>3002</v>
      </c>
      <c r="X1086" s="328" t="str">
        <f>IFERROR(VLOOKUP(W1086,DATA!$G$4:$H$400,2,FALSE),"")</f>
        <v>ЭКО КОНСТРАКШН ХХК</v>
      </c>
      <c r="Y1086" s="1205"/>
      <c r="Z1086" s="1205"/>
    </row>
    <row r="1087" spans="1:26" ht="12.75" customHeight="1">
      <c r="A1087" s="15">
        <v>242</v>
      </c>
      <c r="B1087" s="92">
        <f t="shared" si="264"/>
        <v>1082</v>
      </c>
      <c r="C1087" s="320">
        <v>43089</v>
      </c>
      <c r="D1087" s="321">
        <v>410085</v>
      </c>
      <c r="E1087" s="323" t="str">
        <f t="shared" ref="E1087:E1128" ca="1" si="276">+IFERROR(VLOOKUP(D1087,TN_table,2,FALSE),"")</f>
        <v xml:space="preserve">НЦ-лак </v>
      </c>
      <c r="F1087" s="322" t="str">
        <f t="shared" ref="F1087:F1094" ca="1" si="277">+IFERROR(VLOOKUP(D1087,TN_table,3,FALSE),"")</f>
        <v>кг</v>
      </c>
      <c r="G1087" s="325"/>
      <c r="H1087" s="325"/>
      <c r="I1087" s="325" t="str">
        <f t="shared" ref="I1087:I1128" si="278">+IF(G1087="","",G1087*H1087)</f>
        <v/>
      </c>
      <c r="J1087" s="325" t="str">
        <f t="shared" ref="J1087:J1094" si="279">+IF(G1087="","",I1087*0.1)</f>
        <v/>
      </c>
      <c r="K1087" s="621" t="str">
        <f t="shared" ref="K1087:K1128" si="280">+IF(G1087="","",I1087+J1087)</f>
        <v/>
      </c>
      <c r="L1087" s="325">
        <v>93</v>
      </c>
      <c r="M1087" s="325"/>
      <c r="N1087" s="378">
        <f t="shared" ref="N1087:N1128" si="281">+IF(L1087="","",L1087*M1087)</f>
        <v>0</v>
      </c>
      <c r="O1087" s="378">
        <f t="shared" ref="O1087:O1128" si="282">+IF(L1087="","",N1087*0.1)</f>
        <v>0</v>
      </c>
      <c r="P1087" s="325">
        <f t="shared" ref="P1087:P1128" si="283">+IF(L1087="","",N1087+O1087)</f>
        <v>0</v>
      </c>
      <c r="Q1087" s="325">
        <f t="shared" ref="Q1087:Q1128" ca="1" si="284">IF(L1087="","",IFERROR((SUMIFS(TN_balC1_totol,TN_code,D1087)+SUMIFS(RC_or_totol,RC_Code,D1087,RC_date,"&lt;="&amp;C1087)-SUMIFS(RC_zar_totol,RC_Code,D1087,RC_date,"&lt;"&amp;C1087)) /( SUMIFS(TN_balC1_unit,TN_code,D1087)+SUMIFS(RC_or_unit,RC_Code,D1087,RC_date,"&lt;="&amp;C1087)-SUMIFS(RC_zar_unit,RC_Code,D1087,RC_date,"&lt;"&amp;C1087)),0 ))</f>
        <v>7343.7387039475998</v>
      </c>
      <c r="R1087" s="325">
        <f t="shared" ref="R1087:R1128" ca="1" si="285">+IF(L1087="","",L1087*Q1087)</f>
        <v>682967.69946712675</v>
      </c>
      <c r="S1087" s="609">
        <v>160100</v>
      </c>
      <c r="T1087" s="325" t="str">
        <f>+IFERROR(VLOOKUP(S1087,STAT1!$C$4:$D$189,2,FALSE),"")</f>
        <v xml:space="preserve">Барилгын материал </v>
      </c>
      <c r="U1087" s="1226"/>
      <c r="V1087" s="1217">
        <v>682967.69946712675</v>
      </c>
      <c r="W1087" s="326">
        <v>3002</v>
      </c>
      <c r="X1087" s="328" t="str">
        <f>IFERROR(VLOOKUP(W1087,DATA!$G$4:$H$400,2,FALSE),"")</f>
        <v>ЭКО КОНСТРАКШН ХХК</v>
      </c>
      <c r="Y1087" s="1205"/>
      <c r="Z1087" s="1205"/>
    </row>
    <row r="1088" spans="1:26" ht="12.75" customHeight="1">
      <c r="A1088" s="15">
        <v>242</v>
      </c>
      <c r="B1088" s="92">
        <f t="shared" si="264"/>
        <v>1083</v>
      </c>
      <c r="C1088" s="320">
        <v>43089</v>
      </c>
      <c r="D1088" s="321">
        <v>410054</v>
      </c>
      <c r="E1088" s="323" t="str">
        <f t="shared" ca="1" si="276"/>
        <v xml:space="preserve">Будаг шингэлэгч </v>
      </c>
      <c r="F1088" s="322" t="str">
        <f t="shared" ca="1" si="277"/>
        <v>ш</v>
      </c>
      <c r="G1088" s="325"/>
      <c r="H1088" s="325"/>
      <c r="I1088" s="325" t="str">
        <f t="shared" si="278"/>
        <v/>
      </c>
      <c r="J1088" s="325" t="str">
        <f t="shared" si="279"/>
        <v/>
      </c>
      <c r="K1088" s="621" t="str">
        <f t="shared" si="280"/>
        <v/>
      </c>
      <c r="L1088" s="325">
        <v>80</v>
      </c>
      <c r="M1088" s="325"/>
      <c r="N1088" s="378">
        <f t="shared" si="281"/>
        <v>0</v>
      </c>
      <c r="O1088" s="378">
        <f t="shared" si="282"/>
        <v>0</v>
      </c>
      <c r="P1088" s="325">
        <f t="shared" si="283"/>
        <v>0</v>
      </c>
      <c r="Q1088" s="325">
        <f t="shared" ca="1" si="284"/>
        <v>1929.3490903755323</v>
      </c>
      <c r="R1088" s="325">
        <f t="shared" ca="1" si="285"/>
        <v>154347.92723004258</v>
      </c>
      <c r="S1088" s="609">
        <v>160100</v>
      </c>
      <c r="T1088" s="325" t="str">
        <f>+IFERROR(VLOOKUP(S1088,STAT1!$C$4:$D$189,2,FALSE),"")</f>
        <v xml:space="preserve">Барилгын материал </v>
      </c>
      <c r="U1088" s="1226"/>
      <c r="V1088" s="1217">
        <v>154347.92723004258</v>
      </c>
      <c r="W1088" s="326">
        <v>3002</v>
      </c>
      <c r="X1088" s="328" t="str">
        <f>IFERROR(VLOOKUP(W1088,DATA!$G$4:$H$400,2,FALSE),"")</f>
        <v>ЭКО КОНСТРАКШН ХХК</v>
      </c>
      <c r="Y1088" s="1205"/>
      <c r="Z1088" s="1205"/>
    </row>
    <row r="1089" spans="1:26" ht="12.75" customHeight="1">
      <c r="A1089" s="15">
        <v>242</v>
      </c>
      <c r="B1089" s="92">
        <f t="shared" si="264"/>
        <v>1084</v>
      </c>
      <c r="C1089" s="320">
        <v>43089</v>
      </c>
      <c r="D1089" s="321"/>
      <c r="E1089" s="323" t="str">
        <f t="shared" ca="1" si="276"/>
        <v/>
      </c>
      <c r="F1089" s="322" t="str">
        <f t="shared" ca="1" si="277"/>
        <v/>
      </c>
      <c r="G1089" s="325"/>
      <c r="H1089" s="325"/>
      <c r="I1089" s="325" t="str">
        <f t="shared" si="278"/>
        <v/>
      </c>
      <c r="J1089" s="325" t="str">
        <f t="shared" si="279"/>
        <v/>
      </c>
      <c r="K1089" s="621" t="str">
        <f t="shared" si="280"/>
        <v/>
      </c>
      <c r="L1089" s="325"/>
      <c r="M1089" s="325"/>
      <c r="N1089" s="378" t="str">
        <f t="shared" si="281"/>
        <v/>
      </c>
      <c r="O1089" s="378" t="str">
        <f t="shared" si="282"/>
        <v/>
      </c>
      <c r="P1089" s="325" t="str">
        <f t="shared" si="283"/>
        <v/>
      </c>
      <c r="Q1089" s="325" t="str">
        <f t="shared" si="284"/>
        <v/>
      </c>
      <c r="R1089" s="325" t="str">
        <f t="shared" si="285"/>
        <v/>
      </c>
      <c r="S1089" s="609">
        <v>141401</v>
      </c>
      <c r="T1089" s="325" t="str">
        <f>+IFERROR(VLOOKUP(S1089,STAT1!$C$4:$D$189,2,FALSE),"")</f>
        <v xml:space="preserve">ҮНЗардал БУСАД </v>
      </c>
      <c r="U1089" s="1226">
        <v>837315.62669716938</v>
      </c>
      <c r="V1089" s="1217"/>
      <c r="W1089" s="326">
        <v>3002</v>
      </c>
      <c r="X1089" s="328" t="str">
        <f>IFERROR(VLOOKUP(W1089,DATA!$G$4:$H$400,2,FALSE),"")</f>
        <v>ЭКО КОНСТРАКШН ХХК</v>
      </c>
      <c r="Y1089" s="1205"/>
      <c r="Z1089" s="1205"/>
    </row>
    <row r="1090" spans="1:26" ht="12.75" customHeight="1">
      <c r="A1090" s="15">
        <v>243</v>
      </c>
      <c r="B1090" s="92">
        <f t="shared" si="264"/>
        <v>1085</v>
      </c>
      <c r="C1090" s="320">
        <v>43092</v>
      </c>
      <c r="D1090" s="321">
        <v>211501</v>
      </c>
      <c r="E1090" s="323" t="str">
        <f t="shared" ca="1" si="276"/>
        <v>Н-Евровагонка /зузаан-2.2см/</v>
      </c>
      <c r="F1090" s="322" t="str">
        <f t="shared" ca="1" si="277"/>
        <v>м2</v>
      </c>
      <c r="G1090" s="325"/>
      <c r="H1090" s="325"/>
      <c r="I1090" s="325" t="str">
        <f t="shared" si="278"/>
        <v/>
      </c>
      <c r="J1090" s="325" t="str">
        <f t="shared" si="279"/>
        <v/>
      </c>
      <c r="K1090" s="621" t="str">
        <f t="shared" si="280"/>
        <v/>
      </c>
      <c r="L1090" s="325">
        <v>1.1399999999999999</v>
      </c>
      <c r="M1090" s="325">
        <v>30000</v>
      </c>
      <c r="N1090" s="378">
        <f t="shared" si="281"/>
        <v>34200</v>
      </c>
      <c r="O1090" s="378">
        <f t="shared" si="282"/>
        <v>3420</v>
      </c>
      <c r="P1090" s="325">
        <f t="shared" si="283"/>
        <v>37620</v>
      </c>
      <c r="Q1090" s="325">
        <f t="shared" ca="1" si="284"/>
        <v>13118.369999999999</v>
      </c>
      <c r="R1090" s="325">
        <f t="shared" ca="1" si="285"/>
        <v>14954.941799999997</v>
      </c>
      <c r="S1090" s="609">
        <v>150101</v>
      </c>
      <c r="T1090" s="325" t="str">
        <f>+IFERROR(VLOOKUP(S1090,STAT1!$C$4:$D$189,2,FALSE),"")</f>
        <v>Бараа бэлэн бүтээгдэхүүн БОЛОВСРУУЛАХ ЦЕХ /нарс/</v>
      </c>
      <c r="U1090" s="1226"/>
      <c r="V1090" s="1217">
        <v>71105.664649838567</v>
      </c>
      <c r="W1090" s="326">
        <v>3110</v>
      </c>
      <c r="X1090" s="328" t="str">
        <f>IFERROR(VLOOKUP(W1090,DATA!$G$4:$H$400,2,FALSE),"")</f>
        <v xml:space="preserve">СҮЙХЭНТ ХХК </v>
      </c>
      <c r="Y1090" s="1205"/>
      <c r="Z1090" s="1205"/>
    </row>
    <row r="1091" spans="1:26" ht="12.75" customHeight="1">
      <c r="A1091" s="15">
        <v>243</v>
      </c>
      <c r="B1091" s="92">
        <f t="shared" si="264"/>
        <v>1086</v>
      </c>
      <c r="C1091" s="320">
        <v>43092</v>
      </c>
      <c r="D1091" s="321">
        <v>211715</v>
      </c>
      <c r="E1091" s="323" t="str">
        <f t="shared" ca="1" si="276"/>
        <v>Н-Хавтан /зузаан-1.8см/</v>
      </c>
      <c r="F1091" s="322" t="str">
        <f t="shared" ca="1" si="277"/>
        <v>м2</v>
      </c>
      <c r="G1091" s="325"/>
      <c r="H1091" s="325"/>
      <c r="I1091" s="325" t="str">
        <f t="shared" si="278"/>
        <v/>
      </c>
      <c r="J1091" s="325" t="str">
        <f t="shared" si="279"/>
        <v/>
      </c>
      <c r="K1091" s="621" t="str">
        <f t="shared" si="280"/>
        <v/>
      </c>
      <c r="L1091" s="325">
        <v>3</v>
      </c>
      <c r="M1091" s="325">
        <v>25000</v>
      </c>
      <c r="N1091" s="378">
        <f t="shared" si="281"/>
        <v>75000</v>
      </c>
      <c r="O1091" s="378">
        <f t="shared" si="282"/>
        <v>7500</v>
      </c>
      <c r="P1091" s="325">
        <f t="shared" si="283"/>
        <v>82500</v>
      </c>
      <c r="Q1091" s="325">
        <f t="shared" ca="1" si="284"/>
        <v>18716.907616612854</v>
      </c>
      <c r="R1091" s="325">
        <f t="shared" ca="1" si="285"/>
        <v>56150.722849838567</v>
      </c>
      <c r="S1091" s="609">
        <v>610100</v>
      </c>
      <c r="T1091" s="325" t="str">
        <f>+IFERROR(VLOOKUP(S1091,STAT1!$C$4:$D$189,2,FALSE),"")</f>
        <v>Борлуулсан барааны өртөг</v>
      </c>
      <c r="U1091" s="1226">
        <v>71105.664649838567</v>
      </c>
      <c r="V1091" s="1217"/>
      <c r="W1091" s="326">
        <v>3110</v>
      </c>
      <c r="X1091" s="328" t="str">
        <f>IFERROR(VLOOKUP(W1091,DATA!$G$4:$H$400,2,FALSE),"")</f>
        <v xml:space="preserve">СҮЙХЭНТ ХХК </v>
      </c>
      <c r="Y1091" s="1205"/>
      <c r="Z1091" s="1205"/>
    </row>
    <row r="1092" spans="1:26" ht="12.75" customHeight="1">
      <c r="A1092" s="15">
        <v>243</v>
      </c>
      <c r="B1092" s="92">
        <f t="shared" si="264"/>
        <v>1087</v>
      </c>
      <c r="C1092" s="320">
        <v>43092</v>
      </c>
      <c r="D1092" s="321"/>
      <c r="E1092" s="323" t="str">
        <f t="shared" ca="1" si="276"/>
        <v/>
      </c>
      <c r="F1092" s="322" t="str">
        <f t="shared" ca="1" si="277"/>
        <v/>
      </c>
      <c r="G1092" s="325"/>
      <c r="H1092" s="325"/>
      <c r="I1092" s="325" t="str">
        <f t="shared" si="278"/>
        <v/>
      </c>
      <c r="J1092" s="325" t="str">
        <f t="shared" si="279"/>
        <v/>
      </c>
      <c r="K1092" s="621" t="str">
        <f t="shared" si="280"/>
        <v/>
      </c>
      <c r="L1092" s="325"/>
      <c r="M1092" s="325"/>
      <c r="N1092" s="378" t="str">
        <f t="shared" si="281"/>
        <v/>
      </c>
      <c r="O1092" s="378" t="str">
        <f t="shared" si="282"/>
        <v/>
      </c>
      <c r="P1092" s="325" t="str">
        <f t="shared" si="283"/>
        <v/>
      </c>
      <c r="Q1092" s="325" t="str">
        <f t="shared" si="284"/>
        <v/>
      </c>
      <c r="R1092" s="325" t="str">
        <f t="shared" si="285"/>
        <v/>
      </c>
      <c r="S1092" s="609">
        <v>310500</v>
      </c>
      <c r="T1092" s="325" t="str">
        <f>+IFERROR(VLOOKUP(S1092,STAT1!$C$4:$D$189,2,FALSE),"")</f>
        <v>НӨАТ өглөг</v>
      </c>
      <c r="U1092" s="1226"/>
      <c r="V1092" s="1217">
        <v>10920</v>
      </c>
      <c r="W1092" s="326">
        <v>3110</v>
      </c>
      <c r="X1092" s="328" t="str">
        <f>IFERROR(VLOOKUP(W1092,DATA!$G$4:$H$400,2,FALSE),"")</f>
        <v xml:space="preserve">СҮЙХЭНТ ХХК </v>
      </c>
      <c r="Y1092" s="1205"/>
      <c r="Z1092" s="1205"/>
    </row>
    <row r="1093" spans="1:26" ht="12.75" customHeight="1">
      <c r="A1093" s="15">
        <v>243</v>
      </c>
      <c r="B1093" s="92">
        <f t="shared" si="264"/>
        <v>1088</v>
      </c>
      <c r="C1093" s="320">
        <v>43092</v>
      </c>
      <c r="D1093" s="321"/>
      <c r="E1093" s="323" t="str">
        <f t="shared" ca="1" si="276"/>
        <v/>
      </c>
      <c r="F1093" s="322" t="str">
        <f t="shared" ca="1" si="277"/>
        <v/>
      </c>
      <c r="G1093" s="325"/>
      <c r="H1093" s="325"/>
      <c r="I1093" s="325" t="str">
        <f t="shared" si="278"/>
        <v/>
      </c>
      <c r="J1093" s="325" t="str">
        <f t="shared" si="279"/>
        <v/>
      </c>
      <c r="K1093" s="621" t="str">
        <f t="shared" si="280"/>
        <v/>
      </c>
      <c r="L1093" s="325"/>
      <c r="M1093" s="325"/>
      <c r="N1093" s="378" t="str">
        <f t="shared" si="281"/>
        <v/>
      </c>
      <c r="O1093" s="378" t="str">
        <f t="shared" si="282"/>
        <v/>
      </c>
      <c r="P1093" s="325" t="str">
        <f t="shared" si="283"/>
        <v/>
      </c>
      <c r="Q1093" s="325" t="str">
        <f t="shared" si="284"/>
        <v/>
      </c>
      <c r="R1093" s="325" t="str">
        <f t="shared" si="285"/>
        <v/>
      </c>
      <c r="S1093" s="609">
        <v>510000</v>
      </c>
      <c r="T1093" s="325" t="str">
        <f>+IFERROR(VLOOKUP(S1093,STAT1!$C$4:$D$189,2,FALSE),"")</f>
        <v>Үндсэн үйл ажиллагааны борлуулалт</v>
      </c>
      <c r="U1093" s="1226"/>
      <c r="V1093" s="1217">
        <v>109200</v>
      </c>
      <c r="W1093" s="326">
        <v>3110</v>
      </c>
      <c r="X1093" s="328" t="str">
        <f>IFERROR(VLOOKUP(W1093,DATA!$G$4:$H$400,2,FALSE),"")</f>
        <v xml:space="preserve">СҮЙХЭНТ ХХК </v>
      </c>
      <c r="Y1093" s="1205"/>
      <c r="Z1093" s="1205"/>
    </row>
    <row r="1094" spans="1:26" ht="12.75" customHeight="1">
      <c r="A1094" s="15">
        <v>243</v>
      </c>
      <c r="B1094" s="92">
        <f t="shared" si="264"/>
        <v>1089</v>
      </c>
      <c r="C1094" s="320">
        <v>43092</v>
      </c>
      <c r="D1094" s="321"/>
      <c r="E1094" s="323" t="str">
        <f t="shared" ca="1" si="276"/>
        <v/>
      </c>
      <c r="F1094" s="322" t="str">
        <f t="shared" ca="1" si="277"/>
        <v/>
      </c>
      <c r="G1094" s="325"/>
      <c r="H1094" s="325"/>
      <c r="I1094" s="325" t="str">
        <f t="shared" si="278"/>
        <v/>
      </c>
      <c r="J1094" s="325" t="str">
        <f t="shared" si="279"/>
        <v/>
      </c>
      <c r="K1094" s="621" t="str">
        <f t="shared" si="280"/>
        <v/>
      </c>
      <c r="L1094" s="325"/>
      <c r="M1094" s="325"/>
      <c r="N1094" s="378" t="str">
        <f t="shared" si="281"/>
        <v/>
      </c>
      <c r="O1094" s="378" t="str">
        <f t="shared" si="282"/>
        <v/>
      </c>
      <c r="P1094" s="325" t="str">
        <f t="shared" si="283"/>
        <v/>
      </c>
      <c r="Q1094" s="325" t="str">
        <f t="shared" si="284"/>
        <v/>
      </c>
      <c r="R1094" s="325" t="str">
        <f t="shared" si="285"/>
        <v/>
      </c>
      <c r="S1094" s="609">
        <v>320100</v>
      </c>
      <c r="T1094" s="325" t="str">
        <f>+IFERROR(VLOOKUP(S1094,STAT1!$C$4:$D$189,2,FALSE),"")</f>
        <v>Урьдчилж орсон орлого MNT</v>
      </c>
      <c r="U1094" s="1226">
        <v>120120</v>
      </c>
      <c r="V1094" s="1217"/>
      <c r="W1094" s="326">
        <v>3110</v>
      </c>
      <c r="X1094" s="328" t="str">
        <f>IFERROR(VLOOKUP(W1094,DATA!$G$4:$H$400,2,FALSE),"")</f>
        <v xml:space="preserve">СҮЙХЭНТ ХХК </v>
      </c>
      <c r="Y1094" s="1205"/>
      <c r="Z1094" s="1205"/>
    </row>
    <row r="1095" spans="1:26" ht="12.75" customHeight="1">
      <c r="A1095" s="15">
        <v>244</v>
      </c>
      <c r="B1095" s="92">
        <f t="shared" si="264"/>
        <v>1090</v>
      </c>
      <c r="C1095" s="320">
        <v>43094</v>
      </c>
      <c r="D1095" s="321">
        <v>211806</v>
      </c>
      <c r="E1095" s="323" t="str">
        <f t="shared" ca="1" si="276"/>
        <v xml:space="preserve">Н-Сауны шал </v>
      </c>
      <c r="F1095" s="322"/>
      <c r="G1095" s="325"/>
      <c r="H1095" s="325"/>
      <c r="I1095" s="325" t="str">
        <f t="shared" si="278"/>
        <v/>
      </c>
      <c r="J1095" s="325"/>
      <c r="K1095" s="621" t="str">
        <f t="shared" si="280"/>
        <v/>
      </c>
      <c r="L1095" s="325">
        <v>18.2</v>
      </c>
      <c r="M1095" s="325">
        <v>40919.380599999997</v>
      </c>
      <c r="N1095" s="378">
        <f t="shared" si="281"/>
        <v>744732.72691999993</v>
      </c>
      <c r="O1095" s="378">
        <f t="shared" si="282"/>
        <v>74473.272691999999</v>
      </c>
      <c r="P1095" s="325">
        <f t="shared" si="283"/>
        <v>819205.99961199996</v>
      </c>
      <c r="Q1095" s="325">
        <f t="shared" ca="1" si="284"/>
        <v>22561.175828391672</v>
      </c>
      <c r="R1095" s="325">
        <f t="shared" ca="1" si="285"/>
        <v>410613.40007672843</v>
      </c>
      <c r="S1095" s="609">
        <v>150101</v>
      </c>
      <c r="T1095" s="325" t="str">
        <f>+IFERROR(VLOOKUP(S1095,STAT1!$C$4:$D$189,2,FALSE),"")</f>
        <v>Бараа бэлэн бүтээгдэхүүн БОЛОВСРУУЛАХ ЦЕХ /нарс/</v>
      </c>
      <c r="U1095" s="1226"/>
      <c r="V1095" s="1217">
        <v>410613.40007672843</v>
      </c>
      <c r="W1095" s="326">
        <v>3109</v>
      </c>
      <c r="X1095" s="328" t="str">
        <f>IFERROR(VLOOKUP(W1095,DATA!$G$4:$H$400,2,FALSE),"")</f>
        <v xml:space="preserve">СИЛК РӨҮТ ТЕКСТИЛЬ ХХК </v>
      </c>
      <c r="Y1095" s="1205"/>
      <c r="Z1095" s="1205"/>
    </row>
    <row r="1096" spans="1:26" ht="12.75" customHeight="1">
      <c r="A1096" s="15">
        <v>244</v>
      </c>
      <c r="B1096" s="92">
        <f t="shared" si="264"/>
        <v>1091</v>
      </c>
      <c r="C1096" s="320">
        <v>43094</v>
      </c>
      <c r="D1096" s="321"/>
      <c r="E1096" s="323" t="str">
        <f t="shared" ca="1" si="276"/>
        <v/>
      </c>
      <c r="F1096" s="322"/>
      <c r="G1096" s="325"/>
      <c r="H1096" s="325"/>
      <c r="I1096" s="325" t="str">
        <f t="shared" si="278"/>
        <v/>
      </c>
      <c r="J1096" s="325" t="str">
        <f t="shared" ref="J1096:J1109" si="286">+IF(G1096="","",I1096*0.1)</f>
        <v/>
      </c>
      <c r="K1096" s="621" t="str">
        <f t="shared" si="280"/>
        <v/>
      </c>
      <c r="L1096" s="325"/>
      <c r="M1096" s="325"/>
      <c r="N1096" s="378" t="str">
        <f t="shared" si="281"/>
        <v/>
      </c>
      <c r="O1096" s="378" t="str">
        <f t="shared" si="282"/>
        <v/>
      </c>
      <c r="P1096" s="325" t="str">
        <f t="shared" si="283"/>
        <v/>
      </c>
      <c r="Q1096" s="325" t="str">
        <f t="shared" si="284"/>
        <v/>
      </c>
      <c r="R1096" s="325" t="str">
        <f t="shared" si="285"/>
        <v/>
      </c>
      <c r="S1096" s="609">
        <v>610100</v>
      </c>
      <c r="T1096" s="325" t="str">
        <f>+IFERROR(VLOOKUP(S1096,STAT1!$C$4:$D$189,2,FALSE),"")</f>
        <v>Борлуулсан барааны өртөг</v>
      </c>
      <c r="U1096" s="1226">
        <v>410613.40007672843</v>
      </c>
      <c r="V1096" s="1217"/>
      <c r="W1096" s="326">
        <v>3109</v>
      </c>
      <c r="X1096" s="328" t="str">
        <f>IFERROR(VLOOKUP(W1096,DATA!$G$4:$H$400,2,FALSE),"")</f>
        <v xml:space="preserve">СИЛК РӨҮТ ТЕКСТИЛЬ ХХК </v>
      </c>
      <c r="Y1096" s="1205"/>
      <c r="Z1096" s="1205"/>
    </row>
    <row r="1097" spans="1:26" ht="12.75" customHeight="1">
      <c r="A1097" s="15">
        <v>244</v>
      </c>
      <c r="B1097" s="92">
        <f t="shared" si="264"/>
        <v>1092</v>
      </c>
      <c r="C1097" s="320">
        <v>43094</v>
      </c>
      <c r="D1097" s="321"/>
      <c r="E1097" s="323" t="str">
        <f t="shared" ca="1" si="276"/>
        <v/>
      </c>
      <c r="F1097" s="322"/>
      <c r="G1097" s="325"/>
      <c r="H1097" s="325"/>
      <c r="I1097" s="325" t="str">
        <f t="shared" si="278"/>
        <v/>
      </c>
      <c r="J1097" s="325" t="str">
        <f t="shared" si="286"/>
        <v/>
      </c>
      <c r="K1097" s="621" t="str">
        <f t="shared" si="280"/>
        <v/>
      </c>
      <c r="L1097" s="325"/>
      <c r="M1097" s="325"/>
      <c r="N1097" s="378" t="str">
        <f t="shared" si="281"/>
        <v/>
      </c>
      <c r="O1097" s="378" t="str">
        <f t="shared" si="282"/>
        <v/>
      </c>
      <c r="P1097" s="325" t="str">
        <f t="shared" si="283"/>
        <v/>
      </c>
      <c r="Q1097" s="325" t="str">
        <f t="shared" si="284"/>
        <v/>
      </c>
      <c r="R1097" s="325" t="str">
        <f t="shared" si="285"/>
        <v/>
      </c>
      <c r="S1097" s="609">
        <v>310500</v>
      </c>
      <c r="T1097" s="325" t="str">
        <f>+IFERROR(VLOOKUP(S1097,STAT1!$C$4:$D$189,2,FALSE),"")</f>
        <v>НӨАТ өглөг</v>
      </c>
      <c r="U1097" s="1226"/>
      <c r="V1097" s="1217">
        <v>74473.27</v>
      </c>
      <c r="W1097" s="326">
        <v>3109</v>
      </c>
      <c r="X1097" s="328" t="str">
        <f>IFERROR(VLOOKUP(W1097,DATA!$G$4:$H$400,2,FALSE),"")</f>
        <v xml:space="preserve">СИЛК РӨҮТ ТЕКСТИЛЬ ХХК </v>
      </c>
      <c r="Y1097" s="1205"/>
      <c r="Z1097" s="1205"/>
    </row>
    <row r="1098" spans="1:26" ht="12.75" customHeight="1">
      <c r="A1098" s="15">
        <v>244</v>
      </c>
      <c r="B1098" s="92">
        <f t="shared" si="264"/>
        <v>1093</v>
      </c>
      <c r="C1098" s="320">
        <v>43094</v>
      </c>
      <c r="D1098" s="321"/>
      <c r="E1098" s="323" t="str">
        <f t="shared" ca="1" si="276"/>
        <v/>
      </c>
      <c r="F1098" s="322"/>
      <c r="G1098" s="325"/>
      <c r="H1098" s="325"/>
      <c r="I1098" s="325" t="str">
        <f t="shared" si="278"/>
        <v/>
      </c>
      <c r="J1098" s="325" t="str">
        <f t="shared" si="286"/>
        <v/>
      </c>
      <c r="K1098" s="621" t="str">
        <f t="shared" si="280"/>
        <v/>
      </c>
      <c r="L1098" s="325"/>
      <c r="M1098" s="325"/>
      <c r="N1098" s="378" t="str">
        <f t="shared" si="281"/>
        <v/>
      </c>
      <c r="O1098" s="378" t="str">
        <f t="shared" si="282"/>
        <v/>
      </c>
      <c r="P1098" s="325" t="str">
        <f t="shared" si="283"/>
        <v/>
      </c>
      <c r="Q1098" s="325" t="str">
        <f t="shared" si="284"/>
        <v/>
      </c>
      <c r="R1098" s="325" t="str">
        <f t="shared" si="285"/>
        <v/>
      </c>
      <c r="S1098" s="609">
        <v>510000</v>
      </c>
      <c r="T1098" s="325" t="str">
        <f>+IFERROR(VLOOKUP(S1098,STAT1!$C$4:$D$189,2,FALSE),"")</f>
        <v>Үндсэн үйл ажиллагааны борлуулалт</v>
      </c>
      <c r="U1098" s="1226"/>
      <c r="V1098" s="1217">
        <v>744732.73</v>
      </c>
      <c r="W1098" s="326">
        <v>3109</v>
      </c>
      <c r="X1098" s="328" t="str">
        <f>IFERROR(VLOOKUP(W1098,DATA!$G$4:$H$400,2,FALSE),"")</f>
        <v xml:space="preserve">СИЛК РӨҮТ ТЕКСТИЛЬ ХХК </v>
      </c>
      <c r="Y1098" s="1205"/>
      <c r="Z1098" s="1205"/>
    </row>
    <row r="1099" spans="1:26" ht="12.75" customHeight="1">
      <c r="A1099" s="15">
        <v>244</v>
      </c>
      <c r="B1099" s="92">
        <f t="shared" si="264"/>
        <v>1094</v>
      </c>
      <c r="C1099" s="320">
        <v>43094</v>
      </c>
      <c r="D1099" s="321"/>
      <c r="E1099" s="323" t="str">
        <f t="shared" ca="1" si="276"/>
        <v/>
      </c>
      <c r="F1099" s="322"/>
      <c r="G1099" s="325"/>
      <c r="H1099" s="325"/>
      <c r="I1099" s="325" t="str">
        <f t="shared" si="278"/>
        <v/>
      </c>
      <c r="J1099" s="325" t="str">
        <f t="shared" si="286"/>
        <v/>
      </c>
      <c r="K1099" s="621" t="str">
        <f t="shared" si="280"/>
        <v/>
      </c>
      <c r="L1099" s="325"/>
      <c r="M1099" s="325"/>
      <c r="N1099" s="378" t="str">
        <f t="shared" si="281"/>
        <v/>
      </c>
      <c r="O1099" s="378" t="str">
        <f t="shared" si="282"/>
        <v/>
      </c>
      <c r="P1099" s="325" t="str">
        <f t="shared" si="283"/>
        <v/>
      </c>
      <c r="Q1099" s="325" t="str">
        <f t="shared" si="284"/>
        <v/>
      </c>
      <c r="R1099" s="325" t="str">
        <f t="shared" si="285"/>
        <v/>
      </c>
      <c r="S1099" s="609">
        <v>320100</v>
      </c>
      <c r="T1099" s="325" t="str">
        <f>+IFERROR(VLOOKUP(S1099,STAT1!$C$4:$D$189,2,FALSE),"")</f>
        <v>Урьдчилж орсон орлого MNT</v>
      </c>
      <c r="U1099" s="1226">
        <v>819206</v>
      </c>
      <c r="V1099" s="1217"/>
      <c r="W1099" s="326">
        <v>3109</v>
      </c>
      <c r="X1099" s="328" t="str">
        <f>IFERROR(VLOOKUP(W1099,DATA!$G$4:$H$400,2,FALSE),"")</f>
        <v xml:space="preserve">СИЛК РӨҮТ ТЕКСТИЛЬ ХХК </v>
      </c>
      <c r="Y1099" s="1205"/>
      <c r="Z1099" s="1205"/>
    </row>
    <row r="1100" spans="1:26" ht="12.75" customHeight="1">
      <c r="A1100" s="15">
        <v>245</v>
      </c>
      <c r="B1100" s="92">
        <f t="shared" si="264"/>
        <v>1095</v>
      </c>
      <c r="C1100" s="320">
        <v>43094</v>
      </c>
      <c r="D1100" s="321">
        <v>211801</v>
      </c>
      <c r="E1100" s="323" t="str">
        <f t="shared" ca="1" si="276"/>
        <v>Н-Ембүү /20*30мм/</v>
      </c>
      <c r="F1100" s="322"/>
      <c r="G1100" s="325"/>
      <c r="H1100" s="325"/>
      <c r="I1100" s="325" t="str">
        <f t="shared" si="278"/>
        <v/>
      </c>
      <c r="J1100" s="325" t="str">
        <f t="shared" si="286"/>
        <v/>
      </c>
      <c r="K1100" s="621" t="str">
        <f t="shared" si="280"/>
        <v/>
      </c>
      <c r="L1100" s="325">
        <v>500</v>
      </c>
      <c r="M1100" s="325">
        <v>1500</v>
      </c>
      <c r="N1100" s="378">
        <f t="shared" si="281"/>
        <v>750000</v>
      </c>
      <c r="O1100" s="378">
        <f t="shared" si="282"/>
        <v>75000</v>
      </c>
      <c r="P1100" s="325">
        <f t="shared" si="283"/>
        <v>825000</v>
      </c>
      <c r="Q1100" s="325">
        <f t="shared" ca="1" si="284"/>
        <v>647.5051947853126</v>
      </c>
      <c r="R1100" s="325">
        <f t="shared" ca="1" si="285"/>
        <v>323752.59739265632</v>
      </c>
      <c r="S1100" s="609">
        <v>150101</v>
      </c>
      <c r="T1100" s="325" t="str">
        <f>+IFERROR(VLOOKUP(S1100,STAT1!$C$4:$D$189,2,FALSE),"")</f>
        <v>Бараа бэлэн бүтээгдэхүүн БОЛОВСРУУЛАХ ЦЕХ /нарс/</v>
      </c>
      <c r="U1100" s="1226"/>
      <c r="V1100" s="1217">
        <v>323752.59739265632</v>
      </c>
      <c r="W1100" s="326">
        <v>4002</v>
      </c>
      <c r="X1100" s="328" t="str">
        <f>IFERROR(VLOOKUP(W1100,DATA!$G$4:$H$400,2,FALSE),"")</f>
        <v xml:space="preserve">Хувь хүн </v>
      </c>
      <c r="Y1100" s="1205"/>
      <c r="Z1100" s="1205"/>
    </row>
    <row r="1101" spans="1:26" ht="12.75" customHeight="1">
      <c r="A1101" s="15">
        <v>245</v>
      </c>
      <c r="B1101" s="92">
        <f t="shared" si="264"/>
        <v>1096</v>
      </c>
      <c r="C1101" s="320">
        <v>43094</v>
      </c>
      <c r="D1101" s="321"/>
      <c r="E1101" s="323" t="str">
        <f t="shared" ca="1" si="276"/>
        <v/>
      </c>
      <c r="F1101" s="322"/>
      <c r="G1101" s="325"/>
      <c r="H1101" s="325"/>
      <c r="I1101" s="325" t="str">
        <f t="shared" si="278"/>
        <v/>
      </c>
      <c r="J1101" s="325" t="str">
        <f t="shared" si="286"/>
        <v/>
      </c>
      <c r="K1101" s="621" t="str">
        <f t="shared" si="280"/>
        <v/>
      </c>
      <c r="L1101" s="325"/>
      <c r="M1101" s="325"/>
      <c r="N1101" s="378" t="str">
        <f t="shared" si="281"/>
        <v/>
      </c>
      <c r="O1101" s="378" t="str">
        <f t="shared" si="282"/>
        <v/>
      </c>
      <c r="P1101" s="325" t="str">
        <f t="shared" si="283"/>
        <v/>
      </c>
      <c r="Q1101" s="325" t="str">
        <f t="shared" si="284"/>
        <v/>
      </c>
      <c r="R1101" s="325" t="str">
        <f t="shared" si="285"/>
        <v/>
      </c>
      <c r="S1101" s="609">
        <v>610100</v>
      </c>
      <c r="T1101" s="325" t="str">
        <f>+IFERROR(VLOOKUP(S1101,STAT1!$C$4:$D$189,2,FALSE),"")</f>
        <v>Борлуулсан барааны өртөг</v>
      </c>
      <c r="U1101" s="1226">
        <v>323752.59739265632</v>
      </c>
      <c r="V1101" s="1217"/>
      <c r="W1101" s="326">
        <v>4002</v>
      </c>
      <c r="X1101" s="328" t="str">
        <f>IFERROR(VLOOKUP(W1101,DATA!$G$4:$H$400,2,FALSE),"")</f>
        <v xml:space="preserve">Хувь хүн </v>
      </c>
      <c r="Y1101" s="1205"/>
      <c r="Z1101" s="1205"/>
    </row>
    <row r="1102" spans="1:26" ht="12.75" customHeight="1">
      <c r="A1102" s="15">
        <v>245</v>
      </c>
      <c r="B1102" s="92">
        <f t="shared" si="264"/>
        <v>1097</v>
      </c>
      <c r="C1102" s="320">
        <v>43094</v>
      </c>
      <c r="D1102" s="321"/>
      <c r="E1102" s="323" t="str">
        <f t="shared" ca="1" si="276"/>
        <v/>
      </c>
      <c r="F1102" s="322"/>
      <c r="G1102" s="325"/>
      <c r="H1102" s="325"/>
      <c r="I1102" s="325" t="str">
        <f t="shared" si="278"/>
        <v/>
      </c>
      <c r="J1102" s="325" t="str">
        <f t="shared" si="286"/>
        <v/>
      </c>
      <c r="K1102" s="621" t="str">
        <f t="shared" si="280"/>
        <v/>
      </c>
      <c r="L1102" s="325"/>
      <c r="M1102" s="325"/>
      <c r="N1102" s="378" t="str">
        <f t="shared" si="281"/>
        <v/>
      </c>
      <c r="O1102" s="378" t="str">
        <f t="shared" si="282"/>
        <v/>
      </c>
      <c r="P1102" s="325" t="str">
        <f t="shared" si="283"/>
        <v/>
      </c>
      <c r="Q1102" s="325" t="str">
        <f t="shared" si="284"/>
        <v/>
      </c>
      <c r="R1102" s="325" t="str">
        <f t="shared" si="285"/>
        <v/>
      </c>
      <c r="S1102" s="609">
        <v>310500</v>
      </c>
      <c r="T1102" s="325" t="str">
        <f>+IFERROR(VLOOKUP(S1102,STAT1!$C$4:$D$189,2,FALSE),"")</f>
        <v>НӨАТ өглөг</v>
      </c>
      <c r="U1102" s="1226"/>
      <c r="V1102" s="1217">
        <v>75000</v>
      </c>
      <c r="W1102" s="326">
        <v>4002</v>
      </c>
      <c r="X1102" s="328" t="str">
        <f>IFERROR(VLOOKUP(W1102,DATA!$G$4:$H$400,2,FALSE),"")</f>
        <v xml:space="preserve">Хувь хүн </v>
      </c>
      <c r="Y1102" s="1205"/>
      <c r="Z1102" s="1205"/>
    </row>
    <row r="1103" spans="1:26" ht="12.75" customHeight="1">
      <c r="A1103" s="15">
        <v>245</v>
      </c>
      <c r="B1103" s="92">
        <f t="shared" si="264"/>
        <v>1098</v>
      </c>
      <c r="C1103" s="320">
        <v>43094</v>
      </c>
      <c r="D1103" s="321"/>
      <c r="E1103" s="323" t="str">
        <f t="shared" ca="1" si="276"/>
        <v/>
      </c>
      <c r="F1103" s="322"/>
      <c r="G1103" s="325"/>
      <c r="H1103" s="325"/>
      <c r="I1103" s="325" t="str">
        <f t="shared" si="278"/>
        <v/>
      </c>
      <c r="J1103" s="325" t="str">
        <f t="shared" si="286"/>
        <v/>
      </c>
      <c r="K1103" s="621" t="str">
        <f t="shared" si="280"/>
        <v/>
      </c>
      <c r="L1103" s="325"/>
      <c r="M1103" s="325"/>
      <c r="N1103" s="378" t="str">
        <f t="shared" si="281"/>
        <v/>
      </c>
      <c r="O1103" s="378" t="str">
        <f t="shared" si="282"/>
        <v/>
      </c>
      <c r="P1103" s="325" t="str">
        <f t="shared" si="283"/>
        <v/>
      </c>
      <c r="Q1103" s="325" t="str">
        <f t="shared" si="284"/>
        <v/>
      </c>
      <c r="R1103" s="325" t="str">
        <f t="shared" si="285"/>
        <v/>
      </c>
      <c r="S1103" s="609">
        <v>510000</v>
      </c>
      <c r="T1103" s="325" t="str">
        <f>+IFERROR(VLOOKUP(S1103,STAT1!$C$4:$D$189,2,FALSE),"")</f>
        <v>Үндсэн үйл ажиллагааны борлуулалт</v>
      </c>
      <c r="U1103" s="1226"/>
      <c r="V1103" s="1217">
        <v>750000</v>
      </c>
      <c r="W1103" s="326">
        <v>4002</v>
      </c>
      <c r="X1103" s="328" t="str">
        <f>IFERROR(VLOOKUP(W1103,DATA!$G$4:$H$400,2,FALSE),"")</f>
        <v xml:space="preserve">Хувь хүн </v>
      </c>
      <c r="Y1103" s="1205"/>
      <c r="Z1103" s="1205"/>
    </row>
    <row r="1104" spans="1:26" ht="12.75" customHeight="1">
      <c r="A1104" s="15">
        <v>245</v>
      </c>
      <c r="B1104" s="92">
        <f t="shared" si="264"/>
        <v>1099</v>
      </c>
      <c r="C1104" s="320">
        <v>43094</v>
      </c>
      <c r="D1104" s="321"/>
      <c r="E1104" s="323" t="str">
        <f t="shared" ca="1" si="276"/>
        <v/>
      </c>
      <c r="F1104" s="322"/>
      <c r="G1104" s="325"/>
      <c r="H1104" s="325"/>
      <c r="I1104" s="325" t="str">
        <f t="shared" si="278"/>
        <v/>
      </c>
      <c r="J1104" s="325" t="str">
        <f t="shared" si="286"/>
        <v/>
      </c>
      <c r="K1104" s="621" t="str">
        <f t="shared" si="280"/>
        <v/>
      </c>
      <c r="L1104" s="325"/>
      <c r="M1104" s="325"/>
      <c r="N1104" s="378" t="str">
        <f t="shared" si="281"/>
        <v/>
      </c>
      <c r="O1104" s="378" t="str">
        <f t="shared" si="282"/>
        <v/>
      </c>
      <c r="P1104" s="325" t="str">
        <f t="shared" si="283"/>
        <v/>
      </c>
      <c r="Q1104" s="325" t="str">
        <f t="shared" si="284"/>
        <v/>
      </c>
      <c r="R1104" s="325" t="str">
        <f t="shared" si="285"/>
        <v/>
      </c>
      <c r="S1104" s="609">
        <v>320100</v>
      </c>
      <c r="T1104" s="325" t="str">
        <f>+IFERROR(VLOOKUP(S1104,STAT1!$C$4:$D$189,2,FALSE),"")</f>
        <v>Урьдчилж орсон орлого MNT</v>
      </c>
      <c r="U1104" s="1226">
        <v>825000</v>
      </c>
      <c r="V1104" s="1217"/>
      <c r="W1104" s="326">
        <v>4002</v>
      </c>
      <c r="X1104" s="328" t="str">
        <f>IFERROR(VLOOKUP(W1104,DATA!$G$4:$H$400,2,FALSE),"")</f>
        <v xml:space="preserve">Хувь хүн </v>
      </c>
      <c r="Y1104" s="1205"/>
      <c r="Z1104" s="1205"/>
    </row>
    <row r="1105" spans="1:26" ht="12.75" customHeight="1">
      <c r="A1105" s="15">
        <v>246</v>
      </c>
      <c r="B1105" s="92">
        <f t="shared" si="264"/>
        <v>1100</v>
      </c>
      <c r="C1105" s="320">
        <v>43095</v>
      </c>
      <c r="D1105" s="321">
        <v>211802</v>
      </c>
      <c r="E1105" s="323" t="str">
        <f t="shared" ca="1" si="276"/>
        <v xml:space="preserve">Н-Уголок </v>
      </c>
      <c r="F1105" s="322" t="str">
        <f t="shared" ref="F1105:F1110" ca="1" si="287">+IFERROR(VLOOKUP(D1105,TN_table,3,FALSE),"")</f>
        <v>м</v>
      </c>
      <c r="G1105" s="325"/>
      <c r="H1105" s="325"/>
      <c r="I1105" s="325" t="str">
        <f t="shared" si="278"/>
        <v/>
      </c>
      <c r="J1105" s="325" t="str">
        <f t="shared" si="286"/>
        <v/>
      </c>
      <c r="K1105" s="621" t="str">
        <f t="shared" si="280"/>
        <v/>
      </c>
      <c r="L1105" s="325">
        <v>15</v>
      </c>
      <c r="M1105" s="325">
        <f>2992/1.1</f>
        <v>2720</v>
      </c>
      <c r="N1105" s="378">
        <f t="shared" si="281"/>
        <v>40800</v>
      </c>
      <c r="O1105" s="378">
        <f t="shared" si="282"/>
        <v>4080</v>
      </c>
      <c r="P1105" s="325">
        <f t="shared" si="283"/>
        <v>44880</v>
      </c>
      <c r="Q1105" s="325">
        <f t="shared" ca="1" si="284"/>
        <v>1412.1879249284552</v>
      </c>
      <c r="R1105" s="325">
        <f t="shared" ca="1" si="285"/>
        <v>21182.81887392683</v>
      </c>
      <c r="S1105" s="609">
        <v>150101</v>
      </c>
      <c r="T1105" s="325" t="str">
        <f>+IFERROR(VLOOKUP(S1105,STAT1!$C$4:$D$189,2,FALSE),"")</f>
        <v>Бараа бэлэн бүтээгдэхүүн БОЛОВСРУУЛАХ ЦЕХ /нарс/</v>
      </c>
      <c r="U1105" s="1226"/>
      <c r="V1105" s="1217">
        <v>21182.81887392683</v>
      </c>
      <c r="W1105" s="326">
        <v>3111</v>
      </c>
      <c r="X1105" s="328" t="str">
        <f>IFERROR(VLOOKUP(W1105,DATA!$G$4:$H$400,2,FALSE),"")</f>
        <v xml:space="preserve">ЗУЛЗАГАН ДӨЛ ХХК </v>
      </c>
      <c r="Y1105" s="1205"/>
      <c r="Z1105" s="1205"/>
    </row>
    <row r="1106" spans="1:26" ht="12.75" customHeight="1">
      <c r="A1106" s="15">
        <v>246</v>
      </c>
      <c r="B1106" s="92">
        <f t="shared" si="264"/>
        <v>1101</v>
      </c>
      <c r="C1106" s="320">
        <v>43095</v>
      </c>
      <c r="D1106" s="321"/>
      <c r="E1106" s="323" t="str">
        <f t="shared" ca="1" si="276"/>
        <v/>
      </c>
      <c r="F1106" s="322" t="str">
        <f t="shared" ca="1" si="287"/>
        <v/>
      </c>
      <c r="G1106" s="325"/>
      <c r="H1106" s="325"/>
      <c r="I1106" s="325" t="str">
        <f t="shared" si="278"/>
        <v/>
      </c>
      <c r="J1106" s="325" t="str">
        <f t="shared" si="286"/>
        <v/>
      </c>
      <c r="K1106" s="621" t="str">
        <f t="shared" si="280"/>
        <v/>
      </c>
      <c r="L1106" s="325"/>
      <c r="M1106" s="325"/>
      <c r="N1106" s="378" t="str">
        <f t="shared" si="281"/>
        <v/>
      </c>
      <c r="O1106" s="378" t="str">
        <f t="shared" si="282"/>
        <v/>
      </c>
      <c r="P1106" s="325" t="str">
        <f t="shared" si="283"/>
        <v/>
      </c>
      <c r="Q1106" s="325" t="str">
        <f t="shared" si="284"/>
        <v/>
      </c>
      <c r="R1106" s="325" t="str">
        <f t="shared" si="285"/>
        <v/>
      </c>
      <c r="S1106" s="609">
        <v>610100</v>
      </c>
      <c r="T1106" s="325" t="str">
        <f>+IFERROR(VLOOKUP(S1106,STAT1!$C$4:$D$189,2,FALSE),"")</f>
        <v>Борлуулсан барааны өртөг</v>
      </c>
      <c r="U1106" s="1226">
        <v>21182.81887392683</v>
      </c>
      <c r="V1106" s="1217"/>
      <c r="W1106" s="326">
        <v>3111</v>
      </c>
      <c r="X1106" s="328" t="str">
        <f>IFERROR(VLOOKUP(W1106,DATA!$G$4:$H$400,2,FALSE),"")</f>
        <v xml:space="preserve">ЗУЛЗАГАН ДӨЛ ХХК </v>
      </c>
      <c r="Y1106" s="1205"/>
      <c r="Z1106" s="1205"/>
    </row>
    <row r="1107" spans="1:26" ht="12.75" customHeight="1">
      <c r="A1107" s="15">
        <v>246</v>
      </c>
      <c r="B1107" s="92">
        <f t="shared" si="264"/>
        <v>1102</v>
      </c>
      <c r="C1107" s="320">
        <v>43095</v>
      </c>
      <c r="D1107" s="321"/>
      <c r="E1107" s="323" t="str">
        <f t="shared" ca="1" si="276"/>
        <v/>
      </c>
      <c r="F1107" s="322" t="str">
        <f t="shared" ca="1" si="287"/>
        <v/>
      </c>
      <c r="G1107" s="325"/>
      <c r="H1107" s="325"/>
      <c r="I1107" s="325" t="str">
        <f t="shared" si="278"/>
        <v/>
      </c>
      <c r="J1107" s="325" t="str">
        <f t="shared" si="286"/>
        <v/>
      </c>
      <c r="K1107" s="621" t="str">
        <f t="shared" si="280"/>
        <v/>
      </c>
      <c r="L1107" s="325"/>
      <c r="M1107" s="325"/>
      <c r="N1107" s="378" t="str">
        <f t="shared" si="281"/>
        <v/>
      </c>
      <c r="O1107" s="378" t="str">
        <f t="shared" si="282"/>
        <v/>
      </c>
      <c r="P1107" s="325" t="str">
        <f t="shared" si="283"/>
        <v/>
      </c>
      <c r="Q1107" s="325" t="str">
        <f t="shared" si="284"/>
        <v/>
      </c>
      <c r="R1107" s="325" t="str">
        <f t="shared" si="285"/>
        <v/>
      </c>
      <c r="S1107" s="609">
        <v>310500</v>
      </c>
      <c r="T1107" s="325" t="str">
        <f>+IFERROR(VLOOKUP(S1107,STAT1!$C$4:$D$189,2,FALSE),"")</f>
        <v>НӨАТ өглөг</v>
      </c>
      <c r="U1107" s="1226"/>
      <c r="V1107" s="1217">
        <v>4080</v>
      </c>
      <c r="W1107" s="326">
        <v>3111</v>
      </c>
      <c r="X1107" s="328" t="str">
        <f>IFERROR(VLOOKUP(W1107,DATA!$G$4:$H$400,2,FALSE),"")</f>
        <v xml:space="preserve">ЗУЛЗАГАН ДӨЛ ХХК </v>
      </c>
      <c r="Y1107" s="1205"/>
      <c r="Z1107" s="1205"/>
    </row>
    <row r="1108" spans="1:26" ht="12.75" customHeight="1">
      <c r="A1108" s="15">
        <v>246</v>
      </c>
      <c r="B1108" s="92">
        <f t="shared" si="264"/>
        <v>1103</v>
      </c>
      <c r="C1108" s="320">
        <v>43095</v>
      </c>
      <c r="D1108" s="321"/>
      <c r="E1108" s="323" t="str">
        <f t="shared" ca="1" si="276"/>
        <v/>
      </c>
      <c r="F1108" s="322" t="str">
        <f t="shared" ca="1" si="287"/>
        <v/>
      </c>
      <c r="G1108" s="325"/>
      <c r="H1108" s="325"/>
      <c r="I1108" s="325" t="str">
        <f t="shared" si="278"/>
        <v/>
      </c>
      <c r="J1108" s="325" t="str">
        <f t="shared" si="286"/>
        <v/>
      </c>
      <c r="K1108" s="621" t="str">
        <f t="shared" si="280"/>
        <v/>
      </c>
      <c r="L1108" s="325"/>
      <c r="M1108" s="325"/>
      <c r="N1108" s="378" t="str">
        <f t="shared" si="281"/>
        <v/>
      </c>
      <c r="O1108" s="378" t="str">
        <f t="shared" si="282"/>
        <v/>
      </c>
      <c r="P1108" s="325" t="str">
        <f t="shared" si="283"/>
        <v/>
      </c>
      <c r="Q1108" s="325" t="str">
        <f t="shared" si="284"/>
        <v/>
      </c>
      <c r="R1108" s="325" t="str">
        <f t="shared" si="285"/>
        <v/>
      </c>
      <c r="S1108" s="609">
        <v>510000</v>
      </c>
      <c r="T1108" s="325" t="str">
        <f>+IFERROR(VLOOKUP(S1108,STAT1!$C$4:$D$189,2,FALSE),"")</f>
        <v>Үндсэн үйл ажиллагааны борлуулалт</v>
      </c>
      <c r="U1108" s="1226"/>
      <c r="V1108" s="1217">
        <v>40800</v>
      </c>
      <c r="W1108" s="326">
        <v>3111</v>
      </c>
      <c r="X1108" s="328" t="str">
        <f>IFERROR(VLOOKUP(W1108,DATA!$G$4:$H$400,2,FALSE),"")</f>
        <v xml:space="preserve">ЗУЛЗАГАН ДӨЛ ХХК </v>
      </c>
      <c r="Y1108" s="1205"/>
      <c r="Z1108" s="1205"/>
    </row>
    <row r="1109" spans="1:26" ht="12.75" customHeight="1">
      <c r="A1109" s="15">
        <v>246</v>
      </c>
      <c r="B1109" s="92">
        <f t="shared" si="264"/>
        <v>1104</v>
      </c>
      <c r="C1109" s="320">
        <v>43095</v>
      </c>
      <c r="D1109" s="321"/>
      <c r="E1109" s="323" t="str">
        <f t="shared" ca="1" si="276"/>
        <v/>
      </c>
      <c r="F1109" s="322" t="str">
        <f t="shared" ca="1" si="287"/>
        <v/>
      </c>
      <c r="G1109" s="325"/>
      <c r="H1109" s="325"/>
      <c r="I1109" s="325" t="str">
        <f t="shared" si="278"/>
        <v/>
      </c>
      <c r="J1109" s="325" t="str">
        <f t="shared" si="286"/>
        <v/>
      </c>
      <c r="K1109" s="621" t="str">
        <f t="shared" si="280"/>
        <v/>
      </c>
      <c r="L1109" s="325"/>
      <c r="M1109" s="325"/>
      <c r="N1109" s="378" t="str">
        <f t="shared" si="281"/>
        <v/>
      </c>
      <c r="O1109" s="378" t="str">
        <f t="shared" si="282"/>
        <v/>
      </c>
      <c r="P1109" s="325" t="str">
        <f t="shared" si="283"/>
        <v/>
      </c>
      <c r="Q1109" s="325" t="str">
        <f t="shared" si="284"/>
        <v/>
      </c>
      <c r="R1109" s="325" t="str">
        <f t="shared" si="285"/>
        <v/>
      </c>
      <c r="S1109" s="609">
        <v>320100</v>
      </c>
      <c r="T1109" s="325" t="str">
        <f>+IFERROR(VLOOKUP(S1109,STAT1!$C$4:$D$189,2,FALSE),"")</f>
        <v>Урьдчилж орсон орлого MNT</v>
      </c>
      <c r="U1109" s="1226">
        <v>44880</v>
      </c>
      <c r="V1109" s="1217"/>
      <c r="W1109" s="326">
        <v>3111</v>
      </c>
      <c r="X1109" s="328" t="str">
        <f>IFERROR(VLOOKUP(W1109,DATA!$G$4:$H$400,2,FALSE),"")</f>
        <v xml:space="preserve">ЗУЛЗАГАН ДӨЛ ХХК </v>
      </c>
      <c r="Y1109" s="1205"/>
      <c r="Z1109" s="1205"/>
    </row>
    <row r="1110" spans="1:26" ht="12.75" customHeight="1">
      <c r="A1110" s="15">
        <v>247</v>
      </c>
      <c r="B1110" s="92">
        <f t="shared" si="264"/>
        <v>1105</v>
      </c>
      <c r="C1110" s="320">
        <v>43095</v>
      </c>
      <c r="D1110" s="321">
        <v>211503</v>
      </c>
      <c r="E1110" s="323" t="str">
        <f t="shared" ca="1" si="276"/>
        <v>Н-Евровагонка /зузаан-1.2см/</v>
      </c>
      <c r="F1110" s="322" t="str">
        <f t="shared" ca="1" si="287"/>
        <v>м2</v>
      </c>
      <c r="G1110" s="325"/>
      <c r="H1110" s="325"/>
      <c r="I1110" s="325" t="str">
        <f t="shared" si="278"/>
        <v/>
      </c>
      <c r="J1110" s="325"/>
      <c r="K1110" s="621" t="str">
        <f t="shared" si="280"/>
        <v/>
      </c>
      <c r="L1110" s="325">
        <v>36.57</v>
      </c>
      <c r="M1110" s="325">
        <f>868930/1.1/36.57</f>
        <v>21600.666219206003</v>
      </c>
      <c r="N1110" s="378">
        <f t="shared" si="281"/>
        <v>789936.36363636353</v>
      </c>
      <c r="O1110" s="378">
        <f t="shared" si="282"/>
        <v>78993.636363636353</v>
      </c>
      <c r="P1110" s="325">
        <f t="shared" si="283"/>
        <v>868929.99999999988</v>
      </c>
      <c r="Q1110" s="325">
        <f t="shared" ca="1" si="284"/>
        <v>13356.506456865676</v>
      </c>
      <c r="R1110" s="325">
        <f t="shared" ca="1" si="285"/>
        <v>488447.4411275778</v>
      </c>
      <c r="S1110" s="609">
        <v>150101</v>
      </c>
      <c r="T1110" s="325" t="str">
        <f>+IFERROR(VLOOKUP(S1110,STAT1!$C$4:$D$189,2,FALSE),"")</f>
        <v>Бараа бэлэн бүтээгдэхүүн БОЛОВСРУУЛАХ ЦЕХ /нарс/</v>
      </c>
      <c r="U1110" s="1226"/>
      <c r="V1110" s="1217">
        <v>488447.4411275778</v>
      </c>
      <c r="W1110" s="326">
        <v>3113</v>
      </c>
      <c r="X1110" s="328" t="str">
        <f>IFERROR(VLOOKUP(W1110,DATA!$G$4:$H$400,2,FALSE),"")</f>
        <v xml:space="preserve">ХАВТГАЙН ГОЛ ХХК </v>
      </c>
      <c r="Y1110" s="1205"/>
      <c r="Z1110" s="1205"/>
    </row>
    <row r="1111" spans="1:26" ht="12.75" customHeight="1">
      <c r="A1111" s="15">
        <v>247</v>
      </c>
      <c r="B1111" s="92">
        <f t="shared" si="264"/>
        <v>1106</v>
      </c>
      <c r="C1111" s="320">
        <v>43095</v>
      </c>
      <c r="D1111" s="321"/>
      <c r="E1111" s="323" t="str">
        <f t="shared" ca="1" si="276"/>
        <v/>
      </c>
      <c r="F1111" s="322"/>
      <c r="G1111" s="325"/>
      <c r="H1111" s="325"/>
      <c r="I1111" s="325" t="str">
        <f t="shared" si="278"/>
        <v/>
      </c>
      <c r="J1111" s="325" t="str">
        <f t="shared" ref="J1111:J1128" si="288">+IF(G1111="","",I1111*0.1)</f>
        <v/>
      </c>
      <c r="K1111" s="621" t="str">
        <f t="shared" si="280"/>
        <v/>
      </c>
      <c r="L1111" s="325"/>
      <c r="M1111" s="325"/>
      <c r="N1111" s="378" t="str">
        <f t="shared" si="281"/>
        <v/>
      </c>
      <c r="O1111" s="378" t="str">
        <f t="shared" si="282"/>
        <v/>
      </c>
      <c r="P1111" s="325" t="str">
        <f t="shared" si="283"/>
        <v/>
      </c>
      <c r="Q1111" s="325" t="str">
        <f t="shared" si="284"/>
        <v/>
      </c>
      <c r="R1111" s="325" t="str">
        <f t="shared" si="285"/>
        <v/>
      </c>
      <c r="S1111" s="609">
        <v>610100</v>
      </c>
      <c r="T1111" s="325" t="str">
        <f>+IFERROR(VLOOKUP(S1111,STAT1!$C$4:$D$189,2,FALSE),"")</f>
        <v>Борлуулсан барааны өртөг</v>
      </c>
      <c r="U1111" s="1226">
        <v>488447.4411275778</v>
      </c>
      <c r="V1111" s="1217"/>
      <c r="W1111" s="326">
        <v>3113</v>
      </c>
      <c r="X1111" s="328" t="str">
        <f>IFERROR(VLOOKUP(W1111,DATA!$G$4:$H$400,2,FALSE),"")</f>
        <v xml:space="preserve">ХАВТГАЙН ГОЛ ХХК </v>
      </c>
      <c r="Y1111" s="1205"/>
      <c r="Z1111" s="1205"/>
    </row>
    <row r="1112" spans="1:26" ht="12.75" customHeight="1">
      <c r="A1112" s="15">
        <v>247</v>
      </c>
      <c r="B1112" s="92">
        <f t="shared" si="264"/>
        <v>1107</v>
      </c>
      <c r="C1112" s="320">
        <v>43095</v>
      </c>
      <c r="D1112" s="426"/>
      <c r="E1112" s="323" t="str">
        <f t="shared" ca="1" si="276"/>
        <v/>
      </c>
      <c r="F1112" s="322"/>
      <c r="G1112" s="325"/>
      <c r="H1112" s="325"/>
      <c r="I1112" s="325" t="str">
        <f t="shared" si="278"/>
        <v/>
      </c>
      <c r="J1112" s="325" t="str">
        <f t="shared" si="288"/>
        <v/>
      </c>
      <c r="K1112" s="621" t="str">
        <f t="shared" si="280"/>
        <v/>
      </c>
      <c r="L1112" s="325"/>
      <c r="M1112" s="325"/>
      <c r="N1112" s="378" t="str">
        <f t="shared" si="281"/>
        <v/>
      </c>
      <c r="O1112" s="378" t="str">
        <f t="shared" si="282"/>
        <v/>
      </c>
      <c r="P1112" s="325" t="str">
        <f t="shared" si="283"/>
        <v/>
      </c>
      <c r="Q1112" s="325" t="str">
        <f t="shared" si="284"/>
        <v/>
      </c>
      <c r="R1112" s="325" t="str">
        <f t="shared" si="285"/>
        <v/>
      </c>
      <c r="S1112" s="609">
        <v>310500</v>
      </c>
      <c r="T1112" s="325" t="str">
        <f>+IFERROR(VLOOKUP(S1112,STAT1!$C$4:$D$189,2,FALSE),"")</f>
        <v>НӨАТ өглөг</v>
      </c>
      <c r="U1112" s="1226"/>
      <c r="V1112" s="1217">
        <v>78993.636363636353</v>
      </c>
      <c r="W1112" s="326">
        <v>3113</v>
      </c>
      <c r="X1112" s="328" t="str">
        <f>IFERROR(VLOOKUP(W1112,DATA!$G$4:$H$400,2,FALSE),"")</f>
        <v xml:space="preserve">ХАВТГАЙН ГОЛ ХХК </v>
      </c>
      <c r="Y1112" s="1205"/>
      <c r="Z1112" s="1205"/>
    </row>
    <row r="1113" spans="1:26" ht="12.75" customHeight="1">
      <c r="A1113" s="15">
        <v>247</v>
      </c>
      <c r="B1113" s="92">
        <f t="shared" si="264"/>
        <v>1108</v>
      </c>
      <c r="C1113" s="320">
        <v>43095</v>
      </c>
      <c r="D1113" s="426"/>
      <c r="E1113" s="323" t="str">
        <f t="shared" ca="1" si="276"/>
        <v/>
      </c>
      <c r="F1113" s="322"/>
      <c r="G1113" s="325"/>
      <c r="H1113" s="325"/>
      <c r="I1113" s="325" t="str">
        <f t="shared" si="278"/>
        <v/>
      </c>
      <c r="J1113" s="325" t="str">
        <f t="shared" si="288"/>
        <v/>
      </c>
      <c r="K1113" s="621" t="str">
        <f t="shared" si="280"/>
        <v/>
      </c>
      <c r="L1113" s="325"/>
      <c r="M1113" s="325"/>
      <c r="N1113" s="378" t="str">
        <f t="shared" si="281"/>
        <v/>
      </c>
      <c r="O1113" s="378" t="str">
        <f t="shared" si="282"/>
        <v/>
      </c>
      <c r="P1113" s="325" t="str">
        <f t="shared" si="283"/>
        <v/>
      </c>
      <c r="Q1113" s="325" t="str">
        <f t="shared" si="284"/>
        <v/>
      </c>
      <c r="R1113" s="325" t="str">
        <f t="shared" si="285"/>
        <v/>
      </c>
      <c r="S1113" s="609">
        <v>510000</v>
      </c>
      <c r="T1113" s="325" t="str">
        <f>+IFERROR(VLOOKUP(S1113,STAT1!$C$4:$D$189,2,FALSE),"")</f>
        <v>Үндсэн үйл ажиллагааны борлуулалт</v>
      </c>
      <c r="U1113" s="1226"/>
      <c r="V1113" s="1217">
        <v>789936.36363636353</v>
      </c>
      <c r="W1113" s="326">
        <v>3113</v>
      </c>
      <c r="X1113" s="328" t="str">
        <f>IFERROR(VLOOKUP(W1113,DATA!$G$4:$H$400,2,FALSE),"")</f>
        <v xml:space="preserve">ХАВТГАЙН ГОЛ ХХК </v>
      </c>
      <c r="Y1113" s="1205"/>
      <c r="Z1113" s="1205"/>
    </row>
    <row r="1114" spans="1:26" ht="12.75" customHeight="1">
      <c r="A1114" s="15">
        <v>247</v>
      </c>
      <c r="B1114" s="92">
        <f t="shared" si="264"/>
        <v>1109</v>
      </c>
      <c r="C1114" s="320">
        <v>43095</v>
      </c>
      <c r="D1114" s="426"/>
      <c r="E1114" s="323" t="str">
        <f t="shared" ca="1" si="276"/>
        <v/>
      </c>
      <c r="F1114" s="322"/>
      <c r="G1114" s="325"/>
      <c r="H1114" s="325"/>
      <c r="I1114" s="325" t="str">
        <f t="shared" si="278"/>
        <v/>
      </c>
      <c r="J1114" s="325" t="str">
        <f t="shared" si="288"/>
        <v/>
      </c>
      <c r="K1114" s="621" t="str">
        <f t="shared" si="280"/>
        <v/>
      </c>
      <c r="L1114" s="325"/>
      <c r="M1114" s="325"/>
      <c r="N1114" s="378" t="str">
        <f t="shared" si="281"/>
        <v/>
      </c>
      <c r="O1114" s="378" t="str">
        <f t="shared" si="282"/>
        <v/>
      </c>
      <c r="P1114" s="325" t="str">
        <f t="shared" si="283"/>
        <v/>
      </c>
      <c r="Q1114" s="325" t="str">
        <f t="shared" si="284"/>
        <v/>
      </c>
      <c r="R1114" s="325" t="str">
        <f t="shared" si="285"/>
        <v/>
      </c>
      <c r="S1114" s="609">
        <v>320100</v>
      </c>
      <c r="T1114" s="325" t="str">
        <f>+IFERROR(VLOOKUP(S1114,STAT1!$C$4:$D$189,2,FALSE),"")</f>
        <v>Урьдчилж орсон орлого MNT</v>
      </c>
      <c r="U1114" s="1226">
        <v>868930</v>
      </c>
      <c r="V1114" s="1217"/>
      <c r="W1114" s="326">
        <v>3113</v>
      </c>
      <c r="X1114" s="328" t="str">
        <f>IFERROR(VLOOKUP(W1114,DATA!$G$4:$H$400,2,FALSE),"")</f>
        <v xml:space="preserve">ХАВТГАЙН ГОЛ ХХК </v>
      </c>
      <c r="Y1114" s="1205"/>
      <c r="Z1114" s="1205"/>
    </row>
    <row r="1115" spans="1:26" ht="12.75" customHeight="1">
      <c r="A1115" s="15">
        <v>248</v>
      </c>
      <c r="B1115" s="92">
        <f t="shared" si="264"/>
        <v>1110</v>
      </c>
      <c r="C1115" s="320">
        <v>43097</v>
      </c>
      <c r="D1115" s="321">
        <v>211801</v>
      </c>
      <c r="E1115" s="323" t="str">
        <f t="shared" ca="1" si="276"/>
        <v>Н-Ембүү /20*30мм/</v>
      </c>
      <c r="F1115" s="322" t="str">
        <f t="shared" ref="F1115:F1128" ca="1" si="289">+IFERROR(VLOOKUP(D1115,TN_table,3,FALSE),"")</f>
        <v>м</v>
      </c>
      <c r="G1115" s="325"/>
      <c r="H1115" s="325"/>
      <c r="I1115" s="325" t="str">
        <f t="shared" si="278"/>
        <v/>
      </c>
      <c r="J1115" s="325" t="str">
        <f t="shared" si="288"/>
        <v/>
      </c>
      <c r="K1115" s="621" t="str">
        <f t="shared" si="280"/>
        <v/>
      </c>
      <c r="L1115" s="325">
        <v>141</v>
      </c>
      <c r="M1115" s="325">
        <v>1500</v>
      </c>
      <c r="N1115" s="378">
        <f t="shared" si="281"/>
        <v>211500</v>
      </c>
      <c r="O1115" s="378">
        <f t="shared" si="282"/>
        <v>21150</v>
      </c>
      <c r="P1115" s="325">
        <f t="shared" si="283"/>
        <v>232650</v>
      </c>
      <c r="Q1115" s="325">
        <f t="shared" ca="1" si="284"/>
        <v>647.50519478531271</v>
      </c>
      <c r="R1115" s="325">
        <f t="shared" ca="1" si="285"/>
        <v>91298.232464729095</v>
      </c>
      <c r="S1115" s="609">
        <v>150101</v>
      </c>
      <c r="T1115" s="325" t="str">
        <f>+IFERROR(VLOOKUP(S1115,STAT1!$C$4:$D$189,2,FALSE),"")</f>
        <v>Бараа бэлэн бүтээгдэхүүн БОЛОВСРУУЛАХ ЦЕХ /нарс/</v>
      </c>
      <c r="U1115" s="1226"/>
      <c r="V1115" s="1217">
        <v>91298.232464729095</v>
      </c>
      <c r="W1115" s="326">
        <v>4002</v>
      </c>
      <c r="X1115" s="328" t="str">
        <f>IFERROR(VLOOKUP(W1115,DATA!$G$4:$H$400,2,FALSE),"")</f>
        <v xml:space="preserve">Хувь хүн </v>
      </c>
      <c r="Y1115" s="1205"/>
      <c r="Z1115" s="1205"/>
    </row>
    <row r="1116" spans="1:26" ht="12.75" customHeight="1">
      <c r="A1116" s="15">
        <v>248</v>
      </c>
      <c r="B1116" s="92">
        <f t="shared" si="264"/>
        <v>1111</v>
      </c>
      <c r="C1116" s="320">
        <v>43097</v>
      </c>
      <c r="D1116" s="321"/>
      <c r="E1116" s="323" t="str">
        <f t="shared" ca="1" si="276"/>
        <v/>
      </c>
      <c r="F1116" s="322" t="str">
        <f t="shared" ca="1" si="289"/>
        <v/>
      </c>
      <c r="G1116" s="325"/>
      <c r="H1116" s="325"/>
      <c r="I1116" s="325" t="str">
        <f t="shared" si="278"/>
        <v/>
      </c>
      <c r="J1116" s="325" t="str">
        <f t="shared" si="288"/>
        <v/>
      </c>
      <c r="K1116" s="621" t="str">
        <f t="shared" si="280"/>
        <v/>
      </c>
      <c r="L1116" s="325"/>
      <c r="M1116" s="325"/>
      <c r="N1116" s="378" t="str">
        <f t="shared" si="281"/>
        <v/>
      </c>
      <c r="O1116" s="378" t="str">
        <f t="shared" si="282"/>
        <v/>
      </c>
      <c r="P1116" s="325" t="str">
        <f t="shared" si="283"/>
        <v/>
      </c>
      <c r="Q1116" s="325" t="str">
        <f t="shared" si="284"/>
        <v/>
      </c>
      <c r="R1116" s="325" t="str">
        <f t="shared" si="285"/>
        <v/>
      </c>
      <c r="S1116" s="609">
        <v>610100</v>
      </c>
      <c r="T1116" s="325" t="str">
        <f>+IFERROR(VLOOKUP(S1116,STAT1!$C$4:$D$189,2,FALSE),"")</f>
        <v>Борлуулсан барааны өртөг</v>
      </c>
      <c r="U1116" s="1226">
        <v>91298.232464729095</v>
      </c>
      <c r="V1116" s="1217"/>
      <c r="W1116" s="326">
        <v>4002</v>
      </c>
      <c r="X1116" s="328" t="str">
        <f>IFERROR(VLOOKUP(W1116,DATA!$G$4:$H$400,2,FALSE),"")</f>
        <v xml:space="preserve">Хувь хүн </v>
      </c>
      <c r="Y1116" s="1205"/>
      <c r="Z1116" s="1205"/>
    </row>
    <row r="1117" spans="1:26" ht="12.75" customHeight="1">
      <c r="A1117" s="15">
        <v>248</v>
      </c>
      <c r="B1117" s="92">
        <f t="shared" si="264"/>
        <v>1112</v>
      </c>
      <c r="C1117" s="320">
        <v>43097</v>
      </c>
      <c r="D1117" s="321"/>
      <c r="E1117" s="323" t="str">
        <f t="shared" ca="1" si="276"/>
        <v/>
      </c>
      <c r="F1117" s="322" t="str">
        <f t="shared" ca="1" si="289"/>
        <v/>
      </c>
      <c r="G1117" s="325"/>
      <c r="H1117" s="325"/>
      <c r="I1117" s="325" t="str">
        <f t="shared" si="278"/>
        <v/>
      </c>
      <c r="J1117" s="325" t="str">
        <f t="shared" si="288"/>
        <v/>
      </c>
      <c r="K1117" s="621" t="str">
        <f t="shared" si="280"/>
        <v/>
      </c>
      <c r="L1117" s="325"/>
      <c r="M1117" s="325"/>
      <c r="N1117" s="378" t="str">
        <f t="shared" si="281"/>
        <v/>
      </c>
      <c r="O1117" s="378" t="str">
        <f t="shared" si="282"/>
        <v/>
      </c>
      <c r="P1117" s="325" t="str">
        <f t="shared" si="283"/>
        <v/>
      </c>
      <c r="Q1117" s="325" t="str">
        <f t="shared" si="284"/>
        <v/>
      </c>
      <c r="R1117" s="325" t="str">
        <f t="shared" si="285"/>
        <v/>
      </c>
      <c r="S1117" s="609">
        <v>310500</v>
      </c>
      <c r="T1117" s="325" t="str">
        <f>+IFERROR(VLOOKUP(S1117,STAT1!$C$4:$D$189,2,FALSE),"")</f>
        <v>НӨАТ өглөг</v>
      </c>
      <c r="U1117" s="1226"/>
      <c r="V1117" s="1217">
        <v>21150</v>
      </c>
      <c r="W1117" s="326">
        <v>4002</v>
      </c>
      <c r="X1117" s="328" t="str">
        <f>IFERROR(VLOOKUP(W1117,DATA!$G$4:$H$400,2,FALSE),"")</f>
        <v xml:space="preserve">Хувь хүн </v>
      </c>
      <c r="Y1117" s="1205"/>
      <c r="Z1117" s="1205"/>
    </row>
    <row r="1118" spans="1:26" ht="12.75" customHeight="1">
      <c r="A1118" s="15">
        <v>248</v>
      </c>
      <c r="B1118" s="92">
        <f t="shared" si="264"/>
        <v>1113</v>
      </c>
      <c r="C1118" s="320">
        <v>43097</v>
      </c>
      <c r="D1118" s="321"/>
      <c r="E1118" s="323" t="str">
        <f t="shared" ca="1" si="276"/>
        <v/>
      </c>
      <c r="F1118" s="322" t="str">
        <f t="shared" ca="1" si="289"/>
        <v/>
      </c>
      <c r="G1118" s="325"/>
      <c r="H1118" s="325"/>
      <c r="I1118" s="325" t="str">
        <f t="shared" si="278"/>
        <v/>
      </c>
      <c r="J1118" s="325" t="str">
        <f t="shared" si="288"/>
        <v/>
      </c>
      <c r="K1118" s="621" t="str">
        <f t="shared" si="280"/>
        <v/>
      </c>
      <c r="L1118" s="325"/>
      <c r="M1118" s="325"/>
      <c r="N1118" s="378" t="str">
        <f t="shared" si="281"/>
        <v/>
      </c>
      <c r="O1118" s="378" t="str">
        <f t="shared" si="282"/>
        <v/>
      </c>
      <c r="P1118" s="325" t="str">
        <f t="shared" si="283"/>
        <v/>
      </c>
      <c r="Q1118" s="325" t="str">
        <f t="shared" si="284"/>
        <v/>
      </c>
      <c r="R1118" s="325" t="str">
        <f t="shared" si="285"/>
        <v/>
      </c>
      <c r="S1118" s="609">
        <v>510000</v>
      </c>
      <c r="T1118" s="325" t="str">
        <f>+IFERROR(VLOOKUP(S1118,STAT1!$C$4:$D$189,2,FALSE),"")</f>
        <v>Үндсэн үйл ажиллагааны борлуулалт</v>
      </c>
      <c r="U1118" s="1226"/>
      <c r="V1118" s="1217">
        <v>211500</v>
      </c>
      <c r="W1118" s="326">
        <v>4002</v>
      </c>
      <c r="X1118" s="328" t="str">
        <f>IFERROR(VLOOKUP(W1118,DATA!$G$4:$H$400,2,FALSE),"")</f>
        <v xml:space="preserve">Хувь хүн </v>
      </c>
      <c r="Y1118" s="1205"/>
      <c r="Z1118" s="1205"/>
    </row>
    <row r="1119" spans="1:26" ht="12.75" customHeight="1">
      <c r="A1119" s="15">
        <v>248</v>
      </c>
      <c r="B1119" s="92">
        <f t="shared" si="264"/>
        <v>1114</v>
      </c>
      <c r="C1119" s="320">
        <v>43097</v>
      </c>
      <c r="D1119" s="321"/>
      <c r="E1119" s="323" t="str">
        <f t="shared" ca="1" si="276"/>
        <v/>
      </c>
      <c r="F1119" s="322" t="str">
        <f t="shared" ca="1" si="289"/>
        <v/>
      </c>
      <c r="G1119" s="325"/>
      <c r="H1119" s="325"/>
      <c r="I1119" s="325" t="str">
        <f t="shared" si="278"/>
        <v/>
      </c>
      <c r="J1119" s="325" t="str">
        <f t="shared" si="288"/>
        <v/>
      </c>
      <c r="K1119" s="621" t="str">
        <f t="shared" si="280"/>
        <v/>
      </c>
      <c r="L1119" s="325"/>
      <c r="M1119" s="325"/>
      <c r="N1119" s="378" t="str">
        <f t="shared" si="281"/>
        <v/>
      </c>
      <c r="O1119" s="378" t="str">
        <f t="shared" si="282"/>
        <v/>
      </c>
      <c r="P1119" s="325" t="str">
        <f t="shared" si="283"/>
        <v/>
      </c>
      <c r="Q1119" s="325" t="str">
        <f t="shared" si="284"/>
        <v/>
      </c>
      <c r="R1119" s="325" t="str">
        <f t="shared" si="285"/>
        <v/>
      </c>
      <c r="S1119" s="609">
        <v>320100</v>
      </c>
      <c r="T1119" s="325" t="str">
        <f>+IFERROR(VLOOKUP(S1119,STAT1!$C$4:$D$189,2,FALSE),"")</f>
        <v>Урьдчилж орсон орлого MNT</v>
      </c>
      <c r="U1119" s="1226">
        <v>232650</v>
      </c>
      <c r="V1119" s="1217"/>
      <c r="W1119" s="326">
        <v>4002</v>
      </c>
      <c r="X1119" s="328" t="str">
        <f>IFERROR(VLOOKUP(W1119,DATA!$G$4:$H$400,2,FALSE),"")</f>
        <v xml:space="preserve">Хувь хүн </v>
      </c>
      <c r="Y1119" s="1205"/>
      <c r="Z1119" s="1205"/>
    </row>
    <row r="1120" spans="1:26" ht="12.75" customHeight="1">
      <c r="A1120" s="15">
        <v>249</v>
      </c>
      <c r="B1120" s="92">
        <f t="shared" si="264"/>
        <v>1115</v>
      </c>
      <c r="C1120" s="320">
        <v>43097</v>
      </c>
      <c r="D1120" s="321">
        <v>211801</v>
      </c>
      <c r="E1120" s="323" t="str">
        <f t="shared" ca="1" si="276"/>
        <v>Н-Ембүү /20*30мм/</v>
      </c>
      <c r="F1120" s="322" t="str">
        <f t="shared" ca="1" si="289"/>
        <v>м</v>
      </c>
      <c r="G1120" s="325"/>
      <c r="H1120" s="325"/>
      <c r="I1120" s="325" t="str">
        <f t="shared" si="278"/>
        <v/>
      </c>
      <c r="J1120" s="325" t="str">
        <f t="shared" si="288"/>
        <v/>
      </c>
      <c r="K1120" s="621" t="str">
        <f t="shared" si="280"/>
        <v/>
      </c>
      <c r="L1120" s="325">
        <v>12</v>
      </c>
      <c r="M1120" s="325">
        <v>1500</v>
      </c>
      <c r="N1120" s="378">
        <f t="shared" si="281"/>
        <v>18000</v>
      </c>
      <c r="O1120" s="378">
        <f t="shared" si="282"/>
        <v>1800</v>
      </c>
      <c r="P1120" s="325">
        <f t="shared" si="283"/>
        <v>19800</v>
      </c>
      <c r="Q1120" s="325">
        <f t="shared" ca="1" si="284"/>
        <v>647.50519478531271</v>
      </c>
      <c r="R1120" s="325">
        <f t="shared" ca="1" si="285"/>
        <v>7770.062337423753</v>
      </c>
      <c r="S1120" s="609">
        <v>150101</v>
      </c>
      <c r="T1120" s="325" t="str">
        <f>+IFERROR(VLOOKUP(S1120,STAT1!$C$4:$D$189,2,FALSE),"")</f>
        <v>Бараа бэлэн бүтээгдэхүүн БОЛОВСРУУЛАХ ЦЕХ /нарс/</v>
      </c>
      <c r="U1120" s="1226"/>
      <c r="V1120" s="1217">
        <v>7770.062337423753</v>
      </c>
      <c r="W1120" s="326">
        <v>3113</v>
      </c>
      <c r="X1120" s="328" t="str">
        <f>IFERROR(VLOOKUP(W1120,DATA!$G$4:$H$400,2,FALSE),"")</f>
        <v xml:space="preserve">ХАВТГАЙН ГОЛ ХХК </v>
      </c>
      <c r="Y1120" s="1205"/>
      <c r="Z1120" s="1205"/>
    </row>
    <row r="1121" spans="1:26" ht="12.75" customHeight="1">
      <c r="A1121" s="15">
        <v>249</v>
      </c>
      <c r="B1121" s="92">
        <f t="shared" si="264"/>
        <v>1116</v>
      </c>
      <c r="C1121" s="320">
        <v>43097</v>
      </c>
      <c r="D1121" s="321"/>
      <c r="E1121" s="323" t="str">
        <f t="shared" ca="1" si="276"/>
        <v/>
      </c>
      <c r="F1121" s="322" t="str">
        <f t="shared" ca="1" si="289"/>
        <v/>
      </c>
      <c r="G1121" s="325"/>
      <c r="H1121" s="325"/>
      <c r="I1121" s="325" t="str">
        <f t="shared" si="278"/>
        <v/>
      </c>
      <c r="J1121" s="325" t="str">
        <f t="shared" si="288"/>
        <v/>
      </c>
      <c r="K1121" s="621" t="str">
        <f t="shared" si="280"/>
        <v/>
      </c>
      <c r="L1121" s="325"/>
      <c r="M1121" s="325"/>
      <c r="N1121" s="378" t="str">
        <f t="shared" si="281"/>
        <v/>
      </c>
      <c r="O1121" s="378" t="str">
        <f t="shared" si="282"/>
        <v/>
      </c>
      <c r="P1121" s="325" t="str">
        <f t="shared" si="283"/>
        <v/>
      </c>
      <c r="Q1121" s="325" t="str">
        <f t="shared" si="284"/>
        <v/>
      </c>
      <c r="R1121" s="325" t="str">
        <f t="shared" si="285"/>
        <v/>
      </c>
      <c r="S1121" s="609">
        <v>610100</v>
      </c>
      <c r="T1121" s="325" t="str">
        <f>+IFERROR(VLOOKUP(S1121,STAT1!$C$4:$D$189,2,FALSE),"")</f>
        <v>Борлуулсан барааны өртөг</v>
      </c>
      <c r="U1121" s="1226">
        <v>7770.062337423753</v>
      </c>
      <c r="V1121" s="1217"/>
      <c r="W1121" s="326">
        <v>3113</v>
      </c>
      <c r="X1121" s="328" t="str">
        <f>IFERROR(VLOOKUP(W1121,DATA!$G$4:$H$400,2,FALSE),"")</f>
        <v xml:space="preserve">ХАВТГАЙН ГОЛ ХХК </v>
      </c>
      <c r="Y1121" s="1205"/>
      <c r="Z1121" s="1205"/>
    </row>
    <row r="1122" spans="1:26" ht="12.75" customHeight="1">
      <c r="A1122" s="15">
        <v>249</v>
      </c>
      <c r="B1122" s="92">
        <f t="shared" si="264"/>
        <v>1117</v>
      </c>
      <c r="C1122" s="320">
        <v>43097</v>
      </c>
      <c r="D1122" s="321"/>
      <c r="E1122" s="323" t="str">
        <f t="shared" ca="1" si="276"/>
        <v/>
      </c>
      <c r="F1122" s="322" t="str">
        <f t="shared" ca="1" si="289"/>
        <v/>
      </c>
      <c r="G1122" s="325"/>
      <c r="H1122" s="325"/>
      <c r="I1122" s="325" t="str">
        <f t="shared" si="278"/>
        <v/>
      </c>
      <c r="J1122" s="325" t="str">
        <f t="shared" si="288"/>
        <v/>
      </c>
      <c r="K1122" s="621" t="str">
        <f t="shared" si="280"/>
        <v/>
      </c>
      <c r="L1122" s="325"/>
      <c r="M1122" s="325"/>
      <c r="N1122" s="378" t="str">
        <f t="shared" si="281"/>
        <v/>
      </c>
      <c r="O1122" s="378" t="str">
        <f t="shared" si="282"/>
        <v/>
      </c>
      <c r="P1122" s="325" t="str">
        <f t="shared" si="283"/>
        <v/>
      </c>
      <c r="Q1122" s="325" t="str">
        <f t="shared" si="284"/>
        <v/>
      </c>
      <c r="R1122" s="325" t="str">
        <f t="shared" si="285"/>
        <v/>
      </c>
      <c r="S1122" s="609">
        <v>310500</v>
      </c>
      <c r="T1122" s="325" t="str">
        <f>+IFERROR(VLOOKUP(S1122,STAT1!$C$4:$D$189,2,FALSE),"")</f>
        <v>НӨАТ өглөг</v>
      </c>
      <c r="U1122" s="1226"/>
      <c r="V1122" s="1217">
        <v>1800</v>
      </c>
      <c r="W1122" s="326">
        <v>3113</v>
      </c>
      <c r="X1122" s="328" t="str">
        <f>IFERROR(VLOOKUP(W1122,DATA!$G$4:$H$400,2,FALSE),"")</f>
        <v xml:space="preserve">ХАВТГАЙН ГОЛ ХХК </v>
      </c>
      <c r="Y1122" s="1205"/>
      <c r="Z1122" s="1205"/>
    </row>
    <row r="1123" spans="1:26" ht="12.75" customHeight="1">
      <c r="A1123" s="15">
        <v>249</v>
      </c>
      <c r="B1123" s="92">
        <f t="shared" si="264"/>
        <v>1118</v>
      </c>
      <c r="C1123" s="320">
        <v>43097</v>
      </c>
      <c r="D1123" s="321"/>
      <c r="E1123" s="323" t="str">
        <f t="shared" ca="1" si="276"/>
        <v/>
      </c>
      <c r="F1123" s="322" t="str">
        <f t="shared" ca="1" si="289"/>
        <v/>
      </c>
      <c r="G1123" s="325"/>
      <c r="H1123" s="325"/>
      <c r="I1123" s="325" t="str">
        <f t="shared" si="278"/>
        <v/>
      </c>
      <c r="J1123" s="325" t="str">
        <f t="shared" si="288"/>
        <v/>
      </c>
      <c r="K1123" s="621" t="str">
        <f t="shared" si="280"/>
        <v/>
      </c>
      <c r="L1123" s="325"/>
      <c r="M1123" s="325"/>
      <c r="N1123" s="378" t="str">
        <f t="shared" si="281"/>
        <v/>
      </c>
      <c r="O1123" s="378" t="str">
        <f t="shared" si="282"/>
        <v/>
      </c>
      <c r="P1123" s="325" t="str">
        <f t="shared" si="283"/>
        <v/>
      </c>
      <c r="Q1123" s="325" t="str">
        <f t="shared" si="284"/>
        <v/>
      </c>
      <c r="R1123" s="325" t="str">
        <f t="shared" si="285"/>
        <v/>
      </c>
      <c r="S1123" s="609">
        <v>510000</v>
      </c>
      <c r="T1123" s="325" t="str">
        <f>+IFERROR(VLOOKUP(S1123,STAT1!$C$4:$D$189,2,FALSE),"")</f>
        <v>Үндсэн үйл ажиллагааны борлуулалт</v>
      </c>
      <c r="U1123" s="1226"/>
      <c r="V1123" s="1217">
        <v>18000</v>
      </c>
      <c r="W1123" s="326">
        <v>3113</v>
      </c>
      <c r="X1123" s="328" t="str">
        <f>IFERROR(VLOOKUP(W1123,DATA!$G$4:$H$400,2,FALSE),"")</f>
        <v xml:space="preserve">ХАВТГАЙН ГОЛ ХХК </v>
      </c>
      <c r="Y1123" s="1205"/>
      <c r="Z1123" s="1205"/>
    </row>
    <row r="1124" spans="1:26" ht="12.75" customHeight="1">
      <c r="A1124" s="15">
        <v>249</v>
      </c>
      <c r="B1124" s="92">
        <f t="shared" si="264"/>
        <v>1119</v>
      </c>
      <c r="C1124" s="320">
        <v>43097</v>
      </c>
      <c r="D1124" s="321"/>
      <c r="E1124" s="323" t="str">
        <f t="shared" ca="1" si="276"/>
        <v/>
      </c>
      <c r="F1124" s="322" t="str">
        <f t="shared" ca="1" si="289"/>
        <v/>
      </c>
      <c r="G1124" s="325"/>
      <c r="H1124" s="325"/>
      <c r="I1124" s="325" t="str">
        <f t="shared" si="278"/>
        <v/>
      </c>
      <c r="J1124" s="325" t="str">
        <f t="shared" si="288"/>
        <v/>
      </c>
      <c r="K1124" s="621" t="str">
        <f t="shared" si="280"/>
        <v/>
      </c>
      <c r="L1124" s="325"/>
      <c r="M1124" s="325"/>
      <c r="N1124" s="378" t="str">
        <f t="shared" si="281"/>
        <v/>
      </c>
      <c r="O1124" s="378" t="str">
        <f t="shared" si="282"/>
        <v/>
      </c>
      <c r="P1124" s="325" t="str">
        <f t="shared" si="283"/>
        <v/>
      </c>
      <c r="Q1124" s="325" t="str">
        <f t="shared" si="284"/>
        <v/>
      </c>
      <c r="R1124" s="325" t="str">
        <f t="shared" si="285"/>
        <v/>
      </c>
      <c r="S1124" s="609">
        <v>320100</v>
      </c>
      <c r="T1124" s="325" t="str">
        <f>+IFERROR(VLOOKUP(S1124,STAT1!$C$4:$D$189,2,FALSE),"")</f>
        <v>Урьдчилж орсон орлого MNT</v>
      </c>
      <c r="U1124" s="1226">
        <v>19800</v>
      </c>
      <c r="V1124" s="1217"/>
      <c r="W1124" s="326">
        <v>3113</v>
      </c>
      <c r="X1124" s="328" t="str">
        <f>IFERROR(VLOOKUP(W1124,DATA!$G$4:$H$400,2,FALSE),"")</f>
        <v xml:space="preserve">ХАВТГАЙН ГОЛ ХХК </v>
      </c>
      <c r="Y1124" s="1205"/>
      <c r="Z1124" s="1205"/>
    </row>
    <row r="1125" spans="1:26" ht="12.75" customHeight="1">
      <c r="A1125" s="15">
        <v>250</v>
      </c>
      <c r="B1125" s="92">
        <f t="shared" ref="B1125:B1128" si="290">IF(C1125="","",ROW()-5)</f>
        <v>1120</v>
      </c>
      <c r="C1125" s="320">
        <v>43100</v>
      </c>
      <c r="D1125" s="321">
        <v>410311</v>
      </c>
      <c r="E1125" s="323" t="str">
        <f t="shared" ca="1" si="276"/>
        <v>Кабель/галд тэсвэртэй/</v>
      </c>
      <c r="F1125" s="322" t="str">
        <f t="shared" ca="1" si="289"/>
        <v>м</v>
      </c>
      <c r="G1125" s="325"/>
      <c r="H1125" s="325"/>
      <c r="I1125" s="325" t="str">
        <f t="shared" si="278"/>
        <v/>
      </c>
      <c r="J1125" s="325" t="str">
        <f t="shared" si="288"/>
        <v/>
      </c>
      <c r="K1125" s="621" t="str">
        <f t="shared" si="280"/>
        <v/>
      </c>
      <c r="L1125" s="325">
        <v>113</v>
      </c>
      <c r="M1125" s="325"/>
      <c r="N1125" s="378">
        <f t="shared" si="281"/>
        <v>0</v>
      </c>
      <c r="O1125" s="378">
        <f t="shared" si="282"/>
        <v>0</v>
      </c>
      <c r="P1125" s="325">
        <f t="shared" si="283"/>
        <v>0</v>
      </c>
      <c r="Q1125" s="325">
        <f t="shared" ca="1" si="284"/>
        <v>4958.2491824034341</v>
      </c>
      <c r="R1125" s="325">
        <f t="shared" ca="1" si="285"/>
        <v>560282.15761158802</v>
      </c>
      <c r="S1125" s="609">
        <v>160100</v>
      </c>
      <c r="T1125" s="325" t="str">
        <f>+IFERROR(VLOOKUP(S1125,STAT1!$C$4:$D$189,2,FALSE),"")</f>
        <v xml:space="preserve">Барилгын материал </v>
      </c>
      <c r="U1125" s="1226"/>
      <c r="V1125" s="1217">
        <v>560282.16</v>
      </c>
      <c r="W1125" s="326">
        <v>1004</v>
      </c>
      <c r="X1125" s="328" t="str">
        <f>IFERROR(VLOOKUP(W1125,DATA!$G$4:$H$400,2,FALSE),"")</f>
        <v xml:space="preserve">Түмэндэлгэр </v>
      </c>
      <c r="Y1125" s="1205"/>
      <c r="Z1125" s="1205"/>
    </row>
    <row r="1126" spans="1:26" ht="12.75" customHeight="1">
      <c r="A1126" s="15">
        <v>250</v>
      </c>
      <c r="B1126" s="92">
        <f t="shared" si="290"/>
        <v>1121</v>
      </c>
      <c r="C1126" s="320">
        <v>43100</v>
      </c>
      <c r="D1126" s="321">
        <v>440001</v>
      </c>
      <c r="E1126" s="323" t="str">
        <f t="shared" ca="1" si="276"/>
        <v xml:space="preserve">Аж ахуйн хэрэглэл </v>
      </c>
      <c r="F1126" s="322" t="str">
        <f t="shared" ca="1" si="289"/>
        <v>ш</v>
      </c>
      <c r="G1126" s="325"/>
      <c r="H1126" s="325"/>
      <c r="I1126" s="325" t="str">
        <f t="shared" si="278"/>
        <v/>
      </c>
      <c r="J1126" s="325" t="str">
        <f t="shared" si="288"/>
        <v/>
      </c>
      <c r="K1126" s="621" t="str">
        <f t="shared" si="280"/>
        <v/>
      </c>
      <c r="L1126" s="325">
        <v>9</v>
      </c>
      <c r="M1126" s="325"/>
      <c r="N1126" s="378">
        <f t="shared" si="281"/>
        <v>0</v>
      </c>
      <c r="O1126" s="378">
        <f t="shared" si="282"/>
        <v>0</v>
      </c>
      <c r="P1126" s="325">
        <f t="shared" si="283"/>
        <v>0</v>
      </c>
      <c r="Q1126" s="325">
        <f t="shared" ca="1" si="284"/>
        <v>3162.34</v>
      </c>
      <c r="R1126" s="325">
        <f t="shared" ca="1" si="285"/>
        <v>28461.06</v>
      </c>
      <c r="S1126" s="609">
        <v>160200</v>
      </c>
      <c r="T1126" s="325" t="str">
        <f>+IFERROR(VLOOKUP(S1126,STAT1!$C$4:$D$189,2,FALSE),"")</f>
        <v>Агуулахад байгаа материал, хангамж</v>
      </c>
      <c r="U1126" s="1226"/>
      <c r="V1126" s="1217">
        <v>28461.06</v>
      </c>
      <c r="W1126" s="326">
        <v>1004</v>
      </c>
      <c r="X1126" s="328" t="str">
        <f>IFERROR(VLOOKUP(W1126,DATA!$G$4:$H$400,2,FALSE),"")</f>
        <v xml:space="preserve">Түмэндэлгэр </v>
      </c>
      <c r="Y1126" s="1205"/>
      <c r="Z1126" s="1205"/>
    </row>
    <row r="1127" spans="1:26" ht="12.75" customHeight="1">
      <c r="A1127" s="15">
        <v>250</v>
      </c>
      <c r="B1127" s="92">
        <f t="shared" si="290"/>
        <v>1122</v>
      </c>
      <c r="C1127" s="320">
        <v>43100</v>
      </c>
      <c r="D1127" s="321">
        <v>410344</v>
      </c>
      <c r="E1127" s="323" t="str">
        <f t="shared" ca="1" si="276"/>
        <v xml:space="preserve">Контактор </v>
      </c>
      <c r="F1127" s="322" t="str">
        <f t="shared" ca="1" si="289"/>
        <v>ш</v>
      </c>
      <c r="G1127" s="325"/>
      <c r="H1127" s="325"/>
      <c r="I1127" s="325" t="str">
        <f t="shared" si="278"/>
        <v/>
      </c>
      <c r="J1127" s="325" t="str">
        <f t="shared" si="288"/>
        <v/>
      </c>
      <c r="K1127" s="621" t="str">
        <f t="shared" si="280"/>
        <v/>
      </c>
      <c r="L1127" s="325">
        <v>5</v>
      </c>
      <c r="M1127" s="325"/>
      <c r="N1127" s="378">
        <f t="shared" si="281"/>
        <v>0</v>
      </c>
      <c r="O1127" s="378">
        <f t="shared" si="282"/>
        <v>0</v>
      </c>
      <c r="P1127" s="325">
        <f t="shared" si="283"/>
        <v>0</v>
      </c>
      <c r="Q1127" s="325">
        <f t="shared" ca="1" si="284"/>
        <v>141449.35</v>
      </c>
      <c r="R1127" s="325">
        <f t="shared" ca="1" si="285"/>
        <v>707246.75</v>
      </c>
      <c r="S1127" s="609">
        <v>160100</v>
      </c>
      <c r="T1127" s="325" t="str">
        <f>+IFERROR(VLOOKUP(S1127,STAT1!$C$4:$D$189,2,FALSE),"")</f>
        <v xml:space="preserve">Барилгын материал </v>
      </c>
      <c r="U1127" s="1226"/>
      <c r="V1127" s="1217">
        <v>707246.75</v>
      </c>
      <c r="W1127" s="326">
        <v>1004</v>
      </c>
      <c r="X1127" s="328" t="str">
        <f>IFERROR(VLOOKUP(W1127,DATA!$G$4:$H$400,2,FALSE),"")</f>
        <v xml:space="preserve">Түмэндэлгэр </v>
      </c>
      <c r="Y1127" s="1205"/>
      <c r="Z1127" s="1205"/>
    </row>
    <row r="1128" spans="1:26" ht="12.75" customHeight="1">
      <c r="A1128" s="15">
        <v>250</v>
      </c>
      <c r="B1128" s="92">
        <f t="shared" si="290"/>
        <v>1123</v>
      </c>
      <c r="C1128" s="320">
        <v>43100</v>
      </c>
      <c r="D1128" s="321"/>
      <c r="E1128" s="323" t="str">
        <f t="shared" ca="1" si="276"/>
        <v/>
      </c>
      <c r="F1128" s="322" t="str">
        <f t="shared" ca="1" si="289"/>
        <v/>
      </c>
      <c r="G1128" s="325"/>
      <c r="H1128" s="325"/>
      <c r="I1128" s="325" t="str">
        <f t="shared" si="278"/>
        <v/>
      </c>
      <c r="J1128" s="325" t="str">
        <f t="shared" si="288"/>
        <v/>
      </c>
      <c r="K1128" s="621" t="str">
        <f t="shared" si="280"/>
        <v/>
      </c>
      <c r="L1128" s="325"/>
      <c r="M1128" s="325"/>
      <c r="N1128" s="378" t="str">
        <f t="shared" si="281"/>
        <v/>
      </c>
      <c r="O1128" s="378" t="str">
        <f t="shared" si="282"/>
        <v/>
      </c>
      <c r="P1128" s="325" t="str">
        <f t="shared" si="283"/>
        <v/>
      </c>
      <c r="Q1128" s="325" t="str">
        <f t="shared" si="284"/>
        <v/>
      </c>
      <c r="R1128" s="325" t="str">
        <f t="shared" si="285"/>
        <v/>
      </c>
      <c r="S1128" s="609">
        <v>140401</v>
      </c>
      <c r="T1128" s="325" t="str">
        <f>+IFERROR(VLOOKUP(S1128,STAT1!$C$4:$D$189,2,FALSE),"")</f>
        <v>ҮНЗардал БОЛОВСРУУЛАХ ЦЕХ /нарс/</v>
      </c>
      <c r="U1128" s="1226">
        <v>1295989.9676115881</v>
      </c>
      <c r="V1128" s="1217"/>
      <c r="W1128" s="326">
        <v>1004</v>
      </c>
      <c r="X1128" s="328" t="str">
        <f>IFERROR(VLOOKUP(W1128,DATA!$G$4:$H$400,2,FALSE),"")</f>
        <v xml:space="preserve">Түмэндэлгэр </v>
      </c>
      <c r="Y1128" s="1205"/>
      <c r="Z1128" s="1205"/>
    </row>
    <row r="1129" spans="1:26" ht="12.75" customHeight="1">
      <c r="A1129" s="15"/>
      <c r="B1129" s="92" t="str">
        <f t="shared" ref="B1129:B1134" si="291">IF(C1129="","",ROW()-5)</f>
        <v/>
      </c>
      <c r="C1129" s="90"/>
      <c r="D1129" s="87"/>
      <c r="E1129" s="88"/>
      <c r="F1129" s="173"/>
      <c r="G1129" s="88"/>
      <c r="H1129" s="88"/>
      <c r="I1129" s="323" t="str">
        <f t="shared" ref="I1129:I1150" si="292">+IF(G1129="","",G1129*H1129)</f>
        <v/>
      </c>
      <c r="J1129" s="323" t="str">
        <f t="shared" ref="J1129:J1150" si="293">+IF(G1129="","",I1129*0.1)</f>
        <v/>
      </c>
      <c r="K1129" s="324" t="str">
        <f t="shared" ref="K1129:K1150" si="294">+IF(G1129="","",I1129+J1129)</f>
        <v/>
      </c>
      <c r="L1129" s="88"/>
      <c r="M1129" s="88"/>
      <c r="N1129" s="88"/>
      <c r="O1129" s="88"/>
      <c r="P1129" s="88"/>
      <c r="Q1129" s="88"/>
      <c r="R1129" s="88"/>
      <c r="S1129" s="620"/>
      <c r="T1129" s="92"/>
      <c r="U1129" s="1214"/>
      <c r="V1129" s="1215"/>
      <c r="W1129" s="168"/>
      <c r="X1129" s="170"/>
    </row>
    <row r="1130" spans="1:26" ht="12.75" customHeight="1">
      <c r="A1130" s="15"/>
      <c r="B1130" s="92" t="str">
        <f t="shared" si="291"/>
        <v/>
      </c>
      <c r="C1130" s="90"/>
      <c r="D1130" s="87"/>
      <c r="E1130" s="88"/>
      <c r="F1130" s="173"/>
      <c r="G1130" s="88"/>
      <c r="H1130" s="88"/>
      <c r="I1130" s="323" t="str">
        <f t="shared" si="292"/>
        <v/>
      </c>
      <c r="J1130" s="323" t="str">
        <f t="shared" si="293"/>
        <v/>
      </c>
      <c r="K1130" s="324" t="str">
        <f t="shared" si="294"/>
        <v/>
      </c>
      <c r="L1130" s="88"/>
      <c r="M1130" s="88"/>
      <c r="N1130" s="88"/>
      <c r="O1130" s="88"/>
      <c r="P1130" s="88"/>
      <c r="Q1130" s="88"/>
      <c r="R1130" s="88"/>
      <c r="S1130" s="620"/>
      <c r="T1130" s="92"/>
      <c r="U1130" s="1214"/>
      <c r="V1130" s="1215"/>
      <c r="W1130" s="168"/>
      <c r="X1130" s="170"/>
    </row>
    <row r="1131" spans="1:26" ht="12.75" customHeight="1">
      <c r="A1131" s="15"/>
      <c r="B1131" s="92" t="str">
        <f t="shared" si="291"/>
        <v/>
      </c>
      <c r="C1131" s="90"/>
      <c r="D1131" s="87"/>
      <c r="E1131" s="88"/>
      <c r="F1131" s="173"/>
      <c r="G1131" s="88"/>
      <c r="H1131" s="88"/>
      <c r="I1131" s="323" t="str">
        <f t="shared" si="292"/>
        <v/>
      </c>
      <c r="J1131" s="323" t="str">
        <f t="shared" si="293"/>
        <v/>
      </c>
      <c r="K1131" s="324" t="str">
        <f t="shared" si="294"/>
        <v/>
      </c>
      <c r="L1131" s="88"/>
      <c r="M1131" s="88"/>
      <c r="N1131" s="88"/>
      <c r="O1131" s="88"/>
      <c r="P1131" s="88"/>
      <c r="Q1131" s="88"/>
      <c r="R1131" s="88"/>
      <c r="S1131" s="620"/>
      <c r="T1131" s="92"/>
      <c r="U1131" s="1214"/>
      <c r="V1131" s="1215"/>
      <c r="W1131" s="168"/>
      <c r="X1131" s="170"/>
    </row>
    <row r="1132" spans="1:26" ht="12.75" customHeight="1">
      <c r="A1132" s="15"/>
      <c r="B1132" s="92" t="str">
        <f t="shared" si="291"/>
        <v/>
      </c>
      <c r="C1132" s="90"/>
      <c r="D1132" s="87"/>
      <c r="E1132" s="88"/>
      <c r="F1132" s="173"/>
      <c r="G1132" s="88"/>
      <c r="H1132" s="88"/>
      <c r="I1132" s="323" t="str">
        <f t="shared" si="292"/>
        <v/>
      </c>
      <c r="J1132" s="323" t="str">
        <f t="shared" si="293"/>
        <v/>
      </c>
      <c r="K1132" s="324" t="str">
        <f t="shared" si="294"/>
        <v/>
      </c>
      <c r="L1132" s="88"/>
      <c r="M1132" s="88"/>
      <c r="N1132" s="88"/>
      <c r="O1132" s="88"/>
      <c r="P1132" s="88"/>
      <c r="Q1132" s="88"/>
      <c r="R1132" s="88"/>
      <c r="S1132" s="620"/>
      <c r="T1132" s="92"/>
      <c r="U1132" s="1214"/>
      <c r="V1132" s="1215"/>
      <c r="W1132" s="168"/>
      <c r="X1132" s="170"/>
    </row>
    <row r="1133" spans="1:26" ht="12.75" customHeight="1">
      <c r="A1133" s="15"/>
      <c r="B1133" s="92" t="str">
        <f t="shared" si="291"/>
        <v/>
      </c>
      <c r="C1133" s="90"/>
      <c r="D1133" s="87"/>
      <c r="E1133" s="88"/>
      <c r="F1133" s="173"/>
      <c r="G1133" s="88"/>
      <c r="H1133" s="88"/>
      <c r="I1133" s="323" t="str">
        <f t="shared" si="292"/>
        <v/>
      </c>
      <c r="J1133" s="323" t="str">
        <f t="shared" si="293"/>
        <v/>
      </c>
      <c r="K1133" s="324" t="str">
        <f t="shared" si="294"/>
        <v/>
      </c>
      <c r="L1133" s="88"/>
      <c r="M1133" s="88"/>
      <c r="N1133" s="88"/>
      <c r="O1133" s="88"/>
      <c r="P1133" s="88"/>
      <c r="Q1133" s="88"/>
      <c r="R1133" s="88"/>
      <c r="S1133" s="620"/>
      <c r="T1133" s="92"/>
      <c r="U1133" s="1214"/>
      <c r="V1133" s="1215"/>
      <c r="W1133" s="168"/>
      <c r="X1133" s="170"/>
    </row>
    <row r="1134" spans="1:26" ht="12.75" customHeight="1">
      <c r="A1134" s="15"/>
      <c r="B1134" s="92" t="str">
        <f t="shared" si="291"/>
        <v/>
      </c>
      <c r="C1134" s="90"/>
      <c r="D1134" s="87"/>
      <c r="E1134" s="88"/>
      <c r="F1134" s="173"/>
      <c r="G1134" s="88"/>
      <c r="H1134" s="88"/>
      <c r="I1134" s="323" t="str">
        <f t="shared" si="292"/>
        <v/>
      </c>
      <c r="J1134" s="323" t="str">
        <f t="shared" si="293"/>
        <v/>
      </c>
      <c r="K1134" s="324" t="str">
        <f t="shared" si="294"/>
        <v/>
      </c>
      <c r="L1134" s="88"/>
      <c r="M1134" s="88"/>
      <c r="N1134" s="88"/>
      <c r="O1134" s="88"/>
      <c r="P1134" s="88"/>
      <c r="Q1134" s="88"/>
      <c r="R1134" s="88"/>
      <c r="S1134" s="620"/>
      <c r="T1134" s="92"/>
      <c r="U1134" s="1214"/>
      <c r="V1134" s="1215"/>
      <c r="W1134" s="168"/>
      <c r="X1134" s="170"/>
    </row>
    <row r="1135" spans="1:26" ht="12.75" customHeight="1">
      <c r="A1135" s="15"/>
      <c r="B1135" s="92" t="str">
        <f t="shared" ref="B1135:B1198" si="295">IF(C1135="","",ROW()-5)</f>
        <v/>
      </c>
      <c r="C1135" s="90"/>
      <c r="D1135" s="87"/>
      <c r="E1135" s="88"/>
      <c r="F1135" s="173"/>
      <c r="G1135" s="88"/>
      <c r="H1135" s="88"/>
      <c r="I1135" s="323" t="str">
        <f t="shared" si="292"/>
        <v/>
      </c>
      <c r="J1135" s="323" t="str">
        <f t="shared" si="293"/>
        <v/>
      </c>
      <c r="K1135" s="324" t="str">
        <f t="shared" si="294"/>
        <v/>
      </c>
      <c r="L1135" s="88"/>
      <c r="M1135" s="88"/>
      <c r="N1135" s="88"/>
      <c r="O1135" s="88"/>
      <c r="P1135" s="88"/>
      <c r="Q1135" s="88"/>
      <c r="R1135" s="88"/>
      <c r="S1135" s="620"/>
      <c r="T1135" s="92"/>
      <c r="U1135" s="1214"/>
      <c r="V1135" s="1215"/>
      <c r="W1135" s="168"/>
      <c r="X1135" s="170"/>
    </row>
    <row r="1136" spans="1:26" ht="12.75" customHeight="1">
      <c r="A1136" s="15"/>
      <c r="B1136" s="92" t="str">
        <f t="shared" si="295"/>
        <v/>
      </c>
      <c r="C1136" s="90"/>
      <c r="D1136" s="87"/>
      <c r="E1136" s="88"/>
      <c r="F1136" s="173"/>
      <c r="G1136" s="88"/>
      <c r="H1136" s="88"/>
      <c r="I1136" s="323" t="str">
        <f t="shared" si="292"/>
        <v/>
      </c>
      <c r="J1136" s="323" t="str">
        <f t="shared" si="293"/>
        <v/>
      </c>
      <c r="K1136" s="324" t="str">
        <f t="shared" si="294"/>
        <v/>
      </c>
      <c r="L1136" s="88"/>
      <c r="M1136" s="88"/>
      <c r="N1136" s="88"/>
      <c r="O1136" s="88"/>
      <c r="P1136" s="88"/>
      <c r="Q1136" s="88"/>
      <c r="R1136" s="88"/>
      <c r="S1136" s="620"/>
      <c r="T1136" s="92"/>
      <c r="U1136" s="1214"/>
      <c r="V1136" s="1215"/>
      <c r="W1136" s="168"/>
      <c r="X1136" s="170"/>
    </row>
    <row r="1137" spans="1:24" ht="12.75" customHeight="1">
      <c r="A1137" s="15"/>
      <c r="B1137" s="92" t="str">
        <f t="shared" si="295"/>
        <v/>
      </c>
      <c r="C1137" s="90"/>
      <c r="D1137" s="87"/>
      <c r="E1137" s="88"/>
      <c r="F1137" s="173"/>
      <c r="G1137" s="88"/>
      <c r="H1137" s="88"/>
      <c r="I1137" s="323" t="str">
        <f t="shared" si="292"/>
        <v/>
      </c>
      <c r="J1137" s="323" t="str">
        <f t="shared" si="293"/>
        <v/>
      </c>
      <c r="K1137" s="324" t="str">
        <f t="shared" si="294"/>
        <v/>
      </c>
      <c r="L1137" s="88"/>
      <c r="M1137" s="88"/>
      <c r="N1137" s="88"/>
      <c r="O1137" s="88"/>
      <c r="P1137" s="88"/>
      <c r="Q1137" s="88"/>
      <c r="R1137" s="88"/>
      <c r="S1137" s="620"/>
      <c r="T1137" s="92"/>
      <c r="U1137" s="1214"/>
      <c r="V1137" s="1215"/>
      <c r="W1137" s="168"/>
      <c r="X1137" s="170"/>
    </row>
    <row r="1138" spans="1:24" ht="12.75" customHeight="1">
      <c r="A1138" s="15"/>
      <c r="B1138" s="92" t="str">
        <f t="shared" si="295"/>
        <v/>
      </c>
      <c r="C1138" s="90"/>
      <c r="D1138" s="87"/>
      <c r="E1138" s="88"/>
      <c r="F1138" s="173"/>
      <c r="G1138" s="88"/>
      <c r="H1138" s="88"/>
      <c r="I1138" s="323" t="str">
        <f t="shared" si="292"/>
        <v/>
      </c>
      <c r="J1138" s="323" t="str">
        <f t="shared" si="293"/>
        <v/>
      </c>
      <c r="K1138" s="324" t="str">
        <f t="shared" si="294"/>
        <v/>
      </c>
      <c r="L1138" s="88"/>
      <c r="M1138" s="88"/>
      <c r="N1138" s="88"/>
      <c r="O1138" s="88"/>
      <c r="P1138" s="88"/>
      <c r="Q1138" s="88"/>
      <c r="R1138" s="88"/>
      <c r="S1138" s="620"/>
      <c r="T1138" s="92"/>
      <c r="U1138" s="1214"/>
      <c r="V1138" s="1215"/>
      <c r="W1138" s="168"/>
      <c r="X1138" s="170"/>
    </row>
    <row r="1139" spans="1:24" ht="12.75" customHeight="1">
      <c r="A1139" s="15"/>
      <c r="B1139" s="92" t="str">
        <f t="shared" si="295"/>
        <v/>
      </c>
      <c r="C1139" s="90"/>
      <c r="D1139" s="87"/>
      <c r="E1139" s="88"/>
      <c r="F1139" s="173"/>
      <c r="G1139" s="88"/>
      <c r="H1139" s="88"/>
      <c r="I1139" s="323" t="str">
        <f t="shared" si="292"/>
        <v/>
      </c>
      <c r="J1139" s="323" t="str">
        <f t="shared" si="293"/>
        <v/>
      </c>
      <c r="K1139" s="324" t="str">
        <f t="shared" si="294"/>
        <v/>
      </c>
      <c r="L1139" s="88"/>
      <c r="M1139" s="88"/>
      <c r="N1139" s="88"/>
      <c r="O1139" s="88"/>
      <c r="P1139" s="88"/>
      <c r="Q1139" s="88"/>
      <c r="R1139" s="88"/>
      <c r="S1139" s="620"/>
      <c r="T1139" s="92"/>
      <c r="U1139" s="1214"/>
      <c r="V1139" s="1215"/>
      <c r="W1139" s="168"/>
      <c r="X1139" s="170"/>
    </row>
    <row r="1140" spans="1:24" ht="12.75" customHeight="1">
      <c r="A1140" s="15"/>
      <c r="B1140" s="92" t="str">
        <f t="shared" si="295"/>
        <v/>
      </c>
      <c r="C1140" s="90"/>
      <c r="D1140" s="87"/>
      <c r="E1140" s="88"/>
      <c r="F1140" s="173"/>
      <c r="G1140" s="88"/>
      <c r="H1140" s="88"/>
      <c r="I1140" s="323" t="str">
        <f t="shared" si="292"/>
        <v/>
      </c>
      <c r="J1140" s="323" t="str">
        <f t="shared" si="293"/>
        <v/>
      </c>
      <c r="K1140" s="324" t="str">
        <f t="shared" si="294"/>
        <v/>
      </c>
      <c r="L1140" s="88"/>
      <c r="M1140" s="88"/>
      <c r="N1140" s="88"/>
      <c r="O1140" s="88"/>
      <c r="P1140" s="88"/>
      <c r="Q1140" s="88"/>
      <c r="R1140" s="88"/>
      <c r="S1140" s="620"/>
      <c r="T1140" s="92"/>
      <c r="U1140" s="1214"/>
      <c r="V1140" s="1215"/>
      <c r="W1140" s="168"/>
      <c r="X1140" s="170"/>
    </row>
    <row r="1141" spans="1:24" ht="12.75" customHeight="1">
      <c r="A1141" s="15"/>
      <c r="B1141" s="92" t="str">
        <f t="shared" si="295"/>
        <v/>
      </c>
      <c r="C1141" s="90"/>
      <c r="D1141" s="87"/>
      <c r="E1141" s="88"/>
      <c r="F1141" s="173"/>
      <c r="G1141" s="88"/>
      <c r="H1141" s="88"/>
      <c r="I1141" s="323" t="str">
        <f t="shared" si="292"/>
        <v/>
      </c>
      <c r="J1141" s="323" t="str">
        <f t="shared" si="293"/>
        <v/>
      </c>
      <c r="K1141" s="324" t="str">
        <f t="shared" si="294"/>
        <v/>
      </c>
      <c r="L1141" s="88"/>
      <c r="M1141" s="88"/>
      <c r="N1141" s="88"/>
      <c r="O1141" s="88"/>
      <c r="P1141" s="88"/>
      <c r="Q1141" s="88"/>
      <c r="R1141" s="88"/>
      <c r="S1141" s="620"/>
      <c r="T1141" s="92"/>
      <c r="U1141" s="1214"/>
      <c r="V1141" s="1215"/>
      <c r="W1141" s="168"/>
      <c r="X1141" s="170"/>
    </row>
    <row r="1142" spans="1:24" ht="12.75" customHeight="1">
      <c r="A1142" s="15"/>
      <c r="B1142" s="92" t="str">
        <f t="shared" si="295"/>
        <v/>
      </c>
      <c r="C1142" s="90"/>
      <c r="D1142" s="87"/>
      <c r="E1142" s="88"/>
      <c r="F1142" s="173"/>
      <c r="G1142" s="88"/>
      <c r="H1142" s="88"/>
      <c r="I1142" s="323" t="str">
        <f t="shared" si="292"/>
        <v/>
      </c>
      <c r="J1142" s="323" t="str">
        <f t="shared" si="293"/>
        <v/>
      </c>
      <c r="K1142" s="324" t="str">
        <f t="shared" si="294"/>
        <v/>
      </c>
      <c r="L1142" s="88"/>
      <c r="M1142" s="88"/>
      <c r="N1142" s="88"/>
      <c r="O1142" s="88"/>
      <c r="P1142" s="88"/>
      <c r="Q1142" s="88"/>
      <c r="R1142" s="88"/>
      <c r="S1142" s="620"/>
      <c r="T1142" s="92"/>
      <c r="U1142" s="1214"/>
      <c r="V1142" s="1215"/>
      <c r="W1142" s="168"/>
      <c r="X1142" s="170"/>
    </row>
    <row r="1143" spans="1:24" ht="12.75" customHeight="1">
      <c r="A1143" s="15"/>
      <c r="B1143" s="92" t="str">
        <f t="shared" si="295"/>
        <v/>
      </c>
      <c r="C1143" s="90"/>
      <c r="D1143" s="87"/>
      <c r="E1143" s="88"/>
      <c r="F1143" s="173"/>
      <c r="G1143" s="88"/>
      <c r="H1143" s="88"/>
      <c r="I1143" s="323" t="str">
        <f t="shared" si="292"/>
        <v/>
      </c>
      <c r="J1143" s="323" t="str">
        <f t="shared" si="293"/>
        <v/>
      </c>
      <c r="K1143" s="324" t="str">
        <f t="shared" si="294"/>
        <v/>
      </c>
      <c r="L1143" s="88"/>
      <c r="M1143" s="88"/>
      <c r="N1143" s="88"/>
      <c r="O1143" s="88"/>
      <c r="P1143" s="88"/>
      <c r="Q1143" s="88"/>
      <c r="R1143" s="88"/>
      <c r="S1143" s="620"/>
      <c r="T1143" s="92"/>
      <c r="U1143" s="1214"/>
      <c r="V1143" s="1215"/>
      <c r="W1143" s="168"/>
      <c r="X1143" s="170"/>
    </row>
    <row r="1144" spans="1:24" ht="12.75" customHeight="1">
      <c r="A1144" s="15"/>
      <c r="B1144" s="92" t="str">
        <f t="shared" si="295"/>
        <v/>
      </c>
      <c r="C1144" s="90"/>
      <c r="D1144" s="87"/>
      <c r="E1144" s="88"/>
      <c r="F1144" s="173"/>
      <c r="G1144" s="88"/>
      <c r="H1144" s="88"/>
      <c r="I1144" s="323" t="str">
        <f t="shared" si="292"/>
        <v/>
      </c>
      <c r="J1144" s="323" t="str">
        <f t="shared" si="293"/>
        <v/>
      </c>
      <c r="K1144" s="324" t="str">
        <f t="shared" si="294"/>
        <v/>
      </c>
      <c r="L1144" s="88"/>
      <c r="M1144" s="88"/>
      <c r="N1144" s="88"/>
      <c r="O1144" s="88"/>
      <c r="P1144" s="88"/>
      <c r="Q1144" s="88"/>
      <c r="R1144" s="88"/>
      <c r="S1144" s="620"/>
      <c r="T1144" s="92"/>
      <c r="U1144" s="1214"/>
      <c r="V1144" s="1215"/>
      <c r="W1144" s="168"/>
      <c r="X1144" s="170"/>
    </row>
    <row r="1145" spans="1:24" ht="12.75" customHeight="1">
      <c r="A1145" s="15"/>
      <c r="B1145" s="92" t="str">
        <f t="shared" si="295"/>
        <v/>
      </c>
      <c r="C1145" s="90"/>
      <c r="D1145" s="87"/>
      <c r="E1145" s="88"/>
      <c r="F1145" s="173"/>
      <c r="G1145" s="88"/>
      <c r="H1145" s="88"/>
      <c r="I1145" s="323" t="str">
        <f t="shared" si="292"/>
        <v/>
      </c>
      <c r="J1145" s="323" t="str">
        <f t="shared" si="293"/>
        <v/>
      </c>
      <c r="K1145" s="324" t="str">
        <f t="shared" si="294"/>
        <v/>
      </c>
      <c r="L1145" s="88"/>
      <c r="M1145" s="88"/>
      <c r="N1145" s="88"/>
      <c r="O1145" s="88"/>
      <c r="P1145" s="88"/>
      <c r="Q1145" s="88"/>
      <c r="R1145" s="88"/>
      <c r="S1145" s="620"/>
      <c r="T1145" s="92"/>
      <c r="U1145" s="1214"/>
      <c r="V1145" s="1215"/>
      <c r="W1145" s="168"/>
      <c r="X1145" s="170"/>
    </row>
    <row r="1146" spans="1:24" ht="12.75" customHeight="1">
      <c r="A1146" s="15"/>
      <c r="B1146" s="92" t="str">
        <f t="shared" si="295"/>
        <v/>
      </c>
      <c r="C1146" s="90"/>
      <c r="D1146" s="87"/>
      <c r="E1146" s="88"/>
      <c r="F1146" s="173"/>
      <c r="G1146" s="88"/>
      <c r="H1146" s="88"/>
      <c r="I1146" s="323" t="str">
        <f t="shared" si="292"/>
        <v/>
      </c>
      <c r="J1146" s="323" t="str">
        <f t="shared" si="293"/>
        <v/>
      </c>
      <c r="K1146" s="324" t="str">
        <f t="shared" si="294"/>
        <v/>
      </c>
      <c r="L1146" s="88"/>
      <c r="M1146" s="88"/>
      <c r="N1146" s="88"/>
      <c r="O1146" s="88"/>
      <c r="P1146" s="88"/>
      <c r="Q1146" s="88"/>
      <c r="R1146" s="88"/>
      <c r="S1146" s="620"/>
      <c r="T1146" s="92"/>
      <c r="U1146" s="1214"/>
      <c r="V1146" s="1215"/>
      <c r="W1146" s="168"/>
      <c r="X1146" s="170"/>
    </row>
    <row r="1147" spans="1:24" ht="12.75" customHeight="1">
      <c r="A1147" s="15"/>
      <c r="B1147" s="92" t="str">
        <f t="shared" si="295"/>
        <v/>
      </c>
      <c r="C1147" s="90"/>
      <c r="D1147" s="87"/>
      <c r="E1147" s="88"/>
      <c r="F1147" s="173"/>
      <c r="G1147" s="88"/>
      <c r="H1147" s="88"/>
      <c r="I1147" s="323" t="str">
        <f t="shared" si="292"/>
        <v/>
      </c>
      <c r="J1147" s="323" t="str">
        <f t="shared" si="293"/>
        <v/>
      </c>
      <c r="K1147" s="324" t="str">
        <f t="shared" si="294"/>
        <v/>
      </c>
      <c r="L1147" s="88"/>
      <c r="M1147" s="88"/>
      <c r="N1147" s="88"/>
      <c r="O1147" s="88"/>
      <c r="P1147" s="88"/>
      <c r="Q1147" s="88"/>
      <c r="R1147" s="88"/>
      <c r="S1147" s="620"/>
      <c r="T1147" s="92"/>
      <c r="U1147" s="1214"/>
      <c r="V1147" s="1215"/>
      <c r="W1147" s="168"/>
      <c r="X1147" s="170"/>
    </row>
    <row r="1148" spans="1:24" ht="12.75" customHeight="1">
      <c r="A1148" s="15"/>
      <c r="B1148" s="92" t="str">
        <f t="shared" si="295"/>
        <v/>
      </c>
      <c r="C1148" s="90"/>
      <c r="D1148" s="87"/>
      <c r="E1148" s="88"/>
      <c r="F1148" s="173"/>
      <c r="G1148" s="88"/>
      <c r="H1148" s="88"/>
      <c r="I1148" s="323" t="str">
        <f t="shared" si="292"/>
        <v/>
      </c>
      <c r="J1148" s="323" t="str">
        <f t="shared" si="293"/>
        <v/>
      </c>
      <c r="K1148" s="324" t="str">
        <f t="shared" si="294"/>
        <v/>
      </c>
      <c r="L1148" s="88"/>
      <c r="M1148" s="88"/>
      <c r="N1148" s="88"/>
      <c r="O1148" s="88"/>
      <c r="P1148" s="88"/>
      <c r="Q1148" s="88"/>
      <c r="R1148" s="88"/>
      <c r="S1148" s="620"/>
      <c r="T1148" s="92"/>
      <c r="U1148" s="1214"/>
      <c r="V1148" s="1215"/>
      <c r="W1148" s="168"/>
      <c r="X1148" s="170"/>
    </row>
    <row r="1149" spans="1:24" ht="12.75" customHeight="1">
      <c r="A1149" s="15"/>
      <c r="B1149" s="92" t="str">
        <f t="shared" si="295"/>
        <v/>
      </c>
      <c r="C1149" s="90"/>
      <c r="D1149" s="87"/>
      <c r="E1149" s="88"/>
      <c r="F1149" s="173"/>
      <c r="G1149" s="88"/>
      <c r="H1149" s="88"/>
      <c r="I1149" s="323" t="str">
        <f t="shared" si="292"/>
        <v/>
      </c>
      <c r="J1149" s="323" t="str">
        <f t="shared" si="293"/>
        <v/>
      </c>
      <c r="K1149" s="324" t="str">
        <f t="shared" si="294"/>
        <v/>
      </c>
      <c r="L1149" s="88"/>
      <c r="M1149" s="88"/>
      <c r="N1149" s="88"/>
      <c r="O1149" s="88"/>
      <c r="P1149" s="88"/>
      <c r="Q1149" s="88"/>
      <c r="R1149" s="88"/>
      <c r="S1149" s="620"/>
      <c r="T1149" s="92"/>
      <c r="U1149" s="1214"/>
      <c r="V1149" s="1215"/>
      <c r="W1149" s="168"/>
      <c r="X1149" s="170"/>
    </row>
    <row r="1150" spans="1:24" ht="12.75" customHeight="1">
      <c r="A1150" s="15"/>
      <c r="B1150" s="92" t="str">
        <f t="shared" si="295"/>
        <v/>
      </c>
      <c r="C1150" s="90"/>
      <c r="D1150" s="87"/>
      <c r="E1150" s="88"/>
      <c r="F1150" s="173"/>
      <c r="G1150" s="88"/>
      <c r="H1150" s="88"/>
      <c r="I1150" s="323" t="str">
        <f t="shared" si="292"/>
        <v/>
      </c>
      <c r="J1150" s="323" t="str">
        <f t="shared" si="293"/>
        <v/>
      </c>
      <c r="K1150" s="324" t="str">
        <f t="shared" si="294"/>
        <v/>
      </c>
      <c r="L1150" s="88"/>
      <c r="M1150" s="88"/>
      <c r="N1150" s="88"/>
      <c r="O1150" s="88"/>
      <c r="P1150" s="88"/>
      <c r="Q1150" s="88"/>
      <c r="R1150" s="88"/>
      <c r="S1150" s="620"/>
      <c r="T1150" s="92"/>
      <c r="U1150" s="1214"/>
      <c r="V1150" s="1215"/>
      <c r="W1150" s="168"/>
      <c r="X1150" s="170"/>
    </row>
    <row r="1151" spans="1:24" ht="12.75" customHeight="1">
      <c r="A1151" s="15"/>
      <c r="B1151" s="92" t="str">
        <f t="shared" si="295"/>
        <v/>
      </c>
      <c r="C1151" s="90"/>
      <c r="D1151" s="87"/>
      <c r="E1151" s="88"/>
      <c r="F1151" s="173"/>
      <c r="G1151" s="88"/>
      <c r="H1151" s="88"/>
      <c r="I1151" s="323" t="str">
        <f t="shared" ref="I1151:I1214" si="296">+IF(G1151="","",G1151*H1151)</f>
        <v/>
      </c>
      <c r="J1151" s="323" t="str">
        <f t="shared" ref="J1151:J1214" si="297">+IF(G1151="","",I1151*0.1)</f>
        <v/>
      </c>
      <c r="K1151" s="324" t="str">
        <f t="shared" ref="K1151:K1214" si="298">+IF(G1151="","",I1151+J1151)</f>
        <v/>
      </c>
      <c r="L1151" s="88"/>
      <c r="M1151" s="88"/>
      <c r="N1151" s="88"/>
      <c r="O1151" s="88"/>
      <c r="P1151" s="88"/>
      <c r="Q1151" s="88"/>
      <c r="R1151" s="88"/>
      <c r="S1151" s="620"/>
      <c r="T1151" s="92"/>
      <c r="U1151" s="1214"/>
      <c r="V1151" s="1215"/>
      <c r="W1151" s="168"/>
      <c r="X1151" s="170"/>
    </row>
    <row r="1152" spans="1:24" ht="12.75" customHeight="1">
      <c r="A1152" s="15"/>
      <c r="B1152" s="92" t="str">
        <f t="shared" si="295"/>
        <v/>
      </c>
      <c r="C1152" s="90"/>
      <c r="D1152" s="87"/>
      <c r="E1152" s="88"/>
      <c r="F1152" s="173"/>
      <c r="G1152" s="88"/>
      <c r="H1152" s="88"/>
      <c r="I1152" s="323" t="str">
        <f t="shared" si="296"/>
        <v/>
      </c>
      <c r="J1152" s="323" t="str">
        <f t="shared" si="297"/>
        <v/>
      </c>
      <c r="K1152" s="324" t="str">
        <f t="shared" si="298"/>
        <v/>
      </c>
      <c r="L1152" s="88"/>
      <c r="M1152" s="88"/>
      <c r="N1152" s="88"/>
      <c r="O1152" s="88"/>
      <c r="P1152" s="88"/>
      <c r="Q1152" s="88"/>
      <c r="R1152" s="88"/>
      <c r="S1152" s="620"/>
      <c r="T1152" s="92"/>
      <c r="U1152" s="1214"/>
      <c r="V1152" s="1215"/>
      <c r="W1152" s="168"/>
      <c r="X1152" s="170"/>
    </row>
    <row r="1153" spans="1:24" ht="12.75" customHeight="1">
      <c r="A1153" s="15"/>
      <c r="B1153" s="92" t="str">
        <f t="shared" si="295"/>
        <v/>
      </c>
      <c r="C1153" s="90"/>
      <c r="D1153" s="87"/>
      <c r="E1153" s="88"/>
      <c r="F1153" s="173"/>
      <c r="G1153" s="88"/>
      <c r="H1153" s="88"/>
      <c r="I1153" s="323" t="str">
        <f t="shared" si="296"/>
        <v/>
      </c>
      <c r="J1153" s="323" t="str">
        <f t="shared" si="297"/>
        <v/>
      </c>
      <c r="K1153" s="324" t="str">
        <f t="shared" si="298"/>
        <v/>
      </c>
      <c r="L1153" s="88"/>
      <c r="M1153" s="88"/>
      <c r="N1153" s="88"/>
      <c r="O1153" s="88"/>
      <c r="P1153" s="88"/>
      <c r="Q1153" s="88"/>
      <c r="R1153" s="88"/>
      <c r="S1153" s="620"/>
      <c r="T1153" s="92"/>
      <c r="U1153" s="1214"/>
      <c r="V1153" s="1215"/>
      <c r="W1153" s="168"/>
      <c r="X1153" s="170"/>
    </row>
    <row r="1154" spans="1:24" ht="12.75" customHeight="1">
      <c r="A1154" s="15"/>
      <c r="B1154" s="92" t="str">
        <f t="shared" si="295"/>
        <v/>
      </c>
      <c r="C1154" s="90"/>
      <c r="D1154" s="87"/>
      <c r="E1154" s="88"/>
      <c r="F1154" s="173"/>
      <c r="G1154" s="88"/>
      <c r="H1154" s="88"/>
      <c r="I1154" s="323" t="str">
        <f t="shared" si="296"/>
        <v/>
      </c>
      <c r="J1154" s="323" t="str">
        <f t="shared" si="297"/>
        <v/>
      </c>
      <c r="K1154" s="324" t="str">
        <f t="shared" si="298"/>
        <v/>
      </c>
      <c r="L1154" s="88"/>
      <c r="M1154" s="88"/>
      <c r="N1154" s="88"/>
      <c r="O1154" s="88"/>
      <c r="P1154" s="88"/>
      <c r="Q1154" s="88"/>
      <c r="R1154" s="88"/>
      <c r="S1154" s="620"/>
      <c r="T1154" s="92"/>
      <c r="U1154" s="1214"/>
      <c r="V1154" s="1215"/>
      <c r="W1154" s="168"/>
      <c r="X1154" s="170"/>
    </row>
    <row r="1155" spans="1:24" ht="12.75" customHeight="1">
      <c r="A1155" s="15"/>
      <c r="B1155" s="92" t="str">
        <f t="shared" si="295"/>
        <v/>
      </c>
      <c r="C1155" s="90"/>
      <c r="D1155" s="87"/>
      <c r="E1155" s="88"/>
      <c r="F1155" s="173"/>
      <c r="G1155" s="88"/>
      <c r="H1155" s="88"/>
      <c r="I1155" s="323" t="str">
        <f t="shared" si="296"/>
        <v/>
      </c>
      <c r="J1155" s="323" t="str">
        <f t="shared" si="297"/>
        <v/>
      </c>
      <c r="K1155" s="324" t="str">
        <f t="shared" si="298"/>
        <v/>
      </c>
      <c r="L1155" s="88"/>
      <c r="M1155" s="88"/>
      <c r="N1155" s="88"/>
      <c r="O1155" s="88"/>
      <c r="P1155" s="88"/>
      <c r="Q1155" s="88"/>
      <c r="R1155" s="88"/>
      <c r="S1155" s="620"/>
      <c r="T1155" s="92"/>
      <c r="U1155" s="1214"/>
      <c r="V1155" s="1215"/>
      <c r="W1155" s="168"/>
      <c r="X1155" s="170"/>
    </row>
    <row r="1156" spans="1:24" ht="12.75" customHeight="1">
      <c r="A1156" s="15"/>
      <c r="B1156" s="92" t="str">
        <f t="shared" si="295"/>
        <v/>
      </c>
      <c r="C1156" s="90"/>
      <c r="D1156" s="87"/>
      <c r="E1156" s="88"/>
      <c r="F1156" s="173"/>
      <c r="G1156" s="88"/>
      <c r="H1156" s="88"/>
      <c r="I1156" s="323" t="str">
        <f t="shared" si="296"/>
        <v/>
      </c>
      <c r="J1156" s="323" t="str">
        <f t="shared" si="297"/>
        <v/>
      </c>
      <c r="K1156" s="324" t="str">
        <f t="shared" si="298"/>
        <v/>
      </c>
      <c r="L1156" s="88"/>
      <c r="M1156" s="88"/>
      <c r="N1156" s="88"/>
      <c r="O1156" s="88"/>
      <c r="P1156" s="88"/>
      <c r="Q1156" s="88"/>
      <c r="R1156" s="88"/>
      <c r="S1156" s="620"/>
      <c r="T1156" s="92"/>
      <c r="U1156" s="1214"/>
      <c r="V1156" s="1215"/>
      <c r="W1156" s="168"/>
      <c r="X1156" s="170"/>
    </row>
    <row r="1157" spans="1:24" ht="12.75" customHeight="1">
      <c r="A1157" s="15"/>
      <c r="B1157" s="92" t="str">
        <f t="shared" si="295"/>
        <v/>
      </c>
      <c r="C1157" s="90"/>
      <c r="D1157" s="87"/>
      <c r="E1157" s="88"/>
      <c r="F1157" s="173"/>
      <c r="G1157" s="88"/>
      <c r="H1157" s="88"/>
      <c r="I1157" s="323" t="str">
        <f t="shared" si="296"/>
        <v/>
      </c>
      <c r="J1157" s="323" t="str">
        <f t="shared" si="297"/>
        <v/>
      </c>
      <c r="K1157" s="324" t="str">
        <f t="shared" si="298"/>
        <v/>
      </c>
      <c r="L1157" s="88"/>
      <c r="M1157" s="88"/>
      <c r="N1157" s="88"/>
      <c r="O1157" s="88"/>
      <c r="P1157" s="88"/>
      <c r="Q1157" s="88"/>
      <c r="R1157" s="88"/>
      <c r="S1157" s="620"/>
      <c r="T1157" s="92"/>
      <c r="U1157" s="1214"/>
      <c r="V1157" s="1215"/>
      <c r="W1157" s="168"/>
      <c r="X1157" s="170"/>
    </row>
    <row r="1158" spans="1:24" ht="12.75" customHeight="1">
      <c r="A1158" s="15"/>
      <c r="B1158" s="92" t="str">
        <f t="shared" si="295"/>
        <v/>
      </c>
      <c r="C1158" s="90"/>
      <c r="D1158" s="87"/>
      <c r="E1158" s="88"/>
      <c r="F1158" s="173"/>
      <c r="G1158" s="88"/>
      <c r="H1158" s="88"/>
      <c r="I1158" s="323" t="str">
        <f t="shared" si="296"/>
        <v/>
      </c>
      <c r="J1158" s="323" t="str">
        <f t="shared" si="297"/>
        <v/>
      </c>
      <c r="K1158" s="324" t="str">
        <f t="shared" si="298"/>
        <v/>
      </c>
      <c r="L1158" s="88"/>
      <c r="M1158" s="88"/>
      <c r="N1158" s="88"/>
      <c r="O1158" s="88"/>
      <c r="P1158" s="88"/>
      <c r="Q1158" s="88"/>
      <c r="R1158" s="88"/>
      <c r="S1158" s="620"/>
      <c r="T1158" s="92"/>
      <c r="U1158" s="1214"/>
      <c r="V1158" s="1215"/>
      <c r="W1158" s="168"/>
      <c r="X1158" s="170"/>
    </row>
    <row r="1159" spans="1:24" ht="12.75" customHeight="1">
      <c r="A1159" s="15"/>
      <c r="B1159" s="92" t="str">
        <f t="shared" si="295"/>
        <v/>
      </c>
      <c r="C1159" s="90"/>
      <c r="D1159" s="87"/>
      <c r="E1159" s="88"/>
      <c r="F1159" s="173"/>
      <c r="G1159" s="88"/>
      <c r="H1159" s="88"/>
      <c r="I1159" s="323" t="str">
        <f t="shared" si="296"/>
        <v/>
      </c>
      <c r="J1159" s="323" t="str">
        <f t="shared" si="297"/>
        <v/>
      </c>
      <c r="K1159" s="324" t="str">
        <f t="shared" si="298"/>
        <v/>
      </c>
      <c r="L1159" s="88"/>
      <c r="M1159" s="88"/>
      <c r="N1159" s="88"/>
      <c r="O1159" s="88"/>
      <c r="P1159" s="88"/>
      <c r="Q1159" s="88"/>
      <c r="R1159" s="88"/>
      <c r="S1159" s="620"/>
      <c r="T1159" s="92"/>
      <c r="U1159" s="1214"/>
      <c r="V1159" s="1215"/>
      <c r="W1159" s="168"/>
      <c r="X1159" s="170"/>
    </row>
    <row r="1160" spans="1:24" ht="12.75" customHeight="1">
      <c r="A1160" s="15"/>
      <c r="B1160" s="92" t="str">
        <f t="shared" si="295"/>
        <v/>
      </c>
      <c r="C1160" s="90"/>
      <c r="D1160" s="87"/>
      <c r="E1160" s="88"/>
      <c r="F1160" s="173"/>
      <c r="G1160" s="88"/>
      <c r="H1160" s="88"/>
      <c r="I1160" s="323" t="str">
        <f t="shared" si="296"/>
        <v/>
      </c>
      <c r="J1160" s="323" t="str">
        <f t="shared" si="297"/>
        <v/>
      </c>
      <c r="K1160" s="324" t="str">
        <f t="shared" si="298"/>
        <v/>
      </c>
      <c r="L1160" s="88"/>
      <c r="M1160" s="88"/>
      <c r="N1160" s="88"/>
      <c r="O1160" s="88"/>
      <c r="P1160" s="88"/>
      <c r="Q1160" s="88"/>
      <c r="R1160" s="88"/>
      <c r="S1160" s="620"/>
      <c r="T1160" s="92"/>
      <c r="U1160" s="1214"/>
      <c r="V1160" s="1215"/>
      <c r="W1160" s="168"/>
      <c r="X1160" s="170"/>
    </row>
    <row r="1161" spans="1:24" ht="12.75" customHeight="1">
      <c r="A1161" s="15"/>
      <c r="B1161" s="92" t="str">
        <f t="shared" si="295"/>
        <v/>
      </c>
      <c r="C1161" s="90"/>
      <c r="D1161" s="87"/>
      <c r="E1161" s="88"/>
      <c r="F1161" s="173"/>
      <c r="G1161" s="88"/>
      <c r="H1161" s="88"/>
      <c r="I1161" s="323" t="str">
        <f t="shared" si="296"/>
        <v/>
      </c>
      <c r="J1161" s="323" t="str">
        <f t="shared" si="297"/>
        <v/>
      </c>
      <c r="K1161" s="324" t="str">
        <f t="shared" si="298"/>
        <v/>
      </c>
      <c r="L1161" s="88"/>
      <c r="M1161" s="88"/>
      <c r="N1161" s="88"/>
      <c r="O1161" s="88"/>
      <c r="P1161" s="88"/>
      <c r="Q1161" s="88"/>
      <c r="R1161" s="88"/>
      <c r="S1161" s="620"/>
      <c r="T1161" s="92"/>
      <c r="U1161" s="1214"/>
      <c r="V1161" s="1215"/>
      <c r="W1161" s="168"/>
      <c r="X1161" s="170"/>
    </row>
    <row r="1162" spans="1:24" ht="12.75" customHeight="1">
      <c r="A1162" s="15"/>
      <c r="B1162" s="92" t="str">
        <f t="shared" si="295"/>
        <v/>
      </c>
      <c r="C1162" s="90"/>
      <c r="D1162" s="87"/>
      <c r="E1162" s="88"/>
      <c r="F1162" s="173"/>
      <c r="G1162" s="88"/>
      <c r="H1162" s="88"/>
      <c r="I1162" s="323" t="str">
        <f t="shared" si="296"/>
        <v/>
      </c>
      <c r="J1162" s="323" t="str">
        <f t="shared" si="297"/>
        <v/>
      </c>
      <c r="K1162" s="324" t="str">
        <f t="shared" si="298"/>
        <v/>
      </c>
      <c r="L1162" s="88"/>
      <c r="M1162" s="88"/>
      <c r="N1162" s="88"/>
      <c r="O1162" s="88"/>
      <c r="P1162" s="88"/>
      <c r="Q1162" s="88"/>
      <c r="R1162" s="88"/>
      <c r="S1162" s="620"/>
      <c r="T1162" s="92"/>
      <c r="U1162" s="1214"/>
      <c r="V1162" s="1215"/>
      <c r="W1162" s="168"/>
      <c r="X1162" s="170"/>
    </row>
    <row r="1163" spans="1:24" ht="12.75" customHeight="1">
      <c r="A1163" s="15"/>
      <c r="B1163" s="92" t="str">
        <f t="shared" si="295"/>
        <v/>
      </c>
      <c r="C1163" s="90"/>
      <c r="D1163" s="87"/>
      <c r="E1163" s="88"/>
      <c r="F1163" s="173"/>
      <c r="G1163" s="88"/>
      <c r="H1163" s="88"/>
      <c r="I1163" s="323" t="str">
        <f t="shared" si="296"/>
        <v/>
      </c>
      <c r="J1163" s="323" t="str">
        <f t="shared" si="297"/>
        <v/>
      </c>
      <c r="K1163" s="324" t="str">
        <f t="shared" si="298"/>
        <v/>
      </c>
      <c r="L1163" s="88"/>
      <c r="M1163" s="88"/>
      <c r="N1163" s="88"/>
      <c r="O1163" s="88"/>
      <c r="P1163" s="88"/>
      <c r="Q1163" s="88"/>
      <c r="R1163" s="88"/>
      <c r="S1163" s="620"/>
      <c r="T1163" s="92"/>
      <c r="U1163" s="1214"/>
      <c r="V1163" s="1215"/>
      <c r="W1163" s="168"/>
      <c r="X1163" s="170"/>
    </row>
    <row r="1164" spans="1:24" ht="12.75" customHeight="1">
      <c r="A1164" s="15"/>
      <c r="B1164" s="92" t="str">
        <f t="shared" si="295"/>
        <v/>
      </c>
      <c r="C1164" s="90"/>
      <c r="D1164" s="87"/>
      <c r="E1164" s="88"/>
      <c r="F1164" s="173"/>
      <c r="G1164" s="88"/>
      <c r="H1164" s="88"/>
      <c r="I1164" s="323" t="str">
        <f t="shared" si="296"/>
        <v/>
      </c>
      <c r="J1164" s="323" t="str">
        <f t="shared" si="297"/>
        <v/>
      </c>
      <c r="K1164" s="324" t="str">
        <f t="shared" si="298"/>
        <v/>
      </c>
      <c r="L1164" s="88"/>
      <c r="M1164" s="88"/>
      <c r="N1164" s="88"/>
      <c r="O1164" s="88"/>
      <c r="P1164" s="88"/>
      <c r="Q1164" s="88"/>
      <c r="R1164" s="88"/>
      <c r="S1164" s="620"/>
      <c r="T1164" s="92"/>
      <c r="U1164" s="1214"/>
      <c r="V1164" s="1215"/>
      <c r="W1164" s="168"/>
      <c r="X1164" s="170"/>
    </row>
    <row r="1165" spans="1:24" ht="12.75" customHeight="1">
      <c r="A1165" s="15"/>
      <c r="B1165" s="92" t="str">
        <f t="shared" si="295"/>
        <v/>
      </c>
      <c r="C1165" s="90"/>
      <c r="D1165" s="87"/>
      <c r="E1165" s="88"/>
      <c r="F1165" s="173"/>
      <c r="G1165" s="88"/>
      <c r="H1165" s="88"/>
      <c r="I1165" s="323" t="str">
        <f t="shared" si="296"/>
        <v/>
      </c>
      <c r="J1165" s="323" t="str">
        <f t="shared" si="297"/>
        <v/>
      </c>
      <c r="K1165" s="324" t="str">
        <f t="shared" si="298"/>
        <v/>
      </c>
      <c r="L1165" s="88"/>
      <c r="M1165" s="88"/>
      <c r="N1165" s="88"/>
      <c r="O1165" s="88"/>
      <c r="P1165" s="88"/>
      <c r="Q1165" s="88"/>
      <c r="R1165" s="88"/>
      <c r="S1165" s="620"/>
      <c r="T1165" s="92"/>
      <c r="U1165" s="1214"/>
      <c r="V1165" s="1215"/>
      <c r="W1165" s="168"/>
      <c r="X1165" s="170"/>
    </row>
    <row r="1166" spans="1:24" ht="12.75" customHeight="1">
      <c r="A1166" s="15"/>
      <c r="B1166" s="92" t="str">
        <f t="shared" si="295"/>
        <v/>
      </c>
      <c r="C1166" s="90"/>
      <c r="D1166" s="87"/>
      <c r="E1166" s="88"/>
      <c r="F1166" s="173"/>
      <c r="G1166" s="88"/>
      <c r="H1166" s="88"/>
      <c r="I1166" s="323" t="str">
        <f t="shared" si="296"/>
        <v/>
      </c>
      <c r="J1166" s="323" t="str">
        <f t="shared" si="297"/>
        <v/>
      </c>
      <c r="K1166" s="324" t="str">
        <f t="shared" si="298"/>
        <v/>
      </c>
      <c r="L1166" s="88"/>
      <c r="M1166" s="88"/>
      <c r="N1166" s="88"/>
      <c r="O1166" s="88"/>
      <c r="P1166" s="88"/>
      <c r="Q1166" s="88"/>
      <c r="R1166" s="88"/>
      <c r="S1166" s="620"/>
      <c r="T1166" s="92"/>
      <c r="U1166" s="1214"/>
      <c r="V1166" s="1215"/>
      <c r="W1166" s="168"/>
      <c r="X1166" s="170"/>
    </row>
    <row r="1167" spans="1:24" ht="12.75" customHeight="1">
      <c r="A1167" s="15"/>
      <c r="B1167" s="92" t="str">
        <f t="shared" si="295"/>
        <v/>
      </c>
      <c r="C1167" s="90"/>
      <c r="D1167" s="87"/>
      <c r="E1167" s="88"/>
      <c r="F1167" s="173"/>
      <c r="G1167" s="88"/>
      <c r="H1167" s="88"/>
      <c r="I1167" s="323" t="str">
        <f t="shared" si="296"/>
        <v/>
      </c>
      <c r="J1167" s="323" t="str">
        <f t="shared" si="297"/>
        <v/>
      </c>
      <c r="K1167" s="324" t="str">
        <f t="shared" si="298"/>
        <v/>
      </c>
      <c r="L1167" s="88"/>
      <c r="M1167" s="88"/>
      <c r="N1167" s="88"/>
      <c r="O1167" s="88"/>
      <c r="P1167" s="88"/>
      <c r="Q1167" s="88"/>
      <c r="R1167" s="88"/>
      <c r="S1167" s="620"/>
      <c r="T1167" s="92"/>
      <c r="U1167" s="1214"/>
      <c r="V1167" s="1215"/>
      <c r="W1167" s="168"/>
      <c r="X1167" s="170"/>
    </row>
    <row r="1168" spans="1:24" ht="12.75" customHeight="1">
      <c r="A1168" s="15"/>
      <c r="B1168" s="92" t="str">
        <f t="shared" si="295"/>
        <v/>
      </c>
      <c r="C1168" s="90"/>
      <c r="D1168" s="87"/>
      <c r="E1168" s="88"/>
      <c r="F1168" s="173"/>
      <c r="G1168" s="88"/>
      <c r="H1168" s="88"/>
      <c r="I1168" s="323" t="str">
        <f t="shared" si="296"/>
        <v/>
      </c>
      <c r="J1168" s="323" t="str">
        <f t="shared" si="297"/>
        <v/>
      </c>
      <c r="K1168" s="324" t="str">
        <f t="shared" si="298"/>
        <v/>
      </c>
      <c r="L1168" s="88"/>
      <c r="M1168" s="88"/>
      <c r="N1168" s="88"/>
      <c r="O1168" s="88"/>
      <c r="P1168" s="88"/>
      <c r="Q1168" s="88"/>
      <c r="R1168" s="88"/>
      <c r="S1168" s="620"/>
      <c r="T1168" s="92"/>
      <c r="U1168" s="1214"/>
      <c r="V1168" s="1215"/>
      <c r="W1168" s="168"/>
      <c r="X1168" s="170"/>
    </row>
    <row r="1169" spans="1:24" ht="12.75" customHeight="1">
      <c r="A1169" s="15"/>
      <c r="B1169" s="92" t="str">
        <f t="shared" si="295"/>
        <v/>
      </c>
      <c r="C1169" s="90"/>
      <c r="D1169" s="87"/>
      <c r="E1169" s="88"/>
      <c r="F1169" s="173"/>
      <c r="G1169" s="88"/>
      <c r="H1169" s="88"/>
      <c r="I1169" s="323" t="str">
        <f t="shared" si="296"/>
        <v/>
      </c>
      <c r="J1169" s="323" t="str">
        <f t="shared" si="297"/>
        <v/>
      </c>
      <c r="K1169" s="324" t="str">
        <f t="shared" si="298"/>
        <v/>
      </c>
      <c r="L1169" s="88"/>
      <c r="M1169" s="88"/>
      <c r="N1169" s="88"/>
      <c r="O1169" s="88"/>
      <c r="P1169" s="88"/>
      <c r="Q1169" s="88"/>
      <c r="R1169" s="88"/>
      <c r="S1169" s="620"/>
      <c r="T1169" s="92"/>
      <c r="U1169" s="1214"/>
      <c r="V1169" s="1215"/>
      <c r="W1169" s="168"/>
      <c r="X1169" s="170"/>
    </row>
    <row r="1170" spans="1:24" ht="12.75" customHeight="1">
      <c r="A1170" s="15"/>
      <c r="B1170" s="92" t="str">
        <f t="shared" si="295"/>
        <v/>
      </c>
      <c r="C1170" s="90"/>
      <c r="D1170" s="87"/>
      <c r="E1170" s="88"/>
      <c r="F1170" s="173"/>
      <c r="G1170" s="88"/>
      <c r="H1170" s="88"/>
      <c r="I1170" s="323" t="str">
        <f t="shared" si="296"/>
        <v/>
      </c>
      <c r="J1170" s="323" t="str">
        <f t="shared" si="297"/>
        <v/>
      </c>
      <c r="K1170" s="324" t="str">
        <f t="shared" si="298"/>
        <v/>
      </c>
      <c r="L1170" s="88"/>
      <c r="M1170" s="88"/>
      <c r="N1170" s="88"/>
      <c r="O1170" s="88"/>
      <c r="P1170" s="88"/>
      <c r="Q1170" s="88"/>
      <c r="R1170" s="88"/>
      <c r="S1170" s="620"/>
      <c r="T1170" s="92"/>
      <c r="U1170" s="1214"/>
      <c r="V1170" s="1215"/>
      <c r="W1170" s="168"/>
      <c r="X1170" s="170"/>
    </row>
    <row r="1171" spans="1:24" ht="12.75" customHeight="1">
      <c r="A1171" s="15"/>
      <c r="B1171" s="92" t="str">
        <f t="shared" si="295"/>
        <v/>
      </c>
      <c r="C1171" s="90"/>
      <c r="D1171" s="87"/>
      <c r="E1171" s="88"/>
      <c r="F1171" s="173"/>
      <c r="G1171" s="88"/>
      <c r="H1171" s="88"/>
      <c r="I1171" s="323" t="str">
        <f t="shared" si="296"/>
        <v/>
      </c>
      <c r="J1171" s="323" t="str">
        <f t="shared" si="297"/>
        <v/>
      </c>
      <c r="K1171" s="324" t="str">
        <f t="shared" si="298"/>
        <v/>
      </c>
      <c r="L1171" s="88"/>
      <c r="M1171" s="88"/>
      <c r="N1171" s="88"/>
      <c r="O1171" s="88"/>
      <c r="P1171" s="88"/>
      <c r="Q1171" s="88"/>
      <c r="R1171" s="88"/>
      <c r="S1171" s="620"/>
      <c r="T1171" s="92"/>
      <c r="U1171" s="1214"/>
      <c r="V1171" s="1215"/>
      <c r="W1171" s="168"/>
      <c r="X1171" s="170"/>
    </row>
    <row r="1172" spans="1:24" ht="12.75" customHeight="1">
      <c r="A1172" s="15"/>
      <c r="B1172" s="92" t="str">
        <f t="shared" si="295"/>
        <v/>
      </c>
      <c r="C1172" s="90"/>
      <c r="D1172" s="87"/>
      <c r="E1172" s="88"/>
      <c r="F1172" s="173"/>
      <c r="G1172" s="88"/>
      <c r="H1172" s="88"/>
      <c r="I1172" s="323" t="str">
        <f t="shared" si="296"/>
        <v/>
      </c>
      <c r="J1172" s="323" t="str">
        <f t="shared" si="297"/>
        <v/>
      </c>
      <c r="K1172" s="324" t="str">
        <f t="shared" si="298"/>
        <v/>
      </c>
      <c r="L1172" s="88"/>
      <c r="M1172" s="88"/>
      <c r="N1172" s="88"/>
      <c r="O1172" s="88"/>
      <c r="P1172" s="88"/>
      <c r="Q1172" s="88"/>
      <c r="R1172" s="88"/>
      <c r="S1172" s="620"/>
      <c r="T1172" s="92"/>
      <c r="U1172" s="1214"/>
      <c r="V1172" s="1215"/>
      <c r="W1172" s="168"/>
      <c r="X1172" s="170"/>
    </row>
    <row r="1173" spans="1:24" ht="12.75" customHeight="1">
      <c r="A1173" s="15"/>
      <c r="B1173" s="92" t="str">
        <f t="shared" si="295"/>
        <v/>
      </c>
      <c r="C1173" s="90"/>
      <c r="D1173" s="87"/>
      <c r="E1173" s="88"/>
      <c r="F1173" s="173"/>
      <c r="G1173" s="88"/>
      <c r="H1173" s="88"/>
      <c r="I1173" s="323" t="str">
        <f t="shared" si="296"/>
        <v/>
      </c>
      <c r="J1173" s="323" t="str">
        <f t="shared" si="297"/>
        <v/>
      </c>
      <c r="K1173" s="324" t="str">
        <f t="shared" si="298"/>
        <v/>
      </c>
      <c r="L1173" s="88"/>
      <c r="M1173" s="88"/>
      <c r="N1173" s="88"/>
      <c r="O1173" s="88"/>
      <c r="P1173" s="88"/>
      <c r="Q1173" s="88"/>
      <c r="R1173" s="88"/>
      <c r="S1173" s="620"/>
      <c r="T1173" s="92"/>
      <c r="U1173" s="1214"/>
      <c r="V1173" s="1215"/>
      <c r="W1173" s="168"/>
      <c r="X1173" s="170"/>
    </row>
    <row r="1174" spans="1:24" ht="12.75" customHeight="1">
      <c r="A1174" s="15"/>
      <c r="B1174" s="92" t="str">
        <f t="shared" si="295"/>
        <v/>
      </c>
      <c r="C1174" s="90"/>
      <c r="D1174" s="87"/>
      <c r="E1174" s="88"/>
      <c r="F1174" s="173"/>
      <c r="G1174" s="88"/>
      <c r="H1174" s="88"/>
      <c r="I1174" s="323" t="str">
        <f t="shared" si="296"/>
        <v/>
      </c>
      <c r="J1174" s="323" t="str">
        <f t="shared" si="297"/>
        <v/>
      </c>
      <c r="K1174" s="324" t="str">
        <f t="shared" si="298"/>
        <v/>
      </c>
      <c r="L1174" s="88"/>
      <c r="M1174" s="88"/>
      <c r="N1174" s="88"/>
      <c r="O1174" s="88"/>
      <c r="P1174" s="88"/>
      <c r="Q1174" s="88"/>
      <c r="R1174" s="88"/>
      <c r="S1174" s="620"/>
      <c r="T1174" s="92"/>
      <c r="U1174" s="1214"/>
      <c r="V1174" s="1215"/>
      <c r="W1174" s="168"/>
      <c r="X1174" s="170"/>
    </row>
    <row r="1175" spans="1:24" ht="12.75" customHeight="1">
      <c r="A1175" s="15"/>
      <c r="B1175" s="92" t="str">
        <f t="shared" si="295"/>
        <v/>
      </c>
      <c r="C1175" s="90"/>
      <c r="D1175" s="87"/>
      <c r="E1175" s="88"/>
      <c r="F1175" s="173"/>
      <c r="G1175" s="88"/>
      <c r="H1175" s="88"/>
      <c r="I1175" s="323" t="str">
        <f t="shared" si="296"/>
        <v/>
      </c>
      <c r="J1175" s="323" t="str">
        <f t="shared" si="297"/>
        <v/>
      </c>
      <c r="K1175" s="324" t="str">
        <f t="shared" si="298"/>
        <v/>
      </c>
      <c r="L1175" s="88"/>
      <c r="M1175" s="88"/>
      <c r="N1175" s="88"/>
      <c r="O1175" s="88"/>
      <c r="P1175" s="88"/>
      <c r="Q1175" s="88"/>
      <c r="R1175" s="88"/>
      <c r="S1175" s="620"/>
      <c r="T1175" s="92"/>
      <c r="U1175" s="1214"/>
      <c r="V1175" s="1215"/>
      <c r="W1175" s="168"/>
      <c r="X1175" s="170"/>
    </row>
    <row r="1176" spans="1:24" ht="12.75" customHeight="1">
      <c r="A1176" s="15"/>
      <c r="B1176" s="92" t="str">
        <f t="shared" si="295"/>
        <v/>
      </c>
      <c r="C1176" s="90"/>
      <c r="D1176" s="87"/>
      <c r="E1176" s="88"/>
      <c r="F1176" s="173"/>
      <c r="G1176" s="88"/>
      <c r="H1176" s="88"/>
      <c r="I1176" s="323" t="str">
        <f t="shared" si="296"/>
        <v/>
      </c>
      <c r="J1176" s="323" t="str">
        <f t="shared" si="297"/>
        <v/>
      </c>
      <c r="K1176" s="324" t="str">
        <f t="shared" si="298"/>
        <v/>
      </c>
      <c r="L1176" s="88"/>
      <c r="M1176" s="88"/>
      <c r="N1176" s="88"/>
      <c r="O1176" s="88"/>
      <c r="P1176" s="88"/>
      <c r="Q1176" s="88"/>
      <c r="R1176" s="88"/>
      <c r="S1176" s="620"/>
      <c r="T1176" s="92"/>
      <c r="U1176" s="1214"/>
      <c r="V1176" s="1215"/>
      <c r="W1176" s="168"/>
      <c r="X1176" s="170"/>
    </row>
    <row r="1177" spans="1:24" ht="12.75" customHeight="1">
      <c r="A1177" s="15"/>
      <c r="B1177" s="92" t="str">
        <f t="shared" si="295"/>
        <v/>
      </c>
      <c r="C1177" s="90"/>
      <c r="D1177" s="87"/>
      <c r="E1177" s="88"/>
      <c r="F1177" s="173"/>
      <c r="G1177" s="88"/>
      <c r="H1177" s="88"/>
      <c r="I1177" s="323" t="str">
        <f t="shared" si="296"/>
        <v/>
      </c>
      <c r="J1177" s="323" t="str">
        <f t="shared" si="297"/>
        <v/>
      </c>
      <c r="K1177" s="324" t="str">
        <f t="shared" si="298"/>
        <v/>
      </c>
      <c r="L1177" s="88"/>
      <c r="M1177" s="88"/>
      <c r="N1177" s="88"/>
      <c r="O1177" s="88"/>
      <c r="P1177" s="88"/>
      <c r="Q1177" s="88"/>
      <c r="R1177" s="88"/>
      <c r="S1177" s="620"/>
      <c r="T1177" s="92"/>
      <c r="U1177" s="1214"/>
      <c r="V1177" s="1215"/>
      <c r="W1177" s="168"/>
      <c r="X1177" s="170"/>
    </row>
    <row r="1178" spans="1:24" ht="12.75" customHeight="1">
      <c r="A1178" s="15"/>
      <c r="B1178" s="92" t="str">
        <f t="shared" si="295"/>
        <v/>
      </c>
      <c r="C1178" s="90"/>
      <c r="D1178" s="87"/>
      <c r="E1178" s="88"/>
      <c r="F1178" s="173"/>
      <c r="G1178" s="88"/>
      <c r="H1178" s="88"/>
      <c r="I1178" s="323" t="str">
        <f t="shared" si="296"/>
        <v/>
      </c>
      <c r="J1178" s="323" t="str">
        <f t="shared" si="297"/>
        <v/>
      </c>
      <c r="K1178" s="324" t="str">
        <f t="shared" si="298"/>
        <v/>
      </c>
      <c r="L1178" s="88"/>
      <c r="M1178" s="88"/>
      <c r="N1178" s="88"/>
      <c r="O1178" s="88"/>
      <c r="P1178" s="88"/>
      <c r="Q1178" s="88"/>
      <c r="R1178" s="88"/>
      <c r="S1178" s="620"/>
      <c r="T1178" s="92"/>
      <c r="U1178" s="1214"/>
      <c r="V1178" s="1215"/>
      <c r="W1178" s="168"/>
      <c r="X1178" s="170"/>
    </row>
    <row r="1179" spans="1:24" ht="12.75" customHeight="1">
      <c r="A1179" s="15"/>
      <c r="B1179" s="92" t="str">
        <f t="shared" si="295"/>
        <v/>
      </c>
      <c r="C1179" s="90"/>
      <c r="D1179" s="87"/>
      <c r="E1179" s="88"/>
      <c r="F1179" s="173"/>
      <c r="G1179" s="88"/>
      <c r="H1179" s="88"/>
      <c r="I1179" s="323" t="str">
        <f t="shared" si="296"/>
        <v/>
      </c>
      <c r="J1179" s="323" t="str">
        <f t="shared" si="297"/>
        <v/>
      </c>
      <c r="K1179" s="324" t="str">
        <f t="shared" si="298"/>
        <v/>
      </c>
      <c r="L1179" s="88"/>
      <c r="M1179" s="88"/>
      <c r="N1179" s="88"/>
      <c r="O1179" s="88"/>
      <c r="P1179" s="88"/>
      <c r="Q1179" s="88"/>
      <c r="R1179" s="88"/>
      <c r="S1179" s="620"/>
      <c r="T1179" s="92"/>
      <c r="U1179" s="1214"/>
      <c r="V1179" s="1215"/>
      <c r="W1179" s="168"/>
      <c r="X1179" s="170"/>
    </row>
    <row r="1180" spans="1:24" ht="12.75" customHeight="1">
      <c r="A1180" s="15"/>
      <c r="B1180" s="92" t="str">
        <f t="shared" si="295"/>
        <v/>
      </c>
      <c r="C1180" s="90"/>
      <c r="D1180" s="87"/>
      <c r="E1180" s="88"/>
      <c r="F1180" s="173"/>
      <c r="G1180" s="88"/>
      <c r="H1180" s="88"/>
      <c r="I1180" s="323" t="str">
        <f t="shared" si="296"/>
        <v/>
      </c>
      <c r="J1180" s="323" t="str">
        <f t="shared" si="297"/>
        <v/>
      </c>
      <c r="K1180" s="324" t="str">
        <f t="shared" si="298"/>
        <v/>
      </c>
      <c r="L1180" s="88"/>
      <c r="M1180" s="88"/>
      <c r="N1180" s="88"/>
      <c r="O1180" s="88"/>
      <c r="P1180" s="88"/>
      <c r="Q1180" s="88"/>
      <c r="R1180" s="88"/>
      <c r="S1180" s="620"/>
      <c r="T1180" s="92"/>
      <c r="U1180" s="1214"/>
      <c r="V1180" s="1215"/>
      <c r="W1180" s="168"/>
      <c r="X1180" s="170"/>
    </row>
    <row r="1181" spans="1:24" ht="12.75" customHeight="1">
      <c r="A1181" s="15"/>
      <c r="B1181" s="92" t="str">
        <f t="shared" si="295"/>
        <v/>
      </c>
      <c r="C1181" s="90"/>
      <c r="D1181" s="87"/>
      <c r="E1181" s="88"/>
      <c r="F1181" s="173"/>
      <c r="G1181" s="88"/>
      <c r="H1181" s="88"/>
      <c r="I1181" s="323" t="str">
        <f t="shared" si="296"/>
        <v/>
      </c>
      <c r="J1181" s="323" t="str">
        <f t="shared" si="297"/>
        <v/>
      </c>
      <c r="K1181" s="324" t="str">
        <f t="shared" si="298"/>
        <v/>
      </c>
      <c r="L1181" s="88"/>
      <c r="M1181" s="88"/>
      <c r="N1181" s="88"/>
      <c r="O1181" s="88"/>
      <c r="P1181" s="88"/>
      <c r="Q1181" s="88"/>
      <c r="R1181" s="88"/>
      <c r="S1181" s="620"/>
      <c r="T1181" s="92"/>
      <c r="U1181" s="1214"/>
      <c r="V1181" s="1215"/>
      <c r="W1181" s="168"/>
      <c r="X1181" s="170"/>
    </row>
    <row r="1182" spans="1:24" ht="12.75" customHeight="1">
      <c r="A1182" s="15"/>
      <c r="B1182" s="92" t="str">
        <f t="shared" si="295"/>
        <v/>
      </c>
      <c r="C1182" s="90"/>
      <c r="D1182" s="87"/>
      <c r="E1182" s="88"/>
      <c r="F1182" s="173"/>
      <c r="G1182" s="88"/>
      <c r="H1182" s="88"/>
      <c r="I1182" s="323" t="str">
        <f t="shared" si="296"/>
        <v/>
      </c>
      <c r="J1182" s="323" t="str">
        <f t="shared" si="297"/>
        <v/>
      </c>
      <c r="K1182" s="324" t="str">
        <f t="shared" si="298"/>
        <v/>
      </c>
      <c r="L1182" s="88"/>
      <c r="M1182" s="88"/>
      <c r="N1182" s="88"/>
      <c r="O1182" s="88"/>
      <c r="P1182" s="88"/>
      <c r="Q1182" s="88"/>
      <c r="R1182" s="88"/>
      <c r="S1182" s="620"/>
      <c r="T1182" s="92"/>
      <c r="U1182" s="1214"/>
      <c r="V1182" s="1215"/>
      <c r="W1182" s="168"/>
      <c r="X1182" s="170"/>
    </row>
    <row r="1183" spans="1:24" ht="12.75" customHeight="1">
      <c r="A1183" s="15"/>
      <c r="B1183" s="92" t="str">
        <f t="shared" si="295"/>
        <v/>
      </c>
      <c r="C1183" s="90"/>
      <c r="D1183" s="87"/>
      <c r="E1183" s="88"/>
      <c r="F1183" s="173"/>
      <c r="G1183" s="88"/>
      <c r="H1183" s="88"/>
      <c r="I1183" s="323" t="str">
        <f t="shared" si="296"/>
        <v/>
      </c>
      <c r="J1183" s="323" t="str">
        <f t="shared" si="297"/>
        <v/>
      </c>
      <c r="K1183" s="324" t="str">
        <f t="shared" si="298"/>
        <v/>
      </c>
      <c r="L1183" s="88"/>
      <c r="M1183" s="88"/>
      <c r="N1183" s="88"/>
      <c r="O1183" s="88"/>
      <c r="P1183" s="88"/>
      <c r="Q1183" s="88"/>
      <c r="R1183" s="88"/>
      <c r="S1183" s="620"/>
      <c r="T1183" s="92"/>
      <c r="U1183" s="1214"/>
      <c r="V1183" s="1215"/>
      <c r="W1183" s="168"/>
      <c r="X1183" s="170"/>
    </row>
    <row r="1184" spans="1:24" ht="12.75" customHeight="1">
      <c r="A1184" s="15"/>
      <c r="B1184" s="92" t="str">
        <f t="shared" si="295"/>
        <v/>
      </c>
      <c r="C1184" s="90"/>
      <c r="D1184" s="87"/>
      <c r="E1184" s="88"/>
      <c r="F1184" s="173"/>
      <c r="G1184" s="88"/>
      <c r="H1184" s="88"/>
      <c r="I1184" s="323" t="str">
        <f t="shared" si="296"/>
        <v/>
      </c>
      <c r="J1184" s="323" t="str">
        <f t="shared" si="297"/>
        <v/>
      </c>
      <c r="K1184" s="324" t="str">
        <f t="shared" si="298"/>
        <v/>
      </c>
      <c r="L1184" s="88"/>
      <c r="M1184" s="88"/>
      <c r="N1184" s="88"/>
      <c r="O1184" s="88"/>
      <c r="P1184" s="88"/>
      <c r="Q1184" s="88"/>
      <c r="R1184" s="88"/>
      <c r="S1184" s="620"/>
      <c r="T1184" s="92"/>
      <c r="U1184" s="1214"/>
      <c r="V1184" s="1215"/>
      <c r="W1184" s="168"/>
      <c r="X1184" s="170"/>
    </row>
    <row r="1185" spans="1:24" ht="12.75" customHeight="1">
      <c r="A1185" s="15"/>
      <c r="B1185" s="92" t="str">
        <f t="shared" si="295"/>
        <v/>
      </c>
      <c r="C1185" s="90"/>
      <c r="D1185" s="87"/>
      <c r="E1185" s="88"/>
      <c r="F1185" s="173"/>
      <c r="G1185" s="88"/>
      <c r="H1185" s="88"/>
      <c r="I1185" s="323" t="str">
        <f t="shared" si="296"/>
        <v/>
      </c>
      <c r="J1185" s="323" t="str">
        <f t="shared" si="297"/>
        <v/>
      </c>
      <c r="K1185" s="324" t="str">
        <f t="shared" si="298"/>
        <v/>
      </c>
      <c r="L1185" s="88"/>
      <c r="M1185" s="88"/>
      <c r="N1185" s="88"/>
      <c r="O1185" s="88"/>
      <c r="P1185" s="88"/>
      <c r="Q1185" s="88"/>
      <c r="R1185" s="88"/>
      <c r="S1185" s="620"/>
      <c r="T1185" s="92"/>
      <c r="U1185" s="1214"/>
      <c r="V1185" s="1215"/>
      <c r="W1185" s="168"/>
      <c r="X1185" s="170"/>
    </row>
    <row r="1186" spans="1:24" ht="12.75" customHeight="1">
      <c r="A1186" s="15"/>
      <c r="B1186" s="92" t="str">
        <f t="shared" si="295"/>
        <v/>
      </c>
      <c r="C1186" s="90"/>
      <c r="D1186" s="87"/>
      <c r="E1186" s="88"/>
      <c r="F1186" s="173"/>
      <c r="G1186" s="88"/>
      <c r="H1186" s="88"/>
      <c r="I1186" s="323" t="str">
        <f t="shared" si="296"/>
        <v/>
      </c>
      <c r="J1186" s="323" t="str">
        <f t="shared" si="297"/>
        <v/>
      </c>
      <c r="K1186" s="324" t="str">
        <f t="shared" si="298"/>
        <v/>
      </c>
      <c r="L1186" s="88"/>
      <c r="M1186" s="88"/>
      <c r="N1186" s="88"/>
      <c r="O1186" s="88"/>
      <c r="P1186" s="88"/>
      <c r="Q1186" s="88"/>
      <c r="R1186" s="88"/>
      <c r="S1186" s="620"/>
      <c r="T1186" s="92"/>
      <c r="U1186" s="1214"/>
      <c r="V1186" s="1215"/>
      <c r="W1186" s="168"/>
      <c r="X1186" s="170"/>
    </row>
    <row r="1187" spans="1:24" ht="12.75" customHeight="1">
      <c r="A1187" s="15"/>
      <c r="B1187" s="92" t="str">
        <f t="shared" si="295"/>
        <v/>
      </c>
      <c r="C1187" s="90"/>
      <c r="D1187" s="87"/>
      <c r="E1187" s="88"/>
      <c r="F1187" s="173"/>
      <c r="G1187" s="88"/>
      <c r="H1187" s="88"/>
      <c r="I1187" s="323" t="str">
        <f t="shared" si="296"/>
        <v/>
      </c>
      <c r="J1187" s="323" t="str">
        <f t="shared" si="297"/>
        <v/>
      </c>
      <c r="K1187" s="324" t="str">
        <f t="shared" si="298"/>
        <v/>
      </c>
      <c r="L1187" s="88"/>
      <c r="M1187" s="88"/>
      <c r="N1187" s="88"/>
      <c r="O1187" s="88"/>
      <c r="P1187" s="88"/>
      <c r="Q1187" s="88"/>
      <c r="R1187" s="88"/>
      <c r="S1187" s="620"/>
      <c r="T1187" s="92"/>
      <c r="U1187" s="1214"/>
      <c r="V1187" s="1215"/>
      <c r="W1187" s="168"/>
      <c r="X1187" s="170"/>
    </row>
    <row r="1188" spans="1:24" ht="12.75" customHeight="1">
      <c r="A1188" s="15"/>
      <c r="B1188" s="92" t="str">
        <f t="shared" si="295"/>
        <v/>
      </c>
      <c r="C1188" s="90"/>
      <c r="D1188" s="87"/>
      <c r="E1188" s="88"/>
      <c r="F1188" s="173"/>
      <c r="G1188" s="88"/>
      <c r="H1188" s="88"/>
      <c r="I1188" s="323" t="str">
        <f t="shared" si="296"/>
        <v/>
      </c>
      <c r="J1188" s="323" t="str">
        <f t="shared" si="297"/>
        <v/>
      </c>
      <c r="K1188" s="324" t="str">
        <f t="shared" si="298"/>
        <v/>
      </c>
      <c r="L1188" s="88"/>
      <c r="M1188" s="88"/>
      <c r="N1188" s="88"/>
      <c r="O1188" s="88"/>
      <c r="P1188" s="88"/>
      <c r="Q1188" s="88"/>
      <c r="R1188" s="88"/>
      <c r="S1188" s="620"/>
      <c r="T1188" s="92"/>
      <c r="U1188" s="1214"/>
      <c r="V1188" s="1215"/>
      <c r="W1188" s="168"/>
      <c r="X1188" s="170"/>
    </row>
    <row r="1189" spans="1:24" ht="12.75" customHeight="1">
      <c r="A1189" s="15"/>
      <c r="B1189" s="92" t="str">
        <f t="shared" si="295"/>
        <v/>
      </c>
      <c r="C1189" s="90"/>
      <c r="D1189" s="87"/>
      <c r="E1189" s="88"/>
      <c r="F1189" s="173"/>
      <c r="G1189" s="88"/>
      <c r="H1189" s="88"/>
      <c r="I1189" s="323" t="str">
        <f t="shared" si="296"/>
        <v/>
      </c>
      <c r="J1189" s="323" t="str">
        <f t="shared" si="297"/>
        <v/>
      </c>
      <c r="K1189" s="324" t="str">
        <f t="shared" si="298"/>
        <v/>
      </c>
      <c r="L1189" s="88"/>
      <c r="M1189" s="88"/>
      <c r="N1189" s="88"/>
      <c r="O1189" s="88"/>
      <c r="P1189" s="88"/>
      <c r="Q1189" s="88"/>
      <c r="R1189" s="88"/>
      <c r="S1189" s="620"/>
      <c r="T1189" s="92"/>
      <c r="U1189" s="1214"/>
      <c r="V1189" s="1215"/>
      <c r="W1189" s="168"/>
      <c r="X1189" s="170"/>
    </row>
    <row r="1190" spans="1:24" ht="12.75" customHeight="1">
      <c r="A1190" s="15"/>
      <c r="B1190" s="92" t="str">
        <f t="shared" si="295"/>
        <v/>
      </c>
      <c r="C1190" s="90"/>
      <c r="D1190" s="87"/>
      <c r="E1190" s="88"/>
      <c r="F1190" s="173"/>
      <c r="G1190" s="88"/>
      <c r="H1190" s="88"/>
      <c r="I1190" s="323" t="str">
        <f t="shared" si="296"/>
        <v/>
      </c>
      <c r="J1190" s="323" t="str">
        <f t="shared" si="297"/>
        <v/>
      </c>
      <c r="K1190" s="324" t="str">
        <f t="shared" si="298"/>
        <v/>
      </c>
      <c r="L1190" s="88"/>
      <c r="M1190" s="88"/>
      <c r="N1190" s="88"/>
      <c r="O1190" s="88"/>
      <c r="P1190" s="88"/>
      <c r="Q1190" s="88"/>
      <c r="R1190" s="88"/>
      <c r="S1190" s="620"/>
      <c r="T1190" s="92"/>
      <c r="U1190" s="1214"/>
      <c r="V1190" s="1215"/>
      <c r="W1190" s="168"/>
      <c r="X1190" s="170"/>
    </row>
    <row r="1191" spans="1:24" ht="12.75" customHeight="1">
      <c r="A1191" s="15"/>
      <c r="B1191" s="92" t="str">
        <f t="shared" si="295"/>
        <v/>
      </c>
      <c r="C1191" s="90"/>
      <c r="D1191" s="87"/>
      <c r="E1191" s="88"/>
      <c r="F1191" s="173"/>
      <c r="G1191" s="88"/>
      <c r="H1191" s="88"/>
      <c r="I1191" s="323" t="str">
        <f t="shared" si="296"/>
        <v/>
      </c>
      <c r="J1191" s="323" t="str">
        <f t="shared" si="297"/>
        <v/>
      </c>
      <c r="K1191" s="324" t="str">
        <f t="shared" si="298"/>
        <v/>
      </c>
      <c r="L1191" s="88"/>
      <c r="M1191" s="88"/>
      <c r="N1191" s="88"/>
      <c r="O1191" s="88"/>
      <c r="P1191" s="88"/>
      <c r="Q1191" s="88"/>
      <c r="R1191" s="88"/>
      <c r="S1191" s="620"/>
      <c r="T1191" s="92"/>
      <c r="U1191" s="1214"/>
      <c r="V1191" s="1215"/>
      <c r="W1191" s="168"/>
      <c r="X1191" s="170"/>
    </row>
    <row r="1192" spans="1:24" ht="12.75" customHeight="1">
      <c r="A1192" s="15"/>
      <c r="B1192" s="92" t="str">
        <f t="shared" si="295"/>
        <v/>
      </c>
      <c r="C1192" s="90"/>
      <c r="D1192" s="87"/>
      <c r="E1192" s="88"/>
      <c r="F1192" s="173"/>
      <c r="G1192" s="88"/>
      <c r="H1192" s="88"/>
      <c r="I1192" s="323" t="str">
        <f t="shared" si="296"/>
        <v/>
      </c>
      <c r="J1192" s="323" t="str">
        <f t="shared" si="297"/>
        <v/>
      </c>
      <c r="K1192" s="324" t="str">
        <f t="shared" si="298"/>
        <v/>
      </c>
      <c r="L1192" s="88"/>
      <c r="M1192" s="88"/>
      <c r="N1192" s="88"/>
      <c r="O1192" s="88"/>
      <c r="P1192" s="88"/>
      <c r="Q1192" s="88"/>
      <c r="R1192" s="88"/>
      <c r="S1192" s="620"/>
      <c r="T1192" s="92"/>
      <c r="U1192" s="1214"/>
      <c r="V1192" s="1215"/>
      <c r="W1192" s="168"/>
      <c r="X1192" s="170"/>
    </row>
    <row r="1193" spans="1:24" ht="12.75" customHeight="1">
      <c r="A1193" s="15"/>
      <c r="B1193" s="92" t="str">
        <f t="shared" si="295"/>
        <v/>
      </c>
      <c r="C1193" s="90"/>
      <c r="D1193" s="87"/>
      <c r="E1193" s="88"/>
      <c r="F1193" s="173"/>
      <c r="G1193" s="88"/>
      <c r="H1193" s="88"/>
      <c r="I1193" s="323" t="str">
        <f t="shared" si="296"/>
        <v/>
      </c>
      <c r="J1193" s="323" t="str">
        <f t="shared" si="297"/>
        <v/>
      </c>
      <c r="K1193" s="324" t="str">
        <f t="shared" si="298"/>
        <v/>
      </c>
      <c r="L1193" s="88"/>
      <c r="M1193" s="88"/>
      <c r="N1193" s="88"/>
      <c r="O1193" s="88"/>
      <c r="P1193" s="88"/>
      <c r="Q1193" s="88"/>
      <c r="R1193" s="88"/>
      <c r="S1193" s="620"/>
      <c r="T1193" s="92"/>
      <c r="U1193" s="1214"/>
      <c r="V1193" s="1215"/>
      <c r="W1193" s="168"/>
      <c r="X1193" s="170"/>
    </row>
    <row r="1194" spans="1:24" ht="12.75" customHeight="1">
      <c r="A1194" s="15"/>
      <c r="B1194" s="92" t="str">
        <f t="shared" si="295"/>
        <v/>
      </c>
      <c r="C1194" s="90"/>
      <c r="D1194" s="87"/>
      <c r="E1194" s="88"/>
      <c r="F1194" s="173"/>
      <c r="G1194" s="88"/>
      <c r="H1194" s="88"/>
      <c r="I1194" s="323" t="str">
        <f t="shared" si="296"/>
        <v/>
      </c>
      <c r="J1194" s="323" t="str">
        <f t="shared" si="297"/>
        <v/>
      </c>
      <c r="K1194" s="324" t="str">
        <f t="shared" si="298"/>
        <v/>
      </c>
      <c r="L1194" s="88"/>
      <c r="M1194" s="88"/>
      <c r="N1194" s="88"/>
      <c r="O1194" s="88"/>
      <c r="P1194" s="88"/>
      <c r="Q1194" s="88"/>
      <c r="R1194" s="88"/>
      <c r="S1194" s="620"/>
      <c r="T1194" s="92"/>
      <c r="U1194" s="1214"/>
      <c r="V1194" s="1215"/>
      <c r="W1194" s="168"/>
      <c r="X1194" s="170"/>
    </row>
    <row r="1195" spans="1:24" ht="12.75" customHeight="1">
      <c r="A1195" s="15"/>
      <c r="B1195" s="92" t="str">
        <f t="shared" si="295"/>
        <v/>
      </c>
      <c r="C1195" s="90"/>
      <c r="D1195" s="87"/>
      <c r="E1195" s="88"/>
      <c r="F1195" s="173"/>
      <c r="G1195" s="88"/>
      <c r="H1195" s="88"/>
      <c r="I1195" s="323" t="str">
        <f t="shared" si="296"/>
        <v/>
      </c>
      <c r="J1195" s="323" t="str">
        <f t="shared" si="297"/>
        <v/>
      </c>
      <c r="K1195" s="324" t="str">
        <f t="shared" si="298"/>
        <v/>
      </c>
      <c r="L1195" s="88"/>
      <c r="M1195" s="88"/>
      <c r="N1195" s="88"/>
      <c r="O1195" s="88"/>
      <c r="P1195" s="88"/>
      <c r="Q1195" s="88"/>
      <c r="R1195" s="88"/>
      <c r="S1195" s="620"/>
      <c r="T1195" s="92"/>
      <c r="U1195" s="1214"/>
      <c r="V1195" s="1215"/>
      <c r="W1195" s="168"/>
      <c r="X1195" s="170"/>
    </row>
    <row r="1196" spans="1:24" ht="12.75" customHeight="1">
      <c r="A1196" s="15"/>
      <c r="B1196" s="92" t="str">
        <f t="shared" si="295"/>
        <v/>
      </c>
      <c r="C1196" s="90"/>
      <c r="D1196" s="87"/>
      <c r="E1196" s="88"/>
      <c r="F1196" s="173"/>
      <c r="G1196" s="88"/>
      <c r="H1196" s="88"/>
      <c r="I1196" s="323" t="str">
        <f t="shared" si="296"/>
        <v/>
      </c>
      <c r="J1196" s="323" t="str">
        <f t="shared" si="297"/>
        <v/>
      </c>
      <c r="K1196" s="324" t="str">
        <f t="shared" si="298"/>
        <v/>
      </c>
      <c r="L1196" s="88"/>
      <c r="M1196" s="88"/>
      <c r="N1196" s="88"/>
      <c r="O1196" s="88"/>
      <c r="P1196" s="88"/>
      <c r="Q1196" s="88"/>
      <c r="R1196" s="88"/>
      <c r="S1196" s="620"/>
      <c r="T1196" s="92"/>
      <c r="U1196" s="1214"/>
      <c r="V1196" s="1215"/>
      <c r="W1196" s="168"/>
      <c r="X1196" s="170"/>
    </row>
    <row r="1197" spans="1:24" ht="12.75" customHeight="1">
      <c r="A1197" s="15"/>
      <c r="B1197" s="92" t="str">
        <f t="shared" si="295"/>
        <v/>
      </c>
      <c r="C1197" s="90"/>
      <c r="D1197" s="87"/>
      <c r="E1197" s="88"/>
      <c r="F1197" s="173"/>
      <c r="G1197" s="88"/>
      <c r="H1197" s="88"/>
      <c r="I1197" s="323" t="str">
        <f t="shared" si="296"/>
        <v/>
      </c>
      <c r="J1197" s="323" t="str">
        <f t="shared" si="297"/>
        <v/>
      </c>
      <c r="K1197" s="324" t="str">
        <f t="shared" si="298"/>
        <v/>
      </c>
      <c r="L1197" s="88"/>
      <c r="M1197" s="88"/>
      <c r="N1197" s="88"/>
      <c r="O1197" s="88"/>
      <c r="P1197" s="88"/>
      <c r="Q1197" s="88"/>
      <c r="R1197" s="88"/>
      <c r="S1197" s="620"/>
      <c r="T1197" s="92"/>
      <c r="U1197" s="1214"/>
      <c r="V1197" s="1215"/>
      <c r="W1197" s="168"/>
      <c r="X1197" s="170"/>
    </row>
    <row r="1198" spans="1:24" ht="12.75" customHeight="1">
      <c r="A1198" s="15"/>
      <c r="B1198" s="92" t="str">
        <f t="shared" si="295"/>
        <v/>
      </c>
      <c r="C1198" s="90"/>
      <c r="D1198" s="87"/>
      <c r="E1198" s="88"/>
      <c r="F1198" s="173"/>
      <c r="G1198" s="88"/>
      <c r="H1198" s="88"/>
      <c r="I1198" s="323" t="str">
        <f t="shared" si="296"/>
        <v/>
      </c>
      <c r="J1198" s="323" t="str">
        <f t="shared" si="297"/>
        <v/>
      </c>
      <c r="K1198" s="324" t="str">
        <f t="shared" si="298"/>
        <v/>
      </c>
      <c r="L1198" s="88"/>
      <c r="M1198" s="88"/>
      <c r="N1198" s="88"/>
      <c r="O1198" s="88"/>
      <c r="P1198" s="88"/>
      <c r="Q1198" s="88"/>
      <c r="R1198" s="88"/>
      <c r="S1198" s="620"/>
      <c r="T1198" s="92"/>
      <c r="U1198" s="1214"/>
      <c r="V1198" s="1215"/>
      <c r="W1198" s="168"/>
      <c r="X1198" s="170"/>
    </row>
    <row r="1199" spans="1:24" ht="12.75" customHeight="1">
      <c r="A1199" s="15"/>
      <c r="B1199" s="92" t="str">
        <f t="shared" ref="B1199:B1262" si="299">IF(C1199="","",ROW()-5)</f>
        <v/>
      </c>
      <c r="C1199" s="90"/>
      <c r="D1199" s="87"/>
      <c r="E1199" s="88"/>
      <c r="F1199" s="173"/>
      <c r="G1199" s="88"/>
      <c r="H1199" s="88"/>
      <c r="I1199" s="323" t="str">
        <f t="shared" si="296"/>
        <v/>
      </c>
      <c r="J1199" s="323" t="str">
        <f t="shared" si="297"/>
        <v/>
      </c>
      <c r="K1199" s="324" t="str">
        <f t="shared" si="298"/>
        <v/>
      </c>
      <c r="L1199" s="88"/>
      <c r="M1199" s="88"/>
      <c r="N1199" s="88"/>
      <c r="O1199" s="88"/>
      <c r="P1199" s="88"/>
      <c r="Q1199" s="88"/>
      <c r="R1199" s="88"/>
      <c r="S1199" s="620"/>
      <c r="T1199" s="92"/>
      <c r="U1199" s="1214"/>
      <c r="V1199" s="1215"/>
      <c r="W1199" s="168"/>
      <c r="X1199" s="170"/>
    </row>
    <row r="1200" spans="1:24" ht="12.75" customHeight="1">
      <c r="A1200" s="15"/>
      <c r="B1200" s="92" t="str">
        <f t="shared" si="299"/>
        <v/>
      </c>
      <c r="C1200" s="90"/>
      <c r="D1200" s="87"/>
      <c r="E1200" s="88"/>
      <c r="F1200" s="173"/>
      <c r="G1200" s="88"/>
      <c r="H1200" s="88"/>
      <c r="I1200" s="323" t="str">
        <f t="shared" si="296"/>
        <v/>
      </c>
      <c r="J1200" s="323" t="str">
        <f t="shared" si="297"/>
        <v/>
      </c>
      <c r="K1200" s="324" t="str">
        <f t="shared" si="298"/>
        <v/>
      </c>
      <c r="L1200" s="88"/>
      <c r="M1200" s="88"/>
      <c r="N1200" s="88"/>
      <c r="O1200" s="88"/>
      <c r="P1200" s="88"/>
      <c r="Q1200" s="88"/>
      <c r="R1200" s="88"/>
      <c r="S1200" s="620"/>
      <c r="T1200" s="92"/>
      <c r="U1200" s="1214"/>
      <c r="V1200" s="1215"/>
      <c r="W1200" s="168"/>
      <c r="X1200" s="170"/>
    </row>
    <row r="1201" spans="1:24" ht="12.75" customHeight="1">
      <c r="A1201" s="15"/>
      <c r="B1201" s="92" t="str">
        <f t="shared" si="299"/>
        <v/>
      </c>
      <c r="C1201" s="90"/>
      <c r="D1201" s="87"/>
      <c r="E1201" s="88"/>
      <c r="F1201" s="173"/>
      <c r="G1201" s="88"/>
      <c r="H1201" s="88"/>
      <c r="I1201" s="323" t="str">
        <f t="shared" si="296"/>
        <v/>
      </c>
      <c r="J1201" s="323" t="str">
        <f t="shared" si="297"/>
        <v/>
      </c>
      <c r="K1201" s="324" t="str">
        <f t="shared" si="298"/>
        <v/>
      </c>
      <c r="L1201" s="88"/>
      <c r="M1201" s="88"/>
      <c r="N1201" s="88"/>
      <c r="O1201" s="88"/>
      <c r="P1201" s="88"/>
      <c r="Q1201" s="88"/>
      <c r="R1201" s="88"/>
      <c r="S1201" s="620"/>
      <c r="T1201" s="92"/>
      <c r="U1201" s="1214"/>
      <c r="V1201" s="1215"/>
      <c r="W1201" s="168"/>
      <c r="X1201" s="170"/>
    </row>
    <row r="1202" spans="1:24" ht="12.75" customHeight="1">
      <c r="A1202" s="15"/>
      <c r="B1202" s="92" t="str">
        <f t="shared" si="299"/>
        <v/>
      </c>
      <c r="C1202" s="90"/>
      <c r="D1202" s="87"/>
      <c r="E1202" s="88"/>
      <c r="F1202" s="173"/>
      <c r="G1202" s="88"/>
      <c r="H1202" s="88"/>
      <c r="I1202" s="323" t="str">
        <f t="shared" si="296"/>
        <v/>
      </c>
      <c r="J1202" s="323" t="str">
        <f t="shared" si="297"/>
        <v/>
      </c>
      <c r="K1202" s="324" t="str">
        <f t="shared" si="298"/>
        <v/>
      </c>
      <c r="L1202" s="88"/>
      <c r="M1202" s="88"/>
      <c r="N1202" s="88"/>
      <c r="O1202" s="88"/>
      <c r="P1202" s="88"/>
      <c r="Q1202" s="88"/>
      <c r="R1202" s="88"/>
      <c r="S1202" s="620"/>
      <c r="T1202" s="92"/>
      <c r="U1202" s="1214"/>
      <c r="V1202" s="1215"/>
      <c r="W1202" s="168"/>
      <c r="X1202" s="170"/>
    </row>
    <row r="1203" spans="1:24" ht="12.75" customHeight="1">
      <c r="A1203" s="15"/>
      <c r="B1203" s="92" t="str">
        <f t="shared" si="299"/>
        <v/>
      </c>
      <c r="C1203" s="90"/>
      <c r="D1203" s="87"/>
      <c r="E1203" s="88"/>
      <c r="F1203" s="173"/>
      <c r="G1203" s="88"/>
      <c r="H1203" s="88"/>
      <c r="I1203" s="323" t="str">
        <f t="shared" si="296"/>
        <v/>
      </c>
      <c r="J1203" s="323" t="str">
        <f t="shared" si="297"/>
        <v/>
      </c>
      <c r="K1203" s="324" t="str">
        <f t="shared" si="298"/>
        <v/>
      </c>
      <c r="L1203" s="88"/>
      <c r="M1203" s="88"/>
      <c r="N1203" s="88"/>
      <c r="O1203" s="88"/>
      <c r="P1203" s="88"/>
      <c r="Q1203" s="88"/>
      <c r="R1203" s="88"/>
      <c r="S1203" s="620"/>
      <c r="T1203" s="92"/>
      <c r="U1203" s="1214"/>
      <c r="V1203" s="1215"/>
      <c r="W1203" s="168"/>
      <c r="X1203" s="170"/>
    </row>
    <row r="1204" spans="1:24" ht="12.75" customHeight="1">
      <c r="A1204" s="15"/>
      <c r="B1204" s="92" t="str">
        <f t="shared" si="299"/>
        <v/>
      </c>
      <c r="C1204" s="90"/>
      <c r="D1204" s="87"/>
      <c r="E1204" s="88"/>
      <c r="F1204" s="173"/>
      <c r="G1204" s="88"/>
      <c r="H1204" s="88"/>
      <c r="I1204" s="323" t="str">
        <f t="shared" si="296"/>
        <v/>
      </c>
      <c r="J1204" s="323" t="str">
        <f t="shared" si="297"/>
        <v/>
      </c>
      <c r="K1204" s="324" t="str">
        <f t="shared" si="298"/>
        <v/>
      </c>
      <c r="L1204" s="88"/>
      <c r="M1204" s="88"/>
      <c r="N1204" s="88"/>
      <c r="O1204" s="88"/>
      <c r="P1204" s="88"/>
      <c r="Q1204" s="88"/>
      <c r="R1204" s="88"/>
      <c r="S1204" s="620"/>
      <c r="T1204" s="92"/>
      <c r="U1204" s="1214"/>
      <c r="V1204" s="1215"/>
      <c r="W1204" s="168"/>
      <c r="X1204" s="170"/>
    </row>
    <row r="1205" spans="1:24" ht="12.75" customHeight="1">
      <c r="A1205" s="15"/>
      <c r="B1205" s="92" t="str">
        <f t="shared" si="299"/>
        <v/>
      </c>
      <c r="C1205" s="90"/>
      <c r="D1205" s="87"/>
      <c r="E1205" s="88"/>
      <c r="F1205" s="173"/>
      <c r="G1205" s="88"/>
      <c r="H1205" s="88"/>
      <c r="I1205" s="323" t="str">
        <f t="shared" si="296"/>
        <v/>
      </c>
      <c r="J1205" s="323" t="str">
        <f t="shared" si="297"/>
        <v/>
      </c>
      <c r="K1205" s="324" t="str">
        <f t="shared" si="298"/>
        <v/>
      </c>
      <c r="L1205" s="88"/>
      <c r="M1205" s="88"/>
      <c r="N1205" s="88"/>
      <c r="O1205" s="88"/>
      <c r="P1205" s="88"/>
      <c r="Q1205" s="88"/>
      <c r="R1205" s="88"/>
      <c r="S1205" s="620"/>
      <c r="T1205" s="92"/>
      <c r="U1205" s="1214"/>
      <c r="V1205" s="1215"/>
      <c r="W1205" s="168"/>
      <c r="X1205" s="170"/>
    </row>
    <row r="1206" spans="1:24" ht="12.75" customHeight="1">
      <c r="A1206" s="15"/>
      <c r="B1206" s="92" t="str">
        <f t="shared" si="299"/>
        <v/>
      </c>
      <c r="C1206" s="90"/>
      <c r="D1206" s="87"/>
      <c r="E1206" s="88"/>
      <c r="F1206" s="173"/>
      <c r="G1206" s="88"/>
      <c r="H1206" s="88"/>
      <c r="I1206" s="323" t="str">
        <f t="shared" si="296"/>
        <v/>
      </c>
      <c r="J1206" s="323" t="str">
        <f t="shared" si="297"/>
        <v/>
      </c>
      <c r="K1206" s="324" t="str">
        <f t="shared" si="298"/>
        <v/>
      </c>
      <c r="L1206" s="88"/>
      <c r="M1206" s="88"/>
      <c r="N1206" s="88"/>
      <c r="O1206" s="88"/>
      <c r="P1206" s="88"/>
      <c r="Q1206" s="88"/>
      <c r="R1206" s="88"/>
      <c r="S1206" s="620"/>
      <c r="T1206" s="92"/>
      <c r="U1206" s="1214"/>
      <c r="V1206" s="1215"/>
      <c r="W1206" s="168"/>
      <c r="X1206" s="170"/>
    </row>
    <row r="1207" spans="1:24" ht="12.75" customHeight="1">
      <c r="A1207" s="15"/>
      <c r="B1207" s="92" t="str">
        <f t="shared" si="299"/>
        <v/>
      </c>
      <c r="C1207" s="90"/>
      <c r="D1207" s="87"/>
      <c r="E1207" s="88"/>
      <c r="F1207" s="173"/>
      <c r="G1207" s="88"/>
      <c r="H1207" s="88"/>
      <c r="I1207" s="323" t="str">
        <f t="shared" si="296"/>
        <v/>
      </c>
      <c r="J1207" s="323" t="str">
        <f t="shared" si="297"/>
        <v/>
      </c>
      <c r="K1207" s="324" t="str">
        <f t="shared" si="298"/>
        <v/>
      </c>
      <c r="L1207" s="88"/>
      <c r="M1207" s="88"/>
      <c r="N1207" s="88"/>
      <c r="O1207" s="88"/>
      <c r="P1207" s="88"/>
      <c r="Q1207" s="88"/>
      <c r="R1207" s="88"/>
      <c r="S1207" s="620"/>
      <c r="T1207" s="92"/>
      <c r="U1207" s="1214"/>
      <c r="V1207" s="1215"/>
      <c r="W1207" s="168"/>
      <c r="X1207" s="170"/>
    </row>
    <row r="1208" spans="1:24" ht="12.75" customHeight="1">
      <c r="A1208" s="15"/>
      <c r="B1208" s="92" t="str">
        <f t="shared" si="299"/>
        <v/>
      </c>
      <c r="C1208" s="90"/>
      <c r="D1208" s="87"/>
      <c r="E1208" s="88"/>
      <c r="F1208" s="173"/>
      <c r="G1208" s="88"/>
      <c r="H1208" s="88"/>
      <c r="I1208" s="323" t="str">
        <f t="shared" si="296"/>
        <v/>
      </c>
      <c r="J1208" s="323" t="str">
        <f t="shared" si="297"/>
        <v/>
      </c>
      <c r="K1208" s="324" t="str">
        <f t="shared" si="298"/>
        <v/>
      </c>
      <c r="L1208" s="88"/>
      <c r="M1208" s="88"/>
      <c r="N1208" s="88"/>
      <c r="O1208" s="88"/>
      <c r="P1208" s="88"/>
      <c r="Q1208" s="88"/>
      <c r="R1208" s="88"/>
      <c r="S1208" s="620"/>
      <c r="T1208" s="92"/>
      <c r="U1208" s="1214"/>
      <c r="V1208" s="1215"/>
      <c r="W1208" s="168"/>
      <c r="X1208" s="170"/>
    </row>
    <row r="1209" spans="1:24" ht="12.75" customHeight="1">
      <c r="A1209" s="15"/>
      <c r="B1209" s="92" t="str">
        <f t="shared" si="299"/>
        <v/>
      </c>
      <c r="C1209" s="90"/>
      <c r="D1209" s="87"/>
      <c r="E1209" s="88"/>
      <c r="F1209" s="173"/>
      <c r="G1209" s="88"/>
      <c r="H1209" s="88"/>
      <c r="I1209" s="323" t="str">
        <f t="shared" si="296"/>
        <v/>
      </c>
      <c r="J1209" s="323" t="str">
        <f t="shared" si="297"/>
        <v/>
      </c>
      <c r="K1209" s="324" t="str">
        <f t="shared" si="298"/>
        <v/>
      </c>
      <c r="L1209" s="88"/>
      <c r="M1209" s="88"/>
      <c r="N1209" s="88"/>
      <c r="O1209" s="88"/>
      <c r="P1209" s="88"/>
      <c r="Q1209" s="88"/>
      <c r="R1209" s="88"/>
      <c r="S1209" s="620"/>
      <c r="T1209" s="92"/>
      <c r="U1209" s="1214"/>
      <c r="V1209" s="1215"/>
      <c r="W1209" s="168"/>
      <c r="X1209" s="170"/>
    </row>
    <row r="1210" spans="1:24" ht="12.75" customHeight="1">
      <c r="A1210" s="15"/>
      <c r="B1210" s="92" t="str">
        <f t="shared" si="299"/>
        <v/>
      </c>
      <c r="C1210" s="90"/>
      <c r="D1210" s="87"/>
      <c r="E1210" s="88"/>
      <c r="F1210" s="173"/>
      <c r="G1210" s="88"/>
      <c r="H1210" s="88"/>
      <c r="I1210" s="323" t="str">
        <f t="shared" si="296"/>
        <v/>
      </c>
      <c r="J1210" s="323" t="str">
        <f t="shared" si="297"/>
        <v/>
      </c>
      <c r="K1210" s="324" t="str">
        <f t="shared" si="298"/>
        <v/>
      </c>
      <c r="L1210" s="88"/>
      <c r="M1210" s="88"/>
      <c r="N1210" s="88"/>
      <c r="O1210" s="88"/>
      <c r="P1210" s="88"/>
      <c r="Q1210" s="88"/>
      <c r="R1210" s="88"/>
      <c r="S1210" s="620"/>
      <c r="T1210" s="92"/>
      <c r="U1210" s="1214"/>
      <c r="V1210" s="1215"/>
      <c r="W1210" s="168"/>
      <c r="X1210" s="170"/>
    </row>
    <row r="1211" spans="1:24" ht="12.75" customHeight="1">
      <c r="A1211" s="15"/>
      <c r="B1211" s="92" t="str">
        <f t="shared" si="299"/>
        <v/>
      </c>
      <c r="C1211" s="90"/>
      <c r="D1211" s="87"/>
      <c r="E1211" s="88"/>
      <c r="F1211" s="173"/>
      <c r="G1211" s="88"/>
      <c r="H1211" s="88"/>
      <c r="I1211" s="323" t="str">
        <f t="shared" si="296"/>
        <v/>
      </c>
      <c r="J1211" s="323" t="str">
        <f t="shared" si="297"/>
        <v/>
      </c>
      <c r="K1211" s="324" t="str">
        <f t="shared" si="298"/>
        <v/>
      </c>
      <c r="L1211" s="88"/>
      <c r="M1211" s="88"/>
      <c r="N1211" s="88"/>
      <c r="O1211" s="88"/>
      <c r="P1211" s="88"/>
      <c r="Q1211" s="88"/>
      <c r="R1211" s="88"/>
      <c r="S1211" s="620"/>
      <c r="T1211" s="92"/>
      <c r="U1211" s="1214"/>
      <c r="V1211" s="1215"/>
      <c r="W1211" s="168"/>
      <c r="X1211" s="170"/>
    </row>
    <row r="1212" spans="1:24" ht="12.75" customHeight="1">
      <c r="A1212" s="15"/>
      <c r="B1212" s="92" t="str">
        <f t="shared" si="299"/>
        <v/>
      </c>
      <c r="C1212" s="90"/>
      <c r="D1212" s="87"/>
      <c r="E1212" s="88"/>
      <c r="F1212" s="173"/>
      <c r="G1212" s="88"/>
      <c r="H1212" s="88"/>
      <c r="I1212" s="323" t="str">
        <f t="shared" si="296"/>
        <v/>
      </c>
      <c r="J1212" s="323" t="str">
        <f t="shared" si="297"/>
        <v/>
      </c>
      <c r="K1212" s="324" t="str">
        <f t="shared" si="298"/>
        <v/>
      </c>
      <c r="L1212" s="88"/>
      <c r="M1212" s="88"/>
      <c r="N1212" s="88"/>
      <c r="O1212" s="88"/>
      <c r="P1212" s="88"/>
      <c r="Q1212" s="88"/>
      <c r="R1212" s="88"/>
      <c r="S1212" s="620"/>
      <c r="T1212" s="92"/>
      <c r="U1212" s="1214"/>
      <c r="V1212" s="1215"/>
      <c r="W1212" s="168"/>
      <c r="X1212" s="170"/>
    </row>
    <row r="1213" spans="1:24" ht="12.75" customHeight="1">
      <c r="A1213" s="15"/>
      <c r="B1213" s="92" t="str">
        <f t="shared" si="299"/>
        <v/>
      </c>
      <c r="C1213" s="90"/>
      <c r="D1213" s="87"/>
      <c r="E1213" s="88"/>
      <c r="F1213" s="173"/>
      <c r="G1213" s="88"/>
      <c r="H1213" s="88"/>
      <c r="I1213" s="323" t="str">
        <f t="shared" si="296"/>
        <v/>
      </c>
      <c r="J1213" s="323" t="str">
        <f t="shared" si="297"/>
        <v/>
      </c>
      <c r="K1213" s="324" t="str">
        <f t="shared" si="298"/>
        <v/>
      </c>
      <c r="L1213" s="88"/>
      <c r="M1213" s="88"/>
      <c r="N1213" s="88"/>
      <c r="O1213" s="88"/>
      <c r="P1213" s="88"/>
      <c r="Q1213" s="88"/>
      <c r="R1213" s="88"/>
      <c r="S1213" s="620"/>
      <c r="T1213" s="92"/>
      <c r="U1213" s="1214"/>
      <c r="V1213" s="1215"/>
      <c r="W1213" s="168"/>
      <c r="X1213" s="170"/>
    </row>
    <row r="1214" spans="1:24" ht="12.75" customHeight="1">
      <c r="A1214" s="15"/>
      <c r="B1214" s="92" t="str">
        <f t="shared" si="299"/>
        <v/>
      </c>
      <c r="C1214" s="90"/>
      <c r="D1214" s="87"/>
      <c r="E1214" s="88"/>
      <c r="F1214" s="173"/>
      <c r="G1214" s="88"/>
      <c r="H1214" s="88"/>
      <c r="I1214" s="323" t="str">
        <f t="shared" si="296"/>
        <v/>
      </c>
      <c r="J1214" s="323" t="str">
        <f t="shared" si="297"/>
        <v/>
      </c>
      <c r="K1214" s="324" t="str">
        <f t="shared" si="298"/>
        <v/>
      </c>
      <c r="L1214" s="88"/>
      <c r="M1214" s="88"/>
      <c r="N1214" s="88"/>
      <c r="O1214" s="88"/>
      <c r="P1214" s="88"/>
      <c r="Q1214" s="88"/>
      <c r="R1214" s="88"/>
      <c r="S1214" s="620"/>
      <c r="T1214" s="92"/>
      <c r="U1214" s="1214"/>
      <c r="V1214" s="1215"/>
      <c r="W1214" s="168"/>
      <c r="X1214" s="170"/>
    </row>
    <row r="1215" spans="1:24" ht="12.75" customHeight="1">
      <c r="A1215" s="15"/>
      <c r="B1215" s="92" t="str">
        <f t="shared" si="299"/>
        <v/>
      </c>
      <c r="C1215" s="90"/>
      <c r="D1215" s="87"/>
      <c r="E1215" s="88"/>
      <c r="F1215" s="173"/>
      <c r="G1215" s="88"/>
      <c r="H1215" s="88"/>
      <c r="I1215" s="323" t="str">
        <f t="shared" ref="I1215:I1278" si="300">+IF(G1215="","",G1215*H1215)</f>
        <v/>
      </c>
      <c r="J1215" s="323" t="str">
        <f t="shared" ref="J1215:J1278" si="301">+IF(G1215="","",I1215*0.1)</f>
        <v/>
      </c>
      <c r="K1215" s="324" t="str">
        <f t="shared" ref="K1215:K1278" si="302">+IF(G1215="","",I1215+J1215)</f>
        <v/>
      </c>
      <c r="L1215" s="88"/>
      <c r="M1215" s="88"/>
      <c r="N1215" s="88"/>
      <c r="O1215" s="88"/>
      <c r="P1215" s="88"/>
      <c r="Q1215" s="88"/>
      <c r="R1215" s="88"/>
      <c r="S1215" s="620"/>
      <c r="T1215" s="92"/>
      <c r="U1215" s="1214"/>
      <c r="V1215" s="1215"/>
      <c r="W1215" s="168"/>
      <c r="X1215" s="170"/>
    </row>
    <row r="1216" spans="1:24" ht="12.75" customHeight="1">
      <c r="A1216" s="15"/>
      <c r="B1216" s="92" t="str">
        <f t="shared" si="299"/>
        <v/>
      </c>
      <c r="C1216" s="90"/>
      <c r="D1216" s="87"/>
      <c r="E1216" s="88"/>
      <c r="F1216" s="173"/>
      <c r="G1216" s="88"/>
      <c r="H1216" s="88"/>
      <c r="I1216" s="323" t="str">
        <f t="shared" si="300"/>
        <v/>
      </c>
      <c r="J1216" s="323" t="str">
        <f t="shared" si="301"/>
        <v/>
      </c>
      <c r="K1216" s="324" t="str">
        <f t="shared" si="302"/>
        <v/>
      </c>
      <c r="L1216" s="88"/>
      <c r="M1216" s="88"/>
      <c r="N1216" s="88"/>
      <c r="O1216" s="88"/>
      <c r="P1216" s="88"/>
      <c r="Q1216" s="88"/>
      <c r="R1216" s="88"/>
      <c r="S1216" s="620"/>
      <c r="T1216" s="92"/>
      <c r="U1216" s="1214"/>
      <c r="V1216" s="1215"/>
      <c r="W1216" s="168"/>
      <c r="X1216" s="170"/>
    </row>
    <row r="1217" spans="1:24" ht="12.75" customHeight="1">
      <c r="A1217" s="15"/>
      <c r="B1217" s="92" t="str">
        <f t="shared" si="299"/>
        <v/>
      </c>
      <c r="C1217" s="90"/>
      <c r="D1217" s="87"/>
      <c r="E1217" s="88"/>
      <c r="F1217" s="173"/>
      <c r="G1217" s="88"/>
      <c r="H1217" s="88"/>
      <c r="I1217" s="323" t="str">
        <f t="shared" si="300"/>
        <v/>
      </c>
      <c r="J1217" s="323" t="str">
        <f t="shared" si="301"/>
        <v/>
      </c>
      <c r="K1217" s="324" t="str">
        <f t="shared" si="302"/>
        <v/>
      </c>
      <c r="L1217" s="88"/>
      <c r="M1217" s="88"/>
      <c r="N1217" s="88"/>
      <c r="O1217" s="88"/>
      <c r="P1217" s="88"/>
      <c r="Q1217" s="88"/>
      <c r="R1217" s="88"/>
      <c r="S1217" s="620"/>
      <c r="T1217" s="92"/>
      <c r="U1217" s="1214"/>
      <c r="V1217" s="1215"/>
      <c r="W1217" s="168"/>
      <c r="X1217" s="170"/>
    </row>
    <row r="1218" spans="1:24" ht="12.75" customHeight="1">
      <c r="A1218" s="15"/>
      <c r="B1218" s="92" t="str">
        <f t="shared" si="299"/>
        <v/>
      </c>
      <c r="C1218" s="90"/>
      <c r="D1218" s="87"/>
      <c r="E1218" s="88"/>
      <c r="F1218" s="173"/>
      <c r="G1218" s="88"/>
      <c r="H1218" s="88"/>
      <c r="I1218" s="323" t="str">
        <f t="shared" si="300"/>
        <v/>
      </c>
      <c r="J1218" s="323" t="str">
        <f t="shared" si="301"/>
        <v/>
      </c>
      <c r="K1218" s="324" t="str">
        <f t="shared" si="302"/>
        <v/>
      </c>
      <c r="L1218" s="88"/>
      <c r="M1218" s="88"/>
      <c r="N1218" s="88"/>
      <c r="O1218" s="88"/>
      <c r="P1218" s="88"/>
      <c r="Q1218" s="88"/>
      <c r="R1218" s="88"/>
      <c r="S1218" s="620"/>
      <c r="T1218" s="92"/>
      <c r="U1218" s="1214"/>
      <c r="V1218" s="1215"/>
      <c r="W1218" s="168"/>
      <c r="X1218" s="170"/>
    </row>
    <row r="1219" spans="1:24" ht="12.75" customHeight="1">
      <c r="A1219" s="15"/>
      <c r="B1219" s="92" t="str">
        <f t="shared" si="299"/>
        <v/>
      </c>
      <c r="C1219" s="90"/>
      <c r="D1219" s="87"/>
      <c r="E1219" s="88"/>
      <c r="F1219" s="173"/>
      <c r="G1219" s="88"/>
      <c r="H1219" s="88"/>
      <c r="I1219" s="323" t="str">
        <f t="shared" si="300"/>
        <v/>
      </c>
      <c r="J1219" s="323" t="str">
        <f t="shared" si="301"/>
        <v/>
      </c>
      <c r="K1219" s="324" t="str">
        <f t="shared" si="302"/>
        <v/>
      </c>
      <c r="L1219" s="88"/>
      <c r="M1219" s="88"/>
      <c r="N1219" s="88"/>
      <c r="O1219" s="88"/>
      <c r="P1219" s="88"/>
      <c r="Q1219" s="88"/>
      <c r="R1219" s="88"/>
      <c r="S1219" s="620"/>
      <c r="T1219" s="92"/>
      <c r="U1219" s="1214"/>
      <c r="V1219" s="1215"/>
      <c r="W1219" s="168"/>
      <c r="X1219" s="170"/>
    </row>
    <row r="1220" spans="1:24" ht="12.75" customHeight="1">
      <c r="A1220" s="15"/>
      <c r="B1220" s="92" t="str">
        <f t="shared" si="299"/>
        <v/>
      </c>
      <c r="C1220" s="90"/>
      <c r="D1220" s="87"/>
      <c r="E1220" s="88"/>
      <c r="F1220" s="173"/>
      <c r="G1220" s="88"/>
      <c r="H1220" s="88"/>
      <c r="I1220" s="323" t="str">
        <f t="shared" si="300"/>
        <v/>
      </c>
      <c r="J1220" s="323" t="str">
        <f t="shared" si="301"/>
        <v/>
      </c>
      <c r="K1220" s="324" t="str">
        <f t="shared" si="302"/>
        <v/>
      </c>
      <c r="L1220" s="88"/>
      <c r="M1220" s="88"/>
      <c r="N1220" s="88"/>
      <c r="O1220" s="88"/>
      <c r="P1220" s="88"/>
      <c r="Q1220" s="88"/>
      <c r="R1220" s="88"/>
      <c r="S1220" s="620"/>
      <c r="T1220" s="92"/>
      <c r="U1220" s="1214"/>
      <c r="V1220" s="1215"/>
      <c r="W1220" s="168"/>
      <c r="X1220" s="170"/>
    </row>
    <row r="1221" spans="1:24" ht="12.75" customHeight="1">
      <c r="A1221" s="15"/>
      <c r="B1221" s="92" t="str">
        <f t="shared" si="299"/>
        <v/>
      </c>
      <c r="C1221" s="90"/>
      <c r="D1221" s="87"/>
      <c r="E1221" s="88"/>
      <c r="F1221" s="173"/>
      <c r="G1221" s="88"/>
      <c r="H1221" s="88"/>
      <c r="I1221" s="323" t="str">
        <f t="shared" si="300"/>
        <v/>
      </c>
      <c r="J1221" s="323" t="str">
        <f t="shared" si="301"/>
        <v/>
      </c>
      <c r="K1221" s="324" t="str">
        <f t="shared" si="302"/>
        <v/>
      </c>
      <c r="L1221" s="88"/>
      <c r="M1221" s="88"/>
      <c r="N1221" s="88"/>
      <c r="O1221" s="88"/>
      <c r="P1221" s="88"/>
      <c r="Q1221" s="88"/>
      <c r="R1221" s="88"/>
      <c r="S1221" s="620"/>
      <c r="T1221" s="92"/>
      <c r="U1221" s="1214"/>
      <c r="V1221" s="1215"/>
      <c r="W1221" s="168"/>
      <c r="X1221" s="170"/>
    </row>
    <row r="1222" spans="1:24" ht="12.75" customHeight="1">
      <c r="A1222" s="15"/>
      <c r="B1222" s="92" t="str">
        <f t="shared" si="299"/>
        <v/>
      </c>
      <c r="C1222" s="90"/>
      <c r="D1222" s="87"/>
      <c r="E1222" s="88"/>
      <c r="F1222" s="173"/>
      <c r="G1222" s="88"/>
      <c r="H1222" s="88"/>
      <c r="I1222" s="323" t="str">
        <f t="shared" si="300"/>
        <v/>
      </c>
      <c r="J1222" s="323" t="str">
        <f t="shared" si="301"/>
        <v/>
      </c>
      <c r="K1222" s="324" t="str">
        <f t="shared" si="302"/>
        <v/>
      </c>
      <c r="L1222" s="88"/>
      <c r="M1222" s="88"/>
      <c r="N1222" s="88"/>
      <c r="O1222" s="88"/>
      <c r="P1222" s="88"/>
      <c r="Q1222" s="88"/>
      <c r="R1222" s="88"/>
      <c r="S1222" s="620"/>
      <c r="T1222" s="92"/>
      <c r="U1222" s="1214"/>
      <c r="V1222" s="1215"/>
      <c r="W1222" s="168"/>
      <c r="X1222" s="170"/>
    </row>
    <row r="1223" spans="1:24" ht="12.75" customHeight="1">
      <c r="A1223" s="15"/>
      <c r="B1223" s="92" t="str">
        <f t="shared" si="299"/>
        <v/>
      </c>
      <c r="C1223" s="90"/>
      <c r="D1223" s="87"/>
      <c r="E1223" s="88"/>
      <c r="F1223" s="173"/>
      <c r="G1223" s="88"/>
      <c r="H1223" s="88"/>
      <c r="I1223" s="323" t="str">
        <f t="shared" si="300"/>
        <v/>
      </c>
      <c r="J1223" s="323" t="str">
        <f t="shared" si="301"/>
        <v/>
      </c>
      <c r="K1223" s="324" t="str">
        <f t="shared" si="302"/>
        <v/>
      </c>
      <c r="L1223" s="88"/>
      <c r="M1223" s="88"/>
      <c r="N1223" s="88"/>
      <c r="O1223" s="88"/>
      <c r="P1223" s="88"/>
      <c r="Q1223" s="88"/>
      <c r="R1223" s="88"/>
      <c r="S1223" s="620"/>
      <c r="T1223" s="92"/>
      <c r="U1223" s="1214"/>
      <c r="V1223" s="1215"/>
      <c r="W1223" s="168"/>
      <c r="X1223" s="170"/>
    </row>
    <row r="1224" spans="1:24" ht="12.75" customHeight="1">
      <c r="A1224" s="15"/>
      <c r="B1224" s="92" t="str">
        <f t="shared" si="299"/>
        <v/>
      </c>
      <c r="C1224" s="90"/>
      <c r="D1224" s="87"/>
      <c r="E1224" s="88"/>
      <c r="F1224" s="173"/>
      <c r="G1224" s="88"/>
      <c r="H1224" s="88"/>
      <c r="I1224" s="323" t="str">
        <f t="shared" si="300"/>
        <v/>
      </c>
      <c r="J1224" s="323" t="str">
        <f t="shared" si="301"/>
        <v/>
      </c>
      <c r="K1224" s="324" t="str">
        <f t="shared" si="302"/>
        <v/>
      </c>
      <c r="L1224" s="88"/>
      <c r="M1224" s="88"/>
      <c r="N1224" s="88"/>
      <c r="O1224" s="88"/>
      <c r="P1224" s="88"/>
      <c r="Q1224" s="88"/>
      <c r="R1224" s="88"/>
      <c r="S1224" s="620"/>
      <c r="T1224" s="92"/>
      <c r="U1224" s="1214"/>
      <c r="V1224" s="1215"/>
      <c r="W1224" s="168"/>
      <c r="X1224" s="170"/>
    </row>
    <row r="1225" spans="1:24" ht="12.75" customHeight="1">
      <c r="A1225" s="15"/>
      <c r="B1225" s="92" t="str">
        <f t="shared" si="299"/>
        <v/>
      </c>
      <c r="C1225" s="90"/>
      <c r="D1225" s="87"/>
      <c r="E1225" s="88"/>
      <c r="F1225" s="173"/>
      <c r="G1225" s="88"/>
      <c r="H1225" s="88"/>
      <c r="I1225" s="323" t="str">
        <f t="shared" si="300"/>
        <v/>
      </c>
      <c r="J1225" s="323" t="str">
        <f t="shared" si="301"/>
        <v/>
      </c>
      <c r="K1225" s="324" t="str">
        <f t="shared" si="302"/>
        <v/>
      </c>
      <c r="L1225" s="88"/>
      <c r="M1225" s="88"/>
      <c r="N1225" s="88"/>
      <c r="O1225" s="88"/>
      <c r="P1225" s="88"/>
      <c r="Q1225" s="88"/>
      <c r="R1225" s="88"/>
      <c r="S1225" s="620"/>
      <c r="T1225" s="92"/>
      <c r="U1225" s="1214"/>
      <c r="V1225" s="1215"/>
      <c r="W1225" s="168"/>
      <c r="X1225" s="170"/>
    </row>
    <row r="1226" spans="1:24" ht="12.75" customHeight="1">
      <c r="A1226" s="15"/>
      <c r="B1226" s="92" t="str">
        <f t="shared" si="299"/>
        <v/>
      </c>
      <c r="C1226" s="90"/>
      <c r="D1226" s="87"/>
      <c r="E1226" s="88"/>
      <c r="F1226" s="173"/>
      <c r="G1226" s="88"/>
      <c r="H1226" s="88"/>
      <c r="I1226" s="323" t="str">
        <f t="shared" si="300"/>
        <v/>
      </c>
      <c r="J1226" s="323" t="str">
        <f t="shared" si="301"/>
        <v/>
      </c>
      <c r="K1226" s="324" t="str">
        <f t="shared" si="302"/>
        <v/>
      </c>
      <c r="L1226" s="88"/>
      <c r="M1226" s="88"/>
      <c r="N1226" s="88"/>
      <c r="O1226" s="88"/>
      <c r="P1226" s="88"/>
      <c r="Q1226" s="88"/>
      <c r="R1226" s="88"/>
      <c r="S1226" s="620"/>
      <c r="T1226" s="92"/>
      <c r="U1226" s="1214"/>
      <c r="V1226" s="1215"/>
      <c r="W1226" s="168"/>
      <c r="X1226" s="170"/>
    </row>
    <row r="1227" spans="1:24" ht="12.75" customHeight="1">
      <c r="A1227" s="15"/>
      <c r="B1227" s="92" t="str">
        <f t="shared" si="299"/>
        <v/>
      </c>
      <c r="C1227" s="90"/>
      <c r="D1227" s="87"/>
      <c r="E1227" s="88"/>
      <c r="F1227" s="173"/>
      <c r="G1227" s="88"/>
      <c r="H1227" s="88"/>
      <c r="I1227" s="323" t="str">
        <f t="shared" si="300"/>
        <v/>
      </c>
      <c r="J1227" s="323" t="str">
        <f t="shared" si="301"/>
        <v/>
      </c>
      <c r="K1227" s="324" t="str">
        <f t="shared" si="302"/>
        <v/>
      </c>
      <c r="L1227" s="88"/>
      <c r="M1227" s="88"/>
      <c r="N1227" s="88"/>
      <c r="O1227" s="88"/>
      <c r="P1227" s="88"/>
      <c r="Q1227" s="88"/>
      <c r="R1227" s="88"/>
      <c r="S1227" s="620"/>
      <c r="T1227" s="92"/>
      <c r="U1227" s="1214"/>
      <c r="V1227" s="1215"/>
      <c r="W1227" s="168"/>
      <c r="X1227" s="170"/>
    </row>
    <row r="1228" spans="1:24" ht="12.75" customHeight="1">
      <c r="A1228" s="15"/>
      <c r="B1228" s="92" t="str">
        <f t="shared" si="299"/>
        <v/>
      </c>
      <c r="C1228" s="90"/>
      <c r="D1228" s="87"/>
      <c r="E1228" s="88"/>
      <c r="F1228" s="173"/>
      <c r="G1228" s="88"/>
      <c r="H1228" s="88"/>
      <c r="I1228" s="323" t="str">
        <f t="shared" si="300"/>
        <v/>
      </c>
      <c r="J1228" s="323" t="str">
        <f t="shared" si="301"/>
        <v/>
      </c>
      <c r="K1228" s="324" t="str">
        <f t="shared" si="302"/>
        <v/>
      </c>
      <c r="L1228" s="88"/>
      <c r="M1228" s="88"/>
      <c r="N1228" s="88"/>
      <c r="O1228" s="88"/>
      <c r="P1228" s="88"/>
      <c r="Q1228" s="88"/>
      <c r="R1228" s="88"/>
      <c r="S1228" s="620"/>
      <c r="T1228" s="92"/>
      <c r="U1228" s="1214"/>
      <c r="V1228" s="1215"/>
      <c r="W1228" s="168"/>
      <c r="X1228" s="170"/>
    </row>
    <row r="1229" spans="1:24" ht="12.75" customHeight="1">
      <c r="A1229" s="15"/>
      <c r="B1229" s="92" t="str">
        <f t="shared" si="299"/>
        <v/>
      </c>
      <c r="C1229" s="90"/>
      <c r="D1229" s="87"/>
      <c r="E1229" s="88"/>
      <c r="F1229" s="173"/>
      <c r="G1229" s="88"/>
      <c r="H1229" s="88"/>
      <c r="I1229" s="323" t="str">
        <f t="shared" si="300"/>
        <v/>
      </c>
      <c r="J1229" s="323" t="str">
        <f t="shared" si="301"/>
        <v/>
      </c>
      <c r="K1229" s="324" t="str">
        <f t="shared" si="302"/>
        <v/>
      </c>
      <c r="L1229" s="88"/>
      <c r="M1229" s="88"/>
      <c r="N1229" s="88"/>
      <c r="O1229" s="88"/>
      <c r="P1229" s="88"/>
      <c r="Q1229" s="88"/>
      <c r="R1229" s="88"/>
      <c r="S1229" s="620"/>
      <c r="T1229" s="92"/>
      <c r="U1229" s="1214"/>
      <c r="V1229" s="1215"/>
      <c r="W1229" s="168"/>
      <c r="X1229" s="170"/>
    </row>
    <row r="1230" spans="1:24" ht="12.75" customHeight="1">
      <c r="A1230" s="15"/>
      <c r="B1230" s="92" t="str">
        <f t="shared" si="299"/>
        <v/>
      </c>
      <c r="C1230" s="90"/>
      <c r="D1230" s="87"/>
      <c r="E1230" s="88"/>
      <c r="F1230" s="173"/>
      <c r="G1230" s="88"/>
      <c r="H1230" s="88"/>
      <c r="I1230" s="323" t="str">
        <f t="shared" si="300"/>
        <v/>
      </c>
      <c r="J1230" s="323" t="str">
        <f t="shared" si="301"/>
        <v/>
      </c>
      <c r="K1230" s="324" t="str">
        <f t="shared" si="302"/>
        <v/>
      </c>
      <c r="L1230" s="88"/>
      <c r="M1230" s="88"/>
      <c r="N1230" s="88"/>
      <c r="O1230" s="88"/>
      <c r="P1230" s="88"/>
      <c r="Q1230" s="88"/>
      <c r="R1230" s="88"/>
      <c r="S1230" s="620"/>
      <c r="T1230" s="92"/>
      <c r="U1230" s="1214"/>
      <c r="V1230" s="1215"/>
      <c r="W1230" s="168"/>
      <c r="X1230" s="170"/>
    </row>
    <row r="1231" spans="1:24" ht="12.75" customHeight="1">
      <c r="A1231" s="15"/>
      <c r="B1231" s="92" t="str">
        <f t="shared" si="299"/>
        <v/>
      </c>
      <c r="C1231" s="90"/>
      <c r="D1231" s="87"/>
      <c r="E1231" s="88"/>
      <c r="F1231" s="173"/>
      <c r="G1231" s="88"/>
      <c r="H1231" s="88"/>
      <c r="I1231" s="323" t="str">
        <f t="shared" si="300"/>
        <v/>
      </c>
      <c r="J1231" s="323" t="str">
        <f t="shared" si="301"/>
        <v/>
      </c>
      <c r="K1231" s="324" t="str">
        <f t="shared" si="302"/>
        <v/>
      </c>
      <c r="L1231" s="88"/>
      <c r="M1231" s="88"/>
      <c r="N1231" s="88"/>
      <c r="O1231" s="88"/>
      <c r="P1231" s="88"/>
      <c r="Q1231" s="88"/>
      <c r="R1231" s="88"/>
      <c r="S1231" s="620"/>
      <c r="T1231" s="92"/>
      <c r="U1231" s="1214"/>
      <c r="V1231" s="1215"/>
      <c r="W1231" s="168"/>
      <c r="X1231" s="170"/>
    </row>
    <row r="1232" spans="1:24" ht="12.75" customHeight="1">
      <c r="A1232" s="15"/>
      <c r="B1232" s="92" t="str">
        <f t="shared" si="299"/>
        <v/>
      </c>
      <c r="C1232" s="90"/>
      <c r="D1232" s="87"/>
      <c r="E1232" s="88"/>
      <c r="F1232" s="173"/>
      <c r="G1232" s="88"/>
      <c r="H1232" s="88"/>
      <c r="I1232" s="323" t="str">
        <f t="shared" si="300"/>
        <v/>
      </c>
      <c r="J1232" s="323" t="str">
        <f t="shared" si="301"/>
        <v/>
      </c>
      <c r="K1232" s="324" t="str">
        <f t="shared" si="302"/>
        <v/>
      </c>
      <c r="L1232" s="88"/>
      <c r="M1232" s="88"/>
      <c r="N1232" s="88"/>
      <c r="O1232" s="88"/>
      <c r="P1232" s="88"/>
      <c r="Q1232" s="88"/>
      <c r="R1232" s="88"/>
      <c r="S1232" s="620"/>
      <c r="T1232" s="92"/>
      <c r="U1232" s="1214"/>
      <c r="V1232" s="1215"/>
      <c r="W1232" s="168"/>
      <c r="X1232" s="170"/>
    </row>
    <row r="1233" spans="1:24" ht="12.75" customHeight="1">
      <c r="A1233" s="15"/>
      <c r="B1233" s="92" t="str">
        <f t="shared" si="299"/>
        <v/>
      </c>
      <c r="C1233" s="90"/>
      <c r="D1233" s="87"/>
      <c r="E1233" s="88"/>
      <c r="F1233" s="173"/>
      <c r="G1233" s="88"/>
      <c r="H1233" s="88"/>
      <c r="I1233" s="323" t="str">
        <f t="shared" si="300"/>
        <v/>
      </c>
      <c r="J1233" s="323" t="str">
        <f t="shared" si="301"/>
        <v/>
      </c>
      <c r="K1233" s="324" t="str">
        <f t="shared" si="302"/>
        <v/>
      </c>
      <c r="L1233" s="88"/>
      <c r="M1233" s="88"/>
      <c r="N1233" s="88"/>
      <c r="O1233" s="88"/>
      <c r="P1233" s="88"/>
      <c r="Q1233" s="88"/>
      <c r="R1233" s="88"/>
      <c r="S1233" s="620"/>
      <c r="T1233" s="92"/>
      <c r="U1233" s="1214"/>
      <c r="V1233" s="1215"/>
      <c r="W1233" s="168"/>
      <c r="X1233" s="170"/>
    </row>
    <row r="1234" spans="1:24" ht="12.75" customHeight="1">
      <c r="A1234" s="15"/>
      <c r="B1234" s="92" t="str">
        <f t="shared" si="299"/>
        <v/>
      </c>
      <c r="C1234" s="90"/>
      <c r="D1234" s="87"/>
      <c r="E1234" s="88"/>
      <c r="F1234" s="173"/>
      <c r="G1234" s="88"/>
      <c r="H1234" s="88"/>
      <c r="I1234" s="323" t="str">
        <f t="shared" si="300"/>
        <v/>
      </c>
      <c r="J1234" s="323" t="str">
        <f t="shared" si="301"/>
        <v/>
      </c>
      <c r="K1234" s="324" t="str">
        <f t="shared" si="302"/>
        <v/>
      </c>
      <c r="L1234" s="88"/>
      <c r="M1234" s="88"/>
      <c r="N1234" s="88"/>
      <c r="O1234" s="88"/>
      <c r="P1234" s="88"/>
      <c r="Q1234" s="88"/>
      <c r="R1234" s="88"/>
      <c r="S1234" s="620"/>
      <c r="T1234" s="92"/>
      <c r="U1234" s="1214"/>
      <c r="V1234" s="1215"/>
      <c r="W1234" s="168"/>
      <c r="X1234" s="170"/>
    </row>
    <row r="1235" spans="1:24" ht="12.75" customHeight="1">
      <c r="A1235" s="15"/>
      <c r="B1235" s="92" t="str">
        <f t="shared" si="299"/>
        <v/>
      </c>
      <c r="C1235" s="90"/>
      <c r="D1235" s="87"/>
      <c r="E1235" s="88"/>
      <c r="F1235" s="173"/>
      <c r="G1235" s="88"/>
      <c r="H1235" s="88"/>
      <c r="I1235" s="323" t="str">
        <f t="shared" si="300"/>
        <v/>
      </c>
      <c r="J1235" s="323" t="str">
        <f t="shared" si="301"/>
        <v/>
      </c>
      <c r="K1235" s="324" t="str">
        <f t="shared" si="302"/>
        <v/>
      </c>
      <c r="L1235" s="88"/>
      <c r="M1235" s="88"/>
      <c r="N1235" s="88"/>
      <c r="O1235" s="88"/>
      <c r="P1235" s="88"/>
      <c r="Q1235" s="88"/>
      <c r="R1235" s="88"/>
      <c r="S1235" s="620"/>
      <c r="T1235" s="92"/>
      <c r="U1235" s="1214"/>
      <c r="V1235" s="1215"/>
      <c r="W1235" s="168"/>
      <c r="X1235" s="170"/>
    </row>
    <row r="1236" spans="1:24" ht="12.75" customHeight="1">
      <c r="A1236" s="15"/>
      <c r="B1236" s="92" t="str">
        <f t="shared" si="299"/>
        <v/>
      </c>
      <c r="C1236" s="90"/>
      <c r="D1236" s="87"/>
      <c r="E1236" s="88"/>
      <c r="F1236" s="173"/>
      <c r="G1236" s="88"/>
      <c r="H1236" s="88"/>
      <c r="I1236" s="323" t="str">
        <f t="shared" si="300"/>
        <v/>
      </c>
      <c r="J1236" s="323" t="str">
        <f t="shared" si="301"/>
        <v/>
      </c>
      <c r="K1236" s="324" t="str">
        <f t="shared" si="302"/>
        <v/>
      </c>
      <c r="L1236" s="88"/>
      <c r="M1236" s="88"/>
      <c r="N1236" s="88"/>
      <c r="O1236" s="88"/>
      <c r="P1236" s="88"/>
      <c r="Q1236" s="88"/>
      <c r="R1236" s="88"/>
      <c r="S1236" s="620"/>
      <c r="T1236" s="92"/>
      <c r="U1236" s="1214"/>
      <c r="V1236" s="1215"/>
      <c r="W1236" s="168"/>
      <c r="X1236" s="170"/>
    </row>
    <row r="1237" spans="1:24" ht="12.75" customHeight="1">
      <c r="A1237" s="15"/>
      <c r="B1237" s="92" t="str">
        <f t="shared" si="299"/>
        <v/>
      </c>
      <c r="C1237" s="90"/>
      <c r="D1237" s="87"/>
      <c r="E1237" s="88"/>
      <c r="F1237" s="173"/>
      <c r="G1237" s="88"/>
      <c r="H1237" s="88"/>
      <c r="I1237" s="323" t="str">
        <f t="shared" si="300"/>
        <v/>
      </c>
      <c r="J1237" s="323" t="str">
        <f t="shared" si="301"/>
        <v/>
      </c>
      <c r="K1237" s="324" t="str">
        <f t="shared" si="302"/>
        <v/>
      </c>
      <c r="L1237" s="88"/>
      <c r="M1237" s="88"/>
      <c r="N1237" s="88"/>
      <c r="O1237" s="88"/>
      <c r="P1237" s="88"/>
      <c r="Q1237" s="88"/>
      <c r="R1237" s="88"/>
      <c r="S1237" s="620"/>
      <c r="T1237" s="92"/>
      <c r="U1237" s="1214"/>
      <c r="V1237" s="1215"/>
      <c r="W1237" s="168"/>
      <c r="X1237" s="170"/>
    </row>
    <row r="1238" spans="1:24" ht="12.75" customHeight="1">
      <c r="A1238" s="15"/>
      <c r="B1238" s="92" t="str">
        <f t="shared" si="299"/>
        <v/>
      </c>
      <c r="C1238" s="90"/>
      <c r="D1238" s="87"/>
      <c r="E1238" s="88"/>
      <c r="F1238" s="173"/>
      <c r="G1238" s="88"/>
      <c r="H1238" s="88"/>
      <c r="I1238" s="323" t="str">
        <f t="shared" si="300"/>
        <v/>
      </c>
      <c r="J1238" s="323" t="str">
        <f t="shared" si="301"/>
        <v/>
      </c>
      <c r="K1238" s="324" t="str">
        <f t="shared" si="302"/>
        <v/>
      </c>
      <c r="L1238" s="88"/>
      <c r="M1238" s="88"/>
      <c r="N1238" s="88"/>
      <c r="O1238" s="88"/>
      <c r="P1238" s="88"/>
      <c r="Q1238" s="88"/>
      <c r="R1238" s="88"/>
      <c r="S1238" s="620"/>
      <c r="T1238" s="92"/>
      <c r="U1238" s="1214"/>
      <c r="V1238" s="1215"/>
      <c r="W1238" s="168"/>
      <c r="X1238" s="170"/>
    </row>
    <row r="1239" spans="1:24" ht="12.75" customHeight="1">
      <c r="A1239" s="15"/>
      <c r="B1239" s="92" t="str">
        <f t="shared" si="299"/>
        <v/>
      </c>
      <c r="C1239" s="90"/>
      <c r="D1239" s="87"/>
      <c r="E1239" s="88"/>
      <c r="F1239" s="173"/>
      <c r="G1239" s="88"/>
      <c r="H1239" s="88"/>
      <c r="I1239" s="323" t="str">
        <f t="shared" si="300"/>
        <v/>
      </c>
      <c r="J1239" s="323" t="str">
        <f t="shared" si="301"/>
        <v/>
      </c>
      <c r="K1239" s="324" t="str">
        <f t="shared" si="302"/>
        <v/>
      </c>
      <c r="L1239" s="88"/>
      <c r="M1239" s="88"/>
      <c r="N1239" s="88"/>
      <c r="O1239" s="88"/>
      <c r="P1239" s="88"/>
      <c r="Q1239" s="88"/>
      <c r="R1239" s="88"/>
      <c r="S1239" s="620"/>
      <c r="T1239" s="92"/>
      <c r="U1239" s="1214"/>
      <c r="V1239" s="1215"/>
      <c r="W1239" s="168"/>
      <c r="X1239" s="170"/>
    </row>
    <row r="1240" spans="1:24" ht="12.75" customHeight="1">
      <c r="A1240" s="15"/>
      <c r="B1240" s="92" t="str">
        <f t="shared" si="299"/>
        <v/>
      </c>
      <c r="C1240" s="90"/>
      <c r="D1240" s="87"/>
      <c r="E1240" s="88"/>
      <c r="F1240" s="173"/>
      <c r="G1240" s="88"/>
      <c r="H1240" s="88"/>
      <c r="I1240" s="323" t="str">
        <f t="shared" si="300"/>
        <v/>
      </c>
      <c r="J1240" s="323" t="str">
        <f t="shared" si="301"/>
        <v/>
      </c>
      <c r="K1240" s="324" t="str">
        <f t="shared" si="302"/>
        <v/>
      </c>
      <c r="L1240" s="88"/>
      <c r="M1240" s="88"/>
      <c r="N1240" s="88"/>
      <c r="O1240" s="88"/>
      <c r="P1240" s="88"/>
      <c r="Q1240" s="88"/>
      <c r="R1240" s="88"/>
      <c r="S1240" s="620"/>
      <c r="T1240" s="92"/>
      <c r="U1240" s="1214"/>
      <c r="V1240" s="1215"/>
      <c r="W1240" s="168"/>
      <c r="X1240" s="170"/>
    </row>
    <row r="1241" spans="1:24" ht="12.75" customHeight="1">
      <c r="A1241" s="15"/>
      <c r="B1241" s="92" t="str">
        <f t="shared" si="299"/>
        <v/>
      </c>
      <c r="C1241" s="90"/>
      <c r="D1241" s="87"/>
      <c r="E1241" s="88"/>
      <c r="F1241" s="173"/>
      <c r="G1241" s="88"/>
      <c r="H1241" s="88"/>
      <c r="I1241" s="323" t="str">
        <f t="shared" si="300"/>
        <v/>
      </c>
      <c r="J1241" s="323" t="str">
        <f t="shared" si="301"/>
        <v/>
      </c>
      <c r="K1241" s="324" t="str">
        <f t="shared" si="302"/>
        <v/>
      </c>
      <c r="L1241" s="88"/>
      <c r="M1241" s="88"/>
      <c r="N1241" s="88"/>
      <c r="O1241" s="88"/>
      <c r="P1241" s="88"/>
      <c r="Q1241" s="88"/>
      <c r="R1241" s="88"/>
      <c r="S1241" s="620"/>
      <c r="T1241" s="92"/>
      <c r="U1241" s="1214"/>
      <c r="V1241" s="1215"/>
      <c r="W1241" s="168"/>
      <c r="X1241" s="170"/>
    </row>
    <row r="1242" spans="1:24" ht="12.75" customHeight="1">
      <c r="A1242" s="15"/>
      <c r="B1242" s="92" t="str">
        <f t="shared" si="299"/>
        <v/>
      </c>
      <c r="C1242" s="90"/>
      <c r="D1242" s="87"/>
      <c r="E1242" s="88"/>
      <c r="F1242" s="173"/>
      <c r="G1242" s="88"/>
      <c r="H1242" s="88"/>
      <c r="I1242" s="323" t="str">
        <f t="shared" si="300"/>
        <v/>
      </c>
      <c r="J1242" s="323" t="str">
        <f t="shared" si="301"/>
        <v/>
      </c>
      <c r="K1242" s="324" t="str">
        <f t="shared" si="302"/>
        <v/>
      </c>
      <c r="L1242" s="88"/>
      <c r="M1242" s="88"/>
      <c r="N1242" s="88"/>
      <c r="O1242" s="88"/>
      <c r="P1242" s="88"/>
      <c r="Q1242" s="88"/>
      <c r="R1242" s="88"/>
      <c r="S1242" s="620"/>
      <c r="T1242" s="92"/>
      <c r="U1242" s="1214"/>
      <c r="V1242" s="1215"/>
      <c r="W1242" s="168"/>
      <c r="X1242" s="170"/>
    </row>
    <row r="1243" spans="1:24" ht="12.75" customHeight="1">
      <c r="A1243" s="15"/>
      <c r="B1243" s="92" t="str">
        <f t="shared" si="299"/>
        <v/>
      </c>
      <c r="C1243" s="90"/>
      <c r="D1243" s="87"/>
      <c r="E1243" s="88"/>
      <c r="F1243" s="173"/>
      <c r="G1243" s="88"/>
      <c r="H1243" s="88"/>
      <c r="I1243" s="323" t="str">
        <f t="shared" si="300"/>
        <v/>
      </c>
      <c r="J1243" s="323" t="str">
        <f t="shared" si="301"/>
        <v/>
      </c>
      <c r="K1243" s="324" t="str">
        <f t="shared" si="302"/>
        <v/>
      </c>
      <c r="L1243" s="88"/>
      <c r="M1243" s="88"/>
      <c r="N1243" s="88"/>
      <c r="O1243" s="88"/>
      <c r="P1243" s="88"/>
      <c r="Q1243" s="88"/>
      <c r="R1243" s="88"/>
      <c r="S1243" s="620"/>
      <c r="T1243" s="92"/>
      <c r="U1243" s="1214"/>
      <c r="V1243" s="1215"/>
      <c r="W1243" s="168"/>
      <c r="X1243" s="170"/>
    </row>
    <row r="1244" spans="1:24" ht="12.75" customHeight="1">
      <c r="A1244" s="15"/>
      <c r="B1244" s="92" t="str">
        <f t="shared" si="299"/>
        <v/>
      </c>
      <c r="C1244" s="90"/>
      <c r="D1244" s="87"/>
      <c r="E1244" s="88"/>
      <c r="F1244" s="173"/>
      <c r="G1244" s="88"/>
      <c r="H1244" s="88"/>
      <c r="I1244" s="323" t="str">
        <f t="shared" si="300"/>
        <v/>
      </c>
      <c r="J1244" s="323" t="str">
        <f t="shared" si="301"/>
        <v/>
      </c>
      <c r="K1244" s="324" t="str">
        <f t="shared" si="302"/>
        <v/>
      </c>
      <c r="L1244" s="88"/>
      <c r="M1244" s="88"/>
      <c r="N1244" s="88"/>
      <c r="O1244" s="88"/>
      <c r="P1244" s="88"/>
      <c r="Q1244" s="88"/>
      <c r="R1244" s="88"/>
      <c r="S1244" s="620"/>
      <c r="T1244" s="92"/>
      <c r="U1244" s="1214"/>
      <c r="V1244" s="1215"/>
      <c r="W1244" s="168"/>
      <c r="X1244" s="170"/>
    </row>
    <row r="1245" spans="1:24" ht="12.75" customHeight="1">
      <c r="A1245" s="15"/>
      <c r="B1245" s="92" t="str">
        <f t="shared" si="299"/>
        <v/>
      </c>
      <c r="C1245" s="90"/>
      <c r="D1245" s="87"/>
      <c r="E1245" s="88"/>
      <c r="F1245" s="173"/>
      <c r="G1245" s="88"/>
      <c r="H1245" s="88"/>
      <c r="I1245" s="323" t="str">
        <f t="shared" si="300"/>
        <v/>
      </c>
      <c r="J1245" s="323" t="str">
        <f t="shared" si="301"/>
        <v/>
      </c>
      <c r="K1245" s="324" t="str">
        <f t="shared" si="302"/>
        <v/>
      </c>
      <c r="L1245" s="88"/>
      <c r="M1245" s="88"/>
      <c r="N1245" s="88"/>
      <c r="O1245" s="88"/>
      <c r="P1245" s="88"/>
      <c r="Q1245" s="88"/>
      <c r="R1245" s="88"/>
      <c r="S1245" s="620"/>
      <c r="T1245" s="92"/>
      <c r="U1245" s="1214"/>
      <c r="V1245" s="1215"/>
      <c r="W1245" s="168"/>
      <c r="X1245" s="170"/>
    </row>
    <row r="1246" spans="1:24" ht="12.75" customHeight="1">
      <c r="A1246" s="15"/>
      <c r="B1246" s="92" t="str">
        <f t="shared" si="299"/>
        <v/>
      </c>
      <c r="C1246" s="90"/>
      <c r="D1246" s="87"/>
      <c r="E1246" s="88"/>
      <c r="F1246" s="173"/>
      <c r="G1246" s="88"/>
      <c r="H1246" s="88"/>
      <c r="I1246" s="323" t="str">
        <f t="shared" si="300"/>
        <v/>
      </c>
      <c r="J1246" s="323" t="str">
        <f t="shared" si="301"/>
        <v/>
      </c>
      <c r="K1246" s="324" t="str">
        <f t="shared" si="302"/>
        <v/>
      </c>
      <c r="L1246" s="88"/>
      <c r="M1246" s="88"/>
      <c r="N1246" s="88"/>
      <c r="O1246" s="88"/>
      <c r="P1246" s="88"/>
      <c r="Q1246" s="88"/>
      <c r="R1246" s="88"/>
      <c r="S1246" s="620"/>
      <c r="T1246" s="92"/>
      <c r="U1246" s="1214"/>
      <c r="V1246" s="1215"/>
      <c r="W1246" s="168"/>
      <c r="X1246" s="170"/>
    </row>
    <row r="1247" spans="1:24" ht="12.75" customHeight="1">
      <c r="A1247" s="15"/>
      <c r="B1247" s="92" t="str">
        <f t="shared" si="299"/>
        <v/>
      </c>
      <c r="C1247" s="90"/>
      <c r="D1247" s="87"/>
      <c r="E1247" s="88"/>
      <c r="F1247" s="173"/>
      <c r="G1247" s="88"/>
      <c r="H1247" s="88"/>
      <c r="I1247" s="323" t="str">
        <f t="shared" si="300"/>
        <v/>
      </c>
      <c r="J1247" s="323" t="str">
        <f t="shared" si="301"/>
        <v/>
      </c>
      <c r="K1247" s="324" t="str">
        <f t="shared" si="302"/>
        <v/>
      </c>
      <c r="L1247" s="88"/>
      <c r="M1247" s="88"/>
      <c r="N1247" s="88"/>
      <c r="O1247" s="88"/>
      <c r="P1247" s="88"/>
      <c r="Q1247" s="88"/>
      <c r="R1247" s="88"/>
      <c r="S1247" s="620"/>
      <c r="T1247" s="92"/>
      <c r="U1247" s="1214"/>
      <c r="V1247" s="1215"/>
      <c r="W1247" s="168"/>
      <c r="X1247" s="170"/>
    </row>
    <row r="1248" spans="1:24" ht="12.75" customHeight="1">
      <c r="A1248" s="15"/>
      <c r="B1248" s="92" t="str">
        <f t="shared" si="299"/>
        <v/>
      </c>
      <c r="C1248" s="90"/>
      <c r="D1248" s="87"/>
      <c r="E1248" s="88"/>
      <c r="F1248" s="173"/>
      <c r="G1248" s="88"/>
      <c r="H1248" s="88"/>
      <c r="I1248" s="323" t="str">
        <f t="shared" si="300"/>
        <v/>
      </c>
      <c r="J1248" s="323" t="str">
        <f t="shared" si="301"/>
        <v/>
      </c>
      <c r="K1248" s="324" t="str">
        <f t="shared" si="302"/>
        <v/>
      </c>
      <c r="L1248" s="88"/>
      <c r="M1248" s="88"/>
      <c r="N1248" s="88"/>
      <c r="O1248" s="88"/>
      <c r="P1248" s="88"/>
      <c r="Q1248" s="88"/>
      <c r="R1248" s="88"/>
      <c r="S1248" s="620"/>
      <c r="T1248" s="92"/>
      <c r="U1248" s="1214"/>
      <c r="V1248" s="1215"/>
      <c r="W1248" s="168"/>
      <c r="X1248" s="170"/>
    </row>
    <row r="1249" spans="1:24" ht="12.75" customHeight="1">
      <c r="A1249" s="15"/>
      <c r="B1249" s="92" t="str">
        <f t="shared" si="299"/>
        <v/>
      </c>
      <c r="C1249" s="90"/>
      <c r="D1249" s="87"/>
      <c r="E1249" s="88"/>
      <c r="F1249" s="173"/>
      <c r="G1249" s="88"/>
      <c r="H1249" s="88"/>
      <c r="I1249" s="323" t="str">
        <f t="shared" si="300"/>
        <v/>
      </c>
      <c r="J1249" s="323" t="str">
        <f t="shared" si="301"/>
        <v/>
      </c>
      <c r="K1249" s="324" t="str">
        <f t="shared" si="302"/>
        <v/>
      </c>
      <c r="L1249" s="88"/>
      <c r="M1249" s="88"/>
      <c r="N1249" s="88"/>
      <c r="O1249" s="88"/>
      <c r="P1249" s="88"/>
      <c r="Q1249" s="88"/>
      <c r="R1249" s="88"/>
      <c r="S1249" s="620"/>
      <c r="T1249" s="92"/>
      <c r="U1249" s="1214"/>
      <c r="V1249" s="1215"/>
      <c r="W1249" s="168"/>
      <c r="X1249" s="170"/>
    </row>
    <row r="1250" spans="1:24" ht="12.75" customHeight="1">
      <c r="A1250" s="15"/>
      <c r="B1250" s="92" t="str">
        <f t="shared" si="299"/>
        <v/>
      </c>
      <c r="C1250" s="90"/>
      <c r="D1250" s="87"/>
      <c r="E1250" s="88"/>
      <c r="F1250" s="173"/>
      <c r="G1250" s="88"/>
      <c r="H1250" s="88"/>
      <c r="I1250" s="323" t="str">
        <f t="shared" si="300"/>
        <v/>
      </c>
      <c r="J1250" s="323" t="str">
        <f t="shared" si="301"/>
        <v/>
      </c>
      <c r="K1250" s="324" t="str">
        <f t="shared" si="302"/>
        <v/>
      </c>
      <c r="L1250" s="88"/>
      <c r="M1250" s="88"/>
      <c r="N1250" s="88"/>
      <c r="O1250" s="88"/>
      <c r="P1250" s="88"/>
      <c r="Q1250" s="88"/>
      <c r="R1250" s="88"/>
      <c r="S1250" s="620"/>
      <c r="T1250" s="92"/>
      <c r="U1250" s="1214"/>
      <c r="V1250" s="1215"/>
      <c r="W1250" s="168"/>
      <c r="X1250" s="170"/>
    </row>
    <row r="1251" spans="1:24" ht="12.75" customHeight="1">
      <c r="A1251" s="15"/>
      <c r="B1251" s="92" t="str">
        <f t="shared" si="299"/>
        <v/>
      </c>
      <c r="C1251" s="90"/>
      <c r="D1251" s="87"/>
      <c r="E1251" s="88"/>
      <c r="F1251" s="173"/>
      <c r="G1251" s="88"/>
      <c r="H1251" s="88"/>
      <c r="I1251" s="323" t="str">
        <f t="shared" si="300"/>
        <v/>
      </c>
      <c r="J1251" s="323" t="str">
        <f t="shared" si="301"/>
        <v/>
      </c>
      <c r="K1251" s="324" t="str">
        <f t="shared" si="302"/>
        <v/>
      </c>
      <c r="L1251" s="88"/>
      <c r="M1251" s="88"/>
      <c r="N1251" s="88"/>
      <c r="O1251" s="88"/>
      <c r="P1251" s="88"/>
      <c r="Q1251" s="88"/>
      <c r="R1251" s="88"/>
      <c r="S1251" s="620"/>
      <c r="T1251" s="92"/>
      <c r="U1251" s="1214"/>
      <c r="V1251" s="1215"/>
      <c r="W1251" s="168"/>
      <c r="X1251" s="170"/>
    </row>
    <row r="1252" spans="1:24" ht="12.75" customHeight="1">
      <c r="A1252" s="15"/>
      <c r="B1252" s="92" t="str">
        <f t="shared" si="299"/>
        <v/>
      </c>
      <c r="C1252" s="90"/>
      <c r="D1252" s="87"/>
      <c r="E1252" s="88"/>
      <c r="F1252" s="173"/>
      <c r="G1252" s="88"/>
      <c r="H1252" s="88"/>
      <c r="I1252" s="323" t="str">
        <f t="shared" si="300"/>
        <v/>
      </c>
      <c r="J1252" s="323" t="str">
        <f t="shared" si="301"/>
        <v/>
      </c>
      <c r="K1252" s="324" t="str">
        <f t="shared" si="302"/>
        <v/>
      </c>
      <c r="L1252" s="88"/>
      <c r="M1252" s="88"/>
      <c r="N1252" s="88"/>
      <c r="O1252" s="88"/>
      <c r="P1252" s="88"/>
      <c r="Q1252" s="88"/>
      <c r="R1252" s="88"/>
      <c r="S1252" s="620"/>
      <c r="T1252" s="92"/>
      <c r="U1252" s="1214"/>
      <c r="V1252" s="1215"/>
      <c r="W1252" s="168"/>
      <c r="X1252" s="170"/>
    </row>
    <row r="1253" spans="1:24" ht="12.75" customHeight="1">
      <c r="A1253" s="15"/>
      <c r="B1253" s="92" t="str">
        <f t="shared" si="299"/>
        <v/>
      </c>
      <c r="C1253" s="90"/>
      <c r="D1253" s="87"/>
      <c r="E1253" s="88"/>
      <c r="F1253" s="173"/>
      <c r="G1253" s="88"/>
      <c r="H1253" s="88"/>
      <c r="I1253" s="323" t="str">
        <f t="shared" si="300"/>
        <v/>
      </c>
      <c r="J1253" s="323" t="str">
        <f t="shared" si="301"/>
        <v/>
      </c>
      <c r="K1253" s="324" t="str">
        <f t="shared" si="302"/>
        <v/>
      </c>
      <c r="L1253" s="88"/>
      <c r="M1253" s="88"/>
      <c r="N1253" s="88"/>
      <c r="O1253" s="88"/>
      <c r="P1253" s="88"/>
      <c r="Q1253" s="88"/>
      <c r="R1253" s="88"/>
      <c r="S1253" s="620"/>
      <c r="T1253" s="92"/>
      <c r="U1253" s="1214"/>
      <c r="V1253" s="1215"/>
      <c r="W1253" s="168"/>
      <c r="X1253" s="170"/>
    </row>
    <row r="1254" spans="1:24" ht="12.75" customHeight="1">
      <c r="A1254" s="15"/>
      <c r="B1254" s="92" t="str">
        <f t="shared" si="299"/>
        <v/>
      </c>
      <c r="C1254" s="90"/>
      <c r="D1254" s="87"/>
      <c r="E1254" s="88"/>
      <c r="F1254" s="173"/>
      <c r="G1254" s="88"/>
      <c r="H1254" s="88"/>
      <c r="I1254" s="323" t="str">
        <f t="shared" si="300"/>
        <v/>
      </c>
      <c r="J1254" s="323" t="str">
        <f t="shared" si="301"/>
        <v/>
      </c>
      <c r="K1254" s="324" t="str">
        <f t="shared" si="302"/>
        <v/>
      </c>
      <c r="L1254" s="88"/>
      <c r="M1254" s="88"/>
      <c r="N1254" s="88"/>
      <c r="O1254" s="88"/>
      <c r="P1254" s="88"/>
      <c r="Q1254" s="88"/>
      <c r="R1254" s="88"/>
      <c r="S1254" s="620"/>
      <c r="T1254" s="92"/>
      <c r="U1254" s="1214"/>
      <c r="V1254" s="1215"/>
      <c r="W1254" s="168"/>
      <c r="X1254" s="170"/>
    </row>
    <row r="1255" spans="1:24" ht="12.75" customHeight="1">
      <c r="A1255" s="15"/>
      <c r="B1255" s="92" t="str">
        <f t="shared" si="299"/>
        <v/>
      </c>
      <c r="C1255" s="90"/>
      <c r="D1255" s="87"/>
      <c r="E1255" s="88"/>
      <c r="F1255" s="173"/>
      <c r="G1255" s="88"/>
      <c r="H1255" s="88"/>
      <c r="I1255" s="323" t="str">
        <f t="shared" si="300"/>
        <v/>
      </c>
      <c r="J1255" s="323" t="str">
        <f t="shared" si="301"/>
        <v/>
      </c>
      <c r="K1255" s="324" t="str">
        <f t="shared" si="302"/>
        <v/>
      </c>
      <c r="L1255" s="88"/>
      <c r="M1255" s="88"/>
      <c r="N1255" s="88"/>
      <c r="O1255" s="88"/>
      <c r="P1255" s="88"/>
      <c r="Q1255" s="88"/>
      <c r="R1255" s="88"/>
      <c r="S1255" s="620"/>
      <c r="T1255" s="92"/>
      <c r="U1255" s="1214"/>
      <c r="V1255" s="1215"/>
      <c r="W1255" s="168"/>
      <c r="X1255" s="170"/>
    </row>
    <row r="1256" spans="1:24" ht="12.75" customHeight="1">
      <c r="A1256" s="15"/>
      <c r="B1256" s="92" t="str">
        <f t="shared" si="299"/>
        <v/>
      </c>
      <c r="C1256" s="90"/>
      <c r="D1256" s="87"/>
      <c r="E1256" s="88"/>
      <c r="F1256" s="173"/>
      <c r="G1256" s="88"/>
      <c r="H1256" s="88"/>
      <c r="I1256" s="323" t="str">
        <f t="shared" si="300"/>
        <v/>
      </c>
      <c r="J1256" s="323" t="str">
        <f t="shared" si="301"/>
        <v/>
      </c>
      <c r="K1256" s="324" t="str">
        <f t="shared" si="302"/>
        <v/>
      </c>
      <c r="L1256" s="88"/>
      <c r="M1256" s="88"/>
      <c r="N1256" s="88"/>
      <c r="O1256" s="88"/>
      <c r="P1256" s="88"/>
      <c r="Q1256" s="88"/>
      <c r="R1256" s="88"/>
      <c r="S1256" s="620"/>
      <c r="T1256" s="92"/>
      <c r="U1256" s="1214"/>
      <c r="V1256" s="1215"/>
      <c r="W1256" s="168"/>
      <c r="X1256" s="170"/>
    </row>
    <row r="1257" spans="1:24" ht="12.75" customHeight="1">
      <c r="A1257" s="15"/>
      <c r="B1257" s="92" t="str">
        <f t="shared" si="299"/>
        <v/>
      </c>
      <c r="C1257" s="90"/>
      <c r="D1257" s="87"/>
      <c r="E1257" s="88"/>
      <c r="F1257" s="173"/>
      <c r="G1257" s="88"/>
      <c r="H1257" s="88"/>
      <c r="I1257" s="323" t="str">
        <f t="shared" si="300"/>
        <v/>
      </c>
      <c r="J1257" s="323" t="str">
        <f t="shared" si="301"/>
        <v/>
      </c>
      <c r="K1257" s="324" t="str">
        <f t="shared" si="302"/>
        <v/>
      </c>
      <c r="L1257" s="88"/>
      <c r="M1257" s="88"/>
      <c r="N1257" s="88"/>
      <c r="O1257" s="88"/>
      <c r="P1257" s="88"/>
      <c r="Q1257" s="88"/>
      <c r="R1257" s="88"/>
      <c r="S1257" s="620"/>
      <c r="T1257" s="92"/>
      <c r="U1257" s="1214"/>
      <c r="V1257" s="1215"/>
      <c r="W1257" s="168"/>
      <c r="X1257" s="170"/>
    </row>
    <row r="1258" spans="1:24" ht="12.75" customHeight="1">
      <c r="A1258" s="15"/>
      <c r="B1258" s="92" t="str">
        <f t="shared" si="299"/>
        <v/>
      </c>
      <c r="C1258" s="90"/>
      <c r="D1258" s="87"/>
      <c r="E1258" s="88"/>
      <c r="F1258" s="173"/>
      <c r="G1258" s="88"/>
      <c r="H1258" s="88"/>
      <c r="I1258" s="323" t="str">
        <f t="shared" si="300"/>
        <v/>
      </c>
      <c r="J1258" s="323" t="str">
        <f t="shared" si="301"/>
        <v/>
      </c>
      <c r="K1258" s="324" t="str">
        <f t="shared" si="302"/>
        <v/>
      </c>
      <c r="L1258" s="88"/>
      <c r="M1258" s="88"/>
      <c r="N1258" s="88"/>
      <c r="O1258" s="88"/>
      <c r="P1258" s="88"/>
      <c r="Q1258" s="88"/>
      <c r="R1258" s="88"/>
      <c r="S1258" s="620"/>
      <c r="T1258" s="92"/>
      <c r="U1258" s="1214"/>
      <c r="V1258" s="1215"/>
      <c r="W1258" s="168"/>
      <c r="X1258" s="170"/>
    </row>
    <row r="1259" spans="1:24" ht="12.75" customHeight="1">
      <c r="A1259" s="15"/>
      <c r="B1259" s="92" t="str">
        <f t="shared" si="299"/>
        <v/>
      </c>
      <c r="C1259" s="90"/>
      <c r="D1259" s="87"/>
      <c r="E1259" s="88"/>
      <c r="F1259" s="173"/>
      <c r="G1259" s="88"/>
      <c r="H1259" s="88"/>
      <c r="I1259" s="323" t="str">
        <f t="shared" si="300"/>
        <v/>
      </c>
      <c r="J1259" s="323" t="str">
        <f t="shared" si="301"/>
        <v/>
      </c>
      <c r="K1259" s="324" t="str">
        <f t="shared" si="302"/>
        <v/>
      </c>
      <c r="L1259" s="88"/>
      <c r="M1259" s="88"/>
      <c r="N1259" s="88"/>
      <c r="O1259" s="88"/>
      <c r="P1259" s="88"/>
      <c r="Q1259" s="88"/>
      <c r="R1259" s="88"/>
      <c r="S1259" s="620"/>
      <c r="T1259" s="92"/>
      <c r="U1259" s="1214"/>
      <c r="V1259" s="1215"/>
      <c r="W1259" s="168"/>
      <c r="X1259" s="170"/>
    </row>
    <row r="1260" spans="1:24" ht="12.75" customHeight="1">
      <c r="A1260" s="15"/>
      <c r="B1260" s="92" t="str">
        <f t="shared" si="299"/>
        <v/>
      </c>
      <c r="C1260" s="90"/>
      <c r="D1260" s="87"/>
      <c r="E1260" s="88"/>
      <c r="F1260" s="173"/>
      <c r="G1260" s="88"/>
      <c r="H1260" s="88"/>
      <c r="I1260" s="323" t="str">
        <f t="shared" si="300"/>
        <v/>
      </c>
      <c r="J1260" s="323" t="str">
        <f t="shared" si="301"/>
        <v/>
      </c>
      <c r="K1260" s="324" t="str">
        <f t="shared" si="302"/>
        <v/>
      </c>
      <c r="L1260" s="88"/>
      <c r="M1260" s="88"/>
      <c r="N1260" s="88"/>
      <c r="O1260" s="88"/>
      <c r="P1260" s="88"/>
      <c r="Q1260" s="88"/>
      <c r="R1260" s="88"/>
      <c r="S1260" s="620"/>
      <c r="T1260" s="92"/>
      <c r="U1260" s="1214"/>
      <c r="V1260" s="1215"/>
      <c r="W1260" s="168"/>
      <c r="X1260" s="170"/>
    </row>
    <row r="1261" spans="1:24" ht="12.75" customHeight="1">
      <c r="A1261" s="15"/>
      <c r="B1261" s="92" t="str">
        <f t="shared" si="299"/>
        <v/>
      </c>
      <c r="C1261" s="90"/>
      <c r="D1261" s="87"/>
      <c r="E1261" s="88"/>
      <c r="F1261" s="173"/>
      <c r="G1261" s="88"/>
      <c r="H1261" s="88"/>
      <c r="I1261" s="323" t="str">
        <f t="shared" si="300"/>
        <v/>
      </c>
      <c r="J1261" s="323" t="str">
        <f t="shared" si="301"/>
        <v/>
      </c>
      <c r="K1261" s="324" t="str">
        <f t="shared" si="302"/>
        <v/>
      </c>
      <c r="L1261" s="88"/>
      <c r="M1261" s="88"/>
      <c r="N1261" s="88"/>
      <c r="O1261" s="88"/>
      <c r="P1261" s="88"/>
      <c r="Q1261" s="88"/>
      <c r="R1261" s="88"/>
      <c r="S1261" s="620"/>
      <c r="T1261" s="92"/>
      <c r="U1261" s="1214"/>
      <c r="V1261" s="1215"/>
      <c r="W1261" s="168"/>
      <c r="X1261" s="170"/>
    </row>
    <row r="1262" spans="1:24" ht="12.75" customHeight="1">
      <c r="A1262" s="15"/>
      <c r="B1262" s="92" t="str">
        <f t="shared" si="299"/>
        <v/>
      </c>
      <c r="C1262" s="90"/>
      <c r="D1262" s="87"/>
      <c r="E1262" s="88"/>
      <c r="F1262" s="173"/>
      <c r="G1262" s="88"/>
      <c r="H1262" s="88"/>
      <c r="I1262" s="323" t="str">
        <f t="shared" si="300"/>
        <v/>
      </c>
      <c r="J1262" s="323" t="str">
        <f t="shared" si="301"/>
        <v/>
      </c>
      <c r="K1262" s="324" t="str">
        <f t="shared" si="302"/>
        <v/>
      </c>
      <c r="L1262" s="88"/>
      <c r="M1262" s="88"/>
      <c r="N1262" s="88"/>
      <c r="O1262" s="88"/>
      <c r="P1262" s="88"/>
      <c r="Q1262" s="88"/>
      <c r="R1262" s="88"/>
      <c r="S1262" s="620"/>
      <c r="T1262" s="92"/>
      <c r="U1262" s="1214"/>
      <c r="V1262" s="1215"/>
      <c r="W1262" s="168"/>
      <c r="X1262" s="170"/>
    </row>
    <row r="1263" spans="1:24" ht="12.75" customHeight="1">
      <c r="A1263" s="15"/>
      <c r="B1263" s="92" t="str">
        <f t="shared" ref="B1263:B1326" si="303">IF(C1263="","",ROW()-5)</f>
        <v/>
      </c>
      <c r="C1263" s="90"/>
      <c r="D1263" s="87"/>
      <c r="E1263" s="88"/>
      <c r="F1263" s="173"/>
      <c r="G1263" s="88"/>
      <c r="H1263" s="88"/>
      <c r="I1263" s="323" t="str">
        <f t="shared" si="300"/>
        <v/>
      </c>
      <c r="J1263" s="323" t="str">
        <f t="shared" si="301"/>
        <v/>
      </c>
      <c r="K1263" s="324" t="str">
        <f t="shared" si="302"/>
        <v/>
      </c>
      <c r="L1263" s="88"/>
      <c r="M1263" s="88"/>
      <c r="N1263" s="88"/>
      <c r="O1263" s="88"/>
      <c r="P1263" s="88"/>
      <c r="Q1263" s="88"/>
      <c r="R1263" s="88"/>
      <c r="S1263" s="620"/>
      <c r="T1263" s="92"/>
      <c r="U1263" s="1214"/>
      <c r="V1263" s="1215"/>
      <c r="W1263" s="168"/>
      <c r="X1263" s="170"/>
    </row>
    <row r="1264" spans="1:24" ht="12.75" customHeight="1">
      <c r="A1264" s="15"/>
      <c r="B1264" s="92" t="str">
        <f t="shared" si="303"/>
        <v/>
      </c>
      <c r="C1264" s="90"/>
      <c r="D1264" s="87"/>
      <c r="E1264" s="88"/>
      <c r="F1264" s="173"/>
      <c r="G1264" s="88"/>
      <c r="H1264" s="88"/>
      <c r="I1264" s="323" t="str">
        <f t="shared" si="300"/>
        <v/>
      </c>
      <c r="J1264" s="323" t="str">
        <f t="shared" si="301"/>
        <v/>
      </c>
      <c r="K1264" s="324" t="str">
        <f t="shared" si="302"/>
        <v/>
      </c>
      <c r="L1264" s="88"/>
      <c r="M1264" s="88"/>
      <c r="N1264" s="88"/>
      <c r="O1264" s="88"/>
      <c r="P1264" s="88"/>
      <c r="Q1264" s="88"/>
      <c r="R1264" s="88"/>
      <c r="S1264" s="620"/>
      <c r="T1264" s="92"/>
      <c r="U1264" s="1214"/>
      <c r="V1264" s="1215"/>
      <c r="W1264" s="168"/>
      <c r="X1264" s="170"/>
    </row>
    <row r="1265" spans="1:24" ht="12.75" customHeight="1">
      <c r="A1265" s="15"/>
      <c r="B1265" s="92" t="str">
        <f t="shared" si="303"/>
        <v/>
      </c>
      <c r="C1265" s="90"/>
      <c r="D1265" s="87"/>
      <c r="E1265" s="88"/>
      <c r="F1265" s="173"/>
      <c r="G1265" s="88"/>
      <c r="H1265" s="88"/>
      <c r="I1265" s="323" t="str">
        <f t="shared" si="300"/>
        <v/>
      </c>
      <c r="J1265" s="323" t="str">
        <f t="shared" si="301"/>
        <v/>
      </c>
      <c r="K1265" s="324" t="str">
        <f t="shared" si="302"/>
        <v/>
      </c>
      <c r="L1265" s="88"/>
      <c r="M1265" s="88"/>
      <c r="N1265" s="88"/>
      <c r="O1265" s="88"/>
      <c r="P1265" s="88"/>
      <c r="Q1265" s="88"/>
      <c r="R1265" s="88"/>
      <c r="S1265" s="620"/>
      <c r="T1265" s="92"/>
      <c r="U1265" s="1214"/>
      <c r="V1265" s="1215"/>
      <c r="W1265" s="168"/>
      <c r="X1265" s="170"/>
    </row>
    <row r="1266" spans="1:24" ht="12.75" customHeight="1">
      <c r="A1266" s="15"/>
      <c r="B1266" s="92" t="str">
        <f t="shared" si="303"/>
        <v/>
      </c>
      <c r="C1266" s="90"/>
      <c r="D1266" s="87"/>
      <c r="E1266" s="88"/>
      <c r="F1266" s="173"/>
      <c r="G1266" s="88"/>
      <c r="H1266" s="88"/>
      <c r="I1266" s="323" t="str">
        <f t="shared" si="300"/>
        <v/>
      </c>
      <c r="J1266" s="323" t="str">
        <f t="shared" si="301"/>
        <v/>
      </c>
      <c r="K1266" s="324" t="str">
        <f t="shared" si="302"/>
        <v/>
      </c>
      <c r="L1266" s="88"/>
      <c r="M1266" s="88"/>
      <c r="N1266" s="88"/>
      <c r="O1266" s="88"/>
      <c r="P1266" s="88"/>
      <c r="Q1266" s="88"/>
      <c r="R1266" s="88"/>
      <c r="S1266" s="620"/>
      <c r="T1266" s="92"/>
      <c r="U1266" s="1214"/>
      <c r="V1266" s="1215"/>
      <c r="W1266" s="168"/>
      <c r="X1266" s="170"/>
    </row>
    <row r="1267" spans="1:24" ht="12.75" customHeight="1">
      <c r="A1267" s="15"/>
      <c r="B1267" s="92" t="str">
        <f t="shared" si="303"/>
        <v/>
      </c>
      <c r="C1267" s="90"/>
      <c r="D1267" s="87"/>
      <c r="E1267" s="88"/>
      <c r="F1267" s="173"/>
      <c r="G1267" s="88"/>
      <c r="H1267" s="88"/>
      <c r="I1267" s="323" t="str">
        <f t="shared" si="300"/>
        <v/>
      </c>
      <c r="J1267" s="323" t="str">
        <f t="shared" si="301"/>
        <v/>
      </c>
      <c r="K1267" s="324" t="str">
        <f t="shared" si="302"/>
        <v/>
      </c>
      <c r="L1267" s="88"/>
      <c r="M1267" s="88"/>
      <c r="N1267" s="88"/>
      <c r="O1267" s="88"/>
      <c r="P1267" s="88"/>
      <c r="Q1267" s="88"/>
      <c r="R1267" s="88"/>
      <c r="S1267" s="620"/>
      <c r="T1267" s="92"/>
      <c r="U1267" s="1214"/>
      <c r="V1267" s="1215"/>
      <c r="W1267" s="168"/>
      <c r="X1267" s="170"/>
    </row>
    <row r="1268" spans="1:24" ht="12.75" customHeight="1">
      <c r="A1268" s="15"/>
      <c r="B1268" s="92" t="str">
        <f t="shared" si="303"/>
        <v/>
      </c>
      <c r="C1268" s="90"/>
      <c r="D1268" s="87"/>
      <c r="E1268" s="88"/>
      <c r="F1268" s="173"/>
      <c r="G1268" s="88"/>
      <c r="H1268" s="88"/>
      <c r="I1268" s="323" t="str">
        <f t="shared" si="300"/>
        <v/>
      </c>
      <c r="J1268" s="323" t="str">
        <f t="shared" si="301"/>
        <v/>
      </c>
      <c r="K1268" s="324" t="str">
        <f t="shared" si="302"/>
        <v/>
      </c>
      <c r="L1268" s="88"/>
      <c r="M1268" s="88"/>
      <c r="N1268" s="88"/>
      <c r="O1268" s="88"/>
      <c r="P1268" s="88"/>
      <c r="Q1268" s="88"/>
      <c r="R1268" s="88"/>
      <c r="S1268" s="620"/>
      <c r="T1268" s="92"/>
      <c r="U1268" s="1214"/>
      <c r="V1268" s="1215"/>
      <c r="W1268" s="168"/>
      <c r="X1268" s="170"/>
    </row>
    <row r="1269" spans="1:24" ht="12.75" customHeight="1">
      <c r="A1269" s="15"/>
      <c r="B1269" s="92" t="str">
        <f t="shared" si="303"/>
        <v/>
      </c>
      <c r="C1269" s="90"/>
      <c r="D1269" s="87"/>
      <c r="E1269" s="88"/>
      <c r="F1269" s="173"/>
      <c r="G1269" s="88"/>
      <c r="H1269" s="88"/>
      <c r="I1269" s="323" t="str">
        <f t="shared" si="300"/>
        <v/>
      </c>
      <c r="J1269" s="323" t="str">
        <f t="shared" si="301"/>
        <v/>
      </c>
      <c r="K1269" s="324" t="str">
        <f t="shared" si="302"/>
        <v/>
      </c>
      <c r="L1269" s="88"/>
      <c r="M1269" s="88"/>
      <c r="N1269" s="88"/>
      <c r="O1269" s="88"/>
      <c r="P1269" s="88"/>
      <c r="Q1269" s="88"/>
      <c r="R1269" s="88"/>
      <c r="S1269" s="620"/>
      <c r="T1269" s="92"/>
      <c r="U1269" s="1214"/>
      <c r="V1269" s="1215"/>
      <c r="W1269" s="168"/>
      <c r="X1269" s="170"/>
    </row>
    <row r="1270" spans="1:24" ht="12.75" customHeight="1">
      <c r="A1270" s="15"/>
      <c r="B1270" s="92" t="str">
        <f t="shared" si="303"/>
        <v/>
      </c>
      <c r="C1270" s="90"/>
      <c r="D1270" s="87"/>
      <c r="E1270" s="88"/>
      <c r="F1270" s="173"/>
      <c r="G1270" s="88"/>
      <c r="H1270" s="88"/>
      <c r="I1270" s="323" t="str">
        <f t="shared" si="300"/>
        <v/>
      </c>
      <c r="J1270" s="323" t="str">
        <f t="shared" si="301"/>
        <v/>
      </c>
      <c r="K1270" s="324" t="str">
        <f t="shared" si="302"/>
        <v/>
      </c>
      <c r="L1270" s="88"/>
      <c r="M1270" s="88"/>
      <c r="N1270" s="88"/>
      <c r="O1270" s="88"/>
      <c r="P1270" s="88"/>
      <c r="Q1270" s="88"/>
      <c r="R1270" s="88"/>
      <c r="S1270" s="620"/>
      <c r="T1270" s="92"/>
      <c r="U1270" s="1214"/>
      <c r="V1270" s="1215"/>
      <c r="W1270" s="168"/>
      <c r="X1270" s="170"/>
    </row>
    <row r="1271" spans="1:24" ht="12.75" customHeight="1">
      <c r="A1271" s="15"/>
      <c r="B1271" s="92" t="str">
        <f t="shared" si="303"/>
        <v/>
      </c>
      <c r="C1271" s="90"/>
      <c r="D1271" s="87"/>
      <c r="E1271" s="88"/>
      <c r="F1271" s="173"/>
      <c r="G1271" s="88"/>
      <c r="H1271" s="88"/>
      <c r="I1271" s="323" t="str">
        <f t="shared" si="300"/>
        <v/>
      </c>
      <c r="J1271" s="323" t="str">
        <f t="shared" si="301"/>
        <v/>
      </c>
      <c r="K1271" s="324" t="str">
        <f t="shared" si="302"/>
        <v/>
      </c>
      <c r="L1271" s="88"/>
      <c r="M1271" s="88"/>
      <c r="N1271" s="88"/>
      <c r="O1271" s="88"/>
      <c r="P1271" s="88"/>
      <c r="Q1271" s="88"/>
      <c r="R1271" s="88"/>
      <c r="S1271" s="620"/>
      <c r="T1271" s="92"/>
      <c r="U1271" s="1214"/>
      <c r="V1271" s="1215"/>
      <c r="W1271" s="168"/>
      <c r="X1271" s="170"/>
    </row>
    <row r="1272" spans="1:24" ht="12.75" customHeight="1">
      <c r="A1272" s="15"/>
      <c r="B1272" s="92" t="str">
        <f t="shared" si="303"/>
        <v/>
      </c>
      <c r="C1272" s="90"/>
      <c r="D1272" s="87"/>
      <c r="E1272" s="88"/>
      <c r="F1272" s="173"/>
      <c r="G1272" s="88"/>
      <c r="H1272" s="88"/>
      <c r="I1272" s="323" t="str">
        <f t="shared" si="300"/>
        <v/>
      </c>
      <c r="J1272" s="323" t="str">
        <f t="shared" si="301"/>
        <v/>
      </c>
      <c r="K1272" s="324" t="str">
        <f t="shared" si="302"/>
        <v/>
      </c>
      <c r="L1272" s="88"/>
      <c r="M1272" s="88"/>
      <c r="N1272" s="88"/>
      <c r="O1272" s="88"/>
      <c r="P1272" s="88"/>
      <c r="Q1272" s="88"/>
      <c r="R1272" s="88"/>
      <c r="S1272" s="620"/>
      <c r="T1272" s="92"/>
      <c r="U1272" s="1214"/>
      <c r="V1272" s="1215"/>
      <c r="W1272" s="168"/>
      <c r="X1272" s="170"/>
    </row>
    <row r="1273" spans="1:24" ht="12.75" customHeight="1">
      <c r="A1273" s="15"/>
      <c r="B1273" s="92" t="str">
        <f t="shared" si="303"/>
        <v/>
      </c>
      <c r="C1273" s="90"/>
      <c r="D1273" s="87"/>
      <c r="E1273" s="88"/>
      <c r="F1273" s="173"/>
      <c r="G1273" s="88"/>
      <c r="H1273" s="88"/>
      <c r="I1273" s="323" t="str">
        <f t="shared" si="300"/>
        <v/>
      </c>
      <c r="J1273" s="323" t="str">
        <f t="shared" si="301"/>
        <v/>
      </c>
      <c r="K1273" s="324" t="str">
        <f t="shared" si="302"/>
        <v/>
      </c>
      <c r="L1273" s="88"/>
      <c r="M1273" s="88"/>
      <c r="N1273" s="88"/>
      <c r="O1273" s="88"/>
      <c r="P1273" s="88"/>
      <c r="Q1273" s="88"/>
      <c r="R1273" s="88"/>
      <c r="S1273" s="620"/>
      <c r="T1273" s="92"/>
      <c r="U1273" s="1214"/>
      <c r="V1273" s="1215"/>
      <c r="W1273" s="168"/>
      <c r="X1273" s="170"/>
    </row>
    <row r="1274" spans="1:24" ht="12.75" customHeight="1">
      <c r="A1274" s="15"/>
      <c r="B1274" s="92" t="str">
        <f t="shared" si="303"/>
        <v/>
      </c>
      <c r="C1274" s="90"/>
      <c r="D1274" s="87"/>
      <c r="E1274" s="88"/>
      <c r="F1274" s="173"/>
      <c r="G1274" s="88"/>
      <c r="H1274" s="88"/>
      <c r="I1274" s="323" t="str">
        <f t="shared" si="300"/>
        <v/>
      </c>
      <c r="J1274" s="323" t="str">
        <f t="shared" si="301"/>
        <v/>
      </c>
      <c r="K1274" s="324" t="str">
        <f t="shared" si="302"/>
        <v/>
      </c>
      <c r="L1274" s="88"/>
      <c r="M1274" s="88"/>
      <c r="N1274" s="88"/>
      <c r="O1274" s="88"/>
      <c r="P1274" s="88"/>
      <c r="Q1274" s="88"/>
      <c r="R1274" s="88"/>
      <c r="S1274" s="620"/>
      <c r="T1274" s="92"/>
      <c r="U1274" s="1214"/>
      <c r="V1274" s="1215"/>
      <c r="W1274" s="168"/>
      <c r="X1274" s="170"/>
    </row>
    <row r="1275" spans="1:24" ht="12.75" customHeight="1">
      <c r="A1275" s="15"/>
      <c r="B1275" s="92" t="str">
        <f t="shared" si="303"/>
        <v/>
      </c>
      <c r="C1275" s="90"/>
      <c r="D1275" s="87"/>
      <c r="E1275" s="88"/>
      <c r="F1275" s="173"/>
      <c r="G1275" s="88"/>
      <c r="H1275" s="88"/>
      <c r="I1275" s="323" t="str">
        <f t="shared" si="300"/>
        <v/>
      </c>
      <c r="J1275" s="323" t="str">
        <f t="shared" si="301"/>
        <v/>
      </c>
      <c r="K1275" s="324" t="str">
        <f t="shared" si="302"/>
        <v/>
      </c>
      <c r="L1275" s="88"/>
      <c r="M1275" s="88"/>
      <c r="N1275" s="88"/>
      <c r="O1275" s="88"/>
      <c r="P1275" s="88"/>
      <c r="Q1275" s="88"/>
      <c r="R1275" s="88"/>
      <c r="S1275" s="620"/>
      <c r="T1275" s="92"/>
      <c r="U1275" s="1214"/>
      <c r="V1275" s="1215"/>
      <c r="W1275" s="168"/>
      <c r="X1275" s="170"/>
    </row>
    <row r="1276" spans="1:24" ht="12.75" customHeight="1">
      <c r="A1276" s="15"/>
      <c r="B1276" s="92" t="str">
        <f t="shared" si="303"/>
        <v/>
      </c>
      <c r="C1276" s="90"/>
      <c r="D1276" s="87"/>
      <c r="E1276" s="88"/>
      <c r="F1276" s="173"/>
      <c r="G1276" s="88"/>
      <c r="H1276" s="88"/>
      <c r="I1276" s="323" t="str">
        <f t="shared" si="300"/>
        <v/>
      </c>
      <c r="J1276" s="323" t="str">
        <f t="shared" si="301"/>
        <v/>
      </c>
      <c r="K1276" s="324" t="str">
        <f t="shared" si="302"/>
        <v/>
      </c>
      <c r="L1276" s="88"/>
      <c r="M1276" s="88"/>
      <c r="N1276" s="88"/>
      <c r="O1276" s="88"/>
      <c r="P1276" s="88"/>
      <c r="Q1276" s="88"/>
      <c r="R1276" s="88"/>
      <c r="S1276" s="620"/>
      <c r="T1276" s="92"/>
      <c r="U1276" s="1214"/>
      <c r="V1276" s="1215"/>
      <c r="W1276" s="168"/>
      <c r="X1276" s="170"/>
    </row>
    <row r="1277" spans="1:24" ht="12.75" customHeight="1">
      <c r="A1277" s="15"/>
      <c r="B1277" s="92" t="str">
        <f t="shared" si="303"/>
        <v/>
      </c>
      <c r="C1277" s="90"/>
      <c r="D1277" s="87"/>
      <c r="E1277" s="88"/>
      <c r="F1277" s="173"/>
      <c r="G1277" s="88"/>
      <c r="H1277" s="88"/>
      <c r="I1277" s="323" t="str">
        <f t="shared" si="300"/>
        <v/>
      </c>
      <c r="J1277" s="323" t="str">
        <f t="shared" si="301"/>
        <v/>
      </c>
      <c r="K1277" s="324" t="str">
        <f t="shared" si="302"/>
        <v/>
      </c>
      <c r="L1277" s="88"/>
      <c r="M1277" s="88"/>
      <c r="N1277" s="88"/>
      <c r="O1277" s="88"/>
      <c r="P1277" s="88"/>
      <c r="Q1277" s="88"/>
      <c r="R1277" s="88"/>
      <c r="S1277" s="620"/>
      <c r="T1277" s="92"/>
      <c r="U1277" s="1214"/>
      <c r="V1277" s="1215"/>
      <c r="W1277" s="168"/>
      <c r="X1277" s="170"/>
    </row>
    <row r="1278" spans="1:24" ht="12.75" customHeight="1">
      <c r="A1278" s="15"/>
      <c r="B1278" s="92" t="str">
        <f t="shared" si="303"/>
        <v/>
      </c>
      <c r="C1278" s="90"/>
      <c r="D1278" s="87"/>
      <c r="E1278" s="88"/>
      <c r="F1278" s="173"/>
      <c r="G1278" s="88"/>
      <c r="H1278" s="88"/>
      <c r="I1278" s="323" t="str">
        <f t="shared" si="300"/>
        <v/>
      </c>
      <c r="J1278" s="323" t="str">
        <f t="shared" si="301"/>
        <v/>
      </c>
      <c r="K1278" s="324" t="str">
        <f t="shared" si="302"/>
        <v/>
      </c>
      <c r="L1278" s="88"/>
      <c r="M1278" s="88"/>
      <c r="N1278" s="88"/>
      <c r="O1278" s="88"/>
      <c r="P1278" s="88"/>
      <c r="Q1278" s="88"/>
      <c r="R1278" s="88"/>
      <c r="S1278" s="620"/>
      <c r="T1278" s="92"/>
      <c r="U1278" s="1214"/>
      <c r="V1278" s="1215"/>
      <c r="W1278" s="168"/>
      <c r="X1278" s="170"/>
    </row>
    <row r="1279" spans="1:24" ht="12.75" customHeight="1">
      <c r="A1279" s="15"/>
      <c r="B1279" s="92" t="str">
        <f t="shared" si="303"/>
        <v/>
      </c>
      <c r="C1279" s="90"/>
      <c r="D1279" s="87"/>
      <c r="E1279" s="88"/>
      <c r="F1279" s="173"/>
      <c r="G1279" s="88"/>
      <c r="H1279" s="88"/>
      <c r="I1279" s="323" t="str">
        <f t="shared" ref="I1279:I1342" si="304">+IF(G1279="","",G1279*H1279)</f>
        <v/>
      </c>
      <c r="J1279" s="323" t="str">
        <f t="shared" ref="J1279:J1342" si="305">+IF(G1279="","",I1279*0.1)</f>
        <v/>
      </c>
      <c r="K1279" s="324" t="str">
        <f t="shared" ref="K1279:K1342" si="306">+IF(G1279="","",I1279+J1279)</f>
        <v/>
      </c>
      <c r="L1279" s="88"/>
      <c r="M1279" s="88"/>
      <c r="N1279" s="88"/>
      <c r="O1279" s="88"/>
      <c r="P1279" s="88"/>
      <c r="Q1279" s="88"/>
      <c r="R1279" s="88"/>
      <c r="S1279" s="620"/>
      <c r="T1279" s="92"/>
      <c r="U1279" s="1214"/>
      <c r="V1279" s="1215"/>
      <c r="W1279" s="168"/>
      <c r="X1279" s="170"/>
    </row>
    <row r="1280" spans="1:24" ht="12.75" customHeight="1">
      <c r="A1280" s="15"/>
      <c r="B1280" s="92" t="str">
        <f t="shared" si="303"/>
        <v/>
      </c>
      <c r="C1280" s="90"/>
      <c r="D1280" s="87"/>
      <c r="E1280" s="88"/>
      <c r="F1280" s="173"/>
      <c r="G1280" s="88"/>
      <c r="H1280" s="88"/>
      <c r="I1280" s="323" t="str">
        <f t="shared" si="304"/>
        <v/>
      </c>
      <c r="J1280" s="323" t="str">
        <f t="shared" si="305"/>
        <v/>
      </c>
      <c r="K1280" s="324" t="str">
        <f t="shared" si="306"/>
        <v/>
      </c>
      <c r="L1280" s="88"/>
      <c r="M1280" s="88"/>
      <c r="N1280" s="88"/>
      <c r="O1280" s="88"/>
      <c r="P1280" s="88"/>
      <c r="Q1280" s="88"/>
      <c r="R1280" s="88"/>
      <c r="S1280" s="620"/>
      <c r="T1280" s="92"/>
      <c r="U1280" s="1214"/>
      <c r="V1280" s="1215"/>
      <c r="W1280" s="168"/>
      <c r="X1280" s="170"/>
    </row>
    <row r="1281" spans="1:24" ht="12.75" customHeight="1">
      <c r="A1281" s="15"/>
      <c r="B1281" s="92" t="str">
        <f t="shared" si="303"/>
        <v/>
      </c>
      <c r="C1281" s="90"/>
      <c r="D1281" s="87"/>
      <c r="E1281" s="88"/>
      <c r="F1281" s="173"/>
      <c r="G1281" s="88"/>
      <c r="H1281" s="88"/>
      <c r="I1281" s="323" t="str">
        <f t="shared" si="304"/>
        <v/>
      </c>
      <c r="J1281" s="323" t="str">
        <f t="shared" si="305"/>
        <v/>
      </c>
      <c r="K1281" s="324" t="str">
        <f t="shared" si="306"/>
        <v/>
      </c>
      <c r="L1281" s="88"/>
      <c r="M1281" s="88"/>
      <c r="N1281" s="88"/>
      <c r="O1281" s="88"/>
      <c r="P1281" s="88"/>
      <c r="Q1281" s="88"/>
      <c r="R1281" s="88"/>
      <c r="S1281" s="620"/>
      <c r="T1281" s="92"/>
      <c r="U1281" s="1214"/>
      <c r="V1281" s="1215"/>
      <c r="W1281" s="168"/>
      <c r="X1281" s="170"/>
    </row>
    <row r="1282" spans="1:24" ht="12.75" customHeight="1">
      <c r="A1282" s="15"/>
      <c r="B1282" s="92" t="str">
        <f t="shared" si="303"/>
        <v/>
      </c>
      <c r="C1282" s="90"/>
      <c r="D1282" s="87"/>
      <c r="E1282" s="88"/>
      <c r="F1282" s="173"/>
      <c r="G1282" s="88"/>
      <c r="H1282" s="88"/>
      <c r="I1282" s="323" t="str">
        <f t="shared" si="304"/>
        <v/>
      </c>
      <c r="J1282" s="323" t="str">
        <f t="shared" si="305"/>
        <v/>
      </c>
      <c r="K1282" s="324" t="str">
        <f t="shared" si="306"/>
        <v/>
      </c>
      <c r="L1282" s="88"/>
      <c r="M1282" s="88"/>
      <c r="N1282" s="88"/>
      <c r="O1282" s="88"/>
      <c r="P1282" s="88"/>
      <c r="Q1282" s="88"/>
      <c r="R1282" s="88"/>
      <c r="S1282" s="620"/>
      <c r="T1282" s="92"/>
      <c r="U1282" s="1214"/>
      <c r="V1282" s="1215"/>
      <c r="W1282" s="168"/>
      <c r="X1282" s="170"/>
    </row>
    <row r="1283" spans="1:24" ht="12.75" customHeight="1">
      <c r="A1283" s="15"/>
      <c r="B1283" s="92" t="str">
        <f t="shared" si="303"/>
        <v/>
      </c>
      <c r="C1283" s="90"/>
      <c r="D1283" s="87"/>
      <c r="E1283" s="88"/>
      <c r="F1283" s="173"/>
      <c r="G1283" s="88"/>
      <c r="H1283" s="88"/>
      <c r="I1283" s="323" t="str">
        <f t="shared" si="304"/>
        <v/>
      </c>
      <c r="J1283" s="323" t="str">
        <f t="shared" si="305"/>
        <v/>
      </c>
      <c r="K1283" s="324" t="str">
        <f t="shared" si="306"/>
        <v/>
      </c>
      <c r="L1283" s="88"/>
      <c r="M1283" s="88"/>
      <c r="N1283" s="88"/>
      <c r="O1283" s="88"/>
      <c r="P1283" s="88"/>
      <c r="Q1283" s="88"/>
      <c r="R1283" s="88"/>
      <c r="S1283" s="620"/>
      <c r="T1283" s="92"/>
      <c r="U1283" s="1214"/>
      <c r="V1283" s="1215"/>
      <c r="W1283" s="168"/>
      <c r="X1283" s="170"/>
    </row>
    <row r="1284" spans="1:24" ht="12.75" customHeight="1">
      <c r="A1284" s="15"/>
      <c r="B1284" s="92" t="str">
        <f t="shared" si="303"/>
        <v/>
      </c>
      <c r="C1284" s="90"/>
      <c r="D1284" s="87"/>
      <c r="E1284" s="88"/>
      <c r="F1284" s="173"/>
      <c r="G1284" s="88"/>
      <c r="H1284" s="88"/>
      <c r="I1284" s="323" t="str">
        <f t="shared" si="304"/>
        <v/>
      </c>
      <c r="J1284" s="323" t="str">
        <f t="shared" si="305"/>
        <v/>
      </c>
      <c r="K1284" s="324" t="str">
        <f t="shared" si="306"/>
        <v/>
      </c>
      <c r="L1284" s="88"/>
      <c r="M1284" s="88"/>
      <c r="N1284" s="88"/>
      <c r="O1284" s="88"/>
      <c r="P1284" s="88"/>
      <c r="Q1284" s="88"/>
      <c r="R1284" s="88"/>
      <c r="S1284" s="620"/>
      <c r="T1284" s="92"/>
      <c r="U1284" s="1214"/>
      <c r="V1284" s="1215"/>
      <c r="W1284" s="168"/>
      <c r="X1284" s="170"/>
    </row>
    <row r="1285" spans="1:24" ht="12.75" customHeight="1">
      <c r="A1285" s="15"/>
      <c r="B1285" s="92" t="str">
        <f t="shared" si="303"/>
        <v/>
      </c>
      <c r="C1285" s="90"/>
      <c r="D1285" s="87"/>
      <c r="E1285" s="88"/>
      <c r="F1285" s="173"/>
      <c r="G1285" s="88"/>
      <c r="H1285" s="88"/>
      <c r="I1285" s="323" t="str">
        <f t="shared" si="304"/>
        <v/>
      </c>
      <c r="J1285" s="323" t="str">
        <f t="shared" si="305"/>
        <v/>
      </c>
      <c r="K1285" s="324" t="str">
        <f t="shared" si="306"/>
        <v/>
      </c>
      <c r="L1285" s="88"/>
      <c r="M1285" s="88"/>
      <c r="N1285" s="88"/>
      <c r="O1285" s="88"/>
      <c r="P1285" s="88"/>
      <c r="Q1285" s="88"/>
      <c r="R1285" s="88"/>
      <c r="S1285" s="620"/>
      <c r="T1285" s="92"/>
      <c r="U1285" s="1214"/>
      <c r="V1285" s="1215"/>
      <c r="W1285" s="168"/>
      <c r="X1285" s="170"/>
    </row>
    <row r="1286" spans="1:24" ht="12.75" customHeight="1">
      <c r="A1286" s="15"/>
      <c r="B1286" s="92" t="str">
        <f t="shared" si="303"/>
        <v/>
      </c>
      <c r="C1286" s="90"/>
      <c r="D1286" s="87"/>
      <c r="E1286" s="88"/>
      <c r="F1286" s="173"/>
      <c r="G1286" s="88"/>
      <c r="H1286" s="88"/>
      <c r="I1286" s="323" t="str">
        <f t="shared" si="304"/>
        <v/>
      </c>
      <c r="J1286" s="323" t="str">
        <f t="shared" si="305"/>
        <v/>
      </c>
      <c r="K1286" s="324" t="str">
        <f t="shared" si="306"/>
        <v/>
      </c>
      <c r="L1286" s="88"/>
      <c r="M1286" s="88"/>
      <c r="N1286" s="88"/>
      <c r="O1286" s="88"/>
      <c r="P1286" s="88"/>
      <c r="Q1286" s="88"/>
      <c r="R1286" s="88"/>
      <c r="S1286" s="620"/>
      <c r="T1286" s="92"/>
      <c r="U1286" s="1214"/>
      <c r="V1286" s="1215"/>
      <c r="W1286" s="168"/>
      <c r="X1286" s="170"/>
    </row>
    <row r="1287" spans="1:24" ht="12.75" customHeight="1">
      <c r="A1287" s="15"/>
      <c r="B1287" s="92" t="str">
        <f t="shared" si="303"/>
        <v/>
      </c>
      <c r="C1287" s="90"/>
      <c r="D1287" s="87"/>
      <c r="E1287" s="88"/>
      <c r="F1287" s="173"/>
      <c r="G1287" s="88"/>
      <c r="H1287" s="88"/>
      <c r="I1287" s="323" t="str">
        <f t="shared" si="304"/>
        <v/>
      </c>
      <c r="J1287" s="323" t="str">
        <f t="shared" si="305"/>
        <v/>
      </c>
      <c r="K1287" s="324" t="str">
        <f t="shared" si="306"/>
        <v/>
      </c>
      <c r="L1287" s="88"/>
      <c r="M1287" s="88"/>
      <c r="N1287" s="88"/>
      <c r="O1287" s="88"/>
      <c r="P1287" s="88"/>
      <c r="Q1287" s="88"/>
      <c r="R1287" s="88"/>
      <c r="S1287" s="620"/>
      <c r="T1287" s="92"/>
      <c r="U1287" s="1214"/>
      <c r="V1287" s="1215"/>
      <c r="W1287" s="168"/>
      <c r="X1287" s="170"/>
    </row>
    <row r="1288" spans="1:24" ht="12.75" customHeight="1">
      <c r="A1288" s="15"/>
      <c r="B1288" s="92" t="str">
        <f t="shared" si="303"/>
        <v/>
      </c>
      <c r="C1288" s="90"/>
      <c r="D1288" s="87"/>
      <c r="E1288" s="88"/>
      <c r="F1288" s="173"/>
      <c r="G1288" s="88"/>
      <c r="H1288" s="88"/>
      <c r="I1288" s="323" t="str">
        <f t="shared" si="304"/>
        <v/>
      </c>
      <c r="J1288" s="323" t="str">
        <f t="shared" si="305"/>
        <v/>
      </c>
      <c r="K1288" s="324" t="str">
        <f t="shared" si="306"/>
        <v/>
      </c>
      <c r="L1288" s="88"/>
      <c r="M1288" s="88"/>
      <c r="N1288" s="88"/>
      <c r="O1288" s="88"/>
      <c r="P1288" s="88"/>
      <c r="Q1288" s="88"/>
      <c r="R1288" s="88"/>
      <c r="S1288" s="620"/>
      <c r="T1288" s="92"/>
      <c r="U1288" s="1214"/>
      <c r="V1288" s="1215"/>
      <c r="W1288" s="168"/>
      <c r="X1288" s="170"/>
    </row>
    <row r="1289" spans="1:24" ht="12.75" customHeight="1">
      <c r="A1289" s="15"/>
      <c r="B1289" s="92" t="str">
        <f t="shared" si="303"/>
        <v/>
      </c>
      <c r="C1289" s="90"/>
      <c r="D1289" s="87"/>
      <c r="E1289" s="88"/>
      <c r="F1289" s="173"/>
      <c r="G1289" s="88"/>
      <c r="H1289" s="88"/>
      <c r="I1289" s="323" t="str">
        <f t="shared" si="304"/>
        <v/>
      </c>
      <c r="J1289" s="323" t="str">
        <f t="shared" si="305"/>
        <v/>
      </c>
      <c r="K1289" s="324" t="str">
        <f t="shared" si="306"/>
        <v/>
      </c>
      <c r="L1289" s="88"/>
      <c r="M1289" s="88"/>
      <c r="N1289" s="88"/>
      <c r="O1289" s="88"/>
      <c r="P1289" s="88"/>
      <c r="Q1289" s="88"/>
      <c r="R1289" s="88"/>
      <c r="S1289" s="620"/>
      <c r="T1289" s="92"/>
      <c r="U1289" s="1214"/>
      <c r="V1289" s="1215"/>
      <c r="W1289" s="168"/>
      <c r="X1289" s="170"/>
    </row>
    <row r="1290" spans="1:24" ht="12.75" customHeight="1">
      <c r="A1290" s="15"/>
      <c r="B1290" s="92" t="str">
        <f t="shared" si="303"/>
        <v/>
      </c>
      <c r="C1290" s="90"/>
      <c r="D1290" s="87"/>
      <c r="E1290" s="88"/>
      <c r="F1290" s="173"/>
      <c r="G1290" s="88"/>
      <c r="H1290" s="88"/>
      <c r="I1290" s="323" t="str">
        <f t="shared" si="304"/>
        <v/>
      </c>
      <c r="J1290" s="323" t="str">
        <f t="shared" si="305"/>
        <v/>
      </c>
      <c r="K1290" s="324" t="str">
        <f t="shared" si="306"/>
        <v/>
      </c>
      <c r="L1290" s="88"/>
      <c r="M1290" s="88"/>
      <c r="N1290" s="88"/>
      <c r="O1290" s="88"/>
      <c r="P1290" s="88"/>
      <c r="Q1290" s="88"/>
      <c r="R1290" s="88"/>
      <c r="S1290" s="620"/>
      <c r="T1290" s="92"/>
      <c r="U1290" s="1214"/>
      <c r="V1290" s="1215"/>
      <c r="W1290" s="168"/>
      <c r="X1290" s="170"/>
    </row>
    <row r="1291" spans="1:24" ht="12.75" customHeight="1">
      <c r="A1291" s="15"/>
      <c r="B1291" s="92" t="str">
        <f t="shared" si="303"/>
        <v/>
      </c>
      <c r="C1291" s="90"/>
      <c r="D1291" s="87"/>
      <c r="E1291" s="88"/>
      <c r="F1291" s="173"/>
      <c r="G1291" s="88"/>
      <c r="H1291" s="88"/>
      <c r="I1291" s="323" t="str">
        <f t="shared" si="304"/>
        <v/>
      </c>
      <c r="J1291" s="323" t="str">
        <f t="shared" si="305"/>
        <v/>
      </c>
      <c r="K1291" s="324" t="str">
        <f t="shared" si="306"/>
        <v/>
      </c>
      <c r="L1291" s="88"/>
      <c r="M1291" s="88"/>
      <c r="N1291" s="88"/>
      <c r="O1291" s="88"/>
      <c r="P1291" s="88"/>
      <c r="Q1291" s="88"/>
      <c r="R1291" s="88"/>
      <c r="S1291" s="620"/>
      <c r="T1291" s="92"/>
      <c r="U1291" s="1214"/>
      <c r="V1291" s="1215"/>
      <c r="W1291" s="168"/>
      <c r="X1291" s="170"/>
    </row>
    <row r="1292" spans="1:24" ht="12.75" customHeight="1">
      <c r="A1292" s="15"/>
      <c r="B1292" s="92" t="str">
        <f t="shared" si="303"/>
        <v/>
      </c>
      <c r="C1292" s="90"/>
      <c r="D1292" s="87"/>
      <c r="E1292" s="88"/>
      <c r="F1292" s="173"/>
      <c r="G1292" s="88"/>
      <c r="H1292" s="88"/>
      <c r="I1292" s="323" t="str">
        <f t="shared" si="304"/>
        <v/>
      </c>
      <c r="J1292" s="323" t="str">
        <f t="shared" si="305"/>
        <v/>
      </c>
      <c r="K1292" s="324" t="str">
        <f t="shared" si="306"/>
        <v/>
      </c>
      <c r="L1292" s="88"/>
      <c r="M1292" s="88"/>
      <c r="N1292" s="88"/>
      <c r="O1292" s="88"/>
      <c r="P1292" s="88"/>
      <c r="Q1292" s="88"/>
      <c r="R1292" s="88"/>
      <c r="S1292" s="620"/>
      <c r="T1292" s="92"/>
      <c r="U1292" s="1214"/>
      <c r="V1292" s="1215"/>
      <c r="W1292" s="168"/>
      <c r="X1292" s="170"/>
    </row>
    <row r="1293" spans="1:24" ht="12.75" customHeight="1">
      <c r="A1293" s="15"/>
      <c r="B1293" s="92" t="str">
        <f t="shared" si="303"/>
        <v/>
      </c>
      <c r="C1293" s="90"/>
      <c r="D1293" s="87"/>
      <c r="E1293" s="88"/>
      <c r="F1293" s="173"/>
      <c r="G1293" s="88"/>
      <c r="H1293" s="88"/>
      <c r="I1293" s="323" t="str">
        <f t="shared" si="304"/>
        <v/>
      </c>
      <c r="J1293" s="323" t="str">
        <f t="shared" si="305"/>
        <v/>
      </c>
      <c r="K1293" s="324" t="str">
        <f t="shared" si="306"/>
        <v/>
      </c>
      <c r="L1293" s="88"/>
      <c r="M1293" s="88"/>
      <c r="N1293" s="88"/>
      <c r="O1293" s="88"/>
      <c r="P1293" s="88"/>
      <c r="Q1293" s="88"/>
      <c r="R1293" s="88"/>
      <c r="S1293" s="620"/>
      <c r="T1293" s="92"/>
      <c r="U1293" s="1214"/>
      <c r="V1293" s="1215"/>
      <c r="W1293" s="168"/>
      <c r="X1293" s="170"/>
    </row>
    <row r="1294" spans="1:24" ht="12.75" customHeight="1">
      <c r="A1294" s="15"/>
      <c r="B1294" s="92" t="str">
        <f t="shared" si="303"/>
        <v/>
      </c>
      <c r="C1294" s="90"/>
      <c r="D1294" s="87"/>
      <c r="E1294" s="88"/>
      <c r="F1294" s="173"/>
      <c r="G1294" s="88"/>
      <c r="H1294" s="88"/>
      <c r="I1294" s="323" t="str">
        <f t="shared" si="304"/>
        <v/>
      </c>
      <c r="J1294" s="323" t="str">
        <f t="shared" si="305"/>
        <v/>
      </c>
      <c r="K1294" s="324" t="str">
        <f t="shared" si="306"/>
        <v/>
      </c>
      <c r="L1294" s="88"/>
      <c r="M1294" s="88"/>
      <c r="N1294" s="88"/>
      <c r="O1294" s="88"/>
      <c r="P1294" s="88"/>
      <c r="Q1294" s="88"/>
      <c r="R1294" s="88"/>
      <c r="S1294" s="620"/>
      <c r="T1294" s="92"/>
      <c r="U1294" s="1214"/>
      <c r="V1294" s="1215"/>
      <c r="W1294" s="168"/>
      <c r="X1294" s="170"/>
    </row>
    <row r="1295" spans="1:24" ht="12.75" customHeight="1">
      <c r="A1295" s="15"/>
      <c r="B1295" s="92" t="str">
        <f t="shared" si="303"/>
        <v/>
      </c>
      <c r="C1295" s="90"/>
      <c r="D1295" s="87"/>
      <c r="E1295" s="88"/>
      <c r="F1295" s="173"/>
      <c r="G1295" s="88"/>
      <c r="H1295" s="88"/>
      <c r="I1295" s="323" t="str">
        <f t="shared" si="304"/>
        <v/>
      </c>
      <c r="J1295" s="323" t="str">
        <f t="shared" si="305"/>
        <v/>
      </c>
      <c r="K1295" s="324" t="str">
        <f t="shared" si="306"/>
        <v/>
      </c>
      <c r="L1295" s="88"/>
      <c r="M1295" s="88"/>
      <c r="N1295" s="88"/>
      <c r="O1295" s="88"/>
      <c r="P1295" s="88"/>
      <c r="Q1295" s="88"/>
      <c r="R1295" s="88"/>
      <c r="S1295" s="620"/>
      <c r="T1295" s="92"/>
      <c r="U1295" s="1214"/>
      <c r="V1295" s="1215"/>
      <c r="W1295" s="168"/>
      <c r="X1295" s="170"/>
    </row>
    <row r="1296" spans="1:24" ht="12.75" customHeight="1">
      <c r="A1296" s="15"/>
      <c r="B1296" s="92" t="str">
        <f t="shared" si="303"/>
        <v/>
      </c>
      <c r="C1296" s="90"/>
      <c r="D1296" s="87"/>
      <c r="E1296" s="88"/>
      <c r="F1296" s="173"/>
      <c r="G1296" s="88"/>
      <c r="H1296" s="88"/>
      <c r="I1296" s="323" t="str">
        <f t="shared" si="304"/>
        <v/>
      </c>
      <c r="J1296" s="323" t="str">
        <f t="shared" si="305"/>
        <v/>
      </c>
      <c r="K1296" s="324" t="str">
        <f t="shared" si="306"/>
        <v/>
      </c>
      <c r="L1296" s="88"/>
      <c r="M1296" s="88"/>
      <c r="N1296" s="88"/>
      <c r="O1296" s="88"/>
      <c r="P1296" s="88"/>
      <c r="Q1296" s="88"/>
      <c r="R1296" s="88"/>
      <c r="S1296" s="620"/>
      <c r="T1296" s="92"/>
      <c r="U1296" s="1214"/>
      <c r="V1296" s="1215"/>
      <c r="W1296" s="168"/>
      <c r="X1296" s="170"/>
    </row>
    <row r="1297" spans="1:24" ht="12.75" customHeight="1">
      <c r="A1297" s="15"/>
      <c r="B1297" s="92" t="str">
        <f t="shared" si="303"/>
        <v/>
      </c>
      <c r="C1297" s="90"/>
      <c r="D1297" s="87"/>
      <c r="E1297" s="88"/>
      <c r="F1297" s="173"/>
      <c r="G1297" s="88"/>
      <c r="H1297" s="88"/>
      <c r="I1297" s="323" t="str">
        <f t="shared" si="304"/>
        <v/>
      </c>
      <c r="J1297" s="323" t="str">
        <f t="shared" si="305"/>
        <v/>
      </c>
      <c r="K1297" s="324" t="str">
        <f t="shared" si="306"/>
        <v/>
      </c>
      <c r="L1297" s="88"/>
      <c r="M1297" s="88"/>
      <c r="N1297" s="88"/>
      <c r="O1297" s="88"/>
      <c r="P1297" s="88"/>
      <c r="Q1297" s="88"/>
      <c r="R1297" s="88"/>
      <c r="S1297" s="620"/>
      <c r="T1297" s="92"/>
      <c r="U1297" s="1214"/>
      <c r="V1297" s="1215"/>
      <c r="W1297" s="168"/>
      <c r="X1297" s="170"/>
    </row>
    <row r="1298" spans="1:24" ht="12.75" customHeight="1">
      <c r="A1298" s="15"/>
      <c r="B1298" s="92" t="str">
        <f t="shared" si="303"/>
        <v/>
      </c>
      <c r="C1298" s="90"/>
      <c r="D1298" s="87"/>
      <c r="E1298" s="88"/>
      <c r="F1298" s="173"/>
      <c r="G1298" s="88"/>
      <c r="H1298" s="88"/>
      <c r="I1298" s="323" t="str">
        <f t="shared" si="304"/>
        <v/>
      </c>
      <c r="J1298" s="323" t="str">
        <f t="shared" si="305"/>
        <v/>
      </c>
      <c r="K1298" s="324" t="str">
        <f t="shared" si="306"/>
        <v/>
      </c>
      <c r="L1298" s="88"/>
      <c r="M1298" s="88"/>
      <c r="N1298" s="88"/>
      <c r="O1298" s="88"/>
      <c r="P1298" s="88"/>
      <c r="Q1298" s="88"/>
      <c r="R1298" s="88"/>
      <c r="S1298" s="620"/>
      <c r="T1298" s="92"/>
      <c r="U1298" s="1214"/>
      <c r="V1298" s="1215"/>
      <c r="W1298" s="168"/>
      <c r="X1298" s="170"/>
    </row>
    <row r="1299" spans="1:24" ht="12.75" customHeight="1">
      <c r="A1299" s="15"/>
      <c r="B1299" s="92" t="str">
        <f t="shared" si="303"/>
        <v/>
      </c>
      <c r="C1299" s="90"/>
      <c r="D1299" s="87"/>
      <c r="E1299" s="88"/>
      <c r="F1299" s="173"/>
      <c r="G1299" s="88"/>
      <c r="H1299" s="88"/>
      <c r="I1299" s="323" t="str">
        <f t="shared" si="304"/>
        <v/>
      </c>
      <c r="J1299" s="323" t="str">
        <f t="shared" si="305"/>
        <v/>
      </c>
      <c r="K1299" s="324" t="str">
        <f t="shared" si="306"/>
        <v/>
      </c>
      <c r="L1299" s="88"/>
      <c r="M1299" s="88"/>
      <c r="N1299" s="88"/>
      <c r="O1299" s="88"/>
      <c r="P1299" s="88"/>
      <c r="Q1299" s="88"/>
      <c r="R1299" s="88"/>
      <c r="S1299" s="620"/>
      <c r="T1299" s="92"/>
      <c r="U1299" s="1214"/>
      <c r="V1299" s="1215"/>
      <c r="W1299" s="168"/>
      <c r="X1299" s="170"/>
    </row>
    <row r="1300" spans="1:24" ht="12.75" customHeight="1">
      <c r="A1300" s="15"/>
      <c r="B1300" s="92" t="str">
        <f t="shared" si="303"/>
        <v/>
      </c>
      <c r="C1300" s="90"/>
      <c r="D1300" s="87"/>
      <c r="E1300" s="88"/>
      <c r="F1300" s="173"/>
      <c r="G1300" s="88"/>
      <c r="H1300" s="88"/>
      <c r="I1300" s="323" t="str">
        <f t="shared" si="304"/>
        <v/>
      </c>
      <c r="J1300" s="323" t="str">
        <f t="shared" si="305"/>
        <v/>
      </c>
      <c r="K1300" s="324" t="str">
        <f t="shared" si="306"/>
        <v/>
      </c>
      <c r="L1300" s="88"/>
      <c r="M1300" s="88"/>
      <c r="N1300" s="88"/>
      <c r="O1300" s="88"/>
      <c r="P1300" s="88"/>
      <c r="Q1300" s="88"/>
      <c r="R1300" s="88"/>
      <c r="S1300" s="620"/>
      <c r="T1300" s="92"/>
      <c r="U1300" s="1214"/>
      <c r="V1300" s="1215"/>
      <c r="W1300" s="168"/>
      <c r="X1300" s="170"/>
    </row>
    <row r="1301" spans="1:24" ht="12.75" customHeight="1">
      <c r="A1301" s="15"/>
      <c r="B1301" s="92" t="str">
        <f t="shared" si="303"/>
        <v/>
      </c>
      <c r="C1301" s="90"/>
      <c r="D1301" s="87"/>
      <c r="E1301" s="88"/>
      <c r="F1301" s="173"/>
      <c r="G1301" s="88"/>
      <c r="H1301" s="88"/>
      <c r="I1301" s="323" t="str">
        <f t="shared" si="304"/>
        <v/>
      </c>
      <c r="J1301" s="323" t="str">
        <f t="shared" si="305"/>
        <v/>
      </c>
      <c r="K1301" s="324" t="str">
        <f t="shared" si="306"/>
        <v/>
      </c>
      <c r="L1301" s="88"/>
      <c r="M1301" s="88"/>
      <c r="N1301" s="88"/>
      <c r="O1301" s="88"/>
      <c r="P1301" s="88"/>
      <c r="Q1301" s="88"/>
      <c r="R1301" s="88"/>
      <c r="S1301" s="620"/>
      <c r="T1301" s="92"/>
      <c r="U1301" s="1214"/>
      <c r="V1301" s="1215"/>
      <c r="W1301" s="168"/>
      <c r="X1301" s="170"/>
    </row>
    <row r="1302" spans="1:24" ht="12.75" customHeight="1">
      <c r="A1302" s="15"/>
      <c r="B1302" s="92" t="str">
        <f t="shared" si="303"/>
        <v/>
      </c>
      <c r="C1302" s="90"/>
      <c r="D1302" s="87"/>
      <c r="E1302" s="88"/>
      <c r="F1302" s="173"/>
      <c r="G1302" s="88"/>
      <c r="H1302" s="88"/>
      <c r="I1302" s="323" t="str">
        <f t="shared" si="304"/>
        <v/>
      </c>
      <c r="J1302" s="323" t="str">
        <f t="shared" si="305"/>
        <v/>
      </c>
      <c r="K1302" s="324" t="str">
        <f t="shared" si="306"/>
        <v/>
      </c>
      <c r="L1302" s="88"/>
      <c r="M1302" s="88"/>
      <c r="N1302" s="88"/>
      <c r="O1302" s="88"/>
      <c r="P1302" s="88"/>
      <c r="Q1302" s="88"/>
      <c r="R1302" s="88"/>
      <c r="S1302" s="620"/>
      <c r="T1302" s="92"/>
      <c r="U1302" s="1214"/>
      <c r="V1302" s="1215"/>
      <c r="W1302" s="168"/>
      <c r="X1302" s="170"/>
    </row>
    <row r="1303" spans="1:24" ht="12.75" customHeight="1">
      <c r="A1303" s="15"/>
      <c r="B1303" s="92" t="str">
        <f t="shared" si="303"/>
        <v/>
      </c>
      <c r="C1303" s="90"/>
      <c r="D1303" s="87"/>
      <c r="E1303" s="88"/>
      <c r="F1303" s="173"/>
      <c r="G1303" s="88"/>
      <c r="H1303" s="88"/>
      <c r="I1303" s="323" t="str">
        <f t="shared" si="304"/>
        <v/>
      </c>
      <c r="J1303" s="323" t="str">
        <f t="shared" si="305"/>
        <v/>
      </c>
      <c r="K1303" s="324" t="str">
        <f t="shared" si="306"/>
        <v/>
      </c>
      <c r="L1303" s="88"/>
      <c r="M1303" s="88"/>
      <c r="N1303" s="88"/>
      <c r="O1303" s="88"/>
      <c r="P1303" s="88"/>
      <c r="Q1303" s="88"/>
      <c r="R1303" s="88"/>
      <c r="S1303" s="620"/>
      <c r="T1303" s="92"/>
      <c r="U1303" s="1214"/>
      <c r="V1303" s="1215"/>
      <c r="W1303" s="168"/>
      <c r="X1303" s="170"/>
    </row>
    <row r="1304" spans="1:24" ht="12.75" customHeight="1">
      <c r="A1304" s="15"/>
      <c r="B1304" s="92" t="str">
        <f t="shared" si="303"/>
        <v/>
      </c>
      <c r="C1304" s="90"/>
      <c r="D1304" s="87"/>
      <c r="E1304" s="88"/>
      <c r="F1304" s="173"/>
      <c r="G1304" s="88"/>
      <c r="H1304" s="88"/>
      <c r="I1304" s="323" t="str">
        <f t="shared" si="304"/>
        <v/>
      </c>
      <c r="J1304" s="323" t="str">
        <f t="shared" si="305"/>
        <v/>
      </c>
      <c r="K1304" s="324" t="str">
        <f t="shared" si="306"/>
        <v/>
      </c>
      <c r="L1304" s="88"/>
      <c r="M1304" s="88"/>
      <c r="N1304" s="88"/>
      <c r="O1304" s="88"/>
      <c r="P1304" s="88"/>
      <c r="Q1304" s="88"/>
      <c r="R1304" s="88"/>
      <c r="S1304" s="620"/>
      <c r="T1304" s="92"/>
      <c r="U1304" s="1214"/>
      <c r="V1304" s="1215"/>
      <c r="W1304" s="168"/>
      <c r="X1304" s="170"/>
    </row>
    <row r="1305" spans="1:24" ht="12.75" customHeight="1">
      <c r="A1305" s="15"/>
      <c r="B1305" s="92" t="str">
        <f t="shared" si="303"/>
        <v/>
      </c>
      <c r="C1305" s="90"/>
      <c r="D1305" s="87"/>
      <c r="E1305" s="88"/>
      <c r="F1305" s="173"/>
      <c r="G1305" s="88"/>
      <c r="H1305" s="88"/>
      <c r="I1305" s="323" t="str">
        <f t="shared" si="304"/>
        <v/>
      </c>
      <c r="J1305" s="323" t="str">
        <f t="shared" si="305"/>
        <v/>
      </c>
      <c r="K1305" s="324" t="str">
        <f t="shared" si="306"/>
        <v/>
      </c>
      <c r="L1305" s="88"/>
      <c r="M1305" s="88"/>
      <c r="N1305" s="88"/>
      <c r="O1305" s="88"/>
      <c r="P1305" s="88"/>
      <c r="Q1305" s="88"/>
      <c r="R1305" s="88"/>
      <c r="S1305" s="620"/>
      <c r="T1305" s="92"/>
      <c r="U1305" s="1214"/>
      <c r="V1305" s="1215"/>
      <c r="W1305" s="168"/>
      <c r="X1305" s="170"/>
    </row>
    <row r="1306" spans="1:24" ht="12.75" customHeight="1">
      <c r="A1306" s="15"/>
      <c r="B1306" s="92" t="str">
        <f t="shared" si="303"/>
        <v/>
      </c>
      <c r="C1306" s="90"/>
      <c r="D1306" s="87"/>
      <c r="E1306" s="88"/>
      <c r="F1306" s="173"/>
      <c r="G1306" s="88"/>
      <c r="H1306" s="88"/>
      <c r="I1306" s="323" t="str">
        <f t="shared" si="304"/>
        <v/>
      </c>
      <c r="J1306" s="323" t="str">
        <f t="shared" si="305"/>
        <v/>
      </c>
      <c r="K1306" s="324" t="str">
        <f t="shared" si="306"/>
        <v/>
      </c>
      <c r="L1306" s="88"/>
      <c r="M1306" s="88"/>
      <c r="N1306" s="88"/>
      <c r="O1306" s="88"/>
      <c r="P1306" s="88"/>
      <c r="Q1306" s="88"/>
      <c r="R1306" s="88"/>
      <c r="S1306" s="620"/>
      <c r="T1306" s="92"/>
      <c r="U1306" s="1214"/>
      <c r="V1306" s="1215"/>
      <c r="W1306" s="168"/>
      <c r="X1306" s="170"/>
    </row>
    <row r="1307" spans="1:24" ht="12.75" customHeight="1">
      <c r="A1307" s="15"/>
      <c r="B1307" s="92" t="str">
        <f t="shared" si="303"/>
        <v/>
      </c>
      <c r="C1307" s="90"/>
      <c r="D1307" s="87"/>
      <c r="E1307" s="88"/>
      <c r="F1307" s="173"/>
      <c r="G1307" s="88"/>
      <c r="H1307" s="88"/>
      <c r="I1307" s="323" t="str">
        <f t="shared" si="304"/>
        <v/>
      </c>
      <c r="J1307" s="323" t="str">
        <f t="shared" si="305"/>
        <v/>
      </c>
      <c r="K1307" s="324" t="str">
        <f t="shared" si="306"/>
        <v/>
      </c>
      <c r="L1307" s="88"/>
      <c r="M1307" s="88"/>
      <c r="N1307" s="88"/>
      <c r="O1307" s="88"/>
      <c r="P1307" s="88"/>
      <c r="Q1307" s="88"/>
      <c r="R1307" s="88"/>
      <c r="S1307" s="620"/>
      <c r="T1307" s="92"/>
      <c r="U1307" s="1214"/>
      <c r="V1307" s="1215"/>
      <c r="W1307" s="168"/>
      <c r="X1307" s="170"/>
    </row>
    <row r="1308" spans="1:24" ht="12.75" customHeight="1">
      <c r="A1308" s="15"/>
      <c r="B1308" s="92" t="str">
        <f t="shared" si="303"/>
        <v/>
      </c>
      <c r="C1308" s="90"/>
      <c r="D1308" s="87"/>
      <c r="E1308" s="88"/>
      <c r="F1308" s="173"/>
      <c r="G1308" s="88"/>
      <c r="H1308" s="88"/>
      <c r="I1308" s="323" t="str">
        <f t="shared" si="304"/>
        <v/>
      </c>
      <c r="J1308" s="323" t="str">
        <f t="shared" si="305"/>
        <v/>
      </c>
      <c r="K1308" s="324" t="str">
        <f t="shared" si="306"/>
        <v/>
      </c>
      <c r="L1308" s="88"/>
      <c r="M1308" s="88"/>
      <c r="N1308" s="88"/>
      <c r="O1308" s="88"/>
      <c r="P1308" s="88"/>
      <c r="Q1308" s="88"/>
      <c r="R1308" s="88"/>
      <c r="S1308" s="620"/>
      <c r="T1308" s="92"/>
      <c r="U1308" s="1214"/>
      <c r="V1308" s="1215"/>
      <c r="W1308" s="168"/>
      <c r="X1308" s="170"/>
    </row>
    <row r="1309" spans="1:24" ht="12.75" customHeight="1">
      <c r="A1309" s="15"/>
      <c r="B1309" s="92" t="str">
        <f t="shared" si="303"/>
        <v/>
      </c>
      <c r="C1309" s="90"/>
      <c r="D1309" s="87"/>
      <c r="E1309" s="88"/>
      <c r="F1309" s="173"/>
      <c r="G1309" s="88"/>
      <c r="H1309" s="88"/>
      <c r="I1309" s="323" t="str">
        <f t="shared" si="304"/>
        <v/>
      </c>
      <c r="J1309" s="323" t="str">
        <f t="shared" si="305"/>
        <v/>
      </c>
      <c r="K1309" s="324" t="str">
        <f t="shared" si="306"/>
        <v/>
      </c>
      <c r="L1309" s="88"/>
      <c r="M1309" s="88"/>
      <c r="N1309" s="88"/>
      <c r="O1309" s="88"/>
      <c r="P1309" s="88"/>
      <c r="Q1309" s="88"/>
      <c r="R1309" s="88"/>
      <c r="S1309" s="620"/>
      <c r="T1309" s="92"/>
      <c r="U1309" s="1214"/>
      <c r="V1309" s="1215"/>
      <c r="W1309" s="168"/>
      <c r="X1309" s="170"/>
    </row>
    <row r="1310" spans="1:24" ht="12.75" customHeight="1">
      <c r="A1310" s="15"/>
      <c r="B1310" s="92" t="str">
        <f t="shared" si="303"/>
        <v/>
      </c>
      <c r="C1310" s="90"/>
      <c r="D1310" s="87"/>
      <c r="E1310" s="88"/>
      <c r="F1310" s="173"/>
      <c r="G1310" s="88"/>
      <c r="H1310" s="88"/>
      <c r="I1310" s="323" t="str">
        <f t="shared" si="304"/>
        <v/>
      </c>
      <c r="J1310" s="323" t="str">
        <f t="shared" si="305"/>
        <v/>
      </c>
      <c r="K1310" s="324" t="str">
        <f t="shared" si="306"/>
        <v/>
      </c>
      <c r="L1310" s="88"/>
      <c r="M1310" s="88"/>
      <c r="N1310" s="88"/>
      <c r="O1310" s="88"/>
      <c r="P1310" s="88"/>
      <c r="Q1310" s="88"/>
      <c r="R1310" s="88"/>
      <c r="S1310" s="620"/>
      <c r="T1310" s="92"/>
      <c r="U1310" s="1214"/>
      <c r="V1310" s="1215"/>
      <c r="W1310" s="168"/>
      <c r="X1310" s="170"/>
    </row>
    <row r="1311" spans="1:24" ht="12.75" customHeight="1">
      <c r="A1311" s="15"/>
      <c r="B1311" s="92" t="str">
        <f t="shared" si="303"/>
        <v/>
      </c>
      <c r="C1311" s="90"/>
      <c r="D1311" s="87"/>
      <c r="E1311" s="88"/>
      <c r="F1311" s="173"/>
      <c r="G1311" s="88"/>
      <c r="H1311" s="88"/>
      <c r="I1311" s="323" t="str">
        <f t="shared" si="304"/>
        <v/>
      </c>
      <c r="J1311" s="323" t="str">
        <f t="shared" si="305"/>
        <v/>
      </c>
      <c r="K1311" s="324" t="str">
        <f t="shared" si="306"/>
        <v/>
      </c>
      <c r="L1311" s="88"/>
      <c r="M1311" s="88"/>
      <c r="N1311" s="88"/>
      <c r="O1311" s="88"/>
      <c r="P1311" s="88"/>
      <c r="Q1311" s="88"/>
      <c r="R1311" s="88"/>
      <c r="S1311" s="620"/>
      <c r="T1311" s="92"/>
      <c r="U1311" s="1214"/>
      <c r="V1311" s="1215"/>
      <c r="W1311" s="168"/>
      <c r="X1311" s="170"/>
    </row>
    <row r="1312" spans="1:24" ht="12.75" customHeight="1">
      <c r="A1312" s="15"/>
      <c r="B1312" s="92" t="str">
        <f t="shared" si="303"/>
        <v/>
      </c>
      <c r="C1312" s="90"/>
      <c r="D1312" s="87"/>
      <c r="E1312" s="88"/>
      <c r="F1312" s="173"/>
      <c r="G1312" s="88"/>
      <c r="H1312" s="88"/>
      <c r="I1312" s="323" t="str">
        <f t="shared" si="304"/>
        <v/>
      </c>
      <c r="J1312" s="323" t="str">
        <f t="shared" si="305"/>
        <v/>
      </c>
      <c r="K1312" s="324" t="str">
        <f t="shared" si="306"/>
        <v/>
      </c>
      <c r="L1312" s="88"/>
      <c r="M1312" s="88"/>
      <c r="N1312" s="88"/>
      <c r="O1312" s="88"/>
      <c r="P1312" s="88"/>
      <c r="Q1312" s="88"/>
      <c r="R1312" s="88"/>
      <c r="S1312" s="620"/>
      <c r="T1312" s="92"/>
      <c r="U1312" s="1214"/>
      <c r="V1312" s="1215"/>
      <c r="W1312" s="168"/>
      <c r="X1312" s="170"/>
    </row>
    <row r="1313" spans="1:24" ht="12.75" customHeight="1">
      <c r="A1313" s="15"/>
      <c r="B1313" s="92" t="str">
        <f t="shared" si="303"/>
        <v/>
      </c>
      <c r="C1313" s="90"/>
      <c r="D1313" s="87"/>
      <c r="E1313" s="88"/>
      <c r="F1313" s="173"/>
      <c r="G1313" s="88"/>
      <c r="H1313" s="88"/>
      <c r="I1313" s="323" t="str">
        <f t="shared" si="304"/>
        <v/>
      </c>
      <c r="J1313" s="323" t="str">
        <f t="shared" si="305"/>
        <v/>
      </c>
      <c r="K1313" s="324" t="str">
        <f t="shared" si="306"/>
        <v/>
      </c>
      <c r="L1313" s="88"/>
      <c r="M1313" s="88"/>
      <c r="N1313" s="88"/>
      <c r="O1313" s="88"/>
      <c r="P1313" s="88"/>
      <c r="Q1313" s="88"/>
      <c r="R1313" s="88"/>
      <c r="S1313" s="620"/>
      <c r="T1313" s="92"/>
      <c r="U1313" s="1214"/>
      <c r="V1313" s="1215"/>
      <c r="W1313" s="168"/>
      <c r="X1313" s="170"/>
    </row>
    <row r="1314" spans="1:24" ht="12.75" customHeight="1">
      <c r="A1314" s="15"/>
      <c r="B1314" s="92" t="str">
        <f t="shared" si="303"/>
        <v/>
      </c>
      <c r="C1314" s="90"/>
      <c r="D1314" s="87"/>
      <c r="E1314" s="88"/>
      <c r="F1314" s="173"/>
      <c r="G1314" s="88"/>
      <c r="H1314" s="88"/>
      <c r="I1314" s="323" t="str">
        <f t="shared" si="304"/>
        <v/>
      </c>
      <c r="J1314" s="323" t="str">
        <f t="shared" si="305"/>
        <v/>
      </c>
      <c r="K1314" s="324" t="str">
        <f t="shared" si="306"/>
        <v/>
      </c>
      <c r="L1314" s="88"/>
      <c r="M1314" s="88"/>
      <c r="N1314" s="88"/>
      <c r="O1314" s="88"/>
      <c r="P1314" s="88"/>
      <c r="Q1314" s="88"/>
      <c r="R1314" s="88"/>
      <c r="S1314" s="620"/>
      <c r="T1314" s="92"/>
      <c r="U1314" s="1214"/>
      <c r="V1314" s="1215"/>
      <c r="W1314" s="168"/>
      <c r="X1314" s="170"/>
    </row>
    <row r="1315" spans="1:24" ht="12.75" customHeight="1">
      <c r="A1315" s="15"/>
      <c r="B1315" s="92" t="str">
        <f t="shared" si="303"/>
        <v/>
      </c>
      <c r="C1315" s="90"/>
      <c r="D1315" s="87"/>
      <c r="E1315" s="88"/>
      <c r="F1315" s="173"/>
      <c r="G1315" s="88"/>
      <c r="H1315" s="88"/>
      <c r="I1315" s="323" t="str">
        <f t="shared" si="304"/>
        <v/>
      </c>
      <c r="J1315" s="323" t="str">
        <f t="shared" si="305"/>
        <v/>
      </c>
      <c r="K1315" s="324" t="str">
        <f t="shared" si="306"/>
        <v/>
      </c>
      <c r="L1315" s="88"/>
      <c r="M1315" s="88"/>
      <c r="N1315" s="88"/>
      <c r="O1315" s="88"/>
      <c r="P1315" s="88"/>
      <c r="Q1315" s="88"/>
      <c r="R1315" s="88"/>
      <c r="S1315" s="620"/>
      <c r="T1315" s="92"/>
      <c r="U1315" s="1214"/>
      <c r="V1315" s="1215"/>
      <c r="W1315" s="168"/>
      <c r="X1315" s="170"/>
    </row>
    <row r="1316" spans="1:24" ht="12.75" customHeight="1">
      <c r="A1316" s="15"/>
      <c r="B1316" s="92" t="str">
        <f t="shared" si="303"/>
        <v/>
      </c>
      <c r="C1316" s="90"/>
      <c r="D1316" s="87"/>
      <c r="E1316" s="88"/>
      <c r="F1316" s="173"/>
      <c r="G1316" s="88"/>
      <c r="H1316" s="88"/>
      <c r="I1316" s="323" t="str">
        <f t="shared" si="304"/>
        <v/>
      </c>
      <c r="J1316" s="323" t="str">
        <f t="shared" si="305"/>
        <v/>
      </c>
      <c r="K1316" s="324" t="str">
        <f t="shared" si="306"/>
        <v/>
      </c>
      <c r="L1316" s="88"/>
      <c r="M1316" s="88"/>
      <c r="N1316" s="88"/>
      <c r="O1316" s="88"/>
      <c r="P1316" s="88"/>
      <c r="Q1316" s="88"/>
      <c r="R1316" s="88"/>
      <c r="S1316" s="620"/>
      <c r="T1316" s="92"/>
      <c r="U1316" s="1214"/>
      <c r="V1316" s="1215"/>
      <c r="W1316" s="168"/>
      <c r="X1316" s="170"/>
    </row>
    <row r="1317" spans="1:24" ht="12.75" customHeight="1">
      <c r="A1317" s="15"/>
      <c r="B1317" s="92" t="str">
        <f t="shared" si="303"/>
        <v/>
      </c>
      <c r="C1317" s="90"/>
      <c r="D1317" s="87"/>
      <c r="E1317" s="88"/>
      <c r="F1317" s="173"/>
      <c r="G1317" s="88"/>
      <c r="H1317" s="88"/>
      <c r="I1317" s="323" t="str">
        <f t="shared" si="304"/>
        <v/>
      </c>
      <c r="J1317" s="323" t="str">
        <f t="shared" si="305"/>
        <v/>
      </c>
      <c r="K1317" s="324" t="str">
        <f t="shared" si="306"/>
        <v/>
      </c>
      <c r="L1317" s="88"/>
      <c r="M1317" s="88"/>
      <c r="N1317" s="88"/>
      <c r="O1317" s="88"/>
      <c r="P1317" s="88"/>
      <c r="Q1317" s="88"/>
      <c r="R1317" s="88"/>
      <c r="S1317" s="620"/>
      <c r="T1317" s="92"/>
      <c r="U1317" s="1214"/>
      <c r="V1317" s="1215"/>
      <c r="W1317" s="168"/>
      <c r="X1317" s="170"/>
    </row>
    <row r="1318" spans="1:24" ht="12.75" customHeight="1">
      <c r="A1318" s="15"/>
      <c r="B1318" s="92" t="str">
        <f t="shared" si="303"/>
        <v/>
      </c>
      <c r="C1318" s="90"/>
      <c r="D1318" s="87"/>
      <c r="E1318" s="88"/>
      <c r="F1318" s="173"/>
      <c r="G1318" s="88"/>
      <c r="H1318" s="88"/>
      <c r="I1318" s="323" t="str">
        <f t="shared" si="304"/>
        <v/>
      </c>
      <c r="J1318" s="323" t="str">
        <f t="shared" si="305"/>
        <v/>
      </c>
      <c r="K1318" s="324" t="str">
        <f t="shared" si="306"/>
        <v/>
      </c>
      <c r="L1318" s="88"/>
      <c r="M1318" s="88"/>
      <c r="N1318" s="88"/>
      <c r="O1318" s="88"/>
      <c r="P1318" s="88"/>
      <c r="Q1318" s="88"/>
      <c r="R1318" s="88"/>
      <c r="S1318" s="620"/>
      <c r="T1318" s="92"/>
      <c r="U1318" s="1214"/>
      <c r="V1318" s="1215"/>
      <c r="W1318" s="168"/>
      <c r="X1318" s="170"/>
    </row>
    <row r="1319" spans="1:24" ht="12.75" customHeight="1">
      <c r="A1319" s="15"/>
      <c r="B1319" s="92" t="str">
        <f t="shared" si="303"/>
        <v/>
      </c>
      <c r="C1319" s="90"/>
      <c r="D1319" s="87"/>
      <c r="E1319" s="88"/>
      <c r="F1319" s="173"/>
      <c r="G1319" s="88"/>
      <c r="H1319" s="88"/>
      <c r="I1319" s="323" t="str">
        <f t="shared" si="304"/>
        <v/>
      </c>
      <c r="J1319" s="323" t="str">
        <f t="shared" si="305"/>
        <v/>
      </c>
      <c r="K1319" s="324" t="str">
        <f t="shared" si="306"/>
        <v/>
      </c>
      <c r="L1319" s="88"/>
      <c r="M1319" s="88"/>
      <c r="N1319" s="88"/>
      <c r="O1319" s="88"/>
      <c r="P1319" s="88"/>
      <c r="Q1319" s="88"/>
      <c r="R1319" s="88"/>
      <c r="S1319" s="620"/>
      <c r="T1319" s="92"/>
      <c r="U1319" s="1214"/>
      <c r="V1319" s="1215"/>
      <c r="W1319" s="168"/>
      <c r="X1319" s="170"/>
    </row>
    <row r="1320" spans="1:24" ht="12.75" customHeight="1">
      <c r="A1320" s="15"/>
      <c r="B1320" s="92" t="str">
        <f t="shared" si="303"/>
        <v/>
      </c>
      <c r="C1320" s="90"/>
      <c r="D1320" s="87"/>
      <c r="E1320" s="88"/>
      <c r="F1320" s="173"/>
      <c r="G1320" s="88"/>
      <c r="H1320" s="88"/>
      <c r="I1320" s="323" t="str">
        <f t="shared" si="304"/>
        <v/>
      </c>
      <c r="J1320" s="323" t="str">
        <f t="shared" si="305"/>
        <v/>
      </c>
      <c r="K1320" s="324" t="str">
        <f t="shared" si="306"/>
        <v/>
      </c>
      <c r="L1320" s="88"/>
      <c r="M1320" s="88"/>
      <c r="N1320" s="88"/>
      <c r="O1320" s="88"/>
      <c r="P1320" s="88"/>
      <c r="Q1320" s="88"/>
      <c r="R1320" s="88"/>
      <c r="S1320" s="620"/>
      <c r="T1320" s="92"/>
      <c r="U1320" s="1214"/>
      <c r="V1320" s="1215"/>
      <c r="W1320" s="168"/>
      <c r="X1320" s="170"/>
    </row>
    <row r="1321" spans="1:24" ht="12.75" customHeight="1">
      <c r="A1321" s="15"/>
      <c r="B1321" s="92" t="str">
        <f t="shared" si="303"/>
        <v/>
      </c>
      <c r="C1321" s="90"/>
      <c r="D1321" s="87"/>
      <c r="E1321" s="88"/>
      <c r="F1321" s="173"/>
      <c r="G1321" s="88"/>
      <c r="H1321" s="88"/>
      <c r="I1321" s="323" t="str">
        <f t="shared" si="304"/>
        <v/>
      </c>
      <c r="J1321" s="323" t="str">
        <f t="shared" si="305"/>
        <v/>
      </c>
      <c r="K1321" s="324" t="str">
        <f t="shared" si="306"/>
        <v/>
      </c>
      <c r="L1321" s="88"/>
      <c r="M1321" s="88"/>
      <c r="N1321" s="88"/>
      <c r="O1321" s="88"/>
      <c r="P1321" s="88"/>
      <c r="Q1321" s="88"/>
      <c r="R1321" s="88"/>
      <c r="S1321" s="620"/>
      <c r="T1321" s="92"/>
      <c r="U1321" s="1214"/>
      <c r="V1321" s="1215"/>
      <c r="W1321" s="168"/>
      <c r="X1321" s="170"/>
    </row>
    <row r="1322" spans="1:24" ht="12.75" customHeight="1">
      <c r="A1322" s="15"/>
      <c r="B1322" s="92" t="str">
        <f t="shared" si="303"/>
        <v/>
      </c>
      <c r="C1322" s="90"/>
      <c r="D1322" s="87"/>
      <c r="E1322" s="88"/>
      <c r="F1322" s="173"/>
      <c r="G1322" s="88"/>
      <c r="H1322" s="88"/>
      <c r="I1322" s="323" t="str">
        <f t="shared" si="304"/>
        <v/>
      </c>
      <c r="J1322" s="323" t="str">
        <f t="shared" si="305"/>
        <v/>
      </c>
      <c r="K1322" s="324" t="str">
        <f t="shared" si="306"/>
        <v/>
      </c>
      <c r="L1322" s="88"/>
      <c r="M1322" s="88"/>
      <c r="N1322" s="88"/>
      <c r="O1322" s="88"/>
      <c r="P1322" s="88"/>
      <c r="Q1322" s="88"/>
      <c r="R1322" s="88"/>
      <c r="S1322" s="620"/>
      <c r="T1322" s="92"/>
      <c r="U1322" s="1214"/>
      <c r="V1322" s="1215"/>
      <c r="W1322" s="168"/>
      <c r="X1322" s="170"/>
    </row>
    <row r="1323" spans="1:24" ht="12.75" customHeight="1">
      <c r="A1323" s="15"/>
      <c r="B1323" s="92" t="str">
        <f t="shared" si="303"/>
        <v/>
      </c>
      <c r="C1323" s="90"/>
      <c r="D1323" s="87"/>
      <c r="E1323" s="88"/>
      <c r="F1323" s="173"/>
      <c r="G1323" s="88"/>
      <c r="H1323" s="88"/>
      <c r="I1323" s="323" t="str">
        <f t="shared" si="304"/>
        <v/>
      </c>
      <c r="J1323" s="323" t="str">
        <f t="shared" si="305"/>
        <v/>
      </c>
      <c r="K1323" s="324" t="str">
        <f t="shared" si="306"/>
        <v/>
      </c>
      <c r="L1323" s="88"/>
      <c r="M1323" s="88"/>
      <c r="N1323" s="88"/>
      <c r="O1323" s="88"/>
      <c r="P1323" s="88"/>
      <c r="Q1323" s="88"/>
      <c r="R1323" s="88"/>
      <c r="S1323" s="620"/>
      <c r="T1323" s="92"/>
      <c r="U1323" s="1214"/>
      <c r="V1323" s="1215"/>
      <c r="W1323" s="168"/>
      <c r="X1323" s="170"/>
    </row>
    <row r="1324" spans="1:24" ht="12.75" customHeight="1">
      <c r="A1324" s="15"/>
      <c r="B1324" s="92" t="str">
        <f t="shared" si="303"/>
        <v/>
      </c>
      <c r="C1324" s="90"/>
      <c r="D1324" s="87"/>
      <c r="E1324" s="88"/>
      <c r="F1324" s="173"/>
      <c r="G1324" s="88"/>
      <c r="H1324" s="88"/>
      <c r="I1324" s="323" t="str">
        <f t="shared" si="304"/>
        <v/>
      </c>
      <c r="J1324" s="323" t="str">
        <f t="shared" si="305"/>
        <v/>
      </c>
      <c r="K1324" s="324" t="str">
        <f t="shared" si="306"/>
        <v/>
      </c>
      <c r="L1324" s="88"/>
      <c r="M1324" s="88"/>
      <c r="N1324" s="88"/>
      <c r="O1324" s="88"/>
      <c r="P1324" s="88"/>
      <c r="Q1324" s="88"/>
      <c r="R1324" s="88"/>
      <c r="S1324" s="620"/>
      <c r="T1324" s="92"/>
      <c r="U1324" s="1214"/>
      <c r="V1324" s="1215"/>
      <c r="W1324" s="168"/>
      <c r="X1324" s="170"/>
    </row>
    <row r="1325" spans="1:24" ht="12.75" customHeight="1">
      <c r="A1325" s="15"/>
      <c r="B1325" s="92" t="str">
        <f t="shared" si="303"/>
        <v/>
      </c>
      <c r="C1325" s="90"/>
      <c r="D1325" s="87"/>
      <c r="E1325" s="88"/>
      <c r="F1325" s="173"/>
      <c r="G1325" s="88"/>
      <c r="H1325" s="88"/>
      <c r="I1325" s="323" t="str">
        <f t="shared" si="304"/>
        <v/>
      </c>
      <c r="J1325" s="323" t="str">
        <f t="shared" si="305"/>
        <v/>
      </c>
      <c r="K1325" s="324" t="str">
        <f t="shared" si="306"/>
        <v/>
      </c>
      <c r="L1325" s="88"/>
      <c r="M1325" s="88"/>
      <c r="N1325" s="88"/>
      <c r="O1325" s="88"/>
      <c r="P1325" s="88"/>
      <c r="Q1325" s="88"/>
      <c r="R1325" s="88"/>
      <c r="S1325" s="620"/>
      <c r="T1325" s="92"/>
      <c r="U1325" s="1214"/>
      <c r="V1325" s="1215"/>
      <c r="W1325" s="168"/>
      <c r="X1325" s="170"/>
    </row>
    <row r="1326" spans="1:24" ht="12.75" customHeight="1">
      <c r="A1326" s="15"/>
      <c r="B1326" s="92" t="str">
        <f t="shared" si="303"/>
        <v/>
      </c>
      <c r="C1326" s="90"/>
      <c r="D1326" s="87"/>
      <c r="E1326" s="88"/>
      <c r="F1326" s="173"/>
      <c r="G1326" s="88"/>
      <c r="H1326" s="88"/>
      <c r="I1326" s="323" t="str">
        <f t="shared" si="304"/>
        <v/>
      </c>
      <c r="J1326" s="323" t="str">
        <f t="shared" si="305"/>
        <v/>
      </c>
      <c r="K1326" s="324" t="str">
        <f t="shared" si="306"/>
        <v/>
      </c>
      <c r="L1326" s="88"/>
      <c r="M1326" s="88"/>
      <c r="N1326" s="88"/>
      <c r="O1326" s="88"/>
      <c r="P1326" s="88"/>
      <c r="Q1326" s="88"/>
      <c r="R1326" s="88"/>
      <c r="S1326" s="620"/>
      <c r="T1326" s="92"/>
      <c r="U1326" s="1214"/>
      <c r="V1326" s="1215"/>
      <c r="W1326" s="168"/>
      <c r="X1326" s="170"/>
    </row>
    <row r="1327" spans="1:24" ht="12.75" customHeight="1">
      <c r="A1327" s="15"/>
      <c r="B1327" s="92" t="str">
        <f t="shared" ref="B1327:B1390" si="307">IF(C1327="","",ROW()-5)</f>
        <v/>
      </c>
      <c r="C1327" s="90"/>
      <c r="D1327" s="87"/>
      <c r="E1327" s="88"/>
      <c r="F1327" s="173"/>
      <c r="G1327" s="88"/>
      <c r="H1327" s="88"/>
      <c r="I1327" s="323" t="str">
        <f t="shared" si="304"/>
        <v/>
      </c>
      <c r="J1327" s="323" t="str">
        <f t="shared" si="305"/>
        <v/>
      </c>
      <c r="K1327" s="324" t="str">
        <f t="shared" si="306"/>
        <v/>
      </c>
      <c r="L1327" s="88"/>
      <c r="M1327" s="88"/>
      <c r="N1327" s="88"/>
      <c r="O1327" s="88"/>
      <c r="P1327" s="88"/>
      <c r="Q1327" s="88"/>
      <c r="R1327" s="88"/>
      <c r="S1327" s="620"/>
      <c r="T1327" s="92"/>
      <c r="U1327" s="1214"/>
      <c r="V1327" s="1215"/>
      <c r="W1327" s="168"/>
      <c r="X1327" s="170"/>
    </row>
    <row r="1328" spans="1:24" ht="12.75" customHeight="1">
      <c r="A1328" s="15"/>
      <c r="B1328" s="92" t="str">
        <f t="shared" si="307"/>
        <v/>
      </c>
      <c r="C1328" s="90"/>
      <c r="D1328" s="87"/>
      <c r="E1328" s="88"/>
      <c r="F1328" s="173"/>
      <c r="G1328" s="88"/>
      <c r="H1328" s="88"/>
      <c r="I1328" s="323" t="str">
        <f t="shared" si="304"/>
        <v/>
      </c>
      <c r="J1328" s="323" t="str">
        <f t="shared" si="305"/>
        <v/>
      </c>
      <c r="K1328" s="324" t="str">
        <f t="shared" si="306"/>
        <v/>
      </c>
      <c r="L1328" s="88"/>
      <c r="M1328" s="88"/>
      <c r="N1328" s="88"/>
      <c r="O1328" s="88"/>
      <c r="P1328" s="88"/>
      <c r="Q1328" s="88"/>
      <c r="R1328" s="88"/>
      <c r="S1328" s="620"/>
      <c r="T1328" s="92"/>
      <c r="U1328" s="1214"/>
      <c r="V1328" s="1215"/>
      <c r="W1328" s="168"/>
      <c r="X1328" s="170"/>
    </row>
    <row r="1329" spans="1:24" ht="12.75" customHeight="1">
      <c r="A1329" s="15"/>
      <c r="B1329" s="92" t="str">
        <f t="shared" si="307"/>
        <v/>
      </c>
      <c r="C1329" s="90"/>
      <c r="D1329" s="87"/>
      <c r="E1329" s="88"/>
      <c r="F1329" s="173"/>
      <c r="G1329" s="88"/>
      <c r="H1329" s="88"/>
      <c r="I1329" s="323" t="str">
        <f t="shared" si="304"/>
        <v/>
      </c>
      <c r="J1329" s="323" t="str">
        <f t="shared" si="305"/>
        <v/>
      </c>
      <c r="K1329" s="324" t="str">
        <f t="shared" si="306"/>
        <v/>
      </c>
      <c r="L1329" s="88"/>
      <c r="M1329" s="88"/>
      <c r="N1329" s="88"/>
      <c r="O1329" s="88"/>
      <c r="P1329" s="88"/>
      <c r="Q1329" s="88"/>
      <c r="R1329" s="88"/>
      <c r="S1329" s="620"/>
      <c r="T1329" s="92"/>
      <c r="U1329" s="1214"/>
      <c r="V1329" s="1215"/>
      <c r="W1329" s="168"/>
      <c r="X1329" s="170"/>
    </row>
    <row r="1330" spans="1:24" ht="12.75" customHeight="1">
      <c r="A1330" s="15"/>
      <c r="B1330" s="92" t="str">
        <f t="shared" si="307"/>
        <v/>
      </c>
      <c r="C1330" s="90"/>
      <c r="D1330" s="87"/>
      <c r="E1330" s="88"/>
      <c r="F1330" s="173"/>
      <c r="G1330" s="88"/>
      <c r="H1330" s="88"/>
      <c r="I1330" s="323" t="str">
        <f t="shared" si="304"/>
        <v/>
      </c>
      <c r="J1330" s="323" t="str">
        <f t="shared" si="305"/>
        <v/>
      </c>
      <c r="K1330" s="324" t="str">
        <f t="shared" si="306"/>
        <v/>
      </c>
      <c r="L1330" s="88"/>
      <c r="M1330" s="88"/>
      <c r="N1330" s="88"/>
      <c r="O1330" s="88"/>
      <c r="P1330" s="88"/>
      <c r="Q1330" s="88"/>
      <c r="R1330" s="88"/>
      <c r="S1330" s="620"/>
      <c r="T1330" s="92"/>
      <c r="U1330" s="1214"/>
      <c r="V1330" s="1215"/>
      <c r="W1330" s="168"/>
      <c r="X1330" s="170"/>
    </row>
    <row r="1331" spans="1:24" ht="12.75" customHeight="1">
      <c r="A1331" s="15"/>
      <c r="B1331" s="92" t="str">
        <f t="shared" si="307"/>
        <v/>
      </c>
      <c r="C1331" s="90"/>
      <c r="D1331" s="87"/>
      <c r="E1331" s="88"/>
      <c r="F1331" s="173"/>
      <c r="G1331" s="88"/>
      <c r="H1331" s="88"/>
      <c r="I1331" s="323" t="str">
        <f t="shared" si="304"/>
        <v/>
      </c>
      <c r="J1331" s="323" t="str">
        <f t="shared" si="305"/>
        <v/>
      </c>
      <c r="K1331" s="324" t="str">
        <f t="shared" si="306"/>
        <v/>
      </c>
      <c r="L1331" s="88"/>
      <c r="M1331" s="88"/>
      <c r="N1331" s="88"/>
      <c r="O1331" s="88"/>
      <c r="P1331" s="88"/>
      <c r="Q1331" s="88"/>
      <c r="R1331" s="88"/>
      <c r="S1331" s="620"/>
      <c r="T1331" s="92"/>
      <c r="U1331" s="1214"/>
      <c r="V1331" s="1215"/>
      <c r="W1331" s="168"/>
      <c r="X1331" s="170"/>
    </row>
    <row r="1332" spans="1:24" ht="12.75" customHeight="1">
      <c r="A1332" s="15"/>
      <c r="B1332" s="92" t="str">
        <f t="shared" si="307"/>
        <v/>
      </c>
      <c r="C1332" s="90"/>
      <c r="D1332" s="87"/>
      <c r="E1332" s="88"/>
      <c r="F1332" s="173"/>
      <c r="G1332" s="88"/>
      <c r="H1332" s="88"/>
      <c r="I1332" s="323" t="str">
        <f t="shared" si="304"/>
        <v/>
      </c>
      <c r="J1332" s="323" t="str">
        <f t="shared" si="305"/>
        <v/>
      </c>
      <c r="K1332" s="324" t="str">
        <f t="shared" si="306"/>
        <v/>
      </c>
      <c r="L1332" s="88"/>
      <c r="M1332" s="88"/>
      <c r="N1332" s="88"/>
      <c r="O1332" s="88"/>
      <c r="P1332" s="88"/>
      <c r="Q1332" s="88"/>
      <c r="R1332" s="88"/>
      <c r="S1332" s="620"/>
      <c r="T1332" s="92"/>
      <c r="U1332" s="1214"/>
      <c r="V1332" s="1215"/>
      <c r="W1332" s="168"/>
      <c r="X1332" s="170"/>
    </row>
    <row r="1333" spans="1:24" ht="12.75" customHeight="1">
      <c r="A1333" s="15"/>
      <c r="B1333" s="92" t="str">
        <f t="shared" si="307"/>
        <v/>
      </c>
      <c r="C1333" s="90"/>
      <c r="D1333" s="87"/>
      <c r="E1333" s="88"/>
      <c r="F1333" s="173"/>
      <c r="G1333" s="88"/>
      <c r="H1333" s="88"/>
      <c r="I1333" s="323" t="str">
        <f t="shared" si="304"/>
        <v/>
      </c>
      <c r="J1333" s="323" t="str">
        <f t="shared" si="305"/>
        <v/>
      </c>
      <c r="K1333" s="324" t="str">
        <f t="shared" si="306"/>
        <v/>
      </c>
      <c r="L1333" s="88"/>
      <c r="M1333" s="88"/>
      <c r="N1333" s="88"/>
      <c r="O1333" s="88"/>
      <c r="P1333" s="88"/>
      <c r="Q1333" s="88"/>
      <c r="R1333" s="88"/>
      <c r="S1333" s="620"/>
      <c r="T1333" s="92"/>
      <c r="U1333" s="1214"/>
      <c r="V1333" s="1215"/>
      <c r="W1333" s="168"/>
      <c r="X1333" s="170"/>
    </row>
    <row r="1334" spans="1:24" ht="12.75" customHeight="1">
      <c r="A1334" s="15"/>
      <c r="B1334" s="92" t="str">
        <f t="shared" si="307"/>
        <v/>
      </c>
      <c r="C1334" s="90"/>
      <c r="D1334" s="87"/>
      <c r="E1334" s="88"/>
      <c r="F1334" s="173"/>
      <c r="G1334" s="88"/>
      <c r="H1334" s="88"/>
      <c r="I1334" s="323" t="str">
        <f t="shared" si="304"/>
        <v/>
      </c>
      <c r="J1334" s="323" t="str">
        <f t="shared" si="305"/>
        <v/>
      </c>
      <c r="K1334" s="324" t="str">
        <f t="shared" si="306"/>
        <v/>
      </c>
      <c r="L1334" s="88"/>
      <c r="M1334" s="88"/>
      <c r="N1334" s="88"/>
      <c r="O1334" s="88"/>
      <c r="P1334" s="88"/>
      <c r="Q1334" s="88"/>
      <c r="R1334" s="88"/>
      <c r="S1334" s="620"/>
      <c r="T1334" s="92"/>
      <c r="U1334" s="1214"/>
      <c r="V1334" s="1215"/>
      <c r="W1334" s="168"/>
      <c r="X1334" s="170"/>
    </row>
    <row r="1335" spans="1:24" ht="12.75" customHeight="1">
      <c r="A1335" s="15"/>
      <c r="B1335" s="92" t="str">
        <f t="shared" si="307"/>
        <v/>
      </c>
      <c r="C1335" s="90"/>
      <c r="D1335" s="87"/>
      <c r="E1335" s="88"/>
      <c r="F1335" s="173"/>
      <c r="G1335" s="88"/>
      <c r="H1335" s="88"/>
      <c r="I1335" s="323" t="str">
        <f t="shared" si="304"/>
        <v/>
      </c>
      <c r="J1335" s="323" t="str">
        <f t="shared" si="305"/>
        <v/>
      </c>
      <c r="K1335" s="324" t="str">
        <f t="shared" si="306"/>
        <v/>
      </c>
      <c r="L1335" s="88"/>
      <c r="M1335" s="88"/>
      <c r="N1335" s="88"/>
      <c r="O1335" s="88"/>
      <c r="P1335" s="88"/>
      <c r="Q1335" s="88"/>
      <c r="R1335" s="88"/>
      <c r="S1335" s="620"/>
      <c r="T1335" s="92"/>
      <c r="U1335" s="1214"/>
      <c r="V1335" s="1215"/>
      <c r="W1335" s="168"/>
      <c r="X1335" s="170"/>
    </row>
    <row r="1336" spans="1:24" ht="12.75" customHeight="1">
      <c r="A1336" s="15"/>
      <c r="B1336" s="92" t="str">
        <f t="shared" si="307"/>
        <v/>
      </c>
      <c r="C1336" s="90"/>
      <c r="D1336" s="87"/>
      <c r="E1336" s="88"/>
      <c r="F1336" s="173"/>
      <c r="G1336" s="88"/>
      <c r="H1336" s="88"/>
      <c r="I1336" s="323" t="str">
        <f t="shared" si="304"/>
        <v/>
      </c>
      <c r="J1336" s="323" t="str">
        <f t="shared" si="305"/>
        <v/>
      </c>
      <c r="K1336" s="324" t="str">
        <f t="shared" si="306"/>
        <v/>
      </c>
      <c r="L1336" s="88"/>
      <c r="M1336" s="88"/>
      <c r="N1336" s="88"/>
      <c r="O1336" s="88"/>
      <c r="P1336" s="88"/>
      <c r="Q1336" s="88"/>
      <c r="R1336" s="88"/>
      <c r="S1336" s="620"/>
      <c r="T1336" s="92"/>
      <c r="U1336" s="1214"/>
      <c r="V1336" s="1215"/>
      <c r="W1336" s="168"/>
      <c r="X1336" s="170"/>
    </row>
    <row r="1337" spans="1:24" ht="12.75" customHeight="1">
      <c r="A1337" s="15"/>
      <c r="B1337" s="92" t="str">
        <f t="shared" si="307"/>
        <v/>
      </c>
      <c r="C1337" s="90"/>
      <c r="D1337" s="87"/>
      <c r="E1337" s="88"/>
      <c r="F1337" s="173"/>
      <c r="G1337" s="88"/>
      <c r="H1337" s="88"/>
      <c r="I1337" s="323" t="str">
        <f t="shared" si="304"/>
        <v/>
      </c>
      <c r="J1337" s="323" t="str">
        <f t="shared" si="305"/>
        <v/>
      </c>
      <c r="K1337" s="324" t="str">
        <f t="shared" si="306"/>
        <v/>
      </c>
      <c r="L1337" s="88"/>
      <c r="M1337" s="88"/>
      <c r="N1337" s="88"/>
      <c r="O1337" s="88"/>
      <c r="P1337" s="88"/>
      <c r="Q1337" s="88"/>
      <c r="R1337" s="88"/>
      <c r="S1337" s="620"/>
      <c r="T1337" s="92"/>
      <c r="U1337" s="1214"/>
      <c r="V1337" s="1215"/>
      <c r="W1337" s="168"/>
      <c r="X1337" s="170"/>
    </row>
    <row r="1338" spans="1:24" ht="12.75" customHeight="1">
      <c r="A1338" s="15"/>
      <c r="B1338" s="92" t="str">
        <f t="shared" si="307"/>
        <v/>
      </c>
      <c r="C1338" s="90"/>
      <c r="D1338" s="87"/>
      <c r="E1338" s="88"/>
      <c r="F1338" s="173"/>
      <c r="G1338" s="88"/>
      <c r="H1338" s="88"/>
      <c r="I1338" s="323" t="str">
        <f t="shared" si="304"/>
        <v/>
      </c>
      <c r="J1338" s="323" t="str">
        <f t="shared" si="305"/>
        <v/>
      </c>
      <c r="K1338" s="324" t="str">
        <f t="shared" si="306"/>
        <v/>
      </c>
      <c r="L1338" s="88"/>
      <c r="M1338" s="88"/>
      <c r="N1338" s="88"/>
      <c r="O1338" s="88"/>
      <c r="P1338" s="88"/>
      <c r="Q1338" s="88"/>
      <c r="R1338" s="88"/>
      <c r="S1338" s="620"/>
      <c r="T1338" s="92"/>
      <c r="U1338" s="1214"/>
      <c r="V1338" s="1215"/>
      <c r="W1338" s="168"/>
      <c r="X1338" s="170"/>
    </row>
    <row r="1339" spans="1:24" ht="12.75" customHeight="1">
      <c r="A1339" s="15"/>
      <c r="B1339" s="92" t="str">
        <f t="shared" si="307"/>
        <v/>
      </c>
      <c r="C1339" s="90"/>
      <c r="D1339" s="87"/>
      <c r="E1339" s="88"/>
      <c r="F1339" s="173"/>
      <c r="G1339" s="88"/>
      <c r="H1339" s="88"/>
      <c r="I1339" s="323" t="str">
        <f t="shared" si="304"/>
        <v/>
      </c>
      <c r="J1339" s="323" t="str">
        <f t="shared" si="305"/>
        <v/>
      </c>
      <c r="K1339" s="324" t="str">
        <f t="shared" si="306"/>
        <v/>
      </c>
      <c r="L1339" s="88"/>
      <c r="M1339" s="88"/>
      <c r="N1339" s="88"/>
      <c r="O1339" s="88"/>
      <c r="P1339" s="88"/>
      <c r="Q1339" s="88"/>
      <c r="R1339" s="88"/>
      <c r="S1339" s="620"/>
      <c r="T1339" s="92"/>
      <c r="U1339" s="1214"/>
      <c r="V1339" s="1215"/>
      <c r="W1339" s="168"/>
      <c r="X1339" s="170"/>
    </row>
    <row r="1340" spans="1:24" ht="12.75" customHeight="1">
      <c r="A1340" s="15"/>
      <c r="B1340" s="92" t="str">
        <f t="shared" si="307"/>
        <v/>
      </c>
      <c r="C1340" s="90"/>
      <c r="D1340" s="87"/>
      <c r="E1340" s="88"/>
      <c r="F1340" s="173"/>
      <c r="G1340" s="88"/>
      <c r="H1340" s="88"/>
      <c r="I1340" s="323" t="str">
        <f t="shared" si="304"/>
        <v/>
      </c>
      <c r="J1340" s="323" t="str">
        <f t="shared" si="305"/>
        <v/>
      </c>
      <c r="K1340" s="324" t="str">
        <f t="shared" si="306"/>
        <v/>
      </c>
      <c r="L1340" s="88"/>
      <c r="M1340" s="88"/>
      <c r="N1340" s="88"/>
      <c r="O1340" s="88"/>
      <c r="P1340" s="88"/>
      <c r="Q1340" s="88"/>
      <c r="R1340" s="88"/>
      <c r="S1340" s="620"/>
      <c r="T1340" s="92"/>
      <c r="U1340" s="1214"/>
      <c r="V1340" s="1215"/>
      <c r="W1340" s="168"/>
      <c r="X1340" s="170"/>
    </row>
    <row r="1341" spans="1:24" ht="12.75" customHeight="1">
      <c r="A1341" s="15"/>
      <c r="B1341" s="92" t="str">
        <f t="shared" si="307"/>
        <v/>
      </c>
      <c r="C1341" s="90"/>
      <c r="D1341" s="87"/>
      <c r="E1341" s="88"/>
      <c r="F1341" s="173"/>
      <c r="G1341" s="88"/>
      <c r="H1341" s="88"/>
      <c r="I1341" s="323" t="str">
        <f t="shared" si="304"/>
        <v/>
      </c>
      <c r="J1341" s="323" t="str">
        <f t="shared" si="305"/>
        <v/>
      </c>
      <c r="K1341" s="324" t="str">
        <f t="shared" si="306"/>
        <v/>
      </c>
      <c r="L1341" s="88"/>
      <c r="M1341" s="88"/>
      <c r="N1341" s="88"/>
      <c r="O1341" s="88"/>
      <c r="P1341" s="88"/>
      <c r="Q1341" s="88"/>
      <c r="R1341" s="88"/>
      <c r="S1341" s="620"/>
      <c r="T1341" s="92"/>
      <c r="U1341" s="1214"/>
      <c r="V1341" s="1215"/>
      <c r="W1341" s="168"/>
      <c r="X1341" s="170"/>
    </row>
    <row r="1342" spans="1:24" ht="12.75" customHeight="1">
      <c r="A1342" s="15"/>
      <c r="B1342" s="92" t="str">
        <f t="shared" si="307"/>
        <v/>
      </c>
      <c r="C1342" s="90"/>
      <c r="D1342" s="87"/>
      <c r="E1342" s="88"/>
      <c r="F1342" s="173"/>
      <c r="G1342" s="88"/>
      <c r="H1342" s="88"/>
      <c r="I1342" s="323" t="str">
        <f t="shared" si="304"/>
        <v/>
      </c>
      <c r="J1342" s="323" t="str">
        <f t="shared" si="305"/>
        <v/>
      </c>
      <c r="K1342" s="324" t="str">
        <f t="shared" si="306"/>
        <v/>
      </c>
      <c r="L1342" s="88"/>
      <c r="M1342" s="88"/>
      <c r="N1342" s="88"/>
      <c r="O1342" s="88"/>
      <c r="P1342" s="88"/>
      <c r="Q1342" s="88"/>
      <c r="R1342" s="88"/>
      <c r="S1342" s="620"/>
      <c r="T1342" s="92"/>
      <c r="U1342" s="1214"/>
      <c r="V1342" s="1215"/>
      <c r="W1342" s="168"/>
      <c r="X1342" s="170"/>
    </row>
    <row r="1343" spans="1:24" ht="12.75" customHeight="1">
      <c r="A1343" s="15"/>
      <c r="B1343" s="92" t="str">
        <f t="shared" si="307"/>
        <v/>
      </c>
      <c r="C1343" s="90"/>
      <c r="D1343" s="87"/>
      <c r="E1343" s="88"/>
      <c r="F1343" s="173"/>
      <c r="G1343" s="88"/>
      <c r="H1343" s="88"/>
      <c r="I1343" s="323" t="str">
        <f t="shared" ref="I1343:I1406" si="308">+IF(G1343="","",G1343*H1343)</f>
        <v/>
      </c>
      <c r="J1343" s="323" t="str">
        <f t="shared" ref="J1343:J1406" si="309">+IF(G1343="","",I1343*0.1)</f>
        <v/>
      </c>
      <c r="K1343" s="324" t="str">
        <f t="shared" ref="K1343:K1406" si="310">+IF(G1343="","",I1343+J1343)</f>
        <v/>
      </c>
      <c r="L1343" s="88"/>
      <c r="M1343" s="88"/>
      <c r="N1343" s="88"/>
      <c r="O1343" s="88"/>
      <c r="P1343" s="88"/>
      <c r="Q1343" s="88"/>
      <c r="R1343" s="88"/>
      <c r="S1343" s="620"/>
      <c r="T1343" s="92"/>
      <c r="U1343" s="1214"/>
      <c r="V1343" s="1215"/>
      <c r="W1343" s="168"/>
      <c r="X1343" s="170"/>
    </row>
    <row r="1344" spans="1:24" ht="12.75" customHeight="1">
      <c r="A1344" s="15"/>
      <c r="B1344" s="92" t="str">
        <f t="shared" si="307"/>
        <v/>
      </c>
      <c r="C1344" s="90"/>
      <c r="D1344" s="87"/>
      <c r="E1344" s="88"/>
      <c r="F1344" s="173"/>
      <c r="G1344" s="88"/>
      <c r="H1344" s="88"/>
      <c r="I1344" s="323" t="str">
        <f t="shared" si="308"/>
        <v/>
      </c>
      <c r="J1344" s="323" t="str">
        <f t="shared" si="309"/>
        <v/>
      </c>
      <c r="K1344" s="324" t="str">
        <f t="shared" si="310"/>
        <v/>
      </c>
      <c r="L1344" s="88"/>
      <c r="M1344" s="88"/>
      <c r="N1344" s="88"/>
      <c r="O1344" s="88"/>
      <c r="P1344" s="88"/>
      <c r="Q1344" s="88"/>
      <c r="R1344" s="88"/>
      <c r="S1344" s="620"/>
      <c r="T1344" s="92"/>
      <c r="U1344" s="1214"/>
      <c r="V1344" s="1215"/>
      <c r="W1344" s="168"/>
      <c r="X1344" s="170"/>
    </row>
    <row r="1345" spans="1:24" ht="12.75" customHeight="1">
      <c r="A1345" s="15"/>
      <c r="B1345" s="92" t="str">
        <f t="shared" si="307"/>
        <v/>
      </c>
      <c r="C1345" s="90"/>
      <c r="D1345" s="87"/>
      <c r="E1345" s="88"/>
      <c r="F1345" s="173"/>
      <c r="G1345" s="88"/>
      <c r="H1345" s="88"/>
      <c r="I1345" s="323" t="str">
        <f t="shared" si="308"/>
        <v/>
      </c>
      <c r="J1345" s="323" t="str">
        <f t="shared" si="309"/>
        <v/>
      </c>
      <c r="K1345" s="324" t="str">
        <f t="shared" si="310"/>
        <v/>
      </c>
      <c r="L1345" s="88"/>
      <c r="M1345" s="88"/>
      <c r="N1345" s="88"/>
      <c r="O1345" s="88"/>
      <c r="P1345" s="88"/>
      <c r="Q1345" s="88"/>
      <c r="R1345" s="88"/>
      <c r="S1345" s="620"/>
      <c r="T1345" s="92"/>
      <c r="U1345" s="1214"/>
      <c r="V1345" s="1215"/>
      <c r="W1345" s="168"/>
      <c r="X1345" s="170"/>
    </row>
    <row r="1346" spans="1:24" ht="12.75" customHeight="1">
      <c r="A1346" s="15"/>
      <c r="B1346" s="92" t="str">
        <f t="shared" si="307"/>
        <v/>
      </c>
      <c r="C1346" s="90"/>
      <c r="D1346" s="87"/>
      <c r="E1346" s="88"/>
      <c r="F1346" s="173"/>
      <c r="G1346" s="88"/>
      <c r="H1346" s="88"/>
      <c r="I1346" s="323" t="str">
        <f t="shared" si="308"/>
        <v/>
      </c>
      <c r="J1346" s="323" t="str">
        <f t="shared" si="309"/>
        <v/>
      </c>
      <c r="K1346" s="324" t="str">
        <f t="shared" si="310"/>
        <v/>
      </c>
      <c r="L1346" s="88"/>
      <c r="M1346" s="88"/>
      <c r="N1346" s="88"/>
      <c r="O1346" s="88"/>
      <c r="P1346" s="88"/>
      <c r="Q1346" s="88"/>
      <c r="R1346" s="88"/>
      <c r="S1346" s="620"/>
      <c r="T1346" s="92"/>
      <c r="U1346" s="1214"/>
      <c r="V1346" s="1215"/>
      <c r="W1346" s="168"/>
      <c r="X1346" s="170"/>
    </row>
    <row r="1347" spans="1:24" ht="12.75" customHeight="1">
      <c r="A1347" s="15"/>
      <c r="B1347" s="92" t="str">
        <f t="shared" si="307"/>
        <v/>
      </c>
      <c r="C1347" s="90"/>
      <c r="D1347" s="87"/>
      <c r="E1347" s="88"/>
      <c r="F1347" s="173"/>
      <c r="G1347" s="88"/>
      <c r="H1347" s="88"/>
      <c r="I1347" s="323" t="str">
        <f t="shared" si="308"/>
        <v/>
      </c>
      <c r="J1347" s="323" t="str">
        <f t="shared" si="309"/>
        <v/>
      </c>
      <c r="K1347" s="324" t="str">
        <f t="shared" si="310"/>
        <v/>
      </c>
      <c r="L1347" s="88"/>
      <c r="M1347" s="88"/>
      <c r="N1347" s="88"/>
      <c r="O1347" s="88"/>
      <c r="P1347" s="88"/>
      <c r="Q1347" s="88"/>
      <c r="R1347" s="88"/>
      <c r="S1347" s="620"/>
      <c r="T1347" s="92"/>
      <c r="U1347" s="1214"/>
      <c r="V1347" s="1215"/>
      <c r="W1347" s="168"/>
      <c r="X1347" s="170"/>
    </row>
    <row r="1348" spans="1:24" ht="12.75" customHeight="1">
      <c r="A1348" s="15"/>
      <c r="B1348" s="92" t="str">
        <f t="shared" si="307"/>
        <v/>
      </c>
      <c r="C1348" s="90"/>
      <c r="D1348" s="87"/>
      <c r="E1348" s="88"/>
      <c r="F1348" s="173"/>
      <c r="G1348" s="88"/>
      <c r="H1348" s="88"/>
      <c r="I1348" s="323" t="str">
        <f t="shared" si="308"/>
        <v/>
      </c>
      <c r="J1348" s="323" t="str">
        <f t="shared" si="309"/>
        <v/>
      </c>
      <c r="K1348" s="324" t="str">
        <f t="shared" si="310"/>
        <v/>
      </c>
      <c r="L1348" s="88"/>
      <c r="M1348" s="88"/>
      <c r="N1348" s="88"/>
      <c r="O1348" s="88"/>
      <c r="P1348" s="88"/>
      <c r="Q1348" s="88"/>
      <c r="R1348" s="88"/>
      <c r="S1348" s="620"/>
      <c r="T1348" s="92"/>
      <c r="U1348" s="1214"/>
      <c r="V1348" s="1215"/>
      <c r="W1348" s="168"/>
      <c r="X1348" s="170"/>
    </row>
    <row r="1349" spans="1:24" ht="12.75" customHeight="1">
      <c r="A1349" s="15"/>
      <c r="B1349" s="92" t="str">
        <f t="shared" si="307"/>
        <v/>
      </c>
      <c r="C1349" s="90"/>
      <c r="D1349" s="87"/>
      <c r="E1349" s="88"/>
      <c r="F1349" s="173"/>
      <c r="G1349" s="88"/>
      <c r="H1349" s="88"/>
      <c r="I1349" s="323" t="str">
        <f t="shared" si="308"/>
        <v/>
      </c>
      <c r="J1349" s="323" t="str">
        <f t="shared" si="309"/>
        <v/>
      </c>
      <c r="K1349" s="324" t="str">
        <f t="shared" si="310"/>
        <v/>
      </c>
      <c r="L1349" s="88"/>
      <c r="M1349" s="88"/>
      <c r="N1349" s="88"/>
      <c r="O1349" s="88"/>
      <c r="P1349" s="88"/>
      <c r="Q1349" s="88"/>
      <c r="R1349" s="88"/>
      <c r="S1349" s="620"/>
      <c r="T1349" s="92"/>
      <c r="U1349" s="1214"/>
      <c r="V1349" s="1215"/>
      <c r="W1349" s="168"/>
      <c r="X1349" s="170"/>
    </row>
    <row r="1350" spans="1:24" ht="12.75" customHeight="1">
      <c r="A1350" s="15"/>
      <c r="B1350" s="92" t="str">
        <f t="shared" si="307"/>
        <v/>
      </c>
      <c r="C1350" s="90"/>
      <c r="D1350" s="87"/>
      <c r="E1350" s="88"/>
      <c r="F1350" s="173"/>
      <c r="G1350" s="88"/>
      <c r="H1350" s="88"/>
      <c r="I1350" s="323" t="str">
        <f t="shared" si="308"/>
        <v/>
      </c>
      <c r="J1350" s="323" t="str">
        <f t="shared" si="309"/>
        <v/>
      </c>
      <c r="K1350" s="324" t="str">
        <f t="shared" si="310"/>
        <v/>
      </c>
      <c r="L1350" s="88"/>
      <c r="M1350" s="88"/>
      <c r="N1350" s="88"/>
      <c r="O1350" s="88"/>
      <c r="P1350" s="88"/>
      <c r="Q1350" s="88"/>
      <c r="R1350" s="88"/>
      <c r="S1350" s="620"/>
      <c r="T1350" s="92"/>
      <c r="U1350" s="1214"/>
      <c r="V1350" s="1215"/>
      <c r="W1350" s="168"/>
      <c r="X1350" s="170"/>
    </row>
    <row r="1351" spans="1:24" ht="12.75" customHeight="1">
      <c r="A1351" s="15"/>
      <c r="B1351" s="92" t="str">
        <f t="shared" si="307"/>
        <v/>
      </c>
      <c r="C1351" s="90"/>
      <c r="D1351" s="87"/>
      <c r="E1351" s="88"/>
      <c r="F1351" s="173"/>
      <c r="G1351" s="88"/>
      <c r="H1351" s="88"/>
      <c r="I1351" s="323" t="str">
        <f t="shared" si="308"/>
        <v/>
      </c>
      <c r="J1351" s="323" t="str">
        <f t="shared" si="309"/>
        <v/>
      </c>
      <c r="K1351" s="324" t="str">
        <f t="shared" si="310"/>
        <v/>
      </c>
      <c r="L1351" s="88"/>
      <c r="M1351" s="88"/>
      <c r="N1351" s="88"/>
      <c r="O1351" s="88"/>
      <c r="P1351" s="88"/>
      <c r="Q1351" s="88"/>
      <c r="R1351" s="88"/>
      <c r="S1351" s="620"/>
      <c r="T1351" s="92"/>
      <c r="U1351" s="1214"/>
      <c r="V1351" s="1215"/>
      <c r="W1351" s="168"/>
      <c r="X1351" s="170"/>
    </row>
    <row r="1352" spans="1:24" ht="12.75" customHeight="1">
      <c r="A1352" s="15"/>
      <c r="B1352" s="92" t="str">
        <f t="shared" si="307"/>
        <v/>
      </c>
      <c r="C1352" s="90"/>
      <c r="D1352" s="87"/>
      <c r="E1352" s="88"/>
      <c r="F1352" s="173"/>
      <c r="G1352" s="88"/>
      <c r="H1352" s="88"/>
      <c r="I1352" s="323" t="str">
        <f t="shared" si="308"/>
        <v/>
      </c>
      <c r="J1352" s="323" t="str">
        <f t="shared" si="309"/>
        <v/>
      </c>
      <c r="K1352" s="324" t="str">
        <f t="shared" si="310"/>
        <v/>
      </c>
      <c r="L1352" s="88"/>
      <c r="M1352" s="88"/>
      <c r="N1352" s="88"/>
      <c r="O1352" s="88"/>
      <c r="P1352" s="88"/>
      <c r="Q1352" s="88"/>
      <c r="R1352" s="88"/>
      <c r="S1352" s="620"/>
      <c r="T1352" s="92"/>
      <c r="U1352" s="1214"/>
      <c r="V1352" s="1215"/>
      <c r="W1352" s="168"/>
      <c r="X1352" s="170"/>
    </row>
    <row r="1353" spans="1:24" ht="12.75" customHeight="1">
      <c r="A1353" s="15"/>
      <c r="B1353" s="92" t="str">
        <f t="shared" si="307"/>
        <v/>
      </c>
      <c r="C1353" s="90"/>
      <c r="D1353" s="87"/>
      <c r="E1353" s="88"/>
      <c r="F1353" s="173"/>
      <c r="G1353" s="88"/>
      <c r="H1353" s="88"/>
      <c r="I1353" s="323" t="str">
        <f t="shared" si="308"/>
        <v/>
      </c>
      <c r="J1353" s="323" t="str">
        <f t="shared" si="309"/>
        <v/>
      </c>
      <c r="K1353" s="324" t="str">
        <f t="shared" si="310"/>
        <v/>
      </c>
      <c r="L1353" s="88"/>
      <c r="M1353" s="88"/>
      <c r="N1353" s="88"/>
      <c r="O1353" s="88"/>
      <c r="P1353" s="88"/>
      <c r="Q1353" s="88"/>
      <c r="R1353" s="88"/>
      <c r="S1353" s="620"/>
      <c r="T1353" s="92"/>
      <c r="U1353" s="1214"/>
      <c r="V1353" s="1215"/>
      <c r="W1353" s="168"/>
      <c r="X1353" s="170"/>
    </row>
    <row r="1354" spans="1:24" ht="12.75" customHeight="1">
      <c r="A1354" s="15"/>
      <c r="B1354" s="92" t="str">
        <f t="shared" si="307"/>
        <v/>
      </c>
      <c r="C1354" s="90"/>
      <c r="D1354" s="87"/>
      <c r="E1354" s="88"/>
      <c r="F1354" s="173"/>
      <c r="G1354" s="88"/>
      <c r="H1354" s="88"/>
      <c r="I1354" s="323" t="str">
        <f t="shared" si="308"/>
        <v/>
      </c>
      <c r="J1354" s="323" t="str">
        <f t="shared" si="309"/>
        <v/>
      </c>
      <c r="K1354" s="324" t="str">
        <f t="shared" si="310"/>
        <v/>
      </c>
      <c r="L1354" s="88"/>
      <c r="M1354" s="88"/>
      <c r="N1354" s="88"/>
      <c r="O1354" s="88"/>
      <c r="P1354" s="88"/>
      <c r="Q1354" s="88"/>
      <c r="R1354" s="88"/>
      <c r="S1354" s="620"/>
      <c r="T1354" s="92"/>
      <c r="U1354" s="1214"/>
      <c r="V1354" s="1215"/>
      <c r="W1354" s="168"/>
      <c r="X1354" s="170"/>
    </row>
    <row r="1355" spans="1:24" ht="12.75" customHeight="1">
      <c r="A1355" s="15"/>
      <c r="B1355" s="92" t="str">
        <f t="shared" si="307"/>
        <v/>
      </c>
      <c r="C1355" s="90"/>
      <c r="D1355" s="87"/>
      <c r="E1355" s="88"/>
      <c r="F1355" s="173"/>
      <c r="G1355" s="88"/>
      <c r="H1355" s="88"/>
      <c r="I1355" s="323" t="str">
        <f t="shared" si="308"/>
        <v/>
      </c>
      <c r="J1355" s="323" t="str">
        <f t="shared" si="309"/>
        <v/>
      </c>
      <c r="K1355" s="324" t="str">
        <f t="shared" si="310"/>
        <v/>
      </c>
      <c r="L1355" s="88"/>
      <c r="M1355" s="88"/>
      <c r="N1355" s="88"/>
      <c r="O1355" s="88"/>
      <c r="P1355" s="88"/>
      <c r="Q1355" s="88"/>
      <c r="R1355" s="88"/>
      <c r="S1355" s="620"/>
      <c r="T1355" s="92"/>
      <c r="U1355" s="1214"/>
      <c r="V1355" s="1215"/>
      <c r="W1355" s="168"/>
      <c r="X1355" s="170"/>
    </row>
    <row r="1356" spans="1:24" ht="12.75" customHeight="1">
      <c r="A1356" s="15"/>
      <c r="B1356" s="92" t="str">
        <f t="shared" si="307"/>
        <v/>
      </c>
      <c r="C1356" s="90"/>
      <c r="D1356" s="87"/>
      <c r="E1356" s="88"/>
      <c r="F1356" s="173"/>
      <c r="G1356" s="88"/>
      <c r="H1356" s="88"/>
      <c r="I1356" s="323" t="str">
        <f t="shared" si="308"/>
        <v/>
      </c>
      <c r="J1356" s="323" t="str">
        <f t="shared" si="309"/>
        <v/>
      </c>
      <c r="K1356" s="324" t="str">
        <f t="shared" si="310"/>
        <v/>
      </c>
      <c r="L1356" s="88"/>
      <c r="M1356" s="88"/>
      <c r="N1356" s="88"/>
      <c r="O1356" s="88"/>
      <c r="P1356" s="88"/>
      <c r="Q1356" s="88"/>
      <c r="R1356" s="88"/>
      <c r="S1356" s="620"/>
      <c r="T1356" s="92"/>
      <c r="U1356" s="1214"/>
      <c r="V1356" s="1215"/>
      <c r="W1356" s="168"/>
      <c r="X1356" s="170"/>
    </row>
    <row r="1357" spans="1:24" ht="12.75" customHeight="1">
      <c r="A1357" s="15"/>
      <c r="B1357" s="92" t="str">
        <f t="shared" si="307"/>
        <v/>
      </c>
      <c r="C1357" s="90"/>
      <c r="D1357" s="87"/>
      <c r="E1357" s="88"/>
      <c r="F1357" s="173"/>
      <c r="G1357" s="88"/>
      <c r="H1357" s="88"/>
      <c r="I1357" s="323" t="str">
        <f t="shared" si="308"/>
        <v/>
      </c>
      <c r="J1357" s="323" t="str">
        <f t="shared" si="309"/>
        <v/>
      </c>
      <c r="K1357" s="324" t="str">
        <f t="shared" si="310"/>
        <v/>
      </c>
      <c r="L1357" s="88"/>
      <c r="M1357" s="88"/>
      <c r="N1357" s="88"/>
      <c r="O1357" s="88"/>
      <c r="P1357" s="88"/>
      <c r="Q1357" s="88"/>
      <c r="R1357" s="88"/>
      <c r="S1357" s="620"/>
      <c r="T1357" s="92"/>
      <c r="U1357" s="1214"/>
      <c r="V1357" s="1215"/>
      <c r="W1357" s="168"/>
      <c r="X1357" s="170"/>
    </row>
    <row r="1358" spans="1:24" ht="12.75" customHeight="1">
      <c r="A1358" s="15"/>
      <c r="B1358" s="92" t="str">
        <f t="shared" si="307"/>
        <v/>
      </c>
      <c r="C1358" s="90"/>
      <c r="D1358" s="87"/>
      <c r="E1358" s="88"/>
      <c r="F1358" s="173"/>
      <c r="G1358" s="88"/>
      <c r="H1358" s="88"/>
      <c r="I1358" s="323" t="str">
        <f t="shared" si="308"/>
        <v/>
      </c>
      <c r="J1358" s="323" t="str">
        <f t="shared" si="309"/>
        <v/>
      </c>
      <c r="K1358" s="324" t="str">
        <f t="shared" si="310"/>
        <v/>
      </c>
      <c r="L1358" s="88"/>
      <c r="M1358" s="88"/>
      <c r="N1358" s="88"/>
      <c r="O1358" s="88"/>
      <c r="P1358" s="88"/>
      <c r="Q1358" s="88"/>
      <c r="R1358" s="88"/>
      <c r="S1358" s="620"/>
      <c r="T1358" s="92"/>
      <c r="U1358" s="1214"/>
      <c r="V1358" s="1215"/>
      <c r="W1358" s="168"/>
      <c r="X1358" s="170"/>
    </row>
    <row r="1359" spans="1:24" ht="12.75" customHeight="1">
      <c r="A1359" s="15"/>
      <c r="B1359" s="92" t="str">
        <f t="shared" si="307"/>
        <v/>
      </c>
      <c r="C1359" s="90"/>
      <c r="D1359" s="87"/>
      <c r="E1359" s="88"/>
      <c r="F1359" s="173"/>
      <c r="G1359" s="88"/>
      <c r="H1359" s="88"/>
      <c r="I1359" s="323" t="str">
        <f t="shared" si="308"/>
        <v/>
      </c>
      <c r="J1359" s="323" t="str">
        <f t="shared" si="309"/>
        <v/>
      </c>
      <c r="K1359" s="324" t="str">
        <f t="shared" si="310"/>
        <v/>
      </c>
      <c r="L1359" s="88"/>
      <c r="M1359" s="88"/>
      <c r="N1359" s="88"/>
      <c r="O1359" s="88"/>
      <c r="P1359" s="88"/>
      <c r="Q1359" s="88"/>
      <c r="R1359" s="88"/>
      <c r="S1359" s="620"/>
      <c r="T1359" s="92"/>
      <c r="U1359" s="1214"/>
      <c r="V1359" s="1215"/>
      <c r="W1359" s="168"/>
      <c r="X1359" s="170"/>
    </row>
    <row r="1360" spans="1:24" ht="12.75" customHeight="1">
      <c r="A1360" s="15"/>
      <c r="B1360" s="92" t="str">
        <f t="shared" si="307"/>
        <v/>
      </c>
      <c r="C1360" s="90"/>
      <c r="D1360" s="87"/>
      <c r="E1360" s="88"/>
      <c r="F1360" s="173"/>
      <c r="G1360" s="88"/>
      <c r="H1360" s="88"/>
      <c r="I1360" s="323" t="str">
        <f t="shared" si="308"/>
        <v/>
      </c>
      <c r="J1360" s="323" t="str">
        <f t="shared" si="309"/>
        <v/>
      </c>
      <c r="K1360" s="324" t="str">
        <f t="shared" si="310"/>
        <v/>
      </c>
      <c r="L1360" s="88"/>
      <c r="M1360" s="88"/>
      <c r="N1360" s="88"/>
      <c r="O1360" s="88"/>
      <c r="P1360" s="88"/>
      <c r="Q1360" s="88"/>
      <c r="R1360" s="88"/>
      <c r="S1360" s="620"/>
      <c r="T1360" s="92"/>
      <c r="U1360" s="1214"/>
      <c r="V1360" s="1215"/>
      <c r="W1360" s="168"/>
      <c r="X1360" s="170"/>
    </row>
    <row r="1361" spans="1:24" ht="12.75" customHeight="1">
      <c r="A1361" s="15"/>
      <c r="B1361" s="92" t="str">
        <f t="shared" si="307"/>
        <v/>
      </c>
      <c r="C1361" s="90"/>
      <c r="D1361" s="87"/>
      <c r="E1361" s="88"/>
      <c r="F1361" s="173"/>
      <c r="G1361" s="88"/>
      <c r="H1361" s="88"/>
      <c r="I1361" s="323" t="str">
        <f t="shared" si="308"/>
        <v/>
      </c>
      <c r="J1361" s="323" t="str">
        <f t="shared" si="309"/>
        <v/>
      </c>
      <c r="K1361" s="324" t="str">
        <f t="shared" si="310"/>
        <v/>
      </c>
      <c r="L1361" s="88"/>
      <c r="M1361" s="88"/>
      <c r="N1361" s="88"/>
      <c r="O1361" s="88"/>
      <c r="P1361" s="88"/>
      <c r="Q1361" s="88"/>
      <c r="R1361" s="88"/>
      <c r="S1361" s="620"/>
      <c r="T1361" s="92"/>
      <c r="U1361" s="1214"/>
      <c r="V1361" s="1215"/>
      <c r="W1361" s="168"/>
      <c r="X1361" s="170"/>
    </row>
    <row r="1362" spans="1:24" ht="12.75" customHeight="1">
      <c r="A1362" s="15"/>
      <c r="B1362" s="92" t="str">
        <f t="shared" si="307"/>
        <v/>
      </c>
      <c r="C1362" s="90"/>
      <c r="D1362" s="87"/>
      <c r="E1362" s="88"/>
      <c r="F1362" s="173"/>
      <c r="G1362" s="88"/>
      <c r="H1362" s="88"/>
      <c r="I1362" s="323" t="str">
        <f t="shared" si="308"/>
        <v/>
      </c>
      <c r="J1362" s="323" t="str">
        <f t="shared" si="309"/>
        <v/>
      </c>
      <c r="K1362" s="324" t="str">
        <f t="shared" si="310"/>
        <v/>
      </c>
      <c r="L1362" s="88"/>
      <c r="M1362" s="88"/>
      <c r="N1362" s="88"/>
      <c r="O1362" s="88"/>
      <c r="P1362" s="88"/>
      <c r="Q1362" s="88"/>
      <c r="R1362" s="88"/>
      <c r="S1362" s="620"/>
      <c r="T1362" s="92"/>
      <c r="U1362" s="1214"/>
      <c r="V1362" s="1215"/>
      <c r="W1362" s="168"/>
      <c r="X1362" s="170"/>
    </row>
    <row r="1363" spans="1:24" ht="12.75" customHeight="1">
      <c r="A1363" s="15"/>
      <c r="B1363" s="92" t="str">
        <f t="shared" si="307"/>
        <v/>
      </c>
      <c r="C1363" s="90"/>
      <c r="D1363" s="87"/>
      <c r="E1363" s="88"/>
      <c r="F1363" s="173"/>
      <c r="G1363" s="88"/>
      <c r="H1363" s="88"/>
      <c r="I1363" s="323" t="str">
        <f t="shared" si="308"/>
        <v/>
      </c>
      <c r="J1363" s="323" t="str">
        <f t="shared" si="309"/>
        <v/>
      </c>
      <c r="K1363" s="324" t="str">
        <f t="shared" si="310"/>
        <v/>
      </c>
      <c r="L1363" s="88"/>
      <c r="M1363" s="88"/>
      <c r="N1363" s="88"/>
      <c r="O1363" s="88"/>
      <c r="P1363" s="88"/>
      <c r="Q1363" s="88"/>
      <c r="R1363" s="88"/>
      <c r="S1363" s="620"/>
      <c r="T1363" s="92"/>
      <c r="U1363" s="1214"/>
      <c r="V1363" s="1215"/>
      <c r="W1363" s="168"/>
      <c r="X1363" s="170"/>
    </row>
    <row r="1364" spans="1:24" ht="12.75" customHeight="1">
      <c r="A1364" s="15"/>
      <c r="B1364" s="92" t="str">
        <f t="shared" si="307"/>
        <v/>
      </c>
      <c r="C1364" s="90"/>
      <c r="D1364" s="87"/>
      <c r="E1364" s="88"/>
      <c r="F1364" s="173"/>
      <c r="G1364" s="88"/>
      <c r="H1364" s="88"/>
      <c r="I1364" s="323" t="str">
        <f t="shared" si="308"/>
        <v/>
      </c>
      <c r="J1364" s="323" t="str">
        <f t="shared" si="309"/>
        <v/>
      </c>
      <c r="K1364" s="324" t="str">
        <f t="shared" si="310"/>
        <v/>
      </c>
      <c r="L1364" s="88"/>
      <c r="M1364" s="88"/>
      <c r="N1364" s="88"/>
      <c r="O1364" s="88"/>
      <c r="P1364" s="88"/>
      <c r="Q1364" s="88"/>
      <c r="R1364" s="88"/>
      <c r="S1364" s="620"/>
      <c r="T1364" s="92"/>
      <c r="U1364" s="1214"/>
      <c r="V1364" s="1215"/>
      <c r="W1364" s="168"/>
      <c r="X1364" s="170"/>
    </row>
    <row r="1365" spans="1:24" ht="12.75" customHeight="1">
      <c r="A1365" s="15"/>
      <c r="B1365" s="92" t="str">
        <f t="shared" si="307"/>
        <v/>
      </c>
      <c r="C1365" s="90"/>
      <c r="D1365" s="87"/>
      <c r="E1365" s="88"/>
      <c r="F1365" s="173"/>
      <c r="G1365" s="88"/>
      <c r="H1365" s="88"/>
      <c r="I1365" s="323" t="str">
        <f t="shared" si="308"/>
        <v/>
      </c>
      <c r="J1365" s="323" t="str">
        <f t="shared" si="309"/>
        <v/>
      </c>
      <c r="K1365" s="324" t="str">
        <f t="shared" si="310"/>
        <v/>
      </c>
      <c r="L1365" s="88"/>
      <c r="M1365" s="88"/>
      <c r="N1365" s="88"/>
      <c r="O1365" s="88"/>
      <c r="P1365" s="88"/>
      <c r="Q1365" s="88"/>
      <c r="R1365" s="88"/>
      <c r="S1365" s="620"/>
      <c r="T1365" s="92"/>
      <c r="U1365" s="1214"/>
      <c r="V1365" s="1215"/>
      <c r="W1365" s="168"/>
      <c r="X1365" s="170"/>
    </row>
    <row r="1366" spans="1:24" ht="12.75" customHeight="1">
      <c r="A1366" s="15"/>
      <c r="B1366" s="92" t="str">
        <f t="shared" si="307"/>
        <v/>
      </c>
      <c r="C1366" s="90"/>
      <c r="D1366" s="87"/>
      <c r="E1366" s="88"/>
      <c r="F1366" s="173"/>
      <c r="G1366" s="88"/>
      <c r="H1366" s="88"/>
      <c r="I1366" s="323" t="str">
        <f t="shared" si="308"/>
        <v/>
      </c>
      <c r="J1366" s="323" t="str">
        <f t="shared" si="309"/>
        <v/>
      </c>
      <c r="K1366" s="324" t="str">
        <f t="shared" si="310"/>
        <v/>
      </c>
      <c r="L1366" s="88"/>
      <c r="M1366" s="88"/>
      <c r="N1366" s="88"/>
      <c r="O1366" s="88"/>
      <c r="P1366" s="88"/>
      <c r="Q1366" s="88"/>
      <c r="R1366" s="88"/>
      <c r="S1366" s="620"/>
      <c r="T1366" s="92"/>
      <c r="U1366" s="1214"/>
      <c r="V1366" s="1215"/>
      <c r="W1366" s="168"/>
      <c r="X1366" s="170"/>
    </row>
    <row r="1367" spans="1:24" ht="12.75" customHeight="1">
      <c r="A1367" s="15"/>
      <c r="B1367" s="92" t="str">
        <f t="shared" si="307"/>
        <v/>
      </c>
      <c r="C1367" s="90"/>
      <c r="D1367" s="87"/>
      <c r="E1367" s="88"/>
      <c r="F1367" s="173"/>
      <c r="G1367" s="88"/>
      <c r="H1367" s="88"/>
      <c r="I1367" s="323" t="str">
        <f t="shared" si="308"/>
        <v/>
      </c>
      <c r="J1367" s="323" t="str">
        <f t="shared" si="309"/>
        <v/>
      </c>
      <c r="K1367" s="324" t="str">
        <f t="shared" si="310"/>
        <v/>
      </c>
      <c r="L1367" s="88"/>
      <c r="M1367" s="88"/>
      <c r="N1367" s="88"/>
      <c r="O1367" s="88"/>
      <c r="P1367" s="88"/>
      <c r="Q1367" s="88"/>
      <c r="R1367" s="88"/>
      <c r="S1367" s="620"/>
      <c r="T1367" s="92"/>
      <c r="U1367" s="1214"/>
      <c r="V1367" s="1215"/>
      <c r="W1367" s="168"/>
      <c r="X1367" s="170"/>
    </row>
    <row r="1368" spans="1:24" ht="12.75" customHeight="1">
      <c r="A1368" s="15"/>
      <c r="B1368" s="92" t="str">
        <f t="shared" si="307"/>
        <v/>
      </c>
      <c r="C1368" s="90"/>
      <c r="D1368" s="87"/>
      <c r="E1368" s="88"/>
      <c r="F1368" s="173"/>
      <c r="G1368" s="88"/>
      <c r="H1368" s="88"/>
      <c r="I1368" s="323" t="str">
        <f t="shared" si="308"/>
        <v/>
      </c>
      <c r="J1368" s="323" t="str">
        <f t="shared" si="309"/>
        <v/>
      </c>
      <c r="K1368" s="324" t="str">
        <f t="shared" si="310"/>
        <v/>
      </c>
      <c r="L1368" s="88"/>
      <c r="M1368" s="88"/>
      <c r="N1368" s="88"/>
      <c r="O1368" s="88"/>
      <c r="P1368" s="88"/>
      <c r="Q1368" s="88"/>
      <c r="R1368" s="88"/>
      <c r="S1368" s="620"/>
      <c r="T1368" s="92"/>
      <c r="U1368" s="1214"/>
      <c r="V1368" s="1215"/>
      <c r="W1368" s="168"/>
      <c r="X1368" s="170"/>
    </row>
    <row r="1369" spans="1:24" ht="12.75" customHeight="1">
      <c r="A1369" s="15"/>
      <c r="B1369" s="92" t="str">
        <f t="shared" si="307"/>
        <v/>
      </c>
      <c r="C1369" s="90"/>
      <c r="D1369" s="87"/>
      <c r="E1369" s="88"/>
      <c r="F1369" s="173"/>
      <c r="G1369" s="88"/>
      <c r="H1369" s="88"/>
      <c r="I1369" s="323" t="str">
        <f t="shared" si="308"/>
        <v/>
      </c>
      <c r="J1369" s="323" t="str">
        <f t="shared" si="309"/>
        <v/>
      </c>
      <c r="K1369" s="324" t="str">
        <f t="shared" si="310"/>
        <v/>
      </c>
      <c r="L1369" s="88"/>
      <c r="M1369" s="88"/>
      <c r="N1369" s="88"/>
      <c r="O1369" s="88"/>
      <c r="P1369" s="88"/>
      <c r="Q1369" s="88"/>
      <c r="R1369" s="88"/>
      <c r="S1369" s="620"/>
      <c r="T1369" s="92"/>
      <c r="U1369" s="1214"/>
      <c r="V1369" s="1215"/>
      <c r="W1369" s="168"/>
      <c r="X1369" s="170"/>
    </row>
    <row r="1370" spans="1:24" ht="12.75" customHeight="1">
      <c r="A1370" s="15"/>
      <c r="B1370" s="92" t="str">
        <f t="shared" si="307"/>
        <v/>
      </c>
      <c r="C1370" s="90"/>
      <c r="D1370" s="87"/>
      <c r="E1370" s="88"/>
      <c r="F1370" s="173"/>
      <c r="G1370" s="88"/>
      <c r="H1370" s="88"/>
      <c r="I1370" s="323" t="str">
        <f t="shared" si="308"/>
        <v/>
      </c>
      <c r="J1370" s="323" t="str">
        <f t="shared" si="309"/>
        <v/>
      </c>
      <c r="K1370" s="324" t="str">
        <f t="shared" si="310"/>
        <v/>
      </c>
      <c r="L1370" s="88"/>
      <c r="M1370" s="88"/>
      <c r="N1370" s="88"/>
      <c r="O1370" s="88"/>
      <c r="P1370" s="88"/>
      <c r="Q1370" s="88"/>
      <c r="R1370" s="88"/>
      <c r="S1370" s="620"/>
      <c r="T1370" s="92"/>
      <c r="U1370" s="1214"/>
      <c r="V1370" s="1215"/>
      <c r="W1370" s="168"/>
      <c r="X1370" s="170"/>
    </row>
    <row r="1371" spans="1:24" ht="12.75" customHeight="1">
      <c r="A1371" s="15"/>
      <c r="B1371" s="92" t="str">
        <f t="shared" si="307"/>
        <v/>
      </c>
      <c r="C1371" s="90"/>
      <c r="D1371" s="87"/>
      <c r="E1371" s="88"/>
      <c r="F1371" s="173"/>
      <c r="G1371" s="88"/>
      <c r="H1371" s="88"/>
      <c r="I1371" s="323" t="str">
        <f t="shared" si="308"/>
        <v/>
      </c>
      <c r="J1371" s="323" t="str">
        <f t="shared" si="309"/>
        <v/>
      </c>
      <c r="K1371" s="324" t="str">
        <f t="shared" si="310"/>
        <v/>
      </c>
      <c r="L1371" s="88"/>
      <c r="M1371" s="88"/>
      <c r="N1371" s="88"/>
      <c r="O1371" s="88"/>
      <c r="P1371" s="88"/>
      <c r="Q1371" s="88"/>
      <c r="R1371" s="88"/>
      <c r="S1371" s="620"/>
      <c r="T1371" s="92"/>
      <c r="U1371" s="1214"/>
      <c r="V1371" s="1215"/>
      <c r="W1371" s="168"/>
      <c r="X1371" s="170"/>
    </row>
    <row r="1372" spans="1:24" ht="12.75" customHeight="1">
      <c r="A1372" s="15"/>
      <c r="B1372" s="92" t="str">
        <f t="shared" si="307"/>
        <v/>
      </c>
      <c r="C1372" s="90"/>
      <c r="D1372" s="87"/>
      <c r="E1372" s="88"/>
      <c r="F1372" s="173"/>
      <c r="G1372" s="88"/>
      <c r="H1372" s="88"/>
      <c r="I1372" s="323" t="str">
        <f t="shared" si="308"/>
        <v/>
      </c>
      <c r="J1372" s="323" t="str">
        <f t="shared" si="309"/>
        <v/>
      </c>
      <c r="K1372" s="324" t="str">
        <f t="shared" si="310"/>
        <v/>
      </c>
      <c r="L1372" s="88"/>
      <c r="M1372" s="88"/>
      <c r="N1372" s="88"/>
      <c r="O1372" s="88"/>
      <c r="P1372" s="88"/>
      <c r="Q1372" s="88"/>
      <c r="R1372" s="88"/>
      <c r="S1372" s="620"/>
      <c r="T1372" s="92"/>
      <c r="U1372" s="1214"/>
      <c r="V1372" s="1215"/>
      <c r="W1372" s="168"/>
      <c r="X1372" s="170"/>
    </row>
    <row r="1373" spans="1:24" ht="12.75" customHeight="1">
      <c r="A1373" s="15"/>
      <c r="B1373" s="92" t="str">
        <f t="shared" si="307"/>
        <v/>
      </c>
      <c r="C1373" s="90"/>
      <c r="D1373" s="87"/>
      <c r="E1373" s="88"/>
      <c r="F1373" s="173"/>
      <c r="G1373" s="88"/>
      <c r="H1373" s="88"/>
      <c r="I1373" s="323" t="str">
        <f t="shared" si="308"/>
        <v/>
      </c>
      <c r="J1373" s="323" t="str">
        <f t="shared" si="309"/>
        <v/>
      </c>
      <c r="K1373" s="324" t="str">
        <f t="shared" si="310"/>
        <v/>
      </c>
      <c r="L1373" s="88"/>
      <c r="M1373" s="88"/>
      <c r="N1373" s="88"/>
      <c r="O1373" s="88"/>
      <c r="P1373" s="88"/>
      <c r="Q1373" s="88"/>
      <c r="R1373" s="88"/>
      <c r="S1373" s="620"/>
      <c r="T1373" s="92"/>
      <c r="U1373" s="1214"/>
      <c r="V1373" s="1215"/>
      <c r="W1373" s="168"/>
      <c r="X1373" s="170"/>
    </row>
    <row r="1374" spans="1:24" ht="12.75" customHeight="1">
      <c r="A1374" s="15"/>
      <c r="B1374" s="92" t="str">
        <f t="shared" si="307"/>
        <v/>
      </c>
      <c r="C1374" s="90"/>
      <c r="D1374" s="87"/>
      <c r="E1374" s="88"/>
      <c r="F1374" s="173"/>
      <c r="G1374" s="88"/>
      <c r="H1374" s="88"/>
      <c r="I1374" s="323" t="str">
        <f t="shared" si="308"/>
        <v/>
      </c>
      <c r="J1374" s="323" t="str">
        <f t="shared" si="309"/>
        <v/>
      </c>
      <c r="K1374" s="324" t="str">
        <f t="shared" si="310"/>
        <v/>
      </c>
      <c r="L1374" s="88"/>
      <c r="M1374" s="88"/>
      <c r="N1374" s="88"/>
      <c r="O1374" s="88"/>
      <c r="P1374" s="88"/>
      <c r="Q1374" s="88"/>
      <c r="R1374" s="88"/>
      <c r="S1374" s="620"/>
      <c r="T1374" s="92"/>
      <c r="U1374" s="1214"/>
      <c r="V1374" s="1215"/>
      <c r="W1374" s="168"/>
      <c r="X1374" s="170"/>
    </row>
    <row r="1375" spans="1:24" ht="12.75" customHeight="1">
      <c r="A1375" s="15"/>
      <c r="B1375" s="92" t="str">
        <f t="shared" si="307"/>
        <v/>
      </c>
      <c r="C1375" s="90"/>
      <c r="D1375" s="87"/>
      <c r="E1375" s="88"/>
      <c r="F1375" s="173"/>
      <c r="G1375" s="88"/>
      <c r="H1375" s="88"/>
      <c r="I1375" s="323" t="str">
        <f t="shared" si="308"/>
        <v/>
      </c>
      <c r="J1375" s="323" t="str">
        <f t="shared" si="309"/>
        <v/>
      </c>
      <c r="K1375" s="324" t="str">
        <f t="shared" si="310"/>
        <v/>
      </c>
      <c r="L1375" s="88"/>
      <c r="M1375" s="88"/>
      <c r="N1375" s="88"/>
      <c r="O1375" s="88"/>
      <c r="P1375" s="88"/>
      <c r="Q1375" s="88"/>
      <c r="R1375" s="88"/>
      <c r="S1375" s="620"/>
      <c r="T1375" s="92"/>
      <c r="U1375" s="1214"/>
      <c r="V1375" s="1215"/>
      <c r="W1375" s="168"/>
      <c r="X1375" s="170"/>
    </row>
    <row r="1376" spans="1:24" ht="12.75" customHeight="1">
      <c r="A1376" s="15"/>
      <c r="B1376" s="92" t="str">
        <f t="shared" si="307"/>
        <v/>
      </c>
      <c r="C1376" s="90"/>
      <c r="D1376" s="87"/>
      <c r="E1376" s="88"/>
      <c r="F1376" s="173"/>
      <c r="G1376" s="88"/>
      <c r="H1376" s="88"/>
      <c r="I1376" s="323" t="str">
        <f t="shared" si="308"/>
        <v/>
      </c>
      <c r="J1376" s="323" t="str">
        <f t="shared" si="309"/>
        <v/>
      </c>
      <c r="K1376" s="324" t="str">
        <f t="shared" si="310"/>
        <v/>
      </c>
      <c r="L1376" s="88"/>
      <c r="M1376" s="88"/>
      <c r="N1376" s="88"/>
      <c r="O1376" s="88"/>
      <c r="P1376" s="88"/>
      <c r="Q1376" s="88"/>
      <c r="R1376" s="88"/>
      <c r="S1376" s="620"/>
      <c r="T1376" s="92"/>
      <c r="U1376" s="1214"/>
      <c r="V1376" s="1215"/>
      <c r="W1376" s="168"/>
      <c r="X1376" s="170"/>
    </row>
    <row r="1377" spans="1:24" ht="12.75" customHeight="1">
      <c r="A1377" s="15"/>
      <c r="B1377" s="92" t="str">
        <f t="shared" si="307"/>
        <v/>
      </c>
      <c r="C1377" s="90"/>
      <c r="D1377" s="87"/>
      <c r="E1377" s="88"/>
      <c r="F1377" s="173"/>
      <c r="G1377" s="88"/>
      <c r="H1377" s="88"/>
      <c r="I1377" s="323" t="str">
        <f t="shared" si="308"/>
        <v/>
      </c>
      <c r="J1377" s="323" t="str">
        <f t="shared" si="309"/>
        <v/>
      </c>
      <c r="K1377" s="324" t="str">
        <f t="shared" si="310"/>
        <v/>
      </c>
      <c r="L1377" s="88"/>
      <c r="M1377" s="88"/>
      <c r="N1377" s="88"/>
      <c r="O1377" s="88"/>
      <c r="P1377" s="88"/>
      <c r="Q1377" s="88"/>
      <c r="R1377" s="88"/>
      <c r="S1377" s="620"/>
      <c r="T1377" s="92"/>
      <c r="U1377" s="1214"/>
      <c r="V1377" s="1215"/>
      <c r="W1377" s="168"/>
      <c r="X1377" s="170"/>
    </row>
    <row r="1378" spans="1:24" ht="12.75" customHeight="1">
      <c r="A1378" s="15"/>
      <c r="B1378" s="92" t="str">
        <f t="shared" si="307"/>
        <v/>
      </c>
      <c r="C1378" s="90"/>
      <c r="D1378" s="87"/>
      <c r="E1378" s="88"/>
      <c r="F1378" s="173"/>
      <c r="G1378" s="88"/>
      <c r="H1378" s="88"/>
      <c r="I1378" s="323" t="str">
        <f t="shared" si="308"/>
        <v/>
      </c>
      <c r="J1378" s="323" t="str">
        <f t="shared" si="309"/>
        <v/>
      </c>
      <c r="K1378" s="324" t="str">
        <f t="shared" si="310"/>
        <v/>
      </c>
      <c r="L1378" s="88"/>
      <c r="M1378" s="88"/>
      <c r="N1378" s="88"/>
      <c r="O1378" s="88"/>
      <c r="P1378" s="88"/>
      <c r="Q1378" s="88"/>
      <c r="R1378" s="88"/>
      <c r="S1378" s="620"/>
      <c r="T1378" s="92"/>
      <c r="U1378" s="1214"/>
      <c r="V1378" s="1215"/>
      <c r="W1378" s="168"/>
      <c r="X1378" s="170"/>
    </row>
    <row r="1379" spans="1:24" ht="12.75" customHeight="1">
      <c r="A1379" s="15"/>
      <c r="B1379" s="92" t="str">
        <f t="shared" si="307"/>
        <v/>
      </c>
      <c r="C1379" s="90"/>
      <c r="D1379" s="87"/>
      <c r="E1379" s="88"/>
      <c r="F1379" s="173"/>
      <c r="G1379" s="88"/>
      <c r="H1379" s="88"/>
      <c r="I1379" s="323" t="str">
        <f t="shared" si="308"/>
        <v/>
      </c>
      <c r="J1379" s="323" t="str">
        <f t="shared" si="309"/>
        <v/>
      </c>
      <c r="K1379" s="324" t="str">
        <f t="shared" si="310"/>
        <v/>
      </c>
      <c r="L1379" s="88"/>
      <c r="M1379" s="88"/>
      <c r="N1379" s="88"/>
      <c r="O1379" s="88"/>
      <c r="P1379" s="88"/>
      <c r="Q1379" s="88"/>
      <c r="R1379" s="88"/>
      <c r="S1379" s="620"/>
      <c r="T1379" s="92"/>
      <c r="U1379" s="1214"/>
      <c r="V1379" s="1215"/>
      <c r="W1379" s="168"/>
      <c r="X1379" s="170"/>
    </row>
    <row r="1380" spans="1:24" ht="12.75" customHeight="1">
      <c r="A1380" s="15"/>
      <c r="B1380" s="92" t="str">
        <f t="shared" si="307"/>
        <v/>
      </c>
      <c r="C1380" s="90"/>
      <c r="D1380" s="87"/>
      <c r="E1380" s="88"/>
      <c r="F1380" s="173"/>
      <c r="G1380" s="88"/>
      <c r="H1380" s="88"/>
      <c r="I1380" s="323" t="str">
        <f t="shared" si="308"/>
        <v/>
      </c>
      <c r="J1380" s="323" t="str">
        <f t="shared" si="309"/>
        <v/>
      </c>
      <c r="K1380" s="324" t="str">
        <f t="shared" si="310"/>
        <v/>
      </c>
      <c r="L1380" s="88"/>
      <c r="M1380" s="88"/>
      <c r="N1380" s="88"/>
      <c r="O1380" s="88"/>
      <c r="P1380" s="88"/>
      <c r="Q1380" s="88"/>
      <c r="R1380" s="88"/>
      <c r="S1380" s="620"/>
      <c r="T1380" s="92"/>
      <c r="U1380" s="1214"/>
      <c r="V1380" s="1215"/>
      <c r="W1380" s="168"/>
      <c r="X1380" s="170"/>
    </row>
    <row r="1381" spans="1:24" ht="12.75" customHeight="1">
      <c r="A1381" s="15"/>
      <c r="B1381" s="92" t="str">
        <f t="shared" si="307"/>
        <v/>
      </c>
      <c r="C1381" s="90"/>
      <c r="D1381" s="87"/>
      <c r="E1381" s="88"/>
      <c r="F1381" s="173"/>
      <c r="G1381" s="88"/>
      <c r="H1381" s="88"/>
      <c r="I1381" s="323" t="str">
        <f t="shared" si="308"/>
        <v/>
      </c>
      <c r="J1381" s="323" t="str">
        <f t="shared" si="309"/>
        <v/>
      </c>
      <c r="K1381" s="324" t="str">
        <f t="shared" si="310"/>
        <v/>
      </c>
      <c r="L1381" s="88"/>
      <c r="M1381" s="88"/>
      <c r="N1381" s="88"/>
      <c r="O1381" s="88"/>
      <c r="P1381" s="88"/>
      <c r="Q1381" s="88"/>
      <c r="R1381" s="88"/>
      <c r="S1381" s="620"/>
      <c r="T1381" s="92"/>
      <c r="U1381" s="1214"/>
      <c r="V1381" s="1215"/>
      <c r="W1381" s="168"/>
      <c r="X1381" s="170"/>
    </row>
    <row r="1382" spans="1:24" ht="12.75" customHeight="1">
      <c r="A1382" s="15"/>
      <c r="B1382" s="92" t="str">
        <f t="shared" si="307"/>
        <v/>
      </c>
      <c r="C1382" s="90"/>
      <c r="D1382" s="87"/>
      <c r="E1382" s="88"/>
      <c r="F1382" s="173"/>
      <c r="G1382" s="88"/>
      <c r="H1382" s="88"/>
      <c r="I1382" s="323" t="str">
        <f t="shared" si="308"/>
        <v/>
      </c>
      <c r="J1382" s="323" t="str">
        <f t="shared" si="309"/>
        <v/>
      </c>
      <c r="K1382" s="324" t="str">
        <f t="shared" si="310"/>
        <v/>
      </c>
      <c r="L1382" s="88"/>
      <c r="M1382" s="88"/>
      <c r="N1382" s="88"/>
      <c r="O1382" s="88"/>
      <c r="P1382" s="88"/>
      <c r="Q1382" s="88"/>
      <c r="R1382" s="88"/>
      <c r="S1382" s="620"/>
      <c r="T1382" s="92"/>
      <c r="U1382" s="1214"/>
      <c r="V1382" s="1215"/>
      <c r="W1382" s="168"/>
      <c r="X1382" s="170"/>
    </row>
    <row r="1383" spans="1:24" ht="12.75" customHeight="1">
      <c r="A1383" s="15"/>
      <c r="B1383" s="92" t="str">
        <f t="shared" si="307"/>
        <v/>
      </c>
      <c r="C1383" s="90"/>
      <c r="D1383" s="87"/>
      <c r="E1383" s="88"/>
      <c r="F1383" s="173"/>
      <c r="G1383" s="88"/>
      <c r="H1383" s="88"/>
      <c r="I1383" s="323" t="str">
        <f t="shared" si="308"/>
        <v/>
      </c>
      <c r="J1383" s="323" t="str">
        <f t="shared" si="309"/>
        <v/>
      </c>
      <c r="K1383" s="324" t="str">
        <f t="shared" si="310"/>
        <v/>
      </c>
      <c r="L1383" s="88"/>
      <c r="M1383" s="88"/>
      <c r="N1383" s="88"/>
      <c r="O1383" s="88"/>
      <c r="P1383" s="88"/>
      <c r="Q1383" s="88"/>
      <c r="R1383" s="88"/>
      <c r="S1383" s="620"/>
      <c r="T1383" s="92"/>
      <c r="U1383" s="1214"/>
      <c r="V1383" s="1215"/>
      <c r="W1383" s="168"/>
      <c r="X1383" s="170"/>
    </row>
    <row r="1384" spans="1:24" ht="12.75" customHeight="1">
      <c r="A1384" s="15"/>
      <c r="B1384" s="92" t="str">
        <f t="shared" si="307"/>
        <v/>
      </c>
      <c r="C1384" s="90"/>
      <c r="D1384" s="87"/>
      <c r="E1384" s="88"/>
      <c r="F1384" s="173"/>
      <c r="G1384" s="88"/>
      <c r="H1384" s="88"/>
      <c r="I1384" s="323" t="str">
        <f t="shared" si="308"/>
        <v/>
      </c>
      <c r="J1384" s="323" t="str">
        <f t="shared" si="309"/>
        <v/>
      </c>
      <c r="K1384" s="324" t="str">
        <f t="shared" si="310"/>
        <v/>
      </c>
      <c r="L1384" s="88"/>
      <c r="M1384" s="88"/>
      <c r="N1384" s="88"/>
      <c r="O1384" s="88"/>
      <c r="P1384" s="88"/>
      <c r="Q1384" s="88"/>
      <c r="R1384" s="88"/>
      <c r="S1384" s="620"/>
      <c r="T1384" s="92"/>
      <c r="U1384" s="1214"/>
      <c r="V1384" s="1215"/>
      <c r="W1384" s="168"/>
      <c r="X1384" s="170"/>
    </row>
    <row r="1385" spans="1:24" ht="12.75" customHeight="1">
      <c r="A1385" s="15"/>
      <c r="B1385" s="92" t="str">
        <f t="shared" si="307"/>
        <v/>
      </c>
      <c r="C1385" s="90"/>
      <c r="D1385" s="87"/>
      <c r="E1385" s="88"/>
      <c r="F1385" s="173"/>
      <c r="G1385" s="88"/>
      <c r="H1385" s="88"/>
      <c r="I1385" s="323" t="str">
        <f t="shared" si="308"/>
        <v/>
      </c>
      <c r="J1385" s="323" t="str">
        <f t="shared" si="309"/>
        <v/>
      </c>
      <c r="K1385" s="324" t="str">
        <f t="shared" si="310"/>
        <v/>
      </c>
      <c r="L1385" s="88"/>
      <c r="M1385" s="88"/>
      <c r="N1385" s="88"/>
      <c r="O1385" s="88"/>
      <c r="P1385" s="88"/>
      <c r="Q1385" s="88"/>
      <c r="R1385" s="88"/>
      <c r="S1385" s="620"/>
      <c r="T1385" s="92"/>
      <c r="U1385" s="1214"/>
      <c r="V1385" s="1215"/>
      <c r="W1385" s="168"/>
      <c r="X1385" s="170"/>
    </row>
    <row r="1386" spans="1:24" ht="12.75" customHeight="1">
      <c r="A1386" s="15"/>
      <c r="B1386" s="92" t="str">
        <f t="shared" si="307"/>
        <v/>
      </c>
      <c r="C1386" s="90"/>
      <c r="D1386" s="87"/>
      <c r="E1386" s="88"/>
      <c r="F1386" s="173"/>
      <c r="G1386" s="88"/>
      <c r="H1386" s="88"/>
      <c r="I1386" s="323" t="str">
        <f t="shared" si="308"/>
        <v/>
      </c>
      <c r="J1386" s="323" t="str">
        <f t="shared" si="309"/>
        <v/>
      </c>
      <c r="K1386" s="324" t="str">
        <f t="shared" si="310"/>
        <v/>
      </c>
      <c r="L1386" s="88"/>
      <c r="M1386" s="88"/>
      <c r="N1386" s="88"/>
      <c r="O1386" s="88"/>
      <c r="P1386" s="88"/>
      <c r="Q1386" s="88"/>
      <c r="R1386" s="88"/>
      <c r="S1386" s="620"/>
      <c r="T1386" s="92"/>
      <c r="U1386" s="1214"/>
      <c r="V1386" s="1215"/>
      <c r="W1386" s="168"/>
      <c r="X1386" s="170"/>
    </row>
    <row r="1387" spans="1:24" ht="12.75" customHeight="1">
      <c r="A1387" s="15"/>
      <c r="B1387" s="92" t="str">
        <f t="shared" si="307"/>
        <v/>
      </c>
      <c r="C1387" s="90"/>
      <c r="D1387" s="87"/>
      <c r="E1387" s="88"/>
      <c r="F1387" s="173"/>
      <c r="G1387" s="88"/>
      <c r="H1387" s="88"/>
      <c r="I1387" s="323" t="str">
        <f t="shared" si="308"/>
        <v/>
      </c>
      <c r="J1387" s="323" t="str">
        <f t="shared" si="309"/>
        <v/>
      </c>
      <c r="K1387" s="324" t="str">
        <f t="shared" si="310"/>
        <v/>
      </c>
      <c r="L1387" s="88"/>
      <c r="M1387" s="88"/>
      <c r="N1387" s="88"/>
      <c r="O1387" s="88"/>
      <c r="P1387" s="88"/>
      <c r="Q1387" s="88"/>
      <c r="R1387" s="88"/>
      <c r="S1387" s="620"/>
      <c r="T1387" s="92"/>
      <c r="U1387" s="1214"/>
      <c r="V1387" s="1215"/>
      <c r="W1387" s="168"/>
      <c r="X1387" s="170"/>
    </row>
    <row r="1388" spans="1:24" ht="12.75" customHeight="1">
      <c r="A1388" s="15"/>
      <c r="B1388" s="92" t="str">
        <f t="shared" si="307"/>
        <v/>
      </c>
      <c r="C1388" s="90"/>
      <c r="D1388" s="87"/>
      <c r="E1388" s="88"/>
      <c r="F1388" s="173"/>
      <c r="G1388" s="88"/>
      <c r="H1388" s="88"/>
      <c r="I1388" s="323" t="str">
        <f t="shared" si="308"/>
        <v/>
      </c>
      <c r="J1388" s="323" t="str">
        <f t="shared" si="309"/>
        <v/>
      </c>
      <c r="K1388" s="324" t="str">
        <f t="shared" si="310"/>
        <v/>
      </c>
      <c r="L1388" s="88"/>
      <c r="M1388" s="88"/>
      <c r="N1388" s="88"/>
      <c r="O1388" s="88"/>
      <c r="P1388" s="88"/>
      <c r="Q1388" s="88"/>
      <c r="R1388" s="88"/>
      <c r="S1388" s="620"/>
      <c r="T1388" s="92"/>
      <c r="U1388" s="1214"/>
      <c r="V1388" s="1215"/>
      <c r="W1388" s="168"/>
      <c r="X1388" s="170"/>
    </row>
    <row r="1389" spans="1:24" ht="12.75" customHeight="1">
      <c r="A1389" s="15"/>
      <c r="B1389" s="92" t="str">
        <f t="shared" si="307"/>
        <v/>
      </c>
      <c r="C1389" s="90"/>
      <c r="D1389" s="87"/>
      <c r="E1389" s="88"/>
      <c r="F1389" s="173"/>
      <c r="G1389" s="88"/>
      <c r="H1389" s="88"/>
      <c r="I1389" s="323" t="str">
        <f t="shared" si="308"/>
        <v/>
      </c>
      <c r="J1389" s="323" t="str">
        <f t="shared" si="309"/>
        <v/>
      </c>
      <c r="K1389" s="324" t="str">
        <f t="shared" si="310"/>
        <v/>
      </c>
      <c r="L1389" s="88"/>
      <c r="M1389" s="88"/>
      <c r="N1389" s="88"/>
      <c r="O1389" s="88"/>
      <c r="P1389" s="88"/>
      <c r="Q1389" s="88"/>
      <c r="R1389" s="88"/>
      <c r="S1389" s="620"/>
      <c r="T1389" s="92"/>
      <c r="U1389" s="1214"/>
      <c r="V1389" s="1215"/>
      <c r="W1389" s="168"/>
      <c r="X1389" s="170"/>
    </row>
    <row r="1390" spans="1:24" ht="12.75" customHeight="1">
      <c r="A1390" s="15"/>
      <c r="B1390" s="92" t="str">
        <f t="shared" si="307"/>
        <v/>
      </c>
      <c r="C1390" s="90"/>
      <c r="D1390" s="87"/>
      <c r="E1390" s="88"/>
      <c r="F1390" s="173"/>
      <c r="G1390" s="88"/>
      <c r="H1390" s="88"/>
      <c r="I1390" s="323" t="str">
        <f t="shared" si="308"/>
        <v/>
      </c>
      <c r="J1390" s="323" t="str">
        <f t="shared" si="309"/>
        <v/>
      </c>
      <c r="K1390" s="324" t="str">
        <f t="shared" si="310"/>
        <v/>
      </c>
      <c r="L1390" s="88"/>
      <c r="M1390" s="88"/>
      <c r="N1390" s="88"/>
      <c r="O1390" s="88"/>
      <c r="P1390" s="88"/>
      <c r="Q1390" s="88"/>
      <c r="R1390" s="88"/>
      <c r="S1390" s="620"/>
      <c r="T1390" s="92"/>
      <c r="U1390" s="1214"/>
      <c r="V1390" s="1215"/>
      <c r="W1390" s="168"/>
      <c r="X1390" s="170"/>
    </row>
    <row r="1391" spans="1:24" ht="12.75" customHeight="1">
      <c r="A1391" s="15"/>
      <c r="B1391" s="92" t="str">
        <f t="shared" ref="B1391:B1454" si="311">IF(C1391="","",ROW()-5)</f>
        <v/>
      </c>
      <c r="C1391" s="90"/>
      <c r="D1391" s="87"/>
      <c r="E1391" s="88"/>
      <c r="F1391" s="173"/>
      <c r="G1391" s="88"/>
      <c r="H1391" s="88"/>
      <c r="I1391" s="323" t="str">
        <f t="shared" si="308"/>
        <v/>
      </c>
      <c r="J1391" s="323" t="str">
        <f t="shared" si="309"/>
        <v/>
      </c>
      <c r="K1391" s="324" t="str">
        <f t="shared" si="310"/>
        <v/>
      </c>
      <c r="L1391" s="88"/>
      <c r="M1391" s="88"/>
      <c r="N1391" s="88"/>
      <c r="O1391" s="88"/>
      <c r="P1391" s="88"/>
      <c r="Q1391" s="88"/>
      <c r="R1391" s="88"/>
      <c r="S1391" s="620"/>
      <c r="T1391" s="92"/>
      <c r="U1391" s="1214"/>
      <c r="V1391" s="1215"/>
      <c r="W1391" s="168"/>
      <c r="X1391" s="170"/>
    </row>
    <row r="1392" spans="1:24" ht="12.75" customHeight="1">
      <c r="A1392" s="15"/>
      <c r="B1392" s="92" t="str">
        <f t="shared" si="311"/>
        <v/>
      </c>
      <c r="C1392" s="90"/>
      <c r="D1392" s="87"/>
      <c r="E1392" s="88"/>
      <c r="F1392" s="173"/>
      <c r="G1392" s="88"/>
      <c r="H1392" s="88"/>
      <c r="I1392" s="323" t="str">
        <f t="shared" si="308"/>
        <v/>
      </c>
      <c r="J1392" s="323" t="str">
        <f t="shared" si="309"/>
        <v/>
      </c>
      <c r="K1392" s="324" t="str">
        <f t="shared" si="310"/>
        <v/>
      </c>
      <c r="L1392" s="88"/>
      <c r="M1392" s="88"/>
      <c r="N1392" s="88"/>
      <c r="O1392" s="88"/>
      <c r="P1392" s="88"/>
      <c r="Q1392" s="88"/>
      <c r="R1392" s="88"/>
      <c r="S1392" s="620"/>
      <c r="T1392" s="92"/>
      <c r="U1392" s="1214"/>
      <c r="V1392" s="1215"/>
      <c r="W1392" s="168"/>
      <c r="X1392" s="170"/>
    </row>
    <row r="1393" spans="1:24" ht="12.75" customHeight="1">
      <c r="A1393" s="15"/>
      <c r="B1393" s="92" t="str">
        <f t="shared" si="311"/>
        <v/>
      </c>
      <c r="C1393" s="90"/>
      <c r="D1393" s="87"/>
      <c r="E1393" s="88"/>
      <c r="F1393" s="173"/>
      <c r="G1393" s="88"/>
      <c r="H1393" s="88"/>
      <c r="I1393" s="323" t="str">
        <f t="shared" si="308"/>
        <v/>
      </c>
      <c r="J1393" s="323" t="str">
        <f t="shared" si="309"/>
        <v/>
      </c>
      <c r="K1393" s="324" t="str">
        <f t="shared" si="310"/>
        <v/>
      </c>
      <c r="L1393" s="88"/>
      <c r="M1393" s="88"/>
      <c r="N1393" s="88"/>
      <c r="O1393" s="88"/>
      <c r="P1393" s="88"/>
      <c r="Q1393" s="88"/>
      <c r="R1393" s="88"/>
      <c r="S1393" s="620"/>
      <c r="T1393" s="92"/>
      <c r="U1393" s="1214"/>
      <c r="V1393" s="1215"/>
      <c r="W1393" s="168"/>
      <c r="X1393" s="170"/>
    </row>
    <row r="1394" spans="1:24" ht="12.75" customHeight="1">
      <c r="A1394" s="15"/>
      <c r="B1394" s="92" t="str">
        <f t="shared" si="311"/>
        <v/>
      </c>
      <c r="C1394" s="90"/>
      <c r="D1394" s="87"/>
      <c r="E1394" s="88"/>
      <c r="F1394" s="173"/>
      <c r="G1394" s="88"/>
      <c r="H1394" s="88"/>
      <c r="I1394" s="323" t="str">
        <f t="shared" si="308"/>
        <v/>
      </c>
      <c r="J1394" s="323" t="str">
        <f t="shared" si="309"/>
        <v/>
      </c>
      <c r="K1394" s="324" t="str">
        <f t="shared" si="310"/>
        <v/>
      </c>
      <c r="L1394" s="88"/>
      <c r="M1394" s="88"/>
      <c r="N1394" s="88"/>
      <c r="O1394" s="88"/>
      <c r="P1394" s="88"/>
      <c r="Q1394" s="88"/>
      <c r="R1394" s="88"/>
      <c r="S1394" s="620"/>
      <c r="T1394" s="92"/>
      <c r="U1394" s="1214"/>
      <c r="V1394" s="1215"/>
      <c r="W1394" s="168"/>
      <c r="X1394" s="170"/>
    </row>
    <row r="1395" spans="1:24" ht="12.75" customHeight="1">
      <c r="A1395" s="15"/>
      <c r="B1395" s="92" t="str">
        <f t="shared" si="311"/>
        <v/>
      </c>
      <c r="C1395" s="90"/>
      <c r="D1395" s="87"/>
      <c r="E1395" s="88"/>
      <c r="F1395" s="173"/>
      <c r="G1395" s="88"/>
      <c r="H1395" s="88"/>
      <c r="I1395" s="323" t="str">
        <f t="shared" si="308"/>
        <v/>
      </c>
      <c r="J1395" s="323" t="str">
        <f t="shared" si="309"/>
        <v/>
      </c>
      <c r="K1395" s="324" t="str">
        <f t="shared" si="310"/>
        <v/>
      </c>
      <c r="L1395" s="88"/>
      <c r="M1395" s="88"/>
      <c r="N1395" s="88"/>
      <c r="O1395" s="88"/>
      <c r="P1395" s="88"/>
      <c r="Q1395" s="88"/>
      <c r="R1395" s="88"/>
      <c r="S1395" s="620"/>
      <c r="T1395" s="92"/>
      <c r="U1395" s="1214"/>
      <c r="V1395" s="1215"/>
      <c r="W1395" s="168"/>
      <c r="X1395" s="170"/>
    </row>
    <row r="1396" spans="1:24" ht="12.75" customHeight="1">
      <c r="A1396" s="15"/>
      <c r="B1396" s="92" t="str">
        <f t="shared" si="311"/>
        <v/>
      </c>
      <c r="C1396" s="90"/>
      <c r="D1396" s="87"/>
      <c r="E1396" s="88"/>
      <c r="F1396" s="173"/>
      <c r="G1396" s="88"/>
      <c r="H1396" s="88"/>
      <c r="I1396" s="323" t="str">
        <f t="shared" si="308"/>
        <v/>
      </c>
      <c r="J1396" s="323" t="str">
        <f t="shared" si="309"/>
        <v/>
      </c>
      <c r="K1396" s="324" t="str">
        <f t="shared" si="310"/>
        <v/>
      </c>
      <c r="L1396" s="88"/>
      <c r="M1396" s="88"/>
      <c r="N1396" s="88"/>
      <c r="O1396" s="88"/>
      <c r="P1396" s="88"/>
      <c r="Q1396" s="88"/>
      <c r="R1396" s="88"/>
      <c r="S1396" s="620"/>
      <c r="T1396" s="92"/>
      <c r="U1396" s="1214"/>
      <c r="V1396" s="1215"/>
      <c r="W1396" s="168"/>
      <c r="X1396" s="170"/>
    </row>
    <row r="1397" spans="1:24" ht="12.75" customHeight="1">
      <c r="A1397" s="15"/>
      <c r="B1397" s="92" t="str">
        <f t="shared" si="311"/>
        <v/>
      </c>
      <c r="C1397" s="90"/>
      <c r="D1397" s="87"/>
      <c r="E1397" s="88"/>
      <c r="F1397" s="173"/>
      <c r="G1397" s="88"/>
      <c r="H1397" s="88"/>
      <c r="I1397" s="323" t="str">
        <f t="shared" si="308"/>
        <v/>
      </c>
      <c r="J1397" s="323" t="str">
        <f t="shared" si="309"/>
        <v/>
      </c>
      <c r="K1397" s="324" t="str">
        <f t="shared" si="310"/>
        <v/>
      </c>
      <c r="L1397" s="88"/>
      <c r="M1397" s="88"/>
      <c r="N1397" s="88"/>
      <c r="O1397" s="88"/>
      <c r="P1397" s="88"/>
      <c r="Q1397" s="88"/>
      <c r="R1397" s="88"/>
      <c r="S1397" s="620"/>
      <c r="T1397" s="92"/>
      <c r="U1397" s="1214"/>
      <c r="V1397" s="1215"/>
      <c r="W1397" s="168"/>
      <c r="X1397" s="170"/>
    </row>
    <row r="1398" spans="1:24" ht="12.75" customHeight="1">
      <c r="A1398" s="15"/>
      <c r="B1398" s="92" t="str">
        <f t="shared" si="311"/>
        <v/>
      </c>
      <c r="C1398" s="90"/>
      <c r="D1398" s="87"/>
      <c r="E1398" s="88"/>
      <c r="F1398" s="173"/>
      <c r="G1398" s="88"/>
      <c r="H1398" s="88"/>
      <c r="I1398" s="323" t="str">
        <f t="shared" si="308"/>
        <v/>
      </c>
      <c r="J1398" s="323" t="str">
        <f t="shared" si="309"/>
        <v/>
      </c>
      <c r="K1398" s="324" t="str">
        <f t="shared" si="310"/>
        <v/>
      </c>
      <c r="L1398" s="88"/>
      <c r="M1398" s="88"/>
      <c r="N1398" s="88"/>
      <c r="O1398" s="88"/>
      <c r="P1398" s="88"/>
      <c r="Q1398" s="88"/>
      <c r="R1398" s="88"/>
      <c r="S1398" s="620"/>
      <c r="T1398" s="92"/>
      <c r="U1398" s="1214"/>
      <c r="V1398" s="1215"/>
      <c r="W1398" s="168"/>
      <c r="X1398" s="170"/>
    </row>
    <row r="1399" spans="1:24" ht="12.75" customHeight="1">
      <c r="A1399" s="15"/>
      <c r="B1399" s="92" t="str">
        <f t="shared" si="311"/>
        <v/>
      </c>
      <c r="C1399" s="90"/>
      <c r="D1399" s="87"/>
      <c r="E1399" s="88"/>
      <c r="F1399" s="173"/>
      <c r="G1399" s="88"/>
      <c r="H1399" s="88"/>
      <c r="I1399" s="323" t="str">
        <f t="shared" si="308"/>
        <v/>
      </c>
      <c r="J1399" s="323" t="str">
        <f t="shared" si="309"/>
        <v/>
      </c>
      <c r="K1399" s="324" t="str">
        <f t="shared" si="310"/>
        <v/>
      </c>
      <c r="L1399" s="88"/>
      <c r="M1399" s="88"/>
      <c r="N1399" s="88"/>
      <c r="O1399" s="88"/>
      <c r="P1399" s="88"/>
      <c r="Q1399" s="88"/>
      <c r="R1399" s="88"/>
      <c r="S1399" s="620"/>
      <c r="T1399" s="92"/>
      <c r="U1399" s="1214"/>
      <c r="V1399" s="1215"/>
      <c r="W1399" s="168"/>
      <c r="X1399" s="170"/>
    </row>
    <row r="1400" spans="1:24" ht="12.75" customHeight="1">
      <c r="A1400" s="15"/>
      <c r="B1400" s="92" t="str">
        <f t="shared" si="311"/>
        <v/>
      </c>
      <c r="C1400" s="90"/>
      <c r="D1400" s="87"/>
      <c r="E1400" s="88"/>
      <c r="F1400" s="173"/>
      <c r="G1400" s="88"/>
      <c r="H1400" s="88"/>
      <c r="I1400" s="323" t="str">
        <f t="shared" si="308"/>
        <v/>
      </c>
      <c r="J1400" s="323" t="str">
        <f t="shared" si="309"/>
        <v/>
      </c>
      <c r="K1400" s="324" t="str">
        <f t="shared" si="310"/>
        <v/>
      </c>
      <c r="L1400" s="88"/>
      <c r="M1400" s="88"/>
      <c r="N1400" s="88"/>
      <c r="O1400" s="88"/>
      <c r="P1400" s="88"/>
      <c r="Q1400" s="88"/>
      <c r="R1400" s="88"/>
      <c r="S1400" s="620"/>
      <c r="T1400" s="92"/>
      <c r="U1400" s="1214"/>
      <c r="V1400" s="1215"/>
      <c r="W1400" s="168"/>
      <c r="X1400" s="170"/>
    </row>
    <row r="1401" spans="1:24" ht="12.75" customHeight="1">
      <c r="A1401" s="15"/>
      <c r="B1401" s="92" t="str">
        <f t="shared" si="311"/>
        <v/>
      </c>
      <c r="C1401" s="90"/>
      <c r="D1401" s="87"/>
      <c r="E1401" s="88"/>
      <c r="F1401" s="173"/>
      <c r="G1401" s="88"/>
      <c r="H1401" s="88"/>
      <c r="I1401" s="323" t="str">
        <f t="shared" si="308"/>
        <v/>
      </c>
      <c r="J1401" s="323" t="str">
        <f t="shared" si="309"/>
        <v/>
      </c>
      <c r="K1401" s="324" t="str">
        <f t="shared" si="310"/>
        <v/>
      </c>
      <c r="L1401" s="88"/>
      <c r="M1401" s="88"/>
      <c r="N1401" s="88"/>
      <c r="O1401" s="88"/>
      <c r="P1401" s="88"/>
      <c r="Q1401" s="88"/>
      <c r="R1401" s="88"/>
      <c r="S1401" s="620"/>
      <c r="T1401" s="92"/>
      <c r="U1401" s="1214"/>
      <c r="V1401" s="1215"/>
      <c r="W1401" s="168"/>
      <c r="X1401" s="170"/>
    </row>
    <row r="1402" spans="1:24" ht="12.75" customHeight="1">
      <c r="A1402" s="15"/>
      <c r="B1402" s="92" t="str">
        <f t="shared" si="311"/>
        <v/>
      </c>
      <c r="C1402" s="90"/>
      <c r="D1402" s="87"/>
      <c r="E1402" s="88"/>
      <c r="F1402" s="173"/>
      <c r="G1402" s="88"/>
      <c r="H1402" s="88"/>
      <c r="I1402" s="323" t="str">
        <f t="shared" si="308"/>
        <v/>
      </c>
      <c r="J1402" s="323" t="str">
        <f t="shared" si="309"/>
        <v/>
      </c>
      <c r="K1402" s="324" t="str">
        <f t="shared" si="310"/>
        <v/>
      </c>
      <c r="L1402" s="88"/>
      <c r="M1402" s="88"/>
      <c r="N1402" s="88"/>
      <c r="O1402" s="88"/>
      <c r="P1402" s="88"/>
      <c r="Q1402" s="88"/>
      <c r="R1402" s="88"/>
      <c r="S1402" s="620"/>
      <c r="T1402" s="92"/>
      <c r="U1402" s="1214"/>
      <c r="V1402" s="1215"/>
      <c r="W1402" s="168"/>
      <c r="X1402" s="170"/>
    </row>
    <row r="1403" spans="1:24" ht="12.75" customHeight="1">
      <c r="A1403" s="15"/>
      <c r="B1403" s="92" t="str">
        <f t="shared" si="311"/>
        <v/>
      </c>
      <c r="C1403" s="90"/>
      <c r="D1403" s="87"/>
      <c r="E1403" s="88"/>
      <c r="F1403" s="173"/>
      <c r="G1403" s="88"/>
      <c r="H1403" s="88"/>
      <c r="I1403" s="323" t="str">
        <f t="shared" si="308"/>
        <v/>
      </c>
      <c r="J1403" s="323" t="str">
        <f t="shared" si="309"/>
        <v/>
      </c>
      <c r="K1403" s="324" t="str">
        <f t="shared" si="310"/>
        <v/>
      </c>
      <c r="L1403" s="88"/>
      <c r="M1403" s="88"/>
      <c r="N1403" s="88"/>
      <c r="O1403" s="88"/>
      <c r="P1403" s="88"/>
      <c r="Q1403" s="88"/>
      <c r="R1403" s="88"/>
      <c r="S1403" s="620"/>
      <c r="T1403" s="92"/>
      <c r="U1403" s="1214"/>
      <c r="V1403" s="1215"/>
      <c r="W1403" s="168"/>
      <c r="X1403" s="170"/>
    </row>
    <row r="1404" spans="1:24" ht="12.75" customHeight="1">
      <c r="A1404" s="15"/>
      <c r="B1404" s="92" t="str">
        <f t="shared" si="311"/>
        <v/>
      </c>
      <c r="C1404" s="90"/>
      <c r="D1404" s="87"/>
      <c r="E1404" s="88"/>
      <c r="F1404" s="173"/>
      <c r="G1404" s="88"/>
      <c r="H1404" s="88"/>
      <c r="I1404" s="323" t="str">
        <f t="shared" si="308"/>
        <v/>
      </c>
      <c r="J1404" s="323" t="str">
        <f t="shared" si="309"/>
        <v/>
      </c>
      <c r="K1404" s="324" t="str">
        <f t="shared" si="310"/>
        <v/>
      </c>
      <c r="L1404" s="88"/>
      <c r="M1404" s="88"/>
      <c r="N1404" s="88"/>
      <c r="O1404" s="88"/>
      <c r="P1404" s="88"/>
      <c r="Q1404" s="88"/>
      <c r="R1404" s="88"/>
      <c r="S1404" s="620"/>
      <c r="T1404" s="92"/>
      <c r="U1404" s="1214"/>
      <c r="V1404" s="1215"/>
      <c r="W1404" s="168"/>
      <c r="X1404" s="170"/>
    </row>
    <row r="1405" spans="1:24" ht="12.75" customHeight="1">
      <c r="A1405" s="15"/>
      <c r="B1405" s="92" t="str">
        <f t="shared" si="311"/>
        <v/>
      </c>
      <c r="C1405" s="90"/>
      <c r="D1405" s="87"/>
      <c r="E1405" s="88"/>
      <c r="F1405" s="173"/>
      <c r="G1405" s="88"/>
      <c r="H1405" s="88"/>
      <c r="I1405" s="323" t="str">
        <f t="shared" si="308"/>
        <v/>
      </c>
      <c r="J1405" s="323" t="str">
        <f t="shared" si="309"/>
        <v/>
      </c>
      <c r="K1405" s="324" t="str">
        <f t="shared" si="310"/>
        <v/>
      </c>
      <c r="L1405" s="88"/>
      <c r="M1405" s="88"/>
      <c r="N1405" s="88"/>
      <c r="O1405" s="88"/>
      <c r="P1405" s="88"/>
      <c r="Q1405" s="88"/>
      <c r="R1405" s="88"/>
      <c r="S1405" s="620"/>
      <c r="T1405" s="92"/>
      <c r="U1405" s="1214"/>
      <c r="V1405" s="1215"/>
      <c r="W1405" s="168"/>
      <c r="X1405" s="170"/>
    </row>
    <row r="1406" spans="1:24" ht="12.75" customHeight="1">
      <c r="A1406" s="15"/>
      <c r="B1406" s="92" t="str">
        <f t="shared" si="311"/>
        <v/>
      </c>
      <c r="C1406" s="90"/>
      <c r="D1406" s="87"/>
      <c r="E1406" s="88"/>
      <c r="F1406" s="173"/>
      <c r="G1406" s="88"/>
      <c r="H1406" s="88"/>
      <c r="I1406" s="323" t="str">
        <f t="shared" si="308"/>
        <v/>
      </c>
      <c r="J1406" s="323" t="str">
        <f t="shared" si="309"/>
        <v/>
      </c>
      <c r="K1406" s="324" t="str">
        <f t="shared" si="310"/>
        <v/>
      </c>
      <c r="L1406" s="88"/>
      <c r="M1406" s="88"/>
      <c r="N1406" s="88"/>
      <c r="O1406" s="88"/>
      <c r="P1406" s="88"/>
      <c r="Q1406" s="88"/>
      <c r="R1406" s="88"/>
      <c r="S1406" s="620"/>
      <c r="T1406" s="92"/>
      <c r="U1406" s="1214"/>
      <c r="V1406" s="1215"/>
      <c r="W1406" s="168"/>
      <c r="X1406" s="170"/>
    </row>
    <row r="1407" spans="1:24" ht="12.75" customHeight="1">
      <c r="A1407" s="15"/>
      <c r="B1407" s="92" t="str">
        <f t="shared" si="311"/>
        <v/>
      </c>
      <c r="C1407" s="90"/>
      <c r="D1407" s="87"/>
      <c r="E1407" s="88"/>
      <c r="F1407" s="173"/>
      <c r="G1407" s="88"/>
      <c r="H1407" s="88"/>
      <c r="I1407" s="323" t="str">
        <f t="shared" ref="I1407:I1470" si="312">+IF(G1407="","",G1407*H1407)</f>
        <v/>
      </c>
      <c r="J1407" s="323" t="str">
        <f t="shared" ref="J1407:J1470" si="313">+IF(G1407="","",I1407*0.1)</f>
        <v/>
      </c>
      <c r="K1407" s="324" t="str">
        <f t="shared" ref="K1407:K1470" si="314">+IF(G1407="","",I1407+J1407)</f>
        <v/>
      </c>
      <c r="L1407" s="88"/>
      <c r="M1407" s="88"/>
      <c r="N1407" s="88"/>
      <c r="O1407" s="88"/>
      <c r="P1407" s="88"/>
      <c r="Q1407" s="88"/>
      <c r="R1407" s="88"/>
      <c r="S1407" s="620"/>
      <c r="T1407" s="92"/>
      <c r="U1407" s="1214"/>
      <c r="V1407" s="1215"/>
      <c r="W1407" s="168"/>
      <c r="X1407" s="170"/>
    </row>
    <row r="1408" spans="1:24" ht="12.75" customHeight="1">
      <c r="A1408" s="15"/>
      <c r="B1408" s="92" t="str">
        <f t="shared" si="311"/>
        <v/>
      </c>
      <c r="C1408" s="90"/>
      <c r="D1408" s="87"/>
      <c r="E1408" s="88"/>
      <c r="F1408" s="173"/>
      <c r="G1408" s="88"/>
      <c r="H1408" s="88"/>
      <c r="I1408" s="323" t="str">
        <f t="shared" si="312"/>
        <v/>
      </c>
      <c r="J1408" s="323" t="str">
        <f t="shared" si="313"/>
        <v/>
      </c>
      <c r="K1408" s="324" t="str">
        <f t="shared" si="314"/>
        <v/>
      </c>
      <c r="L1408" s="88"/>
      <c r="M1408" s="88"/>
      <c r="N1408" s="88"/>
      <c r="O1408" s="88"/>
      <c r="P1408" s="88"/>
      <c r="Q1408" s="88"/>
      <c r="R1408" s="88"/>
      <c r="S1408" s="620"/>
      <c r="T1408" s="92"/>
      <c r="U1408" s="1214"/>
      <c r="V1408" s="1215"/>
      <c r="W1408" s="168"/>
      <c r="X1408" s="170"/>
    </row>
    <row r="1409" spans="1:24" ht="12.75" customHeight="1">
      <c r="A1409" s="15"/>
      <c r="B1409" s="92" t="str">
        <f t="shared" si="311"/>
        <v/>
      </c>
      <c r="C1409" s="90"/>
      <c r="D1409" s="87"/>
      <c r="E1409" s="88"/>
      <c r="F1409" s="173"/>
      <c r="G1409" s="88"/>
      <c r="H1409" s="88"/>
      <c r="I1409" s="323" t="str">
        <f t="shared" si="312"/>
        <v/>
      </c>
      <c r="J1409" s="323" t="str">
        <f t="shared" si="313"/>
        <v/>
      </c>
      <c r="K1409" s="324" t="str">
        <f t="shared" si="314"/>
        <v/>
      </c>
      <c r="L1409" s="88"/>
      <c r="M1409" s="88"/>
      <c r="N1409" s="88"/>
      <c r="O1409" s="88"/>
      <c r="P1409" s="88"/>
      <c r="Q1409" s="88"/>
      <c r="R1409" s="88"/>
      <c r="S1409" s="620"/>
      <c r="T1409" s="92"/>
      <c r="U1409" s="1214"/>
      <c r="V1409" s="1215"/>
      <c r="W1409" s="168"/>
      <c r="X1409" s="170"/>
    </row>
    <row r="1410" spans="1:24" ht="12.75" customHeight="1">
      <c r="A1410" s="15"/>
      <c r="B1410" s="92" t="str">
        <f t="shared" si="311"/>
        <v/>
      </c>
      <c r="C1410" s="90"/>
      <c r="D1410" s="87"/>
      <c r="E1410" s="88"/>
      <c r="F1410" s="173"/>
      <c r="G1410" s="88"/>
      <c r="H1410" s="88"/>
      <c r="I1410" s="323" t="str">
        <f t="shared" si="312"/>
        <v/>
      </c>
      <c r="J1410" s="323" t="str">
        <f t="shared" si="313"/>
        <v/>
      </c>
      <c r="K1410" s="324" t="str">
        <f t="shared" si="314"/>
        <v/>
      </c>
      <c r="L1410" s="88"/>
      <c r="M1410" s="88"/>
      <c r="N1410" s="88"/>
      <c r="O1410" s="88"/>
      <c r="P1410" s="88"/>
      <c r="Q1410" s="88"/>
      <c r="R1410" s="88"/>
      <c r="S1410" s="620"/>
      <c r="T1410" s="92"/>
      <c r="U1410" s="1214"/>
      <c r="V1410" s="1215"/>
      <c r="W1410" s="168"/>
      <c r="X1410" s="170"/>
    </row>
    <row r="1411" spans="1:24" ht="12.75" customHeight="1">
      <c r="A1411" s="15"/>
      <c r="B1411" s="92" t="str">
        <f t="shared" si="311"/>
        <v/>
      </c>
      <c r="C1411" s="90"/>
      <c r="D1411" s="87"/>
      <c r="E1411" s="88"/>
      <c r="F1411" s="173"/>
      <c r="G1411" s="88"/>
      <c r="H1411" s="88"/>
      <c r="I1411" s="323" t="str">
        <f t="shared" si="312"/>
        <v/>
      </c>
      <c r="J1411" s="323" t="str">
        <f t="shared" si="313"/>
        <v/>
      </c>
      <c r="K1411" s="324" t="str">
        <f t="shared" si="314"/>
        <v/>
      </c>
      <c r="L1411" s="88"/>
      <c r="M1411" s="88"/>
      <c r="N1411" s="88"/>
      <c r="O1411" s="88"/>
      <c r="P1411" s="88"/>
      <c r="Q1411" s="88"/>
      <c r="R1411" s="88"/>
      <c r="S1411" s="620"/>
      <c r="T1411" s="92"/>
      <c r="U1411" s="1214"/>
      <c r="V1411" s="1215"/>
      <c r="W1411" s="168"/>
      <c r="X1411" s="170"/>
    </row>
    <row r="1412" spans="1:24" ht="12.75" customHeight="1">
      <c r="A1412" s="15"/>
      <c r="B1412" s="92" t="str">
        <f t="shared" si="311"/>
        <v/>
      </c>
      <c r="C1412" s="90"/>
      <c r="D1412" s="87"/>
      <c r="E1412" s="88"/>
      <c r="F1412" s="173"/>
      <c r="G1412" s="88"/>
      <c r="H1412" s="88"/>
      <c r="I1412" s="323" t="str">
        <f t="shared" si="312"/>
        <v/>
      </c>
      <c r="J1412" s="323" t="str">
        <f t="shared" si="313"/>
        <v/>
      </c>
      <c r="K1412" s="324" t="str">
        <f t="shared" si="314"/>
        <v/>
      </c>
      <c r="L1412" s="88"/>
      <c r="M1412" s="88"/>
      <c r="N1412" s="88"/>
      <c r="O1412" s="88"/>
      <c r="P1412" s="88"/>
      <c r="Q1412" s="88"/>
      <c r="R1412" s="88"/>
      <c r="S1412" s="620"/>
      <c r="T1412" s="92"/>
      <c r="U1412" s="1214"/>
      <c r="V1412" s="1215"/>
      <c r="W1412" s="168"/>
      <c r="X1412" s="170"/>
    </row>
    <row r="1413" spans="1:24" ht="12.75" customHeight="1">
      <c r="A1413" s="15"/>
      <c r="B1413" s="92" t="str">
        <f t="shared" si="311"/>
        <v/>
      </c>
      <c r="C1413" s="90"/>
      <c r="D1413" s="87"/>
      <c r="E1413" s="88"/>
      <c r="F1413" s="173"/>
      <c r="G1413" s="88"/>
      <c r="H1413" s="88"/>
      <c r="I1413" s="323" t="str">
        <f t="shared" si="312"/>
        <v/>
      </c>
      <c r="J1413" s="323" t="str">
        <f t="shared" si="313"/>
        <v/>
      </c>
      <c r="K1413" s="324" t="str">
        <f t="shared" si="314"/>
        <v/>
      </c>
      <c r="L1413" s="88"/>
      <c r="M1413" s="88"/>
      <c r="N1413" s="88"/>
      <c r="O1413" s="88"/>
      <c r="P1413" s="88"/>
      <c r="Q1413" s="88"/>
      <c r="R1413" s="88"/>
      <c r="S1413" s="620"/>
      <c r="T1413" s="92"/>
      <c r="U1413" s="1214"/>
      <c r="V1413" s="1215"/>
      <c r="W1413" s="168"/>
      <c r="X1413" s="170"/>
    </row>
    <row r="1414" spans="1:24" ht="12.75" customHeight="1">
      <c r="A1414" s="15"/>
      <c r="B1414" s="92" t="str">
        <f t="shared" si="311"/>
        <v/>
      </c>
      <c r="C1414" s="90"/>
      <c r="D1414" s="87"/>
      <c r="E1414" s="88"/>
      <c r="F1414" s="173"/>
      <c r="G1414" s="88"/>
      <c r="H1414" s="88"/>
      <c r="I1414" s="323" t="str">
        <f t="shared" si="312"/>
        <v/>
      </c>
      <c r="J1414" s="323" t="str">
        <f t="shared" si="313"/>
        <v/>
      </c>
      <c r="K1414" s="324" t="str">
        <f t="shared" si="314"/>
        <v/>
      </c>
      <c r="L1414" s="88"/>
      <c r="M1414" s="88"/>
      <c r="N1414" s="88"/>
      <c r="O1414" s="88"/>
      <c r="P1414" s="88"/>
      <c r="Q1414" s="88"/>
      <c r="R1414" s="88"/>
      <c r="S1414" s="620"/>
      <c r="T1414" s="92"/>
      <c r="U1414" s="1214"/>
      <c r="V1414" s="1215"/>
      <c r="W1414" s="168"/>
      <c r="X1414" s="170"/>
    </row>
    <row r="1415" spans="1:24" ht="12.75" customHeight="1">
      <c r="A1415" s="15"/>
      <c r="B1415" s="92" t="str">
        <f t="shared" si="311"/>
        <v/>
      </c>
      <c r="C1415" s="90"/>
      <c r="D1415" s="87"/>
      <c r="E1415" s="88"/>
      <c r="F1415" s="173"/>
      <c r="G1415" s="88"/>
      <c r="H1415" s="88"/>
      <c r="I1415" s="323" t="str">
        <f t="shared" si="312"/>
        <v/>
      </c>
      <c r="J1415" s="323" t="str">
        <f t="shared" si="313"/>
        <v/>
      </c>
      <c r="K1415" s="324" t="str">
        <f t="shared" si="314"/>
        <v/>
      </c>
      <c r="L1415" s="88"/>
      <c r="M1415" s="88"/>
      <c r="N1415" s="88"/>
      <c r="O1415" s="88"/>
      <c r="P1415" s="88"/>
      <c r="Q1415" s="88"/>
      <c r="R1415" s="88"/>
      <c r="S1415" s="620"/>
      <c r="T1415" s="92"/>
      <c r="U1415" s="1214"/>
      <c r="V1415" s="1215"/>
      <c r="W1415" s="168"/>
      <c r="X1415" s="170"/>
    </row>
    <row r="1416" spans="1:24" ht="12.75" customHeight="1">
      <c r="A1416" s="15"/>
      <c r="B1416" s="92" t="str">
        <f t="shared" si="311"/>
        <v/>
      </c>
      <c r="C1416" s="90"/>
      <c r="D1416" s="87"/>
      <c r="E1416" s="88"/>
      <c r="F1416" s="173"/>
      <c r="G1416" s="88"/>
      <c r="H1416" s="88"/>
      <c r="I1416" s="323" t="str">
        <f t="shared" si="312"/>
        <v/>
      </c>
      <c r="J1416" s="323" t="str">
        <f t="shared" si="313"/>
        <v/>
      </c>
      <c r="K1416" s="324" t="str">
        <f t="shared" si="314"/>
        <v/>
      </c>
      <c r="L1416" s="88"/>
      <c r="M1416" s="88"/>
      <c r="N1416" s="88"/>
      <c r="O1416" s="88"/>
      <c r="P1416" s="88"/>
      <c r="Q1416" s="88"/>
      <c r="R1416" s="88"/>
      <c r="S1416" s="620"/>
      <c r="T1416" s="92"/>
      <c r="U1416" s="1214"/>
      <c r="V1416" s="1215"/>
      <c r="W1416" s="168"/>
      <c r="X1416" s="170"/>
    </row>
    <row r="1417" spans="1:24" ht="12.75" customHeight="1">
      <c r="A1417" s="15"/>
      <c r="B1417" s="92" t="str">
        <f t="shared" si="311"/>
        <v/>
      </c>
      <c r="C1417" s="90"/>
      <c r="D1417" s="87"/>
      <c r="E1417" s="88"/>
      <c r="F1417" s="173"/>
      <c r="G1417" s="88"/>
      <c r="H1417" s="88"/>
      <c r="I1417" s="323" t="str">
        <f t="shared" si="312"/>
        <v/>
      </c>
      <c r="J1417" s="323" t="str">
        <f t="shared" si="313"/>
        <v/>
      </c>
      <c r="K1417" s="324" t="str">
        <f t="shared" si="314"/>
        <v/>
      </c>
      <c r="L1417" s="88"/>
      <c r="M1417" s="88"/>
      <c r="N1417" s="88"/>
      <c r="O1417" s="88"/>
      <c r="P1417" s="88"/>
      <c r="Q1417" s="88"/>
      <c r="R1417" s="88"/>
      <c r="S1417" s="620"/>
      <c r="T1417" s="92"/>
      <c r="U1417" s="1214"/>
      <c r="V1417" s="1215"/>
      <c r="W1417" s="168"/>
      <c r="X1417" s="170"/>
    </row>
    <row r="1418" spans="1:24" ht="12.75" customHeight="1">
      <c r="A1418" s="15"/>
      <c r="B1418" s="92" t="str">
        <f t="shared" si="311"/>
        <v/>
      </c>
      <c r="C1418" s="90"/>
      <c r="D1418" s="87"/>
      <c r="E1418" s="88"/>
      <c r="F1418" s="173"/>
      <c r="G1418" s="88"/>
      <c r="H1418" s="88"/>
      <c r="I1418" s="323" t="str">
        <f t="shared" si="312"/>
        <v/>
      </c>
      <c r="J1418" s="323" t="str">
        <f t="shared" si="313"/>
        <v/>
      </c>
      <c r="K1418" s="324" t="str">
        <f t="shared" si="314"/>
        <v/>
      </c>
      <c r="L1418" s="88"/>
      <c r="M1418" s="88"/>
      <c r="N1418" s="88"/>
      <c r="O1418" s="88"/>
      <c r="P1418" s="88"/>
      <c r="Q1418" s="88"/>
      <c r="R1418" s="88"/>
      <c r="S1418" s="620"/>
      <c r="T1418" s="92"/>
      <c r="U1418" s="1214"/>
      <c r="V1418" s="1215"/>
      <c r="W1418" s="168"/>
      <c r="X1418" s="170"/>
    </row>
    <row r="1419" spans="1:24" ht="12.75" customHeight="1">
      <c r="A1419" s="15"/>
      <c r="B1419" s="92" t="str">
        <f t="shared" si="311"/>
        <v/>
      </c>
      <c r="C1419" s="90"/>
      <c r="D1419" s="87"/>
      <c r="E1419" s="88"/>
      <c r="F1419" s="173"/>
      <c r="G1419" s="88"/>
      <c r="H1419" s="88"/>
      <c r="I1419" s="323" t="str">
        <f t="shared" si="312"/>
        <v/>
      </c>
      <c r="J1419" s="323" t="str">
        <f t="shared" si="313"/>
        <v/>
      </c>
      <c r="K1419" s="324" t="str">
        <f t="shared" si="314"/>
        <v/>
      </c>
      <c r="L1419" s="88"/>
      <c r="M1419" s="88"/>
      <c r="N1419" s="88"/>
      <c r="O1419" s="88"/>
      <c r="P1419" s="88"/>
      <c r="Q1419" s="88"/>
      <c r="R1419" s="88"/>
      <c r="S1419" s="620"/>
      <c r="T1419" s="92"/>
      <c r="U1419" s="1214"/>
      <c r="V1419" s="1215"/>
      <c r="W1419" s="168"/>
      <c r="X1419" s="170"/>
    </row>
    <row r="1420" spans="1:24" ht="12.75" customHeight="1">
      <c r="A1420" s="15"/>
      <c r="B1420" s="92" t="str">
        <f t="shared" si="311"/>
        <v/>
      </c>
      <c r="C1420" s="90"/>
      <c r="D1420" s="87"/>
      <c r="E1420" s="88"/>
      <c r="F1420" s="173"/>
      <c r="G1420" s="88"/>
      <c r="H1420" s="88"/>
      <c r="I1420" s="323" t="str">
        <f t="shared" si="312"/>
        <v/>
      </c>
      <c r="J1420" s="323" t="str">
        <f t="shared" si="313"/>
        <v/>
      </c>
      <c r="K1420" s="324" t="str">
        <f t="shared" si="314"/>
        <v/>
      </c>
      <c r="L1420" s="88"/>
      <c r="M1420" s="88"/>
      <c r="N1420" s="88"/>
      <c r="O1420" s="88"/>
      <c r="P1420" s="88"/>
      <c r="Q1420" s="88"/>
      <c r="R1420" s="88"/>
      <c r="S1420" s="620"/>
      <c r="T1420" s="92"/>
      <c r="U1420" s="1214"/>
      <c r="V1420" s="1215"/>
      <c r="W1420" s="168"/>
      <c r="X1420" s="170"/>
    </row>
    <row r="1421" spans="1:24" ht="12.75" customHeight="1">
      <c r="A1421" s="15"/>
      <c r="B1421" s="92" t="str">
        <f t="shared" si="311"/>
        <v/>
      </c>
      <c r="C1421" s="90"/>
      <c r="D1421" s="87"/>
      <c r="E1421" s="88"/>
      <c r="F1421" s="173"/>
      <c r="G1421" s="88"/>
      <c r="H1421" s="88"/>
      <c r="I1421" s="323" t="str">
        <f t="shared" si="312"/>
        <v/>
      </c>
      <c r="J1421" s="323" t="str">
        <f t="shared" si="313"/>
        <v/>
      </c>
      <c r="K1421" s="324" t="str">
        <f t="shared" si="314"/>
        <v/>
      </c>
      <c r="L1421" s="88"/>
      <c r="M1421" s="88"/>
      <c r="N1421" s="88"/>
      <c r="O1421" s="88"/>
      <c r="P1421" s="88"/>
      <c r="Q1421" s="88"/>
      <c r="R1421" s="88"/>
      <c r="S1421" s="620"/>
      <c r="T1421" s="92"/>
      <c r="U1421" s="1214"/>
      <c r="V1421" s="1215"/>
      <c r="W1421" s="168"/>
      <c r="X1421" s="170"/>
    </row>
    <row r="1422" spans="1:24" ht="12.75" customHeight="1">
      <c r="A1422" s="15"/>
      <c r="B1422" s="92" t="str">
        <f t="shared" si="311"/>
        <v/>
      </c>
      <c r="C1422" s="90"/>
      <c r="D1422" s="87"/>
      <c r="E1422" s="88"/>
      <c r="F1422" s="173"/>
      <c r="G1422" s="88"/>
      <c r="H1422" s="88"/>
      <c r="I1422" s="323" t="str">
        <f t="shared" si="312"/>
        <v/>
      </c>
      <c r="J1422" s="323" t="str">
        <f t="shared" si="313"/>
        <v/>
      </c>
      <c r="K1422" s="324" t="str">
        <f t="shared" si="314"/>
        <v/>
      </c>
      <c r="L1422" s="88"/>
      <c r="M1422" s="88"/>
      <c r="N1422" s="88"/>
      <c r="O1422" s="88"/>
      <c r="P1422" s="88"/>
      <c r="Q1422" s="88"/>
      <c r="R1422" s="88"/>
      <c r="S1422" s="620"/>
      <c r="T1422" s="92"/>
      <c r="U1422" s="1214"/>
      <c r="V1422" s="1215"/>
      <c r="W1422" s="168"/>
      <c r="X1422" s="170"/>
    </row>
    <row r="1423" spans="1:24" ht="12.75" customHeight="1">
      <c r="A1423" s="15"/>
      <c r="B1423" s="92" t="str">
        <f t="shared" si="311"/>
        <v/>
      </c>
      <c r="C1423" s="90"/>
      <c r="D1423" s="87"/>
      <c r="E1423" s="88"/>
      <c r="F1423" s="173"/>
      <c r="G1423" s="88"/>
      <c r="H1423" s="88"/>
      <c r="I1423" s="323" t="str">
        <f t="shared" si="312"/>
        <v/>
      </c>
      <c r="J1423" s="323" t="str">
        <f t="shared" si="313"/>
        <v/>
      </c>
      <c r="K1423" s="324" t="str">
        <f t="shared" si="314"/>
        <v/>
      </c>
      <c r="L1423" s="88"/>
      <c r="M1423" s="88"/>
      <c r="N1423" s="88"/>
      <c r="O1423" s="88"/>
      <c r="P1423" s="88"/>
      <c r="Q1423" s="88"/>
      <c r="R1423" s="88"/>
      <c r="S1423" s="620"/>
      <c r="T1423" s="92"/>
      <c r="U1423" s="1214"/>
      <c r="V1423" s="1215"/>
      <c r="W1423" s="168"/>
      <c r="X1423" s="170"/>
    </row>
    <row r="1424" spans="1:24" ht="12.75" customHeight="1">
      <c r="A1424" s="15"/>
      <c r="B1424" s="92" t="str">
        <f t="shared" si="311"/>
        <v/>
      </c>
      <c r="C1424" s="90"/>
      <c r="D1424" s="87"/>
      <c r="E1424" s="88"/>
      <c r="F1424" s="173"/>
      <c r="G1424" s="88"/>
      <c r="H1424" s="88"/>
      <c r="I1424" s="323" t="str">
        <f t="shared" si="312"/>
        <v/>
      </c>
      <c r="J1424" s="323" t="str">
        <f t="shared" si="313"/>
        <v/>
      </c>
      <c r="K1424" s="324" t="str">
        <f t="shared" si="314"/>
        <v/>
      </c>
      <c r="L1424" s="88"/>
      <c r="M1424" s="88"/>
      <c r="N1424" s="88"/>
      <c r="O1424" s="88"/>
      <c r="P1424" s="88"/>
      <c r="Q1424" s="88"/>
      <c r="R1424" s="88"/>
      <c r="S1424" s="620"/>
      <c r="T1424" s="92"/>
      <c r="U1424" s="1214"/>
      <c r="V1424" s="1215"/>
      <c r="W1424" s="168"/>
      <c r="X1424" s="170"/>
    </row>
    <row r="1425" spans="1:24" ht="12.75" customHeight="1">
      <c r="A1425" s="15"/>
      <c r="B1425" s="92" t="str">
        <f t="shared" si="311"/>
        <v/>
      </c>
      <c r="C1425" s="90"/>
      <c r="D1425" s="87"/>
      <c r="E1425" s="88"/>
      <c r="F1425" s="173"/>
      <c r="G1425" s="88"/>
      <c r="H1425" s="88"/>
      <c r="I1425" s="323" t="str">
        <f t="shared" si="312"/>
        <v/>
      </c>
      <c r="J1425" s="323" t="str">
        <f t="shared" si="313"/>
        <v/>
      </c>
      <c r="K1425" s="324" t="str">
        <f t="shared" si="314"/>
        <v/>
      </c>
      <c r="L1425" s="88"/>
      <c r="M1425" s="88"/>
      <c r="N1425" s="88"/>
      <c r="O1425" s="88"/>
      <c r="P1425" s="88"/>
      <c r="Q1425" s="88"/>
      <c r="R1425" s="88"/>
      <c r="S1425" s="620"/>
      <c r="T1425" s="92"/>
      <c r="U1425" s="1214"/>
      <c r="V1425" s="1215"/>
      <c r="W1425" s="168"/>
      <c r="X1425" s="170"/>
    </row>
    <row r="1426" spans="1:24" ht="12.75" customHeight="1">
      <c r="A1426" s="15"/>
      <c r="B1426" s="92" t="str">
        <f t="shared" si="311"/>
        <v/>
      </c>
      <c r="C1426" s="90"/>
      <c r="D1426" s="87"/>
      <c r="E1426" s="88"/>
      <c r="F1426" s="173"/>
      <c r="G1426" s="88"/>
      <c r="H1426" s="88"/>
      <c r="I1426" s="323" t="str">
        <f t="shared" si="312"/>
        <v/>
      </c>
      <c r="J1426" s="323" t="str">
        <f t="shared" si="313"/>
        <v/>
      </c>
      <c r="K1426" s="324" t="str">
        <f t="shared" si="314"/>
        <v/>
      </c>
      <c r="L1426" s="88"/>
      <c r="M1426" s="88"/>
      <c r="N1426" s="88"/>
      <c r="O1426" s="88"/>
      <c r="P1426" s="88"/>
      <c r="Q1426" s="88"/>
      <c r="R1426" s="88"/>
      <c r="S1426" s="620"/>
      <c r="T1426" s="92"/>
      <c r="U1426" s="1214"/>
      <c r="V1426" s="1215"/>
      <c r="W1426" s="168"/>
      <c r="X1426" s="170"/>
    </row>
    <row r="1427" spans="1:24" ht="12.75" customHeight="1">
      <c r="A1427" s="15"/>
      <c r="B1427" s="92" t="str">
        <f t="shared" si="311"/>
        <v/>
      </c>
      <c r="C1427" s="90"/>
      <c r="D1427" s="87"/>
      <c r="E1427" s="88"/>
      <c r="F1427" s="173"/>
      <c r="G1427" s="88"/>
      <c r="H1427" s="88"/>
      <c r="I1427" s="323" t="str">
        <f t="shared" si="312"/>
        <v/>
      </c>
      <c r="J1427" s="323" t="str">
        <f t="shared" si="313"/>
        <v/>
      </c>
      <c r="K1427" s="324" t="str">
        <f t="shared" si="314"/>
        <v/>
      </c>
      <c r="L1427" s="88"/>
      <c r="M1427" s="88"/>
      <c r="N1427" s="88"/>
      <c r="O1427" s="88"/>
      <c r="P1427" s="88"/>
      <c r="Q1427" s="88"/>
      <c r="R1427" s="88"/>
      <c r="S1427" s="620"/>
      <c r="T1427" s="92"/>
      <c r="U1427" s="1214"/>
      <c r="V1427" s="1215"/>
      <c r="W1427" s="168"/>
      <c r="X1427" s="170"/>
    </row>
    <row r="1428" spans="1:24" ht="12.75" customHeight="1">
      <c r="A1428" s="15"/>
      <c r="B1428" s="92" t="str">
        <f t="shared" si="311"/>
        <v/>
      </c>
      <c r="C1428" s="90"/>
      <c r="D1428" s="87"/>
      <c r="E1428" s="88"/>
      <c r="F1428" s="173"/>
      <c r="G1428" s="88"/>
      <c r="H1428" s="88"/>
      <c r="I1428" s="323" t="str">
        <f t="shared" si="312"/>
        <v/>
      </c>
      <c r="J1428" s="323" t="str">
        <f t="shared" si="313"/>
        <v/>
      </c>
      <c r="K1428" s="324" t="str">
        <f t="shared" si="314"/>
        <v/>
      </c>
      <c r="L1428" s="88"/>
      <c r="M1428" s="88"/>
      <c r="N1428" s="88"/>
      <c r="O1428" s="88"/>
      <c r="P1428" s="88"/>
      <c r="Q1428" s="88"/>
      <c r="R1428" s="88"/>
      <c r="S1428" s="620"/>
      <c r="T1428" s="92"/>
      <c r="U1428" s="1214"/>
      <c r="V1428" s="1215"/>
      <c r="W1428" s="168"/>
      <c r="X1428" s="170"/>
    </row>
    <row r="1429" spans="1:24" ht="12.75" customHeight="1">
      <c r="A1429" s="15"/>
      <c r="B1429" s="92" t="str">
        <f t="shared" si="311"/>
        <v/>
      </c>
      <c r="C1429" s="90"/>
      <c r="D1429" s="87"/>
      <c r="E1429" s="88"/>
      <c r="F1429" s="173"/>
      <c r="G1429" s="88"/>
      <c r="H1429" s="88"/>
      <c r="I1429" s="323" t="str">
        <f t="shared" si="312"/>
        <v/>
      </c>
      <c r="J1429" s="323" t="str">
        <f t="shared" si="313"/>
        <v/>
      </c>
      <c r="K1429" s="324" t="str">
        <f t="shared" si="314"/>
        <v/>
      </c>
      <c r="L1429" s="88"/>
      <c r="M1429" s="88"/>
      <c r="N1429" s="88"/>
      <c r="O1429" s="88"/>
      <c r="P1429" s="88"/>
      <c r="Q1429" s="88"/>
      <c r="R1429" s="88"/>
      <c r="S1429" s="620"/>
      <c r="T1429" s="92"/>
      <c r="U1429" s="1214"/>
      <c r="V1429" s="1215"/>
      <c r="W1429" s="168"/>
      <c r="X1429" s="170"/>
    </row>
    <row r="1430" spans="1:24" ht="12.75" customHeight="1">
      <c r="A1430" s="15"/>
      <c r="B1430" s="92" t="str">
        <f t="shared" si="311"/>
        <v/>
      </c>
      <c r="C1430" s="90"/>
      <c r="D1430" s="87"/>
      <c r="E1430" s="88"/>
      <c r="F1430" s="173"/>
      <c r="G1430" s="88"/>
      <c r="H1430" s="88"/>
      <c r="I1430" s="323" t="str">
        <f t="shared" si="312"/>
        <v/>
      </c>
      <c r="J1430" s="323" t="str">
        <f t="shared" si="313"/>
        <v/>
      </c>
      <c r="K1430" s="324" t="str">
        <f t="shared" si="314"/>
        <v/>
      </c>
      <c r="L1430" s="88"/>
      <c r="M1430" s="88"/>
      <c r="N1430" s="88"/>
      <c r="O1430" s="88"/>
      <c r="P1430" s="88"/>
      <c r="Q1430" s="88"/>
      <c r="R1430" s="88"/>
      <c r="S1430" s="620"/>
      <c r="T1430" s="92"/>
      <c r="U1430" s="1214"/>
      <c r="V1430" s="1215"/>
      <c r="W1430" s="168"/>
      <c r="X1430" s="170"/>
    </row>
    <row r="1431" spans="1:24" ht="12.75" customHeight="1">
      <c r="A1431" s="15"/>
      <c r="B1431" s="92" t="str">
        <f t="shared" si="311"/>
        <v/>
      </c>
      <c r="C1431" s="90"/>
      <c r="D1431" s="87"/>
      <c r="E1431" s="88"/>
      <c r="F1431" s="173"/>
      <c r="G1431" s="88"/>
      <c r="H1431" s="88"/>
      <c r="I1431" s="323" t="str">
        <f t="shared" si="312"/>
        <v/>
      </c>
      <c r="J1431" s="323" t="str">
        <f t="shared" si="313"/>
        <v/>
      </c>
      <c r="K1431" s="324" t="str">
        <f t="shared" si="314"/>
        <v/>
      </c>
      <c r="L1431" s="88"/>
      <c r="M1431" s="88"/>
      <c r="N1431" s="88"/>
      <c r="O1431" s="88"/>
      <c r="P1431" s="88"/>
      <c r="Q1431" s="88"/>
      <c r="R1431" s="88"/>
      <c r="S1431" s="620"/>
      <c r="T1431" s="92"/>
      <c r="U1431" s="1214"/>
      <c r="V1431" s="1215"/>
      <c r="W1431" s="168"/>
      <c r="X1431" s="170"/>
    </row>
    <row r="1432" spans="1:24" ht="12.75" customHeight="1">
      <c r="A1432" s="15"/>
      <c r="B1432" s="92" t="str">
        <f t="shared" si="311"/>
        <v/>
      </c>
      <c r="C1432" s="90"/>
      <c r="D1432" s="87"/>
      <c r="E1432" s="88"/>
      <c r="F1432" s="173"/>
      <c r="G1432" s="88"/>
      <c r="H1432" s="88"/>
      <c r="I1432" s="323" t="str">
        <f t="shared" si="312"/>
        <v/>
      </c>
      <c r="J1432" s="323" t="str">
        <f t="shared" si="313"/>
        <v/>
      </c>
      <c r="K1432" s="324" t="str">
        <f t="shared" si="314"/>
        <v/>
      </c>
      <c r="L1432" s="88"/>
      <c r="M1432" s="88"/>
      <c r="N1432" s="88"/>
      <c r="O1432" s="88"/>
      <c r="P1432" s="88"/>
      <c r="Q1432" s="88"/>
      <c r="R1432" s="88"/>
      <c r="S1432" s="620"/>
      <c r="T1432" s="92"/>
      <c r="U1432" s="1214"/>
      <c r="V1432" s="1215"/>
      <c r="W1432" s="168"/>
      <c r="X1432" s="170"/>
    </row>
    <row r="1433" spans="1:24" ht="12.75" customHeight="1">
      <c r="A1433" s="15"/>
      <c r="B1433" s="92" t="str">
        <f t="shared" si="311"/>
        <v/>
      </c>
      <c r="C1433" s="90"/>
      <c r="D1433" s="87"/>
      <c r="E1433" s="88"/>
      <c r="F1433" s="173"/>
      <c r="G1433" s="88"/>
      <c r="H1433" s="88"/>
      <c r="I1433" s="323" t="str">
        <f t="shared" si="312"/>
        <v/>
      </c>
      <c r="J1433" s="323" t="str">
        <f t="shared" si="313"/>
        <v/>
      </c>
      <c r="K1433" s="324" t="str">
        <f t="shared" si="314"/>
        <v/>
      </c>
      <c r="L1433" s="88"/>
      <c r="M1433" s="88"/>
      <c r="N1433" s="88"/>
      <c r="O1433" s="88"/>
      <c r="P1433" s="88"/>
      <c r="Q1433" s="88"/>
      <c r="R1433" s="88"/>
      <c r="S1433" s="620"/>
      <c r="T1433" s="92"/>
      <c r="U1433" s="1214"/>
      <c r="V1433" s="1215"/>
      <c r="W1433" s="168"/>
      <c r="X1433" s="170"/>
    </row>
    <row r="1434" spans="1:24" ht="12.75" customHeight="1">
      <c r="A1434" s="15"/>
      <c r="B1434" s="92" t="str">
        <f t="shared" si="311"/>
        <v/>
      </c>
      <c r="C1434" s="90"/>
      <c r="D1434" s="87"/>
      <c r="E1434" s="88"/>
      <c r="F1434" s="173"/>
      <c r="G1434" s="88"/>
      <c r="H1434" s="88"/>
      <c r="I1434" s="323" t="str">
        <f t="shared" si="312"/>
        <v/>
      </c>
      <c r="J1434" s="323" t="str">
        <f t="shared" si="313"/>
        <v/>
      </c>
      <c r="K1434" s="324" t="str">
        <f t="shared" si="314"/>
        <v/>
      </c>
      <c r="L1434" s="88"/>
      <c r="M1434" s="88"/>
      <c r="N1434" s="88"/>
      <c r="O1434" s="88"/>
      <c r="P1434" s="88"/>
      <c r="Q1434" s="88"/>
      <c r="R1434" s="88"/>
      <c r="S1434" s="620"/>
      <c r="T1434" s="92"/>
      <c r="U1434" s="1214"/>
      <c r="V1434" s="1215"/>
      <c r="W1434" s="168"/>
      <c r="X1434" s="170"/>
    </row>
    <row r="1435" spans="1:24" ht="12.75" customHeight="1">
      <c r="A1435" s="15"/>
      <c r="B1435" s="92" t="str">
        <f t="shared" si="311"/>
        <v/>
      </c>
      <c r="C1435" s="90"/>
      <c r="D1435" s="87"/>
      <c r="E1435" s="88"/>
      <c r="F1435" s="173"/>
      <c r="G1435" s="88"/>
      <c r="H1435" s="88"/>
      <c r="I1435" s="323" t="str">
        <f t="shared" si="312"/>
        <v/>
      </c>
      <c r="J1435" s="323" t="str">
        <f t="shared" si="313"/>
        <v/>
      </c>
      <c r="K1435" s="324" t="str">
        <f t="shared" si="314"/>
        <v/>
      </c>
      <c r="L1435" s="88"/>
      <c r="M1435" s="88"/>
      <c r="N1435" s="88"/>
      <c r="O1435" s="88"/>
      <c r="P1435" s="88"/>
      <c r="Q1435" s="88"/>
      <c r="R1435" s="88"/>
      <c r="S1435" s="620"/>
      <c r="T1435" s="92"/>
      <c r="U1435" s="1214"/>
      <c r="V1435" s="1215"/>
      <c r="W1435" s="168"/>
      <c r="X1435" s="170"/>
    </row>
    <row r="1436" spans="1:24" ht="12.75" customHeight="1">
      <c r="A1436" s="15"/>
      <c r="B1436" s="92" t="str">
        <f t="shared" si="311"/>
        <v/>
      </c>
      <c r="C1436" s="90"/>
      <c r="D1436" s="87"/>
      <c r="E1436" s="88"/>
      <c r="F1436" s="173"/>
      <c r="G1436" s="88"/>
      <c r="H1436" s="88"/>
      <c r="I1436" s="323" t="str">
        <f t="shared" si="312"/>
        <v/>
      </c>
      <c r="J1436" s="323" t="str">
        <f t="shared" si="313"/>
        <v/>
      </c>
      <c r="K1436" s="324" t="str">
        <f t="shared" si="314"/>
        <v/>
      </c>
      <c r="L1436" s="88"/>
      <c r="M1436" s="88"/>
      <c r="N1436" s="88"/>
      <c r="O1436" s="88"/>
      <c r="P1436" s="88"/>
      <c r="Q1436" s="88"/>
      <c r="R1436" s="88"/>
      <c r="S1436" s="620"/>
      <c r="T1436" s="92"/>
      <c r="U1436" s="1214"/>
      <c r="V1436" s="1215"/>
      <c r="W1436" s="168"/>
      <c r="X1436" s="170"/>
    </row>
    <row r="1437" spans="1:24" ht="12.75" customHeight="1">
      <c r="A1437" s="15"/>
      <c r="B1437" s="92" t="str">
        <f t="shared" si="311"/>
        <v/>
      </c>
      <c r="C1437" s="90"/>
      <c r="D1437" s="87"/>
      <c r="E1437" s="88"/>
      <c r="F1437" s="173"/>
      <c r="G1437" s="88"/>
      <c r="H1437" s="88"/>
      <c r="I1437" s="323" t="str">
        <f t="shared" si="312"/>
        <v/>
      </c>
      <c r="J1437" s="323" t="str">
        <f t="shared" si="313"/>
        <v/>
      </c>
      <c r="K1437" s="324" t="str">
        <f t="shared" si="314"/>
        <v/>
      </c>
      <c r="L1437" s="88"/>
      <c r="M1437" s="88"/>
      <c r="N1437" s="88"/>
      <c r="O1437" s="88"/>
      <c r="P1437" s="88"/>
      <c r="Q1437" s="88"/>
      <c r="R1437" s="88"/>
      <c r="S1437" s="620"/>
      <c r="T1437" s="92"/>
      <c r="U1437" s="1214"/>
      <c r="V1437" s="1215"/>
      <c r="W1437" s="168"/>
      <c r="X1437" s="170"/>
    </row>
    <row r="1438" spans="1:24" ht="12.75" customHeight="1">
      <c r="A1438" s="15"/>
      <c r="B1438" s="92" t="str">
        <f t="shared" si="311"/>
        <v/>
      </c>
      <c r="C1438" s="90"/>
      <c r="D1438" s="87"/>
      <c r="E1438" s="88"/>
      <c r="F1438" s="173"/>
      <c r="G1438" s="88"/>
      <c r="H1438" s="88"/>
      <c r="I1438" s="323" t="str">
        <f t="shared" si="312"/>
        <v/>
      </c>
      <c r="J1438" s="323" t="str">
        <f t="shared" si="313"/>
        <v/>
      </c>
      <c r="K1438" s="324" t="str">
        <f t="shared" si="314"/>
        <v/>
      </c>
      <c r="L1438" s="88"/>
      <c r="M1438" s="88"/>
      <c r="N1438" s="88"/>
      <c r="O1438" s="88"/>
      <c r="P1438" s="88"/>
      <c r="Q1438" s="88"/>
      <c r="R1438" s="88"/>
      <c r="S1438" s="620"/>
      <c r="T1438" s="92"/>
      <c r="U1438" s="1214"/>
      <c r="V1438" s="1215"/>
      <c r="W1438" s="168"/>
      <c r="X1438" s="170"/>
    </row>
    <row r="1439" spans="1:24" ht="12.75" customHeight="1">
      <c r="A1439" s="15"/>
      <c r="B1439" s="92" t="str">
        <f t="shared" si="311"/>
        <v/>
      </c>
      <c r="C1439" s="90"/>
      <c r="D1439" s="87"/>
      <c r="E1439" s="88"/>
      <c r="F1439" s="173"/>
      <c r="G1439" s="88"/>
      <c r="H1439" s="88"/>
      <c r="I1439" s="323" t="str">
        <f t="shared" si="312"/>
        <v/>
      </c>
      <c r="J1439" s="323" t="str">
        <f t="shared" si="313"/>
        <v/>
      </c>
      <c r="K1439" s="324" t="str">
        <f t="shared" si="314"/>
        <v/>
      </c>
      <c r="L1439" s="88"/>
      <c r="M1439" s="88"/>
      <c r="N1439" s="88"/>
      <c r="O1439" s="88"/>
      <c r="P1439" s="88"/>
      <c r="Q1439" s="88"/>
      <c r="R1439" s="88"/>
      <c r="S1439" s="620"/>
      <c r="T1439" s="92"/>
      <c r="U1439" s="1214"/>
      <c r="V1439" s="1215"/>
      <c r="W1439" s="168"/>
      <c r="X1439" s="170"/>
    </row>
    <row r="1440" spans="1:24" ht="12.75" customHeight="1">
      <c r="A1440" s="15"/>
      <c r="B1440" s="92" t="str">
        <f t="shared" si="311"/>
        <v/>
      </c>
      <c r="C1440" s="90"/>
      <c r="D1440" s="87"/>
      <c r="E1440" s="88"/>
      <c r="F1440" s="173"/>
      <c r="G1440" s="88"/>
      <c r="H1440" s="88"/>
      <c r="I1440" s="323" t="str">
        <f t="shared" si="312"/>
        <v/>
      </c>
      <c r="J1440" s="323" t="str">
        <f t="shared" si="313"/>
        <v/>
      </c>
      <c r="K1440" s="324" t="str">
        <f t="shared" si="314"/>
        <v/>
      </c>
      <c r="L1440" s="88"/>
      <c r="M1440" s="88"/>
      <c r="N1440" s="88"/>
      <c r="O1440" s="88"/>
      <c r="P1440" s="88"/>
      <c r="Q1440" s="88"/>
      <c r="R1440" s="88"/>
      <c r="S1440" s="620"/>
      <c r="T1440" s="92"/>
      <c r="U1440" s="1214"/>
      <c r="V1440" s="1215"/>
      <c r="W1440" s="168"/>
      <c r="X1440" s="170"/>
    </row>
    <row r="1441" spans="1:24" ht="12.75" customHeight="1">
      <c r="A1441" s="15"/>
      <c r="B1441" s="92" t="str">
        <f t="shared" si="311"/>
        <v/>
      </c>
      <c r="C1441" s="90"/>
      <c r="D1441" s="87"/>
      <c r="E1441" s="88"/>
      <c r="F1441" s="173"/>
      <c r="G1441" s="88"/>
      <c r="H1441" s="88"/>
      <c r="I1441" s="323" t="str">
        <f t="shared" si="312"/>
        <v/>
      </c>
      <c r="J1441" s="323" t="str">
        <f t="shared" si="313"/>
        <v/>
      </c>
      <c r="K1441" s="324" t="str">
        <f t="shared" si="314"/>
        <v/>
      </c>
      <c r="L1441" s="88"/>
      <c r="M1441" s="88"/>
      <c r="N1441" s="88"/>
      <c r="O1441" s="88"/>
      <c r="P1441" s="88"/>
      <c r="Q1441" s="88"/>
      <c r="R1441" s="88"/>
      <c r="S1441" s="620"/>
      <c r="T1441" s="92"/>
      <c r="U1441" s="1214"/>
      <c r="V1441" s="1215"/>
      <c r="W1441" s="168"/>
      <c r="X1441" s="170"/>
    </row>
    <row r="1442" spans="1:24" ht="12.75" customHeight="1">
      <c r="A1442" s="15"/>
      <c r="B1442" s="92" t="str">
        <f t="shared" si="311"/>
        <v/>
      </c>
      <c r="C1442" s="90"/>
      <c r="D1442" s="87"/>
      <c r="E1442" s="88"/>
      <c r="F1442" s="173"/>
      <c r="G1442" s="88"/>
      <c r="H1442" s="88"/>
      <c r="I1442" s="323" t="str">
        <f t="shared" si="312"/>
        <v/>
      </c>
      <c r="J1442" s="323" t="str">
        <f t="shared" si="313"/>
        <v/>
      </c>
      <c r="K1442" s="324" t="str">
        <f t="shared" si="314"/>
        <v/>
      </c>
      <c r="L1442" s="88"/>
      <c r="M1442" s="88"/>
      <c r="N1442" s="88"/>
      <c r="O1442" s="88"/>
      <c r="P1442" s="88"/>
      <c r="Q1442" s="88"/>
      <c r="R1442" s="88"/>
      <c r="S1442" s="620"/>
      <c r="T1442" s="92"/>
      <c r="U1442" s="1214"/>
      <c r="V1442" s="1215"/>
      <c r="W1442" s="168"/>
      <c r="X1442" s="170"/>
    </row>
    <row r="1443" spans="1:24" ht="12.75" customHeight="1">
      <c r="A1443" s="15"/>
      <c r="B1443" s="92" t="str">
        <f t="shared" si="311"/>
        <v/>
      </c>
      <c r="C1443" s="90"/>
      <c r="D1443" s="87"/>
      <c r="E1443" s="88"/>
      <c r="F1443" s="173"/>
      <c r="G1443" s="88"/>
      <c r="H1443" s="88"/>
      <c r="I1443" s="323" t="str">
        <f t="shared" si="312"/>
        <v/>
      </c>
      <c r="J1443" s="323" t="str">
        <f t="shared" si="313"/>
        <v/>
      </c>
      <c r="K1443" s="324" t="str">
        <f t="shared" si="314"/>
        <v/>
      </c>
      <c r="L1443" s="88"/>
      <c r="M1443" s="88"/>
      <c r="N1443" s="88"/>
      <c r="O1443" s="88"/>
      <c r="P1443" s="88"/>
      <c r="Q1443" s="88"/>
      <c r="R1443" s="88"/>
      <c r="S1443" s="620"/>
      <c r="T1443" s="92"/>
      <c r="U1443" s="1214"/>
      <c r="V1443" s="1215"/>
      <c r="W1443" s="168"/>
      <c r="X1443" s="170"/>
    </row>
    <row r="1444" spans="1:24" ht="12.75" customHeight="1">
      <c r="A1444" s="15"/>
      <c r="B1444" s="92" t="str">
        <f t="shared" si="311"/>
        <v/>
      </c>
      <c r="C1444" s="90"/>
      <c r="D1444" s="87"/>
      <c r="E1444" s="88"/>
      <c r="F1444" s="173"/>
      <c r="G1444" s="88"/>
      <c r="H1444" s="88"/>
      <c r="I1444" s="323" t="str">
        <f t="shared" si="312"/>
        <v/>
      </c>
      <c r="J1444" s="323" t="str">
        <f t="shared" si="313"/>
        <v/>
      </c>
      <c r="K1444" s="324" t="str">
        <f t="shared" si="314"/>
        <v/>
      </c>
      <c r="L1444" s="88"/>
      <c r="M1444" s="88"/>
      <c r="N1444" s="88"/>
      <c r="O1444" s="88"/>
      <c r="P1444" s="88"/>
      <c r="Q1444" s="88"/>
      <c r="R1444" s="88"/>
      <c r="S1444" s="620"/>
      <c r="T1444" s="92"/>
      <c r="U1444" s="1214"/>
      <c r="V1444" s="1215"/>
      <c r="W1444" s="168"/>
      <c r="X1444" s="170"/>
    </row>
    <row r="1445" spans="1:24" ht="12.75" customHeight="1">
      <c r="A1445" s="15"/>
      <c r="B1445" s="92" t="str">
        <f t="shared" si="311"/>
        <v/>
      </c>
      <c r="C1445" s="90"/>
      <c r="D1445" s="87"/>
      <c r="E1445" s="88"/>
      <c r="F1445" s="173"/>
      <c r="G1445" s="88"/>
      <c r="H1445" s="88"/>
      <c r="I1445" s="323" t="str">
        <f t="shared" si="312"/>
        <v/>
      </c>
      <c r="J1445" s="323" t="str">
        <f t="shared" si="313"/>
        <v/>
      </c>
      <c r="K1445" s="324" t="str">
        <f t="shared" si="314"/>
        <v/>
      </c>
      <c r="L1445" s="88"/>
      <c r="M1445" s="88"/>
      <c r="N1445" s="88"/>
      <c r="O1445" s="88"/>
      <c r="P1445" s="88"/>
      <c r="Q1445" s="88"/>
      <c r="R1445" s="88"/>
      <c r="S1445" s="620"/>
      <c r="T1445" s="92"/>
      <c r="U1445" s="1214"/>
      <c r="V1445" s="1215"/>
      <c r="W1445" s="168"/>
      <c r="X1445" s="170"/>
    </row>
    <row r="1446" spans="1:24" ht="12.75" customHeight="1">
      <c r="A1446" s="15"/>
      <c r="B1446" s="92" t="str">
        <f t="shared" si="311"/>
        <v/>
      </c>
      <c r="C1446" s="90"/>
      <c r="D1446" s="87"/>
      <c r="E1446" s="88"/>
      <c r="F1446" s="173"/>
      <c r="G1446" s="88"/>
      <c r="H1446" s="88"/>
      <c r="I1446" s="323" t="str">
        <f t="shared" si="312"/>
        <v/>
      </c>
      <c r="J1446" s="323" t="str">
        <f t="shared" si="313"/>
        <v/>
      </c>
      <c r="K1446" s="324" t="str">
        <f t="shared" si="314"/>
        <v/>
      </c>
      <c r="L1446" s="88"/>
      <c r="M1446" s="88"/>
      <c r="N1446" s="88"/>
      <c r="O1446" s="88"/>
      <c r="P1446" s="88"/>
      <c r="Q1446" s="88"/>
      <c r="R1446" s="88"/>
      <c r="S1446" s="620"/>
      <c r="T1446" s="92"/>
      <c r="U1446" s="1214"/>
      <c r="V1446" s="1215"/>
      <c r="W1446" s="168"/>
      <c r="X1446" s="170"/>
    </row>
    <row r="1447" spans="1:24" ht="12.75" customHeight="1">
      <c r="A1447" s="15"/>
      <c r="B1447" s="92" t="str">
        <f t="shared" si="311"/>
        <v/>
      </c>
      <c r="C1447" s="90"/>
      <c r="D1447" s="87"/>
      <c r="E1447" s="88"/>
      <c r="F1447" s="173"/>
      <c r="G1447" s="88"/>
      <c r="H1447" s="88"/>
      <c r="I1447" s="323" t="str">
        <f t="shared" si="312"/>
        <v/>
      </c>
      <c r="J1447" s="323" t="str">
        <f t="shared" si="313"/>
        <v/>
      </c>
      <c r="K1447" s="324" t="str">
        <f t="shared" si="314"/>
        <v/>
      </c>
      <c r="L1447" s="88"/>
      <c r="M1447" s="88"/>
      <c r="N1447" s="88"/>
      <c r="O1447" s="88"/>
      <c r="P1447" s="88"/>
      <c r="Q1447" s="88"/>
      <c r="R1447" s="88"/>
      <c r="S1447" s="620"/>
      <c r="T1447" s="92"/>
      <c r="U1447" s="1214"/>
      <c r="V1447" s="1215"/>
      <c r="W1447" s="168"/>
      <c r="X1447" s="170"/>
    </row>
    <row r="1448" spans="1:24" ht="12.75" customHeight="1">
      <c r="A1448" s="15"/>
      <c r="B1448" s="92" t="str">
        <f t="shared" si="311"/>
        <v/>
      </c>
      <c r="C1448" s="90"/>
      <c r="D1448" s="87"/>
      <c r="E1448" s="88"/>
      <c r="F1448" s="173"/>
      <c r="G1448" s="88"/>
      <c r="H1448" s="88"/>
      <c r="I1448" s="323" t="str">
        <f t="shared" si="312"/>
        <v/>
      </c>
      <c r="J1448" s="323" t="str">
        <f t="shared" si="313"/>
        <v/>
      </c>
      <c r="K1448" s="324" t="str">
        <f t="shared" si="314"/>
        <v/>
      </c>
      <c r="L1448" s="88"/>
      <c r="M1448" s="88"/>
      <c r="N1448" s="88"/>
      <c r="O1448" s="88"/>
      <c r="P1448" s="88"/>
      <c r="Q1448" s="88"/>
      <c r="R1448" s="88"/>
      <c r="S1448" s="620"/>
      <c r="T1448" s="92"/>
      <c r="U1448" s="1214"/>
      <c r="V1448" s="1215"/>
      <c r="W1448" s="168"/>
      <c r="X1448" s="170"/>
    </row>
    <row r="1449" spans="1:24" ht="12.75" customHeight="1">
      <c r="A1449" s="15"/>
      <c r="B1449" s="92" t="str">
        <f t="shared" si="311"/>
        <v/>
      </c>
      <c r="C1449" s="90"/>
      <c r="D1449" s="87"/>
      <c r="E1449" s="88"/>
      <c r="F1449" s="173"/>
      <c r="G1449" s="88"/>
      <c r="H1449" s="88"/>
      <c r="I1449" s="323" t="str">
        <f t="shared" si="312"/>
        <v/>
      </c>
      <c r="J1449" s="323" t="str">
        <f t="shared" si="313"/>
        <v/>
      </c>
      <c r="K1449" s="324" t="str">
        <f t="shared" si="314"/>
        <v/>
      </c>
      <c r="L1449" s="88"/>
      <c r="M1449" s="88"/>
      <c r="N1449" s="88"/>
      <c r="O1449" s="88"/>
      <c r="P1449" s="88"/>
      <c r="Q1449" s="88"/>
      <c r="R1449" s="88"/>
      <c r="S1449" s="620"/>
      <c r="T1449" s="92"/>
      <c r="U1449" s="1214"/>
      <c r="V1449" s="1215"/>
      <c r="W1449" s="168"/>
      <c r="X1449" s="170"/>
    </row>
    <row r="1450" spans="1:24" ht="12.75" customHeight="1">
      <c r="A1450" s="15"/>
      <c r="B1450" s="92" t="str">
        <f t="shared" si="311"/>
        <v/>
      </c>
      <c r="C1450" s="90"/>
      <c r="D1450" s="87"/>
      <c r="E1450" s="88"/>
      <c r="F1450" s="173"/>
      <c r="G1450" s="88"/>
      <c r="H1450" s="88"/>
      <c r="I1450" s="323" t="str">
        <f t="shared" si="312"/>
        <v/>
      </c>
      <c r="J1450" s="323" t="str">
        <f t="shared" si="313"/>
        <v/>
      </c>
      <c r="K1450" s="324" t="str">
        <f t="shared" si="314"/>
        <v/>
      </c>
      <c r="L1450" s="88"/>
      <c r="M1450" s="88"/>
      <c r="N1450" s="88"/>
      <c r="O1450" s="88"/>
      <c r="P1450" s="88"/>
      <c r="Q1450" s="88"/>
      <c r="R1450" s="88"/>
      <c r="S1450" s="620"/>
      <c r="T1450" s="92"/>
      <c r="U1450" s="1214"/>
      <c r="V1450" s="1215"/>
      <c r="W1450" s="168"/>
      <c r="X1450" s="170"/>
    </row>
    <row r="1451" spans="1:24" ht="12.75" customHeight="1">
      <c r="A1451" s="15"/>
      <c r="B1451" s="92" t="str">
        <f t="shared" si="311"/>
        <v/>
      </c>
      <c r="C1451" s="90"/>
      <c r="D1451" s="87"/>
      <c r="E1451" s="88"/>
      <c r="F1451" s="173"/>
      <c r="G1451" s="88"/>
      <c r="H1451" s="88"/>
      <c r="I1451" s="323" t="str">
        <f t="shared" si="312"/>
        <v/>
      </c>
      <c r="J1451" s="323" t="str">
        <f t="shared" si="313"/>
        <v/>
      </c>
      <c r="K1451" s="324" t="str">
        <f t="shared" si="314"/>
        <v/>
      </c>
      <c r="L1451" s="88"/>
      <c r="M1451" s="88"/>
      <c r="N1451" s="88"/>
      <c r="O1451" s="88"/>
      <c r="P1451" s="88"/>
      <c r="Q1451" s="88"/>
      <c r="R1451" s="88"/>
      <c r="S1451" s="620"/>
      <c r="T1451" s="92"/>
      <c r="U1451" s="1214"/>
      <c r="V1451" s="1215"/>
      <c r="W1451" s="168"/>
      <c r="X1451" s="170"/>
    </row>
    <row r="1452" spans="1:24" ht="12.75" customHeight="1">
      <c r="A1452" s="15"/>
      <c r="B1452" s="92" t="str">
        <f t="shared" si="311"/>
        <v/>
      </c>
      <c r="C1452" s="90"/>
      <c r="D1452" s="87"/>
      <c r="E1452" s="88"/>
      <c r="F1452" s="173"/>
      <c r="G1452" s="88"/>
      <c r="H1452" s="88"/>
      <c r="I1452" s="323" t="str">
        <f t="shared" si="312"/>
        <v/>
      </c>
      <c r="J1452" s="323" t="str">
        <f t="shared" si="313"/>
        <v/>
      </c>
      <c r="K1452" s="324" t="str">
        <f t="shared" si="314"/>
        <v/>
      </c>
      <c r="L1452" s="88"/>
      <c r="M1452" s="88"/>
      <c r="N1452" s="88"/>
      <c r="O1452" s="88"/>
      <c r="P1452" s="88"/>
      <c r="Q1452" s="88"/>
      <c r="R1452" s="88"/>
      <c r="S1452" s="620"/>
      <c r="T1452" s="92"/>
      <c r="U1452" s="1214"/>
      <c r="V1452" s="1215"/>
      <c r="W1452" s="168"/>
      <c r="X1452" s="170"/>
    </row>
    <row r="1453" spans="1:24" ht="12.75" customHeight="1">
      <c r="A1453" s="15"/>
      <c r="B1453" s="92" t="str">
        <f t="shared" si="311"/>
        <v/>
      </c>
      <c r="C1453" s="90"/>
      <c r="D1453" s="87"/>
      <c r="E1453" s="88"/>
      <c r="F1453" s="173"/>
      <c r="G1453" s="88"/>
      <c r="H1453" s="88"/>
      <c r="I1453" s="323" t="str">
        <f t="shared" si="312"/>
        <v/>
      </c>
      <c r="J1453" s="323" t="str">
        <f t="shared" si="313"/>
        <v/>
      </c>
      <c r="K1453" s="324" t="str">
        <f t="shared" si="314"/>
        <v/>
      </c>
      <c r="L1453" s="88"/>
      <c r="M1453" s="88"/>
      <c r="N1453" s="88"/>
      <c r="O1453" s="88"/>
      <c r="P1453" s="88"/>
      <c r="Q1453" s="88"/>
      <c r="R1453" s="88"/>
      <c r="S1453" s="620"/>
      <c r="T1453" s="92"/>
      <c r="U1453" s="1214"/>
      <c r="V1453" s="1215"/>
      <c r="W1453" s="168"/>
      <c r="X1453" s="170"/>
    </row>
    <row r="1454" spans="1:24" ht="12.75" customHeight="1">
      <c r="A1454" s="15"/>
      <c r="B1454" s="92" t="str">
        <f t="shared" si="311"/>
        <v/>
      </c>
      <c r="C1454" s="90"/>
      <c r="D1454" s="87"/>
      <c r="E1454" s="88"/>
      <c r="F1454" s="173"/>
      <c r="G1454" s="88"/>
      <c r="H1454" s="88"/>
      <c r="I1454" s="323" t="str">
        <f t="shared" si="312"/>
        <v/>
      </c>
      <c r="J1454" s="323" t="str">
        <f t="shared" si="313"/>
        <v/>
      </c>
      <c r="K1454" s="324" t="str">
        <f t="shared" si="314"/>
        <v/>
      </c>
      <c r="L1454" s="88"/>
      <c r="M1454" s="88"/>
      <c r="N1454" s="88"/>
      <c r="O1454" s="88"/>
      <c r="P1454" s="88"/>
      <c r="Q1454" s="88"/>
      <c r="R1454" s="88"/>
      <c r="S1454" s="620"/>
      <c r="T1454" s="92"/>
      <c r="U1454" s="1214"/>
      <c r="V1454" s="1215"/>
      <c r="W1454" s="168"/>
      <c r="X1454" s="170"/>
    </row>
    <row r="1455" spans="1:24" ht="12.75" customHeight="1">
      <c r="A1455" s="15"/>
      <c r="B1455" s="92" t="str">
        <f t="shared" ref="B1455:B1518" si="315">IF(C1455="","",ROW()-5)</f>
        <v/>
      </c>
      <c r="C1455" s="90"/>
      <c r="D1455" s="87"/>
      <c r="E1455" s="88"/>
      <c r="F1455" s="173"/>
      <c r="G1455" s="88"/>
      <c r="H1455" s="88"/>
      <c r="I1455" s="323" t="str">
        <f t="shared" si="312"/>
        <v/>
      </c>
      <c r="J1455" s="323" t="str">
        <f t="shared" si="313"/>
        <v/>
      </c>
      <c r="K1455" s="324" t="str">
        <f t="shared" si="314"/>
        <v/>
      </c>
      <c r="L1455" s="88"/>
      <c r="M1455" s="88"/>
      <c r="N1455" s="88"/>
      <c r="O1455" s="88"/>
      <c r="P1455" s="88"/>
      <c r="Q1455" s="88"/>
      <c r="R1455" s="88"/>
      <c r="S1455" s="620"/>
      <c r="T1455" s="92"/>
      <c r="U1455" s="1214"/>
      <c r="V1455" s="1215"/>
      <c r="W1455" s="168"/>
      <c r="X1455" s="170"/>
    </row>
    <row r="1456" spans="1:24" ht="12.75" customHeight="1">
      <c r="A1456" s="15"/>
      <c r="B1456" s="92" t="str">
        <f t="shared" si="315"/>
        <v/>
      </c>
      <c r="C1456" s="90"/>
      <c r="D1456" s="87"/>
      <c r="E1456" s="88"/>
      <c r="F1456" s="173"/>
      <c r="G1456" s="88"/>
      <c r="H1456" s="88"/>
      <c r="I1456" s="323" t="str">
        <f t="shared" si="312"/>
        <v/>
      </c>
      <c r="J1456" s="323" t="str">
        <f t="shared" si="313"/>
        <v/>
      </c>
      <c r="K1456" s="324" t="str">
        <f t="shared" si="314"/>
        <v/>
      </c>
      <c r="L1456" s="88"/>
      <c r="M1456" s="88"/>
      <c r="N1456" s="88"/>
      <c r="O1456" s="88"/>
      <c r="P1456" s="88"/>
      <c r="Q1456" s="88"/>
      <c r="R1456" s="88"/>
      <c r="S1456" s="620"/>
      <c r="T1456" s="92"/>
      <c r="U1456" s="1214"/>
      <c r="V1456" s="1215"/>
      <c r="W1456" s="168"/>
      <c r="X1456" s="170"/>
    </row>
    <row r="1457" spans="1:24" ht="12.75" customHeight="1">
      <c r="A1457" s="15"/>
      <c r="B1457" s="92" t="str">
        <f t="shared" si="315"/>
        <v/>
      </c>
      <c r="C1457" s="90"/>
      <c r="D1457" s="87"/>
      <c r="E1457" s="88"/>
      <c r="F1457" s="173"/>
      <c r="G1457" s="88"/>
      <c r="H1457" s="88"/>
      <c r="I1457" s="323" t="str">
        <f t="shared" si="312"/>
        <v/>
      </c>
      <c r="J1457" s="323" t="str">
        <f t="shared" si="313"/>
        <v/>
      </c>
      <c r="K1457" s="324" t="str">
        <f t="shared" si="314"/>
        <v/>
      </c>
      <c r="L1457" s="88"/>
      <c r="M1457" s="88"/>
      <c r="N1457" s="88"/>
      <c r="O1457" s="88"/>
      <c r="P1457" s="88"/>
      <c r="Q1457" s="88"/>
      <c r="R1457" s="88"/>
      <c r="S1457" s="620"/>
      <c r="T1457" s="92"/>
      <c r="U1457" s="1214"/>
      <c r="V1457" s="1215"/>
      <c r="W1457" s="168"/>
      <c r="X1457" s="170"/>
    </row>
    <row r="1458" spans="1:24" ht="12.75" customHeight="1">
      <c r="A1458" s="15"/>
      <c r="B1458" s="92" t="str">
        <f t="shared" si="315"/>
        <v/>
      </c>
      <c r="C1458" s="90"/>
      <c r="D1458" s="87"/>
      <c r="E1458" s="88"/>
      <c r="F1458" s="173"/>
      <c r="G1458" s="88"/>
      <c r="H1458" s="88"/>
      <c r="I1458" s="323" t="str">
        <f t="shared" si="312"/>
        <v/>
      </c>
      <c r="J1458" s="323" t="str">
        <f t="shared" si="313"/>
        <v/>
      </c>
      <c r="K1458" s="324" t="str">
        <f t="shared" si="314"/>
        <v/>
      </c>
      <c r="L1458" s="88"/>
      <c r="M1458" s="88"/>
      <c r="N1458" s="88"/>
      <c r="O1458" s="88"/>
      <c r="P1458" s="88"/>
      <c r="Q1458" s="88"/>
      <c r="R1458" s="88"/>
      <c r="S1458" s="620"/>
      <c r="T1458" s="92"/>
      <c r="U1458" s="1214"/>
      <c r="V1458" s="1215"/>
      <c r="W1458" s="168"/>
      <c r="X1458" s="170"/>
    </row>
    <row r="1459" spans="1:24" ht="12.75" customHeight="1">
      <c r="A1459" s="15"/>
      <c r="B1459" s="92" t="str">
        <f t="shared" si="315"/>
        <v/>
      </c>
      <c r="C1459" s="90"/>
      <c r="D1459" s="87"/>
      <c r="E1459" s="88"/>
      <c r="F1459" s="173"/>
      <c r="G1459" s="88"/>
      <c r="H1459" s="88"/>
      <c r="I1459" s="323" t="str">
        <f t="shared" si="312"/>
        <v/>
      </c>
      <c r="J1459" s="323" t="str">
        <f t="shared" si="313"/>
        <v/>
      </c>
      <c r="K1459" s="324" t="str">
        <f t="shared" si="314"/>
        <v/>
      </c>
      <c r="L1459" s="88"/>
      <c r="M1459" s="88"/>
      <c r="N1459" s="88"/>
      <c r="O1459" s="88"/>
      <c r="P1459" s="88"/>
      <c r="Q1459" s="88"/>
      <c r="R1459" s="88"/>
      <c r="S1459" s="620"/>
      <c r="T1459" s="92"/>
      <c r="U1459" s="1214"/>
      <c r="V1459" s="1215"/>
      <c r="W1459" s="168"/>
      <c r="X1459" s="170"/>
    </row>
    <row r="1460" spans="1:24" ht="12.75" customHeight="1">
      <c r="A1460" s="15"/>
      <c r="B1460" s="92" t="str">
        <f t="shared" si="315"/>
        <v/>
      </c>
      <c r="C1460" s="90"/>
      <c r="D1460" s="87"/>
      <c r="E1460" s="88"/>
      <c r="F1460" s="173"/>
      <c r="G1460" s="88"/>
      <c r="H1460" s="88"/>
      <c r="I1460" s="323" t="str">
        <f t="shared" si="312"/>
        <v/>
      </c>
      <c r="J1460" s="323" t="str">
        <f t="shared" si="313"/>
        <v/>
      </c>
      <c r="K1460" s="324" t="str">
        <f t="shared" si="314"/>
        <v/>
      </c>
      <c r="L1460" s="88"/>
      <c r="M1460" s="88"/>
      <c r="N1460" s="88"/>
      <c r="O1460" s="88"/>
      <c r="P1460" s="88"/>
      <c r="Q1460" s="88"/>
      <c r="R1460" s="88"/>
      <c r="S1460" s="620"/>
      <c r="T1460" s="92"/>
      <c r="U1460" s="1214"/>
      <c r="V1460" s="1215"/>
      <c r="W1460" s="168"/>
      <c r="X1460" s="170"/>
    </row>
    <row r="1461" spans="1:24" ht="12.75" customHeight="1">
      <c r="A1461" s="15"/>
      <c r="B1461" s="92" t="str">
        <f t="shared" si="315"/>
        <v/>
      </c>
      <c r="C1461" s="90"/>
      <c r="D1461" s="87"/>
      <c r="E1461" s="88"/>
      <c r="F1461" s="173"/>
      <c r="G1461" s="88"/>
      <c r="H1461" s="88"/>
      <c r="I1461" s="323" t="str">
        <f t="shared" si="312"/>
        <v/>
      </c>
      <c r="J1461" s="323" t="str">
        <f t="shared" si="313"/>
        <v/>
      </c>
      <c r="K1461" s="324" t="str">
        <f t="shared" si="314"/>
        <v/>
      </c>
      <c r="L1461" s="88"/>
      <c r="M1461" s="88"/>
      <c r="N1461" s="88"/>
      <c r="O1461" s="88"/>
      <c r="P1461" s="88"/>
      <c r="Q1461" s="88"/>
      <c r="R1461" s="88"/>
      <c r="S1461" s="620"/>
      <c r="T1461" s="92"/>
      <c r="U1461" s="1214"/>
      <c r="V1461" s="1215"/>
      <c r="W1461" s="168"/>
      <c r="X1461" s="170"/>
    </row>
    <row r="1462" spans="1:24" ht="12.75" customHeight="1">
      <c r="A1462" s="15"/>
      <c r="B1462" s="92" t="str">
        <f t="shared" si="315"/>
        <v/>
      </c>
      <c r="C1462" s="90"/>
      <c r="D1462" s="87"/>
      <c r="E1462" s="88"/>
      <c r="F1462" s="173"/>
      <c r="G1462" s="88"/>
      <c r="H1462" s="88"/>
      <c r="I1462" s="323" t="str">
        <f t="shared" si="312"/>
        <v/>
      </c>
      <c r="J1462" s="323" t="str">
        <f t="shared" si="313"/>
        <v/>
      </c>
      <c r="K1462" s="324" t="str">
        <f t="shared" si="314"/>
        <v/>
      </c>
      <c r="L1462" s="88"/>
      <c r="M1462" s="88"/>
      <c r="N1462" s="88"/>
      <c r="O1462" s="88"/>
      <c r="P1462" s="88"/>
      <c r="Q1462" s="88"/>
      <c r="R1462" s="88"/>
      <c r="S1462" s="620"/>
      <c r="T1462" s="92"/>
      <c r="U1462" s="1214"/>
      <c r="V1462" s="1215"/>
      <c r="W1462" s="168"/>
      <c r="X1462" s="170"/>
    </row>
    <row r="1463" spans="1:24" ht="12.75" customHeight="1">
      <c r="A1463" s="15"/>
      <c r="B1463" s="92" t="str">
        <f t="shared" si="315"/>
        <v/>
      </c>
      <c r="C1463" s="90"/>
      <c r="D1463" s="87"/>
      <c r="E1463" s="88"/>
      <c r="F1463" s="173"/>
      <c r="G1463" s="88"/>
      <c r="H1463" s="88"/>
      <c r="I1463" s="323" t="str">
        <f t="shared" si="312"/>
        <v/>
      </c>
      <c r="J1463" s="323" t="str">
        <f t="shared" si="313"/>
        <v/>
      </c>
      <c r="K1463" s="324" t="str">
        <f t="shared" si="314"/>
        <v/>
      </c>
      <c r="L1463" s="88"/>
      <c r="M1463" s="88"/>
      <c r="N1463" s="88"/>
      <c r="O1463" s="88"/>
      <c r="P1463" s="88"/>
      <c r="Q1463" s="88"/>
      <c r="R1463" s="88"/>
      <c r="S1463" s="620"/>
      <c r="T1463" s="92"/>
      <c r="U1463" s="1214"/>
      <c r="V1463" s="1215"/>
      <c r="W1463" s="168"/>
      <c r="X1463" s="170"/>
    </row>
    <row r="1464" spans="1:24" ht="12.75" customHeight="1">
      <c r="A1464" s="15"/>
      <c r="B1464" s="92" t="str">
        <f t="shared" si="315"/>
        <v/>
      </c>
      <c r="C1464" s="90"/>
      <c r="D1464" s="87"/>
      <c r="E1464" s="88"/>
      <c r="F1464" s="173"/>
      <c r="G1464" s="88"/>
      <c r="H1464" s="88"/>
      <c r="I1464" s="323" t="str">
        <f t="shared" si="312"/>
        <v/>
      </c>
      <c r="J1464" s="323" t="str">
        <f t="shared" si="313"/>
        <v/>
      </c>
      <c r="K1464" s="324" t="str">
        <f t="shared" si="314"/>
        <v/>
      </c>
      <c r="L1464" s="88"/>
      <c r="M1464" s="88"/>
      <c r="N1464" s="88"/>
      <c r="O1464" s="88"/>
      <c r="P1464" s="88"/>
      <c r="Q1464" s="88"/>
      <c r="R1464" s="88"/>
      <c r="S1464" s="620"/>
      <c r="T1464" s="92"/>
      <c r="U1464" s="1214"/>
      <c r="V1464" s="1215"/>
      <c r="W1464" s="168"/>
      <c r="X1464" s="170"/>
    </row>
    <row r="1465" spans="1:24" ht="12.75" customHeight="1">
      <c r="A1465" s="15"/>
      <c r="B1465" s="92" t="str">
        <f t="shared" si="315"/>
        <v/>
      </c>
      <c r="C1465" s="90"/>
      <c r="D1465" s="87"/>
      <c r="E1465" s="88"/>
      <c r="F1465" s="173"/>
      <c r="G1465" s="88"/>
      <c r="H1465" s="88"/>
      <c r="I1465" s="323" t="str">
        <f t="shared" si="312"/>
        <v/>
      </c>
      <c r="J1465" s="323" t="str">
        <f t="shared" si="313"/>
        <v/>
      </c>
      <c r="K1465" s="324" t="str">
        <f t="shared" si="314"/>
        <v/>
      </c>
      <c r="L1465" s="88"/>
      <c r="M1465" s="88"/>
      <c r="N1465" s="88"/>
      <c r="O1465" s="88"/>
      <c r="P1465" s="88"/>
      <c r="Q1465" s="88"/>
      <c r="R1465" s="88"/>
      <c r="S1465" s="620"/>
      <c r="T1465" s="92"/>
      <c r="U1465" s="1214"/>
      <c r="V1465" s="1215"/>
      <c r="W1465" s="168"/>
      <c r="X1465" s="170"/>
    </row>
    <row r="1466" spans="1:24" ht="12.75" customHeight="1">
      <c r="A1466" s="15"/>
      <c r="B1466" s="92" t="str">
        <f t="shared" si="315"/>
        <v/>
      </c>
      <c r="C1466" s="90"/>
      <c r="D1466" s="87"/>
      <c r="E1466" s="88"/>
      <c r="F1466" s="173"/>
      <c r="G1466" s="88"/>
      <c r="H1466" s="88"/>
      <c r="I1466" s="323" t="str">
        <f t="shared" si="312"/>
        <v/>
      </c>
      <c r="J1466" s="323" t="str">
        <f t="shared" si="313"/>
        <v/>
      </c>
      <c r="K1466" s="324" t="str">
        <f t="shared" si="314"/>
        <v/>
      </c>
      <c r="L1466" s="88"/>
      <c r="M1466" s="88"/>
      <c r="N1466" s="88"/>
      <c r="O1466" s="88"/>
      <c r="P1466" s="88"/>
      <c r="Q1466" s="88"/>
      <c r="R1466" s="88"/>
      <c r="S1466" s="620"/>
      <c r="T1466" s="92"/>
      <c r="U1466" s="1214"/>
      <c r="V1466" s="1215"/>
      <c r="W1466" s="168"/>
      <c r="X1466" s="170"/>
    </row>
    <row r="1467" spans="1:24" ht="12.75" customHeight="1">
      <c r="A1467" s="15"/>
      <c r="B1467" s="92" t="str">
        <f t="shared" si="315"/>
        <v/>
      </c>
      <c r="C1467" s="90"/>
      <c r="D1467" s="87"/>
      <c r="E1467" s="88"/>
      <c r="F1467" s="173"/>
      <c r="G1467" s="88"/>
      <c r="H1467" s="88"/>
      <c r="I1467" s="323" t="str">
        <f t="shared" si="312"/>
        <v/>
      </c>
      <c r="J1467" s="323" t="str">
        <f t="shared" si="313"/>
        <v/>
      </c>
      <c r="K1467" s="324" t="str">
        <f t="shared" si="314"/>
        <v/>
      </c>
      <c r="L1467" s="88"/>
      <c r="M1467" s="88"/>
      <c r="N1467" s="88"/>
      <c r="O1467" s="88"/>
      <c r="P1467" s="88"/>
      <c r="Q1467" s="88"/>
      <c r="R1467" s="88"/>
      <c r="S1467" s="620"/>
      <c r="T1467" s="92"/>
      <c r="U1467" s="1214"/>
      <c r="V1467" s="1215"/>
      <c r="W1467" s="168"/>
      <c r="X1467" s="170"/>
    </row>
    <row r="1468" spans="1:24" ht="12.75" customHeight="1">
      <c r="A1468" s="15"/>
      <c r="B1468" s="92" t="str">
        <f t="shared" si="315"/>
        <v/>
      </c>
      <c r="C1468" s="90"/>
      <c r="D1468" s="87"/>
      <c r="E1468" s="88"/>
      <c r="F1468" s="173"/>
      <c r="G1468" s="88"/>
      <c r="H1468" s="88"/>
      <c r="I1468" s="323" t="str">
        <f t="shared" si="312"/>
        <v/>
      </c>
      <c r="J1468" s="323" t="str">
        <f t="shared" si="313"/>
        <v/>
      </c>
      <c r="K1468" s="324" t="str">
        <f t="shared" si="314"/>
        <v/>
      </c>
      <c r="L1468" s="88"/>
      <c r="M1468" s="88"/>
      <c r="N1468" s="88"/>
      <c r="O1468" s="88"/>
      <c r="P1468" s="88"/>
      <c r="Q1468" s="88"/>
      <c r="R1468" s="88"/>
      <c r="S1468" s="620"/>
      <c r="T1468" s="92"/>
      <c r="U1468" s="1214"/>
      <c r="V1468" s="1215"/>
      <c r="W1468" s="168"/>
      <c r="X1468" s="170"/>
    </row>
    <row r="1469" spans="1:24" ht="12.75" customHeight="1">
      <c r="A1469" s="15"/>
      <c r="B1469" s="92" t="str">
        <f t="shared" si="315"/>
        <v/>
      </c>
      <c r="C1469" s="90"/>
      <c r="D1469" s="87"/>
      <c r="E1469" s="88"/>
      <c r="F1469" s="173"/>
      <c r="G1469" s="88"/>
      <c r="H1469" s="88"/>
      <c r="I1469" s="323" t="str">
        <f t="shared" si="312"/>
        <v/>
      </c>
      <c r="J1469" s="323" t="str">
        <f t="shared" si="313"/>
        <v/>
      </c>
      <c r="K1469" s="324" t="str">
        <f t="shared" si="314"/>
        <v/>
      </c>
      <c r="L1469" s="88"/>
      <c r="M1469" s="88"/>
      <c r="N1469" s="88"/>
      <c r="O1469" s="88"/>
      <c r="P1469" s="88"/>
      <c r="Q1469" s="88"/>
      <c r="R1469" s="88"/>
      <c r="S1469" s="620"/>
      <c r="T1469" s="92"/>
      <c r="U1469" s="1214"/>
      <c r="V1469" s="1215"/>
      <c r="W1469" s="168"/>
      <c r="X1469" s="170"/>
    </row>
    <row r="1470" spans="1:24" ht="12.75" customHeight="1">
      <c r="A1470" s="15"/>
      <c r="B1470" s="92" t="str">
        <f t="shared" si="315"/>
        <v/>
      </c>
      <c r="C1470" s="90"/>
      <c r="D1470" s="87"/>
      <c r="E1470" s="88"/>
      <c r="F1470" s="173"/>
      <c r="G1470" s="88"/>
      <c r="H1470" s="88"/>
      <c r="I1470" s="323" t="str">
        <f t="shared" si="312"/>
        <v/>
      </c>
      <c r="J1470" s="323" t="str">
        <f t="shared" si="313"/>
        <v/>
      </c>
      <c r="K1470" s="324" t="str">
        <f t="shared" si="314"/>
        <v/>
      </c>
      <c r="L1470" s="88"/>
      <c r="M1470" s="88"/>
      <c r="N1470" s="88"/>
      <c r="O1470" s="88"/>
      <c r="P1470" s="88"/>
      <c r="Q1470" s="88"/>
      <c r="R1470" s="88"/>
      <c r="S1470" s="620"/>
      <c r="T1470" s="92"/>
      <c r="U1470" s="1214"/>
      <c r="V1470" s="1215"/>
      <c r="W1470" s="168"/>
      <c r="X1470" s="170"/>
    </row>
    <row r="1471" spans="1:24" ht="12.75" customHeight="1">
      <c r="A1471" s="15"/>
      <c r="B1471" s="92" t="str">
        <f t="shared" si="315"/>
        <v/>
      </c>
      <c r="C1471" s="90"/>
      <c r="D1471" s="87"/>
      <c r="E1471" s="88"/>
      <c r="F1471" s="173"/>
      <c r="G1471" s="88"/>
      <c r="H1471" s="88"/>
      <c r="I1471" s="323" t="str">
        <f t="shared" ref="I1471:I1534" si="316">+IF(G1471="","",G1471*H1471)</f>
        <v/>
      </c>
      <c r="J1471" s="323" t="str">
        <f t="shared" ref="J1471:J1534" si="317">+IF(G1471="","",I1471*0.1)</f>
        <v/>
      </c>
      <c r="K1471" s="324" t="str">
        <f t="shared" ref="K1471:K1534" si="318">+IF(G1471="","",I1471+J1471)</f>
        <v/>
      </c>
      <c r="L1471" s="88"/>
      <c r="M1471" s="88"/>
      <c r="N1471" s="88"/>
      <c r="O1471" s="88"/>
      <c r="P1471" s="88"/>
      <c r="Q1471" s="88"/>
      <c r="R1471" s="88"/>
      <c r="S1471" s="620"/>
      <c r="T1471" s="92"/>
      <c r="U1471" s="1214"/>
      <c r="V1471" s="1215"/>
      <c r="W1471" s="168"/>
      <c r="X1471" s="170"/>
    </row>
    <row r="1472" spans="1:24" ht="12.75" customHeight="1">
      <c r="A1472" s="15"/>
      <c r="B1472" s="92" t="str">
        <f t="shared" si="315"/>
        <v/>
      </c>
      <c r="C1472" s="90"/>
      <c r="D1472" s="87"/>
      <c r="E1472" s="88"/>
      <c r="F1472" s="173"/>
      <c r="G1472" s="88"/>
      <c r="H1472" s="88"/>
      <c r="I1472" s="323" t="str">
        <f t="shared" si="316"/>
        <v/>
      </c>
      <c r="J1472" s="323" t="str">
        <f t="shared" si="317"/>
        <v/>
      </c>
      <c r="K1472" s="324" t="str">
        <f t="shared" si="318"/>
        <v/>
      </c>
      <c r="L1472" s="88"/>
      <c r="M1472" s="88"/>
      <c r="N1472" s="88"/>
      <c r="O1472" s="88"/>
      <c r="P1472" s="88"/>
      <c r="Q1472" s="88"/>
      <c r="R1472" s="88"/>
      <c r="S1472" s="620"/>
      <c r="T1472" s="92"/>
      <c r="U1472" s="1214"/>
      <c r="V1472" s="1215"/>
      <c r="W1472" s="168"/>
      <c r="X1472" s="170"/>
    </row>
    <row r="1473" spans="1:24" ht="12.75" customHeight="1">
      <c r="A1473" s="15"/>
      <c r="B1473" s="92" t="str">
        <f t="shared" si="315"/>
        <v/>
      </c>
      <c r="C1473" s="90"/>
      <c r="D1473" s="87"/>
      <c r="E1473" s="88"/>
      <c r="F1473" s="173"/>
      <c r="G1473" s="88"/>
      <c r="H1473" s="88"/>
      <c r="I1473" s="323" t="str">
        <f t="shared" si="316"/>
        <v/>
      </c>
      <c r="J1473" s="323" t="str">
        <f t="shared" si="317"/>
        <v/>
      </c>
      <c r="K1473" s="324" t="str">
        <f t="shared" si="318"/>
        <v/>
      </c>
      <c r="L1473" s="88"/>
      <c r="M1473" s="88"/>
      <c r="N1473" s="88"/>
      <c r="O1473" s="88"/>
      <c r="P1473" s="88"/>
      <c r="Q1473" s="88"/>
      <c r="R1473" s="88"/>
      <c r="S1473" s="620"/>
      <c r="T1473" s="92"/>
      <c r="U1473" s="1214"/>
      <c r="V1473" s="1215"/>
      <c r="W1473" s="168"/>
      <c r="X1473" s="170"/>
    </row>
    <row r="1474" spans="1:24" ht="12.75" customHeight="1">
      <c r="A1474" s="15"/>
      <c r="B1474" s="92" t="str">
        <f t="shared" si="315"/>
        <v/>
      </c>
      <c r="C1474" s="90"/>
      <c r="D1474" s="87"/>
      <c r="E1474" s="88"/>
      <c r="F1474" s="173"/>
      <c r="G1474" s="88"/>
      <c r="H1474" s="88"/>
      <c r="I1474" s="323" t="str">
        <f t="shared" si="316"/>
        <v/>
      </c>
      <c r="J1474" s="323" t="str">
        <f t="shared" si="317"/>
        <v/>
      </c>
      <c r="K1474" s="324" t="str">
        <f t="shared" si="318"/>
        <v/>
      </c>
      <c r="L1474" s="88"/>
      <c r="M1474" s="88"/>
      <c r="N1474" s="88"/>
      <c r="O1474" s="88"/>
      <c r="P1474" s="88"/>
      <c r="Q1474" s="88"/>
      <c r="R1474" s="88"/>
      <c r="S1474" s="620"/>
      <c r="T1474" s="92"/>
      <c r="U1474" s="1214"/>
      <c r="V1474" s="1215"/>
      <c r="W1474" s="168"/>
      <c r="X1474" s="170"/>
    </row>
    <row r="1475" spans="1:24" ht="12.75" customHeight="1">
      <c r="A1475" s="15"/>
      <c r="B1475" s="92" t="str">
        <f t="shared" si="315"/>
        <v/>
      </c>
      <c r="C1475" s="90"/>
      <c r="D1475" s="87"/>
      <c r="E1475" s="88"/>
      <c r="F1475" s="173"/>
      <c r="G1475" s="88"/>
      <c r="H1475" s="88"/>
      <c r="I1475" s="323" t="str">
        <f t="shared" si="316"/>
        <v/>
      </c>
      <c r="J1475" s="323" t="str">
        <f t="shared" si="317"/>
        <v/>
      </c>
      <c r="K1475" s="324" t="str">
        <f t="shared" si="318"/>
        <v/>
      </c>
      <c r="L1475" s="88"/>
      <c r="M1475" s="88"/>
      <c r="N1475" s="88"/>
      <c r="O1475" s="88"/>
      <c r="P1475" s="88"/>
      <c r="Q1475" s="88"/>
      <c r="R1475" s="88"/>
      <c r="S1475" s="620"/>
      <c r="T1475" s="92"/>
      <c r="U1475" s="1214"/>
      <c r="V1475" s="1215"/>
      <c r="W1475" s="168"/>
      <c r="X1475" s="170"/>
    </row>
    <row r="1476" spans="1:24" ht="12.75" customHeight="1">
      <c r="A1476" s="15"/>
      <c r="B1476" s="92" t="str">
        <f t="shared" si="315"/>
        <v/>
      </c>
      <c r="C1476" s="90"/>
      <c r="D1476" s="87"/>
      <c r="E1476" s="88"/>
      <c r="F1476" s="173"/>
      <c r="G1476" s="88"/>
      <c r="H1476" s="88"/>
      <c r="I1476" s="323" t="str">
        <f t="shared" si="316"/>
        <v/>
      </c>
      <c r="J1476" s="323" t="str">
        <f t="shared" si="317"/>
        <v/>
      </c>
      <c r="K1476" s="324" t="str">
        <f t="shared" si="318"/>
        <v/>
      </c>
      <c r="L1476" s="88"/>
      <c r="M1476" s="88"/>
      <c r="N1476" s="88"/>
      <c r="O1476" s="88"/>
      <c r="P1476" s="88"/>
      <c r="Q1476" s="88"/>
      <c r="R1476" s="88"/>
      <c r="S1476" s="620"/>
      <c r="T1476" s="92"/>
      <c r="U1476" s="1214"/>
      <c r="V1476" s="1215"/>
      <c r="W1476" s="168"/>
      <c r="X1476" s="170"/>
    </row>
    <row r="1477" spans="1:24" ht="12.75" customHeight="1">
      <c r="A1477" s="15"/>
      <c r="B1477" s="92" t="str">
        <f t="shared" si="315"/>
        <v/>
      </c>
      <c r="C1477" s="90"/>
      <c r="D1477" s="87"/>
      <c r="E1477" s="88"/>
      <c r="F1477" s="173"/>
      <c r="G1477" s="88"/>
      <c r="H1477" s="88"/>
      <c r="I1477" s="323" t="str">
        <f t="shared" si="316"/>
        <v/>
      </c>
      <c r="J1477" s="323" t="str">
        <f t="shared" si="317"/>
        <v/>
      </c>
      <c r="K1477" s="324" t="str">
        <f t="shared" si="318"/>
        <v/>
      </c>
      <c r="L1477" s="88"/>
      <c r="M1477" s="88"/>
      <c r="N1477" s="88"/>
      <c r="O1477" s="88"/>
      <c r="P1477" s="88"/>
      <c r="Q1477" s="88"/>
      <c r="R1477" s="88"/>
      <c r="S1477" s="620"/>
      <c r="T1477" s="92"/>
      <c r="U1477" s="1214"/>
      <c r="V1477" s="1215"/>
      <c r="W1477" s="168"/>
      <c r="X1477" s="170"/>
    </row>
    <row r="1478" spans="1:24" ht="12.75" customHeight="1">
      <c r="A1478" s="15"/>
      <c r="B1478" s="92" t="str">
        <f t="shared" si="315"/>
        <v/>
      </c>
      <c r="C1478" s="90"/>
      <c r="D1478" s="87"/>
      <c r="E1478" s="88"/>
      <c r="F1478" s="173"/>
      <c r="G1478" s="88"/>
      <c r="H1478" s="88"/>
      <c r="I1478" s="323" t="str">
        <f t="shared" si="316"/>
        <v/>
      </c>
      <c r="J1478" s="323" t="str">
        <f t="shared" si="317"/>
        <v/>
      </c>
      <c r="K1478" s="324" t="str">
        <f t="shared" si="318"/>
        <v/>
      </c>
      <c r="L1478" s="88"/>
      <c r="M1478" s="88"/>
      <c r="N1478" s="88"/>
      <c r="O1478" s="88"/>
      <c r="P1478" s="88"/>
      <c r="Q1478" s="88"/>
      <c r="R1478" s="88"/>
      <c r="S1478" s="620"/>
      <c r="T1478" s="92"/>
      <c r="U1478" s="1214"/>
      <c r="V1478" s="1215"/>
      <c r="W1478" s="168"/>
      <c r="X1478" s="170"/>
    </row>
    <row r="1479" spans="1:24" ht="12.75" customHeight="1">
      <c r="A1479" s="15"/>
      <c r="B1479" s="92" t="str">
        <f t="shared" si="315"/>
        <v/>
      </c>
      <c r="C1479" s="90"/>
      <c r="D1479" s="87"/>
      <c r="E1479" s="88"/>
      <c r="F1479" s="173"/>
      <c r="G1479" s="88"/>
      <c r="H1479" s="88"/>
      <c r="I1479" s="323" t="str">
        <f t="shared" si="316"/>
        <v/>
      </c>
      <c r="J1479" s="323" t="str">
        <f t="shared" si="317"/>
        <v/>
      </c>
      <c r="K1479" s="324" t="str">
        <f t="shared" si="318"/>
        <v/>
      </c>
      <c r="L1479" s="88"/>
      <c r="M1479" s="88"/>
      <c r="N1479" s="88"/>
      <c r="O1479" s="88"/>
      <c r="P1479" s="88"/>
      <c r="Q1479" s="88"/>
      <c r="R1479" s="88"/>
      <c r="S1479" s="620"/>
      <c r="T1479" s="92"/>
      <c r="U1479" s="1214"/>
      <c r="V1479" s="1215"/>
      <c r="W1479" s="168"/>
      <c r="X1479" s="170"/>
    </row>
    <row r="1480" spans="1:24" ht="12.75" customHeight="1">
      <c r="A1480" s="15"/>
      <c r="B1480" s="92" t="str">
        <f t="shared" si="315"/>
        <v/>
      </c>
      <c r="C1480" s="90"/>
      <c r="D1480" s="87"/>
      <c r="E1480" s="88"/>
      <c r="F1480" s="173"/>
      <c r="G1480" s="88"/>
      <c r="H1480" s="88"/>
      <c r="I1480" s="323" t="str">
        <f t="shared" si="316"/>
        <v/>
      </c>
      <c r="J1480" s="323" t="str">
        <f t="shared" si="317"/>
        <v/>
      </c>
      <c r="K1480" s="324" t="str">
        <f t="shared" si="318"/>
        <v/>
      </c>
      <c r="L1480" s="88"/>
      <c r="M1480" s="88"/>
      <c r="N1480" s="88"/>
      <c r="O1480" s="88"/>
      <c r="P1480" s="88"/>
      <c r="Q1480" s="88"/>
      <c r="R1480" s="88"/>
      <c r="S1480" s="620"/>
      <c r="T1480" s="92"/>
      <c r="U1480" s="1214"/>
      <c r="V1480" s="1215"/>
      <c r="W1480" s="168"/>
      <c r="X1480" s="170"/>
    </row>
    <row r="1481" spans="1:24" ht="12.75" customHeight="1">
      <c r="A1481" s="15"/>
      <c r="B1481" s="92" t="str">
        <f t="shared" si="315"/>
        <v/>
      </c>
      <c r="C1481" s="90"/>
      <c r="D1481" s="87"/>
      <c r="E1481" s="88"/>
      <c r="F1481" s="173"/>
      <c r="G1481" s="88"/>
      <c r="H1481" s="88"/>
      <c r="I1481" s="323" t="str">
        <f t="shared" si="316"/>
        <v/>
      </c>
      <c r="J1481" s="323" t="str">
        <f t="shared" si="317"/>
        <v/>
      </c>
      <c r="K1481" s="324" t="str">
        <f t="shared" si="318"/>
        <v/>
      </c>
      <c r="L1481" s="88"/>
      <c r="M1481" s="88"/>
      <c r="N1481" s="88"/>
      <c r="O1481" s="88"/>
      <c r="P1481" s="88"/>
      <c r="Q1481" s="88"/>
      <c r="R1481" s="88"/>
      <c r="S1481" s="620"/>
      <c r="T1481" s="92"/>
      <c r="U1481" s="1214"/>
      <c r="V1481" s="1215"/>
      <c r="W1481" s="168"/>
      <c r="X1481" s="170"/>
    </row>
    <row r="1482" spans="1:24" ht="12.75" customHeight="1">
      <c r="A1482" s="15"/>
      <c r="B1482" s="92" t="str">
        <f t="shared" si="315"/>
        <v/>
      </c>
      <c r="C1482" s="90"/>
      <c r="D1482" s="87"/>
      <c r="E1482" s="88"/>
      <c r="F1482" s="173"/>
      <c r="G1482" s="88"/>
      <c r="H1482" s="88"/>
      <c r="I1482" s="323" t="str">
        <f t="shared" si="316"/>
        <v/>
      </c>
      <c r="J1482" s="323" t="str">
        <f t="shared" si="317"/>
        <v/>
      </c>
      <c r="K1482" s="324" t="str">
        <f t="shared" si="318"/>
        <v/>
      </c>
      <c r="L1482" s="88"/>
      <c r="M1482" s="88"/>
      <c r="N1482" s="88"/>
      <c r="O1482" s="88"/>
      <c r="P1482" s="88"/>
      <c r="Q1482" s="88"/>
      <c r="R1482" s="88"/>
      <c r="S1482" s="620"/>
      <c r="T1482" s="92"/>
      <c r="U1482" s="1214"/>
      <c r="V1482" s="1215"/>
      <c r="W1482" s="168"/>
      <c r="X1482" s="170"/>
    </row>
    <row r="1483" spans="1:24" ht="12.75" customHeight="1">
      <c r="A1483" s="15"/>
      <c r="B1483" s="92" t="str">
        <f t="shared" si="315"/>
        <v/>
      </c>
      <c r="C1483" s="90"/>
      <c r="D1483" s="87"/>
      <c r="E1483" s="88"/>
      <c r="F1483" s="173"/>
      <c r="G1483" s="88"/>
      <c r="H1483" s="88"/>
      <c r="I1483" s="323" t="str">
        <f t="shared" si="316"/>
        <v/>
      </c>
      <c r="J1483" s="323" t="str">
        <f t="shared" si="317"/>
        <v/>
      </c>
      <c r="K1483" s="324" t="str">
        <f t="shared" si="318"/>
        <v/>
      </c>
      <c r="L1483" s="88"/>
      <c r="M1483" s="88"/>
      <c r="N1483" s="88"/>
      <c r="O1483" s="88"/>
      <c r="P1483" s="88"/>
      <c r="Q1483" s="88"/>
      <c r="R1483" s="88"/>
      <c r="S1483" s="620"/>
      <c r="T1483" s="92"/>
      <c r="U1483" s="1214"/>
      <c r="V1483" s="1215"/>
      <c r="W1483" s="168"/>
      <c r="X1483" s="170"/>
    </row>
    <row r="1484" spans="1:24" ht="12.75" customHeight="1">
      <c r="A1484" s="15"/>
      <c r="B1484" s="92" t="str">
        <f t="shared" si="315"/>
        <v/>
      </c>
      <c r="C1484" s="90"/>
      <c r="D1484" s="87"/>
      <c r="E1484" s="88"/>
      <c r="F1484" s="173"/>
      <c r="G1484" s="88"/>
      <c r="H1484" s="88"/>
      <c r="I1484" s="323" t="str">
        <f t="shared" si="316"/>
        <v/>
      </c>
      <c r="J1484" s="323" t="str">
        <f t="shared" si="317"/>
        <v/>
      </c>
      <c r="K1484" s="324" t="str">
        <f t="shared" si="318"/>
        <v/>
      </c>
      <c r="L1484" s="88"/>
      <c r="M1484" s="88"/>
      <c r="N1484" s="88"/>
      <c r="O1484" s="88"/>
      <c r="P1484" s="88"/>
      <c r="Q1484" s="88"/>
      <c r="R1484" s="88"/>
      <c r="S1484" s="620"/>
      <c r="T1484" s="92"/>
      <c r="U1484" s="1214"/>
      <c r="V1484" s="1215"/>
      <c r="W1484" s="168"/>
      <c r="X1484" s="170"/>
    </row>
    <row r="1485" spans="1:24" ht="12.75" customHeight="1">
      <c r="A1485" s="15"/>
      <c r="B1485" s="92" t="str">
        <f t="shared" si="315"/>
        <v/>
      </c>
      <c r="C1485" s="90"/>
      <c r="D1485" s="87"/>
      <c r="E1485" s="88"/>
      <c r="F1485" s="173"/>
      <c r="G1485" s="88"/>
      <c r="H1485" s="88"/>
      <c r="I1485" s="323" t="str">
        <f t="shared" si="316"/>
        <v/>
      </c>
      <c r="J1485" s="323" t="str">
        <f t="shared" si="317"/>
        <v/>
      </c>
      <c r="K1485" s="324" t="str">
        <f t="shared" si="318"/>
        <v/>
      </c>
      <c r="L1485" s="88"/>
      <c r="M1485" s="88"/>
      <c r="N1485" s="88"/>
      <c r="O1485" s="88"/>
      <c r="P1485" s="88"/>
      <c r="Q1485" s="88"/>
      <c r="R1485" s="88"/>
      <c r="S1485" s="620"/>
      <c r="T1485" s="92"/>
      <c r="U1485" s="1214"/>
      <c r="V1485" s="1215"/>
      <c r="W1485" s="168"/>
      <c r="X1485" s="170"/>
    </row>
    <row r="1486" spans="1:24" ht="12.75" customHeight="1">
      <c r="A1486" s="15"/>
      <c r="B1486" s="92" t="str">
        <f t="shared" si="315"/>
        <v/>
      </c>
      <c r="C1486" s="90"/>
      <c r="D1486" s="87"/>
      <c r="E1486" s="88"/>
      <c r="F1486" s="173"/>
      <c r="G1486" s="88"/>
      <c r="H1486" s="88"/>
      <c r="I1486" s="323" t="str">
        <f t="shared" si="316"/>
        <v/>
      </c>
      <c r="J1486" s="323" t="str">
        <f t="shared" si="317"/>
        <v/>
      </c>
      <c r="K1486" s="324" t="str">
        <f t="shared" si="318"/>
        <v/>
      </c>
      <c r="L1486" s="88"/>
      <c r="M1486" s="88"/>
      <c r="N1486" s="88"/>
      <c r="O1486" s="88"/>
      <c r="P1486" s="88"/>
      <c r="Q1486" s="88"/>
      <c r="R1486" s="88"/>
      <c r="S1486" s="620"/>
      <c r="T1486" s="92"/>
      <c r="U1486" s="1214"/>
      <c r="V1486" s="1215"/>
      <c r="W1486" s="168"/>
      <c r="X1486" s="170"/>
    </row>
    <row r="1487" spans="1:24" ht="12.75" customHeight="1">
      <c r="A1487" s="15"/>
      <c r="B1487" s="92" t="str">
        <f t="shared" si="315"/>
        <v/>
      </c>
      <c r="C1487" s="90"/>
      <c r="D1487" s="87"/>
      <c r="E1487" s="88"/>
      <c r="F1487" s="173"/>
      <c r="G1487" s="88"/>
      <c r="H1487" s="88"/>
      <c r="I1487" s="323" t="str">
        <f t="shared" si="316"/>
        <v/>
      </c>
      <c r="J1487" s="323" t="str">
        <f t="shared" si="317"/>
        <v/>
      </c>
      <c r="K1487" s="324" t="str">
        <f t="shared" si="318"/>
        <v/>
      </c>
      <c r="L1487" s="88"/>
      <c r="M1487" s="88"/>
      <c r="N1487" s="88"/>
      <c r="O1487" s="88"/>
      <c r="P1487" s="88"/>
      <c r="Q1487" s="88"/>
      <c r="R1487" s="88"/>
      <c r="S1487" s="620"/>
      <c r="T1487" s="92"/>
      <c r="U1487" s="1214"/>
      <c r="V1487" s="1215"/>
      <c r="W1487" s="168"/>
      <c r="X1487" s="170"/>
    </row>
    <row r="1488" spans="1:24" ht="12.75" customHeight="1">
      <c r="A1488" s="15"/>
      <c r="B1488" s="92" t="str">
        <f t="shared" si="315"/>
        <v/>
      </c>
      <c r="C1488" s="90"/>
      <c r="D1488" s="87"/>
      <c r="E1488" s="88"/>
      <c r="F1488" s="173"/>
      <c r="G1488" s="88"/>
      <c r="H1488" s="88"/>
      <c r="I1488" s="323" t="str">
        <f t="shared" si="316"/>
        <v/>
      </c>
      <c r="J1488" s="323" t="str">
        <f t="shared" si="317"/>
        <v/>
      </c>
      <c r="K1488" s="324" t="str">
        <f t="shared" si="318"/>
        <v/>
      </c>
      <c r="L1488" s="88"/>
      <c r="M1488" s="88"/>
      <c r="N1488" s="88"/>
      <c r="O1488" s="88"/>
      <c r="P1488" s="88"/>
      <c r="Q1488" s="88"/>
      <c r="R1488" s="88"/>
      <c r="S1488" s="620"/>
      <c r="T1488" s="92"/>
      <c r="U1488" s="1214"/>
      <c r="V1488" s="1215"/>
      <c r="W1488" s="168"/>
      <c r="X1488" s="170"/>
    </row>
    <row r="1489" spans="1:24" ht="12.75" customHeight="1">
      <c r="A1489" s="15"/>
      <c r="B1489" s="92" t="str">
        <f t="shared" si="315"/>
        <v/>
      </c>
      <c r="C1489" s="90"/>
      <c r="D1489" s="87"/>
      <c r="E1489" s="88"/>
      <c r="F1489" s="173"/>
      <c r="G1489" s="88"/>
      <c r="H1489" s="88"/>
      <c r="I1489" s="323" t="str">
        <f t="shared" si="316"/>
        <v/>
      </c>
      <c r="J1489" s="323" t="str">
        <f t="shared" si="317"/>
        <v/>
      </c>
      <c r="K1489" s="324" t="str">
        <f t="shared" si="318"/>
        <v/>
      </c>
      <c r="L1489" s="88"/>
      <c r="M1489" s="88"/>
      <c r="N1489" s="88"/>
      <c r="O1489" s="88"/>
      <c r="P1489" s="88"/>
      <c r="Q1489" s="88"/>
      <c r="R1489" s="88"/>
      <c r="S1489" s="620"/>
      <c r="T1489" s="92"/>
      <c r="U1489" s="1214"/>
      <c r="V1489" s="1215"/>
      <c r="W1489" s="168"/>
      <c r="X1489" s="170"/>
    </row>
    <row r="1490" spans="1:24" ht="12.75" customHeight="1">
      <c r="A1490" s="15"/>
      <c r="B1490" s="92" t="str">
        <f t="shared" si="315"/>
        <v/>
      </c>
      <c r="C1490" s="90"/>
      <c r="D1490" s="87"/>
      <c r="E1490" s="88"/>
      <c r="F1490" s="173"/>
      <c r="G1490" s="88"/>
      <c r="H1490" s="88"/>
      <c r="I1490" s="323" t="str">
        <f t="shared" si="316"/>
        <v/>
      </c>
      <c r="J1490" s="323" t="str">
        <f t="shared" si="317"/>
        <v/>
      </c>
      <c r="K1490" s="324" t="str">
        <f t="shared" si="318"/>
        <v/>
      </c>
      <c r="L1490" s="88"/>
      <c r="M1490" s="88"/>
      <c r="N1490" s="88"/>
      <c r="O1490" s="88"/>
      <c r="P1490" s="88"/>
      <c r="Q1490" s="88"/>
      <c r="R1490" s="88"/>
      <c r="S1490" s="620"/>
      <c r="T1490" s="92"/>
      <c r="U1490" s="1214"/>
      <c r="V1490" s="1215"/>
      <c r="W1490" s="168"/>
      <c r="X1490" s="170"/>
    </row>
    <row r="1491" spans="1:24" ht="12.75" customHeight="1">
      <c r="A1491" s="15"/>
      <c r="B1491" s="92" t="str">
        <f t="shared" si="315"/>
        <v/>
      </c>
      <c r="C1491" s="90"/>
      <c r="D1491" s="87"/>
      <c r="E1491" s="88"/>
      <c r="F1491" s="173"/>
      <c r="G1491" s="88"/>
      <c r="H1491" s="88"/>
      <c r="I1491" s="323" t="str">
        <f t="shared" si="316"/>
        <v/>
      </c>
      <c r="J1491" s="323" t="str">
        <f t="shared" si="317"/>
        <v/>
      </c>
      <c r="K1491" s="324" t="str">
        <f t="shared" si="318"/>
        <v/>
      </c>
      <c r="L1491" s="88"/>
      <c r="M1491" s="88"/>
      <c r="N1491" s="88"/>
      <c r="O1491" s="88"/>
      <c r="P1491" s="88"/>
      <c r="Q1491" s="88"/>
      <c r="R1491" s="88"/>
      <c r="S1491" s="620"/>
      <c r="T1491" s="92"/>
      <c r="U1491" s="1214"/>
      <c r="V1491" s="1215"/>
      <c r="W1491" s="168"/>
      <c r="X1491" s="170"/>
    </row>
    <row r="1492" spans="1:24" ht="12.75" customHeight="1">
      <c r="A1492" s="15"/>
      <c r="B1492" s="92" t="str">
        <f t="shared" si="315"/>
        <v/>
      </c>
      <c r="C1492" s="90"/>
      <c r="D1492" s="87"/>
      <c r="E1492" s="88"/>
      <c r="F1492" s="173"/>
      <c r="G1492" s="88"/>
      <c r="H1492" s="88"/>
      <c r="I1492" s="323" t="str">
        <f t="shared" si="316"/>
        <v/>
      </c>
      <c r="J1492" s="323" t="str">
        <f t="shared" si="317"/>
        <v/>
      </c>
      <c r="K1492" s="324" t="str">
        <f t="shared" si="318"/>
        <v/>
      </c>
      <c r="L1492" s="88"/>
      <c r="M1492" s="88"/>
      <c r="N1492" s="88"/>
      <c r="O1492" s="88"/>
      <c r="P1492" s="88"/>
      <c r="Q1492" s="88"/>
      <c r="R1492" s="88"/>
      <c r="S1492" s="620"/>
      <c r="T1492" s="92"/>
      <c r="U1492" s="1214"/>
      <c r="V1492" s="1215"/>
      <c r="W1492" s="168"/>
      <c r="X1492" s="170"/>
    </row>
    <row r="1493" spans="1:24" ht="12.75" customHeight="1">
      <c r="A1493" s="15"/>
      <c r="B1493" s="92" t="str">
        <f t="shared" si="315"/>
        <v/>
      </c>
      <c r="C1493" s="90"/>
      <c r="D1493" s="87"/>
      <c r="E1493" s="88"/>
      <c r="F1493" s="173"/>
      <c r="G1493" s="88"/>
      <c r="H1493" s="88"/>
      <c r="I1493" s="323" t="str">
        <f t="shared" si="316"/>
        <v/>
      </c>
      <c r="J1493" s="323" t="str">
        <f t="shared" si="317"/>
        <v/>
      </c>
      <c r="K1493" s="324" t="str">
        <f t="shared" si="318"/>
        <v/>
      </c>
      <c r="L1493" s="88"/>
      <c r="M1493" s="88"/>
      <c r="N1493" s="88"/>
      <c r="O1493" s="88"/>
      <c r="P1493" s="88"/>
      <c r="Q1493" s="88"/>
      <c r="R1493" s="88"/>
      <c r="S1493" s="620"/>
      <c r="T1493" s="92"/>
      <c r="U1493" s="1214"/>
      <c r="V1493" s="1215"/>
      <c r="W1493" s="168"/>
      <c r="X1493" s="170"/>
    </row>
    <row r="1494" spans="1:24" ht="12.75" customHeight="1">
      <c r="A1494" s="15"/>
      <c r="B1494" s="92" t="str">
        <f t="shared" si="315"/>
        <v/>
      </c>
      <c r="C1494" s="90"/>
      <c r="D1494" s="87"/>
      <c r="E1494" s="88"/>
      <c r="F1494" s="173"/>
      <c r="G1494" s="88"/>
      <c r="H1494" s="88"/>
      <c r="I1494" s="323" t="str">
        <f t="shared" si="316"/>
        <v/>
      </c>
      <c r="J1494" s="323" t="str">
        <f t="shared" si="317"/>
        <v/>
      </c>
      <c r="K1494" s="324" t="str">
        <f t="shared" si="318"/>
        <v/>
      </c>
      <c r="L1494" s="88"/>
      <c r="M1494" s="88"/>
      <c r="N1494" s="88"/>
      <c r="O1494" s="88"/>
      <c r="P1494" s="88"/>
      <c r="Q1494" s="88"/>
      <c r="R1494" s="88"/>
      <c r="S1494" s="620"/>
      <c r="T1494" s="92"/>
      <c r="U1494" s="1214"/>
      <c r="V1494" s="1215"/>
      <c r="W1494" s="168"/>
      <c r="X1494" s="170"/>
    </row>
    <row r="1495" spans="1:24" ht="12.75" customHeight="1">
      <c r="A1495" s="15"/>
      <c r="B1495" s="92" t="str">
        <f t="shared" si="315"/>
        <v/>
      </c>
      <c r="C1495" s="90"/>
      <c r="D1495" s="87"/>
      <c r="E1495" s="88"/>
      <c r="F1495" s="173"/>
      <c r="G1495" s="88"/>
      <c r="H1495" s="88"/>
      <c r="I1495" s="323" t="str">
        <f t="shared" si="316"/>
        <v/>
      </c>
      <c r="J1495" s="323" t="str">
        <f t="shared" si="317"/>
        <v/>
      </c>
      <c r="K1495" s="324" t="str">
        <f t="shared" si="318"/>
        <v/>
      </c>
      <c r="L1495" s="88"/>
      <c r="M1495" s="88"/>
      <c r="N1495" s="88"/>
      <c r="O1495" s="88"/>
      <c r="P1495" s="88"/>
      <c r="Q1495" s="88"/>
      <c r="R1495" s="88"/>
      <c r="S1495" s="620"/>
      <c r="T1495" s="92"/>
      <c r="U1495" s="1214"/>
      <c r="V1495" s="1215"/>
      <c r="W1495" s="168"/>
      <c r="X1495" s="170"/>
    </row>
    <row r="1496" spans="1:24" ht="12.75" customHeight="1">
      <c r="A1496" s="15"/>
      <c r="B1496" s="92" t="str">
        <f t="shared" si="315"/>
        <v/>
      </c>
      <c r="C1496" s="90"/>
      <c r="D1496" s="87"/>
      <c r="E1496" s="88"/>
      <c r="F1496" s="173"/>
      <c r="G1496" s="88"/>
      <c r="H1496" s="88"/>
      <c r="I1496" s="323" t="str">
        <f t="shared" si="316"/>
        <v/>
      </c>
      <c r="J1496" s="323" t="str">
        <f t="shared" si="317"/>
        <v/>
      </c>
      <c r="K1496" s="324" t="str">
        <f t="shared" si="318"/>
        <v/>
      </c>
      <c r="L1496" s="88"/>
      <c r="M1496" s="88"/>
      <c r="N1496" s="88"/>
      <c r="O1496" s="88"/>
      <c r="P1496" s="88"/>
      <c r="Q1496" s="88"/>
      <c r="R1496" s="88"/>
      <c r="S1496" s="620"/>
      <c r="T1496" s="92"/>
      <c r="U1496" s="1214"/>
      <c r="V1496" s="1215"/>
      <c r="W1496" s="168"/>
      <c r="X1496" s="170"/>
    </row>
    <row r="1497" spans="1:24" ht="12.75" customHeight="1">
      <c r="A1497" s="15"/>
      <c r="B1497" s="92" t="str">
        <f t="shared" si="315"/>
        <v/>
      </c>
      <c r="C1497" s="90"/>
      <c r="D1497" s="87"/>
      <c r="E1497" s="88"/>
      <c r="F1497" s="173"/>
      <c r="G1497" s="88"/>
      <c r="H1497" s="88"/>
      <c r="I1497" s="323" t="str">
        <f t="shared" si="316"/>
        <v/>
      </c>
      <c r="J1497" s="323" t="str">
        <f t="shared" si="317"/>
        <v/>
      </c>
      <c r="K1497" s="324" t="str">
        <f t="shared" si="318"/>
        <v/>
      </c>
      <c r="L1497" s="88"/>
      <c r="M1497" s="88"/>
      <c r="N1497" s="88"/>
      <c r="O1497" s="88"/>
      <c r="P1497" s="88"/>
      <c r="Q1497" s="88"/>
      <c r="R1497" s="88"/>
      <c r="S1497" s="620"/>
      <c r="T1497" s="92"/>
      <c r="U1497" s="1214"/>
      <c r="V1497" s="1215"/>
      <c r="W1497" s="168"/>
      <c r="X1497" s="170"/>
    </row>
    <row r="1498" spans="1:24" ht="12.75" customHeight="1">
      <c r="A1498" s="15"/>
      <c r="B1498" s="92" t="str">
        <f t="shared" si="315"/>
        <v/>
      </c>
      <c r="C1498" s="90"/>
      <c r="D1498" s="87"/>
      <c r="E1498" s="88"/>
      <c r="F1498" s="173"/>
      <c r="G1498" s="88"/>
      <c r="H1498" s="88"/>
      <c r="I1498" s="323" t="str">
        <f t="shared" si="316"/>
        <v/>
      </c>
      <c r="J1498" s="323" t="str">
        <f t="shared" si="317"/>
        <v/>
      </c>
      <c r="K1498" s="324" t="str">
        <f t="shared" si="318"/>
        <v/>
      </c>
      <c r="L1498" s="88"/>
      <c r="M1498" s="88"/>
      <c r="N1498" s="88"/>
      <c r="O1498" s="88"/>
      <c r="P1498" s="88"/>
      <c r="Q1498" s="88"/>
      <c r="R1498" s="88"/>
      <c r="S1498" s="620"/>
      <c r="T1498" s="92"/>
      <c r="U1498" s="1214"/>
      <c r="V1498" s="1215"/>
      <c r="W1498" s="168"/>
      <c r="X1498" s="170"/>
    </row>
    <row r="1499" spans="1:24" ht="12.75" customHeight="1">
      <c r="A1499" s="15"/>
      <c r="B1499" s="92" t="str">
        <f t="shared" si="315"/>
        <v/>
      </c>
      <c r="C1499" s="90"/>
      <c r="D1499" s="87"/>
      <c r="E1499" s="88"/>
      <c r="F1499" s="173"/>
      <c r="G1499" s="88"/>
      <c r="H1499" s="88"/>
      <c r="I1499" s="323" t="str">
        <f t="shared" si="316"/>
        <v/>
      </c>
      <c r="J1499" s="323" t="str">
        <f t="shared" si="317"/>
        <v/>
      </c>
      <c r="K1499" s="324" t="str">
        <f t="shared" si="318"/>
        <v/>
      </c>
      <c r="L1499" s="88"/>
      <c r="M1499" s="88"/>
      <c r="N1499" s="88"/>
      <c r="O1499" s="88"/>
      <c r="P1499" s="88"/>
      <c r="Q1499" s="88"/>
      <c r="R1499" s="88"/>
      <c r="S1499" s="620"/>
      <c r="T1499" s="92"/>
      <c r="U1499" s="1214"/>
      <c r="V1499" s="1215"/>
      <c r="W1499" s="168"/>
      <c r="X1499" s="170"/>
    </row>
    <row r="1500" spans="1:24" ht="12.75" customHeight="1">
      <c r="A1500" s="15"/>
      <c r="B1500" s="92" t="str">
        <f t="shared" si="315"/>
        <v/>
      </c>
      <c r="C1500" s="90"/>
      <c r="D1500" s="87"/>
      <c r="E1500" s="88"/>
      <c r="F1500" s="173"/>
      <c r="G1500" s="88"/>
      <c r="H1500" s="88"/>
      <c r="I1500" s="323" t="str">
        <f t="shared" si="316"/>
        <v/>
      </c>
      <c r="J1500" s="323" t="str">
        <f t="shared" si="317"/>
        <v/>
      </c>
      <c r="K1500" s="324" t="str">
        <f t="shared" si="318"/>
        <v/>
      </c>
      <c r="L1500" s="88"/>
      <c r="M1500" s="88"/>
      <c r="N1500" s="88"/>
      <c r="O1500" s="88"/>
      <c r="P1500" s="88"/>
      <c r="Q1500" s="88"/>
      <c r="R1500" s="88"/>
      <c r="S1500" s="620"/>
      <c r="T1500" s="92"/>
      <c r="U1500" s="1214"/>
      <c r="V1500" s="1215"/>
      <c r="W1500" s="168"/>
      <c r="X1500" s="170"/>
    </row>
    <row r="1501" spans="1:24" ht="12.75" customHeight="1">
      <c r="A1501" s="15"/>
      <c r="B1501" s="92" t="str">
        <f t="shared" si="315"/>
        <v/>
      </c>
      <c r="C1501" s="90"/>
      <c r="D1501" s="87"/>
      <c r="E1501" s="88"/>
      <c r="F1501" s="173"/>
      <c r="G1501" s="88"/>
      <c r="H1501" s="88"/>
      <c r="I1501" s="323" t="str">
        <f t="shared" si="316"/>
        <v/>
      </c>
      <c r="J1501" s="323" t="str">
        <f t="shared" si="317"/>
        <v/>
      </c>
      <c r="K1501" s="324" t="str">
        <f t="shared" si="318"/>
        <v/>
      </c>
      <c r="L1501" s="88"/>
      <c r="M1501" s="88"/>
      <c r="N1501" s="88"/>
      <c r="O1501" s="88"/>
      <c r="P1501" s="88"/>
      <c r="Q1501" s="88"/>
      <c r="R1501" s="88"/>
      <c r="S1501" s="620"/>
      <c r="T1501" s="92"/>
      <c r="U1501" s="1214"/>
      <c r="V1501" s="1215"/>
      <c r="W1501" s="168"/>
      <c r="X1501" s="170"/>
    </row>
    <row r="1502" spans="1:24" ht="12.75" customHeight="1">
      <c r="A1502" s="15"/>
      <c r="B1502" s="92" t="str">
        <f t="shared" si="315"/>
        <v/>
      </c>
      <c r="C1502" s="90"/>
      <c r="D1502" s="87"/>
      <c r="E1502" s="88"/>
      <c r="F1502" s="173"/>
      <c r="G1502" s="88"/>
      <c r="H1502" s="88"/>
      <c r="I1502" s="323" t="str">
        <f t="shared" si="316"/>
        <v/>
      </c>
      <c r="J1502" s="323" t="str">
        <f t="shared" si="317"/>
        <v/>
      </c>
      <c r="K1502" s="324" t="str">
        <f t="shared" si="318"/>
        <v/>
      </c>
      <c r="L1502" s="88"/>
      <c r="M1502" s="88"/>
      <c r="N1502" s="88"/>
      <c r="O1502" s="88"/>
      <c r="P1502" s="88"/>
      <c r="Q1502" s="88"/>
      <c r="R1502" s="88"/>
      <c r="S1502" s="620"/>
      <c r="T1502" s="92"/>
      <c r="U1502" s="1214"/>
      <c r="V1502" s="1215"/>
      <c r="W1502" s="168"/>
      <c r="X1502" s="170"/>
    </row>
    <row r="1503" spans="1:24" ht="12.75" customHeight="1">
      <c r="A1503" s="15"/>
      <c r="B1503" s="92" t="str">
        <f t="shared" si="315"/>
        <v/>
      </c>
      <c r="C1503" s="90"/>
      <c r="D1503" s="87"/>
      <c r="E1503" s="88"/>
      <c r="F1503" s="173"/>
      <c r="G1503" s="88"/>
      <c r="H1503" s="88"/>
      <c r="I1503" s="323" t="str">
        <f t="shared" si="316"/>
        <v/>
      </c>
      <c r="J1503" s="323" t="str">
        <f t="shared" si="317"/>
        <v/>
      </c>
      <c r="K1503" s="324" t="str">
        <f t="shared" si="318"/>
        <v/>
      </c>
      <c r="L1503" s="88"/>
      <c r="M1503" s="88"/>
      <c r="N1503" s="88"/>
      <c r="O1503" s="88"/>
      <c r="P1503" s="88"/>
      <c r="Q1503" s="88"/>
      <c r="R1503" s="88"/>
      <c r="S1503" s="620"/>
      <c r="T1503" s="92"/>
      <c r="U1503" s="1214"/>
      <c r="V1503" s="1215"/>
      <c r="W1503" s="168"/>
      <c r="X1503" s="170"/>
    </row>
    <row r="1504" spans="1:24" ht="12.75" customHeight="1">
      <c r="A1504" s="15"/>
      <c r="B1504" s="92" t="str">
        <f t="shared" si="315"/>
        <v/>
      </c>
      <c r="C1504" s="90"/>
      <c r="D1504" s="87"/>
      <c r="E1504" s="88"/>
      <c r="F1504" s="173"/>
      <c r="G1504" s="88"/>
      <c r="H1504" s="88"/>
      <c r="I1504" s="323" t="str">
        <f t="shared" si="316"/>
        <v/>
      </c>
      <c r="J1504" s="323" t="str">
        <f t="shared" si="317"/>
        <v/>
      </c>
      <c r="K1504" s="324" t="str">
        <f t="shared" si="318"/>
        <v/>
      </c>
      <c r="L1504" s="88"/>
      <c r="M1504" s="88"/>
      <c r="N1504" s="88"/>
      <c r="O1504" s="88"/>
      <c r="P1504" s="88"/>
      <c r="Q1504" s="88"/>
      <c r="R1504" s="88"/>
      <c r="S1504" s="620"/>
      <c r="T1504" s="92"/>
      <c r="U1504" s="1214"/>
      <c r="V1504" s="1215"/>
      <c r="W1504" s="168"/>
      <c r="X1504" s="170"/>
    </row>
    <row r="1505" spans="1:24" ht="12.75" customHeight="1">
      <c r="A1505" s="15"/>
      <c r="B1505" s="92" t="str">
        <f t="shared" si="315"/>
        <v/>
      </c>
      <c r="C1505" s="90"/>
      <c r="D1505" s="87"/>
      <c r="E1505" s="88"/>
      <c r="F1505" s="173"/>
      <c r="G1505" s="88"/>
      <c r="H1505" s="88"/>
      <c r="I1505" s="323" t="str">
        <f t="shared" si="316"/>
        <v/>
      </c>
      <c r="J1505" s="323" t="str">
        <f t="shared" si="317"/>
        <v/>
      </c>
      <c r="K1505" s="324" t="str">
        <f t="shared" si="318"/>
        <v/>
      </c>
      <c r="L1505" s="88"/>
      <c r="M1505" s="88"/>
      <c r="N1505" s="88"/>
      <c r="O1505" s="88"/>
      <c r="P1505" s="88"/>
      <c r="Q1505" s="88"/>
      <c r="R1505" s="88"/>
      <c r="S1505" s="620"/>
      <c r="T1505" s="92"/>
      <c r="U1505" s="1214"/>
      <c r="V1505" s="1215"/>
      <c r="W1505" s="168"/>
      <c r="X1505" s="170"/>
    </row>
    <row r="1506" spans="1:24" ht="12.75" customHeight="1">
      <c r="A1506" s="15"/>
      <c r="B1506" s="92" t="str">
        <f t="shared" si="315"/>
        <v/>
      </c>
      <c r="C1506" s="90"/>
      <c r="D1506" s="87"/>
      <c r="E1506" s="88"/>
      <c r="F1506" s="173"/>
      <c r="G1506" s="88"/>
      <c r="H1506" s="88"/>
      <c r="I1506" s="323" t="str">
        <f t="shared" si="316"/>
        <v/>
      </c>
      <c r="J1506" s="323" t="str">
        <f t="shared" si="317"/>
        <v/>
      </c>
      <c r="K1506" s="324" t="str">
        <f t="shared" si="318"/>
        <v/>
      </c>
      <c r="L1506" s="88"/>
      <c r="M1506" s="88"/>
      <c r="N1506" s="88"/>
      <c r="O1506" s="88"/>
      <c r="P1506" s="88"/>
      <c r="Q1506" s="88"/>
      <c r="R1506" s="88"/>
      <c r="S1506" s="620"/>
      <c r="T1506" s="92"/>
      <c r="U1506" s="1214"/>
      <c r="V1506" s="1215"/>
      <c r="W1506" s="168"/>
      <c r="X1506" s="170"/>
    </row>
    <row r="1507" spans="1:24" ht="12.75" customHeight="1">
      <c r="A1507" s="15"/>
      <c r="B1507" s="92" t="str">
        <f t="shared" si="315"/>
        <v/>
      </c>
      <c r="C1507" s="90"/>
      <c r="D1507" s="87"/>
      <c r="E1507" s="88"/>
      <c r="F1507" s="173"/>
      <c r="G1507" s="88"/>
      <c r="H1507" s="88"/>
      <c r="I1507" s="323" t="str">
        <f t="shared" si="316"/>
        <v/>
      </c>
      <c r="J1507" s="323" t="str">
        <f t="shared" si="317"/>
        <v/>
      </c>
      <c r="K1507" s="324" t="str">
        <f t="shared" si="318"/>
        <v/>
      </c>
      <c r="L1507" s="88"/>
      <c r="M1507" s="88"/>
      <c r="N1507" s="88"/>
      <c r="O1507" s="88"/>
      <c r="P1507" s="88"/>
      <c r="Q1507" s="88"/>
      <c r="R1507" s="88"/>
      <c r="S1507" s="620"/>
      <c r="T1507" s="92"/>
      <c r="U1507" s="1214"/>
      <c r="V1507" s="1215"/>
      <c r="W1507" s="168"/>
      <c r="X1507" s="170"/>
    </row>
    <row r="1508" spans="1:24" ht="12.75" customHeight="1">
      <c r="A1508" s="15"/>
      <c r="B1508" s="92" t="str">
        <f t="shared" si="315"/>
        <v/>
      </c>
      <c r="C1508" s="90"/>
      <c r="D1508" s="87"/>
      <c r="E1508" s="88"/>
      <c r="F1508" s="173"/>
      <c r="G1508" s="88"/>
      <c r="H1508" s="88"/>
      <c r="I1508" s="323" t="str">
        <f t="shared" si="316"/>
        <v/>
      </c>
      <c r="J1508" s="323" t="str">
        <f t="shared" si="317"/>
        <v/>
      </c>
      <c r="K1508" s="324" t="str">
        <f t="shared" si="318"/>
        <v/>
      </c>
      <c r="L1508" s="88"/>
      <c r="M1508" s="88"/>
      <c r="N1508" s="88"/>
      <c r="O1508" s="88"/>
      <c r="P1508" s="88"/>
      <c r="Q1508" s="88"/>
      <c r="R1508" s="88"/>
      <c r="S1508" s="620"/>
      <c r="T1508" s="92"/>
      <c r="U1508" s="1214"/>
      <c r="V1508" s="1215"/>
      <c r="W1508" s="168"/>
      <c r="X1508" s="170"/>
    </row>
    <row r="1509" spans="1:24" ht="12.75" customHeight="1">
      <c r="A1509" s="15"/>
      <c r="B1509" s="92" t="str">
        <f t="shared" si="315"/>
        <v/>
      </c>
      <c r="C1509" s="90"/>
      <c r="D1509" s="87"/>
      <c r="E1509" s="88"/>
      <c r="F1509" s="173"/>
      <c r="G1509" s="88"/>
      <c r="H1509" s="88"/>
      <c r="I1509" s="323" t="str">
        <f t="shared" si="316"/>
        <v/>
      </c>
      <c r="J1509" s="323" t="str">
        <f t="shared" si="317"/>
        <v/>
      </c>
      <c r="K1509" s="324" t="str">
        <f t="shared" si="318"/>
        <v/>
      </c>
      <c r="L1509" s="88"/>
      <c r="M1509" s="88"/>
      <c r="N1509" s="88"/>
      <c r="O1509" s="88"/>
      <c r="P1509" s="88"/>
      <c r="Q1509" s="88"/>
      <c r="R1509" s="88"/>
      <c r="S1509" s="620"/>
      <c r="T1509" s="92"/>
      <c r="U1509" s="1214"/>
      <c r="V1509" s="1215"/>
      <c r="W1509" s="168"/>
      <c r="X1509" s="170"/>
    </row>
    <row r="1510" spans="1:24" ht="12.75" customHeight="1">
      <c r="A1510" s="15"/>
      <c r="B1510" s="92" t="str">
        <f t="shared" si="315"/>
        <v/>
      </c>
      <c r="C1510" s="90"/>
      <c r="D1510" s="87"/>
      <c r="E1510" s="88"/>
      <c r="F1510" s="173"/>
      <c r="G1510" s="88"/>
      <c r="H1510" s="88"/>
      <c r="I1510" s="323" t="str">
        <f t="shared" si="316"/>
        <v/>
      </c>
      <c r="J1510" s="323" t="str">
        <f t="shared" si="317"/>
        <v/>
      </c>
      <c r="K1510" s="324" t="str">
        <f t="shared" si="318"/>
        <v/>
      </c>
      <c r="L1510" s="88"/>
      <c r="M1510" s="88"/>
      <c r="N1510" s="88"/>
      <c r="O1510" s="88"/>
      <c r="P1510" s="88"/>
      <c r="Q1510" s="88"/>
      <c r="R1510" s="88"/>
      <c r="S1510" s="620"/>
      <c r="T1510" s="92"/>
      <c r="U1510" s="1214"/>
      <c r="V1510" s="1215"/>
      <c r="W1510" s="168"/>
      <c r="X1510" s="170"/>
    </row>
    <row r="1511" spans="1:24" ht="12.75" customHeight="1">
      <c r="A1511" s="15"/>
      <c r="B1511" s="92" t="str">
        <f t="shared" si="315"/>
        <v/>
      </c>
      <c r="C1511" s="90"/>
      <c r="D1511" s="87"/>
      <c r="E1511" s="88"/>
      <c r="F1511" s="173"/>
      <c r="G1511" s="88"/>
      <c r="H1511" s="88"/>
      <c r="I1511" s="323" t="str">
        <f t="shared" si="316"/>
        <v/>
      </c>
      <c r="J1511" s="323" t="str">
        <f t="shared" si="317"/>
        <v/>
      </c>
      <c r="K1511" s="324" t="str">
        <f t="shared" si="318"/>
        <v/>
      </c>
      <c r="L1511" s="88"/>
      <c r="M1511" s="88"/>
      <c r="N1511" s="88"/>
      <c r="O1511" s="88"/>
      <c r="P1511" s="88"/>
      <c r="Q1511" s="88"/>
      <c r="R1511" s="88"/>
      <c r="S1511" s="620"/>
      <c r="T1511" s="92"/>
      <c r="U1511" s="1214"/>
      <c r="V1511" s="1215"/>
      <c r="W1511" s="168"/>
      <c r="X1511" s="170"/>
    </row>
    <row r="1512" spans="1:24" ht="12.75" customHeight="1">
      <c r="A1512" s="15"/>
      <c r="B1512" s="92" t="str">
        <f t="shared" si="315"/>
        <v/>
      </c>
      <c r="C1512" s="90"/>
      <c r="D1512" s="87"/>
      <c r="E1512" s="88"/>
      <c r="F1512" s="173"/>
      <c r="G1512" s="88"/>
      <c r="H1512" s="88"/>
      <c r="I1512" s="323" t="str">
        <f t="shared" si="316"/>
        <v/>
      </c>
      <c r="J1512" s="323" t="str">
        <f t="shared" si="317"/>
        <v/>
      </c>
      <c r="K1512" s="324" t="str">
        <f t="shared" si="318"/>
        <v/>
      </c>
      <c r="L1512" s="88"/>
      <c r="M1512" s="88"/>
      <c r="N1512" s="88"/>
      <c r="O1512" s="88"/>
      <c r="P1512" s="88"/>
      <c r="Q1512" s="88"/>
      <c r="R1512" s="88"/>
      <c r="S1512" s="620"/>
      <c r="T1512" s="92"/>
      <c r="U1512" s="1214"/>
      <c r="V1512" s="1215"/>
      <c r="W1512" s="168"/>
      <c r="X1512" s="170"/>
    </row>
    <row r="1513" spans="1:24" ht="12.75" customHeight="1">
      <c r="A1513" s="15"/>
      <c r="B1513" s="92" t="str">
        <f t="shared" si="315"/>
        <v/>
      </c>
      <c r="C1513" s="90"/>
      <c r="D1513" s="87"/>
      <c r="E1513" s="88"/>
      <c r="F1513" s="173"/>
      <c r="G1513" s="88"/>
      <c r="H1513" s="88"/>
      <c r="I1513" s="323" t="str">
        <f t="shared" si="316"/>
        <v/>
      </c>
      <c r="J1513" s="323" t="str">
        <f t="shared" si="317"/>
        <v/>
      </c>
      <c r="K1513" s="324" t="str">
        <f t="shared" si="318"/>
        <v/>
      </c>
      <c r="L1513" s="88"/>
      <c r="M1513" s="88"/>
      <c r="N1513" s="88"/>
      <c r="O1513" s="88"/>
      <c r="P1513" s="88"/>
      <c r="Q1513" s="88"/>
      <c r="R1513" s="88"/>
      <c r="S1513" s="620"/>
      <c r="T1513" s="92"/>
      <c r="U1513" s="1214"/>
      <c r="V1513" s="1215"/>
      <c r="W1513" s="168"/>
      <c r="X1513" s="170"/>
    </row>
    <row r="1514" spans="1:24" ht="12.75" customHeight="1">
      <c r="A1514" s="15"/>
      <c r="B1514" s="92" t="str">
        <f t="shared" si="315"/>
        <v/>
      </c>
      <c r="C1514" s="90"/>
      <c r="D1514" s="87"/>
      <c r="E1514" s="88"/>
      <c r="F1514" s="173"/>
      <c r="G1514" s="88"/>
      <c r="H1514" s="88"/>
      <c r="I1514" s="323" t="str">
        <f t="shared" si="316"/>
        <v/>
      </c>
      <c r="J1514" s="323" t="str">
        <f t="shared" si="317"/>
        <v/>
      </c>
      <c r="K1514" s="324" t="str">
        <f t="shared" si="318"/>
        <v/>
      </c>
      <c r="L1514" s="88"/>
      <c r="M1514" s="88"/>
      <c r="N1514" s="88"/>
      <c r="O1514" s="88"/>
      <c r="P1514" s="88"/>
      <c r="Q1514" s="88"/>
      <c r="R1514" s="88"/>
      <c r="S1514" s="620"/>
      <c r="T1514" s="92"/>
      <c r="U1514" s="1214"/>
      <c r="V1514" s="1215"/>
      <c r="W1514" s="168"/>
      <c r="X1514" s="170"/>
    </row>
    <row r="1515" spans="1:24" ht="12.75" customHeight="1">
      <c r="A1515" s="15"/>
      <c r="B1515" s="92" t="str">
        <f t="shared" si="315"/>
        <v/>
      </c>
      <c r="C1515" s="90"/>
      <c r="D1515" s="87"/>
      <c r="E1515" s="88"/>
      <c r="F1515" s="173"/>
      <c r="G1515" s="88"/>
      <c r="H1515" s="88"/>
      <c r="I1515" s="323" t="str">
        <f t="shared" si="316"/>
        <v/>
      </c>
      <c r="J1515" s="323" t="str">
        <f t="shared" si="317"/>
        <v/>
      </c>
      <c r="K1515" s="324" t="str">
        <f t="shared" si="318"/>
        <v/>
      </c>
      <c r="L1515" s="88"/>
      <c r="M1515" s="88"/>
      <c r="N1515" s="88"/>
      <c r="O1515" s="88"/>
      <c r="P1515" s="88"/>
      <c r="Q1515" s="88"/>
      <c r="R1515" s="88"/>
      <c r="S1515" s="620"/>
      <c r="T1515" s="92"/>
      <c r="U1515" s="1214"/>
      <c r="V1515" s="1215"/>
      <c r="W1515" s="168"/>
      <c r="X1515" s="170"/>
    </row>
    <row r="1516" spans="1:24" ht="12.75" customHeight="1">
      <c r="A1516" s="15"/>
      <c r="B1516" s="92" t="str">
        <f t="shared" si="315"/>
        <v/>
      </c>
      <c r="C1516" s="90"/>
      <c r="D1516" s="87"/>
      <c r="E1516" s="88"/>
      <c r="F1516" s="173"/>
      <c r="G1516" s="88"/>
      <c r="H1516" s="88"/>
      <c r="I1516" s="323" t="str">
        <f t="shared" si="316"/>
        <v/>
      </c>
      <c r="J1516" s="323" t="str">
        <f t="shared" si="317"/>
        <v/>
      </c>
      <c r="K1516" s="324" t="str">
        <f t="shared" si="318"/>
        <v/>
      </c>
      <c r="L1516" s="88"/>
      <c r="M1516" s="88"/>
      <c r="N1516" s="88"/>
      <c r="O1516" s="88"/>
      <c r="P1516" s="88"/>
      <c r="Q1516" s="88"/>
      <c r="R1516" s="88"/>
      <c r="S1516" s="620"/>
      <c r="T1516" s="92"/>
      <c r="U1516" s="1214"/>
      <c r="V1516" s="1215"/>
      <c r="W1516" s="168"/>
      <c r="X1516" s="170"/>
    </row>
    <row r="1517" spans="1:24" ht="12.75" customHeight="1">
      <c r="A1517" s="15"/>
      <c r="B1517" s="92" t="str">
        <f t="shared" si="315"/>
        <v/>
      </c>
      <c r="C1517" s="90"/>
      <c r="D1517" s="87"/>
      <c r="E1517" s="88"/>
      <c r="F1517" s="173"/>
      <c r="G1517" s="88"/>
      <c r="H1517" s="88"/>
      <c r="I1517" s="323" t="str">
        <f t="shared" si="316"/>
        <v/>
      </c>
      <c r="J1517" s="323" t="str">
        <f t="shared" si="317"/>
        <v/>
      </c>
      <c r="K1517" s="324" t="str">
        <f t="shared" si="318"/>
        <v/>
      </c>
      <c r="L1517" s="88"/>
      <c r="M1517" s="88"/>
      <c r="N1517" s="88"/>
      <c r="O1517" s="88"/>
      <c r="P1517" s="88"/>
      <c r="Q1517" s="88"/>
      <c r="R1517" s="88"/>
      <c r="S1517" s="620"/>
      <c r="T1517" s="92"/>
      <c r="U1517" s="1214"/>
      <c r="V1517" s="1215"/>
      <c r="W1517" s="168"/>
      <c r="X1517" s="170"/>
    </row>
    <row r="1518" spans="1:24" ht="12.75" customHeight="1">
      <c r="A1518" s="15"/>
      <c r="B1518" s="92" t="str">
        <f t="shared" si="315"/>
        <v/>
      </c>
      <c r="C1518" s="90"/>
      <c r="D1518" s="87"/>
      <c r="E1518" s="88"/>
      <c r="F1518" s="173"/>
      <c r="G1518" s="88"/>
      <c r="H1518" s="88"/>
      <c r="I1518" s="323" t="str">
        <f t="shared" si="316"/>
        <v/>
      </c>
      <c r="J1518" s="323" t="str">
        <f t="shared" si="317"/>
        <v/>
      </c>
      <c r="K1518" s="324" t="str">
        <f t="shared" si="318"/>
        <v/>
      </c>
      <c r="L1518" s="88"/>
      <c r="M1518" s="88"/>
      <c r="N1518" s="88"/>
      <c r="O1518" s="88"/>
      <c r="P1518" s="88"/>
      <c r="Q1518" s="88"/>
      <c r="R1518" s="88"/>
      <c r="S1518" s="620"/>
      <c r="T1518" s="92"/>
      <c r="U1518" s="1214"/>
      <c r="V1518" s="1215"/>
      <c r="W1518" s="168"/>
      <c r="X1518" s="170"/>
    </row>
    <row r="1519" spans="1:24" ht="12.75" customHeight="1">
      <c r="A1519" s="15"/>
      <c r="B1519" s="92" t="str">
        <f t="shared" ref="B1519:B1582" si="319">IF(C1519="","",ROW()-5)</f>
        <v/>
      </c>
      <c r="C1519" s="90"/>
      <c r="D1519" s="87"/>
      <c r="E1519" s="88"/>
      <c r="F1519" s="173"/>
      <c r="G1519" s="88"/>
      <c r="H1519" s="88"/>
      <c r="I1519" s="323" t="str">
        <f t="shared" si="316"/>
        <v/>
      </c>
      <c r="J1519" s="323" t="str">
        <f t="shared" si="317"/>
        <v/>
      </c>
      <c r="K1519" s="324" t="str">
        <f t="shared" si="318"/>
        <v/>
      </c>
      <c r="L1519" s="88"/>
      <c r="M1519" s="88"/>
      <c r="N1519" s="88"/>
      <c r="O1519" s="88"/>
      <c r="P1519" s="88"/>
      <c r="Q1519" s="88"/>
      <c r="R1519" s="88"/>
      <c r="S1519" s="620"/>
      <c r="T1519" s="92"/>
      <c r="U1519" s="1214"/>
      <c r="V1519" s="1215"/>
      <c r="W1519" s="168"/>
      <c r="X1519" s="170"/>
    </row>
    <row r="1520" spans="1:24" ht="12.75" customHeight="1">
      <c r="A1520" s="15"/>
      <c r="B1520" s="92" t="str">
        <f t="shared" si="319"/>
        <v/>
      </c>
      <c r="C1520" s="90"/>
      <c r="D1520" s="87"/>
      <c r="E1520" s="88"/>
      <c r="F1520" s="173"/>
      <c r="G1520" s="88"/>
      <c r="H1520" s="88"/>
      <c r="I1520" s="323" t="str">
        <f t="shared" si="316"/>
        <v/>
      </c>
      <c r="J1520" s="323" t="str">
        <f t="shared" si="317"/>
        <v/>
      </c>
      <c r="K1520" s="324" t="str">
        <f t="shared" si="318"/>
        <v/>
      </c>
      <c r="L1520" s="88"/>
      <c r="M1520" s="88"/>
      <c r="N1520" s="88"/>
      <c r="O1520" s="88"/>
      <c r="P1520" s="88"/>
      <c r="Q1520" s="88"/>
      <c r="R1520" s="88"/>
      <c r="S1520" s="620"/>
      <c r="T1520" s="92"/>
      <c r="U1520" s="1214"/>
      <c r="V1520" s="1215"/>
      <c r="W1520" s="168"/>
      <c r="X1520" s="170"/>
    </row>
    <row r="1521" spans="1:24" ht="12.75" customHeight="1">
      <c r="A1521" s="15"/>
      <c r="B1521" s="92" t="str">
        <f t="shared" si="319"/>
        <v/>
      </c>
      <c r="C1521" s="90"/>
      <c r="D1521" s="87"/>
      <c r="E1521" s="88"/>
      <c r="F1521" s="173"/>
      <c r="G1521" s="88"/>
      <c r="H1521" s="88"/>
      <c r="I1521" s="323" t="str">
        <f t="shared" si="316"/>
        <v/>
      </c>
      <c r="J1521" s="323" t="str">
        <f t="shared" si="317"/>
        <v/>
      </c>
      <c r="K1521" s="324" t="str">
        <f t="shared" si="318"/>
        <v/>
      </c>
      <c r="L1521" s="88"/>
      <c r="M1521" s="88"/>
      <c r="N1521" s="88"/>
      <c r="O1521" s="88"/>
      <c r="P1521" s="88"/>
      <c r="Q1521" s="88"/>
      <c r="R1521" s="88"/>
      <c r="S1521" s="620"/>
      <c r="T1521" s="92"/>
      <c r="U1521" s="1214"/>
      <c r="V1521" s="1215"/>
      <c r="W1521" s="168"/>
      <c r="X1521" s="170"/>
    </row>
    <row r="1522" spans="1:24" ht="12.75" customHeight="1">
      <c r="A1522" s="15"/>
      <c r="B1522" s="92" t="str">
        <f t="shared" si="319"/>
        <v/>
      </c>
      <c r="C1522" s="90"/>
      <c r="D1522" s="87"/>
      <c r="E1522" s="88"/>
      <c r="F1522" s="173"/>
      <c r="G1522" s="88"/>
      <c r="H1522" s="88"/>
      <c r="I1522" s="323" t="str">
        <f t="shared" si="316"/>
        <v/>
      </c>
      <c r="J1522" s="323" t="str">
        <f t="shared" si="317"/>
        <v/>
      </c>
      <c r="K1522" s="324" t="str">
        <f t="shared" si="318"/>
        <v/>
      </c>
      <c r="L1522" s="88"/>
      <c r="M1522" s="88"/>
      <c r="N1522" s="88"/>
      <c r="O1522" s="88"/>
      <c r="P1522" s="88"/>
      <c r="Q1522" s="88"/>
      <c r="R1522" s="88"/>
      <c r="S1522" s="620"/>
      <c r="T1522" s="92"/>
      <c r="U1522" s="1214"/>
      <c r="V1522" s="1215"/>
      <c r="W1522" s="168"/>
      <c r="X1522" s="170"/>
    </row>
    <row r="1523" spans="1:24" ht="12.75" customHeight="1">
      <c r="A1523" s="15"/>
      <c r="B1523" s="92" t="str">
        <f t="shared" si="319"/>
        <v/>
      </c>
      <c r="C1523" s="90"/>
      <c r="D1523" s="87"/>
      <c r="E1523" s="88"/>
      <c r="F1523" s="173"/>
      <c r="G1523" s="88"/>
      <c r="H1523" s="88"/>
      <c r="I1523" s="323" t="str">
        <f t="shared" si="316"/>
        <v/>
      </c>
      <c r="J1523" s="323" t="str">
        <f t="shared" si="317"/>
        <v/>
      </c>
      <c r="K1523" s="324" t="str">
        <f t="shared" si="318"/>
        <v/>
      </c>
      <c r="L1523" s="88"/>
      <c r="M1523" s="88"/>
      <c r="N1523" s="88"/>
      <c r="O1523" s="88"/>
      <c r="P1523" s="88"/>
      <c r="Q1523" s="88"/>
      <c r="R1523" s="88"/>
      <c r="S1523" s="620"/>
      <c r="T1523" s="92"/>
      <c r="U1523" s="1214"/>
      <c r="V1523" s="1215"/>
      <c r="W1523" s="168"/>
      <c r="X1523" s="170"/>
    </row>
    <row r="1524" spans="1:24" ht="12.75" customHeight="1">
      <c r="A1524" s="15"/>
      <c r="B1524" s="92" t="str">
        <f t="shared" si="319"/>
        <v/>
      </c>
      <c r="C1524" s="90"/>
      <c r="D1524" s="87"/>
      <c r="E1524" s="88"/>
      <c r="F1524" s="173"/>
      <c r="G1524" s="88"/>
      <c r="H1524" s="88"/>
      <c r="I1524" s="323" t="str">
        <f t="shared" si="316"/>
        <v/>
      </c>
      <c r="J1524" s="323" t="str">
        <f t="shared" si="317"/>
        <v/>
      </c>
      <c r="K1524" s="324" t="str">
        <f t="shared" si="318"/>
        <v/>
      </c>
      <c r="L1524" s="88"/>
      <c r="M1524" s="88"/>
      <c r="N1524" s="88"/>
      <c r="O1524" s="88"/>
      <c r="P1524" s="88"/>
      <c r="Q1524" s="88"/>
      <c r="R1524" s="88"/>
      <c r="S1524" s="620"/>
      <c r="T1524" s="92"/>
      <c r="U1524" s="1214"/>
      <c r="V1524" s="1215"/>
      <c r="W1524" s="168"/>
      <c r="X1524" s="170"/>
    </row>
    <row r="1525" spans="1:24" ht="12.75" customHeight="1">
      <c r="A1525" s="15"/>
      <c r="B1525" s="92" t="str">
        <f t="shared" si="319"/>
        <v/>
      </c>
      <c r="C1525" s="90"/>
      <c r="D1525" s="87"/>
      <c r="E1525" s="88"/>
      <c r="F1525" s="173"/>
      <c r="G1525" s="88"/>
      <c r="H1525" s="88"/>
      <c r="I1525" s="323" t="str">
        <f t="shared" si="316"/>
        <v/>
      </c>
      <c r="J1525" s="323" t="str">
        <f t="shared" si="317"/>
        <v/>
      </c>
      <c r="K1525" s="324" t="str">
        <f t="shared" si="318"/>
        <v/>
      </c>
      <c r="L1525" s="88"/>
      <c r="M1525" s="88"/>
      <c r="N1525" s="88"/>
      <c r="O1525" s="88"/>
      <c r="P1525" s="88"/>
      <c r="Q1525" s="88"/>
      <c r="R1525" s="88"/>
      <c r="S1525" s="620"/>
      <c r="T1525" s="92"/>
      <c r="U1525" s="1214"/>
      <c r="V1525" s="1215"/>
      <c r="W1525" s="168"/>
      <c r="X1525" s="170"/>
    </row>
    <row r="1526" spans="1:24" ht="12.75" customHeight="1">
      <c r="A1526" s="15"/>
      <c r="B1526" s="92" t="str">
        <f t="shared" si="319"/>
        <v/>
      </c>
      <c r="C1526" s="90"/>
      <c r="D1526" s="87"/>
      <c r="E1526" s="88"/>
      <c r="F1526" s="173"/>
      <c r="G1526" s="88"/>
      <c r="H1526" s="88"/>
      <c r="I1526" s="323" t="str">
        <f t="shared" si="316"/>
        <v/>
      </c>
      <c r="J1526" s="323" t="str">
        <f t="shared" si="317"/>
        <v/>
      </c>
      <c r="K1526" s="324" t="str">
        <f t="shared" si="318"/>
        <v/>
      </c>
      <c r="L1526" s="88"/>
      <c r="M1526" s="88"/>
      <c r="N1526" s="88"/>
      <c r="O1526" s="88"/>
      <c r="P1526" s="88"/>
      <c r="Q1526" s="88"/>
      <c r="R1526" s="88"/>
      <c r="S1526" s="620"/>
      <c r="T1526" s="92"/>
      <c r="U1526" s="1214"/>
      <c r="V1526" s="1215"/>
      <c r="W1526" s="168"/>
      <c r="X1526" s="170"/>
    </row>
    <row r="1527" spans="1:24" ht="12.75" customHeight="1">
      <c r="A1527" s="15"/>
      <c r="B1527" s="92" t="str">
        <f t="shared" si="319"/>
        <v/>
      </c>
      <c r="C1527" s="90"/>
      <c r="D1527" s="87"/>
      <c r="E1527" s="88"/>
      <c r="F1527" s="173"/>
      <c r="G1527" s="88"/>
      <c r="H1527" s="88"/>
      <c r="I1527" s="323" t="str">
        <f t="shared" si="316"/>
        <v/>
      </c>
      <c r="J1527" s="323" t="str">
        <f t="shared" si="317"/>
        <v/>
      </c>
      <c r="K1527" s="324" t="str">
        <f t="shared" si="318"/>
        <v/>
      </c>
      <c r="L1527" s="88"/>
      <c r="M1527" s="88"/>
      <c r="N1527" s="88"/>
      <c r="O1527" s="88"/>
      <c r="P1527" s="88"/>
      <c r="Q1527" s="88"/>
      <c r="R1527" s="88"/>
      <c r="S1527" s="620"/>
      <c r="T1527" s="92"/>
      <c r="U1527" s="1214"/>
      <c r="V1527" s="1215"/>
      <c r="W1527" s="168"/>
      <c r="X1527" s="170"/>
    </row>
    <row r="1528" spans="1:24" ht="12.75" customHeight="1">
      <c r="A1528" s="15"/>
      <c r="B1528" s="92" t="str">
        <f t="shared" si="319"/>
        <v/>
      </c>
      <c r="C1528" s="90"/>
      <c r="D1528" s="87"/>
      <c r="E1528" s="88"/>
      <c r="F1528" s="173"/>
      <c r="G1528" s="88"/>
      <c r="H1528" s="88"/>
      <c r="I1528" s="323" t="str">
        <f t="shared" si="316"/>
        <v/>
      </c>
      <c r="J1528" s="323" t="str">
        <f t="shared" si="317"/>
        <v/>
      </c>
      <c r="K1528" s="324" t="str">
        <f t="shared" si="318"/>
        <v/>
      </c>
      <c r="L1528" s="88"/>
      <c r="M1528" s="88"/>
      <c r="N1528" s="88"/>
      <c r="O1528" s="88"/>
      <c r="P1528" s="88"/>
      <c r="Q1528" s="88"/>
      <c r="R1528" s="88"/>
      <c r="S1528" s="620"/>
      <c r="T1528" s="92"/>
      <c r="U1528" s="1214"/>
      <c r="V1528" s="1215"/>
      <c r="W1528" s="168"/>
      <c r="X1528" s="170"/>
    </row>
    <row r="1529" spans="1:24" ht="12.75" customHeight="1">
      <c r="A1529" s="15"/>
      <c r="B1529" s="92" t="str">
        <f t="shared" si="319"/>
        <v/>
      </c>
      <c r="C1529" s="90"/>
      <c r="D1529" s="87"/>
      <c r="E1529" s="88"/>
      <c r="F1529" s="173"/>
      <c r="G1529" s="88"/>
      <c r="H1529" s="88"/>
      <c r="I1529" s="323" t="str">
        <f t="shared" si="316"/>
        <v/>
      </c>
      <c r="J1529" s="323" t="str">
        <f t="shared" si="317"/>
        <v/>
      </c>
      <c r="K1529" s="324" t="str">
        <f t="shared" si="318"/>
        <v/>
      </c>
      <c r="L1529" s="88"/>
      <c r="M1529" s="88"/>
      <c r="N1529" s="88"/>
      <c r="O1529" s="88"/>
      <c r="P1529" s="88"/>
      <c r="Q1529" s="88"/>
      <c r="R1529" s="88"/>
      <c r="S1529" s="620"/>
      <c r="T1529" s="92"/>
      <c r="U1529" s="1214"/>
      <c r="V1529" s="1215"/>
      <c r="W1529" s="168"/>
      <c r="X1529" s="170"/>
    </row>
    <row r="1530" spans="1:24" ht="12.75" customHeight="1">
      <c r="A1530" s="15"/>
      <c r="B1530" s="92" t="str">
        <f t="shared" si="319"/>
        <v/>
      </c>
      <c r="C1530" s="90"/>
      <c r="D1530" s="87"/>
      <c r="E1530" s="88"/>
      <c r="F1530" s="173"/>
      <c r="G1530" s="88"/>
      <c r="H1530" s="88"/>
      <c r="I1530" s="323" t="str">
        <f t="shared" si="316"/>
        <v/>
      </c>
      <c r="J1530" s="323" t="str">
        <f t="shared" si="317"/>
        <v/>
      </c>
      <c r="K1530" s="324" t="str">
        <f t="shared" si="318"/>
        <v/>
      </c>
      <c r="L1530" s="88"/>
      <c r="M1530" s="88"/>
      <c r="N1530" s="88"/>
      <c r="O1530" s="88"/>
      <c r="P1530" s="88"/>
      <c r="Q1530" s="88"/>
      <c r="R1530" s="88"/>
      <c r="S1530" s="620"/>
      <c r="T1530" s="92"/>
      <c r="U1530" s="1214"/>
      <c r="V1530" s="1215"/>
      <c r="W1530" s="168"/>
      <c r="X1530" s="170"/>
    </row>
    <row r="1531" spans="1:24" ht="12.75" customHeight="1">
      <c r="A1531" s="15"/>
      <c r="B1531" s="92" t="str">
        <f t="shared" si="319"/>
        <v/>
      </c>
      <c r="C1531" s="90"/>
      <c r="D1531" s="87"/>
      <c r="E1531" s="88"/>
      <c r="F1531" s="173"/>
      <c r="G1531" s="88"/>
      <c r="H1531" s="88"/>
      <c r="I1531" s="323" t="str">
        <f t="shared" si="316"/>
        <v/>
      </c>
      <c r="J1531" s="323" t="str">
        <f t="shared" si="317"/>
        <v/>
      </c>
      <c r="K1531" s="324" t="str">
        <f t="shared" si="318"/>
        <v/>
      </c>
      <c r="L1531" s="88"/>
      <c r="M1531" s="88"/>
      <c r="N1531" s="88"/>
      <c r="O1531" s="88"/>
      <c r="P1531" s="88"/>
      <c r="Q1531" s="88"/>
      <c r="R1531" s="88"/>
      <c r="S1531" s="620"/>
      <c r="T1531" s="92"/>
      <c r="U1531" s="1214"/>
      <c r="V1531" s="1215"/>
      <c r="W1531" s="168"/>
      <c r="X1531" s="170"/>
    </row>
    <row r="1532" spans="1:24" ht="12.75" customHeight="1">
      <c r="A1532" s="15"/>
      <c r="B1532" s="92" t="str">
        <f t="shared" si="319"/>
        <v/>
      </c>
      <c r="C1532" s="90"/>
      <c r="D1532" s="87"/>
      <c r="E1532" s="88"/>
      <c r="F1532" s="173"/>
      <c r="G1532" s="88"/>
      <c r="H1532" s="88"/>
      <c r="I1532" s="323" t="str">
        <f t="shared" si="316"/>
        <v/>
      </c>
      <c r="J1532" s="323" t="str">
        <f t="shared" si="317"/>
        <v/>
      </c>
      <c r="K1532" s="324" t="str">
        <f t="shared" si="318"/>
        <v/>
      </c>
      <c r="L1532" s="88"/>
      <c r="M1532" s="88"/>
      <c r="N1532" s="88"/>
      <c r="O1532" s="88"/>
      <c r="P1532" s="88"/>
      <c r="Q1532" s="88"/>
      <c r="R1532" s="88"/>
      <c r="S1532" s="620"/>
      <c r="T1532" s="92"/>
      <c r="U1532" s="1214"/>
      <c r="V1532" s="1215"/>
      <c r="W1532" s="168"/>
      <c r="X1532" s="170"/>
    </row>
    <row r="1533" spans="1:24" ht="12.75" customHeight="1">
      <c r="A1533" s="15"/>
      <c r="B1533" s="92" t="str">
        <f t="shared" si="319"/>
        <v/>
      </c>
      <c r="C1533" s="90"/>
      <c r="D1533" s="87"/>
      <c r="E1533" s="88"/>
      <c r="F1533" s="173"/>
      <c r="G1533" s="88"/>
      <c r="H1533" s="88"/>
      <c r="I1533" s="323" t="str">
        <f t="shared" si="316"/>
        <v/>
      </c>
      <c r="J1533" s="323" t="str">
        <f t="shared" si="317"/>
        <v/>
      </c>
      <c r="K1533" s="324" t="str">
        <f t="shared" si="318"/>
        <v/>
      </c>
      <c r="L1533" s="88"/>
      <c r="M1533" s="88"/>
      <c r="N1533" s="88"/>
      <c r="O1533" s="88"/>
      <c r="P1533" s="88"/>
      <c r="Q1533" s="88"/>
      <c r="R1533" s="88"/>
      <c r="S1533" s="620"/>
      <c r="T1533" s="92"/>
      <c r="U1533" s="1214"/>
      <c r="V1533" s="1215"/>
      <c r="W1533" s="168"/>
      <c r="X1533" s="170"/>
    </row>
    <row r="1534" spans="1:24" ht="12.75" customHeight="1">
      <c r="A1534" s="15"/>
      <c r="B1534" s="92" t="str">
        <f t="shared" si="319"/>
        <v/>
      </c>
      <c r="C1534" s="90"/>
      <c r="D1534" s="87"/>
      <c r="E1534" s="88"/>
      <c r="F1534" s="173"/>
      <c r="G1534" s="88"/>
      <c r="H1534" s="88"/>
      <c r="I1534" s="323" t="str">
        <f t="shared" si="316"/>
        <v/>
      </c>
      <c r="J1534" s="323" t="str">
        <f t="shared" si="317"/>
        <v/>
      </c>
      <c r="K1534" s="324" t="str">
        <f t="shared" si="318"/>
        <v/>
      </c>
      <c r="L1534" s="88"/>
      <c r="M1534" s="88"/>
      <c r="N1534" s="88"/>
      <c r="O1534" s="88"/>
      <c r="P1534" s="88"/>
      <c r="Q1534" s="88"/>
      <c r="R1534" s="88"/>
      <c r="S1534" s="620"/>
      <c r="T1534" s="92"/>
      <c r="U1534" s="1214"/>
      <c r="V1534" s="1215"/>
      <c r="W1534" s="168"/>
      <c r="X1534" s="170"/>
    </row>
    <row r="1535" spans="1:24" ht="12.75" customHeight="1">
      <c r="A1535" s="15"/>
      <c r="B1535" s="92" t="str">
        <f t="shared" si="319"/>
        <v/>
      </c>
      <c r="C1535" s="90"/>
      <c r="D1535" s="87"/>
      <c r="E1535" s="88"/>
      <c r="F1535" s="173"/>
      <c r="G1535" s="88"/>
      <c r="H1535" s="88"/>
      <c r="I1535" s="323" t="str">
        <f t="shared" ref="I1535:I1598" si="320">+IF(G1535="","",G1535*H1535)</f>
        <v/>
      </c>
      <c r="J1535" s="323" t="str">
        <f t="shared" ref="J1535:J1598" si="321">+IF(G1535="","",I1535*0.1)</f>
        <v/>
      </c>
      <c r="K1535" s="324" t="str">
        <f t="shared" ref="K1535:K1598" si="322">+IF(G1535="","",I1535+J1535)</f>
        <v/>
      </c>
      <c r="L1535" s="88"/>
      <c r="M1535" s="88"/>
      <c r="N1535" s="88"/>
      <c r="O1535" s="88"/>
      <c r="P1535" s="88"/>
      <c r="Q1535" s="88"/>
      <c r="R1535" s="88"/>
      <c r="S1535" s="620"/>
      <c r="T1535" s="92"/>
      <c r="U1535" s="1214"/>
      <c r="V1535" s="1215"/>
      <c r="W1535" s="168"/>
      <c r="X1535" s="170"/>
    </row>
    <row r="1536" spans="1:24" ht="12.75" customHeight="1">
      <c r="A1536" s="15"/>
      <c r="B1536" s="92" t="str">
        <f t="shared" si="319"/>
        <v/>
      </c>
      <c r="C1536" s="90"/>
      <c r="D1536" s="87"/>
      <c r="E1536" s="88"/>
      <c r="F1536" s="173"/>
      <c r="G1536" s="88"/>
      <c r="H1536" s="88"/>
      <c r="I1536" s="323" t="str">
        <f t="shared" si="320"/>
        <v/>
      </c>
      <c r="J1536" s="323" t="str">
        <f t="shared" si="321"/>
        <v/>
      </c>
      <c r="K1536" s="324" t="str">
        <f t="shared" si="322"/>
        <v/>
      </c>
      <c r="L1536" s="88"/>
      <c r="M1536" s="88"/>
      <c r="N1536" s="88"/>
      <c r="O1536" s="88"/>
      <c r="P1536" s="88"/>
      <c r="Q1536" s="88"/>
      <c r="R1536" s="88"/>
      <c r="S1536" s="620"/>
      <c r="T1536" s="92"/>
      <c r="U1536" s="1214"/>
      <c r="V1536" s="1215"/>
      <c r="W1536" s="168"/>
      <c r="X1536" s="170"/>
    </row>
    <row r="1537" spans="1:24" ht="12.75" customHeight="1">
      <c r="A1537" s="15"/>
      <c r="B1537" s="92" t="str">
        <f t="shared" si="319"/>
        <v/>
      </c>
      <c r="C1537" s="90"/>
      <c r="D1537" s="87"/>
      <c r="E1537" s="88"/>
      <c r="F1537" s="173"/>
      <c r="G1537" s="88"/>
      <c r="H1537" s="88"/>
      <c r="I1537" s="323" t="str">
        <f t="shared" si="320"/>
        <v/>
      </c>
      <c r="J1537" s="323" t="str">
        <f t="shared" si="321"/>
        <v/>
      </c>
      <c r="K1537" s="324" t="str">
        <f t="shared" si="322"/>
        <v/>
      </c>
      <c r="L1537" s="88"/>
      <c r="M1537" s="88"/>
      <c r="N1537" s="88"/>
      <c r="O1537" s="88"/>
      <c r="P1537" s="88"/>
      <c r="Q1537" s="88"/>
      <c r="R1537" s="88"/>
      <c r="S1537" s="620"/>
      <c r="T1537" s="92"/>
      <c r="U1537" s="1214"/>
      <c r="V1537" s="1215"/>
      <c r="W1537" s="168"/>
      <c r="X1537" s="170"/>
    </row>
    <row r="1538" spans="1:24" ht="12.75" customHeight="1">
      <c r="A1538" s="15"/>
      <c r="B1538" s="92" t="str">
        <f t="shared" si="319"/>
        <v/>
      </c>
      <c r="C1538" s="90"/>
      <c r="D1538" s="87"/>
      <c r="E1538" s="88"/>
      <c r="F1538" s="173"/>
      <c r="G1538" s="88"/>
      <c r="H1538" s="88"/>
      <c r="I1538" s="323" t="str">
        <f t="shared" si="320"/>
        <v/>
      </c>
      <c r="J1538" s="323" t="str">
        <f t="shared" si="321"/>
        <v/>
      </c>
      <c r="K1538" s="324" t="str">
        <f t="shared" si="322"/>
        <v/>
      </c>
      <c r="L1538" s="88"/>
      <c r="M1538" s="88"/>
      <c r="N1538" s="88"/>
      <c r="O1538" s="88"/>
      <c r="P1538" s="88"/>
      <c r="Q1538" s="88"/>
      <c r="R1538" s="88"/>
      <c r="S1538" s="620"/>
      <c r="T1538" s="92"/>
      <c r="U1538" s="1214"/>
      <c r="V1538" s="1215"/>
      <c r="W1538" s="168"/>
      <c r="X1538" s="170"/>
    </row>
    <row r="1539" spans="1:24" ht="12.75" customHeight="1">
      <c r="A1539" s="15"/>
      <c r="B1539" s="92" t="str">
        <f t="shared" si="319"/>
        <v/>
      </c>
      <c r="C1539" s="90"/>
      <c r="D1539" s="87"/>
      <c r="E1539" s="88"/>
      <c r="F1539" s="173"/>
      <c r="G1539" s="88"/>
      <c r="H1539" s="88"/>
      <c r="I1539" s="323" t="str">
        <f t="shared" si="320"/>
        <v/>
      </c>
      <c r="J1539" s="323" t="str">
        <f t="shared" si="321"/>
        <v/>
      </c>
      <c r="K1539" s="324" t="str">
        <f t="shared" si="322"/>
        <v/>
      </c>
      <c r="L1539" s="88"/>
      <c r="M1539" s="88"/>
      <c r="N1539" s="88"/>
      <c r="O1539" s="88"/>
      <c r="P1539" s="88"/>
      <c r="Q1539" s="88"/>
      <c r="R1539" s="88"/>
      <c r="S1539" s="620"/>
      <c r="T1539" s="92"/>
      <c r="U1539" s="1214"/>
      <c r="V1539" s="1215"/>
      <c r="W1539" s="168"/>
      <c r="X1539" s="170"/>
    </row>
    <row r="1540" spans="1:24" ht="12.75" customHeight="1">
      <c r="A1540" s="15"/>
      <c r="B1540" s="92" t="str">
        <f t="shared" si="319"/>
        <v/>
      </c>
      <c r="C1540" s="90"/>
      <c r="D1540" s="87"/>
      <c r="E1540" s="88"/>
      <c r="F1540" s="173"/>
      <c r="G1540" s="88"/>
      <c r="H1540" s="88"/>
      <c r="I1540" s="323" t="str">
        <f t="shared" si="320"/>
        <v/>
      </c>
      <c r="J1540" s="323" t="str">
        <f t="shared" si="321"/>
        <v/>
      </c>
      <c r="K1540" s="324" t="str">
        <f t="shared" si="322"/>
        <v/>
      </c>
      <c r="L1540" s="88"/>
      <c r="M1540" s="88"/>
      <c r="N1540" s="88"/>
      <c r="O1540" s="88"/>
      <c r="P1540" s="88"/>
      <c r="Q1540" s="88"/>
      <c r="R1540" s="88"/>
      <c r="S1540" s="620"/>
      <c r="T1540" s="92"/>
      <c r="U1540" s="1214"/>
      <c r="V1540" s="1215"/>
      <c r="W1540" s="168"/>
      <c r="X1540" s="170"/>
    </row>
    <row r="1541" spans="1:24" ht="12.75" customHeight="1">
      <c r="A1541" s="15"/>
      <c r="B1541" s="92" t="str">
        <f t="shared" si="319"/>
        <v/>
      </c>
      <c r="C1541" s="90"/>
      <c r="D1541" s="87"/>
      <c r="E1541" s="88"/>
      <c r="F1541" s="173"/>
      <c r="G1541" s="88"/>
      <c r="H1541" s="88"/>
      <c r="I1541" s="323" t="str">
        <f t="shared" si="320"/>
        <v/>
      </c>
      <c r="J1541" s="323" t="str">
        <f t="shared" si="321"/>
        <v/>
      </c>
      <c r="K1541" s="324" t="str">
        <f t="shared" si="322"/>
        <v/>
      </c>
      <c r="L1541" s="88"/>
      <c r="M1541" s="88"/>
      <c r="N1541" s="88"/>
      <c r="O1541" s="88"/>
      <c r="P1541" s="88"/>
      <c r="Q1541" s="88"/>
      <c r="R1541" s="88"/>
      <c r="S1541" s="620"/>
      <c r="T1541" s="92"/>
      <c r="U1541" s="1214"/>
      <c r="V1541" s="1215"/>
      <c r="W1541" s="168"/>
      <c r="X1541" s="170"/>
    </row>
    <row r="1542" spans="1:24" ht="12.75" customHeight="1">
      <c r="A1542" s="15"/>
      <c r="B1542" s="92" t="str">
        <f t="shared" si="319"/>
        <v/>
      </c>
      <c r="C1542" s="90"/>
      <c r="D1542" s="87"/>
      <c r="E1542" s="88"/>
      <c r="F1542" s="173"/>
      <c r="G1542" s="88"/>
      <c r="H1542" s="88"/>
      <c r="I1542" s="323" t="str">
        <f t="shared" si="320"/>
        <v/>
      </c>
      <c r="J1542" s="323" t="str">
        <f t="shared" si="321"/>
        <v/>
      </c>
      <c r="K1542" s="324" t="str">
        <f t="shared" si="322"/>
        <v/>
      </c>
      <c r="L1542" s="88"/>
      <c r="M1542" s="88"/>
      <c r="N1542" s="88"/>
      <c r="O1542" s="88"/>
      <c r="P1542" s="88"/>
      <c r="Q1542" s="88"/>
      <c r="R1542" s="88"/>
      <c r="S1542" s="620"/>
      <c r="T1542" s="92"/>
      <c r="U1542" s="1214"/>
      <c r="V1542" s="1215"/>
      <c r="W1542" s="168"/>
      <c r="X1542" s="170"/>
    </row>
    <row r="1543" spans="1:24" ht="12.75" customHeight="1">
      <c r="A1543" s="15"/>
      <c r="B1543" s="92" t="str">
        <f t="shared" si="319"/>
        <v/>
      </c>
      <c r="C1543" s="90"/>
      <c r="D1543" s="87"/>
      <c r="E1543" s="88"/>
      <c r="F1543" s="173"/>
      <c r="G1543" s="88"/>
      <c r="H1543" s="88"/>
      <c r="I1543" s="323" t="str">
        <f t="shared" si="320"/>
        <v/>
      </c>
      <c r="J1543" s="323" t="str">
        <f t="shared" si="321"/>
        <v/>
      </c>
      <c r="K1543" s="324" t="str">
        <f t="shared" si="322"/>
        <v/>
      </c>
      <c r="L1543" s="88"/>
      <c r="M1543" s="88"/>
      <c r="N1543" s="88"/>
      <c r="O1543" s="88"/>
      <c r="P1543" s="88"/>
      <c r="Q1543" s="88"/>
      <c r="R1543" s="88"/>
      <c r="S1543" s="620"/>
      <c r="T1543" s="92"/>
      <c r="U1543" s="1214"/>
      <c r="V1543" s="1215"/>
      <c r="W1543" s="168"/>
      <c r="X1543" s="170"/>
    </row>
    <row r="1544" spans="1:24" ht="12.75" customHeight="1">
      <c r="A1544" s="15"/>
      <c r="B1544" s="92" t="str">
        <f t="shared" si="319"/>
        <v/>
      </c>
      <c r="C1544" s="90"/>
      <c r="D1544" s="87"/>
      <c r="E1544" s="88"/>
      <c r="F1544" s="173"/>
      <c r="G1544" s="88"/>
      <c r="H1544" s="88"/>
      <c r="I1544" s="323" t="str">
        <f t="shared" si="320"/>
        <v/>
      </c>
      <c r="J1544" s="323" t="str">
        <f t="shared" si="321"/>
        <v/>
      </c>
      <c r="K1544" s="324" t="str">
        <f t="shared" si="322"/>
        <v/>
      </c>
      <c r="L1544" s="88"/>
      <c r="M1544" s="88"/>
      <c r="N1544" s="88"/>
      <c r="O1544" s="88"/>
      <c r="P1544" s="88"/>
      <c r="Q1544" s="88"/>
      <c r="R1544" s="88"/>
      <c r="S1544" s="620"/>
      <c r="T1544" s="92"/>
      <c r="U1544" s="1214"/>
      <c r="V1544" s="1215"/>
      <c r="W1544" s="168"/>
      <c r="X1544" s="170"/>
    </row>
    <row r="1545" spans="1:24" ht="12.75" customHeight="1">
      <c r="A1545" s="15"/>
      <c r="B1545" s="92" t="str">
        <f t="shared" si="319"/>
        <v/>
      </c>
      <c r="C1545" s="90"/>
      <c r="D1545" s="87"/>
      <c r="E1545" s="88"/>
      <c r="F1545" s="173"/>
      <c r="G1545" s="88"/>
      <c r="H1545" s="88"/>
      <c r="I1545" s="323" t="str">
        <f t="shared" si="320"/>
        <v/>
      </c>
      <c r="J1545" s="323" t="str">
        <f t="shared" si="321"/>
        <v/>
      </c>
      <c r="K1545" s="324" t="str">
        <f t="shared" si="322"/>
        <v/>
      </c>
      <c r="L1545" s="88"/>
      <c r="M1545" s="88"/>
      <c r="N1545" s="88"/>
      <c r="O1545" s="88"/>
      <c r="P1545" s="88"/>
      <c r="Q1545" s="88"/>
      <c r="R1545" s="88"/>
      <c r="S1545" s="620"/>
      <c r="T1545" s="92"/>
      <c r="U1545" s="1214"/>
      <c r="V1545" s="1215"/>
      <c r="W1545" s="168"/>
      <c r="X1545" s="170"/>
    </row>
    <row r="1546" spans="1:24" ht="12.75" customHeight="1">
      <c r="A1546" s="15"/>
      <c r="B1546" s="92" t="str">
        <f t="shared" si="319"/>
        <v/>
      </c>
      <c r="C1546" s="90"/>
      <c r="D1546" s="87"/>
      <c r="E1546" s="88"/>
      <c r="F1546" s="173"/>
      <c r="G1546" s="88"/>
      <c r="H1546" s="88"/>
      <c r="I1546" s="323" t="str">
        <f t="shared" si="320"/>
        <v/>
      </c>
      <c r="J1546" s="323" t="str">
        <f t="shared" si="321"/>
        <v/>
      </c>
      <c r="K1546" s="324" t="str">
        <f t="shared" si="322"/>
        <v/>
      </c>
      <c r="L1546" s="88"/>
      <c r="M1546" s="88"/>
      <c r="N1546" s="88"/>
      <c r="O1546" s="88"/>
      <c r="P1546" s="88"/>
      <c r="Q1546" s="88"/>
      <c r="R1546" s="88"/>
      <c r="S1546" s="620"/>
      <c r="T1546" s="92"/>
      <c r="U1546" s="1214"/>
      <c r="V1546" s="1215"/>
      <c r="W1546" s="168"/>
      <c r="X1546" s="170"/>
    </row>
    <row r="1547" spans="1:24" ht="12.75" customHeight="1">
      <c r="A1547" s="15"/>
      <c r="B1547" s="92" t="str">
        <f t="shared" si="319"/>
        <v/>
      </c>
      <c r="C1547" s="90"/>
      <c r="D1547" s="87"/>
      <c r="E1547" s="88"/>
      <c r="F1547" s="173"/>
      <c r="G1547" s="88"/>
      <c r="H1547" s="88"/>
      <c r="I1547" s="323" t="str">
        <f t="shared" si="320"/>
        <v/>
      </c>
      <c r="J1547" s="323" t="str">
        <f t="shared" si="321"/>
        <v/>
      </c>
      <c r="K1547" s="324" t="str">
        <f t="shared" si="322"/>
        <v/>
      </c>
      <c r="L1547" s="88"/>
      <c r="M1547" s="88"/>
      <c r="N1547" s="88"/>
      <c r="O1547" s="88"/>
      <c r="P1547" s="88"/>
      <c r="Q1547" s="88"/>
      <c r="R1547" s="88"/>
      <c r="S1547" s="620"/>
      <c r="T1547" s="92"/>
      <c r="U1547" s="1214"/>
      <c r="V1547" s="1215"/>
      <c r="W1547" s="168"/>
      <c r="X1547" s="170"/>
    </row>
    <row r="1548" spans="1:24" ht="12.75" customHeight="1">
      <c r="A1548" s="15"/>
      <c r="B1548" s="92" t="str">
        <f t="shared" si="319"/>
        <v/>
      </c>
      <c r="C1548" s="90"/>
      <c r="D1548" s="87"/>
      <c r="E1548" s="88"/>
      <c r="F1548" s="173"/>
      <c r="G1548" s="88"/>
      <c r="H1548" s="88"/>
      <c r="I1548" s="323" t="str">
        <f t="shared" si="320"/>
        <v/>
      </c>
      <c r="J1548" s="323" t="str">
        <f t="shared" si="321"/>
        <v/>
      </c>
      <c r="K1548" s="324" t="str">
        <f t="shared" si="322"/>
        <v/>
      </c>
      <c r="L1548" s="88"/>
      <c r="M1548" s="88"/>
      <c r="N1548" s="88"/>
      <c r="O1548" s="88"/>
      <c r="P1548" s="88"/>
      <c r="Q1548" s="88"/>
      <c r="R1548" s="88"/>
      <c r="S1548" s="620"/>
      <c r="T1548" s="92"/>
      <c r="U1548" s="1214"/>
      <c r="V1548" s="1215"/>
      <c r="W1548" s="168"/>
      <c r="X1548" s="170"/>
    </row>
    <row r="1549" spans="1:24" ht="12.75" customHeight="1">
      <c r="A1549" s="15"/>
      <c r="B1549" s="92" t="str">
        <f t="shared" si="319"/>
        <v/>
      </c>
      <c r="C1549" s="90"/>
      <c r="D1549" s="87"/>
      <c r="E1549" s="88"/>
      <c r="F1549" s="173"/>
      <c r="G1549" s="88"/>
      <c r="H1549" s="88"/>
      <c r="I1549" s="323" t="str">
        <f t="shared" si="320"/>
        <v/>
      </c>
      <c r="J1549" s="323" t="str">
        <f t="shared" si="321"/>
        <v/>
      </c>
      <c r="K1549" s="324" t="str">
        <f t="shared" si="322"/>
        <v/>
      </c>
      <c r="L1549" s="88"/>
      <c r="M1549" s="88"/>
      <c r="N1549" s="88"/>
      <c r="O1549" s="88"/>
      <c r="P1549" s="88"/>
      <c r="Q1549" s="88"/>
      <c r="R1549" s="88"/>
      <c r="S1549" s="620"/>
      <c r="T1549" s="92"/>
      <c r="U1549" s="1214"/>
      <c r="V1549" s="1215"/>
      <c r="W1549" s="168"/>
      <c r="X1549" s="170"/>
    </row>
    <row r="1550" spans="1:24" ht="12.75" customHeight="1">
      <c r="A1550" s="15"/>
      <c r="B1550" s="92" t="str">
        <f t="shared" si="319"/>
        <v/>
      </c>
      <c r="C1550" s="90"/>
      <c r="D1550" s="87"/>
      <c r="E1550" s="88"/>
      <c r="F1550" s="173"/>
      <c r="G1550" s="88"/>
      <c r="H1550" s="88"/>
      <c r="I1550" s="323" t="str">
        <f t="shared" si="320"/>
        <v/>
      </c>
      <c r="J1550" s="323" t="str">
        <f t="shared" si="321"/>
        <v/>
      </c>
      <c r="K1550" s="324" t="str">
        <f t="shared" si="322"/>
        <v/>
      </c>
      <c r="L1550" s="88"/>
      <c r="M1550" s="88"/>
      <c r="N1550" s="88"/>
      <c r="O1550" s="88"/>
      <c r="P1550" s="88"/>
      <c r="Q1550" s="88"/>
      <c r="R1550" s="88"/>
      <c r="S1550" s="620"/>
      <c r="T1550" s="92"/>
      <c r="U1550" s="1214"/>
      <c r="V1550" s="1215"/>
      <c r="W1550" s="168"/>
      <c r="X1550" s="170"/>
    </row>
    <row r="1551" spans="1:24" ht="12.75" customHeight="1">
      <c r="A1551" s="15"/>
      <c r="B1551" s="92" t="str">
        <f t="shared" si="319"/>
        <v/>
      </c>
      <c r="C1551" s="90"/>
      <c r="D1551" s="87"/>
      <c r="E1551" s="88"/>
      <c r="F1551" s="173"/>
      <c r="G1551" s="88"/>
      <c r="H1551" s="88"/>
      <c r="I1551" s="323" t="str">
        <f t="shared" si="320"/>
        <v/>
      </c>
      <c r="J1551" s="323" t="str">
        <f t="shared" si="321"/>
        <v/>
      </c>
      <c r="K1551" s="324" t="str">
        <f t="shared" si="322"/>
        <v/>
      </c>
      <c r="L1551" s="88"/>
      <c r="M1551" s="88"/>
      <c r="N1551" s="88"/>
      <c r="O1551" s="88"/>
      <c r="P1551" s="88"/>
      <c r="Q1551" s="88"/>
      <c r="R1551" s="88"/>
      <c r="S1551" s="620"/>
      <c r="T1551" s="92"/>
      <c r="U1551" s="1214"/>
      <c r="V1551" s="1215"/>
      <c r="W1551" s="168"/>
      <c r="X1551" s="170"/>
    </row>
    <row r="1552" spans="1:24" ht="12.75" customHeight="1">
      <c r="A1552" s="15"/>
      <c r="B1552" s="92" t="str">
        <f t="shared" si="319"/>
        <v/>
      </c>
      <c r="C1552" s="90"/>
      <c r="D1552" s="87"/>
      <c r="E1552" s="88"/>
      <c r="F1552" s="173"/>
      <c r="G1552" s="88"/>
      <c r="H1552" s="88"/>
      <c r="I1552" s="323" t="str">
        <f t="shared" si="320"/>
        <v/>
      </c>
      <c r="J1552" s="323" t="str">
        <f t="shared" si="321"/>
        <v/>
      </c>
      <c r="K1552" s="324" t="str">
        <f t="shared" si="322"/>
        <v/>
      </c>
      <c r="L1552" s="88"/>
      <c r="M1552" s="88"/>
      <c r="N1552" s="88"/>
      <c r="O1552" s="88"/>
      <c r="P1552" s="88"/>
      <c r="Q1552" s="88"/>
      <c r="R1552" s="88"/>
      <c r="S1552" s="620"/>
      <c r="T1552" s="92"/>
      <c r="U1552" s="1214"/>
      <c r="V1552" s="1215"/>
      <c r="W1552" s="168"/>
      <c r="X1552" s="170"/>
    </row>
    <row r="1553" spans="1:24" ht="12.75" customHeight="1">
      <c r="A1553" s="15"/>
      <c r="B1553" s="92" t="str">
        <f t="shared" si="319"/>
        <v/>
      </c>
      <c r="C1553" s="90"/>
      <c r="D1553" s="87"/>
      <c r="E1553" s="88"/>
      <c r="F1553" s="173"/>
      <c r="G1553" s="88"/>
      <c r="H1553" s="88"/>
      <c r="I1553" s="323" t="str">
        <f t="shared" si="320"/>
        <v/>
      </c>
      <c r="J1553" s="323" t="str">
        <f t="shared" si="321"/>
        <v/>
      </c>
      <c r="K1553" s="324" t="str">
        <f t="shared" si="322"/>
        <v/>
      </c>
      <c r="L1553" s="88"/>
      <c r="M1553" s="88"/>
      <c r="N1553" s="88"/>
      <c r="O1553" s="88"/>
      <c r="P1553" s="88"/>
      <c r="Q1553" s="88"/>
      <c r="R1553" s="88"/>
      <c r="S1553" s="620"/>
      <c r="T1553" s="92"/>
      <c r="U1553" s="1214"/>
      <c r="V1553" s="1215"/>
      <c r="W1553" s="168"/>
      <c r="X1553" s="170"/>
    </row>
    <row r="1554" spans="1:24" ht="12.75" customHeight="1">
      <c r="A1554" s="15"/>
      <c r="B1554" s="92" t="str">
        <f t="shared" si="319"/>
        <v/>
      </c>
      <c r="C1554" s="90"/>
      <c r="D1554" s="87"/>
      <c r="E1554" s="88"/>
      <c r="F1554" s="173"/>
      <c r="G1554" s="88"/>
      <c r="H1554" s="88"/>
      <c r="I1554" s="323" t="str">
        <f t="shared" si="320"/>
        <v/>
      </c>
      <c r="J1554" s="323" t="str">
        <f t="shared" si="321"/>
        <v/>
      </c>
      <c r="K1554" s="324" t="str">
        <f t="shared" si="322"/>
        <v/>
      </c>
      <c r="L1554" s="88"/>
      <c r="M1554" s="88"/>
      <c r="N1554" s="88"/>
      <c r="O1554" s="88"/>
      <c r="P1554" s="88"/>
      <c r="Q1554" s="88"/>
      <c r="R1554" s="88"/>
      <c r="S1554" s="620"/>
      <c r="T1554" s="92"/>
      <c r="U1554" s="1214"/>
      <c r="V1554" s="1215"/>
      <c r="W1554" s="168"/>
      <c r="X1554" s="170"/>
    </row>
    <row r="1555" spans="1:24" ht="12.75" customHeight="1">
      <c r="A1555" s="15"/>
      <c r="B1555" s="92" t="str">
        <f t="shared" si="319"/>
        <v/>
      </c>
      <c r="C1555" s="90"/>
      <c r="D1555" s="87"/>
      <c r="E1555" s="88"/>
      <c r="F1555" s="173"/>
      <c r="G1555" s="88"/>
      <c r="H1555" s="88"/>
      <c r="I1555" s="323" t="str">
        <f t="shared" si="320"/>
        <v/>
      </c>
      <c r="J1555" s="323" t="str">
        <f t="shared" si="321"/>
        <v/>
      </c>
      <c r="K1555" s="324" t="str">
        <f t="shared" si="322"/>
        <v/>
      </c>
      <c r="L1555" s="88"/>
      <c r="M1555" s="88"/>
      <c r="N1555" s="88"/>
      <c r="O1555" s="88"/>
      <c r="P1555" s="88"/>
      <c r="Q1555" s="88"/>
      <c r="R1555" s="88"/>
      <c r="S1555" s="620"/>
      <c r="T1555" s="92"/>
      <c r="U1555" s="1214"/>
      <c r="V1555" s="1215"/>
      <c r="W1555" s="168"/>
      <c r="X1555" s="170"/>
    </row>
    <row r="1556" spans="1:24" ht="12.75" customHeight="1">
      <c r="A1556" s="15"/>
      <c r="B1556" s="92" t="str">
        <f t="shared" si="319"/>
        <v/>
      </c>
      <c r="C1556" s="90"/>
      <c r="D1556" s="87"/>
      <c r="E1556" s="88"/>
      <c r="F1556" s="173"/>
      <c r="G1556" s="88"/>
      <c r="H1556" s="88"/>
      <c r="I1556" s="323" t="str">
        <f t="shared" si="320"/>
        <v/>
      </c>
      <c r="J1556" s="323" t="str">
        <f t="shared" si="321"/>
        <v/>
      </c>
      <c r="K1556" s="324" t="str">
        <f t="shared" si="322"/>
        <v/>
      </c>
      <c r="L1556" s="88"/>
      <c r="M1556" s="88"/>
      <c r="N1556" s="88"/>
      <c r="O1556" s="88"/>
      <c r="P1556" s="88"/>
      <c r="Q1556" s="88"/>
      <c r="R1556" s="88"/>
      <c r="S1556" s="620"/>
      <c r="T1556" s="92"/>
      <c r="U1556" s="1214"/>
      <c r="V1556" s="1215"/>
      <c r="W1556" s="168"/>
      <c r="X1556" s="170"/>
    </row>
    <row r="1557" spans="1:24" ht="12.75" customHeight="1">
      <c r="A1557" s="15"/>
      <c r="B1557" s="92" t="str">
        <f t="shared" si="319"/>
        <v/>
      </c>
      <c r="C1557" s="90"/>
      <c r="D1557" s="87"/>
      <c r="E1557" s="88"/>
      <c r="F1557" s="173"/>
      <c r="G1557" s="88"/>
      <c r="H1557" s="88"/>
      <c r="I1557" s="323" t="str">
        <f t="shared" si="320"/>
        <v/>
      </c>
      <c r="J1557" s="323" t="str">
        <f t="shared" si="321"/>
        <v/>
      </c>
      <c r="K1557" s="324" t="str">
        <f t="shared" si="322"/>
        <v/>
      </c>
      <c r="L1557" s="88"/>
      <c r="M1557" s="88"/>
      <c r="N1557" s="88"/>
      <c r="O1557" s="88"/>
      <c r="P1557" s="88"/>
      <c r="Q1557" s="88"/>
      <c r="R1557" s="88"/>
      <c r="S1557" s="620"/>
      <c r="T1557" s="92"/>
      <c r="U1557" s="1214"/>
      <c r="V1557" s="1215"/>
      <c r="W1557" s="168"/>
      <c r="X1557" s="170"/>
    </row>
    <row r="1558" spans="1:24" ht="12.75" customHeight="1">
      <c r="A1558" s="15"/>
      <c r="B1558" s="92" t="str">
        <f t="shared" si="319"/>
        <v/>
      </c>
      <c r="C1558" s="90"/>
      <c r="D1558" s="87"/>
      <c r="E1558" s="88"/>
      <c r="F1558" s="173"/>
      <c r="G1558" s="88"/>
      <c r="H1558" s="88"/>
      <c r="I1558" s="323" t="str">
        <f t="shared" si="320"/>
        <v/>
      </c>
      <c r="J1558" s="323" t="str">
        <f t="shared" si="321"/>
        <v/>
      </c>
      <c r="K1558" s="324" t="str">
        <f t="shared" si="322"/>
        <v/>
      </c>
      <c r="L1558" s="88"/>
      <c r="M1558" s="88"/>
      <c r="N1558" s="88"/>
      <c r="O1558" s="88"/>
      <c r="P1558" s="88"/>
      <c r="Q1558" s="88"/>
      <c r="R1558" s="88"/>
      <c r="S1558" s="620"/>
      <c r="T1558" s="92"/>
      <c r="U1558" s="1214"/>
      <c r="V1558" s="1215"/>
      <c r="W1558" s="168"/>
      <c r="X1558" s="170"/>
    </row>
    <row r="1559" spans="1:24" ht="12.75" customHeight="1">
      <c r="A1559" s="15"/>
      <c r="B1559" s="92" t="str">
        <f t="shared" si="319"/>
        <v/>
      </c>
      <c r="C1559" s="90"/>
      <c r="D1559" s="87"/>
      <c r="E1559" s="88"/>
      <c r="F1559" s="173"/>
      <c r="G1559" s="88"/>
      <c r="H1559" s="88"/>
      <c r="I1559" s="323" t="str">
        <f t="shared" si="320"/>
        <v/>
      </c>
      <c r="J1559" s="323" t="str">
        <f t="shared" si="321"/>
        <v/>
      </c>
      <c r="K1559" s="324" t="str">
        <f t="shared" si="322"/>
        <v/>
      </c>
      <c r="L1559" s="88"/>
      <c r="M1559" s="88"/>
      <c r="N1559" s="88"/>
      <c r="O1559" s="88"/>
      <c r="P1559" s="88"/>
      <c r="Q1559" s="88"/>
      <c r="R1559" s="88"/>
      <c r="S1559" s="620"/>
      <c r="T1559" s="92"/>
      <c r="U1559" s="1214"/>
      <c r="V1559" s="1215"/>
      <c r="W1559" s="168"/>
      <c r="X1559" s="170"/>
    </row>
    <row r="1560" spans="1:24" ht="12.75" customHeight="1">
      <c r="A1560" s="15"/>
      <c r="B1560" s="92" t="str">
        <f t="shared" si="319"/>
        <v/>
      </c>
      <c r="C1560" s="90"/>
      <c r="D1560" s="87"/>
      <c r="E1560" s="88"/>
      <c r="F1560" s="173"/>
      <c r="G1560" s="88"/>
      <c r="H1560" s="88"/>
      <c r="I1560" s="323" t="str">
        <f t="shared" si="320"/>
        <v/>
      </c>
      <c r="J1560" s="323" t="str">
        <f t="shared" si="321"/>
        <v/>
      </c>
      <c r="K1560" s="324" t="str">
        <f t="shared" si="322"/>
        <v/>
      </c>
      <c r="L1560" s="88"/>
      <c r="M1560" s="88"/>
      <c r="N1560" s="88"/>
      <c r="O1560" s="88"/>
      <c r="P1560" s="88"/>
      <c r="Q1560" s="88"/>
      <c r="R1560" s="88"/>
      <c r="S1560" s="620"/>
      <c r="T1560" s="92"/>
      <c r="U1560" s="1214"/>
      <c r="V1560" s="1215"/>
      <c r="W1560" s="168"/>
      <c r="X1560" s="170"/>
    </row>
    <row r="1561" spans="1:24" ht="12.75" customHeight="1">
      <c r="A1561" s="15"/>
      <c r="B1561" s="92" t="str">
        <f t="shared" si="319"/>
        <v/>
      </c>
      <c r="C1561" s="90"/>
      <c r="D1561" s="87"/>
      <c r="E1561" s="88"/>
      <c r="F1561" s="173"/>
      <c r="G1561" s="88"/>
      <c r="H1561" s="88"/>
      <c r="I1561" s="323" t="str">
        <f t="shared" si="320"/>
        <v/>
      </c>
      <c r="J1561" s="323" t="str">
        <f t="shared" si="321"/>
        <v/>
      </c>
      <c r="K1561" s="324" t="str">
        <f t="shared" si="322"/>
        <v/>
      </c>
      <c r="L1561" s="88"/>
      <c r="M1561" s="88"/>
      <c r="N1561" s="88"/>
      <c r="O1561" s="88"/>
      <c r="P1561" s="88"/>
      <c r="Q1561" s="88"/>
      <c r="R1561" s="88"/>
      <c r="S1561" s="620"/>
      <c r="T1561" s="92"/>
      <c r="U1561" s="1214"/>
      <c r="V1561" s="1215"/>
      <c r="W1561" s="168"/>
      <c r="X1561" s="170"/>
    </row>
    <row r="1562" spans="1:24" ht="12.75" customHeight="1">
      <c r="A1562" s="15"/>
      <c r="B1562" s="92" t="str">
        <f t="shared" si="319"/>
        <v/>
      </c>
      <c r="C1562" s="90"/>
      <c r="D1562" s="87"/>
      <c r="E1562" s="88"/>
      <c r="F1562" s="173"/>
      <c r="G1562" s="88"/>
      <c r="H1562" s="88"/>
      <c r="I1562" s="323" t="str">
        <f t="shared" si="320"/>
        <v/>
      </c>
      <c r="J1562" s="323" t="str">
        <f t="shared" si="321"/>
        <v/>
      </c>
      <c r="K1562" s="324" t="str">
        <f t="shared" si="322"/>
        <v/>
      </c>
      <c r="L1562" s="88"/>
      <c r="M1562" s="88"/>
      <c r="N1562" s="88"/>
      <c r="O1562" s="88"/>
      <c r="P1562" s="88"/>
      <c r="Q1562" s="88"/>
      <c r="R1562" s="88"/>
      <c r="S1562" s="620"/>
      <c r="T1562" s="92"/>
      <c r="U1562" s="1214"/>
      <c r="V1562" s="1215"/>
      <c r="W1562" s="168"/>
      <c r="X1562" s="170"/>
    </row>
    <row r="1563" spans="1:24" ht="12.75" customHeight="1">
      <c r="A1563" s="15"/>
      <c r="B1563" s="92" t="str">
        <f t="shared" si="319"/>
        <v/>
      </c>
      <c r="C1563" s="90"/>
      <c r="D1563" s="87"/>
      <c r="E1563" s="88"/>
      <c r="F1563" s="173"/>
      <c r="G1563" s="88"/>
      <c r="H1563" s="88"/>
      <c r="I1563" s="323" t="str">
        <f t="shared" si="320"/>
        <v/>
      </c>
      <c r="J1563" s="323" t="str">
        <f t="shared" si="321"/>
        <v/>
      </c>
      <c r="K1563" s="324" t="str">
        <f t="shared" si="322"/>
        <v/>
      </c>
      <c r="L1563" s="88"/>
      <c r="M1563" s="88"/>
      <c r="N1563" s="88"/>
      <c r="O1563" s="88"/>
      <c r="P1563" s="88"/>
      <c r="Q1563" s="88"/>
      <c r="R1563" s="88"/>
      <c r="S1563" s="620"/>
      <c r="T1563" s="92"/>
      <c r="U1563" s="1214"/>
      <c r="V1563" s="1215"/>
      <c r="W1563" s="168"/>
      <c r="X1563" s="170"/>
    </row>
    <row r="1564" spans="1:24" ht="12.75" customHeight="1">
      <c r="A1564" s="15"/>
      <c r="B1564" s="92" t="str">
        <f t="shared" si="319"/>
        <v/>
      </c>
      <c r="C1564" s="90"/>
      <c r="D1564" s="87"/>
      <c r="E1564" s="88"/>
      <c r="F1564" s="173"/>
      <c r="G1564" s="88"/>
      <c r="H1564" s="88"/>
      <c r="I1564" s="323" t="str">
        <f t="shared" si="320"/>
        <v/>
      </c>
      <c r="J1564" s="323" t="str">
        <f t="shared" si="321"/>
        <v/>
      </c>
      <c r="K1564" s="324" t="str">
        <f t="shared" si="322"/>
        <v/>
      </c>
      <c r="L1564" s="88"/>
      <c r="M1564" s="88"/>
      <c r="N1564" s="88"/>
      <c r="O1564" s="88"/>
      <c r="P1564" s="88"/>
      <c r="Q1564" s="88"/>
      <c r="R1564" s="88"/>
      <c r="S1564" s="620"/>
      <c r="T1564" s="92"/>
      <c r="U1564" s="1214"/>
      <c r="V1564" s="1215"/>
      <c r="W1564" s="168"/>
      <c r="X1564" s="170"/>
    </row>
    <row r="1565" spans="1:24" ht="12.75" customHeight="1">
      <c r="A1565" s="15"/>
      <c r="B1565" s="92" t="str">
        <f t="shared" si="319"/>
        <v/>
      </c>
      <c r="C1565" s="90"/>
      <c r="D1565" s="87"/>
      <c r="E1565" s="88"/>
      <c r="F1565" s="173"/>
      <c r="G1565" s="88"/>
      <c r="H1565" s="88"/>
      <c r="I1565" s="323" t="str">
        <f t="shared" si="320"/>
        <v/>
      </c>
      <c r="J1565" s="323" t="str">
        <f t="shared" si="321"/>
        <v/>
      </c>
      <c r="K1565" s="324" t="str">
        <f t="shared" si="322"/>
        <v/>
      </c>
      <c r="L1565" s="88"/>
      <c r="M1565" s="88"/>
      <c r="N1565" s="88"/>
      <c r="O1565" s="88"/>
      <c r="P1565" s="88"/>
      <c r="Q1565" s="88"/>
      <c r="R1565" s="88"/>
      <c r="S1565" s="620"/>
      <c r="T1565" s="92"/>
      <c r="U1565" s="1214"/>
      <c r="V1565" s="1215"/>
      <c r="W1565" s="168"/>
      <c r="X1565" s="170"/>
    </row>
    <row r="1566" spans="1:24" ht="12.75" customHeight="1">
      <c r="A1566" s="15"/>
      <c r="B1566" s="92" t="str">
        <f t="shared" si="319"/>
        <v/>
      </c>
      <c r="C1566" s="90"/>
      <c r="D1566" s="87"/>
      <c r="E1566" s="88"/>
      <c r="F1566" s="173"/>
      <c r="G1566" s="88"/>
      <c r="H1566" s="88"/>
      <c r="I1566" s="323" t="str">
        <f t="shared" si="320"/>
        <v/>
      </c>
      <c r="J1566" s="323" t="str">
        <f t="shared" si="321"/>
        <v/>
      </c>
      <c r="K1566" s="324" t="str">
        <f t="shared" si="322"/>
        <v/>
      </c>
      <c r="L1566" s="88"/>
      <c r="M1566" s="88"/>
      <c r="N1566" s="88"/>
      <c r="O1566" s="88"/>
      <c r="P1566" s="88"/>
      <c r="Q1566" s="88"/>
      <c r="R1566" s="88"/>
      <c r="S1566" s="620"/>
      <c r="T1566" s="92"/>
      <c r="U1566" s="1214"/>
      <c r="V1566" s="1215"/>
      <c r="W1566" s="168"/>
      <c r="X1566" s="170"/>
    </row>
    <row r="1567" spans="1:24" ht="12.75" customHeight="1">
      <c r="A1567" s="15"/>
      <c r="B1567" s="92" t="str">
        <f t="shared" si="319"/>
        <v/>
      </c>
      <c r="C1567" s="90"/>
      <c r="D1567" s="87"/>
      <c r="E1567" s="88"/>
      <c r="F1567" s="173"/>
      <c r="G1567" s="88"/>
      <c r="H1567" s="88"/>
      <c r="I1567" s="323" t="str">
        <f t="shared" si="320"/>
        <v/>
      </c>
      <c r="J1567" s="323" t="str">
        <f t="shared" si="321"/>
        <v/>
      </c>
      <c r="K1567" s="324" t="str">
        <f t="shared" si="322"/>
        <v/>
      </c>
      <c r="L1567" s="88"/>
      <c r="M1567" s="88"/>
      <c r="N1567" s="88"/>
      <c r="O1567" s="88"/>
      <c r="P1567" s="88"/>
      <c r="Q1567" s="88"/>
      <c r="R1567" s="88"/>
      <c r="S1567" s="620"/>
      <c r="T1567" s="92"/>
      <c r="U1567" s="1214"/>
      <c r="V1567" s="1215"/>
      <c r="W1567" s="168"/>
      <c r="X1567" s="170"/>
    </row>
    <row r="1568" spans="1:24" ht="12.75" customHeight="1">
      <c r="A1568" s="15"/>
      <c r="B1568" s="92" t="str">
        <f t="shared" si="319"/>
        <v/>
      </c>
      <c r="C1568" s="90"/>
      <c r="D1568" s="87"/>
      <c r="E1568" s="88"/>
      <c r="F1568" s="173"/>
      <c r="G1568" s="88"/>
      <c r="H1568" s="88"/>
      <c r="I1568" s="323" t="str">
        <f t="shared" si="320"/>
        <v/>
      </c>
      <c r="J1568" s="323" t="str">
        <f t="shared" si="321"/>
        <v/>
      </c>
      <c r="K1568" s="324" t="str">
        <f t="shared" si="322"/>
        <v/>
      </c>
      <c r="L1568" s="88"/>
      <c r="M1568" s="88"/>
      <c r="N1568" s="88"/>
      <c r="O1568" s="88"/>
      <c r="P1568" s="88"/>
      <c r="Q1568" s="88"/>
      <c r="R1568" s="88"/>
      <c r="S1568" s="620"/>
      <c r="T1568" s="92"/>
      <c r="U1568" s="1214"/>
      <c r="V1568" s="1215"/>
      <c r="W1568" s="168"/>
      <c r="X1568" s="170"/>
    </row>
    <row r="1569" spans="1:24" ht="12.75" customHeight="1">
      <c r="A1569" s="15"/>
      <c r="B1569" s="92" t="str">
        <f t="shared" si="319"/>
        <v/>
      </c>
      <c r="C1569" s="90"/>
      <c r="D1569" s="87"/>
      <c r="E1569" s="88"/>
      <c r="F1569" s="173"/>
      <c r="G1569" s="88"/>
      <c r="H1569" s="88"/>
      <c r="I1569" s="323" t="str">
        <f t="shared" si="320"/>
        <v/>
      </c>
      <c r="J1569" s="323" t="str">
        <f t="shared" si="321"/>
        <v/>
      </c>
      <c r="K1569" s="324" t="str">
        <f t="shared" si="322"/>
        <v/>
      </c>
      <c r="L1569" s="88"/>
      <c r="M1569" s="88"/>
      <c r="N1569" s="88"/>
      <c r="O1569" s="88"/>
      <c r="P1569" s="88"/>
      <c r="Q1569" s="88"/>
      <c r="R1569" s="88"/>
      <c r="S1569" s="620"/>
      <c r="T1569" s="92"/>
      <c r="U1569" s="1214"/>
      <c r="V1569" s="1215"/>
      <c r="W1569" s="168"/>
      <c r="X1569" s="170"/>
    </row>
    <row r="1570" spans="1:24" ht="12.75" customHeight="1">
      <c r="A1570" s="15"/>
      <c r="B1570" s="92" t="str">
        <f t="shared" si="319"/>
        <v/>
      </c>
      <c r="C1570" s="90"/>
      <c r="D1570" s="87"/>
      <c r="E1570" s="88"/>
      <c r="F1570" s="173"/>
      <c r="G1570" s="88"/>
      <c r="H1570" s="88"/>
      <c r="I1570" s="323" t="str">
        <f t="shared" si="320"/>
        <v/>
      </c>
      <c r="J1570" s="323" t="str">
        <f t="shared" si="321"/>
        <v/>
      </c>
      <c r="K1570" s="324" t="str">
        <f t="shared" si="322"/>
        <v/>
      </c>
      <c r="L1570" s="88"/>
      <c r="M1570" s="88"/>
      <c r="N1570" s="88"/>
      <c r="O1570" s="88"/>
      <c r="P1570" s="88"/>
      <c r="Q1570" s="88"/>
      <c r="R1570" s="88"/>
      <c r="S1570" s="620"/>
      <c r="T1570" s="92"/>
      <c r="U1570" s="1214"/>
      <c r="V1570" s="1215"/>
      <c r="W1570" s="168"/>
      <c r="X1570" s="170"/>
    </row>
    <row r="1571" spans="1:24" ht="12.75" customHeight="1">
      <c r="A1571" s="15"/>
      <c r="B1571" s="92" t="str">
        <f t="shared" si="319"/>
        <v/>
      </c>
      <c r="C1571" s="90"/>
      <c r="D1571" s="87"/>
      <c r="E1571" s="88"/>
      <c r="F1571" s="173"/>
      <c r="G1571" s="88"/>
      <c r="H1571" s="88"/>
      <c r="I1571" s="323" t="str">
        <f t="shared" si="320"/>
        <v/>
      </c>
      <c r="J1571" s="323" t="str">
        <f t="shared" si="321"/>
        <v/>
      </c>
      <c r="K1571" s="324" t="str">
        <f t="shared" si="322"/>
        <v/>
      </c>
      <c r="L1571" s="88"/>
      <c r="M1571" s="88"/>
      <c r="N1571" s="88"/>
      <c r="O1571" s="88"/>
      <c r="P1571" s="88"/>
      <c r="Q1571" s="88"/>
      <c r="R1571" s="88"/>
      <c r="S1571" s="620"/>
      <c r="T1571" s="92"/>
      <c r="U1571" s="1214"/>
      <c r="V1571" s="1215"/>
      <c r="W1571" s="168"/>
      <c r="X1571" s="170"/>
    </row>
    <row r="1572" spans="1:24" ht="12.75" customHeight="1">
      <c r="A1572" s="15"/>
      <c r="B1572" s="92" t="str">
        <f t="shared" si="319"/>
        <v/>
      </c>
      <c r="C1572" s="90"/>
      <c r="D1572" s="87"/>
      <c r="E1572" s="88"/>
      <c r="F1572" s="173"/>
      <c r="G1572" s="88"/>
      <c r="H1572" s="88"/>
      <c r="I1572" s="323" t="str">
        <f t="shared" si="320"/>
        <v/>
      </c>
      <c r="J1572" s="323" t="str">
        <f t="shared" si="321"/>
        <v/>
      </c>
      <c r="K1572" s="324" t="str">
        <f t="shared" si="322"/>
        <v/>
      </c>
      <c r="L1572" s="88"/>
      <c r="M1572" s="88"/>
      <c r="N1572" s="88"/>
      <c r="O1572" s="88"/>
      <c r="P1572" s="88"/>
      <c r="Q1572" s="88"/>
      <c r="R1572" s="88"/>
      <c r="S1572" s="620"/>
      <c r="T1572" s="92"/>
      <c r="U1572" s="1214"/>
      <c r="V1572" s="1215"/>
      <c r="W1572" s="168"/>
      <c r="X1572" s="170"/>
    </row>
    <row r="1573" spans="1:24" ht="12.75" customHeight="1">
      <c r="A1573" s="15"/>
      <c r="B1573" s="92" t="str">
        <f t="shared" si="319"/>
        <v/>
      </c>
      <c r="C1573" s="90"/>
      <c r="D1573" s="87"/>
      <c r="E1573" s="88"/>
      <c r="F1573" s="173"/>
      <c r="G1573" s="88"/>
      <c r="H1573" s="88"/>
      <c r="I1573" s="323" t="str">
        <f t="shared" si="320"/>
        <v/>
      </c>
      <c r="J1573" s="323" t="str">
        <f t="shared" si="321"/>
        <v/>
      </c>
      <c r="K1573" s="324" t="str">
        <f t="shared" si="322"/>
        <v/>
      </c>
      <c r="L1573" s="88"/>
      <c r="M1573" s="88"/>
      <c r="N1573" s="88"/>
      <c r="O1573" s="88"/>
      <c r="P1573" s="88"/>
      <c r="Q1573" s="88"/>
      <c r="R1573" s="88"/>
      <c r="S1573" s="620"/>
      <c r="T1573" s="92"/>
      <c r="U1573" s="1214"/>
      <c r="V1573" s="1215"/>
      <c r="W1573" s="168"/>
      <c r="X1573" s="170"/>
    </row>
    <row r="1574" spans="1:24" ht="12.75" customHeight="1">
      <c r="A1574" s="15"/>
      <c r="B1574" s="92" t="str">
        <f t="shared" si="319"/>
        <v/>
      </c>
      <c r="C1574" s="90"/>
      <c r="D1574" s="87"/>
      <c r="E1574" s="88"/>
      <c r="F1574" s="173"/>
      <c r="G1574" s="88"/>
      <c r="H1574" s="88"/>
      <c r="I1574" s="323" t="str">
        <f t="shared" si="320"/>
        <v/>
      </c>
      <c r="J1574" s="323" t="str">
        <f t="shared" si="321"/>
        <v/>
      </c>
      <c r="K1574" s="324" t="str">
        <f t="shared" si="322"/>
        <v/>
      </c>
      <c r="L1574" s="88"/>
      <c r="M1574" s="88"/>
      <c r="N1574" s="88"/>
      <c r="O1574" s="88"/>
      <c r="P1574" s="88"/>
      <c r="Q1574" s="88"/>
      <c r="R1574" s="88"/>
      <c r="S1574" s="620"/>
      <c r="T1574" s="92"/>
      <c r="U1574" s="1214"/>
      <c r="V1574" s="1215"/>
      <c r="W1574" s="168"/>
      <c r="X1574" s="170"/>
    </row>
    <row r="1575" spans="1:24" ht="12.75" customHeight="1">
      <c r="A1575" s="15"/>
      <c r="B1575" s="92" t="str">
        <f t="shared" si="319"/>
        <v/>
      </c>
      <c r="C1575" s="90"/>
      <c r="D1575" s="87"/>
      <c r="E1575" s="88"/>
      <c r="F1575" s="173"/>
      <c r="G1575" s="88"/>
      <c r="H1575" s="88"/>
      <c r="I1575" s="323" t="str">
        <f t="shared" si="320"/>
        <v/>
      </c>
      <c r="J1575" s="323" t="str">
        <f t="shared" si="321"/>
        <v/>
      </c>
      <c r="K1575" s="324" t="str">
        <f t="shared" si="322"/>
        <v/>
      </c>
      <c r="L1575" s="88"/>
      <c r="M1575" s="88"/>
      <c r="N1575" s="88"/>
      <c r="O1575" s="88"/>
      <c r="P1575" s="88"/>
      <c r="Q1575" s="88"/>
      <c r="R1575" s="88"/>
      <c r="S1575" s="620"/>
      <c r="T1575" s="92"/>
      <c r="U1575" s="1214"/>
      <c r="V1575" s="1215"/>
      <c r="W1575" s="168"/>
      <c r="X1575" s="170"/>
    </row>
    <row r="1576" spans="1:24" ht="12.75" customHeight="1">
      <c r="A1576" s="15"/>
      <c r="B1576" s="92" t="str">
        <f t="shared" si="319"/>
        <v/>
      </c>
      <c r="C1576" s="90"/>
      <c r="D1576" s="87"/>
      <c r="E1576" s="88"/>
      <c r="F1576" s="173"/>
      <c r="G1576" s="88"/>
      <c r="H1576" s="88"/>
      <c r="I1576" s="323" t="str">
        <f t="shared" si="320"/>
        <v/>
      </c>
      <c r="J1576" s="323" t="str">
        <f t="shared" si="321"/>
        <v/>
      </c>
      <c r="K1576" s="324" t="str">
        <f t="shared" si="322"/>
        <v/>
      </c>
      <c r="L1576" s="88"/>
      <c r="M1576" s="88"/>
      <c r="N1576" s="88"/>
      <c r="O1576" s="88"/>
      <c r="P1576" s="88"/>
      <c r="Q1576" s="88"/>
      <c r="R1576" s="88"/>
      <c r="S1576" s="620"/>
      <c r="T1576" s="92"/>
      <c r="U1576" s="1214"/>
      <c r="V1576" s="1215"/>
      <c r="W1576" s="168"/>
      <c r="X1576" s="170"/>
    </row>
    <row r="1577" spans="1:24" ht="12.75" customHeight="1">
      <c r="A1577" s="15"/>
      <c r="B1577" s="92" t="str">
        <f t="shared" si="319"/>
        <v/>
      </c>
      <c r="C1577" s="90"/>
      <c r="D1577" s="87"/>
      <c r="E1577" s="88"/>
      <c r="F1577" s="173"/>
      <c r="G1577" s="88"/>
      <c r="H1577" s="88"/>
      <c r="I1577" s="323" t="str">
        <f t="shared" si="320"/>
        <v/>
      </c>
      <c r="J1577" s="323" t="str">
        <f t="shared" si="321"/>
        <v/>
      </c>
      <c r="K1577" s="324" t="str">
        <f t="shared" si="322"/>
        <v/>
      </c>
      <c r="L1577" s="88"/>
      <c r="M1577" s="88"/>
      <c r="N1577" s="88"/>
      <c r="O1577" s="88"/>
      <c r="P1577" s="88"/>
      <c r="Q1577" s="88"/>
      <c r="R1577" s="88"/>
      <c r="S1577" s="620"/>
      <c r="T1577" s="92"/>
      <c r="U1577" s="1214"/>
      <c r="V1577" s="1215"/>
      <c r="W1577" s="168"/>
      <c r="X1577" s="170"/>
    </row>
    <row r="1578" spans="1:24" ht="12.75" customHeight="1">
      <c r="A1578" s="15"/>
      <c r="B1578" s="92" t="str">
        <f t="shared" si="319"/>
        <v/>
      </c>
      <c r="C1578" s="90"/>
      <c r="D1578" s="87"/>
      <c r="E1578" s="88"/>
      <c r="F1578" s="173"/>
      <c r="G1578" s="88"/>
      <c r="H1578" s="88"/>
      <c r="I1578" s="323" t="str">
        <f t="shared" si="320"/>
        <v/>
      </c>
      <c r="J1578" s="323" t="str">
        <f t="shared" si="321"/>
        <v/>
      </c>
      <c r="K1578" s="324" t="str">
        <f t="shared" si="322"/>
        <v/>
      </c>
      <c r="L1578" s="88"/>
      <c r="M1578" s="88"/>
      <c r="N1578" s="88"/>
      <c r="O1578" s="88"/>
      <c r="P1578" s="88"/>
      <c r="Q1578" s="88"/>
      <c r="R1578" s="88"/>
      <c r="S1578" s="620"/>
      <c r="T1578" s="92"/>
      <c r="U1578" s="1214"/>
      <c r="V1578" s="1215"/>
      <c r="W1578" s="168"/>
      <c r="X1578" s="170"/>
    </row>
    <row r="1579" spans="1:24" ht="12.75" customHeight="1">
      <c r="A1579" s="15"/>
      <c r="B1579" s="92" t="str">
        <f t="shared" si="319"/>
        <v/>
      </c>
      <c r="C1579" s="90"/>
      <c r="D1579" s="87"/>
      <c r="E1579" s="88"/>
      <c r="F1579" s="173"/>
      <c r="G1579" s="88"/>
      <c r="H1579" s="88"/>
      <c r="I1579" s="323" t="str">
        <f t="shared" si="320"/>
        <v/>
      </c>
      <c r="J1579" s="323" t="str">
        <f t="shared" si="321"/>
        <v/>
      </c>
      <c r="K1579" s="324" t="str">
        <f t="shared" si="322"/>
        <v/>
      </c>
      <c r="L1579" s="88"/>
      <c r="M1579" s="88"/>
      <c r="N1579" s="88"/>
      <c r="O1579" s="88"/>
      <c r="P1579" s="88"/>
      <c r="Q1579" s="88"/>
      <c r="R1579" s="88"/>
      <c r="S1579" s="620"/>
      <c r="T1579" s="92"/>
      <c r="U1579" s="1214"/>
      <c r="V1579" s="1215"/>
      <c r="W1579" s="168"/>
      <c r="X1579" s="170"/>
    </row>
    <row r="1580" spans="1:24" ht="12.75" customHeight="1">
      <c r="A1580" s="15"/>
      <c r="B1580" s="92" t="str">
        <f t="shared" si="319"/>
        <v/>
      </c>
      <c r="C1580" s="90"/>
      <c r="D1580" s="87"/>
      <c r="E1580" s="88"/>
      <c r="F1580" s="173"/>
      <c r="G1580" s="88"/>
      <c r="H1580" s="88"/>
      <c r="I1580" s="323" t="str">
        <f t="shared" si="320"/>
        <v/>
      </c>
      <c r="J1580" s="323" t="str">
        <f t="shared" si="321"/>
        <v/>
      </c>
      <c r="K1580" s="324" t="str">
        <f t="shared" si="322"/>
        <v/>
      </c>
      <c r="L1580" s="88"/>
      <c r="M1580" s="88"/>
      <c r="N1580" s="88"/>
      <c r="O1580" s="88"/>
      <c r="P1580" s="88"/>
      <c r="Q1580" s="88"/>
      <c r="R1580" s="88"/>
      <c r="S1580" s="620"/>
      <c r="T1580" s="92"/>
      <c r="U1580" s="1214"/>
      <c r="V1580" s="1215"/>
      <c r="W1580" s="168"/>
      <c r="X1580" s="170"/>
    </row>
    <row r="1581" spans="1:24" ht="12.75" customHeight="1">
      <c r="A1581" s="15"/>
      <c r="B1581" s="92" t="str">
        <f t="shared" si="319"/>
        <v/>
      </c>
      <c r="C1581" s="90"/>
      <c r="D1581" s="87"/>
      <c r="E1581" s="88"/>
      <c r="F1581" s="173"/>
      <c r="G1581" s="88"/>
      <c r="H1581" s="88"/>
      <c r="I1581" s="323" t="str">
        <f t="shared" si="320"/>
        <v/>
      </c>
      <c r="J1581" s="323" t="str">
        <f t="shared" si="321"/>
        <v/>
      </c>
      <c r="K1581" s="324" t="str">
        <f t="shared" si="322"/>
        <v/>
      </c>
      <c r="L1581" s="88"/>
      <c r="M1581" s="88"/>
      <c r="N1581" s="88"/>
      <c r="O1581" s="88"/>
      <c r="P1581" s="88"/>
      <c r="Q1581" s="88"/>
      <c r="R1581" s="88"/>
      <c r="S1581" s="620"/>
      <c r="T1581" s="92"/>
      <c r="U1581" s="1214"/>
      <c r="V1581" s="1215"/>
      <c r="W1581" s="168"/>
      <c r="X1581" s="170"/>
    </row>
    <row r="1582" spans="1:24" ht="12.75" customHeight="1">
      <c r="A1582" s="15"/>
      <c r="B1582" s="92" t="str">
        <f t="shared" si="319"/>
        <v/>
      </c>
      <c r="C1582" s="90"/>
      <c r="D1582" s="87"/>
      <c r="E1582" s="88"/>
      <c r="F1582" s="173"/>
      <c r="G1582" s="88"/>
      <c r="H1582" s="88"/>
      <c r="I1582" s="323" t="str">
        <f t="shared" si="320"/>
        <v/>
      </c>
      <c r="J1582" s="323" t="str">
        <f t="shared" si="321"/>
        <v/>
      </c>
      <c r="K1582" s="324" t="str">
        <f t="shared" si="322"/>
        <v/>
      </c>
      <c r="L1582" s="88"/>
      <c r="M1582" s="88"/>
      <c r="N1582" s="88"/>
      <c r="O1582" s="88"/>
      <c r="P1582" s="88"/>
      <c r="Q1582" s="88"/>
      <c r="R1582" s="88"/>
      <c r="S1582" s="620"/>
      <c r="T1582" s="92"/>
      <c r="U1582" s="1214"/>
      <c r="V1582" s="1215"/>
      <c r="W1582" s="168"/>
      <c r="X1582" s="170"/>
    </row>
    <row r="1583" spans="1:24" ht="12.75" customHeight="1">
      <c r="A1583" s="15"/>
      <c r="B1583" s="92" t="str">
        <f t="shared" ref="B1583:B1646" si="323">IF(C1583="","",ROW()-5)</f>
        <v/>
      </c>
      <c r="C1583" s="90"/>
      <c r="D1583" s="87"/>
      <c r="E1583" s="88"/>
      <c r="F1583" s="173"/>
      <c r="G1583" s="88"/>
      <c r="H1583" s="88"/>
      <c r="I1583" s="323" t="str">
        <f t="shared" si="320"/>
        <v/>
      </c>
      <c r="J1583" s="323" t="str">
        <f t="shared" si="321"/>
        <v/>
      </c>
      <c r="K1583" s="324" t="str">
        <f t="shared" si="322"/>
        <v/>
      </c>
      <c r="L1583" s="88"/>
      <c r="M1583" s="88"/>
      <c r="N1583" s="88"/>
      <c r="O1583" s="88"/>
      <c r="P1583" s="88"/>
      <c r="Q1583" s="88"/>
      <c r="R1583" s="88"/>
      <c r="S1583" s="620"/>
      <c r="T1583" s="92"/>
      <c r="U1583" s="1214"/>
      <c r="V1583" s="1215"/>
      <c r="W1583" s="168"/>
      <c r="X1583" s="170"/>
    </row>
    <row r="1584" spans="1:24" ht="12.75" customHeight="1">
      <c r="A1584" s="15"/>
      <c r="B1584" s="92" t="str">
        <f t="shared" si="323"/>
        <v/>
      </c>
      <c r="C1584" s="90"/>
      <c r="D1584" s="87"/>
      <c r="E1584" s="88"/>
      <c r="F1584" s="173"/>
      <c r="G1584" s="88"/>
      <c r="H1584" s="88"/>
      <c r="I1584" s="323" t="str">
        <f t="shared" si="320"/>
        <v/>
      </c>
      <c r="J1584" s="323" t="str">
        <f t="shared" si="321"/>
        <v/>
      </c>
      <c r="K1584" s="324" t="str">
        <f t="shared" si="322"/>
        <v/>
      </c>
      <c r="L1584" s="88"/>
      <c r="M1584" s="88"/>
      <c r="N1584" s="88"/>
      <c r="O1584" s="88"/>
      <c r="P1584" s="88"/>
      <c r="Q1584" s="88"/>
      <c r="R1584" s="88"/>
      <c r="S1584" s="620"/>
      <c r="T1584" s="92"/>
      <c r="U1584" s="1214"/>
      <c r="V1584" s="1215"/>
      <c r="W1584" s="168"/>
      <c r="X1584" s="170"/>
    </row>
    <row r="1585" spans="1:24" ht="12.75" customHeight="1">
      <c r="A1585" s="15"/>
      <c r="B1585" s="92" t="str">
        <f t="shared" si="323"/>
        <v/>
      </c>
      <c r="C1585" s="90"/>
      <c r="D1585" s="87"/>
      <c r="E1585" s="88"/>
      <c r="F1585" s="173"/>
      <c r="G1585" s="88"/>
      <c r="H1585" s="88"/>
      <c r="I1585" s="323" t="str">
        <f t="shared" si="320"/>
        <v/>
      </c>
      <c r="J1585" s="323" t="str">
        <f t="shared" si="321"/>
        <v/>
      </c>
      <c r="K1585" s="324" t="str">
        <f t="shared" si="322"/>
        <v/>
      </c>
      <c r="L1585" s="88"/>
      <c r="M1585" s="88"/>
      <c r="N1585" s="88"/>
      <c r="O1585" s="88"/>
      <c r="P1585" s="88"/>
      <c r="Q1585" s="88"/>
      <c r="R1585" s="88"/>
      <c r="S1585" s="620"/>
      <c r="T1585" s="92"/>
      <c r="U1585" s="1214"/>
      <c r="V1585" s="1215"/>
      <c r="W1585" s="168"/>
      <c r="X1585" s="170"/>
    </row>
    <row r="1586" spans="1:24" ht="12.75" customHeight="1">
      <c r="A1586" s="15"/>
      <c r="B1586" s="92" t="str">
        <f t="shared" si="323"/>
        <v/>
      </c>
      <c r="C1586" s="90"/>
      <c r="D1586" s="87"/>
      <c r="E1586" s="88"/>
      <c r="F1586" s="173"/>
      <c r="G1586" s="88"/>
      <c r="H1586" s="88"/>
      <c r="I1586" s="323" t="str">
        <f t="shared" si="320"/>
        <v/>
      </c>
      <c r="J1586" s="323" t="str">
        <f t="shared" si="321"/>
        <v/>
      </c>
      <c r="K1586" s="324" t="str">
        <f t="shared" si="322"/>
        <v/>
      </c>
      <c r="L1586" s="88"/>
      <c r="M1586" s="88"/>
      <c r="N1586" s="88"/>
      <c r="O1586" s="88"/>
      <c r="P1586" s="88"/>
      <c r="Q1586" s="88"/>
      <c r="R1586" s="88"/>
      <c r="S1586" s="620"/>
      <c r="T1586" s="92"/>
      <c r="U1586" s="1214"/>
      <c r="V1586" s="1215"/>
      <c r="W1586" s="168"/>
      <c r="X1586" s="170"/>
    </row>
    <row r="1587" spans="1:24" ht="12.75" customHeight="1">
      <c r="A1587" s="15"/>
      <c r="B1587" s="92" t="str">
        <f t="shared" si="323"/>
        <v/>
      </c>
      <c r="C1587" s="90"/>
      <c r="D1587" s="87"/>
      <c r="E1587" s="88"/>
      <c r="F1587" s="173"/>
      <c r="G1587" s="88"/>
      <c r="H1587" s="88"/>
      <c r="I1587" s="323" t="str">
        <f t="shared" si="320"/>
        <v/>
      </c>
      <c r="J1587" s="323" t="str">
        <f t="shared" si="321"/>
        <v/>
      </c>
      <c r="K1587" s="324" t="str">
        <f t="shared" si="322"/>
        <v/>
      </c>
      <c r="L1587" s="88"/>
      <c r="M1587" s="88"/>
      <c r="N1587" s="88"/>
      <c r="O1587" s="88"/>
      <c r="P1587" s="88"/>
      <c r="Q1587" s="88"/>
      <c r="R1587" s="88"/>
      <c r="S1587" s="620"/>
      <c r="T1587" s="92"/>
      <c r="U1587" s="1214"/>
      <c r="V1587" s="1215"/>
      <c r="W1587" s="168"/>
      <c r="X1587" s="170"/>
    </row>
    <row r="1588" spans="1:24" ht="12.75" customHeight="1">
      <c r="A1588" s="15"/>
      <c r="B1588" s="92" t="str">
        <f t="shared" si="323"/>
        <v/>
      </c>
      <c r="C1588" s="90"/>
      <c r="D1588" s="87"/>
      <c r="E1588" s="88"/>
      <c r="F1588" s="173"/>
      <c r="G1588" s="88"/>
      <c r="H1588" s="88"/>
      <c r="I1588" s="323" t="str">
        <f t="shared" si="320"/>
        <v/>
      </c>
      <c r="J1588" s="323" t="str">
        <f t="shared" si="321"/>
        <v/>
      </c>
      <c r="K1588" s="324" t="str">
        <f t="shared" si="322"/>
        <v/>
      </c>
      <c r="L1588" s="88"/>
      <c r="M1588" s="88"/>
      <c r="N1588" s="88"/>
      <c r="O1588" s="88"/>
      <c r="P1588" s="88"/>
      <c r="Q1588" s="88"/>
      <c r="R1588" s="88"/>
      <c r="S1588" s="620"/>
      <c r="T1588" s="92"/>
      <c r="U1588" s="1214"/>
      <c r="V1588" s="1215"/>
      <c r="W1588" s="168"/>
      <c r="X1588" s="170"/>
    </row>
    <row r="1589" spans="1:24" ht="12.75" customHeight="1">
      <c r="A1589" s="15"/>
      <c r="B1589" s="92" t="str">
        <f t="shared" si="323"/>
        <v/>
      </c>
      <c r="C1589" s="90"/>
      <c r="D1589" s="87"/>
      <c r="E1589" s="88"/>
      <c r="F1589" s="173"/>
      <c r="G1589" s="88"/>
      <c r="H1589" s="88"/>
      <c r="I1589" s="323" t="str">
        <f t="shared" si="320"/>
        <v/>
      </c>
      <c r="J1589" s="323" t="str">
        <f t="shared" si="321"/>
        <v/>
      </c>
      <c r="K1589" s="324" t="str">
        <f t="shared" si="322"/>
        <v/>
      </c>
      <c r="L1589" s="88"/>
      <c r="M1589" s="88"/>
      <c r="N1589" s="88"/>
      <c r="O1589" s="88"/>
      <c r="P1589" s="88"/>
      <c r="Q1589" s="88"/>
      <c r="R1589" s="88"/>
      <c r="S1589" s="620"/>
      <c r="T1589" s="92"/>
      <c r="U1589" s="1214"/>
      <c r="V1589" s="1215"/>
      <c r="W1589" s="168"/>
      <c r="X1589" s="170"/>
    </row>
    <row r="1590" spans="1:24" ht="12.75" customHeight="1">
      <c r="A1590" s="15"/>
      <c r="B1590" s="92" t="str">
        <f t="shared" si="323"/>
        <v/>
      </c>
      <c r="C1590" s="90"/>
      <c r="D1590" s="87"/>
      <c r="E1590" s="88"/>
      <c r="F1590" s="173"/>
      <c r="G1590" s="88"/>
      <c r="H1590" s="88"/>
      <c r="I1590" s="323" t="str">
        <f t="shared" si="320"/>
        <v/>
      </c>
      <c r="J1590" s="323" t="str">
        <f t="shared" si="321"/>
        <v/>
      </c>
      <c r="K1590" s="324" t="str">
        <f t="shared" si="322"/>
        <v/>
      </c>
      <c r="L1590" s="88"/>
      <c r="M1590" s="88"/>
      <c r="N1590" s="88"/>
      <c r="O1590" s="88"/>
      <c r="P1590" s="88"/>
      <c r="Q1590" s="88"/>
      <c r="R1590" s="88"/>
      <c r="S1590" s="620"/>
      <c r="T1590" s="92"/>
      <c r="U1590" s="1214"/>
      <c r="V1590" s="1215"/>
      <c r="W1590" s="168"/>
      <c r="X1590" s="170"/>
    </row>
    <row r="1591" spans="1:24" ht="12.75" customHeight="1">
      <c r="A1591" s="15"/>
      <c r="B1591" s="92" t="str">
        <f t="shared" si="323"/>
        <v/>
      </c>
      <c r="C1591" s="90"/>
      <c r="D1591" s="87"/>
      <c r="E1591" s="88"/>
      <c r="F1591" s="173"/>
      <c r="G1591" s="88"/>
      <c r="H1591" s="88"/>
      <c r="I1591" s="323" t="str">
        <f t="shared" si="320"/>
        <v/>
      </c>
      <c r="J1591" s="323" t="str">
        <f t="shared" si="321"/>
        <v/>
      </c>
      <c r="K1591" s="324" t="str">
        <f t="shared" si="322"/>
        <v/>
      </c>
      <c r="L1591" s="88"/>
      <c r="M1591" s="88"/>
      <c r="N1591" s="88"/>
      <c r="O1591" s="88"/>
      <c r="P1591" s="88"/>
      <c r="Q1591" s="88"/>
      <c r="R1591" s="88"/>
      <c r="S1591" s="620"/>
      <c r="T1591" s="92"/>
      <c r="U1591" s="1214"/>
      <c r="V1591" s="1215"/>
      <c r="W1591" s="168"/>
      <c r="X1591" s="170"/>
    </row>
    <row r="1592" spans="1:24" ht="12.75" customHeight="1">
      <c r="A1592" s="15"/>
      <c r="B1592" s="92" t="str">
        <f t="shared" si="323"/>
        <v/>
      </c>
      <c r="C1592" s="90"/>
      <c r="D1592" s="87"/>
      <c r="E1592" s="88"/>
      <c r="F1592" s="173"/>
      <c r="G1592" s="88"/>
      <c r="H1592" s="88"/>
      <c r="I1592" s="323" t="str">
        <f t="shared" si="320"/>
        <v/>
      </c>
      <c r="J1592" s="323" t="str">
        <f t="shared" si="321"/>
        <v/>
      </c>
      <c r="K1592" s="324" t="str">
        <f t="shared" si="322"/>
        <v/>
      </c>
      <c r="L1592" s="88"/>
      <c r="M1592" s="88"/>
      <c r="N1592" s="88"/>
      <c r="O1592" s="88"/>
      <c r="P1592" s="88"/>
      <c r="Q1592" s="88"/>
      <c r="R1592" s="88"/>
      <c r="S1592" s="620"/>
      <c r="T1592" s="92"/>
      <c r="U1592" s="1214"/>
      <c r="V1592" s="1215"/>
      <c r="W1592" s="168"/>
      <c r="X1592" s="170"/>
    </row>
    <row r="1593" spans="1:24" ht="12.75" customHeight="1">
      <c r="A1593" s="15"/>
      <c r="B1593" s="92" t="str">
        <f t="shared" si="323"/>
        <v/>
      </c>
      <c r="C1593" s="90"/>
      <c r="D1593" s="87"/>
      <c r="E1593" s="88"/>
      <c r="F1593" s="173"/>
      <c r="G1593" s="88"/>
      <c r="H1593" s="88"/>
      <c r="I1593" s="323" t="str">
        <f t="shared" si="320"/>
        <v/>
      </c>
      <c r="J1593" s="323" t="str">
        <f t="shared" si="321"/>
        <v/>
      </c>
      <c r="K1593" s="324" t="str">
        <f t="shared" si="322"/>
        <v/>
      </c>
      <c r="L1593" s="88"/>
      <c r="M1593" s="88"/>
      <c r="N1593" s="88"/>
      <c r="O1593" s="88"/>
      <c r="P1593" s="88"/>
      <c r="Q1593" s="88"/>
      <c r="R1593" s="88"/>
      <c r="S1593" s="620"/>
      <c r="T1593" s="92"/>
      <c r="U1593" s="1214"/>
      <c r="V1593" s="1215"/>
      <c r="W1593" s="168"/>
      <c r="X1593" s="170"/>
    </row>
    <row r="1594" spans="1:24" ht="12.75" customHeight="1">
      <c r="A1594" s="15"/>
      <c r="B1594" s="92" t="str">
        <f t="shared" si="323"/>
        <v/>
      </c>
      <c r="C1594" s="90"/>
      <c r="D1594" s="87"/>
      <c r="E1594" s="88"/>
      <c r="F1594" s="173"/>
      <c r="G1594" s="88"/>
      <c r="H1594" s="88"/>
      <c r="I1594" s="323" t="str">
        <f t="shared" si="320"/>
        <v/>
      </c>
      <c r="J1594" s="323" t="str">
        <f t="shared" si="321"/>
        <v/>
      </c>
      <c r="K1594" s="324" t="str">
        <f t="shared" si="322"/>
        <v/>
      </c>
      <c r="L1594" s="88"/>
      <c r="M1594" s="88"/>
      <c r="N1594" s="88"/>
      <c r="O1594" s="88"/>
      <c r="P1594" s="88"/>
      <c r="Q1594" s="88"/>
      <c r="R1594" s="88"/>
      <c r="S1594" s="620"/>
      <c r="T1594" s="92"/>
      <c r="U1594" s="1214"/>
      <c r="V1594" s="1215"/>
      <c r="W1594" s="168"/>
      <c r="X1594" s="170"/>
    </row>
    <row r="1595" spans="1:24" ht="12.75" customHeight="1">
      <c r="A1595" s="15"/>
      <c r="B1595" s="92" t="str">
        <f t="shared" si="323"/>
        <v/>
      </c>
      <c r="C1595" s="90"/>
      <c r="D1595" s="87"/>
      <c r="E1595" s="88"/>
      <c r="F1595" s="173"/>
      <c r="G1595" s="88"/>
      <c r="H1595" s="88"/>
      <c r="I1595" s="323" t="str">
        <f t="shared" si="320"/>
        <v/>
      </c>
      <c r="J1595" s="323" t="str">
        <f t="shared" si="321"/>
        <v/>
      </c>
      <c r="K1595" s="324" t="str">
        <f t="shared" si="322"/>
        <v/>
      </c>
      <c r="L1595" s="88"/>
      <c r="M1595" s="88"/>
      <c r="N1595" s="88"/>
      <c r="O1595" s="88"/>
      <c r="P1595" s="88"/>
      <c r="Q1595" s="88"/>
      <c r="R1595" s="88"/>
      <c r="S1595" s="620"/>
      <c r="T1595" s="92"/>
      <c r="U1595" s="1214"/>
      <c r="V1595" s="1215"/>
      <c r="W1595" s="168"/>
      <c r="X1595" s="170"/>
    </row>
    <row r="1596" spans="1:24" ht="12.75" customHeight="1">
      <c r="A1596" s="15"/>
      <c r="B1596" s="92" t="str">
        <f t="shared" si="323"/>
        <v/>
      </c>
      <c r="C1596" s="90"/>
      <c r="D1596" s="87"/>
      <c r="E1596" s="88"/>
      <c r="F1596" s="173"/>
      <c r="G1596" s="88"/>
      <c r="H1596" s="88"/>
      <c r="I1596" s="323" t="str">
        <f t="shared" si="320"/>
        <v/>
      </c>
      <c r="J1596" s="323" t="str">
        <f t="shared" si="321"/>
        <v/>
      </c>
      <c r="K1596" s="324" t="str">
        <f t="shared" si="322"/>
        <v/>
      </c>
      <c r="L1596" s="88"/>
      <c r="M1596" s="88"/>
      <c r="N1596" s="88"/>
      <c r="O1596" s="88"/>
      <c r="P1596" s="88"/>
      <c r="Q1596" s="88"/>
      <c r="R1596" s="88"/>
      <c r="S1596" s="620"/>
      <c r="T1596" s="92"/>
      <c r="U1596" s="1214"/>
      <c r="V1596" s="1215"/>
      <c r="W1596" s="168"/>
      <c r="X1596" s="170"/>
    </row>
    <row r="1597" spans="1:24" ht="12.75" customHeight="1">
      <c r="A1597" s="15"/>
      <c r="B1597" s="92" t="str">
        <f t="shared" si="323"/>
        <v/>
      </c>
      <c r="C1597" s="90"/>
      <c r="D1597" s="87"/>
      <c r="E1597" s="88"/>
      <c r="F1597" s="173"/>
      <c r="G1597" s="88"/>
      <c r="H1597" s="88"/>
      <c r="I1597" s="323" t="str">
        <f t="shared" si="320"/>
        <v/>
      </c>
      <c r="J1597" s="323" t="str">
        <f t="shared" si="321"/>
        <v/>
      </c>
      <c r="K1597" s="324" t="str">
        <f t="shared" si="322"/>
        <v/>
      </c>
      <c r="L1597" s="88"/>
      <c r="M1597" s="88"/>
      <c r="N1597" s="88"/>
      <c r="O1597" s="88"/>
      <c r="P1597" s="88"/>
      <c r="Q1597" s="88"/>
      <c r="R1597" s="88"/>
      <c r="S1597" s="620"/>
      <c r="T1597" s="92"/>
      <c r="U1597" s="1214"/>
      <c r="V1597" s="1215"/>
      <c r="W1597" s="168"/>
      <c r="X1597" s="170"/>
    </row>
    <row r="1598" spans="1:24" ht="12.75" customHeight="1">
      <c r="A1598" s="15"/>
      <c r="B1598" s="92" t="str">
        <f t="shared" si="323"/>
        <v/>
      </c>
      <c r="C1598" s="90"/>
      <c r="D1598" s="87"/>
      <c r="E1598" s="88"/>
      <c r="F1598" s="173"/>
      <c r="G1598" s="88"/>
      <c r="H1598" s="88"/>
      <c r="I1598" s="323" t="str">
        <f t="shared" si="320"/>
        <v/>
      </c>
      <c r="J1598" s="323" t="str">
        <f t="shared" si="321"/>
        <v/>
      </c>
      <c r="K1598" s="324" t="str">
        <f t="shared" si="322"/>
        <v/>
      </c>
      <c r="L1598" s="88"/>
      <c r="M1598" s="88"/>
      <c r="N1598" s="88"/>
      <c r="O1598" s="88"/>
      <c r="P1598" s="88"/>
      <c r="Q1598" s="88"/>
      <c r="R1598" s="88"/>
      <c r="S1598" s="620"/>
      <c r="T1598" s="92"/>
      <c r="U1598" s="1214"/>
      <c r="V1598" s="1215"/>
      <c r="W1598" s="168"/>
      <c r="X1598" s="170"/>
    </row>
    <row r="1599" spans="1:24" ht="12.75" customHeight="1">
      <c r="A1599" s="15"/>
      <c r="B1599" s="92" t="str">
        <f t="shared" si="323"/>
        <v/>
      </c>
      <c r="C1599" s="90"/>
      <c r="D1599" s="87"/>
      <c r="E1599" s="88"/>
      <c r="F1599" s="173"/>
      <c r="G1599" s="88"/>
      <c r="H1599" s="88"/>
      <c r="I1599" s="323" t="str">
        <f t="shared" ref="I1599:I1662" si="324">+IF(G1599="","",G1599*H1599)</f>
        <v/>
      </c>
      <c r="J1599" s="323" t="str">
        <f t="shared" ref="J1599:J1662" si="325">+IF(G1599="","",I1599*0.1)</f>
        <v/>
      </c>
      <c r="K1599" s="324" t="str">
        <f t="shared" ref="K1599:K1662" si="326">+IF(G1599="","",I1599+J1599)</f>
        <v/>
      </c>
      <c r="L1599" s="88"/>
      <c r="M1599" s="88"/>
      <c r="N1599" s="88"/>
      <c r="O1599" s="88"/>
      <c r="P1599" s="88"/>
      <c r="Q1599" s="88"/>
      <c r="R1599" s="88"/>
      <c r="S1599" s="620"/>
      <c r="T1599" s="92"/>
      <c r="U1599" s="1214"/>
      <c r="V1599" s="1215"/>
      <c r="W1599" s="168"/>
      <c r="X1599" s="170"/>
    </row>
    <row r="1600" spans="1:24" ht="12.75" customHeight="1">
      <c r="A1600" s="15"/>
      <c r="B1600" s="92" t="str">
        <f t="shared" si="323"/>
        <v/>
      </c>
      <c r="C1600" s="90"/>
      <c r="D1600" s="87"/>
      <c r="E1600" s="88"/>
      <c r="F1600" s="173"/>
      <c r="G1600" s="88"/>
      <c r="H1600" s="88"/>
      <c r="I1600" s="323" t="str">
        <f t="shared" si="324"/>
        <v/>
      </c>
      <c r="J1600" s="323" t="str">
        <f t="shared" si="325"/>
        <v/>
      </c>
      <c r="K1600" s="324" t="str">
        <f t="shared" si="326"/>
        <v/>
      </c>
      <c r="L1600" s="88"/>
      <c r="M1600" s="88"/>
      <c r="N1600" s="88"/>
      <c r="O1600" s="88"/>
      <c r="P1600" s="88"/>
      <c r="Q1600" s="88"/>
      <c r="R1600" s="88"/>
      <c r="S1600" s="620"/>
      <c r="T1600" s="92"/>
      <c r="U1600" s="1214"/>
      <c r="V1600" s="1215"/>
      <c r="W1600" s="168"/>
      <c r="X1600" s="170"/>
    </row>
    <row r="1601" spans="1:24" ht="12.75" customHeight="1">
      <c r="A1601" s="15"/>
      <c r="B1601" s="92" t="str">
        <f t="shared" si="323"/>
        <v/>
      </c>
      <c r="C1601" s="90"/>
      <c r="D1601" s="87"/>
      <c r="E1601" s="88"/>
      <c r="F1601" s="173"/>
      <c r="G1601" s="88"/>
      <c r="H1601" s="88"/>
      <c r="I1601" s="323" t="str">
        <f t="shared" si="324"/>
        <v/>
      </c>
      <c r="J1601" s="323" t="str">
        <f t="shared" si="325"/>
        <v/>
      </c>
      <c r="K1601" s="324" t="str">
        <f t="shared" si="326"/>
        <v/>
      </c>
      <c r="L1601" s="88"/>
      <c r="M1601" s="88"/>
      <c r="N1601" s="88"/>
      <c r="O1601" s="88"/>
      <c r="P1601" s="88"/>
      <c r="Q1601" s="88"/>
      <c r="R1601" s="88"/>
      <c r="S1601" s="620"/>
      <c r="T1601" s="92"/>
      <c r="U1601" s="1214"/>
      <c r="V1601" s="1215"/>
      <c r="W1601" s="168"/>
      <c r="X1601" s="170"/>
    </row>
    <row r="1602" spans="1:24" ht="12.75" customHeight="1">
      <c r="A1602" s="15"/>
      <c r="B1602" s="92" t="str">
        <f t="shared" si="323"/>
        <v/>
      </c>
      <c r="C1602" s="90"/>
      <c r="D1602" s="87"/>
      <c r="E1602" s="88"/>
      <c r="F1602" s="173"/>
      <c r="G1602" s="88"/>
      <c r="H1602" s="88"/>
      <c r="I1602" s="323" t="str">
        <f t="shared" si="324"/>
        <v/>
      </c>
      <c r="J1602" s="323" t="str">
        <f t="shared" si="325"/>
        <v/>
      </c>
      <c r="K1602" s="324" t="str">
        <f t="shared" si="326"/>
        <v/>
      </c>
      <c r="L1602" s="88"/>
      <c r="M1602" s="88"/>
      <c r="N1602" s="88"/>
      <c r="O1602" s="88"/>
      <c r="P1602" s="88"/>
      <c r="Q1602" s="88"/>
      <c r="R1602" s="88"/>
      <c r="S1602" s="620"/>
      <c r="T1602" s="92"/>
      <c r="U1602" s="1214"/>
      <c r="V1602" s="1215"/>
      <c r="W1602" s="168"/>
      <c r="X1602" s="170"/>
    </row>
    <row r="1603" spans="1:24" ht="12.75" customHeight="1">
      <c r="A1603" s="15"/>
      <c r="B1603" s="92" t="str">
        <f t="shared" si="323"/>
        <v/>
      </c>
      <c r="C1603" s="90"/>
      <c r="D1603" s="87"/>
      <c r="E1603" s="88"/>
      <c r="F1603" s="173"/>
      <c r="G1603" s="88"/>
      <c r="H1603" s="88"/>
      <c r="I1603" s="323" t="str">
        <f t="shared" si="324"/>
        <v/>
      </c>
      <c r="J1603" s="323" t="str">
        <f t="shared" si="325"/>
        <v/>
      </c>
      <c r="K1603" s="324" t="str">
        <f t="shared" si="326"/>
        <v/>
      </c>
      <c r="L1603" s="88"/>
      <c r="M1603" s="88"/>
      <c r="N1603" s="88"/>
      <c r="O1603" s="88"/>
      <c r="P1603" s="88"/>
      <c r="Q1603" s="88"/>
      <c r="R1603" s="88"/>
      <c r="S1603" s="620"/>
      <c r="T1603" s="92"/>
      <c r="U1603" s="1214"/>
      <c r="V1603" s="1215"/>
      <c r="W1603" s="168"/>
      <c r="X1603" s="170"/>
    </row>
    <row r="1604" spans="1:24" ht="12.75" customHeight="1">
      <c r="A1604" s="15"/>
      <c r="B1604" s="92" t="str">
        <f t="shared" si="323"/>
        <v/>
      </c>
      <c r="C1604" s="90"/>
      <c r="D1604" s="87"/>
      <c r="E1604" s="88"/>
      <c r="F1604" s="173"/>
      <c r="G1604" s="88"/>
      <c r="H1604" s="88"/>
      <c r="I1604" s="323" t="str">
        <f t="shared" si="324"/>
        <v/>
      </c>
      <c r="J1604" s="323" t="str">
        <f t="shared" si="325"/>
        <v/>
      </c>
      <c r="K1604" s="324" t="str">
        <f t="shared" si="326"/>
        <v/>
      </c>
      <c r="L1604" s="88"/>
      <c r="M1604" s="88"/>
      <c r="N1604" s="88"/>
      <c r="O1604" s="88"/>
      <c r="P1604" s="88"/>
      <c r="Q1604" s="88"/>
      <c r="R1604" s="88"/>
      <c r="S1604" s="620"/>
      <c r="T1604" s="92"/>
      <c r="U1604" s="1214"/>
      <c r="V1604" s="1215"/>
      <c r="W1604" s="168"/>
      <c r="X1604" s="170"/>
    </row>
    <row r="1605" spans="1:24" ht="12.75" customHeight="1">
      <c r="A1605" s="15"/>
      <c r="B1605" s="92" t="str">
        <f t="shared" si="323"/>
        <v/>
      </c>
      <c r="C1605" s="90"/>
      <c r="D1605" s="87"/>
      <c r="E1605" s="88"/>
      <c r="F1605" s="173"/>
      <c r="G1605" s="88"/>
      <c r="H1605" s="88"/>
      <c r="I1605" s="323" t="str">
        <f t="shared" si="324"/>
        <v/>
      </c>
      <c r="J1605" s="323" t="str">
        <f t="shared" si="325"/>
        <v/>
      </c>
      <c r="K1605" s="324" t="str">
        <f t="shared" si="326"/>
        <v/>
      </c>
      <c r="L1605" s="88"/>
      <c r="M1605" s="88"/>
      <c r="N1605" s="88"/>
      <c r="O1605" s="88"/>
      <c r="P1605" s="88"/>
      <c r="Q1605" s="88"/>
      <c r="R1605" s="88"/>
      <c r="S1605" s="620"/>
      <c r="T1605" s="92"/>
      <c r="U1605" s="1214"/>
      <c r="V1605" s="1215"/>
      <c r="W1605" s="168"/>
      <c r="X1605" s="170"/>
    </row>
    <row r="1606" spans="1:24" ht="12.75" customHeight="1">
      <c r="A1606" s="15"/>
      <c r="B1606" s="92" t="str">
        <f t="shared" si="323"/>
        <v/>
      </c>
      <c r="C1606" s="90"/>
      <c r="D1606" s="87"/>
      <c r="E1606" s="88"/>
      <c r="F1606" s="173"/>
      <c r="G1606" s="88"/>
      <c r="H1606" s="88"/>
      <c r="I1606" s="323" t="str">
        <f t="shared" si="324"/>
        <v/>
      </c>
      <c r="J1606" s="323" t="str">
        <f t="shared" si="325"/>
        <v/>
      </c>
      <c r="K1606" s="324" t="str">
        <f t="shared" si="326"/>
        <v/>
      </c>
      <c r="L1606" s="88"/>
      <c r="M1606" s="88"/>
      <c r="N1606" s="88"/>
      <c r="O1606" s="88"/>
      <c r="P1606" s="88"/>
      <c r="Q1606" s="88"/>
      <c r="R1606" s="88"/>
      <c r="S1606" s="620"/>
      <c r="T1606" s="92"/>
      <c r="U1606" s="1214"/>
      <c r="V1606" s="1215"/>
      <c r="W1606" s="168"/>
      <c r="X1606" s="170"/>
    </row>
    <row r="1607" spans="1:24" ht="12.75" customHeight="1">
      <c r="A1607" s="15"/>
      <c r="B1607" s="92" t="str">
        <f t="shared" si="323"/>
        <v/>
      </c>
      <c r="C1607" s="90"/>
      <c r="D1607" s="87"/>
      <c r="E1607" s="88"/>
      <c r="F1607" s="173"/>
      <c r="G1607" s="88"/>
      <c r="H1607" s="88"/>
      <c r="I1607" s="323" t="str">
        <f t="shared" si="324"/>
        <v/>
      </c>
      <c r="J1607" s="323" t="str">
        <f t="shared" si="325"/>
        <v/>
      </c>
      <c r="K1607" s="324" t="str">
        <f t="shared" si="326"/>
        <v/>
      </c>
      <c r="L1607" s="88"/>
      <c r="M1607" s="88"/>
      <c r="N1607" s="88"/>
      <c r="O1607" s="88"/>
      <c r="P1607" s="88"/>
      <c r="Q1607" s="88"/>
      <c r="R1607" s="88"/>
      <c r="S1607" s="620"/>
      <c r="T1607" s="92"/>
      <c r="U1607" s="1214"/>
      <c r="V1607" s="1215"/>
      <c r="W1607" s="168"/>
      <c r="X1607" s="170"/>
    </row>
    <row r="1608" spans="1:24" ht="12.75" customHeight="1">
      <c r="A1608" s="15"/>
      <c r="B1608" s="92" t="str">
        <f t="shared" si="323"/>
        <v/>
      </c>
      <c r="C1608" s="90"/>
      <c r="D1608" s="87"/>
      <c r="E1608" s="88"/>
      <c r="F1608" s="173"/>
      <c r="G1608" s="88"/>
      <c r="H1608" s="88"/>
      <c r="I1608" s="323" t="str">
        <f t="shared" si="324"/>
        <v/>
      </c>
      <c r="J1608" s="323" t="str">
        <f t="shared" si="325"/>
        <v/>
      </c>
      <c r="K1608" s="324" t="str">
        <f t="shared" si="326"/>
        <v/>
      </c>
      <c r="L1608" s="88"/>
      <c r="M1608" s="88"/>
      <c r="N1608" s="88"/>
      <c r="O1608" s="88"/>
      <c r="P1608" s="88"/>
      <c r="Q1608" s="88"/>
      <c r="R1608" s="88"/>
      <c r="S1608" s="620"/>
      <c r="T1608" s="92"/>
      <c r="U1608" s="1214"/>
      <c r="V1608" s="1215"/>
      <c r="W1608" s="168"/>
      <c r="X1608" s="170"/>
    </row>
    <row r="1609" spans="1:24" ht="12.75" customHeight="1">
      <c r="A1609" s="15"/>
      <c r="B1609" s="92" t="str">
        <f t="shared" si="323"/>
        <v/>
      </c>
      <c r="C1609" s="90"/>
      <c r="D1609" s="87"/>
      <c r="E1609" s="88"/>
      <c r="F1609" s="173"/>
      <c r="G1609" s="88"/>
      <c r="H1609" s="88"/>
      <c r="I1609" s="323" t="str">
        <f t="shared" si="324"/>
        <v/>
      </c>
      <c r="J1609" s="323" t="str">
        <f t="shared" si="325"/>
        <v/>
      </c>
      <c r="K1609" s="324" t="str">
        <f t="shared" si="326"/>
        <v/>
      </c>
      <c r="L1609" s="88"/>
      <c r="M1609" s="88"/>
      <c r="N1609" s="88"/>
      <c r="O1609" s="88"/>
      <c r="P1609" s="88"/>
      <c r="Q1609" s="88"/>
      <c r="R1609" s="88"/>
      <c r="S1609" s="620"/>
      <c r="T1609" s="92"/>
      <c r="U1609" s="1214"/>
      <c r="V1609" s="1215"/>
      <c r="W1609" s="168"/>
      <c r="X1609" s="170"/>
    </row>
    <row r="1610" spans="1:24" ht="12.75" customHeight="1">
      <c r="A1610" s="15"/>
      <c r="B1610" s="92" t="str">
        <f t="shared" si="323"/>
        <v/>
      </c>
      <c r="C1610" s="90"/>
      <c r="D1610" s="87"/>
      <c r="E1610" s="88"/>
      <c r="F1610" s="173"/>
      <c r="G1610" s="88"/>
      <c r="H1610" s="88"/>
      <c r="I1610" s="323" t="str">
        <f t="shared" si="324"/>
        <v/>
      </c>
      <c r="J1610" s="323" t="str">
        <f t="shared" si="325"/>
        <v/>
      </c>
      <c r="K1610" s="324" t="str">
        <f t="shared" si="326"/>
        <v/>
      </c>
      <c r="L1610" s="88"/>
      <c r="M1610" s="88"/>
      <c r="N1610" s="88"/>
      <c r="O1610" s="88"/>
      <c r="P1610" s="88"/>
      <c r="Q1610" s="88"/>
      <c r="R1610" s="88"/>
      <c r="S1610" s="620"/>
      <c r="T1610" s="92"/>
      <c r="U1610" s="1214"/>
      <c r="V1610" s="1215"/>
      <c r="W1610" s="168"/>
      <c r="X1610" s="170"/>
    </row>
    <row r="1611" spans="1:24" ht="12.75" customHeight="1">
      <c r="A1611" s="15"/>
      <c r="B1611" s="92" t="str">
        <f t="shared" si="323"/>
        <v/>
      </c>
      <c r="C1611" s="90"/>
      <c r="D1611" s="87"/>
      <c r="E1611" s="88"/>
      <c r="F1611" s="173"/>
      <c r="G1611" s="88"/>
      <c r="H1611" s="88"/>
      <c r="I1611" s="323" t="str">
        <f t="shared" si="324"/>
        <v/>
      </c>
      <c r="J1611" s="323" t="str">
        <f t="shared" si="325"/>
        <v/>
      </c>
      <c r="K1611" s="324" t="str">
        <f t="shared" si="326"/>
        <v/>
      </c>
      <c r="L1611" s="88"/>
      <c r="M1611" s="88"/>
      <c r="N1611" s="88"/>
      <c r="O1611" s="88"/>
      <c r="P1611" s="88"/>
      <c r="Q1611" s="88"/>
      <c r="R1611" s="88"/>
      <c r="S1611" s="620"/>
      <c r="T1611" s="92"/>
      <c r="U1611" s="1214"/>
      <c r="V1611" s="1215"/>
      <c r="W1611" s="168"/>
      <c r="X1611" s="170"/>
    </row>
    <row r="1612" spans="1:24" ht="12.75" customHeight="1">
      <c r="A1612" s="15"/>
      <c r="B1612" s="92" t="str">
        <f t="shared" si="323"/>
        <v/>
      </c>
      <c r="C1612" s="90"/>
      <c r="D1612" s="87"/>
      <c r="E1612" s="88"/>
      <c r="F1612" s="173"/>
      <c r="G1612" s="88"/>
      <c r="H1612" s="88"/>
      <c r="I1612" s="323" t="str">
        <f t="shared" si="324"/>
        <v/>
      </c>
      <c r="J1612" s="323" t="str">
        <f t="shared" si="325"/>
        <v/>
      </c>
      <c r="K1612" s="324" t="str">
        <f t="shared" si="326"/>
        <v/>
      </c>
      <c r="L1612" s="88"/>
      <c r="M1612" s="88"/>
      <c r="N1612" s="88"/>
      <c r="O1612" s="88"/>
      <c r="P1612" s="88"/>
      <c r="Q1612" s="88"/>
      <c r="R1612" s="88"/>
      <c r="S1612" s="620"/>
      <c r="T1612" s="92"/>
      <c r="U1612" s="1214"/>
      <c r="V1612" s="1215"/>
      <c r="W1612" s="168"/>
      <c r="X1612" s="170"/>
    </row>
    <row r="1613" spans="1:24" ht="12.75" customHeight="1">
      <c r="A1613" s="15"/>
      <c r="B1613" s="92" t="str">
        <f t="shared" si="323"/>
        <v/>
      </c>
      <c r="C1613" s="90"/>
      <c r="D1613" s="87"/>
      <c r="E1613" s="88"/>
      <c r="F1613" s="173"/>
      <c r="G1613" s="88"/>
      <c r="H1613" s="88"/>
      <c r="I1613" s="323" t="str">
        <f t="shared" si="324"/>
        <v/>
      </c>
      <c r="J1613" s="323" t="str">
        <f t="shared" si="325"/>
        <v/>
      </c>
      <c r="K1613" s="324" t="str">
        <f t="shared" si="326"/>
        <v/>
      </c>
      <c r="L1613" s="88"/>
      <c r="M1613" s="88"/>
      <c r="N1613" s="88"/>
      <c r="O1613" s="88"/>
      <c r="P1613" s="88"/>
      <c r="Q1613" s="88"/>
      <c r="R1613" s="88"/>
      <c r="S1613" s="620"/>
      <c r="T1613" s="92"/>
      <c r="U1613" s="1214"/>
      <c r="V1613" s="1215"/>
      <c r="W1613" s="168"/>
      <c r="X1613" s="170"/>
    </row>
    <row r="1614" spans="1:24" ht="12.75" customHeight="1">
      <c r="A1614" s="15"/>
      <c r="B1614" s="92" t="str">
        <f t="shared" si="323"/>
        <v/>
      </c>
      <c r="C1614" s="90"/>
      <c r="D1614" s="87"/>
      <c r="E1614" s="88"/>
      <c r="F1614" s="173"/>
      <c r="G1614" s="88"/>
      <c r="H1614" s="88"/>
      <c r="I1614" s="323" t="str">
        <f t="shared" si="324"/>
        <v/>
      </c>
      <c r="J1614" s="323" t="str">
        <f t="shared" si="325"/>
        <v/>
      </c>
      <c r="K1614" s="324" t="str">
        <f t="shared" si="326"/>
        <v/>
      </c>
      <c r="L1614" s="88"/>
      <c r="M1614" s="88"/>
      <c r="N1614" s="88"/>
      <c r="O1614" s="88"/>
      <c r="P1614" s="88"/>
      <c r="Q1614" s="88"/>
      <c r="R1614" s="88"/>
      <c r="S1614" s="620"/>
      <c r="T1614" s="92"/>
      <c r="U1614" s="1214"/>
      <c r="V1614" s="1215"/>
      <c r="W1614" s="168"/>
      <c r="X1614" s="170"/>
    </row>
    <row r="1615" spans="1:24" ht="12.75" customHeight="1">
      <c r="A1615" s="15"/>
      <c r="B1615" s="92" t="str">
        <f t="shared" si="323"/>
        <v/>
      </c>
      <c r="C1615" s="90"/>
      <c r="D1615" s="87"/>
      <c r="E1615" s="88"/>
      <c r="F1615" s="173"/>
      <c r="G1615" s="88"/>
      <c r="H1615" s="88"/>
      <c r="I1615" s="323" t="str">
        <f t="shared" si="324"/>
        <v/>
      </c>
      <c r="J1615" s="323" t="str">
        <f t="shared" si="325"/>
        <v/>
      </c>
      <c r="K1615" s="324" t="str">
        <f t="shared" si="326"/>
        <v/>
      </c>
      <c r="L1615" s="88"/>
      <c r="M1615" s="88"/>
      <c r="N1615" s="88"/>
      <c r="O1615" s="88"/>
      <c r="P1615" s="88"/>
      <c r="Q1615" s="88"/>
      <c r="R1615" s="88"/>
      <c r="S1615" s="620"/>
      <c r="T1615" s="92"/>
      <c r="U1615" s="1214"/>
      <c r="V1615" s="1215"/>
      <c r="W1615" s="168"/>
      <c r="X1615" s="170"/>
    </row>
    <row r="1616" spans="1:24" ht="12.75" customHeight="1">
      <c r="A1616" s="15"/>
      <c r="B1616" s="92" t="str">
        <f t="shared" si="323"/>
        <v/>
      </c>
      <c r="C1616" s="90"/>
      <c r="D1616" s="87"/>
      <c r="E1616" s="88"/>
      <c r="F1616" s="173"/>
      <c r="G1616" s="88"/>
      <c r="H1616" s="88"/>
      <c r="I1616" s="323" t="str">
        <f t="shared" si="324"/>
        <v/>
      </c>
      <c r="J1616" s="323" t="str">
        <f t="shared" si="325"/>
        <v/>
      </c>
      <c r="K1616" s="324" t="str">
        <f t="shared" si="326"/>
        <v/>
      </c>
      <c r="L1616" s="88"/>
      <c r="M1616" s="88"/>
      <c r="N1616" s="88"/>
      <c r="O1616" s="88"/>
      <c r="P1616" s="88"/>
      <c r="Q1616" s="88"/>
      <c r="R1616" s="88"/>
      <c r="S1616" s="620"/>
      <c r="T1616" s="92"/>
      <c r="U1616" s="1214"/>
      <c r="V1616" s="1215"/>
      <c r="W1616" s="168"/>
      <c r="X1616" s="170"/>
    </row>
    <row r="1617" spans="1:24" ht="12.75" customHeight="1">
      <c r="A1617" s="15"/>
      <c r="B1617" s="92" t="str">
        <f t="shared" si="323"/>
        <v/>
      </c>
      <c r="C1617" s="90"/>
      <c r="D1617" s="87"/>
      <c r="E1617" s="88"/>
      <c r="F1617" s="173"/>
      <c r="G1617" s="88"/>
      <c r="H1617" s="88"/>
      <c r="I1617" s="323" t="str">
        <f t="shared" si="324"/>
        <v/>
      </c>
      <c r="J1617" s="323" t="str">
        <f t="shared" si="325"/>
        <v/>
      </c>
      <c r="K1617" s="324" t="str">
        <f t="shared" si="326"/>
        <v/>
      </c>
      <c r="L1617" s="88"/>
      <c r="M1617" s="88"/>
      <c r="N1617" s="88"/>
      <c r="O1617" s="88"/>
      <c r="P1617" s="88"/>
      <c r="Q1617" s="88"/>
      <c r="R1617" s="88"/>
      <c r="S1617" s="620"/>
      <c r="T1617" s="92"/>
      <c r="U1617" s="1214"/>
      <c r="V1617" s="1215"/>
      <c r="W1617" s="168"/>
      <c r="X1617" s="170"/>
    </row>
    <row r="1618" spans="1:24" ht="12.75" customHeight="1">
      <c r="A1618" s="15"/>
      <c r="B1618" s="92" t="str">
        <f t="shared" si="323"/>
        <v/>
      </c>
      <c r="C1618" s="90"/>
      <c r="D1618" s="87"/>
      <c r="E1618" s="88"/>
      <c r="F1618" s="173"/>
      <c r="G1618" s="88"/>
      <c r="H1618" s="88"/>
      <c r="I1618" s="323" t="str">
        <f t="shared" si="324"/>
        <v/>
      </c>
      <c r="J1618" s="323" t="str">
        <f t="shared" si="325"/>
        <v/>
      </c>
      <c r="K1618" s="324" t="str">
        <f t="shared" si="326"/>
        <v/>
      </c>
      <c r="L1618" s="88"/>
      <c r="M1618" s="88"/>
      <c r="N1618" s="88"/>
      <c r="O1618" s="88"/>
      <c r="P1618" s="88"/>
      <c r="Q1618" s="88"/>
      <c r="R1618" s="88"/>
      <c r="S1618" s="620"/>
      <c r="T1618" s="92"/>
      <c r="U1618" s="1214"/>
      <c r="V1618" s="1215"/>
      <c r="W1618" s="168"/>
      <c r="X1618" s="170"/>
    </row>
    <row r="1619" spans="1:24" ht="12.75" customHeight="1">
      <c r="A1619" s="15"/>
      <c r="B1619" s="92" t="str">
        <f t="shared" si="323"/>
        <v/>
      </c>
      <c r="C1619" s="90"/>
      <c r="D1619" s="87"/>
      <c r="E1619" s="88"/>
      <c r="F1619" s="173"/>
      <c r="G1619" s="88"/>
      <c r="H1619" s="88"/>
      <c r="I1619" s="323" t="str">
        <f t="shared" si="324"/>
        <v/>
      </c>
      <c r="J1619" s="323" t="str">
        <f t="shared" si="325"/>
        <v/>
      </c>
      <c r="K1619" s="324" t="str">
        <f t="shared" si="326"/>
        <v/>
      </c>
      <c r="L1619" s="88"/>
      <c r="M1619" s="88"/>
      <c r="N1619" s="88"/>
      <c r="O1619" s="88"/>
      <c r="P1619" s="88"/>
      <c r="Q1619" s="88"/>
      <c r="R1619" s="88"/>
      <c r="S1619" s="620"/>
      <c r="T1619" s="92"/>
      <c r="U1619" s="1214"/>
      <c r="V1619" s="1215"/>
      <c r="W1619" s="168"/>
      <c r="X1619" s="170"/>
    </row>
    <row r="1620" spans="1:24" ht="12.75" customHeight="1">
      <c r="A1620" s="15"/>
      <c r="B1620" s="92" t="str">
        <f t="shared" si="323"/>
        <v/>
      </c>
      <c r="C1620" s="90"/>
      <c r="D1620" s="87"/>
      <c r="E1620" s="88"/>
      <c r="F1620" s="173"/>
      <c r="G1620" s="88"/>
      <c r="H1620" s="88"/>
      <c r="I1620" s="323" t="str">
        <f t="shared" si="324"/>
        <v/>
      </c>
      <c r="J1620" s="323" t="str">
        <f t="shared" si="325"/>
        <v/>
      </c>
      <c r="K1620" s="324" t="str">
        <f t="shared" si="326"/>
        <v/>
      </c>
      <c r="L1620" s="88"/>
      <c r="M1620" s="88"/>
      <c r="N1620" s="88"/>
      <c r="O1620" s="88"/>
      <c r="P1620" s="88"/>
      <c r="Q1620" s="88"/>
      <c r="R1620" s="88"/>
      <c r="S1620" s="620"/>
      <c r="T1620" s="92"/>
      <c r="U1620" s="1214"/>
      <c r="V1620" s="1215"/>
      <c r="W1620" s="168"/>
      <c r="X1620" s="170"/>
    </row>
    <row r="1621" spans="1:24" ht="12.75" customHeight="1">
      <c r="A1621" s="15"/>
      <c r="B1621" s="92" t="str">
        <f t="shared" si="323"/>
        <v/>
      </c>
      <c r="C1621" s="90"/>
      <c r="D1621" s="87"/>
      <c r="E1621" s="88"/>
      <c r="F1621" s="173"/>
      <c r="G1621" s="88"/>
      <c r="H1621" s="88"/>
      <c r="I1621" s="323" t="str">
        <f t="shared" si="324"/>
        <v/>
      </c>
      <c r="J1621" s="323" t="str">
        <f t="shared" si="325"/>
        <v/>
      </c>
      <c r="K1621" s="324" t="str">
        <f t="shared" si="326"/>
        <v/>
      </c>
      <c r="L1621" s="88"/>
      <c r="M1621" s="88"/>
      <c r="N1621" s="88"/>
      <c r="O1621" s="88"/>
      <c r="P1621" s="88"/>
      <c r="Q1621" s="88"/>
      <c r="R1621" s="88"/>
      <c r="S1621" s="620"/>
      <c r="T1621" s="92"/>
      <c r="U1621" s="1214"/>
      <c r="V1621" s="1215"/>
      <c r="W1621" s="168"/>
      <c r="X1621" s="170"/>
    </row>
    <row r="1622" spans="1:24" ht="12.75" customHeight="1">
      <c r="A1622" s="15"/>
      <c r="B1622" s="92" t="str">
        <f t="shared" si="323"/>
        <v/>
      </c>
      <c r="C1622" s="90"/>
      <c r="D1622" s="87"/>
      <c r="E1622" s="88"/>
      <c r="F1622" s="173"/>
      <c r="G1622" s="88"/>
      <c r="H1622" s="88"/>
      <c r="I1622" s="323" t="str">
        <f t="shared" si="324"/>
        <v/>
      </c>
      <c r="J1622" s="323" t="str">
        <f t="shared" si="325"/>
        <v/>
      </c>
      <c r="K1622" s="324" t="str">
        <f t="shared" si="326"/>
        <v/>
      </c>
      <c r="L1622" s="88"/>
      <c r="M1622" s="88"/>
      <c r="N1622" s="88"/>
      <c r="O1622" s="88"/>
      <c r="P1622" s="88"/>
      <c r="Q1622" s="88"/>
      <c r="R1622" s="88"/>
      <c r="S1622" s="620"/>
      <c r="T1622" s="92"/>
      <c r="U1622" s="1214"/>
      <c r="V1622" s="1215"/>
      <c r="W1622" s="168"/>
      <c r="X1622" s="170"/>
    </row>
    <row r="1623" spans="1:24" ht="12.75" customHeight="1">
      <c r="A1623" s="15"/>
      <c r="B1623" s="92" t="str">
        <f t="shared" si="323"/>
        <v/>
      </c>
      <c r="C1623" s="90"/>
      <c r="D1623" s="87"/>
      <c r="E1623" s="88"/>
      <c r="F1623" s="173"/>
      <c r="G1623" s="88"/>
      <c r="H1623" s="88"/>
      <c r="I1623" s="323" t="str">
        <f t="shared" si="324"/>
        <v/>
      </c>
      <c r="J1623" s="323" t="str">
        <f t="shared" si="325"/>
        <v/>
      </c>
      <c r="K1623" s="324" t="str">
        <f t="shared" si="326"/>
        <v/>
      </c>
      <c r="L1623" s="88"/>
      <c r="M1623" s="88"/>
      <c r="N1623" s="88"/>
      <c r="O1623" s="88"/>
      <c r="P1623" s="88"/>
      <c r="Q1623" s="88"/>
      <c r="R1623" s="88"/>
      <c r="S1623" s="620"/>
      <c r="T1623" s="92"/>
      <c r="U1623" s="1214"/>
      <c r="V1623" s="1215"/>
      <c r="W1623" s="168"/>
      <c r="X1623" s="170"/>
    </row>
    <row r="1624" spans="1:24" ht="12.75" customHeight="1">
      <c r="A1624" s="15"/>
      <c r="B1624" s="92" t="str">
        <f t="shared" si="323"/>
        <v/>
      </c>
      <c r="C1624" s="90"/>
      <c r="D1624" s="87"/>
      <c r="E1624" s="88"/>
      <c r="F1624" s="173"/>
      <c r="G1624" s="88"/>
      <c r="H1624" s="88"/>
      <c r="I1624" s="323" t="str">
        <f t="shared" si="324"/>
        <v/>
      </c>
      <c r="J1624" s="323" t="str">
        <f t="shared" si="325"/>
        <v/>
      </c>
      <c r="K1624" s="324" t="str">
        <f t="shared" si="326"/>
        <v/>
      </c>
      <c r="L1624" s="88"/>
      <c r="M1624" s="88"/>
      <c r="N1624" s="88"/>
      <c r="O1624" s="88"/>
      <c r="P1624" s="88"/>
      <c r="Q1624" s="88"/>
      <c r="R1624" s="88"/>
      <c r="S1624" s="620"/>
      <c r="T1624" s="92"/>
      <c r="U1624" s="1214"/>
      <c r="V1624" s="1215"/>
      <c r="W1624" s="168"/>
      <c r="X1624" s="170"/>
    </row>
    <row r="1625" spans="1:24" ht="12.75" customHeight="1">
      <c r="A1625" s="15"/>
      <c r="B1625" s="92" t="str">
        <f t="shared" si="323"/>
        <v/>
      </c>
      <c r="C1625" s="90"/>
      <c r="D1625" s="87"/>
      <c r="E1625" s="88"/>
      <c r="F1625" s="173"/>
      <c r="G1625" s="88"/>
      <c r="H1625" s="88"/>
      <c r="I1625" s="323" t="str">
        <f t="shared" si="324"/>
        <v/>
      </c>
      <c r="J1625" s="323" t="str">
        <f t="shared" si="325"/>
        <v/>
      </c>
      <c r="K1625" s="324" t="str">
        <f t="shared" si="326"/>
        <v/>
      </c>
      <c r="L1625" s="88"/>
      <c r="M1625" s="88"/>
      <c r="N1625" s="88"/>
      <c r="O1625" s="88"/>
      <c r="P1625" s="88"/>
      <c r="Q1625" s="88"/>
      <c r="R1625" s="88"/>
      <c r="S1625" s="620"/>
      <c r="T1625" s="92"/>
      <c r="U1625" s="1214"/>
      <c r="V1625" s="1215"/>
      <c r="W1625" s="168"/>
      <c r="X1625" s="170"/>
    </row>
    <row r="1626" spans="1:24" ht="12.75" customHeight="1">
      <c r="A1626" s="15"/>
      <c r="B1626" s="92" t="str">
        <f t="shared" si="323"/>
        <v/>
      </c>
      <c r="C1626" s="90"/>
      <c r="D1626" s="87"/>
      <c r="E1626" s="88"/>
      <c r="F1626" s="173"/>
      <c r="G1626" s="88"/>
      <c r="H1626" s="88"/>
      <c r="I1626" s="323" t="str">
        <f t="shared" si="324"/>
        <v/>
      </c>
      <c r="J1626" s="323" t="str">
        <f t="shared" si="325"/>
        <v/>
      </c>
      <c r="K1626" s="324" t="str">
        <f t="shared" si="326"/>
        <v/>
      </c>
      <c r="L1626" s="88"/>
      <c r="M1626" s="88"/>
      <c r="N1626" s="88"/>
      <c r="O1626" s="88"/>
      <c r="P1626" s="88"/>
      <c r="Q1626" s="88"/>
      <c r="R1626" s="88"/>
      <c r="S1626" s="620"/>
      <c r="T1626" s="92"/>
      <c r="U1626" s="1214"/>
      <c r="V1626" s="1215"/>
      <c r="W1626" s="168"/>
      <c r="X1626" s="170"/>
    </row>
    <row r="1627" spans="1:24" ht="12.75" customHeight="1">
      <c r="A1627" s="15"/>
      <c r="B1627" s="92" t="str">
        <f t="shared" si="323"/>
        <v/>
      </c>
      <c r="C1627" s="90"/>
      <c r="D1627" s="87"/>
      <c r="E1627" s="88"/>
      <c r="F1627" s="173"/>
      <c r="G1627" s="88"/>
      <c r="H1627" s="88"/>
      <c r="I1627" s="323" t="str">
        <f t="shared" si="324"/>
        <v/>
      </c>
      <c r="J1627" s="323" t="str">
        <f t="shared" si="325"/>
        <v/>
      </c>
      <c r="K1627" s="324" t="str">
        <f t="shared" si="326"/>
        <v/>
      </c>
      <c r="L1627" s="88"/>
      <c r="M1627" s="88"/>
      <c r="N1627" s="88"/>
      <c r="O1627" s="88"/>
      <c r="P1627" s="88"/>
      <c r="Q1627" s="88"/>
      <c r="R1627" s="88"/>
      <c r="S1627" s="620"/>
      <c r="T1627" s="92"/>
      <c r="U1627" s="1214"/>
      <c r="V1627" s="1215"/>
      <c r="W1627" s="168"/>
      <c r="X1627" s="170"/>
    </row>
    <row r="1628" spans="1:24" ht="12.75" customHeight="1">
      <c r="A1628" s="15"/>
      <c r="B1628" s="92" t="str">
        <f t="shared" si="323"/>
        <v/>
      </c>
      <c r="C1628" s="90"/>
      <c r="D1628" s="87"/>
      <c r="E1628" s="88"/>
      <c r="F1628" s="173"/>
      <c r="G1628" s="88"/>
      <c r="H1628" s="88"/>
      <c r="I1628" s="323" t="str">
        <f t="shared" si="324"/>
        <v/>
      </c>
      <c r="J1628" s="323" t="str">
        <f t="shared" si="325"/>
        <v/>
      </c>
      <c r="K1628" s="324" t="str">
        <f t="shared" si="326"/>
        <v/>
      </c>
      <c r="L1628" s="88"/>
      <c r="M1628" s="88"/>
      <c r="N1628" s="88"/>
      <c r="O1628" s="88"/>
      <c r="P1628" s="88"/>
      <c r="Q1628" s="88"/>
      <c r="R1628" s="88"/>
      <c r="S1628" s="620"/>
      <c r="T1628" s="92"/>
      <c r="U1628" s="1214"/>
      <c r="V1628" s="1215"/>
      <c r="W1628" s="168"/>
      <c r="X1628" s="170"/>
    </row>
    <row r="1629" spans="1:24" ht="12.75" customHeight="1">
      <c r="A1629" s="15"/>
      <c r="B1629" s="92" t="str">
        <f t="shared" si="323"/>
        <v/>
      </c>
      <c r="C1629" s="90"/>
      <c r="D1629" s="87"/>
      <c r="E1629" s="88"/>
      <c r="F1629" s="173"/>
      <c r="G1629" s="88"/>
      <c r="H1629" s="88"/>
      <c r="I1629" s="323" t="str">
        <f t="shared" si="324"/>
        <v/>
      </c>
      <c r="J1629" s="323" t="str">
        <f t="shared" si="325"/>
        <v/>
      </c>
      <c r="K1629" s="324" t="str">
        <f t="shared" si="326"/>
        <v/>
      </c>
      <c r="L1629" s="88"/>
      <c r="M1629" s="88"/>
      <c r="N1629" s="88"/>
      <c r="O1629" s="88"/>
      <c r="P1629" s="88"/>
      <c r="Q1629" s="88"/>
      <c r="R1629" s="88"/>
      <c r="S1629" s="620"/>
      <c r="T1629" s="92"/>
      <c r="U1629" s="1214"/>
      <c r="V1629" s="1215"/>
      <c r="W1629" s="168"/>
      <c r="X1629" s="170"/>
    </row>
    <row r="1630" spans="1:24" ht="12.75" customHeight="1">
      <c r="A1630" s="15"/>
      <c r="B1630" s="92" t="str">
        <f t="shared" si="323"/>
        <v/>
      </c>
      <c r="C1630" s="90"/>
      <c r="D1630" s="87"/>
      <c r="E1630" s="88"/>
      <c r="F1630" s="173"/>
      <c r="G1630" s="88"/>
      <c r="H1630" s="88"/>
      <c r="I1630" s="323" t="str">
        <f t="shared" si="324"/>
        <v/>
      </c>
      <c r="J1630" s="323" t="str">
        <f t="shared" si="325"/>
        <v/>
      </c>
      <c r="K1630" s="324" t="str">
        <f t="shared" si="326"/>
        <v/>
      </c>
      <c r="L1630" s="88"/>
      <c r="M1630" s="88"/>
      <c r="N1630" s="88"/>
      <c r="O1630" s="88"/>
      <c r="P1630" s="88"/>
      <c r="Q1630" s="88"/>
      <c r="R1630" s="88"/>
      <c r="S1630" s="620"/>
      <c r="T1630" s="92"/>
      <c r="U1630" s="1214"/>
      <c r="V1630" s="1215"/>
      <c r="W1630" s="168"/>
      <c r="X1630" s="170"/>
    </row>
    <row r="1631" spans="1:24" ht="12.75" customHeight="1">
      <c r="A1631" s="15"/>
      <c r="B1631" s="92" t="str">
        <f t="shared" si="323"/>
        <v/>
      </c>
      <c r="C1631" s="90"/>
      <c r="D1631" s="87"/>
      <c r="E1631" s="88"/>
      <c r="F1631" s="173"/>
      <c r="G1631" s="88"/>
      <c r="H1631" s="88"/>
      <c r="I1631" s="323" t="str">
        <f t="shared" si="324"/>
        <v/>
      </c>
      <c r="J1631" s="323" t="str">
        <f t="shared" si="325"/>
        <v/>
      </c>
      <c r="K1631" s="324" t="str">
        <f t="shared" si="326"/>
        <v/>
      </c>
      <c r="L1631" s="88"/>
      <c r="M1631" s="88"/>
      <c r="N1631" s="88"/>
      <c r="O1631" s="88"/>
      <c r="P1631" s="88"/>
      <c r="Q1631" s="88"/>
      <c r="R1631" s="88"/>
      <c r="S1631" s="620"/>
      <c r="T1631" s="92"/>
      <c r="U1631" s="1214"/>
      <c r="V1631" s="1215"/>
      <c r="W1631" s="168"/>
      <c r="X1631" s="170"/>
    </row>
    <row r="1632" spans="1:24" ht="12.75" customHeight="1">
      <c r="A1632" s="15"/>
      <c r="B1632" s="92" t="str">
        <f t="shared" si="323"/>
        <v/>
      </c>
      <c r="C1632" s="90"/>
      <c r="D1632" s="87"/>
      <c r="E1632" s="88"/>
      <c r="F1632" s="173"/>
      <c r="G1632" s="88"/>
      <c r="H1632" s="88"/>
      <c r="I1632" s="323" t="str">
        <f t="shared" si="324"/>
        <v/>
      </c>
      <c r="J1632" s="323" t="str">
        <f t="shared" si="325"/>
        <v/>
      </c>
      <c r="K1632" s="324" t="str">
        <f t="shared" si="326"/>
        <v/>
      </c>
      <c r="L1632" s="88"/>
      <c r="M1632" s="88"/>
      <c r="N1632" s="88"/>
      <c r="O1632" s="88"/>
      <c r="P1632" s="88"/>
      <c r="Q1632" s="88"/>
      <c r="R1632" s="88"/>
      <c r="S1632" s="620"/>
      <c r="T1632" s="92"/>
      <c r="U1632" s="1214"/>
      <c r="V1632" s="1215"/>
      <c r="W1632" s="168"/>
      <c r="X1632" s="170"/>
    </row>
    <row r="1633" spans="1:24" ht="12.75" customHeight="1">
      <c r="A1633" s="15"/>
      <c r="B1633" s="92" t="str">
        <f t="shared" si="323"/>
        <v/>
      </c>
      <c r="C1633" s="90"/>
      <c r="D1633" s="87"/>
      <c r="E1633" s="88"/>
      <c r="F1633" s="173"/>
      <c r="G1633" s="88"/>
      <c r="H1633" s="88"/>
      <c r="I1633" s="323" t="str">
        <f t="shared" si="324"/>
        <v/>
      </c>
      <c r="J1633" s="323" t="str">
        <f t="shared" si="325"/>
        <v/>
      </c>
      <c r="K1633" s="324" t="str">
        <f t="shared" si="326"/>
        <v/>
      </c>
      <c r="L1633" s="88"/>
      <c r="M1633" s="88"/>
      <c r="N1633" s="88"/>
      <c r="O1633" s="88"/>
      <c r="P1633" s="88"/>
      <c r="Q1633" s="88"/>
      <c r="R1633" s="88"/>
      <c r="S1633" s="620"/>
      <c r="T1633" s="92"/>
      <c r="U1633" s="1214"/>
      <c r="V1633" s="1215"/>
      <c r="W1633" s="168"/>
      <c r="X1633" s="170"/>
    </row>
    <row r="1634" spans="1:24" ht="12.75" customHeight="1">
      <c r="A1634" s="15"/>
      <c r="B1634" s="92" t="str">
        <f t="shared" si="323"/>
        <v/>
      </c>
      <c r="C1634" s="90"/>
      <c r="D1634" s="87"/>
      <c r="E1634" s="88"/>
      <c r="F1634" s="173"/>
      <c r="G1634" s="88"/>
      <c r="H1634" s="88"/>
      <c r="I1634" s="323" t="str">
        <f t="shared" si="324"/>
        <v/>
      </c>
      <c r="J1634" s="323" t="str">
        <f t="shared" si="325"/>
        <v/>
      </c>
      <c r="K1634" s="324" t="str">
        <f t="shared" si="326"/>
        <v/>
      </c>
      <c r="L1634" s="88"/>
      <c r="M1634" s="88"/>
      <c r="N1634" s="88"/>
      <c r="O1634" s="88"/>
      <c r="P1634" s="88"/>
      <c r="Q1634" s="88"/>
      <c r="R1634" s="88"/>
      <c r="S1634" s="620"/>
      <c r="T1634" s="92"/>
      <c r="U1634" s="1214"/>
      <c r="V1634" s="1215"/>
      <c r="W1634" s="168"/>
      <c r="X1634" s="170"/>
    </row>
    <row r="1635" spans="1:24" ht="12.75" customHeight="1">
      <c r="A1635" s="15"/>
      <c r="B1635" s="92" t="str">
        <f t="shared" si="323"/>
        <v/>
      </c>
      <c r="C1635" s="90"/>
      <c r="D1635" s="87"/>
      <c r="E1635" s="88"/>
      <c r="F1635" s="173"/>
      <c r="G1635" s="88"/>
      <c r="H1635" s="88"/>
      <c r="I1635" s="323" t="str">
        <f t="shared" si="324"/>
        <v/>
      </c>
      <c r="J1635" s="323" t="str">
        <f t="shared" si="325"/>
        <v/>
      </c>
      <c r="K1635" s="324" t="str">
        <f t="shared" si="326"/>
        <v/>
      </c>
      <c r="L1635" s="88"/>
      <c r="M1635" s="88"/>
      <c r="N1635" s="88"/>
      <c r="O1635" s="88"/>
      <c r="P1635" s="88"/>
      <c r="Q1635" s="88"/>
      <c r="R1635" s="88"/>
      <c r="S1635" s="620"/>
      <c r="T1635" s="92"/>
      <c r="U1635" s="1214"/>
      <c r="V1635" s="1215"/>
      <c r="W1635" s="168"/>
      <c r="X1635" s="170"/>
    </row>
    <row r="1636" spans="1:24" ht="12.75" customHeight="1">
      <c r="A1636" s="15"/>
      <c r="B1636" s="92" t="str">
        <f t="shared" si="323"/>
        <v/>
      </c>
      <c r="C1636" s="90"/>
      <c r="D1636" s="87"/>
      <c r="E1636" s="88"/>
      <c r="F1636" s="173"/>
      <c r="G1636" s="88"/>
      <c r="H1636" s="88"/>
      <c r="I1636" s="323" t="str">
        <f t="shared" si="324"/>
        <v/>
      </c>
      <c r="J1636" s="323" t="str">
        <f t="shared" si="325"/>
        <v/>
      </c>
      <c r="K1636" s="324" t="str">
        <f t="shared" si="326"/>
        <v/>
      </c>
      <c r="L1636" s="88"/>
      <c r="M1636" s="88"/>
      <c r="N1636" s="88"/>
      <c r="O1636" s="88"/>
      <c r="P1636" s="88"/>
      <c r="Q1636" s="88"/>
      <c r="R1636" s="88"/>
      <c r="S1636" s="620"/>
      <c r="T1636" s="92"/>
      <c r="U1636" s="1214"/>
      <c r="V1636" s="1215"/>
      <c r="W1636" s="168"/>
      <c r="X1636" s="170"/>
    </row>
    <row r="1637" spans="1:24" ht="12.75" customHeight="1">
      <c r="A1637" s="15"/>
      <c r="B1637" s="92" t="str">
        <f t="shared" si="323"/>
        <v/>
      </c>
      <c r="C1637" s="90"/>
      <c r="D1637" s="87"/>
      <c r="E1637" s="88"/>
      <c r="F1637" s="173"/>
      <c r="G1637" s="88"/>
      <c r="H1637" s="88"/>
      <c r="I1637" s="323" t="str">
        <f t="shared" si="324"/>
        <v/>
      </c>
      <c r="J1637" s="323" t="str">
        <f t="shared" si="325"/>
        <v/>
      </c>
      <c r="K1637" s="324" t="str">
        <f t="shared" si="326"/>
        <v/>
      </c>
      <c r="L1637" s="88"/>
      <c r="M1637" s="88"/>
      <c r="N1637" s="88"/>
      <c r="O1637" s="88"/>
      <c r="P1637" s="88"/>
      <c r="Q1637" s="88"/>
      <c r="R1637" s="88"/>
      <c r="S1637" s="620"/>
      <c r="T1637" s="92"/>
      <c r="U1637" s="1214"/>
      <c r="V1637" s="1215"/>
      <c r="W1637" s="168"/>
      <c r="X1637" s="170"/>
    </row>
    <row r="1638" spans="1:24" ht="12.75" customHeight="1">
      <c r="A1638" s="15"/>
      <c r="B1638" s="92" t="str">
        <f t="shared" si="323"/>
        <v/>
      </c>
      <c r="C1638" s="90"/>
      <c r="D1638" s="87"/>
      <c r="E1638" s="88"/>
      <c r="F1638" s="173"/>
      <c r="G1638" s="88"/>
      <c r="H1638" s="88"/>
      <c r="I1638" s="323" t="str">
        <f t="shared" si="324"/>
        <v/>
      </c>
      <c r="J1638" s="323" t="str">
        <f t="shared" si="325"/>
        <v/>
      </c>
      <c r="K1638" s="324" t="str">
        <f t="shared" si="326"/>
        <v/>
      </c>
      <c r="L1638" s="88"/>
      <c r="M1638" s="88"/>
      <c r="N1638" s="88"/>
      <c r="O1638" s="88"/>
      <c r="P1638" s="88"/>
      <c r="Q1638" s="88"/>
      <c r="R1638" s="88"/>
      <c r="S1638" s="620"/>
      <c r="T1638" s="92"/>
      <c r="U1638" s="1214"/>
      <c r="V1638" s="1215"/>
      <c r="W1638" s="168"/>
      <c r="X1638" s="170"/>
    </row>
    <row r="1639" spans="1:24" ht="12.75" customHeight="1">
      <c r="A1639" s="15"/>
      <c r="B1639" s="92" t="str">
        <f t="shared" si="323"/>
        <v/>
      </c>
      <c r="C1639" s="90"/>
      <c r="D1639" s="87"/>
      <c r="E1639" s="88"/>
      <c r="F1639" s="173"/>
      <c r="G1639" s="88"/>
      <c r="H1639" s="88"/>
      <c r="I1639" s="323" t="str">
        <f t="shared" si="324"/>
        <v/>
      </c>
      <c r="J1639" s="323" t="str">
        <f t="shared" si="325"/>
        <v/>
      </c>
      <c r="K1639" s="324" t="str">
        <f t="shared" si="326"/>
        <v/>
      </c>
      <c r="L1639" s="88"/>
      <c r="M1639" s="88"/>
      <c r="N1639" s="88"/>
      <c r="O1639" s="88"/>
      <c r="P1639" s="88"/>
      <c r="Q1639" s="88"/>
      <c r="R1639" s="88"/>
      <c r="S1639" s="620"/>
      <c r="T1639" s="92"/>
      <c r="U1639" s="1214"/>
      <c r="V1639" s="1215"/>
      <c r="W1639" s="168"/>
      <c r="X1639" s="170"/>
    </row>
    <row r="1640" spans="1:24" ht="12.75" customHeight="1">
      <c r="A1640" s="15"/>
      <c r="B1640" s="92" t="str">
        <f t="shared" si="323"/>
        <v/>
      </c>
      <c r="C1640" s="90"/>
      <c r="D1640" s="87"/>
      <c r="E1640" s="88"/>
      <c r="F1640" s="173"/>
      <c r="G1640" s="88"/>
      <c r="H1640" s="88"/>
      <c r="I1640" s="323" t="str">
        <f t="shared" si="324"/>
        <v/>
      </c>
      <c r="J1640" s="323" t="str">
        <f t="shared" si="325"/>
        <v/>
      </c>
      <c r="K1640" s="324" t="str">
        <f t="shared" si="326"/>
        <v/>
      </c>
      <c r="L1640" s="88"/>
      <c r="M1640" s="88"/>
      <c r="N1640" s="88"/>
      <c r="O1640" s="88"/>
      <c r="P1640" s="88"/>
      <c r="Q1640" s="88"/>
      <c r="R1640" s="88"/>
      <c r="S1640" s="620"/>
      <c r="T1640" s="92"/>
      <c r="U1640" s="1214"/>
      <c r="V1640" s="1215"/>
      <c r="W1640" s="168"/>
      <c r="X1640" s="170"/>
    </row>
    <row r="1641" spans="1:24" ht="12.75" customHeight="1">
      <c r="A1641" s="15"/>
      <c r="B1641" s="92" t="str">
        <f t="shared" si="323"/>
        <v/>
      </c>
      <c r="C1641" s="90"/>
      <c r="D1641" s="87"/>
      <c r="E1641" s="88"/>
      <c r="F1641" s="173"/>
      <c r="G1641" s="88"/>
      <c r="H1641" s="88"/>
      <c r="I1641" s="323" t="str">
        <f t="shared" si="324"/>
        <v/>
      </c>
      <c r="J1641" s="323" t="str">
        <f t="shared" si="325"/>
        <v/>
      </c>
      <c r="K1641" s="324" t="str">
        <f t="shared" si="326"/>
        <v/>
      </c>
      <c r="L1641" s="88"/>
      <c r="M1641" s="88"/>
      <c r="N1641" s="88"/>
      <c r="O1641" s="88"/>
      <c r="P1641" s="88"/>
      <c r="Q1641" s="88"/>
      <c r="R1641" s="88"/>
      <c r="S1641" s="620"/>
      <c r="T1641" s="92"/>
      <c r="U1641" s="1214"/>
      <c r="V1641" s="1215"/>
      <c r="W1641" s="168"/>
      <c r="X1641" s="170"/>
    </row>
    <row r="1642" spans="1:24" ht="12.75" customHeight="1">
      <c r="A1642" s="15"/>
      <c r="B1642" s="92" t="str">
        <f t="shared" si="323"/>
        <v/>
      </c>
      <c r="C1642" s="90"/>
      <c r="D1642" s="87"/>
      <c r="E1642" s="88"/>
      <c r="F1642" s="173"/>
      <c r="G1642" s="88"/>
      <c r="H1642" s="88"/>
      <c r="I1642" s="323" t="str">
        <f t="shared" si="324"/>
        <v/>
      </c>
      <c r="J1642" s="323" t="str">
        <f t="shared" si="325"/>
        <v/>
      </c>
      <c r="K1642" s="324" t="str">
        <f t="shared" si="326"/>
        <v/>
      </c>
      <c r="L1642" s="88"/>
      <c r="M1642" s="88"/>
      <c r="N1642" s="88"/>
      <c r="O1642" s="88"/>
      <c r="P1642" s="88"/>
      <c r="Q1642" s="88"/>
      <c r="R1642" s="88"/>
      <c r="S1642" s="620"/>
      <c r="T1642" s="92"/>
      <c r="U1642" s="1214"/>
      <c r="V1642" s="1215"/>
      <c r="W1642" s="168"/>
      <c r="X1642" s="170"/>
    </row>
    <row r="1643" spans="1:24" ht="12.75" customHeight="1">
      <c r="A1643" s="15"/>
      <c r="B1643" s="92" t="str">
        <f t="shared" si="323"/>
        <v/>
      </c>
      <c r="C1643" s="90"/>
      <c r="D1643" s="87"/>
      <c r="E1643" s="88"/>
      <c r="F1643" s="173"/>
      <c r="G1643" s="88"/>
      <c r="H1643" s="88"/>
      <c r="I1643" s="323" t="str">
        <f t="shared" si="324"/>
        <v/>
      </c>
      <c r="J1643" s="323" t="str">
        <f t="shared" si="325"/>
        <v/>
      </c>
      <c r="K1643" s="324" t="str">
        <f t="shared" si="326"/>
        <v/>
      </c>
      <c r="L1643" s="88"/>
      <c r="M1643" s="88"/>
      <c r="N1643" s="88"/>
      <c r="O1643" s="88"/>
      <c r="P1643" s="88"/>
      <c r="Q1643" s="88"/>
      <c r="R1643" s="88"/>
      <c r="S1643" s="620"/>
      <c r="T1643" s="92"/>
      <c r="U1643" s="1214"/>
      <c r="V1643" s="1215"/>
      <c r="W1643" s="168"/>
      <c r="X1643" s="170"/>
    </row>
    <row r="1644" spans="1:24" ht="12.75" customHeight="1">
      <c r="A1644" s="15"/>
      <c r="B1644" s="92" t="str">
        <f t="shared" si="323"/>
        <v/>
      </c>
      <c r="C1644" s="90"/>
      <c r="D1644" s="87"/>
      <c r="E1644" s="88"/>
      <c r="F1644" s="173"/>
      <c r="G1644" s="88"/>
      <c r="H1644" s="88"/>
      <c r="I1644" s="323" t="str">
        <f t="shared" si="324"/>
        <v/>
      </c>
      <c r="J1644" s="323" t="str">
        <f t="shared" si="325"/>
        <v/>
      </c>
      <c r="K1644" s="324" t="str">
        <f t="shared" si="326"/>
        <v/>
      </c>
      <c r="L1644" s="88"/>
      <c r="M1644" s="88"/>
      <c r="N1644" s="88"/>
      <c r="O1644" s="88"/>
      <c r="P1644" s="88"/>
      <c r="Q1644" s="88"/>
      <c r="R1644" s="88"/>
      <c r="S1644" s="620"/>
      <c r="T1644" s="92"/>
      <c r="U1644" s="1214"/>
      <c r="V1644" s="1215"/>
      <c r="W1644" s="168"/>
      <c r="X1644" s="170"/>
    </row>
    <row r="1645" spans="1:24" ht="12.75" customHeight="1">
      <c r="A1645" s="15"/>
      <c r="B1645" s="92" t="str">
        <f t="shared" si="323"/>
        <v/>
      </c>
      <c r="C1645" s="90"/>
      <c r="D1645" s="87"/>
      <c r="E1645" s="88"/>
      <c r="F1645" s="173"/>
      <c r="G1645" s="88"/>
      <c r="H1645" s="88"/>
      <c r="I1645" s="323" t="str">
        <f t="shared" si="324"/>
        <v/>
      </c>
      <c r="J1645" s="323" t="str">
        <f t="shared" si="325"/>
        <v/>
      </c>
      <c r="K1645" s="324" t="str">
        <f t="shared" si="326"/>
        <v/>
      </c>
      <c r="L1645" s="88"/>
      <c r="M1645" s="88"/>
      <c r="N1645" s="88"/>
      <c r="O1645" s="88"/>
      <c r="P1645" s="88"/>
      <c r="Q1645" s="88"/>
      <c r="R1645" s="88"/>
      <c r="S1645" s="620"/>
      <c r="T1645" s="92"/>
      <c r="U1645" s="1214"/>
      <c r="V1645" s="1215"/>
      <c r="W1645" s="168"/>
      <c r="X1645" s="170"/>
    </row>
    <row r="1646" spans="1:24" ht="12.75" customHeight="1">
      <c r="A1646" s="15"/>
      <c r="B1646" s="92" t="str">
        <f t="shared" si="323"/>
        <v/>
      </c>
      <c r="C1646" s="90"/>
      <c r="D1646" s="87"/>
      <c r="E1646" s="88"/>
      <c r="F1646" s="173"/>
      <c r="G1646" s="88"/>
      <c r="H1646" s="88"/>
      <c r="I1646" s="323" t="str">
        <f t="shared" si="324"/>
        <v/>
      </c>
      <c r="J1646" s="323" t="str">
        <f t="shared" si="325"/>
        <v/>
      </c>
      <c r="K1646" s="324" t="str">
        <f t="shared" si="326"/>
        <v/>
      </c>
      <c r="L1646" s="88"/>
      <c r="M1646" s="88"/>
      <c r="N1646" s="88"/>
      <c r="O1646" s="88"/>
      <c r="P1646" s="88"/>
      <c r="Q1646" s="88"/>
      <c r="R1646" s="88"/>
      <c r="S1646" s="620"/>
      <c r="T1646" s="92"/>
      <c r="U1646" s="1214"/>
      <c r="V1646" s="1215"/>
      <c r="W1646" s="168"/>
      <c r="X1646" s="170"/>
    </row>
    <row r="1647" spans="1:24" ht="12.75" customHeight="1">
      <c r="A1647" s="15"/>
      <c r="B1647" s="92" t="str">
        <f t="shared" ref="B1647:B1710" si="327">IF(C1647="","",ROW()-5)</f>
        <v/>
      </c>
      <c r="C1647" s="90"/>
      <c r="D1647" s="87"/>
      <c r="E1647" s="88"/>
      <c r="F1647" s="173"/>
      <c r="G1647" s="88"/>
      <c r="H1647" s="88"/>
      <c r="I1647" s="323" t="str">
        <f t="shared" si="324"/>
        <v/>
      </c>
      <c r="J1647" s="323" t="str">
        <f t="shared" si="325"/>
        <v/>
      </c>
      <c r="K1647" s="324" t="str">
        <f t="shared" si="326"/>
        <v/>
      </c>
      <c r="L1647" s="88"/>
      <c r="M1647" s="88"/>
      <c r="N1647" s="88"/>
      <c r="O1647" s="88"/>
      <c r="P1647" s="88"/>
      <c r="Q1647" s="88"/>
      <c r="R1647" s="88"/>
      <c r="S1647" s="620"/>
      <c r="T1647" s="92"/>
      <c r="U1647" s="1214"/>
      <c r="V1647" s="1215"/>
      <c r="W1647" s="168"/>
      <c r="X1647" s="170"/>
    </row>
    <row r="1648" spans="1:24" ht="12.75" customHeight="1">
      <c r="A1648" s="15"/>
      <c r="B1648" s="92" t="str">
        <f t="shared" si="327"/>
        <v/>
      </c>
      <c r="C1648" s="90"/>
      <c r="D1648" s="87"/>
      <c r="E1648" s="88"/>
      <c r="F1648" s="173"/>
      <c r="G1648" s="88"/>
      <c r="H1648" s="88"/>
      <c r="I1648" s="323" t="str">
        <f t="shared" si="324"/>
        <v/>
      </c>
      <c r="J1648" s="323" t="str">
        <f t="shared" si="325"/>
        <v/>
      </c>
      <c r="K1648" s="324" t="str">
        <f t="shared" si="326"/>
        <v/>
      </c>
      <c r="L1648" s="88"/>
      <c r="M1648" s="88"/>
      <c r="N1648" s="88"/>
      <c r="O1648" s="88"/>
      <c r="P1648" s="88"/>
      <c r="Q1648" s="88"/>
      <c r="R1648" s="88"/>
      <c r="S1648" s="620"/>
      <c r="T1648" s="92"/>
      <c r="U1648" s="1214"/>
      <c r="V1648" s="1215"/>
      <c r="W1648" s="168"/>
      <c r="X1648" s="170"/>
    </row>
    <row r="1649" spans="1:24" ht="12.75" customHeight="1">
      <c r="A1649" s="15"/>
      <c r="B1649" s="92" t="str">
        <f t="shared" si="327"/>
        <v/>
      </c>
      <c r="C1649" s="90"/>
      <c r="D1649" s="87"/>
      <c r="E1649" s="88"/>
      <c r="F1649" s="173"/>
      <c r="G1649" s="88"/>
      <c r="H1649" s="88"/>
      <c r="I1649" s="323" t="str">
        <f t="shared" si="324"/>
        <v/>
      </c>
      <c r="J1649" s="323" t="str">
        <f t="shared" si="325"/>
        <v/>
      </c>
      <c r="K1649" s="324" t="str">
        <f t="shared" si="326"/>
        <v/>
      </c>
      <c r="L1649" s="88"/>
      <c r="M1649" s="88"/>
      <c r="N1649" s="88"/>
      <c r="O1649" s="88"/>
      <c r="P1649" s="88"/>
      <c r="Q1649" s="88"/>
      <c r="R1649" s="88"/>
      <c r="S1649" s="620"/>
      <c r="T1649" s="92"/>
      <c r="U1649" s="1214"/>
      <c r="V1649" s="1215"/>
      <c r="W1649" s="168"/>
      <c r="X1649" s="170"/>
    </row>
    <row r="1650" spans="1:24" ht="12.75" customHeight="1">
      <c r="A1650" s="15"/>
      <c r="B1650" s="92" t="str">
        <f t="shared" si="327"/>
        <v/>
      </c>
      <c r="C1650" s="90"/>
      <c r="D1650" s="87"/>
      <c r="E1650" s="88"/>
      <c r="F1650" s="173"/>
      <c r="G1650" s="88"/>
      <c r="H1650" s="88"/>
      <c r="I1650" s="323" t="str">
        <f t="shared" si="324"/>
        <v/>
      </c>
      <c r="J1650" s="323" t="str">
        <f t="shared" si="325"/>
        <v/>
      </c>
      <c r="K1650" s="324" t="str">
        <f t="shared" si="326"/>
        <v/>
      </c>
      <c r="L1650" s="88"/>
      <c r="M1650" s="88"/>
      <c r="N1650" s="88"/>
      <c r="O1650" s="88"/>
      <c r="P1650" s="88"/>
      <c r="Q1650" s="88"/>
      <c r="R1650" s="88"/>
      <c r="S1650" s="620"/>
      <c r="T1650" s="92"/>
      <c r="U1650" s="1214"/>
      <c r="V1650" s="1215"/>
      <c r="W1650" s="168"/>
      <c r="X1650" s="170"/>
    </row>
    <row r="1651" spans="1:24" ht="12.75" customHeight="1">
      <c r="A1651" s="15"/>
      <c r="B1651" s="92" t="str">
        <f t="shared" si="327"/>
        <v/>
      </c>
      <c r="C1651" s="90"/>
      <c r="D1651" s="87"/>
      <c r="E1651" s="88"/>
      <c r="F1651" s="173"/>
      <c r="G1651" s="88"/>
      <c r="H1651" s="88"/>
      <c r="I1651" s="323" t="str">
        <f t="shared" si="324"/>
        <v/>
      </c>
      <c r="J1651" s="323" t="str">
        <f t="shared" si="325"/>
        <v/>
      </c>
      <c r="K1651" s="324" t="str">
        <f t="shared" si="326"/>
        <v/>
      </c>
      <c r="L1651" s="88"/>
      <c r="M1651" s="88"/>
      <c r="N1651" s="88"/>
      <c r="O1651" s="88"/>
      <c r="P1651" s="88"/>
      <c r="Q1651" s="88"/>
      <c r="R1651" s="88"/>
      <c r="S1651" s="620"/>
      <c r="T1651" s="92"/>
      <c r="U1651" s="1214"/>
      <c r="V1651" s="1215"/>
      <c r="W1651" s="168"/>
      <c r="X1651" s="170"/>
    </row>
    <row r="1652" spans="1:24" ht="12.75" customHeight="1">
      <c r="A1652" s="15"/>
      <c r="B1652" s="92" t="str">
        <f t="shared" si="327"/>
        <v/>
      </c>
      <c r="C1652" s="90"/>
      <c r="D1652" s="87"/>
      <c r="E1652" s="88"/>
      <c r="F1652" s="173"/>
      <c r="G1652" s="88"/>
      <c r="H1652" s="88"/>
      <c r="I1652" s="323" t="str">
        <f t="shared" si="324"/>
        <v/>
      </c>
      <c r="J1652" s="323" t="str">
        <f t="shared" si="325"/>
        <v/>
      </c>
      <c r="K1652" s="324" t="str">
        <f t="shared" si="326"/>
        <v/>
      </c>
      <c r="L1652" s="88"/>
      <c r="M1652" s="88"/>
      <c r="N1652" s="88"/>
      <c r="O1652" s="88"/>
      <c r="P1652" s="88"/>
      <c r="Q1652" s="88"/>
      <c r="R1652" s="88"/>
      <c r="S1652" s="620"/>
      <c r="T1652" s="92"/>
      <c r="U1652" s="1214"/>
      <c r="V1652" s="1215"/>
      <c r="W1652" s="168"/>
      <c r="X1652" s="170"/>
    </row>
    <row r="1653" spans="1:24" ht="12.75" customHeight="1">
      <c r="A1653" s="15"/>
      <c r="B1653" s="92" t="str">
        <f t="shared" si="327"/>
        <v/>
      </c>
      <c r="C1653" s="90"/>
      <c r="D1653" s="87"/>
      <c r="E1653" s="88"/>
      <c r="F1653" s="173"/>
      <c r="G1653" s="88"/>
      <c r="H1653" s="88"/>
      <c r="I1653" s="323" t="str">
        <f t="shared" si="324"/>
        <v/>
      </c>
      <c r="J1653" s="323" t="str">
        <f t="shared" si="325"/>
        <v/>
      </c>
      <c r="K1653" s="324" t="str">
        <f t="shared" si="326"/>
        <v/>
      </c>
      <c r="L1653" s="88"/>
      <c r="M1653" s="88"/>
      <c r="N1653" s="88"/>
      <c r="O1653" s="88"/>
      <c r="P1653" s="88"/>
      <c r="Q1653" s="88"/>
      <c r="R1653" s="88"/>
      <c r="S1653" s="620"/>
      <c r="T1653" s="92"/>
      <c r="U1653" s="1214"/>
      <c r="V1653" s="1215"/>
      <c r="W1653" s="168"/>
      <c r="X1653" s="170"/>
    </row>
    <row r="1654" spans="1:24" ht="12.75" customHeight="1">
      <c r="A1654" s="15"/>
      <c r="B1654" s="92" t="str">
        <f t="shared" si="327"/>
        <v/>
      </c>
      <c r="C1654" s="90"/>
      <c r="D1654" s="87"/>
      <c r="E1654" s="88"/>
      <c r="F1654" s="173"/>
      <c r="G1654" s="88"/>
      <c r="H1654" s="88"/>
      <c r="I1654" s="323" t="str">
        <f t="shared" si="324"/>
        <v/>
      </c>
      <c r="J1654" s="323" t="str">
        <f t="shared" si="325"/>
        <v/>
      </c>
      <c r="K1654" s="324" t="str">
        <f t="shared" si="326"/>
        <v/>
      </c>
      <c r="L1654" s="88"/>
      <c r="M1654" s="88"/>
      <c r="N1654" s="88"/>
      <c r="O1654" s="88"/>
      <c r="P1654" s="88"/>
      <c r="Q1654" s="88"/>
      <c r="R1654" s="88"/>
      <c r="S1654" s="620"/>
      <c r="T1654" s="92"/>
      <c r="U1654" s="1214"/>
      <c r="V1654" s="1215"/>
      <c r="W1654" s="168"/>
      <c r="X1654" s="170"/>
    </row>
    <row r="1655" spans="1:24" ht="12.75" customHeight="1">
      <c r="A1655" s="15"/>
      <c r="B1655" s="92" t="str">
        <f t="shared" si="327"/>
        <v/>
      </c>
      <c r="C1655" s="90"/>
      <c r="D1655" s="87"/>
      <c r="E1655" s="88"/>
      <c r="F1655" s="173"/>
      <c r="G1655" s="88"/>
      <c r="H1655" s="88"/>
      <c r="I1655" s="323" t="str">
        <f t="shared" si="324"/>
        <v/>
      </c>
      <c r="J1655" s="323" t="str">
        <f t="shared" si="325"/>
        <v/>
      </c>
      <c r="K1655" s="324" t="str">
        <f t="shared" si="326"/>
        <v/>
      </c>
      <c r="L1655" s="88"/>
      <c r="M1655" s="88"/>
      <c r="N1655" s="88"/>
      <c r="O1655" s="88"/>
      <c r="P1655" s="88"/>
      <c r="Q1655" s="88"/>
      <c r="R1655" s="88"/>
      <c r="S1655" s="620"/>
      <c r="T1655" s="92"/>
      <c r="U1655" s="1214"/>
      <c r="V1655" s="1215"/>
      <c r="W1655" s="168"/>
      <c r="X1655" s="170"/>
    </row>
    <row r="1656" spans="1:24" ht="12.75" customHeight="1">
      <c r="A1656" s="15"/>
      <c r="B1656" s="92" t="str">
        <f t="shared" si="327"/>
        <v/>
      </c>
      <c r="C1656" s="90"/>
      <c r="D1656" s="87"/>
      <c r="E1656" s="88"/>
      <c r="F1656" s="173"/>
      <c r="G1656" s="88"/>
      <c r="H1656" s="88"/>
      <c r="I1656" s="323" t="str">
        <f t="shared" si="324"/>
        <v/>
      </c>
      <c r="J1656" s="323" t="str">
        <f t="shared" si="325"/>
        <v/>
      </c>
      <c r="K1656" s="324" t="str">
        <f t="shared" si="326"/>
        <v/>
      </c>
      <c r="L1656" s="88"/>
      <c r="M1656" s="88"/>
      <c r="N1656" s="88"/>
      <c r="O1656" s="88"/>
      <c r="P1656" s="88"/>
      <c r="Q1656" s="88"/>
      <c r="R1656" s="88"/>
      <c r="S1656" s="620"/>
      <c r="T1656" s="92"/>
      <c r="U1656" s="1214"/>
      <c r="V1656" s="1215"/>
      <c r="W1656" s="168"/>
      <c r="X1656" s="170"/>
    </row>
    <row r="1657" spans="1:24" ht="12.75" customHeight="1">
      <c r="A1657" s="15"/>
      <c r="B1657" s="92" t="str">
        <f t="shared" si="327"/>
        <v/>
      </c>
      <c r="C1657" s="90"/>
      <c r="D1657" s="87"/>
      <c r="E1657" s="88"/>
      <c r="F1657" s="173"/>
      <c r="G1657" s="88"/>
      <c r="H1657" s="88"/>
      <c r="I1657" s="323" t="str">
        <f t="shared" si="324"/>
        <v/>
      </c>
      <c r="J1657" s="323" t="str">
        <f t="shared" si="325"/>
        <v/>
      </c>
      <c r="K1657" s="324" t="str">
        <f t="shared" si="326"/>
        <v/>
      </c>
      <c r="L1657" s="88"/>
      <c r="M1657" s="88"/>
      <c r="N1657" s="88"/>
      <c r="O1657" s="88"/>
      <c r="P1657" s="88"/>
      <c r="Q1657" s="88"/>
      <c r="R1657" s="88"/>
      <c r="S1657" s="620"/>
      <c r="T1657" s="92"/>
      <c r="U1657" s="1214"/>
      <c r="V1657" s="1215"/>
      <c r="W1657" s="168"/>
      <c r="X1657" s="170"/>
    </row>
    <row r="1658" spans="1:24" ht="12.75" customHeight="1">
      <c r="A1658" s="15"/>
      <c r="B1658" s="92" t="str">
        <f t="shared" si="327"/>
        <v/>
      </c>
      <c r="C1658" s="90"/>
      <c r="D1658" s="87"/>
      <c r="E1658" s="88"/>
      <c r="F1658" s="173"/>
      <c r="G1658" s="88"/>
      <c r="H1658" s="88"/>
      <c r="I1658" s="323" t="str">
        <f t="shared" si="324"/>
        <v/>
      </c>
      <c r="J1658" s="323" t="str">
        <f t="shared" si="325"/>
        <v/>
      </c>
      <c r="K1658" s="324" t="str">
        <f t="shared" si="326"/>
        <v/>
      </c>
      <c r="L1658" s="88"/>
      <c r="M1658" s="88"/>
      <c r="N1658" s="88"/>
      <c r="O1658" s="88"/>
      <c r="P1658" s="88"/>
      <c r="Q1658" s="88"/>
      <c r="R1658" s="88"/>
      <c r="S1658" s="620"/>
      <c r="T1658" s="92"/>
      <c r="U1658" s="1214"/>
      <c r="V1658" s="1215"/>
      <c r="W1658" s="168"/>
      <c r="X1658" s="170"/>
    </row>
    <row r="1659" spans="1:24" ht="12.75" customHeight="1">
      <c r="A1659" s="15"/>
      <c r="B1659" s="92" t="str">
        <f t="shared" si="327"/>
        <v/>
      </c>
      <c r="C1659" s="90"/>
      <c r="D1659" s="87"/>
      <c r="E1659" s="88"/>
      <c r="F1659" s="173"/>
      <c r="G1659" s="88"/>
      <c r="H1659" s="88"/>
      <c r="I1659" s="323" t="str">
        <f t="shared" si="324"/>
        <v/>
      </c>
      <c r="J1659" s="323" t="str">
        <f t="shared" si="325"/>
        <v/>
      </c>
      <c r="K1659" s="324" t="str">
        <f t="shared" si="326"/>
        <v/>
      </c>
      <c r="L1659" s="88"/>
      <c r="M1659" s="88"/>
      <c r="N1659" s="88"/>
      <c r="O1659" s="88"/>
      <c r="P1659" s="88"/>
      <c r="Q1659" s="88"/>
      <c r="R1659" s="88"/>
      <c r="S1659" s="620"/>
      <c r="T1659" s="92"/>
      <c r="U1659" s="1214"/>
      <c r="V1659" s="1215"/>
      <c r="W1659" s="168"/>
      <c r="X1659" s="170"/>
    </row>
    <row r="1660" spans="1:24" ht="12.75" customHeight="1">
      <c r="A1660" s="15"/>
      <c r="B1660" s="92" t="str">
        <f t="shared" si="327"/>
        <v/>
      </c>
      <c r="C1660" s="90"/>
      <c r="D1660" s="87"/>
      <c r="E1660" s="88"/>
      <c r="F1660" s="173"/>
      <c r="G1660" s="88"/>
      <c r="H1660" s="88"/>
      <c r="I1660" s="323" t="str">
        <f t="shared" si="324"/>
        <v/>
      </c>
      <c r="J1660" s="323" t="str">
        <f t="shared" si="325"/>
        <v/>
      </c>
      <c r="K1660" s="324" t="str">
        <f t="shared" si="326"/>
        <v/>
      </c>
      <c r="L1660" s="88"/>
      <c r="M1660" s="88"/>
      <c r="N1660" s="88"/>
      <c r="O1660" s="88"/>
      <c r="P1660" s="88"/>
      <c r="Q1660" s="88"/>
      <c r="R1660" s="88"/>
      <c r="S1660" s="620"/>
      <c r="T1660" s="92"/>
      <c r="U1660" s="1214"/>
      <c r="V1660" s="1215"/>
      <c r="W1660" s="168"/>
      <c r="X1660" s="170"/>
    </row>
    <row r="1661" spans="1:24" ht="12.75" customHeight="1">
      <c r="A1661" s="15"/>
      <c r="B1661" s="92" t="str">
        <f t="shared" si="327"/>
        <v/>
      </c>
      <c r="C1661" s="90"/>
      <c r="D1661" s="87"/>
      <c r="E1661" s="88"/>
      <c r="F1661" s="173"/>
      <c r="G1661" s="88"/>
      <c r="H1661" s="88"/>
      <c r="I1661" s="323" t="str">
        <f t="shared" si="324"/>
        <v/>
      </c>
      <c r="J1661" s="323" t="str">
        <f t="shared" si="325"/>
        <v/>
      </c>
      <c r="K1661" s="324" t="str">
        <f t="shared" si="326"/>
        <v/>
      </c>
      <c r="L1661" s="88"/>
      <c r="M1661" s="88"/>
      <c r="N1661" s="88"/>
      <c r="O1661" s="88"/>
      <c r="P1661" s="88"/>
      <c r="Q1661" s="88"/>
      <c r="R1661" s="88"/>
      <c r="S1661" s="620"/>
      <c r="T1661" s="92"/>
      <c r="U1661" s="1214"/>
      <c r="V1661" s="1215"/>
      <c r="W1661" s="168"/>
      <c r="X1661" s="170"/>
    </row>
    <row r="1662" spans="1:24" ht="12.75" customHeight="1">
      <c r="A1662" s="15"/>
      <c r="B1662" s="92" t="str">
        <f t="shared" si="327"/>
        <v/>
      </c>
      <c r="C1662" s="90"/>
      <c r="D1662" s="87"/>
      <c r="E1662" s="88"/>
      <c r="F1662" s="173"/>
      <c r="G1662" s="88"/>
      <c r="H1662" s="88"/>
      <c r="I1662" s="323" t="str">
        <f t="shared" si="324"/>
        <v/>
      </c>
      <c r="J1662" s="323" t="str">
        <f t="shared" si="325"/>
        <v/>
      </c>
      <c r="K1662" s="324" t="str">
        <f t="shared" si="326"/>
        <v/>
      </c>
      <c r="L1662" s="88"/>
      <c r="M1662" s="88"/>
      <c r="N1662" s="88"/>
      <c r="O1662" s="88"/>
      <c r="P1662" s="88"/>
      <c r="Q1662" s="88"/>
      <c r="R1662" s="88"/>
      <c r="S1662" s="620"/>
      <c r="T1662" s="92"/>
      <c r="U1662" s="1214"/>
      <c r="V1662" s="1215"/>
      <c r="W1662" s="168"/>
      <c r="X1662" s="170"/>
    </row>
    <row r="1663" spans="1:24" ht="12.75" customHeight="1">
      <c r="A1663" s="15"/>
      <c r="B1663" s="92" t="str">
        <f t="shared" si="327"/>
        <v/>
      </c>
      <c r="C1663" s="90"/>
      <c r="D1663" s="87"/>
      <c r="E1663" s="88"/>
      <c r="F1663" s="173"/>
      <c r="G1663" s="88"/>
      <c r="H1663" s="88"/>
      <c r="I1663" s="323" t="str">
        <f t="shared" ref="I1663:I1726" si="328">+IF(G1663="","",G1663*H1663)</f>
        <v/>
      </c>
      <c r="J1663" s="323" t="str">
        <f t="shared" ref="J1663:J1726" si="329">+IF(G1663="","",I1663*0.1)</f>
        <v/>
      </c>
      <c r="K1663" s="324" t="str">
        <f t="shared" ref="K1663:K1726" si="330">+IF(G1663="","",I1663+J1663)</f>
        <v/>
      </c>
      <c r="L1663" s="88"/>
      <c r="M1663" s="88"/>
      <c r="N1663" s="88"/>
      <c r="O1663" s="88"/>
      <c r="P1663" s="88"/>
      <c r="Q1663" s="88"/>
      <c r="R1663" s="88"/>
      <c r="S1663" s="620"/>
      <c r="T1663" s="92"/>
      <c r="U1663" s="1214"/>
      <c r="V1663" s="1215"/>
      <c r="W1663" s="168"/>
      <c r="X1663" s="170"/>
    </row>
    <row r="1664" spans="1:24" ht="12.75" customHeight="1">
      <c r="A1664" s="15"/>
      <c r="B1664" s="92" t="str">
        <f t="shared" si="327"/>
        <v/>
      </c>
      <c r="C1664" s="90"/>
      <c r="D1664" s="87"/>
      <c r="E1664" s="88"/>
      <c r="F1664" s="173"/>
      <c r="G1664" s="88"/>
      <c r="H1664" s="88"/>
      <c r="I1664" s="323" t="str">
        <f t="shared" si="328"/>
        <v/>
      </c>
      <c r="J1664" s="323" t="str">
        <f t="shared" si="329"/>
        <v/>
      </c>
      <c r="K1664" s="324" t="str">
        <f t="shared" si="330"/>
        <v/>
      </c>
      <c r="L1664" s="88"/>
      <c r="M1664" s="88"/>
      <c r="N1664" s="88"/>
      <c r="O1664" s="88"/>
      <c r="P1664" s="88"/>
      <c r="Q1664" s="88"/>
      <c r="R1664" s="88"/>
      <c r="S1664" s="620"/>
      <c r="T1664" s="92"/>
      <c r="U1664" s="1214"/>
      <c r="V1664" s="1215"/>
      <c r="W1664" s="168"/>
      <c r="X1664" s="170"/>
    </row>
    <row r="1665" spans="1:24" ht="12.75" customHeight="1">
      <c r="A1665" s="15"/>
      <c r="B1665" s="92" t="str">
        <f t="shared" si="327"/>
        <v/>
      </c>
      <c r="C1665" s="90"/>
      <c r="D1665" s="87"/>
      <c r="E1665" s="88"/>
      <c r="F1665" s="173"/>
      <c r="G1665" s="88"/>
      <c r="H1665" s="88"/>
      <c r="I1665" s="323" t="str">
        <f t="shared" si="328"/>
        <v/>
      </c>
      <c r="J1665" s="323" t="str">
        <f t="shared" si="329"/>
        <v/>
      </c>
      <c r="K1665" s="324" t="str">
        <f t="shared" si="330"/>
        <v/>
      </c>
      <c r="L1665" s="88"/>
      <c r="M1665" s="88"/>
      <c r="N1665" s="88"/>
      <c r="O1665" s="88"/>
      <c r="P1665" s="88"/>
      <c r="Q1665" s="88"/>
      <c r="R1665" s="88"/>
      <c r="S1665" s="620"/>
      <c r="T1665" s="92"/>
      <c r="U1665" s="1214"/>
      <c r="V1665" s="1215"/>
      <c r="W1665" s="168"/>
      <c r="X1665" s="170"/>
    </row>
    <row r="1666" spans="1:24" ht="12.75" customHeight="1">
      <c r="A1666" s="15"/>
      <c r="B1666" s="92" t="str">
        <f t="shared" si="327"/>
        <v/>
      </c>
      <c r="C1666" s="90"/>
      <c r="D1666" s="87"/>
      <c r="E1666" s="88"/>
      <c r="F1666" s="173"/>
      <c r="G1666" s="88"/>
      <c r="H1666" s="88"/>
      <c r="I1666" s="323" t="str">
        <f t="shared" si="328"/>
        <v/>
      </c>
      <c r="J1666" s="323" t="str">
        <f t="shared" si="329"/>
        <v/>
      </c>
      <c r="K1666" s="324" t="str">
        <f t="shared" si="330"/>
        <v/>
      </c>
      <c r="L1666" s="88"/>
      <c r="M1666" s="88"/>
      <c r="N1666" s="88"/>
      <c r="O1666" s="88"/>
      <c r="P1666" s="88"/>
      <c r="Q1666" s="88"/>
      <c r="R1666" s="88"/>
      <c r="S1666" s="620"/>
      <c r="T1666" s="92"/>
      <c r="U1666" s="1214"/>
      <c r="V1666" s="1215"/>
      <c r="W1666" s="168"/>
      <c r="X1666" s="170"/>
    </row>
    <row r="1667" spans="1:24" ht="12.75" customHeight="1">
      <c r="A1667" s="15"/>
      <c r="B1667" s="92" t="str">
        <f t="shared" si="327"/>
        <v/>
      </c>
      <c r="C1667" s="90"/>
      <c r="D1667" s="87"/>
      <c r="E1667" s="88"/>
      <c r="F1667" s="173"/>
      <c r="G1667" s="88"/>
      <c r="H1667" s="88"/>
      <c r="I1667" s="323" t="str">
        <f t="shared" si="328"/>
        <v/>
      </c>
      <c r="J1667" s="323" t="str">
        <f t="shared" si="329"/>
        <v/>
      </c>
      <c r="K1667" s="324" t="str">
        <f t="shared" si="330"/>
        <v/>
      </c>
      <c r="L1667" s="88"/>
      <c r="M1667" s="88"/>
      <c r="N1667" s="88"/>
      <c r="O1667" s="88"/>
      <c r="P1667" s="88"/>
      <c r="Q1667" s="88"/>
      <c r="R1667" s="88"/>
      <c r="S1667" s="620"/>
      <c r="T1667" s="92"/>
      <c r="U1667" s="1214"/>
      <c r="V1667" s="1215"/>
      <c r="W1667" s="168"/>
      <c r="X1667" s="170"/>
    </row>
    <row r="1668" spans="1:24" ht="12.75" customHeight="1">
      <c r="A1668" s="15"/>
      <c r="B1668" s="92" t="str">
        <f t="shared" si="327"/>
        <v/>
      </c>
      <c r="C1668" s="90"/>
      <c r="D1668" s="87"/>
      <c r="E1668" s="88"/>
      <c r="F1668" s="173"/>
      <c r="G1668" s="88"/>
      <c r="H1668" s="88"/>
      <c r="I1668" s="323" t="str">
        <f t="shared" si="328"/>
        <v/>
      </c>
      <c r="J1668" s="323" t="str">
        <f t="shared" si="329"/>
        <v/>
      </c>
      <c r="K1668" s="324" t="str">
        <f t="shared" si="330"/>
        <v/>
      </c>
      <c r="L1668" s="88"/>
      <c r="M1668" s="88"/>
      <c r="N1668" s="88"/>
      <c r="O1668" s="88"/>
      <c r="P1668" s="88"/>
      <c r="Q1668" s="88"/>
      <c r="R1668" s="88"/>
      <c r="S1668" s="620"/>
      <c r="T1668" s="92"/>
      <c r="U1668" s="1214"/>
      <c r="V1668" s="1215"/>
      <c r="W1668" s="168"/>
      <c r="X1668" s="170"/>
    </row>
    <row r="1669" spans="1:24" ht="12.75" customHeight="1">
      <c r="A1669" s="15"/>
      <c r="B1669" s="92" t="str">
        <f t="shared" si="327"/>
        <v/>
      </c>
      <c r="C1669" s="90"/>
      <c r="D1669" s="87"/>
      <c r="E1669" s="88"/>
      <c r="F1669" s="173"/>
      <c r="G1669" s="88"/>
      <c r="H1669" s="88"/>
      <c r="I1669" s="323" t="str">
        <f t="shared" si="328"/>
        <v/>
      </c>
      <c r="J1669" s="323" t="str">
        <f t="shared" si="329"/>
        <v/>
      </c>
      <c r="K1669" s="324" t="str">
        <f t="shared" si="330"/>
        <v/>
      </c>
      <c r="L1669" s="88"/>
      <c r="M1669" s="88"/>
      <c r="N1669" s="88"/>
      <c r="O1669" s="88"/>
      <c r="P1669" s="88"/>
      <c r="Q1669" s="88"/>
      <c r="R1669" s="88"/>
      <c r="S1669" s="620"/>
      <c r="T1669" s="92"/>
      <c r="U1669" s="1214"/>
      <c r="V1669" s="1215"/>
      <c r="W1669" s="168"/>
      <c r="X1669" s="170"/>
    </row>
    <row r="1670" spans="1:24" ht="12.75" customHeight="1">
      <c r="A1670" s="15"/>
      <c r="B1670" s="92" t="str">
        <f t="shared" si="327"/>
        <v/>
      </c>
      <c r="C1670" s="90"/>
      <c r="D1670" s="87"/>
      <c r="E1670" s="88"/>
      <c r="F1670" s="173"/>
      <c r="G1670" s="88"/>
      <c r="H1670" s="88"/>
      <c r="I1670" s="323" t="str">
        <f t="shared" si="328"/>
        <v/>
      </c>
      <c r="J1670" s="323" t="str">
        <f t="shared" si="329"/>
        <v/>
      </c>
      <c r="K1670" s="324" t="str">
        <f t="shared" si="330"/>
        <v/>
      </c>
      <c r="L1670" s="88"/>
      <c r="M1670" s="88"/>
      <c r="N1670" s="88"/>
      <c r="O1670" s="88"/>
      <c r="P1670" s="88"/>
      <c r="Q1670" s="88"/>
      <c r="R1670" s="88"/>
      <c r="S1670" s="620"/>
      <c r="T1670" s="92"/>
      <c r="U1670" s="1214"/>
      <c r="V1670" s="1215"/>
      <c r="W1670" s="168"/>
      <c r="X1670" s="170"/>
    </row>
    <row r="1671" spans="1:24" ht="12.75" customHeight="1">
      <c r="A1671" s="15"/>
      <c r="B1671" s="92" t="str">
        <f t="shared" si="327"/>
        <v/>
      </c>
      <c r="C1671" s="90"/>
      <c r="D1671" s="87"/>
      <c r="E1671" s="88"/>
      <c r="F1671" s="173"/>
      <c r="G1671" s="88"/>
      <c r="H1671" s="88"/>
      <c r="I1671" s="323" t="str">
        <f t="shared" si="328"/>
        <v/>
      </c>
      <c r="J1671" s="323" t="str">
        <f t="shared" si="329"/>
        <v/>
      </c>
      <c r="K1671" s="324" t="str">
        <f t="shared" si="330"/>
        <v/>
      </c>
      <c r="L1671" s="88"/>
      <c r="M1671" s="88"/>
      <c r="N1671" s="88"/>
      <c r="O1671" s="88"/>
      <c r="P1671" s="88"/>
      <c r="Q1671" s="88"/>
      <c r="R1671" s="88"/>
      <c r="S1671" s="620"/>
      <c r="T1671" s="92"/>
      <c r="U1671" s="1214"/>
      <c r="V1671" s="1215"/>
      <c r="W1671" s="168"/>
      <c r="X1671" s="170"/>
    </row>
    <row r="1672" spans="1:24" ht="12.75" customHeight="1">
      <c r="A1672" s="15"/>
      <c r="B1672" s="92" t="str">
        <f t="shared" si="327"/>
        <v/>
      </c>
      <c r="C1672" s="90"/>
      <c r="D1672" s="87"/>
      <c r="E1672" s="88"/>
      <c r="F1672" s="173"/>
      <c r="G1672" s="88"/>
      <c r="H1672" s="88"/>
      <c r="I1672" s="323" t="str">
        <f t="shared" si="328"/>
        <v/>
      </c>
      <c r="J1672" s="323" t="str">
        <f t="shared" si="329"/>
        <v/>
      </c>
      <c r="K1672" s="324" t="str">
        <f t="shared" si="330"/>
        <v/>
      </c>
      <c r="L1672" s="88"/>
      <c r="M1672" s="88"/>
      <c r="N1672" s="88"/>
      <c r="O1672" s="88"/>
      <c r="P1672" s="88"/>
      <c r="Q1672" s="88"/>
      <c r="R1672" s="88"/>
      <c r="S1672" s="620"/>
      <c r="T1672" s="92"/>
      <c r="U1672" s="1214"/>
      <c r="V1672" s="1215"/>
      <c r="W1672" s="168"/>
      <c r="X1672" s="170"/>
    </row>
    <row r="1673" spans="1:24" ht="12.75" customHeight="1">
      <c r="A1673" s="15"/>
      <c r="B1673" s="92" t="str">
        <f t="shared" si="327"/>
        <v/>
      </c>
      <c r="C1673" s="90"/>
      <c r="D1673" s="87"/>
      <c r="E1673" s="88"/>
      <c r="F1673" s="173"/>
      <c r="G1673" s="88"/>
      <c r="H1673" s="88"/>
      <c r="I1673" s="323" t="str">
        <f t="shared" si="328"/>
        <v/>
      </c>
      <c r="J1673" s="323" t="str">
        <f t="shared" si="329"/>
        <v/>
      </c>
      <c r="K1673" s="324" t="str">
        <f t="shared" si="330"/>
        <v/>
      </c>
      <c r="L1673" s="88"/>
      <c r="M1673" s="88"/>
      <c r="N1673" s="88"/>
      <c r="O1673" s="88"/>
      <c r="P1673" s="88"/>
      <c r="Q1673" s="88"/>
      <c r="R1673" s="88"/>
      <c r="S1673" s="620"/>
      <c r="T1673" s="92"/>
      <c r="U1673" s="1214"/>
      <c r="V1673" s="1215"/>
      <c r="W1673" s="168"/>
      <c r="X1673" s="170"/>
    </row>
    <row r="1674" spans="1:24" ht="12.75" customHeight="1">
      <c r="A1674" s="15"/>
      <c r="B1674" s="92" t="str">
        <f t="shared" si="327"/>
        <v/>
      </c>
      <c r="C1674" s="90"/>
      <c r="D1674" s="87"/>
      <c r="E1674" s="88"/>
      <c r="F1674" s="173"/>
      <c r="G1674" s="88"/>
      <c r="H1674" s="88"/>
      <c r="I1674" s="323" t="str">
        <f t="shared" si="328"/>
        <v/>
      </c>
      <c r="J1674" s="323" t="str">
        <f t="shared" si="329"/>
        <v/>
      </c>
      <c r="K1674" s="324" t="str">
        <f t="shared" si="330"/>
        <v/>
      </c>
      <c r="L1674" s="88"/>
      <c r="M1674" s="88"/>
      <c r="N1674" s="88"/>
      <c r="O1674" s="88"/>
      <c r="P1674" s="88"/>
      <c r="Q1674" s="88"/>
      <c r="R1674" s="88"/>
      <c r="S1674" s="620"/>
      <c r="T1674" s="92"/>
      <c r="U1674" s="1214"/>
      <c r="V1674" s="1215"/>
      <c r="W1674" s="168"/>
      <c r="X1674" s="170"/>
    </row>
    <row r="1675" spans="1:24" ht="12.75" customHeight="1">
      <c r="A1675" s="15"/>
      <c r="B1675" s="92" t="str">
        <f t="shared" si="327"/>
        <v/>
      </c>
      <c r="C1675" s="90"/>
      <c r="D1675" s="87"/>
      <c r="E1675" s="88"/>
      <c r="F1675" s="173"/>
      <c r="G1675" s="88"/>
      <c r="H1675" s="88"/>
      <c r="I1675" s="323" t="str">
        <f t="shared" si="328"/>
        <v/>
      </c>
      <c r="J1675" s="323" t="str">
        <f t="shared" si="329"/>
        <v/>
      </c>
      <c r="K1675" s="324" t="str">
        <f t="shared" si="330"/>
        <v/>
      </c>
      <c r="L1675" s="88"/>
      <c r="M1675" s="88"/>
      <c r="N1675" s="88"/>
      <c r="O1675" s="88"/>
      <c r="P1675" s="88"/>
      <c r="Q1675" s="88"/>
      <c r="R1675" s="88"/>
      <c r="S1675" s="620"/>
      <c r="T1675" s="92"/>
      <c r="U1675" s="1214"/>
      <c r="V1675" s="1215"/>
      <c r="W1675" s="168"/>
      <c r="X1675" s="170"/>
    </row>
    <row r="1676" spans="1:24" ht="12.75" customHeight="1">
      <c r="A1676" s="15"/>
      <c r="B1676" s="92" t="str">
        <f t="shared" si="327"/>
        <v/>
      </c>
      <c r="C1676" s="90"/>
      <c r="D1676" s="87"/>
      <c r="E1676" s="88"/>
      <c r="F1676" s="173"/>
      <c r="G1676" s="88"/>
      <c r="H1676" s="88"/>
      <c r="I1676" s="323" t="str">
        <f t="shared" si="328"/>
        <v/>
      </c>
      <c r="J1676" s="323" t="str">
        <f t="shared" si="329"/>
        <v/>
      </c>
      <c r="K1676" s="324" t="str">
        <f t="shared" si="330"/>
        <v/>
      </c>
      <c r="L1676" s="88"/>
      <c r="M1676" s="88"/>
      <c r="N1676" s="88"/>
      <c r="O1676" s="88"/>
      <c r="P1676" s="88"/>
      <c r="Q1676" s="88"/>
      <c r="R1676" s="88"/>
      <c r="S1676" s="620"/>
      <c r="T1676" s="92"/>
      <c r="U1676" s="1214"/>
      <c r="V1676" s="1215"/>
      <c r="W1676" s="168"/>
      <c r="X1676" s="170"/>
    </row>
    <row r="1677" spans="1:24" ht="12.75" customHeight="1">
      <c r="A1677" s="15"/>
      <c r="B1677" s="92" t="str">
        <f t="shared" si="327"/>
        <v/>
      </c>
      <c r="C1677" s="90"/>
      <c r="D1677" s="87"/>
      <c r="E1677" s="88"/>
      <c r="F1677" s="173"/>
      <c r="G1677" s="88"/>
      <c r="H1677" s="88"/>
      <c r="I1677" s="323" t="str">
        <f t="shared" si="328"/>
        <v/>
      </c>
      <c r="J1677" s="323" t="str">
        <f t="shared" si="329"/>
        <v/>
      </c>
      <c r="K1677" s="324" t="str">
        <f t="shared" si="330"/>
        <v/>
      </c>
      <c r="L1677" s="88"/>
      <c r="M1677" s="88"/>
      <c r="N1677" s="88"/>
      <c r="O1677" s="88"/>
      <c r="P1677" s="88"/>
      <c r="Q1677" s="88"/>
      <c r="R1677" s="88"/>
      <c r="S1677" s="620"/>
      <c r="T1677" s="92"/>
      <c r="U1677" s="1214"/>
      <c r="V1677" s="1215"/>
      <c r="W1677" s="168"/>
      <c r="X1677" s="170"/>
    </row>
    <row r="1678" spans="1:24" ht="12.75" customHeight="1">
      <c r="A1678" s="15"/>
      <c r="B1678" s="92" t="str">
        <f t="shared" si="327"/>
        <v/>
      </c>
      <c r="C1678" s="90"/>
      <c r="D1678" s="87"/>
      <c r="E1678" s="88"/>
      <c r="F1678" s="173"/>
      <c r="G1678" s="88"/>
      <c r="H1678" s="88"/>
      <c r="I1678" s="323" t="str">
        <f t="shared" si="328"/>
        <v/>
      </c>
      <c r="J1678" s="323" t="str">
        <f t="shared" si="329"/>
        <v/>
      </c>
      <c r="K1678" s="324" t="str">
        <f t="shared" si="330"/>
        <v/>
      </c>
      <c r="L1678" s="88"/>
      <c r="M1678" s="88"/>
      <c r="N1678" s="88"/>
      <c r="O1678" s="88"/>
      <c r="P1678" s="88"/>
      <c r="Q1678" s="88"/>
      <c r="R1678" s="88"/>
      <c r="S1678" s="620"/>
      <c r="T1678" s="92"/>
      <c r="U1678" s="1214"/>
      <c r="V1678" s="1215"/>
      <c r="W1678" s="168"/>
      <c r="X1678" s="170"/>
    </row>
    <row r="1679" spans="1:24" ht="12.75" customHeight="1">
      <c r="A1679" s="15"/>
      <c r="B1679" s="92" t="str">
        <f t="shared" si="327"/>
        <v/>
      </c>
      <c r="C1679" s="90"/>
      <c r="D1679" s="87"/>
      <c r="E1679" s="88"/>
      <c r="F1679" s="173"/>
      <c r="G1679" s="88"/>
      <c r="H1679" s="88"/>
      <c r="I1679" s="323" t="str">
        <f t="shared" si="328"/>
        <v/>
      </c>
      <c r="J1679" s="323" t="str">
        <f t="shared" si="329"/>
        <v/>
      </c>
      <c r="K1679" s="324" t="str">
        <f t="shared" si="330"/>
        <v/>
      </c>
      <c r="L1679" s="88"/>
      <c r="M1679" s="88"/>
      <c r="N1679" s="88"/>
      <c r="O1679" s="88"/>
      <c r="P1679" s="88"/>
      <c r="Q1679" s="88"/>
      <c r="R1679" s="88"/>
      <c r="S1679" s="620"/>
      <c r="T1679" s="92"/>
      <c r="U1679" s="1214"/>
      <c r="V1679" s="1215"/>
      <c r="W1679" s="168"/>
      <c r="X1679" s="170"/>
    </row>
    <row r="1680" spans="1:24" ht="12.75" customHeight="1">
      <c r="A1680" s="15"/>
      <c r="B1680" s="92" t="str">
        <f t="shared" si="327"/>
        <v/>
      </c>
      <c r="C1680" s="90"/>
      <c r="D1680" s="87"/>
      <c r="E1680" s="88"/>
      <c r="F1680" s="173"/>
      <c r="G1680" s="88"/>
      <c r="H1680" s="88"/>
      <c r="I1680" s="323" t="str">
        <f t="shared" si="328"/>
        <v/>
      </c>
      <c r="J1680" s="323" t="str">
        <f t="shared" si="329"/>
        <v/>
      </c>
      <c r="K1680" s="324" t="str">
        <f t="shared" si="330"/>
        <v/>
      </c>
      <c r="L1680" s="88"/>
      <c r="M1680" s="88"/>
      <c r="N1680" s="88"/>
      <c r="O1680" s="88"/>
      <c r="P1680" s="88"/>
      <c r="Q1680" s="88"/>
      <c r="R1680" s="88"/>
      <c r="S1680" s="620"/>
      <c r="T1680" s="92"/>
      <c r="U1680" s="1214"/>
      <c r="V1680" s="1215"/>
      <c r="W1680" s="168"/>
      <c r="X1680" s="170"/>
    </row>
    <row r="1681" spans="1:24" ht="12.75" customHeight="1">
      <c r="A1681" s="15"/>
      <c r="B1681" s="92" t="str">
        <f t="shared" si="327"/>
        <v/>
      </c>
      <c r="C1681" s="90"/>
      <c r="D1681" s="87"/>
      <c r="E1681" s="88"/>
      <c r="F1681" s="173"/>
      <c r="G1681" s="88"/>
      <c r="H1681" s="88"/>
      <c r="I1681" s="323" t="str">
        <f t="shared" si="328"/>
        <v/>
      </c>
      <c r="J1681" s="323" t="str">
        <f t="shared" si="329"/>
        <v/>
      </c>
      <c r="K1681" s="324" t="str">
        <f t="shared" si="330"/>
        <v/>
      </c>
      <c r="L1681" s="88"/>
      <c r="M1681" s="88"/>
      <c r="N1681" s="88"/>
      <c r="O1681" s="88"/>
      <c r="P1681" s="88"/>
      <c r="Q1681" s="88"/>
      <c r="R1681" s="88"/>
      <c r="S1681" s="620"/>
      <c r="T1681" s="92"/>
      <c r="U1681" s="1214"/>
      <c r="V1681" s="1215"/>
      <c r="W1681" s="168"/>
      <c r="X1681" s="170"/>
    </row>
    <row r="1682" spans="1:24" ht="12.75" customHeight="1">
      <c r="A1682" s="15"/>
      <c r="B1682" s="92" t="str">
        <f t="shared" si="327"/>
        <v/>
      </c>
      <c r="C1682" s="90"/>
      <c r="D1682" s="87"/>
      <c r="E1682" s="88"/>
      <c r="F1682" s="173"/>
      <c r="G1682" s="88"/>
      <c r="H1682" s="88"/>
      <c r="I1682" s="323" t="str">
        <f t="shared" si="328"/>
        <v/>
      </c>
      <c r="J1682" s="323" t="str">
        <f t="shared" si="329"/>
        <v/>
      </c>
      <c r="K1682" s="324" t="str">
        <f t="shared" si="330"/>
        <v/>
      </c>
      <c r="L1682" s="88"/>
      <c r="M1682" s="88"/>
      <c r="N1682" s="88"/>
      <c r="O1682" s="88"/>
      <c r="P1682" s="88"/>
      <c r="Q1682" s="88"/>
      <c r="R1682" s="88"/>
      <c r="S1682" s="620"/>
      <c r="T1682" s="92"/>
      <c r="U1682" s="1214"/>
      <c r="V1682" s="1215"/>
      <c r="W1682" s="168"/>
      <c r="X1682" s="170"/>
    </row>
    <row r="1683" spans="1:24" ht="12.75" customHeight="1">
      <c r="A1683" s="15"/>
      <c r="B1683" s="92" t="str">
        <f t="shared" si="327"/>
        <v/>
      </c>
      <c r="C1683" s="90"/>
      <c r="D1683" s="87"/>
      <c r="E1683" s="88"/>
      <c r="F1683" s="173"/>
      <c r="G1683" s="88"/>
      <c r="H1683" s="88"/>
      <c r="I1683" s="323" t="str">
        <f t="shared" si="328"/>
        <v/>
      </c>
      <c r="J1683" s="323" t="str">
        <f t="shared" si="329"/>
        <v/>
      </c>
      <c r="K1683" s="324" t="str">
        <f t="shared" si="330"/>
        <v/>
      </c>
      <c r="L1683" s="88"/>
      <c r="M1683" s="88"/>
      <c r="N1683" s="88"/>
      <c r="O1683" s="88"/>
      <c r="P1683" s="88"/>
      <c r="Q1683" s="88"/>
      <c r="R1683" s="88"/>
      <c r="S1683" s="620"/>
      <c r="T1683" s="92"/>
      <c r="U1683" s="1214"/>
      <c r="V1683" s="1215"/>
      <c r="W1683" s="168"/>
      <c r="X1683" s="170"/>
    </row>
    <row r="1684" spans="1:24" ht="12.75" customHeight="1">
      <c r="A1684" s="15"/>
      <c r="B1684" s="92" t="str">
        <f t="shared" si="327"/>
        <v/>
      </c>
      <c r="C1684" s="90"/>
      <c r="D1684" s="87"/>
      <c r="E1684" s="88"/>
      <c r="F1684" s="173"/>
      <c r="G1684" s="88"/>
      <c r="H1684" s="88"/>
      <c r="I1684" s="323" t="str">
        <f t="shared" si="328"/>
        <v/>
      </c>
      <c r="J1684" s="323" t="str">
        <f t="shared" si="329"/>
        <v/>
      </c>
      <c r="K1684" s="324" t="str">
        <f t="shared" si="330"/>
        <v/>
      </c>
      <c r="L1684" s="88"/>
      <c r="M1684" s="88"/>
      <c r="N1684" s="88"/>
      <c r="O1684" s="88"/>
      <c r="P1684" s="88"/>
      <c r="Q1684" s="88"/>
      <c r="R1684" s="88"/>
      <c r="S1684" s="620"/>
      <c r="T1684" s="92"/>
      <c r="U1684" s="1214"/>
      <c r="V1684" s="1215"/>
      <c r="W1684" s="168"/>
      <c r="X1684" s="170"/>
    </row>
    <row r="1685" spans="1:24" ht="12.75" customHeight="1">
      <c r="A1685" s="15"/>
      <c r="B1685" s="92" t="str">
        <f t="shared" si="327"/>
        <v/>
      </c>
      <c r="C1685" s="90"/>
      <c r="D1685" s="87"/>
      <c r="E1685" s="88"/>
      <c r="F1685" s="173"/>
      <c r="G1685" s="88"/>
      <c r="H1685" s="88"/>
      <c r="I1685" s="323" t="str">
        <f t="shared" si="328"/>
        <v/>
      </c>
      <c r="J1685" s="323" t="str">
        <f t="shared" si="329"/>
        <v/>
      </c>
      <c r="K1685" s="324" t="str">
        <f t="shared" si="330"/>
        <v/>
      </c>
      <c r="L1685" s="88"/>
      <c r="M1685" s="88"/>
      <c r="N1685" s="88"/>
      <c r="O1685" s="88"/>
      <c r="P1685" s="88"/>
      <c r="Q1685" s="88"/>
      <c r="R1685" s="88"/>
      <c r="S1685" s="620"/>
      <c r="T1685" s="92"/>
      <c r="U1685" s="1214"/>
      <c r="V1685" s="1215"/>
      <c r="W1685" s="168"/>
      <c r="X1685" s="170"/>
    </row>
    <row r="1686" spans="1:24" ht="12.75" customHeight="1">
      <c r="A1686" s="15"/>
      <c r="B1686" s="92" t="str">
        <f t="shared" si="327"/>
        <v/>
      </c>
      <c r="C1686" s="90"/>
      <c r="D1686" s="87"/>
      <c r="E1686" s="88"/>
      <c r="F1686" s="173"/>
      <c r="G1686" s="88"/>
      <c r="H1686" s="88"/>
      <c r="I1686" s="323" t="str">
        <f t="shared" si="328"/>
        <v/>
      </c>
      <c r="J1686" s="323" t="str">
        <f t="shared" si="329"/>
        <v/>
      </c>
      <c r="K1686" s="324" t="str">
        <f t="shared" si="330"/>
        <v/>
      </c>
      <c r="L1686" s="88"/>
      <c r="M1686" s="88"/>
      <c r="N1686" s="88"/>
      <c r="O1686" s="88"/>
      <c r="P1686" s="88"/>
      <c r="Q1686" s="88"/>
      <c r="R1686" s="88"/>
      <c r="S1686" s="620"/>
      <c r="T1686" s="92"/>
      <c r="U1686" s="1214"/>
      <c r="V1686" s="1215"/>
      <c r="W1686" s="168"/>
      <c r="X1686" s="170"/>
    </row>
    <row r="1687" spans="1:24" ht="12.75" customHeight="1">
      <c r="A1687" s="15"/>
      <c r="B1687" s="92" t="str">
        <f t="shared" si="327"/>
        <v/>
      </c>
      <c r="C1687" s="90"/>
      <c r="D1687" s="87"/>
      <c r="E1687" s="88"/>
      <c r="F1687" s="173"/>
      <c r="G1687" s="88"/>
      <c r="H1687" s="88"/>
      <c r="I1687" s="323" t="str">
        <f t="shared" si="328"/>
        <v/>
      </c>
      <c r="J1687" s="323" t="str">
        <f t="shared" si="329"/>
        <v/>
      </c>
      <c r="K1687" s="324" t="str">
        <f t="shared" si="330"/>
        <v/>
      </c>
      <c r="L1687" s="88"/>
      <c r="M1687" s="88"/>
      <c r="N1687" s="88"/>
      <c r="O1687" s="88"/>
      <c r="P1687" s="88"/>
      <c r="Q1687" s="88"/>
      <c r="R1687" s="88"/>
      <c r="S1687" s="620"/>
      <c r="T1687" s="92"/>
      <c r="U1687" s="1214"/>
      <c r="V1687" s="1215"/>
      <c r="W1687" s="168"/>
      <c r="X1687" s="170"/>
    </row>
    <row r="1688" spans="1:24" ht="12.75" customHeight="1">
      <c r="A1688" s="15"/>
      <c r="B1688" s="92" t="str">
        <f t="shared" si="327"/>
        <v/>
      </c>
      <c r="C1688" s="90"/>
      <c r="D1688" s="87"/>
      <c r="E1688" s="88"/>
      <c r="F1688" s="173"/>
      <c r="G1688" s="88"/>
      <c r="H1688" s="88"/>
      <c r="I1688" s="323" t="str">
        <f t="shared" si="328"/>
        <v/>
      </c>
      <c r="J1688" s="323" t="str">
        <f t="shared" si="329"/>
        <v/>
      </c>
      <c r="K1688" s="324" t="str">
        <f t="shared" si="330"/>
        <v/>
      </c>
      <c r="L1688" s="88"/>
      <c r="M1688" s="88"/>
      <c r="N1688" s="88"/>
      <c r="O1688" s="88"/>
      <c r="P1688" s="88"/>
      <c r="Q1688" s="88"/>
      <c r="R1688" s="88"/>
      <c r="S1688" s="620"/>
      <c r="T1688" s="92"/>
      <c r="U1688" s="1214"/>
      <c r="V1688" s="1215"/>
      <c r="W1688" s="168"/>
      <c r="X1688" s="170"/>
    </row>
    <row r="1689" spans="1:24" ht="12.75" customHeight="1">
      <c r="A1689" s="15"/>
      <c r="B1689" s="92" t="str">
        <f t="shared" si="327"/>
        <v/>
      </c>
      <c r="C1689" s="90"/>
      <c r="D1689" s="87"/>
      <c r="E1689" s="88"/>
      <c r="F1689" s="173"/>
      <c r="G1689" s="88"/>
      <c r="H1689" s="88"/>
      <c r="I1689" s="323" t="str">
        <f t="shared" si="328"/>
        <v/>
      </c>
      <c r="J1689" s="323" t="str">
        <f t="shared" si="329"/>
        <v/>
      </c>
      <c r="K1689" s="324" t="str">
        <f t="shared" si="330"/>
        <v/>
      </c>
      <c r="L1689" s="88"/>
      <c r="M1689" s="88"/>
      <c r="N1689" s="88"/>
      <c r="O1689" s="88"/>
      <c r="P1689" s="88"/>
      <c r="Q1689" s="88"/>
      <c r="R1689" s="88"/>
      <c r="S1689" s="620"/>
      <c r="T1689" s="92"/>
      <c r="U1689" s="1214"/>
      <c r="V1689" s="1215"/>
      <c r="W1689" s="168"/>
      <c r="X1689" s="170"/>
    </row>
    <row r="1690" spans="1:24" ht="12.75" customHeight="1">
      <c r="A1690" s="15"/>
      <c r="B1690" s="92" t="str">
        <f t="shared" si="327"/>
        <v/>
      </c>
      <c r="C1690" s="90"/>
      <c r="D1690" s="87"/>
      <c r="E1690" s="88"/>
      <c r="F1690" s="173"/>
      <c r="G1690" s="88"/>
      <c r="H1690" s="88"/>
      <c r="I1690" s="323" t="str">
        <f t="shared" si="328"/>
        <v/>
      </c>
      <c r="J1690" s="323" t="str">
        <f t="shared" si="329"/>
        <v/>
      </c>
      <c r="K1690" s="324" t="str">
        <f t="shared" si="330"/>
        <v/>
      </c>
      <c r="L1690" s="88"/>
      <c r="M1690" s="88"/>
      <c r="N1690" s="88"/>
      <c r="O1690" s="88"/>
      <c r="P1690" s="88"/>
      <c r="Q1690" s="88"/>
      <c r="R1690" s="88"/>
      <c r="S1690" s="620"/>
      <c r="T1690" s="92"/>
      <c r="U1690" s="1214"/>
      <c r="V1690" s="1215"/>
      <c r="W1690" s="168"/>
      <c r="X1690" s="170"/>
    </row>
    <row r="1691" spans="1:24" ht="12.75" customHeight="1">
      <c r="A1691" s="15"/>
      <c r="B1691" s="92" t="str">
        <f t="shared" si="327"/>
        <v/>
      </c>
      <c r="C1691" s="90"/>
      <c r="D1691" s="87"/>
      <c r="E1691" s="88"/>
      <c r="F1691" s="173"/>
      <c r="G1691" s="88"/>
      <c r="H1691" s="88"/>
      <c r="I1691" s="323" t="str">
        <f t="shared" si="328"/>
        <v/>
      </c>
      <c r="J1691" s="323" t="str">
        <f t="shared" si="329"/>
        <v/>
      </c>
      <c r="K1691" s="324" t="str">
        <f t="shared" si="330"/>
        <v/>
      </c>
      <c r="L1691" s="88"/>
      <c r="M1691" s="88"/>
      <c r="N1691" s="88"/>
      <c r="O1691" s="88"/>
      <c r="P1691" s="88"/>
      <c r="Q1691" s="88"/>
      <c r="R1691" s="88"/>
      <c r="S1691" s="620"/>
      <c r="T1691" s="92"/>
      <c r="U1691" s="1214"/>
      <c r="V1691" s="1215"/>
      <c r="W1691" s="168"/>
      <c r="X1691" s="170"/>
    </row>
    <row r="1692" spans="1:24" ht="12.75" customHeight="1">
      <c r="A1692" s="15"/>
      <c r="B1692" s="92" t="str">
        <f t="shared" si="327"/>
        <v/>
      </c>
      <c r="C1692" s="90"/>
      <c r="D1692" s="87"/>
      <c r="E1692" s="88"/>
      <c r="F1692" s="173"/>
      <c r="G1692" s="88"/>
      <c r="H1692" s="88"/>
      <c r="I1692" s="323" t="str">
        <f t="shared" si="328"/>
        <v/>
      </c>
      <c r="J1692" s="323" t="str">
        <f t="shared" si="329"/>
        <v/>
      </c>
      <c r="K1692" s="324" t="str">
        <f t="shared" si="330"/>
        <v/>
      </c>
      <c r="L1692" s="88"/>
      <c r="M1692" s="88"/>
      <c r="N1692" s="88"/>
      <c r="O1692" s="88"/>
      <c r="P1692" s="88"/>
      <c r="Q1692" s="88"/>
      <c r="R1692" s="88"/>
      <c r="S1692" s="620"/>
      <c r="T1692" s="92"/>
      <c r="U1692" s="1214"/>
      <c r="V1692" s="1215"/>
      <c r="W1692" s="168"/>
      <c r="X1692" s="170"/>
    </row>
    <row r="1693" spans="1:24" ht="12.75" customHeight="1">
      <c r="A1693" s="15"/>
      <c r="B1693" s="92" t="str">
        <f t="shared" si="327"/>
        <v/>
      </c>
      <c r="C1693" s="90"/>
      <c r="D1693" s="87"/>
      <c r="E1693" s="88"/>
      <c r="F1693" s="173"/>
      <c r="G1693" s="88"/>
      <c r="H1693" s="88"/>
      <c r="I1693" s="323" t="str">
        <f t="shared" si="328"/>
        <v/>
      </c>
      <c r="J1693" s="323" t="str">
        <f t="shared" si="329"/>
        <v/>
      </c>
      <c r="K1693" s="324" t="str">
        <f t="shared" si="330"/>
        <v/>
      </c>
      <c r="L1693" s="88"/>
      <c r="M1693" s="88"/>
      <c r="N1693" s="88"/>
      <c r="O1693" s="88"/>
      <c r="P1693" s="88"/>
      <c r="Q1693" s="88"/>
      <c r="R1693" s="88"/>
      <c r="S1693" s="620"/>
      <c r="T1693" s="92"/>
      <c r="U1693" s="1214"/>
      <c r="V1693" s="1215"/>
      <c r="W1693" s="168"/>
      <c r="X1693" s="170"/>
    </row>
    <row r="1694" spans="1:24" ht="12.75" customHeight="1">
      <c r="A1694" s="15"/>
      <c r="B1694" s="92" t="str">
        <f t="shared" si="327"/>
        <v/>
      </c>
      <c r="C1694" s="90"/>
      <c r="D1694" s="87"/>
      <c r="E1694" s="88"/>
      <c r="F1694" s="173"/>
      <c r="G1694" s="88"/>
      <c r="H1694" s="88"/>
      <c r="I1694" s="323" t="str">
        <f t="shared" si="328"/>
        <v/>
      </c>
      <c r="J1694" s="323" t="str">
        <f t="shared" si="329"/>
        <v/>
      </c>
      <c r="K1694" s="324" t="str">
        <f t="shared" si="330"/>
        <v/>
      </c>
      <c r="L1694" s="88"/>
      <c r="M1694" s="88"/>
      <c r="N1694" s="88"/>
      <c r="O1694" s="88"/>
      <c r="P1694" s="88"/>
      <c r="Q1694" s="88"/>
      <c r="R1694" s="88"/>
      <c r="S1694" s="620"/>
      <c r="T1694" s="92"/>
      <c r="U1694" s="1214"/>
      <c r="V1694" s="1215"/>
      <c r="W1694" s="168"/>
      <c r="X1694" s="170"/>
    </row>
    <row r="1695" spans="1:24" ht="12.75" customHeight="1">
      <c r="A1695" s="15"/>
      <c r="B1695" s="92" t="str">
        <f t="shared" si="327"/>
        <v/>
      </c>
      <c r="C1695" s="90"/>
      <c r="D1695" s="87"/>
      <c r="E1695" s="88"/>
      <c r="F1695" s="173"/>
      <c r="G1695" s="88"/>
      <c r="H1695" s="88"/>
      <c r="I1695" s="323" t="str">
        <f t="shared" si="328"/>
        <v/>
      </c>
      <c r="J1695" s="323" t="str">
        <f t="shared" si="329"/>
        <v/>
      </c>
      <c r="K1695" s="324" t="str">
        <f t="shared" si="330"/>
        <v/>
      </c>
      <c r="L1695" s="88"/>
      <c r="M1695" s="88"/>
      <c r="N1695" s="88"/>
      <c r="O1695" s="88"/>
      <c r="P1695" s="88"/>
      <c r="Q1695" s="88"/>
      <c r="R1695" s="88"/>
      <c r="S1695" s="620"/>
      <c r="T1695" s="92"/>
      <c r="U1695" s="1214"/>
      <c r="V1695" s="1215"/>
      <c r="W1695" s="168"/>
      <c r="X1695" s="170"/>
    </row>
    <row r="1696" spans="1:24" ht="12.75" customHeight="1">
      <c r="A1696" s="15"/>
      <c r="B1696" s="92" t="str">
        <f t="shared" si="327"/>
        <v/>
      </c>
      <c r="C1696" s="90"/>
      <c r="D1696" s="87"/>
      <c r="E1696" s="88"/>
      <c r="F1696" s="173"/>
      <c r="G1696" s="88"/>
      <c r="H1696" s="88"/>
      <c r="I1696" s="323" t="str">
        <f t="shared" si="328"/>
        <v/>
      </c>
      <c r="J1696" s="323" t="str">
        <f t="shared" si="329"/>
        <v/>
      </c>
      <c r="K1696" s="324" t="str">
        <f t="shared" si="330"/>
        <v/>
      </c>
      <c r="L1696" s="88"/>
      <c r="M1696" s="88"/>
      <c r="N1696" s="88"/>
      <c r="O1696" s="88"/>
      <c r="P1696" s="88"/>
      <c r="Q1696" s="88"/>
      <c r="R1696" s="88"/>
      <c r="S1696" s="620"/>
      <c r="T1696" s="92"/>
      <c r="U1696" s="1214"/>
      <c r="V1696" s="1215"/>
      <c r="W1696" s="168"/>
      <c r="X1696" s="170"/>
    </row>
    <row r="1697" spans="1:24" ht="12.75" customHeight="1">
      <c r="A1697" s="15"/>
      <c r="B1697" s="92" t="str">
        <f t="shared" si="327"/>
        <v/>
      </c>
      <c r="C1697" s="90"/>
      <c r="D1697" s="87"/>
      <c r="E1697" s="88"/>
      <c r="F1697" s="173"/>
      <c r="G1697" s="88"/>
      <c r="H1697" s="88"/>
      <c r="I1697" s="323" t="str">
        <f t="shared" si="328"/>
        <v/>
      </c>
      <c r="J1697" s="323" t="str">
        <f t="shared" si="329"/>
        <v/>
      </c>
      <c r="K1697" s="324" t="str">
        <f t="shared" si="330"/>
        <v/>
      </c>
      <c r="L1697" s="88"/>
      <c r="M1697" s="88"/>
      <c r="N1697" s="88"/>
      <c r="O1697" s="88"/>
      <c r="P1697" s="88"/>
      <c r="Q1697" s="88"/>
      <c r="R1697" s="88"/>
      <c r="S1697" s="620"/>
      <c r="T1697" s="92"/>
      <c r="U1697" s="1214"/>
      <c r="V1697" s="1215"/>
      <c r="W1697" s="168"/>
      <c r="X1697" s="170"/>
    </row>
    <row r="1698" spans="1:24" ht="12.75" customHeight="1">
      <c r="A1698" s="15"/>
      <c r="B1698" s="92" t="str">
        <f t="shared" si="327"/>
        <v/>
      </c>
      <c r="C1698" s="90"/>
      <c r="D1698" s="87"/>
      <c r="E1698" s="88"/>
      <c r="F1698" s="173"/>
      <c r="G1698" s="88"/>
      <c r="H1698" s="88"/>
      <c r="I1698" s="323" t="str">
        <f t="shared" si="328"/>
        <v/>
      </c>
      <c r="J1698" s="323" t="str">
        <f t="shared" si="329"/>
        <v/>
      </c>
      <c r="K1698" s="324" t="str">
        <f t="shared" si="330"/>
        <v/>
      </c>
      <c r="L1698" s="88"/>
      <c r="M1698" s="88"/>
      <c r="N1698" s="88"/>
      <c r="O1698" s="88"/>
      <c r="P1698" s="88"/>
      <c r="Q1698" s="88"/>
      <c r="R1698" s="88"/>
      <c r="S1698" s="620"/>
      <c r="T1698" s="92"/>
      <c r="U1698" s="1214"/>
      <c r="V1698" s="1215"/>
      <c r="W1698" s="168"/>
      <c r="X1698" s="170"/>
    </row>
    <row r="1699" spans="1:24" ht="12.75" customHeight="1">
      <c r="A1699" s="15"/>
      <c r="B1699" s="92" t="str">
        <f t="shared" si="327"/>
        <v/>
      </c>
      <c r="C1699" s="90"/>
      <c r="D1699" s="87"/>
      <c r="E1699" s="88"/>
      <c r="F1699" s="173"/>
      <c r="G1699" s="88"/>
      <c r="H1699" s="88"/>
      <c r="I1699" s="323" t="str">
        <f t="shared" si="328"/>
        <v/>
      </c>
      <c r="J1699" s="323" t="str">
        <f t="shared" si="329"/>
        <v/>
      </c>
      <c r="K1699" s="324" t="str">
        <f t="shared" si="330"/>
        <v/>
      </c>
      <c r="L1699" s="88"/>
      <c r="M1699" s="88"/>
      <c r="N1699" s="88"/>
      <c r="O1699" s="88"/>
      <c r="P1699" s="88"/>
      <c r="Q1699" s="88"/>
      <c r="R1699" s="88"/>
      <c r="S1699" s="620"/>
      <c r="T1699" s="92"/>
      <c r="U1699" s="1214"/>
      <c r="V1699" s="1215"/>
      <c r="W1699" s="168"/>
      <c r="X1699" s="170"/>
    </row>
    <row r="1700" spans="1:24" ht="12.75" customHeight="1">
      <c r="A1700" s="15"/>
      <c r="B1700" s="92" t="str">
        <f t="shared" si="327"/>
        <v/>
      </c>
      <c r="C1700" s="90"/>
      <c r="D1700" s="87"/>
      <c r="E1700" s="88"/>
      <c r="F1700" s="173"/>
      <c r="G1700" s="88"/>
      <c r="H1700" s="88"/>
      <c r="I1700" s="323" t="str">
        <f t="shared" si="328"/>
        <v/>
      </c>
      <c r="J1700" s="323" t="str">
        <f t="shared" si="329"/>
        <v/>
      </c>
      <c r="K1700" s="324" t="str">
        <f t="shared" si="330"/>
        <v/>
      </c>
      <c r="L1700" s="88"/>
      <c r="M1700" s="88"/>
      <c r="N1700" s="88"/>
      <c r="O1700" s="88"/>
      <c r="P1700" s="88"/>
      <c r="Q1700" s="88"/>
      <c r="R1700" s="88"/>
      <c r="S1700" s="620"/>
      <c r="T1700" s="92"/>
      <c r="U1700" s="1214"/>
      <c r="V1700" s="1215"/>
      <c r="W1700" s="168"/>
      <c r="X1700" s="170"/>
    </row>
    <row r="1701" spans="1:24" ht="12.75" customHeight="1">
      <c r="A1701" s="15"/>
      <c r="B1701" s="92" t="str">
        <f t="shared" si="327"/>
        <v/>
      </c>
      <c r="C1701" s="90"/>
      <c r="D1701" s="87"/>
      <c r="E1701" s="88"/>
      <c r="F1701" s="173"/>
      <c r="G1701" s="88"/>
      <c r="H1701" s="88"/>
      <c r="I1701" s="323" t="str">
        <f t="shared" si="328"/>
        <v/>
      </c>
      <c r="J1701" s="323" t="str">
        <f t="shared" si="329"/>
        <v/>
      </c>
      <c r="K1701" s="324" t="str">
        <f t="shared" si="330"/>
        <v/>
      </c>
      <c r="L1701" s="88"/>
      <c r="M1701" s="88"/>
      <c r="N1701" s="88"/>
      <c r="O1701" s="88"/>
      <c r="P1701" s="88"/>
      <c r="Q1701" s="88"/>
      <c r="R1701" s="88"/>
      <c r="S1701" s="620"/>
      <c r="T1701" s="92"/>
      <c r="U1701" s="1214"/>
      <c r="V1701" s="1215"/>
      <c r="W1701" s="168"/>
      <c r="X1701" s="170"/>
    </row>
    <row r="1702" spans="1:24" ht="12.75" customHeight="1">
      <c r="A1702" s="15"/>
      <c r="B1702" s="92" t="str">
        <f t="shared" si="327"/>
        <v/>
      </c>
      <c r="C1702" s="90"/>
      <c r="D1702" s="87"/>
      <c r="E1702" s="88"/>
      <c r="F1702" s="173"/>
      <c r="G1702" s="88"/>
      <c r="H1702" s="88"/>
      <c r="I1702" s="323" t="str">
        <f t="shared" si="328"/>
        <v/>
      </c>
      <c r="J1702" s="323" t="str">
        <f t="shared" si="329"/>
        <v/>
      </c>
      <c r="K1702" s="324" t="str">
        <f t="shared" si="330"/>
        <v/>
      </c>
      <c r="L1702" s="88"/>
      <c r="M1702" s="88"/>
      <c r="N1702" s="88"/>
      <c r="O1702" s="88"/>
      <c r="P1702" s="88"/>
      <c r="Q1702" s="88"/>
      <c r="R1702" s="88"/>
      <c r="S1702" s="620"/>
      <c r="T1702" s="92"/>
      <c r="U1702" s="1214"/>
      <c r="V1702" s="1215"/>
      <c r="W1702" s="168"/>
      <c r="X1702" s="170"/>
    </row>
    <row r="1703" spans="1:24" ht="12.75" customHeight="1">
      <c r="A1703" s="15"/>
      <c r="B1703" s="92" t="str">
        <f t="shared" si="327"/>
        <v/>
      </c>
      <c r="C1703" s="90"/>
      <c r="D1703" s="87"/>
      <c r="E1703" s="88"/>
      <c r="F1703" s="173"/>
      <c r="G1703" s="88"/>
      <c r="H1703" s="88"/>
      <c r="I1703" s="323" t="str">
        <f t="shared" si="328"/>
        <v/>
      </c>
      <c r="J1703" s="323" t="str">
        <f t="shared" si="329"/>
        <v/>
      </c>
      <c r="K1703" s="324" t="str">
        <f t="shared" si="330"/>
        <v/>
      </c>
      <c r="L1703" s="88"/>
      <c r="M1703" s="88"/>
      <c r="N1703" s="88"/>
      <c r="O1703" s="88"/>
      <c r="P1703" s="88"/>
      <c r="Q1703" s="88"/>
      <c r="R1703" s="88"/>
      <c r="S1703" s="620"/>
      <c r="T1703" s="92"/>
      <c r="U1703" s="1214"/>
      <c r="V1703" s="1215"/>
      <c r="W1703" s="168"/>
      <c r="X1703" s="170"/>
    </row>
    <row r="1704" spans="1:24" ht="12.75" customHeight="1">
      <c r="A1704" s="15"/>
      <c r="B1704" s="92" t="str">
        <f t="shared" si="327"/>
        <v/>
      </c>
      <c r="C1704" s="90"/>
      <c r="D1704" s="87"/>
      <c r="E1704" s="88"/>
      <c r="F1704" s="173"/>
      <c r="G1704" s="88"/>
      <c r="H1704" s="88"/>
      <c r="I1704" s="323" t="str">
        <f t="shared" si="328"/>
        <v/>
      </c>
      <c r="J1704" s="323" t="str">
        <f t="shared" si="329"/>
        <v/>
      </c>
      <c r="K1704" s="324" t="str">
        <f t="shared" si="330"/>
        <v/>
      </c>
      <c r="L1704" s="88"/>
      <c r="M1704" s="88"/>
      <c r="N1704" s="88"/>
      <c r="O1704" s="88"/>
      <c r="P1704" s="88"/>
      <c r="Q1704" s="88"/>
      <c r="R1704" s="88"/>
      <c r="S1704" s="620"/>
      <c r="T1704" s="92"/>
      <c r="U1704" s="1214"/>
      <c r="V1704" s="1215"/>
      <c r="W1704" s="168"/>
      <c r="X1704" s="170"/>
    </row>
    <row r="1705" spans="1:24" ht="12.75" customHeight="1">
      <c r="A1705" s="15"/>
      <c r="B1705" s="92" t="str">
        <f t="shared" si="327"/>
        <v/>
      </c>
      <c r="C1705" s="90"/>
      <c r="D1705" s="87"/>
      <c r="E1705" s="88"/>
      <c r="F1705" s="173"/>
      <c r="G1705" s="88"/>
      <c r="H1705" s="88"/>
      <c r="I1705" s="323" t="str">
        <f t="shared" si="328"/>
        <v/>
      </c>
      <c r="J1705" s="323" t="str">
        <f t="shared" si="329"/>
        <v/>
      </c>
      <c r="K1705" s="324" t="str">
        <f t="shared" si="330"/>
        <v/>
      </c>
      <c r="L1705" s="88"/>
      <c r="M1705" s="88"/>
      <c r="N1705" s="88"/>
      <c r="O1705" s="88"/>
      <c r="P1705" s="88"/>
      <c r="Q1705" s="88"/>
      <c r="R1705" s="88"/>
      <c r="S1705" s="620"/>
      <c r="T1705" s="92"/>
      <c r="U1705" s="1214"/>
      <c r="V1705" s="1215"/>
      <c r="W1705" s="168"/>
      <c r="X1705" s="170"/>
    </row>
    <row r="1706" spans="1:24" ht="12.75" customHeight="1">
      <c r="A1706" s="15"/>
      <c r="B1706" s="92" t="str">
        <f t="shared" si="327"/>
        <v/>
      </c>
      <c r="C1706" s="90"/>
      <c r="D1706" s="87"/>
      <c r="E1706" s="88"/>
      <c r="F1706" s="173"/>
      <c r="G1706" s="88"/>
      <c r="H1706" s="88"/>
      <c r="I1706" s="323" t="str">
        <f t="shared" si="328"/>
        <v/>
      </c>
      <c r="J1706" s="323" t="str">
        <f t="shared" si="329"/>
        <v/>
      </c>
      <c r="K1706" s="324" t="str">
        <f t="shared" si="330"/>
        <v/>
      </c>
      <c r="L1706" s="88"/>
      <c r="M1706" s="88"/>
      <c r="N1706" s="88"/>
      <c r="O1706" s="88"/>
      <c r="P1706" s="88"/>
      <c r="Q1706" s="88"/>
      <c r="R1706" s="88"/>
      <c r="S1706" s="620"/>
      <c r="T1706" s="92"/>
      <c r="U1706" s="1214"/>
      <c r="V1706" s="1215"/>
      <c r="W1706" s="168"/>
      <c r="X1706" s="170"/>
    </row>
    <row r="1707" spans="1:24" ht="12.75" customHeight="1">
      <c r="A1707" s="15"/>
      <c r="B1707" s="92" t="str">
        <f t="shared" si="327"/>
        <v/>
      </c>
      <c r="C1707" s="90"/>
      <c r="D1707" s="87"/>
      <c r="E1707" s="88"/>
      <c r="F1707" s="173"/>
      <c r="G1707" s="88"/>
      <c r="H1707" s="88"/>
      <c r="I1707" s="323" t="str">
        <f t="shared" si="328"/>
        <v/>
      </c>
      <c r="J1707" s="323" t="str">
        <f t="shared" si="329"/>
        <v/>
      </c>
      <c r="K1707" s="324" t="str">
        <f t="shared" si="330"/>
        <v/>
      </c>
      <c r="L1707" s="88"/>
      <c r="M1707" s="88"/>
      <c r="N1707" s="88"/>
      <c r="O1707" s="88"/>
      <c r="P1707" s="88"/>
      <c r="Q1707" s="88"/>
      <c r="R1707" s="88"/>
      <c r="S1707" s="620"/>
      <c r="T1707" s="92"/>
      <c r="U1707" s="1214"/>
      <c r="V1707" s="1215"/>
      <c r="W1707" s="168"/>
      <c r="X1707" s="170"/>
    </row>
    <row r="1708" spans="1:24" ht="12.75" customHeight="1">
      <c r="A1708" s="15"/>
      <c r="B1708" s="92" t="str">
        <f t="shared" si="327"/>
        <v/>
      </c>
      <c r="C1708" s="90"/>
      <c r="D1708" s="87"/>
      <c r="E1708" s="88"/>
      <c r="F1708" s="173"/>
      <c r="G1708" s="88"/>
      <c r="H1708" s="88"/>
      <c r="I1708" s="323" t="str">
        <f t="shared" si="328"/>
        <v/>
      </c>
      <c r="J1708" s="323" t="str">
        <f t="shared" si="329"/>
        <v/>
      </c>
      <c r="K1708" s="324" t="str">
        <f t="shared" si="330"/>
        <v/>
      </c>
      <c r="L1708" s="88"/>
      <c r="M1708" s="88"/>
      <c r="N1708" s="88"/>
      <c r="O1708" s="88"/>
      <c r="P1708" s="88"/>
      <c r="Q1708" s="88"/>
      <c r="R1708" s="88"/>
      <c r="S1708" s="620"/>
      <c r="T1708" s="92"/>
      <c r="U1708" s="1214"/>
      <c r="V1708" s="1215"/>
      <c r="W1708" s="168"/>
      <c r="X1708" s="170"/>
    </row>
    <row r="1709" spans="1:24" ht="12.75" customHeight="1">
      <c r="A1709" s="15"/>
      <c r="B1709" s="92" t="str">
        <f t="shared" si="327"/>
        <v/>
      </c>
      <c r="C1709" s="90"/>
      <c r="D1709" s="87"/>
      <c r="E1709" s="88"/>
      <c r="F1709" s="173"/>
      <c r="G1709" s="88"/>
      <c r="H1709" s="88"/>
      <c r="I1709" s="323" t="str">
        <f t="shared" si="328"/>
        <v/>
      </c>
      <c r="J1709" s="323" t="str">
        <f t="shared" si="329"/>
        <v/>
      </c>
      <c r="K1709" s="324" t="str">
        <f t="shared" si="330"/>
        <v/>
      </c>
      <c r="L1709" s="88"/>
      <c r="M1709" s="88"/>
      <c r="N1709" s="88"/>
      <c r="O1709" s="88"/>
      <c r="P1709" s="88"/>
      <c r="Q1709" s="88"/>
      <c r="R1709" s="88"/>
      <c r="S1709" s="620"/>
      <c r="T1709" s="92"/>
      <c r="U1709" s="1214"/>
      <c r="V1709" s="1215"/>
      <c r="W1709" s="168"/>
      <c r="X1709" s="170"/>
    </row>
    <row r="1710" spans="1:24" ht="12.75" customHeight="1">
      <c r="A1710" s="15"/>
      <c r="B1710" s="92" t="str">
        <f t="shared" si="327"/>
        <v/>
      </c>
      <c r="C1710" s="90"/>
      <c r="D1710" s="87"/>
      <c r="E1710" s="88"/>
      <c r="F1710" s="173"/>
      <c r="G1710" s="88"/>
      <c r="H1710" s="88"/>
      <c r="I1710" s="323" t="str">
        <f t="shared" si="328"/>
        <v/>
      </c>
      <c r="J1710" s="323" t="str">
        <f t="shared" si="329"/>
        <v/>
      </c>
      <c r="K1710" s="324" t="str">
        <f t="shared" si="330"/>
        <v/>
      </c>
      <c r="L1710" s="88"/>
      <c r="M1710" s="88"/>
      <c r="N1710" s="88"/>
      <c r="O1710" s="88"/>
      <c r="P1710" s="88"/>
      <c r="Q1710" s="88"/>
      <c r="R1710" s="88"/>
      <c r="S1710" s="620"/>
      <c r="T1710" s="92"/>
      <c r="U1710" s="1214"/>
      <c r="V1710" s="1215"/>
      <c r="W1710" s="168"/>
      <c r="X1710" s="170"/>
    </row>
    <row r="1711" spans="1:24" ht="12.75" customHeight="1">
      <c r="A1711" s="15"/>
      <c r="B1711" s="92" t="str">
        <f t="shared" ref="B1711:B1774" si="331">IF(C1711="","",ROW()-5)</f>
        <v/>
      </c>
      <c r="C1711" s="90"/>
      <c r="D1711" s="87"/>
      <c r="E1711" s="88"/>
      <c r="F1711" s="173"/>
      <c r="G1711" s="88"/>
      <c r="H1711" s="88"/>
      <c r="I1711" s="323" t="str">
        <f t="shared" si="328"/>
        <v/>
      </c>
      <c r="J1711" s="323" t="str">
        <f t="shared" si="329"/>
        <v/>
      </c>
      <c r="K1711" s="324" t="str">
        <f t="shared" si="330"/>
        <v/>
      </c>
      <c r="L1711" s="88"/>
      <c r="M1711" s="88"/>
      <c r="N1711" s="88"/>
      <c r="O1711" s="88"/>
      <c r="P1711" s="88"/>
      <c r="Q1711" s="88"/>
      <c r="R1711" s="88"/>
      <c r="S1711" s="620"/>
      <c r="T1711" s="92"/>
      <c r="U1711" s="1214"/>
      <c r="V1711" s="1215"/>
      <c r="W1711" s="168"/>
      <c r="X1711" s="170"/>
    </row>
    <row r="1712" spans="1:24" ht="12.75" customHeight="1">
      <c r="A1712" s="15"/>
      <c r="B1712" s="92" t="str">
        <f t="shared" si="331"/>
        <v/>
      </c>
      <c r="C1712" s="90"/>
      <c r="D1712" s="87"/>
      <c r="E1712" s="88"/>
      <c r="F1712" s="173"/>
      <c r="G1712" s="88"/>
      <c r="H1712" s="88"/>
      <c r="I1712" s="323" t="str">
        <f t="shared" si="328"/>
        <v/>
      </c>
      <c r="J1712" s="323" t="str">
        <f t="shared" si="329"/>
        <v/>
      </c>
      <c r="K1712" s="324" t="str">
        <f t="shared" si="330"/>
        <v/>
      </c>
      <c r="L1712" s="88"/>
      <c r="M1712" s="88"/>
      <c r="N1712" s="88"/>
      <c r="O1712" s="88"/>
      <c r="P1712" s="88"/>
      <c r="Q1712" s="88"/>
      <c r="R1712" s="88"/>
      <c r="S1712" s="620"/>
      <c r="T1712" s="92"/>
      <c r="U1712" s="1214"/>
      <c r="V1712" s="1215"/>
      <c r="W1712" s="168"/>
      <c r="X1712" s="170"/>
    </row>
    <row r="1713" spans="1:24" ht="12.75" customHeight="1">
      <c r="A1713" s="15"/>
      <c r="B1713" s="92" t="str">
        <f t="shared" si="331"/>
        <v/>
      </c>
      <c r="C1713" s="90"/>
      <c r="D1713" s="87"/>
      <c r="E1713" s="88"/>
      <c r="F1713" s="173"/>
      <c r="G1713" s="88"/>
      <c r="H1713" s="88"/>
      <c r="I1713" s="323" t="str">
        <f t="shared" si="328"/>
        <v/>
      </c>
      <c r="J1713" s="323" t="str">
        <f t="shared" si="329"/>
        <v/>
      </c>
      <c r="K1713" s="324" t="str">
        <f t="shared" si="330"/>
        <v/>
      </c>
      <c r="L1713" s="88"/>
      <c r="M1713" s="88"/>
      <c r="N1713" s="88"/>
      <c r="O1713" s="88"/>
      <c r="P1713" s="88"/>
      <c r="Q1713" s="88"/>
      <c r="R1713" s="88"/>
      <c r="S1713" s="620"/>
      <c r="T1713" s="92"/>
      <c r="U1713" s="1214"/>
      <c r="V1713" s="1215"/>
      <c r="W1713" s="168"/>
      <c r="X1713" s="170"/>
    </row>
    <row r="1714" spans="1:24" ht="12.75" customHeight="1">
      <c r="A1714" s="15"/>
      <c r="B1714" s="92" t="str">
        <f t="shared" si="331"/>
        <v/>
      </c>
      <c r="C1714" s="90"/>
      <c r="D1714" s="87"/>
      <c r="E1714" s="88"/>
      <c r="F1714" s="173"/>
      <c r="G1714" s="88"/>
      <c r="H1714" s="88"/>
      <c r="I1714" s="323" t="str">
        <f t="shared" si="328"/>
        <v/>
      </c>
      <c r="J1714" s="323" t="str">
        <f t="shared" si="329"/>
        <v/>
      </c>
      <c r="K1714" s="324" t="str">
        <f t="shared" si="330"/>
        <v/>
      </c>
      <c r="L1714" s="88"/>
      <c r="M1714" s="88"/>
      <c r="N1714" s="88"/>
      <c r="O1714" s="88"/>
      <c r="P1714" s="88"/>
      <c r="Q1714" s="88"/>
      <c r="R1714" s="88"/>
      <c r="S1714" s="620"/>
      <c r="T1714" s="92"/>
      <c r="U1714" s="1214"/>
      <c r="V1714" s="1215"/>
      <c r="W1714" s="168"/>
      <c r="X1714" s="170"/>
    </row>
    <row r="1715" spans="1:24" ht="12.75" customHeight="1">
      <c r="A1715" s="15"/>
      <c r="B1715" s="92" t="str">
        <f t="shared" si="331"/>
        <v/>
      </c>
      <c r="C1715" s="90"/>
      <c r="D1715" s="87"/>
      <c r="E1715" s="88"/>
      <c r="F1715" s="173"/>
      <c r="G1715" s="88"/>
      <c r="H1715" s="88"/>
      <c r="I1715" s="323" t="str">
        <f t="shared" si="328"/>
        <v/>
      </c>
      <c r="J1715" s="323" t="str">
        <f t="shared" si="329"/>
        <v/>
      </c>
      <c r="K1715" s="324" t="str">
        <f t="shared" si="330"/>
        <v/>
      </c>
      <c r="L1715" s="88"/>
      <c r="M1715" s="88"/>
      <c r="N1715" s="88"/>
      <c r="O1715" s="88"/>
      <c r="P1715" s="88"/>
      <c r="Q1715" s="88"/>
      <c r="R1715" s="88"/>
      <c r="S1715" s="620"/>
      <c r="T1715" s="92"/>
      <c r="U1715" s="1214"/>
      <c r="V1715" s="1215"/>
      <c r="W1715" s="168"/>
      <c r="X1715" s="170"/>
    </row>
    <row r="1716" spans="1:24" ht="12.75" customHeight="1">
      <c r="A1716" s="15"/>
      <c r="B1716" s="92" t="str">
        <f t="shared" si="331"/>
        <v/>
      </c>
      <c r="C1716" s="90"/>
      <c r="D1716" s="87"/>
      <c r="E1716" s="88"/>
      <c r="F1716" s="173"/>
      <c r="G1716" s="88"/>
      <c r="H1716" s="88"/>
      <c r="I1716" s="323" t="str">
        <f t="shared" si="328"/>
        <v/>
      </c>
      <c r="J1716" s="323" t="str">
        <f t="shared" si="329"/>
        <v/>
      </c>
      <c r="K1716" s="324" t="str">
        <f t="shared" si="330"/>
        <v/>
      </c>
      <c r="L1716" s="88"/>
      <c r="M1716" s="88"/>
      <c r="N1716" s="88"/>
      <c r="O1716" s="88"/>
      <c r="P1716" s="88"/>
      <c r="Q1716" s="88"/>
      <c r="R1716" s="88"/>
      <c r="S1716" s="620"/>
      <c r="T1716" s="92"/>
      <c r="U1716" s="1214"/>
      <c r="V1716" s="1215"/>
      <c r="W1716" s="168"/>
      <c r="X1716" s="170"/>
    </row>
    <row r="1717" spans="1:24" ht="12.75" customHeight="1">
      <c r="A1717" s="15"/>
      <c r="B1717" s="92" t="str">
        <f t="shared" si="331"/>
        <v/>
      </c>
      <c r="C1717" s="90"/>
      <c r="D1717" s="87"/>
      <c r="E1717" s="88"/>
      <c r="F1717" s="173"/>
      <c r="G1717" s="88"/>
      <c r="H1717" s="88"/>
      <c r="I1717" s="323" t="str">
        <f t="shared" si="328"/>
        <v/>
      </c>
      <c r="J1717" s="323" t="str">
        <f t="shared" si="329"/>
        <v/>
      </c>
      <c r="K1717" s="324" t="str">
        <f t="shared" si="330"/>
        <v/>
      </c>
      <c r="L1717" s="88"/>
      <c r="M1717" s="88"/>
      <c r="N1717" s="88"/>
      <c r="O1717" s="88"/>
      <c r="P1717" s="88"/>
      <c r="Q1717" s="88"/>
      <c r="R1717" s="88"/>
      <c r="S1717" s="620"/>
      <c r="T1717" s="92"/>
      <c r="U1717" s="1214"/>
      <c r="V1717" s="1215"/>
      <c r="W1717" s="168"/>
      <c r="X1717" s="170"/>
    </row>
    <row r="1718" spans="1:24" ht="12.75" customHeight="1">
      <c r="A1718" s="15"/>
      <c r="B1718" s="92" t="str">
        <f t="shared" si="331"/>
        <v/>
      </c>
      <c r="C1718" s="90"/>
      <c r="D1718" s="87"/>
      <c r="E1718" s="88"/>
      <c r="F1718" s="173"/>
      <c r="G1718" s="88"/>
      <c r="H1718" s="88"/>
      <c r="I1718" s="323" t="str">
        <f t="shared" si="328"/>
        <v/>
      </c>
      <c r="J1718" s="323" t="str">
        <f t="shared" si="329"/>
        <v/>
      </c>
      <c r="K1718" s="324" t="str">
        <f t="shared" si="330"/>
        <v/>
      </c>
      <c r="L1718" s="88"/>
      <c r="M1718" s="88"/>
      <c r="N1718" s="88"/>
      <c r="O1718" s="88"/>
      <c r="P1718" s="88"/>
      <c r="Q1718" s="88"/>
      <c r="R1718" s="88"/>
      <c r="S1718" s="620"/>
      <c r="T1718" s="92"/>
      <c r="U1718" s="1214"/>
      <c r="V1718" s="1215"/>
      <c r="W1718" s="168"/>
      <c r="X1718" s="170"/>
    </row>
    <row r="1719" spans="1:24" ht="12.75" customHeight="1">
      <c r="A1719" s="15"/>
      <c r="B1719" s="92" t="str">
        <f t="shared" si="331"/>
        <v/>
      </c>
      <c r="C1719" s="90"/>
      <c r="D1719" s="87"/>
      <c r="E1719" s="88"/>
      <c r="F1719" s="173"/>
      <c r="G1719" s="88"/>
      <c r="H1719" s="88"/>
      <c r="I1719" s="323" t="str">
        <f t="shared" si="328"/>
        <v/>
      </c>
      <c r="J1719" s="323" t="str">
        <f t="shared" si="329"/>
        <v/>
      </c>
      <c r="K1719" s="324" t="str">
        <f t="shared" si="330"/>
        <v/>
      </c>
      <c r="L1719" s="88"/>
      <c r="M1719" s="88"/>
      <c r="N1719" s="88"/>
      <c r="O1719" s="88"/>
      <c r="P1719" s="88"/>
      <c r="Q1719" s="88"/>
      <c r="R1719" s="88"/>
      <c r="S1719" s="620"/>
      <c r="T1719" s="92"/>
      <c r="U1719" s="1214"/>
      <c r="V1719" s="1215"/>
      <c r="W1719" s="168"/>
      <c r="X1719" s="170"/>
    </row>
    <row r="1720" spans="1:24" ht="12.75" customHeight="1">
      <c r="A1720" s="15"/>
      <c r="B1720" s="92" t="str">
        <f t="shared" si="331"/>
        <v/>
      </c>
      <c r="C1720" s="90"/>
      <c r="D1720" s="87"/>
      <c r="E1720" s="88"/>
      <c r="F1720" s="173"/>
      <c r="G1720" s="88"/>
      <c r="H1720" s="88"/>
      <c r="I1720" s="323" t="str">
        <f t="shared" si="328"/>
        <v/>
      </c>
      <c r="J1720" s="323" t="str">
        <f t="shared" si="329"/>
        <v/>
      </c>
      <c r="K1720" s="324" t="str">
        <f t="shared" si="330"/>
        <v/>
      </c>
      <c r="L1720" s="88"/>
      <c r="M1720" s="88"/>
      <c r="N1720" s="88"/>
      <c r="O1720" s="88"/>
      <c r="P1720" s="88"/>
      <c r="Q1720" s="88"/>
      <c r="R1720" s="88"/>
      <c r="S1720" s="620"/>
      <c r="T1720" s="92"/>
      <c r="U1720" s="1214"/>
      <c r="V1720" s="1215"/>
      <c r="W1720" s="168"/>
      <c r="X1720" s="170"/>
    </row>
    <row r="1721" spans="1:24" ht="12.75" customHeight="1">
      <c r="A1721" s="15"/>
      <c r="B1721" s="92" t="str">
        <f t="shared" si="331"/>
        <v/>
      </c>
      <c r="C1721" s="90"/>
      <c r="D1721" s="87"/>
      <c r="E1721" s="88"/>
      <c r="F1721" s="173"/>
      <c r="G1721" s="88"/>
      <c r="H1721" s="88"/>
      <c r="I1721" s="323" t="str">
        <f t="shared" si="328"/>
        <v/>
      </c>
      <c r="J1721" s="323" t="str">
        <f t="shared" si="329"/>
        <v/>
      </c>
      <c r="K1721" s="324" t="str">
        <f t="shared" si="330"/>
        <v/>
      </c>
      <c r="L1721" s="88"/>
      <c r="M1721" s="88"/>
      <c r="N1721" s="88"/>
      <c r="O1721" s="88"/>
      <c r="P1721" s="88"/>
      <c r="Q1721" s="88"/>
      <c r="R1721" s="88"/>
      <c r="S1721" s="620"/>
      <c r="T1721" s="92"/>
      <c r="U1721" s="1214"/>
      <c r="V1721" s="1215"/>
      <c r="W1721" s="168"/>
      <c r="X1721" s="170"/>
    </row>
    <row r="1722" spans="1:24" ht="12.75" customHeight="1">
      <c r="A1722" s="15"/>
      <c r="B1722" s="92" t="str">
        <f t="shared" si="331"/>
        <v/>
      </c>
      <c r="C1722" s="90"/>
      <c r="D1722" s="87"/>
      <c r="E1722" s="88"/>
      <c r="F1722" s="173"/>
      <c r="G1722" s="88"/>
      <c r="H1722" s="88"/>
      <c r="I1722" s="323" t="str">
        <f t="shared" si="328"/>
        <v/>
      </c>
      <c r="J1722" s="323" t="str">
        <f t="shared" si="329"/>
        <v/>
      </c>
      <c r="K1722" s="324" t="str">
        <f t="shared" si="330"/>
        <v/>
      </c>
      <c r="L1722" s="88"/>
      <c r="M1722" s="88"/>
      <c r="N1722" s="88"/>
      <c r="O1722" s="88"/>
      <c r="P1722" s="88"/>
      <c r="Q1722" s="88"/>
      <c r="R1722" s="88"/>
      <c r="S1722" s="620"/>
      <c r="T1722" s="92"/>
      <c r="U1722" s="1214"/>
      <c r="V1722" s="1215"/>
      <c r="W1722" s="168"/>
      <c r="X1722" s="170"/>
    </row>
    <row r="1723" spans="1:24" ht="12.75" customHeight="1">
      <c r="A1723" s="15"/>
      <c r="B1723" s="92" t="str">
        <f t="shared" si="331"/>
        <v/>
      </c>
      <c r="C1723" s="90"/>
      <c r="D1723" s="87"/>
      <c r="E1723" s="88"/>
      <c r="F1723" s="173"/>
      <c r="G1723" s="88"/>
      <c r="H1723" s="88"/>
      <c r="I1723" s="323" t="str">
        <f t="shared" si="328"/>
        <v/>
      </c>
      <c r="J1723" s="323" t="str">
        <f t="shared" si="329"/>
        <v/>
      </c>
      <c r="K1723" s="324" t="str">
        <f t="shared" si="330"/>
        <v/>
      </c>
      <c r="L1723" s="88"/>
      <c r="M1723" s="88"/>
      <c r="N1723" s="88"/>
      <c r="O1723" s="88"/>
      <c r="P1723" s="88"/>
      <c r="Q1723" s="88"/>
      <c r="R1723" s="88"/>
      <c r="S1723" s="620"/>
      <c r="T1723" s="92"/>
      <c r="U1723" s="1214"/>
      <c r="V1723" s="1215"/>
      <c r="W1723" s="168"/>
      <c r="X1723" s="170"/>
    </row>
    <row r="1724" spans="1:24" ht="12.75" customHeight="1">
      <c r="A1724" s="15"/>
      <c r="B1724" s="92" t="str">
        <f t="shared" si="331"/>
        <v/>
      </c>
      <c r="C1724" s="90"/>
      <c r="D1724" s="87"/>
      <c r="E1724" s="88"/>
      <c r="F1724" s="173"/>
      <c r="G1724" s="88"/>
      <c r="H1724" s="88"/>
      <c r="I1724" s="323" t="str">
        <f t="shared" si="328"/>
        <v/>
      </c>
      <c r="J1724" s="323" t="str">
        <f t="shared" si="329"/>
        <v/>
      </c>
      <c r="K1724" s="324" t="str">
        <f t="shared" si="330"/>
        <v/>
      </c>
      <c r="L1724" s="88"/>
      <c r="M1724" s="88"/>
      <c r="N1724" s="88"/>
      <c r="O1724" s="88"/>
      <c r="P1724" s="88"/>
      <c r="Q1724" s="88"/>
      <c r="R1724" s="88"/>
      <c r="S1724" s="620"/>
      <c r="T1724" s="92"/>
      <c r="U1724" s="1214"/>
      <c r="V1724" s="1215"/>
      <c r="W1724" s="168"/>
      <c r="X1724" s="170"/>
    </row>
    <row r="1725" spans="1:24" ht="12.75" customHeight="1">
      <c r="A1725" s="15"/>
      <c r="B1725" s="92" t="str">
        <f t="shared" si="331"/>
        <v/>
      </c>
      <c r="C1725" s="90"/>
      <c r="D1725" s="87"/>
      <c r="E1725" s="88"/>
      <c r="F1725" s="173"/>
      <c r="G1725" s="88"/>
      <c r="H1725" s="88"/>
      <c r="I1725" s="323" t="str">
        <f t="shared" si="328"/>
        <v/>
      </c>
      <c r="J1725" s="323" t="str">
        <f t="shared" si="329"/>
        <v/>
      </c>
      <c r="K1725" s="324" t="str">
        <f t="shared" si="330"/>
        <v/>
      </c>
      <c r="L1725" s="88"/>
      <c r="M1725" s="88"/>
      <c r="N1725" s="88"/>
      <c r="O1725" s="88"/>
      <c r="P1725" s="88"/>
      <c r="Q1725" s="88"/>
      <c r="R1725" s="88"/>
      <c r="S1725" s="620"/>
      <c r="T1725" s="92"/>
      <c r="U1725" s="1214"/>
      <c r="V1725" s="1215"/>
      <c r="W1725" s="168"/>
      <c r="X1725" s="170"/>
    </row>
    <row r="1726" spans="1:24" ht="12.75" customHeight="1">
      <c r="A1726" s="15"/>
      <c r="B1726" s="92" t="str">
        <f t="shared" si="331"/>
        <v/>
      </c>
      <c r="C1726" s="90"/>
      <c r="D1726" s="87"/>
      <c r="E1726" s="88"/>
      <c r="F1726" s="173"/>
      <c r="G1726" s="88"/>
      <c r="H1726" s="88"/>
      <c r="I1726" s="323" t="str">
        <f t="shared" si="328"/>
        <v/>
      </c>
      <c r="J1726" s="323" t="str">
        <f t="shared" si="329"/>
        <v/>
      </c>
      <c r="K1726" s="324" t="str">
        <f t="shared" si="330"/>
        <v/>
      </c>
      <c r="L1726" s="88"/>
      <c r="M1726" s="88"/>
      <c r="N1726" s="88"/>
      <c r="O1726" s="88"/>
      <c r="P1726" s="88"/>
      <c r="Q1726" s="88"/>
      <c r="R1726" s="88"/>
      <c r="S1726" s="620"/>
      <c r="T1726" s="92"/>
      <c r="U1726" s="1214"/>
      <c r="V1726" s="1215"/>
      <c r="W1726" s="168"/>
      <c r="X1726" s="170"/>
    </row>
    <row r="1727" spans="1:24" ht="12.75" customHeight="1">
      <c r="A1727" s="15"/>
      <c r="B1727" s="92" t="str">
        <f t="shared" si="331"/>
        <v/>
      </c>
      <c r="C1727" s="90"/>
      <c r="D1727" s="87"/>
      <c r="E1727" s="88"/>
      <c r="F1727" s="173"/>
      <c r="G1727" s="88"/>
      <c r="H1727" s="88"/>
      <c r="I1727" s="323" t="str">
        <f t="shared" ref="I1727:I1790" si="332">+IF(G1727="","",G1727*H1727)</f>
        <v/>
      </c>
      <c r="J1727" s="323" t="str">
        <f t="shared" ref="J1727:J1790" si="333">+IF(G1727="","",I1727*0.1)</f>
        <v/>
      </c>
      <c r="K1727" s="324" t="str">
        <f t="shared" ref="K1727:K1790" si="334">+IF(G1727="","",I1727+J1727)</f>
        <v/>
      </c>
      <c r="L1727" s="88"/>
      <c r="M1727" s="88"/>
      <c r="N1727" s="88"/>
      <c r="O1727" s="88"/>
      <c r="P1727" s="88"/>
      <c r="Q1727" s="88"/>
      <c r="R1727" s="88"/>
      <c r="S1727" s="620"/>
      <c r="T1727" s="92"/>
      <c r="U1727" s="1214"/>
      <c r="V1727" s="1215"/>
      <c r="W1727" s="168"/>
      <c r="X1727" s="170"/>
    </row>
    <row r="1728" spans="1:24" ht="12.75" customHeight="1">
      <c r="A1728" s="15"/>
      <c r="B1728" s="92" t="str">
        <f t="shared" si="331"/>
        <v/>
      </c>
      <c r="C1728" s="90"/>
      <c r="D1728" s="87"/>
      <c r="E1728" s="88"/>
      <c r="F1728" s="173"/>
      <c r="G1728" s="88"/>
      <c r="H1728" s="88"/>
      <c r="I1728" s="323" t="str">
        <f t="shared" si="332"/>
        <v/>
      </c>
      <c r="J1728" s="323" t="str">
        <f t="shared" si="333"/>
        <v/>
      </c>
      <c r="K1728" s="324" t="str">
        <f t="shared" si="334"/>
        <v/>
      </c>
      <c r="L1728" s="88"/>
      <c r="M1728" s="88"/>
      <c r="N1728" s="88"/>
      <c r="O1728" s="88"/>
      <c r="P1728" s="88"/>
      <c r="Q1728" s="88"/>
      <c r="R1728" s="88"/>
      <c r="S1728" s="620"/>
      <c r="T1728" s="92"/>
      <c r="U1728" s="1214"/>
      <c r="V1728" s="1215"/>
      <c r="W1728" s="168"/>
      <c r="X1728" s="170"/>
    </row>
    <row r="1729" spans="1:24" ht="12.75" customHeight="1">
      <c r="A1729" s="15"/>
      <c r="B1729" s="92" t="str">
        <f t="shared" si="331"/>
        <v/>
      </c>
      <c r="C1729" s="90"/>
      <c r="D1729" s="87"/>
      <c r="E1729" s="88"/>
      <c r="F1729" s="173"/>
      <c r="G1729" s="88"/>
      <c r="H1729" s="88"/>
      <c r="I1729" s="323" t="str">
        <f t="shared" si="332"/>
        <v/>
      </c>
      <c r="J1729" s="323" t="str">
        <f t="shared" si="333"/>
        <v/>
      </c>
      <c r="K1729" s="324" t="str">
        <f t="shared" si="334"/>
        <v/>
      </c>
      <c r="L1729" s="88"/>
      <c r="M1729" s="88"/>
      <c r="N1729" s="88"/>
      <c r="O1729" s="88"/>
      <c r="P1729" s="88"/>
      <c r="Q1729" s="88"/>
      <c r="R1729" s="88"/>
      <c r="S1729" s="620"/>
      <c r="T1729" s="92"/>
      <c r="U1729" s="1214"/>
      <c r="V1729" s="1215"/>
      <c r="W1729" s="168"/>
      <c r="X1729" s="170"/>
    </row>
    <row r="1730" spans="1:24" ht="12.75" customHeight="1">
      <c r="A1730" s="15"/>
      <c r="B1730" s="92" t="str">
        <f t="shared" si="331"/>
        <v/>
      </c>
      <c r="C1730" s="90"/>
      <c r="D1730" s="87"/>
      <c r="E1730" s="88"/>
      <c r="F1730" s="173"/>
      <c r="G1730" s="88"/>
      <c r="H1730" s="88"/>
      <c r="I1730" s="323" t="str">
        <f t="shared" si="332"/>
        <v/>
      </c>
      <c r="J1730" s="323" t="str">
        <f t="shared" si="333"/>
        <v/>
      </c>
      <c r="K1730" s="324" t="str">
        <f t="shared" si="334"/>
        <v/>
      </c>
      <c r="L1730" s="88"/>
      <c r="M1730" s="88"/>
      <c r="N1730" s="88"/>
      <c r="O1730" s="88"/>
      <c r="P1730" s="88"/>
      <c r="Q1730" s="88"/>
      <c r="R1730" s="88"/>
      <c r="S1730" s="620"/>
      <c r="T1730" s="92"/>
      <c r="U1730" s="1214"/>
      <c r="V1730" s="1215"/>
      <c r="W1730" s="168"/>
      <c r="X1730" s="170"/>
    </row>
    <row r="1731" spans="1:24" ht="12.75" customHeight="1">
      <c r="A1731" s="15"/>
      <c r="B1731" s="92" t="str">
        <f t="shared" si="331"/>
        <v/>
      </c>
      <c r="C1731" s="90"/>
      <c r="D1731" s="87"/>
      <c r="E1731" s="88"/>
      <c r="F1731" s="173"/>
      <c r="G1731" s="88"/>
      <c r="H1731" s="88"/>
      <c r="I1731" s="323" t="str">
        <f t="shared" si="332"/>
        <v/>
      </c>
      <c r="J1731" s="323" t="str">
        <f t="shared" si="333"/>
        <v/>
      </c>
      <c r="K1731" s="324" t="str">
        <f t="shared" si="334"/>
        <v/>
      </c>
      <c r="L1731" s="88"/>
      <c r="M1731" s="88"/>
      <c r="N1731" s="88"/>
      <c r="O1731" s="88"/>
      <c r="P1731" s="88"/>
      <c r="Q1731" s="88"/>
      <c r="R1731" s="88"/>
      <c r="S1731" s="620"/>
      <c r="T1731" s="92"/>
      <c r="U1731" s="1214"/>
      <c r="V1731" s="1215"/>
      <c r="W1731" s="168"/>
      <c r="X1731" s="170"/>
    </row>
    <row r="1732" spans="1:24" ht="12.75" customHeight="1">
      <c r="A1732" s="15"/>
      <c r="B1732" s="92" t="str">
        <f t="shared" si="331"/>
        <v/>
      </c>
      <c r="C1732" s="90"/>
      <c r="D1732" s="87"/>
      <c r="E1732" s="88"/>
      <c r="F1732" s="173"/>
      <c r="G1732" s="88"/>
      <c r="H1732" s="88"/>
      <c r="I1732" s="323" t="str">
        <f t="shared" si="332"/>
        <v/>
      </c>
      <c r="J1732" s="323" t="str">
        <f t="shared" si="333"/>
        <v/>
      </c>
      <c r="K1732" s="324" t="str">
        <f t="shared" si="334"/>
        <v/>
      </c>
      <c r="L1732" s="88"/>
      <c r="M1732" s="88"/>
      <c r="N1732" s="88"/>
      <c r="O1732" s="88"/>
      <c r="P1732" s="88"/>
      <c r="Q1732" s="88"/>
      <c r="R1732" s="88"/>
      <c r="S1732" s="620"/>
      <c r="T1732" s="92"/>
      <c r="U1732" s="1214"/>
      <c r="V1732" s="1215"/>
      <c r="W1732" s="168"/>
      <c r="X1732" s="170"/>
    </row>
    <row r="1733" spans="1:24" ht="12.75" customHeight="1">
      <c r="A1733" s="15"/>
      <c r="B1733" s="92" t="str">
        <f t="shared" si="331"/>
        <v/>
      </c>
      <c r="C1733" s="90"/>
      <c r="D1733" s="87"/>
      <c r="E1733" s="88"/>
      <c r="F1733" s="173"/>
      <c r="G1733" s="88"/>
      <c r="H1733" s="88"/>
      <c r="I1733" s="323" t="str">
        <f t="shared" si="332"/>
        <v/>
      </c>
      <c r="J1733" s="323" t="str">
        <f t="shared" si="333"/>
        <v/>
      </c>
      <c r="K1733" s="324" t="str">
        <f t="shared" si="334"/>
        <v/>
      </c>
      <c r="L1733" s="88"/>
      <c r="M1733" s="88"/>
      <c r="N1733" s="88"/>
      <c r="O1733" s="88"/>
      <c r="P1733" s="88"/>
      <c r="Q1733" s="88"/>
      <c r="R1733" s="88"/>
      <c r="S1733" s="620"/>
      <c r="T1733" s="92"/>
      <c r="U1733" s="1214"/>
      <c r="V1733" s="1215"/>
      <c r="W1733" s="168"/>
      <c r="X1733" s="170"/>
    </row>
    <row r="1734" spans="1:24" ht="12.75" customHeight="1">
      <c r="A1734" s="15"/>
      <c r="B1734" s="92" t="str">
        <f t="shared" si="331"/>
        <v/>
      </c>
      <c r="C1734" s="90"/>
      <c r="D1734" s="87"/>
      <c r="E1734" s="88"/>
      <c r="F1734" s="173"/>
      <c r="G1734" s="88"/>
      <c r="H1734" s="88"/>
      <c r="I1734" s="323" t="str">
        <f t="shared" si="332"/>
        <v/>
      </c>
      <c r="J1734" s="323" t="str">
        <f t="shared" si="333"/>
        <v/>
      </c>
      <c r="K1734" s="324" t="str">
        <f t="shared" si="334"/>
        <v/>
      </c>
      <c r="L1734" s="88"/>
      <c r="M1734" s="88"/>
      <c r="N1734" s="88"/>
      <c r="O1734" s="88"/>
      <c r="P1734" s="88"/>
      <c r="Q1734" s="88"/>
      <c r="R1734" s="88"/>
      <c r="S1734" s="620"/>
      <c r="T1734" s="92"/>
      <c r="U1734" s="1214"/>
      <c r="V1734" s="1215"/>
      <c r="W1734" s="168"/>
      <c r="X1734" s="170"/>
    </row>
    <row r="1735" spans="1:24" ht="12.75" customHeight="1">
      <c r="A1735" s="15"/>
      <c r="B1735" s="92" t="str">
        <f t="shared" si="331"/>
        <v/>
      </c>
      <c r="C1735" s="90"/>
      <c r="D1735" s="87"/>
      <c r="E1735" s="88"/>
      <c r="F1735" s="173"/>
      <c r="G1735" s="88"/>
      <c r="H1735" s="88"/>
      <c r="I1735" s="323" t="str">
        <f t="shared" si="332"/>
        <v/>
      </c>
      <c r="J1735" s="323" t="str">
        <f t="shared" si="333"/>
        <v/>
      </c>
      <c r="K1735" s="324" t="str">
        <f t="shared" si="334"/>
        <v/>
      </c>
      <c r="L1735" s="88"/>
      <c r="M1735" s="88"/>
      <c r="N1735" s="88"/>
      <c r="O1735" s="88"/>
      <c r="P1735" s="88"/>
      <c r="Q1735" s="88"/>
      <c r="R1735" s="88"/>
      <c r="S1735" s="620"/>
      <c r="T1735" s="92"/>
      <c r="U1735" s="1214"/>
      <c r="V1735" s="1215"/>
      <c r="W1735" s="168"/>
      <c r="X1735" s="170"/>
    </row>
    <row r="1736" spans="1:24" ht="12.75" customHeight="1">
      <c r="A1736" s="15"/>
      <c r="B1736" s="92" t="str">
        <f t="shared" si="331"/>
        <v/>
      </c>
      <c r="C1736" s="90"/>
      <c r="D1736" s="87"/>
      <c r="E1736" s="88"/>
      <c r="F1736" s="173"/>
      <c r="G1736" s="88"/>
      <c r="H1736" s="88"/>
      <c r="I1736" s="323" t="str">
        <f t="shared" si="332"/>
        <v/>
      </c>
      <c r="J1736" s="323" t="str">
        <f t="shared" si="333"/>
        <v/>
      </c>
      <c r="K1736" s="324" t="str">
        <f t="shared" si="334"/>
        <v/>
      </c>
      <c r="L1736" s="88"/>
      <c r="M1736" s="88"/>
      <c r="N1736" s="88"/>
      <c r="O1736" s="88"/>
      <c r="P1736" s="88"/>
      <c r="Q1736" s="88"/>
      <c r="R1736" s="88"/>
      <c r="S1736" s="620"/>
      <c r="T1736" s="92"/>
      <c r="U1736" s="1214"/>
      <c r="V1736" s="1215"/>
      <c r="W1736" s="168"/>
      <c r="X1736" s="170"/>
    </row>
    <row r="1737" spans="1:24" ht="12.75" customHeight="1">
      <c r="A1737" s="15"/>
      <c r="B1737" s="92" t="str">
        <f t="shared" si="331"/>
        <v/>
      </c>
      <c r="C1737" s="90"/>
      <c r="D1737" s="87"/>
      <c r="E1737" s="88"/>
      <c r="F1737" s="173"/>
      <c r="G1737" s="88"/>
      <c r="H1737" s="88"/>
      <c r="I1737" s="323" t="str">
        <f t="shared" si="332"/>
        <v/>
      </c>
      <c r="J1737" s="323" t="str">
        <f t="shared" si="333"/>
        <v/>
      </c>
      <c r="K1737" s="324" t="str">
        <f t="shared" si="334"/>
        <v/>
      </c>
      <c r="L1737" s="88"/>
      <c r="M1737" s="88"/>
      <c r="N1737" s="88"/>
      <c r="O1737" s="88"/>
      <c r="P1737" s="88"/>
      <c r="Q1737" s="88"/>
      <c r="R1737" s="88"/>
      <c r="S1737" s="620"/>
      <c r="T1737" s="92"/>
      <c r="U1737" s="1214"/>
      <c r="V1737" s="1215"/>
      <c r="W1737" s="168"/>
      <c r="X1737" s="170"/>
    </row>
    <row r="1738" spans="1:24" ht="12.75" customHeight="1">
      <c r="A1738" s="15"/>
      <c r="B1738" s="92" t="str">
        <f t="shared" si="331"/>
        <v/>
      </c>
      <c r="C1738" s="90"/>
      <c r="D1738" s="87"/>
      <c r="E1738" s="88"/>
      <c r="F1738" s="173"/>
      <c r="G1738" s="88"/>
      <c r="H1738" s="88"/>
      <c r="I1738" s="323" t="str">
        <f t="shared" si="332"/>
        <v/>
      </c>
      <c r="J1738" s="323" t="str">
        <f t="shared" si="333"/>
        <v/>
      </c>
      <c r="K1738" s="324" t="str">
        <f t="shared" si="334"/>
        <v/>
      </c>
      <c r="L1738" s="88"/>
      <c r="M1738" s="88"/>
      <c r="N1738" s="88"/>
      <c r="O1738" s="88"/>
      <c r="P1738" s="88"/>
      <c r="Q1738" s="88"/>
      <c r="R1738" s="88"/>
      <c r="S1738" s="620"/>
      <c r="T1738" s="92"/>
      <c r="U1738" s="1214"/>
      <c r="V1738" s="1215"/>
      <c r="W1738" s="168"/>
      <c r="X1738" s="170"/>
    </row>
    <row r="1739" spans="1:24" ht="12.75" customHeight="1">
      <c r="A1739" s="15"/>
      <c r="B1739" s="92" t="str">
        <f t="shared" si="331"/>
        <v/>
      </c>
      <c r="C1739" s="90"/>
      <c r="D1739" s="87"/>
      <c r="E1739" s="88"/>
      <c r="F1739" s="173"/>
      <c r="G1739" s="88"/>
      <c r="H1739" s="88"/>
      <c r="I1739" s="323" t="str">
        <f t="shared" si="332"/>
        <v/>
      </c>
      <c r="J1739" s="323" t="str">
        <f t="shared" si="333"/>
        <v/>
      </c>
      <c r="K1739" s="324" t="str">
        <f t="shared" si="334"/>
        <v/>
      </c>
      <c r="L1739" s="88"/>
      <c r="M1739" s="88"/>
      <c r="N1739" s="88"/>
      <c r="O1739" s="88"/>
      <c r="P1739" s="88"/>
      <c r="Q1739" s="88"/>
      <c r="R1739" s="88"/>
      <c r="S1739" s="620"/>
      <c r="T1739" s="92"/>
      <c r="U1739" s="1214"/>
      <c r="V1739" s="1215"/>
      <c r="W1739" s="168"/>
      <c r="X1739" s="170"/>
    </row>
    <row r="1740" spans="1:24" ht="12.75" customHeight="1">
      <c r="A1740" s="15"/>
      <c r="B1740" s="92" t="str">
        <f t="shared" si="331"/>
        <v/>
      </c>
      <c r="C1740" s="90"/>
      <c r="D1740" s="87"/>
      <c r="E1740" s="88"/>
      <c r="F1740" s="173"/>
      <c r="G1740" s="88"/>
      <c r="H1740" s="88"/>
      <c r="I1740" s="323" t="str">
        <f t="shared" si="332"/>
        <v/>
      </c>
      <c r="J1740" s="323" t="str">
        <f t="shared" si="333"/>
        <v/>
      </c>
      <c r="K1740" s="324" t="str">
        <f t="shared" si="334"/>
        <v/>
      </c>
      <c r="L1740" s="88"/>
      <c r="M1740" s="88"/>
      <c r="N1740" s="88"/>
      <c r="O1740" s="88"/>
      <c r="P1740" s="88"/>
      <c r="Q1740" s="88"/>
      <c r="R1740" s="88"/>
      <c r="S1740" s="620"/>
      <c r="T1740" s="92"/>
      <c r="U1740" s="1214"/>
      <c r="V1740" s="1215"/>
      <c r="W1740" s="168"/>
      <c r="X1740" s="170"/>
    </row>
    <row r="1741" spans="1:24" ht="12.75" customHeight="1">
      <c r="A1741" s="15"/>
      <c r="B1741" s="92" t="str">
        <f t="shared" si="331"/>
        <v/>
      </c>
      <c r="C1741" s="90"/>
      <c r="D1741" s="87"/>
      <c r="E1741" s="88"/>
      <c r="F1741" s="173"/>
      <c r="G1741" s="88"/>
      <c r="H1741" s="88"/>
      <c r="I1741" s="323" t="str">
        <f t="shared" si="332"/>
        <v/>
      </c>
      <c r="J1741" s="323" t="str">
        <f t="shared" si="333"/>
        <v/>
      </c>
      <c r="K1741" s="324" t="str">
        <f t="shared" si="334"/>
        <v/>
      </c>
      <c r="L1741" s="88"/>
      <c r="M1741" s="88"/>
      <c r="N1741" s="88"/>
      <c r="O1741" s="88"/>
      <c r="P1741" s="88"/>
      <c r="Q1741" s="88"/>
      <c r="R1741" s="88"/>
      <c r="S1741" s="620"/>
      <c r="T1741" s="92"/>
      <c r="U1741" s="1214"/>
      <c r="V1741" s="1215"/>
      <c r="W1741" s="168"/>
      <c r="X1741" s="170"/>
    </row>
    <row r="1742" spans="1:24" ht="12.75" customHeight="1">
      <c r="A1742" s="15"/>
      <c r="B1742" s="92" t="str">
        <f t="shared" si="331"/>
        <v/>
      </c>
      <c r="C1742" s="90"/>
      <c r="D1742" s="87"/>
      <c r="E1742" s="88"/>
      <c r="F1742" s="173"/>
      <c r="G1742" s="88"/>
      <c r="H1742" s="88"/>
      <c r="I1742" s="323" t="str">
        <f t="shared" si="332"/>
        <v/>
      </c>
      <c r="J1742" s="323" t="str">
        <f t="shared" si="333"/>
        <v/>
      </c>
      <c r="K1742" s="324" t="str">
        <f t="shared" si="334"/>
        <v/>
      </c>
      <c r="L1742" s="88"/>
      <c r="M1742" s="88"/>
      <c r="N1742" s="88"/>
      <c r="O1742" s="88"/>
      <c r="P1742" s="88"/>
      <c r="Q1742" s="88"/>
      <c r="R1742" s="88"/>
      <c r="S1742" s="620"/>
      <c r="T1742" s="92"/>
      <c r="U1742" s="1214"/>
      <c r="V1742" s="1215"/>
      <c r="W1742" s="168"/>
      <c r="X1742" s="170"/>
    </row>
    <row r="1743" spans="1:24" ht="12.75" customHeight="1">
      <c r="A1743" s="15"/>
      <c r="B1743" s="92" t="str">
        <f t="shared" si="331"/>
        <v/>
      </c>
      <c r="C1743" s="90"/>
      <c r="D1743" s="87"/>
      <c r="E1743" s="88"/>
      <c r="F1743" s="173"/>
      <c r="G1743" s="88"/>
      <c r="H1743" s="88"/>
      <c r="I1743" s="323" t="str">
        <f t="shared" si="332"/>
        <v/>
      </c>
      <c r="J1743" s="323" t="str">
        <f t="shared" si="333"/>
        <v/>
      </c>
      <c r="K1743" s="324" t="str">
        <f t="shared" si="334"/>
        <v/>
      </c>
      <c r="L1743" s="88"/>
      <c r="M1743" s="88"/>
      <c r="N1743" s="88"/>
      <c r="O1743" s="88"/>
      <c r="P1743" s="88"/>
      <c r="Q1743" s="88"/>
      <c r="R1743" s="88"/>
      <c r="S1743" s="620"/>
      <c r="T1743" s="92"/>
      <c r="U1743" s="1214"/>
      <c r="V1743" s="1215"/>
      <c r="W1743" s="168"/>
      <c r="X1743" s="170"/>
    </row>
    <row r="1744" spans="1:24" ht="12.75" customHeight="1">
      <c r="A1744" s="15"/>
      <c r="B1744" s="92" t="str">
        <f t="shared" si="331"/>
        <v/>
      </c>
      <c r="C1744" s="90"/>
      <c r="D1744" s="87"/>
      <c r="E1744" s="88"/>
      <c r="F1744" s="173"/>
      <c r="G1744" s="88"/>
      <c r="H1744" s="88"/>
      <c r="I1744" s="323" t="str">
        <f t="shared" si="332"/>
        <v/>
      </c>
      <c r="J1744" s="323" t="str">
        <f t="shared" si="333"/>
        <v/>
      </c>
      <c r="K1744" s="324" t="str">
        <f t="shared" si="334"/>
        <v/>
      </c>
      <c r="L1744" s="88"/>
      <c r="M1744" s="88"/>
      <c r="N1744" s="88"/>
      <c r="O1744" s="88"/>
      <c r="P1744" s="88"/>
      <c r="Q1744" s="88"/>
      <c r="R1744" s="88"/>
      <c r="S1744" s="620"/>
      <c r="T1744" s="92"/>
      <c r="U1744" s="1214"/>
      <c r="V1744" s="1215"/>
      <c r="W1744" s="168"/>
      <c r="X1744" s="170"/>
    </row>
    <row r="1745" spans="1:24" ht="12.75" customHeight="1">
      <c r="A1745" s="15"/>
      <c r="B1745" s="92" t="str">
        <f t="shared" si="331"/>
        <v/>
      </c>
      <c r="C1745" s="90"/>
      <c r="D1745" s="87"/>
      <c r="E1745" s="88"/>
      <c r="F1745" s="173"/>
      <c r="G1745" s="88"/>
      <c r="H1745" s="88"/>
      <c r="I1745" s="323" t="str">
        <f t="shared" si="332"/>
        <v/>
      </c>
      <c r="J1745" s="323" t="str">
        <f t="shared" si="333"/>
        <v/>
      </c>
      <c r="K1745" s="324" t="str">
        <f t="shared" si="334"/>
        <v/>
      </c>
      <c r="L1745" s="88"/>
      <c r="M1745" s="88"/>
      <c r="N1745" s="88"/>
      <c r="O1745" s="88"/>
      <c r="P1745" s="88"/>
      <c r="Q1745" s="88"/>
      <c r="R1745" s="88"/>
      <c r="S1745" s="620"/>
      <c r="T1745" s="92"/>
      <c r="U1745" s="1214"/>
      <c r="V1745" s="1215"/>
      <c r="W1745" s="168"/>
      <c r="X1745" s="170"/>
    </row>
    <row r="1746" spans="1:24" ht="12.75" customHeight="1">
      <c r="A1746" s="15"/>
      <c r="B1746" s="92" t="str">
        <f t="shared" si="331"/>
        <v/>
      </c>
      <c r="C1746" s="90"/>
      <c r="D1746" s="87"/>
      <c r="E1746" s="88"/>
      <c r="F1746" s="173"/>
      <c r="G1746" s="88"/>
      <c r="H1746" s="88"/>
      <c r="I1746" s="323" t="str">
        <f t="shared" si="332"/>
        <v/>
      </c>
      <c r="J1746" s="323" t="str">
        <f t="shared" si="333"/>
        <v/>
      </c>
      <c r="K1746" s="324" t="str">
        <f t="shared" si="334"/>
        <v/>
      </c>
      <c r="L1746" s="88"/>
      <c r="M1746" s="88"/>
      <c r="N1746" s="88"/>
      <c r="O1746" s="88"/>
      <c r="P1746" s="88"/>
      <c r="Q1746" s="88"/>
      <c r="R1746" s="88"/>
      <c r="S1746" s="620"/>
      <c r="T1746" s="92"/>
      <c r="U1746" s="1214"/>
      <c r="V1746" s="1215"/>
      <c r="W1746" s="168"/>
      <c r="X1746" s="170"/>
    </row>
    <row r="1747" spans="1:24" ht="12.75" customHeight="1">
      <c r="A1747" s="15"/>
      <c r="B1747" s="92" t="str">
        <f t="shared" si="331"/>
        <v/>
      </c>
      <c r="C1747" s="90"/>
      <c r="D1747" s="87"/>
      <c r="E1747" s="88"/>
      <c r="F1747" s="173"/>
      <c r="G1747" s="88"/>
      <c r="H1747" s="88"/>
      <c r="I1747" s="323" t="str">
        <f t="shared" si="332"/>
        <v/>
      </c>
      <c r="J1747" s="323" t="str">
        <f t="shared" si="333"/>
        <v/>
      </c>
      <c r="K1747" s="324" t="str">
        <f t="shared" si="334"/>
        <v/>
      </c>
      <c r="L1747" s="88"/>
      <c r="M1747" s="88"/>
      <c r="N1747" s="88"/>
      <c r="O1747" s="88"/>
      <c r="P1747" s="88"/>
      <c r="Q1747" s="88"/>
      <c r="R1747" s="88"/>
      <c r="S1747" s="620"/>
      <c r="T1747" s="92"/>
      <c r="U1747" s="1214"/>
      <c r="V1747" s="1215"/>
      <c r="W1747" s="168"/>
      <c r="X1747" s="170"/>
    </row>
    <row r="1748" spans="1:24" ht="12.75" customHeight="1">
      <c r="A1748" s="15"/>
      <c r="B1748" s="92" t="str">
        <f t="shared" si="331"/>
        <v/>
      </c>
      <c r="C1748" s="90"/>
      <c r="D1748" s="87"/>
      <c r="E1748" s="88"/>
      <c r="F1748" s="173"/>
      <c r="G1748" s="88"/>
      <c r="H1748" s="88"/>
      <c r="I1748" s="323" t="str">
        <f t="shared" si="332"/>
        <v/>
      </c>
      <c r="J1748" s="323" t="str">
        <f t="shared" si="333"/>
        <v/>
      </c>
      <c r="K1748" s="324" t="str">
        <f t="shared" si="334"/>
        <v/>
      </c>
      <c r="L1748" s="88"/>
      <c r="M1748" s="88"/>
      <c r="N1748" s="88"/>
      <c r="O1748" s="88"/>
      <c r="P1748" s="88"/>
      <c r="Q1748" s="88"/>
      <c r="R1748" s="88"/>
      <c r="S1748" s="620"/>
      <c r="T1748" s="92"/>
      <c r="U1748" s="1214"/>
      <c r="V1748" s="1215"/>
      <c r="W1748" s="168"/>
      <c r="X1748" s="170"/>
    </row>
    <row r="1749" spans="1:24" ht="12.75" customHeight="1">
      <c r="A1749" s="15"/>
      <c r="B1749" s="92" t="str">
        <f t="shared" si="331"/>
        <v/>
      </c>
      <c r="C1749" s="90"/>
      <c r="D1749" s="87"/>
      <c r="E1749" s="88"/>
      <c r="F1749" s="173"/>
      <c r="G1749" s="88"/>
      <c r="H1749" s="88"/>
      <c r="I1749" s="323" t="str">
        <f t="shared" si="332"/>
        <v/>
      </c>
      <c r="J1749" s="323" t="str">
        <f t="shared" si="333"/>
        <v/>
      </c>
      <c r="K1749" s="324" t="str">
        <f t="shared" si="334"/>
        <v/>
      </c>
      <c r="L1749" s="88"/>
      <c r="M1749" s="88"/>
      <c r="N1749" s="88"/>
      <c r="O1749" s="88"/>
      <c r="P1749" s="88"/>
      <c r="Q1749" s="88"/>
      <c r="R1749" s="88"/>
      <c r="S1749" s="620"/>
      <c r="T1749" s="92"/>
      <c r="U1749" s="1214"/>
      <c r="V1749" s="1215"/>
      <c r="W1749" s="168"/>
      <c r="X1749" s="170"/>
    </row>
    <row r="1750" spans="1:24" ht="12.75" customHeight="1">
      <c r="A1750" s="15"/>
      <c r="B1750" s="92" t="str">
        <f t="shared" si="331"/>
        <v/>
      </c>
      <c r="C1750" s="90"/>
      <c r="D1750" s="87"/>
      <c r="E1750" s="88"/>
      <c r="F1750" s="173"/>
      <c r="G1750" s="88"/>
      <c r="H1750" s="88"/>
      <c r="I1750" s="323" t="str">
        <f t="shared" si="332"/>
        <v/>
      </c>
      <c r="J1750" s="323" t="str">
        <f t="shared" si="333"/>
        <v/>
      </c>
      <c r="K1750" s="324" t="str">
        <f t="shared" si="334"/>
        <v/>
      </c>
      <c r="L1750" s="88"/>
      <c r="M1750" s="88"/>
      <c r="N1750" s="88"/>
      <c r="O1750" s="88"/>
      <c r="P1750" s="88"/>
      <c r="Q1750" s="88"/>
      <c r="R1750" s="88"/>
      <c r="S1750" s="620"/>
      <c r="T1750" s="92"/>
      <c r="U1750" s="1214"/>
      <c r="V1750" s="1215"/>
      <c r="W1750" s="168"/>
      <c r="X1750" s="170"/>
    </row>
    <row r="1751" spans="1:24" ht="12.75" customHeight="1">
      <c r="A1751" s="15"/>
      <c r="B1751" s="92" t="str">
        <f t="shared" si="331"/>
        <v/>
      </c>
      <c r="C1751" s="90"/>
      <c r="D1751" s="87"/>
      <c r="E1751" s="88"/>
      <c r="F1751" s="173"/>
      <c r="G1751" s="88"/>
      <c r="H1751" s="88"/>
      <c r="I1751" s="323" t="str">
        <f t="shared" si="332"/>
        <v/>
      </c>
      <c r="J1751" s="323" t="str">
        <f t="shared" si="333"/>
        <v/>
      </c>
      <c r="K1751" s="324" t="str">
        <f t="shared" si="334"/>
        <v/>
      </c>
      <c r="L1751" s="88"/>
      <c r="M1751" s="88"/>
      <c r="N1751" s="88"/>
      <c r="O1751" s="88"/>
      <c r="P1751" s="88"/>
      <c r="Q1751" s="88"/>
      <c r="R1751" s="88"/>
      <c r="S1751" s="620"/>
      <c r="T1751" s="92"/>
      <c r="U1751" s="1214"/>
      <c r="V1751" s="1215"/>
      <c r="W1751" s="168"/>
      <c r="X1751" s="170"/>
    </row>
    <row r="1752" spans="1:24" ht="12.75" customHeight="1">
      <c r="A1752" s="15"/>
      <c r="B1752" s="92" t="str">
        <f t="shared" si="331"/>
        <v/>
      </c>
      <c r="C1752" s="90"/>
      <c r="D1752" s="87"/>
      <c r="E1752" s="88"/>
      <c r="F1752" s="173"/>
      <c r="G1752" s="88"/>
      <c r="H1752" s="88"/>
      <c r="I1752" s="323" t="str">
        <f t="shared" si="332"/>
        <v/>
      </c>
      <c r="J1752" s="323" t="str">
        <f t="shared" si="333"/>
        <v/>
      </c>
      <c r="K1752" s="324" t="str">
        <f t="shared" si="334"/>
        <v/>
      </c>
      <c r="L1752" s="88"/>
      <c r="M1752" s="88"/>
      <c r="N1752" s="88"/>
      <c r="O1752" s="88"/>
      <c r="P1752" s="88"/>
      <c r="Q1752" s="88"/>
      <c r="R1752" s="88"/>
      <c r="S1752" s="620"/>
      <c r="T1752" s="92"/>
      <c r="U1752" s="1214"/>
      <c r="V1752" s="1215"/>
      <c r="W1752" s="168"/>
      <c r="X1752" s="170"/>
    </row>
    <row r="1753" spans="1:24" ht="12.75" customHeight="1">
      <c r="A1753" s="15"/>
      <c r="B1753" s="92" t="str">
        <f t="shared" si="331"/>
        <v/>
      </c>
      <c r="C1753" s="90"/>
      <c r="D1753" s="87"/>
      <c r="E1753" s="88"/>
      <c r="F1753" s="173"/>
      <c r="G1753" s="88"/>
      <c r="H1753" s="88"/>
      <c r="I1753" s="323" t="str">
        <f t="shared" si="332"/>
        <v/>
      </c>
      <c r="J1753" s="323" t="str">
        <f t="shared" si="333"/>
        <v/>
      </c>
      <c r="K1753" s="324" t="str">
        <f t="shared" si="334"/>
        <v/>
      </c>
      <c r="L1753" s="88"/>
      <c r="M1753" s="88"/>
      <c r="N1753" s="88"/>
      <c r="O1753" s="88"/>
      <c r="P1753" s="88"/>
      <c r="Q1753" s="88"/>
      <c r="R1753" s="88"/>
      <c r="S1753" s="620"/>
      <c r="T1753" s="92"/>
      <c r="U1753" s="1214"/>
      <c r="V1753" s="1215"/>
      <c r="W1753" s="168"/>
      <c r="X1753" s="170"/>
    </row>
    <row r="1754" spans="1:24" ht="12.75" customHeight="1">
      <c r="A1754" s="15"/>
      <c r="B1754" s="92" t="str">
        <f t="shared" si="331"/>
        <v/>
      </c>
      <c r="C1754" s="90"/>
      <c r="D1754" s="87"/>
      <c r="E1754" s="88"/>
      <c r="F1754" s="173"/>
      <c r="G1754" s="88"/>
      <c r="H1754" s="88"/>
      <c r="I1754" s="323" t="str">
        <f t="shared" si="332"/>
        <v/>
      </c>
      <c r="J1754" s="323" t="str">
        <f t="shared" si="333"/>
        <v/>
      </c>
      <c r="K1754" s="324" t="str">
        <f t="shared" si="334"/>
        <v/>
      </c>
      <c r="L1754" s="88"/>
      <c r="M1754" s="88"/>
      <c r="N1754" s="88"/>
      <c r="O1754" s="88"/>
      <c r="P1754" s="88"/>
      <c r="Q1754" s="88"/>
      <c r="R1754" s="88"/>
      <c r="S1754" s="620"/>
      <c r="T1754" s="92"/>
      <c r="U1754" s="1214"/>
      <c r="V1754" s="1215"/>
      <c r="W1754" s="168"/>
      <c r="X1754" s="170"/>
    </row>
    <row r="1755" spans="1:24" ht="12.75" customHeight="1">
      <c r="A1755" s="15"/>
      <c r="B1755" s="92" t="str">
        <f t="shared" si="331"/>
        <v/>
      </c>
      <c r="C1755" s="90"/>
      <c r="D1755" s="87"/>
      <c r="E1755" s="88"/>
      <c r="F1755" s="173"/>
      <c r="G1755" s="88"/>
      <c r="H1755" s="88"/>
      <c r="I1755" s="323" t="str">
        <f t="shared" si="332"/>
        <v/>
      </c>
      <c r="J1755" s="323" t="str">
        <f t="shared" si="333"/>
        <v/>
      </c>
      <c r="K1755" s="324" t="str">
        <f t="shared" si="334"/>
        <v/>
      </c>
      <c r="L1755" s="88"/>
      <c r="M1755" s="88"/>
      <c r="N1755" s="88"/>
      <c r="O1755" s="88"/>
      <c r="P1755" s="88"/>
      <c r="Q1755" s="88"/>
      <c r="R1755" s="88"/>
      <c r="S1755" s="620"/>
      <c r="T1755" s="92"/>
      <c r="U1755" s="1214"/>
      <c r="V1755" s="1215"/>
      <c r="W1755" s="168"/>
      <c r="X1755" s="170"/>
    </row>
    <row r="1756" spans="1:24" ht="12.75" customHeight="1">
      <c r="A1756" s="15"/>
      <c r="B1756" s="92" t="str">
        <f t="shared" si="331"/>
        <v/>
      </c>
      <c r="C1756" s="90"/>
      <c r="D1756" s="87"/>
      <c r="E1756" s="88"/>
      <c r="F1756" s="173"/>
      <c r="G1756" s="88"/>
      <c r="H1756" s="88"/>
      <c r="I1756" s="323" t="str">
        <f t="shared" si="332"/>
        <v/>
      </c>
      <c r="J1756" s="323" t="str">
        <f t="shared" si="333"/>
        <v/>
      </c>
      <c r="K1756" s="324" t="str">
        <f t="shared" si="334"/>
        <v/>
      </c>
      <c r="L1756" s="88"/>
      <c r="M1756" s="88"/>
      <c r="N1756" s="88"/>
      <c r="O1756" s="88"/>
      <c r="P1756" s="88"/>
      <c r="Q1756" s="88"/>
      <c r="R1756" s="88"/>
      <c r="S1756" s="620"/>
      <c r="T1756" s="92"/>
      <c r="U1756" s="1214"/>
      <c r="V1756" s="1215"/>
      <c r="W1756" s="168"/>
      <c r="X1756" s="170"/>
    </row>
    <row r="1757" spans="1:24" ht="12.75" customHeight="1">
      <c r="A1757" s="15"/>
      <c r="B1757" s="92" t="str">
        <f t="shared" si="331"/>
        <v/>
      </c>
      <c r="C1757" s="90"/>
      <c r="D1757" s="87"/>
      <c r="E1757" s="88"/>
      <c r="F1757" s="173"/>
      <c r="G1757" s="88"/>
      <c r="H1757" s="88"/>
      <c r="I1757" s="323" t="str">
        <f t="shared" si="332"/>
        <v/>
      </c>
      <c r="J1757" s="323" t="str">
        <f t="shared" si="333"/>
        <v/>
      </c>
      <c r="K1757" s="324" t="str">
        <f t="shared" si="334"/>
        <v/>
      </c>
      <c r="L1757" s="88"/>
      <c r="M1757" s="88"/>
      <c r="N1757" s="88"/>
      <c r="O1757" s="88"/>
      <c r="P1757" s="88"/>
      <c r="Q1757" s="88"/>
      <c r="R1757" s="88"/>
      <c r="S1757" s="620"/>
      <c r="T1757" s="92"/>
      <c r="U1757" s="1214"/>
      <c r="V1757" s="1215"/>
      <c r="W1757" s="168"/>
      <c r="X1757" s="170"/>
    </row>
    <row r="1758" spans="1:24" ht="12.75" customHeight="1">
      <c r="A1758" s="15"/>
      <c r="B1758" s="92" t="str">
        <f t="shared" si="331"/>
        <v/>
      </c>
      <c r="C1758" s="90"/>
      <c r="D1758" s="87"/>
      <c r="E1758" s="88"/>
      <c r="F1758" s="173"/>
      <c r="G1758" s="88"/>
      <c r="H1758" s="88"/>
      <c r="I1758" s="323" t="str">
        <f t="shared" si="332"/>
        <v/>
      </c>
      <c r="J1758" s="323" t="str">
        <f t="shared" si="333"/>
        <v/>
      </c>
      <c r="K1758" s="324" t="str">
        <f t="shared" si="334"/>
        <v/>
      </c>
      <c r="L1758" s="88"/>
      <c r="M1758" s="88"/>
      <c r="N1758" s="88"/>
      <c r="O1758" s="88"/>
      <c r="P1758" s="88"/>
      <c r="Q1758" s="88"/>
      <c r="R1758" s="88"/>
      <c r="S1758" s="620"/>
      <c r="T1758" s="92"/>
      <c r="U1758" s="1214"/>
      <c r="V1758" s="1215"/>
      <c r="W1758" s="168"/>
      <c r="X1758" s="170"/>
    </row>
    <row r="1759" spans="1:24" ht="12.75" customHeight="1">
      <c r="A1759" s="15"/>
      <c r="B1759" s="92" t="str">
        <f t="shared" si="331"/>
        <v/>
      </c>
      <c r="C1759" s="90"/>
      <c r="D1759" s="87"/>
      <c r="E1759" s="88"/>
      <c r="F1759" s="173"/>
      <c r="G1759" s="88"/>
      <c r="H1759" s="88"/>
      <c r="I1759" s="323" t="str">
        <f t="shared" si="332"/>
        <v/>
      </c>
      <c r="J1759" s="323" t="str">
        <f t="shared" si="333"/>
        <v/>
      </c>
      <c r="K1759" s="324" t="str">
        <f t="shared" si="334"/>
        <v/>
      </c>
      <c r="L1759" s="88"/>
      <c r="M1759" s="88"/>
      <c r="N1759" s="88"/>
      <c r="O1759" s="88"/>
      <c r="P1759" s="88"/>
      <c r="Q1759" s="88"/>
      <c r="R1759" s="88"/>
      <c r="S1759" s="620"/>
      <c r="T1759" s="92"/>
      <c r="U1759" s="1214"/>
      <c r="V1759" s="1215"/>
      <c r="W1759" s="168"/>
      <c r="X1759" s="170"/>
    </row>
    <row r="1760" spans="1:24" ht="12.75" customHeight="1">
      <c r="A1760" s="15"/>
      <c r="B1760" s="92" t="str">
        <f t="shared" si="331"/>
        <v/>
      </c>
      <c r="C1760" s="90"/>
      <c r="D1760" s="87"/>
      <c r="E1760" s="88"/>
      <c r="F1760" s="173"/>
      <c r="G1760" s="88"/>
      <c r="H1760" s="88"/>
      <c r="I1760" s="323" t="str">
        <f t="shared" si="332"/>
        <v/>
      </c>
      <c r="J1760" s="323" t="str">
        <f t="shared" si="333"/>
        <v/>
      </c>
      <c r="K1760" s="324" t="str">
        <f t="shared" si="334"/>
        <v/>
      </c>
      <c r="L1760" s="88"/>
      <c r="M1760" s="88"/>
      <c r="N1760" s="88"/>
      <c r="O1760" s="88"/>
      <c r="P1760" s="88"/>
      <c r="Q1760" s="88"/>
      <c r="R1760" s="88"/>
      <c r="S1760" s="620"/>
      <c r="T1760" s="92"/>
      <c r="U1760" s="1214"/>
      <c r="V1760" s="1215"/>
      <c r="W1760" s="168"/>
      <c r="X1760" s="170"/>
    </row>
    <row r="1761" spans="1:24" ht="12.75" customHeight="1">
      <c r="A1761" s="15"/>
      <c r="B1761" s="92" t="str">
        <f t="shared" si="331"/>
        <v/>
      </c>
      <c r="C1761" s="90"/>
      <c r="D1761" s="87"/>
      <c r="E1761" s="88"/>
      <c r="F1761" s="173"/>
      <c r="G1761" s="88"/>
      <c r="H1761" s="88"/>
      <c r="I1761" s="323" t="str">
        <f t="shared" si="332"/>
        <v/>
      </c>
      <c r="J1761" s="323" t="str">
        <f t="shared" si="333"/>
        <v/>
      </c>
      <c r="K1761" s="324" t="str">
        <f t="shared" si="334"/>
        <v/>
      </c>
      <c r="L1761" s="88"/>
      <c r="M1761" s="88"/>
      <c r="N1761" s="88"/>
      <c r="O1761" s="88"/>
      <c r="P1761" s="88"/>
      <c r="Q1761" s="88"/>
      <c r="R1761" s="88"/>
      <c r="S1761" s="620"/>
      <c r="T1761" s="92"/>
      <c r="U1761" s="1214"/>
      <c r="V1761" s="1215"/>
      <c r="W1761" s="168"/>
      <c r="X1761" s="170"/>
    </row>
    <row r="1762" spans="1:24" ht="12.75" customHeight="1">
      <c r="A1762" s="15"/>
      <c r="B1762" s="92" t="str">
        <f t="shared" si="331"/>
        <v/>
      </c>
      <c r="C1762" s="90"/>
      <c r="D1762" s="87"/>
      <c r="E1762" s="88"/>
      <c r="F1762" s="173"/>
      <c r="G1762" s="88"/>
      <c r="H1762" s="88"/>
      <c r="I1762" s="323" t="str">
        <f t="shared" si="332"/>
        <v/>
      </c>
      <c r="J1762" s="323" t="str">
        <f t="shared" si="333"/>
        <v/>
      </c>
      <c r="K1762" s="324" t="str">
        <f t="shared" si="334"/>
        <v/>
      </c>
      <c r="L1762" s="88"/>
      <c r="M1762" s="88"/>
      <c r="N1762" s="88"/>
      <c r="O1762" s="88"/>
      <c r="P1762" s="88"/>
      <c r="Q1762" s="88"/>
      <c r="R1762" s="88"/>
      <c r="S1762" s="620"/>
      <c r="T1762" s="92"/>
      <c r="U1762" s="1214"/>
      <c r="V1762" s="1215"/>
      <c r="W1762" s="168"/>
      <c r="X1762" s="170"/>
    </row>
    <row r="1763" spans="1:24" ht="12.75" customHeight="1">
      <c r="A1763" s="15"/>
      <c r="B1763" s="92" t="str">
        <f t="shared" si="331"/>
        <v/>
      </c>
      <c r="C1763" s="90"/>
      <c r="D1763" s="87"/>
      <c r="E1763" s="88"/>
      <c r="F1763" s="173"/>
      <c r="G1763" s="88"/>
      <c r="H1763" s="88"/>
      <c r="I1763" s="323" t="str">
        <f t="shared" si="332"/>
        <v/>
      </c>
      <c r="J1763" s="323" t="str">
        <f t="shared" si="333"/>
        <v/>
      </c>
      <c r="K1763" s="324" t="str">
        <f t="shared" si="334"/>
        <v/>
      </c>
      <c r="L1763" s="88"/>
      <c r="M1763" s="88"/>
      <c r="N1763" s="88"/>
      <c r="O1763" s="88"/>
      <c r="P1763" s="88"/>
      <c r="Q1763" s="88"/>
      <c r="R1763" s="88"/>
      <c r="S1763" s="620"/>
      <c r="T1763" s="92"/>
      <c r="U1763" s="1214"/>
      <c r="V1763" s="1215"/>
      <c r="W1763" s="168"/>
      <c r="X1763" s="170"/>
    </row>
    <row r="1764" spans="1:24" ht="12.75" customHeight="1">
      <c r="A1764" s="15"/>
      <c r="B1764" s="92" t="str">
        <f t="shared" si="331"/>
        <v/>
      </c>
      <c r="C1764" s="90"/>
      <c r="D1764" s="87"/>
      <c r="E1764" s="88"/>
      <c r="F1764" s="173"/>
      <c r="G1764" s="88"/>
      <c r="H1764" s="88"/>
      <c r="I1764" s="323" t="str">
        <f t="shared" si="332"/>
        <v/>
      </c>
      <c r="J1764" s="323" t="str">
        <f t="shared" si="333"/>
        <v/>
      </c>
      <c r="K1764" s="324" t="str">
        <f t="shared" si="334"/>
        <v/>
      </c>
      <c r="L1764" s="88"/>
      <c r="M1764" s="88"/>
      <c r="N1764" s="88"/>
      <c r="O1764" s="88"/>
      <c r="P1764" s="88"/>
      <c r="Q1764" s="88"/>
      <c r="R1764" s="88"/>
      <c r="S1764" s="620"/>
      <c r="T1764" s="92"/>
      <c r="U1764" s="1214"/>
      <c r="V1764" s="1215"/>
      <c r="W1764" s="168"/>
      <c r="X1764" s="170"/>
    </row>
    <row r="1765" spans="1:24" ht="12.75" customHeight="1">
      <c r="A1765" s="15"/>
      <c r="B1765" s="92" t="str">
        <f t="shared" si="331"/>
        <v/>
      </c>
      <c r="C1765" s="90"/>
      <c r="D1765" s="87"/>
      <c r="E1765" s="88"/>
      <c r="F1765" s="173"/>
      <c r="G1765" s="88"/>
      <c r="H1765" s="88"/>
      <c r="I1765" s="323" t="str">
        <f t="shared" si="332"/>
        <v/>
      </c>
      <c r="J1765" s="323" t="str">
        <f t="shared" si="333"/>
        <v/>
      </c>
      <c r="K1765" s="324" t="str">
        <f t="shared" si="334"/>
        <v/>
      </c>
      <c r="L1765" s="88"/>
      <c r="M1765" s="88"/>
      <c r="N1765" s="88"/>
      <c r="O1765" s="88"/>
      <c r="P1765" s="88"/>
      <c r="Q1765" s="88"/>
      <c r="R1765" s="88"/>
      <c r="S1765" s="620"/>
      <c r="T1765" s="92"/>
      <c r="U1765" s="1214"/>
      <c r="V1765" s="1215"/>
      <c r="W1765" s="168"/>
      <c r="X1765" s="170"/>
    </row>
    <row r="1766" spans="1:24" ht="12.75" customHeight="1">
      <c r="A1766" s="15"/>
      <c r="B1766" s="92" t="str">
        <f t="shared" si="331"/>
        <v/>
      </c>
      <c r="C1766" s="90"/>
      <c r="D1766" s="87"/>
      <c r="E1766" s="88"/>
      <c r="F1766" s="173"/>
      <c r="G1766" s="88"/>
      <c r="H1766" s="88"/>
      <c r="I1766" s="323" t="str">
        <f t="shared" si="332"/>
        <v/>
      </c>
      <c r="J1766" s="323" t="str">
        <f t="shared" si="333"/>
        <v/>
      </c>
      <c r="K1766" s="324" t="str">
        <f t="shared" si="334"/>
        <v/>
      </c>
      <c r="L1766" s="88"/>
      <c r="M1766" s="88"/>
      <c r="N1766" s="88"/>
      <c r="O1766" s="88"/>
      <c r="P1766" s="88"/>
      <c r="Q1766" s="88"/>
      <c r="R1766" s="88"/>
      <c r="S1766" s="620"/>
      <c r="T1766" s="92"/>
      <c r="U1766" s="1214"/>
      <c r="V1766" s="1215"/>
      <c r="W1766" s="168"/>
      <c r="X1766" s="170"/>
    </row>
    <row r="1767" spans="1:24" ht="12.75" customHeight="1">
      <c r="A1767" s="15"/>
      <c r="B1767" s="92" t="str">
        <f t="shared" si="331"/>
        <v/>
      </c>
      <c r="C1767" s="90"/>
      <c r="D1767" s="87"/>
      <c r="E1767" s="88"/>
      <c r="F1767" s="173"/>
      <c r="G1767" s="88"/>
      <c r="H1767" s="88"/>
      <c r="I1767" s="323" t="str">
        <f t="shared" si="332"/>
        <v/>
      </c>
      <c r="J1767" s="323" t="str">
        <f t="shared" si="333"/>
        <v/>
      </c>
      <c r="K1767" s="324" t="str">
        <f t="shared" si="334"/>
        <v/>
      </c>
      <c r="L1767" s="88"/>
      <c r="M1767" s="88"/>
      <c r="N1767" s="88"/>
      <c r="O1767" s="88"/>
      <c r="P1767" s="88"/>
      <c r="Q1767" s="88"/>
      <c r="R1767" s="88"/>
      <c r="S1767" s="620"/>
      <c r="T1767" s="92"/>
      <c r="U1767" s="1214"/>
      <c r="V1767" s="1215"/>
      <c r="W1767" s="168"/>
      <c r="X1767" s="170"/>
    </row>
    <row r="1768" spans="1:24" ht="12.75" customHeight="1">
      <c r="A1768" s="15"/>
      <c r="B1768" s="92" t="str">
        <f t="shared" si="331"/>
        <v/>
      </c>
      <c r="C1768" s="90"/>
      <c r="D1768" s="87"/>
      <c r="E1768" s="88"/>
      <c r="F1768" s="173"/>
      <c r="G1768" s="88"/>
      <c r="H1768" s="88"/>
      <c r="I1768" s="323" t="str">
        <f t="shared" si="332"/>
        <v/>
      </c>
      <c r="J1768" s="323" t="str">
        <f t="shared" si="333"/>
        <v/>
      </c>
      <c r="K1768" s="324" t="str">
        <f t="shared" si="334"/>
        <v/>
      </c>
      <c r="L1768" s="88"/>
      <c r="M1768" s="88"/>
      <c r="N1768" s="88"/>
      <c r="O1768" s="88"/>
      <c r="P1768" s="88"/>
      <c r="Q1768" s="88"/>
      <c r="R1768" s="88"/>
      <c r="S1768" s="620"/>
      <c r="T1768" s="92"/>
      <c r="U1768" s="1214"/>
      <c r="V1768" s="1215"/>
      <c r="W1768" s="168"/>
      <c r="X1768" s="170"/>
    </row>
    <row r="1769" spans="1:24" ht="12.75" customHeight="1">
      <c r="A1769" s="15"/>
      <c r="B1769" s="92" t="str">
        <f t="shared" si="331"/>
        <v/>
      </c>
      <c r="C1769" s="90"/>
      <c r="D1769" s="87"/>
      <c r="E1769" s="88"/>
      <c r="F1769" s="173"/>
      <c r="G1769" s="88"/>
      <c r="H1769" s="88"/>
      <c r="I1769" s="323" t="str">
        <f t="shared" si="332"/>
        <v/>
      </c>
      <c r="J1769" s="323" t="str">
        <f t="shared" si="333"/>
        <v/>
      </c>
      <c r="K1769" s="324" t="str">
        <f t="shared" si="334"/>
        <v/>
      </c>
      <c r="L1769" s="88"/>
      <c r="M1769" s="88"/>
      <c r="N1769" s="88"/>
      <c r="O1769" s="88"/>
      <c r="P1769" s="88"/>
      <c r="Q1769" s="88"/>
      <c r="R1769" s="88"/>
      <c r="S1769" s="620"/>
      <c r="T1769" s="92"/>
      <c r="U1769" s="1214"/>
      <c r="V1769" s="1215"/>
      <c r="W1769" s="168"/>
      <c r="X1769" s="170"/>
    </row>
    <row r="1770" spans="1:24" ht="12.75" customHeight="1">
      <c r="A1770" s="15"/>
      <c r="B1770" s="92" t="str">
        <f t="shared" si="331"/>
        <v/>
      </c>
      <c r="C1770" s="90"/>
      <c r="D1770" s="87"/>
      <c r="E1770" s="88"/>
      <c r="F1770" s="173"/>
      <c r="G1770" s="88"/>
      <c r="H1770" s="88"/>
      <c r="I1770" s="323" t="str">
        <f t="shared" si="332"/>
        <v/>
      </c>
      <c r="J1770" s="323" t="str">
        <f t="shared" si="333"/>
        <v/>
      </c>
      <c r="K1770" s="324" t="str">
        <f t="shared" si="334"/>
        <v/>
      </c>
      <c r="L1770" s="88"/>
      <c r="M1770" s="88"/>
      <c r="N1770" s="88"/>
      <c r="O1770" s="88"/>
      <c r="P1770" s="88"/>
      <c r="Q1770" s="88"/>
      <c r="R1770" s="88"/>
      <c r="S1770" s="620"/>
      <c r="T1770" s="92"/>
      <c r="U1770" s="1214"/>
      <c r="V1770" s="1215"/>
      <c r="W1770" s="168"/>
      <c r="X1770" s="170"/>
    </row>
    <row r="1771" spans="1:24" ht="12.75" customHeight="1">
      <c r="A1771" s="15"/>
      <c r="B1771" s="92" t="str">
        <f t="shared" si="331"/>
        <v/>
      </c>
      <c r="C1771" s="90"/>
      <c r="D1771" s="87"/>
      <c r="E1771" s="88"/>
      <c r="F1771" s="173"/>
      <c r="G1771" s="88"/>
      <c r="H1771" s="88"/>
      <c r="I1771" s="323" t="str">
        <f t="shared" si="332"/>
        <v/>
      </c>
      <c r="J1771" s="323" t="str">
        <f t="shared" si="333"/>
        <v/>
      </c>
      <c r="K1771" s="324" t="str">
        <f t="shared" si="334"/>
        <v/>
      </c>
      <c r="L1771" s="88"/>
      <c r="M1771" s="88"/>
      <c r="N1771" s="88"/>
      <c r="O1771" s="88"/>
      <c r="P1771" s="88"/>
      <c r="Q1771" s="88"/>
      <c r="R1771" s="88"/>
      <c r="S1771" s="620"/>
      <c r="T1771" s="92"/>
      <c r="U1771" s="1214"/>
      <c r="V1771" s="1215"/>
      <c r="W1771" s="168"/>
      <c r="X1771" s="170"/>
    </row>
    <row r="1772" spans="1:24" ht="12.75" customHeight="1">
      <c r="A1772" s="15"/>
      <c r="B1772" s="92" t="str">
        <f t="shared" si="331"/>
        <v/>
      </c>
      <c r="C1772" s="90"/>
      <c r="D1772" s="87"/>
      <c r="E1772" s="88"/>
      <c r="F1772" s="173"/>
      <c r="G1772" s="88"/>
      <c r="H1772" s="88"/>
      <c r="I1772" s="323" t="str">
        <f t="shared" si="332"/>
        <v/>
      </c>
      <c r="J1772" s="323" t="str">
        <f t="shared" si="333"/>
        <v/>
      </c>
      <c r="K1772" s="324" t="str">
        <f t="shared" si="334"/>
        <v/>
      </c>
      <c r="L1772" s="88"/>
      <c r="M1772" s="88"/>
      <c r="N1772" s="88"/>
      <c r="O1772" s="88"/>
      <c r="P1772" s="88"/>
      <c r="Q1772" s="88"/>
      <c r="R1772" s="88"/>
      <c r="S1772" s="620"/>
      <c r="T1772" s="92"/>
      <c r="U1772" s="1214"/>
      <c r="V1772" s="1215"/>
      <c r="W1772" s="168"/>
      <c r="X1772" s="170"/>
    </row>
    <row r="1773" spans="1:24" ht="12.75" customHeight="1">
      <c r="A1773" s="15"/>
      <c r="B1773" s="92" t="str">
        <f t="shared" si="331"/>
        <v/>
      </c>
      <c r="C1773" s="90"/>
      <c r="D1773" s="87"/>
      <c r="E1773" s="88"/>
      <c r="F1773" s="173"/>
      <c r="G1773" s="88"/>
      <c r="H1773" s="88"/>
      <c r="I1773" s="323" t="str">
        <f t="shared" si="332"/>
        <v/>
      </c>
      <c r="J1773" s="323" t="str">
        <f t="shared" si="333"/>
        <v/>
      </c>
      <c r="K1773" s="324" t="str">
        <f t="shared" si="334"/>
        <v/>
      </c>
      <c r="L1773" s="88"/>
      <c r="M1773" s="88"/>
      <c r="N1773" s="88"/>
      <c r="O1773" s="88"/>
      <c r="P1773" s="88"/>
      <c r="Q1773" s="88"/>
      <c r="R1773" s="88"/>
      <c r="S1773" s="620"/>
      <c r="T1773" s="92"/>
      <c r="U1773" s="1214"/>
      <c r="V1773" s="1215"/>
      <c r="W1773" s="168"/>
      <c r="X1773" s="170"/>
    </row>
    <row r="1774" spans="1:24" ht="12.75" customHeight="1">
      <c r="A1774" s="15"/>
      <c r="B1774" s="92" t="str">
        <f t="shared" si="331"/>
        <v/>
      </c>
      <c r="C1774" s="90"/>
      <c r="D1774" s="87"/>
      <c r="E1774" s="88"/>
      <c r="F1774" s="173"/>
      <c r="G1774" s="88"/>
      <c r="H1774" s="88"/>
      <c r="I1774" s="323" t="str">
        <f t="shared" si="332"/>
        <v/>
      </c>
      <c r="J1774" s="323" t="str">
        <f t="shared" si="333"/>
        <v/>
      </c>
      <c r="K1774" s="324" t="str">
        <f t="shared" si="334"/>
        <v/>
      </c>
      <c r="L1774" s="88"/>
      <c r="M1774" s="88"/>
      <c r="N1774" s="88"/>
      <c r="O1774" s="88"/>
      <c r="P1774" s="88"/>
      <c r="Q1774" s="88"/>
      <c r="R1774" s="88"/>
      <c r="S1774" s="620"/>
      <c r="T1774" s="92"/>
      <c r="U1774" s="1214"/>
      <c r="V1774" s="1215"/>
      <c r="W1774" s="168"/>
      <c r="X1774" s="170"/>
    </row>
    <row r="1775" spans="1:24" ht="12.75" customHeight="1">
      <c r="A1775" s="15"/>
      <c r="B1775" s="92" t="str">
        <f t="shared" ref="B1775:B1838" si="335">IF(C1775="","",ROW()-5)</f>
        <v/>
      </c>
      <c r="C1775" s="90"/>
      <c r="D1775" s="87"/>
      <c r="E1775" s="88"/>
      <c r="F1775" s="173"/>
      <c r="G1775" s="88"/>
      <c r="H1775" s="88"/>
      <c r="I1775" s="323" t="str">
        <f t="shared" si="332"/>
        <v/>
      </c>
      <c r="J1775" s="323" t="str">
        <f t="shared" si="333"/>
        <v/>
      </c>
      <c r="K1775" s="324" t="str">
        <f t="shared" si="334"/>
        <v/>
      </c>
      <c r="L1775" s="88"/>
      <c r="M1775" s="88"/>
      <c r="N1775" s="88"/>
      <c r="O1775" s="88"/>
      <c r="P1775" s="88"/>
      <c r="Q1775" s="88"/>
      <c r="R1775" s="88"/>
      <c r="S1775" s="620"/>
      <c r="T1775" s="92"/>
      <c r="U1775" s="1214"/>
      <c r="V1775" s="1215"/>
      <c r="W1775" s="168"/>
      <c r="X1775" s="170"/>
    </row>
    <row r="1776" spans="1:24" ht="12.75" customHeight="1">
      <c r="A1776" s="15"/>
      <c r="B1776" s="92" t="str">
        <f t="shared" si="335"/>
        <v/>
      </c>
      <c r="C1776" s="90"/>
      <c r="D1776" s="87"/>
      <c r="E1776" s="88"/>
      <c r="F1776" s="173"/>
      <c r="G1776" s="88"/>
      <c r="H1776" s="88"/>
      <c r="I1776" s="323" t="str">
        <f t="shared" si="332"/>
        <v/>
      </c>
      <c r="J1776" s="323" t="str">
        <f t="shared" si="333"/>
        <v/>
      </c>
      <c r="K1776" s="324" t="str">
        <f t="shared" si="334"/>
        <v/>
      </c>
      <c r="L1776" s="88"/>
      <c r="M1776" s="88"/>
      <c r="N1776" s="88"/>
      <c r="O1776" s="88"/>
      <c r="P1776" s="88"/>
      <c r="Q1776" s="88"/>
      <c r="R1776" s="88"/>
      <c r="S1776" s="620"/>
      <c r="T1776" s="92"/>
      <c r="U1776" s="1214"/>
      <c r="V1776" s="1215"/>
      <c r="W1776" s="168"/>
      <c r="X1776" s="170"/>
    </row>
    <row r="1777" spans="1:24" ht="12.75" customHeight="1">
      <c r="A1777" s="15"/>
      <c r="B1777" s="92" t="str">
        <f t="shared" si="335"/>
        <v/>
      </c>
      <c r="C1777" s="90"/>
      <c r="D1777" s="87"/>
      <c r="E1777" s="88"/>
      <c r="F1777" s="173"/>
      <c r="G1777" s="88"/>
      <c r="H1777" s="88"/>
      <c r="I1777" s="323" t="str">
        <f t="shared" si="332"/>
        <v/>
      </c>
      <c r="J1777" s="323" t="str">
        <f t="shared" si="333"/>
        <v/>
      </c>
      <c r="K1777" s="324" t="str">
        <f t="shared" si="334"/>
        <v/>
      </c>
      <c r="L1777" s="88"/>
      <c r="M1777" s="88"/>
      <c r="N1777" s="88"/>
      <c r="O1777" s="88"/>
      <c r="P1777" s="88"/>
      <c r="Q1777" s="88"/>
      <c r="R1777" s="88"/>
      <c r="S1777" s="620"/>
      <c r="T1777" s="92"/>
      <c r="U1777" s="1214"/>
      <c r="V1777" s="1215"/>
      <c r="W1777" s="168"/>
      <c r="X1777" s="170"/>
    </row>
    <row r="1778" spans="1:24" ht="12.75" customHeight="1">
      <c r="A1778" s="15"/>
      <c r="B1778" s="92" t="str">
        <f t="shared" si="335"/>
        <v/>
      </c>
      <c r="C1778" s="90"/>
      <c r="D1778" s="87"/>
      <c r="E1778" s="88"/>
      <c r="F1778" s="173"/>
      <c r="G1778" s="88"/>
      <c r="H1778" s="88"/>
      <c r="I1778" s="323" t="str">
        <f t="shared" si="332"/>
        <v/>
      </c>
      <c r="J1778" s="323" t="str">
        <f t="shared" si="333"/>
        <v/>
      </c>
      <c r="K1778" s="324" t="str">
        <f t="shared" si="334"/>
        <v/>
      </c>
      <c r="L1778" s="88"/>
      <c r="M1778" s="88"/>
      <c r="N1778" s="88"/>
      <c r="O1778" s="88"/>
      <c r="P1778" s="88"/>
      <c r="Q1778" s="88"/>
      <c r="R1778" s="88"/>
      <c r="S1778" s="620"/>
      <c r="T1778" s="92"/>
      <c r="U1778" s="1214"/>
      <c r="V1778" s="1215"/>
      <c r="W1778" s="168"/>
      <c r="X1778" s="170"/>
    </row>
    <row r="1779" spans="1:24" ht="12.75" customHeight="1">
      <c r="A1779" s="15"/>
      <c r="B1779" s="92" t="str">
        <f t="shared" si="335"/>
        <v/>
      </c>
      <c r="C1779" s="90"/>
      <c r="D1779" s="87"/>
      <c r="E1779" s="88"/>
      <c r="F1779" s="173"/>
      <c r="G1779" s="88"/>
      <c r="H1779" s="88"/>
      <c r="I1779" s="323" t="str">
        <f t="shared" si="332"/>
        <v/>
      </c>
      <c r="J1779" s="323" t="str">
        <f t="shared" si="333"/>
        <v/>
      </c>
      <c r="K1779" s="324" t="str">
        <f t="shared" si="334"/>
        <v/>
      </c>
      <c r="L1779" s="88"/>
      <c r="M1779" s="88"/>
      <c r="N1779" s="88"/>
      <c r="O1779" s="88"/>
      <c r="P1779" s="88"/>
      <c r="Q1779" s="88"/>
      <c r="R1779" s="88"/>
      <c r="S1779" s="620"/>
      <c r="T1779" s="92"/>
      <c r="U1779" s="1214"/>
      <c r="V1779" s="1215"/>
      <c r="W1779" s="168"/>
      <c r="X1779" s="170"/>
    </row>
    <row r="1780" spans="1:24" ht="12.75" customHeight="1">
      <c r="A1780" s="15"/>
      <c r="B1780" s="92" t="str">
        <f t="shared" si="335"/>
        <v/>
      </c>
      <c r="C1780" s="90"/>
      <c r="D1780" s="87"/>
      <c r="E1780" s="88"/>
      <c r="F1780" s="173"/>
      <c r="G1780" s="88"/>
      <c r="H1780" s="88"/>
      <c r="I1780" s="323" t="str">
        <f t="shared" si="332"/>
        <v/>
      </c>
      <c r="J1780" s="323" t="str">
        <f t="shared" si="333"/>
        <v/>
      </c>
      <c r="K1780" s="324" t="str">
        <f t="shared" si="334"/>
        <v/>
      </c>
      <c r="L1780" s="88"/>
      <c r="M1780" s="88"/>
      <c r="N1780" s="88"/>
      <c r="O1780" s="88"/>
      <c r="P1780" s="88"/>
      <c r="Q1780" s="88"/>
      <c r="R1780" s="88"/>
      <c r="S1780" s="620"/>
      <c r="T1780" s="92"/>
      <c r="U1780" s="1214"/>
      <c r="V1780" s="1215"/>
      <c r="W1780" s="168"/>
      <c r="X1780" s="170"/>
    </row>
    <row r="1781" spans="1:24" ht="12.75" customHeight="1">
      <c r="A1781" s="15"/>
      <c r="B1781" s="92" t="str">
        <f t="shared" si="335"/>
        <v/>
      </c>
      <c r="C1781" s="90"/>
      <c r="D1781" s="87"/>
      <c r="E1781" s="88"/>
      <c r="F1781" s="173"/>
      <c r="G1781" s="88"/>
      <c r="H1781" s="88"/>
      <c r="I1781" s="323" t="str">
        <f t="shared" si="332"/>
        <v/>
      </c>
      <c r="J1781" s="323" t="str">
        <f t="shared" si="333"/>
        <v/>
      </c>
      <c r="K1781" s="324" t="str">
        <f t="shared" si="334"/>
        <v/>
      </c>
      <c r="L1781" s="88"/>
      <c r="M1781" s="88"/>
      <c r="N1781" s="88"/>
      <c r="O1781" s="88"/>
      <c r="P1781" s="88"/>
      <c r="Q1781" s="88"/>
      <c r="R1781" s="88"/>
      <c r="S1781" s="620"/>
      <c r="T1781" s="92"/>
      <c r="U1781" s="1214"/>
      <c r="V1781" s="1215"/>
      <c r="W1781" s="168"/>
      <c r="X1781" s="170"/>
    </row>
    <row r="1782" spans="1:24" ht="12.75" customHeight="1">
      <c r="A1782" s="15"/>
      <c r="B1782" s="92" t="str">
        <f t="shared" si="335"/>
        <v/>
      </c>
      <c r="C1782" s="90"/>
      <c r="D1782" s="87"/>
      <c r="E1782" s="88"/>
      <c r="F1782" s="173"/>
      <c r="G1782" s="88"/>
      <c r="H1782" s="88"/>
      <c r="I1782" s="323" t="str">
        <f t="shared" si="332"/>
        <v/>
      </c>
      <c r="J1782" s="323" t="str">
        <f t="shared" si="333"/>
        <v/>
      </c>
      <c r="K1782" s="324" t="str">
        <f t="shared" si="334"/>
        <v/>
      </c>
      <c r="L1782" s="88"/>
      <c r="M1782" s="88"/>
      <c r="N1782" s="88"/>
      <c r="O1782" s="88"/>
      <c r="P1782" s="88"/>
      <c r="Q1782" s="88"/>
      <c r="R1782" s="88"/>
      <c r="S1782" s="620"/>
      <c r="T1782" s="92"/>
      <c r="U1782" s="1214"/>
      <c r="V1782" s="1215"/>
      <c r="W1782" s="168"/>
      <c r="X1782" s="170"/>
    </row>
    <row r="1783" spans="1:24" ht="12.75" customHeight="1">
      <c r="A1783" s="15"/>
      <c r="B1783" s="92" t="str">
        <f t="shared" si="335"/>
        <v/>
      </c>
      <c r="C1783" s="90"/>
      <c r="D1783" s="87"/>
      <c r="E1783" s="88"/>
      <c r="F1783" s="173"/>
      <c r="G1783" s="88"/>
      <c r="H1783" s="88"/>
      <c r="I1783" s="323" t="str">
        <f t="shared" si="332"/>
        <v/>
      </c>
      <c r="J1783" s="323" t="str">
        <f t="shared" si="333"/>
        <v/>
      </c>
      <c r="K1783" s="324" t="str">
        <f t="shared" si="334"/>
        <v/>
      </c>
      <c r="L1783" s="88"/>
      <c r="M1783" s="88"/>
      <c r="N1783" s="88"/>
      <c r="O1783" s="88"/>
      <c r="P1783" s="88"/>
      <c r="Q1783" s="88"/>
      <c r="R1783" s="88"/>
      <c r="S1783" s="620"/>
      <c r="T1783" s="92"/>
      <c r="U1783" s="1214"/>
      <c r="V1783" s="1215"/>
      <c r="W1783" s="168"/>
      <c r="X1783" s="170"/>
    </row>
    <row r="1784" spans="1:24" ht="12.75" customHeight="1">
      <c r="A1784" s="15"/>
      <c r="B1784" s="92" t="str">
        <f t="shared" si="335"/>
        <v/>
      </c>
      <c r="C1784" s="90"/>
      <c r="D1784" s="87"/>
      <c r="E1784" s="88"/>
      <c r="F1784" s="173"/>
      <c r="G1784" s="88"/>
      <c r="H1784" s="88"/>
      <c r="I1784" s="323" t="str">
        <f t="shared" si="332"/>
        <v/>
      </c>
      <c r="J1784" s="323" t="str">
        <f t="shared" si="333"/>
        <v/>
      </c>
      <c r="K1784" s="324" t="str">
        <f t="shared" si="334"/>
        <v/>
      </c>
      <c r="L1784" s="88"/>
      <c r="M1784" s="88"/>
      <c r="N1784" s="88"/>
      <c r="O1784" s="88"/>
      <c r="P1784" s="88"/>
      <c r="Q1784" s="88"/>
      <c r="R1784" s="88"/>
      <c r="S1784" s="620"/>
      <c r="T1784" s="92"/>
      <c r="U1784" s="1214"/>
      <c r="V1784" s="1215"/>
      <c r="W1784" s="168"/>
      <c r="X1784" s="170"/>
    </row>
    <row r="1785" spans="1:24" ht="12.75" customHeight="1">
      <c r="A1785" s="15"/>
      <c r="B1785" s="92" t="str">
        <f t="shared" si="335"/>
        <v/>
      </c>
      <c r="C1785" s="90"/>
      <c r="D1785" s="87"/>
      <c r="E1785" s="88"/>
      <c r="F1785" s="173"/>
      <c r="G1785" s="88"/>
      <c r="H1785" s="88"/>
      <c r="I1785" s="323" t="str">
        <f t="shared" si="332"/>
        <v/>
      </c>
      <c r="J1785" s="323" t="str">
        <f t="shared" si="333"/>
        <v/>
      </c>
      <c r="K1785" s="324" t="str">
        <f t="shared" si="334"/>
        <v/>
      </c>
      <c r="L1785" s="88"/>
      <c r="M1785" s="88"/>
      <c r="N1785" s="88"/>
      <c r="O1785" s="88"/>
      <c r="P1785" s="88"/>
      <c r="Q1785" s="88"/>
      <c r="R1785" s="88"/>
      <c r="S1785" s="620"/>
      <c r="T1785" s="92"/>
      <c r="U1785" s="1214"/>
      <c r="V1785" s="1215"/>
      <c r="W1785" s="168"/>
      <c r="X1785" s="170"/>
    </row>
    <row r="1786" spans="1:24" ht="12.75" customHeight="1">
      <c r="A1786" s="15"/>
      <c r="B1786" s="92" t="str">
        <f t="shared" si="335"/>
        <v/>
      </c>
      <c r="C1786" s="90"/>
      <c r="D1786" s="87"/>
      <c r="E1786" s="88"/>
      <c r="F1786" s="173"/>
      <c r="G1786" s="88"/>
      <c r="H1786" s="88"/>
      <c r="I1786" s="323" t="str">
        <f t="shared" si="332"/>
        <v/>
      </c>
      <c r="J1786" s="323" t="str">
        <f t="shared" si="333"/>
        <v/>
      </c>
      <c r="K1786" s="324" t="str">
        <f t="shared" si="334"/>
        <v/>
      </c>
      <c r="L1786" s="88"/>
      <c r="M1786" s="88"/>
      <c r="N1786" s="88"/>
      <c r="O1786" s="88"/>
      <c r="P1786" s="88"/>
      <c r="Q1786" s="88"/>
      <c r="R1786" s="88"/>
      <c r="S1786" s="620"/>
      <c r="T1786" s="92"/>
      <c r="U1786" s="1214"/>
      <c r="V1786" s="1215"/>
      <c r="W1786" s="168"/>
      <c r="X1786" s="170"/>
    </row>
    <row r="1787" spans="1:24" ht="12.75" customHeight="1">
      <c r="A1787" s="15"/>
      <c r="B1787" s="92" t="str">
        <f t="shared" si="335"/>
        <v/>
      </c>
      <c r="C1787" s="90"/>
      <c r="D1787" s="87"/>
      <c r="E1787" s="88"/>
      <c r="F1787" s="173"/>
      <c r="G1787" s="88"/>
      <c r="H1787" s="88"/>
      <c r="I1787" s="323" t="str">
        <f t="shared" si="332"/>
        <v/>
      </c>
      <c r="J1787" s="323" t="str">
        <f t="shared" si="333"/>
        <v/>
      </c>
      <c r="K1787" s="324" t="str">
        <f t="shared" si="334"/>
        <v/>
      </c>
      <c r="L1787" s="88"/>
      <c r="M1787" s="88"/>
      <c r="N1787" s="88"/>
      <c r="O1787" s="88"/>
      <c r="P1787" s="88"/>
      <c r="Q1787" s="88"/>
      <c r="R1787" s="88"/>
      <c r="S1787" s="620"/>
      <c r="T1787" s="92"/>
      <c r="U1787" s="1214"/>
      <c r="V1787" s="1215"/>
      <c r="W1787" s="168"/>
      <c r="X1787" s="170"/>
    </row>
    <row r="1788" spans="1:24" ht="12.75" customHeight="1">
      <c r="A1788" s="15"/>
      <c r="B1788" s="92" t="str">
        <f t="shared" si="335"/>
        <v/>
      </c>
      <c r="C1788" s="90"/>
      <c r="D1788" s="87"/>
      <c r="E1788" s="88"/>
      <c r="F1788" s="173"/>
      <c r="G1788" s="88"/>
      <c r="H1788" s="88"/>
      <c r="I1788" s="323" t="str">
        <f t="shared" si="332"/>
        <v/>
      </c>
      <c r="J1788" s="323" t="str">
        <f t="shared" si="333"/>
        <v/>
      </c>
      <c r="K1788" s="324" t="str">
        <f t="shared" si="334"/>
        <v/>
      </c>
      <c r="L1788" s="88"/>
      <c r="M1788" s="88"/>
      <c r="N1788" s="88"/>
      <c r="O1788" s="88"/>
      <c r="P1788" s="88"/>
      <c r="Q1788" s="88"/>
      <c r="R1788" s="88"/>
      <c r="S1788" s="620"/>
      <c r="T1788" s="92"/>
      <c r="U1788" s="1214"/>
      <c r="V1788" s="1215"/>
      <c r="W1788" s="168"/>
      <c r="X1788" s="170"/>
    </row>
    <row r="1789" spans="1:24" ht="12.75" customHeight="1">
      <c r="A1789" s="15"/>
      <c r="B1789" s="92" t="str">
        <f t="shared" si="335"/>
        <v/>
      </c>
      <c r="C1789" s="90"/>
      <c r="D1789" s="87"/>
      <c r="E1789" s="88"/>
      <c r="F1789" s="173"/>
      <c r="G1789" s="88"/>
      <c r="H1789" s="88"/>
      <c r="I1789" s="323" t="str">
        <f t="shared" si="332"/>
        <v/>
      </c>
      <c r="J1789" s="323" t="str">
        <f t="shared" si="333"/>
        <v/>
      </c>
      <c r="K1789" s="324" t="str">
        <f t="shared" si="334"/>
        <v/>
      </c>
      <c r="L1789" s="88"/>
      <c r="M1789" s="88"/>
      <c r="N1789" s="88"/>
      <c r="O1789" s="88"/>
      <c r="P1789" s="88"/>
      <c r="Q1789" s="88"/>
      <c r="R1789" s="88"/>
      <c r="S1789" s="620"/>
      <c r="T1789" s="92"/>
      <c r="U1789" s="1214"/>
      <c r="V1789" s="1215"/>
      <c r="W1789" s="168"/>
      <c r="X1789" s="170"/>
    </row>
    <row r="1790" spans="1:24" ht="12.75" customHeight="1">
      <c r="A1790" s="15"/>
      <c r="B1790" s="92" t="str">
        <f t="shared" si="335"/>
        <v/>
      </c>
      <c r="C1790" s="90"/>
      <c r="D1790" s="87"/>
      <c r="E1790" s="88"/>
      <c r="F1790" s="173"/>
      <c r="G1790" s="88"/>
      <c r="H1790" s="88"/>
      <c r="I1790" s="323" t="str">
        <f t="shared" si="332"/>
        <v/>
      </c>
      <c r="J1790" s="323" t="str">
        <f t="shared" si="333"/>
        <v/>
      </c>
      <c r="K1790" s="324" t="str">
        <f t="shared" si="334"/>
        <v/>
      </c>
      <c r="L1790" s="88"/>
      <c r="M1790" s="88"/>
      <c r="N1790" s="88"/>
      <c r="O1790" s="88"/>
      <c r="P1790" s="88"/>
      <c r="Q1790" s="88"/>
      <c r="R1790" s="88"/>
      <c r="S1790" s="620"/>
      <c r="T1790" s="92"/>
      <c r="U1790" s="1214"/>
      <c r="V1790" s="1215"/>
      <c r="W1790" s="168"/>
      <c r="X1790" s="170"/>
    </row>
    <row r="1791" spans="1:24" ht="12.75" customHeight="1">
      <c r="A1791" s="15"/>
      <c r="B1791" s="92" t="str">
        <f t="shared" si="335"/>
        <v/>
      </c>
      <c r="C1791" s="90"/>
      <c r="D1791" s="87"/>
      <c r="E1791" s="88"/>
      <c r="F1791" s="173"/>
      <c r="G1791" s="88"/>
      <c r="H1791" s="88"/>
      <c r="I1791" s="323" t="str">
        <f t="shared" ref="I1791:I1854" si="336">+IF(G1791="","",G1791*H1791)</f>
        <v/>
      </c>
      <c r="J1791" s="323" t="str">
        <f t="shared" ref="J1791:J1854" si="337">+IF(G1791="","",I1791*0.1)</f>
        <v/>
      </c>
      <c r="K1791" s="324" t="str">
        <f t="shared" ref="K1791:K1854" si="338">+IF(G1791="","",I1791+J1791)</f>
        <v/>
      </c>
      <c r="L1791" s="88"/>
      <c r="M1791" s="88"/>
      <c r="N1791" s="88"/>
      <c r="O1791" s="88"/>
      <c r="P1791" s="88"/>
      <c r="Q1791" s="88"/>
      <c r="R1791" s="88"/>
      <c r="S1791" s="620"/>
      <c r="T1791" s="92"/>
      <c r="U1791" s="1214"/>
      <c r="V1791" s="1215"/>
      <c r="W1791" s="168"/>
      <c r="X1791" s="170"/>
    </row>
    <row r="1792" spans="1:24" ht="12.75" customHeight="1">
      <c r="A1792" s="15"/>
      <c r="B1792" s="92" t="str">
        <f t="shared" si="335"/>
        <v/>
      </c>
      <c r="C1792" s="90"/>
      <c r="D1792" s="87"/>
      <c r="E1792" s="88"/>
      <c r="F1792" s="173"/>
      <c r="G1792" s="88"/>
      <c r="H1792" s="88"/>
      <c r="I1792" s="323" t="str">
        <f t="shared" si="336"/>
        <v/>
      </c>
      <c r="J1792" s="323" t="str">
        <f t="shared" si="337"/>
        <v/>
      </c>
      <c r="K1792" s="324" t="str">
        <f t="shared" si="338"/>
        <v/>
      </c>
      <c r="L1792" s="88"/>
      <c r="M1792" s="88"/>
      <c r="N1792" s="88"/>
      <c r="O1792" s="88"/>
      <c r="P1792" s="88"/>
      <c r="Q1792" s="88"/>
      <c r="R1792" s="88"/>
      <c r="S1792" s="620"/>
      <c r="T1792" s="92"/>
      <c r="U1792" s="1214"/>
      <c r="V1792" s="1215"/>
      <c r="W1792" s="168"/>
      <c r="X1792" s="170"/>
    </row>
    <row r="1793" spans="1:24" ht="12.75" customHeight="1">
      <c r="A1793" s="15"/>
      <c r="B1793" s="92" t="str">
        <f t="shared" si="335"/>
        <v/>
      </c>
      <c r="C1793" s="90"/>
      <c r="D1793" s="87"/>
      <c r="E1793" s="88"/>
      <c r="F1793" s="173"/>
      <c r="G1793" s="88"/>
      <c r="H1793" s="88"/>
      <c r="I1793" s="323" t="str">
        <f t="shared" si="336"/>
        <v/>
      </c>
      <c r="J1793" s="323" t="str">
        <f t="shared" si="337"/>
        <v/>
      </c>
      <c r="K1793" s="324" t="str">
        <f t="shared" si="338"/>
        <v/>
      </c>
      <c r="L1793" s="88"/>
      <c r="M1793" s="88"/>
      <c r="N1793" s="88"/>
      <c r="O1793" s="88"/>
      <c r="P1793" s="88"/>
      <c r="Q1793" s="88"/>
      <c r="R1793" s="88"/>
      <c r="S1793" s="620"/>
      <c r="T1793" s="92"/>
      <c r="U1793" s="1214"/>
      <c r="V1793" s="1215"/>
      <c r="W1793" s="168"/>
      <c r="X1793" s="170"/>
    </row>
    <row r="1794" spans="1:24" ht="12.75" customHeight="1">
      <c r="A1794" s="15"/>
      <c r="B1794" s="92" t="str">
        <f t="shared" si="335"/>
        <v/>
      </c>
      <c r="C1794" s="90"/>
      <c r="D1794" s="87"/>
      <c r="E1794" s="88"/>
      <c r="F1794" s="173"/>
      <c r="G1794" s="88"/>
      <c r="H1794" s="88"/>
      <c r="I1794" s="323" t="str">
        <f t="shared" si="336"/>
        <v/>
      </c>
      <c r="J1794" s="323" t="str">
        <f t="shared" si="337"/>
        <v/>
      </c>
      <c r="K1794" s="324" t="str">
        <f t="shared" si="338"/>
        <v/>
      </c>
      <c r="L1794" s="88"/>
      <c r="M1794" s="88"/>
      <c r="N1794" s="88"/>
      <c r="O1794" s="88"/>
      <c r="P1794" s="88"/>
      <c r="Q1794" s="88"/>
      <c r="R1794" s="88"/>
      <c r="S1794" s="620"/>
      <c r="T1794" s="92"/>
      <c r="U1794" s="1214"/>
      <c r="V1794" s="1215"/>
      <c r="W1794" s="168"/>
      <c r="X1794" s="170"/>
    </row>
    <row r="1795" spans="1:24" ht="12.75" customHeight="1">
      <c r="A1795" s="15"/>
      <c r="B1795" s="92" t="str">
        <f t="shared" si="335"/>
        <v/>
      </c>
      <c r="C1795" s="90"/>
      <c r="D1795" s="87"/>
      <c r="E1795" s="88"/>
      <c r="F1795" s="173"/>
      <c r="G1795" s="88"/>
      <c r="H1795" s="88"/>
      <c r="I1795" s="323" t="str">
        <f t="shared" si="336"/>
        <v/>
      </c>
      <c r="J1795" s="323" t="str">
        <f t="shared" si="337"/>
        <v/>
      </c>
      <c r="K1795" s="324" t="str">
        <f t="shared" si="338"/>
        <v/>
      </c>
      <c r="L1795" s="88"/>
      <c r="M1795" s="88"/>
      <c r="N1795" s="88"/>
      <c r="O1795" s="88"/>
      <c r="P1795" s="88"/>
      <c r="Q1795" s="88"/>
      <c r="R1795" s="88"/>
      <c r="S1795" s="620"/>
      <c r="T1795" s="92"/>
      <c r="U1795" s="1214"/>
      <c r="V1795" s="1215"/>
      <c r="W1795" s="168"/>
      <c r="X1795" s="170"/>
    </row>
    <row r="1796" spans="1:24" ht="12.75" customHeight="1">
      <c r="A1796" s="15"/>
      <c r="B1796" s="92" t="str">
        <f t="shared" si="335"/>
        <v/>
      </c>
      <c r="C1796" s="90"/>
      <c r="D1796" s="87"/>
      <c r="E1796" s="88"/>
      <c r="F1796" s="173"/>
      <c r="G1796" s="88"/>
      <c r="H1796" s="88"/>
      <c r="I1796" s="323" t="str">
        <f t="shared" si="336"/>
        <v/>
      </c>
      <c r="J1796" s="323" t="str">
        <f t="shared" si="337"/>
        <v/>
      </c>
      <c r="K1796" s="324" t="str">
        <f t="shared" si="338"/>
        <v/>
      </c>
      <c r="L1796" s="88"/>
      <c r="M1796" s="88"/>
      <c r="N1796" s="88"/>
      <c r="O1796" s="88"/>
      <c r="P1796" s="88"/>
      <c r="Q1796" s="88"/>
      <c r="R1796" s="88"/>
      <c r="S1796" s="620"/>
      <c r="T1796" s="92"/>
      <c r="U1796" s="1214"/>
      <c r="V1796" s="1215"/>
      <c r="W1796" s="168"/>
      <c r="X1796" s="170"/>
    </row>
    <row r="1797" spans="1:24" ht="12.75" customHeight="1">
      <c r="A1797" s="15"/>
      <c r="B1797" s="92" t="str">
        <f t="shared" si="335"/>
        <v/>
      </c>
      <c r="C1797" s="90"/>
      <c r="D1797" s="87"/>
      <c r="E1797" s="88"/>
      <c r="F1797" s="173"/>
      <c r="G1797" s="88"/>
      <c r="H1797" s="88"/>
      <c r="I1797" s="323" t="str">
        <f t="shared" si="336"/>
        <v/>
      </c>
      <c r="J1797" s="323" t="str">
        <f t="shared" si="337"/>
        <v/>
      </c>
      <c r="K1797" s="324" t="str">
        <f t="shared" si="338"/>
        <v/>
      </c>
      <c r="L1797" s="88"/>
      <c r="M1797" s="88"/>
      <c r="N1797" s="88"/>
      <c r="O1797" s="88"/>
      <c r="P1797" s="88"/>
      <c r="Q1797" s="88"/>
      <c r="R1797" s="88"/>
      <c r="S1797" s="620"/>
      <c r="T1797" s="92"/>
      <c r="U1797" s="1214"/>
      <c r="V1797" s="1215"/>
      <c r="W1797" s="168"/>
      <c r="X1797" s="170"/>
    </row>
    <row r="1798" spans="1:24" ht="12.75" customHeight="1">
      <c r="A1798" s="15"/>
      <c r="B1798" s="92" t="str">
        <f t="shared" si="335"/>
        <v/>
      </c>
      <c r="C1798" s="90"/>
      <c r="D1798" s="87"/>
      <c r="E1798" s="88"/>
      <c r="F1798" s="173"/>
      <c r="G1798" s="88"/>
      <c r="H1798" s="88"/>
      <c r="I1798" s="323" t="str">
        <f t="shared" si="336"/>
        <v/>
      </c>
      <c r="J1798" s="323" t="str">
        <f t="shared" si="337"/>
        <v/>
      </c>
      <c r="K1798" s="324" t="str">
        <f t="shared" si="338"/>
        <v/>
      </c>
      <c r="L1798" s="88"/>
      <c r="M1798" s="88"/>
      <c r="N1798" s="88"/>
      <c r="O1798" s="88"/>
      <c r="P1798" s="88"/>
      <c r="Q1798" s="88"/>
      <c r="R1798" s="88"/>
      <c r="S1798" s="620"/>
      <c r="T1798" s="92"/>
      <c r="U1798" s="1214"/>
      <c r="V1798" s="1215"/>
      <c r="W1798" s="168"/>
      <c r="X1798" s="170"/>
    </row>
    <row r="1799" spans="1:24" ht="12.75" customHeight="1">
      <c r="A1799" s="15"/>
      <c r="B1799" s="92" t="str">
        <f t="shared" si="335"/>
        <v/>
      </c>
      <c r="C1799" s="90"/>
      <c r="D1799" s="87"/>
      <c r="E1799" s="88"/>
      <c r="F1799" s="173"/>
      <c r="G1799" s="88"/>
      <c r="H1799" s="88"/>
      <c r="I1799" s="323" t="str">
        <f t="shared" si="336"/>
        <v/>
      </c>
      <c r="J1799" s="323" t="str">
        <f t="shared" si="337"/>
        <v/>
      </c>
      <c r="K1799" s="324" t="str">
        <f t="shared" si="338"/>
        <v/>
      </c>
      <c r="L1799" s="88"/>
      <c r="M1799" s="88"/>
      <c r="N1799" s="88"/>
      <c r="O1799" s="88"/>
      <c r="P1799" s="88"/>
      <c r="Q1799" s="88"/>
      <c r="R1799" s="88"/>
      <c r="S1799" s="620"/>
      <c r="T1799" s="92"/>
      <c r="U1799" s="1214"/>
      <c r="V1799" s="1215"/>
      <c r="W1799" s="168"/>
      <c r="X1799" s="170"/>
    </row>
    <row r="1800" spans="1:24" ht="12.75" customHeight="1">
      <c r="A1800" s="15"/>
      <c r="B1800" s="92" t="str">
        <f t="shared" si="335"/>
        <v/>
      </c>
      <c r="C1800" s="90"/>
      <c r="D1800" s="87"/>
      <c r="E1800" s="88"/>
      <c r="F1800" s="173"/>
      <c r="G1800" s="88"/>
      <c r="H1800" s="88"/>
      <c r="I1800" s="323" t="str">
        <f t="shared" si="336"/>
        <v/>
      </c>
      <c r="J1800" s="323" t="str">
        <f t="shared" si="337"/>
        <v/>
      </c>
      <c r="K1800" s="324" t="str">
        <f t="shared" si="338"/>
        <v/>
      </c>
      <c r="L1800" s="88"/>
      <c r="M1800" s="88"/>
      <c r="N1800" s="88"/>
      <c r="O1800" s="88"/>
      <c r="P1800" s="88"/>
      <c r="Q1800" s="88"/>
      <c r="R1800" s="88"/>
      <c r="S1800" s="620"/>
      <c r="T1800" s="92"/>
      <c r="U1800" s="1214"/>
      <c r="V1800" s="1215"/>
      <c r="W1800" s="168"/>
      <c r="X1800" s="170"/>
    </row>
    <row r="1801" spans="1:24" ht="12.75" customHeight="1">
      <c r="A1801" s="15"/>
      <c r="B1801" s="92" t="str">
        <f t="shared" si="335"/>
        <v/>
      </c>
      <c r="C1801" s="90"/>
      <c r="D1801" s="87"/>
      <c r="E1801" s="88"/>
      <c r="F1801" s="173"/>
      <c r="G1801" s="88"/>
      <c r="H1801" s="88"/>
      <c r="I1801" s="323" t="str">
        <f t="shared" si="336"/>
        <v/>
      </c>
      <c r="J1801" s="323" t="str">
        <f t="shared" si="337"/>
        <v/>
      </c>
      <c r="K1801" s="324" t="str">
        <f t="shared" si="338"/>
        <v/>
      </c>
      <c r="L1801" s="88"/>
      <c r="M1801" s="88"/>
      <c r="N1801" s="88"/>
      <c r="O1801" s="88"/>
      <c r="P1801" s="88"/>
      <c r="Q1801" s="88"/>
      <c r="R1801" s="88"/>
      <c r="S1801" s="620"/>
      <c r="T1801" s="92"/>
      <c r="U1801" s="1214"/>
      <c r="V1801" s="1215"/>
      <c r="W1801" s="168"/>
      <c r="X1801" s="170"/>
    </row>
    <row r="1802" spans="1:24" ht="12.75" customHeight="1">
      <c r="A1802" s="15"/>
      <c r="B1802" s="92" t="str">
        <f t="shared" si="335"/>
        <v/>
      </c>
      <c r="C1802" s="90"/>
      <c r="D1802" s="87"/>
      <c r="E1802" s="88"/>
      <c r="F1802" s="173"/>
      <c r="G1802" s="88"/>
      <c r="H1802" s="88"/>
      <c r="I1802" s="323" t="str">
        <f t="shared" si="336"/>
        <v/>
      </c>
      <c r="J1802" s="323" t="str">
        <f t="shared" si="337"/>
        <v/>
      </c>
      <c r="K1802" s="324" t="str">
        <f t="shared" si="338"/>
        <v/>
      </c>
      <c r="L1802" s="88"/>
      <c r="M1802" s="88"/>
      <c r="N1802" s="88"/>
      <c r="O1802" s="88"/>
      <c r="P1802" s="88"/>
      <c r="Q1802" s="88"/>
      <c r="R1802" s="88"/>
      <c r="S1802" s="620"/>
      <c r="T1802" s="92"/>
      <c r="U1802" s="1214"/>
      <c r="V1802" s="1215"/>
      <c r="W1802" s="168"/>
      <c r="X1802" s="170"/>
    </row>
    <row r="1803" spans="1:24" ht="12.75" customHeight="1">
      <c r="A1803" s="15"/>
      <c r="B1803" s="92" t="str">
        <f t="shared" si="335"/>
        <v/>
      </c>
      <c r="C1803" s="90"/>
      <c r="D1803" s="87"/>
      <c r="E1803" s="88"/>
      <c r="F1803" s="173"/>
      <c r="G1803" s="88"/>
      <c r="H1803" s="88"/>
      <c r="I1803" s="323" t="str">
        <f t="shared" si="336"/>
        <v/>
      </c>
      <c r="J1803" s="323" t="str">
        <f t="shared" si="337"/>
        <v/>
      </c>
      <c r="K1803" s="324" t="str">
        <f t="shared" si="338"/>
        <v/>
      </c>
      <c r="L1803" s="88"/>
      <c r="M1803" s="88"/>
      <c r="N1803" s="88"/>
      <c r="O1803" s="88"/>
      <c r="P1803" s="88"/>
      <c r="Q1803" s="88"/>
      <c r="R1803" s="88"/>
      <c r="S1803" s="620"/>
      <c r="T1803" s="92"/>
      <c r="U1803" s="1214"/>
      <c r="V1803" s="1215"/>
      <c r="W1803" s="168"/>
      <c r="X1803" s="170"/>
    </row>
    <row r="1804" spans="1:24" ht="12.75" customHeight="1">
      <c r="A1804" s="15"/>
      <c r="B1804" s="92" t="str">
        <f t="shared" si="335"/>
        <v/>
      </c>
      <c r="C1804" s="90"/>
      <c r="D1804" s="87"/>
      <c r="E1804" s="88"/>
      <c r="F1804" s="173"/>
      <c r="G1804" s="88"/>
      <c r="H1804" s="88"/>
      <c r="I1804" s="323" t="str">
        <f t="shared" si="336"/>
        <v/>
      </c>
      <c r="J1804" s="323" t="str">
        <f t="shared" si="337"/>
        <v/>
      </c>
      <c r="K1804" s="324" t="str">
        <f t="shared" si="338"/>
        <v/>
      </c>
      <c r="L1804" s="88"/>
      <c r="M1804" s="88"/>
      <c r="N1804" s="88"/>
      <c r="O1804" s="88"/>
      <c r="P1804" s="88"/>
      <c r="Q1804" s="88"/>
      <c r="R1804" s="88"/>
      <c r="S1804" s="620"/>
      <c r="T1804" s="92"/>
      <c r="U1804" s="1214"/>
      <c r="V1804" s="1215"/>
      <c r="W1804" s="168"/>
      <c r="X1804" s="170"/>
    </row>
    <row r="1805" spans="1:24" ht="12.75" customHeight="1">
      <c r="A1805" s="15"/>
      <c r="B1805" s="92" t="str">
        <f t="shared" si="335"/>
        <v/>
      </c>
      <c r="C1805" s="90"/>
      <c r="D1805" s="87"/>
      <c r="E1805" s="88"/>
      <c r="F1805" s="173"/>
      <c r="G1805" s="88"/>
      <c r="H1805" s="88"/>
      <c r="I1805" s="323" t="str">
        <f t="shared" si="336"/>
        <v/>
      </c>
      <c r="J1805" s="323" t="str">
        <f t="shared" si="337"/>
        <v/>
      </c>
      <c r="K1805" s="324" t="str">
        <f t="shared" si="338"/>
        <v/>
      </c>
      <c r="L1805" s="88"/>
      <c r="M1805" s="88"/>
      <c r="N1805" s="88"/>
      <c r="O1805" s="88"/>
      <c r="P1805" s="88"/>
      <c r="Q1805" s="88"/>
      <c r="R1805" s="88"/>
      <c r="S1805" s="620"/>
      <c r="T1805" s="92"/>
      <c r="U1805" s="1214"/>
      <c r="V1805" s="1215"/>
      <c r="W1805" s="168"/>
      <c r="X1805" s="170"/>
    </row>
    <row r="1806" spans="1:24" ht="12.75" customHeight="1">
      <c r="A1806" s="15"/>
      <c r="B1806" s="92" t="str">
        <f t="shared" si="335"/>
        <v/>
      </c>
      <c r="C1806" s="90"/>
      <c r="D1806" s="87"/>
      <c r="E1806" s="88"/>
      <c r="F1806" s="173"/>
      <c r="G1806" s="88"/>
      <c r="H1806" s="88"/>
      <c r="I1806" s="323" t="str">
        <f t="shared" si="336"/>
        <v/>
      </c>
      <c r="J1806" s="323" t="str">
        <f t="shared" si="337"/>
        <v/>
      </c>
      <c r="K1806" s="324" t="str">
        <f t="shared" si="338"/>
        <v/>
      </c>
      <c r="L1806" s="88"/>
      <c r="M1806" s="88"/>
      <c r="N1806" s="88"/>
      <c r="O1806" s="88"/>
      <c r="P1806" s="88"/>
      <c r="Q1806" s="88"/>
      <c r="R1806" s="88"/>
      <c r="S1806" s="620"/>
      <c r="T1806" s="92"/>
      <c r="U1806" s="1214"/>
      <c r="V1806" s="1215"/>
      <c r="W1806" s="168"/>
      <c r="X1806" s="170"/>
    </row>
    <row r="1807" spans="1:24" ht="12.75" customHeight="1">
      <c r="A1807" s="15"/>
      <c r="B1807" s="92" t="str">
        <f t="shared" si="335"/>
        <v/>
      </c>
      <c r="C1807" s="90"/>
      <c r="D1807" s="87"/>
      <c r="E1807" s="88"/>
      <c r="F1807" s="173"/>
      <c r="G1807" s="88"/>
      <c r="H1807" s="88"/>
      <c r="I1807" s="323" t="str">
        <f t="shared" si="336"/>
        <v/>
      </c>
      <c r="J1807" s="323" t="str">
        <f t="shared" si="337"/>
        <v/>
      </c>
      <c r="K1807" s="324" t="str">
        <f t="shared" si="338"/>
        <v/>
      </c>
      <c r="L1807" s="88"/>
      <c r="M1807" s="88"/>
      <c r="N1807" s="88"/>
      <c r="O1807" s="88"/>
      <c r="P1807" s="88"/>
      <c r="Q1807" s="88"/>
      <c r="R1807" s="88"/>
      <c r="S1807" s="620"/>
      <c r="T1807" s="92"/>
      <c r="U1807" s="1214"/>
      <c r="V1807" s="1215"/>
      <c r="W1807" s="168"/>
      <c r="X1807" s="170"/>
    </row>
    <row r="1808" spans="1:24" ht="12.75" customHeight="1">
      <c r="A1808" s="15"/>
      <c r="B1808" s="92" t="str">
        <f t="shared" si="335"/>
        <v/>
      </c>
      <c r="C1808" s="90"/>
      <c r="D1808" s="87"/>
      <c r="E1808" s="88"/>
      <c r="F1808" s="173"/>
      <c r="G1808" s="88"/>
      <c r="H1808" s="88"/>
      <c r="I1808" s="323" t="str">
        <f t="shared" si="336"/>
        <v/>
      </c>
      <c r="J1808" s="323" t="str">
        <f t="shared" si="337"/>
        <v/>
      </c>
      <c r="K1808" s="324" t="str">
        <f t="shared" si="338"/>
        <v/>
      </c>
      <c r="L1808" s="88"/>
      <c r="M1808" s="88"/>
      <c r="N1808" s="88"/>
      <c r="O1808" s="88"/>
      <c r="P1808" s="88"/>
      <c r="Q1808" s="88"/>
      <c r="R1808" s="88"/>
      <c r="S1808" s="620"/>
      <c r="T1808" s="92"/>
      <c r="U1808" s="1214"/>
      <c r="V1808" s="1215"/>
      <c r="W1808" s="168"/>
      <c r="X1808" s="170"/>
    </row>
    <row r="1809" spans="1:24" ht="12.75" customHeight="1">
      <c r="A1809" s="15"/>
      <c r="B1809" s="92" t="str">
        <f t="shared" si="335"/>
        <v/>
      </c>
      <c r="C1809" s="90"/>
      <c r="D1809" s="87"/>
      <c r="E1809" s="88"/>
      <c r="F1809" s="173"/>
      <c r="G1809" s="88"/>
      <c r="H1809" s="88"/>
      <c r="I1809" s="323" t="str">
        <f t="shared" si="336"/>
        <v/>
      </c>
      <c r="J1809" s="323" t="str">
        <f t="shared" si="337"/>
        <v/>
      </c>
      <c r="K1809" s="324" t="str">
        <f t="shared" si="338"/>
        <v/>
      </c>
      <c r="L1809" s="88"/>
      <c r="M1809" s="88"/>
      <c r="N1809" s="88"/>
      <c r="O1809" s="88"/>
      <c r="P1809" s="88"/>
      <c r="Q1809" s="88"/>
      <c r="R1809" s="88"/>
      <c r="S1809" s="620"/>
      <c r="T1809" s="92"/>
      <c r="U1809" s="1214"/>
      <c r="V1809" s="1215"/>
      <c r="W1809" s="168"/>
      <c r="X1809" s="170"/>
    </row>
    <row r="1810" spans="1:24" ht="12.75" customHeight="1">
      <c r="A1810" s="15"/>
      <c r="B1810" s="92" t="str">
        <f t="shared" si="335"/>
        <v/>
      </c>
      <c r="C1810" s="90"/>
      <c r="D1810" s="87"/>
      <c r="E1810" s="88"/>
      <c r="F1810" s="173"/>
      <c r="G1810" s="88"/>
      <c r="H1810" s="88"/>
      <c r="I1810" s="323" t="str">
        <f t="shared" si="336"/>
        <v/>
      </c>
      <c r="J1810" s="323" t="str">
        <f t="shared" si="337"/>
        <v/>
      </c>
      <c r="K1810" s="324" t="str">
        <f t="shared" si="338"/>
        <v/>
      </c>
      <c r="L1810" s="88"/>
      <c r="M1810" s="88"/>
      <c r="N1810" s="88"/>
      <c r="O1810" s="88"/>
      <c r="P1810" s="88"/>
      <c r="Q1810" s="88"/>
      <c r="R1810" s="88"/>
      <c r="S1810" s="620"/>
      <c r="T1810" s="92"/>
      <c r="U1810" s="1214"/>
      <c r="V1810" s="1215"/>
      <c r="W1810" s="168"/>
      <c r="X1810" s="170"/>
    </row>
    <row r="1811" spans="1:24" ht="12.75" customHeight="1">
      <c r="A1811" s="15"/>
      <c r="B1811" s="92" t="str">
        <f t="shared" si="335"/>
        <v/>
      </c>
      <c r="C1811" s="90"/>
      <c r="D1811" s="87"/>
      <c r="E1811" s="88"/>
      <c r="F1811" s="173"/>
      <c r="G1811" s="88"/>
      <c r="H1811" s="88"/>
      <c r="I1811" s="323" t="str">
        <f t="shared" si="336"/>
        <v/>
      </c>
      <c r="J1811" s="323" t="str">
        <f t="shared" si="337"/>
        <v/>
      </c>
      <c r="K1811" s="324" t="str">
        <f t="shared" si="338"/>
        <v/>
      </c>
      <c r="L1811" s="88"/>
      <c r="M1811" s="88"/>
      <c r="N1811" s="88"/>
      <c r="O1811" s="88"/>
      <c r="P1811" s="88"/>
      <c r="Q1811" s="88"/>
      <c r="R1811" s="88"/>
      <c r="S1811" s="620"/>
      <c r="T1811" s="92"/>
      <c r="U1811" s="1214"/>
      <c r="V1811" s="1215"/>
      <c r="W1811" s="168"/>
      <c r="X1811" s="170"/>
    </row>
    <row r="1812" spans="1:24" ht="12.75" customHeight="1">
      <c r="A1812" s="15"/>
      <c r="B1812" s="92" t="str">
        <f t="shared" si="335"/>
        <v/>
      </c>
      <c r="C1812" s="90"/>
      <c r="D1812" s="87"/>
      <c r="E1812" s="88"/>
      <c r="F1812" s="173"/>
      <c r="G1812" s="88"/>
      <c r="H1812" s="88"/>
      <c r="I1812" s="323" t="str">
        <f t="shared" si="336"/>
        <v/>
      </c>
      <c r="J1812" s="323" t="str">
        <f t="shared" si="337"/>
        <v/>
      </c>
      <c r="K1812" s="324" t="str">
        <f t="shared" si="338"/>
        <v/>
      </c>
      <c r="L1812" s="88"/>
      <c r="M1812" s="88"/>
      <c r="N1812" s="88"/>
      <c r="O1812" s="88"/>
      <c r="P1812" s="88"/>
      <c r="Q1812" s="88"/>
      <c r="R1812" s="88"/>
      <c r="S1812" s="620"/>
      <c r="T1812" s="92"/>
      <c r="U1812" s="1214"/>
      <c r="V1812" s="1215"/>
      <c r="W1812" s="168"/>
      <c r="X1812" s="170"/>
    </row>
    <row r="1813" spans="1:24" ht="12.75" customHeight="1">
      <c r="A1813" s="15"/>
      <c r="B1813" s="92" t="str">
        <f t="shared" si="335"/>
        <v/>
      </c>
      <c r="C1813" s="90"/>
      <c r="D1813" s="87"/>
      <c r="E1813" s="88"/>
      <c r="F1813" s="173"/>
      <c r="G1813" s="88"/>
      <c r="H1813" s="88"/>
      <c r="I1813" s="323" t="str">
        <f t="shared" si="336"/>
        <v/>
      </c>
      <c r="J1813" s="323" t="str">
        <f t="shared" si="337"/>
        <v/>
      </c>
      <c r="K1813" s="324" t="str">
        <f t="shared" si="338"/>
        <v/>
      </c>
      <c r="L1813" s="88"/>
      <c r="M1813" s="88"/>
      <c r="N1813" s="88"/>
      <c r="O1813" s="88"/>
      <c r="P1813" s="88"/>
      <c r="Q1813" s="88"/>
      <c r="R1813" s="88"/>
      <c r="S1813" s="620"/>
      <c r="T1813" s="92"/>
      <c r="U1813" s="1214"/>
      <c r="V1813" s="1215"/>
      <c r="W1813" s="168"/>
      <c r="X1813" s="170"/>
    </row>
    <row r="1814" spans="1:24" ht="12.75" customHeight="1">
      <c r="A1814" s="15"/>
      <c r="B1814" s="92" t="str">
        <f t="shared" si="335"/>
        <v/>
      </c>
      <c r="C1814" s="90"/>
      <c r="D1814" s="87"/>
      <c r="E1814" s="88"/>
      <c r="F1814" s="173"/>
      <c r="G1814" s="88"/>
      <c r="H1814" s="88"/>
      <c r="I1814" s="323" t="str">
        <f t="shared" si="336"/>
        <v/>
      </c>
      <c r="J1814" s="323" t="str">
        <f t="shared" si="337"/>
        <v/>
      </c>
      <c r="K1814" s="324" t="str">
        <f t="shared" si="338"/>
        <v/>
      </c>
      <c r="L1814" s="88"/>
      <c r="M1814" s="88"/>
      <c r="N1814" s="88"/>
      <c r="O1814" s="88"/>
      <c r="P1814" s="88"/>
      <c r="Q1814" s="88"/>
      <c r="R1814" s="88"/>
      <c r="S1814" s="620"/>
      <c r="T1814" s="92"/>
      <c r="U1814" s="1214"/>
      <c r="V1814" s="1215"/>
      <c r="W1814" s="168"/>
      <c r="X1814" s="170"/>
    </row>
    <row r="1815" spans="1:24" ht="12.75" customHeight="1">
      <c r="A1815" s="15"/>
      <c r="B1815" s="92" t="str">
        <f t="shared" si="335"/>
        <v/>
      </c>
      <c r="C1815" s="90"/>
      <c r="D1815" s="87"/>
      <c r="E1815" s="88"/>
      <c r="F1815" s="173"/>
      <c r="G1815" s="88"/>
      <c r="H1815" s="88"/>
      <c r="I1815" s="323" t="str">
        <f t="shared" si="336"/>
        <v/>
      </c>
      <c r="J1815" s="323" t="str">
        <f t="shared" si="337"/>
        <v/>
      </c>
      <c r="K1815" s="324" t="str">
        <f t="shared" si="338"/>
        <v/>
      </c>
      <c r="L1815" s="88"/>
      <c r="M1815" s="88"/>
      <c r="N1815" s="88"/>
      <c r="O1815" s="88"/>
      <c r="P1815" s="88"/>
      <c r="Q1815" s="88"/>
      <c r="R1815" s="88"/>
      <c r="S1815" s="620"/>
      <c r="T1815" s="92"/>
      <c r="U1815" s="1214"/>
      <c r="V1815" s="1215"/>
      <c r="W1815" s="168"/>
      <c r="X1815" s="170"/>
    </row>
    <row r="1816" spans="1:24" ht="12.75" customHeight="1">
      <c r="A1816" s="15"/>
      <c r="B1816" s="92" t="str">
        <f t="shared" si="335"/>
        <v/>
      </c>
      <c r="C1816" s="90"/>
      <c r="D1816" s="87"/>
      <c r="E1816" s="88"/>
      <c r="F1816" s="173"/>
      <c r="G1816" s="88"/>
      <c r="H1816" s="88"/>
      <c r="I1816" s="323" t="str">
        <f t="shared" si="336"/>
        <v/>
      </c>
      <c r="J1816" s="323" t="str">
        <f t="shared" si="337"/>
        <v/>
      </c>
      <c r="K1816" s="324" t="str">
        <f t="shared" si="338"/>
        <v/>
      </c>
      <c r="L1816" s="88"/>
      <c r="M1816" s="88"/>
      <c r="N1816" s="88"/>
      <c r="O1816" s="88"/>
      <c r="P1816" s="88"/>
      <c r="Q1816" s="88"/>
      <c r="R1816" s="88"/>
      <c r="S1816" s="620"/>
      <c r="T1816" s="92"/>
      <c r="U1816" s="1214"/>
      <c r="V1816" s="1215"/>
      <c r="W1816" s="168"/>
      <c r="X1816" s="170"/>
    </row>
    <row r="1817" spans="1:24" ht="12.75" customHeight="1">
      <c r="A1817" s="15"/>
      <c r="B1817" s="92" t="str">
        <f t="shared" si="335"/>
        <v/>
      </c>
      <c r="C1817" s="90"/>
      <c r="D1817" s="87"/>
      <c r="E1817" s="88"/>
      <c r="F1817" s="173"/>
      <c r="G1817" s="88"/>
      <c r="H1817" s="88"/>
      <c r="I1817" s="323" t="str">
        <f t="shared" si="336"/>
        <v/>
      </c>
      <c r="J1817" s="323" t="str">
        <f t="shared" si="337"/>
        <v/>
      </c>
      <c r="K1817" s="324" t="str">
        <f t="shared" si="338"/>
        <v/>
      </c>
      <c r="L1817" s="88"/>
      <c r="M1817" s="88"/>
      <c r="N1817" s="88"/>
      <c r="O1817" s="88"/>
      <c r="P1817" s="88"/>
      <c r="Q1817" s="88"/>
      <c r="R1817" s="88"/>
      <c r="S1817" s="620"/>
      <c r="T1817" s="92"/>
      <c r="U1817" s="1214"/>
      <c r="V1817" s="1215"/>
      <c r="W1817" s="168"/>
      <c r="X1817" s="170"/>
    </row>
    <row r="1818" spans="1:24" ht="12.75" customHeight="1">
      <c r="A1818" s="15"/>
      <c r="B1818" s="92" t="str">
        <f t="shared" si="335"/>
        <v/>
      </c>
      <c r="C1818" s="90"/>
      <c r="D1818" s="87"/>
      <c r="E1818" s="88"/>
      <c r="F1818" s="173"/>
      <c r="G1818" s="88"/>
      <c r="H1818" s="88"/>
      <c r="I1818" s="323" t="str">
        <f t="shared" si="336"/>
        <v/>
      </c>
      <c r="J1818" s="323" t="str">
        <f t="shared" si="337"/>
        <v/>
      </c>
      <c r="K1818" s="324" t="str">
        <f t="shared" si="338"/>
        <v/>
      </c>
      <c r="L1818" s="88"/>
      <c r="M1818" s="88"/>
      <c r="N1818" s="88"/>
      <c r="O1818" s="88"/>
      <c r="P1818" s="88"/>
      <c r="Q1818" s="88"/>
      <c r="R1818" s="88"/>
      <c r="S1818" s="620"/>
      <c r="T1818" s="92"/>
      <c r="U1818" s="1214"/>
      <c r="V1818" s="1215"/>
      <c r="W1818" s="168"/>
      <c r="X1818" s="170"/>
    </row>
    <row r="1819" spans="1:24" ht="12.75" customHeight="1">
      <c r="A1819" s="15"/>
      <c r="B1819" s="92" t="str">
        <f t="shared" si="335"/>
        <v/>
      </c>
      <c r="C1819" s="90"/>
      <c r="D1819" s="87"/>
      <c r="E1819" s="88"/>
      <c r="F1819" s="173"/>
      <c r="G1819" s="88"/>
      <c r="H1819" s="88"/>
      <c r="I1819" s="323" t="str">
        <f t="shared" si="336"/>
        <v/>
      </c>
      <c r="J1819" s="323" t="str">
        <f t="shared" si="337"/>
        <v/>
      </c>
      <c r="K1819" s="324" t="str">
        <f t="shared" si="338"/>
        <v/>
      </c>
      <c r="L1819" s="88"/>
      <c r="M1819" s="88"/>
      <c r="N1819" s="88"/>
      <c r="O1819" s="88"/>
      <c r="P1819" s="88"/>
      <c r="Q1819" s="88"/>
      <c r="R1819" s="88"/>
      <c r="S1819" s="620"/>
      <c r="T1819" s="92"/>
      <c r="U1819" s="1214"/>
      <c r="V1819" s="1215"/>
      <c r="W1819" s="168"/>
      <c r="X1819" s="170"/>
    </row>
    <row r="1820" spans="1:24" ht="12.75" customHeight="1">
      <c r="A1820" s="15"/>
      <c r="B1820" s="92" t="str">
        <f t="shared" si="335"/>
        <v/>
      </c>
      <c r="C1820" s="90"/>
      <c r="D1820" s="87"/>
      <c r="E1820" s="88"/>
      <c r="F1820" s="173"/>
      <c r="G1820" s="88"/>
      <c r="H1820" s="88"/>
      <c r="I1820" s="323" t="str">
        <f t="shared" si="336"/>
        <v/>
      </c>
      <c r="J1820" s="323" t="str">
        <f t="shared" si="337"/>
        <v/>
      </c>
      <c r="K1820" s="324" t="str">
        <f t="shared" si="338"/>
        <v/>
      </c>
      <c r="L1820" s="88"/>
      <c r="M1820" s="88"/>
      <c r="N1820" s="88"/>
      <c r="O1820" s="88"/>
      <c r="P1820" s="88"/>
      <c r="Q1820" s="88"/>
      <c r="R1820" s="88"/>
      <c r="S1820" s="620"/>
      <c r="T1820" s="92"/>
      <c r="U1820" s="1214"/>
      <c r="V1820" s="1215"/>
      <c r="W1820" s="168"/>
      <c r="X1820" s="170"/>
    </row>
    <row r="1821" spans="1:24" ht="12.75" customHeight="1">
      <c r="A1821" s="15"/>
      <c r="B1821" s="92" t="str">
        <f t="shared" si="335"/>
        <v/>
      </c>
      <c r="C1821" s="90"/>
      <c r="D1821" s="87"/>
      <c r="E1821" s="88"/>
      <c r="F1821" s="173"/>
      <c r="G1821" s="88"/>
      <c r="H1821" s="88"/>
      <c r="I1821" s="323" t="str">
        <f t="shared" si="336"/>
        <v/>
      </c>
      <c r="J1821" s="323" t="str">
        <f t="shared" si="337"/>
        <v/>
      </c>
      <c r="K1821" s="324" t="str">
        <f t="shared" si="338"/>
        <v/>
      </c>
      <c r="L1821" s="88"/>
      <c r="M1821" s="88"/>
      <c r="N1821" s="88"/>
      <c r="O1821" s="88"/>
      <c r="P1821" s="88"/>
      <c r="Q1821" s="88"/>
      <c r="R1821" s="88"/>
      <c r="S1821" s="620"/>
      <c r="T1821" s="92"/>
      <c r="U1821" s="1214"/>
      <c r="V1821" s="1215"/>
      <c r="W1821" s="168"/>
      <c r="X1821" s="170"/>
    </row>
    <row r="1822" spans="1:24" ht="12.75" customHeight="1">
      <c r="A1822" s="15"/>
      <c r="B1822" s="92" t="str">
        <f t="shared" si="335"/>
        <v/>
      </c>
      <c r="C1822" s="90"/>
      <c r="D1822" s="87"/>
      <c r="E1822" s="88"/>
      <c r="F1822" s="173"/>
      <c r="G1822" s="88"/>
      <c r="H1822" s="88"/>
      <c r="I1822" s="323" t="str">
        <f t="shared" si="336"/>
        <v/>
      </c>
      <c r="J1822" s="323" t="str">
        <f t="shared" si="337"/>
        <v/>
      </c>
      <c r="K1822" s="324" t="str">
        <f t="shared" si="338"/>
        <v/>
      </c>
      <c r="L1822" s="88"/>
      <c r="M1822" s="88"/>
      <c r="N1822" s="88"/>
      <c r="O1822" s="88"/>
      <c r="P1822" s="88"/>
      <c r="Q1822" s="88"/>
      <c r="R1822" s="88"/>
      <c r="S1822" s="620"/>
      <c r="T1822" s="92"/>
      <c r="U1822" s="1214"/>
      <c r="V1822" s="1215"/>
      <c r="W1822" s="168"/>
      <c r="X1822" s="170"/>
    </row>
    <row r="1823" spans="1:24" ht="12.75" customHeight="1">
      <c r="A1823" s="15"/>
      <c r="B1823" s="92" t="str">
        <f t="shared" si="335"/>
        <v/>
      </c>
      <c r="C1823" s="90"/>
      <c r="D1823" s="87"/>
      <c r="E1823" s="88"/>
      <c r="F1823" s="173"/>
      <c r="G1823" s="88"/>
      <c r="H1823" s="88"/>
      <c r="I1823" s="323" t="str">
        <f t="shared" si="336"/>
        <v/>
      </c>
      <c r="J1823" s="323" t="str">
        <f t="shared" si="337"/>
        <v/>
      </c>
      <c r="K1823" s="324" t="str">
        <f t="shared" si="338"/>
        <v/>
      </c>
      <c r="L1823" s="88"/>
      <c r="M1823" s="88"/>
      <c r="N1823" s="88"/>
      <c r="O1823" s="88"/>
      <c r="P1823" s="88"/>
      <c r="Q1823" s="88"/>
      <c r="R1823" s="88"/>
      <c r="S1823" s="620"/>
      <c r="T1823" s="92"/>
      <c r="U1823" s="1214"/>
      <c r="V1823" s="1215"/>
      <c r="W1823" s="168"/>
      <c r="X1823" s="170"/>
    </row>
    <row r="1824" spans="1:24" ht="12.75" customHeight="1">
      <c r="A1824" s="15"/>
      <c r="B1824" s="92" t="str">
        <f t="shared" si="335"/>
        <v/>
      </c>
      <c r="C1824" s="90"/>
      <c r="D1824" s="87"/>
      <c r="E1824" s="88"/>
      <c r="F1824" s="173"/>
      <c r="G1824" s="88"/>
      <c r="H1824" s="88"/>
      <c r="I1824" s="323" t="str">
        <f t="shared" si="336"/>
        <v/>
      </c>
      <c r="J1824" s="323" t="str">
        <f t="shared" si="337"/>
        <v/>
      </c>
      <c r="K1824" s="324" t="str">
        <f t="shared" si="338"/>
        <v/>
      </c>
      <c r="L1824" s="88"/>
      <c r="M1824" s="88"/>
      <c r="N1824" s="88"/>
      <c r="O1824" s="88"/>
      <c r="P1824" s="88"/>
      <c r="Q1824" s="88"/>
      <c r="R1824" s="88"/>
      <c r="S1824" s="620"/>
      <c r="T1824" s="92"/>
      <c r="U1824" s="1214"/>
      <c r="V1824" s="1215"/>
      <c r="W1824" s="168"/>
      <c r="X1824" s="170"/>
    </row>
    <row r="1825" spans="1:24" ht="12.75" customHeight="1">
      <c r="A1825" s="15"/>
      <c r="B1825" s="92" t="str">
        <f t="shared" si="335"/>
        <v/>
      </c>
      <c r="C1825" s="90"/>
      <c r="D1825" s="87"/>
      <c r="E1825" s="88"/>
      <c r="F1825" s="173"/>
      <c r="G1825" s="88"/>
      <c r="H1825" s="88"/>
      <c r="I1825" s="323" t="str">
        <f t="shared" si="336"/>
        <v/>
      </c>
      <c r="J1825" s="323" t="str">
        <f t="shared" si="337"/>
        <v/>
      </c>
      <c r="K1825" s="324" t="str">
        <f t="shared" si="338"/>
        <v/>
      </c>
      <c r="L1825" s="88"/>
      <c r="M1825" s="88"/>
      <c r="N1825" s="88"/>
      <c r="O1825" s="88"/>
      <c r="P1825" s="88"/>
      <c r="Q1825" s="88"/>
      <c r="R1825" s="88"/>
      <c r="S1825" s="620"/>
      <c r="T1825" s="92"/>
      <c r="U1825" s="1214"/>
      <c r="V1825" s="1215"/>
      <c r="W1825" s="168"/>
      <c r="X1825" s="170"/>
    </row>
    <row r="1826" spans="1:24" ht="12.75" customHeight="1">
      <c r="A1826" s="15"/>
      <c r="B1826" s="92" t="str">
        <f t="shared" si="335"/>
        <v/>
      </c>
      <c r="C1826" s="90"/>
      <c r="D1826" s="87"/>
      <c r="E1826" s="88"/>
      <c r="F1826" s="173"/>
      <c r="G1826" s="88"/>
      <c r="H1826" s="88"/>
      <c r="I1826" s="323" t="str">
        <f t="shared" si="336"/>
        <v/>
      </c>
      <c r="J1826" s="323" t="str">
        <f t="shared" si="337"/>
        <v/>
      </c>
      <c r="K1826" s="324" t="str">
        <f t="shared" si="338"/>
        <v/>
      </c>
      <c r="L1826" s="88"/>
      <c r="M1826" s="88"/>
      <c r="N1826" s="88"/>
      <c r="O1826" s="88"/>
      <c r="P1826" s="88"/>
      <c r="Q1826" s="88"/>
      <c r="R1826" s="88"/>
      <c r="S1826" s="620"/>
      <c r="T1826" s="92"/>
      <c r="U1826" s="1214"/>
      <c r="V1826" s="1215"/>
      <c r="W1826" s="168"/>
      <c r="X1826" s="170"/>
    </row>
    <row r="1827" spans="1:24" ht="12.75" customHeight="1">
      <c r="A1827" s="15"/>
      <c r="B1827" s="92" t="str">
        <f t="shared" si="335"/>
        <v/>
      </c>
      <c r="C1827" s="90"/>
      <c r="D1827" s="87"/>
      <c r="E1827" s="88"/>
      <c r="F1827" s="173"/>
      <c r="G1827" s="88"/>
      <c r="H1827" s="88"/>
      <c r="I1827" s="323" t="str">
        <f t="shared" si="336"/>
        <v/>
      </c>
      <c r="J1827" s="323" t="str">
        <f t="shared" si="337"/>
        <v/>
      </c>
      <c r="K1827" s="324" t="str">
        <f t="shared" si="338"/>
        <v/>
      </c>
      <c r="L1827" s="88"/>
      <c r="M1827" s="88"/>
      <c r="N1827" s="88"/>
      <c r="O1827" s="88"/>
      <c r="P1827" s="88"/>
      <c r="Q1827" s="88"/>
      <c r="R1827" s="88"/>
      <c r="S1827" s="620"/>
      <c r="T1827" s="92"/>
      <c r="U1827" s="1214"/>
      <c r="V1827" s="1215"/>
      <c r="W1827" s="168"/>
      <c r="X1827" s="170"/>
    </row>
    <row r="1828" spans="1:24" ht="12.75" customHeight="1">
      <c r="A1828" s="15"/>
      <c r="B1828" s="92" t="str">
        <f t="shared" si="335"/>
        <v/>
      </c>
      <c r="C1828" s="90"/>
      <c r="D1828" s="87"/>
      <c r="E1828" s="88"/>
      <c r="F1828" s="173"/>
      <c r="G1828" s="88"/>
      <c r="H1828" s="88"/>
      <c r="I1828" s="323" t="str">
        <f t="shared" si="336"/>
        <v/>
      </c>
      <c r="J1828" s="323" t="str">
        <f t="shared" si="337"/>
        <v/>
      </c>
      <c r="K1828" s="324" t="str">
        <f t="shared" si="338"/>
        <v/>
      </c>
      <c r="L1828" s="88"/>
      <c r="M1828" s="88"/>
      <c r="N1828" s="88"/>
      <c r="O1828" s="88"/>
      <c r="P1828" s="88"/>
      <c r="Q1828" s="88"/>
      <c r="R1828" s="88"/>
      <c r="S1828" s="620"/>
      <c r="T1828" s="92"/>
      <c r="U1828" s="1214"/>
      <c r="V1828" s="1215"/>
      <c r="W1828" s="168"/>
      <c r="X1828" s="170"/>
    </row>
    <row r="1829" spans="1:24" ht="12.75" customHeight="1">
      <c r="A1829" s="15"/>
      <c r="B1829" s="92" t="str">
        <f t="shared" si="335"/>
        <v/>
      </c>
      <c r="C1829" s="90"/>
      <c r="D1829" s="87"/>
      <c r="E1829" s="88"/>
      <c r="F1829" s="173"/>
      <c r="G1829" s="88"/>
      <c r="H1829" s="88"/>
      <c r="I1829" s="323" t="str">
        <f t="shared" si="336"/>
        <v/>
      </c>
      <c r="J1829" s="323" t="str">
        <f t="shared" si="337"/>
        <v/>
      </c>
      <c r="K1829" s="324" t="str">
        <f t="shared" si="338"/>
        <v/>
      </c>
      <c r="L1829" s="88"/>
      <c r="M1829" s="88"/>
      <c r="N1829" s="88"/>
      <c r="O1829" s="88"/>
      <c r="P1829" s="88"/>
      <c r="Q1829" s="88"/>
      <c r="R1829" s="88"/>
      <c r="S1829" s="620"/>
      <c r="T1829" s="92"/>
      <c r="U1829" s="1214"/>
      <c r="V1829" s="1215"/>
      <c r="W1829" s="168"/>
      <c r="X1829" s="170"/>
    </row>
    <row r="1830" spans="1:24" ht="12.75" customHeight="1">
      <c r="A1830" s="15"/>
      <c r="B1830" s="92" t="str">
        <f t="shared" si="335"/>
        <v/>
      </c>
      <c r="C1830" s="90"/>
      <c r="D1830" s="87"/>
      <c r="E1830" s="88"/>
      <c r="F1830" s="173"/>
      <c r="G1830" s="88"/>
      <c r="H1830" s="88"/>
      <c r="I1830" s="323" t="str">
        <f t="shared" si="336"/>
        <v/>
      </c>
      <c r="J1830" s="323" t="str">
        <f t="shared" si="337"/>
        <v/>
      </c>
      <c r="K1830" s="324" t="str">
        <f t="shared" si="338"/>
        <v/>
      </c>
      <c r="L1830" s="88"/>
      <c r="M1830" s="88"/>
      <c r="N1830" s="88"/>
      <c r="O1830" s="88"/>
      <c r="P1830" s="88"/>
      <c r="Q1830" s="88"/>
      <c r="R1830" s="88"/>
      <c r="S1830" s="620"/>
      <c r="T1830" s="92"/>
      <c r="U1830" s="1214"/>
      <c r="V1830" s="1215"/>
      <c r="W1830" s="168"/>
      <c r="X1830" s="170"/>
    </row>
    <row r="1831" spans="1:24" ht="12.75" customHeight="1">
      <c r="A1831" s="15"/>
      <c r="B1831" s="92" t="str">
        <f t="shared" si="335"/>
        <v/>
      </c>
      <c r="C1831" s="90"/>
      <c r="D1831" s="87"/>
      <c r="E1831" s="88"/>
      <c r="F1831" s="173"/>
      <c r="G1831" s="88"/>
      <c r="H1831" s="88"/>
      <c r="I1831" s="323" t="str">
        <f t="shared" si="336"/>
        <v/>
      </c>
      <c r="J1831" s="323" t="str">
        <f t="shared" si="337"/>
        <v/>
      </c>
      <c r="K1831" s="324" t="str">
        <f t="shared" si="338"/>
        <v/>
      </c>
      <c r="L1831" s="88"/>
      <c r="M1831" s="88"/>
      <c r="N1831" s="88"/>
      <c r="O1831" s="88"/>
      <c r="P1831" s="88"/>
      <c r="Q1831" s="88"/>
      <c r="R1831" s="88"/>
      <c r="S1831" s="620"/>
      <c r="T1831" s="92"/>
      <c r="U1831" s="1214"/>
      <c r="V1831" s="1215"/>
      <c r="W1831" s="168"/>
      <c r="X1831" s="170"/>
    </row>
    <row r="1832" spans="1:24" ht="12.75" customHeight="1">
      <c r="A1832" s="15"/>
      <c r="B1832" s="92" t="str">
        <f t="shared" si="335"/>
        <v/>
      </c>
      <c r="C1832" s="90"/>
      <c r="D1832" s="87"/>
      <c r="E1832" s="88"/>
      <c r="F1832" s="173"/>
      <c r="G1832" s="88"/>
      <c r="H1832" s="88"/>
      <c r="I1832" s="323" t="str">
        <f t="shared" si="336"/>
        <v/>
      </c>
      <c r="J1832" s="323" t="str">
        <f t="shared" si="337"/>
        <v/>
      </c>
      <c r="K1832" s="324" t="str">
        <f t="shared" si="338"/>
        <v/>
      </c>
      <c r="L1832" s="88"/>
      <c r="M1832" s="88"/>
      <c r="N1832" s="88"/>
      <c r="O1832" s="88"/>
      <c r="P1832" s="88"/>
      <c r="Q1832" s="88"/>
      <c r="R1832" s="88"/>
      <c r="S1832" s="620"/>
      <c r="T1832" s="92"/>
      <c r="U1832" s="1214"/>
      <c r="V1832" s="1215"/>
      <c r="W1832" s="168"/>
      <c r="X1832" s="170"/>
    </row>
    <row r="1833" spans="1:24" ht="12.75" customHeight="1">
      <c r="A1833" s="15"/>
      <c r="B1833" s="92" t="str">
        <f t="shared" si="335"/>
        <v/>
      </c>
      <c r="C1833" s="90"/>
      <c r="D1833" s="87"/>
      <c r="E1833" s="88"/>
      <c r="F1833" s="173"/>
      <c r="G1833" s="88"/>
      <c r="H1833" s="88"/>
      <c r="I1833" s="323" t="str">
        <f t="shared" si="336"/>
        <v/>
      </c>
      <c r="J1833" s="323" t="str">
        <f t="shared" si="337"/>
        <v/>
      </c>
      <c r="K1833" s="324" t="str">
        <f t="shared" si="338"/>
        <v/>
      </c>
      <c r="L1833" s="88"/>
      <c r="M1833" s="88"/>
      <c r="N1833" s="88"/>
      <c r="O1833" s="88"/>
      <c r="P1833" s="88"/>
      <c r="Q1833" s="88"/>
      <c r="R1833" s="88"/>
      <c r="S1833" s="620"/>
      <c r="T1833" s="92"/>
      <c r="U1833" s="1214"/>
      <c r="V1833" s="1215"/>
      <c r="W1833" s="168"/>
      <c r="X1833" s="170"/>
    </row>
    <row r="1834" spans="1:24" ht="12.75" customHeight="1">
      <c r="A1834" s="15"/>
      <c r="B1834" s="92" t="str">
        <f t="shared" si="335"/>
        <v/>
      </c>
      <c r="C1834" s="90"/>
      <c r="D1834" s="87"/>
      <c r="E1834" s="88"/>
      <c r="F1834" s="173"/>
      <c r="G1834" s="88"/>
      <c r="H1834" s="88"/>
      <c r="I1834" s="323" t="str">
        <f t="shared" si="336"/>
        <v/>
      </c>
      <c r="J1834" s="323" t="str">
        <f t="shared" si="337"/>
        <v/>
      </c>
      <c r="K1834" s="324" t="str">
        <f t="shared" si="338"/>
        <v/>
      </c>
      <c r="L1834" s="88"/>
      <c r="M1834" s="88"/>
      <c r="N1834" s="88"/>
      <c r="O1834" s="88"/>
      <c r="P1834" s="88"/>
      <c r="Q1834" s="88"/>
      <c r="R1834" s="88"/>
      <c r="S1834" s="620"/>
      <c r="T1834" s="92"/>
      <c r="U1834" s="1214"/>
      <c r="V1834" s="1215"/>
      <c r="W1834" s="168"/>
      <c r="X1834" s="170"/>
    </row>
    <row r="1835" spans="1:24" ht="12.75" customHeight="1">
      <c r="A1835" s="15"/>
      <c r="B1835" s="92" t="str">
        <f t="shared" si="335"/>
        <v/>
      </c>
      <c r="C1835" s="90"/>
      <c r="D1835" s="87"/>
      <c r="E1835" s="88"/>
      <c r="F1835" s="173"/>
      <c r="G1835" s="88"/>
      <c r="H1835" s="88"/>
      <c r="I1835" s="323" t="str">
        <f t="shared" si="336"/>
        <v/>
      </c>
      <c r="J1835" s="323" t="str">
        <f t="shared" si="337"/>
        <v/>
      </c>
      <c r="K1835" s="324" t="str">
        <f t="shared" si="338"/>
        <v/>
      </c>
      <c r="L1835" s="88"/>
      <c r="M1835" s="88"/>
      <c r="N1835" s="88"/>
      <c r="O1835" s="88"/>
      <c r="P1835" s="88"/>
      <c r="Q1835" s="88"/>
      <c r="R1835" s="88"/>
      <c r="S1835" s="620"/>
      <c r="T1835" s="92"/>
      <c r="U1835" s="1214"/>
      <c r="V1835" s="1215"/>
      <c r="W1835" s="168"/>
      <c r="X1835" s="170"/>
    </row>
    <row r="1836" spans="1:24" ht="12.75" customHeight="1">
      <c r="A1836" s="15"/>
      <c r="B1836" s="92" t="str">
        <f t="shared" si="335"/>
        <v/>
      </c>
      <c r="C1836" s="90"/>
      <c r="D1836" s="87"/>
      <c r="E1836" s="88"/>
      <c r="F1836" s="173"/>
      <c r="G1836" s="88"/>
      <c r="H1836" s="88"/>
      <c r="I1836" s="323" t="str">
        <f t="shared" si="336"/>
        <v/>
      </c>
      <c r="J1836" s="323" t="str">
        <f t="shared" si="337"/>
        <v/>
      </c>
      <c r="K1836" s="324" t="str">
        <f t="shared" si="338"/>
        <v/>
      </c>
      <c r="L1836" s="88"/>
      <c r="M1836" s="88"/>
      <c r="N1836" s="88"/>
      <c r="O1836" s="88"/>
      <c r="P1836" s="88"/>
      <c r="Q1836" s="88"/>
      <c r="R1836" s="88"/>
      <c r="S1836" s="620"/>
      <c r="T1836" s="92"/>
      <c r="U1836" s="1214"/>
      <c r="V1836" s="1215"/>
      <c r="W1836" s="168"/>
      <c r="X1836" s="170"/>
    </row>
    <row r="1837" spans="1:24" ht="12.75" customHeight="1">
      <c r="A1837" s="15"/>
      <c r="B1837" s="92" t="str">
        <f t="shared" si="335"/>
        <v/>
      </c>
      <c r="C1837" s="90"/>
      <c r="D1837" s="87"/>
      <c r="E1837" s="88"/>
      <c r="F1837" s="173"/>
      <c r="G1837" s="88"/>
      <c r="H1837" s="88"/>
      <c r="I1837" s="323" t="str">
        <f t="shared" si="336"/>
        <v/>
      </c>
      <c r="J1837" s="323" t="str">
        <f t="shared" si="337"/>
        <v/>
      </c>
      <c r="K1837" s="324" t="str">
        <f t="shared" si="338"/>
        <v/>
      </c>
      <c r="L1837" s="88"/>
      <c r="M1837" s="88"/>
      <c r="N1837" s="88"/>
      <c r="O1837" s="88"/>
      <c r="P1837" s="88"/>
      <c r="Q1837" s="88"/>
      <c r="R1837" s="88"/>
      <c r="S1837" s="620"/>
      <c r="T1837" s="92"/>
      <c r="U1837" s="1214"/>
      <c r="V1837" s="1215"/>
      <c r="W1837" s="168"/>
      <c r="X1837" s="170"/>
    </row>
    <row r="1838" spans="1:24" ht="12.75" customHeight="1">
      <c r="A1838" s="15"/>
      <c r="B1838" s="92" t="str">
        <f t="shared" si="335"/>
        <v/>
      </c>
      <c r="C1838" s="90"/>
      <c r="D1838" s="87"/>
      <c r="E1838" s="88"/>
      <c r="F1838" s="173"/>
      <c r="G1838" s="88"/>
      <c r="H1838" s="88"/>
      <c r="I1838" s="323" t="str">
        <f t="shared" si="336"/>
        <v/>
      </c>
      <c r="J1838" s="323" t="str">
        <f t="shared" si="337"/>
        <v/>
      </c>
      <c r="K1838" s="324" t="str">
        <f t="shared" si="338"/>
        <v/>
      </c>
      <c r="L1838" s="88"/>
      <c r="M1838" s="88"/>
      <c r="N1838" s="88"/>
      <c r="O1838" s="88"/>
      <c r="P1838" s="88"/>
      <c r="Q1838" s="88"/>
      <c r="R1838" s="88"/>
      <c r="S1838" s="620"/>
      <c r="T1838" s="92"/>
      <c r="U1838" s="1214"/>
      <c r="V1838" s="1215"/>
      <c r="W1838" s="168"/>
      <c r="X1838" s="170"/>
    </row>
    <row r="1839" spans="1:24" ht="12.75" customHeight="1">
      <c r="A1839" s="15"/>
      <c r="B1839" s="92" t="str">
        <f t="shared" ref="B1839:B1902" si="339">IF(C1839="","",ROW()-5)</f>
        <v/>
      </c>
      <c r="C1839" s="90"/>
      <c r="D1839" s="87"/>
      <c r="E1839" s="88"/>
      <c r="F1839" s="173"/>
      <c r="G1839" s="88"/>
      <c r="H1839" s="88"/>
      <c r="I1839" s="323" t="str">
        <f t="shared" si="336"/>
        <v/>
      </c>
      <c r="J1839" s="323" t="str">
        <f t="shared" si="337"/>
        <v/>
      </c>
      <c r="K1839" s="324" t="str">
        <f t="shared" si="338"/>
        <v/>
      </c>
      <c r="L1839" s="88"/>
      <c r="M1839" s="88"/>
      <c r="N1839" s="88"/>
      <c r="O1839" s="88"/>
      <c r="P1839" s="88"/>
      <c r="Q1839" s="88"/>
      <c r="R1839" s="88"/>
      <c r="S1839" s="620"/>
      <c r="T1839" s="92"/>
      <c r="U1839" s="1214"/>
      <c r="V1839" s="1215"/>
      <c r="W1839" s="168"/>
      <c r="X1839" s="170"/>
    </row>
    <row r="1840" spans="1:24" ht="12.75" customHeight="1">
      <c r="A1840" s="15"/>
      <c r="B1840" s="92" t="str">
        <f t="shared" si="339"/>
        <v/>
      </c>
      <c r="C1840" s="90"/>
      <c r="D1840" s="87"/>
      <c r="E1840" s="88"/>
      <c r="F1840" s="173"/>
      <c r="G1840" s="88"/>
      <c r="H1840" s="88"/>
      <c r="I1840" s="323" t="str">
        <f t="shared" si="336"/>
        <v/>
      </c>
      <c r="J1840" s="323" t="str">
        <f t="shared" si="337"/>
        <v/>
      </c>
      <c r="K1840" s="324" t="str">
        <f t="shared" si="338"/>
        <v/>
      </c>
      <c r="L1840" s="88"/>
      <c r="M1840" s="88"/>
      <c r="N1840" s="88"/>
      <c r="O1840" s="88"/>
      <c r="P1840" s="88"/>
      <c r="Q1840" s="88"/>
      <c r="R1840" s="88"/>
      <c r="S1840" s="620"/>
      <c r="T1840" s="92"/>
      <c r="U1840" s="1214"/>
      <c r="V1840" s="1215"/>
      <c r="W1840" s="168"/>
      <c r="X1840" s="170"/>
    </row>
    <row r="1841" spans="1:24" ht="12.75" customHeight="1">
      <c r="A1841" s="15"/>
      <c r="B1841" s="92" t="str">
        <f t="shared" si="339"/>
        <v/>
      </c>
      <c r="C1841" s="90"/>
      <c r="D1841" s="87"/>
      <c r="E1841" s="88"/>
      <c r="F1841" s="173"/>
      <c r="G1841" s="88"/>
      <c r="H1841" s="88"/>
      <c r="I1841" s="323" t="str">
        <f t="shared" si="336"/>
        <v/>
      </c>
      <c r="J1841" s="323" t="str">
        <f t="shared" si="337"/>
        <v/>
      </c>
      <c r="K1841" s="324" t="str">
        <f t="shared" si="338"/>
        <v/>
      </c>
      <c r="L1841" s="88"/>
      <c r="M1841" s="88"/>
      <c r="N1841" s="88"/>
      <c r="O1841" s="88"/>
      <c r="P1841" s="88"/>
      <c r="Q1841" s="88"/>
      <c r="R1841" s="88"/>
      <c r="S1841" s="620"/>
      <c r="T1841" s="92"/>
      <c r="U1841" s="1214"/>
      <c r="V1841" s="1215"/>
      <c r="W1841" s="168"/>
      <c r="X1841" s="170"/>
    </row>
    <row r="1842" spans="1:24" ht="12.75" customHeight="1">
      <c r="A1842" s="15"/>
      <c r="B1842" s="92" t="str">
        <f t="shared" si="339"/>
        <v/>
      </c>
      <c r="C1842" s="90"/>
      <c r="D1842" s="87"/>
      <c r="E1842" s="88"/>
      <c r="F1842" s="173"/>
      <c r="G1842" s="88"/>
      <c r="H1842" s="88"/>
      <c r="I1842" s="323" t="str">
        <f t="shared" si="336"/>
        <v/>
      </c>
      <c r="J1842" s="323" t="str">
        <f t="shared" si="337"/>
        <v/>
      </c>
      <c r="K1842" s="324" t="str">
        <f t="shared" si="338"/>
        <v/>
      </c>
      <c r="L1842" s="88"/>
      <c r="M1842" s="88"/>
      <c r="N1842" s="88"/>
      <c r="O1842" s="88"/>
      <c r="P1842" s="88"/>
      <c r="Q1842" s="88"/>
      <c r="R1842" s="88"/>
      <c r="S1842" s="620"/>
      <c r="T1842" s="92"/>
      <c r="U1842" s="1214"/>
      <c r="V1842" s="1215"/>
      <c r="W1842" s="168"/>
      <c r="X1842" s="170"/>
    </row>
    <row r="1843" spans="1:24" ht="12.75" customHeight="1">
      <c r="A1843" s="15"/>
      <c r="B1843" s="92" t="str">
        <f t="shared" si="339"/>
        <v/>
      </c>
      <c r="C1843" s="90"/>
      <c r="D1843" s="87"/>
      <c r="E1843" s="88"/>
      <c r="F1843" s="173"/>
      <c r="G1843" s="88"/>
      <c r="H1843" s="88"/>
      <c r="I1843" s="323" t="str">
        <f t="shared" si="336"/>
        <v/>
      </c>
      <c r="J1843" s="323" t="str">
        <f t="shared" si="337"/>
        <v/>
      </c>
      <c r="K1843" s="324" t="str">
        <f t="shared" si="338"/>
        <v/>
      </c>
      <c r="L1843" s="88"/>
      <c r="M1843" s="88"/>
      <c r="N1843" s="88"/>
      <c r="O1843" s="88"/>
      <c r="P1843" s="88"/>
      <c r="Q1843" s="88"/>
      <c r="R1843" s="88"/>
      <c r="S1843" s="620"/>
      <c r="T1843" s="92"/>
      <c r="U1843" s="1214"/>
      <c r="V1843" s="1215"/>
      <c r="W1843" s="168"/>
      <c r="X1843" s="170"/>
    </row>
    <row r="1844" spans="1:24" ht="12.75" customHeight="1">
      <c r="A1844" s="15"/>
      <c r="B1844" s="92" t="str">
        <f t="shared" si="339"/>
        <v/>
      </c>
      <c r="C1844" s="90"/>
      <c r="D1844" s="87"/>
      <c r="E1844" s="88"/>
      <c r="F1844" s="173"/>
      <c r="G1844" s="88"/>
      <c r="H1844" s="88"/>
      <c r="I1844" s="323" t="str">
        <f t="shared" si="336"/>
        <v/>
      </c>
      <c r="J1844" s="323" t="str">
        <f t="shared" si="337"/>
        <v/>
      </c>
      <c r="K1844" s="324" t="str">
        <f t="shared" si="338"/>
        <v/>
      </c>
      <c r="L1844" s="88"/>
      <c r="M1844" s="88"/>
      <c r="N1844" s="88"/>
      <c r="O1844" s="88"/>
      <c r="P1844" s="88"/>
      <c r="Q1844" s="88"/>
      <c r="R1844" s="88"/>
      <c r="S1844" s="620"/>
      <c r="T1844" s="92"/>
      <c r="U1844" s="1214"/>
      <c r="V1844" s="1215"/>
      <c r="W1844" s="168"/>
      <c r="X1844" s="170"/>
    </row>
    <row r="1845" spans="1:24" ht="12.75" customHeight="1">
      <c r="A1845" s="15"/>
      <c r="B1845" s="92" t="str">
        <f t="shared" si="339"/>
        <v/>
      </c>
      <c r="C1845" s="90"/>
      <c r="D1845" s="87"/>
      <c r="E1845" s="88"/>
      <c r="F1845" s="173"/>
      <c r="G1845" s="88"/>
      <c r="H1845" s="88"/>
      <c r="I1845" s="323" t="str">
        <f t="shared" si="336"/>
        <v/>
      </c>
      <c r="J1845" s="323" t="str">
        <f t="shared" si="337"/>
        <v/>
      </c>
      <c r="K1845" s="324" t="str">
        <f t="shared" si="338"/>
        <v/>
      </c>
      <c r="L1845" s="88"/>
      <c r="M1845" s="88"/>
      <c r="N1845" s="88"/>
      <c r="O1845" s="88"/>
      <c r="P1845" s="88"/>
      <c r="Q1845" s="88"/>
      <c r="R1845" s="88"/>
      <c r="S1845" s="620"/>
      <c r="T1845" s="92"/>
      <c r="U1845" s="1214"/>
      <c r="V1845" s="1215"/>
      <c r="W1845" s="168"/>
      <c r="X1845" s="170"/>
    </row>
    <row r="1846" spans="1:24" ht="12.75" customHeight="1">
      <c r="A1846" s="15"/>
      <c r="B1846" s="92" t="str">
        <f t="shared" si="339"/>
        <v/>
      </c>
      <c r="C1846" s="90"/>
      <c r="D1846" s="87"/>
      <c r="E1846" s="88"/>
      <c r="F1846" s="173"/>
      <c r="G1846" s="88"/>
      <c r="H1846" s="88"/>
      <c r="I1846" s="323" t="str">
        <f t="shared" si="336"/>
        <v/>
      </c>
      <c r="J1846" s="323" t="str">
        <f t="shared" si="337"/>
        <v/>
      </c>
      <c r="K1846" s="324" t="str">
        <f t="shared" si="338"/>
        <v/>
      </c>
      <c r="L1846" s="88"/>
      <c r="M1846" s="88"/>
      <c r="N1846" s="88"/>
      <c r="O1846" s="88"/>
      <c r="P1846" s="88"/>
      <c r="Q1846" s="88"/>
      <c r="R1846" s="88"/>
      <c r="S1846" s="620"/>
      <c r="T1846" s="92"/>
      <c r="U1846" s="1214"/>
      <c r="V1846" s="1215"/>
      <c r="W1846" s="168"/>
      <c r="X1846" s="170"/>
    </row>
    <row r="1847" spans="1:24" ht="12.75" customHeight="1">
      <c r="A1847" s="15"/>
      <c r="B1847" s="92" t="str">
        <f t="shared" si="339"/>
        <v/>
      </c>
      <c r="C1847" s="90"/>
      <c r="D1847" s="87"/>
      <c r="E1847" s="88"/>
      <c r="F1847" s="173"/>
      <c r="G1847" s="88"/>
      <c r="H1847" s="88"/>
      <c r="I1847" s="323" t="str">
        <f t="shared" si="336"/>
        <v/>
      </c>
      <c r="J1847" s="323" t="str">
        <f t="shared" si="337"/>
        <v/>
      </c>
      <c r="K1847" s="324" t="str">
        <f t="shared" si="338"/>
        <v/>
      </c>
      <c r="L1847" s="88"/>
      <c r="M1847" s="88"/>
      <c r="N1847" s="88"/>
      <c r="O1847" s="88"/>
      <c r="P1847" s="88"/>
      <c r="Q1847" s="88"/>
      <c r="R1847" s="88"/>
      <c r="S1847" s="620"/>
      <c r="T1847" s="92"/>
      <c r="U1847" s="1214"/>
      <c r="V1847" s="1215"/>
      <c r="W1847" s="168"/>
      <c r="X1847" s="170"/>
    </row>
    <row r="1848" spans="1:24" ht="12.75" customHeight="1">
      <c r="A1848" s="15"/>
      <c r="B1848" s="92" t="str">
        <f t="shared" si="339"/>
        <v/>
      </c>
      <c r="C1848" s="90"/>
      <c r="D1848" s="87"/>
      <c r="E1848" s="88"/>
      <c r="F1848" s="173"/>
      <c r="G1848" s="88"/>
      <c r="H1848" s="88"/>
      <c r="I1848" s="323" t="str">
        <f t="shared" si="336"/>
        <v/>
      </c>
      <c r="J1848" s="323" t="str">
        <f t="shared" si="337"/>
        <v/>
      </c>
      <c r="K1848" s="324" t="str">
        <f t="shared" si="338"/>
        <v/>
      </c>
      <c r="L1848" s="88"/>
      <c r="M1848" s="88"/>
      <c r="N1848" s="88"/>
      <c r="O1848" s="88"/>
      <c r="P1848" s="88"/>
      <c r="Q1848" s="88"/>
      <c r="R1848" s="88"/>
      <c r="S1848" s="620"/>
      <c r="T1848" s="92"/>
      <c r="U1848" s="1214"/>
      <c r="V1848" s="1215"/>
      <c r="W1848" s="168"/>
      <c r="X1848" s="170"/>
    </row>
    <row r="1849" spans="1:24" ht="12.75" customHeight="1">
      <c r="A1849" s="15"/>
      <c r="B1849" s="92" t="str">
        <f t="shared" si="339"/>
        <v/>
      </c>
      <c r="C1849" s="90"/>
      <c r="D1849" s="87"/>
      <c r="E1849" s="88"/>
      <c r="F1849" s="173"/>
      <c r="G1849" s="88"/>
      <c r="H1849" s="88"/>
      <c r="I1849" s="323" t="str">
        <f t="shared" si="336"/>
        <v/>
      </c>
      <c r="J1849" s="323" t="str">
        <f t="shared" si="337"/>
        <v/>
      </c>
      <c r="K1849" s="324" t="str">
        <f t="shared" si="338"/>
        <v/>
      </c>
      <c r="L1849" s="88"/>
      <c r="M1849" s="88"/>
      <c r="N1849" s="88"/>
      <c r="O1849" s="88"/>
      <c r="P1849" s="88"/>
      <c r="Q1849" s="88"/>
      <c r="R1849" s="88"/>
      <c r="S1849" s="620"/>
      <c r="T1849" s="92"/>
      <c r="U1849" s="1214"/>
      <c r="V1849" s="1215"/>
      <c r="W1849" s="168"/>
      <c r="X1849" s="170"/>
    </row>
    <row r="1850" spans="1:24" ht="12.75" customHeight="1">
      <c r="A1850" s="15"/>
      <c r="B1850" s="92" t="str">
        <f t="shared" si="339"/>
        <v/>
      </c>
      <c r="C1850" s="90"/>
      <c r="D1850" s="87"/>
      <c r="E1850" s="88"/>
      <c r="F1850" s="173"/>
      <c r="G1850" s="88"/>
      <c r="H1850" s="88"/>
      <c r="I1850" s="323" t="str">
        <f t="shared" si="336"/>
        <v/>
      </c>
      <c r="J1850" s="323" t="str">
        <f t="shared" si="337"/>
        <v/>
      </c>
      <c r="K1850" s="324" t="str">
        <f t="shared" si="338"/>
        <v/>
      </c>
      <c r="L1850" s="88"/>
      <c r="M1850" s="88"/>
      <c r="N1850" s="88"/>
      <c r="O1850" s="88"/>
      <c r="P1850" s="88"/>
      <c r="Q1850" s="88"/>
      <c r="R1850" s="88"/>
      <c r="S1850" s="620"/>
      <c r="T1850" s="92"/>
      <c r="U1850" s="1214"/>
      <c r="V1850" s="1215"/>
      <c r="W1850" s="168"/>
      <c r="X1850" s="170"/>
    </row>
    <row r="1851" spans="1:24" ht="12.75" customHeight="1">
      <c r="A1851" s="15"/>
      <c r="B1851" s="92" t="str">
        <f t="shared" si="339"/>
        <v/>
      </c>
      <c r="C1851" s="90"/>
      <c r="D1851" s="87"/>
      <c r="E1851" s="88"/>
      <c r="F1851" s="173"/>
      <c r="G1851" s="88"/>
      <c r="H1851" s="88"/>
      <c r="I1851" s="323" t="str">
        <f t="shared" si="336"/>
        <v/>
      </c>
      <c r="J1851" s="323" t="str">
        <f t="shared" si="337"/>
        <v/>
      </c>
      <c r="K1851" s="324" t="str">
        <f t="shared" si="338"/>
        <v/>
      </c>
      <c r="L1851" s="88"/>
      <c r="M1851" s="88"/>
      <c r="N1851" s="88"/>
      <c r="O1851" s="88"/>
      <c r="P1851" s="88"/>
      <c r="Q1851" s="88"/>
      <c r="R1851" s="88"/>
      <c r="S1851" s="620"/>
      <c r="T1851" s="92"/>
      <c r="U1851" s="1214"/>
      <c r="V1851" s="1215"/>
      <c r="W1851" s="168"/>
      <c r="X1851" s="170"/>
    </row>
    <row r="1852" spans="1:24" ht="12.75" customHeight="1">
      <c r="A1852" s="15"/>
      <c r="B1852" s="92" t="str">
        <f t="shared" si="339"/>
        <v/>
      </c>
      <c r="C1852" s="90"/>
      <c r="D1852" s="87"/>
      <c r="E1852" s="88"/>
      <c r="F1852" s="173"/>
      <c r="G1852" s="88"/>
      <c r="H1852" s="88"/>
      <c r="I1852" s="323" t="str">
        <f t="shared" si="336"/>
        <v/>
      </c>
      <c r="J1852" s="323" t="str">
        <f t="shared" si="337"/>
        <v/>
      </c>
      <c r="K1852" s="324" t="str">
        <f t="shared" si="338"/>
        <v/>
      </c>
      <c r="L1852" s="88"/>
      <c r="M1852" s="88"/>
      <c r="N1852" s="88"/>
      <c r="O1852" s="88"/>
      <c r="P1852" s="88"/>
      <c r="Q1852" s="88"/>
      <c r="R1852" s="88"/>
      <c r="S1852" s="620"/>
      <c r="T1852" s="92"/>
      <c r="U1852" s="1214"/>
      <c r="V1852" s="1215"/>
      <c r="W1852" s="168"/>
      <c r="X1852" s="170"/>
    </row>
    <row r="1853" spans="1:24" ht="12.75" customHeight="1">
      <c r="A1853" s="15"/>
      <c r="B1853" s="92" t="str">
        <f t="shared" si="339"/>
        <v/>
      </c>
      <c r="C1853" s="90"/>
      <c r="D1853" s="87"/>
      <c r="E1853" s="88"/>
      <c r="F1853" s="173"/>
      <c r="G1853" s="88"/>
      <c r="H1853" s="88"/>
      <c r="I1853" s="323" t="str">
        <f t="shared" si="336"/>
        <v/>
      </c>
      <c r="J1853" s="323" t="str">
        <f t="shared" si="337"/>
        <v/>
      </c>
      <c r="K1853" s="324" t="str">
        <f t="shared" si="338"/>
        <v/>
      </c>
      <c r="L1853" s="88"/>
      <c r="M1853" s="88"/>
      <c r="N1853" s="88"/>
      <c r="O1853" s="88"/>
      <c r="P1853" s="88"/>
      <c r="Q1853" s="88"/>
      <c r="R1853" s="88"/>
      <c r="S1853" s="620"/>
      <c r="T1853" s="92"/>
      <c r="U1853" s="1214"/>
      <c r="V1853" s="1215"/>
      <c r="W1853" s="168"/>
      <c r="X1853" s="170"/>
    </row>
    <row r="1854" spans="1:24" ht="12.75" customHeight="1">
      <c r="A1854" s="15"/>
      <c r="B1854" s="92" t="str">
        <f t="shared" si="339"/>
        <v/>
      </c>
      <c r="C1854" s="90"/>
      <c r="D1854" s="87"/>
      <c r="E1854" s="88"/>
      <c r="F1854" s="173"/>
      <c r="G1854" s="88"/>
      <c r="H1854" s="88"/>
      <c r="I1854" s="323" t="str">
        <f t="shared" si="336"/>
        <v/>
      </c>
      <c r="J1854" s="323" t="str">
        <f t="shared" si="337"/>
        <v/>
      </c>
      <c r="K1854" s="324" t="str">
        <f t="shared" si="338"/>
        <v/>
      </c>
      <c r="L1854" s="88"/>
      <c r="M1854" s="88"/>
      <c r="N1854" s="88"/>
      <c r="O1854" s="88"/>
      <c r="P1854" s="88"/>
      <c r="Q1854" s="88"/>
      <c r="R1854" s="88"/>
      <c r="S1854" s="620"/>
      <c r="T1854" s="92"/>
      <c r="U1854" s="1214"/>
      <c r="V1854" s="1215"/>
      <c r="W1854" s="168"/>
      <c r="X1854" s="170"/>
    </row>
    <row r="1855" spans="1:24" ht="12.75" customHeight="1">
      <c r="A1855" s="15"/>
      <c r="B1855" s="92" t="str">
        <f t="shared" si="339"/>
        <v/>
      </c>
      <c r="C1855" s="90"/>
      <c r="D1855" s="87"/>
      <c r="E1855" s="88"/>
      <c r="F1855" s="173"/>
      <c r="G1855" s="88"/>
      <c r="H1855" s="88"/>
      <c r="I1855" s="323" t="str">
        <f t="shared" ref="I1855:I1918" si="340">+IF(G1855="","",G1855*H1855)</f>
        <v/>
      </c>
      <c r="J1855" s="323" t="str">
        <f t="shared" ref="J1855:J1918" si="341">+IF(G1855="","",I1855*0.1)</f>
        <v/>
      </c>
      <c r="K1855" s="324" t="str">
        <f t="shared" ref="K1855:K1918" si="342">+IF(G1855="","",I1855+J1855)</f>
        <v/>
      </c>
      <c r="L1855" s="88"/>
      <c r="M1855" s="88"/>
      <c r="N1855" s="88"/>
      <c r="O1855" s="88"/>
      <c r="P1855" s="88"/>
      <c r="Q1855" s="88"/>
      <c r="R1855" s="88"/>
      <c r="S1855" s="620"/>
      <c r="T1855" s="92"/>
      <c r="U1855" s="1214"/>
      <c r="V1855" s="1215"/>
      <c r="W1855" s="168"/>
      <c r="X1855" s="170"/>
    </row>
    <row r="1856" spans="1:24" ht="12.75" customHeight="1">
      <c r="A1856" s="15"/>
      <c r="B1856" s="92" t="str">
        <f t="shared" si="339"/>
        <v/>
      </c>
      <c r="C1856" s="90"/>
      <c r="D1856" s="87"/>
      <c r="E1856" s="88"/>
      <c r="F1856" s="173"/>
      <c r="G1856" s="88"/>
      <c r="H1856" s="88"/>
      <c r="I1856" s="323" t="str">
        <f t="shared" si="340"/>
        <v/>
      </c>
      <c r="J1856" s="323" t="str">
        <f t="shared" si="341"/>
        <v/>
      </c>
      <c r="K1856" s="324" t="str">
        <f t="shared" si="342"/>
        <v/>
      </c>
      <c r="L1856" s="88"/>
      <c r="M1856" s="88"/>
      <c r="N1856" s="88"/>
      <c r="O1856" s="88"/>
      <c r="P1856" s="88"/>
      <c r="Q1856" s="88"/>
      <c r="R1856" s="88"/>
      <c r="S1856" s="620"/>
      <c r="T1856" s="92"/>
      <c r="U1856" s="1214"/>
      <c r="V1856" s="1215"/>
      <c r="W1856" s="168"/>
      <c r="X1856" s="170"/>
    </row>
    <row r="1857" spans="1:24" ht="12.75" customHeight="1">
      <c r="A1857" s="15"/>
      <c r="B1857" s="92" t="str">
        <f t="shared" si="339"/>
        <v/>
      </c>
      <c r="C1857" s="90"/>
      <c r="D1857" s="87"/>
      <c r="E1857" s="88"/>
      <c r="F1857" s="173"/>
      <c r="G1857" s="88"/>
      <c r="H1857" s="88"/>
      <c r="I1857" s="323" t="str">
        <f t="shared" si="340"/>
        <v/>
      </c>
      <c r="J1857" s="323" t="str">
        <f t="shared" si="341"/>
        <v/>
      </c>
      <c r="K1857" s="324" t="str">
        <f t="shared" si="342"/>
        <v/>
      </c>
      <c r="L1857" s="88"/>
      <c r="M1857" s="88"/>
      <c r="N1857" s="88"/>
      <c r="O1857" s="88"/>
      <c r="P1857" s="88"/>
      <c r="Q1857" s="88"/>
      <c r="R1857" s="88"/>
      <c r="S1857" s="620"/>
      <c r="T1857" s="92"/>
      <c r="U1857" s="1214"/>
      <c r="V1857" s="1215"/>
      <c r="W1857" s="168"/>
      <c r="X1857" s="170"/>
    </row>
    <row r="1858" spans="1:24" ht="12.75" customHeight="1">
      <c r="A1858" s="15"/>
      <c r="B1858" s="92" t="str">
        <f t="shared" si="339"/>
        <v/>
      </c>
      <c r="C1858" s="90"/>
      <c r="D1858" s="87"/>
      <c r="E1858" s="88"/>
      <c r="F1858" s="173"/>
      <c r="G1858" s="88"/>
      <c r="H1858" s="88"/>
      <c r="I1858" s="323" t="str">
        <f t="shared" si="340"/>
        <v/>
      </c>
      <c r="J1858" s="323" t="str">
        <f t="shared" si="341"/>
        <v/>
      </c>
      <c r="K1858" s="324" t="str">
        <f t="shared" si="342"/>
        <v/>
      </c>
      <c r="L1858" s="88"/>
      <c r="M1858" s="88"/>
      <c r="N1858" s="88"/>
      <c r="O1858" s="88"/>
      <c r="P1858" s="88"/>
      <c r="Q1858" s="88"/>
      <c r="R1858" s="88"/>
      <c r="S1858" s="620"/>
      <c r="T1858" s="92"/>
      <c r="U1858" s="1214"/>
      <c r="V1858" s="1215"/>
      <c r="W1858" s="168"/>
      <c r="X1858" s="170"/>
    </row>
    <row r="1859" spans="1:24" ht="12.75" customHeight="1">
      <c r="A1859" s="15"/>
      <c r="B1859" s="92" t="str">
        <f t="shared" si="339"/>
        <v/>
      </c>
      <c r="C1859" s="90"/>
      <c r="D1859" s="87"/>
      <c r="E1859" s="88"/>
      <c r="F1859" s="173"/>
      <c r="G1859" s="88"/>
      <c r="H1859" s="88"/>
      <c r="I1859" s="323" t="str">
        <f t="shared" si="340"/>
        <v/>
      </c>
      <c r="J1859" s="323" t="str">
        <f t="shared" si="341"/>
        <v/>
      </c>
      <c r="K1859" s="324" t="str">
        <f t="shared" si="342"/>
        <v/>
      </c>
      <c r="L1859" s="88"/>
      <c r="M1859" s="88"/>
      <c r="N1859" s="88"/>
      <c r="O1859" s="88"/>
      <c r="P1859" s="88"/>
      <c r="Q1859" s="88"/>
      <c r="R1859" s="88"/>
      <c r="S1859" s="620"/>
      <c r="T1859" s="92"/>
      <c r="U1859" s="1214"/>
      <c r="V1859" s="1215"/>
      <c r="W1859" s="168"/>
      <c r="X1859" s="170"/>
    </row>
    <row r="1860" spans="1:24" ht="12.75" customHeight="1">
      <c r="A1860" s="15"/>
      <c r="B1860" s="92" t="str">
        <f t="shared" si="339"/>
        <v/>
      </c>
      <c r="C1860" s="90"/>
      <c r="D1860" s="87"/>
      <c r="E1860" s="88"/>
      <c r="F1860" s="173"/>
      <c r="G1860" s="88"/>
      <c r="H1860" s="88"/>
      <c r="I1860" s="323" t="str">
        <f t="shared" si="340"/>
        <v/>
      </c>
      <c r="J1860" s="323" t="str">
        <f t="shared" si="341"/>
        <v/>
      </c>
      <c r="K1860" s="324" t="str">
        <f t="shared" si="342"/>
        <v/>
      </c>
      <c r="L1860" s="88"/>
      <c r="M1860" s="88"/>
      <c r="N1860" s="88"/>
      <c r="O1860" s="88"/>
      <c r="P1860" s="88"/>
      <c r="Q1860" s="88"/>
      <c r="R1860" s="88"/>
      <c r="S1860" s="620"/>
      <c r="T1860" s="92"/>
      <c r="U1860" s="1214"/>
      <c r="V1860" s="1215"/>
      <c r="W1860" s="168"/>
      <c r="X1860" s="170"/>
    </row>
    <row r="1861" spans="1:24" ht="12.75" customHeight="1">
      <c r="A1861" s="15"/>
      <c r="B1861" s="92" t="str">
        <f t="shared" si="339"/>
        <v/>
      </c>
      <c r="C1861" s="90"/>
      <c r="D1861" s="87"/>
      <c r="E1861" s="88"/>
      <c r="F1861" s="173"/>
      <c r="G1861" s="88"/>
      <c r="H1861" s="88"/>
      <c r="I1861" s="323" t="str">
        <f t="shared" si="340"/>
        <v/>
      </c>
      <c r="J1861" s="323" t="str">
        <f t="shared" si="341"/>
        <v/>
      </c>
      <c r="K1861" s="324" t="str">
        <f t="shared" si="342"/>
        <v/>
      </c>
      <c r="L1861" s="88"/>
      <c r="M1861" s="88"/>
      <c r="N1861" s="88"/>
      <c r="O1861" s="88"/>
      <c r="P1861" s="88"/>
      <c r="Q1861" s="88"/>
      <c r="R1861" s="88"/>
      <c r="S1861" s="620"/>
      <c r="T1861" s="92"/>
      <c r="U1861" s="1214"/>
      <c r="V1861" s="1215"/>
      <c r="W1861" s="168"/>
      <c r="X1861" s="170"/>
    </row>
    <row r="1862" spans="1:24" ht="12.75" customHeight="1">
      <c r="A1862" s="15"/>
      <c r="B1862" s="92" t="str">
        <f t="shared" si="339"/>
        <v/>
      </c>
      <c r="C1862" s="90"/>
      <c r="D1862" s="87"/>
      <c r="E1862" s="88"/>
      <c r="F1862" s="173"/>
      <c r="G1862" s="88"/>
      <c r="H1862" s="88"/>
      <c r="I1862" s="323" t="str">
        <f t="shared" si="340"/>
        <v/>
      </c>
      <c r="J1862" s="323" t="str">
        <f t="shared" si="341"/>
        <v/>
      </c>
      <c r="K1862" s="324" t="str">
        <f t="shared" si="342"/>
        <v/>
      </c>
      <c r="L1862" s="88"/>
      <c r="M1862" s="88"/>
      <c r="N1862" s="88"/>
      <c r="O1862" s="88"/>
      <c r="P1862" s="88"/>
      <c r="Q1862" s="88"/>
      <c r="R1862" s="88"/>
      <c r="S1862" s="620"/>
      <c r="T1862" s="92"/>
      <c r="U1862" s="1214"/>
      <c r="V1862" s="1215"/>
      <c r="W1862" s="168"/>
      <c r="X1862" s="170"/>
    </row>
    <row r="1863" spans="1:24" ht="12.75" customHeight="1">
      <c r="A1863" s="15"/>
      <c r="B1863" s="92" t="str">
        <f t="shared" si="339"/>
        <v/>
      </c>
      <c r="C1863" s="90"/>
      <c r="D1863" s="87"/>
      <c r="E1863" s="88"/>
      <c r="F1863" s="173"/>
      <c r="G1863" s="88"/>
      <c r="H1863" s="88"/>
      <c r="I1863" s="323" t="str">
        <f t="shared" si="340"/>
        <v/>
      </c>
      <c r="J1863" s="323" t="str">
        <f t="shared" si="341"/>
        <v/>
      </c>
      <c r="K1863" s="324" t="str">
        <f t="shared" si="342"/>
        <v/>
      </c>
      <c r="L1863" s="88"/>
      <c r="M1863" s="88"/>
      <c r="N1863" s="88"/>
      <c r="O1863" s="88"/>
      <c r="P1863" s="88"/>
      <c r="Q1863" s="88"/>
      <c r="R1863" s="88"/>
      <c r="S1863" s="620"/>
      <c r="T1863" s="92"/>
      <c r="U1863" s="1214"/>
      <c r="V1863" s="1215"/>
      <c r="W1863" s="168"/>
      <c r="X1863" s="170"/>
    </row>
    <row r="1864" spans="1:24" ht="12.75" customHeight="1">
      <c r="A1864" s="15"/>
      <c r="B1864" s="92" t="str">
        <f t="shared" si="339"/>
        <v/>
      </c>
      <c r="C1864" s="90"/>
      <c r="D1864" s="87"/>
      <c r="E1864" s="88"/>
      <c r="F1864" s="173"/>
      <c r="G1864" s="88"/>
      <c r="H1864" s="88"/>
      <c r="I1864" s="323" t="str">
        <f t="shared" si="340"/>
        <v/>
      </c>
      <c r="J1864" s="323" t="str">
        <f t="shared" si="341"/>
        <v/>
      </c>
      <c r="K1864" s="324" t="str">
        <f t="shared" si="342"/>
        <v/>
      </c>
      <c r="L1864" s="88"/>
      <c r="M1864" s="88"/>
      <c r="N1864" s="88"/>
      <c r="O1864" s="88"/>
      <c r="P1864" s="88"/>
      <c r="Q1864" s="88"/>
      <c r="R1864" s="88"/>
      <c r="S1864" s="620"/>
      <c r="T1864" s="92"/>
      <c r="U1864" s="1214"/>
      <c r="V1864" s="1215"/>
      <c r="W1864" s="168"/>
      <c r="X1864" s="170"/>
    </row>
    <row r="1865" spans="1:24" ht="12.75" customHeight="1">
      <c r="A1865" s="15"/>
      <c r="B1865" s="92" t="str">
        <f t="shared" si="339"/>
        <v/>
      </c>
      <c r="C1865" s="90"/>
      <c r="D1865" s="87"/>
      <c r="E1865" s="88"/>
      <c r="F1865" s="173"/>
      <c r="G1865" s="88"/>
      <c r="H1865" s="88"/>
      <c r="I1865" s="323" t="str">
        <f t="shared" si="340"/>
        <v/>
      </c>
      <c r="J1865" s="323" t="str">
        <f t="shared" si="341"/>
        <v/>
      </c>
      <c r="K1865" s="324" t="str">
        <f t="shared" si="342"/>
        <v/>
      </c>
      <c r="L1865" s="88"/>
      <c r="M1865" s="88"/>
      <c r="N1865" s="88"/>
      <c r="O1865" s="88"/>
      <c r="P1865" s="88"/>
      <c r="Q1865" s="88"/>
      <c r="R1865" s="88"/>
      <c r="S1865" s="620"/>
      <c r="T1865" s="92"/>
      <c r="U1865" s="1214"/>
      <c r="V1865" s="1215"/>
      <c r="W1865" s="168"/>
      <c r="X1865" s="170"/>
    </row>
    <row r="1866" spans="1:24" ht="12.75" customHeight="1">
      <c r="A1866" s="15"/>
      <c r="B1866" s="92" t="str">
        <f t="shared" si="339"/>
        <v/>
      </c>
      <c r="C1866" s="90"/>
      <c r="D1866" s="87"/>
      <c r="E1866" s="88"/>
      <c r="F1866" s="173"/>
      <c r="G1866" s="88"/>
      <c r="H1866" s="88"/>
      <c r="I1866" s="323" t="str">
        <f t="shared" si="340"/>
        <v/>
      </c>
      <c r="J1866" s="323" t="str">
        <f t="shared" si="341"/>
        <v/>
      </c>
      <c r="K1866" s="324" t="str">
        <f t="shared" si="342"/>
        <v/>
      </c>
      <c r="L1866" s="88"/>
      <c r="M1866" s="88"/>
      <c r="N1866" s="88"/>
      <c r="O1866" s="88"/>
      <c r="P1866" s="88"/>
      <c r="Q1866" s="88"/>
      <c r="R1866" s="88"/>
      <c r="S1866" s="620"/>
      <c r="T1866" s="92"/>
      <c r="U1866" s="1214"/>
      <c r="V1866" s="1215"/>
      <c r="W1866" s="168"/>
      <c r="X1866" s="170"/>
    </row>
    <row r="1867" spans="1:24" ht="12.75" customHeight="1">
      <c r="A1867" s="15"/>
      <c r="B1867" s="92" t="str">
        <f t="shared" si="339"/>
        <v/>
      </c>
      <c r="C1867" s="90"/>
      <c r="D1867" s="87"/>
      <c r="E1867" s="88"/>
      <c r="F1867" s="173"/>
      <c r="G1867" s="88"/>
      <c r="H1867" s="88"/>
      <c r="I1867" s="323" t="str">
        <f t="shared" si="340"/>
        <v/>
      </c>
      <c r="J1867" s="323" t="str">
        <f t="shared" si="341"/>
        <v/>
      </c>
      <c r="K1867" s="324" t="str">
        <f t="shared" si="342"/>
        <v/>
      </c>
      <c r="L1867" s="88"/>
      <c r="M1867" s="88"/>
      <c r="N1867" s="88"/>
      <c r="O1867" s="88"/>
      <c r="P1867" s="88"/>
      <c r="Q1867" s="88"/>
      <c r="R1867" s="88"/>
      <c r="S1867" s="620"/>
      <c r="T1867" s="92"/>
      <c r="U1867" s="1214"/>
      <c r="V1867" s="1215"/>
      <c r="W1867" s="168"/>
      <c r="X1867" s="170"/>
    </row>
    <row r="1868" spans="1:24" ht="12.75" customHeight="1">
      <c r="A1868" s="15"/>
      <c r="B1868" s="92" t="str">
        <f t="shared" si="339"/>
        <v/>
      </c>
      <c r="C1868" s="90"/>
      <c r="D1868" s="87"/>
      <c r="E1868" s="88"/>
      <c r="F1868" s="173"/>
      <c r="G1868" s="88"/>
      <c r="H1868" s="88"/>
      <c r="I1868" s="323" t="str">
        <f t="shared" si="340"/>
        <v/>
      </c>
      <c r="J1868" s="323" t="str">
        <f t="shared" si="341"/>
        <v/>
      </c>
      <c r="K1868" s="324" t="str">
        <f t="shared" si="342"/>
        <v/>
      </c>
      <c r="L1868" s="88"/>
      <c r="M1868" s="88"/>
      <c r="N1868" s="88"/>
      <c r="O1868" s="88"/>
      <c r="P1868" s="88"/>
      <c r="Q1868" s="88"/>
      <c r="R1868" s="88"/>
      <c r="S1868" s="620"/>
      <c r="T1868" s="92"/>
      <c r="U1868" s="1214"/>
      <c r="V1868" s="1215"/>
      <c r="W1868" s="168"/>
      <c r="X1868" s="170"/>
    </row>
    <row r="1869" spans="1:24" ht="12.75" customHeight="1">
      <c r="A1869" s="15"/>
      <c r="B1869" s="92" t="str">
        <f t="shared" si="339"/>
        <v/>
      </c>
      <c r="C1869" s="90"/>
      <c r="D1869" s="87"/>
      <c r="E1869" s="88"/>
      <c r="F1869" s="173"/>
      <c r="G1869" s="88"/>
      <c r="H1869" s="88"/>
      <c r="I1869" s="323" t="str">
        <f t="shared" si="340"/>
        <v/>
      </c>
      <c r="J1869" s="323" t="str">
        <f t="shared" si="341"/>
        <v/>
      </c>
      <c r="K1869" s="324" t="str">
        <f t="shared" si="342"/>
        <v/>
      </c>
      <c r="L1869" s="88"/>
      <c r="M1869" s="88"/>
      <c r="N1869" s="88"/>
      <c r="O1869" s="88"/>
      <c r="P1869" s="88"/>
      <c r="Q1869" s="88"/>
      <c r="R1869" s="88"/>
      <c r="S1869" s="620"/>
      <c r="T1869" s="92"/>
      <c r="U1869" s="1214"/>
      <c r="V1869" s="1215"/>
      <c r="W1869" s="168"/>
      <c r="X1869" s="170"/>
    </row>
    <row r="1870" spans="1:24" ht="12.75" customHeight="1">
      <c r="A1870" s="15"/>
      <c r="B1870" s="92" t="str">
        <f t="shared" si="339"/>
        <v/>
      </c>
      <c r="C1870" s="90"/>
      <c r="D1870" s="87"/>
      <c r="E1870" s="88"/>
      <c r="F1870" s="173"/>
      <c r="G1870" s="88"/>
      <c r="H1870" s="88"/>
      <c r="I1870" s="323" t="str">
        <f t="shared" si="340"/>
        <v/>
      </c>
      <c r="J1870" s="323" t="str">
        <f t="shared" si="341"/>
        <v/>
      </c>
      <c r="K1870" s="324" t="str">
        <f t="shared" si="342"/>
        <v/>
      </c>
      <c r="L1870" s="88"/>
      <c r="M1870" s="88"/>
      <c r="N1870" s="88"/>
      <c r="O1870" s="88"/>
      <c r="P1870" s="88"/>
      <c r="Q1870" s="88"/>
      <c r="R1870" s="88"/>
      <c r="S1870" s="620"/>
      <c r="T1870" s="92"/>
      <c r="U1870" s="1214"/>
      <c r="V1870" s="1215"/>
      <c r="W1870" s="168"/>
      <c r="X1870" s="170"/>
    </row>
    <row r="1871" spans="1:24" ht="12.75" customHeight="1">
      <c r="A1871" s="15"/>
      <c r="B1871" s="92" t="str">
        <f t="shared" si="339"/>
        <v/>
      </c>
      <c r="C1871" s="90"/>
      <c r="D1871" s="87"/>
      <c r="E1871" s="88"/>
      <c r="F1871" s="173"/>
      <c r="G1871" s="88"/>
      <c r="H1871" s="88"/>
      <c r="I1871" s="323" t="str">
        <f t="shared" si="340"/>
        <v/>
      </c>
      <c r="J1871" s="323" t="str">
        <f t="shared" si="341"/>
        <v/>
      </c>
      <c r="K1871" s="324" t="str">
        <f t="shared" si="342"/>
        <v/>
      </c>
      <c r="L1871" s="88"/>
      <c r="M1871" s="88"/>
      <c r="N1871" s="88"/>
      <c r="O1871" s="88"/>
      <c r="P1871" s="88"/>
      <c r="Q1871" s="88"/>
      <c r="R1871" s="88"/>
      <c r="S1871" s="620"/>
      <c r="T1871" s="92"/>
      <c r="U1871" s="1214"/>
      <c r="V1871" s="1215"/>
      <c r="W1871" s="168"/>
      <c r="X1871" s="170"/>
    </row>
    <row r="1872" spans="1:24" ht="12.75" customHeight="1">
      <c r="A1872" s="15"/>
      <c r="B1872" s="92" t="str">
        <f t="shared" si="339"/>
        <v/>
      </c>
      <c r="C1872" s="90"/>
      <c r="D1872" s="87"/>
      <c r="E1872" s="88"/>
      <c r="F1872" s="173"/>
      <c r="G1872" s="88"/>
      <c r="H1872" s="88"/>
      <c r="I1872" s="323" t="str">
        <f t="shared" si="340"/>
        <v/>
      </c>
      <c r="J1872" s="323" t="str">
        <f t="shared" si="341"/>
        <v/>
      </c>
      <c r="K1872" s="324" t="str">
        <f t="shared" si="342"/>
        <v/>
      </c>
      <c r="L1872" s="88"/>
      <c r="M1872" s="88"/>
      <c r="N1872" s="88"/>
      <c r="O1872" s="88"/>
      <c r="P1872" s="88"/>
      <c r="Q1872" s="88"/>
      <c r="R1872" s="88"/>
      <c r="S1872" s="620"/>
      <c r="T1872" s="92"/>
      <c r="U1872" s="1214"/>
      <c r="V1872" s="1215"/>
      <c r="W1872" s="168"/>
      <c r="X1872" s="170"/>
    </row>
    <row r="1873" spans="1:24" ht="12.75" customHeight="1">
      <c r="A1873" s="15"/>
      <c r="B1873" s="92" t="str">
        <f t="shared" si="339"/>
        <v/>
      </c>
      <c r="C1873" s="90"/>
      <c r="D1873" s="87"/>
      <c r="E1873" s="88"/>
      <c r="F1873" s="173"/>
      <c r="G1873" s="88"/>
      <c r="H1873" s="88"/>
      <c r="I1873" s="323" t="str">
        <f t="shared" si="340"/>
        <v/>
      </c>
      <c r="J1873" s="323" t="str">
        <f t="shared" si="341"/>
        <v/>
      </c>
      <c r="K1873" s="324" t="str">
        <f t="shared" si="342"/>
        <v/>
      </c>
      <c r="L1873" s="88"/>
      <c r="M1873" s="88"/>
      <c r="N1873" s="88"/>
      <c r="O1873" s="88"/>
      <c r="P1873" s="88"/>
      <c r="Q1873" s="88"/>
      <c r="R1873" s="88"/>
      <c r="S1873" s="620"/>
      <c r="T1873" s="92"/>
      <c r="U1873" s="1214"/>
      <c r="V1873" s="1215"/>
      <c r="W1873" s="168"/>
      <c r="X1873" s="170"/>
    </row>
    <row r="1874" spans="1:24" ht="12.75" customHeight="1">
      <c r="A1874" s="15"/>
      <c r="B1874" s="92" t="str">
        <f t="shared" si="339"/>
        <v/>
      </c>
      <c r="C1874" s="90"/>
      <c r="D1874" s="87"/>
      <c r="E1874" s="88"/>
      <c r="F1874" s="173"/>
      <c r="G1874" s="88"/>
      <c r="H1874" s="88"/>
      <c r="I1874" s="323" t="str">
        <f t="shared" si="340"/>
        <v/>
      </c>
      <c r="J1874" s="323" t="str">
        <f t="shared" si="341"/>
        <v/>
      </c>
      <c r="K1874" s="324" t="str">
        <f t="shared" si="342"/>
        <v/>
      </c>
      <c r="L1874" s="88"/>
      <c r="M1874" s="88"/>
      <c r="N1874" s="88"/>
      <c r="O1874" s="88"/>
      <c r="P1874" s="88"/>
      <c r="Q1874" s="88"/>
      <c r="R1874" s="88"/>
      <c r="S1874" s="620"/>
      <c r="T1874" s="92"/>
      <c r="U1874" s="1214"/>
      <c r="V1874" s="1215"/>
      <c r="W1874" s="168"/>
      <c r="X1874" s="170"/>
    </row>
    <row r="1875" spans="1:24" ht="12.75" customHeight="1">
      <c r="A1875" s="15"/>
      <c r="B1875" s="92" t="str">
        <f t="shared" si="339"/>
        <v/>
      </c>
      <c r="C1875" s="90"/>
      <c r="D1875" s="87"/>
      <c r="E1875" s="88"/>
      <c r="F1875" s="173"/>
      <c r="G1875" s="88"/>
      <c r="H1875" s="88"/>
      <c r="I1875" s="323" t="str">
        <f t="shared" si="340"/>
        <v/>
      </c>
      <c r="J1875" s="323" t="str">
        <f t="shared" si="341"/>
        <v/>
      </c>
      <c r="K1875" s="324" t="str">
        <f t="shared" si="342"/>
        <v/>
      </c>
      <c r="L1875" s="88"/>
      <c r="M1875" s="88"/>
      <c r="N1875" s="88"/>
      <c r="O1875" s="88"/>
      <c r="P1875" s="88"/>
      <c r="Q1875" s="88"/>
      <c r="R1875" s="88"/>
      <c r="S1875" s="620"/>
      <c r="T1875" s="92"/>
      <c r="U1875" s="1214"/>
      <c r="V1875" s="1215"/>
      <c r="W1875" s="168"/>
      <c r="X1875" s="170"/>
    </row>
    <row r="1876" spans="1:24" ht="12.75" customHeight="1">
      <c r="A1876" s="15"/>
      <c r="B1876" s="92" t="str">
        <f t="shared" si="339"/>
        <v/>
      </c>
      <c r="C1876" s="90"/>
      <c r="D1876" s="87"/>
      <c r="E1876" s="88"/>
      <c r="F1876" s="173"/>
      <c r="G1876" s="88"/>
      <c r="H1876" s="88"/>
      <c r="I1876" s="323" t="str">
        <f t="shared" si="340"/>
        <v/>
      </c>
      <c r="J1876" s="323" t="str">
        <f t="shared" si="341"/>
        <v/>
      </c>
      <c r="K1876" s="324" t="str">
        <f t="shared" si="342"/>
        <v/>
      </c>
      <c r="L1876" s="88"/>
      <c r="M1876" s="88"/>
      <c r="N1876" s="88"/>
      <c r="O1876" s="88"/>
      <c r="P1876" s="88"/>
      <c r="Q1876" s="88"/>
      <c r="R1876" s="88"/>
      <c r="S1876" s="620"/>
      <c r="T1876" s="92"/>
      <c r="U1876" s="1214"/>
      <c r="V1876" s="1215"/>
      <c r="W1876" s="168"/>
      <c r="X1876" s="170"/>
    </row>
    <row r="1877" spans="1:24" ht="12.75" customHeight="1">
      <c r="A1877" s="15"/>
      <c r="B1877" s="92" t="str">
        <f t="shared" si="339"/>
        <v/>
      </c>
      <c r="C1877" s="90"/>
      <c r="D1877" s="87"/>
      <c r="E1877" s="88"/>
      <c r="F1877" s="173"/>
      <c r="G1877" s="88"/>
      <c r="H1877" s="88"/>
      <c r="I1877" s="323" t="str">
        <f t="shared" si="340"/>
        <v/>
      </c>
      <c r="J1877" s="323" t="str">
        <f t="shared" si="341"/>
        <v/>
      </c>
      <c r="K1877" s="324" t="str">
        <f t="shared" si="342"/>
        <v/>
      </c>
      <c r="L1877" s="88"/>
      <c r="M1877" s="88"/>
      <c r="N1877" s="88"/>
      <c r="O1877" s="88"/>
      <c r="P1877" s="88"/>
      <c r="Q1877" s="88"/>
      <c r="R1877" s="88"/>
      <c r="S1877" s="620"/>
      <c r="T1877" s="92"/>
      <c r="U1877" s="1214"/>
      <c r="V1877" s="1215"/>
      <c r="W1877" s="168"/>
      <c r="X1877" s="170"/>
    </row>
    <row r="1878" spans="1:24" ht="12.75" customHeight="1">
      <c r="A1878" s="15"/>
      <c r="B1878" s="92" t="str">
        <f t="shared" si="339"/>
        <v/>
      </c>
      <c r="C1878" s="90"/>
      <c r="D1878" s="87"/>
      <c r="E1878" s="88"/>
      <c r="F1878" s="173"/>
      <c r="G1878" s="88"/>
      <c r="H1878" s="88"/>
      <c r="I1878" s="323" t="str">
        <f t="shared" si="340"/>
        <v/>
      </c>
      <c r="J1878" s="323" t="str">
        <f t="shared" si="341"/>
        <v/>
      </c>
      <c r="K1878" s="324" t="str">
        <f t="shared" si="342"/>
        <v/>
      </c>
      <c r="L1878" s="88"/>
      <c r="M1878" s="88"/>
      <c r="N1878" s="88"/>
      <c r="O1878" s="88"/>
      <c r="P1878" s="88"/>
      <c r="Q1878" s="88"/>
      <c r="R1878" s="88"/>
      <c r="S1878" s="620"/>
      <c r="T1878" s="92"/>
      <c r="U1878" s="1214"/>
      <c r="V1878" s="1215"/>
      <c r="W1878" s="168"/>
      <c r="X1878" s="170"/>
    </row>
    <row r="1879" spans="1:24" ht="12.75" customHeight="1">
      <c r="A1879" s="15"/>
      <c r="B1879" s="92" t="str">
        <f t="shared" si="339"/>
        <v/>
      </c>
      <c r="C1879" s="90"/>
      <c r="D1879" s="87"/>
      <c r="E1879" s="88"/>
      <c r="F1879" s="173"/>
      <c r="G1879" s="88"/>
      <c r="H1879" s="88"/>
      <c r="I1879" s="323" t="str">
        <f t="shared" si="340"/>
        <v/>
      </c>
      <c r="J1879" s="323" t="str">
        <f t="shared" si="341"/>
        <v/>
      </c>
      <c r="K1879" s="324" t="str">
        <f t="shared" si="342"/>
        <v/>
      </c>
      <c r="L1879" s="88"/>
      <c r="M1879" s="88"/>
      <c r="N1879" s="88"/>
      <c r="O1879" s="88"/>
      <c r="P1879" s="88"/>
      <c r="Q1879" s="88"/>
      <c r="R1879" s="88"/>
      <c r="S1879" s="620"/>
      <c r="T1879" s="92"/>
      <c r="U1879" s="1214"/>
      <c r="V1879" s="1215"/>
      <c r="W1879" s="168"/>
      <c r="X1879" s="170"/>
    </row>
    <row r="1880" spans="1:24" ht="12.75" customHeight="1">
      <c r="A1880" s="15"/>
      <c r="B1880" s="92" t="str">
        <f t="shared" si="339"/>
        <v/>
      </c>
      <c r="C1880" s="90"/>
      <c r="D1880" s="87"/>
      <c r="E1880" s="88"/>
      <c r="F1880" s="173"/>
      <c r="G1880" s="88"/>
      <c r="H1880" s="88"/>
      <c r="I1880" s="323" t="str">
        <f t="shared" si="340"/>
        <v/>
      </c>
      <c r="J1880" s="323" t="str">
        <f t="shared" si="341"/>
        <v/>
      </c>
      <c r="K1880" s="324" t="str">
        <f t="shared" si="342"/>
        <v/>
      </c>
      <c r="L1880" s="88"/>
      <c r="M1880" s="88"/>
      <c r="N1880" s="88"/>
      <c r="O1880" s="88"/>
      <c r="P1880" s="88"/>
      <c r="Q1880" s="88"/>
      <c r="R1880" s="88"/>
      <c r="S1880" s="620"/>
      <c r="T1880" s="92"/>
      <c r="U1880" s="1214"/>
      <c r="V1880" s="1215"/>
      <c r="W1880" s="168"/>
      <c r="X1880" s="170"/>
    </row>
    <row r="1881" spans="1:24" ht="12.75" customHeight="1">
      <c r="A1881" s="15"/>
      <c r="B1881" s="92" t="str">
        <f t="shared" si="339"/>
        <v/>
      </c>
      <c r="C1881" s="90"/>
      <c r="D1881" s="87"/>
      <c r="E1881" s="88"/>
      <c r="F1881" s="173"/>
      <c r="G1881" s="88"/>
      <c r="H1881" s="88"/>
      <c r="I1881" s="323" t="str">
        <f t="shared" si="340"/>
        <v/>
      </c>
      <c r="J1881" s="323" t="str">
        <f t="shared" si="341"/>
        <v/>
      </c>
      <c r="K1881" s="324" t="str">
        <f t="shared" si="342"/>
        <v/>
      </c>
      <c r="L1881" s="88"/>
      <c r="M1881" s="88"/>
      <c r="N1881" s="88"/>
      <c r="O1881" s="88"/>
      <c r="P1881" s="88"/>
      <c r="Q1881" s="88"/>
      <c r="R1881" s="88"/>
      <c r="S1881" s="620"/>
      <c r="T1881" s="92"/>
      <c r="U1881" s="1214"/>
      <c r="V1881" s="1215"/>
      <c r="W1881" s="168"/>
      <c r="X1881" s="170"/>
    </row>
    <row r="1882" spans="1:24" ht="12.75" customHeight="1">
      <c r="A1882" s="15"/>
      <c r="B1882" s="92" t="str">
        <f t="shared" si="339"/>
        <v/>
      </c>
      <c r="C1882" s="90"/>
      <c r="D1882" s="87"/>
      <c r="E1882" s="88"/>
      <c r="F1882" s="173"/>
      <c r="G1882" s="88"/>
      <c r="H1882" s="88"/>
      <c r="I1882" s="323" t="str">
        <f t="shared" si="340"/>
        <v/>
      </c>
      <c r="J1882" s="323" t="str">
        <f t="shared" si="341"/>
        <v/>
      </c>
      <c r="K1882" s="324" t="str">
        <f t="shared" si="342"/>
        <v/>
      </c>
      <c r="L1882" s="88"/>
      <c r="M1882" s="88"/>
      <c r="N1882" s="88"/>
      <c r="O1882" s="88"/>
      <c r="P1882" s="88"/>
      <c r="Q1882" s="88"/>
      <c r="R1882" s="88"/>
      <c r="S1882" s="620"/>
      <c r="T1882" s="92"/>
      <c r="U1882" s="1214"/>
      <c r="V1882" s="1215"/>
      <c r="W1882" s="168"/>
      <c r="X1882" s="170"/>
    </row>
    <row r="1883" spans="1:24" ht="12.75" customHeight="1">
      <c r="A1883" s="15"/>
      <c r="B1883" s="92" t="str">
        <f t="shared" si="339"/>
        <v/>
      </c>
      <c r="C1883" s="90"/>
      <c r="D1883" s="87"/>
      <c r="E1883" s="88"/>
      <c r="F1883" s="173"/>
      <c r="G1883" s="88"/>
      <c r="H1883" s="88"/>
      <c r="I1883" s="323" t="str">
        <f t="shared" si="340"/>
        <v/>
      </c>
      <c r="J1883" s="323" t="str">
        <f t="shared" si="341"/>
        <v/>
      </c>
      <c r="K1883" s="324" t="str">
        <f t="shared" si="342"/>
        <v/>
      </c>
      <c r="L1883" s="88"/>
      <c r="M1883" s="88"/>
      <c r="N1883" s="88"/>
      <c r="O1883" s="88"/>
      <c r="P1883" s="88"/>
      <c r="Q1883" s="88"/>
      <c r="R1883" s="88"/>
      <c r="S1883" s="620"/>
      <c r="T1883" s="92"/>
      <c r="U1883" s="1214"/>
      <c r="V1883" s="1215"/>
      <c r="W1883" s="168"/>
      <c r="X1883" s="170"/>
    </row>
    <row r="1884" spans="1:24" ht="12.75" customHeight="1">
      <c r="A1884" s="15"/>
      <c r="B1884" s="92" t="str">
        <f t="shared" si="339"/>
        <v/>
      </c>
      <c r="C1884" s="90"/>
      <c r="D1884" s="87"/>
      <c r="E1884" s="88"/>
      <c r="F1884" s="173"/>
      <c r="G1884" s="88"/>
      <c r="H1884" s="88"/>
      <c r="I1884" s="323" t="str">
        <f t="shared" si="340"/>
        <v/>
      </c>
      <c r="J1884" s="323" t="str">
        <f t="shared" si="341"/>
        <v/>
      </c>
      <c r="K1884" s="324" t="str">
        <f t="shared" si="342"/>
        <v/>
      </c>
      <c r="L1884" s="88"/>
      <c r="M1884" s="88"/>
      <c r="N1884" s="88"/>
      <c r="O1884" s="88"/>
      <c r="P1884" s="88"/>
      <c r="Q1884" s="88"/>
      <c r="R1884" s="88"/>
      <c r="S1884" s="620"/>
      <c r="T1884" s="92"/>
      <c r="U1884" s="1214"/>
      <c r="V1884" s="1215"/>
      <c r="W1884" s="168"/>
      <c r="X1884" s="170"/>
    </row>
    <row r="1885" spans="1:24" ht="12.75" customHeight="1">
      <c r="A1885" s="15"/>
      <c r="B1885" s="92" t="str">
        <f t="shared" si="339"/>
        <v/>
      </c>
      <c r="C1885" s="90"/>
      <c r="D1885" s="87"/>
      <c r="E1885" s="88"/>
      <c r="F1885" s="173"/>
      <c r="G1885" s="88"/>
      <c r="H1885" s="88"/>
      <c r="I1885" s="323" t="str">
        <f t="shared" si="340"/>
        <v/>
      </c>
      <c r="J1885" s="323" t="str">
        <f t="shared" si="341"/>
        <v/>
      </c>
      <c r="K1885" s="324" t="str">
        <f t="shared" si="342"/>
        <v/>
      </c>
      <c r="L1885" s="88"/>
      <c r="M1885" s="88"/>
      <c r="N1885" s="88"/>
      <c r="O1885" s="88"/>
      <c r="P1885" s="88"/>
      <c r="Q1885" s="88"/>
      <c r="R1885" s="88"/>
      <c r="S1885" s="620"/>
      <c r="T1885" s="92"/>
      <c r="U1885" s="1214"/>
      <c r="V1885" s="1215"/>
      <c r="W1885" s="168"/>
      <c r="X1885" s="170"/>
    </row>
    <row r="1886" spans="1:24" ht="12.75" customHeight="1">
      <c r="A1886" s="15"/>
      <c r="B1886" s="92" t="str">
        <f t="shared" si="339"/>
        <v/>
      </c>
      <c r="C1886" s="90"/>
      <c r="D1886" s="87"/>
      <c r="E1886" s="88"/>
      <c r="F1886" s="173"/>
      <c r="G1886" s="88"/>
      <c r="H1886" s="88"/>
      <c r="I1886" s="323" t="str">
        <f t="shared" si="340"/>
        <v/>
      </c>
      <c r="J1886" s="323" t="str">
        <f t="shared" si="341"/>
        <v/>
      </c>
      <c r="K1886" s="324" t="str">
        <f t="shared" si="342"/>
        <v/>
      </c>
      <c r="L1886" s="88"/>
      <c r="M1886" s="88"/>
      <c r="N1886" s="88"/>
      <c r="O1886" s="88"/>
      <c r="P1886" s="88"/>
      <c r="Q1886" s="88"/>
      <c r="R1886" s="88"/>
      <c r="S1886" s="620"/>
      <c r="T1886" s="92"/>
      <c r="U1886" s="1214"/>
      <c r="V1886" s="1215"/>
      <c r="W1886" s="168"/>
      <c r="X1886" s="170"/>
    </row>
    <row r="1887" spans="1:24" ht="12.75" customHeight="1">
      <c r="A1887" s="15"/>
      <c r="B1887" s="92" t="str">
        <f t="shared" si="339"/>
        <v/>
      </c>
      <c r="C1887" s="90"/>
      <c r="D1887" s="87"/>
      <c r="E1887" s="88"/>
      <c r="F1887" s="173"/>
      <c r="G1887" s="88"/>
      <c r="H1887" s="88"/>
      <c r="I1887" s="323" t="str">
        <f t="shared" si="340"/>
        <v/>
      </c>
      <c r="J1887" s="323" t="str">
        <f t="shared" si="341"/>
        <v/>
      </c>
      <c r="K1887" s="324" t="str">
        <f t="shared" si="342"/>
        <v/>
      </c>
      <c r="L1887" s="88"/>
      <c r="M1887" s="88"/>
      <c r="N1887" s="88"/>
      <c r="O1887" s="88"/>
      <c r="P1887" s="88"/>
      <c r="Q1887" s="88"/>
      <c r="R1887" s="88"/>
      <c r="S1887" s="620"/>
      <c r="T1887" s="92"/>
      <c r="U1887" s="1214"/>
      <c r="V1887" s="1215"/>
      <c r="W1887" s="168"/>
      <c r="X1887" s="170"/>
    </row>
    <row r="1888" spans="1:24" ht="12.75" customHeight="1">
      <c r="A1888" s="15"/>
      <c r="B1888" s="92" t="str">
        <f t="shared" si="339"/>
        <v/>
      </c>
      <c r="C1888" s="90"/>
      <c r="D1888" s="87"/>
      <c r="E1888" s="88"/>
      <c r="F1888" s="173"/>
      <c r="G1888" s="88"/>
      <c r="H1888" s="88"/>
      <c r="I1888" s="323" t="str">
        <f t="shared" si="340"/>
        <v/>
      </c>
      <c r="J1888" s="323" t="str">
        <f t="shared" si="341"/>
        <v/>
      </c>
      <c r="K1888" s="324" t="str">
        <f t="shared" si="342"/>
        <v/>
      </c>
      <c r="L1888" s="88"/>
      <c r="M1888" s="88"/>
      <c r="N1888" s="88"/>
      <c r="O1888" s="88"/>
      <c r="P1888" s="88"/>
      <c r="Q1888" s="88"/>
      <c r="R1888" s="88"/>
      <c r="S1888" s="620"/>
      <c r="T1888" s="92"/>
      <c r="U1888" s="1214"/>
      <c r="V1888" s="1215"/>
      <c r="W1888" s="168"/>
      <c r="X1888" s="170"/>
    </row>
    <row r="1889" spans="1:24" ht="12.75" customHeight="1">
      <c r="A1889" s="15"/>
      <c r="B1889" s="92" t="str">
        <f t="shared" si="339"/>
        <v/>
      </c>
      <c r="C1889" s="90"/>
      <c r="D1889" s="87"/>
      <c r="E1889" s="88"/>
      <c r="F1889" s="173"/>
      <c r="G1889" s="88"/>
      <c r="H1889" s="88"/>
      <c r="I1889" s="323" t="str">
        <f t="shared" si="340"/>
        <v/>
      </c>
      <c r="J1889" s="323" t="str">
        <f t="shared" si="341"/>
        <v/>
      </c>
      <c r="K1889" s="324" t="str">
        <f t="shared" si="342"/>
        <v/>
      </c>
      <c r="L1889" s="88"/>
      <c r="M1889" s="88"/>
      <c r="N1889" s="88"/>
      <c r="O1889" s="88"/>
      <c r="P1889" s="88"/>
      <c r="Q1889" s="88"/>
      <c r="R1889" s="88"/>
      <c r="S1889" s="620"/>
      <c r="T1889" s="92"/>
      <c r="U1889" s="1214"/>
      <c r="V1889" s="1215"/>
      <c r="W1889" s="168"/>
      <c r="X1889" s="170"/>
    </row>
    <row r="1890" spans="1:24" ht="12.75" customHeight="1">
      <c r="A1890" s="15"/>
      <c r="B1890" s="92" t="str">
        <f t="shared" si="339"/>
        <v/>
      </c>
      <c r="C1890" s="90"/>
      <c r="D1890" s="87"/>
      <c r="E1890" s="88"/>
      <c r="F1890" s="173"/>
      <c r="G1890" s="88"/>
      <c r="H1890" s="88"/>
      <c r="I1890" s="323" t="str">
        <f t="shared" si="340"/>
        <v/>
      </c>
      <c r="J1890" s="323" t="str">
        <f t="shared" si="341"/>
        <v/>
      </c>
      <c r="K1890" s="324" t="str">
        <f t="shared" si="342"/>
        <v/>
      </c>
      <c r="L1890" s="88"/>
      <c r="M1890" s="88"/>
      <c r="N1890" s="88"/>
      <c r="O1890" s="88"/>
      <c r="P1890" s="88"/>
      <c r="Q1890" s="88"/>
      <c r="R1890" s="88"/>
      <c r="S1890" s="620"/>
      <c r="T1890" s="92"/>
      <c r="U1890" s="1214"/>
      <c r="V1890" s="1215"/>
      <c r="W1890" s="168"/>
      <c r="X1890" s="170"/>
    </row>
    <row r="1891" spans="1:24" ht="12.75" customHeight="1">
      <c r="A1891" s="15"/>
      <c r="B1891" s="92" t="str">
        <f t="shared" si="339"/>
        <v/>
      </c>
      <c r="C1891" s="90"/>
      <c r="D1891" s="87"/>
      <c r="E1891" s="88"/>
      <c r="F1891" s="173"/>
      <c r="G1891" s="88"/>
      <c r="H1891" s="88"/>
      <c r="I1891" s="323" t="str">
        <f t="shared" si="340"/>
        <v/>
      </c>
      <c r="J1891" s="323" t="str">
        <f t="shared" si="341"/>
        <v/>
      </c>
      <c r="K1891" s="324" t="str">
        <f t="shared" si="342"/>
        <v/>
      </c>
      <c r="L1891" s="88"/>
      <c r="M1891" s="88"/>
      <c r="N1891" s="88"/>
      <c r="O1891" s="88"/>
      <c r="P1891" s="88"/>
      <c r="Q1891" s="88"/>
      <c r="R1891" s="88"/>
      <c r="S1891" s="620"/>
      <c r="T1891" s="92"/>
      <c r="U1891" s="1214"/>
      <c r="V1891" s="1215"/>
      <c r="W1891" s="168"/>
      <c r="X1891" s="170"/>
    </row>
    <row r="1892" spans="1:24" ht="12.75" customHeight="1">
      <c r="A1892" s="15"/>
      <c r="B1892" s="92" t="str">
        <f t="shared" si="339"/>
        <v/>
      </c>
      <c r="C1892" s="90"/>
      <c r="D1892" s="87"/>
      <c r="E1892" s="88"/>
      <c r="F1892" s="173"/>
      <c r="G1892" s="88"/>
      <c r="H1892" s="88"/>
      <c r="I1892" s="323" t="str">
        <f t="shared" si="340"/>
        <v/>
      </c>
      <c r="J1892" s="323" t="str">
        <f t="shared" si="341"/>
        <v/>
      </c>
      <c r="K1892" s="324" t="str">
        <f t="shared" si="342"/>
        <v/>
      </c>
      <c r="L1892" s="88"/>
      <c r="M1892" s="88"/>
      <c r="N1892" s="88"/>
      <c r="O1892" s="88"/>
      <c r="P1892" s="88"/>
      <c r="Q1892" s="88"/>
      <c r="R1892" s="88"/>
      <c r="S1892" s="620"/>
      <c r="T1892" s="92"/>
      <c r="U1892" s="1214"/>
      <c r="V1892" s="1215"/>
      <c r="W1892" s="168"/>
      <c r="X1892" s="170"/>
    </row>
    <row r="1893" spans="1:24" ht="12.75" customHeight="1">
      <c r="A1893" s="15"/>
      <c r="B1893" s="92" t="str">
        <f t="shared" si="339"/>
        <v/>
      </c>
      <c r="C1893" s="90"/>
      <c r="D1893" s="87"/>
      <c r="E1893" s="88"/>
      <c r="F1893" s="173"/>
      <c r="G1893" s="88"/>
      <c r="H1893" s="88"/>
      <c r="I1893" s="323" t="str">
        <f t="shared" si="340"/>
        <v/>
      </c>
      <c r="J1893" s="323" t="str">
        <f t="shared" si="341"/>
        <v/>
      </c>
      <c r="K1893" s="324" t="str">
        <f t="shared" si="342"/>
        <v/>
      </c>
      <c r="L1893" s="88"/>
      <c r="M1893" s="88"/>
      <c r="N1893" s="88"/>
      <c r="O1893" s="88"/>
      <c r="P1893" s="88"/>
      <c r="Q1893" s="88"/>
      <c r="R1893" s="88"/>
      <c r="S1893" s="620"/>
      <c r="T1893" s="92"/>
      <c r="U1893" s="1214"/>
      <c r="V1893" s="1215"/>
      <c r="W1893" s="168"/>
      <c r="X1893" s="170"/>
    </row>
    <row r="1894" spans="1:24" ht="12.75" customHeight="1">
      <c r="A1894" s="15"/>
      <c r="B1894" s="92" t="str">
        <f t="shared" si="339"/>
        <v/>
      </c>
      <c r="C1894" s="90"/>
      <c r="D1894" s="87"/>
      <c r="E1894" s="88"/>
      <c r="F1894" s="173"/>
      <c r="G1894" s="88"/>
      <c r="H1894" s="88"/>
      <c r="I1894" s="323" t="str">
        <f t="shared" si="340"/>
        <v/>
      </c>
      <c r="J1894" s="323" t="str">
        <f t="shared" si="341"/>
        <v/>
      </c>
      <c r="K1894" s="324" t="str">
        <f t="shared" si="342"/>
        <v/>
      </c>
      <c r="L1894" s="88"/>
      <c r="M1894" s="88"/>
      <c r="N1894" s="88"/>
      <c r="O1894" s="88"/>
      <c r="P1894" s="88"/>
      <c r="Q1894" s="88"/>
      <c r="R1894" s="88"/>
      <c r="S1894" s="620"/>
      <c r="T1894" s="92"/>
      <c r="U1894" s="1214"/>
      <c r="V1894" s="1215"/>
      <c r="W1894" s="168"/>
      <c r="X1894" s="170"/>
    </row>
    <row r="1895" spans="1:24" ht="12.75" customHeight="1">
      <c r="A1895" s="15"/>
      <c r="B1895" s="92" t="str">
        <f t="shared" si="339"/>
        <v/>
      </c>
      <c r="C1895" s="90"/>
      <c r="D1895" s="87"/>
      <c r="E1895" s="88"/>
      <c r="F1895" s="173"/>
      <c r="G1895" s="88"/>
      <c r="H1895" s="88"/>
      <c r="I1895" s="323" t="str">
        <f t="shared" si="340"/>
        <v/>
      </c>
      <c r="J1895" s="323" t="str">
        <f t="shared" si="341"/>
        <v/>
      </c>
      <c r="K1895" s="324" t="str">
        <f t="shared" si="342"/>
        <v/>
      </c>
      <c r="L1895" s="88"/>
      <c r="M1895" s="88"/>
      <c r="N1895" s="88"/>
      <c r="O1895" s="88"/>
      <c r="P1895" s="88"/>
      <c r="Q1895" s="88"/>
      <c r="R1895" s="88"/>
      <c r="S1895" s="620"/>
      <c r="T1895" s="92"/>
      <c r="U1895" s="1214"/>
      <c r="V1895" s="1215"/>
      <c r="W1895" s="168"/>
      <c r="X1895" s="170"/>
    </row>
    <row r="1896" spans="1:24" ht="12.75" customHeight="1">
      <c r="A1896" s="15"/>
      <c r="B1896" s="92" t="str">
        <f t="shared" si="339"/>
        <v/>
      </c>
      <c r="C1896" s="90"/>
      <c r="D1896" s="87"/>
      <c r="E1896" s="88"/>
      <c r="F1896" s="173"/>
      <c r="G1896" s="88"/>
      <c r="H1896" s="88"/>
      <c r="I1896" s="323" t="str">
        <f t="shared" si="340"/>
        <v/>
      </c>
      <c r="J1896" s="323" t="str">
        <f t="shared" si="341"/>
        <v/>
      </c>
      <c r="K1896" s="324" t="str">
        <f t="shared" si="342"/>
        <v/>
      </c>
      <c r="L1896" s="88"/>
      <c r="M1896" s="88"/>
      <c r="N1896" s="88"/>
      <c r="O1896" s="88"/>
      <c r="P1896" s="88"/>
      <c r="Q1896" s="88"/>
      <c r="R1896" s="88"/>
      <c r="S1896" s="620"/>
      <c r="T1896" s="92"/>
      <c r="U1896" s="1214"/>
      <c r="V1896" s="1215"/>
      <c r="W1896" s="168"/>
      <c r="X1896" s="170"/>
    </row>
    <row r="1897" spans="1:24" ht="12.75" customHeight="1">
      <c r="A1897" s="15"/>
      <c r="B1897" s="92" t="str">
        <f t="shared" si="339"/>
        <v/>
      </c>
      <c r="C1897" s="90"/>
      <c r="D1897" s="87"/>
      <c r="E1897" s="88"/>
      <c r="F1897" s="173"/>
      <c r="G1897" s="88"/>
      <c r="H1897" s="88"/>
      <c r="I1897" s="323" t="str">
        <f t="shared" si="340"/>
        <v/>
      </c>
      <c r="J1897" s="323" t="str">
        <f t="shared" si="341"/>
        <v/>
      </c>
      <c r="K1897" s="324" t="str">
        <f t="shared" si="342"/>
        <v/>
      </c>
      <c r="L1897" s="88"/>
      <c r="M1897" s="88"/>
      <c r="N1897" s="88"/>
      <c r="O1897" s="88"/>
      <c r="P1897" s="88"/>
      <c r="Q1897" s="88"/>
      <c r="R1897" s="88"/>
      <c r="S1897" s="620"/>
      <c r="T1897" s="92"/>
      <c r="U1897" s="1214"/>
      <c r="V1897" s="1215"/>
      <c r="W1897" s="168"/>
      <c r="X1897" s="170"/>
    </row>
    <row r="1898" spans="1:24" ht="12.75" customHeight="1">
      <c r="A1898" s="15"/>
      <c r="B1898" s="92" t="str">
        <f t="shared" si="339"/>
        <v/>
      </c>
      <c r="C1898" s="90"/>
      <c r="D1898" s="87"/>
      <c r="E1898" s="88"/>
      <c r="F1898" s="173"/>
      <c r="G1898" s="88"/>
      <c r="H1898" s="88"/>
      <c r="I1898" s="323" t="str">
        <f t="shared" si="340"/>
        <v/>
      </c>
      <c r="J1898" s="323" t="str">
        <f t="shared" si="341"/>
        <v/>
      </c>
      <c r="K1898" s="324" t="str">
        <f t="shared" si="342"/>
        <v/>
      </c>
      <c r="L1898" s="88"/>
      <c r="M1898" s="88"/>
      <c r="N1898" s="88"/>
      <c r="O1898" s="88"/>
      <c r="P1898" s="88"/>
      <c r="Q1898" s="88"/>
      <c r="R1898" s="88"/>
      <c r="S1898" s="620"/>
      <c r="T1898" s="92"/>
      <c r="U1898" s="1214"/>
      <c r="V1898" s="1215"/>
      <c r="W1898" s="168"/>
      <c r="X1898" s="170"/>
    </row>
    <row r="1899" spans="1:24" ht="12.75" customHeight="1">
      <c r="A1899" s="15"/>
      <c r="B1899" s="92" t="str">
        <f t="shared" si="339"/>
        <v/>
      </c>
      <c r="C1899" s="90"/>
      <c r="D1899" s="87"/>
      <c r="E1899" s="88"/>
      <c r="F1899" s="173"/>
      <c r="G1899" s="88"/>
      <c r="H1899" s="88"/>
      <c r="I1899" s="323" t="str">
        <f t="shared" si="340"/>
        <v/>
      </c>
      <c r="J1899" s="323" t="str">
        <f t="shared" si="341"/>
        <v/>
      </c>
      <c r="K1899" s="324" t="str">
        <f t="shared" si="342"/>
        <v/>
      </c>
      <c r="L1899" s="88"/>
      <c r="M1899" s="88"/>
      <c r="N1899" s="88"/>
      <c r="O1899" s="88"/>
      <c r="P1899" s="88"/>
      <c r="Q1899" s="88"/>
      <c r="R1899" s="88"/>
      <c r="S1899" s="620"/>
      <c r="T1899" s="92"/>
      <c r="U1899" s="1214"/>
      <c r="V1899" s="1215"/>
      <c r="W1899" s="168"/>
      <c r="X1899" s="170"/>
    </row>
    <row r="1900" spans="1:24" ht="12.75" customHeight="1">
      <c r="A1900" s="15"/>
      <c r="B1900" s="92" t="str">
        <f t="shared" si="339"/>
        <v/>
      </c>
      <c r="C1900" s="90"/>
      <c r="D1900" s="87"/>
      <c r="E1900" s="88"/>
      <c r="F1900" s="173"/>
      <c r="G1900" s="88"/>
      <c r="H1900" s="88"/>
      <c r="I1900" s="323" t="str">
        <f t="shared" si="340"/>
        <v/>
      </c>
      <c r="J1900" s="323" t="str">
        <f t="shared" si="341"/>
        <v/>
      </c>
      <c r="K1900" s="324" t="str">
        <f t="shared" si="342"/>
        <v/>
      </c>
      <c r="L1900" s="88"/>
      <c r="M1900" s="88"/>
      <c r="N1900" s="88"/>
      <c r="O1900" s="88"/>
      <c r="P1900" s="88"/>
      <c r="Q1900" s="88"/>
      <c r="R1900" s="88"/>
      <c r="S1900" s="620"/>
      <c r="T1900" s="92"/>
      <c r="U1900" s="1214"/>
      <c r="V1900" s="1215"/>
      <c r="W1900" s="168"/>
      <c r="X1900" s="170"/>
    </row>
    <row r="1901" spans="1:24" ht="12.75" customHeight="1">
      <c r="A1901" s="15"/>
      <c r="B1901" s="92" t="str">
        <f t="shared" si="339"/>
        <v/>
      </c>
      <c r="C1901" s="90"/>
      <c r="D1901" s="87"/>
      <c r="E1901" s="88"/>
      <c r="F1901" s="173"/>
      <c r="G1901" s="88"/>
      <c r="H1901" s="88"/>
      <c r="I1901" s="323" t="str">
        <f t="shared" si="340"/>
        <v/>
      </c>
      <c r="J1901" s="323" t="str">
        <f t="shared" si="341"/>
        <v/>
      </c>
      <c r="K1901" s="324" t="str">
        <f t="shared" si="342"/>
        <v/>
      </c>
      <c r="L1901" s="88"/>
      <c r="M1901" s="88"/>
      <c r="N1901" s="88"/>
      <c r="O1901" s="88"/>
      <c r="P1901" s="88"/>
      <c r="Q1901" s="88"/>
      <c r="R1901" s="88"/>
      <c r="S1901" s="620"/>
      <c r="T1901" s="92"/>
      <c r="U1901" s="1214"/>
      <c r="V1901" s="1215"/>
      <c r="W1901" s="168"/>
      <c r="X1901" s="170"/>
    </row>
    <row r="1902" spans="1:24" ht="12.75" customHeight="1">
      <c r="A1902" s="15"/>
      <c r="B1902" s="92" t="str">
        <f t="shared" si="339"/>
        <v/>
      </c>
      <c r="C1902" s="90"/>
      <c r="D1902" s="87"/>
      <c r="E1902" s="88"/>
      <c r="F1902" s="173"/>
      <c r="G1902" s="88"/>
      <c r="H1902" s="88"/>
      <c r="I1902" s="323" t="str">
        <f t="shared" si="340"/>
        <v/>
      </c>
      <c r="J1902" s="323" t="str">
        <f t="shared" si="341"/>
        <v/>
      </c>
      <c r="K1902" s="324" t="str">
        <f t="shared" si="342"/>
        <v/>
      </c>
      <c r="L1902" s="88"/>
      <c r="M1902" s="88"/>
      <c r="N1902" s="88"/>
      <c r="O1902" s="88"/>
      <c r="P1902" s="88"/>
      <c r="Q1902" s="88"/>
      <c r="R1902" s="88"/>
      <c r="S1902" s="620"/>
      <c r="T1902" s="92"/>
      <c r="U1902" s="1214"/>
      <c r="V1902" s="1215"/>
      <c r="W1902" s="168"/>
      <c r="X1902" s="170"/>
    </row>
    <row r="1903" spans="1:24" ht="12.75" customHeight="1">
      <c r="A1903" s="15"/>
      <c r="B1903" s="92" t="str">
        <f t="shared" ref="B1903:B1966" si="343">IF(C1903="","",ROW()-5)</f>
        <v/>
      </c>
      <c r="C1903" s="90"/>
      <c r="D1903" s="87"/>
      <c r="E1903" s="88"/>
      <c r="F1903" s="173"/>
      <c r="G1903" s="88"/>
      <c r="H1903" s="88"/>
      <c r="I1903" s="323" t="str">
        <f t="shared" si="340"/>
        <v/>
      </c>
      <c r="J1903" s="323" t="str">
        <f t="shared" si="341"/>
        <v/>
      </c>
      <c r="K1903" s="324" t="str">
        <f t="shared" si="342"/>
        <v/>
      </c>
      <c r="L1903" s="88"/>
      <c r="M1903" s="88"/>
      <c r="N1903" s="88"/>
      <c r="O1903" s="88"/>
      <c r="P1903" s="88"/>
      <c r="Q1903" s="88"/>
      <c r="R1903" s="88"/>
      <c r="S1903" s="620"/>
      <c r="T1903" s="92"/>
      <c r="U1903" s="1214"/>
      <c r="V1903" s="1215"/>
      <c r="W1903" s="168"/>
      <c r="X1903" s="170"/>
    </row>
    <row r="1904" spans="1:24" ht="12.75" customHeight="1">
      <c r="A1904" s="15"/>
      <c r="B1904" s="92" t="str">
        <f t="shared" si="343"/>
        <v/>
      </c>
      <c r="C1904" s="90"/>
      <c r="D1904" s="87"/>
      <c r="E1904" s="88"/>
      <c r="F1904" s="173"/>
      <c r="G1904" s="88"/>
      <c r="H1904" s="88"/>
      <c r="I1904" s="323" t="str">
        <f t="shared" si="340"/>
        <v/>
      </c>
      <c r="J1904" s="323" t="str">
        <f t="shared" si="341"/>
        <v/>
      </c>
      <c r="K1904" s="324" t="str">
        <f t="shared" si="342"/>
        <v/>
      </c>
      <c r="L1904" s="88"/>
      <c r="M1904" s="88"/>
      <c r="N1904" s="88"/>
      <c r="O1904" s="88"/>
      <c r="P1904" s="88"/>
      <c r="Q1904" s="88"/>
      <c r="R1904" s="88"/>
      <c r="S1904" s="620"/>
      <c r="T1904" s="92"/>
      <c r="U1904" s="1214"/>
      <c r="V1904" s="1215"/>
      <c r="W1904" s="168"/>
      <c r="X1904" s="170"/>
    </row>
    <row r="1905" spans="1:24" ht="12.75" customHeight="1">
      <c r="A1905" s="15"/>
      <c r="B1905" s="92" t="str">
        <f t="shared" si="343"/>
        <v/>
      </c>
      <c r="C1905" s="90"/>
      <c r="D1905" s="87"/>
      <c r="E1905" s="88"/>
      <c r="F1905" s="173"/>
      <c r="G1905" s="88"/>
      <c r="H1905" s="88"/>
      <c r="I1905" s="323" t="str">
        <f t="shared" si="340"/>
        <v/>
      </c>
      <c r="J1905" s="323" t="str">
        <f t="shared" si="341"/>
        <v/>
      </c>
      <c r="K1905" s="324" t="str">
        <f t="shared" si="342"/>
        <v/>
      </c>
      <c r="L1905" s="88"/>
      <c r="M1905" s="88"/>
      <c r="N1905" s="88"/>
      <c r="O1905" s="88"/>
      <c r="P1905" s="88"/>
      <c r="Q1905" s="88"/>
      <c r="R1905" s="88"/>
      <c r="S1905" s="620"/>
      <c r="T1905" s="92"/>
      <c r="U1905" s="1214"/>
      <c r="V1905" s="1215"/>
      <c r="W1905" s="168"/>
      <c r="X1905" s="170"/>
    </row>
    <row r="1906" spans="1:24" ht="12.75" customHeight="1">
      <c r="A1906" s="15"/>
      <c r="B1906" s="92" t="str">
        <f t="shared" si="343"/>
        <v/>
      </c>
      <c r="C1906" s="90"/>
      <c r="D1906" s="87"/>
      <c r="E1906" s="88"/>
      <c r="F1906" s="173"/>
      <c r="G1906" s="88"/>
      <c r="H1906" s="88"/>
      <c r="I1906" s="323" t="str">
        <f t="shared" si="340"/>
        <v/>
      </c>
      <c r="J1906" s="323" t="str">
        <f t="shared" si="341"/>
        <v/>
      </c>
      <c r="K1906" s="324" t="str">
        <f t="shared" si="342"/>
        <v/>
      </c>
      <c r="L1906" s="88"/>
      <c r="M1906" s="88"/>
      <c r="N1906" s="88"/>
      <c r="O1906" s="88"/>
      <c r="P1906" s="88"/>
      <c r="Q1906" s="88"/>
      <c r="R1906" s="88"/>
      <c r="S1906" s="620"/>
      <c r="T1906" s="92"/>
      <c r="U1906" s="1214"/>
      <c r="V1906" s="1215"/>
      <c r="W1906" s="168"/>
      <c r="X1906" s="170"/>
    </row>
    <row r="1907" spans="1:24" ht="12.75" customHeight="1">
      <c r="A1907" s="15"/>
      <c r="B1907" s="92" t="str">
        <f t="shared" si="343"/>
        <v/>
      </c>
      <c r="C1907" s="90"/>
      <c r="D1907" s="87"/>
      <c r="E1907" s="88"/>
      <c r="F1907" s="173"/>
      <c r="G1907" s="88"/>
      <c r="H1907" s="88"/>
      <c r="I1907" s="323" t="str">
        <f t="shared" si="340"/>
        <v/>
      </c>
      <c r="J1907" s="323" t="str">
        <f t="shared" si="341"/>
        <v/>
      </c>
      <c r="K1907" s="324" t="str">
        <f t="shared" si="342"/>
        <v/>
      </c>
      <c r="L1907" s="88"/>
      <c r="M1907" s="88"/>
      <c r="N1907" s="88"/>
      <c r="O1907" s="88"/>
      <c r="P1907" s="88"/>
      <c r="Q1907" s="88"/>
      <c r="R1907" s="88"/>
      <c r="S1907" s="620"/>
      <c r="T1907" s="92"/>
      <c r="U1907" s="1214"/>
      <c r="V1907" s="1215"/>
      <c r="W1907" s="168"/>
      <c r="X1907" s="170"/>
    </row>
    <row r="1908" spans="1:24" ht="12.75" customHeight="1">
      <c r="A1908" s="15"/>
      <c r="B1908" s="92" t="str">
        <f t="shared" si="343"/>
        <v/>
      </c>
      <c r="C1908" s="90"/>
      <c r="D1908" s="87"/>
      <c r="E1908" s="88"/>
      <c r="F1908" s="173"/>
      <c r="G1908" s="88"/>
      <c r="H1908" s="88"/>
      <c r="I1908" s="323" t="str">
        <f t="shared" si="340"/>
        <v/>
      </c>
      <c r="J1908" s="323" t="str">
        <f t="shared" si="341"/>
        <v/>
      </c>
      <c r="K1908" s="324" t="str">
        <f t="shared" si="342"/>
        <v/>
      </c>
      <c r="L1908" s="88"/>
      <c r="M1908" s="88"/>
      <c r="N1908" s="88"/>
      <c r="O1908" s="88"/>
      <c r="P1908" s="88"/>
      <c r="Q1908" s="88"/>
      <c r="R1908" s="88"/>
      <c r="S1908" s="620"/>
      <c r="T1908" s="92"/>
      <c r="U1908" s="1214"/>
      <c r="V1908" s="1215"/>
      <c r="W1908" s="168"/>
      <c r="X1908" s="170"/>
    </row>
    <row r="1909" spans="1:24" ht="12.75" customHeight="1">
      <c r="A1909" s="15"/>
      <c r="B1909" s="92" t="str">
        <f t="shared" si="343"/>
        <v/>
      </c>
      <c r="C1909" s="90"/>
      <c r="D1909" s="87"/>
      <c r="E1909" s="88"/>
      <c r="F1909" s="173"/>
      <c r="G1909" s="88"/>
      <c r="H1909" s="88"/>
      <c r="I1909" s="323" t="str">
        <f t="shared" si="340"/>
        <v/>
      </c>
      <c r="J1909" s="323" t="str">
        <f t="shared" si="341"/>
        <v/>
      </c>
      <c r="K1909" s="324" t="str">
        <f t="shared" si="342"/>
        <v/>
      </c>
      <c r="L1909" s="88"/>
      <c r="M1909" s="88"/>
      <c r="N1909" s="88"/>
      <c r="O1909" s="88"/>
      <c r="P1909" s="88"/>
      <c r="Q1909" s="88"/>
      <c r="R1909" s="88"/>
      <c r="S1909" s="620"/>
      <c r="T1909" s="92"/>
      <c r="U1909" s="1214"/>
      <c r="V1909" s="1215"/>
      <c r="W1909" s="168"/>
      <c r="X1909" s="170"/>
    </row>
    <row r="1910" spans="1:24" ht="12.75" customHeight="1">
      <c r="A1910" s="15"/>
      <c r="B1910" s="92" t="str">
        <f t="shared" si="343"/>
        <v/>
      </c>
      <c r="C1910" s="90"/>
      <c r="D1910" s="87"/>
      <c r="E1910" s="88"/>
      <c r="F1910" s="173"/>
      <c r="G1910" s="88"/>
      <c r="H1910" s="88"/>
      <c r="I1910" s="323" t="str">
        <f t="shared" si="340"/>
        <v/>
      </c>
      <c r="J1910" s="323" t="str">
        <f t="shared" si="341"/>
        <v/>
      </c>
      <c r="K1910" s="324" t="str">
        <f t="shared" si="342"/>
        <v/>
      </c>
      <c r="L1910" s="88"/>
      <c r="M1910" s="88"/>
      <c r="N1910" s="88"/>
      <c r="O1910" s="88"/>
      <c r="P1910" s="88"/>
      <c r="Q1910" s="88"/>
      <c r="R1910" s="88"/>
      <c r="S1910" s="620"/>
      <c r="T1910" s="92"/>
      <c r="U1910" s="1214"/>
      <c r="V1910" s="1215"/>
      <c r="W1910" s="168"/>
      <c r="X1910" s="170"/>
    </row>
    <row r="1911" spans="1:24" ht="12.75" customHeight="1">
      <c r="A1911" s="15"/>
      <c r="B1911" s="92" t="str">
        <f t="shared" si="343"/>
        <v/>
      </c>
      <c r="C1911" s="90"/>
      <c r="D1911" s="87"/>
      <c r="E1911" s="88"/>
      <c r="F1911" s="173"/>
      <c r="G1911" s="88"/>
      <c r="H1911" s="88"/>
      <c r="I1911" s="323" t="str">
        <f t="shared" si="340"/>
        <v/>
      </c>
      <c r="J1911" s="323" t="str">
        <f t="shared" si="341"/>
        <v/>
      </c>
      <c r="K1911" s="324" t="str">
        <f t="shared" si="342"/>
        <v/>
      </c>
      <c r="L1911" s="88"/>
      <c r="M1911" s="88"/>
      <c r="N1911" s="88"/>
      <c r="O1911" s="88"/>
      <c r="P1911" s="88"/>
      <c r="Q1911" s="88"/>
      <c r="R1911" s="88"/>
      <c r="S1911" s="620"/>
      <c r="T1911" s="92"/>
      <c r="U1911" s="1214"/>
      <c r="V1911" s="1215"/>
      <c r="W1911" s="168"/>
      <c r="X1911" s="170"/>
    </row>
    <row r="1912" spans="1:24" ht="12.75" customHeight="1">
      <c r="A1912" s="15"/>
      <c r="B1912" s="92" t="str">
        <f t="shared" si="343"/>
        <v/>
      </c>
      <c r="C1912" s="90"/>
      <c r="D1912" s="87"/>
      <c r="E1912" s="88"/>
      <c r="F1912" s="173"/>
      <c r="G1912" s="88"/>
      <c r="H1912" s="88"/>
      <c r="I1912" s="323" t="str">
        <f t="shared" si="340"/>
        <v/>
      </c>
      <c r="J1912" s="323" t="str">
        <f t="shared" si="341"/>
        <v/>
      </c>
      <c r="K1912" s="324" t="str">
        <f t="shared" si="342"/>
        <v/>
      </c>
      <c r="L1912" s="88"/>
      <c r="M1912" s="88"/>
      <c r="N1912" s="88"/>
      <c r="O1912" s="88"/>
      <c r="P1912" s="88"/>
      <c r="Q1912" s="88"/>
      <c r="R1912" s="88"/>
      <c r="S1912" s="620"/>
      <c r="T1912" s="92"/>
      <c r="U1912" s="1214"/>
      <c r="V1912" s="1215"/>
      <c r="W1912" s="168"/>
      <c r="X1912" s="170"/>
    </row>
    <row r="1913" spans="1:24" ht="12.75" customHeight="1">
      <c r="A1913" s="15"/>
      <c r="B1913" s="92" t="str">
        <f t="shared" si="343"/>
        <v/>
      </c>
      <c r="C1913" s="90"/>
      <c r="D1913" s="87"/>
      <c r="E1913" s="88"/>
      <c r="F1913" s="173"/>
      <c r="G1913" s="88"/>
      <c r="H1913" s="88"/>
      <c r="I1913" s="323" t="str">
        <f t="shared" si="340"/>
        <v/>
      </c>
      <c r="J1913" s="323" t="str">
        <f t="shared" si="341"/>
        <v/>
      </c>
      <c r="K1913" s="324" t="str">
        <f t="shared" si="342"/>
        <v/>
      </c>
      <c r="L1913" s="88"/>
      <c r="M1913" s="88"/>
      <c r="N1913" s="88"/>
      <c r="O1913" s="88"/>
      <c r="P1913" s="88"/>
      <c r="Q1913" s="88"/>
      <c r="R1913" s="88"/>
      <c r="S1913" s="620"/>
      <c r="T1913" s="92"/>
      <c r="U1913" s="1214"/>
      <c r="V1913" s="1215"/>
      <c r="W1913" s="168"/>
      <c r="X1913" s="170"/>
    </row>
    <row r="1914" spans="1:24" ht="12.75" customHeight="1">
      <c r="A1914" s="15"/>
      <c r="B1914" s="92" t="str">
        <f t="shared" si="343"/>
        <v/>
      </c>
      <c r="C1914" s="90"/>
      <c r="D1914" s="87"/>
      <c r="E1914" s="88"/>
      <c r="F1914" s="173"/>
      <c r="G1914" s="88"/>
      <c r="H1914" s="88"/>
      <c r="I1914" s="323" t="str">
        <f t="shared" si="340"/>
        <v/>
      </c>
      <c r="J1914" s="323" t="str">
        <f t="shared" si="341"/>
        <v/>
      </c>
      <c r="K1914" s="324" t="str">
        <f t="shared" si="342"/>
        <v/>
      </c>
      <c r="L1914" s="88"/>
      <c r="M1914" s="88"/>
      <c r="N1914" s="88"/>
      <c r="O1914" s="88"/>
      <c r="P1914" s="88"/>
      <c r="Q1914" s="88"/>
      <c r="R1914" s="88"/>
      <c r="S1914" s="620"/>
      <c r="T1914" s="92"/>
      <c r="U1914" s="1214"/>
      <c r="V1914" s="1215"/>
      <c r="W1914" s="168"/>
      <c r="X1914" s="170"/>
    </row>
    <row r="1915" spans="1:24" ht="12.75" customHeight="1">
      <c r="A1915" s="15"/>
      <c r="B1915" s="92" t="str">
        <f t="shared" si="343"/>
        <v/>
      </c>
      <c r="C1915" s="90"/>
      <c r="D1915" s="87"/>
      <c r="E1915" s="88"/>
      <c r="F1915" s="173"/>
      <c r="G1915" s="88"/>
      <c r="H1915" s="88"/>
      <c r="I1915" s="323" t="str">
        <f t="shared" si="340"/>
        <v/>
      </c>
      <c r="J1915" s="323" t="str">
        <f t="shared" si="341"/>
        <v/>
      </c>
      <c r="K1915" s="324" t="str">
        <f t="shared" si="342"/>
        <v/>
      </c>
      <c r="L1915" s="88"/>
      <c r="M1915" s="88"/>
      <c r="N1915" s="88"/>
      <c r="O1915" s="88"/>
      <c r="P1915" s="88"/>
      <c r="Q1915" s="88"/>
      <c r="R1915" s="88"/>
      <c r="S1915" s="620"/>
      <c r="T1915" s="92"/>
      <c r="U1915" s="1214"/>
      <c r="V1915" s="1215"/>
      <c r="W1915" s="168"/>
      <c r="X1915" s="170"/>
    </row>
    <row r="1916" spans="1:24" ht="12.75" customHeight="1">
      <c r="A1916" s="15"/>
      <c r="B1916" s="92" t="str">
        <f t="shared" si="343"/>
        <v/>
      </c>
      <c r="C1916" s="90"/>
      <c r="D1916" s="87"/>
      <c r="E1916" s="88"/>
      <c r="F1916" s="173"/>
      <c r="G1916" s="88"/>
      <c r="H1916" s="88"/>
      <c r="I1916" s="323" t="str">
        <f t="shared" si="340"/>
        <v/>
      </c>
      <c r="J1916" s="323" t="str">
        <f t="shared" si="341"/>
        <v/>
      </c>
      <c r="K1916" s="324" t="str">
        <f t="shared" si="342"/>
        <v/>
      </c>
      <c r="L1916" s="88"/>
      <c r="M1916" s="88"/>
      <c r="N1916" s="88"/>
      <c r="O1916" s="88"/>
      <c r="P1916" s="88"/>
      <c r="Q1916" s="88"/>
      <c r="R1916" s="88"/>
      <c r="S1916" s="620"/>
      <c r="T1916" s="92"/>
      <c r="U1916" s="1214"/>
      <c r="V1916" s="1215"/>
      <c r="W1916" s="168"/>
      <c r="X1916" s="170"/>
    </row>
    <row r="1917" spans="1:24" ht="12.75" customHeight="1">
      <c r="A1917" s="15"/>
      <c r="B1917" s="92" t="str">
        <f t="shared" si="343"/>
        <v/>
      </c>
      <c r="C1917" s="90"/>
      <c r="D1917" s="87"/>
      <c r="E1917" s="88"/>
      <c r="F1917" s="173"/>
      <c r="G1917" s="88"/>
      <c r="H1917" s="88"/>
      <c r="I1917" s="323" t="str">
        <f t="shared" si="340"/>
        <v/>
      </c>
      <c r="J1917" s="323" t="str">
        <f t="shared" si="341"/>
        <v/>
      </c>
      <c r="K1917" s="324" t="str">
        <f t="shared" si="342"/>
        <v/>
      </c>
      <c r="L1917" s="88"/>
      <c r="M1917" s="88"/>
      <c r="N1917" s="88"/>
      <c r="O1917" s="88"/>
      <c r="P1917" s="88"/>
      <c r="Q1917" s="88"/>
      <c r="R1917" s="88"/>
      <c r="S1917" s="620"/>
      <c r="T1917" s="92"/>
      <c r="U1917" s="1214"/>
      <c r="V1917" s="1215"/>
      <c r="W1917" s="168"/>
      <c r="X1917" s="170"/>
    </row>
    <row r="1918" spans="1:24" ht="12.75" customHeight="1">
      <c r="A1918" s="15"/>
      <c r="B1918" s="92" t="str">
        <f t="shared" si="343"/>
        <v/>
      </c>
      <c r="C1918" s="90"/>
      <c r="D1918" s="87"/>
      <c r="E1918" s="88"/>
      <c r="F1918" s="173"/>
      <c r="G1918" s="88"/>
      <c r="H1918" s="88"/>
      <c r="I1918" s="323" t="str">
        <f t="shared" si="340"/>
        <v/>
      </c>
      <c r="J1918" s="323" t="str">
        <f t="shared" si="341"/>
        <v/>
      </c>
      <c r="K1918" s="324" t="str">
        <f t="shared" si="342"/>
        <v/>
      </c>
      <c r="L1918" s="88"/>
      <c r="M1918" s="88"/>
      <c r="N1918" s="88"/>
      <c r="O1918" s="88"/>
      <c r="P1918" s="88"/>
      <c r="Q1918" s="88"/>
      <c r="R1918" s="88"/>
      <c r="S1918" s="620"/>
      <c r="T1918" s="92"/>
      <c r="U1918" s="1214"/>
      <c r="V1918" s="1215"/>
      <c r="W1918" s="168"/>
      <c r="X1918" s="170"/>
    </row>
    <row r="1919" spans="1:24" ht="12.75" customHeight="1">
      <c r="A1919" s="15"/>
      <c r="B1919" s="92" t="str">
        <f t="shared" si="343"/>
        <v/>
      </c>
      <c r="C1919" s="90"/>
      <c r="D1919" s="87"/>
      <c r="E1919" s="88"/>
      <c r="F1919" s="173"/>
      <c r="G1919" s="88"/>
      <c r="H1919" s="88"/>
      <c r="I1919" s="323" t="str">
        <f t="shared" ref="I1919:I1928" si="344">+IF(G1919="","",G1919*H1919)</f>
        <v/>
      </c>
      <c r="J1919" s="323" t="str">
        <f t="shared" ref="J1919:J1928" si="345">+IF(G1919="","",I1919*0.1)</f>
        <v/>
      </c>
      <c r="K1919" s="324" t="str">
        <f t="shared" ref="K1919:K1928" si="346">+IF(G1919="","",I1919+J1919)</f>
        <v/>
      </c>
      <c r="L1919" s="88"/>
      <c r="M1919" s="88"/>
      <c r="N1919" s="88"/>
      <c r="O1919" s="88"/>
      <c r="P1919" s="88"/>
      <c r="Q1919" s="88"/>
      <c r="R1919" s="88"/>
      <c r="S1919" s="620"/>
      <c r="T1919" s="92"/>
      <c r="U1919" s="1214"/>
      <c r="V1919" s="1215"/>
      <c r="W1919" s="168"/>
      <c r="X1919" s="170"/>
    </row>
    <row r="1920" spans="1:24" ht="12.75" customHeight="1">
      <c r="A1920" s="15"/>
      <c r="B1920" s="92" t="str">
        <f t="shared" si="343"/>
        <v/>
      </c>
      <c r="C1920" s="90"/>
      <c r="D1920" s="87"/>
      <c r="E1920" s="88"/>
      <c r="F1920" s="173"/>
      <c r="G1920" s="88"/>
      <c r="H1920" s="88"/>
      <c r="I1920" s="323" t="str">
        <f t="shared" si="344"/>
        <v/>
      </c>
      <c r="J1920" s="323" t="str">
        <f t="shared" si="345"/>
        <v/>
      </c>
      <c r="K1920" s="324" t="str">
        <f t="shared" si="346"/>
        <v/>
      </c>
      <c r="L1920" s="88"/>
      <c r="M1920" s="88"/>
      <c r="N1920" s="88"/>
      <c r="O1920" s="88"/>
      <c r="P1920" s="88"/>
      <c r="Q1920" s="88"/>
      <c r="R1920" s="88"/>
      <c r="S1920" s="620"/>
      <c r="T1920" s="92"/>
      <c r="U1920" s="1214"/>
      <c r="V1920" s="1215"/>
      <c r="W1920" s="168"/>
      <c r="X1920" s="170"/>
    </row>
    <row r="1921" spans="1:24" ht="12.75" customHeight="1">
      <c r="A1921" s="15"/>
      <c r="B1921" s="92" t="str">
        <f t="shared" si="343"/>
        <v/>
      </c>
      <c r="C1921" s="90"/>
      <c r="D1921" s="87"/>
      <c r="E1921" s="88"/>
      <c r="F1921" s="173"/>
      <c r="G1921" s="88"/>
      <c r="H1921" s="88"/>
      <c r="I1921" s="323" t="str">
        <f t="shared" si="344"/>
        <v/>
      </c>
      <c r="J1921" s="323" t="str">
        <f t="shared" si="345"/>
        <v/>
      </c>
      <c r="K1921" s="324" t="str">
        <f t="shared" si="346"/>
        <v/>
      </c>
      <c r="L1921" s="88"/>
      <c r="M1921" s="88"/>
      <c r="N1921" s="88"/>
      <c r="O1921" s="88"/>
      <c r="P1921" s="88"/>
      <c r="Q1921" s="88"/>
      <c r="R1921" s="88"/>
      <c r="S1921" s="620"/>
      <c r="T1921" s="92"/>
      <c r="U1921" s="1214"/>
      <c r="V1921" s="1215"/>
      <c r="W1921" s="168"/>
      <c r="X1921" s="170"/>
    </row>
    <row r="1922" spans="1:24" ht="12.75" customHeight="1">
      <c r="A1922" s="15"/>
      <c r="B1922" s="92" t="str">
        <f t="shared" si="343"/>
        <v/>
      </c>
      <c r="C1922" s="90"/>
      <c r="D1922" s="87"/>
      <c r="E1922" s="88"/>
      <c r="F1922" s="173"/>
      <c r="G1922" s="88"/>
      <c r="H1922" s="88"/>
      <c r="I1922" s="323" t="str">
        <f t="shared" si="344"/>
        <v/>
      </c>
      <c r="J1922" s="323" t="str">
        <f t="shared" si="345"/>
        <v/>
      </c>
      <c r="K1922" s="324" t="str">
        <f t="shared" si="346"/>
        <v/>
      </c>
      <c r="L1922" s="88"/>
      <c r="M1922" s="88"/>
      <c r="N1922" s="88"/>
      <c r="O1922" s="88"/>
      <c r="P1922" s="88"/>
      <c r="Q1922" s="88"/>
      <c r="R1922" s="88"/>
      <c r="S1922" s="620"/>
      <c r="T1922" s="92"/>
      <c r="U1922" s="1214"/>
      <c r="V1922" s="1215"/>
      <c r="W1922" s="168"/>
      <c r="X1922" s="170"/>
    </row>
    <row r="1923" spans="1:24" ht="12.75" customHeight="1">
      <c r="A1923" s="15"/>
      <c r="B1923" s="92" t="str">
        <f t="shared" si="343"/>
        <v/>
      </c>
      <c r="C1923" s="90"/>
      <c r="D1923" s="87"/>
      <c r="E1923" s="88"/>
      <c r="F1923" s="173"/>
      <c r="G1923" s="88"/>
      <c r="H1923" s="88"/>
      <c r="I1923" s="323" t="str">
        <f t="shared" si="344"/>
        <v/>
      </c>
      <c r="J1923" s="323" t="str">
        <f t="shared" si="345"/>
        <v/>
      </c>
      <c r="K1923" s="324" t="str">
        <f t="shared" si="346"/>
        <v/>
      </c>
      <c r="L1923" s="88"/>
      <c r="M1923" s="88"/>
      <c r="N1923" s="88"/>
      <c r="O1923" s="88"/>
      <c r="P1923" s="88"/>
      <c r="Q1923" s="88"/>
      <c r="R1923" s="88"/>
      <c r="S1923" s="620"/>
      <c r="T1923" s="92"/>
      <c r="U1923" s="1214"/>
      <c r="V1923" s="1215"/>
      <c r="W1923" s="168"/>
      <c r="X1923" s="170"/>
    </row>
    <row r="1924" spans="1:24" ht="12.75" customHeight="1">
      <c r="A1924" s="15"/>
      <c r="B1924" s="92" t="str">
        <f t="shared" si="343"/>
        <v/>
      </c>
      <c r="C1924" s="90"/>
      <c r="D1924" s="87"/>
      <c r="E1924" s="88"/>
      <c r="F1924" s="173"/>
      <c r="G1924" s="88"/>
      <c r="H1924" s="88"/>
      <c r="I1924" s="323" t="str">
        <f t="shared" si="344"/>
        <v/>
      </c>
      <c r="J1924" s="323" t="str">
        <f t="shared" si="345"/>
        <v/>
      </c>
      <c r="K1924" s="324" t="str">
        <f t="shared" si="346"/>
        <v/>
      </c>
      <c r="L1924" s="88"/>
      <c r="M1924" s="88"/>
      <c r="N1924" s="88"/>
      <c r="O1924" s="88"/>
      <c r="P1924" s="88"/>
      <c r="Q1924" s="88"/>
      <c r="R1924" s="88"/>
      <c r="S1924" s="620"/>
      <c r="T1924" s="92"/>
      <c r="U1924" s="1214"/>
      <c r="V1924" s="1215"/>
      <c r="W1924" s="168"/>
      <c r="X1924" s="170"/>
    </row>
    <row r="1925" spans="1:24" ht="12.75" customHeight="1">
      <c r="A1925" s="15"/>
      <c r="B1925" s="92" t="str">
        <f t="shared" si="343"/>
        <v/>
      </c>
      <c r="C1925" s="90"/>
      <c r="D1925" s="87"/>
      <c r="E1925" s="88"/>
      <c r="F1925" s="173"/>
      <c r="G1925" s="88"/>
      <c r="H1925" s="88"/>
      <c r="I1925" s="323" t="str">
        <f t="shared" si="344"/>
        <v/>
      </c>
      <c r="J1925" s="323" t="str">
        <f t="shared" si="345"/>
        <v/>
      </c>
      <c r="K1925" s="324" t="str">
        <f t="shared" si="346"/>
        <v/>
      </c>
      <c r="L1925" s="88"/>
      <c r="M1925" s="88"/>
      <c r="N1925" s="88"/>
      <c r="O1925" s="88"/>
      <c r="P1925" s="88"/>
      <c r="Q1925" s="88"/>
      <c r="R1925" s="88"/>
      <c r="S1925" s="620"/>
      <c r="T1925" s="92"/>
      <c r="U1925" s="1214"/>
      <c r="V1925" s="1215"/>
      <c r="W1925" s="168"/>
      <c r="X1925" s="170"/>
    </row>
    <row r="1926" spans="1:24" ht="12.75" customHeight="1">
      <c r="A1926" s="15"/>
      <c r="B1926" s="92" t="str">
        <f t="shared" si="343"/>
        <v/>
      </c>
      <c r="C1926" s="90"/>
      <c r="D1926" s="87"/>
      <c r="E1926" s="88"/>
      <c r="F1926" s="173"/>
      <c r="G1926" s="88"/>
      <c r="H1926" s="88"/>
      <c r="I1926" s="323" t="str">
        <f t="shared" si="344"/>
        <v/>
      </c>
      <c r="J1926" s="323" t="str">
        <f t="shared" si="345"/>
        <v/>
      </c>
      <c r="K1926" s="324" t="str">
        <f t="shared" si="346"/>
        <v/>
      </c>
      <c r="L1926" s="88"/>
      <c r="M1926" s="88"/>
      <c r="N1926" s="88"/>
      <c r="O1926" s="88"/>
      <c r="P1926" s="88"/>
      <c r="Q1926" s="88"/>
      <c r="R1926" s="88"/>
      <c r="S1926" s="620"/>
      <c r="T1926" s="92"/>
      <c r="U1926" s="1214"/>
      <c r="V1926" s="1215"/>
      <c r="W1926" s="168"/>
      <c r="X1926" s="170"/>
    </row>
    <row r="1927" spans="1:24" ht="12.75" customHeight="1">
      <c r="A1927" s="15"/>
      <c r="B1927" s="92" t="str">
        <f t="shared" si="343"/>
        <v/>
      </c>
      <c r="C1927" s="90"/>
      <c r="D1927" s="87"/>
      <c r="E1927" s="88"/>
      <c r="F1927" s="173"/>
      <c r="G1927" s="88"/>
      <c r="H1927" s="88"/>
      <c r="I1927" s="323" t="str">
        <f t="shared" si="344"/>
        <v/>
      </c>
      <c r="J1927" s="323" t="str">
        <f t="shared" si="345"/>
        <v/>
      </c>
      <c r="K1927" s="324" t="str">
        <f t="shared" si="346"/>
        <v/>
      </c>
      <c r="L1927" s="88"/>
      <c r="M1927" s="88"/>
      <c r="N1927" s="88"/>
      <c r="O1927" s="88"/>
      <c r="P1927" s="88"/>
      <c r="Q1927" s="88"/>
      <c r="R1927" s="88"/>
      <c r="S1927" s="620"/>
      <c r="T1927" s="92"/>
      <c r="U1927" s="1214"/>
      <c r="V1927" s="1215"/>
      <c r="W1927" s="168"/>
      <c r="X1927" s="170"/>
    </row>
    <row r="1928" spans="1:24" ht="12.75" customHeight="1">
      <c r="A1928" s="15"/>
      <c r="B1928" s="92" t="str">
        <f t="shared" si="343"/>
        <v/>
      </c>
      <c r="C1928" s="90"/>
      <c r="D1928" s="87"/>
      <c r="E1928" s="88"/>
      <c r="F1928" s="173"/>
      <c r="G1928" s="88"/>
      <c r="H1928" s="88"/>
      <c r="I1928" s="323" t="str">
        <f t="shared" si="344"/>
        <v/>
      </c>
      <c r="J1928" s="323" t="str">
        <f t="shared" si="345"/>
        <v/>
      </c>
      <c r="K1928" s="324" t="str">
        <f t="shared" si="346"/>
        <v/>
      </c>
      <c r="L1928" s="88"/>
      <c r="M1928" s="88"/>
      <c r="N1928" s="88"/>
      <c r="O1928" s="88"/>
      <c r="P1928" s="88"/>
      <c r="Q1928" s="88"/>
      <c r="R1928" s="88"/>
      <c r="S1928" s="620"/>
      <c r="T1928" s="92"/>
      <c r="U1928" s="1214"/>
      <c r="V1928" s="1215"/>
      <c r="W1928" s="168"/>
      <c r="X1928" s="170"/>
    </row>
    <row r="1929" spans="1:24" ht="12.75" customHeight="1">
      <c r="A1929" s="15"/>
      <c r="B1929" s="92" t="str">
        <f t="shared" si="343"/>
        <v/>
      </c>
      <c r="C1929" s="90"/>
      <c r="D1929" s="87"/>
      <c r="E1929" s="88"/>
      <c r="F1929" s="173"/>
      <c r="G1929" s="88"/>
      <c r="H1929" s="88"/>
      <c r="I1929" s="88"/>
      <c r="J1929" s="88"/>
      <c r="K1929" s="230"/>
      <c r="L1929" s="88"/>
      <c r="M1929" s="88"/>
      <c r="N1929" s="88"/>
      <c r="O1929" s="88"/>
      <c r="P1929" s="88"/>
      <c r="Q1929" s="88"/>
      <c r="R1929" s="88"/>
      <c r="S1929" s="620"/>
      <c r="T1929" s="92"/>
      <c r="U1929" s="1214"/>
      <c r="V1929" s="1215"/>
      <c r="W1929" s="168"/>
      <c r="X1929" s="170"/>
    </row>
    <row r="1930" spans="1:24" ht="12.75" customHeight="1">
      <c r="A1930" s="15"/>
      <c r="B1930" s="92" t="str">
        <f t="shared" si="343"/>
        <v/>
      </c>
      <c r="C1930" s="90"/>
      <c r="D1930" s="87"/>
      <c r="E1930" s="88"/>
      <c r="F1930" s="173"/>
      <c r="G1930" s="88"/>
      <c r="H1930" s="88"/>
      <c r="I1930" s="88"/>
      <c r="J1930" s="88"/>
      <c r="K1930" s="230"/>
      <c r="L1930" s="88"/>
      <c r="M1930" s="88"/>
      <c r="N1930" s="88"/>
      <c r="O1930" s="88"/>
      <c r="P1930" s="88"/>
      <c r="Q1930" s="88"/>
      <c r="R1930" s="88"/>
      <c r="S1930" s="620"/>
      <c r="T1930" s="92"/>
      <c r="U1930" s="1214"/>
      <c r="V1930" s="1215"/>
      <c r="W1930" s="168"/>
      <c r="X1930" s="170"/>
    </row>
    <row r="1931" spans="1:24" ht="12.75" customHeight="1">
      <c r="A1931" s="15"/>
      <c r="B1931" s="92" t="str">
        <f t="shared" si="343"/>
        <v/>
      </c>
      <c r="C1931" s="90"/>
      <c r="D1931" s="87"/>
      <c r="E1931" s="88"/>
      <c r="F1931" s="173"/>
      <c r="G1931" s="88"/>
      <c r="H1931" s="88"/>
      <c r="I1931" s="88"/>
      <c r="J1931" s="88"/>
      <c r="K1931" s="230"/>
      <c r="L1931" s="88"/>
      <c r="M1931" s="88"/>
      <c r="N1931" s="88"/>
      <c r="O1931" s="88"/>
      <c r="P1931" s="88"/>
      <c r="Q1931" s="88"/>
      <c r="R1931" s="88"/>
      <c r="S1931" s="620"/>
      <c r="T1931" s="92"/>
      <c r="U1931" s="1214"/>
      <c r="V1931" s="1215"/>
      <c r="W1931" s="168"/>
      <c r="X1931" s="170"/>
    </row>
    <row r="1932" spans="1:24" ht="12.75" customHeight="1">
      <c r="A1932" s="15"/>
      <c r="B1932" s="92" t="str">
        <f t="shared" si="343"/>
        <v/>
      </c>
      <c r="C1932" s="90"/>
      <c r="D1932" s="87"/>
      <c r="E1932" s="88"/>
      <c r="F1932" s="173"/>
      <c r="G1932" s="88"/>
      <c r="H1932" s="88"/>
      <c r="I1932" s="88"/>
      <c r="J1932" s="88"/>
      <c r="K1932" s="230"/>
      <c r="L1932" s="88"/>
      <c r="M1932" s="88"/>
      <c r="N1932" s="88"/>
      <c r="O1932" s="88"/>
      <c r="P1932" s="88"/>
      <c r="Q1932" s="88"/>
      <c r="R1932" s="88"/>
      <c r="S1932" s="620"/>
      <c r="T1932" s="92"/>
      <c r="U1932" s="1214"/>
      <c r="V1932" s="1215"/>
      <c r="W1932" s="168"/>
      <c r="X1932" s="170"/>
    </row>
    <row r="1933" spans="1:24" ht="12.75" customHeight="1">
      <c r="A1933" s="15"/>
      <c r="B1933" s="92" t="str">
        <f t="shared" si="343"/>
        <v/>
      </c>
      <c r="C1933" s="90"/>
      <c r="D1933" s="87"/>
      <c r="E1933" s="88"/>
      <c r="F1933" s="173"/>
      <c r="G1933" s="88"/>
      <c r="H1933" s="88"/>
      <c r="I1933" s="88"/>
      <c r="J1933" s="88"/>
      <c r="K1933" s="230"/>
      <c r="L1933" s="88"/>
      <c r="M1933" s="88"/>
      <c r="N1933" s="88"/>
      <c r="O1933" s="88"/>
      <c r="P1933" s="88"/>
      <c r="Q1933" s="88"/>
      <c r="R1933" s="88"/>
      <c r="S1933" s="620"/>
      <c r="T1933" s="92"/>
      <c r="U1933" s="1214"/>
      <c r="V1933" s="1215"/>
      <c r="W1933" s="168"/>
      <c r="X1933" s="170"/>
    </row>
    <row r="1934" spans="1:24" ht="12.75" customHeight="1">
      <c r="A1934" s="15"/>
      <c r="B1934" s="92" t="str">
        <f t="shared" si="343"/>
        <v/>
      </c>
      <c r="C1934" s="90"/>
      <c r="D1934" s="87"/>
      <c r="E1934" s="88"/>
      <c r="F1934" s="173"/>
      <c r="G1934" s="88"/>
      <c r="H1934" s="88"/>
      <c r="I1934" s="88"/>
      <c r="J1934" s="88"/>
      <c r="K1934" s="230"/>
      <c r="L1934" s="88"/>
      <c r="M1934" s="88"/>
      <c r="N1934" s="88"/>
      <c r="O1934" s="88"/>
      <c r="P1934" s="88"/>
      <c r="Q1934" s="88"/>
      <c r="R1934" s="88"/>
      <c r="S1934" s="620"/>
      <c r="T1934" s="92"/>
      <c r="U1934" s="1214"/>
      <c r="V1934" s="1215"/>
      <c r="W1934" s="168"/>
      <c r="X1934" s="170"/>
    </row>
    <row r="1935" spans="1:24" ht="12.75" customHeight="1">
      <c r="A1935" s="15"/>
      <c r="B1935" s="92" t="str">
        <f t="shared" si="343"/>
        <v/>
      </c>
      <c r="C1935" s="90"/>
      <c r="D1935" s="87"/>
      <c r="E1935" s="88"/>
      <c r="F1935" s="173"/>
      <c r="G1935" s="88"/>
      <c r="H1935" s="88"/>
      <c r="I1935" s="88"/>
      <c r="J1935" s="88"/>
      <c r="K1935" s="230"/>
      <c r="L1935" s="88"/>
      <c r="M1935" s="88"/>
      <c r="N1935" s="88"/>
      <c r="O1935" s="88"/>
      <c r="P1935" s="88"/>
      <c r="Q1935" s="88"/>
      <c r="R1935" s="88"/>
      <c r="S1935" s="620"/>
      <c r="T1935" s="92"/>
      <c r="U1935" s="1214"/>
      <c r="V1935" s="1215"/>
      <c r="W1935" s="168"/>
      <c r="X1935" s="170"/>
    </row>
    <row r="1936" spans="1:24" ht="12.75" customHeight="1">
      <c r="A1936" s="15"/>
      <c r="B1936" s="92" t="str">
        <f t="shared" si="343"/>
        <v/>
      </c>
      <c r="C1936" s="90"/>
      <c r="D1936" s="87"/>
      <c r="E1936" s="88"/>
      <c r="F1936" s="173"/>
      <c r="G1936" s="88"/>
      <c r="H1936" s="88"/>
      <c r="I1936" s="88"/>
      <c r="J1936" s="88"/>
      <c r="K1936" s="230"/>
      <c r="L1936" s="88"/>
      <c r="M1936" s="88"/>
      <c r="N1936" s="88"/>
      <c r="O1936" s="88"/>
      <c r="P1936" s="88"/>
      <c r="Q1936" s="88"/>
      <c r="R1936" s="88"/>
      <c r="S1936" s="620"/>
      <c r="T1936" s="92"/>
      <c r="U1936" s="1214"/>
      <c r="V1936" s="1215"/>
      <c r="W1936" s="168"/>
      <c r="X1936" s="170"/>
    </row>
    <row r="1937" spans="1:24" ht="12.75" customHeight="1">
      <c r="A1937" s="15"/>
      <c r="B1937" s="92" t="str">
        <f t="shared" si="343"/>
        <v/>
      </c>
      <c r="C1937" s="90"/>
      <c r="D1937" s="87"/>
      <c r="E1937" s="88"/>
      <c r="F1937" s="173"/>
      <c r="G1937" s="88"/>
      <c r="H1937" s="88"/>
      <c r="I1937" s="88"/>
      <c r="J1937" s="88"/>
      <c r="K1937" s="230"/>
      <c r="L1937" s="88"/>
      <c r="M1937" s="88"/>
      <c r="N1937" s="88"/>
      <c r="O1937" s="88"/>
      <c r="P1937" s="88"/>
      <c r="Q1937" s="88"/>
      <c r="R1937" s="88"/>
      <c r="S1937" s="620"/>
      <c r="T1937" s="92"/>
      <c r="U1937" s="1214"/>
      <c r="V1937" s="1215"/>
      <c r="W1937" s="168"/>
      <c r="X1937" s="170"/>
    </row>
    <row r="1938" spans="1:24" ht="12.75" customHeight="1">
      <c r="A1938" s="15"/>
      <c r="B1938" s="92" t="str">
        <f t="shared" si="343"/>
        <v/>
      </c>
      <c r="C1938" s="90"/>
      <c r="D1938" s="87"/>
      <c r="E1938" s="88"/>
      <c r="F1938" s="173"/>
      <c r="G1938" s="88"/>
      <c r="H1938" s="88"/>
      <c r="I1938" s="88"/>
      <c r="J1938" s="88"/>
      <c r="K1938" s="230"/>
      <c r="L1938" s="88"/>
      <c r="M1938" s="88"/>
      <c r="N1938" s="88"/>
      <c r="O1938" s="88"/>
      <c r="P1938" s="88"/>
      <c r="Q1938" s="88"/>
      <c r="R1938" s="88"/>
      <c r="S1938" s="620"/>
      <c r="T1938" s="92"/>
      <c r="U1938" s="1214"/>
      <c r="V1938" s="1215"/>
      <c r="W1938" s="168"/>
      <c r="X1938" s="170"/>
    </row>
    <row r="1939" spans="1:24" ht="12.75" customHeight="1">
      <c r="A1939" s="15"/>
      <c r="B1939" s="92" t="str">
        <f t="shared" si="343"/>
        <v/>
      </c>
      <c r="C1939" s="90"/>
      <c r="D1939" s="87"/>
      <c r="E1939" s="88"/>
      <c r="F1939" s="173"/>
      <c r="G1939" s="88"/>
      <c r="H1939" s="88"/>
      <c r="I1939" s="88"/>
      <c r="J1939" s="88"/>
      <c r="K1939" s="230"/>
      <c r="L1939" s="88"/>
      <c r="M1939" s="88"/>
      <c r="N1939" s="88"/>
      <c r="O1939" s="88"/>
      <c r="P1939" s="88"/>
      <c r="Q1939" s="88"/>
      <c r="R1939" s="88"/>
      <c r="S1939" s="620"/>
      <c r="T1939" s="92"/>
      <c r="U1939" s="1214"/>
      <c r="V1939" s="1215"/>
      <c r="W1939" s="168"/>
      <c r="X1939" s="170"/>
    </row>
    <row r="1940" spans="1:24" ht="12.75" customHeight="1">
      <c r="A1940" s="15"/>
      <c r="B1940" s="92" t="str">
        <f t="shared" si="343"/>
        <v/>
      </c>
      <c r="C1940" s="90"/>
      <c r="D1940" s="87"/>
      <c r="E1940" s="88"/>
      <c r="F1940" s="173"/>
      <c r="G1940" s="88"/>
      <c r="H1940" s="88"/>
      <c r="I1940" s="88"/>
      <c r="J1940" s="88"/>
      <c r="K1940" s="230"/>
      <c r="L1940" s="88"/>
      <c r="M1940" s="88"/>
      <c r="N1940" s="88"/>
      <c r="O1940" s="88"/>
      <c r="P1940" s="88"/>
      <c r="Q1940" s="88"/>
      <c r="R1940" s="88"/>
      <c r="S1940" s="620"/>
      <c r="T1940" s="92"/>
      <c r="U1940" s="1214"/>
      <c r="V1940" s="1215"/>
      <c r="W1940" s="168"/>
      <c r="X1940" s="170"/>
    </row>
    <row r="1941" spans="1:24" ht="12.75" customHeight="1">
      <c r="A1941" s="15"/>
      <c r="B1941" s="92" t="str">
        <f t="shared" si="343"/>
        <v/>
      </c>
      <c r="C1941" s="90"/>
      <c r="D1941" s="87"/>
      <c r="E1941" s="88"/>
      <c r="F1941" s="173"/>
      <c r="G1941" s="88"/>
      <c r="H1941" s="88"/>
      <c r="I1941" s="88"/>
      <c r="J1941" s="88"/>
      <c r="K1941" s="230"/>
      <c r="L1941" s="88"/>
      <c r="M1941" s="88"/>
      <c r="N1941" s="88"/>
      <c r="O1941" s="88"/>
      <c r="P1941" s="88"/>
      <c r="Q1941" s="88"/>
      <c r="R1941" s="88"/>
      <c r="S1941" s="620"/>
      <c r="T1941" s="92"/>
      <c r="U1941" s="1214"/>
      <c r="V1941" s="1215"/>
      <c r="W1941" s="168"/>
      <c r="X1941" s="170"/>
    </row>
    <row r="1942" spans="1:24" ht="12.75" customHeight="1">
      <c r="A1942" s="15"/>
      <c r="B1942" s="92" t="str">
        <f t="shared" si="343"/>
        <v/>
      </c>
      <c r="C1942" s="90"/>
      <c r="D1942" s="87"/>
      <c r="E1942" s="88"/>
      <c r="F1942" s="173"/>
      <c r="G1942" s="88"/>
      <c r="H1942" s="88"/>
      <c r="I1942" s="88"/>
      <c r="J1942" s="88"/>
      <c r="K1942" s="230"/>
      <c r="L1942" s="88"/>
      <c r="M1942" s="88"/>
      <c r="N1942" s="88"/>
      <c r="O1942" s="88"/>
      <c r="P1942" s="88"/>
      <c r="Q1942" s="88"/>
      <c r="R1942" s="88"/>
      <c r="S1942" s="620"/>
      <c r="T1942" s="92"/>
      <c r="U1942" s="1214"/>
      <c r="V1942" s="1215"/>
      <c r="W1942" s="168"/>
      <c r="X1942" s="170"/>
    </row>
    <row r="1943" spans="1:24" ht="12.75" customHeight="1">
      <c r="A1943" s="15"/>
      <c r="B1943" s="92" t="str">
        <f t="shared" si="343"/>
        <v/>
      </c>
      <c r="C1943" s="90"/>
      <c r="D1943" s="87"/>
      <c r="E1943" s="88"/>
      <c r="F1943" s="173"/>
      <c r="G1943" s="88"/>
      <c r="H1943" s="88"/>
      <c r="I1943" s="88"/>
      <c r="J1943" s="88"/>
      <c r="K1943" s="230"/>
      <c r="L1943" s="88"/>
      <c r="M1943" s="88"/>
      <c r="N1943" s="88"/>
      <c r="O1943" s="88"/>
      <c r="P1943" s="88"/>
      <c r="Q1943" s="88"/>
      <c r="R1943" s="88"/>
      <c r="S1943" s="620"/>
      <c r="T1943" s="92"/>
      <c r="U1943" s="1214"/>
      <c r="V1943" s="1215"/>
      <c r="W1943" s="168"/>
      <c r="X1943" s="170"/>
    </row>
    <row r="1944" spans="1:24" ht="12.75" customHeight="1">
      <c r="A1944" s="15"/>
      <c r="B1944" s="92" t="str">
        <f t="shared" si="343"/>
        <v/>
      </c>
      <c r="C1944" s="90"/>
      <c r="D1944" s="87"/>
      <c r="E1944" s="88"/>
      <c r="F1944" s="173"/>
      <c r="G1944" s="88"/>
      <c r="H1944" s="88"/>
      <c r="I1944" s="88"/>
      <c r="J1944" s="88"/>
      <c r="K1944" s="230"/>
      <c r="L1944" s="88"/>
      <c r="M1944" s="88"/>
      <c r="N1944" s="88"/>
      <c r="O1944" s="88"/>
      <c r="P1944" s="88"/>
      <c r="Q1944" s="88"/>
      <c r="R1944" s="88"/>
      <c r="S1944" s="620"/>
      <c r="T1944" s="92"/>
      <c r="U1944" s="1214"/>
      <c r="V1944" s="1215"/>
      <c r="W1944" s="168"/>
      <c r="X1944" s="170"/>
    </row>
    <row r="1945" spans="1:24" ht="12.75" customHeight="1">
      <c r="A1945" s="15"/>
      <c r="B1945" s="92" t="str">
        <f t="shared" si="343"/>
        <v/>
      </c>
      <c r="C1945" s="90"/>
      <c r="D1945" s="87"/>
      <c r="E1945" s="88"/>
      <c r="F1945" s="173"/>
      <c r="G1945" s="88"/>
      <c r="H1945" s="88"/>
      <c r="I1945" s="88"/>
      <c r="J1945" s="88"/>
      <c r="K1945" s="230"/>
      <c r="L1945" s="88"/>
      <c r="M1945" s="88"/>
      <c r="N1945" s="88"/>
      <c r="O1945" s="88"/>
      <c r="P1945" s="88"/>
      <c r="Q1945" s="88"/>
      <c r="R1945" s="88"/>
      <c r="S1945" s="620"/>
      <c r="T1945" s="92"/>
      <c r="U1945" s="1214"/>
      <c r="V1945" s="1215"/>
      <c r="W1945" s="168"/>
      <c r="X1945" s="170"/>
    </row>
    <row r="1946" spans="1:24" ht="12.75" customHeight="1">
      <c r="A1946" s="15"/>
      <c r="B1946" s="92" t="str">
        <f t="shared" si="343"/>
        <v/>
      </c>
      <c r="C1946" s="90"/>
      <c r="D1946" s="87"/>
      <c r="E1946" s="88"/>
      <c r="F1946" s="173"/>
      <c r="G1946" s="88"/>
      <c r="H1946" s="88"/>
      <c r="I1946" s="88"/>
      <c r="J1946" s="88"/>
      <c r="K1946" s="230"/>
      <c r="L1946" s="88"/>
      <c r="M1946" s="88"/>
      <c r="N1946" s="88"/>
      <c r="O1946" s="88"/>
      <c r="P1946" s="88"/>
      <c r="Q1946" s="88"/>
      <c r="R1946" s="88"/>
      <c r="S1946" s="620"/>
      <c r="T1946" s="92"/>
      <c r="U1946" s="1214"/>
      <c r="V1946" s="1215"/>
      <c r="W1946" s="168"/>
      <c r="X1946" s="170"/>
    </row>
    <row r="1947" spans="1:24" ht="12.75" customHeight="1">
      <c r="A1947" s="15"/>
      <c r="B1947" s="92" t="str">
        <f t="shared" si="343"/>
        <v/>
      </c>
      <c r="C1947" s="90"/>
      <c r="D1947" s="87"/>
      <c r="E1947" s="88"/>
      <c r="F1947" s="173"/>
      <c r="G1947" s="88"/>
      <c r="H1947" s="88"/>
      <c r="I1947" s="88"/>
      <c r="J1947" s="88"/>
      <c r="K1947" s="230"/>
      <c r="L1947" s="88"/>
      <c r="M1947" s="88"/>
      <c r="N1947" s="88"/>
      <c r="O1947" s="88"/>
      <c r="P1947" s="88"/>
      <c r="Q1947" s="88"/>
      <c r="R1947" s="88"/>
      <c r="S1947" s="620"/>
      <c r="T1947" s="92"/>
      <c r="U1947" s="1214"/>
      <c r="V1947" s="1215"/>
      <c r="W1947" s="168"/>
      <c r="X1947" s="170"/>
    </row>
    <row r="1948" spans="1:24" ht="12.75" customHeight="1">
      <c r="A1948" s="15"/>
      <c r="B1948" s="92" t="str">
        <f t="shared" si="343"/>
        <v/>
      </c>
      <c r="C1948" s="90"/>
      <c r="D1948" s="87"/>
      <c r="E1948" s="88"/>
      <c r="F1948" s="173"/>
      <c r="G1948" s="88"/>
      <c r="H1948" s="88"/>
      <c r="I1948" s="88"/>
      <c r="J1948" s="88"/>
      <c r="K1948" s="230"/>
      <c r="L1948" s="88"/>
      <c r="M1948" s="88"/>
      <c r="N1948" s="88"/>
      <c r="O1948" s="88"/>
      <c r="P1948" s="88"/>
      <c r="Q1948" s="88"/>
      <c r="R1948" s="88"/>
      <c r="S1948" s="620"/>
      <c r="T1948" s="92"/>
      <c r="U1948" s="1214"/>
      <c r="V1948" s="1215"/>
      <c r="W1948" s="168"/>
      <c r="X1948" s="170"/>
    </row>
    <row r="1949" spans="1:24" ht="12.75" customHeight="1">
      <c r="A1949" s="15"/>
      <c r="B1949" s="92" t="str">
        <f t="shared" si="343"/>
        <v/>
      </c>
      <c r="C1949" s="90"/>
      <c r="D1949" s="87"/>
      <c r="E1949" s="88"/>
      <c r="F1949" s="173"/>
      <c r="G1949" s="88"/>
      <c r="H1949" s="88"/>
      <c r="I1949" s="88"/>
      <c r="J1949" s="88"/>
      <c r="K1949" s="230"/>
      <c r="L1949" s="88"/>
      <c r="M1949" s="88"/>
      <c r="N1949" s="88"/>
      <c r="O1949" s="88"/>
      <c r="P1949" s="88"/>
      <c r="Q1949" s="88"/>
      <c r="R1949" s="88"/>
      <c r="S1949" s="620"/>
      <c r="T1949" s="92"/>
      <c r="U1949" s="1214"/>
      <c r="V1949" s="1215"/>
      <c r="W1949" s="168"/>
      <c r="X1949" s="170"/>
    </row>
    <row r="1950" spans="1:24" ht="12.75" customHeight="1">
      <c r="A1950" s="15"/>
      <c r="B1950" s="92" t="str">
        <f t="shared" si="343"/>
        <v/>
      </c>
      <c r="C1950" s="90"/>
      <c r="D1950" s="87"/>
      <c r="E1950" s="88"/>
      <c r="F1950" s="173"/>
      <c r="G1950" s="88"/>
      <c r="H1950" s="88"/>
      <c r="I1950" s="88"/>
      <c r="J1950" s="88"/>
      <c r="K1950" s="230"/>
      <c r="L1950" s="88"/>
      <c r="M1950" s="88"/>
      <c r="N1950" s="88"/>
      <c r="O1950" s="88"/>
      <c r="P1950" s="88"/>
      <c r="Q1950" s="88"/>
      <c r="R1950" s="88"/>
      <c r="S1950" s="620"/>
      <c r="T1950" s="92"/>
      <c r="U1950" s="1214"/>
      <c r="V1950" s="1215"/>
      <c r="W1950" s="168"/>
      <c r="X1950" s="170"/>
    </row>
    <row r="1951" spans="1:24" ht="12.75" customHeight="1">
      <c r="A1951" s="15"/>
      <c r="B1951" s="92" t="str">
        <f t="shared" si="343"/>
        <v/>
      </c>
      <c r="C1951" s="90"/>
      <c r="D1951" s="87"/>
      <c r="E1951" s="88"/>
      <c r="F1951" s="173"/>
      <c r="G1951" s="88"/>
      <c r="H1951" s="88"/>
      <c r="I1951" s="88"/>
      <c r="J1951" s="88"/>
      <c r="K1951" s="230"/>
      <c r="L1951" s="88"/>
      <c r="M1951" s="88"/>
      <c r="N1951" s="88"/>
      <c r="O1951" s="88"/>
      <c r="P1951" s="88"/>
      <c r="Q1951" s="88"/>
      <c r="R1951" s="88"/>
      <c r="S1951" s="620"/>
      <c r="T1951" s="92"/>
      <c r="U1951" s="1214"/>
      <c r="V1951" s="1215"/>
      <c r="W1951" s="168"/>
      <c r="X1951" s="170"/>
    </row>
    <row r="1952" spans="1:24" ht="12.75" customHeight="1">
      <c r="A1952" s="15"/>
      <c r="B1952" s="92" t="str">
        <f t="shared" si="343"/>
        <v/>
      </c>
      <c r="C1952" s="90"/>
      <c r="D1952" s="87"/>
      <c r="E1952" s="88"/>
      <c r="F1952" s="173"/>
      <c r="G1952" s="88"/>
      <c r="H1952" s="88"/>
      <c r="I1952" s="88"/>
      <c r="J1952" s="88"/>
      <c r="K1952" s="230"/>
      <c r="L1952" s="88"/>
      <c r="M1952" s="88"/>
      <c r="N1952" s="88"/>
      <c r="O1952" s="88"/>
      <c r="P1952" s="88"/>
      <c r="Q1952" s="88"/>
      <c r="R1952" s="88"/>
      <c r="S1952" s="620"/>
      <c r="T1952" s="92"/>
      <c r="U1952" s="1214"/>
      <c r="V1952" s="1215"/>
      <c r="W1952" s="168"/>
      <c r="X1952" s="170"/>
    </row>
    <row r="1953" spans="1:24" ht="12.75" customHeight="1">
      <c r="A1953" s="15"/>
      <c r="B1953" s="92" t="str">
        <f t="shared" si="343"/>
        <v/>
      </c>
      <c r="C1953" s="90"/>
      <c r="D1953" s="87"/>
      <c r="E1953" s="88"/>
      <c r="F1953" s="173"/>
      <c r="G1953" s="88"/>
      <c r="H1953" s="88"/>
      <c r="I1953" s="88"/>
      <c r="J1953" s="88"/>
      <c r="K1953" s="230"/>
      <c r="L1953" s="88"/>
      <c r="M1953" s="88"/>
      <c r="N1953" s="88"/>
      <c r="O1953" s="88"/>
      <c r="P1953" s="88"/>
      <c r="Q1953" s="88"/>
      <c r="R1953" s="88"/>
      <c r="S1953" s="620"/>
      <c r="T1953" s="92"/>
      <c r="U1953" s="1214"/>
      <c r="V1953" s="1215"/>
      <c r="W1953" s="168"/>
      <c r="X1953" s="170"/>
    </row>
    <row r="1954" spans="1:24" ht="12.75" customHeight="1">
      <c r="A1954" s="15"/>
      <c r="B1954" s="92" t="str">
        <f t="shared" si="343"/>
        <v/>
      </c>
      <c r="C1954" s="90"/>
      <c r="D1954" s="87"/>
      <c r="E1954" s="88"/>
      <c r="F1954" s="173"/>
      <c r="G1954" s="88"/>
      <c r="H1954" s="88"/>
      <c r="I1954" s="88"/>
      <c r="J1954" s="88"/>
      <c r="K1954" s="230"/>
      <c r="L1954" s="88"/>
      <c r="M1954" s="88"/>
      <c r="N1954" s="88"/>
      <c r="O1954" s="88"/>
      <c r="P1954" s="88"/>
      <c r="Q1954" s="88"/>
      <c r="R1954" s="88"/>
      <c r="S1954" s="620"/>
      <c r="T1954" s="92"/>
      <c r="U1954" s="1214"/>
      <c r="V1954" s="1215"/>
      <c r="W1954" s="168"/>
      <c r="X1954" s="170"/>
    </row>
    <row r="1955" spans="1:24" ht="12.75" customHeight="1">
      <c r="A1955" s="15"/>
      <c r="B1955" s="92" t="str">
        <f t="shared" si="343"/>
        <v/>
      </c>
      <c r="C1955" s="90"/>
      <c r="D1955" s="87"/>
      <c r="E1955" s="88"/>
      <c r="F1955" s="173"/>
      <c r="G1955" s="88"/>
      <c r="H1955" s="88"/>
      <c r="I1955" s="88"/>
      <c r="J1955" s="88"/>
      <c r="K1955" s="230"/>
      <c r="L1955" s="88"/>
      <c r="M1955" s="88"/>
      <c r="N1955" s="88"/>
      <c r="O1955" s="88"/>
      <c r="P1955" s="88"/>
      <c r="Q1955" s="88"/>
      <c r="R1955" s="88"/>
      <c r="S1955" s="620"/>
      <c r="T1955" s="92"/>
      <c r="U1955" s="1214"/>
      <c r="V1955" s="1215"/>
      <c r="W1955" s="168"/>
      <c r="X1955" s="170"/>
    </row>
    <row r="1956" spans="1:24" ht="12.75" customHeight="1">
      <c r="A1956" s="15"/>
      <c r="B1956" s="92" t="str">
        <f t="shared" si="343"/>
        <v/>
      </c>
      <c r="C1956" s="90"/>
      <c r="D1956" s="87"/>
      <c r="E1956" s="88"/>
      <c r="F1956" s="173"/>
      <c r="G1956" s="88"/>
      <c r="H1956" s="88"/>
      <c r="I1956" s="88"/>
      <c r="J1956" s="88"/>
      <c r="K1956" s="230"/>
      <c r="L1956" s="88"/>
      <c r="M1956" s="88"/>
      <c r="N1956" s="88"/>
      <c r="O1956" s="88"/>
      <c r="P1956" s="88"/>
      <c r="Q1956" s="88"/>
      <c r="R1956" s="88"/>
      <c r="S1956" s="620"/>
      <c r="T1956" s="92"/>
      <c r="U1956" s="1214"/>
      <c r="V1956" s="1215"/>
      <c r="W1956" s="168"/>
      <c r="X1956" s="170"/>
    </row>
    <row r="1957" spans="1:24" ht="12.75" customHeight="1">
      <c r="A1957" s="15"/>
      <c r="B1957" s="92" t="str">
        <f t="shared" si="343"/>
        <v/>
      </c>
      <c r="C1957" s="90"/>
      <c r="D1957" s="87"/>
      <c r="E1957" s="88"/>
      <c r="F1957" s="173"/>
      <c r="G1957" s="88"/>
      <c r="H1957" s="88"/>
      <c r="I1957" s="88"/>
      <c r="J1957" s="88"/>
      <c r="K1957" s="230"/>
      <c r="L1957" s="88"/>
      <c r="M1957" s="88"/>
      <c r="N1957" s="88"/>
      <c r="O1957" s="88"/>
      <c r="P1957" s="88"/>
      <c r="Q1957" s="88"/>
      <c r="R1957" s="88"/>
      <c r="S1957" s="620"/>
      <c r="T1957" s="92"/>
      <c r="U1957" s="1214"/>
      <c r="V1957" s="1215"/>
      <c r="W1957" s="168"/>
      <c r="X1957" s="170"/>
    </row>
    <row r="1958" spans="1:24" ht="12.75" customHeight="1">
      <c r="A1958" s="15"/>
      <c r="B1958" s="92" t="str">
        <f t="shared" si="343"/>
        <v/>
      </c>
      <c r="C1958" s="90"/>
      <c r="D1958" s="87"/>
      <c r="E1958" s="88"/>
      <c r="F1958" s="173"/>
      <c r="G1958" s="88"/>
      <c r="H1958" s="88"/>
      <c r="I1958" s="88"/>
      <c r="J1958" s="88"/>
      <c r="K1958" s="230"/>
      <c r="L1958" s="88"/>
      <c r="M1958" s="88"/>
      <c r="N1958" s="88"/>
      <c r="O1958" s="88"/>
      <c r="P1958" s="88"/>
      <c r="Q1958" s="88"/>
      <c r="R1958" s="88"/>
      <c r="S1958" s="620"/>
      <c r="T1958" s="92"/>
      <c r="U1958" s="1214"/>
      <c r="V1958" s="1215"/>
      <c r="W1958" s="168"/>
      <c r="X1958" s="170"/>
    </row>
    <row r="1959" spans="1:24" ht="12.75" customHeight="1">
      <c r="A1959" s="15"/>
      <c r="B1959" s="92" t="str">
        <f t="shared" si="343"/>
        <v/>
      </c>
      <c r="C1959" s="90"/>
      <c r="D1959" s="87"/>
      <c r="E1959" s="88"/>
      <c r="F1959" s="173"/>
      <c r="G1959" s="88"/>
      <c r="H1959" s="88"/>
      <c r="I1959" s="88"/>
      <c r="J1959" s="88"/>
      <c r="K1959" s="230"/>
      <c r="L1959" s="88"/>
      <c r="M1959" s="88"/>
      <c r="N1959" s="88"/>
      <c r="O1959" s="88"/>
      <c r="P1959" s="88"/>
      <c r="Q1959" s="88"/>
      <c r="R1959" s="88"/>
      <c r="S1959" s="620"/>
      <c r="T1959" s="92"/>
      <c r="U1959" s="1214"/>
      <c r="V1959" s="1215"/>
      <c r="W1959" s="168"/>
      <c r="X1959" s="170"/>
    </row>
    <row r="1960" spans="1:24" ht="12.75" customHeight="1">
      <c r="A1960" s="15"/>
      <c r="B1960" s="92" t="str">
        <f t="shared" si="343"/>
        <v/>
      </c>
      <c r="C1960" s="90"/>
      <c r="D1960" s="87"/>
      <c r="E1960" s="88"/>
      <c r="F1960" s="173"/>
      <c r="G1960" s="88"/>
      <c r="H1960" s="88"/>
      <c r="I1960" s="88"/>
      <c r="J1960" s="88"/>
      <c r="K1960" s="230"/>
      <c r="L1960" s="88"/>
      <c r="M1960" s="88"/>
      <c r="N1960" s="88"/>
      <c r="O1960" s="88"/>
      <c r="P1960" s="88"/>
      <c r="Q1960" s="88"/>
      <c r="R1960" s="88"/>
      <c r="S1960" s="620"/>
      <c r="T1960" s="92"/>
      <c r="U1960" s="1214"/>
      <c r="V1960" s="1215"/>
      <c r="W1960" s="168"/>
      <c r="X1960" s="170"/>
    </row>
    <row r="1961" spans="1:24" ht="12.75" customHeight="1">
      <c r="A1961" s="15"/>
      <c r="B1961" s="92" t="str">
        <f t="shared" si="343"/>
        <v/>
      </c>
      <c r="C1961" s="90"/>
      <c r="D1961" s="87"/>
      <c r="E1961" s="88"/>
      <c r="F1961" s="173"/>
      <c r="G1961" s="88"/>
      <c r="H1961" s="88"/>
      <c r="I1961" s="88"/>
      <c r="J1961" s="88"/>
      <c r="K1961" s="230"/>
      <c r="L1961" s="88"/>
      <c r="M1961" s="88"/>
      <c r="N1961" s="88"/>
      <c r="O1961" s="88"/>
      <c r="P1961" s="88"/>
      <c r="Q1961" s="88"/>
      <c r="R1961" s="88"/>
      <c r="S1961" s="620"/>
      <c r="T1961" s="92"/>
      <c r="U1961" s="1214"/>
      <c r="V1961" s="1215"/>
      <c r="W1961" s="168"/>
      <c r="X1961" s="170"/>
    </row>
    <row r="1962" spans="1:24" ht="12.75" customHeight="1">
      <c r="A1962" s="15"/>
      <c r="B1962" s="92" t="str">
        <f t="shared" si="343"/>
        <v/>
      </c>
      <c r="C1962" s="90"/>
      <c r="D1962" s="87"/>
      <c r="E1962" s="88"/>
      <c r="F1962" s="173"/>
      <c r="G1962" s="88"/>
      <c r="H1962" s="88"/>
      <c r="I1962" s="88"/>
      <c r="J1962" s="88"/>
      <c r="K1962" s="230"/>
      <c r="L1962" s="88"/>
      <c r="M1962" s="88"/>
      <c r="N1962" s="88"/>
      <c r="O1962" s="88"/>
      <c r="P1962" s="88"/>
      <c r="Q1962" s="88"/>
      <c r="R1962" s="88"/>
      <c r="S1962" s="620"/>
      <c r="T1962" s="92"/>
      <c r="U1962" s="1214"/>
      <c r="V1962" s="1215"/>
      <c r="W1962" s="168"/>
      <c r="X1962" s="170"/>
    </row>
    <row r="1963" spans="1:24" ht="12.75" customHeight="1">
      <c r="A1963" s="15"/>
      <c r="B1963" s="92" t="str">
        <f t="shared" si="343"/>
        <v/>
      </c>
      <c r="C1963" s="90"/>
      <c r="D1963" s="87"/>
      <c r="E1963" s="88"/>
      <c r="F1963" s="173"/>
      <c r="G1963" s="88"/>
      <c r="H1963" s="88"/>
      <c r="I1963" s="88"/>
      <c r="J1963" s="88"/>
      <c r="K1963" s="230"/>
      <c r="L1963" s="88"/>
      <c r="M1963" s="88"/>
      <c r="N1963" s="88"/>
      <c r="O1963" s="88"/>
      <c r="P1963" s="88"/>
      <c r="Q1963" s="88"/>
      <c r="R1963" s="88"/>
      <c r="S1963" s="620"/>
      <c r="T1963" s="92"/>
      <c r="U1963" s="1214"/>
      <c r="V1963" s="1215"/>
      <c r="W1963" s="168"/>
      <c r="X1963" s="170"/>
    </row>
    <row r="1964" spans="1:24" ht="12.75" customHeight="1">
      <c r="A1964" s="15"/>
      <c r="B1964" s="92" t="str">
        <f t="shared" si="343"/>
        <v/>
      </c>
      <c r="C1964" s="90"/>
      <c r="D1964" s="87"/>
      <c r="E1964" s="88"/>
      <c r="F1964" s="173"/>
      <c r="G1964" s="88"/>
      <c r="H1964" s="88"/>
      <c r="I1964" s="88"/>
      <c r="J1964" s="88"/>
      <c r="K1964" s="230"/>
      <c r="L1964" s="88"/>
      <c r="M1964" s="88"/>
      <c r="N1964" s="88"/>
      <c r="O1964" s="88"/>
      <c r="P1964" s="88"/>
      <c r="Q1964" s="88"/>
      <c r="R1964" s="88"/>
      <c r="S1964" s="620"/>
      <c r="T1964" s="92"/>
      <c r="U1964" s="1214"/>
      <c r="V1964" s="1215"/>
      <c r="W1964" s="168"/>
      <c r="X1964" s="170"/>
    </row>
    <row r="1965" spans="1:24" ht="12.75" customHeight="1">
      <c r="A1965" s="15"/>
      <c r="B1965" s="92" t="str">
        <f t="shared" si="343"/>
        <v/>
      </c>
      <c r="C1965" s="90"/>
      <c r="D1965" s="87"/>
      <c r="E1965" s="88"/>
      <c r="F1965" s="173"/>
      <c r="G1965" s="88"/>
      <c r="H1965" s="88"/>
      <c r="I1965" s="88"/>
      <c r="J1965" s="88"/>
      <c r="K1965" s="230"/>
      <c r="L1965" s="88"/>
      <c r="M1965" s="88"/>
      <c r="N1965" s="88"/>
      <c r="O1965" s="88"/>
      <c r="P1965" s="88"/>
      <c r="Q1965" s="88"/>
      <c r="R1965" s="88"/>
      <c r="S1965" s="620"/>
      <c r="T1965" s="92"/>
      <c r="U1965" s="1214"/>
      <c r="V1965" s="1215"/>
      <c r="W1965" s="168"/>
      <c r="X1965" s="170"/>
    </row>
    <row r="1966" spans="1:24" ht="12.75" customHeight="1">
      <c r="A1966" s="15"/>
      <c r="B1966" s="92" t="str">
        <f t="shared" si="343"/>
        <v/>
      </c>
      <c r="C1966" s="90"/>
      <c r="D1966" s="87"/>
      <c r="E1966" s="88"/>
      <c r="F1966" s="173"/>
      <c r="G1966" s="88"/>
      <c r="H1966" s="88"/>
      <c r="I1966" s="88"/>
      <c r="J1966" s="88"/>
      <c r="K1966" s="230"/>
      <c r="L1966" s="88"/>
      <c r="M1966" s="88"/>
      <c r="N1966" s="88"/>
      <c r="O1966" s="88"/>
      <c r="P1966" s="88"/>
      <c r="Q1966" s="88"/>
      <c r="R1966" s="88"/>
      <c r="S1966" s="620"/>
      <c r="T1966" s="92"/>
      <c r="U1966" s="1214"/>
      <c r="V1966" s="1215"/>
      <c r="W1966" s="168"/>
      <c r="X1966" s="170"/>
    </row>
    <row r="1967" spans="1:24" ht="12.75" customHeight="1">
      <c r="A1967" s="15"/>
      <c r="B1967" s="92" t="str">
        <f t="shared" ref="B1967:B2030" si="347">IF(C1967="","",ROW()-5)</f>
        <v/>
      </c>
      <c r="C1967" s="90"/>
      <c r="D1967" s="87"/>
      <c r="E1967" s="88"/>
      <c r="F1967" s="173"/>
      <c r="G1967" s="88"/>
      <c r="H1967" s="88"/>
      <c r="I1967" s="88"/>
      <c r="J1967" s="88"/>
      <c r="K1967" s="230"/>
      <c r="L1967" s="88"/>
      <c r="M1967" s="88"/>
      <c r="N1967" s="88"/>
      <c r="O1967" s="88"/>
      <c r="P1967" s="88"/>
      <c r="Q1967" s="88"/>
      <c r="R1967" s="88"/>
      <c r="S1967" s="620"/>
      <c r="T1967" s="92"/>
      <c r="U1967" s="1214"/>
      <c r="V1967" s="1215"/>
      <c r="W1967" s="168"/>
      <c r="X1967" s="170"/>
    </row>
    <row r="1968" spans="1:24" ht="12.75" customHeight="1">
      <c r="A1968" s="15"/>
      <c r="B1968" s="92" t="str">
        <f t="shared" si="347"/>
        <v/>
      </c>
      <c r="C1968" s="90"/>
      <c r="D1968" s="87"/>
      <c r="E1968" s="88"/>
      <c r="F1968" s="173"/>
      <c r="G1968" s="88"/>
      <c r="H1968" s="88"/>
      <c r="I1968" s="88"/>
      <c r="J1968" s="88"/>
      <c r="K1968" s="230"/>
      <c r="L1968" s="88"/>
      <c r="M1968" s="88"/>
      <c r="N1968" s="88"/>
      <c r="O1968" s="88"/>
      <c r="P1968" s="88"/>
      <c r="Q1968" s="88"/>
      <c r="R1968" s="88"/>
      <c r="S1968" s="620"/>
      <c r="T1968" s="92"/>
      <c r="U1968" s="1214"/>
      <c r="V1968" s="1215"/>
      <c r="W1968" s="168"/>
      <c r="X1968" s="170"/>
    </row>
    <row r="1969" spans="1:24" ht="12.75" customHeight="1">
      <c r="A1969" s="15"/>
      <c r="B1969" s="92" t="str">
        <f t="shared" si="347"/>
        <v/>
      </c>
      <c r="C1969" s="90"/>
      <c r="D1969" s="87"/>
      <c r="E1969" s="88"/>
      <c r="F1969" s="173"/>
      <c r="G1969" s="88"/>
      <c r="H1969" s="88"/>
      <c r="I1969" s="88"/>
      <c r="J1969" s="88"/>
      <c r="K1969" s="230"/>
      <c r="L1969" s="88"/>
      <c r="M1969" s="88"/>
      <c r="N1969" s="88"/>
      <c r="O1969" s="88"/>
      <c r="P1969" s="88"/>
      <c r="Q1969" s="88"/>
      <c r="R1969" s="88"/>
      <c r="S1969" s="620"/>
      <c r="T1969" s="92"/>
      <c r="U1969" s="1214"/>
      <c r="V1969" s="1215"/>
      <c r="W1969" s="168"/>
      <c r="X1969" s="170"/>
    </row>
    <row r="1970" spans="1:24" ht="12.75" customHeight="1">
      <c r="A1970" s="15"/>
      <c r="B1970" s="92" t="str">
        <f t="shared" si="347"/>
        <v/>
      </c>
      <c r="C1970" s="90"/>
      <c r="D1970" s="87"/>
      <c r="E1970" s="88"/>
      <c r="F1970" s="173"/>
      <c r="G1970" s="88"/>
      <c r="H1970" s="88"/>
      <c r="I1970" s="88"/>
      <c r="J1970" s="88"/>
      <c r="K1970" s="230"/>
      <c r="L1970" s="88"/>
      <c r="M1970" s="88"/>
      <c r="N1970" s="88"/>
      <c r="O1970" s="88"/>
      <c r="P1970" s="88"/>
      <c r="Q1970" s="88"/>
      <c r="R1970" s="88"/>
      <c r="S1970" s="620"/>
      <c r="T1970" s="92"/>
      <c r="U1970" s="1214"/>
      <c r="V1970" s="1215"/>
      <c r="W1970" s="168"/>
      <c r="X1970" s="170"/>
    </row>
    <row r="1971" spans="1:24" ht="12.75" customHeight="1">
      <c r="A1971" s="15"/>
      <c r="B1971" s="92" t="str">
        <f t="shared" si="347"/>
        <v/>
      </c>
      <c r="C1971" s="90"/>
      <c r="D1971" s="87"/>
      <c r="E1971" s="88"/>
      <c r="F1971" s="173"/>
      <c r="G1971" s="88"/>
      <c r="H1971" s="88"/>
      <c r="I1971" s="88"/>
      <c r="J1971" s="88"/>
      <c r="K1971" s="230"/>
      <c r="L1971" s="88"/>
      <c r="M1971" s="88"/>
      <c r="N1971" s="88"/>
      <c r="O1971" s="88"/>
      <c r="P1971" s="88"/>
      <c r="Q1971" s="88"/>
      <c r="R1971" s="88"/>
      <c r="S1971" s="620"/>
      <c r="T1971" s="92"/>
      <c r="U1971" s="1214"/>
      <c r="V1971" s="1215"/>
      <c r="W1971" s="168"/>
      <c r="X1971" s="170"/>
    </row>
    <row r="1972" spans="1:24" ht="12.75" customHeight="1">
      <c r="A1972" s="15"/>
      <c r="B1972" s="92" t="str">
        <f t="shared" si="347"/>
        <v/>
      </c>
      <c r="C1972" s="90"/>
      <c r="D1972" s="87"/>
      <c r="E1972" s="88"/>
      <c r="F1972" s="173"/>
      <c r="G1972" s="88"/>
      <c r="H1972" s="88"/>
      <c r="I1972" s="88"/>
      <c r="J1972" s="88"/>
      <c r="K1972" s="230"/>
      <c r="L1972" s="88"/>
      <c r="M1972" s="88"/>
      <c r="N1972" s="88"/>
      <c r="O1972" s="88"/>
      <c r="P1972" s="88"/>
      <c r="Q1972" s="88"/>
      <c r="R1972" s="88"/>
      <c r="S1972" s="620"/>
      <c r="T1972" s="92"/>
      <c r="U1972" s="1214"/>
      <c r="V1972" s="1215"/>
      <c r="W1972" s="168"/>
      <c r="X1972" s="170"/>
    </row>
    <row r="1973" spans="1:24" ht="12.75" customHeight="1">
      <c r="A1973" s="15"/>
      <c r="B1973" s="92" t="str">
        <f t="shared" si="347"/>
        <v/>
      </c>
      <c r="C1973" s="90"/>
      <c r="D1973" s="87"/>
      <c r="E1973" s="88"/>
      <c r="F1973" s="173"/>
      <c r="G1973" s="88"/>
      <c r="H1973" s="88"/>
      <c r="I1973" s="88"/>
      <c r="J1973" s="88"/>
      <c r="K1973" s="230"/>
      <c r="L1973" s="88"/>
      <c r="M1973" s="88"/>
      <c r="N1973" s="88"/>
      <c r="O1973" s="88"/>
      <c r="P1973" s="88"/>
      <c r="Q1973" s="88"/>
      <c r="R1973" s="88"/>
      <c r="S1973" s="620"/>
      <c r="T1973" s="92"/>
      <c r="U1973" s="1214"/>
      <c r="V1973" s="1215"/>
      <c r="W1973" s="168"/>
      <c r="X1973" s="170"/>
    </row>
    <row r="1974" spans="1:24" ht="12.75" customHeight="1">
      <c r="A1974" s="15"/>
      <c r="B1974" s="92" t="str">
        <f t="shared" si="347"/>
        <v/>
      </c>
      <c r="C1974" s="90"/>
      <c r="D1974" s="87"/>
      <c r="E1974" s="88"/>
      <c r="F1974" s="173"/>
      <c r="G1974" s="88"/>
      <c r="H1974" s="88"/>
      <c r="I1974" s="88"/>
      <c r="J1974" s="88"/>
      <c r="K1974" s="230"/>
      <c r="L1974" s="88"/>
      <c r="M1974" s="88"/>
      <c r="N1974" s="88"/>
      <c r="O1974" s="88"/>
      <c r="P1974" s="88"/>
      <c r="Q1974" s="88"/>
      <c r="R1974" s="88"/>
      <c r="S1974" s="620"/>
      <c r="T1974" s="92"/>
      <c r="U1974" s="1214"/>
      <c r="V1974" s="1215"/>
      <c r="W1974" s="168"/>
      <c r="X1974" s="170"/>
    </row>
    <row r="1975" spans="1:24" ht="12.75" customHeight="1">
      <c r="A1975" s="15"/>
      <c r="B1975" s="92" t="str">
        <f t="shared" si="347"/>
        <v/>
      </c>
      <c r="C1975" s="90"/>
      <c r="D1975" s="87"/>
      <c r="E1975" s="88"/>
      <c r="F1975" s="173"/>
      <c r="G1975" s="88"/>
      <c r="H1975" s="88"/>
      <c r="I1975" s="88"/>
      <c r="J1975" s="88"/>
      <c r="K1975" s="230"/>
      <c r="L1975" s="88"/>
      <c r="M1975" s="88"/>
      <c r="N1975" s="88"/>
      <c r="O1975" s="88"/>
      <c r="P1975" s="88"/>
      <c r="Q1975" s="88"/>
      <c r="R1975" s="88"/>
      <c r="S1975" s="620"/>
      <c r="T1975" s="92"/>
      <c r="U1975" s="1214"/>
      <c r="V1975" s="1215"/>
      <c r="W1975" s="168"/>
      <c r="X1975" s="170"/>
    </row>
    <row r="1976" spans="1:24" ht="12.75" customHeight="1">
      <c r="A1976" s="15"/>
      <c r="B1976" s="92" t="str">
        <f t="shared" si="347"/>
        <v/>
      </c>
      <c r="C1976" s="90"/>
      <c r="D1976" s="87"/>
      <c r="E1976" s="88"/>
      <c r="F1976" s="173"/>
      <c r="G1976" s="88"/>
      <c r="H1976" s="88"/>
      <c r="I1976" s="88"/>
      <c r="J1976" s="88"/>
      <c r="K1976" s="230"/>
      <c r="L1976" s="88"/>
      <c r="M1976" s="88"/>
      <c r="N1976" s="88"/>
      <c r="O1976" s="88"/>
      <c r="P1976" s="88"/>
      <c r="Q1976" s="88"/>
      <c r="R1976" s="88"/>
      <c r="S1976" s="620"/>
      <c r="T1976" s="92"/>
      <c r="U1976" s="1214"/>
      <c r="V1976" s="1215"/>
      <c r="W1976" s="168"/>
      <c r="X1976" s="170"/>
    </row>
    <row r="1977" spans="1:24" ht="12.75" customHeight="1">
      <c r="A1977" s="15"/>
      <c r="B1977" s="92" t="str">
        <f t="shared" si="347"/>
        <v/>
      </c>
      <c r="C1977" s="90"/>
      <c r="D1977" s="87"/>
      <c r="E1977" s="88"/>
      <c r="F1977" s="173"/>
      <c r="G1977" s="88"/>
      <c r="H1977" s="88"/>
      <c r="I1977" s="88"/>
      <c r="J1977" s="88"/>
      <c r="K1977" s="230"/>
      <c r="L1977" s="88"/>
      <c r="M1977" s="88"/>
      <c r="N1977" s="88"/>
      <c r="O1977" s="88"/>
      <c r="P1977" s="88"/>
      <c r="Q1977" s="88"/>
      <c r="R1977" s="88"/>
      <c r="S1977" s="620"/>
      <c r="T1977" s="92"/>
      <c r="U1977" s="1214"/>
      <c r="V1977" s="1215"/>
      <c r="W1977" s="168"/>
      <c r="X1977" s="170"/>
    </row>
    <row r="1978" spans="1:24" ht="12.75" customHeight="1">
      <c r="A1978" s="15"/>
      <c r="B1978" s="92" t="str">
        <f t="shared" si="347"/>
        <v/>
      </c>
      <c r="C1978" s="90"/>
      <c r="D1978" s="87"/>
      <c r="E1978" s="88"/>
      <c r="F1978" s="173"/>
      <c r="G1978" s="88"/>
      <c r="H1978" s="88"/>
      <c r="I1978" s="88"/>
      <c r="J1978" s="88"/>
      <c r="K1978" s="230"/>
      <c r="L1978" s="88"/>
      <c r="M1978" s="88"/>
      <c r="N1978" s="88"/>
      <c r="O1978" s="88"/>
      <c r="P1978" s="88"/>
      <c r="Q1978" s="88"/>
      <c r="R1978" s="88"/>
      <c r="S1978" s="620"/>
      <c r="T1978" s="92"/>
      <c r="U1978" s="1214"/>
      <c r="V1978" s="1215"/>
      <c r="W1978" s="168"/>
      <c r="X1978" s="170"/>
    </row>
    <row r="1979" spans="1:24" ht="12.75" customHeight="1">
      <c r="A1979" s="15"/>
      <c r="B1979" s="92" t="str">
        <f t="shared" si="347"/>
        <v/>
      </c>
      <c r="C1979" s="90"/>
      <c r="D1979" s="87"/>
      <c r="E1979" s="88"/>
      <c r="F1979" s="173"/>
      <c r="G1979" s="88"/>
      <c r="H1979" s="88"/>
      <c r="I1979" s="88"/>
      <c r="J1979" s="88"/>
      <c r="K1979" s="230"/>
      <c r="L1979" s="88"/>
      <c r="M1979" s="88"/>
      <c r="N1979" s="88"/>
      <c r="O1979" s="88"/>
      <c r="P1979" s="88"/>
      <c r="Q1979" s="88"/>
      <c r="R1979" s="88"/>
      <c r="S1979" s="620"/>
      <c r="T1979" s="92"/>
      <c r="U1979" s="1214"/>
      <c r="V1979" s="1215"/>
      <c r="W1979" s="168"/>
      <c r="X1979" s="170"/>
    </row>
    <row r="1980" spans="1:24" ht="12.75" customHeight="1">
      <c r="A1980" s="15"/>
      <c r="B1980" s="92" t="str">
        <f t="shared" si="347"/>
        <v/>
      </c>
      <c r="C1980" s="90"/>
      <c r="D1980" s="87"/>
      <c r="E1980" s="88"/>
      <c r="F1980" s="173"/>
      <c r="G1980" s="88"/>
      <c r="H1980" s="88"/>
      <c r="I1980" s="88"/>
      <c r="J1980" s="88"/>
      <c r="K1980" s="230"/>
      <c r="L1980" s="88"/>
      <c r="M1980" s="88"/>
      <c r="N1980" s="88"/>
      <c r="O1980" s="88"/>
      <c r="P1980" s="88"/>
      <c r="Q1980" s="88"/>
      <c r="R1980" s="88"/>
      <c r="S1980" s="620"/>
      <c r="T1980" s="92"/>
      <c r="U1980" s="1214"/>
      <c r="V1980" s="1215"/>
      <c r="W1980" s="168"/>
      <c r="X1980" s="170"/>
    </row>
    <row r="1981" spans="1:24" ht="12.75" customHeight="1">
      <c r="A1981" s="15"/>
      <c r="B1981" s="92" t="str">
        <f t="shared" si="347"/>
        <v/>
      </c>
      <c r="C1981" s="90"/>
      <c r="D1981" s="87"/>
      <c r="E1981" s="88"/>
      <c r="F1981" s="173"/>
      <c r="G1981" s="88"/>
      <c r="H1981" s="88"/>
      <c r="I1981" s="88"/>
      <c r="J1981" s="88"/>
      <c r="K1981" s="230"/>
      <c r="L1981" s="88"/>
      <c r="M1981" s="88"/>
      <c r="N1981" s="88"/>
      <c r="O1981" s="88"/>
      <c r="P1981" s="88"/>
      <c r="Q1981" s="88"/>
      <c r="R1981" s="88"/>
      <c r="S1981" s="620"/>
      <c r="T1981" s="92"/>
      <c r="U1981" s="1214"/>
      <c r="V1981" s="1215"/>
      <c r="W1981" s="168"/>
      <c r="X1981" s="170"/>
    </row>
    <row r="1982" spans="1:24" ht="12.75" customHeight="1">
      <c r="A1982" s="15"/>
      <c r="B1982" s="92" t="str">
        <f t="shared" si="347"/>
        <v/>
      </c>
      <c r="C1982" s="90"/>
      <c r="D1982" s="87"/>
      <c r="E1982" s="88"/>
      <c r="F1982" s="173"/>
      <c r="G1982" s="88"/>
      <c r="H1982" s="88"/>
      <c r="I1982" s="88"/>
      <c r="J1982" s="88"/>
      <c r="K1982" s="230"/>
      <c r="L1982" s="88"/>
      <c r="M1982" s="88"/>
      <c r="N1982" s="88"/>
      <c r="O1982" s="88"/>
      <c r="P1982" s="88"/>
      <c r="Q1982" s="88"/>
      <c r="R1982" s="88"/>
      <c r="S1982" s="620"/>
      <c r="T1982" s="92"/>
      <c r="U1982" s="1214"/>
      <c r="V1982" s="1215"/>
      <c r="W1982" s="168"/>
      <c r="X1982" s="170"/>
    </row>
    <row r="1983" spans="1:24" ht="12.75" customHeight="1">
      <c r="A1983" s="15"/>
      <c r="B1983" s="92" t="str">
        <f t="shared" si="347"/>
        <v/>
      </c>
      <c r="C1983" s="90"/>
      <c r="D1983" s="87"/>
      <c r="E1983" s="88"/>
      <c r="F1983" s="173"/>
      <c r="G1983" s="88"/>
      <c r="H1983" s="88"/>
      <c r="I1983" s="88"/>
      <c r="J1983" s="88"/>
      <c r="K1983" s="230"/>
      <c r="L1983" s="88"/>
      <c r="M1983" s="88"/>
      <c r="N1983" s="88"/>
      <c r="O1983" s="88"/>
      <c r="P1983" s="88"/>
      <c r="Q1983" s="88"/>
      <c r="R1983" s="88"/>
      <c r="S1983" s="620"/>
      <c r="T1983" s="92"/>
      <c r="U1983" s="1214"/>
      <c r="V1983" s="1215"/>
      <c r="W1983" s="168"/>
      <c r="X1983" s="170"/>
    </row>
    <row r="1984" spans="1:24" ht="12.75" customHeight="1">
      <c r="A1984" s="15"/>
      <c r="B1984" s="92" t="str">
        <f t="shared" si="347"/>
        <v/>
      </c>
      <c r="C1984" s="90"/>
      <c r="D1984" s="87"/>
      <c r="E1984" s="88"/>
      <c r="F1984" s="173"/>
      <c r="G1984" s="88"/>
      <c r="H1984" s="88"/>
      <c r="I1984" s="88"/>
      <c r="J1984" s="88"/>
      <c r="K1984" s="230"/>
      <c r="L1984" s="88"/>
      <c r="M1984" s="88"/>
      <c r="N1984" s="88"/>
      <c r="O1984" s="88"/>
      <c r="P1984" s="88"/>
      <c r="Q1984" s="88"/>
      <c r="R1984" s="88"/>
      <c r="S1984" s="620"/>
      <c r="T1984" s="92"/>
      <c r="U1984" s="1214"/>
      <c r="V1984" s="1215"/>
      <c r="W1984" s="168"/>
      <c r="X1984" s="170"/>
    </row>
    <row r="1985" spans="1:24" ht="12.75" customHeight="1">
      <c r="A1985" s="15"/>
      <c r="B1985" s="92" t="str">
        <f t="shared" si="347"/>
        <v/>
      </c>
      <c r="C1985" s="90"/>
      <c r="D1985" s="87"/>
      <c r="E1985" s="88"/>
      <c r="F1985" s="173"/>
      <c r="G1985" s="88"/>
      <c r="H1985" s="88"/>
      <c r="I1985" s="88"/>
      <c r="J1985" s="88"/>
      <c r="K1985" s="230"/>
      <c r="L1985" s="88"/>
      <c r="M1985" s="88"/>
      <c r="N1985" s="88"/>
      <c r="O1985" s="88"/>
      <c r="P1985" s="88"/>
      <c r="Q1985" s="88"/>
      <c r="R1985" s="88"/>
      <c r="S1985" s="620"/>
      <c r="T1985" s="92"/>
      <c r="U1985" s="1214"/>
      <c r="V1985" s="1215"/>
      <c r="W1985" s="168"/>
      <c r="X1985" s="170"/>
    </row>
    <row r="1986" spans="1:24" ht="12.75" customHeight="1">
      <c r="A1986" s="15"/>
      <c r="B1986" s="92" t="str">
        <f t="shared" si="347"/>
        <v/>
      </c>
      <c r="C1986" s="90"/>
      <c r="D1986" s="87"/>
      <c r="E1986" s="88"/>
      <c r="F1986" s="173"/>
      <c r="G1986" s="88"/>
      <c r="H1986" s="88"/>
      <c r="I1986" s="88"/>
      <c r="J1986" s="88"/>
      <c r="K1986" s="230"/>
      <c r="L1986" s="88"/>
      <c r="M1986" s="88"/>
      <c r="N1986" s="88"/>
      <c r="O1986" s="88"/>
      <c r="P1986" s="88"/>
      <c r="Q1986" s="88"/>
      <c r="R1986" s="88"/>
      <c r="S1986" s="620"/>
      <c r="T1986" s="92"/>
      <c r="U1986" s="1214"/>
      <c r="V1986" s="1215"/>
      <c r="W1986" s="168"/>
      <c r="X1986" s="170"/>
    </row>
    <row r="1987" spans="1:24" ht="12.75" customHeight="1">
      <c r="A1987" s="15"/>
      <c r="B1987" s="92" t="str">
        <f t="shared" si="347"/>
        <v/>
      </c>
      <c r="C1987" s="90"/>
      <c r="D1987" s="87"/>
      <c r="E1987" s="88"/>
      <c r="F1987" s="173"/>
      <c r="G1987" s="88"/>
      <c r="H1987" s="88"/>
      <c r="I1987" s="88"/>
      <c r="J1987" s="88"/>
      <c r="K1987" s="230"/>
      <c r="L1987" s="88"/>
      <c r="M1987" s="88"/>
      <c r="N1987" s="88"/>
      <c r="O1987" s="88"/>
      <c r="P1987" s="88"/>
      <c r="Q1987" s="88"/>
      <c r="R1987" s="88"/>
      <c r="S1987" s="620"/>
      <c r="T1987" s="92"/>
      <c r="U1987" s="1214"/>
      <c r="V1987" s="1215"/>
      <c r="W1987" s="168"/>
      <c r="X1987" s="170"/>
    </row>
    <row r="1988" spans="1:24" ht="12.75" customHeight="1">
      <c r="A1988" s="15"/>
      <c r="B1988" s="92" t="str">
        <f t="shared" si="347"/>
        <v/>
      </c>
      <c r="C1988" s="90"/>
      <c r="D1988" s="87"/>
      <c r="E1988" s="88"/>
      <c r="F1988" s="173"/>
      <c r="G1988" s="88"/>
      <c r="H1988" s="88"/>
      <c r="I1988" s="88"/>
      <c r="J1988" s="88"/>
      <c r="K1988" s="230"/>
      <c r="L1988" s="88"/>
      <c r="M1988" s="88"/>
      <c r="N1988" s="88"/>
      <c r="O1988" s="88"/>
      <c r="P1988" s="88"/>
      <c r="Q1988" s="88"/>
      <c r="R1988" s="88"/>
      <c r="S1988" s="620"/>
      <c r="T1988" s="92"/>
      <c r="U1988" s="1214"/>
      <c r="V1988" s="1215"/>
      <c r="W1988" s="168"/>
      <c r="X1988" s="170"/>
    </row>
    <row r="1989" spans="1:24" ht="12.75" customHeight="1">
      <c r="A1989" s="15"/>
      <c r="B1989" s="92" t="str">
        <f t="shared" si="347"/>
        <v/>
      </c>
      <c r="C1989" s="90"/>
      <c r="D1989" s="87"/>
      <c r="E1989" s="88"/>
      <c r="F1989" s="173"/>
      <c r="G1989" s="88"/>
      <c r="H1989" s="88"/>
      <c r="I1989" s="88"/>
      <c r="J1989" s="88"/>
      <c r="K1989" s="230"/>
      <c r="L1989" s="88"/>
      <c r="M1989" s="88"/>
      <c r="N1989" s="88"/>
      <c r="O1989" s="88"/>
      <c r="P1989" s="88"/>
      <c r="Q1989" s="88"/>
      <c r="R1989" s="88"/>
      <c r="S1989" s="620"/>
      <c r="T1989" s="92"/>
      <c r="U1989" s="1214"/>
      <c r="V1989" s="1215"/>
      <c r="W1989" s="168"/>
      <c r="X1989" s="170"/>
    </row>
    <row r="1990" spans="1:24" ht="12.75" customHeight="1">
      <c r="A1990" s="15"/>
      <c r="B1990" s="92" t="str">
        <f t="shared" si="347"/>
        <v/>
      </c>
      <c r="C1990" s="90"/>
      <c r="D1990" s="87"/>
      <c r="E1990" s="88"/>
      <c r="F1990" s="173"/>
      <c r="G1990" s="88"/>
      <c r="H1990" s="88"/>
      <c r="I1990" s="88"/>
      <c r="J1990" s="88"/>
      <c r="K1990" s="230"/>
      <c r="L1990" s="88"/>
      <c r="M1990" s="88"/>
      <c r="N1990" s="88"/>
      <c r="O1990" s="88"/>
      <c r="P1990" s="88"/>
      <c r="Q1990" s="88"/>
      <c r="R1990" s="88"/>
      <c r="S1990" s="620"/>
      <c r="T1990" s="92"/>
      <c r="U1990" s="1214"/>
      <c r="V1990" s="1215"/>
      <c r="W1990" s="168"/>
      <c r="X1990" s="170"/>
    </row>
    <row r="1991" spans="1:24" ht="12.75" customHeight="1">
      <c r="A1991" s="15"/>
      <c r="B1991" s="92" t="str">
        <f t="shared" si="347"/>
        <v/>
      </c>
      <c r="C1991" s="90"/>
      <c r="D1991" s="87"/>
      <c r="E1991" s="88"/>
      <c r="F1991" s="173"/>
      <c r="G1991" s="88"/>
      <c r="H1991" s="88"/>
      <c r="I1991" s="88"/>
      <c r="J1991" s="88"/>
      <c r="K1991" s="230"/>
      <c r="L1991" s="88"/>
      <c r="M1991" s="88"/>
      <c r="N1991" s="88"/>
      <c r="O1991" s="88"/>
      <c r="P1991" s="88"/>
      <c r="Q1991" s="88"/>
      <c r="R1991" s="88"/>
      <c r="S1991" s="620"/>
      <c r="T1991" s="92"/>
      <c r="U1991" s="1214"/>
      <c r="V1991" s="1215"/>
      <c r="W1991" s="168"/>
      <c r="X1991" s="170"/>
    </row>
    <row r="1992" spans="1:24" ht="12.75" customHeight="1">
      <c r="A1992" s="15"/>
      <c r="B1992" s="92" t="str">
        <f t="shared" si="347"/>
        <v/>
      </c>
      <c r="C1992" s="90"/>
      <c r="D1992" s="87"/>
      <c r="E1992" s="88"/>
      <c r="F1992" s="173"/>
      <c r="G1992" s="88"/>
      <c r="H1992" s="88"/>
      <c r="I1992" s="88"/>
      <c r="J1992" s="88"/>
      <c r="K1992" s="230"/>
      <c r="L1992" s="88"/>
      <c r="M1992" s="88"/>
      <c r="N1992" s="88"/>
      <c r="O1992" s="88"/>
      <c r="P1992" s="88"/>
      <c r="Q1992" s="88"/>
      <c r="R1992" s="88"/>
      <c r="S1992" s="620"/>
      <c r="T1992" s="92"/>
      <c r="U1992" s="1214"/>
      <c r="V1992" s="1215"/>
      <c r="W1992" s="168"/>
      <c r="X1992" s="170"/>
    </row>
    <row r="1993" spans="1:24" ht="12.75" customHeight="1">
      <c r="A1993" s="15"/>
      <c r="B1993" s="92" t="str">
        <f t="shared" si="347"/>
        <v/>
      </c>
      <c r="C1993" s="90"/>
      <c r="D1993" s="87"/>
      <c r="E1993" s="88"/>
      <c r="F1993" s="173"/>
      <c r="G1993" s="88"/>
      <c r="H1993" s="88"/>
      <c r="I1993" s="88"/>
      <c r="J1993" s="88"/>
      <c r="K1993" s="230"/>
      <c r="L1993" s="88"/>
      <c r="M1993" s="88"/>
      <c r="N1993" s="88"/>
      <c r="O1993" s="88"/>
      <c r="P1993" s="88"/>
      <c r="Q1993" s="88"/>
      <c r="R1993" s="88"/>
      <c r="S1993" s="620"/>
      <c r="T1993" s="92"/>
      <c r="U1993" s="1214"/>
      <c r="V1993" s="1215"/>
      <c r="W1993" s="168"/>
      <c r="X1993" s="170"/>
    </row>
    <row r="1994" spans="1:24" ht="12.75" customHeight="1">
      <c r="A1994" s="15"/>
      <c r="B1994" s="92" t="str">
        <f t="shared" si="347"/>
        <v/>
      </c>
      <c r="C1994" s="90"/>
      <c r="D1994" s="87"/>
      <c r="E1994" s="88"/>
      <c r="F1994" s="173"/>
      <c r="G1994" s="88"/>
      <c r="H1994" s="88"/>
      <c r="I1994" s="88"/>
      <c r="J1994" s="88"/>
      <c r="K1994" s="230"/>
      <c r="L1994" s="88"/>
      <c r="M1994" s="88"/>
      <c r="N1994" s="88"/>
      <c r="O1994" s="88"/>
      <c r="P1994" s="88"/>
      <c r="Q1994" s="88"/>
      <c r="R1994" s="88"/>
      <c r="S1994" s="620"/>
      <c r="T1994" s="92"/>
      <c r="U1994" s="1214"/>
      <c r="V1994" s="1215"/>
      <c r="W1994" s="168"/>
      <c r="X1994" s="170"/>
    </row>
    <row r="1995" spans="1:24" ht="12.75" customHeight="1">
      <c r="A1995" s="15"/>
      <c r="B1995" s="92" t="str">
        <f t="shared" si="347"/>
        <v/>
      </c>
      <c r="C1995" s="90"/>
      <c r="D1995" s="87"/>
      <c r="E1995" s="88"/>
      <c r="F1995" s="173"/>
      <c r="G1995" s="88"/>
      <c r="H1995" s="88"/>
      <c r="I1995" s="88"/>
      <c r="J1995" s="88"/>
      <c r="K1995" s="230"/>
      <c r="L1995" s="88"/>
      <c r="M1995" s="88"/>
      <c r="N1995" s="88"/>
      <c r="O1995" s="88"/>
      <c r="P1995" s="88"/>
      <c r="Q1995" s="88"/>
      <c r="R1995" s="88"/>
      <c r="S1995" s="620"/>
      <c r="T1995" s="92"/>
      <c r="U1995" s="1214"/>
      <c r="V1995" s="1215"/>
      <c r="W1995" s="168"/>
      <c r="X1995" s="170"/>
    </row>
    <row r="1996" spans="1:24" ht="12.75" customHeight="1">
      <c r="A1996" s="15"/>
      <c r="B1996" s="92" t="str">
        <f t="shared" si="347"/>
        <v/>
      </c>
      <c r="C1996" s="90"/>
      <c r="D1996" s="87"/>
      <c r="E1996" s="88"/>
      <c r="F1996" s="173"/>
      <c r="G1996" s="88"/>
      <c r="H1996" s="88"/>
      <c r="I1996" s="88"/>
      <c r="J1996" s="88"/>
      <c r="K1996" s="230"/>
      <c r="L1996" s="88"/>
      <c r="M1996" s="88"/>
      <c r="N1996" s="88"/>
      <c r="O1996" s="88"/>
      <c r="P1996" s="88"/>
      <c r="Q1996" s="88"/>
      <c r="R1996" s="88"/>
      <c r="S1996" s="620"/>
      <c r="T1996" s="92"/>
      <c r="U1996" s="1214"/>
      <c r="V1996" s="1215"/>
      <c r="W1996" s="168"/>
      <c r="X1996" s="170"/>
    </row>
    <row r="1997" spans="1:24" ht="12.75" customHeight="1">
      <c r="A1997" s="15"/>
      <c r="B1997" s="92" t="str">
        <f t="shared" si="347"/>
        <v/>
      </c>
      <c r="C1997" s="90"/>
      <c r="D1997" s="87"/>
      <c r="E1997" s="88"/>
      <c r="F1997" s="173"/>
      <c r="G1997" s="88"/>
      <c r="H1997" s="88"/>
      <c r="I1997" s="88"/>
      <c r="J1997" s="88"/>
      <c r="K1997" s="230"/>
      <c r="L1997" s="88"/>
      <c r="M1997" s="88"/>
      <c r="N1997" s="88"/>
      <c r="O1997" s="88"/>
      <c r="P1997" s="88"/>
      <c r="Q1997" s="88"/>
      <c r="R1997" s="88"/>
      <c r="S1997" s="620"/>
      <c r="T1997" s="92"/>
      <c r="U1997" s="1214"/>
      <c r="V1997" s="1215"/>
      <c r="W1997" s="168"/>
      <c r="X1997" s="170"/>
    </row>
    <row r="1998" spans="1:24" ht="12.75" customHeight="1">
      <c r="A1998" s="15"/>
      <c r="B1998" s="92" t="str">
        <f t="shared" si="347"/>
        <v/>
      </c>
      <c r="C1998" s="90"/>
      <c r="D1998" s="87"/>
      <c r="E1998" s="88"/>
      <c r="F1998" s="173"/>
      <c r="G1998" s="88"/>
      <c r="H1998" s="88"/>
      <c r="I1998" s="88"/>
      <c r="J1998" s="88"/>
      <c r="K1998" s="230"/>
      <c r="L1998" s="88"/>
      <c r="M1998" s="88"/>
      <c r="N1998" s="88"/>
      <c r="O1998" s="88"/>
      <c r="P1998" s="88"/>
      <c r="Q1998" s="88"/>
      <c r="R1998" s="88"/>
      <c r="S1998" s="620"/>
      <c r="T1998" s="92"/>
      <c r="U1998" s="1214"/>
      <c r="V1998" s="1215"/>
      <c r="W1998" s="168"/>
      <c r="X1998" s="170"/>
    </row>
    <row r="1999" spans="1:24" ht="12.75" customHeight="1">
      <c r="A1999" s="15"/>
      <c r="B1999" s="92" t="str">
        <f t="shared" si="347"/>
        <v/>
      </c>
      <c r="C1999" s="90"/>
      <c r="D1999" s="87"/>
      <c r="E1999" s="88"/>
      <c r="F1999" s="173"/>
      <c r="G1999" s="88"/>
      <c r="H1999" s="88"/>
      <c r="I1999" s="88"/>
      <c r="J1999" s="88"/>
      <c r="K1999" s="230"/>
      <c r="L1999" s="88"/>
      <c r="M1999" s="88"/>
      <c r="N1999" s="88"/>
      <c r="O1999" s="88"/>
      <c r="P1999" s="88"/>
      <c r="Q1999" s="88"/>
      <c r="R1999" s="88"/>
      <c r="S1999" s="620"/>
      <c r="T1999" s="92"/>
      <c r="U1999" s="1214"/>
      <c r="V1999" s="1215"/>
      <c r="W1999" s="168"/>
      <c r="X1999" s="170"/>
    </row>
    <row r="2000" spans="1:24" ht="12.75" customHeight="1">
      <c r="A2000" s="15"/>
      <c r="B2000" s="92" t="str">
        <f t="shared" si="347"/>
        <v/>
      </c>
      <c r="C2000" s="90"/>
      <c r="D2000" s="87"/>
      <c r="E2000" s="88"/>
      <c r="F2000" s="173"/>
      <c r="G2000" s="88"/>
      <c r="H2000" s="88"/>
      <c r="I2000" s="88"/>
      <c r="J2000" s="88"/>
      <c r="K2000" s="230"/>
      <c r="L2000" s="88"/>
      <c r="M2000" s="88"/>
      <c r="N2000" s="88"/>
      <c r="O2000" s="88"/>
      <c r="P2000" s="88"/>
      <c r="Q2000" s="88"/>
      <c r="R2000" s="88"/>
      <c r="S2000" s="620"/>
      <c r="T2000" s="92"/>
      <c r="U2000" s="1214"/>
      <c r="V2000" s="1215"/>
      <c r="W2000" s="168"/>
      <c r="X2000" s="170"/>
    </row>
    <row r="2001" spans="1:24" ht="12.75" customHeight="1">
      <c r="A2001" s="15"/>
      <c r="B2001" s="92" t="str">
        <f t="shared" si="347"/>
        <v/>
      </c>
      <c r="C2001" s="90"/>
      <c r="D2001" s="87"/>
      <c r="E2001" s="88"/>
      <c r="F2001" s="173"/>
      <c r="G2001" s="88"/>
      <c r="H2001" s="88"/>
      <c r="I2001" s="88"/>
      <c r="J2001" s="88"/>
      <c r="K2001" s="230"/>
      <c r="L2001" s="88"/>
      <c r="M2001" s="88"/>
      <c r="N2001" s="88"/>
      <c r="O2001" s="88"/>
      <c r="P2001" s="88"/>
      <c r="Q2001" s="88"/>
      <c r="R2001" s="88"/>
      <c r="S2001" s="620"/>
      <c r="T2001" s="92"/>
      <c r="U2001" s="1214"/>
      <c r="V2001" s="1215"/>
      <c r="W2001" s="168"/>
      <c r="X2001" s="170"/>
    </row>
    <row r="2002" spans="1:24" ht="12.75" customHeight="1">
      <c r="A2002" s="15"/>
      <c r="B2002" s="92" t="str">
        <f t="shared" si="347"/>
        <v/>
      </c>
      <c r="C2002" s="90"/>
      <c r="D2002" s="87"/>
      <c r="E2002" s="88"/>
      <c r="F2002" s="173"/>
      <c r="G2002" s="88"/>
      <c r="H2002" s="88"/>
      <c r="I2002" s="88"/>
      <c r="J2002" s="88"/>
      <c r="K2002" s="230"/>
      <c r="L2002" s="88"/>
      <c r="M2002" s="88"/>
      <c r="N2002" s="88"/>
      <c r="O2002" s="88"/>
      <c r="P2002" s="88"/>
      <c r="Q2002" s="88"/>
      <c r="R2002" s="88"/>
      <c r="S2002" s="620"/>
      <c r="T2002" s="92"/>
      <c r="U2002" s="1214"/>
      <c r="V2002" s="1215"/>
      <c r="W2002" s="168"/>
      <c r="X2002" s="170"/>
    </row>
    <row r="2003" spans="1:24" ht="12.75" customHeight="1">
      <c r="A2003" s="15"/>
      <c r="B2003" s="92" t="str">
        <f t="shared" si="347"/>
        <v/>
      </c>
      <c r="C2003" s="90"/>
      <c r="D2003" s="87"/>
      <c r="E2003" s="88"/>
      <c r="F2003" s="173"/>
      <c r="G2003" s="88"/>
      <c r="H2003" s="88"/>
      <c r="I2003" s="88"/>
      <c r="J2003" s="88"/>
      <c r="K2003" s="230"/>
      <c r="L2003" s="88"/>
      <c r="M2003" s="88"/>
      <c r="N2003" s="88"/>
      <c r="O2003" s="88"/>
      <c r="P2003" s="88"/>
      <c r="Q2003" s="88"/>
      <c r="R2003" s="88"/>
      <c r="S2003" s="620"/>
      <c r="T2003" s="92"/>
      <c r="U2003" s="1214"/>
      <c r="V2003" s="1215"/>
      <c r="W2003" s="168"/>
      <c r="X2003" s="170"/>
    </row>
    <row r="2004" spans="1:24" ht="12.75" customHeight="1">
      <c r="A2004" s="15"/>
      <c r="B2004" s="92" t="str">
        <f t="shared" si="347"/>
        <v/>
      </c>
      <c r="C2004" s="90"/>
      <c r="D2004" s="87"/>
      <c r="E2004" s="88"/>
      <c r="F2004" s="173"/>
      <c r="G2004" s="88"/>
      <c r="H2004" s="88"/>
      <c r="I2004" s="88"/>
      <c r="J2004" s="88"/>
      <c r="K2004" s="230"/>
      <c r="L2004" s="88"/>
      <c r="M2004" s="88"/>
      <c r="N2004" s="88"/>
      <c r="O2004" s="88"/>
      <c r="P2004" s="88"/>
      <c r="Q2004" s="88"/>
      <c r="R2004" s="88"/>
      <c r="S2004" s="620"/>
      <c r="T2004" s="92"/>
      <c r="U2004" s="1214"/>
      <c r="V2004" s="1215"/>
      <c r="W2004" s="168"/>
      <c r="X2004" s="170"/>
    </row>
    <row r="2005" spans="1:24" ht="12.75" customHeight="1">
      <c r="A2005" s="15"/>
      <c r="B2005" s="92" t="str">
        <f t="shared" si="347"/>
        <v/>
      </c>
      <c r="C2005" s="90"/>
      <c r="D2005" s="87"/>
      <c r="E2005" s="88"/>
      <c r="F2005" s="173"/>
      <c r="G2005" s="88"/>
      <c r="H2005" s="88"/>
      <c r="I2005" s="88"/>
      <c r="J2005" s="88"/>
      <c r="K2005" s="230"/>
      <c r="L2005" s="88"/>
      <c r="M2005" s="88"/>
      <c r="N2005" s="88"/>
      <c r="O2005" s="88"/>
      <c r="P2005" s="88"/>
      <c r="Q2005" s="88"/>
      <c r="R2005" s="88"/>
      <c r="S2005" s="620"/>
      <c r="T2005" s="92"/>
      <c r="U2005" s="1214"/>
      <c r="V2005" s="1215"/>
      <c r="W2005" s="168"/>
      <c r="X2005" s="170"/>
    </row>
    <row r="2006" spans="1:24" ht="12.75" customHeight="1">
      <c r="A2006" s="15"/>
      <c r="B2006" s="92" t="str">
        <f t="shared" si="347"/>
        <v/>
      </c>
      <c r="C2006" s="90"/>
      <c r="D2006" s="87"/>
      <c r="E2006" s="88"/>
      <c r="F2006" s="173"/>
      <c r="G2006" s="88"/>
      <c r="H2006" s="88"/>
      <c r="I2006" s="88"/>
      <c r="J2006" s="88"/>
      <c r="K2006" s="230"/>
      <c r="L2006" s="88"/>
      <c r="M2006" s="88"/>
      <c r="N2006" s="88"/>
      <c r="O2006" s="88"/>
      <c r="P2006" s="88"/>
      <c r="Q2006" s="88"/>
      <c r="R2006" s="88"/>
      <c r="S2006" s="620"/>
      <c r="T2006" s="92"/>
      <c r="U2006" s="1214"/>
      <c r="V2006" s="1215"/>
      <c r="W2006" s="168"/>
      <c r="X2006" s="170"/>
    </row>
    <row r="2007" spans="1:24" ht="12.75" customHeight="1">
      <c r="A2007" s="15"/>
      <c r="B2007" s="92" t="str">
        <f t="shared" si="347"/>
        <v/>
      </c>
      <c r="C2007" s="90"/>
      <c r="D2007" s="87"/>
      <c r="E2007" s="88"/>
      <c r="F2007" s="173"/>
      <c r="G2007" s="88"/>
      <c r="H2007" s="88"/>
      <c r="I2007" s="88"/>
      <c r="J2007" s="88"/>
      <c r="K2007" s="230"/>
      <c r="L2007" s="88"/>
      <c r="M2007" s="88"/>
      <c r="N2007" s="88"/>
      <c r="O2007" s="88"/>
      <c r="P2007" s="88"/>
      <c r="Q2007" s="88"/>
      <c r="R2007" s="88"/>
      <c r="S2007" s="620"/>
      <c r="T2007" s="92"/>
      <c r="U2007" s="1214"/>
      <c r="V2007" s="1215"/>
      <c r="W2007" s="168"/>
      <c r="X2007" s="170"/>
    </row>
    <row r="2008" spans="1:24" ht="12.75" customHeight="1">
      <c r="A2008" s="15"/>
      <c r="B2008" s="92" t="str">
        <f t="shared" si="347"/>
        <v/>
      </c>
      <c r="C2008" s="90"/>
      <c r="D2008" s="87"/>
      <c r="E2008" s="88"/>
      <c r="F2008" s="173"/>
      <c r="G2008" s="88"/>
      <c r="H2008" s="88"/>
      <c r="I2008" s="88"/>
      <c r="J2008" s="88"/>
      <c r="K2008" s="230"/>
      <c r="L2008" s="88"/>
      <c r="M2008" s="88"/>
      <c r="N2008" s="88"/>
      <c r="O2008" s="88"/>
      <c r="P2008" s="88"/>
      <c r="Q2008" s="88"/>
      <c r="R2008" s="88"/>
      <c r="S2008" s="620"/>
      <c r="T2008" s="92"/>
      <c r="U2008" s="1214"/>
      <c r="V2008" s="1215"/>
      <c r="W2008" s="168"/>
      <c r="X2008" s="170"/>
    </row>
    <row r="2009" spans="1:24" ht="12.75" customHeight="1">
      <c r="A2009" s="15"/>
      <c r="B2009" s="92" t="str">
        <f t="shared" si="347"/>
        <v/>
      </c>
      <c r="C2009" s="90"/>
      <c r="D2009" s="87"/>
      <c r="E2009" s="88"/>
      <c r="F2009" s="173"/>
      <c r="G2009" s="88"/>
      <c r="H2009" s="88"/>
      <c r="I2009" s="88"/>
      <c r="J2009" s="88"/>
      <c r="K2009" s="230"/>
      <c r="L2009" s="88"/>
      <c r="M2009" s="88"/>
      <c r="N2009" s="88"/>
      <c r="O2009" s="88"/>
      <c r="P2009" s="88"/>
      <c r="Q2009" s="88"/>
      <c r="R2009" s="88"/>
      <c r="S2009" s="620"/>
      <c r="T2009" s="92"/>
      <c r="U2009" s="1214"/>
      <c r="V2009" s="1215"/>
      <c r="W2009" s="168"/>
      <c r="X2009" s="170"/>
    </row>
    <row r="2010" spans="1:24" ht="12.75" customHeight="1">
      <c r="A2010" s="15"/>
      <c r="B2010" s="92" t="str">
        <f t="shared" si="347"/>
        <v/>
      </c>
      <c r="C2010" s="90"/>
      <c r="D2010" s="87"/>
      <c r="E2010" s="88"/>
      <c r="F2010" s="173"/>
      <c r="G2010" s="88"/>
      <c r="H2010" s="88"/>
      <c r="I2010" s="88"/>
      <c r="J2010" s="88"/>
      <c r="K2010" s="230"/>
      <c r="L2010" s="88"/>
      <c r="M2010" s="88"/>
      <c r="N2010" s="88"/>
      <c r="O2010" s="88"/>
      <c r="P2010" s="88"/>
      <c r="Q2010" s="88"/>
      <c r="R2010" s="88"/>
      <c r="S2010" s="620"/>
      <c r="T2010" s="92"/>
      <c r="U2010" s="1214"/>
      <c r="V2010" s="1215"/>
      <c r="W2010" s="168"/>
      <c r="X2010" s="170"/>
    </row>
    <row r="2011" spans="1:24" ht="12.75" customHeight="1">
      <c r="A2011" s="15"/>
      <c r="B2011" s="92" t="str">
        <f t="shared" si="347"/>
        <v/>
      </c>
      <c r="C2011" s="90"/>
      <c r="D2011" s="87"/>
      <c r="E2011" s="88"/>
      <c r="F2011" s="173"/>
      <c r="G2011" s="88"/>
      <c r="H2011" s="88"/>
      <c r="I2011" s="88"/>
      <c r="J2011" s="88"/>
      <c r="K2011" s="230"/>
      <c r="L2011" s="88"/>
      <c r="M2011" s="88"/>
      <c r="N2011" s="88"/>
      <c r="O2011" s="88"/>
      <c r="P2011" s="88"/>
      <c r="Q2011" s="88"/>
      <c r="R2011" s="88"/>
      <c r="S2011" s="620"/>
      <c r="T2011" s="92"/>
      <c r="U2011" s="1214"/>
      <c r="V2011" s="1215"/>
      <c r="W2011" s="168"/>
      <c r="X2011" s="170"/>
    </row>
    <row r="2012" spans="1:24" ht="12.75" customHeight="1">
      <c r="A2012" s="15"/>
      <c r="B2012" s="92" t="str">
        <f t="shared" si="347"/>
        <v/>
      </c>
      <c r="C2012" s="90"/>
      <c r="D2012" s="87"/>
      <c r="E2012" s="88"/>
      <c r="F2012" s="173"/>
      <c r="G2012" s="88"/>
      <c r="H2012" s="88"/>
      <c r="I2012" s="88"/>
      <c r="J2012" s="88"/>
      <c r="K2012" s="230"/>
      <c r="L2012" s="88"/>
      <c r="M2012" s="88"/>
      <c r="N2012" s="88"/>
      <c r="O2012" s="88"/>
      <c r="P2012" s="88"/>
      <c r="Q2012" s="88"/>
      <c r="R2012" s="88"/>
      <c r="S2012" s="620"/>
      <c r="T2012" s="92"/>
      <c r="U2012" s="1214"/>
      <c r="V2012" s="1215"/>
      <c r="W2012" s="168"/>
      <c r="X2012" s="170"/>
    </row>
    <row r="2013" spans="1:24" ht="12.75" customHeight="1">
      <c r="A2013" s="15"/>
      <c r="B2013" s="92" t="str">
        <f t="shared" si="347"/>
        <v/>
      </c>
      <c r="C2013" s="90"/>
      <c r="D2013" s="87"/>
      <c r="E2013" s="88"/>
      <c r="F2013" s="173"/>
      <c r="G2013" s="88"/>
      <c r="H2013" s="88"/>
      <c r="I2013" s="88"/>
      <c r="J2013" s="88"/>
      <c r="K2013" s="230"/>
      <c r="L2013" s="88"/>
      <c r="M2013" s="88"/>
      <c r="N2013" s="88"/>
      <c r="O2013" s="88"/>
      <c r="P2013" s="88"/>
      <c r="Q2013" s="88"/>
      <c r="R2013" s="88"/>
      <c r="S2013" s="620"/>
      <c r="T2013" s="92"/>
      <c r="U2013" s="1214"/>
      <c r="V2013" s="1215"/>
      <c r="W2013" s="168"/>
      <c r="X2013" s="170"/>
    </row>
    <row r="2014" spans="1:24" ht="12.75" customHeight="1">
      <c r="A2014" s="15"/>
      <c r="B2014" s="92" t="str">
        <f t="shared" si="347"/>
        <v/>
      </c>
      <c r="C2014" s="90"/>
      <c r="D2014" s="87"/>
      <c r="E2014" s="88"/>
      <c r="F2014" s="173"/>
      <c r="G2014" s="88"/>
      <c r="H2014" s="88"/>
      <c r="I2014" s="88"/>
      <c r="J2014" s="88"/>
      <c r="K2014" s="230"/>
      <c r="L2014" s="88"/>
      <c r="M2014" s="88"/>
      <c r="N2014" s="88"/>
      <c r="O2014" s="88"/>
      <c r="P2014" s="88"/>
      <c r="Q2014" s="88"/>
      <c r="R2014" s="88"/>
      <c r="S2014" s="620"/>
      <c r="T2014" s="92"/>
      <c r="U2014" s="1214"/>
      <c r="V2014" s="1215"/>
      <c r="W2014" s="168"/>
      <c r="X2014" s="170"/>
    </row>
    <row r="2015" spans="1:24" ht="12.75" customHeight="1">
      <c r="A2015" s="15"/>
      <c r="B2015" s="92" t="str">
        <f t="shared" si="347"/>
        <v/>
      </c>
      <c r="C2015" s="90"/>
      <c r="D2015" s="87"/>
      <c r="E2015" s="88"/>
      <c r="F2015" s="173"/>
      <c r="G2015" s="88"/>
      <c r="H2015" s="88"/>
      <c r="I2015" s="88"/>
      <c r="J2015" s="88"/>
      <c r="K2015" s="230"/>
      <c r="L2015" s="88"/>
      <c r="M2015" s="88"/>
      <c r="N2015" s="88"/>
      <c r="O2015" s="88"/>
      <c r="P2015" s="88"/>
      <c r="Q2015" s="88"/>
      <c r="R2015" s="88"/>
      <c r="S2015" s="620"/>
      <c r="T2015" s="92"/>
      <c r="U2015" s="1214"/>
      <c r="V2015" s="1215"/>
      <c r="W2015" s="168"/>
      <c r="X2015" s="170"/>
    </row>
    <row r="2016" spans="1:24" ht="12.75" customHeight="1">
      <c r="A2016" s="15"/>
      <c r="B2016" s="92" t="str">
        <f t="shared" si="347"/>
        <v/>
      </c>
      <c r="C2016" s="90"/>
      <c r="D2016" s="87"/>
      <c r="E2016" s="88"/>
      <c r="F2016" s="173"/>
      <c r="G2016" s="88"/>
      <c r="H2016" s="88"/>
      <c r="I2016" s="88"/>
      <c r="J2016" s="88"/>
      <c r="K2016" s="230"/>
      <c r="L2016" s="88"/>
      <c r="M2016" s="88"/>
      <c r="N2016" s="88"/>
      <c r="O2016" s="88"/>
      <c r="P2016" s="88"/>
      <c r="Q2016" s="88"/>
      <c r="R2016" s="88"/>
      <c r="S2016" s="620"/>
      <c r="T2016" s="92"/>
      <c r="U2016" s="1214"/>
      <c r="V2016" s="1215"/>
      <c r="W2016" s="168"/>
      <c r="X2016" s="170"/>
    </row>
    <row r="2017" spans="1:24" ht="12.75" customHeight="1">
      <c r="A2017" s="15"/>
      <c r="B2017" s="92" t="str">
        <f t="shared" si="347"/>
        <v/>
      </c>
      <c r="C2017" s="90"/>
      <c r="D2017" s="87"/>
      <c r="E2017" s="88"/>
      <c r="F2017" s="173"/>
      <c r="G2017" s="88"/>
      <c r="H2017" s="88"/>
      <c r="I2017" s="88"/>
      <c r="J2017" s="88"/>
      <c r="K2017" s="230"/>
      <c r="L2017" s="88"/>
      <c r="M2017" s="88"/>
      <c r="N2017" s="88"/>
      <c r="O2017" s="88"/>
      <c r="P2017" s="88"/>
      <c r="Q2017" s="88"/>
      <c r="R2017" s="88"/>
      <c r="S2017" s="620"/>
      <c r="T2017" s="92"/>
      <c r="U2017" s="1214"/>
      <c r="V2017" s="1215"/>
      <c r="W2017" s="168"/>
      <c r="X2017" s="170"/>
    </row>
    <row r="2018" spans="1:24" ht="12.75" customHeight="1">
      <c r="A2018" s="15"/>
      <c r="B2018" s="92" t="str">
        <f t="shared" si="347"/>
        <v/>
      </c>
      <c r="C2018" s="90"/>
      <c r="D2018" s="87"/>
      <c r="E2018" s="88"/>
      <c r="F2018" s="173"/>
      <c r="G2018" s="88"/>
      <c r="H2018" s="88"/>
      <c r="I2018" s="88"/>
      <c r="J2018" s="88"/>
      <c r="K2018" s="230"/>
      <c r="L2018" s="88"/>
      <c r="M2018" s="88"/>
      <c r="N2018" s="88"/>
      <c r="O2018" s="88"/>
      <c r="P2018" s="88"/>
      <c r="Q2018" s="88"/>
      <c r="R2018" s="88"/>
      <c r="S2018" s="620"/>
      <c r="T2018" s="92"/>
      <c r="U2018" s="1214"/>
      <c r="V2018" s="1215"/>
      <c r="W2018" s="168"/>
      <c r="X2018" s="170"/>
    </row>
    <row r="2019" spans="1:24" ht="12.75" customHeight="1">
      <c r="A2019" s="15"/>
      <c r="B2019" s="92" t="str">
        <f t="shared" si="347"/>
        <v/>
      </c>
      <c r="C2019" s="90"/>
      <c r="D2019" s="87"/>
      <c r="E2019" s="88"/>
      <c r="F2019" s="173"/>
      <c r="G2019" s="88"/>
      <c r="H2019" s="88"/>
      <c r="I2019" s="88"/>
      <c r="J2019" s="88"/>
      <c r="K2019" s="230"/>
      <c r="L2019" s="88"/>
      <c r="M2019" s="88"/>
      <c r="N2019" s="88"/>
      <c r="O2019" s="88"/>
      <c r="P2019" s="88"/>
      <c r="Q2019" s="88"/>
      <c r="R2019" s="88"/>
      <c r="S2019" s="620"/>
      <c r="T2019" s="92"/>
      <c r="U2019" s="1214"/>
      <c r="V2019" s="1215"/>
      <c r="W2019" s="168"/>
      <c r="X2019" s="170"/>
    </row>
    <row r="2020" spans="1:24" ht="12.75" customHeight="1">
      <c r="A2020" s="15"/>
      <c r="B2020" s="92" t="str">
        <f t="shared" si="347"/>
        <v/>
      </c>
      <c r="C2020" s="90"/>
      <c r="D2020" s="87"/>
      <c r="E2020" s="88"/>
      <c r="F2020" s="173"/>
      <c r="G2020" s="88"/>
      <c r="H2020" s="88"/>
      <c r="I2020" s="88"/>
      <c r="J2020" s="88"/>
      <c r="K2020" s="230"/>
      <c r="L2020" s="88"/>
      <c r="M2020" s="88"/>
      <c r="N2020" s="88"/>
      <c r="O2020" s="88"/>
      <c r="P2020" s="88"/>
      <c r="Q2020" s="88"/>
      <c r="R2020" s="88"/>
      <c r="S2020" s="620"/>
      <c r="T2020" s="92"/>
      <c r="U2020" s="1214"/>
      <c r="V2020" s="1215"/>
      <c r="W2020" s="168"/>
      <c r="X2020" s="170"/>
    </row>
    <row r="2021" spans="1:24" ht="12.75" customHeight="1">
      <c r="A2021" s="15"/>
      <c r="B2021" s="92" t="str">
        <f t="shared" si="347"/>
        <v/>
      </c>
      <c r="C2021" s="90"/>
      <c r="D2021" s="87"/>
      <c r="E2021" s="88"/>
      <c r="F2021" s="173"/>
      <c r="G2021" s="88"/>
      <c r="H2021" s="88"/>
      <c r="I2021" s="88"/>
      <c r="J2021" s="88"/>
      <c r="K2021" s="230"/>
      <c r="L2021" s="88"/>
      <c r="M2021" s="88"/>
      <c r="N2021" s="88"/>
      <c r="O2021" s="88"/>
      <c r="P2021" s="88"/>
      <c r="Q2021" s="88"/>
      <c r="R2021" s="88"/>
      <c r="S2021" s="620"/>
      <c r="T2021" s="92"/>
      <c r="U2021" s="1214"/>
      <c r="V2021" s="1215"/>
      <c r="W2021" s="168"/>
      <c r="X2021" s="170"/>
    </row>
    <row r="2022" spans="1:24" ht="12.75" customHeight="1">
      <c r="A2022" s="15"/>
      <c r="B2022" s="92" t="str">
        <f t="shared" si="347"/>
        <v/>
      </c>
      <c r="C2022" s="90"/>
      <c r="D2022" s="87"/>
      <c r="E2022" s="88"/>
      <c r="F2022" s="173"/>
      <c r="G2022" s="88"/>
      <c r="H2022" s="88"/>
      <c r="I2022" s="88"/>
      <c r="J2022" s="88"/>
      <c r="K2022" s="230"/>
      <c r="L2022" s="88"/>
      <c r="M2022" s="88"/>
      <c r="N2022" s="88"/>
      <c r="O2022" s="88"/>
      <c r="P2022" s="88"/>
      <c r="Q2022" s="88"/>
      <c r="R2022" s="88"/>
      <c r="S2022" s="620"/>
      <c r="T2022" s="92"/>
      <c r="U2022" s="1214"/>
      <c r="V2022" s="1215"/>
      <c r="W2022" s="168"/>
      <c r="X2022" s="170"/>
    </row>
    <row r="2023" spans="1:24" ht="12.75" customHeight="1">
      <c r="A2023" s="15"/>
      <c r="B2023" s="92" t="str">
        <f t="shared" si="347"/>
        <v/>
      </c>
      <c r="C2023" s="90"/>
      <c r="D2023" s="87"/>
      <c r="E2023" s="88"/>
      <c r="F2023" s="173"/>
      <c r="G2023" s="88"/>
      <c r="H2023" s="88"/>
      <c r="I2023" s="88"/>
      <c r="J2023" s="88"/>
      <c r="K2023" s="230"/>
      <c r="L2023" s="88"/>
      <c r="M2023" s="88"/>
      <c r="N2023" s="88"/>
      <c r="O2023" s="88"/>
      <c r="P2023" s="88"/>
      <c r="Q2023" s="88"/>
      <c r="R2023" s="88"/>
      <c r="S2023" s="620"/>
      <c r="T2023" s="92"/>
      <c r="U2023" s="1214"/>
      <c r="V2023" s="1215"/>
      <c r="W2023" s="168"/>
      <c r="X2023" s="170"/>
    </row>
    <row r="2024" spans="1:24" ht="12.75" customHeight="1">
      <c r="A2024" s="15"/>
      <c r="B2024" s="92" t="str">
        <f t="shared" si="347"/>
        <v/>
      </c>
      <c r="C2024" s="90"/>
      <c r="D2024" s="87"/>
      <c r="E2024" s="88"/>
      <c r="F2024" s="173"/>
      <c r="G2024" s="88"/>
      <c r="H2024" s="88"/>
      <c r="I2024" s="88"/>
      <c r="J2024" s="88"/>
      <c r="K2024" s="230"/>
      <c r="L2024" s="88"/>
      <c r="M2024" s="88"/>
      <c r="N2024" s="88"/>
      <c r="O2024" s="88"/>
      <c r="P2024" s="88"/>
      <c r="Q2024" s="88"/>
      <c r="R2024" s="88"/>
      <c r="S2024" s="620"/>
      <c r="T2024" s="92"/>
      <c r="U2024" s="1214"/>
      <c r="V2024" s="1215"/>
      <c r="W2024" s="168"/>
      <c r="X2024" s="170"/>
    </row>
    <row r="2025" spans="1:24" ht="12.75" customHeight="1">
      <c r="A2025" s="15"/>
      <c r="B2025" s="92" t="str">
        <f t="shared" si="347"/>
        <v/>
      </c>
      <c r="C2025" s="90"/>
      <c r="D2025" s="87"/>
      <c r="E2025" s="88"/>
      <c r="F2025" s="173"/>
      <c r="G2025" s="88"/>
      <c r="H2025" s="88"/>
      <c r="I2025" s="88"/>
      <c r="J2025" s="88"/>
      <c r="K2025" s="230"/>
      <c r="L2025" s="88"/>
      <c r="M2025" s="88"/>
      <c r="N2025" s="88"/>
      <c r="O2025" s="88"/>
      <c r="P2025" s="88"/>
      <c r="Q2025" s="88"/>
      <c r="R2025" s="88"/>
      <c r="S2025" s="620"/>
      <c r="T2025" s="92"/>
      <c r="U2025" s="1214"/>
      <c r="V2025" s="1215"/>
      <c r="W2025" s="168"/>
      <c r="X2025" s="170"/>
    </row>
    <row r="2026" spans="1:24" ht="12.75" customHeight="1">
      <c r="A2026" s="15"/>
      <c r="B2026" s="92" t="str">
        <f t="shared" si="347"/>
        <v/>
      </c>
      <c r="C2026" s="90"/>
      <c r="D2026" s="87"/>
      <c r="E2026" s="88"/>
      <c r="F2026" s="173"/>
      <c r="G2026" s="88"/>
      <c r="H2026" s="88"/>
      <c r="I2026" s="88"/>
      <c r="J2026" s="88"/>
      <c r="K2026" s="230"/>
      <c r="L2026" s="88"/>
      <c r="M2026" s="88"/>
      <c r="N2026" s="88"/>
      <c r="O2026" s="88"/>
      <c r="P2026" s="88"/>
      <c r="Q2026" s="88"/>
      <c r="R2026" s="88"/>
      <c r="S2026" s="620"/>
      <c r="T2026" s="92"/>
      <c r="U2026" s="1214"/>
      <c r="V2026" s="1215"/>
      <c r="W2026" s="168"/>
      <c r="X2026" s="170"/>
    </row>
    <row r="2027" spans="1:24" ht="12.75" customHeight="1">
      <c r="A2027" s="15"/>
      <c r="B2027" s="92" t="str">
        <f t="shared" si="347"/>
        <v/>
      </c>
      <c r="C2027" s="90"/>
      <c r="D2027" s="87"/>
      <c r="E2027" s="88"/>
      <c r="F2027" s="173"/>
      <c r="G2027" s="88"/>
      <c r="H2027" s="88"/>
      <c r="I2027" s="88"/>
      <c r="J2027" s="88"/>
      <c r="K2027" s="230"/>
      <c r="L2027" s="88"/>
      <c r="M2027" s="88"/>
      <c r="N2027" s="88"/>
      <c r="O2027" s="88"/>
      <c r="P2027" s="88"/>
      <c r="Q2027" s="88"/>
      <c r="R2027" s="88"/>
      <c r="S2027" s="620"/>
      <c r="T2027" s="92"/>
      <c r="U2027" s="1214"/>
      <c r="V2027" s="1215"/>
      <c r="W2027" s="168"/>
      <c r="X2027" s="170"/>
    </row>
    <row r="2028" spans="1:24" ht="12.75" customHeight="1">
      <c r="A2028" s="15"/>
      <c r="B2028" s="92" t="str">
        <f t="shared" si="347"/>
        <v/>
      </c>
      <c r="C2028" s="90"/>
      <c r="D2028" s="87"/>
      <c r="E2028" s="88"/>
      <c r="F2028" s="173"/>
      <c r="G2028" s="88"/>
      <c r="H2028" s="88"/>
      <c r="I2028" s="88"/>
      <c r="J2028" s="88"/>
      <c r="K2028" s="230"/>
      <c r="L2028" s="88"/>
      <c r="M2028" s="88"/>
      <c r="N2028" s="88"/>
      <c r="O2028" s="88"/>
      <c r="P2028" s="88"/>
      <c r="Q2028" s="88"/>
      <c r="R2028" s="88"/>
      <c r="S2028" s="620"/>
      <c r="T2028" s="92"/>
      <c r="U2028" s="1214"/>
      <c r="V2028" s="1215"/>
      <c r="W2028" s="168"/>
      <c r="X2028" s="170"/>
    </row>
    <row r="2029" spans="1:24" ht="12.75" customHeight="1">
      <c r="A2029" s="15"/>
      <c r="B2029" s="92" t="str">
        <f t="shared" si="347"/>
        <v/>
      </c>
      <c r="C2029" s="90"/>
      <c r="D2029" s="87"/>
      <c r="E2029" s="88"/>
      <c r="F2029" s="173"/>
      <c r="G2029" s="88"/>
      <c r="H2029" s="88"/>
      <c r="I2029" s="88"/>
      <c r="J2029" s="88"/>
      <c r="K2029" s="230"/>
      <c r="L2029" s="88"/>
      <c r="M2029" s="88"/>
      <c r="N2029" s="88"/>
      <c r="O2029" s="88"/>
      <c r="P2029" s="88"/>
      <c r="Q2029" s="88"/>
      <c r="R2029" s="88"/>
      <c r="S2029" s="620"/>
      <c r="T2029" s="92"/>
      <c r="U2029" s="1214"/>
      <c r="V2029" s="1215"/>
      <c r="W2029" s="168"/>
      <c r="X2029" s="170"/>
    </row>
    <row r="2030" spans="1:24" ht="12.75" customHeight="1">
      <c r="A2030" s="15"/>
      <c r="B2030" s="92" t="str">
        <f t="shared" si="347"/>
        <v/>
      </c>
      <c r="C2030" s="90"/>
      <c r="D2030" s="87"/>
      <c r="E2030" s="88"/>
      <c r="F2030" s="173"/>
      <c r="G2030" s="88"/>
      <c r="H2030" s="88"/>
      <c r="I2030" s="88"/>
      <c r="J2030" s="88"/>
      <c r="K2030" s="230"/>
      <c r="L2030" s="88"/>
      <c r="M2030" s="88"/>
      <c r="N2030" s="88"/>
      <c r="O2030" s="88"/>
      <c r="P2030" s="88"/>
      <c r="Q2030" s="88"/>
      <c r="R2030" s="88"/>
      <c r="S2030" s="620"/>
      <c r="T2030" s="92"/>
      <c r="U2030" s="1214"/>
      <c r="V2030" s="1215"/>
      <c r="W2030" s="168"/>
      <c r="X2030" s="170"/>
    </row>
    <row r="2031" spans="1:24" ht="12.75" customHeight="1">
      <c r="A2031" s="15"/>
      <c r="B2031" s="92" t="str">
        <f t="shared" ref="B2031:B2094" si="348">IF(C2031="","",ROW()-5)</f>
        <v/>
      </c>
      <c r="C2031" s="90"/>
      <c r="D2031" s="87"/>
      <c r="E2031" s="88"/>
      <c r="F2031" s="173"/>
      <c r="G2031" s="88"/>
      <c r="H2031" s="88"/>
      <c r="I2031" s="88"/>
      <c r="J2031" s="88"/>
      <c r="K2031" s="230"/>
      <c r="L2031" s="88"/>
      <c r="M2031" s="88"/>
      <c r="N2031" s="88"/>
      <c r="O2031" s="88"/>
      <c r="P2031" s="88"/>
      <c r="Q2031" s="88"/>
      <c r="R2031" s="88"/>
      <c r="S2031" s="620"/>
      <c r="T2031" s="92"/>
      <c r="U2031" s="1214"/>
      <c r="V2031" s="1215"/>
      <c r="W2031" s="168"/>
      <c r="X2031" s="170"/>
    </row>
    <row r="2032" spans="1:24" ht="12.75" customHeight="1">
      <c r="A2032" s="15"/>
      <c r="B2032" s="92" t="str">
        <f t="shared" si="348"/>
        <v/>
      </c>
      <c r="C2032" s="90"/>
      <c r="D2032" s="87"/>
      <c r="E2032" s="88"/>
      <c r="F2032" s="173"/>
      <c r="G2032" s="88"/>
      <c r="H2032" s="88"/>
      <c r="I2032" s="88"/>
      <c r="J2032" s="88"/>
      <c r="K2032" s="230"/>
      <c r="L2032" s="88"/>
      <c r="M2032" s="88"/>
      <c r="N2032" s="88"/>
      <c r="O2032" s="88"/>
      <c r="P2032" s="88"/>
      <c r="Q2032" s="88"/>
      <c r="R2032" s="88"/>
      <c r="S2032" s="620"/>
      <c r="T2032" s="92"/>
      <c r="U2032" s="1214"/>
      <c r="V2032" s="1215"/>
      <c r="W2032" s="168"/>
      <c r="X2032" s="170"/>
    </row>
    <row r="2033" spans="1:24" ht="12.75" customHeight="1">
      <c r="A2033" s="15"/>
      <c r="B2033" s="92" t="str">
        <f t="shared" si="348"/>
        <v/>
      </c>
      <c r="C2033" s="90"/>
      <c r="D2033" s="87"/>
      <c r="E2033" s="88"/>
      <c r="F2033" s="173"/>
      <c r="G2033" s="88"/>
      <c r="H2033" s="88"/>
      <c r="I2033" s="88"/>
      <c r="J2033" s="88"/>
      <c r="K2033" s="230"/>
      <c r="L2033" s="88"/>
      <c r="M2033" s="88"/>
      <c r="N2033" s="88"/>
      <c r="O2033" s="88"/>
      <c r="P2033" s="88"/>
      <c r="Q2033" s="88"/>
      <c r="R2033" s="88"/>
      <c r="S2033" s="620"/>
      <c r="T2033" s="92"/>
      <c r="U2033" s="1214"/>
      <c r="V2033" s="1215"/>
      <c r="W2033" s="168"/>
      <c r="X2033" s="170"/>
    </row>
    <row r="2034" spans="1:24" ht="12.75" customHeight="1">
      <c r="A2034" s="15"/>
      <c r="B2034" s="92" t="str">
        <f t="shared" si="348"/>
        <v/>
      </c>
      <c r="C2034" s="90"/>
      <c r="D2034" s="87"/>
      <c r="E2034" s="88"/>
      <c r="F2034" s="173"/>
      <c r="G2034" s="88"/>
      <c r="H2034" s="88"/>
      <c r="I2034" s="88"/>
      <c r="J2034" s="88"/>
      <c r="K2034" s="230"/>
      <c r="L2034" s="88"/>
      <c r="M2034" s="88"/>
      <c r="N2034" s="88"/>
      <c r="O2034" s="88"/>
      <c r="P2034" s="88"/>
      <c r="Q2034" s="88"/>
      <c r="R2034" s="88"/>
      <c r="S2034" s="620"/>
      <c r="T2034" s="92"/>
      <c r="U2034" s="1214"/>
      <c r="V2034" s="1215"/>
      <c r="W2034" s="168"/>
      <c r="X2034" s="170"/>
    </row>
    <row r="2035" spans="1:24" ht="12.75" customHeight="1">
      <c r="A2035" s="15"/>
      <c r="B2035" s="92" t="str">
        <f t="shared" si="348"/>
        <v/>
      </c>
      <c r="C2035" s="90"/>
      <c r="D2035" s="87"/>
      <c r="E2035" s="88"/>
      <c r="F2035" s="173"/>
      <c r="G2035" s="88"/>
      <c r="H2035" s="88"/>
      <c r="I2035" s="88"/>
      <c r="J2035" s="88"/>
      <c r="K2035" s="230"/>
      <c r="L2035" s="88"/>
      <c r="M2035" s="88"/>
      <c r="N2035" s="88"/>
      <c r="O2035" s="88"/>
      <c r="P2035" s="88"/>
      <c r="Q2035" s="88"/>
      <c r="R2035" s="88"/>
      <c r="S2035" s="620"/>
      <c r="T2035" s="92"/>
      <c r="U2035" s="1214"/>
      <c r="V2035" s="1215"/>
      <c r="W2035" s="168"/>
      <c r="X2035" s="170"/>
    </row>
    <row r="2036" spans="1:24" ht="12.75" customHeight="1">
      <c r="A2036" s="15"/>
      <c r="B2036" s="92" t="str">
        <f t="shared" si="348"/>
        <v/>
      </c>
      <c r="C2036" s="90"/>
      <c r="D2036" s="87"/>
      <c r="E2036" s="88"/>
      <c r="F2036" s="173"/>
      <c r="G2036" s="88"/>
      <c r="H2036" s="88"/>
      <c r="I2036" s="88"/>
      <c r="J2036" s="88"/>
      <c r="K2036" s="230"/>
      <c r="L2036" s="88"/>
      <c r="M2036" s="88"/>
      <c r="N2036" s="88"/>
      <c r="O2036" s="88"/>
      <c r="P2036" s="88"/>
      <c r="Q2036" s="88"/>
      <c r="R2036" s="88"/>
      <c r="S2036" s="620"/>
      <c r="T2036" s="92"/>
      <c r="U2036" s="1214"/>
      <c r="V2036" s="1215"/>
      <c r="W2036" s="168"/>
      <c r="X2036" s="170"/>
    </row>
    <row r="2037" spans="1:24" ht="12.75" customHeight="1">
      <c r="A2037" s="15"/>
      <c r="B2037" s="92" t="str">
        <f t="shared" si="348"/>
        <v/>
      </c>
      <c r="C2037" s="90"/>
      <c r="D2037" s="87"/>
      <c r="E2037" s="88"/>
      <c r="F2037" s="173"/>
      <c r="G2037" s="88"/>
      <c r="H2037" s="88"/>
      <c r="I2037" s="88"/>
      <c r="J2037" s="88"/>
      <c r="K2037" s="230"/>
      <c r="L2037" s="88"/>
      <c r="M2037" s="88"/>
      <c r="N2037" s="88"/>
      <c r="O2037" s="88"/>
      <c r="P2037" s="88"/>
      <c r="Q2037" s="88"/>
      <c r="R2037" s="88"/>
      <c r="S2037" s="620"/>
      <c r="T2037" s="92"/>
      <c r="U2037" s="1214"/>
      <c r="V2037" s="1215"/>
      <c r="W2037" s="168"/>
      <c r="X2037" s="170"/>
    </row>
    <row r="2038" spans="1:24" ht="12.75" customHeight="1">
      <c r="A2038" s="15"/>
      <c r="B2038" s="92" t="str">
        <f t="shared" si="348"/>
        <v/>
      </c>
      <c r="C2038" s="90"/>
      <c r="D2038" s="87"/>
      <c r="E2038" s="88"/>
      <c r="F2038" s="173"/>
      <c r="G2038" s="88"/>
      <c r="H2038" s="88"/>
      <c r="I2038" s="88"/>
      <c r="J2038" s="88"/>
      <c r="K2038" s="230"/>
      <c r="L2038" s="88"/>
      <c r="M2038" s="88"/>
      <c r="N2038" s="88"/>
      <c r="O2038" s="88"/>
      <c r="P2038" s="88"/>
      <c r="Q2038" s="88"/>
      <c r="R2038" s="88"/>
      <c r="S2038" s="620"/>
      <c r="T2038" s="92"/>
      <c r="U2038" s="1214"/>
      <c r="V2038" s="1215"/>
      <c r="W2038" s="168"/>
      <c r="X2038" s="170"/>
    </row>
    <row r="2039" spans="1:24" ht="12.75" customHeight="1">
      <c r="A2039" s="15"/>
      <c r="B2039" s="92" t="str">
        <f t="shared" si="348"/>
        <v/>
      </c>
      <c r="C2039" s="90"/>
      <c r="D2039" s="87"/>
      <c r="E2039" s="88"/>
      <c r="F2039" s="173"/>
      <c r="G2039" s="88"/>
      <c r="H2039" s="88"/>
      <c r="I2039" s="88"/>
      <c r="J2039" s="88"/>
      <c r="K2039" s="230"/>
      <c r="L2039" s="88"/>
      <c r="M2039" s="88"/>
      <c r="N2039" s="88"/>
      <c r="O2039" s="88"/>
      <c r="P2039" s="88"/>
      <c r="Q2039" s="88"/>
      <c r="R2039" s="88"/>
      <c r="S2039" s="620"/>
      <c r="T2039" s="92"/>
      <c r="U2039" s="1214"/>
      <c r="V2039" s="1215"/>
      <c r="W2039" s="168"/>
      <c r="X2039" s="170"/>
    </row>
    <row r="2040" spans="1:24" ht="12.75" customHeight="1">
      <c r="A2040" s="15"/>
      <c r="B2040" s="92" t="str">
        <f t="shared" si="348"/>
        <v/>
      </c>
      <c r="C2040" s="90"/>
      <c r="D2040" s="87"/>
      <c r="E2040" s="88"/>
      <c r="F2040" s="173"/>
      <c r="G2040" s="88"/>
      <c r="H2040" s="88"/>
      <c r="I2040" s="88"/>
      <c r="J2040" s="88"/>
      <c r="K2040" s="230"/>
      <c r="L2040" s="88"/>
      <c r="M2040" s="88"/>
      <c r="N2040" s="88"/>
      <c r="O2040" s="88"/>
      <c r="P2040" s="88"/>
      <c r="Q2040" s="88"/>
      <c r="R2040" s="88"/>
      <c r="S2040" s="620"/>
      <c r="T2040" s="92"/>
      <c r="U2040" s="1214"/>
      <c r="V2040" s="1215"/>
      <c r="W2040" s="168"/>
      <c r="X2040" s="170"/>
    </row>
    <row r="2041" spans="1:24" ht="12.75" customHeight="1">
      <c r="A2041" s="15"/>
      <c r="B2041" s="92" t="str">
        <f t="shared" si="348"/>
        <v/>
      </c>
      <c r="C2041" s="90"/>
      <c r="D2041" s="87"/>
      <c r="E2041" s="88"/>
      <c r="F2041" s="173"/>
      <c r="G2041" s="88"/>
      <c r="H2041" s="88"/>
      <c r="I2041" s="88"/>
      <c r="J2041" s="88"/>
      <c r="K2041" s="230"/>
      <c r="L2041" s="88"/>
      <c r="M2041" s="88"/>
      <c r="N2041" s="88"/>
      <c r="O2041" s="88"/>
      <c r="P2041" s="88"/>
      <c r="Q2041" s="88"/>
      <c r="R2041" s="88"/>
      <c r="S2041" s="620"/>
      <c r="T2041" s="92"/>
      <c r="U2041" s="1214"/>
      <c r="V2041" s="1215"/>
      <c r="W2041" s="168"/>
      <c r="X2041" s="170"/>
    </row>
    <row r="2042" spans="1:24" ht="12.75" customHeight="1">
      <c r="A2042" s="15"/>
      <c r="B2042" s="92" t="str">
        <f t="shared" si="348"/>
        <v/>
      </c>
      <c r="C2042" s="90"/>
      <c r="D2042" s="87"/>
      <c r="E2042" s="88"/>
      <c r="F2042" s="173"/>
      <c r="G2042" s="88"/>
      <c r="H2042" s="88"/>
      <c r="I2042" s="88"/>
      <c r="J2042" s="88"/>
      <c r="K2042" s="230"/>
      <c r="L2042" s="88"/>
      <c r="M2042" s="88"/>
      <c r="N2042" s="88"/>
      <c r="O2042" s="88"/>
      <c r="P2042" s="88"/>
      <c r="Q2042" s="88"/>
      <c r="R2042" s="88"/>
      <c r="S2042" s="620"/>
      <c r="T2042" s="92"/>
      <c r="U2042" s="1214"/>
      <c r="V2042" s="1215"/>
      <c r="W2042" s="168"/>
      <c r="X2042" s="170"/>
    </row>
    <row r="2043" spans="1:24" ht="12.75" customHeight="1">
      <c r="A2043" s="15"/>
      <c r="B2043" s="92" t="str">
        <f t="shared" si="348"/>
        <v/>
      </c>
      <c r="C2043" s="90"/>
      <c r="D2043" s="87"/>
      <c r="E2043" s="88"/>
      <c r="F2043" s="173"/>
      <c r="G2043" s="88"/>
      <c r="H2043" s="88"/>
      <c r="I2043" s="88"/>
      <c r="J2043" s="88"/>
      <c r="K2043" s="230"/>
      <c r="L2043" s="88"/>
      <c r="M2043" s="88"/>
      <c r="N2043" s="88"/>
      <c r="O2043" s="88"/>
      <c r="P2043" s="88"/>
      <c r="Q2043" s="88"/>
      <c r="R2043" s="88"/>
      <c r="S2043" s="620"/>
      <c r="T2043" s="92"/>
      <c r="U2043" s="1214"/>
      <c r="V2043" s="1215"/>
      <c r="W2043" s="168"/>
      <c r="X2043" s="170"/>
    </row>
    <row r="2044" spans="1:24" ht="12.75" customHeight="1">
      <c r="A2044" s="15"/>
      <c r="B2044" s="92" t="str">
        <f t="shared" si="348"/>
        <v/>
      </c>
      <c r="C2044" s="90"/>
      <c r="D2044" s="87"/>
      <c r="E2044" s="88"/>
      <c r="F2044" s="173"/>
      <c r="G2044" s="88"/>
      <c r="H2044" s="88"/>
      <c r="I2044" s="88"/>
      <c r="J2044" s="88"/>
      <c r="K2044" s="230"/>
      <c r="L2044" s="88"/>
      <c r="M2044" s="88"/>
      <c r="N2044" s="88"/>
      <c r="O2044" s="88"/>
      <c r="P2044" s="88"/>
      <c r="Q2044" s="88"/>
      <c r="R2044" s="88"/>
      <c r="S2044" s="620"/>
      <c r="T2044" s="92"/>
      <c r="U2044" s="1214"/>
      <c r="V2044" s="1215"/>
      <c r="W2044" s="168"/>
      <c r="X2044" s="170"/>
    </row>
    <row r="2045" spans="1:24" ht="12.75" customHeight="1">
      <c r="A2045" s="15"/>
      <c r="B2045" s="92" t="str">
        <f t="shared" si="348"/>
        <v/>
      </c>
      <c r="C2045" s="90"/>
      <c r="D2045" s="87"/>
      <c r="E2045" s="88"/>
      <c r="F2045" s="173"/>
      <c r="G2045" s="88"/>
      <c r="H2045" s="88"/>
      <c r="I2045" s="88"/>
      <c r="J2045" s="88"/>
      <c r="K2045" s="230"/>
      <c r="L2045" s="88"/>
      <c r="M2045" s="88"/>
      <c r="N2045" s="88"/>
      <c r="O2045" s="88"/>
      <c r="P2045" s="88"/>
      <c r="Q2045" s="88"/>
      <c r="R2045" s="88"/>
      <c r="S2045" s="620"/>
      <c r="T2045" s="92"/>
      <c r="U2045" s="1214"/>
      <c r="V2045" s="1215"/>
      <c r="W2045" s="168"/>
      <c r="X2045" s="170"/>
    </row>
    <row r="2046" spans="1:24" ht="12.75" customHeight="1">
      <c r="A2046" s="15"/>
      <c r="B2046" s="92" t="str">
        <f t="shared" si="348"/>
        <v/>
      </c>
      <c r="C2046" s="90"/>
      <c r="D2046" s="87"/>
      <c r="E2046" s="88"/>
      <c r="F2046" s="173"/>
      <c r="G2046" s="88"/>
      <c r="H2046" s="88"/>
      <c r="I2046" s="88"/>
      <c r="J2046" s="88"/>
      <c r="K2046" s="230"/>
      <c r="L2046" s="88"/>
      <c r="M2046" s="88"/>
      <c r="N2046" s="88"/>
      <c r="O2046" s="88"/>
      <c r="P2046" s="88"/>
      <c r="Q2046" s="88"/>
      <c r="R2046" s="88"/>
      <c r="S2046" s="620"/>
      <c r="T2046" s="92"/>
      <c r="U2046" s="1214"/>
      <c r="V2046" s="1215"/>
      <c r="W2046" s="168"/>
      <c r="X2046" s="170"/>
    </row>
    <row r="2047" spans="1:24" ht="12.75" customHeight="1">
      <c r="A2047" s="15"/>
      <c r="B2047" s="92" t="str">
        <f t="shared" si="348"/>
        <v/>
      </c>
      <c r="C2047" s="90"/>
      <c r="D2047" s="87"/>
      <c r="E2047" s="88"/>
      <c r="F2047" s="173"/>
      <c r="G2047" s="88"/>
      <c r="H2047" s="88"/>
      <c r="I2047" s="88"/>
      <c r="J2047" s="88"/>
      <c r="K2047" s="230"/>
      <c r="L2047" s="88"/>
      <c r="M2047" s="88"/>
      <c r="N2047" s="88"/>
      <c r="O2047" s="88"/>
      <c r="P2047" s="88"/>
      <c r="Q2047" s="88"/>
      <c r="R2047" s="88"/>
      <c r="S2047" s="620"/>
      <c r="T2047" s="92"/>
      <c r="U2047" s="1214"/>
      <c r="V2047" s="1215"/>
      <c r="W2047" s="168"/>
      <c r="X2047" s="170"/>
    </row>
    <row r="2048" spans="1:24" ht="12.75" customHeight="1">
      <c r="A2048" s="15"/>
      <c r="B2048" s="92" t="str">
        <f t="shared" si="348"/>
        <v/>
      </c>
      <c r="C2048" s="90"/>
      <c r="D2048" s="87"/>
      <c r="E2048" s="88"/>
      <c r="F2048" s="173"/>
      <c r="G2048" s="88"/>
      <c r="H2048" s="88"/>
      <c r="I2048" s="88"/>
      <c r="J2048" s="88"/>
      <c r="K2048" s="230"/>
      <c r="L2048" s="88"/>
      <c r="M2048" s="88"/>
      <c r="N2048" s="88"/>
      <c r="O2048" s="88"/>
      <c r="P2048" s="88"/>
      <c r="Q2048" s="88"/>
      <c r="R2048" s="88"/>
      <c r="S2048" s="620"/>
      <c r="T2048" s="92"/>
      <c r="U2048" s="1214"/>
      <c r="V2048" s="1215"/>
      <c r="W2048" s="168"/>
      <c r="X2048" s="170"/>
    </row>
    <row r="2049" spans="1:24" ht="12.75" customHeight="1">
      <c r="A2049" s="15"/>
      <c r="B2049" s="92" t="str">
        <f t="shared" si="348"/>
        <v/>
      </c>
      <c r="C2049" s="90"/>
      <c r="D2049" s="87"/>
      <c r="E2049" s="88"/>
      <c r="F2049" s="173"/>
      <c r="G2049" s="88"/>
      <c r="H2049" s="88"/>
      <c r="I2049" s="88"/>
      <c r="J2049" s="88"/>
      <c r="K2049" s="230"/>
      <c r="L2049" s="88"/>
      <c r="M2049" s="88"/>
      <c r="N2049" s="88"/>
      <c r="O2049" s="88"/>
      <c r="P2049" s="88"/>
      <c r="Q2049" s="88"/>
      <c r="R2049" s="88"/>
      <c r="S2049" s="620"/>
      <c r="T2049" s="92"/>
      <c r="U2049" s="1214"/>
      <c r="V2049" s="1215"/>
      <c r="W2049" s="168"/>
      <c r="X2049" s="170"/>
    </row>
    <row r="2050" spans="1:24" ht="12.75" customHeight="1">
      <c r="A2050" s="15"/>
      <c r="B2050" s="92" t="str">
        <f t="shared" si="348"/>
        <v/>
      </c>
      <c r="C2050" s="90"/>
      <c r="D2050" s="87"/>
      <c r="E2050" s="88"/>
      <c r="F2050" s="173"/>
      <c r="G2050" s="88"/>
      <c r="H2050" s="88"/>
      <c r="I2050" s="88"/>
      <c r="J2050" s="88"/>
      <c r="K2050" s="230"/>
      <c r="L2050" s="88"/>
      <c r="M2050" s="88"/>
      <c r="N2050" s="88"/>
      <c r="O2050" s="88"/>
      <c r="P2050" s="88"/>
      <c r="Q2050" s="88"/>
      <c r="R2050" s="88"/>
      <c r="S2050" s="620"/>
      <c r="T2050" s="92"/>
      <c r="U2050" s="1214"/>
      <c r="V2050" s="1215"/>
      <c r="W2050" s="168"/>
      <c r="X2050" s="170"/>
    </row>
    <row r="2051" spans="1:24" ht="12.75" customHeight="1">
      <c r="A2051" s="15"/>
      <c r="B2051" s="92" t="str">
        <f t="shared" si="348"/>
        <v/>
      </c>
      <c r="C2051" s="90"/>
      <c r="D2051" s="87"/>
      <c r="E2051" s="88"/>
      <c r="F2051" s="173"/>
      <c r="G2051" s="88"/>
      <c r="H2051" s="88"/>
      <c r="I2051" s="88"/>
      <c r="J2051" s="88"/>
      <c r="K2051" s="230"/>
      <c r="L2051" s="88"/>
      <c r="M2051" s="88"/>
      <c r="N2051" s="88"/>
      <c r="O2051" s="88"/>
      <c r="P2051" s="88"/>
      <c r="Q2051" s="88"/>
      <c r="R2051" s="88"/>
      <c r="S2051" s="620"/>
      <c r="T2051" s="92"/>
      <c r="U2051" s="1214"/>
      <c r="V2051" s="1215"/>
      <c r="W2051" s="168"/>
      <c r="X2051" s="170"/>
    </row>
    <row r="2052" spans="1:24" ht="12.75" customHeight="1">
      <c r="A2052" s="15"/>
      <c r="B2052" s="92" t="str">
        <f t="shared" si="348"/>
        <v/>
      </c>
      <c r="C2052" s="90"/>
      <c r="D2052" s="87"/>
      <c r="E2052" s="88"/>
      <c r="F2052" s="173"/>
      <c r="G2052" s="88"/>
      <c r="H2052" s="88"/>
      <c r="I2052" s="88"/>
      <c r="J2052" s="88"/>
      <c r="K2052" s="230"/>
      <c r="L2052" s="88"/>
      <c r="M2052" s="88"/>
      <c r="N2052" s="88"/>
      <c r="O2052" s="88"/>
      <c r="P2052" s="88"/>
      <c r="Q2052" s="88"/>
      <c r="R2052" s="88"/>
      <c r="S2052" s="620"/>
      <c r="T2052" s="92"/>
      <c r="U2052" s="1214"/>
      <c r="V2052" s="1215"/>
      <c r="W2052" s="168"/>
      <c r="X2052" s="170"/>
    </row>
    <row r="2053" spans="1:24" ht="12.75" customHeight="1">
      <c r="A2053" s="15"/>
      <c r="B2053" s="92" t="str">
        <f t="shared" si="348"/>
        <v/>
      </c>
      <c r="C2053" s="90"/>
      <c r="D2053" s="87"/>
      <c r="E2053" s="88"/>
      <c r="F2053" s="173"/>
      <c r="G2053" s="88"/>
      <c r="H2053" s="88"/>
      <c r="I2053" s="88"/>
      <c r="J2053" s="88"/>
      <c r="K2053" s="230"/>
      <c r="L2053" s="88"/>
      <c r="M2053" s="88"/>
      <c r="N2053" s="88"/>
      <c r="O2053" s="88"/>
      <c r="P2053" s="88"/>
      <c r="Q2053" s="88"/>
      <c r="R2053" s="88"/>
      <c r="S2053" s="620"/>
      <c r="T2053" s="92"/>
      <c r="U2053" s="1214"/>
      <c r="V2053" s="1215"/>
      <c r="W2053" s="168"/>
      <c r="X2053" s="170"/>
    </row>
    <row r="2054" spans="1:24" ht="12.75" customHeight="1">
      <c r="A2054" s="15"/>
      <c r="B2054" s="92" t="str">
        <f t="shared" si="348"/>
        <v/>
      </c>
      <c r="C2054" s="90"/>
      <c r="D2054" s="87"/>
      <c r="E2054" s="88"/>
      <c r="F2054" s="173"/>
      <c r="G2054" s="88"/>
      <c r="H2054" s="88"/>
      <c r="I2054" s="88"/>
      <c r="J2054" s="88"/>
      <c r="K2054" s="230"/>
      <c r="L2054" s="88"/>
      <c r="M2054" s="88"/>
      <c r="N2054" s="88"/>
      <c r="O2054" s="88"/>
      <c r="P2054" s="88"/>
      <c r="Q2054" s="88"/>
      <c r="R2054" s="88"/>
      <c r="S2054" s="620"/>
      <c r="T2054" s="92"/>
      <c r="U2054" s="1214"/>
      <c r="V2054" s="1215"/>
      <c r="W2054" s="168"/>
      <c r="X2054" s="170"/>
    </row>
    <row r="2055" spans="1:24" ht="12.75" customHeight="1">
      <c r="A2055" s="15"/>
      <c r="B2055" s="92" t="str">
        <f t="shared" si="348"/>
        <v/>
      </c>
      <c r="C2055" s="90"/>
      <c r="D2055" s="87"/>
      <c r="E2055" s="88"/>
      <c r="F2055" s="173"/>
      <c r="G2055" s="88"/>
      <c r="H2055" s="88"/>
      <c r="I2055" s="88"/>
      <c r="J2055" s="88"/>
      <c r="K2055" s="230"/>
      <c r="L2055" s="88"/>
      <c r="M2055" s="88"/>
      <c r="N2055" s="88"/>
      <c r="O2055" s="88"/>
      <c r="P2055" s="88"/>
      <c r="Q2055" s="88"/>
      <c r="R2055" s="88"/>
      <c r="S2055" s="620"/>
      <c r="T2055" s="92"/>
      <c r="U2055" s="1214"/>
      <c r="V2055" s="1215"/>
      <c r="W2055" s="168"/>
      <c r="X2055" s="170"/>
    </row>
    <row r="2056" spans="1:24" ht="12.75" customHeight="1">
      <c r="A2056" s="15"/>
      <c r="B2056" s="92" t="str">
        <f t="shared" si="348"/>
        <v/>
      </c>
      <c r="C2056" s="90"/>
      <c r="D2056" s="87"/>
      <c r="E2056" s="88"/>
      <c r="F2056" s="173"/>
      <c r="G2056" s="88"/>
      <c r="H2056" s="88"/>
      <c r="I2056" s="88"/>
      <c r="J2056" s="88"/>
      <c r="K2056" s="230"/>
      <c r="L2056" s="88"/>
      <c r="M2056" s="88"/>
      <c r="N2056" s="88"/>
      <c r="O2056" s="88"/>
      <c r="P2056" s="88"/>
      <c r="Q2056" s="88"/>
      <c r="R2056" s="88"/>
      <c r="S2056" s="620"/>
      <c r="T2056" s="92"/>
      <c r="U2056" s="1214"/>
      <c r="V2056" s="1215"/>
      <c r="W2056" s="168"/>
      <c r="X2056" s="170"/>
    </row>
    <row r="2057" spans="1:24" ht="12.75" customHeight="1">
      <c r="A2057" s="15"/>
      <c r="B2057" s="92" t="str">
        <f t="shared" si="348"/>
        <v/>
      </c>
      <c r="C2057" s="90"/>
      <c r="D2057" s="87"/>
      <c r="E2057" s="88"/>
      <c r="F2057" s="173"/>
      <c r="G2057" s="88"/>
      <c r="H2057" s="88"/>
      <c r="I2057" s="88"/>
      <c r="J2057" s="88"/>
      <c r="K2057" s="230"/>
      <c r="L2057" s="88"/>
      <c r="M2057" s="88"/>
      <c r="N2057" s="88"/>
      <c r="O2057" s="88"/>
      <c r="P2057" s="88"/>
      <c r="Q2057" s="88"/>
      <c r="R2057" s="88"/>
      <c r="S2057" s="620"/>
      <c r="T2057" s="92"/>
      <c r="U2057" s="1214"/>
      <c r="V2057" s="1215"/>
      <c r="W2057" s="168"/>
      <c r="X2057" s="170"/>
    </row>
    <row r="2058" spans="1:24" ht="12.75" customHeight="1">
      <c r="A2058" s="15"/>
      <c r="B2058" s="92" t="str">
        <f t="shared" si="348"/>
        <v/>
      </c>
      <c r="C2058" s="90"/>
      <c r="D2058" s="87"/>
      <c r="E2058" s="88"/>
      <c r="F2058" s="173"/>
      <c r="G2058" s="88"/>
      <c r="H2058" s="88"/>
      <c r="I2058" s="88"/>
      <c r="J2058" s="88"/>
      <c r="K2058" s="230"/>
      <c r="L2058" s="88"/>
      <c r="M2058" s="88"/>
      <c r="N2058" s="88"/>
      <c r="O2058" s="88"/>
      <c r="P2058" s="88"/>
      <c r="Q2058" s="88"/>
      <c r="R2058" s="88"/>
      <c r="S2058" s="620"/>
      <c r="T2058" s="92"/>
      <c r="U2058" s="1214"/>
      <c r="V2058" s="1215"/>
      <c r="W2058" s="168"/>
      <c r="X2058" s="170"/>
    </row>
    <row r="2059" spans="1:24" ht="12.75" customHeight="1">
      <c r="A2059" s="15"/>
      <c r="B2059" s="92" t="str">
        <f t="shared" si="348"/>
        <v/>
      </c>
      <c r="C2059" s="90"/>
      <c r="D2059" s="87"/>
      <c r="E2059" s="88"/>
      <c r="F2059" s="173"/>
      <c r="G2059" s="88"/>
      <c r="H2059" s="88"/>
      <c r="I2059" s="88"/>
      <c r="J2059" s="88"/>
      <c r="K2059" s="230"/>
      <c r="L2059" s="88"/>
      <c r="M2059" s="88"/>
      <c r="N2059" s="88"/>
      <c r="O2059" s="88"/>
      <c r="P2059" s="88"/>
      <c r="Q2059" s="88"/>
      <c r="R2059" s="88"/>
      <c r="S2059" s="620"/>
      <c r="T2059" s="92"/>
      <c r="U2059" s="1214"/>
      <c r="V2059" s="1215"/>
      <c r="W2059" s="168"/>
      <c r="X2059" s="170"/>
    </row>
    <row r="2060" spans="1:24" ht="12.75" customHeight="1">
      <c r="A2060" s="15"/>
      <c r="B2060" s="92" t="str">
        <f t="shared" si="348"/>
        <v/>
      </c>
      <c r="C2060" s="90"/>
      <c r="D2060" s="87"/>
      <c r="E2060" s="88"/>
      <c r="F2060" s="173"/>
      <c r="G2060" s="88"/>
      <c r="H2060" s="88"/>
      <c r="I2060" s="88"/>
      <c r="J2060" s="88"/>
      <c r="K2060" s="230"/>
      <c r="L2060" s="88"/>
      <c r="M2060" s="88"/>
      <c r="N2060" s="88"/>
      <c r="O2060" s="88"/>
      <c r="P2060" s="88"/>
      <c r="Q2060" s="88"/>
      <c r="R2060" s="88"/>
      <c r="S2060" s="620"/>
      <c r="T2060" s="92"/>
      <c r="U2060" s="1214"/>
      <c r="V2060" s="1215"/>
      <c r="W2060" s="168"/>
      <c r="X2060" s="170"/>
    </row>
    <row r="2061" spans="1:24" ht="12.75" customHeight="1">
      <c r="A2061" s="15"/>
      <c r="B2061" s="92" t="str">
        <f t="shared" si="348"/>
        <v/>
      </c>
      <c r="C2061" s="90"/>
      <c r="D2061" s="87"/>
      <c r="E2061" s="88"/>
      <c r="F2061" s="173"/>
      <c r="G2061" s="88"/>
      <c r="H2061" s="88"/>
      <c r="I2061" s="88"/>
      <c r="J2061" s="88"/>
      <c r="K2061" s="230"/>
      <c r="L2061" s="88"/>
      <c r="M2061" s="88"/>
      <c r="N2061" s="88"/>
      <c r="O2061" s="88"/>
      <c r="P2061" s="88"/>
      <c r="Q2061" s="88"/>
      <c r="R2061" s="88"/>
      <c r="S2061" s="620"/>
      <c r="T2061" s="92"/>
      <c r="U2061" s="1214"/>
      <c r="V2061" s="1215"/>
      <c r="W2061" s="168"/>
      <c r="X2061" s="170"/>
    </row>
    <row r="2062" spans="1:24" ht="12.75" customHeight="1">
      <c r="A2062" s="15"/>
      <c r="B2062" s="92" t="str">
        <f t="shared" si="348"/>
        <v/>
      </c>
      <c r="C2062" s="90"/>
      <c r="D2062" s="87"/>
      <c r="E2062" s="88"/>
      <c r="F2062" s="173"/>
      <c r="G2062" s="88"/>
      <c r="H2062" s="88"/>
      <c r="I2062" s="88"/>
      <c r="J2062" s="88"/>
      <c r="K2062" s="230"/>
      <c r="L2062" s="88"/>
      <c r="M2062" s="88"/>
      <c r="N2062" s="88"/>
      <c r="O2062" s="88"/>
      <c r="P2062" s="88"/>
      <c r="Q2062" s="88"/>
      <c r="R2062" s="88"/>
      <c r="S2062" s="620"/>
      <c r="T2062" s="92"/>
      <c r="U2062" s="1214"/>
      <c r="V2062" s="1215"/>
      <c r="W2062" s="168"/>
      <c r="X2062" s="170"/>
    </row>
    <row r="2063" spans="1:24" ht="12.75" customHeight="1">
      <c r="A2063" s="15"/>
      <c r="B2063" s="92" t="str">
        <f t="shared" si="348"/>
        <v/>
      </c>
      <c r="C2063" s="90"/>
      <c r="D2063" s="87"/>
      <c r="E2063" s="88"/>
      <c r="F2063" s="173"/>
      <c r="G2063" s="88"/>
      <c r="H2063" s="88"/>
      <c r="I2063" s="88"/>
      <c r="J2063" s="88"/>
      <c r="K2063" s="230"/>
      <c r="L2063" s="88"/>
      <c r="M2063" s="88"/>
      <c r="N2063" s="88"/>
      <c r="O2063" s="88"/>
      <c r="P2063" s="88"/>
      <c r="Q2063" s="88"/>
      <c r="R2063" s="88"/>
      <c r="S2063" s="620"/>
      <c r="T2063" s="92"/>
      <c r="U2063" s="1214"/>
      <c r="V2063" s="1215"/>
      <c r="W2063" s="168"/>
      <c r="X2063" s="170"/>
    </row>
    <row r="2064" spans="1:24" ht="12.75" customHeight="1">
      <c r="A2064" s="15"/>
      <c r="B2064" s="92" t="str">
        <f t="shared" si="348"/>
        <v/>
      </c>
      <c r="C2064" s="90"/>
      <c r="D2064" s="87"/>
      <c r="E2064" s="88"/>
      <c r="F2064" s="173"/>
      <c r="G2064" s="88"/>
      <c r="H2064" s="88"/>
      <c r="I2064" s="88"/>
      <c r="J2064" s="88"/>
      <c r="K2064" s="230"/>
      <c r="L2064" s="88"/>
      <c r="M2064" s="88"/>
      <c r="N2064" s="88"/>
      <c r="O2064" s="88"/>
      <c r="P2064" s="88"/>
      <c r="Q2064" s="88"/>
      <c r="R2064" s="88"/>
      <c r="S2064" s="620"/>
      <c r="T2064" s="92"/>
      <c r="U2064" s="1214"/>
      <c r="V2064" s="1215"/>
      <c r="W2064" s="168"/>
      <c r="X2064" s="170"/>
    </row>
    <row r="2065" spans="1:24" ht="12.75" customHeight="1">
      <c r="A2065" s="15"/>
      <c r="B2065" s="92" t="str">
        <f t="shared" si="348"/>
        <v/>
      </c>
      <c r="C2065" s="90"/>
      <c r="D2065" s="87"/>
      <c r="E2065" s="88"/>
      <c r="F2065" s="173"/>
      <c r="G2065" s="88"/>
      <c r="H2065" s="88"/>
      <c r="I2065" s="88"/>
      <c r="J2065" s="88"/>
      <c r="K2065" s="230"/>
      <c r="L2065" s="88"/>
      <c r="M2065" s="88"/>
      <c r="N2065" s="88"/>
      <c r="O2065" s="88"/>
      <c r="P2065" s="88"/>
      <c r="Q2065" s="88"/>
      <c r="R2065" s="88"/>
      <c r="S2065" s="620"/>
      <c r="T2065" s="92"/>
      <c r="U2065" s="1214"/>
      <c r="V2065" s="1215"/>
      <c r="W2065" s="168"/>
      <c r="X2065" s="170"/>
    </row>
    <row r="2066" spans="1:24" ht="12.75" customHeight="1">
      <c r="A2066" s="15"/>
      <c r="B2066" s="92" t="str">
        <f t="shared" si="348"/>
        <v/>
      </c>
      <c r="C2066" s="90"/>
      <c r="D2066" s="87"/>
      <c r="E2066" s="88"/>
      <c r="F2066" s="173"/>
      <c r="G2066" s="88"/>
      <c r="H2066" s="88"/>
      <c r="I2066" s="88"/>
      <c r="J2066" s="88"/>
      <c r="K2066" s="230"/>
      <c r="L2066" s="88"/>
      <c r="M2066" s="88"/>
      <c r="N2066" s="88"/>
      <c r="O2066" s="88"/>
      <c r="P2066" s="88"/>
      <c r="Q2066" s="88"/>
      <c r="R2066" s="88"/>
      <c r="S2066" s="620"/>
      <c r="T2066" s="92"/>
      <c r="U2066" s="1214"/>
      <c r="V2066" s="1215"/>
      <c r="W2066" s="168"/>
      <c r="X2066" s="170"/>
    </row>
    <row r="2067" spans="1:24" ht="12.75" customHeight="1">
      <c r="A2067" s="15"/>
      <c r="B2067" s="92" t="str">
        <f t="shared" si="348"/>
        <v/>
      </c>
      <c r="C2067" s="90"/>
      <c r="D2067" s="87"/>
      <c r="E2067" s="88"/>
      <c r="F2067" s="173"/>
      <c r="G2067" s="88"/>
      <c r="H2067" s="88"/>
      <c r="I2067" s="88"/>
      <c r="J2067" s="88"/>
      <c r="K2067" s="230"/>
      <c r="L2067" s="88"/>
      <c r="M2067" s="88"/>
      <c r="N2067" s="88"/>
      <c r="O2067" s="88"/>
      <c r="P2067" s="88"/>
      <c r="Q2067" s="88"/>
      <c r="R2067" s="88"/>
      <c r="S2067" s="620"/>
      <c r="T2067" s="92"/>
      <c r="U2067" s="1214"/>
      <c r="V2067" s="1215"/>
      <c r="W2067" s="168"/>
      <c r="X2067" s="170"/>
    </row>
    <row r="2068" spans="1:24" ht="12.75" customHeight="1">
      <c r="A2068" s="15"/>
      <c r="B2068" s="92" t="str">
        <f t="shared" si="348"/>
        <v/>
      </c>
      <c r="C2068" s="90"/>
      <c r="D2068" s="87"/>
      <c r="E2068" s="88"/>
      <c r="F2068" s="173"/>
      <c r="G2068" s="88"/>
      <c r="H2068" s="88"/>
      <c r="I2068" s="88"/>
      <c r="J2068" s="88"/>
      <c r="K2068" s="230"/>
      <c r="L2068" s="88"/>
      <c r="M2068" s="88"/>
      <c r="N2068" s="88"/>
      <c r="O2068" s="88"/>
      <c r="P2068" s="88"/>
      <c r="Q2068" s="88"/>
      <c r="R2068" s="88"/>
      <c r="S2068" s="620"/>
      <c r="T2068" s="92"/>
      <c r="U2068" s="1214"/>
      <c r="V2068" s="1215"/>
      <c r="W2068" s="168"/>
      <c r="X2068" s="170"/>
    </row>
    <row r="2069" spans="1:24" ht="12.75" customHeight="1">
      <c r="A2069" s="15"/>
      <c r="B2069" s="92" t="str">
        <f t="shared" si="348"/>
        <v/>
      </c>
      <c r="C2069" s="90"/>
      <c r="D2069" s="87"/>
      <c r="E2069" s="88"/>
      <c r="F2069" s="173"/>
      <c r="G2069" s="88"/>
      <c r="H2069" s="88"/>
      <c r="I2069" s="88"/>
      <c r="J2069" s="88"/>
      <c r="K2069" s="230"/>
      <c r="L2069" s="88"/>
      <c r="M2069" s="88"/>
      <c r="N2069" s="88"/>
      <c r="O2069" s="88"/>
      <c r="P2069" s="88"/>
      <c r="Q2069" s="88"/>
      <c r="R2069" s="88"/>
      <c r="S2069" s="620"/>
      <c r="T2069" s="92"/>
      <c r="U2069" s="1214"/>
      <c r="V2069" s="1215"/>
      <c r="W2069" s="168"/>
      <c r="X2069" s="170"/>
    </row>
    <row r="2070" spans="1:24" ht="12.75" customHeight="1">
      <c r="A2070" s="15"/>
      <c r="B2070" s="92" t="str">
        <f t="shared" si="348"/>
        <v/>
      </c>
      <c r="C2070" s="90"/>
      <c r="D2070" s="87"/>
      <c r="E2070" s="88"/>
      <c r="F2070" s="173"/>
      <c r="G2070" s="88"/>
      <c r="H2070" s="88"/>
      <c r="I2070" s="88"/>
      <c r="J2070" s="88"/>
      <c r="K2070" s="230"/>
      <c r="L2070" s="88"/>
      <c r="M2070" s="88"/>
      <c r="N2070" s="88"/>
      <c r="O2070" s="88"/>
      <c r="P2070" s="88"/>
      <c r="Q2070" s="88"/>
      <c r="R2070" s="88"/>
      <c r="S2070" s="620"/>
      <c r="T2070" s="92"/>
      <c r="U2070" s="1214"/>
      <c r="V2070" s="1215"/>
      <c r="W2070" s="168"/>
      <c r="X2070" s="170"/>
    </row>
    <row r="2071" spans="1:24" ht="12.75" customHeight="1">
      <c r="A2071" s="15"/>
      <c r="B2071" s="92" t="str">
        <f t="shared" si="348"/>
        <v/>
      </c>
      <c r="C2071" s="90"/>
      <c r="D2071" s="87"/>
      <c r="E2071" s="88"/>
      <c r="F2071" s="173"/>
      <c r="G2071" s="88"/>
      <c r="H2071" s="88"/>
      <c r="I2071" s="88"/>
      <c r="J2071" s="88"/>
      <c r="K2071" s="230"/>
      <c r="L2071" s="88"/>
      <c r="M2071" s="88"/>
      <c r="N2071" s="88"/>
      <c r="O2071" s="88"/>
      <c r="P2071" s="88"/>
      <c r="Q2071" s="88"/>
      <c r="R2071" s="88"/>
      <c r="S2071" s="620"/>
      <c r="T2071" s="92"/>
      <c r="U2071" s="1214"/>
      <c r="V2071" s="1215"/>
      <c r="W2071" s="168"/>
      <c r="X2071" s="170"/>
    </row>
    <row r="2072" spans="1:24" ht="12.75" customHeight="1">
      <c r="A2072" s="15"/>
      <c r="B2072" s="92" t="str">
        <f t="shared" si="348"/>
        <v/>
      </c>
      <c r="C2072" s="90"/>
      <c r="D2072" s="87"/>
      <c r="E2072" s="88"/>
      <c r="F2072" s="173"/>
      <c r="G2072" s="88"/>
      <c r="H2072" s="88"/>
      <c r="I2072" s="88"/>
      <c r="J2072" s="88"/>
      <c r="K2072" s="230"/>
      <c r="L2072" s="88"/>
      <c r="M2072" s="88"/>
      <c r="N2072" s="88"/>
      <c r="O2072" s="88"/>
      <c r="P2072" s="88"/>
      <c r="Q2072" s="88"/>
      <c r="R2072" s="88"/>
      <c r="S2072" s="620"/>
      <c r="T2072" s="92"/>
      <c r="U2072" s="1214"/>
      <c r="V2072" s="1215"/>
      <c r="W2072" s="168"/>
      <c r="X2072" s="170"/>
    </row>
    <row r="2073" spans="1:24" ht="12.75" customHeight="1">
      <c r="A2073" s="15"/>
      <c r="B2073" s="92" t="str">
        <f t="shared" si="348"/>
        <v/>
      </c>
      <c r="C2073" s="90"/>
      <c r="D2073" s="87"/>
      <c r="E2073" s="88"/>
      <c r="F2073" s="173"/>
      <c r="G2073" s="88"/>
      <c r="H2073" s="88"/>
      <c r="I2073" s="88"/>
      <c r="J2073" s="88"/>
      <c r="K2073" s="230"/>
      <c r="L2073" s="88"/>
      <c r="M2073" s="88"/>
      <c r="N2073" s="88"/>
      <c r="O2073" s="88"/>
      <c r="P2073" s="88"/>
      <c r="Q2073" s="88"/>
      <c r="R2073" s="88"/>
      <c r="S2073" s="620"/>
      <c r="T2073" s="92"/>
      <c r="U2073" s="1214"/>
      <c r="V2073" s="1215"/>
      <c r="W2073" s="168"/>
      <c r="X2073" s="170"/>
    </row>
    <row r="2074" spans="1:24" ht="12.75" customHeight="1">
      <c r="A2074" s="15"/>
      <c r="B2074" s="92" t="str">
        <f t="shared" si="348"/>
        <v/>
      </c>
      <c r="C2074" s="90"/>
      <c r="D2074" s="87"/>
      <c r="E2074" s="88"/>
      <c r="F2074" s="173"/>
      <c r="G2074" s="88"/>
      <c r="H2074" s="88"/>
      <c r="I2074" s="88"/>
      <c r="J2074" s="88"/>
      <c r="K2074" s="230"/>
      <c r="L2074" s="88"/>
      <c r="M2074" s="88"/>
      <c r="N2074" s="88"/>
      <c r="O2074" s="88"/>
      <c r="P2074" s="88"/>
      <c r="Q2074" s="88"/>
      <c r="R2074" s="88"/>
      <c r="S2074" s="620"/>
      <c r="T2074" s="92"/>
      <c r="U2074" s="1214"/>
      <c r="V2074" s="1215"/>
      <c r="W2074" s="168"/>
      <c r="X2074" s="170"/>
    </row>
    <row r="2075" spans="1:24" ht="12.75" customHeight="1">
      <c r="A2075" s="15"/>
      <c r="B2075" s="92" t="str">
        <f t="shared" si="348"/>
        <v/>
      </c>
      <c r="C2075" s="90"/>
      <c r="D2075" s="87"/>
      <c r="E2075" s="88"/>
      <c r="F2075" s="173"/>
      <c r="G2075" s="88"/>
      <c r="H2075" s="88"/>
      <c r="I2075" s="88"/>
      <c r="J2075" s="88"/>
      <c r="K2075" s="230"/>
      <c r="L2075" s="88"/>
      <c r="M2075" s="88"/>
      <c r="N2075" s="88"/>
      <c r="O2075" s="88"/>
      <c r="P2075" s="88"/>
      <c r="Q2075" s="88"/>
      <c r="R2075" s="88"/>
      <c r="S2075" s="620"/>
      <c r="T2075" s="92"/>
      <c r="U2075" s="1214"/>
      <c r="V2075" s="1215"/>
      <c r="W2075" s="168"/>
      <c r="X2075" s="170"/>
    </row>
    <row r="2076" spans="1:24" ht="12.75" customHeight="1">
      <c r="A2076" s="15"/>
      <c r="B2076" s="92" t="str">
        <f t="shared" si="348"/>
        <v/>
      </c>
      <c r="C2076" s="90"/>
      <c r="D2076" s="87"/>
      <c r="E2076" s="88"/>
      <c r="F2076" s="173"/>
      <c r="G2076" s="88"/>
      <c r="H2076" s="88"/>
      <c r="I2076" s="88"/>
      <c r="J2076" s="88"/>
      <c r="K2076" s="230"/>
      <c r="L2076" s="88"/>
      <c r="M2076" s="88"/>
      <c r="N2076" s="88"/>
      <c r="O2076" s="88"/>
      <c r="P2076" s="88"/>
      <c r="Q2076" s="88"/>
      <c r="R2076" s="88"/>
      <c r="S2076" s="620"/>
      <c r="T2076" s="92"/>
      <c r="U2076" s="1214"/>
      <c r="V2076" s="1215"/>
      <c r="W2076" s="168"/>
      <c r="X2076" s="170"/>
    </row>
    <row r="2077" spans="1:24" ht="12.75" customHeight="1">
      <c r="A2077" s="15"/>
      <c r="B2077" s="92" t="str">
        <f t="shared" si="348"/>
        <v/>
      </c>
      <c r="C2077" s="90"/>
      <c r="D2077" s="87"/>
      <c r="E2077" s="88"/>
      <c r="F2077" s="173"/>
      <c r="G2077" s="88"/>
      <c r="H2077" s="88"/>
      <c r="I2077" s="88"/>
      <c r="J2077" s="88"/>
      <c r="K2077" s="230"/>
      <c r="L2077" s="88"/>
      <c r="M2077" s="88"/>
      <c r="N2077" s="88"/>
      <c r="O2077" s="88"/>
      <c r="P2077" s="88"/>
      <c r="Q2077" s="88"/>
      <c r="R2077" s="88"/>
      <c r="S2077" s="620"/>
      <c r="T2077" s="92"/>
      <c r="U2077" s="1214"/>
      <c r="V2077" s="1215"/>
      <c r="W2077" s="168"/>
      <c r="X2077" s="170"/>
    </row>
    <row r="2078" spans="1:24" ht="12.75" customHeight="1">
      <c r="A2078" s="15"/>
      <c r="B2078" s="92" t="str">
        <f t="shared" si="348"/>
        <v/>
      </c>
      <c r="C2078" s="90"/>
      <c r="D2078" s="87"/>
      <c r="E2078" s="88"/>
      <c r="F2078" s="173"/>
      <c r="G2078" s="88"/>
      <c r="H2078" s="88"/>
      <c r="I2078" s="88"/>
      <c r="J2078" s="88"/>
      <c r="K2078" s="230"/>
      <c r="L2078" s="88"/>
      <c r="M2078" s="88"/>
      <c r="N2078" s="88"/>
      <c r="O2078" s="88"/>
      <c r="P2078" s="88"/>
      <c r="Q2078" s="88"/>
      <c r="R2078" s="88"/>
      <c r="S2078" s="620"/>
      <c r="T2078" s="92"/>
      <c r="U2078" s="1214"/>
      <c r="V2078" s="1215"/>
      <c r="W2078" s="168"/>
      <c r="X2078" s="170"/>
    </row>
    <row r="2079" spans="1:24" ht="12.75" customHeight="1">
      <c r="A2079" s="15"/>
      <c r="B2079" s="92" t="str">
        <f t="shared" si="348"/>
        <v/>
      </c>
      <c r="C2079" s="90"/>
      <c r="D2079" s="87"/>
      <c r="E2079" s="88"/>
      <c r="F2079" s="173"/>
      <c r="G2079" s="88"/>
      <c r="H2079" s="88"/>
      <c r="I2079" s="88"/>
      <c r="J2079" s="88"/>
      <c r="K2079" s="230"/>
      <c r="L2079" s="88"/>
      <c r="M2079" s="88"/>
      <c r="N2079" s="88"/>
      <c r="O2079" s="88"/>
      <c r="P2079" s="88"/>
      <c r="Q2079" s="88"/>
      <c r="R2079" s="88"/>
      <c r="S2079" s="620"/>
      <c r="T2079" s="92"/>
      <c r="U2079" s="1214"/>
      <c r="V2079" s="1215"/>
      <c r="W2079" s="168"/>
      <c r="X2079" s="170"/>
    </row>
    <row r="2080" spans="1:24" ht="12.75" customHeight="1">
      <c r="A2080" s="15"/>
      <c r="B2080" s="92" t="str">
        <f t="shared" si="348"/>
        <v/>
      </c>
      <c r="C2080" s="90"/>
      <c r="D2080" s="87"/>
      <c r="E2080" s="88"/>
      <c r="F2080" s="173"/>
      <c r="G2080" s="88"/>
      <c r="H2080" s="88"/>
      <c r="I2080" s="88"/>
      <c r="J2080" s="88"/>
      <c r="K2080" s="230"/>
      <c r="L2080" s="88"/>
      <c r="M2080" s="88"/>
      <c r="N2080" s="88"/>
      <c r="O2080" s="88"/>
      <c r="P2080" s="88"/>
      <c r="Q2080" s="88"/>
      <c r="R2080" s="88"/>
      <c r="S2080" s="620"/>
      <c r="T2080" s="92"/>
      <c r="U2080" s="1214"/>
      <c r="V2080" s="1215"/>
      <c r="W2080" s="168"/>
      <c r="X2080" s="170"/>
    </row>
    <row r="2081" spans="1:24" ht="12.75" customHeight="1">
      <c r="A2081" s="15"/>
      <c r="B2081" s="92" t="str">
        <f t="shared" si="348"/>
        <v/>
      </c>
      <c r="C2081" s="90"/>
      <c r="D2081" s="87"/>
      <c r="E2081" s="88"/>
      <c r="F2081" s="173"/>
      <c r="G2081" s="88"/>
      <c r="H2081" s="88"/>
      <c r="I2081" s="88"/>
      <c r="J2081" s="88"/>
      <c r="K2081" s="230"/>
      <c r="L2081" s="88"/>
      <c r="M2081" s="88"/>
      <c r="N2081" s="88"/>
      <c r="O2081" s="88"/>
      <c r="P2081" s="88"/>
      <c r="Q2081" s="88"/>
      <c r="R2081" s="88"/>
      <c r="S2081" s="620"/>
      <c r="T2081" s="92"/>
      <c r="U2081" s="1214"/>
      <c r="V2081" s="1215"/>
      <c r="W2081" s="168"/>
      <c r="X2081" s="170"/>
    </row>
    <row r="2082" spans="1:24" ht="12.75" customHeight="1">
      <c r="A2082" s="15"/>
      <c r="B2082" s="92" t="str">
        <f t="shared" si="348"/>
        <v/>
      </c>
      <c r="C2082" s="90"/>
      <c r="D2082" s="87"/>
      <c r="E2082" s="88"/>
      <c r="F2082" s="173"/>
      <c r="G2082" s="88"/>
      <c r="H2082" s="88"/>
      <c r="I2082" s="88"/>
      <c r="J2082" s="88"/>
      <c r="K2082" s="230"/>
      <c r="L2082" s="88"/>
      <c r="M2082" s="88"/>
      <c r="N2082" s="88"/>
      <c r="O2082" s="88"/>
      <c r="P2082" s="88"/>
      <c r="Q2082" s="88"/>
      <c r="R2082" s="88"/>
      <c r="S2082" s="620"/>
      <c r="T2082" s="92"/>
      <c r="U2082" s="1214"/>
      <c r="V2082" s="1215"/>
      <c r="W2082" s="168"/>
      <c r="X2082" s="170"/>
    </row>
    <row r="2083" spans="1:24" ht="12.75" customHeight="1">
      <c r="A2083" s="15"/>
      <c r="B2083" s="92" t="str">
        <f t="shared" si="348"/>
        <v/>
      </c>
      <c r="C2083" s="90"/>
      <c r="D2083" s="87"/>
      <c r="E2083" s="88"/>
      <c r="F2083" s="173"/>
      <c r="G2083" s="88"/>
      <c r="H2083" s="88"/>
      <c r="I2083" s="88"/>
      <c r="J2083" s="88"/>
      <c r="K2083" s="230"/>
      <c r="L2083" s="88"/>
      <c r="M2083" s="88"/>
      <c r="N2083" s="88"/>
      <c r="O2083" s="88"/>
      <c r="P2083" s="88"/>
      <c r="Q2083" s="88"/>
      <c r="R2083" s="88"/>
      <c r="S2083" s="620"/>
      <c r="T2083" s="92"/>
      <c r="U2083" s="1214"/>
      <c r="V2083" s="1215"/>
      <c r="W2083" s="168"/>
      <c r="X2083" s="170"/>
    </row>
    <row r="2084" spans="1:24" ht="12.75" customHeight="1">
      <c r="A2084" s="15"/>
      <c r="B2084" s="92" t="str">
        <f t="shared" si="348"/>
        <v/>
      </c>
      <c r="C2084" s="90"/>
      <c r="D2084" s="87"/>
      <c r="E2084" s="88"/>
      <c r="F2084" s="173"/>
      <c r="G2084" s="88"/>
      <c r="H2084" s="88"/>
      <c r="I2084" s="88"/>
      <c r="J2084" s="88"/>
      <c r="K2084" s="230"/>
      <c r="L2084" s="88"/>
      <c r="M2084" s="88"/>
      <c r="N2084" s="88"/>
      <c r="O2084" s="88"/>
      <c r="P2084" s="88"/>
      <c r="Q2084" s="88"/>
      <c r="R2084" s="88"/>
      <c r="S2084" s="620"/>
      <c r="T2084" s="92"/>
      <c r="U2084" s="1214"/>
      <c r="V2084" s="1215"/>
      <c r="W2084" s="168"/>
      <c r="X2084" s="170"/>
    </row>
    <row r="2085" spans="1:24" ht="12.75" customHeight="1">
      <c r="A2085" s="15"/>
      <c r="B2085" s="92" t="str">
        <f t="shared" si="348"/>
        <v/>
      </c>
      <c r="C2085" s="90"/>
      <c r="D2085" s="87"/>
      <c r="E2085" s="88"/>
      <c r="F2085" s="173"/>
      <c r="G2085" s="88"/>
      <c r="H2085" s="88"/>
      <c r="I2085" s="88"/>
      <c r="J2085" s="88"/>
      <c r="K2085" s="230"/>
      <c r="L2085" s="88"/>
      <c r="M2085" s="88"/>
      <c r="N2085" s="88"/>
      <c r="O2085" s="88"/>
      <c r="P2085" s="88"/>
      <c r="Q2085" s="88"/>
      <c r="R2085" s="88"/>
      <c r="S2085" s="620"/>
      <c r="T2085" s="92"/>
      <c r="U2085" s="1214"/>
      <c r="V2085" s="1215"/>
      <c r="W2085" s="168"/>
      <c r="X2085" s="170"/>
    </row>
    <row r="2086" spans="1:24" ht="12.75" customHeight="1">
      <c r="A2086" s="15"/>
      <c r="B2086" s="92" t="str">
        <f t="shared" si="348"/>
        <v/>
      </c>
      <c r="C2086" s="90"/>
      <c r="D2086" s="87"/>
      <c r="E2086" s="88"/>
      <c r="F2086" s="173"/>
      <c r="G2086" s="88"/>
      <c r="H2086" s="88"/>
      <c r="I2086" s="88"/>
      <c r="J2086" s="88"/>
      <c r="K2086" s="230"/>
      <c r="L2086" s="88"/>
      <c r="M2086" s="88"/>
      <c r="N2086" s="88"/>
      <c r="O2086" s="88"/>
      <c r="P2086" s="88"/>
      <c r="Q2086" s="88"/>
      <c r="R2086" s="88"/>
      <c r="S2086" s="620"/>
      <c r="T2086" s="92"/>
      <c r="U2086" s="1214"/>
      <c r="V2086" s="1215"/>
      <c r="W2086" s="168"/>
      <c r="X2086" s="170"/>
    </row>
    <row r="2087" spans="1:24" ht="12.75" customHeight="1">
      <c r="A2087" s="15"/>
      <c r="B2087" s="92" t="str">
        <f t="shared" si="348"/>
        <v/>
      </c>
      <c r="C2087" s="90"/>
      <c r="D2087" s="87"/>
      <c r="E2087" s="88"/>
      <c r="F2087" s="173"/>
      <c r="G2087" s="88"/>
      <c r="H2087" s="88"/>
      <c r="I2087" s="88"/>
      <c r="J2087" s="88"/>
      <c r="K2087" s="230"/>
      <c r="L2087" s="88"/>
      <c r="M2087" s="88"/>
      <c r="N2087" s="88"/>
      <c r="O2087" s="88"/>
      <c r="P2087" s="88"/>
      <c r="Q2087" s="88"/>
      <c r="R2087" s="88"/>
      <c r="S2087" s="620"/>
      <c r="T2087" s="92"/>
      <c r="U2087" s="1214"/>
      <c r="V2087" s="1215"/>
      <c r="W2087" s="168"/>
      <c r="X2087" s="170"/>
    </row>
    <row r="2088" spans="1:24" ht="12.75" customHeight="1">
      <c r="A2088" s="15"/>
      <c r="B2088" s="92" t="str">
        <f t="shared" si="348"/>
        <v/>
      </c>
      <c r="C2088" s="90"/>
      <c r="D2088" s="87"/>
      <c r="E2088" s="88"/>
      <c r="F2088" s="173"/>
      <c r="G2088" s="88"/>
      <c r="H2088" s="88"/>
      <c r="I2088" s="88"/>
      <c r="J2088" s="88"/>
      <c r="K2088" s="230"/>
      <c r="L2088" s="88"/>
      <c r="M2088" s="88"/>
      <c r="N2088" s="88"/>
      <c r="O2088" s="88"/>
      <c r="P2088" s="88"/>
      <c r="Q2088" s="88"/>
      <c r="R2088" s="88"/>
      <c r="S2088" s="620"/>
      <c r="T2088" s="92"/>
      <c r="U2088" s="1214"/>
      <c r="V2088" s="1215"/>
      <c r="W2088" s="168"/>
      <c r="X2088" s="170"/>
    </row>
    <row r="2089" spans="1:24" ht="12.75" customHeight="1">
      <c r="A2089" s="15"/>
      <c r="B2089" s="92" t="str">
        <f t="shared" si="348"/>
        <v/>
      </c>
      <c r="C2089" s="90"/>
      <c r="D2089" s="87"/>
      <c r="E2089" s="88"/>
      <c r="F2089" s="173"/>
      <c r="G2089" s="88"/>
      <c r="H2089" s="88"/>
      <c r="I2089" s="88"/>
      <c r="J2089" s="88"/>
      <c r="K2089" s="230"/>
      <c r="L2089" s="88"/>
      <c r="M2089" s="88"/>
      <c r="N2089" s="88"/>
      <c r="O2089" s="88"/>
      <c r="P2089" s="88"/>
      <c r="Q2089" s="88"/>
      <c r="R2089" s="88"/>
      <c r="S2089" s="620"/>
      <c r="T2089" s="92"/>
      <c r="U2089" s="1214"/>
      <c r="V2089" s="1215"/>
      <c r="W2089" s="168"/>
      <c r="X2089" s="170"/>
    </row>
    <row r="2090" spans="1:24" ht="12.75" customHeight="1">
      <c r="A2090" s="15"/>
      <c r="B2090" s="92" t="str">
        <f t="shared" si="348"/>
        <v/>
      </c>
      <c r="C2090" s="90"/>
      <c r="D2090" s="87"/>
      <c r="E2090" s="88"/>
      <c r="F2090" s="173"/>
      <c r="G2090" s="88"/>
      <c r="H2090" s="88"/>
      <c r="I2090" s="88"/>
      <c r="J2090" s="88"/>
      <c r="K2090" s="230"/>
      <c r="L2090" s="88"/>
      <c r="M2090" s="88"/>
      <c r="N2090" s="88"/>
      <c r="O2090" s="88"/>
      <c r="P2090" s="88"/>
      <c r="Q2090" s="88"/>
      <c r="R2090" s="88"/>
      <c r="S2090" s="620"/>
      <c r="T2090" s="92"/>
      <c r="U2090" s="1214"/>
      <c r="V2090" s="1215"/>
      <c r="W2090" s="168"/>
      <c r="X2090" s="170"/>
    </row>
    <row r="2091" spans="1:24" ht="12.75" customHeight="1">
      <c r="A2091" s="15"/>
      <c r="B2091" s="92" t="str">
        <f t="shared" si="348"/>
        <v/>
      </c>
      <c r="C2091" s="90"/>
      <c r="D2091" s="87"/>
      <c r="E2091" s="88"/>
      <c r="F2091" s="173"/>
      <c r="G2091" s="88"/>
      <c r="H2091" s="88"/>
      <c r="I2091" s="88"/>
      <c r="J2091" s="88"/>
      <c r="K2091" s="230"/>
      <c r="L2091" s="88"/>
      <c r="M2091" s="88"/>
      <c r="N2091" s="88"/>
      <c r="O2091" s="88"/>
      <c r="P2091" s="88"/>
      <c r="Q2091" s="88"/>
      <c r="R2091" s="88"/>
      <c r="S2091" s="620"/>
      <c r="T2091" s="92"/>
      <c r="U2091" s="1214"/>
      <c r="V2091" s="1215"/>
      <c r="W2091" s="168"/>
      <c r="X2091" s="170"/>
    </row>
    <row r="2092" spans="1:24" ht="12.75" customHeight="1">
      <c r="A2092" s="15"/>
      <c r="B2092" s="92" t="str">
        <f t="shared" si="348"/>
        <v/>
      </c>
      <c r="C2092" s="90"/>
      <c r="D2092" s="87"/>
      <c r="E2092" s="88"/>
      <c r="F2092" s="173"/>
      <c r="G2092" s="88"/>
      <c r="H2092" s="88"/>
      <c r="I2092" s="88"/>
      <c r="J2092" s="88"/>
      <c r="K2092" s="230"/>
      <c r="L2092" s="88"/>
      <c r="M2092" s="88"/>
      <c r="N2092" s="88"/>
      <c r="O2092" s="88"/>
      <c r="P2092" s="88"/>
      <c r="Q2092" s="88"/>
      <c r="R2092" s="88"/>
      <c r="S2092" s="620"/>
      <c r="T2092" s="92"/>
      <c r="U2092" s="1214"/>
      <c r="V2092" s="1215"/>
      <c r="W2092" s="168"/>
      <c r="X2092" s="170"/>
    </row>
    <row r="2093" spans="1:24" ht="12.75" customHeight="1">
      <c r="A2093" s="15"/>
      <c r="B2093" s="92" t="str">
        <f t="shared" si="348"/>
        <v/>
      </c>
      <c r="C2093" s="90"/>
      <c r="D2093" s="87"/>
      <c r="E2093" s="88"/>
      <c r="F2093" s="173"/>
      <c r="G2093" s="88"/>
      <c r="H2093" s="88"/>
      <c r="I2093" s="88"/>
      <c r="J2093" s="88"/>
      <c r="K2093" s="230"/>
      <c r="L2093" s="88"/>
      <c r="M2093" s="88"/>
      <c r="N2093" s="88"/>
      <c r="O2093" s="88"/>
      <c r="P2093" s="88"/>
      <c r="Q2093" s="88"/>
      <c r="R2093" s="88"/>
      <c r="S2093" s="620"/>
      <c r="T2093" s="92"/>
      <c r="U2093" s="1214"/>
      <c r="V2093" s="1215"/>
      <c r="W2093" s="168"/>
      <c r="X2093" s="170"/>
    </row>
    <row r="2094" spans="1:24" ht="12.75" customHeight="1">
      <c r="A2094" s="15"/>
      <c r="B2094" s="92" t="str">
        <f t="shared" si="348"/>
        <v/>
      </c>
      <c r="C2094" s="90"/>
      <c r="D2094" s="87"/>
      <c r="E2094" s="88"/>
      <c r="F2094" s="173"/>
      <c r="G2094" s="88"/>
      <c r="H2094" s="88"/>
      <c r="I2094" s="88"/>
      <c r="J2094" s="88"/>
      <c r="K2094" s="230"/>
      <c r="L2094" s="88"/>
      <c r="M2094" s="88"/>
      <c r="N2094" s="88"/>
      <c r="O2094" s="88"/>
      <c r="P2094" s="88"/>
      <c r="Q2094" s="88"/>
      <c r="R2094" s="88"/>
      <c r="S2094" s="620"/>
      <c r="T2094" s="92"/>
      <c r="U2094" s="1214"/>
      <c r="V2094" s="1215"/>
      <c r="W2094" s="168"/>
      <c r="X2094" s="170"/>
    </row>
    <row r="2095" spans="1:24" ht="12.75" customHeight="1">
      <c r="A2095" s="15"/>
      <c r="B2095" s="92" t="str">
        <f t="shared" ref="B2095:B2158" si="349">IF(C2095="","",ROW()-5)</f>
        <v/>
      </c>
      <c r="C2095" s="90"/>
      <c r="D2095" s="87"/>
      <c r="E2095" s="88"/>
      <c r="F2095" s="173"/>
      <c r="G2095" s="88"/>
      <c r="H2095" s="88"/>
      <c r="I2095" s="88"/>
      <c r="J2095" s="88"/>
      <c r="K2095" s="230"/>
      <c r="L2095" s="88"/>
      <c r="M2095" s="88"/>
      <c r="N2095" s="88"/>
      <c r="O2095" s="88"/>
      <c r="P2095" s="88"/>
      <c r="Q2095" s="88"/>
      <c r="R2095" s="88"/>
      <c r="S2095" s="620"/>
      <c r="T2095" s="92"/>
      <c r="U2095" s="1214"/>
      <c r="V2095" s="1215"/>
      <c r="W2095" s="168"/>
      <c r="X2095" s="170"/>
    </row>
    <row r="2096" spans="1:24" ht="12.75" customHeight="1">
      <c r="A2096" s="15"/>
      <c r="B2096" s="92" t="str">
        <f t="shared" si="349"/>
        <v/>
      </c>
      <c r="C2096" s="90"/>
      <c r="D2096" s="87"/>
      <c r="E2096" s="88"/>
      <c r="F2096" s="173"/>
      <c r="G2096" s="88"/>
      <c r="H2096" s="88"/>
      <c r="I2096" s="88"/>
      <c r="J2096" s="88"/>
      <c r="K2096" s="230"/>
      <c r="L2096" s="88"/>
      <c r="M2096" s="88"/>
      <c r="N2096" s="88"/>
      <c r="O2096" s="88"/>
      <c r="P2096" s="88"/>
      <c r="Q2096" s="88"/>
      <c r="R2096" s="88"/>
      <c r="S2096" s="620"/>
      <c r="T2096" s="92"/>
      <c r="U2096" s="1214"/>
      <c r="V2096" s="1215"/>
      <c r="W2096" s="168"/>
      <c r="X2096" s="170"/>
    </row>
    <row r="2097" spans="1:24" ht="12.75" customHeight="1">
      <c r="A2097" s="15"/>
      <c r="B2097" s="92" t="str">
        <f t="shared" si="349"/>
        <v/>
      </c>
      <c r="C2097" s="90"/>
      <c r="D2097" s="87"/>
      <c r="E2097" s="88"/>
      <c r="F2097" s="173"/>
      <c r="G2097" s="88"/>
      <c r="H2097" s="88"/>
      <c r="I2097" s="88"/>
      <c r="J2097" s="88"/>
      <c r="K2097" s="230"/>
      <c r="L2097" s="88"/>
      <c r="M2097" s="88"/>
      <c r="N2097" s="88"/>
      <c r="O2097" s="88"/>
      <c r="P2097" s="88"/>
      <c r="Q2097" s="88"/>
      <c r="R2097" s="88"/>
      <c r="S2097" s="620"/>
      <c r="T2097" s="92"/>
      <c r="U2097" s="1214"/>
      <c r="V2097" s="1215"/>
      <c r="W2097" s="168"/>
      <c r="X2097" s="170"/>
    </row>
    <row r="2098" spans="1:24" ht="12.75" customHeight="1">
      <c r="A2098" s="15"/>
      <c r="B2098" s="92" t="str">
        <f t="shared" si="349"/>
        <v/>
      </c>
      <c r="C2098" s="90"/>
      <c r="D2098" s="87"/>
      <c r="E2098" s="88"/>
      <c r="F2098" s="173"/>
      <c r="G2098" s="88"/>
      <c r="H2098" s="88"/>
      <c r="I2098" s="88"/>
      <c r="J2098" s="88"/>
      <c r="K2098" s="230"/>
      <c r="L2098" s="88"/>
      <c r="M2098" s="88"/>
      <c r="N2098" s="88"/>
      <c r="O2098" s="88"/>
      <c r="P2098" s="88"/>
      <c r="Q2098" s="88"/>
      <c r="R2098" s="88"/>
      <c r="S2098" s="620"/>
      <c r="T2098" s="92"/>
      <c r="U2098" s="1214"/>
      <c r="V2098" s="1215"/>
      <c r="W2098" s="168"/>
      <c r="X2098" s="170"/>
    </row>
    <row r="2099" spans="1:24" ht="12.75" customHeight="1">
      <c r="A2099" s="15"/>
      <c r="B2099" s="92" t="str">
        <f t="shared" si="349"/>
        <v/>
      </c>
      <c r="C2099" s="90"/>
      <c r="D2099" s="87"/>
      <c r="E2099" s="88"/>
      <c r="F2099" s="173"/>
      <c r="G2099" s="88"/>
      <c r="H2099" s="88"/>
      <c r="I2099" s="88"/>
      <c r="J2099" s="88"/>
      <c r="K2099" s="230"/>
      <c r="L2099" s="88"/>
      <c r="M2099" s="88"/>
      <c r="N2099" s="88"/>
      <c r="O2099" s="88"/>
      <c r="P2099" s="88"/>
      <c r="Q2099" s="88"/>
      <c r="R2099" s="88"/>
      <c r="S2099" s="620"/>
      <c r="T2099" s="92"/>
      <c r="U2099" s="1214"/>
      <c r="V2099" s="1215"/>
      <c r="W2099" s="168"/>
      <c r="X2099" s="170"/>
    </row>
    <row r="2100" spans="1:24" ht="12.75" customHeight="1">
      <c r="A2100" s="15"/>
      <c r="B2100" s="92" t="str">
        <f t="shared" si="349"/>
        <v/>
      </c>
      <c r="C2100" s="90"/>
      <c r="D2100" s="87"/>
      <c r="E2100" s="88"/>
      <c r="F2100" s="173"/>
      <c r="G2100" s="88"/>
      <c r="H2100" s="88"/>
      <c r="I2100" s="88"/>
      <c r="J2100" s="88"/>
      <c r="K2100" s="230"/>
      <c r="L2100" s="88"/>
      <c r="M2100" s="88"/>
      <c r="N2100" s="88"/>
      <c r="O2100" s="88"/>
      <c r="P2100" s="88"/>
      <c r="Q2100" s="88"/>
      <c r="R2100" s="88"/>
      <c r="S2100" s="620"/>
      <c r="T2100" s="92"/>
      <c r="U2100" s="1214"/>
      <c r="V2100" s="1215"/>
      <c r="W2100" s="168"/>
      <c r="X2100" s="170"/>
    </row>
    <row r="2101" spans="1:24" ht="12.75" customHeight="1">
      <c r="A2101" s="15"/>
      <c r="B2101" s="92" t="str">
        <f t="shared" si="349"/>
        <v/>
      </c>
      <c r="C2101" s="90"/>
      <c r="D2101" s="87"/>
      <c r="E2101" s="88"/>
      <c r="F2101" s="173"/>
      <c r="G2101" s="88"/>
      <c r="H2101" s="88"/>
      <c r="I2101" s="88"/>
      <c r="J2101" s="88"/>
      <c r="K2101" s="230"/>
      <c r="L2101" s="88"/>
      <c r="M2101" s="88"/>
      <c r="N2101" s="88"/>
      <c r="O2101" s="88"/>
      <c r="P2101" s="88"/>
      <c r="Q2101" s="88"/>
      <c r="R2101" s="88"/>
      <c r="S2101" s="620"/>
      <c r="T2101" s="92"/>
      <c r="U2101" s="1214"/>
      <c r="V2101" s="1215"/>
      <c r="W2101" s="168"/>
      <c r="X2101" s="170"/>
    </row>
    <row r="2102" spans="1:24" ht="12.75" customHeight="1">
      <c r="A2102" s="15"/>
      <c r="B2102" s="92" t="str">
        <f t="shared" si="349"/>
        <v/>
      </c>
      <c r="C2102" s="90"/>
      <c r="D2102" s="87"/>
      <c r="E2102" s="88"/>
      <c r="F2102" s="173"/>
      <c r="G2102" s="88"/>
      <c r="H2102" s="88"/>
      <c r="I2102" s="88"/>
      <c r="J2102" s="88"/>
      <c r="K2102" s="230"/>
      <c r="L2102" s="88"/>
      <c r="M2102" s="88"/>
      <c r="N2102" s="88"/>
      <c r="O2102" s="88"/>
      <c r="P2102" s="88"/>
      <c r="Q2102" s="88"/>
      <c r="R2102" s="88"/>
      <c r="S2102" s="620"/>
      <c r="T2102" s="92"/>
      <c r="U2102" s="1214"/>
      <c r="V2102" s="1215"/>
      <c r="W2102" s="168"/>
      <c r="X2102" s="170"/>
    </row>
    <row r="2103" spans="1:24" ht="12.75" customHeight="1">
      <c r="A2103" s="15"/>
      <c r="B2103" s="92" t="str">
        <f t="shared" si="349"/>
        <v/>
      </c>
      <c r="C2103" s="90"/>
      <c r="D2103" s="87"/>
      <c r="E2103" s="88"/>
      <c r="F2103" s="173"/>
      <c r="G2103" s="88"/>
      <c r="H2103" s="88"/>
      <c r="I2103" s="88"/>
      <c r="J2103" s="88"/>
      <c r="K2103" s="230"/>
      <c r="L2103" s="88"/>
      <c r="M2103" s="88"/>
      <c r="N2103" s="88"/>
      <c r="O2103" s="88"/>
      <c r="P2103" s="88"/>
      <c r="Q2103" s="88"/>
      <c r="R2103" s="88"/>
      <c r="S2103" s="620"/>
      <c r="T2103" s="92"/>
      <c r="U2103" s="1214"/>
      <c r="V2103" s="1215"/>
      <c r="W2103" s="168"/>
      <c r="X2103" s="170"/>
    </row>
    <row r="2104" spans="1:24" ht="12.75" customHeight="1">
      <c r="A2104" s="15"/>
      <c r="B2104" s="92" t="str">
        <f t="shared" si="349"/>
        <v/>
      </c>
      <c r="C2104" s="90"/>
      <c r="D2104" s="87"/>
      <c r="E2104" s="88"/>
      <c r="F2104" s="173"/>
      <c r="G2104" s="88"/>
      <c r="H2104" s="88"/>
      <c r="I2104" s="88"/>
      <c r="J2104" s="88"/>
      <c r="K2104" s="230"/>
      <c r="L2104" s="88"/>
      <c r="M2104" s="88"/>
      <c r="N2104" s="88"/>
      <c r="O2104" s="88"/>
      <c r="P2104" s="88"/>
      <c r="Q2104" s="88"/>
      <c r="R2104" s="88"/>
      <c r="S2104" s="620"/>
      <c r="T2104" s="92"/>
      <c r="U2104" s="1214"/>
      <c r="V2104" s="1215"/>
      <c r="W2104" s="168"/>
      <c r="X2104" s="170"/>
    </row>
    <row r="2105" spans="1:24" ht="12.75" customHeight="1">
      <c r="A2105" s="15"/>
      <c r="B2105" s="92" t="str">
        <f t="shared" si="349"/>
        <v/>
      </c>
      <c r="C2105" s="90"/>
      <c r="D2105" s="87"/>
      <c r="E2105" s="88"/>
      <c r="F2105" s="173"/>
      <c r="G2105" s="88"/>
      <c r="H2105" s="88"/>
      <c r="I2105" s="88"/>
      <c r="J2105" s="88"/>
      <c r="K2105" s="230"/>
      <c r="L2105" s="88"/>
      <c r="M2105" s="88"/>
      <c r="N2105" s="88"/>
      <c r="O2105" s="88"/>
      <c r="P2105" s="88"/>
      <c r="Q2105" s="88"/>
      <c r="R2105" s="88"/>
      <c r="S2105" s="620"/>
      <c r="T2105" s="92"/>
      <c r="U2105" s="1214"/>
      <c r="V2105" s="1215"/>
      <c r="W2105" s="168"/>
      <c r="X2105" s="170"/>
    </row>
    <row r="2106" spans="1:24" ht="12.75" customHeight="1">
      <c r="A2106" s="15"/>
      <c r="B2106" s="92" t="str">
        <f t="shared" si="349"/>
        <v/>
      </c>
      <c r="C2106" s="90"/>
      <c r="D2106" s="87"/>
      <c r="E2106" s="88"/>
      <c r="F2106" s="173"/>
      <c r="G2106" s="88"/>
      <c r="H2106" s="88"/>
      <c r="I2106" s="88"/>
      <c r="J2106" s="88"/>
      <c r="K2106" s="230"/>
      <c r="L2106" s="88"/>
      <c r="M2106" s="88"/>
      <c r="N2106" s="88"/>
      <c r="O2106" s="88"/>
      <c r="P2106" s="88"/>
      <c r="Q2106" s="88"/>
      <c r="R2106" s="88"/>
      <c r="S2106" s="620"/>
      <c r="T2106" s="92"/>
      <c r="U2106" s="1214"/>
      <c r="V2106" s="1215"/>
      <c r="W2106" s="168"/>
      <c r="X2106" s="170"/>
    </row>
    <row r="2107" spans="1:24" ht="12.75" customHeight="1">
      <c r="A2107" s="15"/>
      <c r="B2107" s="92" t="str">
        <f t="shared" si="349"/>
        <v/>
      </c>
      <c r="C2107" s="90"/>
      <c r="D2107" s="87"/>
      <c r="E2107" s="88"/>
      <c r="F2107" s="173"/>
      <c r="G2107" s="88"/>
      <c r="H2107" s="88"/>
      <c r="I2107" s="88"/>
      <c r="J2107" s="88"/>
      <c r="K2107" s="230"/>
      <c r="L2107" s="88"/>
      <c r="M2107" s="88"/>
      <c r="N2107" s="88"/>
      <c r="O2107" s="88"/>
      <c r="P2107" s="88"/>
      <c r="Q2107" s="88"/>
      <c r="R2107" s="88"/>
      <c r="S2107" s="620"/>
      <c r="T2107" s="92"/>
      <c r="U2107" s="1214"/>
      <c r="V2107" s="1215"/>
      <c r="W2107" s="168"/>
      <c r="X2107" s="170"/>
    </row>
    <row r="2108" spans="1:24" ht="12.75" customHeight="1">
      <c r="A2108" s="15"/>
      <c r="B2108" s="92" t="str">
        <f t="shared" si="349"/>
        <v/>
      </c>
      <c r="C2108" s="90"/>
      <c r="D2108" s="87"/>
      <c r="E2108" s="88"/>
      <c r="F2108" s="173"/>
      <c r="G2108" s="88"/>
      <c r="H2108" s="88"/>
      <c r="I2108" s="88"/>
      <c r="J2108" s="88"/>
      <c r="K2108" s="230"/>
      <c r="L2108" s="88"/>
      <c r="M2108" s="88"/>
      <c r="N2108" s="88"/>
      <c r="O2108" s="88"/>
      <c r="P2108" s="88"/>
      <c r="Q2108" s="88"/>
      <c r="R2108" s="88"/>
      <c r="S2108" s="620"/>
      <c r="T2108" s="92"/>
      <c r="U2108" s="1214"/>
      <c r="V2108" s="1215"/>
      <c r="W2108" s="168"/>
      <c r="X2108" s="170"/>
    </row>
    <row r="2109" spans="1:24" ht="12.75" customHeight="1">
      <c r="A2109" s="15"/>
      <c r="B2109" s="92" t="str">
        <f t="shared" si="349"/>
        <v/>
      </c>
      <c r="C2109" s="90"/>
      <c r="D2109" s="87"/>
      <c r="E2109" s="88"/>
      <c r="F2109" s="173"/>
      <c r="G2109" s="88"/>
      <c r="H2109" s="88"/>
      <c r="I2109" s="88"/>
      <c r="J2109" s="88"/>
      <c r="K2109" s="230"/>
      <c r="L2109" s="88"/>
      <c r="M2109" s="88"/>
      <c r="N2109" s="88"/>
      <c r="O2109" s="88"/>
      <c r="P2109" s="88"/>
      <c r="Q2109" s="88"/>
      <c r="R2109" s="88"/>
      <c r="S2109" s="620"/>
      <c r="T2109" s="92"/>
      <c r="U2109" s="1214"/>
      <c r="V2109" s="1215"/>
      <c r="W2109" s="168"/>
      <c r="X2109" s="170"/>
    </row>
    <row r="2110" spans="1:24" ht="12.75" customHeight="1">
      <c r="A2110" s="15"/>
      <c r="B2110" s="92" t="str">
        <f t="shared" si="349"/>
        <v/>
      </c>
      <c r="C2110" s="90"/>
      <c r="D2110" s="87"/>
      <c r="E2110" s="88"/>
      <c r="F2110" s="173"/>
      <c r="G2110" s="88"/>
      <c r="H2110" s="88"/>
      <c r="I2110" s="88"/>
      <c r="J2110" s="88"/>
      <c r="K2110" s="230"/>
      <c r="L2110" s="88"/>
      <c r="M2110" s="88"/>
      <c r="N2110" s="88"/>
      <c r="O2110" s="88"/>
      <c r="P2110" s="88"/>
      <c r="Q2110" s="88"/>
      <c r="R2110" s="88"/>
      <c r="S2110" s="620"/>
      <c r="T2110" s="92"/>
      <c r="U2110" s="1214"/>
      <c r="V2110" s="1215"/>
      <c r="W2110" s="168"/>
      <c r="X2110" s="170"/>
    </row>
    <row r="2111" spans="1:24" ht="12.75" customHeight="1">
      <c r="A2111" s="15"/>
      <c r="B2111" s="92" t="str">
        <f t="shared" si="349"/>
        <v/>
      </c>
      <c r="C2111" s="90"/>
      <c r="D2111" s="87"/>
      <c r="E2111" s="88"/>
      <c r="F2111" s="173"/>
      <c r="G2111" s="88"/>
      <c r="H2111" s="88"/>
      <c r="I2111" s="88"/>
      <c r="J2111" s="88"/>
      <c r="K2111" s="230"/>
      <c r="L2111" s="88"/>
      <c r="M2111" s="88"/>
      <c r="N2111" s="88"/>
      <c r="O2111" s="88"/>
      <c r="P2111" s="88"/>
      <c r="Q2111" s="88"/>
      <c r="R2111" s="88"/>
      <c r="S2111" s="620"/>
      <c r="T2111" s="92"/>
      <c r="U2111" s="1214"/>
      <c r="V2111" s="1215"/>
      <c r="W2111" s="168"/>
      <c r="X2111" s="170"/>
    </row>
    <row r="2112" spans="1:24" ht="12.75" customHeight="1">
      <c r="A2112" s="15"/>
      <c r="B2112" s="92" t="str">
        <f t="shared" si="349"/>
        <v/>
      </c>
      <c r="C2112" s="90"/>
      <c r="D2112" s="87"/>
      <c r="E2112" s="88"/>
      <c r="F2112" s="173"/>
      <c r="G2112" s="88"/>
      <c r="H2112" s="88"/>
      <c r="I2112" s="88"/>
      <c r="J2112" s="88"/>
      <c r="K2112" s="230"/>
      <c r="L2112" s="88"/>
      <c r="M2112" s="88"/>
      <c r="N2112" s="88"/>
      <c r="O2112" s="88"/>
      <c r="P2112" s="88"/>
      <c r="Q2112" s="88"/>
      <c r="R2112" s="88"/>
      <c r="S2112" s="620"/>
      <c r="T2112" s="92"/>
      <c r="U2112" s="1214"/>
      <c r="V2112" s="1215"/>
      <c r="W2112" s="168"/>
      <c r="X2112" s="170"/>
    </row>
    <row r="2113" spans="1:24" ht="12.75" customHeight="1">
      <c r="A2113" s="15"/>
      <c r="B2113" s="92" t="str">
        <f t="shared" si="349"/>
        <v/>
      </c>
      <c r="C2113" s="90"/>
      <c r="D2113" s="87"/>
      <c r="E2113" s="88"/>
      <c r="F2113" s="173"/>
      <c r="G2113" s="88"/>
      <c r="H2113" s="88"/>
      <c r="I2113" s="88"/>
      <c r="J2113" s="88"/>
      <c r="K2113" s="230"/>
      <c r="L2113" s="88"/>
      <c r="M2113" s="88"/>
      <c r="N2113" s="88"/>
      <c r="O2113" s="88"/>
      <c r="P2113" s="88"/>
      <c r="Q2113" s="88"/>
      <c r="R2113" s="88"/>
      <c r="S2113" s="620"/>
      <c r="T2113" s="92"/>
      <c r="U2113" s="1214"/>
      <c r="V2113" s="1215"/>
      <c r="W2113" s="168"/>
      <c r="X2113" s="170"/>
    </row>
    <row r="2114" spans="1:24" ht="12.75" customHeight="1">
      <c r="A2114" s="15"/>
      <c r="B2114" s="92" t="str">
        <f t="shared" si="349"/>
        <v/>
      </c>
      <c r="C2114" s="90"/>
      <c r="D2114" s="87"/>
      <c r="E2114" s="88"/>
      <c r="F2114" s="173"/>
      <c r="G2114" s="88"/>
      <c r="H2114" s="88"/>
      <c r="I2114" s="88"/>
      <c r="J2114" s="88"/>
      <c r="K2114" s="230"/>
      <c r="L2114" s="88"/>
      <c r="M2114" s="88"/>
      <c r="N2114" s="88"/>
      <c r="O2114" s="88"/>
      <c r="P2114" s="88"/>
      <c r="Q2114" s="88"/>
      <c r="R2114" s="88"/>
      <c r="S2114" s="620"/>
      <c r="T2114" s="92"/>
      <c r="U2114" s="1214"/>
      <c r="V2114" s="1215"/>
      <c r="W2114" s="168"/>
      <c r="X2114" s="170"/>
    </row>
    <row r="2115" spans="1:24" ht="12.75" customHeight="1">
      <c r="A2115" s="15"/>
      <c r="B2115" s="92" t="str">
        <f t="shared" si="349"/>
        <v/>
      </c>
      <c r="C2115" s="90"/>
      <c r="D2115" s="87"/>
      <c r="E2115" s="88"/>
      <c r="F2115" s="173"/>
      <c r="G2115" s="88"/>
      <c r="H2115" s="88"/>
      <c r="I2115" s="88"/>
      <c r="J2115" s="88"/>
      <c r="K2115" s="230"/>
      <c r="L2115" s="88"/>
      <c r="M2115" s="88"/>
      <c r="N2115" s="88"/>
      <c r="O2115" s="88"/>
      <c r="P2115" s="88"/>
      <c r="Q2115" s="88"/>
      <c r="R2115" s="88"/>
      <c r="S2115" s="620"/>
      <c r="T2115" s="92"/>
      <c r="U2115" s="1214"/>
      <c r="V2115" s="1215"/>
      <c r="W2115" s="168"/>
      <c r="X2115" s="170"/>
    </row>
    <row r="2116" spans="1:24" ht="12.75" customHeight="1">
      <c r="A2116" s="15"/>
      <c r="B2116" s="92" t="str">
        <f t="shared" si="349"/>
        <v/>
      </c>
      <c r="C2116" s="90"/>
      <c r="D2116" s="87"/>
      <c r="E2116" s="88"/>
      <c r="F2116" s="173"/>
      <c r="G2116" s="88"/>
      <c r="H2116" s="88"/>
      <c r="I2116" s="88"/>
      <c r="J2116" s="88"/>
      <c r="K2116" s="230"/>
      <c r="L2116" s="88"/>
      <c r="M2116" s="88"/>
      <c r="N2116" s="88"/>
      <c r="O2116" s="88"/>
      <c r="P2116" s="88"/>
      <c r="Q2116" s="88"/>
      <c r="R2116" s="88"/>
      <c r="S2116" s="620"/>
      <c r="T2116" s="92"/>
      <c r="U2116" s="1214"/>
      <c r="V2116" s="1215"/>
      <c r="W2116" s="168"/>
      <c r="X2116" s="170"/>
    </row>
    <row r="2117" spans="1:24" ht="12.75" customHeight="1">
      <c r="A2117" s="15"/>
      <c r="B2117" s="92" t="str">
        <f t="shared" si="349"/>
        <v/>
      </c>
      <c r="C2117" s="90"/>
      <c r="D2117" s="87"/>
      <c r="E2117" s="88"/>
      <c r="F2117" s="173"/>
      <c r="G2117" s="88"/>
      <c r="H2117" s="88"/>
      <c r="I2117" s="88"/>
      <c r="J2117" s="88"/>
      <c r="K2117" s="230"/>
      <c r="L2117" s="88"/>
      <c r="M2117" s="88"/>
      <c r="N2117" s="88"/>
      <c r="O2117" s="88"/>
      <c r="P2117" s="88"/>
      <c r="Q2117" s="88"/>
      <c r="R2117" s="88"/>
      <c r="S2117" s="620"/>
      <c r="T2117" s="92"/>
      <c r="U2117" s="1214"/>
      <c r="V2117" s="1215"/>
      <c r="W2117" s="168"/>
      <c r="X2117" s="170"/>
    </row>
    <row r="2118" spans="1:24" ht="12.75" customHeight="1">
      <c r="A2118" s="15"/>
      <c r="B2118" s="92" t="str">
        <f t="shared" si="349"/>
        <v/>
      </c>
      <c r="C2118" s="90"/>
      <c r="D2118" s="87"/>
      <c r="E2118" s="88"/>
      <c r="F2118" s="173"/>
      <c r="G2118" s="88"/>
      <c r="H2118" s="88"/>
      <c r="I2118" s="88"/>
      <c r="J2118" s="88"/>
      <c r="K2118" s="230"/>
      <c r="L2118" s="88"/>
      <c r="M2118" s="88"/>
      <c r="N2118" s="88"/>
      <c r="O2118" s="88"/>
      <c r="P2118" s="88"/>
      <c r="Q2118" s="88"/>
      <c r="R2118" s="88"/>
      <c r="S2118" s="620"/>
      <c r="T2118" s="92"/>
      <c r="U2118" s="1214"/>
      <c r="V2118" s="1215"/>
      <c r="W2118" s="168"/>
      <c r="X2118" s="170"/>
    </row>
    <row r="2119" spans="1:24" ht="12.75" customHeight="1">
      <c r="A2119" s="15"/>
      <c r="B2119" s="92" t="str">
        <f t="shared" si="349"/>
        <v/>
      </c>
      <c r="C2119" s="90"/>
      <c r="D2119" s="87"/>
      <c r="E2119" s="88"/>
      <c r="F2119" s="173"/>
      <c r="G2119" s="88"/>
      <c r="H2119" s="88"/>
      <c r="I2119" s="88"/>
      <c r="J2119" s="88"/>
      <c r="K2119" s="230"/>
      <c r="L2119" s="88"/>
      <c r="M2119" s="88"/>
      <c r="N2119" s="88"/>
      <c r="O2119" s="88"/>
      <c r="P2119" s="88"/>
      <c r="Q2119" s="88"/>
      <c r="R2119" s="88"/>
      <c r="S2119" s="620"/>
      <c r="T2119" s="92"/>
      <c r="U2119" s="1214"/>
      <c r="V2119" s="1215"/>
      <c r="W2119" s="168"/>
      <c r="X2119" s="170"/>
    </row>
    <row r="2120" spans="1:24" ht="12.75" customHeight="1">
      <c r="A2120" s="15"/>
      <c r="B2120" s="92" t="str">
        <f t="shared" si="349"/>
        <v/>
      </c>
      <c r="C2120" s="90"/>
      <c r="D2120" s="87"/>
      <c r="E2120" s="88"/>
      <c r="F2120" s="173"/>
      <c r="G2120" s="88"/>
      <c r="H2120" s="88"/>
      <c r="I2120" s="88"/>
      <c r="J2120" s="88"/>
      <c r="K2120" s="230"/>
      <c r="L2120" s="88"/>
      <c r="M2120" s="88"/>
      <c r="N2120" s="88"/>
      <c r="O2120" s="88"/>
      <c r="P2120" s="88"/>
      <c r="Q2120" s="88"/>
      <c r="R2120" s="88"/>
      <c r="S2120" s="620"/>
      <c r="T2120" s="92"/>
      <c r="U2120" s="1214"/>
      <c r="V2120" s="1215"/>
      <c r="W2120" s="168"/>
      <c r="X2120" s="170"/>
    </row>
    <row r="2121" spans="1:24" ht="12.75" customHeight="1">
      <c r="A2121" s="15"/>
      <c r="B2121" s="92" t="str">
        <f t="shared" si="349"/>
        <v/>
      </c>
      <c r="C2121" s="90"/>
      <c r="D2121" s="87"/>
      <c r="E2121" s="88"/>
      <c r="F2121" s="173"/>
      <c r="G2121" s="88"/>
      <c r="H2121" s="88"/>
      <c r="I2121" s="88"/>
      <c r="J2121" s="88"/>
      <c r="K2121" s="230"/>
      <c r="L2121" s="88"/>
      <c r="M2121" s="88"/>
      <c r="N2121" s="88"/>
      <c r="O2121" s="88"/>
      <c r="P2121" s="88"/>
      <c r="Q2121" s="88"/>
      <c r="R2121" s="88"/>
      <c r="S2121" s="620"/>
      <c r="T2121" s="92"/>
      <c r="U2121" s="1214"/>
      <c r="V2121" s="1215"/>
      <c r="W2121" s="168"/>
      <c r="X2121" s="170"/>
    </row>
    <row r="2122" spans="1:24" ht="12.75" customHeight="1">
      <c r="A2122" s="15"/>
      <c r="B2122" s="92" t="str">
        <f t="shared" si="349"/>
        <v/>
      </c>
      <c r="C2122" s="90"/>
      <c r="D2122" s="87"/>
      <c r="E2122" s="88"/>
      <c r="F2122" s="173"/>
      <c r="G2122" s="88"/>
      <c r="H2122" s="88"/>
      <c r="I2122" s="88"/>
      <c r="J2122" s="88"/>
      <c r="K2122" s="230"/>
      <c r="L2122" s="88"/>
      <c r="M2122" s="88"/>
      <c r="N2122" s="88"/>
      <c r="O2122" s="88"/>
      <c r="P2122" s="88"/>
      <c r="Q2122" s="88"/>
      <c r="R2122" s="88"/>
      <c r="S2122" s="620"/>
      <c r="T2122" s="92"/>
      <c r="U2122" s="1214"/>
      <c r="V2122" s="1215"/>
      <c r="W2122" s="168"/>
      <c r="X2122" s="170"/>
    </row>
    <row r="2123" spans="1:24" ht="12.75" customHeight="1">
      <c r="A2123" s="15"/>
      <c r="B2123" s="92" t="str">
        <f t="shared" si="349"/>
        <v/>
      </c>
      <c r="C2123" s="90"/>
      <c r="D2123" s="87"/>
      <c r="E2123" s="88"/>
      <c r="F2123" s="173"/>
      <c r="G2123" s="88"/>
      <c r="H2123" s="88"/>
      <c r="I2123" s="88"/>
      <c r="J2123" s="88"/>
      <c r="K2123" s="230"/>
      <c r="L2123" s="88"/>
      <c r="M2123" s="88"/>
      <c r="N2123" s="88"/>
      <c r="O2123" s="88"/>
      <c r="P2123" s="88"/>
      <c r="Q2123" s="88"/>
      <c r="R2123" s="88"/>
      <c r="S2123" s="620"/>
      <c r="T2123" s="92"/>
      <c r="U2123" s="1214"/>
      <c r="V2123" s="1215"/>
      <c r="W2123" s="168"/>
      <c r="X2123" s="170"/>
    </row>
    <row r="2124" spans="1:24" ht="12.75" customHeight="1">
      <c r="A2124" s="15"/>
      <c r="B2124" s="92" t="str">
        <f t="shared" si="349"/>
        <v/>
      </c>
      <c r="C2124" s="90"/>
      <c r="D2124" s="87"/>
      <c r="E2124" s="88"/>
      <c r="F2124" s="173"/>
      <c r="G2124" s="88"/>
      <c r="H2124" s="88"/>
      <c r="I2124" s="88"/>
      <c r="J2124" s="88"/>
      <c r="K2124" s="230"/>
      <c r="L2124" s="88"/>
      <c r="M2124" s="88"/>
      <c r="N2124" s="88"/>
      <c r="O2124" s="88"/>
      <c r="P2124" s="88"/>
      <c r="Q2124" s="88"/>
      <c r="R2124" s="88"/>
      <c r="S2124" s="620"/>
      <c r="T2124" s="92"/>
      <c r="U2124" s="1214"/>
      <c r="V2124" s="1215"/>
      <c r="W2124" s="168"/>
      <c r="X2124" s="170"/>
    </row>
    <row r="2125" spans="1:24" ht="12.75" customHeight="1">
      <c r="A2125" s="15"/>
      <c r="B2125" s="92" t="str">
        <f t="shared" si="349"/>
        <v/>
      </c>
      <c r="C2125" s="90"/>
      <c r="D2125" s="87"/>
      <c r="E2125" s="88"/>
      <c r="F2125" s="173"/>
      <c r="G2125" s="88"/>
      <c r="H2125" s="88"/>
      <c r="I2125" s="88"/>
      <c r="J2125" s="88"/>
      <c r="K2125" s="230"/>
      <c r="L2125" s="88"/>
      <c r="M2125" s="88"/>
      <c r="N2125" s="88"/>
      <c r="O2125" s="88"/>
      <c r="P2125" s="88"/>
      <c r="Q2125" s="88"/>
      <c r="R2125" s="88"/>
      <c r="S2125" s="620"/>
      <c r="T2125" s="92"/>
      <c r="U2125" s="1214"/>
      <c r="V2125" s="1215"/>
      <c r="W2125" s="168"/>
      <c r="X2125" s="170"/>
    </row>
    <row r="2126" spans="1:24" ht="12.75" customHeight="1">
      <c r="A2126" s="15"/>
      <c r="B2126" s="92" t="str">
        <f t="shared" si="349"/>
        <v/>
      </c>
      <c r="C2126" s="90"/>
      <c r="D2126" s="87"/>
      <c r="E2126" s="88"/>
      <c r="F2126" s="173"/>
      <c r="G2126" s="88"/>
      <c r="H2126" s="88"/>
      <c r="I2126" s="88"/>
      <c r="J2126" s="88"/>
      <c r="K2126" s="230"/>
      <c r="L2126" s="88"/>
      <c r="M2126" s="88"/>
      <c r="N2126" s="88"/>
      <c r="O2126" s="88"/>
      <c r="P2126" s="88"/>
      <c r="Q2126" s="88"/>
      <c r="R2126" s="88"/>
      <c r="S2126" s="620"/>
      <c r="T2126" s="92"/>
      <c r="U2126" s="1214"/>
      <c r="V2126" s="1215"/>
      <c r="W2126" s="168"/>
      <c r="X2126" s="170"/>
    </row>
    <row r="2127" spans="1:24" ht="12.75" customHeight="1">
      <c r="A2127" s="15"/>
      <c r="B2127" s="92" t="str">
        <f t="shared" si="349"/>
        <v/>
      </c>
      <c r="C2127" s="90"/>
      <c r="D2127" s="87"/>
      <c r="E2127" s="88"/>
      <c r="F2127" s="173"/>
      <c r="G2127" s="88"/>
      <c r="H2127" s="88"/>
      <c r="I2127" s="88"/>
      <c r="J2127" s="88"/>
      <c r="K2127" s="230"/>
      <c r="L2127" s="88"/>
      <c r="M2127" s="88"/>
      <c r="N2127" s="88"/>
      <c r="O2127" s="88"/>
      <c r="P2127" s="88"/>
      <c r="Q2127" s="88"/>
      <c r="R2127" s="88"/>
      <c r="S2127" s="620"/>
      <c r="T2127" s="92"/>
      <c r="U2127" s="1214"/>
      <c r="V2127" s="1215"/>
      <c r="W2127" s="168"/>
      <c r="X2127" s="170"/>
    </row>
    <row r="2128" spans="1:24" ht="12.75" customHeight="1">
      <c r="A2128" s="15"/>
      <c r="B2128" s="92" t="str">
        <f t="shared" si="349"/>
        <v/>
      </c>
      <c r="C2128" s="90"/>
      <c r="D2128" s="87"/>
      <c r="E2128" s="88"/>
      <c r="F2128" s="173"/>
      <c r="G2128" s="88"/>
      <c r="H2128" s="88"/>
      <c r="I2128" s="88"/>
      <c r="J2128" s="88"/>
      <c r="K2128" s="230"/>
      <c r="L2128" s="88"/>
      <c r="M2128" s="88"/>
      <c r="N2128" s="88"/>
      <c r="O2128" s="88"/>
      <c r="P2128" s="88"/>
      <c r="Q2128" s="88"/>
      <c r="R2128" s="88"/>
      <c r="S2128" s="620"/>
      <c r="T2128" s="92"/>
      <c r="U2128" s="1214"/>
      <c r="V2128" s="1215"/>
      <c r="W2128" s="168"/>
      <c r="X2128" s="170"/>
    </row>
    <row r="2129" spans="1:24" ht="12.75" customHeight="1">
      <c r="A2129" s="15"/>
      <c r="B2129" s="92" t="str">
        <f t="shared" si="349"/>
        <v/>
      </c>
      <c r="C2129" s="90"/>
      <c r="D2129" s="87"/>
      <c r="E2129" s="88"/>
      <c r="F2129" s="173"/>
      <c r="G2129" s="88"/>
      <c r="H2129" s="88"/>
      <c r="I2129" s="88"/>
      <c r="J2129" s="88"/>
      <c r="K2129" s="230"/>
      <c r="L2129" s="88"/>
      <c r="M2129" s="88"/>
      <c r="N2129" s="88"/>
      <c r="O2129" s="88"/>
      <c r="P2129" s="88"/>
      <c r="Q2129" s="88"/>
      <c r="R2129" s="88"/>
      <c r="S2129" s="620"/>
      <c r="T2129" s="92"/>
      <c r="U2129" s="1214"/>
      <c r="V2129" s="1215"/>
      <c r="W2129" s="168"/>
      <c r="X2129" s="170"/>
    </row>
    <row r="2130" spans="1:24" ht="12.75" customHeight="1">
      <c r="A2130" s="15"/>
      <c r="B2130" s="92" t="str">
        <f t="shared" si="349"/>
        <v/>
      </c>
      <c r="C2130" s="90"/>
      <c r="D2130" s="87"/>
      <c r="E2130" s="88"/>
      <c r="F2130" s="173"/>
      <c r="G2130" s="88"/>
      <c r="H2130" s="88"/>
      <c r="I2130" s="88"/>
      <c r="J2130" s="88"/>
      <c r="K2130" s="230"/>
      <c r="L2130" s="88"/>
      <c r="M2130" s="88"/>
      <c r="N2130" s="88"/>
      <c r="O2130" s="88"/>
      <c r="P2130" s="88"/>
      <c r="Q2130" s="88"/>
      <c r="R2130" s="88"/>
      <c r="S2130" s="620"/>
      <c r="T2130" s="92"/>
      <c r="U2130" s="1214"/>
      <c r="V2130" s="1215"/>
      <c r="W2130" s="168"/>
      <c r="X2130" s="170"/>
    </row>
    <row r="2131" spans="1:24" ht="12.75" customHeight="1">
      <c r="A2131" s="15"/>
      <c r="B2131" s="92" t="str">
        <f t="shared" si="349"/>
        <v/>
      </c>
      <c r="C2131" s="90"/>
      <c r="D2131" s="87"/>
      <c r="E2131" s="88"/>
      <c r="F2131" s="173"/>
      <c r="G2131" s="88"/>
      <c r="H2131" s="88"/>
      <c r="I2131" s="88"/>
      <c r="J2131" s="88"/>
      <c r="K2131" s="230"/>
      <c r="L2131" s="88"/>
      <c r="M2131" s="88"/>
      <c r="N2131" s="88"/>
      <c r="O2131" s="88"/>
      <c r="P2131" s="88"/>
      <c r="Q2131" s="88"/>
      <c r="R2131" s="88"/>
      <c r="S2131" s="620"/>
      <c r="T2131" s="92"/>
      <c r="U2131" s="1214"/>
      <c r="V2131" s="1215"/>
      <c r="W2131" s="168"/>
      <c r="X2131" s="170"/>
    </row>
    <row r="2132" spans="1:24" ht="12.75" customHeight="1">
      <c r="A2132" s="15"/>
      <c r="B2132" s="92" t="str">
        <f t="shared" si="349"/>
        <v/>
      </c>
      <c r="C2132" s="90"/>
      <c r="D2132" s="87"/>
      <c r="E2132" s="88"/>
      <c r="F2132" s="173"/>
      <c r="G2132" s="88"/>
      <c r="H2132" s="88"/>
      <c r="I2132" s="88"/>
      <c r="J2132" s="88"/>
      <c r="K2132" s="230"/>
      <c r="L2132" s="88"/>
      <c r="M2132" s="88"/>
      <c r="N2132" s="88"/>
      <c r="O2132" s="88"/>
      <c r="P2132" s="88"/>
      <c r="Q2132" s="88"/>
      <c r="R2132" s="88"/>
      <c r="S2132" s="620"/>
      <c r="T2132" s="92"/>
      <c r="U2132" s="1214"/>
      <c r="V2132" s="1215"/>
      <c r="W2132" s="168"/>
      <c r="X2132" s="170"/>
    </row>
    <row r="2133" spans="1:24" ht="12.75" customHeight="1">
      <c r="A2133" s="15"/>
      <c r="B2133" s="92" t="str">
        <f t="shared" si="349"/>
        <v/>
      </c>
      <c r="C2133" s="90"/>
      <c r="D2133" s="87"/>
      <c r="E2133" s="88"/>
      <c r="F2133" s="173"/>
      <c r="G2133" s="88"/>
      <c r="H2133" s="88"/>
      <c r="I2133" s="88"/>
      <c r="J2133" s="88"/>
      <c r="K2133" s="230"/>
      <c r="L2133" s="88"/>
      <c r="M2133" s="88"/>
      <c r="N2133" s="88"/>
      <c r="O2133" s="88"/>
      <c r="P2133" s="88"/>
      <c r="Q2133" s="88"/>
      <c r="R2133" s="88"/>
      <c r="S2133" s="620"/>
      <c r="T2133" s="92"/>
      <c r="U2133" s="1214"/>
      <c r="V2133" s="1215"/>
      <c r="W2133" s="168"/>
      <c r="X2133" s="170"/>
    </row>
    <row r="2134" spans="1:24" ht="12.75" customHeight="1">
      <c r="A2134" s="15"/>
      <c r="B2134" s="92" t="str">
        <f t="shared" si="349"/>
        <v/>
      </c>
      <c r="C2134" s="90"/>
      <c r="D2134" s="87"/>
      <c r="E2134" s="88"/>
      <c r="F2134" s="173"/>
      <c r="G2134" s="88"/>
      <c r="H2134" s="88"/>
      <c r="I2134" s="88"/>
      <c r="J2134" s="88"/>
      <c r="K2134" s="230"/>
      <c r="L2134" s="88"/>
      <c r="M2134" s="88"/>
      <c r="N2134" s="88"/>
      <c r="O2134" s="88"/>
      <c r="P2134" s="88"/>
      <c r="Q2134" s="88"/>
      <c r="R2134" s="88"/>
      <c r="S2134" s="620"/>
      <c r="T2134" s="92"/>
      <c r="U2134" s="1214"/>
      <c r="V2134" s="1215"/>
      <c r="W2134" s="168"/>
      <c r="X2134" s="170"/>
    </row>
    <row r="2135" spans="1:24" ht="12.75" customHeight="1">
      <c r="A2135" s="15"/>
      <c r="B2135" s="92" t="str">
        <f t="shared" si="349"/>
        <v/>
      </c>
      <c r="C2135" s="90"/>
      <c r="D2135" s="87"/>
      <c r="E2135" s="88"/>
      <c r="F2135" s="173"/>
      <c r="G2135" s="88"/>
      <c r="H2135" s="88"/>
      <c r="I2135" s="88"/>
      <c r="J2135" s="88"/>
      <c r="K2135" s="230"/>
      <c r="L2135" s="88"/>
      <c r="M2135" s="88"/>
      <c r="N2135" s="88"/>
      <c r="O2135" s="88"/>
      <c r="P2135" s="88"/>
      <c r="Q2135" s="88"/>
      <c r="R2135" s="88"/>
      <c r="S2135" s="620"/>
      <c r="T2135" s="92"/>
      <c r="U2135" s="1214"/>
      <c r="V2135" s="1215"/>
      <c r="W2135" s="168"/>
      <c r="X2135" s="170"/>
    </row>
    <row r="2136" spans="1:24" ht="12.75" customHeight="1">
      <c r="A2136" s="15"/>
      <c r="B2136" s="92" t="str">
        <f t="shared" si="349"/>
        <v/>
      </c>
      <c r="C2136" s="90"/>
      <c r="D2136" s="87"/>
      <c r="E2136" s="88"/>
      <c r="F2136" s="173"/>
      <c r="G2136" s="88"/>
      <c r="H2136" s="88"/>
      <c r="I2136" s="88"/>
      <c r="J2136" s="88"/>
      <c r="K2136" s="230"/>
      <c r="L2136" s="88"/>
      <c r="M2136" s="88"/>
      <c r="N2136" s="88"/>
      <c r="O2136" s="88"/>
      <c r="P2136" s="88"/>
      <c r="Q2136" s="88"/>
      <c r="R2136" s="88"/>
      <c r="S2136" s="620"/>
      <c r="T2136" s="92"/>
      <c r="U2136" s="1214"/>
      <c r="V2136" s="1215"/>
      <c r="W2136" s="168"/>
      <c r="X2136" s="170"/>
    </row>
    <row r="2137" spans="1:24" ht="12.75" customHeight="1">
      <c r="A2137" s="15"/>
      <c r="B2137" s="92" t="str">
        <f t="shared" si="349"/>
        <v/>
      </c>
      <c r="C2137" s="90"/>
      <c r="D2137" s="87"/>
      <c r="E2137" s="88"/>
      <c r="F2137" s="173"/>
      <c r="G2137" s="88"/>
      <c r="H2137" s="88"/>
      <c r="I2137" s="88"/>
      <c r="J2137" s="88"/>
      <c r="K2137" s="230"/>
      <c r="L2137" s="88"/>
      <c r="M2137" s="88"/>
      <c r="N2137" s="88"/>
      <c r="O2137" s="88"/>
      <c r="P2137" s="88"/>
      <c r="Q2137" s="88"/>
      <c r="R2137" s="88"/>
      <c r="S2137" s="620"/>
      <c r="T2137" s="92"/>
      <c r="U2137" s="1214"/>
      <c r="V2137" s="1215"/>
      <c r="W2137" s="168"/>
      <c r="X2137" s="170"/>
    </row>
    <row r="2138" spans="1:24" ht="12.75" customHeight="1">
      <c r="A2138" s="15"/>
      <c r="B2138" s="92" t="str">
        <f t="shared" si="349"/>
        <v/>
      </c>
      <c r="C2138" s="90"/>
      <c r="D2138" s="87"/>
      <c r="E2138" s="88"/>
      <c r="F2138" s="173"/>
      <c r="G2138" s="88"/>
      <c r="H2138" s="88"/>
      <c r="I2138" s="88"/>
      <c r="J2138" s="88"/>
      <c r="K2138" s="230"/>
      <c r="L2138" s="88"/>
      <c r="M2138" s="88"/>
      <c r="N2138" s="88"/>
      <c r="O2138" s="88"/>
      <c r="P2138" s="88"/>
      <c r="Q2138" s="88"/>
      <c r="R2138" s="88"/>
      <c r="S2138" s="620"/>
      <c r="T2138" s="92"/>
      <c r="U2138" s="1214"/>
      <c r="V2138" s="1215"/>
      <c r="W2138" s="168"/>
      <c r="X2138" s="170"/>
    </row>
    <row r="2139" spans="1:24" ht="12.75" customHeight="1">
      <c r="A2139" s="15"/>
      <c r="B2139" s="92" t="str">
        <f t="shared" si="349"/>
        <v/>
      </c>
      <c r="C2139" s="90"/>
      <c r="D2139" s="87"/>
      <c r="E2139" s="88"/>
      <c r="F2139" s="173"/>
      <c r="G2139" s="88"/>
      <c r="H2139" s="88"/>
      <c r="I2139" s="88"/>
      <c r="J2139" s="88"/>
      <c r="K2139" s="230"/>
      <c r="L2139" s="88"/>
      <c r="M2139" s="88"/>
      <c r="N2139" s="88"/>
      <c r="O2139" s="88"/>
      <c r="P2139" s="88"/>
      <c r="Q2139" s="88"/>
      <c r="R2139" s="88"/>
      <c r="S2139" s="620"/>
      <c r="T2139" s="92"/>
      <c r="U2139" s="1214"/>
      <c r="V2139" s="1215"/>
      <c r="W2139" s="168"/>
      <c r="X2139" s="170"/>
    </row>
    <row r="2140" spans="1:24" ht="12.75" customHeight="1">
      <c r="A2140" s="15"/>
      <c r="B2140" s="92" t="str">
        <f t="shared" si="349"/>
        <v/>
      </c>
      <c r="C2140" s="90"/>
      <c r="D2140" s="87"/>
      <c r="E2140" s="88"/>
      <c r="F2140" s="173"/>
      <c r="G2140" s="88"/>
      <c r="H2140" s="88"/>
      <c r="I2140" s="88"/>
      <c r="J2140" s="88"/>
      <c r="K2140" s="230"/>
      <c r="L2140" s="88"/>
      <c r="M2140" s="88"/>
      <c r="N2140" s="88"/>
      <c r="O2140" s="88"/>
      <c r="P2140" s="88"/>
      <c r="Q2140" s="88"/>
      <c r="R2140" s="88"/>
      <c r="S2140" s="620"/>
      <c r="T2140" s="92"/>
      <c r="U2140" s="1214"/>
      <c r="V2140" s="1215"/>
      <c r="W2140" s="168"/>
      <c r="X2140" s="170"/>
    </row>
    <row r="2141" spans="1:24" ht="12.75" customHeight="1">
      <c r="A2141" s="15"/>
      <c r="B2141" s="92" t="str">
        <f t="shared" si="349"/>
        <v/>
      </c>
      <c r="C2141" s="90"/>
      <c r="D2141" s="87"/>
      <c r="E2141" s="88"/>
      <c r="F2141" s="173"/>
      <c r="G2141" s="88"/>
      <c r="H2141" s="88"/>
      <c r="I2141" s="88"/>
      <c r="J2141" s="88"/>
      <c r="K2141" s="230"/>
      <c r="L2141" s="88"/>
      <c r="M2141" s="88"/>
      <c r="N2141" s="88"/>
      <c r="O2141" s="88"/>
      <c r="P2141" s="88"/>
      <c r="Q2141" s="88"/>
      <c r="R2141" s="88"/>
      <c r="S2141" s="620"/>
      <c r="T2141" s="92"/>
      <c r="U2141" s="1214"/>
      <c r="V2141" s="1215"/>
      <c r="W2141" s="168"/>
      <c r="X2141" s="170"/>
    </row>
    <row r="2142" spans="1:24" ht="12.75" customHeight="1">
      <c r="A2142" s="15"/>
      <c r="B2142" s="92" t="str">
        <f t="shared" si="349"/>
        <v/>
      </c>
      <c r="C2142" s="90"/>
      <c r="D2142" s="87"/>
      <c r="E2142" s="88"/>
      <c r="F2142" s="173"/>
      <c r="G2142" s="88"/>
      <c r="H2142" s="88"/>
      <c r="I2142" s="88"/>
      <c r="J2142" s="88"/>
      <c r="K2142" s="230"/>
      <c r="L2142" s="88"/>
      <c r="M2142" s="88"/>
      <c r="N2142" s="88"/>
      <c r="O2142" s="88"/>
      <c r="P2142" s="88"/>
      <c r="Q2142" s="88"/>
      <c r="R2142" s="88"/>
      <c r="S2142" s="620"/>
      <c r="T2142" s="92"/>
      <c r="U2142" s="1214"/>
      <c r="V2142" s="1215"/>
      <c r="W2142" s="168"/>
      <c r="X2142" s="170"/>
    </row>
    <row r="2143" spans="1:24" ht="12.75" customHeight="1">
      <c r="A2143" s="15"/>
      <c r="B2143" s="92" t="str">
        <f t="shared" si="349"/>
        <v/>
      </c>
      <c r="C2143" s="90"/>
      <c r="D2143" s="87"/>
      <c r="E2143" s="88"/>
      <c r="F2143" s="173"/>
      <c r="G2143" s="88"/>
      <c r="H2143" s="88"/>
      <c r="I2143" s="88"/>
      <c r="J2143" s="88"/>
      <c r="K2143" s="230"/>
      <c r="L2143" s="88"/>
      <c r="M2143" s="88"/>
      <c r="N2143" s="88"/>
      <c r="O2143" s="88"/>
      <c r="P2143" s="88"/>
      <c r="Q2143" s="88"/>
      <c r="R2143" s="88"/>
      <c r="S2143" s="620"/>
      <c r="T2143" s="92"/>
      <c r="U2143" s="1214"/>
      <c r="V2143" s="1215"/>
      <c r="W2143" s="168"/>
      <c r="X2143" s="170"/>
    </row>
    <row r="2144" spans="1:24" ht="12.75" customHeight="1">
      <c r="A2144" s="15"/>
      <c r="B2144" s="92" t="str">
        <f t="shared" si="349"/>
        <v/>
      </c>
      <c r="C2144" s="90"/>
      <c r="D2144" s="87"/>
      <c r="E2144" s="88"/>
      <c r="F2144" s="173"/>
      <c r="G2144" s="88"/>
      <c r="H2144" s="88"/>
      <c r="I2144" s="88"/>
      <c r="J2144" s="88"/>
      <c r="K2144" s="230"/>
      <c r="L2144" s="88"/>
      <c r="M2144" s="88"/>
      <c r="N2144" s="88"/>
      <c r="O2144" s="88"/>
      <c r="P2144" s="88"/>
      <c r="Q2144" s="88"/>
      <c r="R2144" s="88"/>
      <c r="S2144" s="620"/>
      <c r="T2144" s="92"/>
      <c r="U2144" s="1214"/>
      <c r="V2144" s="1215"/>
      <c r="W2144" s="168"/>
      <c r="X2144" s="170"/>
    </row>
    <row r="2145" spans="1:24" ht="12.75" customHeight="1">
      <c r="A2145" s="15"/>
      <c r="B2145" s="92" t="str">
        <f t="shared" si="349"/>
        <v/>
      </c>
      <c r="C2145" s="90"/>
      <c r="D2145" s="87"/>
      <c r="E2145" s="88"/>
      <c r="F2145" s="173"/>
      <c r="G2145" s="88"/>
      <c r="H2145" s="88"/>
      <c r="I2145" s="88"/>
      <c r="J2145" s="88"/>
      <c r="K2145" s="230"/>
      <c r="L2145" s="88"/>
      <c r="M2145" s="88"/>
      <c r="N2145" s="88"/>
      <c r="O2145" s="88"/>
      <c r="P2145" s="88"/>
      <c r="Q2145" s="88"/>
      <c r="R2145" s="88"/>
      <c r="S2145" s="620"/>
      <c r="T2145" s="92"/>
      <c r="U2145" s="1214"/>
      <c r="V2145" s="1215"/>
      <c r="W2145" s="168"/>
      <c r="X2145" s="170"/>
    </row>
    <row r="2146" spans="1:24" ht="12.75" customHeight="1">
      <c r="A2146" s="15"/>
      <c r="B2146" s="92" t="str">
        <f t="shared" si="349"/>
        <v/>
      </c>
      <c r="C2146" s="90"/>
      <c r="D2146" s="87"/>
      <c r="E2146" s="88"/>
      <c r="F2146" s="173"/>
      <c r="G2146" s="88"/>
      <c r="H2146" s="88"/>
      <c r="I2146" s="88"/>
      <c r="J2146" s="88"/>
      <c r="K2146" s="230"/>
      <c r="L2146" s="88"/>
      <c r="M2146" s="88"/>
      <c r="N2146" s="88"/>
      <c r="O2146" s="88"/>
      <c r="P2146" s="88"/>
      <c r="Q2146" s="88"/>
      <c r="R2146" s="88"/>
      <c r="S2146" s="620"/>
      <c r="T2146" s="92"/>
      <c r="U2146" s="1214"/>
      <c r="V2146" s="1215"/>
      <c r="W2146" s="168"/>
      <c r="X2146" s="170"/>
    </row>
    <row r="2147" spans="1:24" ht="12.75" customHeight="1">
      <c r="A2147" s="15"/>
      <c r="B2147" s="92" t="str">
        <f t="shared" si="349"/>
        <v/>
      </c>
      <c r="C2147" s="90"/>
      <c r="D2147" s="87"/>
      <c r="E2147" s="88"/>
      <c r="F2147" s="173"/>
      <c r="G2147" s="88"/>
      <c r="H2147" s="88"/>
      <c r="I2147" s="88"/>
      <c r="J2147" s="88"/>
      <c r="K2147" s="230"/>
      <c r="L2147" s="88"/>
      <c r="M2147" s="88"/>
      <c r="N2147" s="88"/>
      <c r="O2147" s="88"/>
      <c r="P2147" s="88"/>
      <c r="Q2147" s="88"/>
      <c r="R2147" s="88"/>
      <c r="S2147" s="620"/>
      <c r="T2147" s="92"/>
      <c r="U2147" s="1214"/>
      <c r="V2147" s="1215"/>
      <c r="W2147" s="168"/>
      <c r="X2147" s="170"/>
    </row>
    <row r="2148" spans="1:24" ht="12.75" customHeight="1">
      <c r="A2148" s="15"/>
      <c r="B2148" s="92" t="str">
        <f t="shared" si="349"/>
        <v/>
      </c>
      <c r="C2148" s="90"/>
      <c r="D2148" s="87"/>
      <c r="E2148" s="88"/>
      <c r="F2148" s="173"/>
      <c r="G2148" s="88"/>
      <c r="H2148" s="88"/>
      <c r="I2148" s="88"/>
      <c r="J2148" s="88"/>
      <c r="K2148" s="230"/>
      <c r="L2148" s="88"/>
      <c r="M2148" s="88"/>
      <c r="N2148" s="88"/>
      <c r="O2148" s="88"/>
      <c r="P2148" s="88"/>
      <c r="Q2148" s="88"/>
      <c r="R2148" s="88"/>
      <c r="S2148" s="620"/>
      <c r="T2148" s="92"/>
      <c r="U2148" s="1214"/>
      <c r="V2148" s="1215"/>
      <c r="W2148" s="168"/>
      <c r="X2148" s="170"/>
    </row>
    <row r="2149" spans="1:24" ht="12.75" customHeight="1">
      <c r="A2149" s="15"/>
      <c r="B2149" s="92" t="str">
        <f t="shared" si="349"/>
        <v/>
      </c>
      <c r="C2149" s="90"/>
      <c r="D2149" s="87"/>
      <c r="E2149" s="88"/>
      <c r="F2149" s="173"/>
      <c r="G2149" s="88"/>
      <c r="H2149" s="88"/>
      <c r="I2149" s="88"/>
      <c r="J2149" s="88"/>
      <c r="K2149" s="230"/>
      <c r="L2149" s="88"/>
      <c r="M2149" s="88"/>
      <c r="N2149" s="88"/>
      <c r="O2149" s="88"/>
      <c r="P2149" s="88"/>
      <c r="Q2149" s="88"/>
      <c r="R2149" s="88"/>
      <c r="S2149" s="620"/>
      <c r="T2149" s="92"/>
      <c r="U2149" s="1214"/>
      <c r="V2149" s="1215"/>
      <c r="W2149" s="168"/>
      <c r="X2149" s="170"/>
    </row>
    <row r="2150" spans="1:24" ht="12.75" customHeight="1">
      <c r="A2150" s="15"/>
      <c r="B2150" s="92" t="str">
        <f t="shared" si="349"/>
        <v/>
      </c>
      <c r="C2150" s="90"/>
      <c r="D2150" s="87"/>
      <c r="E2150" s="88"/>
      <c r="F2150" s="173"/>
      <c r="G2150" s="88"/>
      <c r="H2150" s="88"/>
      <c r="I2150" s="88"/>
      <c r="J2150" s="88"/>
      <c r="K2150" s="230"/>
      <c r="L2150" s="88"/>
      <c r="M2150" s="88"/>
      <c r="N2150" s="88"/>
      <c r="O2150" s="88"/>
      <c r="P2150" s="88"/>
      <c r="Q2150" s="88"/>
      <c r="R2150" s="88"/>
      <c r="S2150" s="620"/>
      <c r="T2150" s="92"/>
      <c r="U2150" s="1214"/>
      <c r="V2150" s="1215"/>
      <c r="W2150" s="168"/>
      <c r="X2150" s="170"/>
    </row>
    <row r="2151" spans="1:24" ht="12.75" customHeight="1">
      <c r="A2151" s="15"/>
      <c r="B2151" s="92" t="str">
        <f t="shared" si="349"/>
        <v/>
      </c>
      <c r="C2151" s="90"/>
      <c r="D2151" s="87"/>
      <c r="E2151" s="88"/>
      <c r="F2151" s="173"/>
      <c r="G2151" s="88"/>
      <c r="H2151" s="88"/>
      <c r="I2151" s="88"/>
      <c r="J2151" s="88"/>
      <c r="K2151" s="230"/>
      <c r="L2151" s="88"/>
      <c r="M2151" s="88"/>
      <c r="N2151" s="88"/>
      <c r="O2151" s="88"/>
      <c r="P2151" s="88"/>
      <c r="Q2151" s="88"/>
      <c r="R2151" s="88"/>
      <c r="S2151" s="620"/>
      <c r="T2151" s="92"/>
      <c r="U2151" s="1214"/>
      <c r="V2151" s="1215"/>
      <c r="W2151" s="168"/>
      <c r="X2151" s="170"/>
    </row>
    <row r="2152" spans="1:24" ht="12.75" customHeight="1">
      <c r="A2152" s="15"/>
      <c r="B2152" s="92" t="str">
        <f t="shared" si="349"/>
        <v/>
      </c>
      <c r="C2152" s="90"/>
      <c r="D2152" s="87"/>
      <c r="E2152" s="88"/>
      <c r="F2152" s="173"/>
      <c r="G2152" s="88"/>
      <c r="H2152" s="88"/>
      <c r="I2152" s="88"/>
      <c r="J2152" s="88"/>
      <c r="K2152" s="230"/>
      <c r="L2152" s="88"/>
      <c r="M2152" s="88"/>
      <c r="N2152" s="88"/>
      <c r="O2152" s="88"/>
      <c r="P2152" s="88"/>
      <c r="Q2152" s="88"/>
      <c r="R2152" s="88"/>
      <c r="S2152" s="620"/>
      <c r="T2152" s="92"/>
      <c r="U2152" s="1214"/>
      <c r="V2152" s="1215"/>
      <c r="W2152" s="168"/>
      <c r="X2152" s="170"/>
    </row>
    <row r="2153" spans="1:24" ht="12.75" customHeight="1">
      <c r="A2153" s="15"/>
      <c r="B2153" s="92" t="str">
        <f t="shared" si="349"/>
        <v/>
      </c>
      <c r="C2153" s="90"/>
      <c r="D2153" s="87"/>
      <c r="E2153" s="88"/>
      <c r="F2153" s="173"/>
      <c r="G2153" s="88"/>
      <c r="H2153" s="88"/>
      <c r="I2153" s="88"/>
      <c r="J2153" s="88"/>
      <c r="K2153" s="230"/>
      <c r="L2153" s="88"/>
      <c r="M2153" s="88"/>
      <c r="N2153" s="88"/>
      <c r="O2153" s="88"/>
      <c r="P2153" s="88"/>
      <c r="Q2153" s="88"/>
      <c r="R2153" s="88"/>
      <c r="S2153" s="620"/>
      <c r="T2153" s="92"/>
      <c r="U2153" s="1214"/>
      <c r="V2153" s="1215"/>
      <c r="W2153" s="168"/>
      <c r="X2153" s="170"/>
    </row>
    <row r="2154" spans="1:24" ht="12.75" customHeight="1">
      <c r="A2154" s="15"/>
      <c r="B2154" s="92" t="str">
        <f t="shared" si="349"/>
        <v/>
      </c>
      <c r="C2154" s="90"/>
      <c r="D2154" s="87"/>
      <c r="E2154" s="88"/>
      <c r="F2154" s="173"/>
      <c r="G2154" s="88"/>
      <c r="H2154" s="88"/>
      <c r="I2154" s="88"/>
      <c r="J2154" s="88"/>
      <c r="K2154" s="230"/>
      <c r="L2154" s="88"/>
      <c r="M2154" s="88"/>
      <c r="N2154" s="88"/>
      <c r="O2154" s="88"/>
      <c r="P2154" s="88"/>
      <c r="Q2154" s="88"/>
      <c r="R2154" s="88"/>
      <c r="S2154" s="620"/>
      <c r="T2154" s="92"/>
      <c r="U2154" s="1214"/>
      <c r="V2154" s="1215"/>
      <c r="W2154" s="168"/>
      <c r="X2154" s="170"/>
    </row>
    <row r="2155" spans="1:24" ht="12.75" customHeight="1">
      <c r="A2155" s="15"/>
      <c r="B2155" s="92" t="str">
        <f t="shared" si="349"/>
        <v/>
      </c>
      <c r="C2155" s="90"/>
      <c r="D2155" s="87"/>
      <c r="E2155" s="88"/>
      <c r="F2155" s="173"/>
      <c r="G2155" s="88"/>
      <c r="H2155" s="88"/>
      <c r="I2155" s="88"/>
      <c r="J2155" s="88"/>
      <c r="K2155" s="230"/>
      <c r="L2155" s="88"/>
      <c r="M2155" s="88"/>
      <c r="N2155" s="88"/>
      <c r="O2155" s="88"/>
      <c r="P2155" s="88"/>
      <c r="Q2155" s="88"/>
      <c r="R2155" s="88"/>
      <c r="S2155" s="620"/>
      <c r="T2155" s="92"/>
      <c r="U2155" s="1214"/>
      <c r="V2155" s="1215"/>
      <c r="W2155" s="168"/>
      <c r="X2155" s="170"/>
    </row>
    <row r="2156" spans="1:24" ht="12.75" customHeight="1">
      <c r="A2156" s="15"/>
      <c r="B2156" s="92" t="str">
        <f t="shared" si="349"/>
        <v/>
      </c>
      <c r="C2156" s="90"/>
      <c r="D2156" s="87"/>
      <c r="E2156" s="88"/>
      <c r="F2156" s="173"/>
      <c r="G2156" s="88"/>
      <c r="H2156" s="88"/>
      <c r="I2156" s="88"/>
      <c r="J2156" s="88"/>
      <c r="K2156" s="230"/>
      <c r="L2156" s="88"/>
      <c r="M2156" s="88"/>
      <c r="N2156" s="88"/>
      <c r="O2156" s="88"/>
      <c r="P2156" s="88"/>
      <c r="Q2156" s="88"/>
      <c r="R2156" s="88"/>
      <c r="S2156" s="620"/>
      <c r="T2156" s="92"/>
      <c r="U2156" s="1214"/>
      <c r="V2156" s="1215"/>
      <c r="W2156" s="168"/>
      <c r="X2156" s="170"/>
    </row>
    <row r="2157" spans="1:24" ht="12.75" customHeight="1">
      <c r="A2157" s="15"/>
      <c r="B2157" s="92" t="str">
        <f t="shared" si="349"/>
        <v/>
      </c>
      <c r="C2157" s="90"/>
      <c r="D2157" s="87"/>
      <c r="E2157" s="88"/>
      <c r="F2157" s="173"/>
      <c r="G2157" s="88"/>
      <c r="H2157" s="88"/>
      <c r="I2157" s="88"/>
      <c r="J2157" s="88"/>
      <c r="K2157" s="230"/>
      <c r="L2157" s="88"/>
      <c r="M2157" s="88"/>
      <c r="N2157" s="88"/>
      <c r="O2157" s="88"/>
      <c r="P2157" s="88"/>
      <c r="Q2157" s="88"/>
      <c r="R2157" s="88"/>
      <c r="S2157" s="620"/>
      <c r="T2157" s="92"/>
      <c r="U2157" s="1214"/>
      <c r="V2157" s="1215"/>
      <c r="W2157" s="168"/>
      <c r="X2157" s="170"/>
    </row>
    <row r="2158" spans="1:24" ht="12.75" customHeight="1">
      <c r="A2158" s="15"/>
      <c r="B2158" s="92" t="str">
        <f t="shared" si="349"/>
        <v/>
      </c>
      <c r="C2158" s="90"/>
      <c r="D2158" s="87"/>
      <c r="E2158" s="88"/>
      <c r="F2158" s="173"/>
      <c r="G2158" s="88"/>
      <c r="H2158" s="88"/>
      <c r="I2158" s="88"/>
      <c r="J2158" s="88"/>
      <c r="K2158" s="230"/>
      <c r="L2158" s="88"/>
      <c r="M2158" s="88"/>
      <c r="N2158" s="88"/>
      <c r="O2158" s="88"/>
      <c r="P2158" s="88"/>
      <c r="Q2158" s="88"/>
      <c r="R2158" s="88"/>
      <c r="S2158" s="620"/>
      <c r="T2158" s="92"/>
      <c r="U2158" s="1214"/>
      <c r="V2158" s="1215"/>
      <c r="W2158" s="168"/>
      <c r="X2158" s="170"/>
    </row>
    <row r="2159" spans="1:24" ht="12.75" customHeight="1">
      <c r="A2159" s="15"/>
      <c r="B2159" s="92" t="str">
        <f t="shared" ref="B2159:B2222" si="350">IF(C2159="","",ROW()-5)</f>
        <v/>
      </c>
      <c r="C2159" s="90"/>
      <c r="D2159" s="87"/>
      <c r="E2159" s="88"/>
      <c r="F2159" s="173"/>
      <c r="G2159" s="88"/>
      <c r="H2159" s="88"/>
      <c r="I2159" s="88"/>
      <c r="J2159" s="88"/>
      <c r="K2159" s="230"/>
      <c r="L2159" s="88"/>
      <c r="M2159" s="88"/>
      <c r="N2159" s="88"/>
      <c r="O2159" s="88"/>
      <c r="P2159" s="88"/>
      <c r="Q2159" s="88"/>
      <c r="R2159" s="88"/>
      <c r="S2159" s="620"/>
      <c r="T2159" s="92"/>
      <c r="U2159" s="1214"/>
      <c r="V2159" s="1215"/>
      <c r="W2159" s="168"/>
      <c r="X2159" s="170"/>
    </row>
    <row r="2160" spans="1:24" ht="12.75" customHeight="1">
      <c r="A2160" s="15"/>
      <c r="B2160" s="92" t="str">
        <f t="shared" si="350"/>
        <v/>
      </c>
      <c r="C2160" s="90"/>
      <c r="D2160" s="87"/>
      <c r="E2160" s="88"/>
      <c r="F2160" s="173"/>
      <c r="G2160" s="88"/>
      <c r="H2160" s="88"/>
      <c r="I2160" s="88"/>
      <c r="J2160" s="88"/>
      <c r="K2160" s="230"/>
      <c r="L2160" s="88"/>
      <c r="M2160" s="88"/>
      <c r="N2160" s="88"/>
      <c r="O2160" s="88"/>
      <c r="P2160" s="88"/>
      <c r="Q2160" s="88"/>
      <c r="R2160" s="88"/>
      <c r="S2160" s="620"/>
      <c r="T2160" s="92"/>
      <c r="U2160" s="1214"/>
      <c r="V2160" s="1215"/>
      <c r="W2160" s="168"/>
      <c r="X2160" s="170"/>
    </row>
    <row r="2161" spans="1:24" ht="12.75" customHeight="1">
      <c r="A2161" s="15"/>
      <c r="B2161" s="92" t="str">
        <f t="shared" si="350"/>
        <v/>
      </c>
      <c r="C2161" s="90"/>
      <c r="D2161" s="87"/>
      <c r="E2161" s="88"/>
      <c r="F2161" s="173"/>
      <c r="G2161" s="88"/>
      <c r="H2161" s="88"/>
      <c r="I2161" s="88"/>
      <c r="J2161" s="88"/>
      <c r="K2161" s="230"/>
      <c r="L2161" s="88"/>
      <c r="M2161" s="88"/>
      <c r="N2161" s="88"/>
      <c r="O2161" s="88"/>
      <c r="P2161" s="88"/>
      <c r="Q2161" s="88"/>
      <c r="R2161" s="88"/>
      <c r="S2161" s="620"/>
      <c r="T2161" s="92"/>
      <c r="U2161" s="1214"/>
      <c r="V2161" s="1215"/>
      <c r="W2161" s="168"/>
      <c r="X2161" s="170"/>
    </row>
    <row r="2162" spans="1:24" ht="12.75" customHeight="1">
      <c r="A2162" s="15"/>
      <c r="B2162" s="92" t="str">
        <f t="shared" si="350"/>
        <v/>
      </c>
      <c r="C2162" s="90"/>
      <c r="D2162" s="87"/>
      <c r="E2162" s="88"/>
      <c r="F2162" s="173"/>
      <c r="G2162" s="88"/>
      <c r="H2162" s="88"/>
      <c r="I2162" s="88"/>
      <c r="J2162" s="88"/>
      <c r="K2162" s="230"/>
      <c r="L2162" s="88"/>
      <c r="M2162" s="88"/>
      <c r="N2162" s="88"/>
      <c r="O2162" s="88"/>
      <c r="P2162" s="88"/>
      <c r="Q2162" s="88"/>
      <c r="R2162" s="88"/>
      <c r="S2162" s="620"/>
      <c r="T2162" s="92"/>
      <c r="U2162" s="1214"/>
      <c r="V2162" s="1215"/>
      <c r="W2162" s="168"/>
      <c r="X2162" s="170"/>
    </row>
    <row r="2163" spans="1:24" ht="12.75" customHeight="1">
      <c r="A2163" s="15"/>
      <c r="B2163" s="92" t="str">
        <f t="shared" si="350"/>
        <v/>
      </c>
      <c r="C2163" s="90"/>
      <c r="D2163" s="87"/>
      <c r="E2163" s="88"/>
      <c r="F2163" s="173"/>
      <c r="G2163" s="88"/>
      <c r="H2163" s="88"/>
      <c r="I2163" s="88"/>
      <c r="J2163" s="88"/>
      <c r="K2163" s="230"/>
      <c r="L2163" s="88"/>
      <c r="M2163" s="88"/>
      <c r="N2163" s="88"/>
      <c r="O2163" s="88"/>
      <c r="P2163" s="88"/>
      <c r="Q2163" s="88"/>
      <c r="R2163" s="88"/>
      <c r="S2163" s="620"/>
      <c r="T2163" s="92"/>
      <c r="U2163" s="1214"/>
      <c r="V2163" s="1215"/>
      <c r="W2163" s="168"/>
      <c r="X2163" s="170"/>
    </row>
    <row r="2164" spans="1:24" ht="12.75" customHeight="1">
      <c r="A2164" s="15"/>
      <c r="B2164" s="92" t="str">
        <f t="shared" si="350"/>
        <v/>
      </c>
      <c r="C2164" s="90"/>
      <c r="D2164" s="87"/>
      <c r="E2164" s="88"/>
      <c r="F2164" s="173"/>
      <c r="G2164" s="88"/>
      <c r="H2164" s="88"/>
      <c r="I2164" s="88"/>
      <c r="J2164" s="88"/>
      <c r="K2164" s="230"/>
      <c r="L2164" s="88"/>
      <c r="M2164" s="88"/>
      <c r="N2164" s="88"/>
      <c r="O2164" s="88"/>
      <c r="P2164" s="88"/>
      <c r="Q2164" s="88"/>
      <c r="R2164" s="88"/>
      <c r="S2164" s="620"/>
      <c r="T2164" s="92"/>
      <c r="U2164" s="1214"/>
      <c r="V2164" s="1215"/>
      <c r="W2164" s="168"/>
      <c r="X2164" s="170"/>
    </row>
    <row r="2165" spans="1:24" ht="12.75" customHeight="1">
      <c r="A2165" s="15"/>
      <c r="B2165" s="92" t="str">
        <f t="shared" si="350"/>
        <v/>
      </c>
      <c r="C2165" s="90"/>
      <c r="D2165" s="87"/>
      <c r="E2165" s="88"/>
      <c r="F2165" s="173"/>
      <c r="G2165" s="88"/>
      <c r="H2165" s="88"/>
      <c r="I2165" s="88"/>
      <c r="J2165" s="88"/>
      <c r="K2165" s="230"/>
      <c r="L2165" s="88"/>
      <c r="M2165" s="88"/>
      <c r="N2165" s="88"/>
      <c r="O2165" s="88"/>
      <c r="P2165" s="88"/>
      <c r="Q2165" s="88"/>
      <c r="R2165" s="88"/>
      <c r="S2165" s="620"/>
      <c r="T2165" s="92"/>
      <c r="U2165" s="1214"/>
      <c r="V2165" s="1215"/>
      <c r="W2165" s="168"/>
      <c r="X2165" s="170"/>
    </row>
    <row r="2166" spans="1:24" ht="12.75" customHeight="1">
      <c r="A2166" s="15"/>
      <c r="B2166" s="92" t="str">
        <f t="shared" si="350"/>
        <v/>
      </c>
      <c r="C2166" s="90"/>
      <c r="D2166" s="87"/>
      <c r="E2166" s="88"/>
      <c r="F2166" s="173"/>
      <c r="G2166" s="88"/>
      <c r="H2166" s="88"/>
      <c r="I2166" s="88"/>
      <c r="J2166" s="88"/>
      <c r="K2166" s="230"/>
      <c r="L2166" s="88"/>
      <c r="M2166" s="88"/>
      <c r="N2166" s="88"/>
      <c r="O2166" s="88"/>
      <c r="P2166" s="88"/>
      <c r="Q2166" s="88"/>
      <c r="R2166" s="88"/>
      <c r="S2166" s="620"/>
      <c r="T2166" s="92"/>
      <c r="U2166" s="1214"/>
      <c r="V2166" s="1215"/>
      <c r="W2166" s="168"/>
      <c r="X2166" s="170"/>
    </row>
    <row r="2167" spans="1:24" ht="12.75" customHeight="1">
      <c r="A2167" s="15"/>
      <c r="B2167" s="92" t="str">
        <f t="shared" si="350"/>
        <v/>
      </c>
      <c r="C2167" s="90"/>
      <c r="D2167" s="87"/>
      <c r="E2167" s="88"/>
      <c r="F2167" s="173"/>
      <c r="G2167" s="88"/>
      <c r="H2167" s="88"/>
      <c r="I2167" s="88"/>
      <c r="J2167" s="88"/>
      <c r="K2167" s="230"/>
      <c r="L2167" s="88"/>
      <c r="M2167" s="88"/>
      <c r="N2167" s="88"/>
      <c r="O2167" s="88"/>
      <c r="P2167" s="88"/>
      <c r="Q2167" s="88"/>
      <c r="R2167" s="88"/>
      <c r="S2167" s="620"/>
      <c r="T2167" s="92"/>
      <c r="U2167" s="1214"/>
      <c r="V2167" s="1215"/>
      <c r="W2167" s="168"/>
      <c r="X2167" s="170"/>
    </row>
    <row r="2168" spans="1:24" ht="12.75" customHeight="1">
      <c r="A2168" s="15"/>
      <c r="B2168" s="92" t="str">
        <f t="shared" si="350"/>
        <v/>
      </c>
      <c r="C2168" s="90"/>
      <c r="D2168" s="87"/>
      <c r="E2168" s="88"/>
      <c r="F2168" s="173"/>
      <c r="G2168" s="88"/>
      <c r="H2168" s="88"/>
      <c r="I2168" s="88"/>
      <c r="J2168" s="88"/>
      <c r="K2168" s="230"/>
      <c r="L2168" s="88"/>
      <c r="M2168" s="88"/>
      <c r="N2168" s="88"/>
      <c r="O2168" s="88"/>
      <c r="P2168" s="88"/>
      <c r="Q2168" s="88"/>
      <c r="R2168" s="88"/>
      <c r="S2168" s="620"/>
      <c r="T2168" s="92"/>
      <c r="U2168" s="1214"/>
      <c r="V2168" s="1215"/>
      <c r="W2168" s="168"/>
      <c r="X2168" s="170"/>
    </row>
    <row r="2169" spans="1:24" ht="12.75" customHeight="1">
      <c r="A2169" s="15"/>
      <c r="B2169" s="92" t="str">
        <f t="shared" si="350"/>
        <v/>
      </c>
      <c r="C2169" s="90"/>
      <c r="D2169" s="87"/>
      <c r="E2169" s="88"/>
      <c r="F2169" s="173"/>
      <c r="G2169" s="88"/>
      <c r="H2169" s="88"/>
      <c r="I2169" s="88"/>
      <c r="J2169" s="88"/>
      <c r="K2169" s="230"/>
      <c r="L2169" s="88"/>
      <c r="M2169" s="88"/>
      <c r="N2169" s="88"/>
      <c r="O2169" s="88"/>
      <c r="P2169" s="88"/>
      <c r="Q2169" s="88"/>
      <c r="R2169" s="88"/>
      <c r="S2169" s="620"/>
      <c r="T2169" s="92"/>
      <c r="U2169" s="1214"/>
      <c r="V2169" s="1215"/>
      <c r="W2169" s="168"/>
      <c r="X2169" s="170"/>
    </row>
    <row r="2170" spans="1:24" ht="12.75" customHeight="1">
      <c r="A2170" s="15"/>
      <c r="B2170" s="92" t="str">
        <f t="shared" si="350"/>
        <v/>
      </c>
      <c r="C2170" s="90"/>
      <c r="D2170" s="87"/>
      <c r="E2170" s="88"/>
      <c r="F2170" s="173"/>
      <c r="G2170" s="88"/>
      <c r="H2170" s="88"/>
      <c r="I2170" s="88"/>
      <c r="J2170" s="88"/>
      <c r="K2170" s="230"/>
      <c r="L2170" s="88"/>
      <c r="M2170" s="88"/>
      <c r="N2170" s="88"/>
      <c r="O2170" s="88"/>
      <c r="P2170" s="88"/>
      <c r="Q2170" s="88"/>
      <c r="R2170" s="88"/>
      <c r="S2170" s="620"/>
      <c r="T2170" s="92"/>
      <c r="U2170" s="1214"/>
      <c r="V2170" s="1215"/>
      <c r="W2170" s="168"/>
      <c r="X2170" s="170"/>
    </row>
    <row r="2171" spans="1:24" ht="12.75" customHeight="1">
      <c r="A2171" s="15"/>
      <c r="B2171" s="92" t="str">
        <f t="shared" si="350"/>
        <v/>
      </c>
      <c r="C2171" s="90"/>
      <c r="D2171" s="87"/>
      <c r="E2171" s="88"/>
      <c r="F2171" s="173"/>
      <c r="G2171" s="88"/>
      <c r="H2171" s="88"/>
      <c r="I2171" s="88"/>
      <c r="J2171" s="88"/>
      <c r="K2171" s="230"/>
      <c r="L2171" s="88"/>
      <c r="M2171" s="88"/>
      <c r="N2171" s="88"/>
      <c r="O2171" s="88"/>
      <c r="P2171" s="88"/>
      <c r="Q2171" s="88"/>
      <c r="R2171" s="88"/>
      <c r="S2171" s="620"/>
      <c r="T2171" s="92"/>
      <c r="U2171" s="1214"/>
      <c r="V2171" s="1215"/>
      <c r="W2171" s="168"/>
      <c r="X2171" s="170"/>
    </row>
    <row r="2172" spans="1:24" ht="12.75" customHeight="1">
      <c r="A2172" s="15"/>
      <c r="B2172" s="92" t="str">
        <f t="shared" si="350"/>
        <v/>
      </c>
      <c r="C2172" s="90"/>
      <c r="D2172" s="87"/>
      <c r="E2172" s="88"/>
      <c r="F2172" s="173"/>
      <c r="G2172" s="88"/>
      <c r="H2172" s="88"/>
      <c r="I2172" s="88"/>
      <c r="J2172" s="88"/>
      <c r="K2172" s="230"/>
      <c r="L2172" s="88"/>
      <c r="M2172" s="88"/>
      <c r="N2172" s="88"/>
      <c r="O2172" s="88"/>
      <c r="P2172" s="88"/>
      <c r="Q2172" s="88"/>
      <c r="R2172" s="88"/>
      <c r="S2172" s="620"/>
      <c r="T2172" s="92"/>
      <c r="U2172" s="1214"/>
      <c r="V2172" s="1215"/>
      <c r="W2172" s="168"/>
      <c r="X2172" s="170"/>
    </row>
    <row r="2173" spans="1:24" ht="12.75" customHeight="1">
      <c r="A2173" s="15"/>
      <c r="B2173" s="92" t="str">
        <f t="shared" si="350"/>
        <v/>
      </c>
      <c r="C2173" s="90"/>
      <c r="D2173" s="87"/>
      <c r="E2173" s="88"/>
      <c r="F2173" s="173"/>
      <c r="G2173" s="88"/>
      <c r="H2173" s="88"/>
      <c r="I2173" s="88"/>
      <c r="J2173" s="88"/>
      <c r="K2173" s="230"/>
      <c r="L2173" s="88"/>
      <c r="M2173" s="88"/>
      <c r="N2173" s="88"/>
      <c r="O2173" s="88"/>
      <c r="P2173" s="88"/>
      <c r="Q2173" s="88"/>
      <c r="R2173" s="88"/>
      <c r="S2173" s="620"/>
      <c r="T2173" s="92"/>
      <c r="U2173" s="1214"/>
      <c r="V2173" s="1215"/>
      <c r="W2173" s="168"/>
      <c r="X2173" s="170"/>
    </row>
    <row r="2174" spans="1:24" ht="12.75" customHeight="1">
      <c r="A2174" s="15"/>
      <c r="B2174" s="92" t="str">
        <f t="shared" si="350"/>
        <v/>
      </c>
      <c r="C2174" s="90"/>
      <c r="D2174" s="87"/>
      <c r="E2174" s="88"/>
      <c r="F2174" s="173"/>
      <c r="G2174" s="88"/>
      <c r="H2174" s="88"/>
      <c r="I2174" s="88"/>
      <c r="J2174" s="88"/>
      <c r="K2174" s="230"/>
      <c r="L2174" s="88"/>
      <c r="M2174" s="88"/>
      <c r="N2174" s="88"/>
      <c r="O2174" s="88"/>
      <c r="P2174" s="88"/>
      <c r="Q2174" s="88"/>
      <c r="R2174" s="88"/>
      <c r="S2174" s="620"/>
      <c r="T2174" s="92"/>
      <c r="U2174" s="1214"/>
      <c r="V2174" s="1215"/>
      <c r="W2174" s="168"/>
      <c r="X2174" s="170"/>
    </row>
    <row r="2175" spans="1:24" ht="12.75" customHeight="1">
      <c r="A2175" s="15"/>
      <c r="B2175" s="92" t="str">
        <f t="shared" si="350"/>
        <v/>
      </c>
      <c r="C2175" s="90"/>
      <c r="D2175" s="87"/>
      <c r="E2175" s="88"/>
      <c r="F2175" s="173"/>
      <c r="G2175" s="88"/>
      <c r="H2175" s="88"/>
      <c r="I2175" s="88"/>
      <c r="J2175" s="88"/>
      <c r="K2175" s="230"/>
      <c r="L2175" s="88"/>
      <c r="M2175" s="88"/>
      <c r="N2175" s="88"/>
      <c r="O2175" s="88"/>
      <c r="P2175" s="88"/>
      <c r="Q2175" s="88"/>
      <c r="R2175" s="88"/>
      <c r="S2175" s="620"/>
      <c r="T2175" s="92"/>
      <c r="U2175" s="1214"/>
      <c r="V2175" s="1215"/>
      <c r="W2175" s="168"/>
      <c r="X2175" s="170"/>
    </row>
    <row r="2176" spans="1:24" ht="12.75" customHeight="1">
      <c r="A2176" s="15"/>
      <c r="B2176" s="92" t="str">
        <f t="shared" si="350"/>
        <v/>
      </c>
      <c r="C2176" s="90"/>
      <c r="D2176" s="87"/>
      <c r="E2176" s="88"/>
      <c r="F2176" s="173"/>
      <c r="G2176" s="88"/>
      <c r="H2176" s="88"/>
      <c r="I2176" s="88"/>
      <c r="J2176" s="88"/>
      <c r="K2176" s="230"/>
      <c r="L2176" s="88"/>
      <c r="M2176" s="88"/>
      <c r="N2176" s="88"/>
      <c r="O2176" s="88"/>
      <c r="P2176" s="88"/>
      <c r="Q2176" s="88"/>
      <c r="R2176" s="88"/>
      <c r="S2176" s="620"/>
      <c r="T2176" s="92"/>
      <c r="U2176" s="1214"/>
      <c r="V2176" s="1215"/>
      <c r="W2176" s="168"/>
      <c r="X2176" s="170"/>
    </row>
    <row r="2177" spans="1:24" ht="12.75" customHeight="1">
      <c r="A2177" s="15"/>
      <c r="B2177" s="92" t="str">
        <f t="shared" si="350"/>
        <v/>
      </c>
      <c r="C2177" s="90"/>
      <c r="D2177" s="87"/>
      <c r="E2177" s="88"/>
      <c r="F2177" s="173"/>
      <c r="G2177" s="88"/>
      <c r="H2177" s="88"/>
      <c r="I2177" s="88"/>
      <c r="J2177" s="88"/>
      <c r="K2177" s="230"/>
      <c r="L2177" s="88"/>
      <c r="M2177" s="88"/>
      <c r="N2177" s="88"/>
      <c r="O2177" s="88"/>
      <c r="P2177" s="88"/>
      <c r="Q2177" s="88"/>
      <c r="R2177" s="88"/>
      <c r="S2177" s="620"/>
      <c r="T2177" s="92"/>
      <c r="U2177" s="1214"/>
      <c r="V2177" s="1215"/>
      <c r="W2177" s="168"/>
      <c r="X2177" s="170"/>
    </row>
    <row r="2178" spans="1:24" ht="12.75" customHeight="1">
      <c r="A2178" s="15"/>
      <c r="B2178" s="92" t="str">
        <f t="shared" si="350"/>
        <v/>
      </c>
      <c r="C2178" s="90"/>
      <c r="D2178" s="87"/>
      <c r="E2178" s="88"/>
      <c r="F2178" s="173"/>
      <c r="G2178" s="88"/>
      <c r="H2178" s="88"/>
      <c r="I2178" s="88"/>
      <c r="J2178" s="88"/>
      <c r="K2178" s="230"/>
      <c r="L2178" s="88"/>
      <c r="M2178" s="88"/>
      <c r="N2178" s="88"/>
      <c r="O2178" s="88"/>
      <c r="P2178" s="88"/>
      <c r="Q2178" s="88"/>
      <c r="R2178" s="88"/>
      <c r="S2178" s="620"/>
      <c r="T2178" s="92"/>
      <c r="U2178" s="1214"/>
      <c r="V2178" s="1215"/>
      <c r="W2178" s="168"/>
      <c r="X2178" s="170"/>
    </row>
    <row r="2179" spans="1:24" ht="12.75" customHeight="1">
      <c r="A2179" s="15"/>
      <c r="B2179" s="92" t="str">
        <f t="shared" si="350"/>
        <v/>
      </c>
      <c r="C2179" s="90"/>
      <c r="D2179" s="87"/>
      <c r="E2179" s="88"/>
      <c r="F2179" s="173"/>
      <c r="G2179" s="88"/>
      <c r="H2179" s="88"/>
      <c r="I2179" s="88"/>
      <c r="J2179" s="88"/>
      <c r="K2179" s="230"/>
      <c r="L2179" s="88"/>
      <c r="M2179" s="88"/>
      <c r="N2179" s="88"/>
      <c r="O2179" s="88"/>
      <c r="P2179" s="88"/>
      <c r="Q2179" s="88"/>
      <c r="R2179" s="88"/>
      <c r="S2179" s="620"/>
      <c r="T2179" s="92"/>
      <c r="U2179" s="1214"/>
      <c r="V2179" s="1215"/>
      <c r="W2179" s="168"/>
      <c r="X2179" s="170"/>
    </row>
    <row r="2180" spans="1:24" ht="12.75" customHeight="1">
      <c r="A2180" s="15"/>
      <c r="B2180" s="92" t="str">
        <f t="shared" si="350"/>
        <v/>
      </c>
      <c r="C2180" s="90"/>
      <c r="D2180" s="87"/>
      <c r="E2180" s="88"/>
      <c r="F2180" s="173"/>
      <c r="G2180" s="88"/>
      <c r="H2180" s="88"/>
      <c r="I2180" s="88"/>
      <c r="J2180" s="88"/>
      <c r="K2180" s="230"/>
      <c r="L2180" s="88"/>
      <c r="M2180" s="88"/>
      <c r="N2180" s="88"/>
      <c r="O2180" s="88"/>
      <c r="P2180" s="88"/>
      <c r="Q2180" s="88"/>
      <c r="R2180" s="88"/>
      <c r="S2180" s="620"/>
      <c r="T2180" s="92"/>
      <c r="U2180" s="1214"/>
      <c r="V2180" s="1215"/>
      <c r="W2180" s="168"/>
      <c r="X2180" s="170"/>
    </row>
    <row r="2181" spans="1:24" ht="12.75" customHeight="1">
      <c r="A2181" s="15"/>
      <c r="B2181" s="92" t="str">
        <f t="shared" si="350"/>
        <v/>
      </c>
      <c r="C2181" s="90"/>
      <c r="D2181" s="87"/>
      <c r="E2181" s="88"/>
      <c r="F2181" s="173"/>
      <c r="G2181" s="88"/>
      <c r="H2181" s="88"/>
      <c r="I2181" s="88"/>
      <c r="J2181" s="88"/>
      <c r="K2181" s="230"/>
      <c r="L2181" s="88"/>
      <c r="M2181" s="88"/>
      <c r="N2181" s="88"/>
      <c r="O2181" s="88"/>
      <c r="P2181" s="88"/>
      <c r="Q2181" s="88"/>
      <c r="R2181" s="88"/>
      <c r="S2181" s="620"/>
      <c r="T2181" s="92"/>
      <c r="U2181" s="1214"/>
      <c r="V2181" s="1215"/>
      <c r="W2181" s="168"/>
      <c r="X2181" s="170"/>
    </row>
    <row r="2182" spans="1:24" ht="12.75" customHeight="1">
      <c r="A2182" s="15"/>
      <c r="B2182" s="92" t="str">
        <f t="shared" si="350"/>
        <v/>
      </c>
      <c r="C2182" s="90"/>
      <c r="D2182" s="87"/>
      <c r="E2182" s="88"/>
      <c r="F2182" s="173"/>
      <c r="G2182" s="88"/>
      <c r="H2182" s="88"/>
      <c r="I2182" s="88"/>
      <c r="J2182" s="88"/>
      <c r="K2182" s="230"/>
      <c r="L2182" s="88"/>
      <c r="M2182" s="88"/>
      <c r="N2182" s="88"/>
      <c r="O2182" s="88"/>
      <c r="P2182" s="88"/>
      <c r="Q2182" s="88"/>
      <c r="R2182" s="88"/>
      <c r="S2182" s="620"/>
      <c r="T2182" s="92"/>
      <c r="U2182" s="1214"/>
      <c r="V2182" s="1215"/>
      <c r="W2182" s="168"/>
      <c r="X2182" s="170"/>
    </row>
    <row r="2183" spans="1:24" ht="12.75" customHeight="1">
      <c r="A2183" s="15"/>
      <c r="B2183" s="92" t="str">
        <f t="shared" si="350"/>
        <v/>
      </c>
      <c r="C2183" s="90"/>
      <c r="D2183" s="87"/>
      <c r="E2183" s="88"/>
      <c r="F2183" s="173"/>
      <c r="G2183" s="88"/>
      <c r="H2183" s="88"/>
      <c r="I2183" s="88"/>
      <c r="J2183" s="88"/>
      <c r="K2183" s="230"/>
      <c r="L2183" s="88"/>
      <c r="M2183" s="88"/>
      <c r="N2183" s="88"/>
      <c r="O2183" s="88"/>
      <c r="P2183" s="88"/>
      <c r="Q2183" s="88"/>
      <c r="R2183" s="88"/>
      <c r="S2183" s="620"/>
      <c r="T2183" s="92"/>
      <c r="U2183" s="1214"/>
      <c r="V2183" s="1215"/>
      <c r="W2183" s="168"/>
      <c r="X2183" s="170"/>
    </row>
    <row r="2184" spans="1:24" ht="12.75" customHeight="1">
      <c r="A2184" s="15"/>
      <c r="B2184" s="92" t="str">
        <f t="shared" si="350"/>
        <v/>
      </c>
      <c r="C2184" s="90"/>
      <c r="D2184" s="87"/>
      <c r="E2184" s="88"/>
      <c r="F2184" s="173"/>
      <c r="G2184" s="88"/>
      <c r="H2184" s="88"/>
      <c r="I2184" s="88"/>
      <c r="J2184" s="88"/>
      <c r="K2184" s="230"/>
      <c r="L2184" s="88"/>
      <c r="M2184" s="88"/>
      <c r="N2184" s="88"/>
      <c r="O2184" s="88"/>
      <c r="P2184" s="88"/>
      <c r="Q2184" s="88"/>
      <c r="R2184" s="88"/>
      <c r="S2184" s="620"/>
      <c r="T2184" s="92"/>
      <c r="U2184" s="1214"/>
      <c r="V2184" s="1215"/>
      <c r="W2184" s="168"/>
      <c r="X2184" s="170"/>
    </row>
    <row r="2185" spans="1:24" ht="12.75" customHeight="1">
      <c r="A2185" s="15"/>
      <c r="B2185" s="92" t="str">
        <f t="shared" si="350"/>
        <v/>
      </c>
      <c r="C2185" s="90"/>
      <c r="D2185" s="87"/>
      <c r="E2185" s="88"/>
      <c r="F2185" s="173"/>
      <c r="G2185" s="88"/>
      <c r="H2185" s="88"/>
      <c r="I2185" s="88"/>
      <c r="J2185" s="88"/>
      <c r="K2185" s="230"/>
      <c r="L2185" s="88"/>
      <c r="M2185" s="88"/>
      <c r="N2185" s="88"/>
      <c r="O2185" s="88"/>
      <c r="P2185" s="88"/>
      <c r="Q2185" s="88"/>
      <c r="R2185" s="88"/>
      <c r="S2185" s="620"/>
      <c r="T2185" s="92"/>
      <c r="U2185" s="1214"/>
      <c r="V2185" s="1215"/>
      <c r="W2185" s="168"/>
      <c r="X2185" s="170"/>
    </row>
    <row r="2186" spans="1:24" ht="12.75" customHeight="1">
      <c r="A2186" s="15"/>
      <c r="B2186" s="92" t="str">
        <f t="shared" si="350"/>
        <v/>
      </c>
      <c r="C2186" s="90"/>
      <c r="D2186" s="87"/>
      <c r="E2186" s="88"/>
      <c r="F2186" s="173"/>
      <c r="G2186" s="88"/>
      <c r="H2186" s="88"/>
      <c r="I2186" s="88"/>
      <c r="J2186" s="88"/>
      <c r="K2186" s="230"/>
      <c r="L2186" s="88"/>
      <c r="M2186" s="88"/>
      <c r="N2186" s="88"/>
      <c r="O2186" s="88"/>
      <c r="P2186" s="88"/>
      <c r="Q2186" s="88"/>
      <c r="R2186" s="88"/>
      <c r="S2186" s="620"/>
      <c r="T2186" s="92"/>
      <c r="U2186" s="1214"/>
      <c r="V2186" s="1215"/>
      <c r="W2186" s="168"/>
      <c r="X2186" s="170"/>
    </row>
    <row r="2187" spans="1:24" ht="12.75" customHeight="1">
      <c r="A2187" s="15"/>
      <c r="B2187" s="92" t="str">
        <f t="shared" si="350"/>
        <v/>
      </c>
      <c r="C2187" s="90"/>
      <c r="D2187" s="87"/>
      <c r="E2187" s="88"/>
      <c r="F2187" s="173"/>
      <c r="G2187" s="88"/>
      <c r="H2187" s="88"/>
      <c r="I2187" s="88"/>
      <c r="J2187" s="88"/>
      <c r="K2187" s="230"/>
      <c r="L2187" s="88"/>
      <c r="M2187" s="88"/>
      <c r="N2187" s="88"/>
      <c r="O2187" s="88"/>
      <c r="P2187" s="88"/>
      <c r="Q2187" s="88"/>
      <c r="R2187" s="88"/>
      <c r="S2187" s="620"/>
      <c r="T2187" s="92"/>
      <c r="U2187" s="1214"/>
      <c r="V2187" s="1215"/>
      <c r="W2187" s="168"/>
      <c r="X2187" s="170"/>
    </row>
    <row r="2188" spans="1:24" ht="12.75" customHeight="1">
      <c r="A2188" s="15"/>
      <c r="B2188" s="92" t="str">
        <f t="shared" si="350"/>
        <v/>
      </c>
      <c r="C2188" s="90"/>
      <c r="D2188" s="87"/>
      <c r="E2188" s="88"/>
      <c r="F2188" s="173"/>
      <c r="G2188" s="88"/>
      <c r="H2188" s="88"/>
      <c r="I2188" s="88"/>
      <c r="J2188" s="88"/>
      <c r="K2188" s="230"/>
      <c r="L2188" s="88"/>
      <c r="M2188" s="88"/>
      <c r="N2188" s="88"/>
      <c r="O2188" s="88"/>
      <c r="P2188" s="88"/>
      <c r="Q2188" s="88"/>
      <c r="R2188" s="88"/>
      <c r="S2188" s="620"/>
      <c r="T2188" s="92"/>
      <c r="U2188" s="1214"/>
      <c r="V2188" s="1215"/>
      <c r="W2188" s="168"/>
      <c r="X2188" s="170"/>
    </row>
    <row r="2189" spans="1:24" ht="12.75" customHeight="1">
      <c r="A2189" s="15"/>
      <c r="B2189" s="92" t="str">
        <f t="shared" si="350"/>
        <v/>
      </c>
      <c r="C2189" s="90"/>
      <c r="D2189" s="87"/>
      <c r="E2189" s="88"/>
      <c r="F2189" s="173"/>
      <c r="G2189" s="88"/>
      <c r="H2189" s="88"/>
      <c r="I2189" s="88"/>
      <c r="J2189" s="88"/>
      <c r="K2189" s="230"/>
      <c r="L2189" s="88"/>
      <c r="M2189" s="88"/>
      <c r="N2189" s="88"/>
      <c r="O2189" s="88"/>
      <c r="P2189" s="88"/>
      <c r="Q2189" s="88"/>
      <c r="R2189" s="88"/>
      <c r="S2189" s="620"/>
      <c r="T2189" s="92"/>
      <c r="U2189" s="1214"/>
      <c r="V2189" s="1215"/>
      <c r="W2189" s="168"/>
      <c r="X2189" s="170"/>
    </row>
    <row r="2190" spans="1:24" ht="12.75" customHeight="1">
      <c r="A2190" s="15"/>
      <c r="B2190" s="92" t="str">
        <f t="shared" si="350"/>
        <v/>
      </c>
      <c r="C2190" s="90"/>
      <c r="D2190" s="87"/>
      <c r="E2190" s="88"/>
      <c r="F2190" s="173"/>
      <c r="G2190" s="88"/>
      <c r="H2190" s="88"/>
      <c r="I2190" s="88"/>
      <c r="J2190" s="88"/>
      <c r="K2190" s="230"/>
      <c r="L2190" s="88"/>
      <c r="M2190" s="88"/>
      <c r="N2190" s="88"/>
      <c r="O2190" s="88"/>
      <c r="P2190" s="88"/>
      <c r="Q2190" s="88"/>
      <c r="R2190" s="88"/>
      <c r="S2190" s="620"/>
      <c r="T2190" s="92"/>
      <c r="U2190" s="1214"/>
      <c r="V2190" s="1215"/>
      <c r="W2190" s="168"/>
      <c r="X2190" s="170"/>
    </row>
    <row r="2191" spans="1:24" ht="12.75" customHeight="1">
      <c r="A2191" s="15"/>
      <c r="B2191" s="92" t="str">
        <f t="shared" si="350"/>
        <v/>
      </c>
      <c r="C2191" s="90"/>
      <c r="D2191" s="87"/>
      <c r="E2191" s="88"/>
      <c r="F2191" s="173"/>
      <c r="G2191" s="88"/>
      <c r="H2191" s="88"/>
      <c r="I2191" s="88"/>
      <c r="J2191" s="88"/>
      <c r="K2191" s="230"/>
      <c r="L2191" s="88"/>
      <c r="M2191" s="88"/>
      <c r="N2191" s="88"/>
      <c r="O2191" s="88"/>
      <c r="P2191" s="88"/>
      <c r="Q2191" s="88"/>
      <c r="R2191" s="88"/>
      <c r="S2191" s="620"/>
      <c r="T2191" s="92"/>
      <c r="U2191" s="1214"/>
      <c r="V2191" s="1215"/>
      <c r="W2191" s="168"/>
      <c r="X2191" s="170"/>
    </row>
    <row r="2192" spans="1:24" ht="12.75" customHeight="1">
      <c r="A2192" s="15"/>
      <c r="B2192" s="92" t="str">
        <f t="shared" si="350"/>
        <v/>
      </c>
      <c r="C2192" s="90"/>
      <c r="D2192" s="87"/>
      <c r="E2192" s="88"/>
      <c r="F2192" s="173"/>
      <c r="G2192" s="88"/>
      <c r="H2192" s="88"/>
      <c r="I2192" s="88"/>
      <c r="J2192" s="88"/>
      <c r="K2192" s="230"/>
      <c r="L2192" s="88"/>
      <c r="M2192" s="88"/>
      <c r="N2192" s="88"/>
      <c r="O2192" s="88"/>
      <c r="P2192" s="88"/>
      <c r="Q2192" s="88"/>
      <c r="R2192" s="88"/>
      <c r="S2192" s="620"/>
      <c r="T2192" s="92"/>
      <c r="U2192" s="1214"/>
      <c r="V2192" s="1215"/>
      <c r="W2192" s="168"/>
      <c r="X2192" s="170"/>
    </row>
    <row r="2193" spans="1:24" ht="12.75" customHeight="1">
      <c r="A2193" s="15"/>
      <c r="B2193" s="92" t="str">
        <f t="shared" si="350"/>
        <v/>
      </c>
      <c r="C2193" s="90"/>
      <c r="D2193" s="87"/>
      <c r="E2193" s="88"/>
      <c r="F2193" s="173"/>
      <c r="G2193" s="88"/>
      <c r="H2193" s="88"/>
      <c r="I2193" s="88"/>
      <c r="J2193" s="88"/>
      <c r="K2193" s="230"/>
      <c r="L2193" s="88"/>
      <c r="M2193" s="88"/>
      <c r="N2193" s="88"/>
      <c r="O2193" s="88"/>
      <c r="P2193" s="88"/>
      <c r="Q2193" s="88"/>
      <c r="R2193" s="88"/>
      <c r="S2193" s="620"/>
      <c r="T2193" s="92"/>
      <c r="U2193" s="1214"/>
      <c r="V2193" s="1215"/>
      <c r="W2193" s="168"/>
      <c r="X2193" s="170"/>
    </row>
    <row r="2194" spans="1:24" ht="12.75" customHeight="1">
      <c r="A2194" s="15"/>
      <c r="B2194" s="92" t="str">
        <f t="shared" si="350"/>
        <v/>
      </c>
      <c r="C2194" s="90"/>
      <c r="D2194" s="87"/>
      <c r="E2194" s="88"/>
      <c r="F2194" s="173"/>
      <c r="G2194" s="88"/>
      <c r="H2194" s="88"/>
      <c r="I2194" s="88"/>
      <c r="J2194" s="88"/>
      <c r="K2194" s="230"/>
      <c r="L2194" s="88"/>
      <c r="M2194" s="88"/>
      <c r="N2194" s="88"/>
      <c r="O2194" s="88"/>
      <c r="P2194" s="88"/>
      <c r="Q2194" s="88"/>
      <c r="R2194" s="88"/>
      <c r="S2194" s="620"/>
      <c r="T2194" s="92"/>
      <c r="U2194" s="1214"/>
      <c r="V2194" s="1215"/>
      <c r="W2194" s="168"/>
      <c r="X2194" s="170"/>
    </row>
    <row r="2195" spans="1:24" ht="12.75" customHeight="1">
      <c r="A2195" s="15"/>
      <c r="B2195" s="92" t="str">
        <f t="shared" si="350"/>
        <v/>
      </c>
      <c r="C2195" s="90"/>
      <c r="D2195" s="87"/>
      <c r="E2195" s="88"/>
      <c r="F2195" s="173"/>
      <c r="G2195" s="88"/>
      <c r="H2195" s="88"/>
      <c r="I2195" s="88"/>
      <c r="J2195" s="88"/>
      <c r="K2195" s="230"/>
      <c r="L2195" s="88"/>
      <c r="M2195" s="88"/>
      <c r="N2195" s="88"/>
      <c r="O2195" s="88"/>
      <c r="P2195" s="88"/>
      <c r="Q2195" s="88"/>
      <c r="R2195" s="88"/>
      <c r="S2195" s="620"/>
      <c r="T2195" s="92"/>
      <c r="U2195" s="1214"/>
      <c r="V2195" s="1215"/>
      <c r="W2195" s="168"/>
      <c r="X2195" s="170"/>
    </row>
    <row r="2196" spans="1:24" ht="12.75" customHeight="1">
      <c r="A2196" s="15"/>
      <c r="B2196" s="92" t="str">
        <f t="shared" si="350"/>
        <v/>
      </c>
      <c r="C2196" s="90"/>
      <c r="D2196" s="87"/>
      <c r="E2196" s="88"/>
      <c r="F2196" s="173"/>
      <c r="G2196" s="88"/>
      <c r="H2196" s="88"/>
      <c r="I2196" s="88"/>
      <c r="J2196" s="88"/>
      <c r="K2196" s="230"/>
      <c r="L2196" s="88"/>
      <c r="M2196" s="88"/>
      <c r="N2196" s="88"/>
      <c r="O2196" s="88"/>
      <c r="P2196" s="88"/>
      <c r="Q2196" s="88"/>
      <c r="R2196" s="88"/>
      <c r="S2196" s="620"/>
      <c r="T2196" s="92"/>
      <c r="U2196" s="1214"/>
      <c r="V2196" s="1215"/>
      <c r="W2196" s="168"/>
      <c r="X2196" s="170"/>
    </row>
    <row r="2197" spans="1:24" ht="12.75" customHeight="1">
      <c r="A2197" s="15"/>
      <c r="B2197" s="92" t="str">
        <f t="shared" si="350"/>
        <v/>
      </c>
      <c r="C2197" s="90"/>
      <c r="D2197" s="87"/>
      <c r="E2197" s="88"/>
      <c r="F2197" s="173"/>
      <c r="G2197" s="88"/>
      <c r="H2197" s="88"/>
      <c r="I2197" s="88"/>
      <c r="J2197" s="88"/>
      <c r="K2197" s="230"/>
      <c r="L2197" s="88"/>
      <c r="M2197" s="88"/>
      <c r="N2197" s="88"/>
      <c r="O2197" s="88"/>
      <c r="P2197" s="88"/>
      <c r="Q2197" s="88"/>
      <c r="R2197" s="88"/>
      <c r="S2197" s="620"/>
      <c r="T2197" s="92"/>
      <c r="U2197" s="1214"/>
      <c r="V2197" s="1215"/>
      <c r="W2197" s="168"/>
      <c r="X2197" s="170"/>
    </row>
    <row r="2198" spans="1:24" ht="12.75" customHeight="1">
      <c r="A2198" s="15"/>
      <c r="B2198" s="92" t="str">
        <f t="shared" si="350"/>
        <v/>
      </c>
      <c r="C2198" s="90"/>
      <c r="D2198" s="87"/>
      <c r="E2198" s="88"/>
      <c r="F2198" s="173"/>
      <c r="G2198" s="88"/>
      <c r="H2198" s="88"/>
      <c r="I2198" s="88"/>
      <c r="J2198" s="88"/>
      <c r="K2198" s="230"/>
      <c r="L2198" s="88"/>
      <c r="M2198" s="88"/>
      <c r="N2198" s="88"/>
      <c r="O2198" s="88"/>
      <c r="P2198" s="88"/>
      <c r="Q2198" s="88"/>
      <c r="R2198" s="88"/>
      <c r="S2198" s="620"/>
      <c r="T2198" s="92"/>
      <c r="U2198" s="1214"/>
      <c r="V2198" s="1215"/>
      <c r="W2198" s="168"/>
      <c r="X2198" s="170"/>
    </row>
    <row r="2199" spans="1:24" ht="12.75" customHeight="1">
      <c r="A2199" s="15"/>
      <c r="B2199" s="92" t="str">
        <f t="shared" si="350"/>
        <v/>
      </c>
      <c r="C2199" s="90"/>
      <c r="D2199" s="87"/>
      <c r="E2199" s="88"/>
      <c r="F2199" s="173"/>
      <c r="G2199" s="88"/>
      <c r="H2199" s="88"/>
      <c r="I2199" s="88"/>
      <c r="J2199" s="88"/>
      <c r="K2199" s="230"/>
      <c r="L2199" s="88"/>
      <c r="M2199" s="88"/>
      <c r="N2199" s="88"/>
      <c r="O2199" s="88"/>
      <c r="P2199" s="88"/>
      <c r="Q2199" s="88"/>
      <c r="R2199" s="88"/>
      <c r="S2199" s="620"/>
      <c r="T2199" s="92"/>
      <c r="U2199" s="1214"/>
      <c r="V2199" s="1215"/>
      <c r="W2199" s="168"/>
      <c r="X2199" s="170"/>
    </row>
    <row r="2200" spans="1:24" ht="12.75" customHeight="1">
      <c r="A2200" s="15"/>
      <c r="B2200" s="92" t="str">
        <f t="shared" si="350"/>
        <v/>
      </c>
      <c r="C2200" s="90"/>
      <c r="D2200" s="87"/>
      <c r="E2200" s="88"/>
      <c r="F2200" s="173"/>
      <c r="G2200" s="88"/>
      <c r="H2200" s="88"/>
      <c r="I2200" s="88"/>
      <c r="J2200" s="88"/>
      <c r="K2200" s="230"/>
      <c r="L2200" s="88"/>
      <c r="M2200" s="88"/>
      <c r="N2200" s="88"/>
      <c r="O2200" s="88"/>
      <c r="P2200" s="88"/>
      <c r="Q2200" s="88"/>
      <c r="R2200" s="88"/>
      <c r="S2200" s="620"/>
      <c r="T2200" s="92"/>
      <c r="U2200" s="1214"/>
      <c r="V2200" s="1215"/>
      <c r="W2200" s="168"/>
      <c r="X2200" s="170"/>
    </row>
    <row r="2201" spans="1:24" ht="12.75" customHeight="1">
      <c r="A2201" s="15"/>
      <c r="B2201" s="92" t="str">
        <f t="shared" si="350"/>
        <v/>
      </c>
      <c r="C2201" s="90"/>
      <c r="D2201" s="87"/>
      <c r="E2201" s="88"/>
      <c r="F2201" s="173"/>
      <c r="G2201" s="88"/>
      <c r="H2201" s="88"/>
      <c r="I2201" s="88"/>
      <c r="J2201" s="88"/>
      <c r="K2201" s="230"/>
      <c r="L2201" s="88"/>
      <c r="M2201" s="88"/>
      <c r="N2201" s="88"/>
      <c r="O2201" s="88"/>
      <c r="P2201" s="88"/>
      <c r="Q2201" s="88"/>
      <c r="R2201" s="88"/>
      <c r="S2201" s="620"/>
      <c r="T2201" s="92"/>
      <c r="U2201" s="1214"/>
      <c r="V2201" s="1215"/>
      <c r="W2201" s="168"/>
      <c r="X2201" s="170"/>
    </row>
    <row r="2202" spans="1:24" ht="12.75" customHeight="1">
      <c r="A2202" s="15"/>
      <c r="B2202" s="92" t="str">
        <f t="shared" si="350"/>
        <v/>
      </c>
      <c r="C2202" s="90"/>
      <c r="D2202" s="87"/>
      <c r="E2202" s="88"/>
      <c r="F2202" s="173"/>
      <c r="G2202" s="88"/>
      <c r="H2202" s="88"/>
      <c r="I2202" s="88"/>
      <c r="J2202" s="88"/>
      <c r="K2202" s="230"/>
      <c r="L2202" s="88"/>
      <c r="M2202" s="88"/>
      <c r="N2202" s="88"/>
      <c r="O2202" s="88"/>
      <c r="P2202" s="88"/>
      <c r="Q2202" s="88"/>
      <c r="R2202" s="88"/>
      <c r="S2202" s="620"/>
      <c r="T2202" s="92"/>
      <c r="U2202" s="1214"/>
      <c r="V2202" s="1215"/>
      <c r="W2202" s="168"/>
      <c r="X2202" s="170"/>
    </row>
    <row r="2203" spans="1:24" ht="12.75" customHeight="1">
      <c r="A2203" s="15"/>
      <c r="B2203" s="92" t="str">
        <f t="shared" si="350"/>
        <v/>
      </c>
      <c r="C2203" s="90"/>
      <c r="D2203" s="87"/>
      <c r="E2203" s="88"/>
      <c r="F2203" s="173"/>
      <c r="G2203" s="88"/>
      <c r="H2203" s="88"/>
      <c r="I2203" s="88"/>
      <c r="J2203" s="88"/>
      <c r="K2203" s="230"/>
      <c r="L2203" s="88"/>
      <c r="M2203" s="88"/>
      <c r="N2203" s="88"/>
      <c r="O2203" s="88"/>
      <c r="P2203" s="88"/>
      <c r="Q2203" s="88"/>
      <c r="R2203" s="88"/>
      <c r="S2203" s="620"/>
      <c r="T2203" s="92"/>
      <c r="U2203" s="1214"/>
      <c r="V2203" s="1215"/>
      <c r="W2203" s="168"/>
      <c r="X2203" s="170"/>
    </row>
    <row r="2204" spans="1:24" ht="12.75" customHeight="1">
      <c r="A2204" s="15"/>
      <c r="B2204" s="92" t="str">
        <f t="shared" si="350"/>
        <v/>
      </c>
      <c r="C2204" s="90"/>
      <c r="D2204" s="87"/>
      <c r="E2204" s="88"/>
      <c r="F2204" s="173"/>
      <c r="G2204" s="88"/>
      <c r="H2204" s="88"/>
      <c r="I2204" s="88"/>
      <c r="J2204" s="88"/>
      <c r="K2204" s="230"/>
      <c r="L2204" s="88"/>
      <c r="M2204" s="88"/>
      <c r="N2204" s="88"/>
      <c r="O2204" s="88"/>
      <c r="P2204" s="88"/>
      <c r="Q2204" s="88"/>
      <c r="R2204" s="88"/>
      <c r="S2204" s="620"/>
      <c r="T2204" s="92"/>
      <c r="U2204" s="1214"/>
      <c r="V2204" s="1215"/>
      <c r="W2204" s="168"/>
      <c r="X2204" s="170"/>
    </row>
    <row r="2205" spans="1:24" ht="12.75" customHeight="1">
      <c r="A2205" s="15"/>
      <c r="B2205" s="92" t="str">
        <f t="shared" si="350"/>
        <v/>
      </c>
      <c r="C2205" s="90"/>
      <c r="D2205" s="87"/>
      <c r="E2205" s="88"/>
      <c r="F2205" s="173"/>
      <c r="G2205" s="88"/>
      <c r="H2205" s="88"/>
      <c r="I2205" s="88"/>
      <c r="J2205" s="88"/>
      <c r="K2205" s="230"/>
      <c r="L2205" s="88"/>
      <c r="M2205" s="88"/>
      <c r="N2205" s="88"/>
      <c r="O2205" s="88"/>
      <c r="P2205" s="88"/>
      <c r="Q2205" s="88"/>
      <c r="R2205" s="88"/>
      <c r="S2205" s="620"/>
      <c r="T2205" s="92"/>
      <c r="U2205" s="1214"/>
      <c r="V2205" s="1215"/>
      <c r="W2205" s="168"/>
      <c r="X2205" s="170"/>
    </row>
    <row r="2206" spans="1:24" ht="12.75" customHeight="1">
      <c r="A2206" s="15"/>
      <c r="B2206" s="92" t="str">
        <f t="shared" si="350"/>
        <v/>
      </c>
      <c r="C2206" s="90"/>
      <c r="D2206" s="87"/>
      <c r="E2206" s="88"/>
      <c r="F2206" s="173"/>
      <c r="G2206" s="88"/>
      <c r="H2206" s="88"/>
      <c r="I2206" s="88"/>
      <c r="J2206" s="88"/>
      <c r="K2206" s="230"/>
      <c r="L2206" s="88"/>
      <c r="M2206" s="88"/>
      <c r="N2206" s="88"/>
      <c r="O2206" s="88"/>
      <c r="P2206" s="88"/>
      <c r="Q2206" s="88"/>
      <c r="R2206" s="88"/>
      <c r="S2206" s="620"/>
      <c r="T2206" s="92"/>
      <c r="U2206" s="1214"/>
      <c r="V2206" s="1215"/>
      <c r="W2206" s="168"/>
      <c r="X2206" s="170"/>
    </row>
    <row r="2207" spans="1:24" ht="12.75" customHeight="1">
      <c r="A2207" s="15"/>
      <c r="B2207" s="92" t="str">
        <f t="shared" si="350"/>
        <v/>
      </c>
      <c r="C2207" s="90"/>
      <c r="D2207" s="87"/>
      <c r="E2207" s="88"/>
      <c r="F2207" s="173"/>
      <c r="G2207" s="88"/>
      <c r="H2207" s="88"/>
      <c r="I2207" s="88"/>
      <c r="J2207" s="88"/>
      <c r="K2207" s="230"/>
      <c r="L2207" s="88"/>
      <c r="M2207" s="88"/>
      <c r="N2207" s="88"/>
      <c r="O2207" s="88"/>
      <c r="P2207" s="88"/>
      <c r="Q2207" s="88"/>
      <c r="R2207" s="88"/>
      <c r="S2207" s="620"/>
      <c r="T2207" s="92"/>
      <c r="U2207" s="1214"/>
      <c r="V2207" s="1215"/>
      <c r="W2207" s="168"/>
      <c r="X2207" s="170"/>
    </row>
    <row r="2208" spans="1:24" ht="12.75" customHeight="1">
      <c r="A2208" s="15"/>
      <c r="B2208" s="92" t="str">
        <f t="shared" si="350"/>
        <v/>
      </c>
      <c r="C2208" s="90"/>
      <c r="D2208" s="87"/>
      <c r="E2208" s="88"/>
      <c r="F2208" s="173"/>
      <c r="G2208" s="88"/>
      <c r="H2208" s="88"/>
      <c r="I2208" s="88"/>
      <c r="J2208" s="88"/>
      <c r="K2208" s="230"/>
      <c r="L2208" s="88"/>
      <c r="M2208" s="88"/>
      <c r="N2208" s="88"/>
      <c r="O2208" s="88"/>
      <c r="P2208" s="88"/>
      <c r="Q2208" s="88"/>
      <c r="R2208" s="88"/>
      <c r="S2208" s="620"/>
      <c r="T2208" s="92"/>
      <c r="U2208" s="1214"/>
      <c r="V2208" s="1215"/>
      <c r="W2208" s="168"/>
      <c r="X2208" s="170"/>
    </row>
    <row r="2209" spans="1:24" ht="12.75" customHeight="1">
      <c r="A2209" s="15"/>
      <c r="B2209" s="92" t="str">
        <f t="shared" si="350"/>
        <v/>
      </c>
      <c r="C2209" s="90"/>
      <c r="D2209" s="87"/>
      <c r="E2209" s="88"/>
      <c r="F2209" s="173"/>
      <c r="G2209" s="88"/>
      <c r="H2209" s="88"/>
      <c r="I2209" s="88"/>
      <c r="J2209" s="88"/>
      <c r="K2209" s="230"/>
      <c r="L2209" s="88"/>
      <c r="M2209" s="88"/>
      <c r="N2209" s="88"/>
      <c r="O2209" s="88"/>
      <c r="P2209" s="88"/>
      <c r="Q2209" s="88"/>
      <c r="R2209" s="88"/>
      <c r="S2209" s="620"/>
      <c r="T2209" s="92"/>
      <c r="U2209" s="1214"/>
      <c r="V2209" s="1215"/>
      <c r="W2209" s="168"/>
      <c r="X2209" s="170"/>
    </row>
    <row r="2210" spans="1:24" ht="12.75" customHeight="1">
      <c r="A2210" s="15"/>
      <c r="B2210" s="92" t="str">
        <f t="shared" si="350"/>
        <v/>
      </c>
      <c r="C2210" s="90"/>
      <c r="D2210" s="87"/>
      <c r="E2210" s="88"/>
      <c r="F2210" s="173"/>
      <c r="G2210" s="88"/>
      <c r="H2210" s="88"/>
      <c r="I2210" s="88"/>
      <c r="J2210" s="88"/>
      <c r="K2210" s="230"/>
      <c r="L2210" s="88"/>
      <c r="M2210" s="88"/>
      <c r="N2210" s="88"/>
      <c r="O2210" s="88"/>
      <c r="P2210" s="88"/>
      <c r="Q2210" s="88"/>
      <c r="R2210" s="88"/>
      <c r="S2210" s="620"/>
      <c r="T2210" s="92"/>
      <c r="U2210" s="1214"/>
      <c r="V2210" s="1215"/>
      <c r="W2210" s="168"/>
      <c r="X2210" s="170"/>
    </row>
    <row r="2211" spans="1:24" ht="12.75" customHeight="1">
      <c r="A2211" s="15"/>
      <c r="B2211" s="92" t="str">
        <f t="shared" si="350"/>
        <v/>
      </c>
      <c r="C2211" s="90"/>
      <c r="D2211" s="87"/>
      <c r="E2211" s="88"/>
      <c r="F2211" s="173"/>
      <c r="G2211" s="88"/>
      <c r="H2211" s="88"/>
      <c r="I2211" s="88"/>
      <c r="J2211" s="88"/>
      <c r="K2211" s="230"/>
      <c r="L2211" s="88"/>
      <c r="M2211" s="88"/>
      <c r="N2211" s="88"/>
      <c r="O2211" s="88"/>
      <c r="P2211" s="88"/>
      <c r="Q2211" s="88"/>
      <c r="R2211" s="88"/>
      <c r="S2211" s="620"/>
      <c r="T2211" s="92"/>
      <c r="U2211" s="1214"/>
      <c r="V2211" s="1215"/>
      <c r="W2211" s="168"/>
      <c r="X2211" s="170"/>
    </row>
    <row r="2212" spans="1:24" ht="12.75" customHeight="1">
      <c r="A2212" s="15"/>
      <c r="B2212" s="92" t="str">
        <f t="shared" si="350"/>
        <v/>
      </c>
      <c r="C2212" s="90"/>
      <c r="D2212" s="87"/>
      <c r="E2212" s="88"/>
      <c r="F2212" s="173"/>
      <c r="G2212" s="88"/>
      <c r="H2212" s="88"/>
      <c r="I2212" s="88"/>
      <c r="J2212" s="88"/>
      <c r="K2212" s="230"/>
      <c r="L2212" s="88"/>
      <c r="M2212" s="88"/>
      <c r="N2212" s="88"/>
      <c r="O2212" s="88"/>
      <c r="P2212" s="88"/>
      <c r="Q2212" s="88"/>
      <c r="R2212" s="88"/>
      <c r="S2212" s="620"/>
      <c r="T2212" s="92"/>
      <c r="U2212" s="1214"/>
      <c r="V2212" s="1215"/>
      <c r="W2212" s="168"/>
      <c r="X2212" s="170"/>
    </row>
    <row r="2213" spans="1:24" ht="12.75" customHeight="1">
      <c r="A2213" s="15"/>
      <c r="B2213" s="92" t="str">
        <f t="shared" si="350"/>
        <v/>
      </c>
      <c r="C2213" s="90"/>
      <c r="D2213" s="87"/>
      <c r="E2213" s="88"/>
      <c r="F2213" s="173"/>
      <c r="G2213" s="88"/>
      <c r="H2213" s="88"/>
      <c r="I2213" s="88"/>
      <c r="J2213" s="88"/>
      <c r="K2213" s="230"/>
      <c r="L2213" s="88"/>
      <c r="M2213" s="88"/>
      <c r="N2213" s="88"/>
      <c r="O2213" s="88"/>
      <c r="P2213" s="88"/>
      <c r="Q2213" s="88"/>
      <c r="R2213" s="88"/>
      <c r="S2213" s="620"/>
      <c r="T2213" s="92"/>
      <c r="U2213" s="1214"/>
      <c r="V2213" s="1215"/>
      <c r="W2213" s="168"/>
      <c r="X2213" s="170"/>
    </row>
    <row r="2214" spans="1:24" ht="12.75" customHeight="1">
      <c r="A2214" s="15"/>
      <c r="B2214" s="92" t="str">
        <f t="shared" si="350"/>
        <v/>
      </c>
      <c r="C2214" s="90"/>
      <c r="D2214" s="87"/>
      <c r="E2214" s="88"/>
      <c r="F2214" s="173"/>
      <c r="G2214" s="88"/>
      <c r="H2214" s="88"/>
      <c r="I2214" s="88"/>
      <c r="J2214" s="88"/>
      <c r="K2214" s="230"/>
      <c r="L2214" s="88"/>
      <c r="M2214" s="88"/>
      <c r="N2214" s="88"/>
      <c r="O2214" s="88"/>
      <c r="P2214" s="88"/>
      <c r="Q2214" s="88"/>
      <c r="R2214" s="88"/>
      <c r="S2214" s="620"/>
      <c r="T2214" s="92"/>
      <c r="U2214" s="1214"/>
      <c r="V2214" s="1215"/>
      <c r="W2214" s="168"/>
      <c r="X2214" s="170"/>
    </row>
    <row r="2215" spans="1:24" ht="12.75" customHeight="1">
      <c r="A2215" s="15"/>
      <c r="B2215" s="92" t="str">
        <f t="shared" si="350"/>
        <v/>
      </c>
      <c r="C2215" s="90"/>
      <c r="D2215" s="87"/>
      <c r="E2215" s="88"/>
      <c r="F2215" s="173"/>
      <c r="G2215" s="88"/>
      <c r="H2215" s="88"/>
      <c r="I2215" s="88"/>
      <c r="J2215" s="88"/>
      <c r="K2215" s="230"/>
      <c r="L2215" s="88"/>
      <c r="M2215" s="88"/>
      <c r="N2215" s="88"/>
      <c r="O2215" s="88"/>
      <c r="P2215" s="88"/>
      <c r="Q2215" s="88"/>
      <c r="R2215" s="88"/>
      <c r="S2215" s="620"/>
      <c r="T2215" s="92"/>
      <c r="U2215" s="1214"/>
      <c r="V2215" s="1215"/>
      <c r="W2215" s="168"/>
      <c r="X2215" s="170"/>
    </row>
    <row r="2216" spans="1:24" ht="12.75" customHeight="1">
      <c r="A2216" s="15"/>
      <c r="B2216" s="92" t="str">
        <f t="shared" si="350"/>
        <v/>
      </c>
      <c r="C2216" s="90"/>
      <c r="D2216" s="87"/>
      <c r="E2216" s="88"/>
      <c r="F2216" s="173"/>
      <c r="G2216" s="88"/>
      <c r="H2216" s="88"/>
      <c r="I2216" s="88"/>
      <c r="J2216" s="88"/>
      <c r="K2216" s="230"/>
      <c r="L2216" s="88"/>
      <c r="M2216" s="88"/>
      <c r="N2216" s="88"/>
      <c r="O2216" s="88"/>
      <c r="P2216" s="88"/>
      <c r="Q2216" s="88"/>
      <c r="R2216" s="88"/>
      <c r="S2216" s="620"/>
      <c r="T2216" s="92"/>
      <c r="U2216" s="1214"/>
      <c r="V2216" s="1215"/>
      <c r="W2216" s="168"/>
      <c r="X2216" s="170"/>
    </row>
    <row r="2217" spans="1:24" ht="12.75" customHeight="1">
      <c r="A2217" s="15"/>
      <c r="B2217" s="92" t="str">
        <f t="shared" si="350"/>
        <v/>
      </c>
      <c r="C2217" s="90"/>
      <c r="D2217" s="87"/>
      <c r="E2217" s="88"/>
      <c r="F2217" s="173"/>
      <c r="G2217" s="88"/>
      <c r="H2217" s="88"/>
      <c r="I2217" s="88"/>
      <c r="J2217" s="88"/>
      <c r="K2217" s="230"/>
      <c r="L2217" s="88"/>
      <c r="M2217" s="88"/>
      <c r="N2217" s="88"/>
      <c r="O2217" s="88"/>
      <c r="P2217" s="88"/>
      <c r="Q2217" s="88"/>
      <c r="R2217" s="88"/>
      <c r="S2217" s="620"/>
      <c r="T2217" s="92"/>
      <c r="U2217" s="1214"/>
      <c r="V2217" s="1215"/>
      <c r="W2217" s="168"/>
      <c r="X2217" s="170"/>
    </row>
    <row r="2218" spans="1:24" ht="12.75" customHeight="1">
      <c r="A2218" s="15"/>
      <c r="B2218" s="92" t="str">
        <f t="shared" si="350"/>
        <v/>
      </c>
      <c r="C2218" s="90"/>
      <c r="D2218" s="87"/>
      <c r="E2218" s="88"/>
      <c r="F2218" s="173"/>
      <c r="G2218" s="88"/>
      <c r="H2218" s="88"/>
      <c r="I2218" s="88"/>
      <c r="J2218" s="88"/>
      <c r="K2218" s="230"/>
      <c r="L2218" s="88"/>
      <c r="M2218" s="88"/>
      <c r="N2218" s="88"/>
      <c r="O2218" s="88"/>
      <c r="P2218" s="88"/>
      <c r="Q2218" s="88"/>
      <c r="R2218" s="88"/>
      <c r="S2218" s="620"/>
      <c r="T2218" s="92"/>
      <c r="U2218" s="1214"/>
      <c r="V2218" s="1215"/>
      <c r="W2218" s="168"/>
      <c r="X2218" s="170"/>
    </row>
    <row r="2219" spans="1:24" ht="12.75" customHeight="1">
      <c r="A2219" s="15"/>
      <c r="B2219" s="92" t="str">
        <f t="shared" si="350"/>
        <v/>
      </c>
      <c r="C2219" s="90"/>
      <c r="D2219" s="87"/>
      <c r="E2219" s="88"/>
      <c r="F2219" s="173"/>
      <c r="G2219" s="88"/>
      <c r="H2219" s="88"/>
      <c r="I2219" s="88"/>
      <c r="J2219" s="88"/>
      <c r="K2219" s="230"/>
      <c r="L2219" s="88"/>
      <c r="M2219" s="88"/>
      <c r="N2219" s="88"/>
      <c r="O2219" s="88"/>
      <c r="P2219" s="88"/>
      <c r="Q2219" s="88"/>
      <c r="R2219" s="88"/>
      <c r="S2219" s="620"/>
      <c r="T2219" s="92"/>
      <c r="U2219" s="1214"/>
      <c r="V2219" s="1215"/>
      <c r="W2219" s="168"/>
      <c r="X2219" s="170"/>
    </row>
    <row r="2220" spans="1:24" ht="12.75" customHeight="1">
      <c r="A2220" s="15"/>
      <c r="B2220" s="92" t="str">
        <f t="shared" si="350"/>
        <v/>
      </c>
      <c r="C2220" s="90"/>
      <c r="D2220" s="87"/>
      <c r="E2220" s="88"/>
      <c r="F2220" s="173"/>
      <c r="G2220" s="88"/>
      <c r="H2220" s="88"/>
      <c r="I2220" s="88"/>
      <c r="J2220" s="88"/>
      <c r="K2220" s="230"/>
      <c r="L2220" s="88"/>
      <c r="M2220" s="88"/>
      <c r="N2220" s="88"/>
      <c r="O2220" s="88"/>
      <c r="P2220" s="88"/>
      <c r="Q2220" s="88"/>
      <c r="R2220" s="88"/>
      <c r="S2220" s="620"/>
      <c r="T2220" s="92"/>
      <c r="U2220" s="1214"/>
      <c r="V2220" s="1215"/>
      <c r="W2220" s="168"/>
      <c r="X2220" s="170"/>
    </row>
    <row r="2221" spans="1:24" ht="12.75" customHeight="1">
      <c r="A2221" s="15"/>
      <c r="B2221" s="92" t="str">
        <f t="shared" si="350"/>
        <v/>
      </c>
      <c r="C2221" s="90"/>
      <c r="D2221" s="87"/>
      <c r="E2221" s="88"/>
      <c r="F2221" s="173"/>
      <c r="G2221" s="88"/>
      <c r="H2221" s="88"/>
      <c r="I2221" s="88"/>
      <c r="J2221" s="88"/>
      <c r="K2221" s="230"/>
      <c r="L2221" s="88"/>
      <c r="M2221" s="88"/>
      <c r="N2221" s="88"/>
      <c r="O2221" s="88"/>
      <c r="P2221" s="88"/>
      <c r="Q2221" s="88"/>
      <c r="R2221" s="88"/>
      <c r="S2221" s="620"/>
      <c r="T2221" s="92"/>
      <c r="U2221" s="1214"/>
      <c r="V2221" s="1215"/>
      <c r="W2221" s="168"/>
      <c r="X2221" s="170"/>
    </row>
    <row r="2222" spans="1:24" ht="12.75" customHeight="1">
      <c r="A2222" s="15"/>
      <c r="B2222" s="92" t="str">
        <f t="shared" si="350"/>
        <v/>
      </c>
      <c r="C2222" s="90"/>
      <c r="D2222" s="87"/>
      <c r="E2222" s="88"/>
      <c r="F2222" s="173"/>
      <c r="G2222" s="88"/>
      <c r="H2222" s="88"/>
      <c r="I2222" s="88"/>
      <c r="J2222" s="88"/>
      <c r="K2222" s="230"/>
      <c r="L2222" s="88"/>
      <c r="M2222" s="88"/>
      <c r="N2222" s="88"/>
      <c r="O2222" s="88"/>
      <c r="P2222" s="88"/>
      <c r="Q2222" s="88"/>
      <c r="R2222" s="88"/>
      <c r="S2222" s="620"/>
      <c r="T2222" s="92"/>
      <c r="U2222" s="1214"/>
      <c r="V2222" s="1215"/>
      <c r="W2222" s="168"/>
      <c r="X2222" s="170"/>
    </row>
    <row r="2223" spans="1:24" ht="12.75" customHeight="1">
      <c r="A2223" s="15"/>
      <c r="B2223" s="92" t="str">
        <f t="shared" ref="B2223:B2286" si="351">IF(C2223="","",ROW()-5)</f>
        <v/>
      </c>
      <c r="C2223" s="90"/>
      <c r="D2223" s="87"/>
      <c r="E2223" s="88"/>
      <c r="F2223" s="173"/>
      <c r="G2223" s="88"/>
      <c r="H2223" s="88"/>
      <c r="I2223" s="88"/>
      <c r="J2223" s="88"/>
      <c r="K2223" s="230"/>
      <c r="L2223" s="88"/>
      <c r="M2223" s="88"/>
      <c r="N2223" s="88"/>
      <c r="O2223" s="88"/>
      <c r="P2223" s="88"/>
      <c r="Q2223" s="88"/>
      <c r="R2223" s="88"/>
      <c r="S2223" s="620"/>
      <c r="T2223" s="92"/>
      <c r="U2223" s="1214"/>
      <c r="V2223" s="1215"/>
      <c r="W2223" s="168"/>
      <c r="X2223" s="170"/>
    </row>
    <row r="2224" spans="1:24" ht="12.75" customHeight="1">
      <c r="A2224" s="15"/>
      <c r="B2224" s="92" t="str">
        <f t="shared" si="351"/>
        <v/>
      </c>
      <c r="C2224" s="90"/>
      <c r="D2224" s="87"/>
      <c r="E2224" s="88"/>
      <c r="F2224" s="173"/>
      <c r="G2224" s="88"/>
      <c r="H2224" s="88"/>
      <c r="I2224" s="88"/>
      <c r="J2224" s="88"/>
      <c r="K2224" s="230"/>
      <c r="L2224" s="88"/>
      <c r="M2224" s="88"/>
      <c r="N2224" s="88"/>
      <c r="O2224" s="88"/>
      <c r="P2224" s="88"/>
      <c r="Q2224" s="88"/>
      <c r="R2224" s="88"/>
      <c r="S2224" s="620"/>
      <c r="T2224" s="92"/>
      <c r="U2224" s="1214"/>
      <c r="V2224" s="1215"/>
      <c r="W2224" s="168"/>
      <c r="X2224" s="170"/>
    </row>
    <row r="2225" spans="1:24" ht="12.75" customHeight="1">
      <c r="A2225" s="15"/>
      <c r="B2225" s="92" t="str">
        <f t="shared" si="351"/>
        <v/>
      </c>
      <c r="C2225" s="90"/>
      <c r="D2225" s="87"/>
      <c r="E2225" s="88"/>
      <c r="F2225" s="173"/>
      <c r="G2225" s="88"/>
      <c r="H2225" s="88"/>
      <c r="I2225" s="88"/>
      <c r="J2225" s="88"/>
      <c r="K2225" s="230"/>
      <c r="L2225" s="88"/>
      <c r="M2225" s="88"/>
      <c r="N2225" s="88"/>
      <c r="O2225" s="88"/>
      <c r="P2225" s="88"/>
      <c r="Q2225" s="88"/>
      <c r="R2225" s="88"/>
      <c r="S2225" s="620"/>
      <c r="T2225" s="92"/>
      <c r="U2225" s="1214"/>
      <c r="V2225" s="1215"/>
      <c r="W2225" s="168"/>
      <c r="X2225" s="170"/>
    </row>
    <row r="2226" spans="1:24" ht="12.75" customHeight="1">
      <c r="A2226" s="15"/>
      <c r="B2226" s="92" t="str">
        <f t="shared" si="351"/>
        <v/>
      </c>
      <c r="C2226" s="90"/>
      <c r="D2226" s="87"/>
      <c r="E2226" s="88"/>
      <c r="F2226" s="173"/>
      <c r="G2226" s="88"/>
      <c r="H2226" s="88"/>
      <c r="I2226" s="88"/>
      <c r="J2226" s="88"/>
      <c r="K2226" s="230"/>
      <c r="L2226" s="88"/>
      <c r="M2226" s="88"/>
      <c r="N2226" s="88"/>
      <c r="O2226" s="88"/>
      <c r="P2226" s="88"/>
      <c r="Q2226" s="88"/>
      <c r="R2226" s="88"/>
      <c r="S2226" s="620"/>
      <c r="T2226" s="92"/>
      <c r="U2226" s="1214"/>
      <c r="V2226" s="1215"/>
      <c r="W2226" s="168"/>
      <c r="X2226" s="170"/>
    </row>
    <row r="2227" spans="1:24" ht="12.75" customHeight="1">
      <c r="A2227" s="15"/>
      <c r="B2227" s="92" t="str">
        <f t="shared" si="351"/>
        <v/>
      </c>
      <c r="C2227" s="90"/>
      <c r="D2227" s="87"/>
      <c r="E2227" s="88"/>
      <c r="F2227" s="173"/>
      <c r="G2227" s="88"/>
      <c r="H2227" s="88"/>
      <c r="I2227" s="88"/>
      <c r="J2227" s="88"/>
      <c r="K2227" s="230"/>
      <c r="L2227" s="88"/>
      <c r="M2227" s="88"/>
      <c r="N2227" s="88"/>
      <c r="O2227" s="88"/>
      <c r="P2227" s="88"/>
      <c r="Q2227" s="88"/>
      <c r="R2227" s="88"/>
      <c r="S2227" s="620"/>
      <c r="T2227" s="92"/>
      <c r="U2227" s="1214"/>
      <c r="V2227" s="1215"/>
      <c r="W2227" s="168"/>
      <c r="X2227" s="170"/>
    </row>
    <row r="2228" spans="1:24" ht="12.75" customHeight="1">
      <c r="A2228" s="15"/>
      <c r="B2228" s="92" t="str">
        <f t="shared" si="351"/>
        <v/>
      </c>
      <c r="C2228" s="90"/>
      <c r="D2228" s="87"/>
      <c r="E2228" s="88"/>
      <c r="F2228" s="173"/>
      <c r="G2228" s="88"/>
      <c r="H2228" s="88"/>
      <c r="I2228" s="88"/>
      <c r="J2228" s="88"/>
      <c r="K2228" s="230"/>
      <c r="L2228" s="88"/>
      <c r="M2228" s="88"/>
      <c r="N2228" s="88"/>
      <c r="O2228" s="88"/>
      <c r="P2228" s="88"/>
      <c r="Q2228" s="88"/>
      <c r="R2228" s="88"/>
      <c r="S2228" s="620"/>
      <c r="T2228" s="92"/>
      <c r="U2228" s="1214"/>
      <c r="V2228" s="1215"/>
      <c r="W2228" s="168"/>
      <c r="X2228" s="170"/>
    </row>
    <row r="2229" spans="1:24" ht="12.75" customHeight="1">
      <c r="A2229" s="15"/>
      <c r="B2229" s="92" t="str">
        <f t="shared" si="351"/>
        <v/>
      </c>
      <c r="C2229" s="90"/>
      <c r="D2229" s="87"/>
      <c r="E2229" s="88"/>
      <c r="F2229" s="173"/>
      <c r="G2229" s="88"/>
      <c r="H2229" s="88"/>
      <c r="I2229" s="88"/>
      <c r="J2229" s="88"/>
      <c r="K2229" s="230"/>
      <c r="L2229" s="88"/>
      <c r="M2229" s="88"/>
      <c r="N2229" s="88"/>
      <c r="O2229" s="88"/>
      <c r="P2229" s="88"/>
      <c r="Q2229" s="88"/>
      <c r="R2229" s="88"/>
      <c r="S2229" s="620"/>
      <c r="T2229" s="92"/>
      <c r="U2229" s="1214"/>
      <c r="V2229" s="1215"/>
      <c r="W2229" s="168"/>
      <c r="X2229" s="170"/>
    </row>
    <row r="2230" spans="1:24" ht="12.75" customHeight="1">
      <c r="A2230" s="15"/>
      <c r="B2230" s="92" t="str">
        <f t="shared" si="351"/>
        <v/>
      </c>
      <c r="C2230" s="90"/>
      <c r="D2230" s="87"/>
      <c r="E2230" s="88"/>
      <c r="F2230" s="173"/>
      <c r="G2230" s="88"/>
      <c r="H2230" s="88"/>
      <c r="I2230" s="88"/>
      <c r="J2230" s="88"/>
      <c r="K2230" s="230"/>
      <c r="L2230" s="88"/>
      <c r="M2230" s="88"/>
      <c r="N2230" s="88"/>
      <c r="O2230" s="88"/>
      <c r="P2230" s="88"/>
      <c r="Q2230" s="88"/>
      <c r="R2230" s="88"/>
      <c r="S2230" s="620"/>
      <c r="T2230" s="92"/>
      <c r="U2230" s="1214"/>
      <c r="V2230" s="1215"/>
      <c r="W2230" s="168"/>
      <c r="X2230" s="170"/>
    </row>
    <row r="2231" spans="1:24" ht="12.75" customHeight="1">
      <c r="A2231" s="15"/>
      <c r="B2231" s="92" t="str">
        <f t="shared" si="351"/>
        <v/>
      </c>
      <c r="C2231" s="90"/>
      <c r="D2231" s="87"/>
      <c r="E2231" s="88"/>
      <c r="F2231" s="173"/>
      <c r="G2231" s="88"/>
      <c r="H2231" s="88"/>
      <c r="I2231" s="88"/>
      <c r="J2231" s="88"/>
      <c r="K2231" s="230"/>
      <c r="L2231" s="88"/>
      <c r="M2231" s="88"/>
      <c r="N2231" s="88"/>
      <c r="O2231" s="88"/>
      <c r="P2231" s="88"/>
      <c r="Q2231" s="88"/>
      <c r="R2231" s="88"/>
      <c r="S2231" s="620"/>
      <c r="T2231" s="92"/>
      <c r="U2231" s="1214"/>
      <c r="V2231" s="1215"/>
      <c r="W2231" s="168"/>
      <c r="X2231" s="170"/>
    </row>
    <row r="2232" spans="1:24" ht="12.75" customHeight="1">
      <c r="A2232" s="15"/>
      <c r="B2232" s="92" t="str">
        <f t="shared" si="351"/>
        <v/>
      </c>
      <c r="C2232" s="90"/>
      <c r="D2232" s="87"/>
      <c r="E2232" s="88"/>
      <c r="F2232" s="173"/>
      <c r="G2232" s="88"/>
      <c r="H2232" s="88"/>
      <c r="I2232" s="88"/>
      <c r="J2232" s="88"/>
      <c r="K2232" s="230"/>
      <c r="L2232" s="88"/>
      <c r="M2232" s="88"/>
      <c r="N2232" s="88"/>
      <c r="O2232" s="88"/>
      <c r="P2232" s="88"/>
      <c r="Q2232" s="88"/>
      <c r="R2232" s="88"/>
      <c r="S2232" s="620"/>
      <c r="T2232" s="92"/>
      <c r="U2232" s="1214"/>
      <c r="V2232" s="1215"/>
      <c r="W2232" s="168"/>
      <c r="X2232" s="170"/>
    </row>
    <row r="2233" spans="1:24" ht="12.75" customHeight="1">
      <c r="A2233" s="15"/>
      <c r="B2233" s="92" t="str">
        <f t="shared" si="351"/>
        <v/>
      </c>
      <c r="C2233" s="90"/>
      <c r="D2233" s="87"/>
      <c r="E2233" s="88"/>
      <c r="F2233" s="173"/>
      <c r="G2233" s="88"/>
      <c r="H2233" s="88"/>
      <c r="I2233" s="88"/>
      <c r="J2233" s="88"/>
      <c r="K2233" s="230"/>
      <c r="L2233" s="88"/>
      <c r="M2233" s="88"/>
      <c r="N2233" s="88"/>
      <c r="O2233" s="88"/>
      <c r="P2233" s="88"/>
      <c r="Q2233" s="88"/>
      <c r="R2233" s="88"/>
      <c r="S2233" s="620"/>
      <c r="T2233" s="92"/>
      <c r="U2233" s="1214"/>
      <c r="V2233" s="1215"/>
      <c r="W2233" s="168"/>
      <c r="X2233" s="170"/>
    </row>
    <row r="2234" spans="1:24" ht="12.75" customHeight="1">
      <c r="A2234" s="15"/>
      <c r="B2234" s="92" t="str">
        <f t="shared" si="351"/>
        <v/>
      </c>
      <c r="C2234" s="90"/>
      <c r="D2234" s="87"/>
      <c r="E2234" s="88"/>
      <c r="F2234" s="173"/>
      <c r="G2234" s="88"/>
      <c r="H2234" s="88"/>
      <c r="I2234" s="88"/>
      <c r="J2234" s="88"/>
      <c r="K2234" s="230"/>
      <c r="L2234" s="88"/>
      <c r="M2234" s="88"/>
      <c r="N2234" s="88"/>
      <c r="O2234" s="88"/>
      <c r="P2234" s="88"/>
      <c r="Q2234" s="88"/>
      <c r="R2234" s="88"/>
      <c r="S2234" s="620"/>
      <c r="T2234" s="92"/>
      <c r="U2234" s="1214"/>
      <c r="V2234" s="1215"/>
      <c r="W2234" s="168"/>
      <c r="X2234" s="170"/>
    </row>
    <row r="2235" spans="1:24" ht="12.75" customHeight="1">
      <c r="A2235" s="15"/>
      <c r="B2235" s="92" t="str">
        <f t="shared" si="351"/>
        <v/>
      </c>
      <c r="C2235" s="90"/>
      <c r="D2235" s="87"/>
      <c r="E2235" s="88"/>
      <c r="F2235" s="173"/>
      <c r="G2235" s="88"/>
      <c r="H2235" s="88"/>
      <c r="I2235" s="88"/>
      <c r="J2235" s="88"/>
      <c r="K2235" s="230"/>
      <c r="L2235" s="88"/>
      <c r="M2235" s="88"/>
      <c r="N2235" s="88"/>
      <c r="O2235" s="88"/>
      <c r="P2235" s="88"/>
      <c r="Q2235" s="88"/>
      <c r="R2235" s="88"/>
      <c r="S2235" s="620"/>
      <c r="T2235" s="92"/>
      <c r="U2235" s="1214"/>
      <c r="V2235" s="1215"/>
      <c r="W2235" s="168"/>
      <c r="X2235" s="170"/>
    </row>
    <row r="2236" spans="1:24" ht="12.75" customHeight="1">
      <c r="A2236" s="15"/>
      <c r="B2236" s="92" t="str">
        <f t="shared" si="351"/>
        <v/>
      </c>
      <c r="C2236" s="90"/>
      <c r="D2236" s="87"/>
      <c r="E2236" s="88"/>
      <c r="F2236" s="173"/>
      <c r="G2236" s="88"/>
      <c r="H2236" s="88"/>
      <c r="I2236" s="88"/>
      <c r="J2236" s="88"/>
      <c r="K2236" s="230"/>
      <c r="L2236" s="88"/>
      <c r="M2236" s="88"/>
      <c r="N2236" s="88"/>
      <c r="O2236" s="88"/>
      <c r="P2236" s="88"/>
      <c r="Q2236" s="88"/>
      <c r="R2236" s="88"/>
      <c r="S2236" s="620"/>
      <c r="T2236" s="92"/>
      <c r="U2236" s="1214"/>
      <c r="V2236" s="1215"/>
      <c r="W2236" s="168"/>
      <c r="X2236" s="170"/>
    </row>
    <row r="2237" spans="1:24" ht="12.75" customHeight="1">
      <c r="A2237" s="15"/>
      <c r="B2237" s="92" t="str">
        <f t="shared" si="351"/>
        <v/>
      </c>
      <c r="C2237" s="90"/>
      <c r="D2237" s="87"/>
      <c r="E2237" s="88"/>
      <c r="F2237" s="173"/>
      <c r="G2237" s="88"/>
      <c r="H2237" s="88"/>
      <c r="I2237" s="88"/>
      <c r="J2237" s="88"/>
      <c r="K2237" s="230"/>
      <c r="L2237" s="88"/>
      <c r="M2237" s="88"/>
      <c r="N2237" s="88"/>
      <c r="O2237" s="88"/>
      <c r="P2237" s="88"/>
      <c r="Q2237" s="88"/>
      <c r="R2237" s="88"/>
      <c r="S2237" s="620"/>
      <c r="T2237" s="92"/>
      <c r="U2237" s="1214"/>
      <c r="V2237" s="1215"/>
      <c r="W2237" s="168"/>
      <c r="X2237" s="170"/>
    </row>
    <row r="2238" spans="1:24" ht="12.75" customHeight="1">
      <c r="A2238" s="15"/>
      <c r="B2238" s="92" t="str">
        <f t="shared" si="351"/>
        <v/>
      </c>
      <c r="C2238" s="90"/>
      <c r="D2238" s="87"/>
      <c r="E2238" s="88"/>
      <c r="F2238" s="173"/>
      <c r="G2238" s="88"/>
      <c r="H2238" s="88"/>
      <c r="I2238" s="88"/>
      <c r="J2238" s="88"/>
      <c r="K2238" s="230"/>
      <c r="L2238" s="88"/>
      <c r="M2238" s="88"/>
      <c r="N2238" s="88"/>
      <c r="O2238" s="88"/>
      <c r="P2238" s="88"/>
      <c r="Q2238" s="88"/>
      <c r="R2238" s="88"/>
      <c r="S2238" s="620"/>
      <c r="T2238" s="92"/>
      <c r="U2238" s="1214"/>
      <c r="V2238" s="1215"/>
      <c r="W2238" s="168"/>
      <c r="X2238" s="170"/>
    </row>
    <row r="2239" spans="1:24" ht="12.75" customHeight="1">
      <c r="A2239" s="15"/>
      <c r="B2239" s="92" t="str">
        <f t="shared" si="351"/>
        <v/>
      </c>
      <c r="C2239" s="90"/>
      <c r="D2239" s="87"/>
      <c r="E2239" s="88"/>
      <c r="F2239" s="173"/>
      <c r="G2239" s="88"/>
      <c r="H2239" s="88"/>
      <c r="I2239" s="88"/>
      <c r="J2239" s="88"/>
      <c r="K2239" s="230"/>
      <c r="L2239" s="88"/>
      <c r="M2239" s="88"/>
      <c r="N2239" s="88"/>
      <c r="O2239" s="88"/>
      <c r="P2239" s="88"/>
      <c r="Q2239" s="88"/>
      <c r="R2239" s="88"/>
      <c r="S2239" s="620"/>
      <c r="T2239" s="92"/>
      <c r="U2239" s="1214"/>
      <c r="V2239" s="1215"/>
      <c r="W2239" s="168"/>
      <c r="X2239" s="170"/>
    </row>
    <row r="2240" spans="1:24" ht="12.75" customHeight="1">
      <c r="A2240" s="15"/>
      <c r="B2240" s="92" t="str">
        <f t="shared" si="351"/>
        <v/>
      </c>
      <c r="C2240" s="90"/>
      <c r="D2240" s="87"/>
      <c r="E2240" s="88"/>
      <c r="F2240" s="173"/>
      <c r="G2240" s="88"/>
      <c r="H2240" s="88"/>
      <c r="I2240" s="88"/>
      <c r="J2240" s="88"/>
      <c r="K2240" s="230"/>
      <c r="L2240" s="88"/>
      <c r="M2240" s="88"/>
      <c r="N2240" s="88"/>
      <c r="O2240" s="88"/>
      <c r="P2240" s="88"/>
      <c r="Q2240" s="88"/>
      <c r="R2240" s="88"/>
      <c r="S2240" s="620"/>
      <c r="T2240" s="92"/>
      <c r="U2240" s="1214"/>
      <c r="V2240" s="1215"/>
      <c r="W2240" s="168"/>
      <c r="X2240" s="170"/>
    </row>
    <row r="2241" spans="1:24" ht="12.75" customHeight="1">
      <c r="A2241" s="15"/>
      <c r="B2241" s="92" t="str">
        <f t="shared" si="351"/>
        <v/>
      </c>
      <c r="C2241" s="90"/>
      <c r="D2241" s="87"/>
      <c r="E2241" s="88"/>
      <c r="F2241" s="173"/>
      <c r="G2241" s="88"/>
      <c r="H2241" s="88"/>
      <c r="I2241" s="88"/>
      <c r="J2241" s="88"/>
      <c r="K2241" s="230"/>
      <c r="L2241" s="88"/>
      <c r="M2241" s="88"/>
      <c r="N2241" s="88"/>
      <c r="O2241" s="88"/>
      <c r="P2241" s="88"/>
      <c r="Q2241" s="88"/>
      <c r="R2241" s="88"/>
      <c r="S2241" s="620"/>
      <c r="T2241" s="92"/>
      <c r="U2241" s="1214"/>
      <c r="V2241" s="1215"/>
      <c r="W2241" s="168"/>
      <c r="X2241" s="170"/>
    </row>
    <row r="2242" spans="1:24" ht="12.75" customHeight="1">
      <c r="A2242" s="15"/>
      <c r="B2242" s="92" t="str">
        <f t="shared" si="351"/>
        <v/>
      </c>
      <c r="C2242" s="90"/>
      <c r="D2242" s="87"/>
      <c r="E2242" s="88"/>
      <c r="F2242" s="173"/>
      <c r="G2242" s="88"/>
      <c r="H2242" s="88"/>
      <c r="I2242" s="88"/>
      <c r="J2242" s="88"/>
      <c r="K2242" s="230"/>
      <c r="L2242" s="88"/>
      <c r="M2242" s="88"/>
      <c r="N2242" s="88"/>
      <c r="O2242" s="88"/>
      <c r="P2242" s="88"/>
      <c r="Q2242" s="88"/>
      <c r="R2242" s="88"/>
      <c r="S2242" s="620"/>
      <c r="T2242" s="92"/>
      <c r="U2242" s="1214"/>
      <c r="V2242" s="1215"/>
      <c r="W2242" s="168"/>
      <c r="X2242" s="170"/>
    </row>
    <row r="2243" spans="1:24" ht="12.75" customHeight="1">
      <c r="A2243" s="15"/>
      <c r="B2243" s="92" t="str">
        <f t="shared" si="351"/>
        <v/>
      </c>
      <c r="C2243" s="90"/>
      <c r="D2243" s="87"/>
      <c r="E2243" s="88"/>
      <c r="F2243" s="173"/>
      <c r="G2243" s="88"/>
      <c r="H2243" s="88"/>
      <c r="I2243" s="88"/>
      <c r="J2243" s="88"/>
      <c r="K2243" s="230"/>
      <c r="L2243" s="88"/>
      <c r="M2243" s="88"/>
      <c r="N2243" s="88"/>
      <c r="O2243" s="88"/>
      <c r="P2243" s="88"/>
      <c r="Q2243" s="88"/>
      <c r="R2243" s="88"/>
      <c r="S2243" s="620"/>
      <c r="T2243" s="92"/>
      <c r="U2243" s="1214"/>
      <c r="V2243" s="1215"/>
      <c r="W2243" s="168"/>
      <c r="X2243" s="170"/>
    </row>
    <row r="2244" spans="1:24" ht="12.75" customHeight="1">
      <c r="A2244" s="15"/>
      <c r="B2244" s="92" t="str">
        <f t="shared" si="351"/>
        <v/>
      </c>
      <c r="C2244" s="90"/>
      <c r="D2244" s="87"/>
      <c r="E2244" s="88"/>
      <c r="F2244" s="173"/>
      <c r="G2244" s="88"/>
      <c r="H2244" s="88"/>
      <c r="I2244" s="88"/>
      <c r="J2244" s="88"/>
      <c r="K2244" s="230"/>
      <c r="L2244" s="88"/>
      <c r="M2244" s="88"/>
      <c r="N2244" s="88"/>
      <c r="O2244" s="88"/>
      <c r="P2244" s="88"/>
      <c r="Q2244" s="88"/>
      <c r="R2244" s="88"/>
      <c r="S2244" s="620"/>
      <c r="T2244" s="92"/>
      <c r="U2244" s="1214"/>
      <c r="V2244" s="1215"/>
      <c r="W2244" s="168"/>
      <c r="X2244" s="170"/>
    </row>
    <row r="2245" spans="1:24" ht="12.75" customHeight="1">
      <c r="A2245" s="15"/>
      <c r="B2245" s="92" t="str">
        <f t="shared" si="351"/>
        <v/>
      </c>
      <c r="C2245" s="90"/>
      <c r="D2245" s="87"/>
      <c r="E2245" s="88"/>
      <c r="F2245" s="173"/>
      <c r="G2245" s="88"/>
      <c r="H2245" s="88"/>
      <c r="I2245" s="88"/>
      <c r="J2245" s="88"/>
      <c r="K2245" s="230"/>
      <c r="L2245" s="88"/>
      <c r="M2245" s="88"/>
      <c r="N2245" s="88"/>
      <c r="O2245" s="88"/>
      <c r="P2245" s="88"/>
      <c r="Q2245" s="88"/>
      <c r="R2245" s="88"/>
      <c r="S2245" s="620"/>
      <c r="T2245" s="92"/>
      <c r="U2245" s="1214"/>
      <c r="V2245" s="1215"/>
      <c r="W2245" s="168"/>
      <c r="X2245" s="170"/>
    </row>
    <row r="2246" spans="1:24" ht="12.75" customHeight="1">
      <c r="A2246" s="15"/>
      <c r="B2246" s="92" t="str">
        <f t="shared" si="351"/>
        <v/>
      </c>
      <c r="C2246" s="90"/>
      <c r="D2246" s="87"/>
      <c r="E2246" s="88"/>
      <c r="F2246" s="173"/>
      <c r="G2246" s="88"/>
      <c r="H2246" s="88"/>
      <c r="I2246" s="88"/>
      <c r="J2246" s="88"/>
      <c r="K2246" s="230"/>
      <c r="L2246" s="88"/>
      <c r="M2246" s="88"/>
      <c r="N2246" s="88"/>
      <c r="O2246" s="88"/>
      <c r="P2246" s="88"/>
      <c r="Q2246" s="88"/>
      <c r="R2246" s="88"/>
      <c r="S2246" s="620"/>
      <c r="T2246" s="92"/>
      <c r="U2246" s="1214"/>
      <c r="V2246" s="1215"/>
      <c r="W2246" s="168"/>
      <c r="X2246" s="170"/>
    </row>
    <row r="2247" spans="1:24" ht="12.75" customHeight="1">
      <c r="A2247" s="15"/>
      <c r="B2247" s="92" t="str">
        <f t="shared" si="351"/>
        <v/>
      </c>
      <c r="C2247" s="90"/>
      <c r="D2247" s="87"/>
      <c r="E2247" s="88"/>
      <c r="F2247" s="173"/>
      <c r="G2247" s="88"/>
      <c r="H2247" s="88"/>
      <c r="I2247" s="88"/>
      <c r="J2247" s="88"/>
      <c r="K2247" s="230"/>
      <c r="L2247" s="88"/>
      <c r="M2247" s="88"/>
      <c r="N2247" s="88"/>
      <c r="O2247" s="88"/>
      <c r="P2247" s="88"/>
      <c r="Q2247" s="88"/>
      <c r="R2247" s="88"/>
      <c r="S2247" s="620"/>
      <c r="T2247" s="92"/>
      <c r="U2247" s="1214"/>
      <c r="V2247" s="1215"/>
      <c r="W2247" s="168"/>
      <c r="X2247" s="170"/>
    </row>
    <row r="2248" spans="1:24" ht="12.75" customHeight="1">
      <c r="A2248" s="15"/>
      <c r="B2248" s="92" t="str">
        <f t="shared" si="351"/>
        <v/>
      </c>
      <c r="C2248" s="90"/>
      <c r="D2248" s="87"/>
      <c r="E2248" s="88"/>
      <c r="F2248" s="173"/>
      <c r="G2248" s="88"/>
      <c r="H2248" s="88"/>
      <c r="I2248" s="88"/>
      <c r="J2248" s="88"/>
      <c r="K2248" s="230"/>
      <c r="L2248" s="88"/>
      <c r="M2248" s="88"/>
      <c r="N2248" s="88"/>
      <c r="O2248" s="88"/>
      <c r="P2248" s="88"/>
      <c r="Q2248" s="88"/>
      <c r="R2248" s="88"/>
      <c r="S2248" s="620"/>
      <c r="T2248" s="92"/>
      <c r="U2248" s="1214"/>
      <c r="V2248" s="1215"/>
      <c r="W2248" s="168"/>
      <c r="X2248" s="170"/>
    </row>
    <row r="2249" spans="1:24" ht="12.75" customHeight="1">
      <c r="A2249" s="15"/>
      <c r="B2249" s="92" t="str">
        <f t="shared" si="351"/>
        <v/>
      </c>
      <c r="C2249" s="90"/>
      <c r="D2249" s="87"/>
      <c r="E2249" s="88"/>
      <c r="F2249" s="173"/>
      <c r="G2249" s="88"/>
      <c r="H2249" s="88"/>
      <c r="I2249" s="88"/>
      <c r="J2249" s="88"/>
      <c r="K2249" s="230"/>
      <c r="L2249" s="88"/>
      <c r="M2249" s="88"/>
      <c r="N2249" s="88"/>
      <c r="O2249" s="88"/>
      <c r="P2249" s="88"/>
      <c r="Q2249" s="88"/>
      <c r="R2249" s="88"/>
      <c r="S2249" s="620"/>
      <c r="T2249" s="92"/>
      <c r="U2249" s="1214"/>
      <c r="V2249" s="1215"/>
      <c r="W2249" s="168"/>
      <c r="X2249" s="170"/>
    </row>
    <row r="2250" spans="1:24" ht="12.75" customHeight="1">
      <c r="A2250" s="15"/>
      <c r="B2250" s="92" t="str">
        <f t="shared" si="351"/>
        <v/>
      </c>
      <c r="C2250" s="90"/>
      <c r="D2250" s="87"/>
      <c r="E2250" s="88"/>
      <c r="F2250" s="173"/>
      <c r="G2250" s="88"/>
      <c r="H2250" s="88"/>
      <c r="I2250" s="88"/>
      <c r="J2250" s="88"/>
      <c r="K2250" s="230"/>
      <c r="L2250" s="88"/>
      <c r="M2250" s="88"/>
      <c r="N2250" s="88"/>
      <c r="O2250" s="88"/>
      <c r="P2250" s="88"/>
      <c r="Q2250" s="88"/>
      <c r="R2250" s="88"/>
      <c r="S2250" s="620"/>
      <c r="T2250" s="92"/>
      <c r="U2250" s="1214"/>
      <c r="V2250" s="1215"/>
      <c r="W2250" s="168"/>
      <c r="X2250" s="170"/>
    </row>
    <row r="2251" spans="1:24" ht="12.75" customHeight="1">
      <c r="A2251" s="15"/>
      <c r="B2251" s="92" t="str">
        <f t="shared" si="351"/>
        <v/>
      </c>
      <c r="C2251" s="90"/>
      <c r="D2251" s="87"/>
      <c r="E2251" s="88"/>
      <c r="F2251" s="173"/>
      <c r="G2251" s="88"/>
      <c r="H2251" s="88"/>
      <c r="I2251" s="88"/>
      <c r="J2251" s="88"/>
      <c r="K2251" s="230"/>
      <c r="L2251" s="88"/>
      <c r="M2251" s="88"/>
      <c r="N2251" s="88"/>
      <c r="O2251" s="88"/>
      <c r="P2251" s="88"/>
      <c r="Q2251" s="88"/>
      <c r="R2251" s="88"/>
      <c r="S2251" s="620"/>
      <c r="T2251" s="92"/>
      <c r="U2251" s="1214"/>
      <c r="V2251" s="1215"/>
      <c r="W2251" s="168"/>
      <c r="X2251" s="170"/>
    </row>
    <row r="2252" spans="1:24" ht="12.75" customHeight="1">
      <c r="A2252" s="15"/>
      <c r="B2252" s="92" t="str">
        <f t="shared" si="351"/>
        <v/>
      </c>
      <c r="C2252" s="90"/>
      <c r="D2252" s="87"/>
      <c r="E2252" s="88"/>
      <c r="F2252" s="173"/>
      <c r="G2252" s="88"/>
      <c r="H2252" s="88"/>
      <c r="I2252" s="88"/>
      <c r="J2252" s="88"/>
      <c r="K2252" s="230"/>
      <c r="L2252" s="88"/>
      <c r="M2252" s="88"/>
      <c r="N2252" s="88"/>
      <c r="O2252" s="88"/>
      <c r="P2252" s="88"/>
      <c r="Q2252" s="88"/>
      <c r="R2252" s="88"/>
      <c r="S2252" s="620"/>
      <c r="T2252" s="92"/>
      <c r="U2252" s="1214"/>
      <c r="V2252" s="1215"/>
      <c r="W2252" s="168"/>
      <c r="X2252" s="170"/>
    </row>
    <row r="2253" spans="1:24" ht="12.75" customHeight="1">
      <c r="A2253" s="15"/>
      <c r="B2253" s="92" t="str">
        <f t="shared" si="351"/>
        <v/>
      </c>
      <c r="C2253" s="90"/>
      <c r="D2253" s="87"/>
      <c r="E2253" s="88"/>
      <c r="F2253" s="173"/>
      <c r="G2253" s="88"/>
      <c r="H2253" s="88"/>
      <c r="I2253" s="88"/>
      <c r="J2253" s="88"/>
      <c r="K2253" s="230"/>
      <c r="L2253" s="88"/>
      <c r="M2253" s="88"/>
      <c r="N2253" s="88"/>
      <c r="O2253" s="88"/>
      <c r="P2253" s="88"/>
      <c r="Q2253" s="88"/>
      <c r="R2253" s="88"/>
      <c r="S2253" s="620"/>
      <c r="T2253" s="92"/>
      <c r="U2253" s="1214"/>
      <c r="V2253" s="1215"/>
      <c r="W2253" s="168"/>
      <c r="X2253" s="170"/>
    </row>
    <row r="2254" spans="1:24" ht="12.75" customHeight="1">
      <c r="A2254" s="15"/>
      <c r="B2254" s="92" t="str">
        <f t="shared" si="351"/>
        <v/>
      </c>
      <c r="C2254" s="90"/>
      <c r="D2254" s="87"/>
      <c r="E2254" s="88"/>
      <c r="F2254" s="173"/>
      <c r="G2254" s="88"/>
      <c r="H2254" s="88"/>
      <c r="I2254" s="88"/>
      <c r="J2254" s="88"/>
      <c r="K2254" s="230"/>
      <c r="L2254" s="88"/>
      <c r="M2254" s="88"/>
      <c r="N2254" s="88"/>
      <c r="O2254" s="88"/>
      <c r="P2254" s="88"/>
      <c r="Q2254" s="88"/>
      <c r="R2254" s="88"/>
      <c r="S2254" s="620"/>
      <c r="T2254" s="92"/>
      <c r="U2254" s="1214"/>
      <c r="V2254" s="1215"/>
      <c r="W2254" s="168"/>
      <c r="X2254" s="170"/>
    </row>
    <row r="2255" spans="1:24" ht="12.75" customHeight="1">
      <c r="A2255" s="15"/>
      <c r="B2255" s="92" t="str">
        <f t="shared" si="351"/>
        <v/>
      </c>
      <c r="C2255" s="90"/>
      <c r="D2255" s="87"/>
      <c r="E2255" s="88"/>
      <c r="F2255" s="173"/>
      <c r="G2255" s="88"/>
      <c r="H2255" s="88"/>
      <c r="I2255" s="88"/>
      <c r="J2255" s="88"/>
      <c r="K2255" s="230"/>
      <c r="L2255" s="88"/>
      <c r="M2255" s="88"/>
      <c r="N2255" s="88"/>
      <c r="O2255" s="88"/>
      <c r="P2255" s="88"/>
      <c r="Q2255" s="88"/>
      <c r="R2255" s="88"/>
      <c r="S2255" s="620"/>
      <c r="T2255" s="92"/>
      <c r="U2255" s="1214"/>
      <c r="V2255" s="1215"/>
      <c r="W2255" s="168"/>
      <c r="X2255" s="170"/>
    </row>
    <row r="2256" spans="1:24" ht="12.75" customHeight="1">
      <c r="A2256" s="15"/>
      <c r="B2256" s="92" t="str">
        <f t="shared" si="351"/>
        <v/>
      </c>
      <c r="C2256" s="90"/>
      <c r="D2256" s="87"/>
      <c r="E2256" s="88"/>
      <c r="F2256" s="173"/>
      <c r="G2256" s="88"/>
      <c r="H2256" s="88"/>
      <c r="I2256" s="88"/>
      <c r="J2256" s="88"/>
      <c r="K2256" s="230"/>
      <c r="L2256" s="88"/>
      <c r="M2256" s="88"/>
      <c r="N2256" s="88"/>
      <c r="O2256" s="88"/>
      <c r="P2256" s="88"/>
      <c r="Q2256" s="88"/>
      <c r="R2256" s="88"/>
      <c r="S2256" s="620"/>
      <c r="T2256" s="92"/>
      <c r="U2256" s="1214"/>
      <c r="V2256" s="1215"/>
      <c r="W2256" s="168"/>
      <c r="X2256" s="170"/>
    </row>
    <row r="2257" spans="1:24" ht="12.75" customHeight="1">
      <c r="A2257" s="15"/>
      <c r="B2257" s="92" t="str">
        <f t="shared" si="351"/>
        <v/>
      </c>
      <c r="C2257" s="90"/>
      <c r="D2257" s="87"/>
      <c r="E2257" s="88"/>
      <c r="F2257" s="173"/>
      <c r="G2257" s="88"/>
      <c r="H2257" s="88"/>
      <c r="I2257" s="88"/>
      <c r="J2257" s="88"/>
      <c r="K2257" s="230"/>
      <c r="L2257" s="88"/>
      <c r="M2257" s="88"/>
      <c r="N2257" s="88"/>
      <c r="O2257" s="88"/>
      <c r="P2257" s="88"/>
      <c r="Q2257" s="88"/>
      <c r="R2257" s="88"/>
      <c r="S2257" s="620"/>
      <c r="T2257" s="92"/>
      <c r="U2257" s="1214"/>
      <c r="V2257" s="1215"/>
      <c r="W2257" s="168"/>
      <c r="X2257" s="170"/>
    </row>
    <row r="2258" spans="1:24" ht="12.75" customHeight="1">
      <c r="A2258" s="15"/>
      <c r="B2258" s="92" t="str">
        <f t="shared" si="351"/>
        <v/>
      </c>
      <c r="C2258" s="90"/>
      <c r="D2258" s="87"/>
      <c r="E2258" s="88"/>
      <c r="F2258" s="173"/>
      <c r="G2258" s="88"/>
      <c r="H2258" s="88"/>
      <c r="I2258" s="88"/>
      <c r="J2258" s="88"/>
      <c r="K2258" s="230"/>
      <c r="L2258" s="88"/>
      <c r="M2258" s="88"/>
      <c r="N2258" s="88"/>
      <c r="O2258" s="88"/>
      <c r="P2258" s="88"/>
      <c r="Q2258" s="88"/>
      <c r="R2258" s="88"/>
      <c r="S2258" s="620"/>
      <c r="T2258" s="92"/>
      <c r="U2258" s="1214"/>
      <c r="V2258" s="1215"/>
      <c r="W2258" s="168"/>
      <c r="X2258" s="170"/>
    </row>
    <row r="2259" spans="1:24" ht="12.75" customHeight="1">
      <c r="A2259" s="15"/>
      <c r="B2259" s="92" t="str">
        <f t="shared" si="351"/>
        <v/>
      </c>
      <c r="C2259" s="90"/>
      <c r="D2259" s="87"/>
      <c r="E2259" s="88"/>
      <c r="F2259" s="173"/>
      <c r="G2259" s="88"/>
      <c r="H2259" s="88"/>
      <c r="I2259" s="88"/>
      <c r="J2259" s="88"/>
      <c r="K2259" s="230"/>
      <c r="L2259" s="88"/>
      <c r="M2259" s="88"/>
      <c r="N2259" s="88"/>
      <c r="O2259" s="88"/>
      <c r="P2259" s="88"/>
      <c r="Q2259" s="88"/>
      <c r="R2259" s="88"/>
      <c r="S2259" s="620"/>
      <c r="T2259" s="92"/>
      <c r="U2259" s="1214"/>
      <c r="V2259" s="1215"/>
      <c r="W2259" s="168"/>
      <c r="X2259" s="170"/>
    </row>
    <row r="2260" spans="1:24" ht="12.75" customHeight="1">
      <c r="A2260" s="15"/>
      <c r="B2260" s="92" t="str">
        <f t="shared" si="351"/>
        <v/>
      </c>
      <c r="C2260" s="90"/>
      <c r="D2260" s="87"/>
      <c r="E2260" s="88"/>
      <c r="F2260" s="173"/>
      <c r="G2260" s="88"/>
      <c r="H2260" s="88"/>
      <c r="I2260" s="88"/>
      <c r="J2260" s="88"/>
      <c r="K2260" s="230"/>
      <c r="L2260" s="88"/>
      <c r="M2260" s="88"/>
      <c r="N2260" s="88"/>
      <c r="O2260" s="88"/>
      <c r="P2260" s="88"/>
      <c r="Q2260" s="88"/>
      <c r="R2260" s="88"/>
      <c r="S2260" s="620"/>
      <c r="T2260" s="92"/>
      <c r="U2260" s="1214"/>
      <c r="V2260" s="1215"/>
      <c r="W2260" s="168"/>
      <c r="X2260" s="170"/>
    </row>
    <row r="2261" spans="1:24" ht="12.75" customHeight="1">
      <c r="A2261" s="15"/>
      <c r="B2261" s="92" t="str">
        <f t="shared" si="351"/>
        <v/>
      </c>
      <c r="C2261" s="90"/>
      <c r="D2261" s="87"/>
      <c r="E2261" s="88"/>
      <c r="F2261" s="173"/>
      <c r="G2261" s="88"/>
      <c r="H2261" s="88"/>
      <c r="I2261" s="88"/>
      <c r="J2261" s="88"/>
      <c r="K2261" s="230"/>
      <c r="L2261" s="88"/>
      <c r="M2261" s="88"/>
      <c r="N2261" s="88"/>
      <c r="O2261" s="88"/>
      <c r="P2261" s="88"/>
      <c r="Q2261" s="88"/>
      <c r="R2261" s="88"/>
      <c r="S2261" s="620"/>
      <c r="T2261" s="92"/>
      <c r="U2261" s="1214"/>
      <c r="V2261" s="1215"/>
      <c r="W2261" s="168"/>
      <c r="X2261" s="170"/>
    </row>
    <row r="2262" spans="1:24" ht="12.75" customHeight="1">
      <c r="A2262" s="15"/>
      <c r="B2262" s="92" t="str">
        <f t="shared" si="351"/>
        <v/>
      </c>
      <c r="C2262" s="90"/>
      <c r="D2262" s="87"/>
      <c r="E2262" s="88"/>
      <c r="F2262" s="173"/>
      <c r="G2262" s="88"/>
      <c r="H2262" s="88"/>
      <c r="I2262" s="88"/>
      <c r="J2262" s="88"/>
      <c r="K2262" s="230"/>
      <c r="L2262" s="88"/>
      <c r="M2262" s="88"/>
      <c r="N2262" s="88"/>
      <c r="O2262" s="88"/>
      <c r="P2262" s="88"/>
      <c r="Q2262" s="88"/>
      <c r="R2262" s="88"/>
      <c r="S2262" s="620"/>
      <c r="T2262" s="92"/>
      <c r="U2262" s="1214"/>
      <c r="V2262" s="1215"/>
      <c r="W2262" s="168"/>
      <c r="X2262" s="170"/>
    </row>
    <row r="2263" spans="1:24" ht="12.75" customHeight="1">
      <c r="A2263" s="15"/>
      <c r="B2263" s="92" t="str">
        <f t="shared" si="351"/>
        <v/>
      </c>
      <c r="C2263" s="90"/>
      <c r="D2263" s="87"/>
      <c r="E2263" s="88"/>
      <c r="F2263" s="173"/>
      <c r="G2263" s="88"/>
      <c r="H2263" s="88"/>
      <c r="I2263" s="88"/>
      <c r="J2263" s="88"/>
      <c r="K2263" s="230"/>
      <c r="L2263" s="88"/>
      <c r="M2263" s="88"/>
      <c r="N2263" s="88"/>
      <c r="O2263" s="88"/>
      <c r="P2263" s="88"/>
      <c r="Q2263" s="88"/>
      <c r="R2263" s="88"/>
      <c r="S2263" s="620"/>
      <c r="T2263" s="92"/>
      <c r="U2263" s="1214"/>
      <c r="V2263" s="1215"/>
      <c r="W2263" s="168"/>
      <c r="X2263" s="170"/>
    </row>
    <row r="2264" spans="1:24" ht="12.75" customHeight="1">
      <c r="A2264" s="15"/>
      <c r="B2264" s="92" t="str">
        <f t="shared" si="351"/>
        <v/>
      </c>
      <c r="C2264" s="90"/>
      <c r="D2264" s="87"/>
      <c r="E2264" s="88"/>
      <c r="F2264" s="173"/>
      <c r="G2264" s="88"/>
      <c r="H2264" s="88"/>
      <c r="I2264" s="88"/>
      <c r="J2264" s="88"/>
      <c r="K2264" s="230"/>
      <c r="L2264" s="88"/>
      <c r="M2264" s="88"/>
      <c r="N2264" s="88"/>
      <c r="O2264" s="88"/>
      <c r="P2264" s="88"/>
      <c r="Q2264" s="88"/>
      <c r="R2264" s="88"/>
      <c r="S2264" s="620"/>
      <c r="T2264" s="92"/>
      <c r="U2264" s="1214"/>
      <c r="V2264" s="1215"/>
      <c r="W2264" s="168"/>
      <c r="X2264" s="170"/>
    </row>
    <row r="2265" spans="1:24" ht="12.75" customHeight="1">
      <c r="A2265" s="15"/>
      <c r="B2265" s="92" t="str">
        <f t="shared" si="351"/>
        <v/>
      </c>
      <c r="C2265" s="90"/>
      <c r="D2265" s="87"/>
      <c r="E2265" s="88"/>
      <c r="F2265" s="173"/>
      <c r="G2265" s="88"/>
      <c r="H2265" s="88"/>
      <c r="I2265" s="88"/>
      <c r="J2265" s="88"/>
      <c r="K2265" s="230"/>
      <c r="L2265" s="88"/>
      <c r="M2265" s="88"/>
      <c r="N2265" s="88"/>
      <c r="O2265" s="88"/>
      <c r="P2265" s="88"/>
      <c r="Q2265" s="88"/>
      <c r="R2265" s="88"/>
      <c r="S2265" s="620"/>
      <c r="T2265" s="92"/>
      <c r="U2265" s="1214"/>
      <c r="V2265" s="1215"/>
      <c r="W2265" s="168"/>
      <c r="X2265" s="170"/>
    </row>
    <row r="2266" spans="1:24" ht="12.75" customHeight="1">
      <c r="A2266" s="15"/>
      <c r="B2266" s="92" t="str">
        <f t="shared" si="351"/>
        <v/>
      </c>
      <c r="C2266" s="90"/>
      <c r="D2266" s="87"/>
      <c r="E2266" s="88"/>
      <c r="F2266" s="173"/>
      <c r="G2266" s="88"/>
      <c r="H2266" s="88"/>
      <c r="I2266" s="88"/>
      <c r="J2266" s="88"/>
      <c r="K2266" s="230"/>
      <c r="L2266" s="88"/>
      <c r="M2266" s="88"/>
      <c r="N2266" s="88"/>
      <c r="O2266" s="88"/>
      <c r="P2266" s="88"/>
      <c r="Q2266" s="88"/>
      <c r="R2266" s="88"/>
      <c r="S2266" s="620"/>
      <c r="T2266" s="92"/>
      <c r="U2266" s="1214"/>
      <c r="V2266" s="1215"/>
      <c r="W2266" s="168"/>
      <c r="X2266" s="170"/>
    </row>
    <row r="2267" spans="1:24" ht="12.75" customHeight="1">
      <c r="A2267" s="15"/>
      <c r="B2267" s="92" t="str">
        <f t="shared" si="351"/>
        <v/>
      </c>
      <c r="C2267" s="90"/>
      <c r="D2267" s="87"/>
      <c r="E2267" s="88"/>
      <c r="F2267" s="173"/>
      <c r="G2267" s="88"/>
      <c r="H2267" s="88"/>
      <c r="I2267" s="88"/>
      <c r="J2267" s="88"/>
      <c r="K2267" s="230"/>
      <c r="L2267" s="88"/>
      <c r="M2267" s="88"/>
      <c r="N2267" s="88"/>
      <c r="O2267" s="88"/>
      <c r="P2267" s="88"/>
      <c r="Q2267" s="88"/>
      <c r="R2267" s="88"/>
      <c r="S2267" s="620"/>
      <c r="T2267" s="92"/>
      <c r="U2267" s="1214"/>
      <c r="V2267" s="1215"/>
      <c r="W2267" s="168"/>
      <c r="X2267" s="170"/>
    </row>
    <row r="2268" spans="1:24" ht="12.75" customHeight="1">
      <c r="A2268" s="15"/>
      <c r="B2268" s="92" t="str">
        <f t="shared" si="351"/>
        <v/>
      </c>
      <c r="C2268" s="90"/>
      <c r="D2268" s="87"/>
      <c r="E2268" s="88"/>
      <c r="F2268" s="173"/>
      <c r="G2268" s="88"/>
      <c r="H2268" s="88"/>
      <c r="I2268" s="88"/>
      <c r="J2268" s="88"/>
      <c r="K2268" s="230"/>
      <c r="L2268" s="88"/>
      <c r="M2268" s="88"/>
      <c r="N2268" s="88"/>
      <c r="O2268" s="88"/>
      <c r="P2268" s="88"/>
      <c r="Q2268" s="88"/>
      <c r="R2268" s="88"/>
      <c r="S2268" s="620"/>
      <c r="T2268" s="92"/>
      <c r="U2268" s="1214"/>
      <c r="V2268" s="1215"/>
      <c r="W2268" s="168"/>
      <c r="X2268" s="170"/>
    </row>
    <row r="2269" spans="1:24" ht="12.75" customHeight="1">
      <c r="A2269" s="15"/>
      <c r="B2269" s="92" t="str">
        <f t="shared" si="351"/>
        <v/>
      </c>
      <c r="C2269" s="90"/>
      <c r="D2269" s="87"/>
      <c r="E2269" s="88"/>
      <c r="F2269" s="173"/>
      <c r="G2269" s="88"/>
      <c r="H2269" s="88"/>
      <c r="I2269" s="88"/>
      <c r="J2269" s="88"/>
      <c r="K2269" s="230"/>
      <c r="L2269" s="88"/>
      <c r="M2269" s="88"/>
      <c r="N2269" s="88"/>
      <c r="O2269" s="88"/>
      <c r="P2269" s="88"/>
      <c r="Q2269" s="88"/>
      <c r="R2269" s="88"/>
      <c r="S2269" s="620"/>
      <c r="T2269" s="92"/>
      <c r="U2269" s="1214"/>
      <c r="V2269" s="1215"/>
      <c r="W2269" s="168"/>
      <c r="X2269" s="170"/>
    </row>
    <row r="2270" spans="1:24" ht="12.75" customHeight="1">
      <c r="A2270" s="15"/>
      <c r="B2270" s="92" t="str">
        <f t="shared" si="351"/>
        <v/>
      </c>
      <c r="C2270" s="90"/>
      <c r="D2270" s="87"/>
      <c r="E2270" s="88"/>
      <c r="F2270" s="173"/>
      <c r="G2270" s="88"/>
      <c r="H2270" s="88"/>
      <c r="I2270" s="88"/>
      <c r="J2270" s="88"/>
      <c r="K2270" s="230"/>
      <c r="L2270" s="88"/>
      <c r="M2270" s="88"/>
      <c r="N2270" s="88"/>
      <c r="O2270" s="88"/>
      <c r="P2270" s="88"/>
      <c r="Q2270" s="88"/>
      <c r="R2270" s="88"/>
      <c r="S2270" s="620"/>
      <c r="T2270" s="92"/>
      <c r="U2270" s="1214"/>
      <c r="V2270" s="1215"/>
      <c r="W2270" s="168"/>
      <c r="X2270" s="170"/>
    </row>
    <row r="2271" spans="1:24" ht="12.75" customHeight="1">
      <c r="A2271" s="15"/>
      <c r="B2271" s="92" t="str">
        <f t="shared" si="351"/>
        <v/>
      </c>
      <c r="C2271" s="90"/>
      <c r="D2271" s="87"/>
      <c r="E2271" s="88"/>
      <c r="F2271" s="173"/>
      <c r="G2271" s="88"/>
      <c r="H2271" s="88"/>
      <c r="I2271" s="88"/>
      <c r="J2271" s="88"/>
      <c r="K2271" s="230"/>
      <c r="L2271" s="88"/>
      <c r="M2271" s="88"/>
      <c r="N2271" s="88"/>
      <c r="O2271" s="88"/>
      <c r="P2271" s="88"/>
      <c r="Q2271" s="88"/>
      <c r="R2271" s="88"/>
      <c r="S2271" s="620"/>
      <c r="T2271" s="92"/>
      <c r="U2271" s="1214"/>
      <c r="V2271" s="1215"/>
      <c r="W2271" s="168"/>
      <c r="X2271" s="170"/>
    </row>
    <row r="2272" spans="1:24" ht="12.75" customHeight="1">
      <c r="A2272" s="15"/>
      <c r="B2272" s="92" t="str">
        <f t="shared" si="351"/>
        <v/>
      </c>
      <c r="C2272" s="90"/>
      <c r="D2272" s="87"/>
      <c r="E2272" s="88"/>
      <c r="F2272" s="173"/>
      <c r="G2272" s="88"/>
      <c r="H2272" s="88"/>
      <c r="I2272" s="88"/>
      <c r="J2272" s="88"/>
      <c r="K2272" s="230"/>
      <c r="L2272" s="88"/>
      <c r="M2272" s="88"/>
      <c r="N2272" s="88"/>
      <c r="O2272" s="88"/>
      <c r="P2272" s="88"/>
      <c r="Q2272" s="88"/>
      <c r="R2272" s="88"/>
      <c r="S2272" s="620"/>
      <c r="T2272" s="92"/>
      <c r="U2272" s="1214"/>
      <c r="V2272" s="1215"/>
      <c r="W2272" s="168"/>
      <c r="X2272" s="170"/>
    </row>
    <row r="2273" spans="1:24" ht="12.75" customHeight="1">
      <c r="A2273" s="15"/>
      <c r="B2273" s="92" t="str">
        <f t="shared" si="351"/>
        <v/>
      </c>
      <c r="C2273" s="90"/>
      <c r="D2273" s="87"/>
      <c r="E2273" s="88"/>
      <c r="F2273" s="173"/>
      <c r="G2273" s="88"/>
      <c r="H2273" s="88"/>
      <c r="I2273" s="88"/>
      <c r="J2273" s="88"/>
      <c r="K2273" s="230"/>
      <c r="L2273" s="88"/>
      <c r="M2273" s="88"/>
      <c r="N2273" s="88"/>
      <c r="O2273" s="88"/>
      <c r="P2273" s="88"/>
      <c r="Q2273" s="88"/>
      <c r="R2273" s="88"/>
      <c r="S2273" s="620"/>
      <c r="T2273" s="92"/>
      <c r="U2273" s="1214"/>
      <c r="V2273" s="1215"/>
      <c r="W2273" s="168"/>
      <c r="X2273" s="170"/>
    </row>
    <row r="2274" spans="1:24" ht="12.75" customHeight="1">
      <c r="A2274" s="15"/>
      <c r="B2274" s="92" t="str">
        <f t="shared" si="351"/>
        <v/>
      </c>
      <c r="C2274" s="90"/>
      <c r="D2274" s="87"/>
      <c r="E2274" s="88"/>
      <c r="F2274" s="173"/>
      <c r="G2274" s="88"/>
      <c r="H2274" s="88"/>
      <c r="I2274" s="88"/>
      <c r="J2274" s="88"/>
      <c r="K2274" s="230"/>
      <c r="L2274" s="88"/>
      <c r="M2274" s="88"/>
      <c r="N2274" s="88"/>
      <c r="O2274" s="88"/>
      <c r="P2274" s="88"/>
      <c r="Q2274" s="88"/>
      <c r="R2274" s="88"/>
      <c r="S2274" s="620"/>
      <c r="T2274" s="92"/>
      <c r="U2274" s="1214"/>
      <c r="V2274" s="1215"/>
      <c r="W2274" s="168"/>
      <c r="X2274" s="170"/>
    </row>
    <row r="2275" spans="1:24" ht="12.75" customHeight="1">
      <c r="A2275" s="15"/>
      <c r="B2275" s="92" t="str">
        <f t="shared" si="351"/>
        <v/>
      </c>
      <c r="C2275" s="90"/>
      <c r="D2275" s="87"/>
      <c r="E2275" s="88"/>
      <c r="F2275" s="173"/>
      <c r="G2275" s="88"/>
      <c r="H2275" s="88"/>
      <c r="I2275" s="88"/>
      <c r="J2275" s="88"/>
      <c r="K2275" s="230"/>
      <c r="L2275" s="88"/>
      <c r="M2275" s="88"/>
      <c r="N2275" s="88"/>
      <c r="O2275" s="88"/>
      <c r="P2275" s="88"/>
      <c r="Q2275" s="88"/>
      <c r="R2275" s="88"/>
      <c r="S2275" s="620"/>
      <c r="T2275" s="92"/>
      <c r="U2275" s="1214"/>
      <c r="V2275" s="1215"/>
      <c r="W2275" s="168"/>
      <c r="X2275" s="170"/>
    </row>
    <row r="2276" spans="1:24" ht="12.75" customHeight="1">
      <c r="A2276" s="15"/>
      <c r="B2276" s="92" t="str">
        <f t="shared" si="351"/>
        <v/>
      </c>
      <c r="C2276" s="90"/>
      <c r="D2276" s="87"/>
      <c r="E2276" s="88"/>
      <c r="F2276" s="173"/>
      <c r="G2276" s="88"/>
      <c r="H2276" s="88"/>
      <c r="I2276" s="88"/>
      <c r="J2276" s="88"/>
      <c r="K2276" s="230"/>
      <c r="L2276" s="88"/>
      <c r="M2276" s="88"/>
      <c r="N2276" s="88"/>
      <c r="O2276" s="88"/>
      <c r="P2276" s="88"/>
      <c r="Q2276" s="88"/>
      <c r="R2276" s="88"/>
      <c r="S2276" s="620"/>
      <c r="T2276" s="92"/>
      <c r="U2276" s="1214"/>
      <c r="V2276" s="1215"/>
      <c r="W2276" s="168"/>
      <c r="X2276" s="170"/>
    </row>
    <row r="2277" spans="1:24" ht="12.75" customHeight="1">
      <c r="A2277" s="15"/>
      <c r="B2277" s="92" t="str">
        <f t="shared" si="351"/>
        <v/>
      </c>
      <c r="C2277" s="90"/>
      <c r="D2277" s="87"/>
      <c r="E2277" s="88"/>
      <c r="F2277" s="173"/>
      <c r="G2277" s="88"/>
      <c r="H2277" s="88"/>
      <c r="I2277" s="88"/>
      <c r="J2277" s="88"/>
      <c r="K2277" s="230"/>
      <c r="L2277" s="88"/>
      <c r="M2277" s="88"/>
      <c r="N2277" s="88"/>
      <c r="O2277" s="88"/>
      <c r="P2277" s="88"/>
      <c r="Q2277" s="88"/>
      <c r="R2277" s="88"/>
      <c r="S2277" s="620"/>
      <c r="T2277" s="92"/>
      <c r="U2277" s="1214"/>
      <c r="V2277" s="1215"/>
      <c r="W2277" s="168"/>
      <c r="X2277" s="170"/>
    </row>
    <row r="2278" spans="1:24" ht="12.75" customHeight="1">
      <c r="A2278" s="15"/>
      <c r="B2278" s="92" t="str">
        <f t="shared" si="351"/>
        <v/>
      </c>
      <c r="C2278" s="90"/>
      <c r="D2278" s="87"/>
      <c r="E2278" s="88"/>
      <c r="F2278" s="173"/>
      <c r="G2278" s="88"/>
      <c r="H2278" s="88"/>
      <c r="I2278" s="88"/>
      <c r="J2278" s="88"/>
      <c r="K2278" s="230"/>
      <c r="L2278" s="88"/>
      <c r="M2278" s="88"/>
      <c r="N2278" s="88"/>
      <c r="O2278" s="88"/>
      <c r="P2278" s="88"/>
      <c r="Q2278" s="88"/>
      <c r="R2278" s="88"/>
      <c r="S2278" s="620"/>
      <c r="T2278" s="92"/>
      <c r="U2278" s="1214"/>
      <c r="V2278" s="1215"/>
      <c r="W2278" s="168"/>
      <c r="X2278" s="170"/>
    </row>
    <row r="2279" spans="1:24" ht="12.75" customHeight="1">
      <c r="A2279" s="15"/>
      <c r="B2279" s="92" t="str">
        <f t="shared" si="351"/>
        <v/>
      </c>
      <c r="C2279" s="90"/>
      <c r="D2279" s="87"/>
      <c r="E2279" s="88"/>
      <c r="F2279" s="173"/>
      <c r="G2279" s="88"/>
      <c r="H2279" s="88"/>
      <c r="I2279" s="88"/>
      <c r="J2279" s="88"/>
      <c r="K2279" s="230"/>
      <c r="L2279" s="88"/>
      <c r="M2279" s="88"/>
      <c r="N2279" s="88"/>
      <c r="O2279" s="88"/>
      <c r="P2279" s="88"/>
      <c r="Q2279" s="88"/>
      <c r="R2279" s="88"/>
      <c r="S2279" s="620"/>
      <c r="T2279" s="92"/>
      <c r="U2279" s="1214"/>
      <c r="V2279" s="1215"/>
      <c r="W2279" s="168"/>
      <c r="X2279" s="170"/>
    </row>
    <row r="2280" spans="1:24" ht="12.75" customHeight="1">
      <c r="A2280" s="15"/>
      <c r="B2280" s="92" t="str">
        <f t="shared" si="351"/>
        <v/>
      </c>
      <c r="C2280" s="90"/>
      <c r="D2280" s="87"/>
      <c r="E2280" s="88"/>
      <c r="F2280" s="173"/>
      <c r="G2280" s="88"/>
      <c r="H2280" s="88"/>
      <c r="I2280" s="88"/>
      <c r="J2280" s="88"/>
      <c r="K2280" s="230"/>
      <c r="L2280" s="88"/>
      <c r="M2280" s="88"/>
      <c r="N2280" s="88"/>
      <c r="O2280" s="88"/>
      <c r="P2280" s="88"/>
      <c r="Q2280" s="88"/>
      <c r="R2280" s="88"/>
      <c r="S2280" s="620"/>
      <c r="T2280" s="92"/>
      <c r="U2280" s="1214"/>
      <c r="V2280" s="1215"/>
      <c r="W2280" s="168"/>
      <c r="X2280" s="170"/>
    </row>
    <row r="2281" spans="1:24" ht="12.75" customHeight="1">
      <c r="A2281" s="15"/>
      <c r="B2281" s="92" t="str">
        <f t="shared" si="351"/>
        <v/>
      </c>
      <c r="C2281" s="90"/>
      <c r="D2281" s="87"/>
      <c r="E2281" s="88"/>
      <c r="F2281" s="173"/>
      <c r="G2281" s="88"/>
      <c r="H2281" s="88"/>
      <c r="I2281" s="88"/>
      <c r="J2281" s="88"/>
      <c r="K2281" s="230"/>
      <c r="L2281" s="88"/>
      <c r="M2281" s="88"/>
      <c r="N2281" s="88"/>
      <c r="O2281" s="88"/>
      <c r="P2281" s="88"/>
      <c r="Q2281" s="88"/>
      <c r="R2281" s="88"/>
      <c r="S2281" s="620"/>
      <c r="T2281" s="92"/>
      <c r="U2281" s="1214"/>
      <c r="V2281" s="1215"/>
      <c r="W2281" s="168"/>
      <c r="X2281" s="170"/>
    </row>
    <row r="2282" spans="1:24" ht="12.75" customHeight="1">
      <c r="A2282" s="15"/>
      <c r="B2282" s="92" t="str">
        <f t="shared" si="351"/>
        <v/>
      </c>
      <c r="C2282" s="90"/>
      <c r="D2282" s="87"/>
      <c r="E2282" s="88"/>
      <c r="F2282" s="173"/>
      <c r="G2282" s="88"/>
      <c r="H2282" s="88"/>
      <c r="I2282" s="88"/>
      <c r="J2282" s="88"/>
      <c r="K2282" s="230"/>
      <c r="L2282" s="88"/>
      <c r="M2282" s="88"/>
      <c r="N2282" s="88"/>
      <c r="O2282" s="88"/>
      <c r="P2282" s="88"/>
      <c r="Q2282" s="88"/>
      <c r="R2282" s="88"/>
      <c r="S2282" s="620"/>
      <c r="T2282" s="92"/>
      <c r="U2282" s="1214"/>
      <c r="V2282" s="1215"/>
      <c r="W2282" s="168"/>
      <c r="X2282" s="170"/>
    </row>
    <row r="2283" spans="1:24" ht="12.75" customHeight="1">
      <c r="A2283" s="15"/>
      <c r="B2283" s="92" t="str">
        <f t="shared" si="351"/>
        <v/>
      </c>
      <c r="C2283" s="90"/>
      <c r="D2283" s="87"/>
      <c r="E2283" s="88"/>
      <c r="F2283" s="173"/>
      <c r="G2283" s="88"/>
      <c r="H2283" s="88"/>
      <c r="I2283" s="88"/>
      <c r="J2283" s="88"/>
      <c r="K2283" s="230"/>
      <c r="L2283" s="88"/>
      <c r="M2283" s="88"/>
      <c r="N2283" s="88"/>
      <c r="O2283" s="88"/>
      <c r="P2283" s="88"/>
      <c r="Q2283" s="88"/>
      <c r="R2283" s="88"/>
      <c r="S2283" s="620"/>
      <c r="T2283" s="92"/>
      <c r="U2283" s="1214"/>
      <c r="V2283" s="1215"/>
      <c r="W2283" s="168"/>
      <c r="X2283" s="170"/>
    </row>
    <row r="2284" spans="1:24" ht="12.75" customHeight="1">
      <c r="A2284" s="15"/>
      <c r="B2284" s="92" t="str">
        <f t="shared" si="351"/>
        <v/>
      </c>
      <c r="C2284" s="90"/>
      <c r="D2284" s="87"/>
      <c r="E2284" s="88"/>
      <c r="F2284" s="173"/>
      <c r="G2284" s="88"/>
      <c r="H2284" s="88"/>
      <c r="I2284" s="88"/>
      <c r="J2284" s="88"/>
      <c r="K2284" s="230"/>
      <c r="L2284" s="88"/>
      <c r="M2284" s="88"/>
      <c r="N2284" s="88"/>
      <c r="O2284" s="88"/>
      <c r="P2284" s="88"/>
      <c r="Q2284" s="88"/>
      <c r="R2284" s="88"/>
      <c r="S2284" s="620"/>
      <c r="T2284" s="92"/>
      <c r="U2284" s="1214"/>
      <c r="V2284" s="1215"/>
      <c r="W2284" s="168"/>
      <c r="X2284" s="170"/>
    </row>
    <row r="2285" spans="1:24" ht="12.75" customHeight="1">
      <c r="A2285" s="15"/>
      <c r="B2285" s="92" t="str">
        <f t="shared" si="351"/>
        <v/>
      </c>
      <c r="C2285" s="90"/>
      <c r="D2285" s="87"/>
      <c r="E2285" s="88"/>
      <c r="F2285" s="173"/>
      <c r="G2285" s="88"/>
      <c r="H2285" s="88"/>
      <c r="I2285" s="88"/>
      <c r="J2285" s="88"/>
      <c r="K2285" s="230"/>
      <c r="L2285" s="88"/>
      <c r="M2285" s="88"/>
      <c r="N2285" s="88"/>
      <c r="O2285" s="88"/>
      <c r="P2285" s="88"/>
      <c r="Q2285" s="88"/>
      <c r="R2285" s="88"/>
      <c r="S2285" s="620"/>
      <c r="T2285" s="92"/>
      <c r="U2285" s="1214"/>
      <c r="V2285" s="1215"/>
      <c r="W2285" s="168"/>
      <c r="X2285" s="170"/>
    </row>
    <row r="2286" spans="1:24" ht="12.75" customHeight="1">
      <c r="A2286" s="15"/>
      <c r="B2286" s="92" t="str">
        <f t="shared" si="351"/>
        <v/>
      </c>
      <c r="C2286" s="90"/>
      <c r="D2286" s="87"/>
      <c r="E2286" s="88"/>
      <c r="F2286" s="173"/>
      <c r="G2286" s="88"/>
      <c r="H2286" s="88"/>
      <c r="I2286" s="88"/>
      <c r="J2286" s="88"/>
      <c r="K2286" s="230"/>
      <c r="L2286" s="88"/>
      <c r="M2286" s="88"/>
      <c r="N2286" s="88"/>
      <c r="O2286" s="88"/>
      <c r="P2286" s="88"/>
      <c r="Q2286" s="88"/>
      <c r="R2286" s="88"/>
      <c r="S2286" s="620"/>
      <c r="T2286" s="92"/>
      <c r="U2286" s="1214"/>
      <c r="V2286" s="1215"/>
      <c r="W2286" s="168"/>
      <c r="X2286" s="170"/>
    </row>
    <row r="2287" spans="1:24" ht="12.75" customHeight="1">
      <c r="A2287" s="15"/>
      <c r="B2287" s="92" t="str">
        <f t="shared" ref="B2287:B2350" si="352">IF(C2287="","",ROW()-5)</f>
        <v/>
      </c>
      <c r="C2287" s="90"/>
      <c r="D2287" s="87"/>
      <c r="E2287" s="88"/>
      <c r="F2287" s="173"/>
      <c r="G2287" s="88"/>
      <c r="H2287" s="88"/>
      <c r="I2287" s="88"/>
      <c r="J2287" s="88"/>
      <c r="K2287" s="230"/>
      <c r="L2287" s="88"/>
      <c r="M2287" s="88"/>
      <c r="N2287" s="88"/>
      <c r="O2287" s="88"/>
      <c r="P2287" s="88"/>
      <c r="Q2287" s="88"/>
      <c r="R2287" s="88"/>
      <c r="S2287" s="620"/>
      <c r="T2287" s="92"/>
      <c r="U2287" s="1214"/>
      <c r="V2287" s="1215"/>
      <c r="W2287" s="168"/>
      <c r="X2287" s="170"/>
    </row>
    <row r="2288" spans="1:24" ht="12.75" customHeight="1">
      <c r="A2288" s="15"/>
      <c r="B2288" s="92" t="str">
        <f t="shared" si="352"/>
        <v/>
      </c>
      <c r="C2288" s="90"/>
      <c r="D2288" s="87"/>
      <c r="E2288" s="88"/>
      <c r="F2288" s="173"/>
      <c r="G2288" s="88"/>
      <c r="H2288" s="88"/>
      <c r="I2288" s="88"/>
      <c r="J2288" s="88"/>
      <c r="K2288" s="230"/>
      <c r="L2288" s="88"/>
      <c r="M2288" s="88"/>
      <c r="N2288" s="88"/>
      <c r="O2288" s="88"/>
      <c r="P2288" s="88"/>
      <c r="Q2288" s="88"/>
      <c r="R2288" s="88"/>
      <c r="S2288" s="620"/>
      <c r="T2288" s="92"/>
      <c r="U2288" s="1214"/>
      <c r="V2288" s="1215"/>
      <c r="W2288" s="168"/>
      <c r="X2288" s="170"/>
    </row>
    <row r="2289" spans="1:24" ht="12.75" customHeight="1">
      <c r="A2289" s="15"/>
      <c r="B2289" s="92" t="str">
        <f t="shared" si="352"/>
        <v/>
      </c>
      <c r="C2289" s="90"/>
      <c r="D2289" s="87"/>
      <c r="E2289" s="88"/>
      <c r="F2289" s="173"/>
      <c r="G2289" s="88"/>
      <c r="H2289" s="88"/>
      <c r="I2289" s="88"/>
      <c r="J2289" s="88"/>
      <c r="K2289" s="230"/>
      <c r="L2289" s="88"/>
      <c r="M2289" s="88"/>
      <c r="N2289" s="88"/>
      <c r="O2289" s="88"/>
      <c r="P2289" s="88"/>
      <c r="Q2289" s="88"/>
      <c r="R2289" s="88"/>
      <c r="S2289" s="620"/>
      <c r="T2289" s="92"/>
      <c r="U2289" s="1214"/>
      <c r="V2289" s="1215"/>
      <c r="W2289" s="168"/>
      <c r="X2289" s="170"/>
    </row>
    <row r="2290" spans="1:24" ht="12.75" customHeight="1">
      <c r="A2290" s="15"/>
      <c r="B2290" s="92" t="str">
        <f t="shared" si="352"/>
        <v/>
      </c>
      <c r="C2290" s="90"/>
      <c r="D2290" s="87"/>
      <c r="E2290" s="88"/>
      <c r="F2290" s="173"/>
      <c r="G2290" s="88"/>
      <c r="H2290" s="88"/>
      <c r="I2290" s="88"/>
      <c r="J2290" s="88"/>
      <c r="K2290" s="230"/>
      <c r="L2290" s="88"/>
      <c r="M2290" s="88"/>
      <c r="N2290" s="88"/>
      <c r="O2290" s="88"/>
      <c r="P2290" s="88"/>
      <c r="Q2290" s="88"/>
      <c r="R2290" s="88"/>
      <c r="S2290" s="620"/>
      <c r="T2290" s="92"/>
      <c r="U2290" s="1214"/>
      <c r="V2290" s="1215"/>
      <c r="W2290" s="168"/>
      <c r="X2290" s="170"/>
    </row>
    <row r="2291" spans="1:24" ht="12.75" customHeight="1">
      <c r="A2291" s="15"/>
      <c r="B2291" s="92" t="str">
        <f t="shared" si="352"/>
        <v/>
      </c>
      <c r="C2291" s="90"/>
      <c r="D2291" s="87"/>
      <c r="E2291" s="88"/>
      <c r="F2291" s="173"/>
      <c r="G2291" s="88"/>
      <c r="H2291" s="88"/>
      <c r="I2291" s="88"/>
      <c r="J2291" s="88"/>
      <c r="K2291" s="230"/>
      <c r="L2291" s="88"/>
      <c r="M2291" s="88"/>
      <c r="N2291" s="88"/>
      <c r="O2291" s="88"/>
      <c r="P2291" s="88"/>
      <c r="Q2291" s="88"/>
      <c r="R2291" s="88"/>
      <c r="S2291" s="620"/>
      <c r="T2291" s="92"/>
      <c r="U2291" s="1214"/>
      <c r="V2291" s="1215"/>
      <c r="W2291" s="168"/>
      <c r="X2291" s="170"/>
    </row>
    <row r="2292" spans="1:24" ht="12.75" customHeight="1">
      <c r="A2292" s="15"/>
      <c r="B2292" s="92" t="str">
        <f t="shared" si="352"/>
        <v/>
      </c>
      <c r="C2292" s="90"/>
      <c r="D2292" s="87"/>
      <c r="E2292" s="88"/>
      <c r="F2292" s="173"/>
      <c r="G2292" s="88"/>
      <c r="H2292" s="88"/>
      <c r="I2292" s="88"/>
      <c r="J2292" s="88"/>
      <c r="K2292" s="230"/>
      <c r="L2292" s="88"/>
      <c r="M2292" s="88"/>
      <c r="N2292" s="88"/>
      <c r="O2292" s="88"/>
      <c r="P2292" s="88"/>
      <c r="Q2292" s="88"/>
      <c r="R2292" s="88"/>
      <c r="S2292" s="620"/>
      <c r="T2292" s="92"/>
      <c r="U2292" s="1214"/>
      <c r="V2292" s="1215"/>
      <c r="W2292" s="168"/>
      <c r="X2292" s="170"/>
    </row>
    <row r="2293" spans="1:24" ht="12.75" customHeight="1">
      <c r="A2293" s="15"/>
      <c r="B2293" s="92" t="str">
        <f t="shared" si="352"/>
        <v/>
      </c>
      <c r="C2293" s="90"/>
      <c r="D2293" s="87"/>
      <c r="E2293" s="88"/>
      <c r="F2293" s="173"/>
      <c r="G2293" s="88"/>
      <c r="H2293" s="88"/>
      <c r="I2293" s="88"/>
      <c r="J2293" s="88"/>
      <c r="K2293" s="230"/>
      <c r="L2293" s="88"/>
      <c r="M2293" s="88"/>
      <c r="N2293" s="88"/>
      <c r="O2293" s="88"/>
      <c r="P2293" s="88"/>
      <c r="Q2293" s="88"/>
      <c r="R2293" s="88"/>
      <c r="S2293" s="620"/>
      <c r="T2293" s="92"/>
      <c r="U2293" s="1214"/>
      <c r="V2293" s="1215"/>
      <c r="W2293" s="168"/>
      <c r="X2293" s="170"/>
    </row>
    <row r="2294" spans="1:24" ht="12.75" customHeight="1">
      <c r="A2294" s="15"/>
      <c r="B2294" s="92" t="str">
        <f t="shared" si="352"/>
        <v/>
      </c>
      <c r="C2294" s="90"/>
      <c r="D2294" s="87"/>
      <c r="E2294" s="88"/>
      <c r="F2294" s="173"/>
      <c r="G2294" s="88"/>
      <c r="H2294" s="88"/>
      <c r="I2294" s="88"/>
      <c r="J2294" s="88"/>
      <c r="K2294" s="230"/>
      <c r="L2294" s="88"/>
      <c r="M2294" s="88"/>
      <c r="N2294" s="88"/>
      <c r="O2294" s="88"/>
      <c r="P2294" s="88"/>
      <c r="Q2294" s="88"/>
      <c r="R2294" s="88"/>
      <c r="S2294" s="620"/>
      <c r="T2294" s="92"/>
      <c r="U2294" s="1214"/>
      <c r="V2294" s="1215"/>
      <c r="W2294" s="168"/>
      <c r="X2294" s="170"/>
    </row>
    <row r="2295" spans="1:24" ht="12.75" customHeight="1">
      <c r="A2295" s="15"/>
      <c r="B2295" s="92" t="str">
        <f t="shared" si="352"/>
        <v/>
      </c>
      <c r="C2295" s="90"/>
      <c r="D2295" s="87"/>
      <c r="E2295" s="88"/>
      <c r="F2295" s="173"/>
      <c r="G2295" s="88"/>
      <c r="H2295" s="88"/>
      <c r="I2295" s="88"/>
      <c r="J2295" s="88"/>
      <c r="K2295" s="230"/>
      <c r="L2295" s="88"/>
      <c r="M2295" s="88"/>
      <c r="N2295" s="88"/>
      <c r="O2295" s="88"/>
      <c r="P2295" s="88"/>
      <c r="Q2295" s="88"/>
      <c r="R2295" s="88"/>
      <c r="S2295" s="620"/>
      <c r="T2295" s="92"/>
      <c r="U2295" s="1214"/>
      <c r="V2295" s="1215"/>
      <c r="W2295" s="168"/>
      <c r="X2295" s="170"/>
    </row>
    <row r="2296" spans="1:24" ht="12.75" customHeight="1">
      <c r="A2296" s="15"/>
      <c r="B2296" s="92" t="str">
        <f t="shared" si="352"/>
        <v/>
      </c>
      <c r="C2296" s="90"/>
      <c r="D2296" s="87"/>
      <c r="E2296" s="88"/>
      <c r="F2296" s="173"/>
      <c r="G2296" s="88"/>
      <c r="H2296" s="88"/>
      <c r="I2296" s="88"/>
      <c r="J2296" s="88"/>
      <c r="K2296" s="230"/>
      <c r="L2296" s="88"/>
      <c r="M2296" s="88"/>
      <c r="N2296" s="88"/>
      <c r="O2296" s="88"/>
      <c r="P2296" s="88"/>
      <c r="Q2296" s="88"/>
      <c r="R2296" s="88"/>
      <c r="S2296" s="620"/>
      <c r="T2296" s="92"/>
      <c r="U2296" s="1214"/>
      <c r="V2296" s="1215"/>
      <c r="W2296" s="168"/>
      <c r="X2296" s="170"/>
    </row>
    <row r="2297" spans="1:24" ht="12.75" customHeight="1">
      <c r="A2297" s="15"/>
      <c r="B2297" s="92" t="str">
        <f t="shared" si="352"/>
        <v/>
      </c>
      <c r="C2297" s="90"/>
      <c r="D2297" s="87"/>
      <c r="E2297" s="88"/>
      <c r="F2297" s="173"/>
      <c r="G2297" s="88"/>
      <c r="H2297" s="88"/>
      <c r="I2297" s="88"/>
      <c r="J2297" s="88"/>
      <c r="K2297" s="230"/>
      <c r="L2297" s="88"/>
      <c r="M2297" s="88"/>
      <c r="N2297" s="88"/>
      <c r="O2297" s="88"/>
      <c r="P2297" s="88"/>
      <c r="Q2297" s="88"/>
      <c r="R2297" s="88"/>
      <c r="S2297" s="620"/>
      <c r="T2297" s="92"/>
      <c r="U2297" s="1214"/>
      <c r="V2297" s="1215"/>
      <c r="W2297" s="168"/>
      <c r="X2297" s="170"/>
    </row>
    <row r="2298" spans="1:24" ht="12.75" customHeight="1">
      <c r="A2298" s="15"/>
      <c r="B2298" s="92" t="str">
        <f t="shared" si="352"/>
        <v/>
      </c>
      <c r="C2298" s="90"/>
      <c r="D2298" s="87"/>
      <c r="E2298" s="88"/>
      <c r="F2298" s="173"/>
      <c r="G2298" s="88"/>
      <c r="H2298" s="88"/>
      <c r="I2298" s="88"/>
      <c r="J2298" s="88"/>
      <c r="K2298" s="230"/>
      <c r="L2298" s="88"/>
      <c r="M2298" s="88"/>
      <c r="N2298" s="88"/>
      <c r="O2298" s="88"/>
      <c r="P2298" s="88"/>
      <c r="Q2298" s="88"/>
      <c r="R2298" s="88"/>
      <c r="S2298" s="620"/>
      <c r="T2298" s="92"/>
      <c r="U2298" s="1214"/>
      <c r="V2298" s="1215"/>
      <c r="W2298" s="168"/>
      <c r="X2298" s="170"/>
    </row>
    <row r="2299" spans="1:24" ht="12.75" customHeight="1">
      <c r="A2299" s="15"/>
      <c r="B2299" s="92" t="str">
        <f t="shared" si="352"/>
        <v/>
      </c>
      <c r="C2299" s="90"/>
      <c r="D2299" s="87"/>
      <c r="E2299" s="88"/>
      <c r="F2299" s="173"/>
      <c r="G2299" s="88"/>
      <c r="H2299" s="88"/>
      <c r="I2299" s="88"/>
      <c r="J2299" s="88"/>
      <c r="K2299" s="230"/>
      <c r="L2299" s="88"/>
      <c r="M2299" s="88"/>
      <c r="N2299" s="88"/>
      <c r="O2299" s="88"/>
      <c r="P2299" s="88"/>
      <c r="Q2299" s="88"/>
      <c r="R2299" s="88"/>
      <c r="S2299" s="620"/>
      <c r="T2299" s="92"/>
      <c r="U2299" s="1214"/>
      <c r="V2299" s="1215"/>
      <c r="W2299" s="168"/>
      <c r="X2299" s="170"/>
    </row>
    <row r="2300" spans="1:24" ht="12.75" customHeight="1">
      <c r="A2300" s="15"/>
      <c r="B2300" s="92" t="str">
        <f t="shared" si="352"/>
        <v/>
      </c>
      <c r="C2300" s="90"/>
      <c r="D2300" s="87"/>
      <c r="E2300" s="88"/>
      <c r="F2300" s="173"/>
      <c r="G2300" s="88"/>
      <c r="H2300" s="88"/>
      <c r="I2300" s="88"/>
      <c r="J2300" s="88"/>
      <c r="K2300" s="230"/>
      <c r="L2300" s="88"/>
      <c r="M2300" s="88"/>
      <c r="N2300" s="88"/>
      <c r="O2300" s="88"/>
      <c r="P2300" s="88"/>
      <c r="Q2300" s="88"/>
      <c r="R2300" s="88"/>
      <c r="S2300" s="620"/>
      <c r="T2300" s="92"/>
      <c r="U2300" s="1214"/>
      <c r="V2300" s="1215"/>
      <c r="W2300" s="168"/>
      <c r="X2300" s="170"/>
    </row>
    <row r="2301" spans="1:24" ht="12.75" customHeight="1">
      <c r="A2301" s="15"/>
      <c r="B2301" s="92" t="str">
        <f t="shared" si="352"/>
        <v/>
      </c>
      <c r="C2301" s="90"/>
      <c r="D2301" s="87"/>
      <c r="E2301" s="88"/>
      <c r="F2301" s="173"/>
      <c r="G2301" s="88"/>
      <c r="H2301" s="88"/>
      <c r="I2301" s="88"/>
      <c r="J2301" s="88"/>
      <c r="K2301" s="230"/>
      <c r="L2301" s="88"/>
      <c r="M2301" s="88"/>
      <c r="N2301" s="88"/>
      <c r="O2301" s="88"/>
      <c r="P2301" s="88"/>
      <c r="Q2301" s="88"/>
      <c r="R2301" s="88"/>
      <c r="S2301" s="620"/>
      <c r="T2301" s="92"/>
      <c r="U2301" s="1214"/>
      <c r="V2301" s="1215"/>
      <c r="W2301" s="168"/>
      <c r="X2301" s="170"/>
    </row>
    <row r="2302" spans="1:24" ht="12.75" customHeight="1">
      <c r="A2302" s="15"/>
      <c r="B2302" s="92" t="str">
        <f t="shared" si="352"/>
        <v/>
      </c>
      <c r="C2302" s="90"/>
      <c r="D2302" s="87"/>
      <c r="E2302" s="88"/>
      <c r="F2302" s="173"/>
      <c r="G2302" s="88"/>
      <c r="H2302" s="88"/>
      <c r="I2302" s="88"/>
      <c r="J2302" s="88"/>
      <c r="K2302" s="230"/>
      <c r="L2302" s="88"/>
      <c r="M2302" s="88"/>
      <c r="N2302" s="88"/>
      <c r="O2302" s="88"/>
      <c r="P2302" s="88"/>
      <c r="Q2302" s="88"/>
      <c r="R2302" s="88"/>
      <c r="S2302" s="620"/>
      <c r="T2302" s="92"/>
      <c r="U2302" s="1214"/>
      <c r="V2302" s="1215"/>
      <c r="W2302" s="168"/>
      <c r="X2302" s="170"/>
    </row>
    <row r="2303" spans="1:24" ht="12.75" customHeight="1">
      <c r="A2303" s="15"/>
      <c r="B2303" s="92" t="str">
        <f t="shared" si="352"/>
        <v/>
      </c>
      <c r="C2303" s="90"/>
      <c r="D2303" s="87"/>
      <c r="E2303" s="88"/>
      <c r="F2303" s="173"/>
      <c r="G2303" s="88"/>
      <c r="H2303" s="88"/>
      <c r="I2303" s="88"/>
      <c r="J2303" s="88"/>
      <c r="K2303" s="230"/>
      <c r="L2303" s="88"/>
      <c r="M2303" s="88"/>
      <c r="N2303" s="88"/>
      <c r="O2303" s="88"/>
      <c r="P2303" s="88"/>
      <c r="Q2303" s="88"/>
      <c r="R2303" s="88"/>
      <c r="S2303" s="620"/>
      <c r="T2303" s="92"/>
      <c r="U2303" s="1214"/>
      <c r="V2303" s="1215"/>
      <c r="W2303" s="168"/>
      <c r="X2303" s="170"/>
    </row>
    <row r="2304" spans="1:24" ht="12.75" customHeight="1">
      <c r="A2304" s="15"/>
      <c r="B2304" s="92" t="str">
        <f t="shared" si="352"/>
        <v/>
      </c>
      <c r="C2304" s="90"/>
      <c r="D2304" s="87"/>
      <c r="E2304" s="88"/>
      <c r="F2304" s="173"/>
      <c r="G2304" s="88"/>
      <c r="H2304" s="88"/>
      <c r="I2304" s="88"/>
      <c r="J2304" s="88"/>
      <c r="K2304" s="230"/>
      <c r="L2304" s="88"/>
      <c r="M2304" s="88"/>
      <c r="N2304" s="88"/>
      <c r="O2304" s="88"/>
      <c r="P2304" s="88"/>
      <c r="Q2304" s="88"/>
      <c r="R2304" s="88"/>
      <c r="S2304" s="620"/>
      <c r="T2304" s="92"/>
      <c r="U2304" s="1214"/>
      <c r="V2304" s="1215"/>
      <c r="W2304" s="168"/>
      <c r="X2304" s="170"/>
    </row>
    <row r="2305" spans="1:24" ht="12.75" customHeight="1">
      <c r="A2305" s="15"/>
      <c r="B2305" s="92" t="str">
        <f t="shared" si="352"/>
        <v/>
      </c>
      <c r="C2305" s="90"/>
      <c r="D2305" s="87"/>
      <c r="E2305" s="88"/>
      <c r="F2305" s="173"/>
      <c r="G2305" s="88"/>
      <c r="H2305" s="88"/>
      <c r="I2305" s="88"/>
      <c r="J2305" s="88"/>
      <c r="K2305" s="230"/>
      <c r="L2305" s="88"/>
      <c r="M2305" s="88"/>
      <c r="N2305" s="88"/>
      <c r="O2305" s="88"/>
      <c r="P2305" s="88"/>
      <c r="Q2305" s="88"/>
      <c r="R2305" s="88"/>
      <c r="S2305" s="620"/>
      <c r="T2305" s="92"/>
      <c r="U2305" s="1214"/>
      <c r="V2305" s="1215"/>
      <c r="W2305" s="168"/>
      <c r="X2305" s="170"/>
    </row>
    <row r="2306" spans="1:24" ht="12.75" customHeight="1">
      <c r="A2306" s="15"/>
      <c r="B2306" s="92" t="str">
        <f t="shared" si="352"/>
        <v/>
      </c>
      <c r="C2306" s="90"/>
      <c r="D2306" s="87"/>
      <c r="E2306" s="88"/>
      <c r="F2306" s="173"/>
      <c r="G2306" s="88"/>
      <c r="H2306" s="88"/>
      <c r="I2306" s="88"/>
      <c r="J2306" s="88"/>
      <c r="K2306" s="230"/>
      <c r="L2306" s="88"/>
      <c r="M2306" s="88"/>
      <c r="N2306" s="88"/>
      <c r="O2306" s="88"/>
      <c r="P2306" s="88"/>
      <c r="Q2306" s="88"/>
      <c r="R2306" s="88"/>
      <c r="S2306" s="620"/>
      <c r="T2306" s="92"/>
      <c r="U2306" s="1214"/>
      <c r="V2306" s="1215"/>
      <c r="W2306" s="168"/>
      <c r="X2306" s="170"/>
    </row>
    <row r="2307" spans="1:24" ht="12.75" customHeight="1">
      <c r="A2307" s="15"/>
      <c r="B2307" s="92" t="str">
        <f t="shared" si="352"/>
        <v/>
      </c>
      <c r="C2307" s="90"/>
      <c r="D2307" s="87"/>
      <c r="E2307" s="88"/>
      <c r="F2307" s="173"/>
      <c r="G2307" s="88"/>
      <c r="H2307" s="88"/>
      <c r="I2307" s="88"/>
      <c r="J2307" s="88"/>
      <c r="K2307" s="230"/>
      <c r="L2307" s="88"/>
      <c r="M2307" s="88"/>
      <c r="N2307" s="88"/>
      <c r="O2307" s="88"/>
      <c r="P2307" s="88"/>
      <c r="Q2307" s="88"/>
      <c r="R2307" s="88"/>
      <c r="S2307" s="620"/>
      <c r="T2307" s="92"/>
      <c r="U2307" s="1214"/>
      <c r="V2307" s="1215"/>
      <c r="W2307" s="168"/>
      <c r="X2307" s="170"/>
    </row>
    <row r="2308" spans="1:24" ht="12.75" customHeight="1">
      <c r="A2308" s="15"/>
      <c r="B2308" s="92" t="str">
        <f t="shared" si="352"/>
        <v/>
      </c>
      <c r="C2308" s="90"/>
      <c r="D2308" s="87"/>
      <c r="E2308" s="88"/>
      <c r="F2308" s="173"/>
      <c r="G2308" s="88"/>
      <c r="H2308" s="88"/>
      <c r="I2308" s="88"/>
      <c r="J2308" s="88"/>
      <c r="K2308" s="230"/>
      <c r="L2308" s="88"/>
      <c r="M2308" s="88"/>
      <c r="N2308" s="88"/>
      <c r="O2308" s="88"/>
      <c r="P2308" s="88"/>
      <c r="Q2308" s="88"/>
      <c r="R2308" s="88"/>
      <c r="S2308" s="620"/>
      <c r="T2308" s="92"/>
      <c r="U2308" s="1214"/>
      <c r="V2308" s="1215"/>
      <c r="W2308" s="168"/>
      <c r="X2308" s="170"/>
    </row>
    <row r="2309" spans="1:24" ht="12.75" customHeight="1">
      <c r="A2309" s="15"/>
      <c r="B2309" s="92" t="str">
        <f t="shared" si="352"/>
        <v/>
      </c>
      <c r="C2309" s="90"/>
      <c r="D2309" s="87"/>
      <c r="E2309" s="88"/>
      <c r="F2309" s="173"/>
      <c r="G2309" s="88"/>
      <c r="H2309" s="88"/>
      <c r="I2309" s="88"/>
      <c r="J2309" s="88"/>
      <c r="K2309" s="230"/>
      <c r="L2309" s="88"/>
      <c r="M2309" s="88"/>
      <c r="N2309" s="88"/>
      <c r="O2309" s="88"/>
      <c r="P2309" s="88"/>
      <c r="Q2309" s="88"/>
      <c r="R2309" s="88"/>
      <c r="S2309" s="620"/>
      <c r="T2309" s="92"/>
      <c r="U2309" s="1214"/>
      <c r="V2309" s="1215"/>
      <c r="W2309" s="168"/>
      <c r="X2309" s="170"/>
    </row>
    <row r="2310" spans="1:24" ht="12.75" customHeight="1">
      <c r="A2310" s="15"/>
      <c r="B2310" s="92" t="str">
        <f t="shared" si="352"/>
        <v/>
      </c>
      <c r="C2310" s="90"/>
      <c r="D2310" s="87"/>
      <c r="E2310" s="88"/>
      <c r="F2310" s="173"/>
      <c r="G2310" s="88"/>
      <c r="H2310" s="88"/>
      <c r="I2310" s="88"/>
      <c r="J2310" s="88"/>
      <c r="K2310" s="230"/>
      <c r="L2310" s="88"/>
      <c r="M2310" s="88"/>
      <c r="N2310" s="88"/>
      <c r="O2310" s="88"/>
      <c r="P2310" s="88"/>
      <c r="Q2310" s="88"/>
      <c r="R2310" s="88"/>
      <c r="S2310" s="620"/>
      <c r="T2310" s="92"/>
      <c r="U2310" s="1214"/>
      <c r="V2310" s="1215"/>
      <c r="W2310" s="168"/>
      <c r="X2310" s="170"/>
    </row>
    <row r="2311" spans="1:24" ht="12.75" customHeight="1">
      <c r="A2311" s="15"/>
      <c r="B2311" s="92" t="str">
        <f t="shared" si="352"/>
        <v/>
      </c>
      <c r="C2311" s="90"/>
      <c r="D2311" s="87"/>
      <c r="E2311" s="88"/>
      <c r="F2311" s="173"/>
      <c r="G2311" s="88"/>
      <c r="H2311" s="88"/>
      <c r="I2311" s="88"/>
      <c r="J2311" s="88"/>
      <c r="K2311" s="230"/>
      <c r="L2311" s="88"/>
      <c r="M2311" s="88"/>
      <c r="N2311" s="88"/>
      <c r="O2311" s="88"/>
      <c r="P2311" s="88"/>
      <c r="Q2311" s="88"/>
      <c r="R2311" s="88"/>
      <c r="S2311" s="620"/>
      <c r="T2311" s="92"/>
      <c r="U2311" s="1214"/>
      <c r="V2311" s="1215"/>
      <c r="W2311" s="168"/>
      <c r="X2311" s="170"/>
    </row>
    <row r="2312" spans="1:24" ht="12.75" customHeight="1">
      <c r="A2312" s="15"/>
      <c r="B2312" s="92" t="str">
        <f t="shared" si="352"/>
        <v/>
      </c>
      <c r="C2312" s="90"/>
      <c r="D2312" s="87"/>
      <c r="E2312" s="88"/>
      <c r="F2312" s="173"/>
      <c r="G2312" s="88"/>
      <c r="H2312" s="88"/>
      <c r="I2312" s="88"/>
      <c r="J2312" s="88"/>
      <c r="K2312" s="230"/>
      <c r="L2312" s="88"/>
      <c r="M2312" s="88"/>
      <c r="N2312" s="88"/>
      <c r="O2312" s="88"/>
      <c r="P2312" s="88"/>
      <c r="Q2312" s="88"/>
      <c r="R2312" s="88"/>
      <c r="S2312" s="620"/>
      <c r="T2312" s="92"/>
      <c r="U2312" s="1214"/>
      <c r="V2312" s="1215"/>
      <c r="W2312" s="168"/>
      <c r="X2312" s="170"/>
    </row>
    <row r="2313" spans="1:24" ht="12.75" customHeight="1">
      <c r="A2313" s="15"/>
      <c r="B2313" s="92" t="str">
        <f t="shared" si="352"/>
        <v/>
      </c>
      <c r="C2313" s="90"/>
      <c r="D2313" s="87"/>
      <c r="E2313" s="88"/>
      <c r="F2313" s="173"/>
      <c r="G2313" s="88"/>
      <c r="H2313" s="88"/>
      <c r="I2313" s="88"/>
      <c r="J2313" s="88"/>
      <c r="K2313" s="230"/>
      <c r="L2313" s="88"/>
      <c r="M2313" s="88"/>
      <c r="N2313" s="88"/>
      <c r="O2313" s="88"/>
      <c r="P2313" s="88"/>
      <c r="Q2313" s="88"/>
      <c r="R2313" s="88"/>
      <c r="S2313" s="620"/>
      <c r="T2313" s="92"/>
      <c r="U2313" s="1214"/>
      <c r="V2313" s="1215"/>
      <c r="W2313" s="168"/>
      <c r="X2313" s="170"/>
    </row>
    <row r="2314" spans="1:24" ht="12.75" customHeight="1">
      <c r="A2314" s="15"/>
      <c r="B2314" s="92" t="str">
        <f t="shared" si="352"/>
        <v/>
      </c>
      <c r="C2314" s="90"/>
      <c r="D2314" s="87"/>
      <c r="E2314" s="88"/>
      <c r="F2314" s="173"/>
      <c r="G2314" s="88"/>
      <c r="H2314" s="88"/>
      <c r="I2314" s="88"/>
      <c r="J2314" s="88"/>
      <c r="K2314" s="230"/>
      <c r="L2314" s="88"/>
      <c r="M2314" s="88"/>
      <c r="N2314" s="88"/>
      <c r="O2314" s="88"/>
      <c r="P2314" s="88"/>
      <c r="Q2314" s="88"/>
      <c r="R2314" s="88"/>
      <c r="S2314" s="620"/>
      <c r="T2314" s="92"/>
      <c r="U2314" s="1214"/>
      <c r="V2314" s="1215"/>
      <c r="W2314" s="168"/>
      <c r="X2314" s="170"/>
    </row>
    <row r="2315" spans="1:24" ht="12.75" customHeight="1">
      <c r="A2315" s="15"/>
      <c r="B2315" s="92" t="str">
        <f t="shared" si="352"/>
        <v/>
      </c>
      <c r="C2315" s="90"/>
      <c r="D2315" s="87"/>
      <c r="E2315" s="88"/>
      <c r="F2315" s="173"/>
      <c r="G2315" s="88"/>
      <c r="H2315" s="88"/>
      <c r="I2315" s="88"/>
      <c r="J2315" s="88"/>
      <c r="K2315" s="230"/>
      <c r="L2315" s="88"/>
      <c r="M2315" s="88"/>
      <c r="N2315" s="88"/>
      <c r="O2315" s="88"/>
      <c r="P2315" s="88"/>
      <c r="Q2315" s="88"/>
      <c r="R2315" s="88"/>
      <c r="S2315" s="620"/>
      <c r="T2315" s="92"/>
      <c r="U2315" s="1214"/>
      <c r="V2315" s="1215"/>
      <c r="W2315" s="168"/>
      <c r="X2315" s="170"/>
    </row>
    <row r="2316" spans="1:24" ht="12.75" customHeight="1">
      <c r="A2316" s="15"/>
      <c r="B2316" s="92" t="str">
        <f t="shared" si="352"/>
        <v/>
      </c>
      <c r="C2316" s="90"/>
      <c r="D2316" s="87"/>
      <c r="E2316" s="88"/>
      <c r="F2316" s="173"/>
      <c r="G2316" s="88"/>
      <c r="H2316" s="88"/>
      <c r="I2316" s="88"/>
      <c r="J2316" s="88"/>
      <c r="K2316" s="230"/>
      <c r="L2316" s="88"/>
      <c r="M2316" s="88"/>
      <c r="N2316" s="88"/>
      <c r="O2316" s="88"/>
      <c r="P2316" s="88"/>
      <c r="Q2316" s="88"/>
      <c r="R2316" s="88"/>
      <c r="S2316" s="620"/>
      <c r="T2316" s="92"/>
      <c r="U2316" s="1214"/>
      <c r="V2316" s="1215"/>
      <c r="W2316" s="168"/>
      <c r="X2316" s="170"/>
    </row>
    <row r="2317" spans="1:24" ht="12.75" customHeight="1">
      <c r="A2317" s="15"/>
      <c r="B2317" s="92" t="str">
        <f t="shared" si="352"/>
        <v/>
      </c>
      <c r="C2317" s="90"/>
      <c r="D2317" s="87"/>
      <c r="E2317" s="88"/>
      <c r="F2317" s="173"/>
      <c r="G2317" s="88"/>
      <c r="H2317" s="88"/>
      <c r="I2317" s="88"/>
      <c r="J2317" s="88"/>
      <c r="K2317" s="230"/>
      <c r="L2317" s="88"/>
      <c r="M2317" s="88"/>
      <c r="N2317" s="88"/>
      <c r="O2317" s="88"/>
      <c r="P2317" s="88"/>
      <c r="Q2317" s="88"/>
      <c r="R2317" s="88"/>
      <c r="S2317" s="620"/>
      <c r="T2317" s="92"/>
      <c r="U2317" s="1214"/>
      <c r="V2317" s="1215"/>
      <c r="W2317" s="168"/>
      <c r="X2317" s="170"/>
    </row>
    <row r="2318" spans="1:24" ht="12.75" customHeight="1">
      <c r="A2318" s="15"/>
      <c r="B2318" s="92" t="str">
        <f t="shared" si="352"/>
        <v/>
      </c>
      <c r="C2318" s="90"/>
      <c r="D2318" s="87"/>
      <c r="E2318" s="88"/>
      <c r="F2318" s="173"/>
      <c r="G2318" s="88"/>
      <c r="H2318" s="88"/>
      <c r="I2318" s="88"/>
      <c r="J2318" s="88"/>
      <c r="K2318" s="230"/>
      <c r="L2318" s="88"/>
      <c r="M2318" s="88"/>
      <c r="N2318" s="88"/>
      <c r="O2318" s="88"/>
      <c r="P2318" s="88"/>
      <c r="Q2318" s="88"/>
      <c r="R2318" s="88"/>
      <c r="S2318" s="620"/>
      <c r="T2318" s="92"/>
      <c r="U2318" s="1214"/>
      <c r="V2318" s="1215"/>
      <c r="W2318" s="168"/>
      <c r="X2318" s="170"/>
    </row>
    <row r="2319" spans="1:24" ht="12.75" customHeight="1">
      <c r="A2319" s="15"/>
      <c r="B2319" s="92" t="str">
        <f t="shared" si="352"/>
        <v/>
      </c>
      <c r="C2319" s="90"/>
      <c r="D2319" s="87"/>
      <c r="E2319" s="88"/>
      <c r="F2319" s="173"/>
      <c r="G2319" s="88"/>
      <c r="H2319" s="88"/>
      <c r="I2319" s="88"/>
      <c r="J2319" s="88"/>
      <c r="K2319" s="230"/>
      <c r="L2319" s="88"/>
      <c r="M2319" s="88"/>
      <c r="N2319" s="88"/>
      <c r="O2319" s="88"/>
      <c r="P2319" s="88"/>
      <c r="Q2319" s="88"/>
      <c r="R2319" s="88"/>
      <c r="S2319" s="620"/>
      <c r="T2319" s="92"/>
      <c r="U2319" s="1214"/>
      <c r="V2319" s="1215"/>
      <c r="W2319" s="168"/>
      <c r="X2319" s="170"/>
    </row>
    <row r="2320" spans="1:24" ht="12.75" customHeight="1">
      <c r="A2320" s="15"/>
      <c r="B2320" s="92" t="str">
        <f t="shared" si="352"/>
        <v/>
      </c>
      <c r="C2320" s="90"/>
      <c r="D2320" s="87"/>
      <c r="E2320" s="88"/>
      <c r="F2320" s="173"/>
      <c r="G2320" s="88"/>
      <c r="H2320" s="88"/>
      <c r="I2320" s="88"/>
      <c r="J2320" s="88"/>
      <c r="K2320" s="230"/>
      <c r="L2320" s="88"/>
      <c r="M2320" s="88"/>
      <c r="N2320" s="88"/>
      <c r="O2320" s="88"/>
      <c r="P2320" s="88"/>
      <c r="Q2320" s="88"/>
      <c r="R2320" s="88"/>
      <c r="S2320" s="620"/>
      <c r="T2320" s="92"/>
      <c r="U2320" s="1214"/>
      <c r="V2320" s="1215"/>
      <c r="W2320" s="168"/>
      <c r="X2320" s="170"/>
    </row>
    <row r="2321" spans="1:24" ht="12.75" customHeight="1">
      <c r="A2321" s="15"/>
      <c r="B2321" s="92" t="str">
        <f t="shared" si="352"/>
        <v/>
      </c>
      <c r="C2321" s="90"/>
      <c r="D2321" s="87"/>
      <c r="E2321" s="88"/>
      <c r="F2321" s="173"/>
      <c r="G2321" s="88"/>
      <c r="H2321" s="88"/>
      <c r="I2321" s="88"/>
      <c r="J2321" s="88"/>
      <c r="K2321" s="230"/>
      <c r="L2321" s="88"/>
      <c r="M2321" s="88"/>
      <c r="N2321" s="88"/>
      <c r="O2321" s="88"/>
      <c r="P2321" s="88"/>
      <c r="Q2321" s="88"/>
      <c r="R2321" s="88"/>
      <c r="S2321" s="620"/>
      <c r="T2321" s="92"/>
      <c r="U2321" s="1214"/>
      <c r="V2321" s="1215"/>
      <c r="W2321" s="168"/>
      <c r="X2321" s="170"/>
    </row>
    <row r="2322" spans="1:24" ht="12.75" customHeight="1">
      <c r="A2322" s="15"/>
      <c r="B2322" s="92" t="str">
        <f t="shared" si="352"/>
        <v/>
      </c>
      <c r="C2322" s="90"/>
      <c r="D2322" s="87"/>
      <c r="E2322" s="88"/>
      <c r="F2322" s="173"/>
      <c r="G2322" s="88"/>
      <c r="H2322" s="88"/>
      <c r="I2322" s="88"/>
      <c r="J2322" s="88"/>
      <c r="K2322" s="230"/>
      <c r="L2322" s="88"/>
      <c r="M2322" s="88"/>
      <c r="N2322" s="88"/>
      <c r="O2322" s="88"/>
      <c r="P2322" s="88"/>
      <c r="Q2322" s="88"/>
      <c r="R2322" s="88"/>
      <c r="S2322" s="620"/>
      <c r="T2322" s="92"/>
      <c r="U2322" s="1214"/>
      <c r="V2322" s="1215"/>
      <c r="W2322" s="168"/>
      <c r="X2322" s="170"/>
    </row>
    <row r="2323" spans="1:24" ht="12.75" customHeight="1">
      <c r="A2323" s="15"/>
      <c r="B2323" s="92" t="str">
        <f t="shared" si="352"/>
        <v/>
      </c>
      <c r="C2323" s="90"/>
      <c r="D2323" s="87"/>
      <c r="E2323" s="88"/>
      <c r="F2323" s="173"/>
      <c r="G2323" s="88"/>
      <c r="H2323" s="88"/>
      <c r="I2323" s="88"/>
      <c r="J2323" s="88"/>
      <c r="K2323" s="230"/>
      <c r="L2323" s="88"/>
      <c r="M2323" s="88"/>
      <c r="N2323" s="88"/>
      <c r="O2323" s="88"/>
      <c r="P2323" s="88"/>
      <c r="Q2323" s="88"/>
      <c r="R2323" s="88"/>
      <c r="S2323" s="620"/>
      <c r="T2323" s="92"/>
      <c r="U2323" s="1214"/>
      <c r="V2323" s="1215"/>
      <c r="W2323" s="168"/>
      <c r="X2323" s="170"/>
    </row>
    <row r="2324" spans="1:24" ht="12.75" customHeight="1">
      <c r="A2324" s="15"/>
      <c r="B2324" s="92" t="str">
        <f t="shared" si="352"/>
        <v/>
      </c>
      <c r="C2324" s="90"/>
      <c r="D2324" s="87"/>
      <c r="E2324" s="88"/>
      <c r="F2324" s="173"/>
      <c r="G2324" s="88"/>
      <c r="H2324" s="88"/>
      <c r="I2324" s="88"/>
      <c r="J2324" s="88"/>
      <c r="K2324" s="230"/>
      <c r="L2324" s="88"/>
      <c r="M2324" s="88"/>
      <c r="N2324" s="88"/>
      <c r="O2324" s="88"/>
      <c r="P2324" s="88"/>
      <c r="Q2324" s="88"/>
      <c r="R2324" s="88"/>
      <c r="S2324" s="620"/>
      <c r="T2324" s="92"/>
      <c r="U2324" s="1214"/>
      <c r="V2324" s="1215"/>
      <c r="W2324" s="168"/>
      <c r="X2324" s="170"/>
    </row>
    <row r="2325" spans="1:24" ht="12.75" customHeight="1">
      <c r="A2325" s="15"/>
      <c r="B2325" s="92" t="str">
        <f t="shared" si="352"/>
        <v/>
      </c>
      <c r="C2325" s="90"/>
      <c r="D2325" s="87"/>
      <c r="E2325" s="88"/>
      <c r="F2325" s="173"/>
      <c r="G2325" s="88"/>
      <c r="H2325" s="88"/>
      <c r="I2325" s="88"/>
      <c r="J2325" s="88"/>
      <c r="K2325" s="230"/>
      <c r="L2325" s="88"/>
      <c r="M2325" s="88"/>
      <c r="N2325" s="88"/>
      <c r="O2325" s="88"/>
      <c r="P2325" s="88"/>
      <c r="Q2325" s="88"/>
      <c r="R2325" s="88"/>
      <c r="S2325" s="620"/>
      <c r="T2325" s="92"/>
      <c r="U2325" s="1214"/>
      <c r="V2325" s="1215"/>
      <c r="W2325" s="168"/>
      <c r="X2325" s="170"/>
    </row>
    <row r="2326" spans="1:24" ht="12.75" customHeight="1">
      <c r="A2326" s="15"/>
      <c r="B2326" s="92" t="str">
        <f t="shared" si="352"/>
        <v/>
      </c>
      <c r="C2326" s="90"/>
      <c r="D2326" s="87"/>
      <c r="E2326" s="88"/>
      <c r="F2326" s="173"/>
      <c r="G2326" s="88"/>
      <c r="H2326" s="88"/>
      <c r="I2326" s="88"/>
      <c r="J2326" s="88"/>
      <c r="K2326" s="230"/>
      <c r="L2326" s="88"/>
      <c r="M2326" s="88"/>
      <c r="N2326" s="88"/>
      <c r="O2326" s="88"/>
      <c r="P2326" s="88"/>
      <c r="Q2326" s="88"/>
      <c r="R2326" s="88"/>
      <c r="S2326" s="620"/>
      <c r="T2326" s="92"/>
      <c r="U2326" s="1214"/>
      <c r="V2326" s="1215"/>
      <c r="W2326" s="168"/>
      <c r="X2326" s="170"/>
    </row>
    <row r="2327" spans="1:24" ht="12.75" customHeight="1">
      <c r="A2327" s="15"/>
      <c r="B2327" s="92" t="str">
        <f t="shared" si="352"/>
        <v/>
      </c>
      <c r="C2327" s="90"/>
      <c r="D2327" s="87"/>
      <c r="E2327" s="88"/>
      <c r="F2327" s="173"/>
      <c r="G2327" s="88"/>
      <c r="H2327" s="88"/>
      <c r="I2327" s="88"/>
      <c r="J2327" s="88"/>
      <c r="K2327" s="230"/>
      <c r="L2327" s="88"/>
      <c r="M2327" s="88"/>
      <c r="N2327" s="88"/>
      <c r="O2327" s="88"/>
      <c r="P2327" s="88"/>
      <c r="Q2327" s="88"/>
      <c r="R2327" s="88"/>
      <c r="S2327" s="620"/>
      <c r="T2327" s="92"/>
      <c r="U2327" s="1214"/>
      <c r="V2327" s="1215"/>
      <c r="W2327" s="168"/>
      <c r="X2327" s="170"/>
    </row>
    <row r="2328" spans="1:24" ht="12.75" customHeight="1">
      <c r="A2328" s="15"/>
      <c r="B2328" s="92" t="str">
        <f t="shared" si="352"/>
        <v/>
      </c>
      <c r="C2328" s="90"/>
      <c r="D2328" s="87"/>
      <c r="E2328" s="88"/>
      <c r="F2328" s="173"/>
      <c r="G2328" s="88"/>
      <c r="H2328" s="88"/>
      <c r="I2328" s="88"/>
      <c r="J2328" s="88"/>
      <c r="K2328" s="230"/>
      <c r="L2328" s="88"/>
      <c r="M2328" s="88"/>
      <c r="N2328" s="88"/>
      <c r="O2328" s="88"/>
      <c r="P2328" s="88"/>
      <c r="Q2328" s="88"/>
      <c r="R2328" s="88"/>
      <c r="S2328" s="620"/>
      <c r="T2328" s="92"/>
      <c r="U2328" s="1214"/>
      <c r="V2328" s="1215"/>
      <c r="W2328" s="168"/>
      <c r="X2328" s="170"/>
    </row>
    <row r="2329" spans="1:24" ht="12.75" customHeight="1">
      <c r="A2329" s="15"/>
      <c r="B2329" s="92" t="str">
        <f t="shared" si="352"/>
        <v/>
      </c>
      <c r="C2329" s="90"/>
      <c r="D2329" s="87"/>
      <c r="E2329" s="88"/>
      <c r="F2329" s="173"/>
      <c r="G2329" s="88"/>
      <c r="H2329" s="88"/>
      <c r="I2329" s="88"/>
      <c r="J2329" s="88"/>
      <c r="K2329" s="230"/>
      <c r="L2329" s="88"/>
      <c r="M2329" s="88"/>
      <c r="N2329" s="88"/>
      <c r="O2329" s="88"/>
      <c r="P2329" s="88"/>
      <c r="Q2329" s="88"/>
      <c r="R2329" s="88"/>
      <c r="S2329" s="620"/>
      <c r="T2329" s="92"/>
      <c r="U2329" s="1214"/>
      <c r="V2329" s="1215"/>
      <c r="W2329" s="168"/>
      <c r="X2329" s="170"/>
    </row>
    <row r="2330" spans="1:24" ht="12.75" customHeight="1">
      <c r="A2330" s="15"/>
      <c r="B2330" s="92" t="str">
        <f t="shared" si="352"/>
        <v/>
      </c>
      <c r="C2330" s="90"/>
      <c r="D2330" s="87"/>
      <c r="E2330" s="88"/>
      <c r="F2330" s="173"/>
      <c r="G2330" s="88"/>
      <c r="H2330" s="88"/>
      <c r="I2330" s="88"/>
      <c r="J2330" s="88"/>
      <c r="K2330" s="230"/>
      <c r="L2330" s="88"/>
      <c r="M2330" s="88"/>
      <c r="N2330" s="88"/>
      <c r="O2330" s="88"/>
      <c r="P2330" s="88"/>
      <c r="Q2330" s="88"/>
      <c r="R2330" s="88"/>
      <c r="S2330" s="620"/>
      <c r="T2330" s="92"/>
      <c r="U2330" s="1214"/>
      <c r="V2330" s="1215"/>
      <c r="W2330" s="168"/>
      <c r="X2330" s="170"/>
    </row>
    <row r="2331" spans="1:24" ht="12.75" customHeight="1">
      <c r="A2331" s="15"/>
      <c r="B2331" s="92" t="str">
        <f t="shared" si="352"/>
        <v/>
      </c>
      <c r="C2331" s="90"/>
      <c r="D2331" s="87"/>
      <c r="E2331" s="88"/>
      <c r="F2331" s="173"/>
      <c r="G2331" s="88"/>
      <c r="H2331" s="88"/>
      <c r="I2331" s="88"/>
      <c r="J2331" s="88"/>
      <c r="K2331" s="230"/>
      <c r="L2331" s="88"/>
      <c r="M2331" s="88"/>
      <c r="N2331" s="88"/>
      <c r="O2331" s="88"/>
      <c r="P2331" s="88"/>
      <c r="Q2331" s="88"/>
      <c r="R2331" s="88"/>
      <c r="S2331" s="620"/>
      <c r="T2331" s="92"/>
      <c r="U2331" s="1214"/>
      <c r="V2331" s="1215"/>
      <c r="W2331" s="168"/>
      <c r="X2331" s="170"/>
    </row>
    <row r="2332" spans="1:24" ht="12.75" customHeight="1">
      <c r="A2332" s="15"/>
      <c r="B2332" s="92" t="str">
        <f t="shared" si="352"/>
        <v/>
      </c>
      <c r="C2332" s="90"/>
      <c r="D2332" s="87"/>
      <c r="E2332" s="88"/>
      <c r="F2332" s="173"/>
      <c r="G2332" s="88"/>
      <c r="H2332" s="88"/>
      <c r="I2332" s="88"/>
      <c r="J2332" s="88"/>
      <c r="K2332" s="230"/>
      <c r="L2332" s="88"/>
      <c r="M2332" s="88"/>
      <c r="N2332" s="88"/>
      <c r="O2332" s="88"/>
      <c r="P2332" s="88"/>
      <c r="Q2332" s="88"/>
      <c r="R2332" s="88"/>
      <c r="S2332" s="620"/>
      <c r="T2332" s="92"/>
      <c r="U2332" s="1214"/>
      <c r="V2332" s="1215"/>
      <c r="W2332" s="168"/>
      <c r="X2332" s="170"/>
    </row>
    <row r="2333" spans="1:24" ht="12.75" customHeight="1">
      <c r="A2333" s="15"/>
      <c r="B2333" s="92" t="str">
        <f t="shared" si="352"/>
        <v/>
      </c>
      <c r="C2333" s="90"/>
      <c r="D2333" s="87"/>
      <c r="E2333" s="88"/>
      <c r="F2333" s="173"/>
      <c r="G2333" s="88"/>
      <c r="H2333" s="88"/>
      <c r="I2333" s="88"/>
      <c r="J2333" s="88"/>
      <c r="K2333" s="230"/>
      <c r="L2333" s="88"/>
      <c r="M2333" s="88"/>
      <c r="N2333" s="88"/>
      <c r="O2333" s="88"/>
      <c r="P2333" s="88"/>
      <c r="Q2333" s="88"/>
      <c r="R2333" s="88"/>
      <c r="S2333" s="620"/>
      <c r="T2333" s="92"/>
      <c r="U2333" s="1214"/>
      <c r="V2333" s="1215"/>
      <c r="W2333" s="168"/>
      <c r="X2333" s="170"/>
    </row>
    <row r="2334" spans="1:24" ht="12.75" customHeight="1">
      <c r="A2334" s="15"/>
      <c r="B2334" s="92" t="str">
        <f t="shared" si="352"/>
        <v/>
      </c>
      <c r="C2334" s="90"/>
      <c r="D2334" s="87"/>
      <c r="E2334" s="88"/>
      <c r="F2334" s="173"/>
      <c r="G2334" s="88"/>
      <c r="H2334" s="88"/>
      <c r="I2334" s="88"/>
      <c r="J2334" s="88"/>
      <c r="K2334" s="230"/>
      <c r="L2334" s="88"/>
      <c r="M2334" s="88"/>
      <c r="N2334" s="88"/>
      <c r="O2334" s="88"/>
      <c r="P2334" s="88"/>
      <c r="Q2334" s="88"/>
      <c r="R2334" s="88"/>
      <c r="S2334" s="620"/>
      <c r="T2334" s="92"/>
      <c r="U2334" s="1214"/>
      <c r="V2334" s="1215"/>
      <c r="W2334" s="168"/>
      <c r="X2334" s="170"/>
    </row>
    <row r="2335" spans="1:24" ht="12.75" customHeight="1">
      <c r="A2335" s="15"/>
      <c r="B2335" s="92" t="str">
        <f t="shared" si="352"/>
        <v/>
      </c>
      <c r="C2335" s="90"/>
      <c r="D2335" s="87"/>
      <c r="E2335" s="88"/>
      <c r="F2335" s="173"/>
      <c r="G2335" s="88"/>
      <c r="H2335" s="88"/>
      <c r="I2335" s="88"/>
      <c r="J2335" s="88"/>
      <c r="K2335" s="230"/>
      <c r="L2335" s="88"/>
      <c r="M2335" s="88"/>
      <c r="N2335" s="88"/>
      <c r="O2335" s="88"/>
      <c r="P2335" s="88"/>
      <c r="Q2335" s="88"/>
      <c r="R2335" s="88"/>
      <c r="S2335" s="620"/>
      <c r="T2335" s="92"/>
      <c r="U2335" s="1214"/>
      <c r="V2335" s="1215"/>
      <c r="W2335" s="168"/>
      <c r="X2335" s="170"/>
    </row>
    <row r="2336" spans="1:24" ht="12.75" customHeight="1">
      <c r="A2336" s="15"/>
      <c r="B2336" s="92" t="str">
        <f t="shared" si="352"/>
        <v/>
      </c>
      <c r="C2336" s="90"/>
      <c r="D2336" s="87"/>
      <c r="E2336" s="88"/>
      <c r="F2336" s="173"/>
      <c r="G2336" s="88"/>
      <c r="H2336" s="88"/>
      <c r="I2336" s="88"/>
      <c r="J2336" s="88"/>
      <c r="K2336" s="230"/>
      <c r="L2336" s="88"/>
      <c r="M2336" s="88"/>
      <c r="N2336" s="88"/>
      <c r="O2336" s="88"/>
      <c r="P2336" s="88"/>
      <c r="Q2336" s="88"/>
      <c r="R2336" s="88"/>
      <c r="S2336" s="620"/>
      <c r="T2336" s="92"/>
      <c r="U2336" s="1214"/>
      <c r="V2336" s="1215"/>
      <c r="W2336" s="168"/>
      <c r="X2336" s="170"/>
    </row>
    <row r="2337" spans="1:24" ht="12.75" customHeight="1">
      <c r="A2337" s="15"/>
      <c r="B2337" s="92" t="str">
        <f t="shared" si="352"/>
        <v/>
      </c>
      <c r="C2337" s="90"/>
      <c r="D2337" s="87"/>
      <c r="E2337" s="88"/>
      <c r="F2337" s="173"/>
      <c r="G2337" s="88"/>
      <c r="H2337" s="88"/>
      <c r="I2337" s="88"/>
      <c r="J2337" s="88"/>
      <c r="K2337" s="230"/>
      <c r="L2337" s="88"/>
      <c r="M2337" s="88"/>
      <c r="N2337" s="88"/>
      <c r="O2337" s="88"/>
      <c r="P2337" s="88"/>
      <c r="Q2337" s="88"/>
      <c r="R2337" s="88"/>
      <c r="S2337" s="620"/>
      <c r="T2337" s="92"/>
      <c r="U2337" s="1214"/>
      <c r="V2337" s="1215"/>
      <c r="W2337" s="168"/>
      <c r="X2337" s="170"/>
    </row>
    <row r="2338" spans="1:24" ht="12.75" customHeight="1">
      <c r="A2338" s="15"/>
      <c r="B2338" s="92" t="str">
        <f t="shared" si="352"/>
        <v/>
      </c>
      <c r="C2338" s="90"/>
      <c r="D2338" s="87"/>
      <c r="E2338" s="88"/>
      <c r="F2338" s="173"/>
      <c r="G2338" s="88"/>
      <c r="H2338" s="88"/>
      <c r="I2338" s="88"/>
      <c r="J2338" s="88"/>
      <c r="K2338" s="230"/>
      <c r="L2338" s="88"/>
      <c r="M2338" s="88"/>
      <c r="N2338" s="88"/>
      <c r="O2338" s="88"/>
      <c r="P2338" s="88"/>
      <c r="Q2338" s="88"/>
      <c r="R2338" s="88"/>
      <c r="S2338" s="620"/>
      <c r="T2338" s="92"/>
      <c r="U2338" s="1214"/>
      <c r="V2338" s="1215"/>
      <c r="W2338" s="168"/>
      <c r="X2338" s="170"/>
    </row>
    <row r="2339" spans="1:24" ht="12.75" customHeight="1">
      <c r="A2339" s="15"/>
      <c r="B2339" s="92" t="str">
        <f t="shared" si="352"/>
        <v/>
      </c>
      <c r="C2339" s="90"/>
      <c r="D2339" s="87"/>
      <c r="E2339" s="88"/>
      <c r="F2339" s="173"/>
      <c r="G2339" s="88"/>
      <c r="H2339" s="88"/>
      <c r="I2339" s="88"/>
      <c r="J2339" s="88"/>
      <c r="K2339" s="230"/>
      <c r="L2339" s="88"/>
      <c r="M2339" s="88"/>
      <c r="N2339" s="88"/>
      <c r="O2339" s="88"/>
      <c r="P2339" s="88"/>
      <c r="Q2339" s="88"/>
      <c r="R2339" s="88"/>
      <c r="S2339" s="620"/>
      <c r="T2339" s="92"/>
      <c r="U2339" s="1214"/>
      <c r="V2339" s="1215"/>
      <c r="W2339" s="168"/>
      <c r="X2339" s="170"/>
    </row>
    <row r="2340" spans="1:24" ht="12.75" customHeight="1">
      <c r="A2340" s="15"/>
      <c r="B2340" s="92" t="str">
        <f t="shared" si="352"/>
        <v/>
      </c>
      <c r="C2340" s="90"/>
      <c r="D2340" s="87"/>
      <c r="E2340" s="88"/>
      <c r="F2340" s="173"/>
      <c r="G2340" s="88"/>
      <c r="H2340" s="88"/>
      <c r="I2340" s="88"/>
      <c r="J2340" s="88"/>
      <c r="K2340" s="230"/>
      <c r="L2340" s="88"/>
      <c r="M2340" s="88"/>
      <c r="N2340" s="88"/>
      <c r="O2340" s="88"/>
      <c r="P2340" s="88"/>
      <c r="Q2340" s="88"/>
      <c r="R2340" s="88"/>
      <c r="S2340" s="620"/>
      <c r="T2340" s="92"/>
      <c r="U2340" s="1214"/>
      <c r="V2340" s="1215"/>
      <c r="W2340" s="168"/>
      <c r="X2340" s="170"/>
    </row>
    <row r="2341" spans="1:24" ht="12.75" customHeight="1">
      <c r="A2341" s="15"/>
      <c r="B2341" s="92" t="str">
        <f t="shared" si="352"/>
        <v/>
      </c>
      <c r="C2341" s="90"/>
      <c r="D2341" s="87"/>
      <c r="E2341" s="88"/>
      <c r="F2341" s="173"/>
      <c r="G2341" s="88"/>
      <c r="H2341" s="88"/>
      <c r="I2341" s="88"/>
      <c r="J2341" s="88"/>
      <c r="K2341" s="230"/>
      <c r="L2341" s="88"/>
      <c r="M2341" s="88"/>
      <c r="N2341" s="88"/>
      <c r="O2341" s="88"/>
      <c r="P2341" s="88"/>
      <c r="Q2341" s="88"/>
      <c r="R2341" s="88"/>
      <c r="S2341" s="620"/>
      <c r="T2341" s="92"/>
      <c r="U2341" s="1214"/>
      <c r="V2341" s="1215"/>
      <c r="W2341" s="168"/>
      <c r="X2341" s="170"/>
    </row>
    <row r="2342" spans="1:24" ht="12.75" customHeight="1">
      <c r="A2342" s="15"/>
      <c r="B2342" s="92" t="str">
        <f t="shared" si="352"/>
        <v/>
      </c>
      <c r="C2342" s="90"/>
      <c r="D2342" s="87"/>
      <c r="E2342" s="88"/>
      <c r="F2342" s="173"/>
      <c r="G2342" s="88"/>
      <c r="H2342" s="88"/>
      <c r="I2342" s="88"/>
      <c r="J2342" s="88"/>
      <c r="K2342" s="230"/>
      <c r="L2342" s="88"/>
      <c r="M2342" s="88"/>
      <c r="N2342" s="88"/>
      <c r="O2342" s="88"/>
      <c r="P2342" s="88"/>
      <c r="Q2342" s="88"/>
      <c r="R2342" s="88"/>
      <c r="S2342" s="620"/>
      <c r="T2342" s="92"/>
      <c r="U2342" s="1214"/>
      <c r="V2342" s="1215"/>
      <c r="W2342" s="168"/>
      <c r="X2342" s="170"/>
    </row>
    <row r="2343" spans="1:24" ht="12.75" customHeight="1">
      <c r="A2343" s="15"/>
      <c r="B2343" s="92" t="str">
        <f t="shared" si="352"/>
        <v/>
      </c>
      <c r="C2343" s="90"/>
      <c r="D2343" s="87"/>
      <c r="E2343" s="88"/>
      <c r="F2343" s="173"/>
      <c r="G2343" s="88"/>
      <c r="H2343" s="88"/>
      <c r="I2343" s="88"/>
      <c r="J2343" s="88"/>
      <c r="K2343" s="230"/>
      <c r="L2343" s="88"/>
      <c r="M2343" s="88"/>
      <c r="N2343" s="88"/>
      <c r="O2343" s="88"/>
      <c r="P2343" s="88"/>
      <c r="Q2343" s="88"/>
      <c r="R2343" s="88"/>
      <c r="S2343" s="620"/>
      <c r="T2343" s="92"/>
      <c r="U2343" s="1214"/>
      <c r="V2343" s="1215"/>
      <c r="W2343" s="168"/>
      <c r="X2343" s="170"/>
    </row>
    <row r="2344" spans="1:24" ht="12.75" customHeight="1">
      <c r="A2344" s="15"/>
      <c r="B2344" s="92" t="str">
        <f t="shared" si="352"/>
        <v/>
      </c>
      <c r="C2344" s="90"/>
      <c r="D2344" s="87"/>
      <c r="E2344" s="88"/>
      <c r="F2344" s="173"/>
      <c r="G2344" s="88"/>
      <c r="H2344" s="88"/>
      <c r="I2344" s="88"/>
      <c r="J2344" s="88"/>
      <c r="K2344" s="230"/>
      <c r="L2344" s="88"/>
      <c r="M2344" s="88"/>
      <c r="N2344" s="88"/>
      <c r="O2344" s="88"/>
      <c r="P2344" s="88"/>
      <c r="Q2344" s="88"/>
      <c r="R2344" s="88"/>
      <c r="S2344" s="620"/>
      <c r="T2344" s="92"/>
      <c r="U2344" s="1214"/>
      <c r="V2344" s="1215"/>
      <c r="W2344" s="168"/>
      <c r="X2344" s="170"/>
    </row>
    <row r="2345" spans="1:24" ht="12.75" customHeight="1">
      <c r="A2345" s="15"/>
      <c r="B2345" s="92" t="str">
        <f t="shared" si="352"/>
        <v/>
      </c>
      <c r="C2345" s="90"/>
      <c r="D2345" s="87"/>
      <c r="E2345" s="88"/>
      <c r="F2345" s="173"/>
      <c r="G2345" s="88"/>
      <c r="H2345" s="88"/>
      <c r="I2345" s="88"/>
      <c r="J2345" s="88"/>
      <c r="K2345" s="230"/>
      <c r="L2345" s="88"/>
      <c r="M2345" s="88"/>
      <c r="N2345" s="88"/>
      <c r="O2345" s="88"/>
      <c r="P2345" s="88"/>
      <c r="Q2345" s="88"/>
      <c r="R2345" s="88"/>
      <c r="S2345" s="620"/>
      <c r="T2345" s="92"/>
      <c r="U2345" s="1214"/>
      <c r="V2345" s="1215"/>
      <c r="W2345" s="168"/>
      <c r="X2345" s="170"/>
    </row>
    <row r="2346" spans="1:24" ht="12.75" customHeight="1">
      <c r="A2346" s="15"/>
      <c r="B2346" s="92" t="str">
        <f t="shared" si="352"/>
        <v/>
      </c>
      <c r="C2346" s="90"/>
      <c r="D2346" s="87"/>
      <c r="E2346" s="88"/>
      <c r="F2346" s="173"/>
      <c r="G2346" s="88"/>
      <c r="H2346" s="88"/>
      <c r="I2346" s="88"/>
      <c r="J2346" s="88"/>
      <c r="K2346" s="230"/>
      <c r="L2346" s="88"/>
      <c r="M2346" s="88"/>
      <c r="N2346" s="88"/>
      <c r="O2346" s="88"/>
      <c r="P2346" s="88"/>
      <c r="Q2346" s="88"/>
      <c r="R2346" s="88"/>
      <c r="S2346" s="620"/>
      <c r="T2346" s="92"/>
      <c r="U2346" s="1214"/>
      <c r="V2346" s="1215"/>
      <c r="W2346" s="168"/>
      <c r="X2346" s="170"/>
    </row>
    <row r="2347" spans="1:24" ht="12.75" customHeight="1">
      <c r="A2347" s="15"/>
      <c r="B2347" s="92" t="str">
        <f t="shared" si="352"/>
        <v/>
      </c>
      <c r="C2347" s="90"/>
      <c r="D2347" s="87"/>
      <c r="E2347" s="88"/>
      <c r="F2347" s="173"/>
      <c r="G2347" s="88"/>
      <c r="H2347" s="88"/>
      <c r="I2347" s="88"/>
      <c r="J2347" s="88"/>
      <c r="K2347" s="230"/>
      <c r="L2347" s="88"/>
      <c r="M2347" s="88"/>
      <c r="N2347" s="88"/>
      <c r="O2347" s="88"/>
      <c r="P2347" s="88"/>
      <c r="Q2347" s="88"/>
      <c r="R2347" s="88"/>
      <c r="S2347" s="620"/>
      <c r="T2347" s="92"/>
      <c r="U2347" s="1214"/>
      <c r="V2347" s="1215"/>
      <c r="W2347" s="168"/>
      <c r="X2347" s="170"/>
    </row>
    <row r="2348" spans="1:24" ht="12.75" customHeight="1">
      <c r="A2348" s="15"/>
      <c r="B2348" s="92" t="str">
        <f t="shared" si="352"/>
        <v/>
      </c>
      <c r="C2348" s="90"/>
      <c r="D2348" s="87"/>
      <c r="E2348" s="88"/>
      <c r="F2348" s="173"/>
      <c r="G2348" s="88"/>
      <c r="H2348" s="88"/>
      <c r="I2348" s="88"/>
      <c r="J2348" s="88"/>
      <c r="K2348" s="230"/>
      <c r="L2348" s="88"/>
      <c r="M2348" s="88"/>
      <c r="N2348" s="88"/>
      <c r="O2348" s="88"/>
      <c r="P2348" s="88"/>
      <c r="Q2348" s="88"/>
      <c r="R2348" s="88"/>
      <c r="S2348" s="620"/>
      <c r="T2348" s="92"/>
      <c r="U2348" s="1214"/>
      <c r="V2348" s="1215"/>
      <c r="W2348" s="168"/>
      <c r="X2348" s="170"/>
    </row>
    <row r="2349" spans="1:24" ht="12.75" customHeight="1">
      <c r="A2349" s="15"/>
      <c r="B2349" s="92" t="str">
        <f t="shared" si="352"/>
        <v/>
      </c>
      <c r="C2349" s="90"/>
      <c r="D2349" s="87"/>
      <c r="E2349" s="88"/>
      <c r="F2349" s="173"/>
      <c r="G2349" s="88"/>
      <c r="H2349" s="88"/>
      <c r="I2349" s="88"/>
      <c r="J2349" s="88"/>
      <c r="K2349" s="230"/>
      <c r="L2349" s="88"/>
      <c r="M2349" s="88"/>
      <c r="N2349" s="88"/>
      <c r="O2349" s="88"/>
      <c r="P2349" s="88"/>
      <c r="Q2349" s="88"/>
      <c r="R2349" s="88"/>
      <c r="S2349" s="620"/>
      <c r="T2349" s="92"/>
      <c r="U2349" s="1214"/>
      <c r="V2349" s="1215"/>
      <c r="W2349" s="168"/>
      <c r="X2349" s="170"/>
    </row>
    <row r="2350" spans="1:24" ht="12.75" customHeight="1">
      <c r="A2350" s="15"/>
      <c r="B2350" s="92" t="str">
        <f t="shared" si="352"/>
        <v/>
      </c>
      <c r="C2350" s="90"/>
      <c r="D2350" s="87"/>
      <c r="E2350" s="88"/>
      <c r="F2350" s="173"/>
      <c r="G2350" s="88"/>
      <c r="H2350" s="88"/>
      <c r="I2350" s="88"/>
      <c r="J2350" s="88"/>
      <c r="K2350" s="230"/>
      <c r="L2350" s="88"/>
      <c r="M2350" s="88"/>
      <c r="N2350" s="88"/>
      <c r="O2350" s="88"/>
      <c r="P2350" s="88"/>
      <c r="Q2350" s="88"/>
      <c r="R2350" s="88"/>
      <c r="S2350" s="620"/>
      <c r="T2350" s="92"/>
      <c r="U2350" s="1214"/>
      <c r="V2350" s="1215"/>
      <c r="W2350" s="168"/>
      <c r="X2350" s="170"/>
    </row>
    <row r="2351" spans="1:24" ht="12.75" customHeight="1">
      <c r="A2351" s="15"/>
      <c r="B2351" s="92" t="str">
        <f t="shared" ref="B2351:B2414" si="353">IF(C2351="","",ROW()-5)</f>
        <v/>
      </c>
      <c r="C2351" s="90"/>
      <c r="D2351" s="87"/>
      <c r="E2351" s="88"/>
      <c r="F2351" s="173"/>
      <c r="G2351" s="88"/>
      <c r="H2351" s="88"/>
      <c r="I2351" s="88"/>
      <c r="J2351" s="88"/>
      <c r="K2351" s="230"/>
      <c r="L2351" s="88"/>
      <c r="M2351" s="88"/>
      <c r="N2351" s="88"/>
      <c r="O2351" s="88"/>
      <c r="P2351" s="88"/>
      <c r="Q2351" s="88"/>
      <c r="R2351" s="88"/>
      <c r="S2351" s="620"/>
      <c r="T2351" s="92"/>
      <c r="U2351" s="1214"/>
      <c r="V2351" s="1215"/>
      <c r="W2351" s="168"/>
      <c r="X2351" s="170"/>
    </row>
    <row r="2352" spans="1:24" ht="12.75" customHeight="1">
      <c r="A2352" s="15"/>
      <c r="B2352" s="92" t="str">
        <f t="shared" si="353"/>
        <v/>
      </c>
      <c r="C2352" s="90"/>
      <c r="D2352" s="87"/>
      <c r="E2352" s="88"/>
      <c r="F2352" s="173"/>
      <c r="G2352" s="88"/>
      <c r="H2352" s="88"/>
      <c r="I2352" s="88"/>
      <c r="J2352" s="88"/>
      <c r="K2352" s="230"/>
      <c r="L2352" s="88"/>
      <c r="M2352" s="88"/>
      <c r="N2352" s="88"/>
      <c r="O2352" s="88"/>
      <c r="P2352" s="88"/>
      <c r="Q2352" s="88"/>
      <c r="R2352" s="88"/>
      <c r="S2352" s="620"/>
      <c r="T2352" s="92"/>
      <c r="U2352" s="1214"/>
      <c r="V2352" s="1215"/>
      <c r="W2352" s="168"/>
      <c r="X2352" s="170"/>
    </row>
    <row r="2353" spans="1:24" ht="12.75" customHeight="1">
      <c r="A2353" s="15"/>
      <c r="B2353" s="92" t="str">
        <f t="shared" si="353"/>
        <v/>
      </c>
      <c r="C2353" s="90"/>
      <c r="D2353" s="87"/>
      <c r="E2353" s="88"/>
      <c r="F2353" s="173"/>
      <c r="G2353" s="88"/>
      <c r="H2353" s="88"/>
      <c r="I2353" s="88"/>
      <c r="J2353" s="88"/>
      <c r="K2353" s="230"/>
      <c r="L2353" s="88"/>
      <c r="M2353" s="88"/>
      <c r="N2353" s="88"/>
      <c r="O2353" s="88"/>
      <c r="P2353" s="88"/>
      <c r="Q2353" s="88"/>
      <c r="R2353" s="88"/>
      <c r="S2353" s="620"/>
      <c r="T2353" s="92"/>
      <c r="U2353" s="1214"/>
      <c r="V2353" s="1215"/>
      <c r="W2353" s="168"/>
      <c r="X2353" s="170"/>
    </row>
    <row r="2354" spans="1:24" ht="12.75" customHeight="1">
      <c r="A2354" s="15"/>
      <c r="B2354" s="92" t="str">
        <f t="shared" si="353"/>
        <v/>
      </c>
      <c r="C2354" s="90"/>
      <c r="D2354" s="87"/>
      <c r="E2354" s="88"/>
      <c r="F2354" s="173"/>
      <c r="G2354" s="88"/>
      <c r="H2354" s="88"/>
      <c r="I2354" s="88"/>
      <c r="J2354" s="88"/>
      <c r="K2354" s="230"/>
      <c r="L2354" s="88"/>
      <c r="M2354" s="88"/>
      <c r="N2354" s="88"/>
      <c r="O2354" s="88"/>
      <c r="P2354" s="88"/>
      <c r="Q2354" s="88"/>
      <c r="R2354" s="88"/>
      <c r="S2354" s="620"/>
      <c r="T2354" s="92"/>
      <c r="U2354" s="1214"/>
      <c r="V2354" s="1215"/>
      <c r="W2354" s="168"/>
      <c r="X2354" s="170"/>
    </row>
    <row r="2355" spans="1:24" ht="12.75" customHeight="1">
      <c r="A2355" s="15"/>
      <c r="B2355" s="92" t="str">
        <f t="shared" si="353"/>
        <v/>
      </c>
      <c r="C2355" s="90"/>
      <c r="D2355" s="87"/>
      <c r="E2355" s="88"/>
      <c r="F2355" s="173"/>
      <c r="G2355" s="88"/>
      <c r="H2355" s="88"/>
      <c r="I2355" s="88"/>
      <c r="J2355" s="88"/>
      <c r="K2355" s="230"/>
      <c r="L2355" s="88"/>
      <c r="M2355" s="88"/>
      <c r="N2355" s="88"/>
      <c r="O2355" s="88"/>
      <c r="P2355" s="88"/>
      <c r="Q2355" s="88"/>
      <c r="R2355" s="88"/>
      <c r="S2355" s="620"/>
      <c r="T2355" s="92"/>
      <c r="U2355" s="1214"/>
      <c r="V2355" s="1215"/>
      <c r="W2355" s="168"/>
      <c r="X2355" s="170"/>
    </row>
    <row r="2356" spans="1:24" ht="12.75" customHeight="1">
      <c r="A2356" s="15"/>
      <c r="B2356" s="92" t="str">
        <f t="shared" si="353"/>
        <v/>
      </c>
      <c r="C2356" s="90"/>
      <c r="D2356" s="87"/>
      <c r="E2356" s="88"/>
      <c r="F2356" s="173"/>
      <c r="G2356" s="88"/>
      <c r="H2356" s="88"/>
      <c r="I2356" s="88"/>
      <c r="J2356" s="88"/>
      <c r="K2356" s="230"/>
      <c r="L2356" s="88"/>
      <c r="M2356" s="88"/>
      <c r="N2356" s="88"/>
      <c r="O2356" s="88"/>
      <c r="P2356" s="88"/>
      <c r="Q2356" s="88"/>
      <c r="R2356" s="88"/>
      <c r="S2356" s="620"/>
      <c r="T2356" s="92"/>
      <c r="U2356" s="1214"/>
      <c r="V2356" s="1215"/>
      <c r="W2356" s="168"/>
      <c r="X2356" s="170"/>
    </row>
    <row r="2357" spans="1:24" ht="12.75" customHeight="1">
      <c r="A2357" s="15"/>
      <c r="B2357" s="92" t="str">
        <f t="shared" si="353"/>
        <v/>
      </c>
      <c r="C2357" s="90"/>
      <c r="D2357" s="87"/>
      <c r="E2357" s="88"/>
      <c r="F2357" s="173"/>
      <c r="G2357" s="88"/>
      <c r="H2357" s="88"/>
      <c r="I2357" s="88"/>
      <c r="J2357" s="88"/>
      <c r="K2357" s="230"/>
      <c r="L2357" s="88"/>
      <c r="M2357" s="88"/>
      <c r="N2357" s="88"/>
      <c r="O2357" s="88"/>
      <c r="P2357" s="88"/>
      <c r="Q2357" s="88"/>
      <c r="R2357" s="88"/>
      <c r="S2357" s="620"/>
      <c r="T2357" s="92"/>
      <c r="U2357" s="1214"/>
      <c r="V2357" s="1215"/>
      <c r="W2357" s="168"/>
      <c r="X2357" s="170"/>
    </row>
    <row r="2358" spans="1:24" ht="12.75" customHeight="1">
      <c r="A2358" s="15"/>
      <c r="B2358" s="92" t="str">
        <f t="shared" si="353"/>
        <v/>
      </c>
      <c r="C2358" s="90"/>
      <c r="D2358" s="87"/>
      <c r="E2358" s="88"/>
      <c r="F2358" s="173"/>
      <c r="G2358" s="88"/>
      <c r="H2358" s="88"/>
      <c r="I2358" s="88"/>
      <c r="J2358" s="88"/>
      <c r="K2358" s="230"/>
      <c r="L2358" s="88"/>
      <c r="M2358" s="88"/>
      <c r="N2358" s="88"/>
      <c r="O2358" s="88"/>
      <c r="P2358" s="88"/>
      <c r="Q2358" s="88"/>
      <c r="R2358" s="88"/>
      <c r="S2358" s="620"/>
      <c r="T2358" s="92"/>
      <c r="U2358" s="1214"/>
      <c r="V2358" s="1215"/>
      <c r="W2358" s="168"/>
      <c r="X2358" s="170"/>
    </row>
    <row r="2359" spans="1:24" ht="12.75" customHeight="1">
      <c r="A2359" s="15"/>
      <c r="B2359" s="92" t="str">
        <f t="shared" si="353"/>
        <v/>
      </c>
      <c r="C2359" s="90"/>
      <c r="D2359" s="87"/>
      <c r="E2359" s="88"/>
      <c r="F2359" s="173"/>
      <c r="G2359" s="88"/>
      <c r="H2359" s="88"/>
      <c r="I2359" s="88"/>
      <c r="J2359" s="88"/>
      <c r="K2359" s="230"/>
      <c r="L2359" s="88"/>
      <c r="M2359" s="88"/>
      <c r="N2359" s="88"/>
      <c r="O2359" s="88"/>
      <c r="P2359" s="88"/>
      <c r="Q2359" s="88"/>
      <c r="R2359" s="88"/>
      <c r="S2359" s="620"/>
      <c r="T2359" s="92"/>
      <c r="U2359" s="1214"/>
      <c r="V2359" s="1215"/>
      <c r="W2359" s="168"/>
      <c r="X2359" s="170"/>
    </row>
    <row r="2360" spans="1:24" ht="12.75" customHeight="1">
      <c r="A2360" s="15"/>
      <c r="B2360" s="92" t="str">
        <f t="shared" si="353"/>
        <v/>
      </c>
      <c r="C2360" s="90"/>
      <c r="D2360" s="87"/>
      <c r="E2360" s="88"/>
      <c r="F2360" s="173"/>
      <c r="G2360" s="88"/>
      <c r="H2360" s="88"/>
      <c r="I2360" s="88"/>
      <c r="J2360" s="88"/>
      <c r="K2360" s="230"/>
      <c r="L2360" s="88"/>
      <c r="M2360" s="88"/>
      <c r="N2360" s="88"/>
      <c r="O2360" s="88"/>
      <c r="P2360" s="88"/>
      <c r="Q2360" s="88"/>
      <c r="R2360" s="88"/>
      <c r="S2360" s="620"/>
      <c r="T2360" s="92"/>
      <c r="U2360" s="1214"/>
      <c r="V2360" s="1215"/>
      <c r="W2360" s="168"/>
      <c r="X2360" s="170"/>
    </row>
    <row r="2361" spans="1:24" ht="12.75" customHeight="1">
      <c r="A2361" s="15"/>
      <c r="B2361" s="92" t="str">
        <f t="shared" si="353"/>
        <v/>
      </c>
      <c r="C2361" s="90"/>
      <c r="D2361" s="87"/>
      <c r="E2361" s="88"/>
      <c r="F2361" s="173"/>
      <c r="G2361" s="88"/>
      <c r="H2361" s="88"/>
      <c r="I2361" s="88"/>
      <c r="J2361" s="88"/>
      <c r="K2361" s="230"/>
      <c r="L2361" s="88"/>
      <c r="M2361" s="88"/>
      <c r="N2361" s="88"/>
      <c r="O2361" s="88"/>
      <c r="P2361" s="88"/>
      <c r="Q2361" s="88"/>
      <c r="R2361" s="88"/>
      <c r="S2361" s="620"/>
      <c r="T2361" s="92"/>
      <c r="U2361" s="1214"/>
      <c r="V2361" s="1215"/>
      <c r="W2361" s="168"/>
      <c r="X2361" s="170"/>
    </row>
    <row r="2362" spans="1:24" ht="12.75" customHeight="1">
      <c r="A2362" s="15"/>
      <c r="B2362" s="92" t="str">
        <f t="shared" si="353"/>
        <v/>
      </c>
      <c r="C2362" s="90"/>
      <c r="D2362" s="87"/>
      <c r="E2362" s="88"/>
      <c r="F2362" s="173"/>
      <c r="G2362" s="88"/>
      <c r="H2362" s="88"/>
      <c r="I2362" s="88"/>
      <c r="J2362" s="88"/>
      <c r="K2362" s="230"/>
      <c r="L2362" s="88"/>
      <c r="M2362" s="88"/>
      <c r="N2362" s="88"/>
      <c r="O2362" s="88"/>
      <c r="P2362" s="88"/>
      <c r="Q2362" s="88"/>
      <c r="R2362" s="88"/>
      <c r="S2362" s="620"/>
      <c r="T2362" s="92"/>
      <c r="U2362" s="1214"/>
      <c r="V2362" s="1215"/>
      <c r="W2362" s="168"/>
      <c r="X2362" s="170"/>
    </row>
    <row r="2363" spans="1:24" ht="12.75" customHeight="1">
      <c r="A2363" s="15"/>
      <c r="B2363" s="92" t="str">
        <f t="shared" si="353"/>
        <v/>
      </c>
      <c r="C2363" s="90"/>
      <c r="D2363" s="87"/>
      <c r="E2363" s="88"/>
      <c r="F2363" s="173"/>
      <c r="G2363" s="88"/>
      <c r="H2363" s="88"/>
      <c r="I2363" s="88"/>
      <c r="J2363" s="88"/>
      <c r="K2363" s="230"/>
      <c r="L2363" s="88"/>
      <c r="M2363" s="88"/>
      <c r="N2363" s="88"/>
      <c r="O2363" s="88"/>
      <c r="P2363" s="88"/>
      <c r="Q2363" s="88"/>
      <c r="R2363" s="88"/>
      <c r="S2363" s="620"/>
      <c r="T2363" s="92"/>
      <c r="U2363" s="1214"/>
      <c r="V2363" s="1215"/>
      <c r="W2363" s="168"/>
      <c r="X2363" s="170"/>
    </row>
    <row r="2364" spans="1:24" ht="12.75" customHeight="1">
      <c r="A2364" s="15"/>
      <c r="B2364" s="92" t="str">
        <f t="shared" si="353"/>
        <v/>
      </c>
      <c r="C2364" s="90"/>
      <c r="D2364" s="87"/>
      <c r="E2364" s="88"/>
      <c r="F2364" s="173"/>
      <c r="G2364" s="88"/>
      <c r="H2364" s="88"/>
      <c r="I2364" s="88"/>
      <c r="J2364" s="88"/>
      <c r="K2364" s="230"/>
      <c r="L2364" s="88"/>
      <c r="M2364" s="88"/>
      <c r="N2364" s="88"/>
      <c r="O2364" s="88"/>
      <c r="P2364" s="88"/>
      <c r="Q2364" s="88"/>
      <c r="R2364" s="88"/>
      <c r="S2364" s="620"/>
      <c r="T2364" s="92"/>
      <c r="U2364" s="1214"/>
      <c r="V2364" s="1215"/>
      <c r="W2364" s="168"/>
      <c r="X2364" s="170"/>
    </row>
    <row r="2365" spans="1:24" ht="12.75" customHeight="1">
      <c r="A2365" s="15"/>
      <c r="B2365" s="92" t="str">
        <f t="shared" si="353"/>
        <v/>
      </c>
      <c r="C2365" s="90"/>
      <c r="D2365" s="87"/>
      <c r="E2365" s="88"/>
      <c r="F2365" s="173"/>
      <c r="G2365" s="88"/>
      <c r="H2365" s="88"/>
      <c r="I2365" s="88"/>
      <c r="J2365" s="88"/>
      <c r="K2365" s="230"/>
      <c r="L2365" s="88"/>
      <c r="M2365" s="88"/>
      <c r="N2365" s="88"/>
      <c r="O2365" s="88"/>
      <c r="P2365" s="88"/>
      <c r="Q2365" s="88"/>
      <c r="R2365" s="88"/>
      <c r="S2365" s="620"/>
      <c r="T2365" s="92"/>
      <c r="U2365" s="1214"/>
      <c r="V2365" s="1215"/>
      <c r="W2365" s="168"/>
      <c r="X2365" s="170"/>
    </row>
    <row r="2366" spans="1:24" ht="12.75" customHeight="1">
      <c r="A2366" s="15"/>
      <c r="B2366" s="92" t="str">
        <f t="shared" si="353"/>
        <v/>
      </c>
      <c r="C2366" s="90"/>
      <c r="D2366" s="87"/>
      <c r="E2366" s="88"/>
      <c r="F2366" s="173"/>
      <c r="G2366" s="88"/>
      <c r="H2366" s="88"/>
      <c r="I2366" s="88"/>
      <c r="J2366" s="88"/>
      <c r="K2366" s="230"/>
      <c r="L2366" s="88"/>
      <c r="M2366" s="88"/>
      <c r="N2366" s="88"/>
      <c r="O2366" s="88"/>
      <c r="P2366" s="88"/>
      <c r="Q2366" s="88"/>
      <c r="R2366" s="88"/>
      <c r="S2366" s="620"/>
      <c r="T2366" s="92"/>
      <c r="U2366" s="1214"/>
      <c r="V2366" s="1215"/>
      <c r="W2366" s="168"/>
      <c r="X2366" s="170"/>
    </row>
    <row r="2367" spans="1:24" ht="12.75" customHeight="1">
      <c r="A2367" s="15"/>
      <c r="B2367" s="92" t="str">
        <f t="shared" si="353"/>
        <v/>
      </c>
      <c r="C2367" s="90"/>
      <c r="D2367" s="87"/>
      <c r="E2367" s="88"/>
      <c r="F2367" s="173"/>
      <c r="G2367" s="88"/>
      <c r="H2367" s="88"/>
      <c r="I2367" s="88"/>
      <c r="J2367" s="88"/>
      <c r="K2367" s="230"/>
      <c r="L2367" s="88"/>
      <c r="M2367" s="88"/>
      <c r="N2367" s="88"/>
      <c r="O2367" s="88"/>
      <c r="P2367" s="88"/>
      <c r="Q2367" s="88"/>
      <c r="R2367" s="88"/>
      <c r="S2367" s="620"/>
      <c r="T2367" s="92"/>
      <c r="U2367" s="1214"/>
      <c r="V2367" s="1215"/>
      <c r="W2367" s="168"/>
      <c r="X2367" s="170"/>
    </row>
    <row r="2368" spans="1:24" ht="12.75" customHeight="1">
      <c r="A2368" s="15"/>
      <c r="B2368" s="92" t="str">
        <f t="shared" si="353"/>
        <v/>
      </c>
      <c r="C2368" s="90"/>
      <c r="D2368" s="87"/>
      <c r="E2368" s="88"/>
      <c r="F2368" s="173"/>
      <c r="G2368" s="88"/>
      <c r="H2368" s="88"/>
      <c r="I2368" s="88"/>
      <c r="J2368" s="88"/>
      <c r="K2368" s="230"/>
      <c r="L2368" s="88"/>
      <c r="M2368" s="88"/>
      <c r="N2368" s="88"/>
      <c r="O2368" s="88"/>
      <c r="P2368" s="88"/>
      <c r="Q2368" s="88"/>
      <c r="R2368" s="88"/>
      <c r="S2368" s="620"/>
      <c r="T2368" s="92"/>
      <c r="U2368" s="1214"/>
      <c r="V2368" s="1215"/>
      <c r="W2368" s="168"/>
      <c r="X2368" s="170"/>
    </row>
    <row r="2369" spans="1:24" ht="12.75" customHeight="1">
      <c r="A2369" s="15"/>
      <c r="B2369" s="92" t="str">
        <f t="shared" si="353"/>
        <v/>
      </c>
      <c r="C2369" s="90"/>
      <c r="D2369" s="87"/>
      <c r="E2369" s="88"/>
      <c r="F2369" s="173"/>
      <c r="G2369" s="88"/>
      <c r="H2369" s="88"/>
      <c r="I2369" s="88"/>
      <c r="J2369" s="88"/>
      <c r="K2369" s="230"/>
      <c r="L2369" s="88"/>
      <c r="M2369" s="88"/>
      <c r="N2369" s="88"/>
      <c r="O2369" s="88"/>
      <c r="P2369" s="88"/>
      <c r="Q2369" s="88"/>
      <c r="R2369" s="88"/>
      <c r="S2369" s="620"/>
      <c r="T2369" s="92"/>
      <c r="U2369" s="1214"/>
      <c r="V2369" s="1215"/>
      <c r="W2369" s="168"/>
      <c r="X2369" s="170"/>
    </row>
    <row r="2370" spans="1:24" ht="12.75" customHeight="1">
      <c r="A2370" s="15"/>
      <c r="B2370" s="92" t="str">
        <f t="shared" si="353"/>
        <v/>
      </c>
      <c r="C2370" s="90"/>
      <c r="D2370" s="87"/>
      <c r="E2370" s="88"/>
      <c r="F2370" s="173"/>
      <c r="G2370" s="88"/>
      <c r="H2370" s="88"/>
      <c r="I2370" s="88"/>
      <c r="J2370" s="88"/>
      <c r="K2370" s="230"/>
      <c r="L2370" s="88"/>
      <c r="M2370" s="88"/>
      <c r="N2370" s="88"/>
      <c r="O2370" s="88"/>
      <c r="P2370" s="88"/>
      <c r="Q2370" s="88"/>
      <c r="R2370" s="88"/>
      <c r="S2370" s="620"/>
      <c r="T2370" s="92"/>
      <c r="U2370" s="1214"/>
      <c r="V2370" s="1215"/>
      <c r="W2370" s="168"/>
      <c r="X2370" s="170"/>
    </row>
    <row r="2371" spans="1:24" ht="12.75" customHeight="1">
      <c r="A2371" s="15"/>
      <c r="B2371" s="92" t="str">
        <f t="shared" si="353"/>
        <v/>
      </c>
      <c r="C2371" s="90"/>
      <c r="D2371" s="87"/>
      <c r="E2371" s="88"/>
      <c r="F2371" s="173"/>
      <c r="G2371" s="88"/>
      <c r="H2371" s="88"/>
      <c r="I2371" s="88"/>
      <c r="J2371" s="88"/>
      <c r="K2371" s="230"/>
      <c r="L2371" s="88"/>
      <c r="M2371" s="88"/>
      <c r="N2371" s="88"/>
      <c r="O2371" s="88"/>
      <c r="P2371" s="88"/>
      <c r="Q2371" s="88"/>
      <c r="R2371" s="88"/>
      <c r="S2371" s="620"/>
      <c r="T2371" s="92"/>
      <c r="U2371" s="1214"/>
      <c r="V2371" s="1215"/>
      <c r="W2371" s="168"/>
      <c r="X2371" s="170"/>
    </row>
    <row r="2372" spans="1:24" ht="12.75" customHeight="1">
      <c r="A2372" s="15"/>
      <c r="B2372" s="92" t="str">
        <f t="shared" si="353"/>
        <v/>
      </c>
      <c r="C2372" s="90"/>
      <c r="D2372" s="87"/>
      <c r="E2372" s="88"/>
      <c r="F2372" s="173"/>
      <c r="G2372" s="88"/>
      <c r="H2372" s="88"/>
      <c r="I2372" s="88"/>
      <c r="J2372" s="88"/>
      <c r="K2372" s="230"/>
      <c r="L2372" s="88"/>
      <c r="M2372" s="88"/>
      <c r="N2372" s="88"/>
      <c r="O2372" s="88"/>
      <c r="P2372" s="88"/>
      <c r="Q2372" s="88"/>
      <c r="R2372" s="88"/>
      <c r="S2372" s="620"/>
      <c r="T2372" s="92"/>
      <c r="U2372" s="1214"/>
      <c r="V2372" s="1215"/>
      <c r="W2372" s="168"/>
      <c r="X2372" s="170"/>
    </row>
    <row r="2373" spans="1:24" ht="12.75" customHeight="1">
      <c r="A2373" s="15"/>
      <c r="B2373" s="92" t="str">
        <f t="shared" si="353"/>
        <v/>
      </c>
      <c r="C2373" s="90"/>
      <c r="D2373" s="87"/>
      <c r="E2373" s="88"/>
      <c r="F2373" s="173"/>
      <c r="G2373" s="88"/>
      <c r="H2373" s="88"/>
      <c r="I2373" s="88"/>
      <c r="J2373" s="88"/>
      <c r="K2373" s="230"/>
      <c r="L2373" s="88"/>
      <c r="M2373" s="88"/>
      <c r="N2373" s="88"/>
      <c r="O2373" s="88"/>
      <c r="P2373" s="88"/>
      <c r="Q2373" s="88"/>
      <c r="R2373" s="88"/>
      <c r="S2373" s="620"/>
      <c r="T2373" s="92"/>
      <c r="U2373" s="1214"/>
      <c r="V2373" s="1215"/>
      <c r="W2373" s="168"/>
      <c r="X2373" s="170"/>
    </row>
    <row r="2374" spans="1:24" ht="12.75" customHeight="1">
      <c r="A2374" s="15"/>
      <c r="B2374" s="92" t="str">
        <f t="shared" si="353"/>
        <v/>
      </c>
      <c r="C2374" s="90"/>
      <c r="D2374" s="87"/>
      <c r="E2374" s="88"/>
      <c r="F2374" s="173"/>
      <c r="G2374" s="88"/>
      <c r="H2374" s="88"/>
      <c r="I2374" s="88"/>
      <c r="J2374" s="88"/>
      <c r="K2374" s="230"/>
      <c r="L2374" s="88"/>
      <c r="M2374" s="88"/>
      <c r="N2374" s="88"/>
      <c r="O2374" s="88"/>
      <c r="P2374" s="88"/>
      <c r="Q2374" s="88"/>
      <c r="R2374" s="88"/>
      <c r="S2374" s="620"/>
      <c r="T2374" s="92"/>
      <c r="U2374" s="1214"/>
      <c r="V2374" s="1215"/>
      <c r="W2374" s="168"/>
      <c r="X2374" s="170"/>
    </row>
    <row r="2375" spans="1:24" ht="12.75" customHeight="1">
      <c r="A2375" s="15"/>
      <c r="B2375" s="92" t="str">
        <f t="shared" si="353"/>
        <v/>
      </c>
      <c r="C2375" s="90"/>
      <c r="D2375" s="87"/>
      <c r="E2375" s="88"/>
      <c r="F2375" s="173"/>
      <c r="G2375" s="88"/>
      <c r="H2375" s="88"/>
      <c r="I2375" s="88"/>
      <c r="J2375" s="88"/>
      <c r="K2375" s="230"/>
      <c r="L2375" s="88"/>
      <c r="M2375" s="88"/>
      <c r="N2375" s="88"/>
      <c r="O2375" s="88"/>
      <c r="P2375" s="88"/>
      <c r="Q2375" s="88"/>
      <c r="R2375" s="88"/>
      <c r="S2375" s="620"/>
      <c r="T2375" s="92"/>
      <c r="U2375" s="1214"/>
      <c r="V2375" s="1215"/>
      <c r="W2375" s="168"/>
      <c r="X2375" s="170"/>
    </row>
    <row r="2376" spans="1:24" ht="12.75" customHeight="1">
      <c r="A2376" s="15"/>
      <c r="B2376" s="92" t="str">
        <f t="shared" si="353"/>
        <v/>
      </c>
      <c r="C2376" s="90"/>
      <c r="D2376" s="87"/>
      <c r="E2376" s="88"/>
      <c r="F2376" s="173"/>
      <c r="G2376" s="88"/>
      <c r="H2376" s="88"/>
      <c r="I2376" s="88"/>
      <c r="J2376" s="88"/>
      <c r="K2376" s="230"/>
      <c r="L2376" s="88"/>
      <c r="M2376" s="88"/>
      <c r="N2376" s="88"/>
      <c r="O2376" s="88"/>
      <c r="P2376" s="88"/>
      <c r="Q2376" s="88"/>
      <c r="R2376" s="88"/>
      <c r="S2376" s="620"/>
      <c r="T2376" s="92"/>
      <c r="U2376" s="1214"/>
      <c r="V2376" s="1215"/>
      <c r="W2376" s="168"/>
      <c r="X2376" s="170"/>
    </row>
    <row r="2377" spans="1:24" ht="12.75" customHeight="1">
      <c r="A2377" s="15"/>
      <c r="B2377" s="92" t="str">
        <f t="shared" si="353"/>
        <v/>
      </c>
      <c r="C2377" s="90"/>
      <c r="D2377" s="87"/>
      <c r="E2377" s="88"/>
      <c r="F2377" s="173"/>
      <c r="G2377" s="88"/>
      <c r="H2377" s="88"/>
      <c r="I2377" s="88"/>
      <c r="J2377" s="88"/>
      <c r="K2377" s="230"/>
      <c r="L2377" s="88"/>
      <c r="M2377" s="88"/>
      <c r="N2377" s="88"/>
      <c r="O2377" s="88"/>
      <c r="P2377" s="88"/>
      <c r="Q2377" s="88"/>
      <c r="R2377" s="88"/>
      <c r="S2377" s="620"/>
      <c r="T2377" s="92"/>
      <c r="U2377" s="1214"/>
      <c r="V2377" s="1215"/>
      <c r="W2377" s="168"/>
      <c r="X2377" s="170"/>
    </row>
    <row r="2378" spans="1:24" ht="12.75" customHeight="1">
      <c r="A2378" s="15"/>
      <c r="B2378" s="92" t="str">
        <f t="shared" si="353"/>
        <v/>
      </c>
      <c r="C2378" s="90"/>
      <c r="D2378" s="87"/>
      <c r="E2378" s="88"/>
      <c r="F2378" s="173"/>
      <c r="G2378" s="88"/>
      <c r="H2378" s="88"/>
      <c r="I2378" s="88"/>
      <c r="J2378" s="88"/>
      <c r="K2378" s="230"/>
      <c r="L2378" s="88"/>
      <c r="M2378" s="88"/>
      <c r="N2378" s="88"/>
      <c r="O2378" s="88"/>
      <c r="P2378" s="88"/>
      <c r="Q2378" s="88"/>
      <c r="R2378" s="88"/>
      <c r="S2378" s="620"/>
      <c r="T2378" s="92"/>
      <c r="U2378" s="1214"/>
      <c r="V2378" s="1215"/>
      <c r="W2378" s="168"/>
      <c r="X2378" s="170"/>
    </row>
    <row r="2379" spans="1:24" ht="12.75" customHeight="1">
      <c r="A2379" s="15"/>
      <c r="B2379" s="92" t="str">
        <f t="shared" si="353"/>
        <v/>
      </c>
      <c r="C2379" s="90"/>
      <c r="D2379" s="87"/>
      <c r="E2379" s="88"/>
      <c r="F2379" s="173"/>
      <c r="G2379" s="88"/>
      <c r="H2379" s="88"/>
      <c r="I2379" s="88"/>
      <c r="J2379" s="88"/>
      <c r="K2379" s="230"/>
      <c r="L2379" s="88"/>
      <c r="M2379" s="88"/>
      <c r="N2379" s="88"/>
      <c r="O2379" s="88"/>
      <c r="P2379" s="88"/>
      <c r="Q2379" s="88"/>
      <c r="R2379" s="88"/>
      <c r="S2379" s="620"/>
      <c r="T2379" s="92"/>
      <c r="U2379" s="1214"/>
      <c r="V2379" s="1215"/>
      <c r="W2379" s="168"/>
      <c r="X2379" s="170"/>
    </row>
    <row r="2380" spans="1:24" ht="12.75" customHeight="1">
      <c r="A2380" s="15"/>
      <c r="B2380" s="92" t="str">
        <f t="shared" si="353"/>
        <v/>
      </c>
      <c r="C2380" s="90"/>
      <c r="D2380" s="87"/>
      <c r="E2380" s="88"/>
      <c r="F2380" s="173"/>
      <c r="G2380" s="88"/>
      <c r="H2380" s="88"/>
      <c r="I2380" s="88"/>
      <c r="J2380" s="88"/>
      <c r="K2380" s="230"/>
      <c r="L2380" s="88"/>
      <c r="M2380" s="88"/>
      <c r="N2380" s="88"/>
      <c r="O2380" s="88"/>
      <c r="P2380" s="88"/>
      <c r="Q2380" s="88"/>
      <c r="R2380" s="88"/>
      <c r="S2380" s="620"/>
      <c r="T2380" s="92"/>
      <c r="U2380" s="1214"/>
      <c r="V2380" s="1215"/>
      <c r="W2380" s="168"/>
      <c r="X2380" s="170"/>
    </row>
    <row r="2381" spans="1:24" ht="12.75" customHeight="1">
      <c r="A2381" s="15"/>
      <c r="B2381" s="92" t="str">
        <f t="shared" si="353"/>
        <v/>
      </c>
      <c r="C2381" s="90"/>
      <c r="D2381" s="87"/>
      <c r="E2381" s="88"/>
      <c r="F2381" s="173"/>
      <c r="G2381" s="88"/>
      <c r="H2381" s="88"/>
      <c r="I2381" s="88"/>
      <c r="J2381" s="88"/>
      <c r="K2381" s="230"/>
      <c r="L2381" s="88"/>
      <c r="M2381" s="88"/>
      <c r="N2381" s="88"/>
      <c r="O2381" s="88"/>
      <c r="P2381" s="88"/>
      <c r="Q2381" s="88"/>
      <c r="R2381" s="88"/>
      <c r="S2381" s="620"/>
      <c r="T2381" s="92"/>
      <c r="U2381" s="1214"/>
      <c r="V2381" s="1215"/>
      <c r="W2381" s="168"/>
      <c r="X2381" s="170"/>
    </row>
    <row r="2382" spans="1:24" ht="12.75" customHeight="1">
      <c r="A2382" s="15"/>
      <c r="B2382" s="92" t="str">
        <f t="shared" si="353"/>
        <v/>
      </c>
      <c r="C2382" s="90"/>
      <c r="D2382" s="87"/>
      <c r="E2382" s="88"/>
      <c r="F2382" s="173"/>
      <c r="G2382" s="88"/>
      <c r="H2382" s="88"/>
      <c r="I2382" s="88"/>
      <c r="J2382" s="88"/>
      <c r="K2382" s="230"/>
      <c r="L2382" s="88"/>
      <c r="M2382" s="88"/>
      <c r="N2382" s="88"/>
      <c r="O2382" s="88"/>
      <c r="P2382" s="88"/>
      <c r="Q2382" s="88"/>
      <c r="R2382" s="88"/>
      <c r="S2382" s="620"/>
      <c r="T2382" s="92"/>
      <c r="U2382" s="1214"/>
      <c r="V2382" s="1215"/>
      <c r="W2382" s="168"/>
      <c r="X2382" s="170"/>
    </row>
    <row r="2383" spans="1:24" ht="12.75" customHeight="1">
      <c r="A2383" s="15"/>
      <c r="B2383" s="92" t="str">
        <f t="shared" si="353"/>
        <v/>
      </c>
      <c r="C2383" s="90"/>
      <c r="D2383" s="87"/>
      <c r="E2383" s="88"/>
      <c r="F2383" s="173"/>
      <c r="G2383" s="88"/>
      <c r="H2383" s="88"/>
      <c r="I2383" s="88"/>
      <c r="J2383" s="88"/>
      <c r="K2383" s="230"/>
      <c r="L2383" s="88"/>
      <c r="M2383" s="88"/>
      <c r="N2383" s="88"/>
      <c r="O2383" s="88"/>
      <c r="P2383" s="88"/>
      <c r="Q2383" s="88"/>
      <c r="R2383" s="88"/>
      <c r="S2383" s="620"/>
      <c r="T2383" s="92"/>
      <c r="U2383" s="1214"/>
      <c r="V2383" s="1215"/>
      <c r="W2383" s="168"/>
      <c r="X2383" s="170"/>
    </row>
    <row r="2384" spans="1:24" ht="12.75" customHeight="1">
      <c r="A2384" s="15"/>
      <c r="B2384" s="92" t="str">
        <f t="shared" si="353"/>
        <v/>
      </c>
      <c r="C2384" s="90"/>
      <c r="D2384" s="87"/>
      <c r="E2384" s="88"/>
      <c r="F2384" s="173"/>
      <c r="G2384" s="88"/>
      <c r="H2384" s="88"/>
      <c r="I2384" s="88"/>
      <c r="J2384" s="88"/>
      <c r="K2384" s="230"/>
      <c r="L2384" s="88"/>
      <c r="M2384" s="88"/>
      <c r="N2384" s="88"/>
      <c r="O2384" s="88"/>
      <c r="P2384" s="88"/>
      <c r="Q2384" s="88"/>
      <c r="R2384" s="88"/>
      <c r="S2384" s="620"/>
      <c r="T2384" s="92"/>
      <c r="U2384" s="1214"/>
      <c r="V2384" s="1215"/>
      <c r="W2384" s="168"/>
      <c r="X2384" s="170"/>
    </row>
    <row r="2385" spans="1:24" ht="12.75" customHeight="1">
      <c r="A2385" s="15"/>
      <c r="B2385" s="92" t="str">
        <f t="shared" si="353"/>
        <v/>
      </c>
      <c r="C2385" s="90"/>
      <c r="D2385" s="87"/>
      <c r="E2385" s="88"/>
      <c r="F2385" s="173"/>
      <c r="G2385" s="88"/>
      <c r="H2385" s="88"/>
      <c r="I2385" s="88"/>
      <c r="J2385" s="88"/>
      <c r="K2385" s="230"/>
      <c r="L2385" s="88"/>
      <c r="M2385" s="88"/>
      <c r="N2385" s="88"/>
      <c r="O2385" s="88"/>
      <c r="P2385" s="88"/>
      <c r="Q2385" s="88"/>
      <c r="R2385" s="88"/>
      <c r="S2385" s="620"/>
      <c r="T2385" s="92"/>
      <c r="U2385" s="1214"/>
      <c r="V2385" s="1215"/>
      <c r="W2385" s="168"/>
      <c r="X2385" s="170"/>
    </row>
    <row r="2386" spans="1:24" ht="12.75" customHeight="1">
      <c r="A2386" s="15"/>
      <c r="B2386" s="92" t="str">
        <f t="shared" si="353"/>
        <v/>
      </c>
      <c r="C2386" s="90"/>
      <c r="D2386" s="87"/>
      <c r="E2386" s="88"/>
      <c r="F2386" s="173"/>
      <c r="G2386" s="88"/>
      <c r="H2386" s="88"/>
      <c r="I2386" s="88"/>
      <c r="J2386" s="88"/>
      <c r="K2386" s="230"/>
      <c r="L2386" s="88"/>
      <c r="M2386" s="88"/>
      <c r="N2386" s="88"/>
      <c r="O2386" s="88"/>
      <c r="P2386" s="88"/>
      <c r="Q2386" s="88"/>
      <c r="R2386" s="88"/>
      <c r="S2386" s="620"/>
      <c r="T2386" s="92"/>
      <c r="U2386" s="1214"/>
      <c r="V2386" s="1215"/>
      <c r="W2386" s="168"/>
      <c r="X2386" s="170"/>
    </row>
    <row r="2387" spans="1:24" ht="12.75" customHeight="1">
      <c r="A2387" s="15"/>
      <c r="B2387" s="92" t="str">
        <f t="shared" si="353"/>
        <v/>
      </c>
      <c r="C2387" s="90"/>
      <c r="D2387" s="87"/>
      <c r="E2387" s="88"/>
      <c r="F2387" s="173"/>
      <c r="G2387" s="88"/>
      <c r="H2387" s="88"/>
      <c r="I2387" s="88"/>
      <c r="J2387" s="88"/>
      <c r="K2387" s="230"/>
      <c r="L2387" s="88"/>
      <c r="M2387" s="88"/>
      <c r="N2387" s="88"/>
      <c r="O2387" s="88"/>
      <c r="P2387" s="88"/>
      <c r="Q2387" s="88"/>
      <c r="R2387" s="88"/>
      <c r="S2387" s="620"/>
      <c r="T2387" s="92"/>
      <c r="U2387" s="1214"/>
      <c r="V2387" s="1215"/>
      <c r="W2387" s="168"/>
      <c r="X2387" s="170"/>
    </row>
    <row r="2388" spans="1:24" ht="12.75" customHeight="1">
      <c r="A2388" s="15"/>
      <c r="B2388" s="92" t="str">
        <f t="shared" si="353"/>
        <v/>
      </c>
      <c r="C2388" s="90"/>
      <c r="D2388" s="87"/>
      <c r="E2388" s="88"/>
      <c r="F2388" s="173"/>
      <c r="G2388" s="88"/>
      <c r="H2388" s="88"/>
      <c r="I2388" s="88"/>
      <c r="J2388" s="88"/>
      <c r="K2388" s="230"/>
      <c r="L2388" s="88"/>
      <c r="M2388" s="88"/>
      <c r="N2388" s="88"/>
      <c r="O2388" s="88"/>
      <c r="P2388" s="88"/>
      <c r="Q2388" s="88"/>
      <c r="R2388" s="88"/>
      <c r="S2388" s="620"/>
      <c r="T2388" s="92"/>
      <c r="U2388" s="1214"/>
      <c r="V2388" s="1215"/>
      <c r="W2388" s="168"/>
      <c r="X2388" s="170"/>
    </row>
    <row r="2389" spans="1:24" ht="12.75" customHeight="1">
      <c r="A2389" s="15"/>
      <c r="B2389" s="92" t="str">
        <f t="shared" si="353"/>
        <v/>
      </c>
      <c r="C2389" s="90"/>
      <c r="D2389" s="87"/>
      <c r="E2389" s="88"/>
      <c r="F2389" s="173"/>
      <c r="G2389" s="88"/>
      <c r="H2389" s="88"/>
      <c r="I2389" s="88"/>
      <c r="J2389" s="88"/>
      <c r="K2389" s="230"/>
      <c r="L2389" s="88"/>
      <c r="M2389" s="88"/>
      <c r="N2389" s="88"/>
      <c r="O2389" s="88"/>
      <c r="P2389" s="88"/>
      <c r="Q2389" s="88"/>
      <c r="R2389" s="88"/>
      <c r="S2389" s="620"/>
      <c r="T2389" s="92"/>
      <c r="U2389" s="1214"/>
      <c r="V2389" s="1215"/>
      <c r="W2389" s="168"/>
      <c r="X2389" s="170"/>
    </row>
    <row r="2390" spans="1:24" ht="12.75" customHeight="1">
      <c r="A2390" s="15"/>
      <c r="B2390" s="92" t="str">
        <f t="shared" si="353"/>
        <v/>
      </c>
      <c r="C2390" s="90"/>
      <c r="D2390" s="87"/>
      <c r="E2390" s="88"/>
      <c r="F2390" s="173"/>
      <c r="G2390" s="88"/>
      <c r="H2390" s="88"/>
      <c r="I2390" s="88"/>
      <c r="J2390" s="88"/>
      <c r="K2390" s="230"/>
      <c r="L2390" s="88"/>
      <c r="M2390" s="88"/>
      <c r="N2390" s="88"/>
      <c r="O2390" s="88"/>
      <c r="P2390" s="88"/>
      <c r="Q2390" s="88"/>
      <c r="R2390" s="88"/>
      <c r="S2390" s="620"/>
      <c r="T2390" s="92"/>
      <c r="U2390" s="1214"/>
      <c r="V2390" s="1215"/>
      <c r="W2390" s="168"/>
      <c r="X2390" s="170"/>
    </row>
    <row r="2391" spans="1:24" ht="12.75" customHeight="1">
      <c r="A2391" s="15"/>
      <c r="B2391" s="92" t="str">
        <f t="shared" si="353"/>
        <v/>
      </c>
      <c r="C2391" s="90"/>
      <c r="D2391" s="87"/>
      <c r="E2391" s="88"/>
      <c r="F2391" s="173"/>
      <c r="G2391" s="88"/>
      <c r="H2391" s="88"/>
      <c r="I2391" s="88"/>
      <c r="J2391" s="88"/>
      <c r="K2391" s="230"/>
      <c r="L2391" s="88"/>
      <c r="M2391" s="88"/>
      <c r="N2391" s="88"/>
      <c r="O2391" s="88"/>
      <c r="P2391" s="88"/>
      <c r="Q2391" s="88"/>
      <c r="R2391" s="88"/>
      <c r="S2391" s="620"/>
      <c r="T2391" s="92"/>
      <c r="U2391" s="1214"/>
      <c r="V2391" s="1215"/>
      <c r="W2391" s="168"/>
      <c r="X2391" s="170"/>
    </row>
    <row r="2392" spans="1:24" ht="12.75" customHeight="1">
      <c r="A2392" s="15"/>
      <c r="B2392" s="92" t="str">
        <f t="shared" si="353"/>
        <v/>
      </c>
      <c r="C2392" s="90"/>
      <c r="D2392" s="87"/>
      <c r="E2392" s="88"/>
      <c r="F2392" s="173"/>
      <c r="G2392" s="88"/>
      <c r="H2392" s="88"/>
      <c r="I2392" s="88"/>
      <c r="J2392" s="88"/>
      <c r="K2392" s="230"/>
      <c r="L2392" s="88"/>
      <c r="M2392" s="88"/>
      <c r="N2392" s="88"/>
      <c r="O2392" s="88"/>
      <c r="P2392" s="88"/>
      <c r="Q2392" s="88"/>
      <c r="R2392" s="88"/>
      <c r="S2392" s="620"/>
      <c r="T2392" s="92"/>
      <c r="U2392" s="1214"/>
      <c r="V2392" s="1215"/>
      <c r="W2392" s="168"/>
      <c r="X2392" s="170"/>
    </row>
    <row r="2393" spans="1:24" ht="12.75" customHeight="1">
      <c r="A2393" s="15"/>
      <c r="B2393" s="92" t="str">
        <f t="shared" si="353"/>
        <v/>
      </c>
      <c r="C2393" s="90"/>
      <c r="D2393" s="87"/>
      <c r="E2393" s="88"/>
      <c r="F2393" s="173"/>
      <c r="G2393" s="88"/>
      <c r="H2393" s="88"/>
      <c r="I2393" s="88"/>
      <c r="J2393" s="88"/>
      <c r="K2393" s="230"/>
      <c r="L2393" s="88"/>
      <c r="M2393" s="88"/>
      <c r="N2393" s="88"/>
      <c r="O2393" s="88"/>
      <c r="P2393" s="88"/>
      <c r="Q2393" s="88"/>
      <c r="R2393" s="88"/>
      <c r="S2393" s="620"/>
      <c r="T2393" s="92"/>
      <c r="U2393" s="1214"/>
      <c r="V2393" s="1215"/>
      <c r="W2393" s="168"/>
      <c r="X2393" s="170"/>
    </row>
    <row r="2394" spans="1:24" ht="12.75" customHeight="1">
      <c r="A2394" s="15"/>
      <c r="B2394" s="92" t="str">
        <f t="shared" si="353"/>
        <v/>
      </c>
      <c r="C2394" s="90"/>
      <c r="D2394" s="87"/>
      <c r="E2394" s="88"/>
      <c r="F2394" s="173"/>
      <c r="G2394" s="88"/>
      <c r="H2394" s="88"/>
      <c r="I2394" s="88"/>
      <c r="J2394" s="88"/>
      <c r="K2394" s="230"/>
      <c r="L2394" s="88"/>
      <c r="M2394" s="88"/>
      <c r="N2394" s="88"/>
      <c r="O2394" s="88"/>
      <c r="P2394" s="88"/>
      <c r="Q2394" s="88"/>
      <c r="R2394" s="88"/>
      <c r="S2394" s="620"/>
      <c r="T2394" s="92"/>
      <c r="U2394" s="1214"/>
      <c r="V2394" s="1215"/>
      <c r="W2394" s="168"/>
      <c r="X2394" s="170"/>
    </row>
    <row r="2395" spans="1:24" ht="12.75" customHeight="1">
      <c r="A2395" s="15"/>
      <c r="B2395" s="92" t="str">
        <f t="shared" si="353"/>
        <v/>
      </c>
      <c r="C2395" s="90"/>
      <c r="D2395" s="87"/>
      <c r="E2395" s="88"/>
      <c r="F2395" s="173"/>
      <c r="G2395" s="88"/>
      <c r="H2395" s="88"/>
      <c r="I2395" s="88"/>
      <c r="J2395" s="88"/>
      <c r="K2395" s="230"/>
      <c r="L2395" s="88"/>
      <c r="M2395" s="88"/>
      <c r="N2395" s="88"/>
      <c r="O2395" s="88"/>
      <c r="P2395" s="88"/>
      <c r="Q2395" s="88"/>
      <c r="R2395" s="88"/>
      <c r="S2395" s="620"/>
      <c r="T2395" s="92"/>
      <c r="U2395" s="1214"/>
      <c r="V2395" s="1215"/>
      <c r="W2395" s="168"/>
      <c r="X2395" s="170"/>
    </row>
    <row r="2396" spans="1:24" ht="12.75" customHeight="1">
      <c r="A2396" s="15"/>
      <c r="B2396" s="92" t="str">
        <f t="shared" si="353"/>
        <v/>
      </c>
      <c r="C2396" s="90"/>
      <c r="D2396" s="87"/>
      <c r="E2396" s="88"/>
      <c r="F2396" s="173"/>
      <c r="G2396" s="88"/>
      <c r="H2396" s="88"/>
      <c r="I2396" s="88"/>
      <c r="J2396" s="88"/>
      <c r="K2396" s="230"/>
      <c r="L2396" s="88"/>
      <c r="M2396" s="88"/>
      <c r="N2396" s="88"/>
      <c r="O2396" s="88"/>
      <c r="P2396" s="88"/>
      <c r="Q2396" s="88"/>
      <c r="R2396" s="88"/>
      <c r="S2396" s="620"/>
      <c r="T2396" s="92"/>
      <c r="U2396" s="1214"/>
      <c r="V2396" s="1215"/>
      <c r="W2396" s="168"/>
      <c r="X2396" s="170"/>
    </row>
    <row r="2397" spans="1:24" ht="12.75" customHeight="1">
      <c r="A2397" s="15"/>
      <c r="B2397" s="92" t="str">
        <f t="shared" si="353"/>
        <v/>
      </c>
      <c r="C2397" s="90"/>
      <c r="D2397" s="87"/>
      <c r="E2397" s="88"/>
      <c r="F2397" s="173"/>
      <c r="G2397" s="88"/>
      <c r="H2397" s="88"/>
      <c r="I2397" s="88"/>
      <c r="J2397" s="88"/>
      <c r="K2397" s="230"/>
      <c r="L2397" s="88"/>
      <c r="M2397" s="88"/>
      <c r="N2397" s="88"/>
      <c r="O2397" s="88"/>
      <c r="P2397" s="88"/>
      <c r="Q2397" s="88"/>
      <c r="R2397" s="88"/>
      <c r="S2397" s="620"/>
      <c r="T2397" s="92"/>
      <c r="U2397" s="1214"/>
      <c r="V2397" s="1215"/>
      <c r="W2397" s="168"/>
      <c r="X2397" s="170"/>
    </row>
    <row r="2398" spans="1:24" ht="12.75" customHeight="1">
      <c r="A2398" s="15"/>
      <c r="B2398" s="92" t="str">
        <f t="shared" si="353"/>
        <v/>
      </c>
      <c r="C2398" s="90"/>
      <c r="D2398" s="87"/>
      <c r="E2398" s="88"/>
      <c r="F2398" s="173"/>
      <c r="G2398" s="88"/>
      <c r="H2398" s="88"/>
      <c r="I2398" s="88"/>
      <c r="J2398" s="88"/>
      <c r="K2398" s="230"/>
      <c r="L2398" s="88"/>
      <c r="M2398" s="88"/>
      <c r="N2398" s="88"/>
      <c r="O2398" s="88"/>
      <c r="P2398" s="88"/>
      <c r="Q2398" s="88"/>
      <c r="R2398" s="88"/>
      <c r="S2398" s="620"/>
      <c r="T2398" s="92"/>
      <c r="U2398" s="1214"/>
      <c r="V2398" s="1215"/>
      <c r="W2398" s="168"/>
      <c r="X2398" s="170"/>
    </row>
    <row r="2399" spans="1:24" ht="12.75" customHeight="1">
      <c r="A2399" s="15"/>
      <c r="B2399" s="92" t="str">
        <f t="shared" si="353"/>
        <v/>
      </c>
      <c r="C2399" s="90"/>
      <c r="D2399" s="87"/>
      <c r="E2399" s="88"/>
      <c r="F2399" s="173"/>
      <c r="G2399" s="88"/>
      <c r="H2399" s="88"/>
      <c r="I2399" s="88"/>
      <c r="J2399" s="88"/>
      <c r="K2399" s="230"/>
      <c r="L2399" s="88"/>
      <c r="M2399" s="88"/>
      <c r="N2399" s="88"/>
      <c r="O2399" s="88"/>
      <c r="P2399" s="88"/>
      <c r="Q2399" s="88"/>
      <c r="R2399" s="88"/>
      <c r="S2399" s="620"/>
      <c r="T2399" s="92"/>
      <c r="U2399" s="1214"/>
      <c r="V2399" s="1215"/>
      <c r="W2399" s="168"/>
      <c r="X2399" s="170"/>
    </row>
    <row r="2400" spans="1:24" ht="12.75" customHeight="1">
      <c r="A2400" s="15"/>
      <c r="B2400" s="92" t="str">
        <f t="shared" si="353"/>
        <v/>
      </c>
      <c r="C2400" s="90"/>
      <c r="D2400" s="87"/>
      <c r="E2400" s="88"/>
      <c r="F2400" s="173"/>
      <c r="G2400" s="88"/>
      <c r="H2400" s="88"/>
      <c r="I2400" s="88"/>
      <c r="J2400" s="88"/>
      <c r="K2400" s="230"/>
      <c r="L2400" s="88"/>
      <c r="M2400" s="88"/>
      <c r="N2400" s="88"/>
      <c r="O2400" s="88"/>
      <c r="P2400" s="88"/>
      <c r="Q2400" s="88"/>
      <c r="R2400" s="88"/>
      <c r="S2400" s="620"/>
      <c r="T2400" s="92"/>
      <c r="U2400" s="1214"/>
      <c r="V2400" s="1215"/>
      <c r="W2400" s="168"/>
      <c r="X2400" s="170"/>
    </row>
    <row r="2401" spans="1:24" ht="12.75" customHeight="1">
      <c r="A2401" s="15"/>
      <c r="B2401" s="92" t="str">
        <f t="shared" si="353"/>
        <v/>
      </c>
      <c r="C2401" s="90"/>
      <c r="D2401" s="87"/>
      <c r="E2401" s="88"/>
      <c r="F2401" s="173"/>
      <c r="G2401" s="88"/>
      <c r="H2401" s="88"/>
      <c r="I2401" s="88"/>
      <c r="J2401" s="88"/>
      <c r="K2401" s="230"/>
      <c r="L2401" s="88"/>
      <c r="M2401" s="88"/>
      <c r="N2401" s="88"/>
      <c r="O2401" s="88"/>
      <c r="P2401" s="88"/>
      <c r="Q2401" s="88"/>
      <c r="R2401" s="88"/>
      <c r="S2401" s="620"/>
      <c r="T2401" s="92"/>
      <c r="U2401" s="1214"/>
      <c r="V2401" s="1215"/>
      <c r="W2401" s="168"/>
      <c r="X2401" s="170"/>
    </row>
    <row r="2402" spans="1:24" ht="12.75" customHeight="1">
      <c r="A2402" s="15"/>
      <c r="B2402" s="92" t="str">
        <f t="shared" si="353"/>
        <v/>
      </c>
      <c r="C2402" s="90"/>
      <c r="D2402" s="87"/>
      <c r="E2402" s="88"/>
      <c r="F2402" s="173"/>
      <c r="G2402" s="88"/>
      <c r="H2402" s="88"/>
      <c r="I2402" s="88"/>
      <c r="J2402" s="88"/>
      <c r="K2402" s="230"/>
      <c r="L2402" s="88"/>
      <c r="M2402" s="88"/>
      <c r="N2402" s="88"/>
      <c r="O2402" s="88"/>
      <c r="P2402" s="88"/>
      <c r="Q2402" s="88"/>
      <c r="R2402" s="88"/>
      <c r="S2402" s="620"/>
      <c r="T2402" s="92"/>
      <c r="U2402" s="1214"/>
      <c r="V2402" s="1215"/>
      <c r="W2402" s="168"/>
      <c r="X2402" s="170"/>
    </row>
    <row r="2403" spans="1:24" ht="12.75" customHeight="1">
      <c r="A2403" s="15"/>
      <c r="B2403" s="92" t="str">
        <f t="shared" si="353"/>
        <v/>
      </c>
      <c r="C2403" s="90"/>
      <c r="D2403" s="87"/>
      <c r="E2403" s="88"/>
      <c r="F2403" s="173"/>
      <c r="G2403" s="88"/>
      <c r="H2403" s="88"/>
      <c r="I2403" s="88"/>
      <c r="J2403" s="88"/>
      <c r="K2403" s="230"/>
      <c r="L2403" s="88"/>
      <c r="M2403" s="88"/>
      <c r="N2403" s="88"/>
      <c r="O2403" s="88"/>
      <c r="P2403" s="88"/>
      <c r="Q2403" s="88"/>
      <c r="R2403" s="88"/>
      <c r="S2403" s="620"/>
      <c r="T2403" s="92"/>
      <c r="U2403" s="1214"/>
      <c r="V2403" s="1215"/>
      <c r="W2403" s="168"/>
      <c r="X2403" s="170"/>
    </row>
    <row r="2404" spans="1:24" ht="12.75" customHeight="1">
      <c r="A2404" s="15"/>
      <c r="B2404" s="92" t="str">
        <f t="shared" si="353"/>
        <v/>
      </c>
      <c r="C2404" s="90"/>
      <c r="D2404" s="87"/>
      <c r="E2404" s="88"/>
      <c r="F2404" s="173"/>
      <c r="G2404" s="88"/>
      <c r="H2404" s="88"/>
      <c r="I2404" s="88"/>
      <c r="J2404" s="88"/>
      <c r="K2404" s="230"/>
      <c r="L2404" s="88"/>
      <c r="M2404" s="88"/>
      <c r="N2404" s="88"/>
      <c r="O2404" s="88"/>
      <c r="P2404" s="88"/>
      <c r="Q2404" s="88"/>
      <c r="R2404" s="88"/>
      <c r="S2404" s="620"/>
      <c r="T2404" s="92"/>
      <c r="U2404" s="1214"/>
      <c r="V2404" s="1215"/>
      <c r="W2404" s="168"/>
      <c r="X2404" s="170"/>
    </row>
    <row r="2405" spans="1:24" ht="12.75" customHeight="1">
      <c r="A2405" s="15"/>
      <c r="B2405" s="92" t="str">
        <f t="shared" si="353"/>
        <v/>
      </c>
      <c r="C2405" s="90"/>
      <c r="D2405" s="87"/>
      <c r="E2405" s="88"/>
      <c r="F2405" s="173"/>
      <c r="G2405" s="88"/>
      <c r="H2405" s="88"/>
      <c r="I2405" s="88"/>
      <c r="J2405" s="88"/>
      <c r="K2405" s="230"/>
      <c r="L2405" s="88"/>
      <c r="M2405" s="88"/>
      <c r="N2405" s="88"/>
      <c r="O2405" s="88"/>
      <c r="P2405" s="88"/>
      <c r="Q2405" s="88"/>
      <c r="R2405" s="88"/>
      <c r="S2405" s="620"/>
      <c r="T2405" s="92"/>
      <c r="U2405" s="1214"/>
      <c r="V2405" s="1215"/>
      <c r="W2405" s="168"/>
      <c r="X2405" s="170"/>
    </row>
    <row r="2406" spans="1:24" ht="12.75" customHeight="1">
      <c r="A2406" s="15"/>
      <c r="B2406" s="92" t="str">
        <f t="shared" si="353"/>
        <v/>
      </c>
      <c r="C2406" s="90"/>
      <c r="D2406" s="87"/>
      <c r="E2406" s="88"/>
      <c r="F2406" s="173"/>
      <c r="G2406" s="88"/>
      <c r="H2406" s="88"/>
      <c r="I2406" s="88"/>
      <c r="J2406" s="88"/>
      <c r="K2406" s="230"/>
      <c r="L2406" s="88"/>
      <c r="M2406" s="88"/>
      <c r="N2406" s="88"/>
      <c r="O2406" s="88"/>
      <c r="P2406" s="88"/>
      <c r="Q2406" s="88"/>
      <c r="R2406" s="88"/>
      <c r="S2406" s="620"/>
      <c r="T2406" s="92"/>
      <c r="U2406" s="1214"/>
      <c r="V2406" s="1215"/>
      <c r="W2406" s="168"/>
      <c r="X2406" s="170"/>
    </row>
    <row r="2407" spans="1:24" ht="12.75" customHeight="1">
      <c r="A2407" s="15"/>
      <c r="B2407" s="92" t="str">
        <f t="shared" si="353"/>
        <v/>
      </c>
      <c r="C2407" s="90"/>
      <c r="D2407" s="87"/>
      <c r="E2407" s="88"/>
      <c r="F2407" s="173"/>
      <c r="G2407" s="88"/>
      <c r="H2407" s="88"/>
      <c r="I2407" s="88"/>
      <c r="J2407" s="88"/>
      <c r="K2407" s="230"/>
      <c r="L2407" s="88"/>
      <c r="M2407" s="88"/>
      <c r="N2407" s="88"/>
      <c r="O2407" s="88"/>
      <c r="P2407" s="88"/>
      <c r="Q2407" s="88"/>
      <c r="R2407" s="88"/>
      <c r="S2407" s="620"/>
      <c r="T2407" s="92"/>
      <c r="U2407" s="1214"/>
      <c r="V2407" s="1215"/>
      <c r="W2407" s="168"/>
      <c r="X2407" s="170"/>
    </row>
    <row r="2408" spans="1:24" ht="12.75" customHeight="1">
      <c r="A2408" s="15"/>
      <c r="B2408" s="92" t="str">
        <f t="shared" si="353"/>
        <v/>
      </c>
      <c r="C2408" s="90"/>
      <c r="D2408" s="87"/>
      <c r="E2408" s="88"/>
      <c r="F2408" s="173"/>
      <c r="G2408" s="88"/>
      <c r="H2408" s="88"/>
      <c r="I2408" s="88"/>
      <c r="J2408" s="88"/>
      <c r="K2408" s="230"/>
      <c r="L2408" s="88"/>
      <c r="M2408" s="88"/>
      <c r="N2408" s="88"/>
      <c r="O2408" s="88"/>
      <c r="P2408" s="88"/>
      <c r="Q2408" s="88"/>
      <c r="R2408" s="88"/>
      <c r="S2408" s="620"/>
      <c r="T2408" s="92"/>
      <c r="U2408" s="1214"/>
      <c r="V2408" s="1215"/>
      <c r="W2408" s="168"/>
      <c r="X2408" s="170"/>
    </row>
    <row r="2409" spans="1:24" ht="12.75" customHeight="1">
      <c r="A2409" s="15"/>
      <c r="B2409" s="92" t="str">
        <f t="shared" si="353"/>
        <v/>
      </c>
      <c r="C2409" s="90"/>
      <c r="D2409" s="87"/>
      <c r="E2409" s="88"/>
      <c r="F2409" s="173"/>
      <c r="G2409" s="88"/>
      <c r="H2409" s="88"/>
      <c r="I2409" s="88"/>
      <c r="J2409" s="88"/>
      <c r="K2409" s="230"/>
      <c r="L2409" s="88"/>
      <c r="M2409" s="88"/>
      <c r="N2409" s="88"/>
      <c r="O2409" s="88"/>
      <c r="P2409" s="88"/>
      <c r="Q2409" s="88"/>
      <c r="R2409" s="88"/>
      <c r="S2409" s="620"/>
      <c r="T2409" s="92"/>
      <c r="U2409" s="1214"/>
      <c r="V2409" s="1215"/>
      <c r="W2409" s="168"/>
      <c r="X2409" s="170"/>
    </row>
    <row r="2410" spans="1:24" ht="12.75" customHeight="1">
      <c r="A2410" s="15"/>
      <c r="B2410" s="92" t="str">
        <f t="shared" si="353"/>
        <v/>
      </c>
      <c r="C2410" s="90"/>
      <c r="D2410" s="87"/>
      <c r="E2410" s="88"/>
      <c r="F2410" s="173"/>
      <c r="G2410" s="88"/>
      <c r="H2410" s="88"/>
      <c r="I2410" s="88"/>
      <c r="J2410" s="88"/>
      <c r="K2410" s="230"/>
      <c r="L2410" s="88"/>
      <c r="M2410" s="88"/>
      <c r="N2410" s="88"/>
      <c r="O2410" s="88"/>
      <c r="P2410" s="88"/>
      <c r="Q2410" s="88"/>
      <c r="R2410" s="88"/>
      <c r="S2410" s="620"/>
      <c r="T2410" s="92"/>
      <c r="U2410" s="1214"/>
      <c r="V2410" s="1215"/>
      <c r="W2410" s="168"/>
      <c r="X2410" s="170"/>
    </row>
    <row r="2411" spans="1:24" ht="12.75" customHeight="1">
      <c r="A2411" s="15"/>
      <c r="B2411" s="92" t="str">
        <f t="shared" si="353"/>
        <v/>
      </c>
      <c r="C2411" s="90"/>
      <c r="D2411" s="87"/>
      <c r="E2411" s="88"/>
      <c r="F2411" s="173"/>
      <c r="G2411" s="88"/>
      <c r="H2411" s="88"/>
      <c r="I2411" s="88"/>
      <c r="J2411" s="88"/>
      <c r="K2411" s="230"/>
      <c r="L2411" s="88"/>
      <c r="M2411" s="88"/>
      <c r="N2411" s="88"/>
      <c r="O2411" s="88"/>
      <c r="P2411" s="88"/>
      <c r="Q2411" s="88"/>
      <c r="R2411" s="88"/>
      <c r="S2411" s="620"/>
      <c r="T2411" s="92"/>
      <c r="U2411" s="1214"/>
      <c r="V2411" s="1215"/>
      <c r="W2411" s="168"/>
      <c r="X2411" s="170"/>
    </row>
    <row r="2412" spans="1:24" ht="12.75" customHeight="1">
      <c r="A2412" s="15"/>
      <c r="B2412" s="92" t="str">
        <f t="shared" si="353"/>
        <v/>
      </c>
      <c r="C2412" s="90"/>
      <c r="D2412" s="87"/>
      <c r="E2412" s="88"/>
      <c r="F2412" s="173"/>
      <c r="G2412" s="88"/>
      <c r="H2412" s="88"/>
      <c r="I2412" s="88"/>
      <c r="J2412" s="88"/>
      <c r="K2412" s="230"/>
      <c r="L2412" s="88"/>
      <c r="M2412" s="88"/>
      <c r="N2412" s="88"/>
      <c r="O2412" s="88"/>
      <c r="P2412" s="88"/>
      <c r="Q2412" s="88"/>
      <c r="R2412" s="88"/>
      <c r="S2412" s="620"/>
      <c r="T2412" s="92"/>
      <c r="U2412" s="1214"/>
      <c r="V2412" s="1215"/>
      <c r="W2412" s="168"/>
      <c r="X2412" s="170"/>
    </row>
    <row r="2413" spans="1:24" ht="12.75" customHeight="1">
      <c r="A2413" s="15"/>
      <c r="B2413" s="92" t="str">
        <f t="shared" si="353"/>
        <v/>
      </c>
      <c r="C2413" s="90"/>
      <c r="D2413" s="87"/>
      <c r="E2413" s="88"/>
      <c r="F2413" s="173"/>
      <c r="G2413" s="88"/>
      <c r="H2413" s="88"/>
      <c r="I2413" s="88"/>
      <c r="J2413" s="88"/>
      <c r="K2413" s="230"/>
      <c r="L2413" s="88"/>
      <c r="M2413" s="88"/>
      <c r="N2413" s="88"/>
      <c r="O2413" s="88"/>
      <c r="P2413" s="88"/>
      <c r="Q2413" s="88"/>
      <c r="R2413" s="88"/>
      <c r="S2413" s="620"/>
      <c r="T2413" s="92"/>
      <c r="U2413" s="1214"/>
      <c r="V2413" s="1215"/>
      <c r="W2413" s="168"/>
      <c r="X2413" s="170"/>
    </row>
    <row r="2414" spans="1:24" ht="12.75" customHeight="1">
      <c r="A2414" s="15"/>
      <c r="B2414" s="92" t="str">
        <f t="shared" si="353"/>
        <v/>
      </c>
      <c r="C2414" s="90"/>
      <c r="D2414" s="87"/>
      <c r="E2414" s="88"/>
      <c r="F2414" s="173"/>
      <c r="G2414" s="88"/>
      <c r="H2414" s="88"/>
      <c r="I2414" s="88"/>
      <c r="J2414" s="88"/>
      <c r="K2414" s="230"/>
      <c r="L2414" s="88"/>
      <c r="M2414" s="88"/>
      <c r="N2414" s="88"/>
      <c r="O2414" s="88"/>
      <c r="P2414" s="88"/>
      <c r="Q2414" s="88"/>
      <c r="R2414" s="88"/>
      <c r="S2414" s="620"/>
      <c r="T2414" s="92"/>
      <c r="U2414" s="1214"/>
      <c r="V2414" s="1215"/>
      <c r="W2414" s="168"/>
      <c r="X2414" s="170"/>
    </row>
    <row r="2415" spans="1:24" ht="12.75" customHeight="1">
      <c r="A2415" s="15"/>
      <c r="B2415" s="92" t="str">
        <f t="shared" ref="B2415:B2478" si="354">IF(C2415="","",ROW()-5)</f>
        <v/>
      </c>
      <c r="C2415" s="90"/>
      <c r="D2415" s="87"/>
      <c r="E2415" s="88"/>
      <c r="F2415" s="173"/>
      <c r="G2415" s="88"/>
      <c r="H2415" s="88"/>
      <c r="I2415" s="88"/>
      <c r="J2415" s="88"/>
      <c r="K2415" s="230"/>
      <c r="L2415" s="88"/>
      <c r="M2415" s="88"/>
      <c r="N2415" s="88"/>
      <c r="O2415" s="88"/>
      <c r="P2415" s="88"/>
      <c r="Q2415" s="88"/>
      <c r="R2415" s="88"/>
      <c r="S2415" s="620"/>
      <c r="T2415" s="92"/>
      <c r="U2415" s="1214"/>
      <c r="V2415" s="1215"/>
      <c r="W2415" s="168"/>
      <c r="X2415" s="170"/>
    </row>
    <row r="2416" spans="1:24" ht="12.75" customHeight="1">
      <c r="A2416" s="15"/>
      <c r="B2416" s="92" t="str">
        <f t="shared" si="354"/>
        <v/>
      </c>
      <c r="C2416" s="90"/>
      <c r="D2416" s="87"/>
      <c r="E2416" s="88"/>
      <c r="F2416" s="173"/>
      <c r="G2416" s="88"/>
      <c r="H2416" s="88"/>
      <c r="I2416" s="88"/>
      <c r="J2416" s="88"/>
      <c r="K2416" s="230"/>
      <c r="L2416" s="88"/>
      <c r="M2416" s="88"/>
      <c r="N2416" s="88"/>
      <c r="O2416" s="88"/>
      <c r="P2416" s="88"/>
      <c r="Q2416" s="88"/>
      <c r="R2416" s="88"/>
      <c r="S2416" s="620"/>
      <c r="T2416" s="92"/>
      <c r="U2416" s="1214"/>
      <c r="V2416" s="1215"/>
      <c r="W2416" s="168"/>
      <c r="X2416" s="170"/>
    </row>
    <row r="2417" spans="1:24" ht="12.75" customHeight="1">
      <c r="A2417" s="15"/>
      <c r="B2417" s="92" t="str">
        <f t="shared" si="354"/>
        <v/>
      </c>
      <c r="C2417" s="90"/>
      <c r="D2417" s="87"/>
      <c r="E2417" s="88"/>
      <c r="F2417" s="173"/>
      <c r="G2417" s="88"/>
      <c r="H2417" s="88"/>
      <c r="I2417" s="88"/>
      <c r="J2417" s="88"/>
      <c r="K2417" s="230"/>
      <c r="L2417" s="88"/>
      <c r="M2417" s="88"/>
      <c r="N2417" s="88"/>
      <c r="O2417" s="88"/>
      <c r="P2417" s="88"/>
      <c r="Q2417" s="88"/>
      <c r="R2417" s="88"/>
      <c r="S2417" s="620"/>
      <c r="T2417" s="92"/>
      <c r="U2417" s="1214"/>
      <c r="V2417" s="1215"/>
      <c r="W2417" s="168"/>
      <c r="X2417" s="170"/>
    </row>
    <row r="2418" spans="1:24" ht="12.75" customHeight="1">
      <c r="A2418" s="15"/>
      <c r="B2418" s="92" t="str">
        <f t="shared" si="354"/>
        <v/>
      </c>
      <c r="C2418" s="90"/>
      <c r="D2418" s="87"/>
      <c r="E2418" s="88"/>
      <c r="F2418" s="173"/>
      <c r="G2418" s="88"/>
      <c r="H2418" s="88"/>
      <c r="I2418" s="88"/>
      <c r="J2418" s="88"/>
      <c r="K2418" s="230"/>
      <c r="L2418" s="88"/>
      <c r="M2418" s="88"/>
      <c r="N2418" s="88"/>
      <c r="O2418" s="88"/>
      <c r="P2418" s="88"/>
      <c r="Q2418" s="88"/>
      <c r="R2418" s="88"/>
      <c r="S2418" s="620"/>
      <c r="T2418" s="92"/>
      <c r="U2418" s="1214"/>
      <c r="V2418" s="1215"/>
      <c r="W2418" s="168"/>
      <c r="X2418" s="170"/>
    </row>
    <row r="2419" spans="1:24" ht="12.75" customHeight="1">
      <c r="A2419" s="15"/>
      <c r="B2419" s="92" t="str">
        <f t="shared" si="354"/>
        <v/>
      </c>
      <c r="C2419" s="90"/>
      <c r="D2419" s="87"/>
      <c r="E2419" s="88"/>
      <c r="F2419" s="173"/>
      <c r="G2419" s="88"/>
      <c r="H2419" s="88"/>
      <c r="I2419" s="88"/>
      <c r="J2419" s="88"/>
      <c r="K2419" s="230"/>
      <c r="L2419" s="88"/>
      <c r="M2419" s="88"/>
      <c r="N2419" s="88"/>
      <c r="O2419" s="88"/>
      <c r="P2419" s="88"/>
      <c r="Q2419" s="88"/>
      <c r="R2419" s="88"/>
      <c r="S2419" s="620"/>
      <c r="T2419" s="92"/>
      <c r="U2419" s="1214"/>
      <c r="V2419" s="1215"/>
      <c r="W2419" s="168"/>
      <c r="X2419" s="170"/>
    </row>
    <row r="2420" spans="1:24" ht="12.75" customHeight="1">
      <c r="A2420" s="15"/>
      <c r="B2420" s="92" t="str">
        <f t="shared" si="354"/>
        <v/>
      </c>
      <c r="C2420" s="90"/>
      <c r="D2420" s="87"/>
      <c r="E2420" s="88"/>
      <c r="F2420" s="173"/>
      <c r="G2420" s="88"/>
      <c r="H2420" s="88"/>
      <c r="I2420" s="88"/>
      <c r="J2420" s="88"/>
      <c r="K2420" s="230"/>
      <c r="L2420" s="88"/>
      <c r="M2420" s="88"/>
      <c r="N2420" s="88"/>
      <c r="O2420" s="88"/>
      <c r="P2420" s="88"/>
      <c r="Q2420" s="88"/>
      <c r="R2420" s="88"/>
      <c r="S2420" s="620"/>
      <c r="T2420" s="92"/>
      <c r="U2420" s="1214"/>
      <c r="V2420" s="1215"/>
      <c r="W2420" s="168"/>
      <c r="X2420" s="170"/>
    </row>
    <row r="2421" spans="1:24" ht="12.75" customHeight="1">
      <c r="A2421" s="15"/>
      <c r="B2421" s="92" t="str">
        <f t="shared" si="354"/>
        <v/>
      </c>
      <c r="C2421" s="90"/>
      <c r="D2421" s="87"/>
      <c r="E2421" s="88"/>
      <c r="F2421" s="173"/>
      <c r="G2421" s="88"/>
      <c r="H2421" s="88"/>
      <c r="I2421" s="88"/>
      <c r="J2421" s="88"/>
      <c r="K2421" s="230"/>
      <c r="L2421" s="88"/>
      <c r="M2421" s="88"/>
      <c r="N2421" s="88"/>
      <c r="O2421" s="88"/>
      <c r="P2421" s="88"/>
      <c r="Q2421" s="88"/>
      <c r="R2421" s="88"/>
      <c r="S2421" s="620"/>
      <c r="T2421" s="92"/>
      <c r="U2421" s="1214"/>
      <c r="V2421" s="1215"/>
      <c r="W2421" s="168"/>
      <c r="X2421" s="170"/>
    </row>
    <row r="2422" spans="1:24" ht="12.75" customHeight="1">
      <c r="A2422" s="15"/>
      <c r="B2422" s="92" t="str">
        <f t="shared" si="354"/>
        <v/>
      </c>
      <c r="C2422" s="90"/>
      <c r="D2422" s="87"/>
      <c r="E2422" s="88"/>
      <c r="F2422" s="173"/>
      <c r="G2422" s="88"/>
      <c r="H2422" s="88"/>
      <c r="I2422" s="88"/>
      <c r="J2422" s="88"/>
      <c r="K2422" s="230"/>
      <c r="L2422" s="88"/>
      <c r="M2422" s="88"/>
      <c r="N2422" s="88"/>
      <c r="O2422" s="88"/>
      <c r="P2422" s="88"/>
      <c r="Q2422" s="88"/>
      <c r="R2422" s="88"/>
      <c r="S2422" s="620"/>
      <c r="T2422" s="92"/>
      <c r="U2422" s="1214"/>
      <c r="V2422" s="1215"/>
      <c r="W2422" s="168"/>
      <c r="X2422" s="170"/>
    </row>
    <row r="2423" spans="1:24" ht="12.75" customHeight="1">
      <c r="A2423" s="15"/>
      <c r="B2423" s="92" t="str">
        <f t="shared" si="354"/>
        <v/>
      </c>
      <c r="C2423" s="90"/>
      <c r="D2423" s="87"/>
      <c r="E2423" s="88"/>
      <c r="F2423" s="173"/>
      <c r="G2423" s="88"/>
      <c r="H2423" s="88"/>
      <c r="I2423" s="88"/>
      <c r="J2423" s="88"/>
      <c r="K2423" s="230"/>
      <c r="L2423" s="88"/>
      <c r="M2423" s="88"/>
      <c r="N2423" s="88"/>
      <c r="O2423" s="88"/>
      <c r="P2423" s="88"/>
      <c r="Q2423" s="88"/>
      <c r="R2423" s="88"/>
      <c r="S2423" s="620"/>
      <c r="T2423" s="92"/>
      <c r="U2423" s="1214"/>
      <c r="V2423" s="1215"/>
      <c r="W2423" s="168"/>
      <c r="X2423" s="170"/>
    </row>
    <row r="2424" spans="1:24" ht="12.75" customHeight="1">
      <c r="A2424" s="15"/>
      <c r="B2424" s="92" t="str">
        <f t="shared" si="354"/>
        <v/>
      </c>
      <c r="C2424" s="90"/>
      <c r="D2424" s="87"/>
      <c r="E2424" s="88"/>
      <c r="F2424" s="173"/>
      <c r="G2424" s="88"/>
      <c r="H2424" s="88"/>
      <c r="I2424" s="88"/>
      <c r="J2424" s="88"/>
      <c r="K2424" s="230"/>
      <c r="L2424" s="88"/>
      <c r="M2424" s="88"/>
      <c r="N2424" s="88"/>
      <c r="O2424" s="88"/>
      <c r="P2424" s="88"/>
      <c r="Q2424" s="88"/>
      <c r="R2424" s="88"/>
      <c r="S2424" s="620"/>
      <c r="T2424" s="92"/>
      <c r="U2424" s="1214"/>
      <c r="V2424" s="1215"/>
      <c r="W2424" s="168"/>
      <c r="X2424" s="170"/>
    </row>
    <row r="2425" spans="1:24" ht="12.75" customHeight="1">
      <c r="A2425" s="15"/>
      <c r="B2425" s="92" t="str">
        <f t="shared" si="354"/>
        <v/>
      </c>
      <c r="C2425" s="90"/>
      <c r="D2425" s="87"/>
      <c r="E2425" s="88"/>
      <c r="F2425" s="173"/>
      <c r="G2425" s="88"/>
      <c r="H2425" s="88"/>
      <c r="I2425" s="88"/>
      <c r="J2425" s="88"/>
      <c r="K2425" s="230"/>
      <c r="L2425" s="88"/>
      <c r="M2425" s="88"/>
      <c r="N2425" s="88"/>
      <c r="O2425" s="88"/>
      <c r="P2425" s="88"/>
      <c r="Q2425" s="88"/>
      <c r="R2425" s="88"/>
      <c r="S2425" s="620"/>
      <c r="T2425" s="92"/>
      <c r="U2425" s="1214"/>
      <c r="V2425" s="1215"/>
      <c r="W2425" s="168"/>
      <c r="X2425" s="170"/>
    </row>
    <row r="2426" spans="1:24" ht="12.75" customHeight="1">
      <c r="A2426" s="15"/>
      <c r="B2426" s="92" t="str">
        <f t="shared" si="354"/>
        <v/>
      </c>
      <c r="C2426" s="90"/>
      <c r="D2426" s="87"/>
      <c r="E2426" s="88"/>
      <c r="F2426" s="173"/>
      <c r="G2426" s="88"/>
      <c r="H2426" s="88"/>
      <c r="I2426" s="88"/>
      <c r="J2426" s="88"/>
      <c r="K2426" s="230"/>
      <c r="L2426" s="88"/>
      <c r="M2426" s="88"/>
      <c r="N2426" s="88"/>
      <c r="O2426" s="88"/>
      <c r="P2426" s="88"/>
      <c r="Q2426" s="88"/>
      <c r="R2426" s="88"/>
      <c r="S2426" s="620"/>
      <c r="T2426" s="92"/>
      <c r="U2426" s="1214"/>
      <c r="V2426" s="1215"/>
      <c r="W2426" s="168"/>
      <c r="X2426" s="170"/>
    </row>
    <row r="2427" spans="1:24" ht="12.75" customHeight="1">
      <c r="A2427" s="15"/>
      <c r="B2427" s="92" t="str">
        <f t="shared" si="354"/>
        <v/>
      </c>
      <c r="C2427" s="90"/>
      <c r="D2427" s="87"/>
      <c r="E2427" s="88"/>
      <c r="F2427" s="173"/>
      <c r="G2427" s="88"/>
      <c r="H2427" s="88"/>
      <c r="I2427" s="88"/>
      <c r="J2427" s="88"/>
      <c r="K2427" s="230"/>
      <c r="L2427" s="88"/>
      <c r="M2427" s="88"/>
      <c r="N2427" s="88"/>
      <c r="O2427" s="88"/>
      <c r="P2427" s="88"/>
      <c r="Q2427" s="88"/>
      <c r="R2427" s="88"/>
      <c r="S2427" s="620"/>
      <c r="T2427" s="92"/>
      <c r="U2427" s="1214"/>
      <c r="V2427" s="1215"/>
      <c r="W2427" s="168"/>
      <c r="X2427" s="170"/>
    </row>
    <row r="2428" spans="1:24" ht="12.75" customHeight="1">
      <c r="A2428" s="15"/>
      <c r="B2428" s="92" t="str">
        <f t="shared" si="354"/>
        <v/>
      </c>
      <c r="C2428" s="90"/>
      <c r="D2428" s="87"/>
      <c r="E2428" s="88"/>
      <c r="F2428" s="173"/>
      <c r="G2428" s="88"/>
      <c r="H2428" s="88"/>
      <c r="I2428" s="88"/>
      <c r="J2428" s="88"/>
      <c r="K2428" s="230"/>
      <c r="L2428" s="88"/>
      <c r="M2428" s="88"/>
      <c r="N2428" s="88"/>
      <c r="O2428" s="88"/>
      <c r="P2428" s="88"/>
      <c r="Q2428" s="88"/>
      <c r="R2428" s="88"/>
      <c r="S2428" s="620"/>
      <c r="T2428" s="92"/>
      <c r="U2428" s="1214"/>
      <c r="V2428" s="1215"/>
      <c r="W2428" s="168"/>
      <c r="X2428" s="170"/>
    </row>
    <row r="2429" spans="1:24" ht="12.75" customHeight="1">
      <c r="A2429" s="15"/>
      <c r="B2429" s="92" t="str">
        <f t="shared" si="354"/>
        <v/>
      </c>
      <c r="C2429" s="90"/>
      <c r="D2429" s="87"/>
      <c r="E2429" s="88"/>
      <c r="F2429" s="173"/>
      <c r="G2429" s="88"/>
      <c r="H2429" s="88"/>
      <c r="I2429" s="88"/>
      <c r="J2429" s="88"/>
      <c r="K2429" s="230"/>
      <c r="L2429" s="88"/>
      <c r="M2429" s="88"/>
      <c r="N2429" s="88"/>
      <c r="O2429" s="88"/>
      <c r="P2429" s="88"/>
      <c r="Q2429" s="88"/>
      <c r="R2429" s="88"/>
      <c r="S2429" s="620"/>
      <c r="T2429" s="92"/>
      <c r="U2429" s="1214"/>
      <c r="V2429" s="1215"/>
      <c r="W2429" s="168"/>
      <c r="X2429" s="170"/>
    </row>
    <row r="2430" spans="1:24" ht="12.75" customHeight="1">
      <c r="A2430" s="15"/>
      <c r="B2430" s="92" t="str">
        <f t="shared" si="354"/>
        <v/>
      </c>
      <c r="C2430" s="90"/>
      <c r="D2430" s="87"/>
      <c r="E2430" s="88"/>
      <c r="F2430" s="173"/>
      <c r="G2430" s="88"/>
      <c r="H2430" s="88"/>
      <c r="I2430" s="88"/>
      <c r="J2430" s="88"/>
      <c r="K2430" s="230"/>
      <c r="L2430" s="88"/>
      <c r="M2430" s="88"/>
      <c r="N2430" s="88"/>
      <c r="O2430" s="88"/>
      <c r="P2430" s="88"/>
      <c r="Q2430" s="88"/>
      <c r="R2430" s="88"/>
      <c r="S2430" s="620"/>
      <c r="T2430" s="92"/>
      <c r="U2430" s="1214"/>
      <c r="V2430" s="1215"/>
      <c r="W2430" s="168"/>
      <c r="X2430" s="170"/>
    </row>
    <row r="2431" spans="1:24" ht="12.75" customHeight="1">
      <c r="A2431" s="15"/>
      <c r="B2431" s="92" t="str">
        <f t="shared" si="354"/>
        <v/>
      </c>
      <c r="C2431" s="90"/>
      <c r="D2431" s="87"/>
      <c r="E2431" s="88"/>
      <c r="F2431" s="173"/>
      <c r="G2431" s="88"/>
      <c r="H2431" s="88"/>
      <c r="I2431" s="88"/>
      <c r="J2431" s="88"/>
      <c r="K2431" s="230"/>
      <c r="L2431" s="88"/>
      <c r="M2431" s="88"/>
      <c r="N2431" s="88"/>
      <c r="O2431" s="88"/>
      <c r="P2431" s="88"/>
      <c r="Q2431" s="88"/>
      <c r="R2431" s="88"/>
      <c r="S2431" s="620"/>
      <c r="T2431" s="92"/>
      <c r="U2431" s="1214"/>
      <c r="V2431" s="1215"/>
      <c r="W2431" s="168"/>
      <c r="X2431" s="170"/>
    </row>
    <row r="2432" spans="1:24" ht="12.75" customHeight="1">
      <c r="A2432" s="15"/>
      <c r="B2432" s="92" t="str">
        <f t="shared" si="354"/>
        <v/>
      </c>
      <c r="C2432" s="90"/>
      <c r="D2432" s="87"/>
      <c r="E2432" s="88"/>
      <c r="F2432" s="173"/>
      <c r="G2432" s="88"/>
      <c r="H2432" s="88"/>
      <c r="I2432" s="88"/>
      <c r="J2432" s="88"/>
      <c r="K2432" s="230"/>
      <c r="L2432" s="88"/>
      <c r="M2432" s="88"/>
      <c r="N2432" s="88"/>
      <c r="O2432" s="88"/>
      <c r="P2432" s="88"/>
      <c r="Q2432" s="88"/>
      <c r="R2432" s="88"/>
      <c r="S2432" s="620"/>
      <c r="T2432" s="92"/>
      <c r="U2432" s="1214"/>
      <c r="V2432" s="1215"/>
      <c r="W2432" s="168"/>
      <c r="X2432" s="170"/>
    </row>
    <row r="2433" spans="1:24" ht="12.75" customHeight="1">
      <c r="A2433" s="15"/>
      <c r="B2433" s="92" t="str">
        <f t="shared" si="354"/>
        <v/>
      </c>
      <c r="C2433" s="90"/>
      <c r="D2433" s="87"/>
      <c r="E2433" s="88"/>
      <c r="F2433" s="173"/>
      <c r="G2433" s="88"/>
      <c r="H2433" s="88"/>
      <c r="I2433" s="88"/>
      <c r="J2433" s="88"/>
      <c r="K2433" s="230"/>
      <c r="L2433" s="88"/>
      <c r="M2433" s="88"/>
      <c r="N2433" s="88"/>
      <c r="O2433" s="88"/>
      <c r="P2433" s="88"/>
      <c r="Q2433" s="88"/>
      <c r="R2433" s="88"/>
      <c r="S2433" s="620"/>
      <c r="T2433" s="92"/>
      <c r="U2433" s="1214"/>
      <c r="V2433" s="1215"/>
      <c r="W2433" s="168"/>
      <c r="X2433" s="170"/>
    </row>
    <row r="2434" spans="1:24" ht="12.75" customHeight="1">
      <c r="A2434" s="15"/>
      <c r="B2434" s="92" t="str">
        <f t="shared" si="354"/>
        <v/>
      </c>
      <c r="C2434" s="90"/>
      <c r="D2434" s="87"/>
      <c r="E2434" s="88"/>
      <c r="F2434" s="173"/>
      <c r="G2434" s="88"/>
      <c r="H2434" s="88"/>
      <c r="I2434" s="88"/>
      <c r="J2434" s="88"/>
      <c r="K2434" s="230"/>
      <c r="L2434" s="88"/>
      <c r="M2434" s="88"/>
      <c r="N2434" s="88"/>
      <c r="O2434" s="88"/>
      <c r="P2434" s="88"/>
      <c r="Q2434" s="88"/>
      <c r="R2434" s="88"/>
      <c r="S2434" s="620"/>
      <c r="T2434" s="92"/>
      <c r="U2434" s="1214"/>
      <c r="V2434" s="1215"/>
      <c r="W2434" s="168"/>
      <c r="X2434" s="170"/>
    </row>
    <row r="2435" spans="1:24" ht="12.75" customHeight="1">
      <c r="A2435" s="15"/>
      <c r="B2435" s="92" t="str">
        <f t="shared" si="354"/>
        <v/>
      </c>
      <c r="C2435" s="90"/>
      <c r="D2435" s="87"/>
      <c r="E2435" s="88"/>
      <c r="F2435" s="173"/>
      <c r="G2435" s="88"/>
      <c r="H2435" s="88"/>
      <c r="I2435" s="88"/>
      <c r="J2435" s="88"/>
      <c r="K2435" s="230"/>
      <c r="L2435" s="88"/>
      <c r="M2435" s="88"/>
      <c r="N2435" s="88"/>
      <c r="O2435" s="88"/>
      <c r="P2435" s="88"/>
      <c r="Q2435" s="88"/>
      <c r="R2435" s="88"/>
      <c r="S2435" s="620"/>
      <c r="T2435" s="92"/>
      <c r="U2435" s="1214"/>
      <c r="V2435" s="1215"/>
      <c r="W2435" s="168"/>
      <c r="X2435" s="170"/>
    </row>
    <row r="2436" spans="1:24" ht="12.75" customHeight="1">
      <c r="A2436" s="15"/>
      <c r="B2436" s="92" t="str">
        <f t="shared" si="354"/>
        <v/>
      </c>
      <c r="C2436" s="90"/>
      <c r="D2436" s="87"/>
      <c r="E2436" s="88"/>
      <c r="F2436" s="173"/>
      <c r="G2436" s="88"/>
      <c r="H2436" s="88"/>
      <c r="I2436" s="88"/>
      <c r="J2436" s="88"/>
      <c r="K2436" s="230"/>
      <c r="L2436" s="88"/>
      <c r="M2436" s="88"/>
      <c r="N2436" s="88"/>
      <c r="O2436" s="88"/>
      <c r="P2436" s="88"/>
      <c r="Q2436" s="88"/>
      <c r="R2436" s="88"/>
      <c r="S2436" s="620"/>
      <c r="T2436" s="92"/>
      <c r="U2436" s="1214"/>
      <c r="V2436" s="1215"/>
      <c r="W2436" s="168"/>
      <c r="X2436" s="170"/>
    </row>
    <row r="2437" spans="1:24" ht="12.75" customHeight="1">
      <c r="A2437" s="15"/>
      <c r="B2437" s="92" t="str">
        <f t="shared" si="354"/>
        <v/>
      </c>
      <c r="C2437" s="90"/>
      <c r="D2437" s="87"/>
      <c r="E2437" s="88"/>
      <c r="F2437" s="173"/>
      <c r="G2437" s="88"/>
      <c r="H2437" s="88"/>
      <c r="I2437" s="88"/>
      <c r="J2437" s="88"/>
      <c r="K2437" s="230"/>
      <c r="L2437" s="88"/>
      <c r="M2437" s="88"/>
      <c r="N2437" s="88"/>
      <c r="O2437" s="88"/>
      <c r="P2437" s="88"/>
      <c r="Q2437" s="88"/>
      <c r="R2437" s="88"/>
      <c r="S2437" s="620"/>
      <c r="T2437" s="92"/>
      <c r="U2437" s="1214"/>
      <c r="V2437" s="1215"/>
      <c r="W2437" s="168"/>
      <c r="X2437" s="170"/>
    </row>
    <row r="2438" spans="1:24" ht="12.75" customHeight="1">
      <c r="A2438" s="15"/>
      <c r="B2438" s="92" t="str">
        <f t="shared" si="354"/>
        <v/>
      </c>
      <c r="C2438" s="90"/>
      <c r="D2438" s="87"/>
      <c r="E2438" s="88"/>
      <c r="F2438" s="173"/>
      <c r="G2438" s="88"/>
      <c r="H2438" s="88"/>
      <c r="I2438" s="88"/>
      <c r="J2438" s="88"/>
      <c r="K2438" s="230"/>
      <c r="L2438" s="88"/>
      <c r="M2438" s="88"/>
      <c r="N2438" s="88"/>
      <c r="O2438" s="88"/>
      <c r="P2438" s="88"/>
      <c r="Q2438" s="88"/>
      <c r="R2438" s="88"/>
      <c r="S2438" s="620"/>
      <c r="T2438" s="92"/>
      <c r="U2438" s="1214"/>
      <c r="V2438" s="1215"/>
      <c r="W2438" s="168"/>
      <c r="X2438" s="170"/>
    </row>
    <row r="2439" spans="1:24" ht="12.75" customHeight="1">
      <c r="A2439" s="15"/>
      <c r="B2439" s="92" t="str">
        <f t="shared" si="354"/>
        <v/>
      </c>
      <c r="C2439" s="90"/>
      <c r="D2439" s="87"/>
      <c r="E2439" s="88"/>
      <c r="F2439" s="173"/>
      <c r="G2439" s="88"/>
      <c r="H2439" s="88"/>
      <c r="I2439" s="88"/>
      <c r="J2439" s="88"/>
      <c r="K2439" s="230"/>
      <c r="L2439" s="88"/>
      <c r="M2439" s="88"/>
      <c r="N2439" s="88"/>
      <c r="O2439" s="88"/>
      <c r="P2439" s="88"/>
      <c r="Q2439" s="88"/>
      <c r="R2439" s="88"/>
      <c r="S2439" s="620"/>
      <c r="T2439" s="92"/>
      <c r="U2439" s="1214"/>
      <c r="V2439" s="1215"/>
      <c r="W2439" s="168"/>
      <c r="X2439" s="170"/>
    </row>
    <row r="2440" spans="1:24" ht="12.75" customHeight="1">
      <c r="A2440" s="15"/>
      <c r="B2440" s="92" t="str">
        <f t="shared" si="354"/>
        <v/>
      </c>
      <c r="C2440" s="90"/>
      <c r="D2440" s="87"/>
      <c r="E2440" s="88"/>
      <c r="F2440" s="173"/>
      <c r="G2440" s="88"/>
      <c r="H2440" s="88"/>
      <c r="I2440" s="88"/>
      <c r="J2440" s="88"/>
      <c r="K2440" s="230"/>
      <c r="L2440" s="88"/>
      <c r="M2440" s="88"/>
      <c r="N2440" s="88"/>
      <c r="O2440" s="88"/>
      <c r="P2440" s="88"/>
      <c r="Q2440" s="88"/>
      <c r="R2440" s="88"/>
      <c r="S2440" s="620"/>
      <c r="T2440" s="92"/>
      <c r="U2440" s="1214"/>
      <c r="V2440" s="1215"/>
      <c r="W2440" s="168"/>
      <c r="X2440" s="170"/>
    </row>
    <row r="2441" spans="1:24" ht="12.75" customHeight="1">
      <c r="A2441" s="15"/>
      <c r="B2441" s="92" t="str">
        <f t="shared" si="354"/>
        <v/>
      </c>
      <c r="C2441" s="90"/>
      <c r="D2441" s="87"/>
      <c r="E2441" s="88"/>
      <c r="F2441" s="173"/>
      <c r="G2441" s="88"/>
      <c r="H2441" s="88"/>
      <c r="I2441" s="88"/>
      <c r="J2441" s="88"/>
      <c r="K2441" s="230"/>
      <c r="L2441" s="88"/>
      <c r="M2441" s="88"/>
      <c r="N2441" s="88"/>
      <c r="O2441" s="88"/>
      <c r="P2441" s="88"/>
      <c r="Q2441" s="88"/>
      <c r="R2441" s="88"/>
      <c r="S2441" s="620"/>
      <c r="T2441" s="92"/>
      <c r="U2441" s="1214"/>
      <c r="V2441" s="1215"/>
      <c r="W2441" s="168"/>
      <c r="X2441" s="170"/>
    </row>
    <row r="2442" spans="1:24" ht="12.75" customHeight="1">
      <c r="A2442" s="15"/>
      <c r="B2442" s="92" t="str">
        <f t="shared" si="354"/>
        <v/>
      </c>
      <c r="C2442" s="90"/>
      <c r="D2442" s="87"/>
      <c r="E2442" s="88"/>
      <c r="F2442" s="173"/>
      <c r="G2442" s="88"/>
      <c r="H2442" s="88"/>
      <c r="I2442" s="88"/>
      <c r="J2442" s="88"/>
      <c r="K2442" s="230"/>
      <c r="L2442" s="88"/>
      <c r="M2442" s="88"/>
      <c r="N2442" s="88"/>
      <c r="O2442" s="88"/>
      <c r="P2442" s="88"/>
      <c r="Q2442" s="88"/>
      <c r="R2442" s="88"/>
      <c r="S2442" s="620"/>
      <c r="T2442" s="92"/>
      <c r="U2442" s="1214"/>
      <c r="V2442" s="1215"/>
      <c r="W2442" s="168"/>
      <c r="X2442" s="170"/>
    </row>
    <row r="2443" spans="1:24" ht="12.75" customHeight="1">
      <c r="A2443" s="15"/>
      <c r="B2443" s="92" t="str">
        <f t="shared" si="354"/>
        <v/>
      </c>
      <c r="C2443" s="90"/>
      <c r="D2443" s="87"/>
      <c r="E2443" s="88"/>
      <c r="F2443" s="173"/>
      <c r="G2443" s="88"/>
      <c r="H2443" s="88"/>
      <c r="I2443" s="88"/>
      <c r="J2443" s="88"/>
      <c r="K2443" s="230"/>
      <c r="L2443" s="88"/>
      <c r="M2443" s="88"/>
      <c r="N2443" s="88"/>
      <c r="O2443" s="88"/>
      <c r="P2443" s="88"/>
      <c r="Q2443" s="88"/>
      <c r="R2443" s="88"/>
      <c r="S2443" s="620"/>
      <c r="T2443" s="92"/>
      <c r="U2443" s="1214"/>
      <c r="V2443" s="1215"/>
      <c r="W2443" s="168"/>
      <c r="X2443" s="170"/>
    </row>
    <row r="2444" spans="1:24" ht="12.75" customHeight="1">
      <c r="A2444" s="15"/>
      <c r="B2444" s="92" t="str">
        <f t="shared" si="354"/>
        <v/>
      </c>
      <c r="C2444" s="90"/>
      <c r="D2444" s="87"/>
      <c r="E2444" s="88"/>
      <c r="F2444" s="173"/>
      <c r="G2444" s="88"/>
      <c r="H2444" s="88"/>
      <c r="I2444" s="88"/>
      <c r="J2444" s="88"/>
      <c r="K2444" s="230"/>
      <c r="L2444" s="88"/>
      <c r="M2444" s="88"/>
      <c r="N2444" s="88"/>
      <c r="O2444" s="88"/>
      <c r="P2444" s="88"/>
      <c r="Q2444" s="88"/>
      <c r="R2444" s="88"/>
      <c r="S2444" s="620"/>
      <c r="T2444" s="92"/>
      <c r="U2444" s="1214"/>
      <c r="V2444" s="1215"/>
      <c r="W2444" s="168"/>
      <c r="X2444" s="170"/>
    </row>
    <row r="2445" spans="1:24" ht="12.75" customHeight="1">
      <c r="A2445" s="15"/>
      <c r="B2445" s="92" t="str">
        <f t="shared" si="354"/>
        <v/>
      </c>
      <c r="C2445" s="90"/>
      <c r="D2445" s="87"/>
      <c r="E2445" s="88"/>
      <c r="F2445" s="173"/>
      <c r="G2445" s="88"/>
      <c r="H2445" s="88"/>
      <c r="I2445" s="88"/>
      <c r="J2445" s="88"/>
      <c r="K2445" s="230"/>
      <c r="L2445" s="88"/>
      <c r="M2445" s="88"/>
      <c r="N2445" s="88"/>
      <c r="O2445" s="88"/>
      <c r="P2445" s="88"/>
      <c r="Q2445" s="88"/>
      <c r="R2445" s="88"/>
      <c r="S2445" s="620"/>
      <c r="T2445" s="92"/>
      <c r="U2445" s="1214"/>
      <c r="V2445" s="1215"/>
      <c r="W2445" s="168"/>
      <c r="X2445" s="170"/>
    </row>
    <row r="2446" spans="1:24" ht="12.75" customHeight="1">
      <c r="A2446" s="15"/>
      <c r="B2446" s="92" t="str">
        <f t="shared" si="354"/>
        <v/>
      </c>
      <c r="C2446" s="90"/>
      <c r="D2446" s="87"/>
      <c r="E2446" s="88"/>
      <c r="F2446" s="173"/>
      <c r="G2446" s="88"/>
      <c r="H2446" s="88"/>
      <c r="I2446" s="88"/>
      <c r="J2446" s="88"/>
      <c r="K2446" s="230"/>
      <c r="L2446" s="88"/>
      <c r="M2446" s="88"/>
      <c r="N2446" s="88"/>
      <c r="O2446" s="88"/>
      <c r="P2446" s="88"/>
      <c r="Q2446" s="88"/>
      <c r="R2446" s="88"/>
      <c r="S2446" s="620"/>
      <c r="T2446" s="92"/>
      <c r="U2446" s="1214"/>
      <c r="V2446" s="1215"/>
      <c r="W2446" s="168"/>
      <c r="X2446" s="170"/>
    </row>
    <row r="2447" spans="1:24" ht="12.75" customHeight="1">
      <c r="A2447" s="15"/>
      <c r="B2447" s="92" t="str">
        <f t="shared" si="354"/>
        <v/>
      </c>
      <c r="C2447" s="90"/>
      <c r="D2447" s="87"/>
      <c r="E2447" s="88"/>
      <c r="F2447" s="173"/>
      <c r="G2447" s="88"/>
      <c r="H2447" s="88"/>
      <c r="I2447" s="88"/>
      <c r="J2447" s="88"/>
      <c r="K2447" s="230"/>
      <c r="L2447" s="88"/>
      <c r="M2447" s="88"/>
      <c r="N2447" s="88"/>
      <c r="O2447" s="88"/>
      <c r="P2447" s="88"/>
      <c r="Q2447" s="88"/>
      <c r="R2447" s="88"/>
      <c r="S2447" s="620"/>
      <c r="T2447" s="92"/>
      <c r="U2447" s="1214"/>
      <c r="V2447" s="1215"/>
      <c r="W2447" s="168"/>
      <c r="X2447" s="170"/>
    </row>
    <row r="2448" spans="1:24" ht="12.75" customHeight="1">
      <c r="A2448" s="15"/>
      <c r="B2448" s="92" t="str">
        <f t="shared" si="354"/>
        <v/>
      </c>
      <c r="C2448" s="90"/>
      <c r="D2448" s="87"/>
      <c r="E2448" s="88"/>
      <c r="F2448" s="173"/>
      <c r="G2448" s="88"/>
      <c r="H2448" s="88"/>
      <c r="I2448" s="88"/>
      <c r="J2448" s="88"/>
      <c r="K2448" s="230"/>
      <c r="L2448" s="88"/>
      <c r="M2448" s="88"/>
      <c r="N2448" s="88"/>
      <c r="O2448" s="88"/>
      <c r="P2448" s="88"/>
      <c r="Q2448" s="88"/>
      <c r="R2448" s="88"/>
      <c r="S2448" s="620"/>
      <c r="T2448" s="92"/>
      <c r="U2448" s="1214"/>
      <c r="V2448" s="1215"/>
      <c r="W2448" s="168"/>
      <c r="X2448" s="170"/>
    </row>
    <row r="2449" spans="1:24" ht="12.75" customHeight="1">
      <c r="A2449" s="15"/>
      <c r="B2449" s="92" t="str">
        <f t="shared" si="354"/>
        <v/>
      </c>
      <c r="C2449" s="90"/>
      <c r="D2449" s="87"/>
      <c r="E2449" s="88"/>
      <c r="F2449" s="173"/>
      <c r="G2449" s="88"/>
      <c r="H2449" s="88"/>
      <c r="I2449" s="88"/>
      <c r="J2449" s="88"/>
      <c r="K2449" s="230"/>
      <c r="L2449" s="88"/>
      <c r="M2449" s="88"/>
      <c r="N2449" s="88"/>
      <c r="O2449" s="88"/>
      <c r="P2449" s="88"/>
      <c r="Q2449" s="88"/>
      <c r="R2449" s="88"/>
      <c r="S2449" s="620"/>
      <c r="T2449" s="92"/>
      <c r="U2449" s="1214"/>
      <c r="V2449" s="1215"/>
      <c r="W2449" s="168"/>
      <c r="X2449" s="170"/>
    </row>
    <row r="2450" spans="1:24" ht="12.75" customHeight="1">
      <c r="A2450" s="15"/>
      <c r="B2450" s="92" t="str">
        <f t="shared" si="354"/>
        <v/>
      </c>
      <c r="C2450" s="90"/>
      <c r="D2450" s="87"/>
      <c r="E2450" s="88"/>
      <c r="F2450" s="173"/>
      <c r="G2450" s="88"/>
      <c r="H2450" s="88"/>
      <c r="I2450" s="88"/>
      <c r="J2450" s="88"/>
      <c r="K2450" s="230"/>
      <c r="L2450" s="88"/>
      <c r="M2450" s="88"/>
      <c r="N2450" s="88"/>
      <c r="O2450" s="88"/>
      <c r="P2450" s="88"/>
      <c r="Q2450" s="88"/>
      <c r="R2450" s="88"/>
      <c r="S2450" s="620"/>
      <c r="T2450" s="92"/>
      <c r="U2450" s="1214"/>
      <c r="V2450" s="1215"/>
      <c r="W2450" s="168"/>
      <c r="X2450" s="170"/>
    </row>
    <row r="2451" spans="1:24" ht="12.75" customHeight="1">
      <c r="A2451" s="15"/>
      <c r="B2451" s="92" t="str">
        <f t="shared" si="354"/>
        <v/>
      </c>
      <c r="C2451" s="90"/>
      <c r="D2451" s="87"/>
      <c r="E2451" s="88"/>
      <c r="F2451" s="173"/>
      <c r="G2451" s="88"/>
      <c r="H2451" s="88"/>
      <c r="I2451" s="88"/>
      <c r="J2451" s="88"/>
      <c r="K2451" s="230"/>
      <c r="L2451" s="88"/>
      <c r="M2451" s="88"/>
      <c r="N2451" s="88"/>
      <c r="O2451" s="88"/>
      <c r="P2451" s="88"/>
      <c r="Q2451" s="88"/>
      <c r="R2451" s="88"/>
      <c r="S2451" s="620"/>
      <c r="T2451" s="92"/>
      <c r="U2451" s="1214"/>
      <c r="V2451" s="1215"/>
      <c r="W2451" s="168"/>
      <c r="X2451" s="170"/>
    </row>
    <row r="2452" spans="1:24" ht="12.75" customHeight="1">
      <c r="A2452" s="15"/>
      <c r="B2452" s="92" t="str">
        <f t="shared" si="354"/>
        <v/>
      </c>
      <c r="C2452" s="90"/>
      <c r="D2452" s="87"/>
      <c r="E2452" s="88"/>
      <c r="F2452" s="173"/>
      <c r="G2452" s="88"/>
      <c r="H2452" s="88"/>
      <c r="I2452" s="88"/>
      <c r="J2452" s="88"/>
      <c r="K2452" s="230"/>
      <c r="L2452" s="88"/>
      <c r="M2452" s="88"/>
      <c r="N2452" s="88"/>
      <c r="O2452" s="88"/>
      <c r="P2452" s="88"/>
      <c r="Q2452" s="88"/>
      <c r="R2452" s="88"/>
      <c r="S2452" s="620"/>
      <c r="T2452" s="92"/>
      <c r="U2452" s="1214"/>
      <c r="V2452" s="1215"/>
      <c r="W2452" s="168"/>
      <c r="X2452" s="170"/>
    </row>
    <row r="2453" spans="1:24" ht="12.75" customHeight="1">
      <c r="A2453" s="15"/>
      <c r="B2453" s="92" t="str">
        <f t="shared" si="354"/>
        <v/>
      </c>
      <c r="C2453" s="90"/>
      <c r="D2453" s="87"/>
      <c r="E2453" s="88"/>
      <c r="F2453" s="173"/>
      <c r="G2453" s="88"/>
      <c r="H2453" s="88"/>
      <c r="I2453" s="88"/>
      <c r="J2453" s="88"/>
      <c r="K2453" s="230"/>
      <c r="L2453" s="88"/>
      <c r="M2453" s="88"/>
      <c r="N2453" s="88"/>
      <c r="O2453" s="88"/>
      <c r="P2453" s="88"/>
      <c r="Q2453" s="88"/>
      <c r="R2453" s="88"/>
      <c r="S2453" s="620"/>
      <c r="T2453" s="92"/>
      <c r="U2453" s="1214"/>
      <c r="V2453" s="1215"/>
      <c r="W2453" s="168"/>
      <c r="X2453" s="170"/>
    </row>
    <row r="2454" spans="1:24" ht="12.75" customHeight="1">
      <c r="A2454" s="15"/>
      <c r="B2454" s="92" t="str">
        <f t="shared" si="354"/>
        <v/>
      </c>
      <c r="C2454" s="90"/>
      <c r="D2454" s="87"/>
      <c r="E2454" s="88"/>
      <c r="F2454" s="173"/>
      <c r="G2454" s="88"/>
      <c r="H2454" s="88"/>
      <c r="I2454" s="88"/>
      <c r="J2454" s="88"/>
      <c r="K2454" s="230"/>
      <c r="L2454" s="88"/>
      <c r="M2454" s="88"/>
      <c r="N2454" s="88"/>
      <c r="O2454" s="88"/>
      <c r="P2454" s="88"/>
      <c r="Q2454" s="88"/>
      <c r="R2454" s="88"/>
      <c r="S2454" s="620"/>
      <c r="T2454" s="92"/>
      <c r="U2454" s="1214"/>
      <c r="V2454" s="1215"/>
      <c r="W2454" s="168"/>
      <c r="X2454" s="170"/>
    </row>
    <row r="2455" spans="1:24" ht="12.75" customHeight="1">
      <c r="A2455" s="15"/>
      <c r="B2455" s="92" t="str">
        <f t="shared" si="354"/>
        <v/>
      </c>
      <c r="C2455" s="90"/>
      <c r="D2455" s="87"/>
      <c r="E2455" s="88"/>
      <c r="F2455" s="173"/>
      <c r="G2455" s="88"/>
      <c r="H2455" s="88"/>
      <c r="I2455" s="88"/>
      <c r="J2455" s="88"/>
      <c r="K2455" s="230"/>
      <c r="L2455" s="88"/>
      <c r="M2455" s="88"/>
      <c r="N2455" s="88"/>
      <c r="O2455" s="88"/>
      <c r="P2455" s="88"/>
      <c r="Q2455" s="88"/>
      <c r="R2455" s="88"/>
      <c r="S2455" s="620"/>
      <c r="T2455" s="92"/>
      <c r="U2455" s="1214"/>
      <c r="V2455" s="1215"/>
      <c r="W2455" s="168"/>
      <c r="X2455" s="170"/>
    </row>
    <row r="2456" spans="1:24" ht="12.75" customHeight="1">
      <c r="A2456" s="15"/>
      <c r="B2456" s="92" t="str">
        <f t="shared" si="354"/>
        <v/>
      </c>
      <c r="C2456" s="90"/>
      <c r="D2456" s="87"/>
      <c r="E2456" s="88"/>
      <c r="F2456" s="173"/>
      <c r="G2456" s="88"/>
      <c r="H2456" s="88"/>
      <c r="I2456" s="88"/>
      <c r="J2456" s="88"/>
      <c r="K2456" s="230"/>
      <c r="L2456" s="88"/>
      <c r="M2456" s="88"/>
      <c r="N2456" s="88"/>
      <c r="O2456" s="88"/>
      <c r="P2456" s="88"/>
      <c r="Q2456" s="88"/>
      <c r="R2456" s="88"/>
      <c r="S2456" s="620"/>
      <c r="T2456" s="92"/>
      <c r="U2456" s="1214"/>
      <c r="V2456" s="1215"/>
      <c r="W2456" s="168"/>
      <c r="X2456" s="170"/>
    </row>
    <row r="2457" spans="1:24" ht="12.75" customHeight="1">
      <c r="A2457" s="15"/>
      <c r="B2457" s="92" t="str">
        <f t="shared" si="354"/>
        <v/>
      </c>
      <c r="C2457" s="90"/>
      <c r="D2457" s="87"/>
      <c r="E2457" s="88"/>
      <c r="F2457" s="173"/>
      <c r="G2457" s="88"/>
      <c r="H2457" s="88"/>
      <c r="I2457" s="88"/>
      <c r="J2457" s="88"/>
      <c r="K2457" s="230"/>
      <c r="L2457" s="88"/>
      <c r="M2457" s="88"/>
      <c r="N2457" s="88"/>
      <c r="O2457" s="88"/>
      <c r="P2457" s="88"/>
      <c r="Q2457" s="88"/>
      <c r="R2457" s="88"/>
      <c r="S2457" s="620"/>
      <c r="T2457" s="92"/>
      <c r="U2457" s="1214"/>
      <c r="V2457" s="1215"/>
      <c r="W2457" s="168"/>
      <c r="X2457" s="170"/>
    </row>
    <row r="2458" spans="1:24" ht="12.75" customHeight="1">
      <c r="A2458" s="15"/>
      <c r="B2458" s="92" t="str">
        <f t="shared" si="354"/>
        <v/>
      </c>
      <c r="C2458" s="90"/>
      <c r="D2458" s="87"/>
      <c r="E2458" s="88"/>
      <c r="F2458" s="173"/>
      <c r="G2458" s="88"/>
      <c r="H2458" s="88"/>
      <c r="I2458" s="88"/>
      <c r="J2458" s="88"/>
      <c r="K2458" s="230"/>
      <c r="L2458" s="88"/>
      <c r="M2458" s="88"/>
      <c r="N2458" s="88"/>
      <c r="O2458" s="88"/>
      <c r="P2458" s="88"/>
      <c r="Q2458" s="88"/>
      <c r="R2458" s="88"/>
      <c r="S2458" s="620"/>
      <c r="T2458" s="92"/>
      <c r="U2458" s="1214"/>
      <c r="V2458" s="1215"/>
      <c r="W2458" s="168"/>
      <c r="X2458" s="170"/>
    </row>
    <row r="2459" spans="1:24" ht="12.75" customHeight="1">
      <c r="A2459" s="15"/>
      <c r="B2459" s="92" t="str">
        <f t="shared" si="354"/>
        <v/>
      </c>
      <c r="C2459" s="90"/>
      <c r="D2459" s="87"/>
      <c r="E2459" s="88"/>
      <c r="F2459" s="173"/>
      <c r="G2459" s="88"/>
      <c r="H2459" s="88"/>
      <c r="I2459" s="88"/>
      <c r="J2459" s="88"/>
      <c r="K2459" s="230"/>
      <c r="L2459" s="88"/>
      <c r="M2459" s="88"/>
      <c r="N2459" s="88"/>
      <c r="O2459" s="88"/>
      <c r="P2459" s="88"/>
      <c r="Q2459" s="88"/>
      <c r="R2459" s="88"/>
      <c r="S2459" s="620"/>
      <c r="T2459" s="92"/>
      <c r="U2459" s="1214"/>
      <c r="V2459" s="1215"/>
      <c r="W2459" s="168"/>
      <c r="X2459" s="170"/>
    </row>
    <row r="2460" spans="1:24" ht="12.75" customHeight="1">
      <c r="A2460" s="15"/>
      <c r="B2460" s="92" t="str">
        <f t="shared" si="354"/>
        <v/>
      </c>
      <c r="C2460" s="90"/>
      <c r="D2460" s="87"/>
      <c r="E2460" s="88"/>
      <c r="F2460" s="173"/>
      <c r="G2460" s="88"/>
      <c r="H2460" s="88"/>
      <c r="I2460" s="88"/>
      <c r="J2460" s="88"/>
      <c r="K2460" s="230"/>
      <c r="L2460" s="88"/>
      <c r="M2460" s="88"/>
      <c r="N2460" s="88"/>
      <c r="O2460" s="88"/>
      <c r="P2460" s="88"/>
      <c r="Q2460" s="88"/>
      <c r="R2460" s="88"/>
      <c r="S2460" s="620"/>
      <c r="T2460" s="92"/>
      <c r="U2460" s="1214"/>
      <c r="V2460" s="1215"/>
      <c r="W2460" s="168"/>
      <c r="X2460" s="170"/>
    </row>
    <row r="2461" spans="1:24" ht="12.75" customHeight="1">
      <c r="A2461" s="15"/>
      <c r="B2461" s="92" t="str">
        <f t="shared" si="354"/>
        <v/>
      </c>
      <c r="C2461" s="90"/>
      <c r="D2461" s="87"/>
      <c r="E2461" s="88"/>
      <c r="F2461" s="173"/>
      <c r="G2461" s="88"/>
      <c r="H2461" s="88"/>
      <c r="I2461" s="88"/>
      <c r="J2461" s="88"/>
      <c r="K2461" s="230"/>
      <c r="L2461" s="88"/>
      <c r="M2461" s="88"/>
      <c r="N2461" s="88"/>
      <c r="O2461" s="88"/>
      <c r="P2461" s="88"/>
      <c r="Q2461" s="88"/>
      <c r="R2461" s="88"/>
      <c r="S2461" s="620"/>
      <c r="T2461" s="92"/>
      <c r="U2461" s="1214"/>
      <c r="V2461" s="1215"/>
      <c r="W2461" s="168"/>
      <c r="X2461" s="170"/>
    </row>
    <row r="2462" spans="1:24" ht="12.75" customHeight="1">
      <c r="A2462" s="15"/>
      <c r="B2462" s="92" t="str">
        <f t="shared" si="354"/>
        <v/>
      </c>
      <c r="C2462" s="90"/>
      <c r="D2462" s="87"/>
      <c r="E2462" s="88"/>
      <c r="F2462" s="173"/>
      <c r="G2462" s="88"/>
      <c r="H2462" s="88"/>
      <c r="I2462" s="88"/>
      <c r="J2462" s="88"/>
      <c r="K2462" s="230"/>
      <c r="L2462" s="88"/>
      <c r="M2462" s="88"/>
      <c r="N2462" s="88"/>
      <c r="O2462" s="88"/>
      <c r="P2462" s="88"/>
      <c r="Q2462" s="88"/>
      <c r="R2462" s="88"/>
      <c r="S2462" s="620"/>
      <c r="T2462" s="92"/>
      <c r="U2462" s="1214"/>
      <c r="V2462" s="1215"/>
      <c r="W2462" s="168"/>
      <c r="X2462" s="170"/>
    </row>
    <row r="2463" spans="1:24" ht="12.75" customHeight="1">
      <c r="A2463" s="15"/>
      <c r="B2463" s="92" t="str">
        <f t="shared" si="354"/>
        <v/>
      </c>
      <c r="C2463" s="90"/>
      <c r="D2463" s="87"/>
      <c r="E2463" s="88"/>
      <c r="F2463" s="173"/>
      <c r="G2463" s="88"/>
      <c r="H2463" s="88"/>
      <c r="I2463" s="88"/>
      <c r="J2463" s="88"/>
      <c r="K2463" s="230"/>
      <c r="L2463" s="88"/>
      <c r="M2463" s="88"/>
      <c r="N2463" s="88"/>
      <c r="O2463" s="88"/>
      <c r="P2463" s="88"/>
      <c r="Q2463" s="88"/>
      <c r="R2463" s="88"/>
      <c r="S2463" s="620"/>
      <c r="T2463" s="92"/>
      <c r="U2463" s="1214"/>
      <c r="V2463" s="1215"/>
      <c r="W2463" s="168"/>
      <c r="X2463" s="170"/>
    </row>
    <row r="2464" spans="1:24" ht="12.75" customHeight="1">
      <c r="A2464" s="15"/>
      <c r="B2464" s="92" t="str">
        <f t="shared" si="354"/>
        <v/>
      </c>
      <c r="C2464" s="90"/>
      <c r="D2464" s="87"/>
      <c r="E2464" s="88"/>
      <c r="F2464" s="173"/>
      <c r="G2464" s="88"/>
      <c r="H2464" s="88"/>
      <c r="I2464" s="88"/>
      <c r="J2464" s="88"/>
      <c r="K2464" s="230"/>
      <c r="L2464" s="88"/>
      <c r="M2464" s="88"/>
      <c r="N2464" s="88"/>
      <c r="O2464" s="88"/>
      <c r="P2464" s="88"/>
      <c r="Q2464" s="88"/>
      <c r="R2464" s="88"/>
      <c r="S2464" s="620"/>
      <c r="T2464" s="92"/>
      <c r="U2464" s="1214"/>
      <c r="V2464" s="1215"/>
      <c r="W2464" s="168"/>
      <c r="X2464" s="170"/>
    </row>
    <row r="2465" spans="1:24" ht="12.75" customHeight="1">
      <c r="A2465" s="15"/>
      <c r="B2465" s="92" t="str">
        <f t="shared" si="354"/>
        <v/>
      </c>
      <c r="C2465" s="90"/>
      <c r="D2465" s="87"/>
      <c r="E2465" s="88"/>
      <c r="F2465" s="173"/>
      <c r="G2465" s="88"/>
      <c r="H2465" s="88"/>
      <c r="I2465" s="88"/>
      <c r="J2465" s="88"/>
      <c r="K2465" s="230"/>
      <c r="L2465" s="88"/>
      <c r="M2465" s="88"/>
      <c r="N2465" s="88"/>
      <c r="O2465" s="88"/>
      <c r="P2465" s="88"/>
      <c r="Q2465" s="88"/>
      <c r="R2465" s="88"/>
      <c r="S2465" s="620"/>
      <c r="T2465" s="92"/>
      <c r="U2465" s="1214"/>
      <c r="V2465" s="1215"/>
      <c r="W2465" s="168"/>
      <c r="X2465" s="170"/>
    </row>
    <row r="2466" spans="1:24" ht="12.75" customHeight="1">
      <c r="A2466" s="15"/>
      <c r="B2466" s="92" t="str">
        <f t="shared" si="354"/>
        <v/>
      </c>
      <c r="C2466" s="90"/>
      <c r="D2466" s="87"/>
      <c r="E2466" s="88"/>
      <c r="F2466" s="173"/>
      <c r="G2466" s="88"/>
      <c r="H2466" s="88"/>
      <c r="I2466" s="88"/>
      <c r="J2466" s="88"/>
      <c r="K2466" s="230"/>
      <c r="L2466" s="88"/>
      <c r="M2466" s="88"/>
      <c r="N2466" s="88"/>
      <c r="O2466" s="88"/>
      <c r="P2466" s="88"/>
      <c r="Q2466" s="88"/>
      <c r="R2466" s="88"/>
      <c r="S2466" s="620"/>
      <c r="T2466" s="92"/>
      <c r="U2466" s="1214"/>
      <c r="V2466" s="1215"/>
      <c r="W2466" s="168"/>
      <c r="X2466" s="170"/>
    </row>
    <row r="2467" spans="1:24" ht="12.75" customHeight="1">
      <c r="A2467" s="15"/>
      <c r="B2467" s="92" t="str">
        <f t="shared" si="354"/>
        <v/>
      </c>
      <c r="C2467" s="90"/>
      <c r="D2467" s="87"/>
      <c r="E2467" s="88"/>
      <c r="F2467" s="173"/>
      <c r="G2467" s="88"/>
      <c r="H2467" s="88"/>
      <c r="I2467" s="88"/>
      <c r="J2467" s="88"/>
      <c r="K2467" s="230"/>
      <c r="L2467" s="88"/>
      <c r="M2467" s="88"/>
      <c r="N2467" s="88"/>
      <c r="O2467" s="88"/>
      <c r="P2467" s="88"/>
      <c r="Q2467" s="88"/>
      <c r="R2467" s="88"/>
      <c r="S2467" s="620"/>
      <c r="T2467" s="92"/>
      <c r="U2467" s="1214"/>
      <c r="V2467" s="1215"/>
      <c r="W2467" s="168"/>
      <c r="X2467" s="170"/>
    </row>
    <row r="2468" spans="1:24" ht="12.75" customHeight="1">
      <c r="A2468" s="15"/>
      <c r="B2468" s="92" t="str">
        <f t="shared" si="354"/>
        <v/>
      </c>
      <c r="C2468" s="90"/>
      <c r="D2468" s="87"/>
      <c r="E2468" s="88"/>
      <c r="F2468" s="173"/>
      <c r="G2468" s="88"/>
      <c r="H2468" s="88"/>
      <c r="I2468" s="88"/>
      <c r="J2468" s="88"/>
      <c r="K2468" s="230"/>
      <c r="L2468" s="88"/>
      <c r="M2468" s="88"/>
      <c r="N2468" s="88"/>
      <c r="O2468" s="88"/>
      <c r="P2468" s="88"/>
      <c r="Q2468" s="88"/>
      <c r="R2468" s="88"/>
      <c r="S2468" s="620"/>
      <c r="T2468" s="92"/>
      <c r="U2468" s="1214"/>
      <c r="V2468" s="1215"/>
      <c r="W2468" s="168"/>
      <c r="X2468" s="170"/>
    </row>
    <row r="2469" spans="1:24" ht="12.75" customHeight="1">
      <c r="A2469" s="15"/>
      <c r="B2469" s="92" t="str">
        <f t="shared" si="354"/>
        <v/>
      </c>
      <c r="C2469" s="90"/>
      <c r="D2469" s="87"/>
      <c r="E2469" s="88"/>
      <c r="F2469" s="173"/>
      <c r="G2469" s="88"/>
      <c r="H2469" s="88"/>
      <c r="I2469" s="88"/>
      <c r="J2469" s="88"/>
      <c r="K2469" s="230"/>
      <c r="L2469" s="88"/>
      <c r="M2469" s="88"/>
      <c r="N2469" s="88"/>
      <c r="O2469" s="88"/>
      <c r="P2469" s="88"/>
      <c r="Q2469" s="88"/>
      <c r="R2469" s="88"/>
      <c r="S2469" s="620"/>
      <c r="T2469" s="92"/>
      <c r="U2469" s="1214"/>
      <c r="V2469" s="1215"/>
      <c r="W2469" s="168"/>
      <c r="X2469" s="170"/>
    </row>
    <row r="2470" spans="1:24" ht="12.75" customHeight="1">
      <c r="A2470" s="15"/>
      <c r="B2470" s="92" t="str">
        <f t="shared" si="354"/>
        <v/>
      </c>
      <c r="C2470" s="90"/>
      <c r="D2470" s="87"/>
      <c r="E2470" s="88"/>
      <c r="F2470" s="173"/>
      <c r="G2470" s="88"/>
      <c r="H2470" s="88"/>
      <c r="I2470" s="88"/>
      <c r="J2470" s="88"/>
      <c r="K2470" s="230"/>
      <c r="L2470" s="88"/>
      <c r="M2470" s="88"/>
      <c r="N2470" s="88"/>
      <c r="O2470" s="88"/>
      <c r="P2470" s="88"/>
      <c r="Q2470" s="88"/>
      <c r="R2470" s="88"/>
      <c r="S2470" s="620"/>
      <c r="T2470" s="92"/>
      <c r="U2470" s="1214"/>
      <c r="V2470" s="1215"/>
      <c r="W2470" s="168"/>
      <c r="X2470" s="170"/>
    </row>
    <row r="2471" spans="1:24" ht="12.75" customHeight="1">
      <c r="A2471" s="15"/>
      <c r="B2471" s="92" t="str">
        <f t="shared" si="354"/>
        <v/>
      </c>
      <c r="C2471" s="90"/>
      <c r="D2471" s="87"/>
      <c r="E2471" s="88"/>
      <c r="F2471" s="173"/>
      <c r="G2471" s="88"/>
      <c r="H2471" s="88"/>
      <c r="I2471" s="88"/>
      <c r="J2471" s="88"/>
      <c r="K2471" s="230"/>
      <c r="L2471" s="88"/>
      <c r="M2471" s="88"/>
      <c r="N2471" s="88"/>
      <c r="O2471" s="88"/>
      <c r="P2471" s="88"/>
      <c r="Q2471" s="88"/>
      <c r="R2471" s="88"/>
      <c r="S2471" s="620"/>
      <c r="T2471" s="92"/>
      <c r="U2471" s="1214"/>
      <c r="V2471" s="1215"/>
      <c r="W2471" s="168"/>
      <c r="X2471" s="170"/>
    </row>
    <row r="2472" spans="1:24" ht="12.75" customHeight="1">
      <c r="A2472" s="15"/>
      <c r="B2472" s="92" t="str">
        <f t="shared" si="354"/>
        <v/>
      </c>
      <c r="C2472" s="90"/>
      <c r="D2472" s="87"/>
      <c r="E2472" s="88"/>
      <c r="F2472" s="173"/>
      <c r="G2472" s="88"/>
      <c r="H2472" s="88"/>
      <c r="I2472" s="88"/>
      <c r="J2472" s="88"/>
      <c r="K2472" s="230"/>
      <c r="L2472" s="88"/>
      <c r="M2472" s="88"/>
      <c r="N2472" s="88"/>
      <c r="O2472" s="88"/>
      <c r="P2472" s="88"/>
      <c r="Q2472" s="88"/>
      <c r="R2472" s="88"/>
      <c r="S2472" s="620"/>
      <c r="T2472" s="92"/>
      <c r="U2472" s="1214"/>
      <c r="V2472" s="1215"/>
      <c r="W2472" s="168"/>
      <c r="X2472" s="170"/>
    </row>
    <row r="2473" spans="1:24" ht="12.75" customHeight="1">
      <c r="A2473" s="15"/>
      <c r="B2473" s="92" t="str">
        <f t="shared" si="354"/>
        <v/>
      </c>
      <c r="C2473" s="90"/>
      <c r="D2473" s="87"/>
      <c r="E2473" s="88"/>
      <c r="F2473" s="173"/>
      <c r="G2473" s="88"/>
      <c r="H2473" s="88"/>
      <c r="I2473" s="88"/>
      <c r="J2473" s="88"/>
      <c r="K2473" s="230"/>
      <c r="L2473" s="88"/>
      <c r="M2473" s="88"/>
      <c r="N2473" s="88"/>
      <c r="O2473" s="88"/>
      <c r="P2473" s="88"/>
      <c r="Q2473" s="88"/>
      <c r="R2473" s="88"/>
      <c r="S2473" s="620"/>
      <c r="T2473" s="92"/>
      <c r="U2473" s="1214"/>
      <c r="V2473" s="1215"/>
      <c r="W2473" s="168"/>
      <c r="X2473" s="170"/>
    </row>
    <row r="2474" spans="1:24" ht="12.75" customHeight="1">
      <c r="A2474" s="15"/>
      <c r="B2474" s="92" t="str">
        <f t="shared" si="354"/>
        <v/>
      </c>
      <c r="C2474" s="90"/>
      <c r="D2474" s="87"/>
      <c r="E2474" s="88"/>
      <c r="F2474" s="173"/>
      <c r="G2474" s="88"/>
      <c r="H2474" s="88"/>
      <c r="I2474" s="88"/>
      <c r="J2474" s="88"/>
      <c r="K2474" s="230"/>
      <c r="L2474" s="88"/>
      <c r="M2474" s="88"/>
      <c r="N2474" s="88"/>
      <c r="O2474" s="88"/>
      <c r="P2474" s="88"/>
      <c r="Q2474" s="88"/>
      <c r="R2474" s="88"/>
      <c r="S2474" s="620"/>
      <c r="T2474" s="92"/>
      <c r="U2474" s="1214"/>
      <c r="V2474" s="1215"/>
      <c r="W2474" s="168"/>
      <c r="X2474" s="170"/>
    </row>
    <row r="2475" spans="1:24" ht="12.75" customHeight="1">
      <c r="A2475" s="15"/>
      <c r="B2475" s="92" t="str">
        <f t="shared" si="354"/>
        <v/>
      </c>
      <c r="C2475" s="90"/>
      <c r="D2475" s="87"/>
      <c r="E2475" s="88"/>
      <c r="F2475" s="173"/>
      <c r="G2475" s="88"/>
      <c r="H2475" s="88"/>
      <c r="I2475" s="88"/>
      <c r="J2475" s="88"/>
      <c r="K2475" s="230"/>
      <c r="L2475" s="88"/>
      <c r="M2475" s="88"/>
      <c r="N2475" s="88"/>
      <c r="O2475" s="88"/>
      <c r="P2475" s="88"/>
      <c r="Q2475" s="88"/>
      <c r="R2475" s="88"/>
      <c r="S2475" s="620"/>
      <c r="T2475" s="92"/>
      <c r="U2475" s="1214"/>
      <c r="V2475" s="1215"/>
      <c r="W2475" s="168"/>
      <c r="X2475" s="170"/>
    </row>
    <row r="2476" spans="1:24" ht="12.75" customHeight="1">
      <c r="A2476" s="15"/>
      <c r="B2476" s="92" t="str">
        <f t="shared" si="354"/>
        <v/>
      </c>
      <c r="C2476" s="90"/>
      <c r="D2476" s="87"/>
      <c r="E2476" s="88"/>
      <c r="F2476" s="173"/>
      <c r="G2476" s="88"/>
      <c r="H2476" s="88"/>
      <c r="I2476" s="88"/>
      <c r="J2476" s="88"/>
      <c r="K2476" s="230"/>
      <c r="L2476" s="88"/>
      <c r="M2476" s="88"/>
      <c r="N2476" s="88"/>
      <c r="O2476" s="88"/>
      <c r="P2476" s="88"/>
      <c r="Q2476" s="88"/>
      <c r="R2476" s="88"/>
      <c r="S2476" s="620"/>
      <c r="T2476" s="92"/>
      <c r="U2476" s="1214"/>
      <c r="V2476" s="1215"/>
      <c r="W2476" s="168"/>
      <c r="X2476" s="170"/>
    </row>
    <row r="2477" spans="1:24" ht="12.75" customHeight="1">
      <c r="A2477" s="15"/>
      <c r="B2477" s="92" t="str">
        <f t="shared" si="354"/>
        <v/>
      </c>
      <c r="C2477" s="90"/>
      <c r="D2477" s="87"/>
      <c r="E2477" s="88"/>
      <c r="F2477" s="173"/>
      <c r="G2477" s="88"/>
      <c r="H2477" s="88"/>
      <c r="I2477" s="88"/>
      <c r="J2477" s="88"/>
      <c r="K2477" s="230"/>
      <c r="L2477" s="88"/>
      <c r="M2477" s="88"/>
      <c r="N2477" s="88"/>
      <c r="O2477" s="88"/>
      <c r="P2477" s="88"/>
      <c r="Q2477" s="88"/>
      <c r="R2477" s="88"/>
      <c r="S2477" s="620"/>
      <c r="T2477" s="92"/>
      <c r="U2477" s="1214"/>
      <c r="V2477" s="1215"/>
      <c r="W2477" s="168"/>
      <c r="X2477" s="170"/>
    </row>
    <row r="2478" spans="1:24" ht="12.75" customHeight="1">
      <c r="A2478" s="15"/>
      <c r="B2478" s="92" t="str">
        <f t="shared" si="354"/>
        <v/>
      </c>
      <c r="C2478" s="90"/>
      <c r="D2478" s="87"/>
      <c r="E2478" s="88"/>
      <c r="F2478" s="173"/>
      <c r="G2478" s="88"/>
      <c r="H2478" s="88"/>
      <c r="I2478" s="88"/>
      <c r="J2478" s="88"/>
      <c r="K2478" s="230"/>
      <c r="L2478" s="88"/>
      <c r="M2478" s="88"/>
      <c r="N2478" s="88"/>
      <c r="O2478" s="88"/>
      <c r="P2478" s="88"/>
      <c r="Q2478" s="88"/>
      <c r="R2478" s="88"/>
      <c r="S2478" s="620"/>
      <c r="T2478" s="92"/>
      <c r="U2478" s="1214"/>
      <c r="V2478" s="1215"/>
      <c r="W2478" s="168"/>
      <c r="X2478" s="170"/>
    </row>
    <row r="2479" spans="1:24" ht="12.75" customHeight="1">
      <c r="A2479" s="15"/>
      <c r="B2479" s="92" t="str">
        <f t="shared" ref="B2479:B2542" si="355">IF(C2479="","",ROW()-5)</f>
        <v/>
      </c>
      <c r="C2479" s="90"/>
      <c r="D2479" s="87"/>
      <c r="E2479" s="88"/>
      <c r="F2479" s="173"/>
      <c r="G2479" s="88"/>
      <c r="H2479" s="88"/>
      <c r="I2479" s="88"/>
      <c r="J2479" s="88"/>
      <c r="K2479" s="230"/>
      <c r="L2479" s="88"/>
      <c r="M2479" s="88"/>
      <c r="N2479" s="88"/>
      <c r="O2479" s="88"/>
      <c r="P2479" s="88"/>
      <c r="Q2479" s="88"/>
      <c r="R2479" s="88"/>
      <c r="S2479" s="620"/>
      <c r="T2479" s="92"/>
      <c r="U2479" s="1214"/>
      <c r="V2479" s="1215"/>
      <c r="W2479" s="168"/>
      <c r="X2479" s="170"/>
    </row>
    <row r="2480" spans="1:24" ht="12.75" customHeight="1">
      <c r="A2480" s="15"/>
      <c r="B2480" s="92" t="str">
        <f t="shared" si="355"/>
        <v/>
      </c>
      <c r="C2480" s="90"/>
      <c r="D2480" s="87"/>
      <c r="E2480" s="88"/>
      <c r="F2480" s="173"/>
      <c r="G2480" s="88"/>
      <c r="H2480" s="88"/>
      <c r="I2480" s="88"/>
      <c r="J2480" s="88"/>
      <c r="K2480" s="230"/>
      <c r="L2480" s="88"/>
      <c r="M2480" s="88"/>
      <c r="N2480" s="88"/>
      <c r="O2480" s="88"/>
      <c r="P2480" s="88"/>
      <c r="Q2480" s="88"/>
      <c r="R2480" s="88"/>
      <c r="S2480" s="620"/>
      <c r="T2480" s="92"/>
      <c r="U2480" s="1214"/>
      <c r="V2480" s="1215"/>
      <c r="W2480" s="168"/>
      <c r="X2480" s="170"/>
    </row>
    <row r="2481" spans="1:24" ht="12.75" customHeight="1">
      <c r="A2481" s="15"/>
      <c r="B2481" s="92" t="str">
        <f t="shared" si="355"/>
        <v/>
      </c>
      <c r="C2481" s="90"/>
      <c r="D2481" s="87"/>
      <c r="E2481" s="88"/>
      <c r="F2481" s="173"/>
      <c r="G2481" s="88"/>
      <c r="H2481" s="88"/>
      <c r="I2481" s="88"/>
      <c r="J2481" s="88"/>
      <c r="K2481" s="230"/>
      <c r="L2481" s="88"/>
      <c r="M2481" s="88"/>
      <c r="N2481" s="88"/>
      <c r="O2481" s="88"/>
      <c r="P2481" s="88"/>
      <c r="Q2481" s="88"/>
      <c r="R2481" s="88"/>
      <c r="S2481" s="620"/>
      <c r="T2481" s="92"/>
      <c r="U2481" s="1214"/>
      <c r="V2481" s="1215"/>
      <c r="W2481" s="168"/>
      <c r="X2481" s="170"/>
    </row>
    <row r="2482" spans="1:24" ht="12.75" customHeight="1">
      <c r="A2482" s="15"/>
      <c r="B2482" s="92" t="str">
        <f t="shared" si="355"/>
        <v/>
      </c>
      <c r="C2482" s="90"/>
      <c r="D2482" s="87"/>
      <c r="E2482" s="88"/>
      <c r="F2482" s="173"/>
      <c r="G2482" s="88"/>
      <c r="H2482" s="88"/>
      <c r="I2482" s="88"/>
      <c r="J2482" s="88"/>
      <c r="K2482" s="230"/>
      <c r="L2482" s="88"/>
      <c r="M2482" s="88"/>
      <c r="N2482" s="88"/>
      <c r="O2482" s="88"/>
      <c r="P2482" s="88"/>
      <c r="Q2482" s="88"/>
      <c r="R2482" s="88"/>
      <c r="S2482" s="620"/>
      <c r="T2482" s="92"/>
      <c r="U2482" s="1214"/>
      <c r="V2482" s="1215"/>
      <c r="W2482" s="168"/>
      <c r="X2482" s="170"/>
    </row>
    <row r="2483" spans="1:24" ht="12.75" customHeight="1">
      <c r="A2483" s="15"/>
      <c r="B2483" s="92" t="str">
        <f t="shared" si="355"/>
        <v/>
      </c>
      <c r="C2483" s="90"/>
      <c r="D2483" s="87"/>
      <c r="E2483" s="88"/>
      <c r="F2483" s="173"/>
      <c r="G2483" s="88"/>
      <c r="H2483" s="88"/>
      <c r="I2483" s="88"/>
      <c r="J2483" s="88"/>
      <c r="K2483" s="230"/>
      <c r="L2483" s="88"/>
      <c r="M2483" s="88"/>
      <c r="N2483" s="88"/>
      <c r="O2483" s="88"/>
      <c r="P2483" s="88"/>
      <c r="Q2483" s="88"/>
      <c r="R2483" s="88"/>
      <c r="S2483" s="620"/>
      <c r="T2483" s="92"/>
      <c r="U2483" s="1214"/>
      <c r="V2483" s="1215"/>
      <c r="W2483" s="168"/>
      <c r="X2483" s="170"/>
    </row>
    <row r="2484" spans="1:24" ht="12.75" customHeight="1">
      <c r="A2484" s="15"/>
      <c r="B2484" s="92" t="str">
        <f t="shared" si="355"/>
        <v/>
      </c>
      <c r="C2484" s="90"/>
      <c r="D2484" s="87"/>
      <c r="E2484" s="88"/>
      <c r="F2484" s="173"/>
      <c r="G2484" s="88"/>
      <c r="H2484" s="88"/>
      <c r="I2484" s="88"/>
      <c r="J2484" s="88"/>
      <c r="K2484" s="230"/>
      <c r="L2484" s="88"/>
      <c r="M2484" s="88"/>
      <c r="N2484" s="88"/>
      <c r="O2484" s="88"/>
      <c r="P2484" s="88"/>
      <c r="Q2484" s="88"/>
      <c r="R2484" s="88"/>
      <c r="S2484" s="620"/>
      <c r="T2484" s="92"/>
      <c r="U2484" s="1214"/>
      <c r="V2484" s="1215"/>
      <c r="W2484" s="168"/>
      <c r="X2484" s="170"/>
    </row>
    <row r="2485" spans="1:24" ht="12.75" customHeight="1">
      <c r="A2485" s="15"/>
      <c r="B2485" s="92" t="str">
        <f t="shared" si="355"/>
        <v/>
      </c>
      <c r="C2485" s="90"/>
      <c r="D2485" s="87"/>
      <c r="E2485" s="88"/>
      <c r="F2485" s="173"/>
      <c r="G2485" s="88"/>
      <c r="H2485" s="88"/>
      <c r="I2485" s="88"/>
      <c r="J2485" s="88"/>
      <c r="K2485" s="230"/>
      <c r="L2485" s="88"/>
      <c r="M2485" s="88"/>
      <c r="N2485" s="88"/>
      <c r="O2485" s="88"/>
      <c r="P2485" s="88"/>
      <c r="Q2485" s="88"/>
      <c r="R2485" s="88"/>
      <c r="S2485" s="620"/>
      <c r="T2485" s="92"/>
      <c r="U2485" s="1214"/>
      <c r="V2485" s="1215"/>
      <c r="W2485" s="168"/>
      <c r="X2485" s="170"/>
    </row>
    <row r="2486" spans="1:24" ht="12.75" customHeight="1">
      <c r="A2486" s="15"/>
      <c r="B2486" s="92" t="str">
        <f t="shared" si="355"/>
        <v/>
      </c>
      <c r="C2486" s="90"/>
      <c r="D2486" s="87"/>
      <c r="E2486" s="88"/>
      <c r="F2486" s="173"/>
      <c r="G2486" s="88"/>
      <c r="H2486" s="88"/>
      <c r="I2486" s="88"/>
      <c r="J2486" s="88"/>
      <c r="K2486" s="230"/>
      <c r="L2486" s="88"/>
      <c r="M2486" s="88"/>
      <c r="N2486" s="88"/>
      <c r="O2486" s="88"/>
      <c r="P2486" s="88"/>
      <c r="Q2486" s="88"/>
      <c r="R2486" s="88"/>
      <c r="S2486" s="620"/>
      <c r="T2486" s="92"/>
      <c r="U2486" s="1214"/>
      <c r="V2486" s="1215"/>
      <c r="W2486" s="168"/>
      <c r="X2486" s="170"/>
    </row>
    <row r="2487" spans="1:24" ht="12.75" customHeight="1">
      <c r="A2487" s="15"/>
      <c r="B2487" s="92" t="str">
        <f t="shared" si="355"/>
        <v/>
      </c>
      <c r="C2487" s="90"/>
      <c r="D2487" s="87"/>
      <c r="E2487" s="88"/>
      <c r="F2487" s="173"/>
      <c r="G2487" s="88"/>
      <c r="H2487" s="88"/>
      <c r="I2487" s="88"/>
      <c r="J2487" s="88"/>
      <c r="K2487" s="230"/>
      <c r="L2487" s="88"/>
      <c r="M2487" s="88"/>
      <c r="N2487" s="88"/>
      <c r="O2487" s="88"/>
      <c r="P2487" s="88"/>
      <c r="Q2487" s="88"/>
      <c r="R2487" s="88"/>
      <c r="S2487" s="620"/>
      <c r="T2487" s="92"/>
      <c r="U2487" s="1214"/>
      <c r="V2487" s="1215"/>
      <c r="W2487" s="168"/>
      <c r="X2487" s="170"/>
    </row>
    <row r="2488" spans="1:24" ht="12.75" customHeight="1">
      <c r="A2488" s="15"/>
      <c r="B2488" s="92" t="str">
        <f t="shared" si="355"/>
        <v/>
      </c>
      <c r="C2488" s="90"/>
      <c r="D2488" s="87"/>
      <c r="E2488" s="88"/>
      <c r="F2488" s="173"/>
      <c r="G2488" s="88"/>
      <c r="H2488" s="88"/>
      <c r="I2488" s="88"/>
      <c r="J2488" s="88"/>
      <c r="K2488" s="230"/>
      <c r="L2488" s="88"/>
      <c r="M2488" s="88"/>
      <c r="N2488" s="88"/>
      <c r="O2488" s="88"/>
      <c r="P2488" s="88"/>
      <c r="Q2488" s="88"/>
      <c r="R2488" s="88"/>
      <c r="S2488" s="620"/>
      <c r="T2488" s="92"/>
      <c r="U2488" s="1214"/>
      <c r="V2488" s="1215"/>
      <c r="W2488" s="168"/>
      <c r="X2488" s="170"/>
    </row>
    <row r="2489" spans="1:24" ht="12.75" customHeight="1">
      <c r="A2489" s="15"/>
      <c r="B2489" s="92" t="str">
        <f t="shared" si="355"/>
        <v/>
      </c>
      <c r="C2489" s="90"/>
      <c r="D2489" s="87"/>
      <c r="E2489" s="88"/>
      <c r="F2489" s="173"/>
      <c r="G2489" s="88"/>
      <c r="H2489" s="88"/>
      <c r="I2489" s="88"/>
      <c r="J2489" s="88"/>
      <c r="K2489" s="230"/>
      <c r="L2489" s="88"/>
      <c r="M2489" s="88"/>
      <c r="N2489" s="88"/>
      <c r="O2489" s="88"/>
      <c r="P2489" s="88"/>
      <c r="Q2489" s="88"/>
      <c r="R2489" s="88"/>
      <c r="S2489" s="620"/>
      <c r="T2489" s="92"/>
      <c r="U2489" s="1214"/>
      <c r="V2489" s="1215"/>
      <c r="W2489" s="168"/>
      <c r="X2489" s="170"/>
    </row>
    <row r="2490" spans="1:24" ht="12.75" customHeight="1">
      <c r="A2490" s="15"/>
      <c r="B2490" s="92" t="str">
        <f t="shared" si="355"/>
        <v/>
      </c>
      <c r="C2490" s="90"/>
      <c r="D2490" s="87"/>
      <c r="E2490" s="88"/>
      <c r="F2490" s="173"/>
      <c r="G2490" s="88"/>
      <c r="H2490" s="88"/>
      <c r="I2490" s="88"/>
      <c r="J2490" s="88"/>
      <c r="K2490" s="230"/>
      <c r="L2490" s="88"/>
      <c r="M2490" s="88"/>
      <c r="N2490" s="88"/>
      <c r="O2490" s="88"/>
      <c r="P2490" s="88"/>
      <c r="Q2490" s="88"/>
      <c r="R2490" s="88"/>
      <c r="S2490" s="620"/>
      <c r="T2490" s="92"/>
      <c r="U2490" s="1214"/>
      <c r="V2490" s="1215"/>
      <c r="W2490" s="168"/>
      <c r="X2490" s="170"/>
    </row>
    <row r="2491" spans="1:24" ht="12.75" customHeight="1">
      <c r="A2491" s="15"/>
      <c r="B2491" s="92" t="str">
        <f t="shared" si="355"/>
        <v/>
      </c>
      <c r="C2491" s="90"/>
      <c r="D2491" s="87"/>
      <c r="E2491" s="88"/>
      <c r="F2491" s="173"/>
      <c r="G2491" s="88"/>
      <c r="H2491" s="88"/>
      <c r="I2491" s="88"/>
      <c r="J2491" s="88"/>
      <c r="K2491" s="230"/>
      <c r="L2491" s="88"/>
      <c r="M2491" s="88"/>
      <c r="N2491" s="88"/>
      <c r="O2491" s="88"/>
      <c r="P2491" s="88"/>
      <c r="Q2491" s="88"/>
      <c r="R2491" s="88"/>
      <c r="S2491" s="620"/>
      <c r="T2491" s="92"/>
      <c r="U2491" s="1214"/>
      <c r="V2491" s="1215"/>
      <c r="W2491" s="168"/>
      <c r="X2491" s="170"/>
    </row>
    <row r="2492" spans="1:24" ht="12.75" customHeight="1">
      <c r="A2492" s="15"/>
      <c r="B2492" s="92" t="str">
        <f t="shared" si="355"/>
        <v/>
      </c>
      <c r="C2492" s="90"/>
      <c r="D2492" s="87"/>
      <c r="E2492" s="88"/>
      <c r="F2492" s="173"/>
      <c r="G2492" s="88"/>
      <c r="H2492" s="88"/>
      <c r="I2492" s="88"/>
      <c r="J2492" s="88"/>
      <c r="K2492" s="230"/>
      <c r="L2492" s="88"/>
      <c r="M2492" s="88"/>
      <c r="N2492" s="88"/>
      <c r="O2492" s="88"/>
      <c r="P2492" s="88"/>
      <c r="Q2492" s="88"/>
      <c r="R2492" s="88"/>
      <c r="S2492" s="620"/>
      <c r="T2492" s="92"/>
      <c r="U2492" s="1214"/>
      <c r="V2492" s="1215"/>
      <c r="W2492" s="168"/>
      <c r="X2492" s="170"/>
    </row>
    <row r="2493" spans="1:24" ht="12.75" customHeight="1">
      <c r="A2493" s="15"/>
      <c r="B2493" s="92" t="str">
        <f t="shared" si="355"/>
        <v/>
      </c>
      <c r="C2493" s="90"/>
      <c r="D2493" s="87"/>
      <c r="E2493" s="88"/>
      <c r="F2493" s="173"/>
      <c r="G2493" s="88"/>
      <c r="H2493" s="88"/>
      <c r="I2493" s="88"/>
      <c r="J2493" s="88"/>
      <c r="K2493" s="230"/>
      <c r="L2493" s="88"/>
      <c r="M2493" s="88"/>
      <c r="N2493" s="88"/>
      <c r="O2493" s="88"/>
      <c r="P2493" s="88"/>
      <c r="Q2493" s="88"/>
      <c r="R2493" s="88"/>
      <c r="S2493" s="620"/>
      <c r="T2493" s="92"/>
      <c r="U2493" s="1214"/>
      <c r="V2493" s="1215"/>
      <c r="W2493" s="168"/>
      <c r="X2493" s="170"/>
    </row>
    <row r="2494" spans="1:24" ht="12.75" customHeight="1">
      <c r="A2494" s="15"/>
      <c r="B2494" s="92" t="str">
        <f t="shared" si="355"/>
        <v/>
      </c>
      <c r="C2494" s="90"/>
      <c r="D2494" s="87"/>
      <c r="E2494" s="88"/>
      <c r="F2494" s="173"/>
      <c r="G2494" s="88"/>
      <c r="H2494" s="88"/>
      <c r="I2494" s="88"/>
      <c r="J2494" s="88"/>
      <c r="K2494" s="230"/>
      <c r="L2494" s="88"/>
      <c r="M2494" s="88"/>
      <c r="N2494" s="88"/>
      <c r="O2494" s="88"/>
      <c r="P2494" s="88"/>
      <c r="Q2494" s="88"/>
      <c r="R2494" s="88"/>
      <c r="S2494" s="620"/>
      <c r="T2494" s="92"/>
      <c r="U2494" s="1214"/>
      <c r="V2494" s="1215"/>
      <c r="W2494" s="168"/>
      <c r="X2494" s="170"/>
    </row>
    <row r="2495" spans="1:24" ht="12.75" customHeight="1">
      <c r="A2495" s="15"/>
      <c r="B2495" s="92" t="str">
        <f t="shared" si="355"/>
        <v/>
      </c>
      <c r="C2495" s="90"/>
      <c r="D2495" s="87"/>
      <c r="E2495" s="88"/>
      <c r="F2495" s="173"/>
      <c r="G2495" s="88"/>
      <c r="H2495" s="88"/>
      <c r="I2495" s="88"/>
      <c r="J2495" s="88"/>
      <c r="K2495" s="230"/>
      <c r="L2495" s="88"/>
      <c r="M2495" s="88"/>
      <c r="N2495" s="88"/>
      <c r="O2495" s="88"/>
      <c r="P2495" s="88"/>
      <c r="Q2495" s="88"/>
      <c r="R2495" s="88"/>
      <c r="S2495" s="620"/>
      <c r="T2495" s="92"/>
      <c r="U2495" s="1214"/>
      <c r="V2495" s="1215"/>
      <c r="W2495" s="168"/>
      <c r="X2495" s="170"/>
    </row>
    <row r="2496" spans="1:24" ht="12.75" customHeight="1">
      <c r="A2496" s="15"/>
      <c r="B2496" s="92" t="str">
        <f t="shared" si="355"/>
        <v/>
      </c>
      <c r="C2496" s="90"/>
      <c r="D2496" s="87"/>
      <c r="E2496" s="88"/>
      <c r="F2496" s="173"/>
      <c r="G2496" s="88"/>
      <c r="H2496" s="88"/>
      <c r="I2496" s="88"/>
      <c r="J2496" s="88"/>
      <c r="K2496" s="230"/>
      <c r="L2496" s="88"/>
      <c r="M2496" s="88"/>
      <c r="N2496" s="88"/>
      <c r="O2496" s="88"/>
      <c r="P2496" s="88"/>
      <c r="Q2496" s="88"/>
      <c r="R2496" s="88"/>
      <c r="S2496" s="620"/>
      <c r="T2496" s="92"/>
      <c r="U2496" s="1214"/>
      <c r="V2496" s="1215"/>
      <c r="W2496" s="168"/>
      <c r="X2496" s="170"/>
    </row>
    <row r="2497" spans="1:24" ht="12.75" customHeight="1">
      <c r="A2497" s="15"/>
      <c r="B2497" s="92" t="str">
        <f t="shared" si="355"/>
        <v/>
      </c>
      <c r="C2497" s="90"/>
      <c r="D2497" s="87"/>
      <c r="E2497" s="88"/>
      <c r="F2497" s="173"/>
      <c r="G2497" s="88"/>
      <c r="H2497" s="88"/>
      <c r="I2497" s="88"/>
      <c r="J2497" s="88"/>
      <c r="K2497" s="230"/>
      <c r="L2497" s="88"/>
      <c r="M2497" s="88"/>
      <c r="N2497" s="88"/>
      <c r="O2497" s="88"/>
      <c r="P2497" s="88"/>
      <c r="Q2497" s="88"/>
      <c r="R2497" s="88"/>
      <c r="S2497" s="620"/>
      <c r="T2497" s="92"/>
      <c r="U2497" s="1214"/>
      <c r="V2497" s="1215"/>
      <c r="W2497" s="168"/>
      <c r="X2497" s="170"/>
    </row>
    <row r="2498" spans="1:24" ht="12.75" customHeight="1">
      <c r="A2498" s="15"/>
      <c r="B2498" s="92" t="str">
        <f t="shared" si="355"/>
        <v/>
      </c>
      <c r="C2498" s="90"/>
      <c r="D2498" s="87"/>
      <c r="E2498" s="88"/>
      <c r="F2498" s="173"/>
      <c r="G2498" s="88"/>
      <c r="H2498" s="88"/>
      <c r="I2498" s="88"/>
      <c r="J2498" s="88"/>
      <c r="K2498" s="230"/>
      <c r="L2498" s="88"/>
      <c r="M2498" s="88"/>
      <c r="N2498" s="88"/>
      <c r="O2498" s="88"/>
      <c r="P2498" s="88"/>
      <c r="Q2498" s="88"/>
      <c r="R2498" s="88"/>
      <c r="S2498" s="620"/>
      <c r="T2498" s="92"/>
      <c r="U2498" s="1214"/>
      <c r="V2498" s="1215"/>
      <c r="W2498" s="168"/>
      <c r="X2498" s="170"/>
    </row>
    <row r="2499" spans="1:24" ht="12.75" customHeight="1">
      <c r="A2499" s="15"/>
      <c r="B2499" s="92" t="str">
        <f t="shared" si="355"/>
        <v/>
      </c>
      <c r="C2499" s="90"/>
      <c r="D2499" s="87"/>
      <c r="E2499" s="88"/>
      <c r="F2499" s="173"/>
      <c r="G2499" s="88"/>
      <c r="H2499" s="88"/>
      <c r="I2499" s="88"/>
      <c r="J2499" s="88"/>
      <c r="K2499" s="230"/>
      <c r="L2499" s="88"/>
      <c r="M2499" s="88"/>
      <c r="N2499" s="88"/>
      <c r="O2499" s="88"/>
      <c r="P2499" s="88"/>
      <c r="Q2499" s="88"/>
      <c r="R2499" s="88"/>
      <c r="S2499" s="620"/>
      <c r="T2499" s="92"/>
      <c r="U2499" s="1214"/>
      <c r="V2499" s="1215"/>
      <c r="W2499" s="168"/>
      <c r="X2499" s="170"/>
    </row>
    <row r="2500" spans="1:24" ht="12.75" customHeight="1">
      <c r="A2500" s="15"/>
      <c r="B2500" s="92" t="str">
        <f t="shared" si="355"/>
        <v/>
      </c>
      <c r="C2500" s="90"/>
      <c r="D2500" s="87"/>
      <c r="E2500" s="88"/>
      <c r="F2500" s="173"/>
      <c r="G2500" s="88"/>
      <c r="H2500" s="88"/>
      <c r="I2500" s="88"/>
      <c r="J2500" s="88"/>
      <c r="K2500" s="230"/>
      <c r="L2500" s="88"/>
      <c r="M2500" s="88"/>
      <c r="N2500" s="88"/>
      <c r="O2500" s="88"/>
      <c r="P2500" s="88"/>
      <c r="Q2500" s="88"/>
      <c r="R2500" s="88"/>
      <c r="S2500" s="620"/>
      <c r="T2500" s="92"/>
      <c r="U2500" s="1214"/>
      <c r="V2500" s="1215"/>
      <c r="W2500" s="168"/>
      <c r="X2500" s="170"/>
    </row>
    <row r="2501" spans="1:24" ht="12.75" customHeight="1">
      <c r="A2501" s="15"/>
      <c r="B2501" s="92" t="str">
        <f t="shared" si="355"/>
        <v/>
      </c>
      <c r="C2501" s="90"/>
      <c r="D2501" s="87"/>
      <c r="E2501" s="88"/>
      <c r="F2501" s="173"/>
      <c r="G2501" s="88"/>
      <c r="H2501" s="88"/>
      <c r="I2501" s="88"/>
      <c r="J2501" s="88"/>
      <c r="K2501" s="230"/>
      <c r="L2501" s="88"/>
      <c r="M2501" s="88"/>
      <c r="N2501" s="88"/>
      <c r="O2501" s="88"/>
      <c r="P2501" s="88"/>
      <c r="Q2501" s="88"/>
      <c r="R2501" s="88"/>
      <c r="S2501" s="620"/>
      <c r="T2501" s="92"/>
      <c r="U2501" s="1214"/>
      <c r="V2501" s="1215"/>
      <c r="W2501" s="168"/>
      <c r="X2501" s="170"/>
    </row>
    <row r="2502" spans="1:24" ht="12.75" customHeight="1">
      <c r="A2502" s="15"/>
      <c r="B2502" s="92" t="str">
        <f t="shared" si="355"/>
        <v/>
      </c>
      <c r="C2502" s="90"/>
      <c r="D2502" s="87"/>
      <c r="E2502" s="88"/>
      <c r="F2502" s="173"/>
      <c r="G2502" s="88"/>
      <c r="H2502" s="88"/>
      <c r="I2502" s="88"/>
      <c r="J2502" s="88"/>
      <c r="K2502" s="230"/>
      <c r="L2502" s="88"/>
      <c r="M2502" s="88"/>
      <c r="N2502" s="88"/>
      <c r="O2502" s="88"/>
      <c r="P2502" s="88"/>
      <c r="Q2502" s="88"/>
      <c r="R2502" s="88"/>
      <c r="S2502" s="620"/>
      <c r="T2502" s="92"/>
      <c r="U2502" s="1214"/>
      <c r="V2502" s="1215"/>
      <c r="W2502" s="168"/>
      <c r="X2502" s="170"/>
    </row>
    <row r="2503" spans="1:24" ht="12.75" customHeight="1">
      <c r="A2503" s="15"/>
      <c r="B2503" s="92" t="str">
        <f t="shared" si="355"/>
        <v/>
      </c>
      <c r="C2503" s="90"/>
      <c r="D2503" s="87"/>
      <c r="E2503" s="88"/>
      <c r="F2503" s="173"/>
      <c r="G2503" s="88"/>
      <c r="H2503" s="88"/>
      <c r="I2503" s="88"/>
      <c r="J2503" s="88"/>
      <c r="K2503" s="230"/>
      <c r="L2503" s="88"/>
      <c r="M2503" s="88"/>
      <c r="N2503" s="88"/>
      <c r="O2503" s="88"/>
      <c r="P2503" s="88"/>
      <c r="Q2503" s="88"/>
      <c r="R2503" s="88"/>
      <c r="S2503" s="620"/>
      <c r="T2503" s="92"/>
      <c r="U2503" s="1214"/>
      <c r="V2503" s="1215"/>
      <c r="W2503" s="168"/>
      <c r="X2503" s="170"/>
    </row>
    <row r="2504" spans="1:24" ht="12.75" customHeight="1">
      <c r="A2504" s="15"/>
      <c r="B2504" s="92" t="str">
        <f t="shared" si="355"/>
        <v/>
      </c>
      <c r="C2504" s="90"/>
      <c r="D2504" s="87"/>
      <c r="E2504" s="88"/>
      <c r="F2504" s="173"/>
      <c r="G2504" s="88"/>
      <c r="H2504" s="88"/>
      <c r="I2504" s="88"/>
      <c r="J2504" s="88"/>
      <c r="K2504" s="230"/>
      <c r="L2504" s="88"/>
      <c r="M2504" s="88"/>
      <c r="N2504" s="88"/>
      <c r="O2504" s="88"/>
      <c r="P2504" s="88"/>
      <c r="Q2504" s="88"/>
      <c r="R2504" s="88"/>
      <c r="S2504" s="620"/>
      <c r="T2504" s="92"/>
      <c r="U2504" s="1214"/>
      <c r="V2504" s="1215"/>
      <c r="W2504" s="168"/>
      <c r="X2504" s="170"/>
    </row>
    <row r="2505" spans="1:24" ht="12.75" customHeight="1">
      <c r="A2505" s="15"/>
      <c r="B2505" s="92" t="str">
        <f t="shared" si="355"/>
        <v/>
      </c>
      <c r="C2505" s="90"/>
      <c r="D2505" s="87"/>
      <c r="E2505" s="88"/>
      <c r="F2505" s="173"/>
      <c r="G2505" s="88"/>
      <c r="H2505" s="88"/>
      <c r="I2505" s="88"/>
      <c r="J2505" s="88"/>
      <c r="K2505" s="230"/>
      <c r="L2505" s="88"/>
      <c r="M2505" s="88"/>
      <c r="N2505" s="88"/>
      <c r="O2505" s="88"/>
      <c r="P2505" s="88"/>
      <c r="Q2505" s="88"/>
      <c r="R2505" s="88"/>
      <c r="S2505" s="620"/>
      <c r="T2505" s="92"/>
      <c r="U2505" s="1214"/>
      <c r="V2505" s="1215"/>
      <c r="W2505" s="168"/>
      <c r="X2505" s="170"/>
    </row>
    <row r="2506" spans="1:24" ht="12.75" customHeight="1">
      <c r="A2506" s="15"/>
      <c r="B2506" s="92" t="str">
        <f t="shared" si="355"/>
        <v/>
      </c>
      <c r="C2506" s="90"/>
      <c r="D2506" s="87"/>
      <c r="E2506" s="88"/>
      <c r="F2506" s="173"/>
      <c r="G2506" s="88"/>
      <c r="H2506" s="88"/>
      <c r="I2506" s="88"/>
      <c r="J2506" s="88"/>
      <c r="K2506" s="230"/>
      <c r="L2506" s="88"/>
      <c r="M2506" s="88"/>
      <c r="N2506" s="88"/>
      <c r="O2506" s="88"/>
      <c r="P2506" s="88"/>
      <c r="Q2506" s="88"/>
      <c r="R2506" s="88"/>
      <c r="S2506" s="620"/>
      <c r="T2506" s="92"/>
      <c r="U2506" s="1214"/>
      <c r="V2506" s="1215"/>
      <c r="W2506" s="168"/>
      <c r="X2506" s="170"/>
    </row>
    <row r="2507" spans="1:24" ht="12.75" customHeight="1">
      <c r="A2507" s="15"/>
      <c r="B2507" s="92" t="str">
        <f t="shared" si="355"/>
        <v/>
      </c>
      <c r="C2507" s="90"/>
      <c r="D2507" s="87"/>
      <c r="E2507" s="88"/>
      <c r="F2507" s="173"/>
      <c r="G2507" s="88"/>
      <c r="H2507" s="88"/>
      <c r="I2507" s="88"/>
      <c r="J2507" s="88"/>
      <c r="K2507" s="230"/>
      <c r="L2507" s="88"/>
      <c r="M2507" s="88"/>
      <c r="N2507" s="88"/>
      <c r="O2507" s="88"/>
      <c r="P2507" s="88"/>
      <c r="Q2507" s="88"/>
      <c r="R2507" s="88"/>
      <c r="S2507" s="620"/>
      <c r="T2507" s="92"/>
      <c r="U2507" s="1214"/>
      <c r="V2507" s="1215"/>
      <c r="W2507" s="168"/>
      <c r="X2507" s="170"/>
    </row>
    <row r="2508" spans="1:24" ht="12.75" customHeight="1">
      <c r="A2508" s="15"/>
      <c r="B2508" s="92" t="str">
        <f t="shared" si="355"/>
        <v/>
      </c>
      <c r="C2508" s="90"/>
      <c r="D2508" s="87"/>
      <c r="E2508" s="88"/>
      <c r="F2508" s="173"/>
      <c r="G2508" s="88"/>
      <c r="H2508" s="88"/>
      <c r="I2508" s="88"/>
      <c r="J2508" s="88"/>
      <c r="K2508" s="230"/>
      <c r="L2508" s="88"/>
      <c r="M2508" s="88"/>
      <c r="N2508" s="88"/>
      <c r="O2508" s="88"/>
      <c r="P2508" s="88"/>
      <c r="Q2508" s="88"/>
      <c r="R2508" s="88"/>
      <c r="S2508" s="620"/>
      <c r="T2508" s="92"/>
      <c r="U2508" s="1214"/>
      <c r="V2508" s="1215"/>
      <c r="W2508" s="168"/>
      <c r="X2508" s="170"/>
    </row>
    <row r="2509" spans="1:24" ht="12.75" customHeight="1">
      <c r="A2509" s="15"/>
      <c r="B2509" s="92" t="str">
        <f t="shared" si="355"/>
        <v/>
      </c>
      <c r="C2509" s="90"/>
      <c r="D2509" s="87"/>
      <c r="E2509" s="88"/>
      <c r="F2509" s="173"/>
      <c r="G2509" s="88"/>
      <c r="H2509" s="88"/>
      <c r="I2509" s="88"/>
      <c r="J2509" s="88"/>
      <c r="K2509" s="230"/>
      <c r="L2509" s="88"/>
      <c r="M2509" s="88"/>
      <c r="N2509" s="88"/>
      <c r="O2509" s="88"/>
      <c r="P2509" s="88"/>
      <c r="Q2509" s="88"/>
      <c r="R2509" s="88"/>
      <c r="S2509" s="620"/>
      <c r="T2509" s="92"/>
      <c r="U2509" s="1214"/>
      <c r="V2509" s="1215"/>
      <c r="W2509" s="168"/>
      <c r="X2509" s="170"/>
    </row>
    <row r="2510" spans="1:24" ht="12.75" customHeight="1">
      <c r="A2510" s="15"/>
      <c r="B2510" s="92" t="str">
        <f t="shared" si="355"/>
        <v/>
      </c>
      <c r="C2510" s="90"/>
      <c r="D2510" s="87"/>
      <c r="E2510" s="88"/>
      <c r="F2510" s="173"/>
      <c r="G2510" s="88"/>
      <c r="H2510" s="88"/>
      <c r="I2510" s="88"/>
      <c r="J2510" s="88"/>
      <c r="K2510" s="230"/>
      <c r="L2510" s="88"/>
      <c r="M2510" s="88"/>
      <c r="N2510" s="88"/>
      <c r="O2510" s="88"/>
      <c r="P2510" s="88"/>
      <c r="Q2510" s="88"/>
      <c r="R2510" s="88"/>
      <c r="S2510" s="620"/>
      <c r="T2510" s="92"/>
      <c r="U2510" s="1214"/>
      <c r="V2510" s="1215"/>
      <c r="W2510" s="168"/>
      <c r="X2510" s="170"/>
    </row>
    <row r="2511" spans="1:24" ht="12.75" customHeight="1">
      <c r="A2511" s="15"/>
      <c r="B2511" s="92" t="str">
        <f t="shared" si="355"/>
        <v/>
      </c>
      <c r="C2511" s="90"/>
      <c r="D2511" s="87"/>
      <c r="E2511" s="88"/>
      <c r="F2511" s="173"/>
      <c r="G2511" s="88"/>
      <c r="H2511" s="88"/>
      <c r="I2511" s="88"/>
      <c r="J2511" s="88"/>
      <c r="K2511" s="230"/>
      <c r="L2511" s="88"/>
      <c r="M2511" s="88"/>
      <c r="N2511" s="88"/>
      <c r="O2511" s="88"/>
      <c r="P2511" s="88"/>
      <c r="Q2511" s="88"/>
      <c r="R2511" s="88"/>
      <c r="S2511" s="620"/>
      <c r="T2511" s="92"/>
      <c r="U2511" s="1214"/>
      <c r="V2511" s="1215"/>
      <c r="W2511" s="168"/>
      <c r="X2511" s="170"/>
    </row>
    <row r="2512" spans="1:24" ht="12.75" customHeight="1">
      <c r="A2512" s="15"/>
      <c r="B2512" s="92" t="str">
        <f t="shared" si="355"/>
        <v/>
      </c>
      <c r="C2512" s="90"/>
      <c r="D2512" s="87"/>
      <c r="E2512" s="88"/>
      <c r="F2512" s="173"/>
      <c r="G2512" s="88"/>
      <c r="H2512" s="88"/>
      <c r="I2512" s="88"/>
      <c r="J2512" s="88"/>
      <c r="K2512" s="230"/>
      <c r="L2512" s="88"/>
      <c r="M2512" s="88"/>
      <c r="N2512" s="88"/>
      <c r="O2512" s="88"/>
      <c r="P2512" s="88"/>
      <c r="Q2512" s="88"/>
      <c r="R2512" s="88"/>
      <c r="S2512" s="620"/>
      <c r="T2512" s="92"/>
      <c r="U2512" s="1214"/>
      <c r="V2512" s="1215"/>
      <c r="W2512" s="168"/>
      <c r="X2512" s="170"/>
    </row>
    <row r="2513" spans="1:24" ht="12.75" customHeight="1">
      <c r="A2513" s="15"/>
      <c r="B2513" s="92" t="str">
        <f t="shared" si="355"/>
        <v/>
      </c>
      <c r="C2513" s="90"/>
      <c r="D2513" s="87"/>
      <c r="E2513" s="88"/>
      <c r="F2513" s="173"/>
      <c r="G2513" s="88"/>
      <c r="H2513" s="88"/>
      <c r="I2513" s="88"/>
      <c r="J2513" s="88"/>
      <c r="K2513" s="230"/>
      <c r="L2513" s="88"/>
      <c r="M2513" s="88"/>
      <c r="N2513" s="88"/>
      <c r="O2513" s="88"/>
      <c r="P2513" s="88"/>
      <c r="Q2513" s="88"/>
      <c r="R2513" s="88"/>
      <c r="S2513" s="620"/>
      <c r="T2513" s="92"/>
      <c r="U2513" s="1214"/>
      <c r="V2513" s="1215"/>
      <c r="W2513" s="168"/>
      <c r="X2513" s="170"/>
    </row>
    <row r="2514" spans="1:24" ht="12.75" customHeight="1">
      <c r="A2514" s="15"/>
      <c r="B2514" s="92" t="str">
        <f t="shared" si="355"/>
        <v/>
      </c>
      <c r="C2514" s="90"/>
      <c r="D2514" s="87"/>
      <c r="E2514" s="88"/>
      <c r="F2514" s="173"/>
      <c r="G2514" s="88"/>
      <c r="H2514" s="88"/>
      <c r="I2514" s="88"/>
      <c r="J2514" s="88"/>
      <c r="K2514" s="230"/>
      <c r="L2514" s="88"/>
      <c r="M2514" s="88"/>
      <c r="N2514" s="88"/>
      <c r="O2514" s="88"/>
      <c r="P2514" s="88"/>
      <c r="Q2514" s="88"/>
      <c r="R2514" s="88"/>
      <c r="S2514" s="620"/>
      <c r="T2514" s="92"/>
      <c r="U2514" s="1214"/>
      <c r="V2514" s="1215"/>
      <c r="W2514" s="168"/>
      <c r="X2514" s="170"/>
    </row>
    <row r="2515" spans="1:24" ht="12.75" customHeight="1">
      <c r="A2515" s="15"/>
      <c r="B2515" s="92" t="str">
        <f t="shared" si="355"/>
        <v/>
      </c>
      <c r="C2515" s="90"/>
      <c r="D2515" s="87"/>
      <c r="E2515" s="88"/>
      <c r="F2515" s="173"/>
      <c r="G2515" s="88"/>
      <c r="H2515" s="88"/>
      <c r="I2515" s="88"/>
      <c r="J2515" s="88"/>
      <c r="K2515" s="230"/>
      <c r="L2515" s="88"/>
      <c r="M2515" s="88"/>
      <c r="N2515" s="88"/>
      <c r="O2515" s="88"/>
      <c r="P2515" s="88"/>
      <c r="Q2515" s="88"/>
      <c r="R2515" s="88"/>
      <c r="S2515" s="620"/>
      <c r="T2515" s="92"/>
      <c r="U2515" s="1214"/>
      <c r="V2515" s="1215"/>
      <c r="W2515" s="168"/>
      <c r="X2515" s="170"/>
    </row>
    <row r="2516" spans="1:24" ht="12.75" customHeight="1">
      <c r="A2516" s="15"/>
      <c r="B2516" s="92" t="str">
        <f t="shared" si="355"/>
        <v/>
      </c>
      <c r="C2516" s="90"/>
      <c r="D2516" s="87"/>
      <c r="E2516" s="88"/>
      <c r="F2516" s="173"/>
      <c r="G2516" s="88"/>
      <c r="H2516" s="88"/>
      <c r="I2516" s="88"/>
      <c r="J2516" s="88"/>
      <c r="K2516" s="230"/>
      <c r="L2516" s="88"/>
      <c r="M2516" s="88"/>
      <c r="N2516" s="88"/>
      <c r="O2516" s="88"/>
      <c r="P2516" s="88"/>
      <c r="Q2516" s="88"/>
      <c r="R2516" s="88"/>
      <c r="S2516" s="620"/>
      <c r="T2516" s="92"/>
      <c r="U2516" s="1214"/>
      <c r="V2516" s="1215"/>
      <c r="W2516" s="168"/>
      <c r="X2516" s="170"/>
    </row>
    <row r="2517" spans="1:24" ht="12.75" customHeight="1">
      <c r="A2517" s="15"/>
      <c r="B2517" s="92" t="str">
        <f t="shared" si="355"/>
        <v/>
      </c>
      <c r="C2517" s="90"/>
      <c r="D2517" s="87"/>
      <c r="E2517" s="88"/>
      <c r="F2517" s="173"/>
      <c r="G2517" s="88"/>
      <c r="H2517" s="88"/>
      <c r="I2517" s="88"/>
      <c r="J2517" s="88"/>
      <c r="K2517" s="230"/>
      <c r="L2517" s="88"/>
      <c r="M2517" s="88"/>
      <c r="N2517" s="88"/>
      <c r="O2517" s="88"/>
      <c r="P2517" s="88"/>
      <c r="Q2517" s="88"/>
      <c r="R2517" s="88"/>
      <c r="S2517" s="620"/>
      <c r="T2517" s="92"/>
      <c r="U2517" s="1214"/>
      <c r="V2517" s="1215"/>
      <c r="W2517" s="168"/>
      <c r="X2517" s="170"/>
    </row>
    <row r="2518" spans="1:24" ht="12.75" customHeight="1">
      <c r="A2518" s="15"/>
      <c r="B2518" s="92" t="str">
        <f t="shared" si="355"/>
        <v/>
      </c>
      <c r="C2518" s="90"/>
      <c r="D2518" s="87"/>
      <c r="E2518" s="88"/>
      <c r="F2518" s="173"/>
      <c r="G2518" s="88"/>
      <c r="H2518" s="88"/>
      <c r="I2518" s="88"/>
      <c r="J2518" s="88"/>
      <c r="K2518" s="230"/>
      <c r="L2518" s="88"/>
      <c r="M2518" s="88"/>
      <c r="N2518" s="88"/>
      <c r="O2518" s="88"/>
      <c r="P2518" s="88"/>
      <c r="Q2518" s="88"/>
      <c r="R2518" s="88"/>
      <c r="S2518" s="620"/>
      <c r="T2518" s="92"/>
      <c r="U2518" s="1214"/>
      <c r="V2518" s="1215"/>
      <c r="W2518" s="168"/>
      <c r="X2518" s="170"/>
    </row>
    <row r="2519" spans="1:24" ht="12.75" customHeight="1">
      <c r="A2519" s="15"/>
      <c r="B2519" s="92" t="str">
        <f t="shared" si="355"/>
        <v/>
      </c>
      <c r="C2519" s="90"/>
      <c r="D2519" s="87"/>
      <c r="E2519" s="88"/>
      <c r="F2519" s="173"/>
      <c r="G2519" s="88"/>
      <c r="H2519" s="88"/>
      <c r="I2519" s="88"/>
      <c r="J2519" s="88"/>
      <c r="K2519" s="230"/>
      <c r="L2519" s="88"/>
      <c r="M2519" s="88"/>
      <c r="N2519" s="88"/>
      <c r="O2519" s="88"/>
      <c r="P2519" s="88"/>
      <c r="Q2519" s="88"/>
      <c r="R2519" s="88"/>
      <c r="S2519" s="620"/>
      <c r="T2519" s="92"/>
      <c r="U2519" s="1214"/>
      <c r="V2519" s="1215"/>
      <c r="W2519" s="168"/>
      <c r="X2519" s="170"/>
    </row>
    <row r="2520" spans="1:24" ht="12.75" customHeight="1">
      <c r="A2520" s="15"/>
      <c r="B2520" s="92" t="str">
        <f t="shared" si="355"/>
        <v/>
      </c>
      <c r="C2520" s="90"/>
      <c r="D2520" s="87"/>
      <c r="E2520" s="88"/>
      <c r="F2520" s="173"/>
      <c r="G2520" s="88"/>
      <c r="H2520" s="88"/>
      <c r="I2520" s="88"/>
      <c r="J2520" s="88"/>
      <c r="K2520" s="230"/>
      <c r="L2520" s="88"/>
      <c r="M2520" s="88"/>
      <c r="N2520" s="88"/>
      <c r="O2520" s="88"/>
      <c r="P2520" s="88"/>
      <c r="Q2520" s="88"/>
      <c r="R2520" s="88"/>
      <c r="S2520" s="620"/>
      <c r="T2520" s="92"/>
      <c r="U2520" s="1214"/>
      <c r="V2520" s="1215"/>
      <c r="W2520" s="168"/>
      <c r="X2520" s="170"/>
    </row>
    <row r="2521" spans="1:24" ht="12.75" customHeight="1">
      <c r="A2521" s="15"/>
      <c r="B2521" s="92" t="str">
        <f t="shared" si="355"/>
        <v/>
      </c>
      <c r="C2521" s="90"/>
      <c r="D2521" s="87"/>
      <c r="E2521" s="88"/>
      <c r="F2521" s="173"/>
      <c r="G2521" s="88"/>
      <c r="H2521" s="88"/>
      <c r="I2521" s="88"/>
      <c r="J2521" s="88"/>
      <c r="K2521" s="230"/>
      <c r="L2521" s="88"/>
      <c r="M2521" s="88"/>
      <c r="N2521" s="88"/>
      <c r="O2521" s="88"/>
      <c r="P2521" s="88"/>
      <c r="Q2521" s="88"/>
      <c r="R2521" s="88"/>
      <c r="S2521" s="620"/>
      <c r="T2521" s="92"/>
      <c r="U2521" s="1214"/>
      <c r="V2521" s="1215"/>
      <c r="W2521" s="168"/>
      <c r="X2521" s="170"/>
    </row>
    <row r="2522" spans="1:24" ht="12.75" customHeight="1">
      <c r="A2522" s="15"/>
      <c r="B2522" s="92" t="str">
        <f t="shared" si="355"/>
        <v/>
      </c>
      <c r="C2522" s="90"/>
      <c r="D2522" s="87"/>
      <c r="E2522" s="88"/>
      <c r="F2522" s="173"/>
      <c r="G2522" s="88"/>
      <c r="H2522" s="88"/>
      <c r="I2522" s="88"/>
      <c r="J2522" s="88"/>
      <c r="K2522" s="230"/>
      <c r="L2522" s="88"/>
      <c r="M2522" s="88"/>
      <c r="N2522" s="88"/>
      <c r="O2522" s="88"/>
      <c r="P2522" s="88"/>
      <c r="Q2522" s="88"/>
      <c r="R2522" s="88"/>
      <c r="S2522" s="620"/>
      <c r="T2522" s="92"/>
      <c r="U2522" s="1214"/>
      <c r="V2522" s="1215"/>
      <c r="W2522" s="168"/>
      <c r="X2522" s="170"/>
    </row>
    <row r="2523" spans="1:24" ht="12.75" customHeight="1">
      <c r="A2523" s="15"/>
      <c r="B2523" s="92" t="str">
        <f t="shared" si="355"/>
        <v/>
      </c>
      <c r="C2523" s="90"/>
      <c r="D2523" s="87"/>
      <c r="E2523" s="88"/>
      <c r="F2523" s="173"/>
      <c r="G2523" s="88"/>
      <c r="H2523" s="88"/>
      <c r="I2523" s="88"/>
      <c r="J2523" s="88"/>
      <c r="K2523" s="230"/>
      <c r="L2523" s="88"/>
      <c r="M2523" s="88"/>
      <c r="N2523" s="88"/>
      <c r="O2523" s="88"/>
      <c r="P2523" s="88"/>
      <c r="Q2523" s="88"/>
      <c r="R2523" s="88"/>
      <c r="S2523" s="620"/>
      <c r="T2523" s="92"/>
      <c r="U2523" s="1214"/>
      <c r="V2523" s="1215"/>
      <c r="W2523" s="168"/>
      <c r="X2523" s="170"/>
    </row>
    <row r="2524" spans="1:24" ht="12.75" customHeight="1">
      <c r="A2524" s="15"/>
      <c r="B2524" s="92" t="str">
        <f t="shared" si="355"/>
        <v/>
      </c>
      <c r="C2524" s="90"/>
      <c r="D2524" s="87"/>
      <c r="E2524" s="88"/>
      <c r="F2524" s="173"/>
      <c r="G2524" s="88"/>
      <c r="H2524" s="88"/>
      <c r="I2524" s="88"/>
      <c r="J2524" s="88"/>
      <c r="K2524" s="230"/>
      <c r="L2524" s="88"/>
      <c r="M2524" s="88"/>
      <c r="N2524" s="88"/>
      <c r="O2524" s="88"/>
      <c r="P2524" s="88"/>
      <c r="Q2524" s="88"/>
      <c r="R2524" s="88"/>
      <c r="S2524" s="620"/>
      <c r="T2524" s="92"/>
      <c r="U2524" s="1214"/>
      <c r="V2524" s="1215"/>
      <c r="W2524" s="168"/>
      <c r="X2524" s="170"/>
    </row>
    <row r="2525" spans="1:24" ht="12.75" customHeight="1">
      <c r="A2525" s="15"/>
      <c r="B2525" s="92" t="str">
        <f t="shared" si="355"/>
        <v/>
      </c>
      <c r="C2525" s="90"/>
      <c r="D2525" s="87"/>
      <c r="E2525" s="88"/>
      <c r="F2525" s="173"/>
      <c r="G2525" s="88"/>
      <c r="H2525" s="88"/>
      <c r="I2525" s="88"/>
      <c r="J2525" s="88"/>
      <c r="K2525" s="230"/>
      <c r="L2525" s="88"/>
      <c r="M2525" s="88"/>
      <c r="N2525" s="88"/>
      <c r="O2525" s="88"/>
      <c r="P2525" s="88"/>
      <c r="Q2525" s="88"/>
      <c r="R2525" s="88"/>
      <c r="S2525" s="620"/>
      <c r="T2525" s="92"/>
      <c r="U2525" s="1214"/>
      <c r="V2525" s="1215"/>
      <c r="W2525" s="168"/>
      <c r="X2525" s="170"/>
    </row>
    <row r="2526" spans="1:24" ht="12.75" customHeight="1">
      <c r="A2526" s="15"/>
      <c r="B2526" s="92" t="str">
        <f t="shared" si="355"/>
        <v/>
      </c>
      <c r="C2526" s="90"/>
      <c r="D2526" s="87"/>
      <c r="E2526" s="88"/>
      <c r="F2526" s="173"/>
      <c r="G2526" s="88"/>
      <c r="H2526" s="88"/>
      <c r="I2526" s="88"/>
      <c r="J2526" s="88"/>
      <c r="K2526" s="230"/>
      <c r="L2526" s="88"/>
      <c r="M2526" s="88"/>
      <c r="N2526" s="88"/>
      <c r="O2526" s="88"/>
      <c r="P2526" s="88"/>
      <c r="Q2526" s="88"/>
      <c r="R2526" s="88"/>
      <c r="S2526" s="620"/>
      <c r="T2526" s="92"/>
      <c r="U2526" s="1214"/>
      <c r="V2526" s="1215"/>
      <c r="W2526" s="168"/>
      <c r="X2526" s="170"/>
    </row>
    <row r="2527" spans="1:24" ht="12.75" customHeight="1">
      <c r="A2527" s="15"/>
      <c r="B2527" s="92" t="str">
        <f t="shared" si="355"/>
        <v/>
      </c>
      <c r="C2527" s="90"/>
      <c r="D2527" s="87"/>
      <c r="E2527" s="88"/>
      <c r="F2527" s="173"/>
      <c r="G2527" s="88"/>
      <c r="H2527" s="88"/>
      <c r="I2527" s="88"/>
      <c r="J2527" s="88"/>
      <c r="K2527" s="230"/>
      <c r="L2527" s="88"/>
      <c r="M2527" s="88"/>
      <c r="N2527" s="88"/>
      <c r="O2527" s="88"/>
      <c r="P2527" s="88"/>
      <c r="Q2527" s="88"/>
      <c r="R2527" s="88"/>
      <c r="S2527" s="620"/>
      <c r="T2527" s="92"/>
      <c r="U2527" s="1214"/>
      <c r="V2527" s="1215"/>
      <c r="W2527" s="168"/>
      <c r="X2527" s="170"/>
    </row>
    <row r="2528" spans="1:24" ht="12.75" customHeight="1">
      <c r="A2528" s="15"/>
      <c r="B2528" s="92" t="str">
        <f t="shared" si="355"/>
        <v/>
      </c>
      <c r="C2528" s="90"/>
      <c r="D2528" s="87"/>
      <c r="E2528" s="88"/>
      <c r="F2528" s="173"/>
      <c r="G2528" s="88"/>
      <c r="H2528" s="88"/>
      <c r="I2528" s="88"/>
      <c r="J2528" s="88"/>
      <c r="K2528" s="230"/>
      <c r="L2528" s="88"/>
      <c r="M2528" s="88"/>
      <c r="N2528" s="88"/>
      <c r="O2528" s="88"/>
      <c r="P2528" s="88"/>
      <c r="Q2528" s="88"/>
      <c r="R2528" s="88"/>
      <c r="S2528" s="620"/>
      <c r="T2528" s="92"/>
      <c r="U2528" s="1214"/>
      <c r="V2528" s="1215"/>
      <c r="W2528" s="168"/>
      <c r="X2528" s="170"/>
    </row>
    <row r="2529" spans="1:24" ht="12.75" customHeight="1">
      <c r="A2529" s="15"/>
      <c r="B2529" s="92" t="str">
        <f t="shared" si="355"/>
        <v/>
      </c>
      <c r="C2529" s="90"/>
      <c r="D2529" s="87"/>
      <c r="E2529" s="88"/>
      <c r="F2529" s="173"/>
      <c r="G2529" s="88"/>
      <c r="H2529" s="88"/>
      <c r="I2529" s="88"/>
      <c r="J2529" s="88"/>
      <c r="K2529" s="230"/>
      <c r="L2529" s="88"/>
      <c r="M2529" s="88"/>
      <c r="N2529" s="88"/>
      <c r="O2529" s="88"/>
      <c r="P2529" s="88"/>
      <c r="Q2529" s="88"/>
      <c r="R2529" s="88"/>
      <c r="S2529" s="620"/>
      <c r="T2529" s="92"/>
      <c r="U2529" s="1214"/>
      <c r="V2529" s="1215"/>
      <c r="W2529" s="168"/>
      <c r="X2529" s="170"/>
    </row>
    <row r="2530" spans="1:24" ht="12.75" customHeight="1">
      <c r="A2530" s="15"/>
      <c r="B2530" s="92" t="str">
        <f t="shared" si="355"/>
        <v/>
      </c>
      <c r="C2530" s="90"/>
      <c r="D2530" s="87"/>
      <c r="E2530" s="88"/>
      <c r="F2530" s="173"/>
      <c r="G2530" s="88"/>
      <c r="H2530" s="88"/>
      <c r="I2530" s="88"/>
      <c r="J2530" s="88"/>
      <c r="K2530" s="230"/>
      <c r="L2530" s="88"/>
      <c r="M2530" s="88"/>
      <c r="N2530" s="88"/>
      <c r="O2530" s="88"/>
      <c r="P2530" s="88"/>
      <c r="Q2530" s="88"/>
      <c r="R2530" s="88"/>
      <c r="S2530" s="620"/>
      <c r="T2530" s="92"/>
      <c r="U2530" s="1214"/>
      <c r="V2530" s="1215"/>
      <c r="W2530" s="168"/>
      <c r="X2530" s="170"/>
    </row>
    <row r="2531" spans="1:24" ht="12.75" customHeight="1">
      <c r="A2531" s="15"/>
      <c r="B2531" s="92" t="str">
        <f t="shared" si="355"/>
        <v/>
      </c>
      <c r="C2531" s="90"/>
      <c r="D2531" s="87"/>
      <c r="E2531" s="88"/>
      <c r="F2531" s="173"/>
      <c r="G2531" s="88"/>
      <c r="H2531" s="88"/>
      <c r="I2531" s="88"/>
      <c r="J2531" s="88"/>
      <c r="K2531" s="230"/>
      <c r="L2531" s="88"/>
      <c r="M2531" s="88"/>
      <c r="N2531" s="88"/>
      <c r="O2531" s="88"/>
      <c r="P2531" s="88"/>
      <c r="Q2531" s="88"/>
      <c r="R2531" s="88"/>
      <c r="S2531" s="620"/>
      <c r="T2531" s="92"/>
      <c r="U2531" s="1214"/>
      <c r="V2531" s="1215"/>
      <c r="W2531" s="168"/>
      <c r="X2531" s="170"/>
    </row>
    <row r="2532" spans="1:24" ht="12.75" customHeight="1">
      <c r="A2532" s="15"/>
      <c r="B2532" s="92" t="str">
        <f t="shared" si="355"/>
        <v/>
      </c>
      <c r="C2532" s="90"/>
      <c r="D2532" s="87"/>
      <c r="E2532" s="88"/>
      <c r="F2532" s="173"/>
      <c r="G2532" s="88"/>
      <c r="H2532" s="88"/>
      <c r="I2532" s="88"/>
      <c r="J2532" s="88"/>
      <c r="K2532" s="230"/>
      <c r="L2532" s="88"/>
      <c r="M2532" s="88"/>
      <c r="N2532" s="88"/>
      <c r="O2532" s="88"/>
      <c r="P2532" s="88"/>
      <c r="Q2532" s="88"/>
      <c r="R2532" s="88"/>
      <c r="S2532" s="620"/>
      <c r="T2532" s="92"/>
      <c r="U2532" s="1214"/>
      <c r="V2532" s="1215"/>
      <c r="W2532" s="168"/>
      <c r="X2532" s="170"/>
    </row>
    <row r="2533" spans="1:24" ht="12.75" customHeight="1">
      <c r="A2533" s="15"/>
      <c r="B2533" s="92" t="str">
        <f t="shared" si="355"/>
        <v/>
      </c>
      <c r="C2533" s="90"/>
      <c r="D2533" s="87"/>
      <c r="E2533" s="88"/>
      <c r="F2533" s="173"/>
      <c r="G2533" s="88"/>
      <c r="H2533" s="88"/>
      <c r="I2533" s="88"/>
      <c r="J2533" s="88"/>
      <c r="K2533" s="230"/>
      <c r="L2533" s="88"/>
      <c r="M2533" s="88"/>
      <c r="N2533" s="88"/>
      <c r="O2533" s="88"/>
      <c r="P2533" s="88"/>
      <c r="Q2533" s="88"/>
      <c r="R2533" s="88"/>
      <c r="S2533" s="620"/>
      <c r="T2533" s="92"/>
      <c r="U2533" s="1214"/>
      <c r="V2533" s="1215"/>
      <c r="W2533" s="168"/>
      <c r="X2533" s="170"/>
    </row>
    <row r="2534" spans="1:24" ht="12.75" customHeight="1">
      <c r="A2534" s="15"/>
      <c r="B2534" s="92" t="str">
        <f t="shared" si="355"/>
        <v/>
      </c>
      <c r="C2534" s="90"/>
      <c r="D2534" s="87"/>
      <c r="E2534" s="88"/>
      <c r="F2534" s="173"/>
      <c r="G2534" s="88"/>
      <c r="H2534" s="88"/>
      <c r="I2534" s="88"/>
      <c r="J2534" s="88"/>
      <c r="K2534" s="230"/>
      <c r="L2534" s="88"/>
      <c r="M2534" s="88"/>
      <c r="N2534" s="88"/>
      <c r="O2534" s="88"/>
      <c r="P2534" s="88"/>
      <c r="Q2534" s="88"/>
      <c r="R2534" s="88"/>
      <c r="S2534" s="620"/>
      <c r="T2534" s="92"/>
      <c r="U2534" s="1214"/>
      <c r="V2534" s="1215"/>
      <c r="W2534" s="168"/>
      <c r="X2534" s="170"/>
    </row>
    <row r="2535" spans="1:24" ht="12.75" customHeight="1">
      <c r="A2535" s="15"/>
      <c r="B2535" s="92" t="str">
        <f t="shared" si="355"/>
        <v/>
      </c>
      <c r="C2535" s="90"/>
      <c r="D2535" s="87"/>
      <c r="E2535" s="88"/>
      <c r="F2535" s="173"/>
      <c r="G2535" s="88"/>
      <c r="H2535" s="88"/>
      <c r="I2535" s="88"/>
      <c r="J2535" s="88"/>
      <c r="K2535" s="230"/>
      <c r="L2535" s="88"/>
      <c r="M2535" s="88"/>
      <c r="N2535" s="88"/>
      <c r="O2535" s="88"/>
      <c r="P2535" s="88"/>
      <c r="Q2535" s="88"/>
      <c r="R2535" s="88"/>
      <c r="S2535" s="620"/>
      <c r="T2535" s="92"/>
      <c r="U2535" s="1214"/>
      <c r="V2535" s="1215"/>
      <c r="W2535" s="168"/>
      <c r="X2535" s="170"/>
    </row>
    <row r="2536" spans="1:24" ht="12.75" customHeight="1">
      <c r="A2536" s="15"/>
      <c r="B2536" s="92" t="str">
        <f t="shared" si="355"/>
        <v/>
      </c>
      <c r="C2536" s="90"/>
      <c r="D2536" s="87"/>
      <c r="E2536" s="88"/>
      <c r="F2536" s="173"/>
      <c r="G2536" s="88"/>
      <c r="H2536" s="88"/>
      <c r="I2536" s="88"/>
      <c r="J2536" s="88"/>
      <c r="K2536" s="230"/>
      <c r="L2536" s="88"/>
      <c r="M2536" s="88"/>
      <c r="N2536" s="88"/>
      <c r="O2536" s="88"/>
      <c r="P2536" s="88"/>
      <c r="Q2536" s="88"/>
      <c r="R2536" s="88"/>
      <c r="S2536" s="620"/>
      <c r="T2536" s="92"/>
      <c r="U2536" s="1214"/>
      <c r="V2536" s="1215"/>
      <c r="W2536" s="168"/>
      <c r="X2536" s="170"/>
    </row>
    <row r="2537" spans="1:24" ht="12.75" customHeight="1">
      <c r="A2537" s="15"/>
      <c r="B2537" s="92" t="str">
        <f t="shared" si="355"/>
        <v/>
      </c>
      <c r="C2537" s="90"/>
      <c r="D2537" s="87"/>
      <c r="E2537" s="88"/>
      <c r="F2537" s="173"/>
      <c r="G2537" s="88"/>
      <c r="H2537" s="88"/>
      <c r="I2537" s="88"/>
      <c r="J2537" s="88"/>
      <c r="K2537" s="230"/>
      <c r="L2537" s="88"/>
      <c r="M2537" s="88"/>
      <c r="N2537" s="88"/>
      <c r="O2537" s="88"/>
      <c r="P2537" s="88"/>
      <c r="Q2537" s="88"/>
      <c r="R2537" s="88"/>
      <c r="S2537" s="620"/>
      <c r="T2537" s="92"/>
      <c r="U2537" s="1214"/>
      <c r="V2537" s="1215"/>
      <c r="W2537" s="168"/>
      <c r="X2537" s="170"/>
    </row>
    <row r="2538" spans="1:24" ht="12.75" customHeight="1">
      <c r="A2538" s="15"/>
      <c r="B2538" s="92" t="str">
        <f t="shared" si="355"/>
        <v/>
      </c>
      <c r="C2538" s="90"/>
      <c r="D2538" s="87"/>
      <c r="E2538" s="88"/>
      <c r="F2538" s="173"/>
      <c r="G2538" s="88"/>
      <c r="H2538" s="88"/>
      <c r="I2538" s="88"/>
      <c r="J2538" s="88"/>
      <c r="K2538" s="230"/>
      <c r="L2538" s="88"/>
      <c r="M2538" s="88"/>
      <c r="N2538" s="88"/>
      <c r="O2538" s="88"/>
      <c r="P2538" s="88"/>
      <c r="Q2538" s="88"/>
      <c r="R2538" s="88"/>
      <c r="S2538" s="620"/>
      <c r="T2538" s="92"/>
      <c r="U2538" s="1214"/>
      <c r="V2538" s="1215"/>
      <c r="W2538" s="168"/>
      <c r="X2538" s="170"/>
    </row>
    <row r="2539" spans="1:24" ht="12.75" customHeight="1">
      <c r="A2539" s="15"/>
      <c r="B2539" s="92" t="str">
        <f t="shared" si="355"/>
        <v/>
      </c>
      <c r="C2539" s="90"/>
      <c r="D2539" s="87"/>
      <c r="E2539" s="88"/>
      <c r="F2539" s="173"/>
      <c r="G2539" s="88"/>
      <c r="H2539" s="88"/>
      <c r="I2539" s="88"/>
      <c r="J2539" s="88"/>
      <c r="K2539" s="230"/>
      <c r="L2539" s="88"/>
      <c r="M2539" s="88"/>
      <c r="N2539" s="88"/>
      <c r="O2539" s="88"/>
      <c r="P2539" s="88"/>
      <c r="Q2539" s="88"/>
      <c r="R2539" s="88"/>
      <c r="S2539" s="620"/>
      <c r="T2539" s="92"/>
      <c r="U2539" s="1214"/>
      <c r="V2539" s="1215"/>
      <c r="W2539" s="168"/>
      <c r="X2539" s="170"/>
    </row>
    <row r="2540" spans="1:24" ht="12.75" customHeight="1">
      <c r="A2540" s="15"/>
      <c r="B2540" s="92" t="str">
        <f t="shared" si="355"/>
        <v/>
      </c>
      <c r="C2540" s="90"/>
      <c r="D2540" s="87"/>
      <c r="E2540" s="88"/>
      <c r="F2540" s="173"/>
      <c r="G2540" s="88"/>
      <c r="H2540" s="88"/>
      <c r="I2540" s="88"/>
      <c r="J2540" s="88"/>
      <c r="K2540" s="230"/>
      <c r="L2540" s="88"/>
      <c r="M2540" s="88"/>
      <c r="N2540" s="88"/>
      <c r="O2540" s="88"/>
      <c r="P2540" s="88"/>
      <c r="Q2540" s="88"/>
      <c r="R2540" s="88"/>
      <c r="S2540" s="620"/>
      <c r="T2540" s="92"/>
      <c r="U2540" s="1214"/>
      <c r="V2540" s="1215"/>
      <c r="W2540" s="168"/>
      <c r="X2540" s="170"/>
    </row>
    <row r="2541" spans="1:24" ht="12.75" customHeight="1">
      <c r="A2541" s="15"/>
      <c r="B2541" s="92" t="str">
        <f t="shared" si="355"/>
        <v/>
      </c>
      <c r="C2541" s="90"/>
      <c r="D2541" s="87"/>
      <c r="E2541" s="88"/>
      <c r="F2541" s="173"/>
      <c r="G2541" s="88"/>
      <c r="H2541" s="88"/>
      <c r="I2541" s="88"/>
      <c r="J2541" s="88"/>
      <c r="K2541" s="230"/>
      <c r="L2541" s="88"/>
      <c r="M2541" s="88"/>
      <c r="N2541" s="88"/>
      <c r="O2541" s="88"/>
      <c r="P2541" s="88"/>
      <c r="Q2541" s="88"/>
      <c r="R2541" s="88"/>
      <c r="S2541" s="620"/>
      <c r="T2541" s="92"/>
      <c r="U2541" s="1214"/>
      <c r="V2541" s="1215"/>
      <c r="W2541" s="168"/>
      <c r="X2541" s="170"/>
    </row>
    <row r="2542" spans="1:24" ht="12.75" customHeight="1">
      <c r="A2542" s="15"/>
      <c r="B2542" s="92" t="str">
        <f t="shared" si="355"/>
        <v/>
      </c>
      <c r="C2542" s="90"/>
      <c r="D2542" s="87"/>
      <c r="E2542" s="88"/>
      <c r="F2542" s="173"/>
      <c r="G2542" s="88"/>
      <c r="H2542" s="88"/>
      <c r="I2542" s="88"/>
      <c r="J2542" s="88"/>
      <c r="K2542" s="230"/>
      <c r="L2542" s="88"/>
      <c r="M2542" s="88"/>
      <c r="N2542" s="88"/>
      <c r="O2542" s="88"/>
      <c r="P2542" s="88"/>
      <c r="Q2542" s="88"/>
      <c r="R2542" s="88"/>
      <c r="S2542" s="620"/>
      <c r="T2542" s="92"/>
      <c r="U2542" s="1214"/>
      <c r="V2542" s="1215"/>
      <c r="W2542" s="168"/>
      <c r="X2542" s="170"/>
    </row>
    <row r="2543" spans="1:24" ht="12.75" customHeight="1">
      <c r="A2543" s="15"/>
      <c r="B2543" s="92" t="str">
        <f t="shared" ref="B2543:B2606" si="356">IF(C2543="","",ROW()-5)</f>
        <v/>
      </c>
      <c r="C2543" s="90"/>
      <c r="D2543" s="87"/>
      <c r="E2543" s="88"/>
      <c r="F2543" s="173"/>
      <c r="G2543" s="88"/>
      <c r="H2543" s="88"/>
      <c r="I2543" s="88"/>
      <c r="J2543" s="88"/>
      <c r="K2543" s="230"/>
      <c r="L2543" s="88"/>
      <c r="M2543" s="88"/>
      <c r="N2543" s="88"/>
      <c r="O2543" s="88"/>
      <c r="P2543" s="88"/>
      <c r="Q2543" s="88"/>
      <c r="R2543" s="88"/>
      <c r="S2543" s="620"/>
      <c r="T2543" s="92"/>
      <c r="U2543" s="1214"/>
      <c r="V2543" s="1215"/>
      <c r="W2543" s="168"/>
      <c r="X2543" s="170"/>
    </row>
    <row r="2544" spans="1:24" ht="12.75" customHeight="1">
      <c r="A2544" s="15"/>
      <c r="B2544" s="92" t="str">
        <f t="shared" si="356"/>
        <v/>
      </c>
      <c r="C2544" s="90"/>
      <c r="D2544" s="87"/>
      <c r="E2544" s="88"/>
      <c r="F2544" s="173"/>
      <c r="G2544" s="88"/>
      <c r="H2544" s="88"/>
      <c r="I2544" s="88"/>
      <c r="J2544" s="88"/>
      <c r="K2544" s="230"/>
      <c r="L2544" s="88"/>
      <c r="M2544" s="88"/>
      <c r="N2544" s="88"/>
      <c r="O2544" s="88"/>
      <c r="P2544" s="88"/>
      <c r="Q2544" s="88"/>
      <c r="R2544" s="88"/>
      <c r="S2544" s="620"/>
      <c r="T2544" s="92"/>
      <c r="U2544" s="1214"/>
      <c r="V2544" s="1215"/>
      <c r="W2544" s="168"/>
      <c r="X2544" s="170"/>
    </row>
    <row r="2545" spans="1:24" ht="12.75" customHeight="1">
      <c r="A2545" s="15"/>
      <c r="B2545" s="92" t="str">
        <f t="shared" si="356"/>
        <v/>
      </c>
      <c r="C2545" s="90"/>
      <c r="D2545" s="87"/>
      <c r="E2545" s="88"/>
      <c r="F2545" s="173"/>
      <c r="G2545" s="88"/>
      <c r="H2545" s="88"/>
      <c r="I2545" s="88"/>
      <c r="J2545" s="88"/>
      <c r="K2545" s="230"/>
      <c r="L2545" s="88"/>
      <c r="M2545" s="88"/>
      <c r="N2545" s="88"/>
      <c r="O2545" s="88"/>
      <c r="P2545" s="88"/>
      <c r="Q2545" s="88"/>
      <c r="R2545" s="88"/>
      <c r="S2545" s="620"/>
      <c r="T2545" s="92"/>
      <c r="U2545" s="1214"/>
      <c r="V2545" s="1215"/>
      <c r="W2545" s="168"/>
      <c r="X2545" s="170"/>
    </row>
    <row r="2546" spans="1:24" ht="12.75" customHeight="1">
      <c r="A2546" s="15"/>
      <c r="B2546" s="92" t="str">
        <f t="shared" si="356"/>
        <v/>
      </c>
      <c r="C2546" s="90"/>
      <c r="D2546" s="87"/>
      <c r="E2546" s="88"/>
      <c r="F2546" s="173"/>
      <c r="G2546" s="88"/>
      <c r="H2546" s="88"/>
      <c r="I2546" s="88"/>
      <c r="J2546" s="88"/>
      <c r="K2546" s="230"/>
      <c r="L2546" s="88"/>
      <c r="M2546" s="88"/>
      <c r="N2546" s="88"/>
      <c r="O2546" s="88"/>
      <c r="P2546" s="88"/>
      <c r="Q2546" s="88"/>
      <c r="R2546" s="88"/>
      <c r="S2546" s="620"/>
      <c r="T2546" s="92"/>
      <c r="U2546" s="1214"/>
      <c r="V2546" s="1215"/>
      <c r="W2546" s="168"/>
      <c r="X2546" s="170"/>
    </row>
    <row r="2547" spans="1:24" ht="12.75" customHeight="1">
      <c r="A2547" s="15"/>
      <c r="B2547" s="92" t="str">
        <f t="shared" si="356"/>
        <v/>
      </c>
      <c r="C2547" s="90"/>
      <c r="D2547" s="87"/>
      <c r="E2547" s="88"/>
      <c r="F2547" s="173"/>
      <c r="G2547" s="88"/>
      <c r="H2547" s="88"/>
      <c r="I2547" s="88"/>
      <c r="J2547" s="88"/>
      <c r="K2547" s="230"/>
      <c r="L2547" s="88"/>
      <c r="M2547" s="88"/>
      <c r="N2547" s="88"/>
      <c r="O2547" s="88"/>
      <c r="P2547" s="88"/>
      <c r="Q2547" s="88"/>
      <c r="R2547" s="88"/>
      <c r="S2547" s="620"/>
      <c r="T2547" s="92"/>
      <c r="U2547" s="1214"/>
      <c r="V2547" s="1215"/>
      <c r="W2547" s="168"/>
      <c r="X2547" s="170"/>
    </row>
    <row r="2548" spans="1:24" ht="12.75" customHeight="1">
      <c r="A2548" s="15"/>
      <c r="B2548" s="92" t="str">
        <f t="shared" si="356"/>
        <v/>
      </c>
      <c r="C2548" s="90"/>
      <c r="D2548" s="87"/>
      <c r="E2548" s="88"/>
      <c r="F2548" s="173"/>
      <c r="G2548" s="88"/>
      <c r="H2548" s="88"/>
      <c r="I2548" s="88"/>
      <c r="J2548" s="88"/>
      <c r="K2548" s="230"/>
      <c r="L2548" s="88"/>
      <c r="M2548" s="88"/>
      <c r="N2548" s="88"/>
      <c r="O2548" s="88"/>
      <c r="P2548" s="88"/>
      <c r="Q2548" s="88"/>
      <c r="R2548" s="88"/>
      <c r="S2548" s="620"/>
      <c r="T2548" s="92"/>
      <c r="U2548" s="1214"/>
      <c r="V2548" s="1215"/>
      <c r="W2548" s="168"/>
      <c r="X2548" s="170"/>
    </row>
    <row r="2549" spans="1:24" ht="12.75" customHeight="1">
      <c r="A2549" s="15"/>
      <c r="B2549" s="92" t="str">
        <f t="shared" si="356"/>
        <v/>
      </c>
      <c r="C2549" s="90"/>
      <c r="D2549" s="87"/>
      <c r="E2549" s="88"/>
      <c r="F2549" s="173"/>
      <c r="G2549" s="88"/>
      <c r="H2549" s="88"/>
      <c r="I2549" s="88"/>
      <c r="J2549" s="88"/>
      <c r="K2549" s="230"/>
      <c r="L2549" s="88"/>
      <c r="M2549" s="88"/>
      <c r="N2549" s="88"/>
      <c r="O2549" s="88"/>
      <c r="P2549" s="88"/>
      <c r="Q2549" s="88"/>
      <c r="R2549" s="88"/>
      <c r="S2549" s="620"/>
      <c r="T2549" s="92"/>
      <c r="U2549" s="1214"/>
      <c r="V2549" s="1215"/>
      <c r="W2549" s="168"/>
      <c r="X2549" s="170"/>
    </row>
    <row r="2550" spans="1:24" ht="12.75" customHeight="1">
      <c r="A2550" s="15"/>
      <c r="B2550" s="92" t="str">
        <f t="shared" si="356"/>
        <v/>
      </c>
      <c r="C2550" s="90"/>
      <c r="D2550" s="87"/>
      <c r="E2550" s="88"/>
      <c r="F2550" s="173"/>
      <c r="G2550" s="88"/>
      <c r="H2550" s="88"/>
      <c r="I2550" s="88"/>
      <c r="J2550" s="88"/>
      <c r="K2550" s="230"/>
      <c r="L2550" s="88"/>
      <c r="M2550" s="88"/>
      <c r="N2550" s="88"/>
      <c r="O2550" s="88"/>
      <c r="P2550" s="88"/>
      <c r="Q2550" s="88"/>
      <c r="R2550" s="88"/>
      <c r="S2550" s="620"/>
      <c r="T2550" s="92"/>
      <c r="U2550" s="1214"/>
      <c r="V2550" s="1215"/>
      <c r="W2550" s="168"/>
      <c r="X2550" s="170"/>
    </row>
    <row r="2551" spans="1:24" ht="12.75" customHeight="1">
      <c r="A2551" s="15"/>
      <c r="B2551" s="92" t="str">
        <f t="shared" si="356"/>
        <v/>
      </c>
      <c r="C2551" s="90"/>
      <c r="D2551" s="87"/>
      <c r="E2551" s="88"/>
      <c r="F2551" s="173"/>
      <c r="G2551" s="88"/>
      <c r="H2551" s="88"/>
      <c r="I2551" s="88"/>
      <c r="J2551" s="88"/>
      <c r="K2551" s="230"/>
      <c r="L2551" s="88"/>
      <c r="M2551" s="88"/>
      <c r="N2551" s="88"/>
      <c r="O2551" s="88"/>
      <c r="P2551" s="88"/>
      <c r="Q2551" s="88"/>
      <c r="R2551" s="88"/>
      <c r="S2551" s="620"/>
      <c r="T2551" s="92"/>
      <c r="U2551" s="1214"/>
      <c r="V2551" s="1215"/>
      <c r="W2551" s="168"/>
      <c r="X2551" s="170"/>
    </row>
    <row r="2552" spans="1:24" ht="12.75" customHeight="1">
      <c r="A2552" s="15"/>
      <c r="B2552" s="92" t="str">
        <f t="shared" si="356"/>
        <v/>
      </c>
      <c r="C2552" s="90"/>
      <c r="D2552" s="87"/>
      <c r="E2552" s="88"/>
      <c r="F2552" s="173"/>
      <c r="G2552" s="88"/>
      <c r="H2552" s="88"/>
      <c r="I2552" s="88"/>
      <c r="J2552" s="88"/>
      <c r="K2552" s="230"/>
      <c r="L2552" s="88"/>
      <c r="M2552" s="88"/>
      <c r="N2552" s="88"/>
      <c r="O2552" s="88"/>
      <c r="P2552" s="88"/>
      <c r="Q2552" s="88"/>
      <c r="R2552" s="88"/>
      <c r="S2552" s="620"/>
      <c r="T2552" s="92"/>
      <c r="U2552" s="1214"/>
      <c r="V2552" s="1215"/>
      <c r="W2552" s="168"/>
      <c r="X2552" s="170"/>
    </row>
    <row r="2553" spans="1:24" ht="12.75" customHeight="1">
      <c r="A2553" s="15"/>
      <c r="B2553" s="92" t="str">
        <f t="shared" si="356"/>
        <v/>
      </c>
      <c r="C2553" s="90"/>
      <c r="D2553" s="87"/>
      <c r="E2553" s="88"/>
      <c r="F2553" s="173"/>
      <c r="G2553" s="88"/>
      <c r="H2553" s="88"/>
      <c r="I2553" s="88"/>
      <c r="J2553" s="88"/>
      <c r="K2553" s="230"/>
      <c r="L2553" s="88"/>
      <c r="M2553" s="88"/>
      <c r="N2553" s="88"/>
      <c r="O2553" s="88"/>
      <c r="P2553" s="88"/>
      <c r="Q2553" s="88"/>
      <c r="R2553" s="88"/>
      <c r="S2553" s="620"/>
      <c r="T2553" s="92"/>
      <c r="U2553" s="1214"/>
      <c r="V2553" s="1215"/>
      <c r="W2553" s="168"/>
      <c r="X2553" s="170"/>
    </row>
    <row r="2554" spans="1:24" ht="12.75" customHeight="1">
      <c r="A2554" s="15"/>
      <c r="B2554" s="92" t="str">
        <f t="shared" si="356"/>
        <v/>
      </c>
      <c r="C2554" s="90"/>
      <c r="D2554" s="87"/>
      <c r="E2554" s="88"/>
      <c r="F2554" s="173"/>
      <c r="G2554" s="88"/>
      <c r="H2554" s="88"/>
      <c r="I2554" s="88"/>
      <c r="J2554" s="88"/>
      <c r="K2554" s="230"/>
      <c r="L2554" s="88"/>
      <c r="M2554" s="88"/>
      <c r="N2554" s="88"/>
      <c r="O2554" s="88"/>
      <c r="P2554" s="88"/>
      <c r="Q2554" s="88"/>
      <c r="R2554" s="88"/>
      <c r="S2554" s="620"/>
      <c r="T2554" s="92"/>
      <c r="U2554" s="1214"/>
      <c r="V2554" s="1215"/>
      <c r="W2554" s="168"/>
      <c r="X2554" s="170"/>
    </row>
    <row r="2555" spans="1:24" ht="12.75" customHeight="1">
      <c r="A2555" s="15"/>
      <c r="B2555" s="92" t="str">
        <f t="shared" si="356"/>
        <v/>
      </c>
      <c r="C2555" s="90"/>
      <c r="D2555" s="87"/>
      <c r="E2555" s="88"/>
      <c r="F2555" s="173"/>
      <c r="G2555" s="88"/>
      <c r="H2555" s="88"/>
      <c r="I2555" s="88"/>
      <c r="J2555" s="88"/>
      <c r="K2555" s="230"/>
      <c r="L2555" s="88"/>
      <c r="M2555" s="88"/>
      <c r="N2555" s="88"/>
      <c r="O2555" s="88"/>
      <c r="P2555" s="88"/>
      <c r="Q2555" s="88"/>
      <c r="R2555" s="88"/>
      <c r="S2555" s="620"/>
      <c r="T2555" s="92"/>
      <c r="U2555" s="1214"/>
      <c r="V2555" s="1215"/>
      <c r="W2555" s="168"/>
      <c r="X2555" s="170"/>
    </row>
    <row r="2556" spans="1:24" ht="12.75" customHeight="1">
      <c r="A2556" s="15"/>
      <c r="B2556" s="92" t="str">
        <f t="shared" si="356"/>
        <v/>
      </c>
      <c r="C2556" s="90"/>
      <c r="D2556" s="87"/>
      <c r="E2556" s="88"/>
      <c r="F2556" s="173"/>
      <c r="G2556" s="88"/>
      <c r="H2556" s="88"/>
      <c r="I2556" s="88"/>
      <c r="J2556" s="88"/>
      <c r="K2556" s="230"/>
      <c r="L2556" s="88"/>
      <c r="M2556" s="88"/>
      <c r="N2556" s="88"/>
      <c r="O2556" s="88"/>
      <c r="P2556" s="88"/>
      <c r="Q2556" s="88"/>
      <c r="R2556" s="88"/>
      <c r="S2556" s="620"/>
      <c r="T2556" s="92"/>
      <c r="U2556" s="1214"/>
      <c r="V2556" s="1215"/>
      <c r="W2556" s="168"/>
      <c r="X2556" s="170"/>
    </row>
    <row r="2557" spans="1:24" ht="12.75" customHeight="1">
      <c r="A2557" s="15"/>
      <c r="B2557" s="92" t="str">
        <f t="shared" si="356"/>
        <v/>
      </c>
      <c r="C2557" s="90"/>
      <c r="D2557" s="87"/>
      <c r="E2557" s="88"/>
      <c r="F2557" s="173"/>
      <c r="G2557" s="88"/>
      <c r="H2557" s="88"/>
      <c r="I2557" s="88"/>
      <c r="J2557" s="88"/>
      <c r="K2557" s="230"/>
      <c r="L2557" s="88"/>
      <c r="M2557" s="88"/>
      <c r="N2557" s="88"/>
      <c r="O2557" s="88"/>
      <c r="P2557" s="88"/>
      <c r="Q2557" s="88"/>
      <c r="R2557" s="88"/>
      <c r="S2557" s="620"/>
      <c r="T2557" s="92"/>
      <c r="U2557" s="1214"/>
      <c r="V2557" s="1215"/>
      <c r="W2557" s="168"/>
      <c r="X2557" s="170"/>
    </row>
    <row r="2558" spans="1:24" ht="12.75" customHeight="1">
      <c r="A2558" s="15"/>
      <c r="B2558" s="92" t="str">
        <f t="shared" si="356"/>
        <v/>
      </c>
      <c r="C2558" s="90"/>
      <c r="D2558" s="87"/>
      <c r="E2558" s="88"/>
      <c r="F2558" s="173"/>
      <c r="G2558" s="88"/>
      <c r="H2558" s="88"/>
      <c r="I2558" s="88"/>
      <c r="J2558" s="88"/>
      <c r="K2558" s="230"/>
      <c r="L2558" s="88"/>
      <c r="M2558" s="88"/>
      <c r="N2558" s="88"/>
      <c r="O2558" s="88"/>
      <c r="P2558" s="88"/>
      <c r="Q2558" s="88"/>
      <c r="R2558" s="88"/>
      <c r="S2558" s="620"/>
      <c r="T2558" s="92"/>
      <c r="U2558" s="1214"/>
      <c r="V2558" s="1215"/>
      <c r="W2558" s="168"/>
      <c r="X2558" s="170"/>
    </row>
    <row r="2559" spans="1:24" ht="12.75" customHeight="1">
      <c r="A2559" s="15"/>
      <c r="B2559" s="92" t="str">
        <f t="shared" si="356"/>
        <v/>
      </c>
      <c r="C2559" s="90"/>
      <c r="D2559" s="87"/>
      <c r="E2559" s="88"/>
      <c r="F2559" s="173"/>
      <c r="G2559" s="88"/>
      <c r="H2559" s="88"/>
      <c r="I2559" s="88"/>
      <c r="J2559" s="88"/>
      <c r="K2559" s="230"/>
      <c r="L2559" s="88"/>
      <c r="M2559" s="88"/>
      <c r="N2559" s="88"/>
      <c r="O2559" s="88"/>
      <c r="P2559" s="88"/>
      <c r="Q2559" s="88"/>
      <c r="R2559" s="88"/>
      <c r="S2559" s="620"/>
      <c r="T2559" s="92"/>
      <c r="U2559" s="1214"/>
      <c r="V2559" s="1215"/>
      <c r="W2559" s="168"/>
      <c r="X2559" s="170"/>
    </row>
    <row r="2560" spans="1:24" ht="12.75" customHeight="1">
      <c r="A2560" s="15"/>
      <c r="B2560" s="92" t="str">
        <f t="shared" si="356"/>
        <v/>
      </c>
      <c r="C2560" s="90"/>
      <c r="D2560" s="87"/>
      <c r="E2560" s="88"/>
      <c r="F2560" s="173"/>
      <c r="G2560" s="88"/>
      <c r="H2560" s="88"/>
      <c r="I2560" s="88"/>
      <c r="J2560" s="88"/>
      <c r="K2560" s="230"/>
      <c r="L2560" s="88"/>
      <c r="M2560" s="88"/>
      <c r="N2560" s="88"/>
      <c r="O2560" s="88"/>
      <c r="P2560" s="88"/>
      <c r="Q2560" s="88"/>
      <c r="R2560" s="88"/>
      <c r="S2560" s="620"/>
      <c r="T2560" s="92"/>
      <c r="U2560" s="1214"/>
      <c r="V2560" s="1215"/>
      <c r="W2560" s="168"/>
      <c r="X2560" s="170"/>
    </row>
    <row r="2561" spans="1:24" ht="12.75" customHeight="1">
      <c r="A2561" s="15"/>
      <c r="B2561" s="92" t="str">
        <f t="shared" si="356"/>
        <v/>
      </c>
      <c r="C2561" s="90"/>
      <c r="D2561" s="87"/>
      <c r="E2561" s="88"/>
      <c r="F2561" s="173"/>
      <c r="G2561" s="88"/>
      <c r="H2561" s="88"/>
      <c r="I2561" s="88"/>
      <c r="J2561" s="88"/>
      <c r="K2561" s="230"/>
      <c r="L2561" s="88"/>
      <c r="M2561" s="88"/>
      <c r="N2561" s="88"/>
      <c r="O2561" s="88"/>
      <c r="P2561" s="88"/>
      <c r="Q2561" s="88"/>
      <c r="R2561" s="88"/>
      <c r="S2561" s="620"/>
      <c r="T2561" s="92"/>
      <c r="U2561" s="1214"/>
      <c r="V2561" s="1215"/>
      <c r="W2561" s="168"/>
      <c r="X2561" s="170"/>
    </row>
    <row r="2562" spans="1:24" ht="12.75" customHeight="1">
      <c r="A2562" s="15"/>
      <c r="B2562" s="92" t="str">
        <f t="shared" si="356"/>
        <v/>
      </c>
      <c r="C2562" s="90"/>
      <c r="D2562" s="87"/>
      <c r="E2562" s="88"/>
      <c r="F2562" s="173"/>
      <c r="G2562" s="88"/>
      <c r="H2562" s="88"/>
      <c r="I2562" s="88"/>
      <c r="J2562" s="88"/>
      <c r="K2562" s="230"/>
      <c r="L2562" s="88"/>
      <c r="M2562" s="88"/>
      <c r="N2562" s="88"/>
      <c r="O2562" s="88"/>
      <c r="P2562" s="88"/>
      <c r="Q2562" s="88"/>
      <c r="R2562" s="88"/>
      <c r="S2562" s="620"/>
      <c r="T2562" s="92"/>
      <c r="U2562" s="1214"/>
      <c r="V2562" s="1215"/>
      <c r="W2562" s="168"/>
      <c r="X2562" s="170"/>
    </row>
    <row r="2563" spans="1:24" ht="12.75" customHeight="1">
      <c r="A2563" s="15"/>
      <c r="B2563" s="92" t="str">
        <f t="shared" si="356"/>
        <v/>
      </c>
      <c r="C2563" s="90"/>
      <c r="D2563" s="87"/>
      <c r="E2563" s="88"/>
      <c r="F2563" s="173"/>
      <c r="G2563" s="88"/>
      <c r="H2563" s="88"/>
      <c r="I2563" s="88"/>
      <c r="J2563" s="88"/>
      <c r="K2563" s="230"/>
      <c r="L2563" s="88"/>
      <c r="M2563" s="88"/>
      <c r="N2563" s="88"/>
      <c r="O2563" s="88"/>
      <c r="P2563" s="88"/>
      <c r="Q2563" s="88"/>
      <c r="R2563" s="88"/>
      <c r="S2563" s="620"/>
      <c r="T2563" s="92"/>
      <c r="U2563" s="1214"/>
      <c r="V2563" s="1215"/>
      <c r="W2563" s="168"/>
      <c r="X2563" s="170"/>
    </row>
    <row r="2564" spans="1:24" ht="12.75" customHeight="1">
      <c r="A2564" s="15"/>
      <c r="B2564" s="92" t="str">
        <f t="shared" si="356"/>
        <v/>
      </c>
      <c r="C2564" s="90"/>
      <c r="D2564" s="87"/>
      <c r="E2564" s="88"/>
      <c r="F2564" s="173"/>
      <c r="G2564" s="88"/>
      <c r="H2564" s="88"/>
      <c r="I2564" s="88"/>
      <c r="J2564" s="88"/>
      <c r="K2564" s="230"/>
      <c r="L2564" s="88"/>
      <c r="M2564" s="88"/>
      <c r="N2564" s="88"/>
      <c r="O2564" s="88"/>
      <c r="P2564" s="88"/>
      <c r="Q2564" s="88"/>
      <c r="R2564" s="88"/>
      <c r="S2564" s="620"/>
      <c r="T2564" s="92"/>
      <c r="U2564" s="1214"/>
      <c r="V2564" s="1215"/>
      <c r="W2564" s="168"/>
      <c r="X2564" s="170"/>
    </row>
    <row r="2565" spans="1:24" ht="12.75" customHeight="1">
      <c r="A2565" s="15"/>
      <c r="B2565" s="92" t="str">
        <f t="shared" si="356"/>
        <v/>
      </c>
      <c r="C2565" s="90"/>
      <c r="D2565" s="87"/>
      <c r="E2565" s="88"/>
      <c r="F2565" s="173"/>
      <c r="G2565" s="88"/>
      <c r="H2565" s="88"/>
      <c r="I2565" s="88"/>
      <c r="J2565" s="88"/>
      <c r="K2565" s="230"/>
      <c r="L2565" s="88"/>
      <c r="M2565" s="88"/>
      <c r="N2565" s="88"/>
      <c r="O2565" s="88"/>
      <c r="P2565" s="88"/>
      <c r="Q2565" s="88"/>
      <c r="R2565" s="88"/>
      <c r="S2565" s="620"/>
      <c r="T2565" s="92"/>
      <c r="U2565" s="1214"/>
      <c r="V2565" s="1215"/>
      <c r="W2565" s="168"/>
      <c r="X2565" s="170"/>
    </row>
    <row r="2566" spans="1:24" ht="12.75" customHeight="1">
      <c r="A2566" s="15"/>
      <c r="B2566" s="92" t="str">
        <f t="shared" si="356"/>
        <v/>
      </c>
      <c r="C2566" s="90"/>
      <c r="D2566" s="87"/>
      <c r="E2566" s="88"/>
      <c r="F2566" s="173"/>
      <c r="G2566" s="88"/>
      <c r="H2566" s="88"/>
      <c r="I2566" s="88"/>
      <c r="J2566" s="88"/>
      <c r="K2566" s="230"/>
      <c r="L2566" s="88"/>
      <c r="M2566" s="88"/>
      <c r="N2566" s="88"/>
      <c r="O2566" s="88"/>
      <c r="P2566" s="88"/>
      <c r="Q2566" s="88"/>
      <c r="R2566" s="88"/>
      <c r="S2566" s="620"/>
      <c r="T2566" s="92"/>
      <c r="U2566" s="1214"/>
      <c r="V2566" s="1215"/>
      <c r="W2566" s="168"/>
      <c r="X2566" s="170"/>
    </row>
    <row r="2567" spans="1:24" ht="12.75" customHeight="1">
      <c r="A2567" s="15"/>
      <c r="B2567" s="92" t="str">
        <f t="shared" si="356"/>
        <v/>
      </c>
      <c r="C2567" s="90"/>
      <c r="D2567" s="87"/>
      <c r="E2567" s="88"/>
      <c r="F2567" s="173"/>
      <c r="G2567" s="88"/>
      <c r="H2567" s="88"/>
      <c r="I2567" s="88"/>
      <c r="J2567" s="88"/>
      <c r="K2567" s="230"/>
      <c r="L2567" s="88"/>
      <c r="M2567" s="88"/>
      <c r="N2567" s="88"/>
      <c r="O2567" s="88"/>
      <c r="P2567" s="88"/>
      <c r="Q2567" s="88"/>
      <c r="R2567" s="88"/>
      <c r="S2567" s="620"/>
      <c r="T2567" s="92"/>
      <c r="U2567" s="1214"/>
      <c r="V2567" s="1215"/>
      <c r="W2567" s="168"/>
      <c r="X2567" s="170"/>
    </row>
    <row r="2568" spans="1:24" ht="12.75" customHeight="1">
      <c r="A2568" s="15"/>
      <c r="B2568" s="92" t="str">
        <f t="shared" si="356"/>
        <v/>
      </c>
      <c r="C2568" s="90"/>
      <c r="D2568" s="87"/>
      <c r="E2568" s="88"/>
      <c r="F2568" s="173"/>
      <c r="G2568" s="88"/>
      <c r="H2568" s="88"/>
      <c r="I2568" s="88"/>
      <c r="J2568" s="88"/>
      <c r="K2568" s="230"/>
      <c r="L2568" s="88"/>
      <c r="M2568" s="88"/>
      <c r="N2568" s="88"/>
      <c r="O2568" s="88"/>
      <c r="P2568" s="88"/>
      <c r="Q2568" s="88"/>
      <c r="R2568" s="88"/>
      <c r="S2568" s="620"/>
      <c r="T2568" s="92"/>
      <c r="U2568" s="1214"/>
      <c r="V2568" s="1215"/>
      <c r="W2568" s="168"/>
      <c r="X2568" s="170"/>
    </row>
    <row r="2569" spans="1:24" ht="12.75" customHeight="1">
      <c r="A2569" s="15"/>
      <c r="B2569" s="92" t="str">
        <f t="shared" si="356"/>
        <v/>
      </c>
      <c r="C2569" s="90"/>
      <c r="D2569" s="87"/>
      <c r="E2569" s="88"/>
      <c r="F2569" s="173"/>
      <c r="G2569" s="88"/>
      <c r="H2569" s="88"/>
      <c r="I2569" s="88"/>
      <c r="J2569" s="88"/>
      <c r="K2569" s="230"/>
      <c r="L2569" s="88"/>
      <c r="M2569" s="88"/>
      <c r="N2569" s="88"/>
      <c r="O2569" s="88"/>
      <c r="P2569" s="88"/>
      <c r="Q2569" s="88"/>
      <c r="R2569" s="88"/>
      <c r="S2569" s="620"/>
      <c r="T2569" s="92"/>
      <c r="U2569" s="1214"/>
      <c r="V2569" s="1215"/>
      <c r="W2569" s="168"/>
      <c r="X2569" s="170"/>
    </row>
    <row r="2570" spans="1:24" ht="12.75" customHeight="1">
      <c r="A2570" s="15"/>
      <c r="B2570" s="92" t="str">
        <f t="shared" si="356"/>
        <v/>
      </c>
      <c r="C2570" s="90"/>
      <c r="D2570" s="87"/>
      <c r="E2570" s="88"/>
      <c r="F2570" s="173"/>
      <c r="G2570" s="88"/>
      <c r="H2570" s="88"/>
      <c r="I2570" s="88"/>
      <c r="J2570" s="88"/>
      <c r="K2570" s="230"/>
      <c r="L2570" s="88"/>
      <c r="M2570" s="88"/>
      <c r="N2570" s="88"/>
      <c r="O2570" s="88"/>
      <c r="P2570" s="88"/>
      <c r="Q2570" s="88"/>
      <c r="R2570" s="88"/>
      <c r="S2570" s="620"/>
      <c r="T2570" s="92"/>
      <c r="U2570" s="1214"/>
      <c r="V2570" s="1215"/>
      <c r="W2570" s="168"/>
      <c r="X2570" s="170"/>
    </row>
    <row r="2571" spans="1:24" ht="12.75" customHeight="1">
      <c r="A2571" s="15"/>
      <c r="B2571" s="92" t="str">
        <f t="shared" si="356"/>
        <v/>
      </c>
      <c r="C2571" s="90"/>
      <c r="D2571" s="87"/>
      <c r="E2571" s="88"/>
      <c r="F2571" s="173"/>
      <c r="G2571" s="88"/>
      <c r="H2571" s="88"/>
      <c r="I2571" s="88"/>
      <c r="J2571" s="88"/>
      <c r="K2571" s="230"/>
      <c r="L2571" s="88"/>
      <c r="M2571" s="88"/>
      <c r="N2571" s="88"/>
      <c r="O2571" s="88"/>
      <c r="P2571" s="88"/>
      <c r="Q2571" s="88"/>
      <c r="R2571" s="88"/>
      <c r="S2571" s="620"/>
      <c r="T2571" s="92"/>
      <c r="U2571" s="1214"/>
      <c r="V2571" s="1215"/>
      <c r="W2571" s="168"/>
      <c r="X2571" s="170"/>
    </row>
    <row r="2572" spans="1:24" ht="12.75" customHeight="1">
      <c r="A2572" s="15"/>
      <c r="B2572" s="92" t="str">
        <f t="shared" si="356"/>
        <v/>
      </c>
      <c r="C2572" s="90"/>
      <c r="D2572" s="87"/>
      <c r="E2572" s="88"/>
      <c r="F2572" s="173"/>
      <c r="G2572" s="88"/>
      <c r="H2572" s="88"/>
      <c r="I2572" s="88"/>
      <c r="J2572" s="88"/>
      <c r="K2572" s="230"/>
      <c r="L2572" s="88"/>
      <c r="M2572" s="88"/>
      <c r="N2572" s="88"/>
      <c r="O2572" s="88"/>
      <c r="P2572" s="88"/>
      <c r="Q2572" s="88"/>
      <c r="R2572" s="88"/>
      <c r="S2572" s="620"/>
      <c r="T2572" s="92"/>
      <c r="U2572" s="1214"/>
      <c r="V2572" s="1215"/>
      <c r="W2572" s="168"/>
      <c r="X2572" s="170"/>
    </row>
    <row r="2573" spans="1:24" ht="12.75" customHeight="1">
      <c r="A2573" s="15"/>
      <c r="B2573" s="92" t="str">
        <f t="shared" si="356"/>
        <v/>
      </c>
      <c r="C2573" s="90"/>
      <c r="D2573" s="87"/>
      <c r="E2573" s="88"/>
      <c r="F2573" s="173"/>
      <c r="G2573" s="88"/>
      <c r="H2573" s="88"/>
      <c r="I2573" s="88"/>
      <c r="J2573" s="88"/>
      <c r="K2573" s="230"/>
      <c r="L2573" s="88"/>
      <c r="M2573" s="88"/>
      <c r="N2573" s="88"/>
      <c r="O2573" s="88"/>
      <c r="P2573" s="88"/>
      <c r="Q2573" s="88"/>
      <c r="R2573" s="88"/>
      <c r="S2573" s="620"/>
      <c r="T2573" s="92"/>
      <c r="U2573" s="1214"/>
      <c r="V2573" s="1215"/>
      <c r="W2573" s="168"/>
      <c r="X2573" s="170"/>
    </row>
    <row r="2574" spans="1:24" ht="12.75" customHeight="1">
      <c r="A2574" s="15"/>
      <c r="B2574" s="92" t="str">
        <f t="shared" si="356"/>
        <v/>
      </c>
      <c r="C2574" s="90"/>
      <c r="D2574" s="87"/>
      <c r="E2574" s="88"/>
      <c r="F2574" s="173"/>
      <c r="G2574" s="88"/>
      <c r="H2574" s="88"/>
      <c r="I2574" s="88"/>
      <c r="J2574" s="88"/>
      <c r="K2574" s="230"/>
      <c r="L2574" s="88"/>
      <c r="M2574" s="88"/>
      <c r="N2574" s="88"/>
      <c r="O2574" s="88"/>
      <c r="P2574" s="88"/>
      <c r="Q2574" s="88"/>
      <c r="R2574" s="88"/>
      <c r="S2574" s="620"/>
      <c r="T2574" s="92"/>
      <c r="U2574" s="1214"/>
      <c r="V2574" s="1215"/>
      <c r="W2574" s="168"/>
      <c r="X2574" s="170"/>
    </row>
    <row r="2575" spans="1:24" ht="12.75" customHeight="1">
      <c r="A2575" s="15"/>
      <c r="B2575" s="92" t="str">
        <f t="shared" si="356"/>
        <v/>
      </c>
      <c r="C2575" s="90"/>
      <c r="D2575" s="87"/>
      <c r="E2575" s="88"/>
      <c r="F2575" s="173"/>
      <c r="G2575" s="88"/>
      <c r="H2575" s="88"/>
      <c r="I2575" s="88"/>
      <c r="J2575" s="88"/>
      <c r="K2575" s="230"/>
      <c r="L2575" s="88"/>
      <c r="M2575" s="88"/>
      <c r="N2575" s="88"/>
      <c r="O2575" s="88"/>
      <c r="P2575" s="88"/>
      <c r="Q2575" s="88"/>
      <c r="R2575" s="88"/>
      <c r="S2575" s="620"/>
      <c r="T2575" s="92"/>
      <c r="U2575" s="1214"/>
      <c r="V2575" s="1215"/>
      <c r="W2575" s="168"/>
      <c r="X2575" s="170"/>
    </row>
    <row r="2576" spans="1:24" ht="12.75" customHeight="1">
      <c r="A2576" s="15"/>
      <c r="B2576" s="92" t="str">
        <f t="shared" si="356"/>
        <v/>
      </c>
      <c r="C2576" s="90"/>
      <c r="D2576" s="87"/>
      <c r="E2576" s="88"/>
      <c r="F2576" s="173"/>
      <c r="G2576" s="88"/>
      <c r="H2576" s="88"/>
      <c r="I2576" s="88"/>
      <c r="J2576" s="88"/>
      <c r="K2576" s="230"/>
      <c r="L2576" s="88"/>
      <c r="M2576" s="88"/>
      <c r="N2576" s="88"/>
      <c r="O2576" s="88"/>
      <c r="P2576" s="88"/>
      <c r="Q2576" s="88"/>
      <c r="R2576" s="88"/>
      <c r="S2576" s="620"/>
      <c r="T2576" s="92"/>
      <c r="U2576" s="1214"/>
      <c r="V2576" s="1215"/>
      <c r="W2576" s="168"/>
      <c r="X2576" s="170"/>
    </row>
    <row r="2577" spans="1:24" ht="12.75" customHeight="1">
      <c r="A2577" s="15"/>
      <c r="B2577" s="92" t="str">
        <f t="shared" si="356"/>
        <v/>
      </c>
      <c r="C2577" s="90"/>
      <c r="D2577" s="87"/>
      <c r="E2577" s="88"/>
      <c r="F2577" s="173"/>
      <c r="G2577" s="88"/>
      <c r="H2577" s="88"/>
      <c r="I2577" s="88"/>
      <c r="J2577" s="88"/>
      <c r="K2577" s="230"/>
      <c r="L2577" s="88"/>
      <c r="M2577" s="88"/>
      <c r="N2577" s="88"/>
      <c r="O2577" s="88"/>
      <c r="P2577" s="88"/>
      <c r="Q2577" s="88"/>
      <c r="R2577" s="88"/>
      <c r="S2577" s="620"/>
      <c r="T2577" s="92"/>
      <c r="U2577" s="1214"/>
      <c r="V2577" s="1215"/>
      <c r="W2577" s="168"/>
      <c r="X2577" s="170"/>
    </row>
    <row r="2578" spans="1:24" ht="12.75" customHeight="1">
      <c r="A2578" s="15"/>
      <c r="B2578" s="92" t="str">
        <f t="shared" si="356"/>
        <v/>
      </c>
      <c r="C2578" s="90"/>
      <c r="D2578" s="87"/>
      <c r="E2578" s="88"/>
      <c r="F2578" s="173"/>
      <c r="G2578" s="88"/>
      <c r="H2578" s="88"/>
      <c r="I2578" s="88"/>
      <c r="J2578" s="88"/>
      <c r="K2578" s="230"/>
      <c r="L2578" s="88"/>
      <c r="M2578" s="88"/>
      <c r="N2578" s="88"/>
      <c r="O2578" s="88"/>
      <c r="P2578" s="88"/>
      <c r="Q2578" s="88"/>
      <c r="R2578" s="88"/>
      <c r="S2578" s="620"/>
      <c r="T2578" s="92"/>
      <c r="U2578" s="1214"/>
      <c r="V2578" s="1215"/>
      <c r="W2578" s="168"/>
      <c r="X2578" s="170"/>
    </row>
    <row r="2579" spans="1:24" ht="12.75" customHeight="1">
      <c r="A2579" s="15"/>
      <c r="B2579" s="92" t="str">
        <f t="shared" si="356"/>
        <v/>
      </c>
      <c r="C2579" s="90"/>
      <c r="D2579" s="87"/>
      <c r="E2579" s="88"/>
      <c r="F2579" s="173"/>
      <c r="G2579" s="88"/>
      <c r="H2579" s="88"/>
      <c r="I2579" s="88"/>
      <c r="J2579" s="88"/>
      <c r="K2579" s="230"/>
      <c r="L2579" s="88"/>
      <c r="M2579" s="88"/>
      <c r="N2579" s="88"/>
      <c r="O2579" s="88"/>
      <c r="P2579" s="88"/>
      <c r="Q2579" s="88"/>
      <c r="R2579" s="88"/>
      <c r="S2579" s="620"/>
      <c r="T2579" s="92"/>
      <c r="U2579" s="1214"/>
      <c r="V2579" s="1215"/>
      <c r="W2579" s="168"/>
      <c r="X2579" s="170"/>
    </row>
    <row r="2580" spans="1:24" ht="12.75" customHeight="1">
      <c r="A2580" s="15"/>
      <c r="B2580" s="92" t="str">
        <f t="shared" si="356"/>
        <v/>
      </c>
      <c r="C2580" s="90"/>
      <c r="D2580" s="87"/>
      <c r="E2580" s="88"/>
      <c r="F2580" s="173"/>
      <c r="G2580" s="88"/>
      <c r="H2580" s="88"/>
      <c r="I2580" s="88"/>
      <c r="J2580" s="88"/>
      <c r="K2580" s="230"/>
      <c r="L2580" s="88"/>
      <c r="M2580" s="88"/>
      <c r="N2580" s="88"/>
      <c r="O2580" s="88"/>
      <c r="P2580" s="88"/>
      <c r="Q2580" s="88"/>
      <c r="R2580" s="88"/>
      <c r="S2580" s="620"/>
      <c r="T2580" s="92"/>
      <c r="U2580" s="1214"/>
      <c r="V2580" s="1215"/>
      <c r="W2580" s="168"/>
      <c r="X2580" s="170"/>
    </row>
    <row r="2581" spans="1:24" ht="12.75" customHeight="1">
      <c r="A2581" s="15"/>
      <c r="B2581" s="92" t="str">
        <f t="shared" si="356"/>
        <v/>
      </c>
      <c r="C2581" s="90"/>
      <c r="D2581" s="87"/>
      <c r="E2581" s="88"/>
      <c r="F2581" s="173"/>
      <c r="G2581" s="88"/>
      <c r="H2581" s="88"/>
      <c r="I2581" s="88"/>
      <c r="J2581" s="88"/>
      <c r="K2581" s="230"/>
      <c r="L2581" s="88"/>
      <c r="M2581" s="88"/>
      <c r="N2581" s="88"/>
      <c r="O2581" s="88"/>
      <c r="P2581" s="88"/>
      <c r="Q2581" s="88"/>
      <c r="R2581" s="88"/>
      <c r="S2581" s="620"/>
      <c r="T2581" s="92"/>
      <c r="U2581" s="1214"/>
      <c r="V2581" s="1215"/>
      <c r="W2581" s="168"/>
      <c r="X2581" s="170"/>
    </row>
    <row r="2582" spans="1:24" ht="12.75" customHeight="1">
      <c r="A2582" s="15"/>
      <c r="B2582" s="92" t="str">
        <f t="shared" si="356"/>
        <v/>
      </c>
      <c r="C2582" s="90"/>
      <c r="D2582" s="87"/>
      <c r="E2582" s="88"/>
      <c r="F2582" s="173"/>
      <c r="G2582" s="88"/>
      <c r="H2582" s="88"/>
      <c r="I2582" s="88"/>
      <c r="J2582" s="88"/>
      <c r="K2582" s="230"/>
      <c r="L2582" s="88"/>
      <c r="M2582" s="88"/>
      <c r="N2582" s="88"/>
      <c r="O2582" s="88"/>
      <c r="P2582" s="88"/>
      <c r="Q2582" s="88"/>
      <c r="R2582" s="88"/>
      <c r="S2582" s="620"/>
      <c r="T2582" s="92"/>
      <c r="U2582" s="1214"/>
      <c r="V2582" s="1215"/>
      <c r="W2582" s="168"/>
      <c r="X2582" s="170"/>
    </row>
    <row r="2583" spans="1:24" ht="12.75" customHeight="1">
      <c r="A2583" s="15"/>
      <c r="B2583" s="92" t="str">
        <f t="shared" si="356"/>
        <v/>
      </c>
      <c r="C2583" s="90"/>
      <c r="D2583" s="87"/>
      <c r="E2583" s="88"/>
      <c r="F2583" s="173"/>
      <c r="G2583" s="88"/>
      <c r="H2583" s="88"/>
      <c r="I2583" s="88"/>
      <c r="J2583" s="88"/>
      <c r="K2583" s="230"/>
      <c r="L2583" s="88"/>
      <c r="M2583" s="88"/>
      <c r="N2583" s="88"/>
      <c r="O2583" s="88"/>
      <c r="P2583" s="88"/>
      <c r="Q2583" s="88"/>
      <c r="R2583" s="88"/>
      <c r="S2583" s="620"/>
      <c r="T2583" s="92"/>
      <c r="U2583" s="1214"/>
      <c r="V2583" s="1215"/>
      <c r="W2583" s="168"/>
      <c r="X2583" s="170"/>
    </row>
    <row r="2584" spans="1:24" ht="12.75" customHeight="1">
      <c r="A2584" s="15"/>
      <c r="B2584" s="92" t="str">
        <f t="shared" si="356"/>
        <v/>
      </c>
      <c r="C2584" s="90"/>
      <c r="D2584" s="87"/>
      <c r="E2584" s="88"/>
      <c r="F2584" s="173"/>
      <c r="G2584" s="88"/>
      <c r="H2584" s="88"/>
      <c r="I2584" s="88"/>
      <c r="J2584" s="88"/>
      <c r="K2584" s="230"/>
      <c r="L2584" s="88"/>
      <c r="M2584" s="88"/>
      <c r="N2584" s="88"/>
      <c r="O2584" s="88"/>
      <c r="P2584" s="88"/>
      <c r="Q2584" s="88"/>
      <c r="R2584" s="88"/>
      <c r="S2584" s="620"/>
      <c r="T2584" s="92"/>
      <c r="U2584" s="1214"/>
      <c r="V2584" s="1215"/>
      <c r="W2584" s="168"/>
      <c r="X2584" s="170"/>
    </row>
    <row r="2585" spans="1:24" ht="12.75" customHeight="1">
      <c r="A2585" s="15"/>
      <c r="B2585" s="92" t="str">
        <f t="shared" si="356"/>
        <v/>
      </c>
      <c r="C2585" s="90"/>
      <c r="D2585" s="87"/>
      <c r="E2585" s="88"/>
      <c r="F2585" s="173"/>
      <c r="G2585" s="88"/>
      <c r="H2585" s="88"/>
      <c r="I2585" s="88"/>
      <c r="J2585" s="88"/>
      <c r="K2585" s="230"/>
      <c r="L2585" s="88"/>
      <c r="M2585" s="88"/>
      <c r="N2585" s="88"/>
      <c r="O2585" s="88"/>
      <c r="P2585" s="88"/>
      <c r="Q2585" s="88"/>
      <c r="R2585" s="88"/>
      <c r="S2585" s="620"/>
      <c r="T2585" s="92"/>
      <c r="U2585" s="1214"/>
      <c r="V2585" s="1215"/>
      <c r="W2585" s="168"/>
      <c r="X2585" s="170"/>
    </row>
    <row r="2586" spans="1:24" ht="12.75" customHeight="1">
      <c r="A2586" s="15"/>
      <c r="B2586" s="92" t="str">
        <f t="shared" si="356"/>
        <v/>
      </c>
      <c r="C2586" s="90"/>
      <c r="D2586" s="87"/>
      <c r="E2586" s="88"/>
      <c r="F2586" s="173"/>
      <c r="G2586" s="88"/>
      <c r="H2586" s="88"/>
      <c r="I2586" s="88"/>
      <c r="J2586" s="88"/>
      <c r="K2586" s="230"/>
      <c r="L2586" s="88"/>
      <c r="M2586" s="88"/>
      <c r="N2586" s="88"/>
      <c r="O2586" s="88"/>
      <c r="P2586" s="88"/>
      <c r="Q2586" s="88"/>
      <c r="R2586" s="88"/>
      <c r="S2586" s="620"/>
      <c r="T2586" s="92"/>
      <c r="U2586" s="1214"/>
      <c r="V2586" s="1215"/>
      <c r="W2586" s="168"/>
      <c r="X2586" s="170"/>
    </row>
    <row r="2587" spans="1:24" ht="12.75" customHeight="1">
      <c r="A2587" s="15"/>
      <c r="B2587" s="92" t="str">
        <f t="shared" si="356"/>
        <v/>
      </c>
      <c r="C2587" s="90"/>
      <c r="D2587" s="87"/>
      <c r="E2587" s="88"/>
      <c r="F2587" s="173"/>
      <c r="G2587" s="88"/>
      <c r="H2587" s="88"/>
      <c r="I2587" s="88"/>
      <c r="J2587" s="88"/>
      <c r="K2587" s="230"/>
      <c r="L2587" s="88"/>
      <c r="M2587" s="88"/>
      <c r="N2587" s="88"/>
      <c r="O2587" s="88"/>
      <c r="P2587" s="88"/>
      <c r="Q2587" s="88"/>
      <c r="R2587" s="88"/>
      <c r="S2587" s="620"/>
      <c r="T2587" s="92"/>
      <c r="U2587" s="1214"/>
      <c r="V2587" s="1215"/>
      <c r="W2587" s="168"/>
      <c r="X2587" s="170"/>
    </row>
    <row r="2588" spans="1:24" ht="12.75" customHeight="1">
      <c r="A2588" s="15"/>
      <c r="B2588" s="92" t="str">
        <f t="shared" si="356"/>
        <v/>
      </c>
      <c r="C2588" s="90"/>
      <c r="D2588" s="87"/>
      <c r="E2588" s="88"/>
      <c r="F2588" s="173"/>
      <c r="G2588" s="88"/>
      <c r="H2588" s="88"/>
      <c r="I2588" s="88"/>
      <c r="J2588" s="88"/>
      <c r="K2588" s="230"/>
      <c r="L2588" s="88"/>
      <c r="M2588" s="88"/>
      <c r="N2588" s="88"/>
      <c r="O2588" s="88"/>
      <c r="P2588" s="88"/>
      <c r="Q2588" s="88"/>
      <c r="R2588" s="88"/>
      <c r="S2588" s="620"/>
      <c r="T2588" s="92"/>
      <c r="U2588" s="1214"/>
      <c r="V2588" s="1215"/>
      <c r="W2588" s="168"/>
      <c r="X2588" s="170"/>
    </row>
    <row r="2589" spans="1:24" ht="12.75" customHeight="1">
      <c r="A2589" s="15"/>
      <c r="B2589" s="92" t="str">
        <f t="shared" si="356"/>
        <v/>
      </c>
      <c r="C2589" s="90"/>
      <c r="D2589" s="87"/>
      <c r="E2589" s="88"/>
      <c r="F2589" s="173"/>
      <c r="G2589" s="88"/>
      <c r="H2589" s="88"/>
      <c r="I2589" s="88"/>
      <c r="J2589" s="88"/>
      <c r="K2589" s="230"/>
      <c r="L2589" s="88"/>
      <c r="M2589" s="88"/>
      <c r="N2589" s="88"/>
      <c r="O2589" s="88"/>
      <c r="P2589" s="88"/>
      <c r="Q2589" s="88"/>
      <c r="R2589" s="88"/>
      <c r="S2589" s="620"/>
      <c r="T2589" s="92"/>
      <c r="U2589" s="1214"/>
      <c r="V2589" s="1215"/>
      <c r="W2589" s="168"/>
      <c r="X2589" s="170"/>
    </row>
    <row r="2590" spans="1:24" ht="12.75" customHeight="1">
      <c r="A2590" s="15"/>
      <c r="B2590" s="92" t="str">
        <f t="shared" si="356"/>
        <v/>
      </c>
      <c r="C2590" s="90"/>
      <c r="D2590" s="87"/>
      <c r="E2590" s="88"/>
      <c r="F2590" s="173"/>
      <c r="G2590" s="88"/>
      <c r="H2590" s="88"/>
      <c r="I2590" s="88"/>
      <c r="J2590" s="88"/>
      <c r="K2590" s="230"/>
      <c r="L2590" s="88"/>
      <c r="M2590" s="88"/>
      <c r="N2590" s="88"/>
      <c r="O2590" s="88"/>
      <c r="P2590" s="88"/>
      <c r="Q2590" s="88"/>
      <c r="R2590" s="88"/>
      <c r="S2590" s="620"/>
      <c r="T2590" s="92"/>
      <c r="U2590" s="1214"/>
      <c r="V2590" s="1215"/>
      <c r="W2590" s="168"/>
      <c r="X2590" s="170"/>
    </row>
    <row r="2591" spans="1:24" ht="12.75" customHeight="1">
      <c r="A2591" s="15"/>
      <c r="B2591" s="92" t="str">
        <f t="shared" si="356"/>
        <v/>
      </c>
      <c r="C2591" s="90"/>
      <c r="D2591" s="87"/>
      <c r="E2591" s="88"/>
      <c r="F2591" s="173"/>
      <c r="G2591" s="88"/>
      <c r="H2591" s="88"/>
      <c r="I2591" s="88"/>
      <c r="J2591" s="88"/>
      <c r="K2591" s="230"/>
      <c r="L2591" s="88"/>
      <c r="M2591" s="88"/>
      <c r="N2591" s="88"/>
      <c r="O2591" s="88"/>
      <c r="P2591" s="88"/>
      <c r="Q2591" s="88"/>
      <c r="R2591" s="88"/>
      <c r="S2591" s="620"/>
      <c r="T2591" s="92"/>
      <c r="U2591" s="1214"/>
      <c r="V2591" s="1215"/>
      <c r="W2591" s="168"/>
      <c r="X2591" s="170"/>
    </row>
    <row r="2592" spans="1:24" ht="12.75" customHeight="1">
      <c r="A2592" s="15"/>
      <c r="B2592" s="92" t="str">
        <f t="shared" si="356"/>
        <v/>
      </c>
      <c r="C2592" s="90"/>
      <c r="D2592" s="87"/>
      <c r="E2592" s="88"/>
      <c r="F2592" s="173"/>
      <c r="G2592" s="88"/>
      <c r="H2592" s="88"/>
      <c r="I2592" s="88"/>
      <c r="J2592" s="88"/>
      <c r="K2592" s="230"/>
      <c r="L2592" s="88"/>
      <c r="M2592" s="88"/>
      <c r="N2592" s="88"/>
      <c r="O2592" s="88"/>
      <c r="P2592" s="88"/>
      <c r="Q2592" s="88"/>
      <c r="R2592" s="88"/>
      <c r="S2592" s="620"/>
      <c r="T2592" s="92"/>
      <c r="U2592" s="1214"/>
      <c r="V2592" s="1215"/>
      <c r="W2592" s="168"/>
      <c r="X2592" s="170"/>
    </row>
    <row r="2593" spans="1:24" ht="12.75" customHeight="1">
      <c r="A2593" s="15"/>
      <c r="B2593" s="92" t="str">
        <f t="shared" si="356"/>
        <v/>
      </c>
      <c r="C2593" s="90"/>
      <c r="D2593" s="87"/>
      <c r="E2593" s="88"/>
      <c r="F2593" s="173"/>
      <c r="G2593" s="88"/>
      <c r="H2593" s="88"/>
      <c r="I2593" s="88"/>
      <c r="J2593" s="88"/>
      <c r="K2593" s="230"/>
      <c r="L2593" s="88"/>
      <c r="M2593" s="88"/>
      <c r="N2593" s="88"/>
      <c r="O2593" s="88"/>
      <c r="P2593" s="88"/>
      <c r="Q2593" s="88"/>
      <c r="R2593" s="88"/>
      <c r="S2593" s="620"/>
      <c r="T2593" s="92"/>
      <c r="U2593" s="1214"/>
      <c r="V2593" s="1215"/>
      <c r="W2593" s="168"/>
      <c r="X2593" s="170"/>
    </row>
    <row r="2594" spans="1:24" ht="12.75" customHeight="1">
      <c r="A2594" s="15"/>
      <c r="B2594" s="92" t="str">
        <f t="shared" si="356"/>
        <v/>
      </c>
      <c r="C2594" s="90"/>
      <c r="D2594" s="87"/>
      <c r="E2594" s="88"/>
      <c r="F2594" s="173"/>
      <c r="G2594" s="88"/>
      <c r="H2594" s="88"/>
      <c r="I2594" s="88"/>
      <c r="J2594" s="88"/>
      <c r="K2594" s="230"/>
      <c r="L2594" s="88"/>
      <c r="M2594" s="88"/>
      <c r="N2594" s="88"/>
      <c r="O2594" s="88"/>
      <c r="P2594" s="88"/>
      <c r="Q2594" s="88"/>
      <c r="R2594" s="88"/>
      <c r="S2594" s="620"/>
      <c r="T2594" s="92"/>
      <c r="U2594" s="1214"/>
      <c r="V2594" s="1215"/>
      <c r="W2594" s="168"/>
      <c r="X2594" s="170"/>
    </row>
    <row r="2595" spans="1:24" ht="12.75" customHeight="1">
      <c r="A2595" s="15"/>
      <c r="B2595" s="92" t="str">
        <f t="shared" si="356"/>
        <v/>
      </c>
      <c r="C2595" s="90"/>
      <c r="D2595" s="87"/>
      <c r="E2595" s="88"/>
      <c r="F2595" s="173"/>
      <c r="G2595" s="88"/>
      <c r="H2595" s="88"/>
      <c r="I2595" s="88"/>
      <c r="J2595" s="88"/>
      <c r="K2595" s="230"/>
      <c r="L2595" s="88"/>
      <c r="M2595" s="88"/>
      <c r="N2595" s="88"/>
      <c r="O2595" s="88"/>
      <c r="P2595" s="88"/>
      <c r="Q2595" s="88"/>
      <c r="R2595" s="88"/>
      <c r="S2595" s="620"/>
      <c r="T2595" s="92"/>
      <c r="U2595" s="1214"/>
      <c r="V2595" s="1215"/>
      <c r="W2595" s="168"/>
      <c r="X2595" s="170"/>
    </row>
    <row r="2596" spans="1:24" ht="12.75" customHeight="1">
      <c r="A2596" s="15"/>
      <c r="B2596" s="92" t="str">
        <f t="shared" si="356"/>
        <v/>
      </c>
      <c r="C2596" s="90"/>
      <c r="D2596" s="87"/>
      <c r="E2596" s="88"/>
      <c r="F2596" s="173"/>
      <c r="G2596" s="88"/>
      <c r="H2596" s="88"/>
      <c r="I2596" s="88"/>
      <c r="J2596" s="88"/>
      <c r="K2596" s="230"/>
      <c r="L2596" s="88"/>
      <c r="M2596" s="88"/>
      <c r="N2596" s="88"/>
      <c r="O2596" s="88"/>
      <c r="P2596" s="88"/>
      <c r="Q2596" s="88"/>
      <c r="R2596" s="88"/>
      <c r="S2596" s="620"/>
      <c r="T2596" s="92"/>
      <c r="U2596" s="1214"/>
      <c r="V2596" s="1215"/>
      <c r="W2596" s="168"/>
      <c r="X2596" s="170"/>
    </row>
    <row r="2597" spans="1:24" ht="12.75" customHeight="1">
      <c r="A2597" s="15"/>
      <c r="B2597" s="92" t="str">
        <f t="shared" si="356"/>
        <v/>
      </c>
      <c r="C2597" s="90"/>
      <c r="D2597" s="87"/>
      <c r="E2597" s="88"/>
      <c r="F2597" s="173"/>
      <c r="G2597" s="88"/>
      <c r="H2597" s="88"/>
      <c r="I2597" s="88"/>
      <c r="J2597" s="88"/>
      <c r="K2597" s="230"/>
      <c r="L2597" s="88"/>
      <c r="M2597" s="88"/>
      <c r="N2597" s="88"/>
      <c r="O2597" s="88"/>
      <c r="P2597" s="88"/>
      <c r="Q2597" s="88"/>
      <c r="R2597" s="88"/>
      <c r="S2597" s="620"/>
      <c r="T2597" s="92"/>
      <c r="U2597" s="1214"/>
      <c r="V2597" s="1215"/>
      <c r="W2597" s="168"/>
      <c r="X2597" s="170"/>
    </row>
    <row r="2598" spans="1:24" ht="12.75" customHeight="1">
      <c r="A2598" s="15"/>
      <c r="B2598" s="92" t="str">
        <f t="shared" si="356"/>
        <v/>
      </c>
      <c r="C2598" s="90"/>
      <c r="D2598" s="87"/>
      <c r="E2598" s="88"/>
      <c r="F2598" s="173"/>
      <c r="G2598" s="88"/>
      <c r="H2598" s="88"/>
      <c r="I2598" s="88"/>
      <c r="J2598" s="88"/>
      <c r="K2598" s="230"/>
      <c r="L2598" s="88"/>
      <c r="M2598" s="88"/>
      <c r="N2598" s="88"/>
      <c r="O2598" s="88"/>
      <c r="P2598" s="88"/>
      <c r="Q2598" s="88"/>
      <c r="R2598" s="88"/>
      <c r="S2598" s="620"/>
      <c r="T2598" s="92"/>
      <c r="U2598" s="1214"/>
      <c r="V2598" s="1215"/>
      <c r="W2598" s="168"/>
      <c r="X2598" s="170"/>
    </row>
    <row r="2599" spans="1:24" ht="12.75" customHeight="1">
      <c r="A2599" s="15"/>
      <c r="B2599" s="92" t="str">
        <f t="shared" si="356"/>
        <v/>
      </c>
      <c r="C2599" s="90"/>
      <c r="D2599" s="87"/>
      <c r="E2599" s="88"/>
      <c r="F2599" s="173"/>
      <c r="G2599" s="88"/>
      <c r="H2599" s="88"/>
      <c r="I2599" s="88"/>
      <c r="J2599" s="88"/>
      <c r="K2599" s="230"/>
      <c r="L2599" s="88"/>
      <c r="M2599" s="88"/>
      <c r="N2599" s="88"/>
      <c r="O2599" s="88"/>
      <c r="P2599" s="88"/>
      <c r="Q2599" s="88"/>
      <c r="R2599" s="88"/>
      <c r="S2599" s="620"/>
      <c r="T2599" s="92"/>
      <c r="U2599" s="1214"/>
      <c r="V2599" s="1215"/>
      <c r="W2599" s="168"/>
      <c r="X2599" s="170"/>
    </row>
    <row r="2600" spans="1:24" ht="12.75" customHeight="1">
      <c r="A2600" s="15"/>
      <c r="B2600" s="92" t="str">
        <f t="shared" si="356"/>
        <v/>
      </c>
      <c r="C2600" s="90"/>
      <c r="D2600" s="87"/>
      <c r="E2600" s="88"/>
      <c r="F2600" s="173"/>
      <c r="G2600" s="88"/>
      <c r="H2600" s="88"/>
      <c r="I2600" s="88"/>
      <c r="J2600" s="88"/>
      <c r="K2600" s="230"/>
      <c r="L2600" s="88"/>
      <c r="M2600" s="88"/>
      <c r="N2600" s="88"/>
      <c r="O2600" s="88"/>
      <c r="P2600" s="88"/>
      <c r="Q2600" s="88"/>
      <c r="R2600" s="88"/>
      <c r="S2600" s="620"/>
      <c r="T2600" s="92"/>
      <c r="U2600" s="1214"/>
      <c r="V2600" s="1215"/>
      <c r="W2600" s="168"/>
      <c r="X2600" s="170"/>
    </row>
    <row r="2601" spans="1:24" ht="12.75" customHeight="1">
      <c r="A2601" s="15"/>
      <c r="B2601" s="92" t="str">
        <f t="shared" si="356"/>
        <v/>
      </c>
      <c r="C2601" s="90"/>
      <c r="D2601" s="87"/>
      <c r="E2601" s="88"/>
      <c r="F2601" s="173"/>
      <c r="G2601" s="88"/>
      <c r="H2601" s="88"/>
      <c r="I2601" s="88"/>
      <c r="J2601" s="88"/>
      <c r="K2601" s="230"/>
      <c r="L2601" s="88"/>
      <c r="M2601" s="88"/>
      <c r="N2601" s="88"/>
      <c r="O2601" s="88"/>
      <c r="P2601" s="88"/>
      <c r="Q2601" s="88"/>
      <c r="R2601" s="88"/>
      <c r="S2601" s="620"/>
      <c r="T2601" s="92"/>
      <c r="U2601" s="1214"/>
      <c r="V2601" s="1215"/>
      <c r="W2601" s="168"/>
      <c r="X2601" s="170"/>
    </row>
    <row r="2602" spans="1:24" ht="12.75" customHeight="1">
      <c r="A2602" s="15"/>
      <c r="B2602" s="92" t="str">
        <f t="shared" si="356"/>
        <v/>
      </c>
      <c r="C2602" s="90"/>
      <c r="D2602" s="87"/>
      <c r="E2602" s="88"/>
      <c r="F2602" s="173"/>
      <c r="G2602" s="88"/>
      <c r="H2602" s="88"/>
      <c r="I2602" s="88"/>
      <c r="J2602" s="88"/>
      <c r="K2602" s="230"/>
      <c r="L2602" s="88"/>
      <c r="M2602" s="88"/>
      <c r="N2602" s="88"/>
      <c r="O2602" s="88"/>
      <c r="P2602" s="88"/>
      <c r="Q2602" s="88"/>
      <c r="R2602" s="88"/>
      <c r="S2602" s="620"/>
      <c r="T2602" s="92"/>
      <c r="U2602" s="1214"/>
      <c r="V2602" s="1215"/>
      <c r="W2602" s="168"/>
      <c r="X2602" s="170"/>
    </row>
    <row r="2603" spans="1:24" ht="12.75" customHeight="1">
      <c r="A2603" s="15"/>
      <c r="B2603" s="92" t="str">
        <f t="shared" si="356"/>
        <v/>
      </c>
      <c r="C2603" s="90"/>
      <c r="D2603" s="87"/>
      <c r="E2603" s="88"/>
      <c r="F2603" s="173"/>
      <c r="G2603" s="88"/>
      <c r="H2603" s="88"/>
      <c r="I2603" s="88"/>
      <c r="J2603" s="88"/>
      <c r="K2603" s="230"/>
      <c r="L2603" s="88"/>
      <c r="M2603" s="88"/>
      <c r="N2603" s="88"/>
      <c r="O2603" s="88"/>
      <c r="P2603" s="88"/>
      <c r="Q2603" s="88"/>
      <c r="R2603" s="88"/>
      <c r="S2603" s="620"/>
      <c r="T2603" s="92"/>
      <c r="U2603" s="1214"/>
      <c r="V2603" s="1215"/>
      <c r="W2603" s="168"/>
      <c r="X2603" s="170"/>
    </row>
    <row r="2604" spans="1:24" ht="12.75" customHeight="1">
      <c r="A2604" s="15"/>
      <c r="B2604" s="92" t="str">
        <f t="shared" si="356"/>
        <v/>
      </c>
      <c r="C2604" s="90"/>
      <c r="D2604" s="87"/>
      <c r="E2604" s="88"/>
      <c r="F2604" s="173"/>
      <c r="G2604" s="88"/>
      <c r="H2604" s="88"/>
      <c r="I2604" s="88"/>
      <c r="J2604" s="88"/>
      <c r="K2604" s="230"/>
      <c r="L2604" s="88"/>
      <c r="M2604" s="88"/>
      <c r="N2604" s="88"/>
      <c r="O2604" s="88"/>
      <c r="P2604" s="88"/>
      <c r="Q2604" s="88"/>
      <c r="R2604" s="88"/>
      <c r="S2604" s="620"/>
      <c r="T2604" s="92"/>
      <c r="U2604" s="1214"/>
      <c r="V2604" s="1215"/>
      <c r="W2604" s="168"/>
      <c r="X2604" s="170"/>
    </row>
    <row r="2605" spans="1:24" ht="12.75" customHeight="1">
      <c r="A2605" s="15"/>
      <c r="B2605" s="92" t="str">
        <f t="shared" si="356"/>
        <v/>
      </c>
      <c r="C2605" s="90"/>
      <c r="D2605" s="87"/>
      <c r="E2605" s="88"/>
      <c r="F2605" s="173"/>
      <c r="G2605" s="88"/>
      <c r="H2605" s="88"/>
      <c r="I2605" s="88"/>
      <c r="J2605" s="88"/>
      <c r="K2605" s="230"/>
      <c r="L2605" s="88"/>
      <c r="M2605" s="88"/>
      <c r="N2605" s="88"/>
      <c r="O2605" s="88"/>
      <c r="P2605" s="88"/>
      <c r="Q2605" s="88"/>
      <c r="R2605" s="88"/>
      <c r="S2605" s="620"/>
      <c r="T2605" s="92"/>
      <c r="U2605" s="1214"/>
      <c r="V2605" s="1215"/>
      <c r="W2605" s="168"/>
      <c r="X2605" s="170"/>
    </row>
    <row r="2606" spans="1:24" ht="12.75" customHeight="1">
      <c r="A2606" s="15"/>
      <c r="B2606" s="92" t="str">
        <f t="shared" si="356"/>
        <v/>
      </c>
      <c r="C2606" s="90"/>
      <c r="D2606" s="87"/>
      <c r="E2606" s="88"/>
      <c r="F2606" s="173"/>
      <c r="G2606" s="88"/>
      <c r="H2606" s="88"/>
      <c r="I2606" s="88"/>
      <c r="J2606" s="88"/>
      <c r="K2606" s="230"/>
      <c r="L2606" s="88"/>
      <c r="M2606" s="88"/>
      <c r="N2606" s="88"/>
      <c r="O2606" s="88"/>
      <c r="P2606" s="88"/>
      <c r="Q2606" s="88"/>
      <c r="R2606" s="88"/>
      <c r="S2606" s="620"/>
      <c r="T2606" s="92"/>
      <c r="U2606" s="1214"/>
      <c r="V2606" s="1215"/>
      <c r="W2606" s="168"/>
      <c r="X2606" s="170"/>
    </row>
    <row r="2607" spans="1:24" ht="12.75" customHeight="1">
      <c r="A2607" s="15"/>
      <c r="B2607" s="92" t="str">
        <f t="shared" ref="B2607:B2670" si="357">IF(C2607="","",ROW()-5)</f>
        <v/>
      </c>
      <c r="C2607" s="90"/>
      <c r="D2607" s="87"/>
      <c r="E2607" s="88"/>
      <c r="F2607" s="173"/>
      <c r="G2607" s="88"/>
      <c r="H2607" s="88"/>
      <c r="I2607" s="88"/>
      <c r="J2607" s="88"/>
      <c r="K2607" s="230"/>
      <c r="L2607" s="88"/>
      <c r="M2607" s="88"/>
      <c r="N2607" s="88"/>
      <c r="O2607" s="88"/>
      <c r="P2607" s="88"/>
      <c r="Q2607" s="88"/>
      <c r="R2607" s="88"/>
      <c r="S2607" s="620"/>
      <c r="T2607" s="92"/>
      <c r="U2607" s="1214"/>
      <c r="V2607" s="1215"/>
      <c r="W2607" s="168"/>
      <c r="X2607" s="170"/>
    </row>
    <row r="2608" spans="1:24" ht="12.75" customHeight="1">
      <c r="A2608" s="15"/>
      <c r="B2608" s="92" t="str">
        <f t="shared" si="357"/>
        <v/>
      </c>
      <c r="C2608" s="90"/>
      <c r="D2608" s="87"/>
      <c r="E2608" s="88"/>
      <c r="F2608" s="173"/>
      <c r="G2608" s="88"/>
      <c r="H2608" s="88"/>
      <c r="I2608" s="88"/>
      <c r="J2608" s="88"/>
      <c r="K2608" s="230"/>
      <c r="L2608" s="88"/>
      <c r="M2608" s="88"/>
      <c r="N2608" s="88"/>
      <c r="O2608" s="88"/>
      <c r="P2608" s="88"/>
      <c r="Q2608" s="88"/>
      <c r="R2608" s="88"/>
      <c r="S2608" s="620"/>
      <c r="T2608" s="92"/>
      <c r="U2608" s="1214"/>
      <c r="V2608" s="1215"/>
      <c r="W2608" s="168"/>
      <c r="X2608" s="170"/>
    </row>
    <row r="2609" spans="1:24" ht="12.75" customHeight="1">
      <c r="A2609" s="15"/>
      <c r="B2609" s="92" t="str">
        <f t="shared" si="357"/>
        <v/>
      </c>
      <c r="C2609" s="90"/>
      <c r="D2609" s="87"/>
      <c r="E2609" s="88"/>
      <c r="F2609" s="173"/>
      <c r="G2609" s="88"/>
      <c r="H2609" s="88"/>
      <c r="I2609" s="88"/>
      <c r="J2609" s="88"/>
      <c r="K2609" s="230"/>
      <c r="L2609" s="88"/>
      <c r="M2609" s="88"/>
      <c r="N2609" s="88"/>
      <c r="O2609" s="88"/>
      <c r="P2609" s="88"/>
      <c r="Q2609" s="88"/>
      <c r="R2609" s="88"/>
      <c r="S2609" s="620"/>
      <c r="T2609" s="92"/>
      <c r="U2609" s="1214"/>
      <c r="V2609" s="1215"/>
      <c r="W2609" s="168"/>
      <c r="X2609" s="170"/>
    </row>
    <row r="2610" spans="1:24" ht="12.75" customHeight="1">
      <c r="A2610" s="15"/>
      <c r="B2610" s="92" t="str">
        <f t="shared" si="357"/>
        <v/>
      </c>
      <c r="C2610" s="90"/>
      <c r="D2610" s="87"/>
      <c r="E2610" s="88"/>
      <c r="F2610" s="173"/>
      <c r="G2610" s="88"/>
      <c r="H2610" s="88"/>
      <c r="I2610" s="88"/>
      <c r="J2610" s="88"/>
      <c r="K2610" s="230"/>
      <c r="L2610" s="88"/>
      <c r="M2610" s="88"/>
      <c r="N2610" s="88"/>
      <c r="O2610" s="88"/>
      <c r="P2610" s="88"/>
      <c r="Q2610" s="88"/>
      <c r="R2610" s="88"/>
      <c r="S2610" s="620"/>
      <c r="T2610" s="92"/>
      <c r="U2610" s="1214"/>
      <c r="V2610" s="1215"/>
      <c r="W2610" s="168"/>
      <c r="X2610" s="170"/>
    </row>
    <row r="2611" spans="1:24" ht="12.75" customHeight="1">
      <c r="A2611" s="15"/>
      <c r="B2611" s="92" t="str">
        <f t="shared" si="357"/>
        <v/>
      </c>
      <c r="C2611" s="90"/>
      <c r="D2611" s="87"/>
      <c r="E2611" s="88"/>
      <c r="F2611" s="173"/>
      <c r="G2611" s="88"/>
      <c r="H2611" s="88"/>
      <c r="I2611" s="88"/>
      <c r="J2611" s="88"/>
      <c r="K2611" s="230"/>
      <c r="L2611" s="88"/>
      <c r="M2611" s="88"/>
      <c r="N2611" s="88"/>
      <c r="O2611" s="88"/>
      <c r="P2611" s="88"/>
      <c r="Q2611" s="88"/>
      <c r="R2611" s="88"/>
      <c r="S2611" s="620"/>
      <c r="T2611" s="92"/>
      <c r="U2611" s="1214"/>
      <c r="V2611" s="1215"/>
      <c r="W2611" s="168"/>
      <c r="X2611" s="170"/>
    </row>
    <row r="2612" spans="1:24" ht="12.75" customHeight="1">
      <c r="A2612" s="15"/>
      <c r="B2612" s="92" t="str">
        <f t="shared" si="357"/>
        <v/>
      </c>
      <c r="C2612" s="90"/>
      <c r="D2612" s="87"/>
      <c r="E2612" s="88"/>
      <c r="F2612" s="173"/>
      <c r="G2612" s="88"/>
      <c r="H2612" s="88"/>
      <c r="I2612" s="88"/>
      <c r="J2612" s="88"/>
      <c r="K2612" s="230"/>
      <c r="L2612" s="88"/>
      <c r="M2612" s="88"/>
      <c r="N2612" s="88"/>
      <c r="O2612" s="88"/>
      <c r="P2612" s="88"/>
      <c r="Q2612" s="88"/>
      <c r="R2612" s="88"/>
      <c r="S2612" s="620"/>
      <c r="T2612" s="92"/>
      <c r="U2612" s="1214"/>
      <c r="V2612" s="1215"/>
      <c r="W2612" s="168"/>
      <c r="X2612" s="170"/>
    </row>
    <row r="2613" spans="1:24" ht="12.75" customHeight="1">
      <c r="A2613" s="15"/>
      <c r="B2613" s="92" t="str">
        <f t="shared" si="357"/>
        <v/>
      </c>
      <c r="C2613" s="90"/>
      <c r="D2613" s="87"/>
      <c r="E2613" s="88"/>
      <c r="F2613" s="173"/>
      <c r="G2613" s="88"/>
      <c r="H2613" s="88"/>
      <c r="I2613" s="88"/>
      <c r="J2613" s="88"/>
      <c r="K2613" s="230"/>
      <c r="L2613" s="88"/>
      <c r="M2613" s="88"/>
      <c r="N2613" s="88"/>
      <c r="O2613" s="88"/>
      <c r="P2613" s="88"/>
      <c r="Q2613" s="88"/>
      <c r="R2613" s="88"/>
      <c r="S2613" s="620"/>
      <c r="T2613" s="92"/>
      <c r="U2613" s="1214"/>
      <c r="V2613" s="1215"/>
      <c r="W2613" s="168"/>
      <c r="X2613" s="170"/>
    </row>
    <row r="2614" spans="1:24" ht="12.75" customHeight="1">
      <c r="A2614" s="15"/>
      <c r="B2614" s="92" t="str">
        <f t="shared" si="357"/>
        <v/>
      </c>
      <c r="C2614" s="90"/>
      <c r="D2614" s="87"/>
      <c r="E2614" s="88"/>
      <c r="F2614" s="173"/>
      <c r="G2614" s="88"/>
      <c r="H2614" s="88"/>
      <c r="I2614" s="88"/>
      <c r="J2614" s="88"/>
      <c r="K2614" s="230"/>
      <c r="L2614" s="88"/>
      <c r="M2614" s="88"/>
      <c r="N2614" s="88"/>
      <c r="O2614" s="88"/>
      <c r="P2614" s="88"/>
      <c r="Q2614" s="88"/>
      <c r="R2614" s="88"/>
      <c r="S2614" s="620"/>
      <c r="T2614" s="92"/>
      <c r="U2614" s="1214"/>
      <c r="V2614" s="1215"/>
      <c r="W2614" s="168"/>
      <c r="X2614" s="170"/>
    </row>
    <row r="2615" spans="1:24" ht="12.75" customHeight="1">
      <c r="A2615" s="15"/>
      <c r="B2615" s="92" t="str">
        <f t="shared" si="357"/>
        <v/>
      </c>
      <c r="C2615" s="90"/>
      <c r="D2615" s="87"/>
      <c r="E2615" s="88"/>
      <c r="F2615" s="173"/>
      <c r="G2615" s="88"/>
      <c r="H2615" s="88"/>
      <c r="I2615" s="88"/>
      <c r="J2615" s="88"/>
      <c r="K2615" s="230"/>
      <c r="L2615" s="88"/>
      <c r="M2615" s="88"/>
      <c r="N2615" s="88"/>
      <c r="O2615" s="88"/>
      <c r="P2615" s="88"/>
      <c r="Q2615" s="88"/>
      <c r="R2615" s="88"/>
      <c r="S2615" s="620"/>
      <c r="T2615" s="92"/>
      <c r="U2615" s="1214"/>
      <c r="V2615" s="1215"/>
      <c r="W2615" s="168"/>
      <c r="X2615" s="170"/>
    </row>
    <row r="2616" spans="1:24" ht="12.75" customHeight="1">
      <c r="A2616" s="15"/>
      <c r="B2616" s="92" t="str">
        <f t="shared" si="357"/>
        <v/>
      </c>
      <c r="C2616" s="90"/>
      <c r="D2616" s="87"/>
      <c r="E2616" s="88"/>
      <c r="F2616" s="173"/>
      <c r="G2616" s="88"/>
      <c r="H2616" s="88"/>
      <c r="I2616" s="88"/>
      <c r="J2616" s="88"/>
      <c r="K2616" s="230"/>
      <c r="L2616" s="88"/>
      <c r="M2616" s="88"/>
      <c r="N2616" s="88"/>
      <c r="O2616" s="88"/>
      <c r="P2616" s="88"/>
      <c r="Q2616" s="88"/>
      <c r="R2616" s="88"/>
      <c r="S2616" s="620"/>
      <c r="T2616" s="92"/>
      <c r="U2616" s="1214"/>
      <c r="V2616" s="1215"/>
      <c r="W2616" s="168"/>
      <c r="X2616" s="170"/>
    </row>
    <row r="2617" spans="1:24" ht="12.75" customHeight="1">
      <c r="A2617" s="15"/>
      <c r="B2617" s="92" t="str">
        <f t="shared" si="357"/>
        <v/>
      </c>
      <c r="C2617" s="90"/>
      <c r="D2617" s="87"/>
      <c r="E2617" s="88"/>
      <c r="F2617" s="173"/>
      <c r="G2617" s="88"/>
      <c r="H2617" s="88"/>
      <c r="I2617" s="88"/>
      <c r="J2617" s="88"/>
      <c r="K2617" s="230"/>
      <c r="L2617" s="88"/>
      <c r="M2617" s="88"/>
      <c r="N2617" s="88"/>
      <c r="O2617" s="88"/>
      <c r="P2617" s="88"/>
      <c r="Q2617" s="88"/>
      <c r="R2617" s="88"/>
      <c r="S2617" s="620"/>
      <c r="T2617" s="92"/>
      <c r="U2617" s="1214"/>
      <c r="V2617" s="1215"/>
      <c r="W2617" s="168"/>
      <c r="X2617" s="170"/>
    </row>
    <row r="2618" spans="1:24" ht="12.75" customHeight="1">
      <c r="A2618" s="15"/>
      <c r="B2618" s="92" t="str">
        <f t="shared" si="357"/>
        <v/>
      </c>
      <c r="C2618" s="90"/>
      <c r="D2618" s="87"/>
      <c r="E2618" s="88"/>
      <c r="F2618" s="173"/>
      <c r="G2618" s="88"/>
      <c r="H2618" s="88"/>
      <c r="I2618" s="88"/>
      <c r="J2618" s="88"/>
      <c r="K2618" s="230"/>
      <c r="L2618" s="88"/>
      <c r="M2618" s="88"/>
      <c r="N2618" s="88"/>
      <c r="O2618" s="88"/>
      <c r="P2618" s="88"/>
      <c r="Q2618" s="88"/>
      <c r="R2618" s="88"/>
      <c r="S2618" s="620"/>
      <c r="T2618" s="92"/>
      <c r="U2618" s="1214"/>
      <c r="V2618" s="1215"/>
      <c r="W2618" s="168"/>
      <c r="X2618" s="170"/>
    </row>
    <row r="2619" spans="1:24" ht="12.75" customHeight="1">
      <c r="A2619" s="15"/>
      <c r="B2619" s="92" t="str">
        <f t="shared" si="357"/>
        <v/>
      </c>
      <c r="C2619" s="90"/>
      <c r="D2619" s="87"/>
      <c r="E2619" s="88"/>
      <c r="F2619" s="173"/>
      <c r="G2619" s="88"/>
      <c r="H2619" s="88"/>
      <c r="I2619" s="88"/>
      <c r="J2619" s="88"/>
      <c r="K2619" s="230"/>
      <c r="L2619" s="88"/>
      <c r="M2619" s="88"/>
      <c r="N2619" s="88"/>
      <c r="O2619" s="88"/>
      <c r="P2619" s="88"/>
      <c r="Q2619" s="88"/>
      <c r="R2619" s="88"/>
      <c r="S2619" s="620"/>
      <c r="T2619" s="92"/>
      <c r="U2619" s="1214"/>
      <c r="V2619" s="1215"/>
      <c r="W2619" s="168"/>
      <c r="X2619" s="170"/>
    </row>
    <row r="2620" spans="1:24" ht="12.75" customHeight="1">
      <c r="A2620" s="15"/>
      <c r="B2620" s="92" t="str">
        <f t="shared" si="357"/>
        <v/>
      </c>
      <c r="C2620" s="90"/>
      <c r="D2620" s="87"/>
      <c r="E2620" s="88"/>
      <c r="F2620" s="173"/>
      <c r="G2620" s="88"/>
      <c r="H2620" s="88"/>
      <c r="I2620" s="88"/>
      <c r="J2620" s="88"/>
      <c r="K2620" s="230"/>
      <c r="L2620" s="88"/>
      <c r="M2620" s="88"/>
      <c r="N2620" s="88"/>
      <c r="O2620" s="88"/>
      <c r="P2620" s="88"/>
      <c r="Q2620" s="88"/>
      <c r="R2620" s="88"/>
      <c r="S2620" s="620"/>
      <c r="T2620" s="92"/>
      <c r="U2620" s="1214"/>
      <c r="V2620" s="1215"/>
      <c r="W2620" s="168"/>
      <c r="X2620" s="170"/>
    </row>
    <row r="2621" spans="1:24" ht="12.75" customHeight="1">
      <c r="A2621" s="15"/>
      <c r="B2621" s="92" t="str">
        <f t="shared" si="357"/>
        <v/>
      </c>
      <c r="C2621" s="90"/>
      <c r="D2621" s="87"/>
      <c r="E2621" s="88"/>
      <c r="F2621" s="173"/>
      <c r="G2621" s="88"/>
      <c r="H2621" s="88"/>
      <c r="I2621" s="88"/>
      <c r="J2621" s="88"/>
      <c r="K2621" s="230"/>
      <c r="L2621" s="88"/>
      <c r="M2621" s="88"/>
      <c r="N2621" s="88"/>
      <c r="O2621" s="88"/>
      <c r="P2621" s="88"/>
      <c r="Q2621" s="88"/>
      <c r="R2621" s="88"/>
      <c r="S2621" s="620"/>
      <c r="T2621" s="92"/>
      <c r="U2621" s="1214"/>
      <c r="V2621" s="1215"/>
      <c r="W2621" s="168"/>
      <c r="X2621" s="170"/>
    </row>
    <row r="2622" spans="1:24" ht="12.75" customHeight="1">
      <c r="A2622" s="15"/>
      <c r="B2622" s="92" t="str">
        <f t="shared" si="357"/>
        <v/>
      </c>
      <c r="C2622" s="90"/>
      <c r="D2622" s="87"/>
      <c r="E2622" s="88"/>
      <c r="F2622" s="173"/>
      <c r="G2622" s="88"/>
      <c r="H2622" s="88"/>
      <c r="I2622" s="88"/>
      <c r="J2622" s="88"/>
      <c r="K2622" s="230"/>
      <c r="L2622" s="88"/>
      <c r="M2622" s="88"/>
      <c r="N2622" s="88"/>
      <c r="O2622" s="88"/>
      <c r="P2622" s="88"/>
      <c r="Q2622" s="88"/>
      <c r="R2622" s="88"/>
      <c r="S2622" s="620"/>
      <c r="T2622" s="92"/>
      <c r="U2622" s="1214"/>
      <c r="V2622" s="1215"/>
      <c r="W2622" s="168"/>
      <c r="X2622" s="170"/>
    </row>
    <row r="2623" spans="1:24" ht="12.75" customHeight="1">
      <c r="A2623" s="15"/>
      <c r="B2623" s="92" t="str">
        <f t="shared" si="357"/>
        <v/>
      </c>
      <c r="C2623" s="90"/>
      <c r="D2623" s="87"/>
      <c r="E2623" s="88"/>
      <c r="F2623" s="173"/>
      <c r="G2623" s="88"/>
      <c r="H2623" s="88"/>
      <c r="I2623" s="88"/>
      <c r="J2623" s="88"/>
      <c r="K2623" s="230"/>
      <c r="L2623" s="88"/>
      <c r="M2623" s="88"/>
      <c r="N2623" s="88"/>
      <c r="O2623" s="88"/>
      <c r="P2623" s="88"/>
      <c r="Q2623" s="88"/>
      <c r="R2623" s="88"/>
      <c r="S2623" s="620"/>
      <c r="T2623" s="92"/>
      <c r="U2623" s="1214"/>
      <c r="V2623" s="1215"/>
      <c r="W2623" s="168"/>
      <c r="X2623" s="170"/>
    </row>
    <row r="2624" spans="1:24" ht="12.75" customHeight="1">
      <c r="A2624" s="15"/>
      <c r="B2624" s="92" t="str">
        <f t="shared" si="357"/>
        <v/>
      </c>
      <c r="C2624" s="90"/>
      <c r="D2624" s="87"/>
      <c r="E2624" s="88"/>
      <c r="F2624" s="173"/>
      <c r="G2624" s="88"/>
      <c r="H2624" s="88"/>
      <c r="I2624" s="88"/>
      <c r="J2624" s="88"/>
      <c r="K2624" s="230"/>
      <c r="L2624" s="88"/>
      <c r="M2624" s="88"/>
      <c r="N2624" s="88"/>
      <c r="O2624" s="88"/>
      <c r="P2624" s="88"/>
      <c r="Q2624" s="88"/>
      <c r="R2624" s="88"/>
      <c r="S2624" s="620"/>
      <c r="T2624" s="92"/>
      <c r="U2624" s="1214"/>
      <c r="V2624" s="1215"/>
      <c r="W2624" s="168"/>
      <c r="X2624" s="170"/>
    </row>
    <row r="2625" spans="1:24" ht="12.75" customHeight="1">
      <c r="A2625" s="15"/>
      <c r="B2625" s="92" t="str">
        <f t="shared" si="357"/>
        <v/>
      </c>
      <c r="C2625" s="90"/>
      <c r="D2625" s="87"/>
      <c r="E2625" s="88"/>
      <c r="F2625" s="173"/>
      <c r="G2625" s="88"/>
      <c r="H2625" s="88"/>
      <c r="I2625" s="88"/>
      <c r="J2625" s="88"/>
      <c r="K2625" s="230"/>
      <c r="L2625" s="88"/>
      <c r="M2625" s="88"/>
      <c r="N2625" s="88"/>
      <c r="O2625" s="88"/>
      <c r="P2625" s="88"/>
      <c r="Q2625" s="88"/>
      <c r="R2625" s="88"/>
      <c r="S2625" s="620"/>
      <c r="T2625" s="92"/>
      <c r="U2625" s="1214"/>
      <c r="V2625" s="1215"/>
      <c r="W2625" s="168"/>
      <c r="X2625" s="170"/>
    </row>
    <row r="2626" spans="1:24" ht="12.75" customHeight="1">
      <c r="A2626" s="15"/>
      <c r="B2626" s="92" t="str">
        <f t="shared" si="357"/>
        <v/>
      </c>
      <c r="C2626" s="90"/>
      <c r="D2626" s="87"/>
      <c r="E2626" s="88"/>
      <c r="F2626" s="173"/>
      <c r="G2626" s="88"/>
      <c r="H2626" s="88"/>
      <c r="I2626" s="88"/>
      <c r="J2626" s="88"/>
      <c r="K2626" s="230"/>
      <c r="L2626" s="88"/>
      <c r="M2626" s="88"/>
      <c r="N2626" s="88"/>
      <c r="O2626" s="88"/>
      <c r="P2626" s="88"/>
      <c r="Q2626" s="88"/>
      <c r="R2626" s="88"/>
      <c r="S2626" s="620"/>
      <c r="T2626" s="92"/>
      <c r="U2626" s="1214"/>
      <c r="V2626" s="1215"/>
      <c r="W2626" s="168"/>
      <c r="X2626" s="170"/>
    </row>
    <row r="2627" spans="1:24" ht="12.75" customHeight="1">
      <c r="A2627" s="15"/>
      <c r="B2627" s="92" t="str">
        <f t="shared" si="357"/>
        <v/>
      </c>
      <c r="C2627" s="90"/>
      <c r="D2627" s="87"/>
      <c r="E2627" s="88"/>
      <c r="F2627" s="173"/>
      <c r="G2627" s="88"/>
      <c r="H2627" s="88"/>
      <c r="I2627" s="88"/>
      <c r="J2627" s="88"/>
      <c r="K2627" s="230"/>
      <c r="L2627" s="88"/>
      <c r="M2627" s="88"/>
      <c r="N2627" s="88"/>
      <c r="O2627" s="88"/>
      <c r="P2627" s="88"/>
      <c r="Q2627" s="88"/>
      <c r="R2627" s="88"/>
      <c r="S2627" s="620"/>
      <c r="T2627" s="92"/>
      <c r="U2627" s="1214"/>
      <c r="V2627" s="1215"/>
      <c r="W2627" s="168"/>
      <c r="X2627" s="170"/>
    </row>
    <row r="2628" spans="1:24" ht="12.75" customHeight="1">
      <c r="A2628" s="15"/>
      <c r="B2628" s="92" t="str">
        <f t="shared" si="357"/>
        <v/>
      </c>
      <c r="C2628" s="90"/>
      <c r="D2628" s="87"/>
      <c r="E2628" s="88"/>
      <c r="F2628" s="173"/>
      <c r="G2628" s="88"/>
      <c r="H2628" s="88"/>
      <c r="I2628" s="88"/>
      <c r="J2628" s="88"/>
      <c r="K2628" s="230"/>
      <c r="L2628" s="88"/>
      <c r="M2628" s="88"/>
      <c r="N2628" s="88"/>
      <c r="O2628" s="88"/>
      <c r="P2628" s="88"/>
      <c r="Q2628" s="88"/>
      <c r="R2628" s="88"/>
      <c r="S2628" s="620"/>
      <c r="T2628" s="92"/>
      <c r="U2628" s="1214"/>
      <c r="V2628" s="1215"/>
      <c r="W2628" s="168"/>
      <c r="X2628" s="170"/>
    </row>
    <row r="2629" spans="1:24" ht="12.75" customHeight="1">
      <c r="A2629" s="15"/>
      <c r="B2629" s="92" t="str">
        <f t="shared" si="357"/>
        <v/>
      </c>
      <c r="C2629" s="90"/>
      <c r="D2629" s="87"/>
      <c r="E2629" s="88"/>
      <c r="F2629" s="173"/>
      <c r="G2629" s="88"/>
      <c r="H2629" s="88"/>
      <c r="I2629" s="88"/>
      <c r="J2629" s="88"/>
      <c r="K2629" s="230"/>
      <c r="L2629" s="88"/>
      <c r="M2629" s="88"/>
      <c r="N2629" s="88"/>
      <c r="O2629" s="88"/>
      <c r="P2629" s="88"/>
      <c r="Q2629" s="88"/>
      <c r="R2629" s="88"/>
      <c r="S2629" s="620"/>
      <c r="T2629" s="92"/>
      <c r="U2629" s="1214"/>
      <c r="V2629" s="1215"/>
      <c r="W2629" s="168"/>
      <c r="X2629" s="170"/>
    </row>
    <row r="2630" spans="1:24" ht="12.75" customHeight="1">
      <c r="A2630" s="15"/>
      <c r="B2630" s="92" t="str">
        <f t="shared" si="357"/>
        <v/>
      </c>
      <c r="C2630" s="90"/>
      <c r="D2630" s="87"/>
      <c r="E2630" s="88"/>
      <c r="F2630" s="173"/>
      <c r="G2630" s="88"/>
      <c r="H2630" s="88"/>
      <c r="I2630" s="88"/>
      <c r="J2630" s="88"/>
      <c r="K2630" s="230"/>
      <c r="L2630" s="88"/>
      <c r="M2630" s="88"/>
      <c r="N2630" s="88"/>
      <c r="O2630" s="88"/>
      <c r="P2630" s="88"/>
      <c r="Q2630" s="88"/>
      <c r="R2630" s="88"/>
      <c r="S2630" s="620"/>
      <c r="T2630" s="92"/>
      <c r="U2630" s="1214"/>
      <c r="V2630" s="1215"/>
      <c r="W2630" s="168"/>
      <c r="X2630" s="170"/>
    </row>
    <row r="2631" spans="1:24" ht="12.75" customHeight="1">
      <c r="A2631" s="15"/>
      <c r="B2631" s="92" t="str">
        <f t="shared" si="357"/>
        <v/>
      </c>
      <c r="C2631" s="90"/>
      <c r="D2631" s="87"/>
      <c r="E2631" s="88"/>
      <c r="F2631" s="173"/>
      <c r="G2631" s="88"/>
      <c r="H2631" s="88"/>
      <c r="I2631" s="88"/>
      <c r="J2631" s="88"/>
      <c r="K2631" s="230"/>
      <c r="L2631" s="88"/>
      <c r="M2631" s="88"/>
      <c r="N2631" s="88"/>
      <c r="O2631" s="88"/>
      <c r="P2631" s="88"/>
      <c r="Q2631" s="88"/>
      <c r="R2631" s="88"/>
      <c r="S2631" s="620"/>
      <c r="T2631" s="92"/>
      <c r="U2631" s="1214"/>
      <c r="V2631" s="1215"/>
      <c r="W2631" s="168"/>
      <c r="X2631" s="170"/>
    </row>
    <row r="2632" spans="1:24" ht="12.75" customHeight="1">
      <c r="A2632" s="15"/>
      <c r="B2632" s="92" t="str">
        <f t="shared" si="357"/>
        <v/>
      </c>
      <c r="C2632" s="90"/>
      <c r="D2632" s="87"/>
      <c r="E2632" s="88"/>
      <c r="F2632" s="173"/>
      <c r="G2632" s="88"/>
      <c r="H2632" s="88"/>
      <c r="I2632" s="88"/>
      <c r="J2632" s="88"/>
      <c r="K2632" s="230"/>
      <c r="L2632" s="88"/>
      <c r="M2632" s="88"/>
      <c r="N2632" s="88"/>
      <c r="O2632" s="88"/>
      <c r="P2632" s="88"/>
      <c r="Q2632" s="88"/>
      <c r="R2632" s="88"/>
      <c r="S2632" s="620"/>
      <c r="T2632" s="92"/>
      <c r="U2632" s="1214"/>
      <c r="V2632" s="1215"/>
      <c r="W2632" s="168"/>
      <c r="X2632" s="170"/>
    </row>
    <row r="2633" spans="1:24" ht="12.75" customHeight="1">
      <c r="A2633" s="15"/>
      <c r="B2633" s="92" t="str">
        <f t="shared" si="357"/>
        <v/>
      </c>
      <c r="C2633" s="90"/>
      <c r="D2633" s="87"/>
      <c r="E2633" s="88"/>
      <c r="F2633" s="173"/>
      <c r="G2633" s="88"/>
      <c r="H2633" s="88"/>
      <c r="I2633" s="88"/>
      <c r="J2633" s="88"/>
      <c r="K2633" s="230"/>
      <c r="L2633" s="88"/>
      <c r="M2633" s="88"/>
      <c r="N2633" s="88"/>
      <c r="O2633" s="88"/>
      <c r="P2633" s="88"/>
      <c r="Q2633" s="88"/>
      <c r="R2633" s="88"/>
      <c r="S2633" s="620"/>
      <c r="T2633" s="92"/>
      <c r="U2633" s="1214"/>
      <c r="V2633" s="1215"/>
      <c r="W2633" s="168"/>
      <c r="X2633" s="170"/>
    </row>
    <row r="2634" spans="1:24" ht="12.75" customHeight="1">
      <c r="A2634" s="15"/>
      <c r="B2634" s="92" t="str">
        <f t="shared" si="357"/>
        <v/>
      </c>
      <c r="C2634" s="90"/>
      <c r="D2634" s="87"/>
      <c r="E2634" s="88"/>
      <c r="F2634" s="173"/>
      <c r="G2634" s="88"/>
      <c r="H2634" s="88"/>
      <c r="I2634" s="88"/>
      <c r="J2634" s="88"/>
      <c r="K2634" s="230"/>
      <c r="L2634" s="88"/>
      <c r="M2634" s="88"/>
      <c r="N2634" s="88"/>
      <c r="O2634" s="88"/>
      <c r="P2634" s="88"/>
      <c r="Q2634" s="88"/>
      <c r="R2634" s="88"/>
      <c r="S2634" s="620"/>
      <c r="T2634" s="92"/>
      <c r="U2634" s="1214"/>
      <c r="V2634" s="1215"/>
      <c r="W2634" s="168"/>
      <c r="X2634" s="170"/>
    </row>
    <row r="2635" spans="1:24" ht="12.75" customHeight="1">
      <c r="A2635" s="15"/>
      <c r="B2635" s="92" t="str">
        <f t="shared" si="357"/>
        <v/>
      </c>
      <c r="C2635" s="90"/>
      <c r="D2635" s="87"/>
      <c r="E2635" s="88"/>
      <c r="F2635" s="173"/>
      <c r="G2635" s="88"/>
      <c r="H2635" s="88"/>
      <c r="I2635" s="88"/>
      <c r="J2635" s="88"/>
      <c r="K2635" s="230"/>
      <c r="L2635" s="88"/>
      <c r="M2635" s="88"/>
      <c r="N2635" s="88"/>
      <c r="O2635" s="88"/>
      <c r="P2635" s="88"/>
      <c r="Q2635" s="88"/>
      <c r="R2635" s="88"/>
      <c r="S2635" s="620"/>
      <c r="T2635" s="92"/>
      <c r="U2635" s="1214"/>
      <c r="V2635" s="1215"/>
      <c r="W2635" s="168"/>
      <c r="X2635" s="170"/>
    </row>
    <row r="2636" spans="1:24" ht="12.75" customHeight="1">
      <c r="A2636" s="15"/>
      <c r="B2636" s="92" t="str">
        <f t="shared" si="357"/>
        <v/>
      </c>
      <c r="C2636" s="90"/>
      <c r="D2636" s="87"/>
      <c r="E2636" s="88"/>
      <c r="F2636" s="173"/>
      <c r="G2636" s="88"/>
      <c r="H2636" s="88"/>
      <c r="I2636" s="88"/>
      <c r="J2636" s="88"/>
      <c r="K2636" s="230"/>
      <c r="L2636" s="88"/>
      <c r="M2636" s="88"/>
      <c r="N2636" s="88"/>
      <c r="O2636" s="88"/>
      <c r="P2636" s="88"/>
      <c r="Q2636" s="88"/>
      <c r="R2636" s="88"/>
      <c r="S2636" s="620"/>
      <c r="T2636" s="92"/>
      <c r="U2636" s="1214"/>
      <c r="V2636" s="1215"/>
      <c r="W2636" s="168"/>
      <c r="X2636" s="170"/>
    </row>
    <row r="2637" spans="1:24" ht="12.75" customHeight="1">
      <c r="A2637" s="15"/>
      <c r="B2637" s="92" t="str">
        <f t="shared" si="357"/>
        <v/>
      </c>
      <c r="C2637" s="90"/>
      <c r="D2637" s="87"/>
      <c r="E2637" s="88"/>
      <c r="F2637" s="173"/>
      <c r="G2637" s="88"/>
      <c r="H2637" s="88"/>
      <c r="I2637" s="88"/>
      <c r="J2637" s="88"/>
      <c r="K2637" s="230"/>
      <c r="L2637" s="88"/>
      <c r="M2637" s="88"/>
      <c r="N2637" s="88"/>
      <c r="O2637" s="88"/>
      <c r="P2637" s="88"/>
      <c r="Q2637" s="88"/>
      <c r="R2637" s="88"/>
      <c r="S2637" s="620"/>
      <c r="T2637" s="92"/>
      <c r="U2637" s="1214"/>
      <c r="V2637" s="1215"/>
      <c r="W2637" s="168"/>
      <c r="X2637" s="170"/>
    </row>
    <row r="2638" spans="1:24" ht="12.75" customHeight="1">
      <c r="A2638" s="15"/>
      <c r="B2638" s="92" t="str">
        <f t="shared" si="357"/>
        <v/>
      </c>
      <c r="C2638" s="90"/>
      <c r="D2638" s="87"/>
      <c r="E2638" s="88"/>
      <c r="F2638" s="173"/>
      <c r="G2638" s="88"/>
      <c r="H2638" s="88"/>
      <c r="I2638" s="88"/>
      <c r="J2638" s="88"/>
      <c r="K2638" s="230"/>
      <c r="L2638" s="88"/>
      <c r="M2638" s="88"/>
      <c r="N2638" s="88"/>
      <c r="O2638" s="88"/>
      <c r="P2638" s="88"/>
      <c r="Q2638" s="88"/>
      <c r="R2638" s="88"/>
      <c r="S2638" s="620"/>
      <c r="T2638" s="92"/>
      <c r="U2638" s="1214"/>
      <c r="V2638" s="1215"/>
      <c r="W2638" s="168"/>
      <c r="X2638" s="170"/>
    </row>
    <row r="2639" spans="1:24" ht="12.75" customHeight="1">
      <c r="A2639" s="15"/>
      <c r="B2639" s="92" t="str">
        <f t="shared" si="357"/>
        <v/>
      </c>
      <c r="C2639" s="90"/>
      <c r="D2639" s="87"/>
      <c r="E2639" s="88"/>
      <c r="F2639" s="173"/>
      <c r="G2639" s="88"/>
      <c r="H2639" s="88"/>
      <c r="I2639" s="88"/>
      <c r="J2639" s="88"/>
      <c r="K2639" s="230"/>
      <c r="L2639" s="88"/>
      <c r="M2639" s="88"/>
      <c r="N2639" s="88"/>
      <c r="O2639" s="88"/>
      <c r="P2639" s="88"/>
      <c r="Q2639" s="88"/>
      <c r="R2639" s="88"/>
      <c r="S2639" s="620"/>
      <c r="T2639" s="92"/>
      <c r="U2639" s="1214"/>
      <c r="V2639" s="1215"/>
      <c r="W2639" s="168"/>
      <c r="X2639" s="170"/>
    </row>
    <row r="2640" spans="1:24" ht="12.75" customHeight="1">
      <c r="A2640" s="15"/>
      <c r="B2640" s="92" t="str">
        <f t="shared" si="357"/>
        <v/>
      </c>
      <c r="C2640" s="90"/>
      <c r="D2640" s="87"/>
      <c r="E2640" s="88"/>
      <c r="F2640" s="173"/>
      <c r="G2640" s="88"/>
      <c r="H2640" s="88"/>
      <c r="I2640" s="88"/>
      <c r="J2640" s="88"/>
      <c r="K2640" s="230"/>
      <c r="L2640" s="88"/>
      <c r="M2640" s="88"/>
      <c r="N2640" s="88"/>
      <c r="O2640" s="88"/>
      <c r="P2640" s="88"/>
      <c r="Q2640" s="88"/>
      <c r="R2640" s="88"/>
      <c r="S2640" s="620"/>
      <c r="T2640" s="92"/>
      <c r="U2640" s="1214"/>
      <c r="V2640" s="1215"/>
      <c r="W2640" s="168"/>
      <c r="X2640" s="170"/>
    </row>
    <row r="2641" spans="1:24" ht="12.75" customHeight="1">
      <c r="A2641" s="15"/>
      <c r="B2641" s="92" t="str">
        <f t="shared" si="357"/>
        <v/>
      </c>
      <c r="C2641" s="90"/>
      <c r="D2641" s="87"/>
      <c r="E2641" s="88"/>
      <c r="F2641" s="173"/>
      <c r="G2641" s="88"/>
      <c r="H2641" s="88"/>
      <c r="I2641" s="88"/>
      <c r="J2641" s="88"/>
      <c r="K2641" s="230"/>
      <c r="L2641" s="88"/>
      <c r="M2641" s="88"/>
      <c r="N2641" s="88"/>
      <c r="O2641" s="88"/>
      <c r="P2641" s="88"/>
      <c r="Q2641" s="88"/>
      <c r="R2641" s="88"/>
      <c r="S2641" s="620"/>
      <c r="T2641" s="92"/>
      <c r="U2641" s="1214"/>
      <c r="V2641" s="1215"/>
      <c r="W2641" s="168"/>
      <c r="X2641" s="170"/>
    </row>
    <row r="2642" spans="1:24" ht="12.75" customHeight="1">
      <c r="A2642" s="15"/>
      <c r="B2642" s="92" t="str">
        <f t="shared" si="357"/>
        <v/>
      </c>
      <c r="C2642" s="90"/>
      <c r="D2642" s="87"/>
      <c r="E2642" s="88"/>
      <c r="F2642" s="173"/>
      <c r="G2642" s="88"/>
      <c r="H2642" s="88"/>
      <c r="I2642" s="88"/>
      <c r="J2642" s="88"/>
      <c r="K2642" s="230"/>
      <c r="L2642" s="88"/>
      <c r="M2642" s="88"/>
      <c r="N2642" s="88"/>
      <c r="O2642" s="88"/>
      <c r="P2642" s="88"/>
      <c r="Q2642" s="88"/>
      <c r="R2642" s="88"/>
      <c r="S2642" s="620"/>
      <c r="T2642" s="92"/>
      <c r="U2642" s="1214"/>
      <c r="V2642" s="1215"/>
      <c r="W2642" s="168"/>
      <c r="X2642" s="170"/>
    </row>
    <row r="2643" spans="1:24" ht="12.75" customHeight="1">
      <c r="A2643" s="15"/>
      <c r="B2643" s="92" t="str">
        <f t="shared" si="357"/>
        <v/>
      </c>
      <c r="C2643" s="90"/>
      <c r="D2643" s="87"/>
      <c r="E2643" s="88"/>
      <c r="F2643" s="173"/>
      <c r="G2643" s="88"/>
      <c r="H2643" s="88"/>
      <c r="I2643" s="88"/>
      <c r="J2643" s="88"/>
      <c r="K2643" s="230"/>
      <c r="L2643" s="88"/>
      <c r="M2643" s="88"/>
      <c r="N2643" s="88"/>
      <c r="O2643" s="88"/>
      <c r="P2643" s="88"/>
      <c r="Q2643" s="88"/>
      <c r="R2643" s="88"/>
      <c r="S2643" s="620"/>
      <c r="T2643" s="92"/>
      <c r="U2643" s="1214"/>
      <c r="V2643" s="1215"/>
      <c r="W2643" s="168"/>
      <c r="X2643" s="170"/>
    </row>
    <row r="2644" spans="1:24" ht="12.75" customHeight="1">
      <c r="A2644" s="15"/>
      <c r="B2644" s="92" t="str">
        <f t="shared" si="357"/>
        <v/>
      </c>
      <c r="C2644" s="90"/>
      <c r="D2644" s="87"/>
      <c r="E2644" s="88"/>
      <c r="F2644" s="173"/>
      <c r="G2644" s="88"/>
      <c r="H2644" s="88"/>
      <c r="I2644" s="88"/>
      <c r="J2644" s="88"/>
      <c r="K2644" s="230"/>
      <c r="L2644" s="88"/>
      <c r="M2644" s="88"/>
      <c r="N2644" s="88"/>
      <c r="O2644" s="88"/>
      <c r="P2644" s="88"/>
      <c r="Q2644" s="88"/>
      <c r="R2644" s="88"/>
      <c r="S2644" s="620"/>
      <c r="T2644" s="92"/>
      <c r="U2644" s="1214"/>
      <c r="V2644" s="1215"/>
      <c r="W2644" s="168"/>
      <c r="X2644" s="170"/>
    </row>
    <row r="2645" spans="1:24" ht="12.75" customHeight="1">
      <c r="A2645" s="15"/>
      <c r="B2645" s="92" t="str">
        <f t="shared" si="357"/>
        <v/>
      </c>
      <c r="C2645" s="90"/>
      <c r="D2645" s="87"/>
      <c r="E2645" s="88"/>
      <c r="F2645" s="173"/>
      <c r="G2645" s="88"/>
      <c r="H2645" s="88"/>
      <c r="I2645" s="88"/>
      <c r="J2645" s="88"/>
      <c r="K2645" s="230"/>
      <c r="L2645" s="88"/>
      <c r="M2645" s="88"/>
      <c r="N2645" s="88"/>
      <c r="O2645" s="88"/>
      <c r="P2645" s="88"/>
      <c r="Q2645" s="88"/>
      <c r="R2645" s="88"/>
      <c r="S2645" s="620"/>
      <c r="T2645" s="92"/>
      <c r="U2645" s="1214"/>
      <c r="V2645" s="1215"/>
      <c r="W2645" s="168"/>
      <c r="X2645" s="170"/>
    </row>
    <row r="2646" spans="1:24" ht="12.75" customHeight="1">
      <c r="A2646" s="15"/>
      <c r="B2646" s="92" t="str">
        <f t="shared" si="357"/>
        <v/>
      </c>
      <c r="C2646" s="90"/>
      <c r="D2646" s="87"/>
      <c r="E2646" s="88"/>
      <c r="F2646" s="173"/>
      <c r="G2646" s="88"/>
      <c r="H2646" s="88"/>
      <c r="I2646" s="88"/>
      <c r="J2646" s="88"/>
      <c r="K2646" s="230"/>
      <c r="L2646" s="88"/>
      <c r="M2646" s="88"/>
      <c r="N2646" s="88"/>
      <c r="O2646" s="88"/>
      <c r="P2646" s="88"/>
      <c r="Q2646" s="88"/>
      <c r="R2646" s="88"/>
      <c r="S2646" s="620"/>
      <c r="T2646" s="92"/>
      <c r="U2646" s="1214"/>
      <c r="V2646" s="1215"/>
      <c r="W2646" s="168"/>
      <c r="X2646" s="170"/>
    </row>
    <row r="2647" spans="1:24" ht="12.75" customHeight="1">
      <c r="A2647" s="15"/>
      <c r="B2647" s="92" t="str">
        <f t="shared" si="357"/>
        <v/>
      </c>
      <c r="C2647" s="90"/>
      <c r="D2647" s="87"/>
      <c r="E2647" s="88"/>
      <c r="F2647" s="173"/>
      <c r="G2647" s="88"/>
      <c r="H2647" s="88"/>
      <c r="I2647" s="88"/>
      <c r="J2647" s="88"/>
      <c r="K2647" s="230"/>
      <c r="L2647" s="88"/>
      <c r="M2647" s="88"/>
      <c r="N2647" s="88"/>
      <c r="O2647" s="88"/>
      <c r="P2647" s="88"/>
      <c r="Q2647" s="88"/>
      <c r="R2647" s="88"/>
      <c r="S2647" s="620"/>
      <c r="T2647" s="92"/>
      <c r="U2647" s="1214"/>
      <c r="V2647" s="1215"/>
      <c r="W2647" s="168"/>
      <c r="X2647" s="170"/>
    </row>
    <row r="2648" spans="1:24" ht="12.75" customHeight="1">
      <c r="A2648" s="15"/>
      <c r="B2648" s="92" t="str">
        <f t="shared" si="357"/>
        <v/>
      </c>
      <c r="C2648" s="90"/>
      <c r="D2648" s="87"/>
      <c r="E2648" s="88"/>
      <c r="F2648" s="173"/>
      <c r="G2648" s="88"/>
      <c r="H2648" s="88"/>
      <c r="I2648" s="88"/>
      <c r="J2648" s="88"/>
      <c r="K2648" s="230"/>
      <c r="L2648" s="88"/>
      <c r="M2648" s="88"/>
      <c r="N2648" s="88"/>
      <c r="O2648" s="88"/>
      <c r="P2648" s="88"/>
      <c r="Q2648" s="88"/>
      <c r="R2648" s="88"/>
      <c r="S2648" s="620"/>
      <c r="T2648" s="92"/>
      <c r="U2648" s="1214"/>
      <c r="V2648" s="1215"/>
      <c r="W2648" s="168"/>
      <c r="X2648" s="170"/>
    </row>
    <row r="2649" spans="1:24" ht="12.75" customHeight="1">
      <c r="A2649" s="15"/>
      <c r="B2649" s="92" t="str">
        <f t="shared" si="357"/>
        <v/>
      </c>
      <c r="C2649" s="90"/>
      <c r="D2649" s="87"/>
      <c r="E2649" s="88"/>
      <c r="F2649" s="173"/>
      <c r="G2649" s="88"/>
      <c r="H2649" s="88"/>
      <c r="I2649" s="88"/>
      <c r="J2649" s="88"/>
      <c r="K2649" s="230"/>
      <c r="L2649" s="88"/>
      <c r="M2649" s="88"/>
      <c r="N2649" s="88"/>
      <c r="O2649" s="88"/>
      <c r="P2649" s="88"/>
      <c r="Q2649" s="88"/>
      <c r="R2649" s="88"/>
      <c r="S2649" s="620"/>
      <c r="T2649" s="92"/>
      <c r="U2649" s="1214"/>
      <c r="V2649" s="1215"/>
      <c r="W2649" s="168"/>
      <c r="X2649" s="170"/>
    </row>
    <row r="2650" spans="1:24" ht="12.75" customHeight="1">
      <c r="A2650" s="15"/>
      <c r="B2650" s="92" t="str">
        <f t="shared" si="357"/>
        <v/>
      </c>
      <c r="C2650" s="90"/>
      <c r="D2650" s="87"/>
      <c r="E2650" s="88"/>
      <c r="F2650" s="173"/>
      <c r="G2650" s="88"/>
      <c r="H2650" s="88"/>
      <c r="I2650" s="88"/>
      <c r="J2650" s="88"/>
      <c r="K2650" s="230"/>
      <c r="L2650" s="88"/>
      <c r="M2650" s="88"/>
      <c r="N2650" s="88"/>
      <c r="O2650" s="88"/>
      <c r="P2650" s="88"/>
      <c r="Q2650" s="88"/>
      <c r="R2650" s="88"/>
      <c r="S2650" s="620"/>
      <c r="T2650" s="92"/>
      <c r="U2650" s="1214"/>
      <c r="V2650" s="1215"/>
      <c r="W2650" s="168"/>
      <c r="X2650" s="170"/>
    </row>
    <row r="2651" spans="1:24" ht="12.75" customHeight="1">
      <c r="A2651" s="15"/>
      <c r="B2651" s="92" t="str">
        <f t="shared" si="357"/>
        <v/>
      </c>
      <c r="C2651" s="90"/>
      <c r="D2651" s="87"/>
      <c r="E2651" s="88"/>
      <c r="F2651" s="173"/>
      <c r="G2651" s="88"/>
      <c r="H2651" s="88"/>
      <c r="I2651" s="88"/>
      <c r="J2651" s="88"/>
      <c r="K2651" s="230"/>
      <c r="L2651" s="88"/>
      <c r="M2651" s="88"/>
      <c r="N2651" s="88"/>
      <c r="O2651" s="88"/>
      <c r="P2651" s="88"/>
      <c r="Q2651" s="88"/>
      <c r="R2651" s="88"/>
      <c r="S2651" s="620"/>
      <c r="T2651" s="92"/>
      <c r="U2651" s="1214"/>
      <c r="V2651" s="1215"/>
      <c r="W2651" s="168"/>
      <c r="X2651" s="170"/>
    </row>
    <row r="2652" spans="1:24" ht="12.75" customHeight="1">
      <c r="A2652" s="15"/>
      <c r="B2652" s="92" t="str">
        <f t="shared" si="357"/>
        <v/>
      </c>
      <c r="C2652" s="90"/>
      <c r="D2652" s="87"/>
      <c r="E2652" s="88"/>
      <c r="F2652" s="173"/>
      <c r="G2652" s="88"/>
      <c r="H2652" s="88"/>
      <c r="I2652" s="88"/>
      <c r="J2652" s="88"/>
      <c r="K2652" s="230"/>
      <c r="L2652" s="88"/>
      <c r="M2652" s="88"/>
      <c r="N2652" s="88"/>
      <c r="O2652" s="88"/>
      <c r="P2652" s="88"/>
      <c r="Q2652" s="88"/>
      <c r="R2652" s="88"/>
      <c r="S2652" s="620"/>
      <c r="T2652" s="92"/>
      <c r="U2652" s="1214"/>
      <c r="V2652" s="1215"/>
      <c r="W2652" s="168"/>
      <c r="X2652" s="170"/>
    </row>
    <row r="2653" spans="1:24" ht="12.75" customHeight="1">
      <c r="A2653" s="15"/>
      <c r="B2653" s="92" t="str">
        <f t="shared" si="357"/>
        <v/>
      </c>
      <c r="C2653" s="90"/>
      <c r="D2653" s="87"/>
      <c r="E2653" s="88"/>
      <c r="F2653" s="173"/>
      <c r="G2653" s="88"/>
      <c r="H2653" s="88"/>
      <c r="I2653" s="88"/>
      <c r="J2653" s="88"/>
      <c r="K2653" s="230"/>
      <c r="L2653" s="88"/>
      <c r="M2653" s="88"/>
      <c r="N2653" s="88"/>
      <c r="O2653" s="88"/>
      <c r="P2653" s="88"/>
      <c r="Q2653" s="88"/>
      <c r="R2653" s="88"/>
      <c r="S2653" s="620"/>
      <c r="T2653" s="92"/>
      <c r="U2653" s="1214"/>
      <c r="V2653" s="1215"/>
      <c r="W2653" s="168"/>
      <c r="X2653" s="170"/>
    </row>
    <row r="2654" spans="1:24" ht="12.75" customHeight="1">
      <c r="A2654" s="15"/>
      <c r="B2654" s="92" t="str">
        <f t="shared" si="357"/>
        <v/>
      </c>
      <c r="C2654" s="90"/>
      <c r="D2654" s="87"/>
      <c r="E2654" s="88"/>
      <c r="F2654" s="173"/>
      <c r="G2654" s="88"/>
      <c r="H2654" s="88"/>
      <c r="I2654" s="88"/>
      <c r="J2654" s="88"/>
      <c r="K2654" s="230"/>
      <c r="L2654" s="88"/>
      <c r="M2654" s="88"/>
      <c r="N2654" s="88"/>
      <c r="O2654" s="88"/>
      <c r="P2654" s="88"/>
      <c r="Q2654" s="88"/>
      <c r="R2654" s="88"/>
      <c r="S2654" s="620"/>
      <c r="T2654" s="92"/>
      <c r="U2654" s="1214"/>
      <c r="V2654" s="1215"/>
      <c r="W2654" s="168"/>
      <c r="X2654" s="170"/>
    </row>
    <row r="2655" spans="1:24" ht="12.75" customHeight="1">
      <c r="A2655" s="15"/>
      <c r="B2655" s="92" t="str">
        <f t="shared" si="357"/>
        <v/>
      </c>
      <c r="C2655" s="90"/>
      <c r="D2655" s="87"/>
      <c r="E2655" s="88"/>
      <c r="F2655" s="173"/>
      <c r="G2655" s="88"/>
      <c r="H2655" s="88"/>
      <c r="I2655" s="88"/>
      <c r="J2655" s="88"/>
      <c r="K2655" s="230"/>
      <c r="L2655" s="88"/>
      <c r="M2655" s="88"/>
      <c r="N2655" s="88"/>
      <c r="O2655" s="88"/>
      <c r="P2655" s="88"/>
      <c r="Q2655" s="88"/>
      <c r="R2655" s="88"/>
      <c r="S2655" s="620"/>
      <c r="T2655" s="92"/>
      <c r="U2655" s="1214"/>
      <c r="V2655" s="1215"/>
      <c r="W2655" s="168"/>
      <c r="X2655" s="170"/>
    </row>
    <row r="2656" spans="1:24" ht="12.75" customHeight="1">
      <c r="A2656" s="15"/>
      <c r="B2656" s="92" t="str">
        <f t="shared" si="357"/>
        <v/>
      </c>
      <c r="C2656" s="90"/>
      <c r="D2656" s="87"/>
      <c r="E2656" s="88"/>
      <c r="F2656" s="173"/>
      <c r="G2656" s="88"/>
      <c r="H2656" s="88"/>
      <c r="I2656" s="88"/>
      <c r="J2656" s="88"/>
      <c r="K2656" s="230"/>
      <c r="L2656" s="88"/>
      <c r="M2656" s="88"/>
      <c r="N2656" s="88"/>
      <c r="O2656" s="88"/>
      <c r="P2656" s="88"/>
      <c r="Q2656" s="88"/>
      <c r="R2656" s="88"/>
      <c r="S2656" s="620"/>
      <c r="T2656" s="92"/>
      <c r="U2656" s="1214"/>
      <c r="V2656" s="1215"/>
      <c r="W2656" s="168"/>
      <c r="X2656" s="170"/>
    </row>
    <row r="2657" spans="1:24" ht="12.75" customHeight="1">
      <c r="A2657" s="15"/>
      <c r="B2657" s="92" t="str">
        <f t="shared" si="357"/>
        <v/>
      </c>
      <c r="C2657" s="90"/>
      <c r="D2657" s="87"/>
      <c r="E2657" s="88"/>
      <c r="F2657" s="173"/>
      <c r="G2657" s="88"/>
      <c r="H2657" s="88"/>
      <c r="I2657" s="88"/>
      <c r="J2657" s="88"/>
      <c r="K2657" s="230"/>
      <c r="L2657" s="88"/>
      <c r="M2657" s="88"/>
      <c r="N2657" s="88"/>
      <c r="O2657" s="88"/>
      <c r="P2657" s="88"/>
      <c r="Q2657" s="88"/>
      <c r="R2657" s="88"/>
      <c r="S2657" s="620"/>
      <c r="T2657" s="92"/>
      <c r="U2657" s="1214"/>
      <c r="V2657" s="1215"/>
      <c r="W2657" s="168"/>
      <c r="X2657" s="170"/>
    </row>
    <row r="2658" spans="1:24" ht="12.75" customHeight="1">
      <c r="A2658" s="15"/>
      <c r="B2658" s="92" t="str">
        <f t="shared" si="357"/>
        <v/>
      </c>
      <c r="C2658" s="90"/>
      <c r="D2658" s="87"/>
      <c r="E2658" s="88"/>
      <c r="F2658" s="173"/>
      <c r="G2658" s="88"/>
      <c r="H2658" s="88"/>
      <c r="I2658" s="88"/>
      <c r="J2658" s="88"/>
      <c r="K2658" s="230"/>
      <c r="L2658" s="88"/>
      <c r="M2658" s="88"/>
      <c r="N2658" s="88"/>
      <c r="O2658" s="88"/>
      <c r="P2658" s="88"/>
      <c r="Q2658" s="88"/>
      <c r="R2658" s="88"/>
      <c r="S2658" s="620"/>
      <c r="T2658" s="92"/>
      <c r="U2658" s="1214"/>
      <c r="V2658" s="1215"/>
      <c r="W2658" s="168"/>
      <c r="X2658" s="170"/>
    </row>
    <row r="2659" spans="1:24" ht="12.75" customHeight="1">
      <c r="A2659" s="15"/>
      <c r="B2659" s="92" t="str">
        <f t="shared" si="357"/>
        <v/>
      </c>
      <c r="C2659" s="90"/>
      <c r="D2659" s="87"/>
      <c r="E2659" s="88"/>
      <c r="F2659" s="173"/>
      <c r="G2659" s="88"/>
      <c r="H2659" s="88"/>
      <c r="I2659" s="88"/>
      <c r="J2659" s="88"/>
      <c r="K2659" s="230"/>
      <c r="L2659" s="88"/>
      <c r="M2659" s="88"/>
      <c r="N2659" s="88"/>
      <c r="O2659" s="88"/>
      <c r="P2659" s="88"/>
      <c r="Q2659" s="88"/>
      <c r="R2659" s="88"/>
      <c r="S2659" s="620"/>
      <c r="T2659" s="92"/>
      <c r="U2659" s="1214"/>
      <c r="V2659" s="1215"/>
      <c r="W2659" s="168"/>
      <c r="X2659" s="170"/>
    </row>
    <row r="2660" spans="1:24" ht="12.75" customHeight="1">
      <c r="A2660" s="15"/>
      <c r="B2660" s="92" t="str">
        <f t="shared" si="357"/>
        <v/>
      </c>
      <c r="C2660" s="90"/>
      <c r="D2660" s="87"/>
      <c r="E2660" s="88"/>
      <c r="F2660" s="173"/>
      <c r="G2660" s="88"/>
      <c r="H2660" s="88"/>
      <c r="I2660" s="88"/>
      <c r="J2660" s="88"/>
      <c r="K2660" s="230"/>
      <c r="L2660" s="88"/>
      <c r="M2660" s="88"/>
      <c r="N2660" s="88"/>
      <c r="O2660" s="88"/>
      <c r="P2660" s="88"/>
      <c r="Q2660" s="88"/>
      <c r="R2660" s="88"/>
      <c r="S2660" s="620"/>
      <c r="T2660" s="92"/>
      <c r="U2660" s="1214"/>
      <c r="V2660" s="1215"/>
      <c r="W2660" s="168"/>
      <c r="X2660" s="170"/>
    </row>
    <row r="2661" spans="1:24" ht="12.75" customHeight="1">
      <c r="A2661" s="15"/>
      <c r="B2661" s="92" t="str">
        <f t="shared" si="357"/>
        <v/>
      </c>
      <c r="C2661" s="90"/>
      <c r="D2661" s="87"/>
      <c r="E2661" s="88"/>
      <c r="F2661" s="173"/>
      <c r="G2661" s="88"/>
      <c r="H2661" s="88"/>
      <c r="I2661" s="88"/>
      <c r="J2661" s="88"/>
      <c r="K2661" s="230"/>
      <c r="L2661" s="88"/>
      <c r="M2661" s="88"/>
      <c r="N2661" s="88"/>
      <c r="O2661" s="88"/>
      <c r="P2661" s="88"/>
      <c r="Q2661" s="88"/>
      <c r="R2661" s="88"/>
      <c r="S2661" s="620"/>
      <c r="T2661" s="92"/>
      <c r="U2661" s="1214"/>
      <c r="V2661" s="1215"/>
      <c r="W2661" s="168"/>
      <c r="X2661" s="170"/>
    </row>
    <row r="2662" spans="1:24" ht="12.75" customHeight="1">
      <c r="A2662" s="15"/>
      <c r="B2662" s="92" t="str">
        <f t="shared" si="357"/>
        <v/>
      </c>
      <c r="C2662" s="90"/>
      <c r="D2662" s="87"/>
      <c r="E2662" s="88"/>
      <c r="F2662" s="173"/>
      <c r="G2662" s="88"/>
      <c r="H2662" s="88"/>
      <c r="I2662" s="88"/>
      <c r="J2662" s="88"/>
      <c r="K2662" s="230"/>
      <c r="L2662" s="88"/>
      <c r="M2662" s="88"/>
      <c r="N2662" s="88"/>
      <c r="O2662" s="88"/>
      <c r="P2662" s="88"/>
      <c r="Q2662" s="88"/>
      <c r="R2662" s="88"/>
      <c r="S2662" s="620"/>
      <c r="T2662" s="92"/>
      <c r="U2662" s="1214"/>
      <c r="V2662" s="1215"/>
      <c r="W2662" s="168"/>
      <c r="X2662" s="170"/>
    </row>
    <row r="2663" spans="1:24" ht="12.75" customHeight="1">
      <c r="A2663" s="15"/>
      <c r="B2663" s="92" t="str">
        <f t="shared" si="357"/>
        <v/>
      </c>
      <c r="C2663" s="90"/>
      <c r="D2663" s="87"/>
      <c r="E2663" s="88"/>
      <c r="F2663" s="173"/>
      <c r="G2663" s="88"/>
      <c r="H2663" s="88"/>
      <c r="I2663" s="88"/>
      <c r="J2663" s="88"/>
      <c r="K2663" s="230"/>
      <c r="L2663" s="88"/>
      <c r="M2663" s="88"/>
      <c r="N2663" s="88"/>
      <c r="O2663" s="88"/>
      <c r="P2663" s="88"/>
      <c r="Q2663" s="88"/>
      <c r="R2663" s="88"/>
      <c r="S2663" s="620"/>
      <c r="T2663" s="92"/>
      <c r="U2663" s="1214"/>
      <c r="V2663" s="1215"/>
      <c r="W2663" s="168"/>
      <c r="X2663" s="170"/>
    </row>
    <row r="2664" spans="1:24" ht="12.75" customHeight="1">
      <c r="A2664" s="15"/>
      <c r="B2664" s="92" t="str">
        <f t="shared" si="357"/>
        <v/>
      </c>
      <c r="C2664" s="90"/>
      <c r="D2664" s="87"/>
      <c r="E2664" s="88"/>
      <c r="F2664" s="173"/>
      <c r="G2664" s="88"/>
      <c r="H2664" s="88"/>
      <c r="I2664" s="88"/>
      <c r="J2664" s="88"/>
      <c r="K2664" s="230"/>
      <c r="L2664" s="88"/>
      <c r="M2664" s="88"/>
      <c r="N2664" s="88"/>
      <c r="O2664" s="88"/>
      <c r="P2664" s="88"/>
      <c r="Q2664" s="88"/>
      <c r="R2664" s="88"/>
      <c r="S2664" s="620"/>
      <c r="T2664" s="92"/>
      <c r="U2664" s="1214"/>
      <c r="V2664" s="1215"/>
      <c r="W2664" s="168"/>
      <c r="X2664" s="170"/>
    </row>
    <row r="2665" spans="1:24" ht="12.75" customHeight="1">
      <c r="A2665" s="15"/>
      <c r="B2665" s="92" t="str">
        <f t="shared" si="357"/>
        <v/>
      </c>
      <c r="C2665" s="90"/>
      <c r="D2665" s="87"/>
      <c r="E2665" s="88"/>
      <c r="F2665" s="173"/>
      <c r="G2665" s="88"/>
      <c r="H2665" s="88"/>
      <c r="I2665" s="88"/>
      <c r="J2665" s="88"/>
      <c r="K2665" s="230"/>
      <c r="L2665" s="88"/>
      <c r="M2665" s="88"/>
      <c r="N2665" s="88"/>
      <c r="O2665" s="88"/>
      <c r="P2665" s="88"/>
      <c r="Q2665" s="88"/>
      <c r="R2665" s="88"/>
      <c r="S2665" s="620"/>
      <c r="T2665" s="92"/>
      <c r="U2665" s="1214"/>
      <c r="V2665" s="1215"/>
      <c r="W2665" s="168"/>
      <c r="X2665" s="170"/>
    </row>
    <row r="2666" spans="1:24" ht="12.75" customHeight="1">
      <c r="A2666" s="15"/>
      <c r="B2666" s="92" t="str">
        <f t="shared" si="357"/>
        <v/>
      </c>
      <c r="C2666" s="90"/>
      <c r="D2666" s="87"/>
      <c r="E2666" s="88"/>
      <c r="F2666" s="173"/>
      <c r="G2666" s="88"/>
      <c r="H2666" s="88"/>
      <c r="I2666" s="88"/>
      <c r="J2666" s="88"/>
      <c r="K2666" s="230"/>
      <c r="L2666" s="88"/>
      <c r="M2666" s="88"/>
      <c r="N2666" s="88"/>
      <c r="O2666" s="88"/>
      <c r="P2666" s="88"/>
      <c r="Q2666" s="88"/>
      <c r="R2666" s="88"/>
      <c r="S2666" s="620"/>
      <c r="T2666" s="92"/>
      <c r="U2666" s="1214"/>
      <c r="V2666" s="1215"/>
      <c r="W2666" s="168"/>
      <c r="X2666" s="170"/>
    </row>
    <row r="2667" spans="1:24" ht="12.75" customHeight="1">
      <c r="A2667" s="15"/>
      <c r="B2667" s="92" t="str">
        <f t="shared" si="357"/>
        <v/>
      </c>
      <c r="C2667" s="90"/>
      <c r="D2667" s="87"/>
      <c r="E2667" s="88"/>
      <c r="F2667" s="173"/>
      <c r="G2667" s="88"/>
      <c r="H2667" s="88"/>
      <c r="I2667" s="88"/>
      <c r="J2667" s="88"/>
      <c r="K2667" s="230"/>
      <c r="L2667" s="88"/>
      <c r="M2667" s="88"/>
      <c r="N2667" s="88"/>
      <c r="O2667" s="88"/>
      <c r="P2667" s="88"/>
      <c r="Q2667" s="88"/>
      <c r="R2667" s="88"/>
      <c r="S2667" s="620"/>
      <c r="T2667" s="92"/>
      <c r="U2667" s="1214"/>
      <c r="V2667" s="1215"/>
      <c r="W2667" s="168"/>
      <c r="X2667" s="170"/>
    </row>
    <row r="2668" spans="1:24" ht="12.75" customHeight="1">
      <c r="A2668" s="15"/>
      <c r="B2668" s="92" t="str">
        <f t="shared" si="357"/>
        <v/>
      </c>
      <c r="C2668" s="90"/>
      <c r="D2668" s="87"/>
      <c r="E2668" s="88"/>
      <c r="F2668" s="173"/>
      <c r="G2668" s="88"/>
      <c r="H2668" s="88"/>
      <c r="I2668" s="88"/>
      <c r="J2668" s="88"/>
      <c r="K2668" s="230"/>
      <c r="L2668" s="88"/>
      <c r="M2668" s="88"/>
      <c r="N2668" s="88"/>
      <c r="O2668" s="88"/>
      <c r="P2668" s="88"/>
      <c r="Q2668" s="88"/>
      <c r="R2668" s="88"/>
      <c r="S2668" s="620"/>
      <c r="T2668" s="92"/>
      <c r="U2668" s="1214"/>
      <c r="V2668" s="1215"/>
      <c r="W2668" s="168"/>
      <c r="X2668" s="170"/>
    </row>
    <row r="2669" spans="1:24" ht="12.75" customHeight="1">
      <c r="A2669" s="15"/>
      <c r="B2669" s="92" t="str">
        <f t="shared" si="357"/>
        <v/>
      </c>
      <c r="C2669" s="90"/>
      <c r="D2669" s="87"/>
      <c r="E2669" s="88"/>
      <c r="F2669" s="173"/>
      <c r="G2669" s="88"/>
      <c r="H2669" s="88"/>
      <c r="I2669" s="88"/>
      <c r="J2669" s="88"/>
      <c r="K2669" s="230"/>
      <c r="L2669" s="88"/>
      <c r="M2669" s="88"/>
      <c r="N2669" s="88"/>
      <c r="O2669" s="88"/>
      <c r="P2669" s="88"/>
      <c r="Q2669" s="88"/>
      <c r="R2669" s="88"/>
      <c r="S2669" s="620"/>
      <c r="T2669" s="92"/>
      <c r="U2669" s="1214"/>
      <c r="V2669" s="1215"/>
      <c r="W2669" s="168"/>
      <c r="X2669" s="170"/>
    </row>
    <row r="2670" spans="1:24" ht="12.75" customHeight="1">
      <c r="A2670" s="15"/>
      <c r="B2670" s="92" t="str">
        <f t="shared" si="357"/>
        <v/>
      </c>
      <c r="C2670" s="90"/>
      <c r="D2670" s="87"/>
      <c r="E2670" s="88"/>
      <c r="F2670" s="173"/>
      <c r="G2670" s="88"/>
      <c r="H2670" s="88"/>
      <c r="I2670" s="88"/>
      <c r="J2670" s="88"/>
      <c r="K2670" s="230"/>
      <c r="L2670" s="88"/>
      <c r="M2670" s="88"/>
      <c r="N2670" s="88"/>
      <c r="O2670" s="88"/>
      <c r="P2670" s="88"/>
      <c r="Q2670" s="88"/>
      <c r="R2670" s="88"/>
      <c r="S2670" s="620"/>
      <c r="T2670" s="92"/>
      <c r="U2670" s="1214"/>
      <c r="V2670" s="1215"/>
      <c r="W2670" s="168"/>
      <c r="X2670" s="170"/>
    </row>
    <row r="2671" spans="1:24" ht="12.75" customHeight="1">
      <c r="A2671" s="15"/>
      <c r="B2671" s="92" t="str">
        <f t="shared" ref="B2671:B2734" si="358">IF(C2671="","",ROW()-5)</f>
        <v/>
      </c>
      <c r="C2671" s="90"/>
      <c r="D2671" s="87"/>
      <c r="E2671" s="88"/>
      <c r="F2671" s="173"/>
      <c r="G2671" s="88"/>
      <c r="H2671" s="88"/>
      <c r="I2671" s="88"/>
      <c r="J2671" s="88"/>
      <c r="K2671" s="230"/>
      <c r="L2671" s="88"/>
      <c r="M2671" s="88"/>
      <c r="N2671" s="88"/>
      <c r="O2671" s="88"/>
      <c r="P2671" s="88"/>
      <c r="Q2671" s="88"/>
      <c r="R2671" s="88"/>
      <c r="S2671" s="620"/>
      <c r="T2671" s="92"/>
      <c r="U2671" s="1214"/>
      <c r="V2671" s="1215"/>
      <c r="W2671" s="168"/>
      <c r="X2671" s="170"/>
    </row>
    <row r="2672" spans="1:24" ht="12.75" customHeight="1">
      <c r="A2672" s="15"/>
      <c r="B2672" s="92" t="str">
        <f t="shared" si="358"/>
        <v/>
      </c>
      <c r="C2672" s="90"/>
      <c r="D2672" s="87"/>
      <c r="E2672" s="88"/>
      <c r="F2672" s="173"/>
      <c r="G2672" s="88"/>
      <c r="H2672" s="88"/>
      <c r="I2672" s="88"/>
      <c r="J2672" s="88"/>
      <c r="K2672" s="230"/>
      <c r="L2672" s="88"/>
      <c r="M2672" s="88"/>
      <c r="N2672" s="88"/>
      <c r="O2672" s="88"/>
      <c r="P2672" s="88"/>
      <c r="Q2672" s="88"/>
      <c r="R2672" s="88"/>
      <c r="S2672" s="620"/>
      <c r="T2672" s="92"/>
      <c r="U2672" s="1214"/>
      <c r="V2672" s="1215"/>
      <c r="W2672" s="168"/>
      <c r="X2672" s="170"/>
    </row>
    <row r="2673" spans="1:24" ht="12.75" customHeight="1">
      <c r="A2673" s="15"/>
      <c r="B2673" s="92" t="str">
        <f t="shared" si="358"/>
        <v/>
      </c>
      <c r="C2673" s="90"/>
      <c r="D2673" s="87"/>
      <c r="E2673" s="88"/>
      <c r="F2673" s="173"/>
      <c r="G2673" s="88"/>
      <c r="H2673" s="88"/>
      <c r="I2673" s="88"/>
      <c r="J2673" s="88"/>
      <c r="K2673" s="230"/>
      <c r="L2673" s="88"/>
      <c r="M2673" s="88"/>
      <c r="N2673" s="88"/>
      <c r="O2673" s="88"/>
      <c r="P2673" s="88"/>
      <c r="Q2673" s="88"/>
      <c r="R2673" s="88"/>
      <c r="S2673" s="620"/>
      <c r="T2673" s="92"/>
      <c r="U2673" s="1214"/>
      <c r="V2673" s="1215"/>
      <c r="W2673" s="168"/>
      <c r="X2673" s="170"/>
    </row>
    <row r="2674" spans="1:24" ht="12.75" customHeight="1">
      <c r="A2674" s="15"/>
      <c r="B2674" s="92" t="str">
        <f t="shared" si="358"/>
        <v/>
      </c>
      <c r="C2674" s="90"/>
      <c r="D2674" s="87"/>
      <c r="E2674" s="88"/>
      <c r="F2674" s="173"/>
      <c r="G2674" s="88"/>
      <c r="H2674" s="88"/>
      <c r="I2674" s="88"/>
      <c r="J2674" s="88"/>
      <c r="K2674" s="230"/>
      <c r="L2674" s="88"/>
      <c r="M2674" s="88"/>
      <c r="N2674" s="88"/>
      <c r="O2674" s="88"/>
      <c r="P2674" s="88"/>
      <c r="Q2674" s="88"/>
      <c r="R2674" s="88"/>
      <c r="S2674" s="620"/>
      <c r="T2674" s="92"/>
      <c r="U2674" s="1214"/>
      <c r="V2674" s="1215"/>
      <c r="W2674" s="168"/>
      <c r="X2674" s="170"/>
    </row>
    <row r="2675" spans="1:24" ht="12.75" customHeight="1">
      <c r="A2675" s="15"/>
      <c r="B2675" s="92" t="str">
        <f t="shared" si="358"/>
        <v/>
      </c>
      <c r="C2675" s="90"/>
      <c r="D2675" s="87"/>
      <c r="E2675" s="88"/>
      <c r="F2675" s="173"/>
      <c r="G2675" s="88"/>
      <c r="H2675" s="88"/>
      <c r="I2675" s="88"/>
      <c r="J2675" s="88"/>
      <c r="K2675" s="230"/>
      <c r="L2675" s="88"/>
      <c r="M2675" s="88"/>
      <c r="N2675" s="88"/>
      <c r="O2675" s="88"/>
      <c r="P2675" s="88"/>
      <c r="Q2675" s="88"/>
      <c r="R2675" s="88"/>
      <c r="S2675" s="620"/>
      <c r="T2675" s="92"/>
      <c r="U2675" s="1214"/>
      <c r="V2675" s="1215"/>
      <c r="W2675" s="168"/>
      <c r="X2675" s="170"/>
    </row>
    <row r="2676" spans="1:24" ht="12.75" customHeight="1">
      <c r="A2676" s="15"/>
      <c r="B2676" s="92" t="str">
        <f t="shared" si="358"/>
        <v/>
      </c>
      <c r="C2676" s="90"/>
      <c r="D2676" s="87"/>
      <c r="E2676" s="88"/>
      <c r="F2676" s="173"/>
      <c r="G2676" s="88"/>
      <c r="H2676" s="88"/>
      <c r="I2676" s="88"/>
      <c r="J2676" s="88"/>
      <c r="K2676" s="230"/>
      <c r="L2676" s="88"/>
      <c r="M2676" s="88"/>
      <c r="N2676" s="88"/>
      <c r="O2676" s="88"/>
      <c r="P2676" s="88"/>
      <c r="Q2676" s="88"/>
      <c r="R2676" s="88"/>
      <c r="S2676" s="620"/>
      <c r="T2676" s="92"/>
      <c r="U2676" s="1214"/>
      <c r="V2676" s="1215"/>
      <c r="W2676" s="168"/>
      <c r="X2676" s="170"/>
    </row>
    <row r="2677" spans="1:24" ht="12.75" customHeight="1">
      <c r="A2677" s="15"/>
      <c r="B2677" s="92" t="str">
        <f t="shared" si="358"/>
        <v/>
      </c>
      <c r="C2677" s="90"/>
      <c r="D2677" s="87"/>
      <c r="E2677" s="88"/>
      <c r="F2677" s="173"/>
      <c r="G2677" s="88"/>
      <c r="H2677" s="88"/>
      <c r="I2677" s="88"/>
      <c r="J2677" s="88"/>
      <c r="K2677" s="230"/>
      <c r="L2677" s="88"/>
      <c r="M2677" s="88"/>
      <c r="N2677" s="88"/>
      <c r="O2677" s="88"/>
      <c r="P2677" s="88"/>
      <c r="Q2677" s="88"/>
      <c r="R2677" s="88"/>
      <c r="S2677" s="620"/>
      <c r="T2677" s="92"/>
      <c r="U2677" s="1214"/>
      <c r="V2677" s="1215"/>
      <c r="W2677" s="168"/>
      <c r="X2677" s="170"/>
    </row>
    <row r="2678" spans="1:24" ht="12.75" customHeight="1">
      <c r="A2678" s="15"/>
      <c r="B2678" s="92" t="str">
        <f t="shared" si="358"/>
        <v/>
      </c>
      <c r="C2678" s="90"/>
      <c r="D2678" s="87"/>
      <c r="E2678" s="88"/>
      <c r="F2678" s="173"/>
      <c r="G2678" s="88"/>
      <c r="H2678" s="88"/>
      <c r="I2678" s="88"/>
      <c r="J2678" s="88"/>
      <c r="K2678" s="230"/>
      <c r="L2678" s="88"/>
      <c r="M2678" s="88"/>
      <c r="N2678" s="88"/>
      <c r="O2678" s="88"/>
      <c r="P2678" s="88"/>
      <c r="Q2678" s="88"/>
      <c r="R2678" s="88"/>
      <c r="S2678" s="620"/>
      <c r="T2678" s="92"/>
      <c r="U2678" s="1214"/>
      <c r="V2678" s="1215"/>
      <c r="W2678" s="168"/>
      <c r="X2678" s="170"/>
    </row>
    <row r="2679" spans="1:24" ht="12.75" customHeight="1">
      <c r="A2679" s="15"/>
      <c r="B2679" s="92" t="str">
        <f t="shared" si="358"/>
        <v/>
      </c>
      <c r="C2679" s="90"/>
      <c r="D2679" s="87"/>
      <c r="E2679" s="88"/>
      <c r="F2679" s="173"/>
      <c r="G2679" s="88"/>
      <c r="H2679" s="88"/>
      <c r="I2679" s="88"/>
      <c r="J2679" s="88"/>
      <c r="K2679" s="230"/>
      <c r="L2679" s="88"/>
      <c r="M2679" s="88"/>
      <c r="N2679" s="88"/>
      <c r="O2679" s="88"/>
      <c r="P2679" s="88"/>
      <c r="Q2679" s="88"/>
      <c r="R2679" s="88"/>
      <c r="S2679" s="620"/>
      <c r="T2679" s="92"/>
      <c r="U2679" s="1214"/>
      <c r="V2679" s="1215"/>
      <c r="W2679" s="168"/>
      <c r="X2679" s="170"/>
    </row>
    <row r="2680" spans="1:24" ht="12.75" customHeight="1">
      <c r="A2680" s="15"/>
      <c r="B2680" s="92" t="str">
        <f t="shared" si="358"/>
        <v/>
      </c>
      <c r="C2680" s="90"/>
      <c r="D2680" s="87"/>
      <c r="E2680" s="88"/>
      <c r="F2680" s="173"/>
      <c r="G2680" s="88"/>
      <c r="H2680" s="88"/>
      <c r="I2680" s="88"/>
      <c r="J2680" s="88"/>
      <c r="K2680" s="230"/>
      <c r="L2680" s="88"/>
      <c r="M2680" s="88"/>
      <c r="N2680" s="88"/>
      <c r="O2680" s="88"/>
      <c r="P2680" s="88"/>
      <c r="Q2680" s="88"/>
      <c r="R2680" s="88"/>
      <c r="S2680" s="620"/>
      <c r="T2680" s="92"/>
      <c r="U2680" s="1214"/>
      <c r="V2680" s="1215"/>
      <c r="W2680" s="168"/>
      <c r="X2680" s="170"/>
    </row>
    <row r="2681" spans="1:24" ht="12.75" customHeight="1">
      <c r="A2681" s="15"/>
      <c r="B2681" s="92" t="str">
        <f t="shared" si="358"/>
        <v/>
      </c>
      <c r="C2681" s="90"/>
      <c r="D2681" s="87"/>
      <c r="E2681" s="88"/>
      <c r="F2681" s="173"/>
      <c r="G2681" s="88"/>
      <c r="H2681" s="88"/>
      <c r="I2681" s="88"/>
      <c r="J2681" s="88"/>
      <c r="K2681" s="230"/>
      <c r="L2681" s="88"/>
      <c r="M2681" s="88"/>
      <c r="N2681" s="88"/>
      <c r="O2681" s="88"/>
      <c r="P2681" s="88"/>
      <c r="Q2681" s="88"/>
      <c r="R2681" s="88"/>
      <c r="S2681" s="620"/>
      <c r="T2681" s="92"/>
      <c r="U2681" s="1214"/>
      <c r="V2681" s="1215"/>
      <c r="W2681" s="168"/>
      <c r="X2681" s="170"/>
    </row>
    <row r="2682" spans="1:24" ht="12.75" customHeight="1">
      <c r="A2682" s="15"/>
      <c r="B2682" s="92" t="str">
        <f t="shared" si="358"/>
        <v/>
      </c>
      <c r="C2682" s="90"/>
      <c r="D2682" s="87"/>
      <c r="E2682" s="88"/>
      <c r="F2682" s="173"/>
      <c r="G2682" s="88"/>
      <c r="H2682" s="88"/>
      <c r="I2682" s="88"/>
      <c r="J2682" s="88"/>
      <c r="K2682" s="230"/>
      <c r="L2682" s="88"/>
      <c r="M2682" s="88"/>
      <c r="N2682" s="88"/>
      <c r="O2682" s="88"/>
      <c r="P2682" s="88"/>
      <c r="Q2682" s="88"/>
      <c r="R2682" s="88"/>
      <c r="S2682" s="620"/>
      <c r="T2682" s="92"/>
      <c r="U2682" s="1214"/>
      <c r="V2682" s="1215"/>
      <c r="W2682" s="168"/>
      <c r="X2682" s="170"/>
    </row>
    <row r="2683" spans="1:24" ht="12.75" customHeight="1">
      <c r="A2683" s="15"/>
      <c r="B2683" s="92" t="str">
        <f t="shared" si="358"/>
        <v/>
      </c>
      <c r="C2683" s="90"/>
      <c r="D2683" s="87"/>
      <c r="E2683" s="88"/>
      <c r="F2683" s="173"/>
      <c r="G2683" s="88"/>
      <c r="H2683" s="88"/>
      <c r="I2683" s="88"/>
      <c r="J2683" s="88"/>
      <c r="K2683" s="230"/>
      <c r="L2683" s="88"/>
      <c r="M2683" s="88"/>
      <c r="N2683" s="88"/>
      <c r="O2683" s="88"/>
      <c r="P2683" s="88"/>
      <c r="Q2683" s="88"/>
      <c r="R2683" s="88"/>
      <c r="S2683" s="620"/>
      <c r="T2683" s="92"/>
      <c r="U2683" s="1214"/>
      <c r="V2683" s="1215"/>
      <c r="W2683" s="168"/>
      <c r="X2683" s="170"/>
    </row>
    <row r="2684" spans="1:24" ht="12.75" customHeight="1">
      <c r="A2684" s="15"/>
      <c r="B2684" s="92" t="str">
        <f t="shared" si="358"/>
        <v/>
      </c>
      <c r="C2684" s="90"/>
      <c r="D2684" s="87"/>
      <c r="E2684" s="88"/>
      <c r="F2684" s="173"/>
      <c r="G2684" s="88"/>
      <c r="H2684" s="88"/>
      <c r="I2684" s="88"/>
      <c r="J2684" s="88"/>
      <c r="K2684" s="230"/>
      <c r="L2684" s="88"/>
      <c r="M2684" s="88"/>
      <c r="N2684" s="88"/>
      <c r="O2684" s="88"/>
      <c r="P2684" s="88"/>
      <c r="Q2684" s="88"/>
      <c r="R2684" s="88"/>
      <c r="S2684" s="620"/>
      <c r="T2684" s="92"/>
      <c r="U2684" s="1214"/>
      <c r="V2684" s="1215"/>
      <c r="W2684" s="168"/>
      <c r="X2684" s="170"/>
    </row>
    <row r="2685" spans="1:24" ht="12.75" customHeight="1">
      <c r="A2685" s="15"/>
      <c r="B2685" s="92" t="str">
        <f t="shared" si="358"/>
        <v/>
      </c>
      <c r="C2685" s="90"/>
      <c r="D2685" s="87"/>
      <c r="E2685" s="88"/>
      <c r="F2685" s="173"/>
      <c r="G2685" s="88"/>
      <c r="H2685" s="88"/>
      <c r="I2685" s="88"/>
      <c r="J2685" s="88"/>
      <c r="K2685" s="230"/>
      <c r="L2685" s="88"/>
      <c r="M2685" s="88"/>
      <c r="N2685" s="88"/>
      <c r="O2685" s="88"/>
      <c r="P2685" s="88"/>
      <c r="Q2685" s="88"/>
      <c r="R2685" s="88"/>
      <c r="S2685" s="620"/>
      <c r="T2685" s="92"/>
      <c r="U2685" s="1214"/>
      <c r="V2685" s="1215"/>
      <c r="W2685" s="168"/>
      <c r="X2685" s="170"/>
    </row>
    <row r="2686" spans="1:24" ht="12.75" customHeight="1">
      <c r="A2686" s="15"/>
      <c r="B2686" s="92" t="str">
        <f t="shared" si="358"/>
        <v/>
      </c>
      <c r="C2686" s="90"/>
      <c r="D2686" s="87"/>
      <c r="E2686" s="88"/>
      <c r="F2686" s="173"/>
      <c r="G2686" s="88"/>
      <c r="H2686" s="88"/>
      <c r="I2686" s="88"/>
      <c r="J2686" s="88"/>
      <c r="K2686" s="230"/>
      <c r="L2686" s="88"/>
      <c r="M2686" s="88"/>
      <c r="N2686" s="88"/>
      <c r="O2686" s="88"/>
      <c r="P2686" s="88"/>
      <c r="Q2686" s="88"/>
      <c r="R2686" s="88"/>
      <c r="S2686" s="620"/>
      <c r="T2686" s="92"/>
      <c r="U2686" s="1214"/>
      <c r="V2686" s="1215"/>
      <c r="W2686" s="168"/>
      <c r="X2686" s="170"/>
    </row>
    <row r="2687" spans="1:24" ht="12.75" customHeight="1">
      <c r="A2687" s="15"/>
      <c r="B2687" s="92" t="str">
        <f t="shared" si="358"/>
        <v/>
      </c>
      <c r="C2687" s="90"/>
      <c r="D2687" s="87"/>
      <c r="E2687" s="88"/>
      <c r="F2687" s="173"/>
      <c r="G2687" s="88"/>
      <c r="H2687" s="88"/>
      <c r="I2687" s="88"/>
      <c r="J2687" s="88"/>
      <c r="K2687" s="230"/>
      <c r="L2687" s="88"/>
      <c r="M2687" s="88"/>
      <c r="N2687" s="88"/>
      <c r="O2687" s="88"/>
      <c r="P2687" s="88"/>
      <c r="Q2687" s="88"/>
      <c r="R2687" s="88"/>
      <c r="S2687" s="620"/>
      <c r="T2687" s="92"/>
      <c r="U2687" s="1214"/>
      <c r="V2687" s="1215"/>
      <c r="W2687" s="168"/>
      <c r="X2687" s="170"/>
    </row>
    <row r="2688" spans="1:24" ht="12.75" customHeight="1">
      <c r="A2688" s="15"/>
      <c r="B2688" s="92" t="str">
        <f t="shared" si="358"/>
        <v/>
      </c>
      <c r="C2688" s="90"/>
      <c r="D2688" s="87"/>
      <c r="E2688" s="88"/>
      <c r="F2688" s="173"/>
      <c r="G2688" s="88"/>
      <c r="H2688" s="88"/>
      <c r="I2688" s="88"/>
      <c r="J2688" s="88"/>
      <c r="K2688" s="230"/>
      <c r="L2688" s="88"/>
      <c r="M2688" s="88"/>
      <c r="N2688" s="88"/>
      <c r="O2688" s="88"/>
      <c r="P2688" s="88"/>
      <c r="Q2688" s="88"/>
      <c r="R2688" s="88"/>
      <c r="S2688" s="620"/>
      <c r="T2688" s="92"/>
      <c r="U2688" s="1214"/>
      <c r="V2688" s="1215"/>
      <c r="W2688" s="168"/>
      <c r="X2688" s="170"/>
    </row>
    <row r="2689" spans="1:24" ht="12.75" customHeight="1">
      <c r="A2689" s="15"/>
      <c r="B2689" s="92" t="str">
        <f t="shared" si="358"/>
        <v/>
      </c>
      <c r="C2689" s="90"/>
      <c r="D2689" s="87"/>
      <c r="E2689" s="88"/>
      <c r="F2689" s="173"/>
      <c r="G2689" s="88"/>
      <c r="H2689" s="88"/>
      <c r="I2689" s="88"/>
      <c r="J2689" s="88"/>
      <c r="K2689" s="230"/>
      <c r="L2689" s="88"/>
      <c r="M2689" s="88"/>
      <c r="N2689" s="88"/>
      <c r="O2689" s="88"/>
      <c r="P2689" s="88"/>
      <c r="Q2689" s="88"/>
      <c r="R2689" s="88"/>
      <c r="S2689" s="620"/>
      <c r="T2689" s="92"/>
      <c r="U2689" s="1214"/>
      <c r="V2689" s="1215"/>
      <c r="W2689" s="168"/>
      <c r="X2689" s="170"/>
    </row>
    <row r="2690" spans="1:24" ht="12.75" customHeight="1">
      <c r="A2690" s="15"/>
      <c r="B2690" s="92" t="str">
        <f t="shared" si="358"/>
        <v/>
      </c>
      <c r="C2690" s="90"/>
      <c r="D2690" s="87"/>
      <c r="E2690" s="88"/>
      <c r="F2690" s="173"/>
      <c r="G2690" s="88"/>
      <c r="H2690" s="88"/>
      <c r="I2690" s="88"/>
      <c r="J2690" s="88"/>
      <c r="K2690" s="230"/>
      <c r="L2690" s="88"/>
      <c r="M2690" s="88"/>
      <c r="N2690" s="88"/>
      <c r="O2690" s="88"/>
      <c r="P2690" s="88"/>
      <c r="Q2690" s="88"/>
      <c r="R2690" s="88"/>
      <c r="S2690" s="620"/>
      <c r="T2690" s="92"/>
      <c r="U2690" s="1214"/>
      <c r="V2690" s="1215"/>
      <c r="W2690" s="168"/>
      <c r="X2690" s="170"/>
    </row>
    <row r="2691" spans="1:24" ht="12.75" customHeight="1">
      <c r="A2691" s="15"/>
      <c r="B2691" s="92" t="str">
        <f t="shared" si="358"/>
        <v/>
      </c>
      <c r="C2691" s="90"/>
      <c r="D2691" s="87"/>
      <c r="E2691" s="88"/>
      <c r="F2691" s="173"/>
      <c r="G2691" s="88"/>
      <c r="H2691" s="88"/>
      <c r="I2691" s="88"/>
      <c r="J2691" s="88"/>
      <c r="K2691" s="230"/>
      <c r="L2691" s="88"/>
      <c r="M2691" s="88"/>
      <c r="N2691" s="88"/>
      <c r="O2691" s="88"/>
      <c r="P2691" s="88"/>
      <c r="Q2691" s="88"/>
      <c r="R2691" s="88"/>
      <c r="S2691" s="620"/>
      <c r="T2691" s="92"/>
      <c r="U2691" s="1214"/>
      <c r="V2691" s="1215"/>
      <c r="W2691" s="168"/>
      <c r="X2691" s="170"/>
    </row>
    <row r="2692" spans="1:24" ht="12.75" customHeight="1">
      <c r="A2692" s="15"/>
      <c r="B2692" s="92" t="str">
        <f t="shared" si="358"/>
        <v/>
      </c>
      <c r="C2692" s="90"/>
      <c r="D2692" s="87"/>
      <c r="E2692" s="88"/>
      <c r="F2692" s="173"/>
      <c r="G2692" s="88"/>
      <c r="H2692" s="88"/>
      <c r="I2692" s="88"/>
      <c r="J2692" s="88"/>
      <c r="K2692" s="230"/>
      <c r="L2692" s="88"/>
      <c r="M2692" s="88"/>
      <c r="N2692" s="88"/>
      <c r="O2692" s="88"/>
      <c r="P2692" s="88"/>
      <c r="Q2692" s="88"/>
      <c r="R2692" s="88"/>
      <c r="S2692" s="620"/>
      <c r="T2692" s="92"/>
      <c r="U2692" s="1214"/>
      <c r="V2692" s="1215"/>
      <c r="W2692" s="168"/>
      <c r="X2692" s="170"/>
    </row>
    <row r="2693" spans="1:24" ht="12.75" customHeight="1">
      <c r="A2693" s="15"/>
      <c r="B2693" s="92" t="str">
        <f t="shared" si="358"/>
        <v/>
      </c>
      <c r="C2693" s="90"/>
      <c r="D2693" s="87"/>
      <c r="E2693" s="88"/>
      <c r="F2693" s="173"/>
      <c r="G2693" s="88"/>
      <c r="H2693" s="88"/>
      <c r="I2693" s="88"/>
      <c r="J2693" s="88"/>
      <c r="K2693" s="230"/>
      <c r="L2693" s="88"/>
      <c r="M2693" s="88"/>
      <c r="N2693" s="88"/>
      <c r="O2693" s="88"/>
      <c r="P2693" s="88"/>
      <c r="Q2693" s="88"/>
      <c r="R2693" s="88"/>
      <c r="S2693" s="620"/>
      <c r="T2693" s="92"/>
      <c r="U2693" s="1214"/>
      <c r="V2693" s="1215"/>
      <c r="W2693" s="168"/>
      <c r="X2693" s="170"/>
    </row>
    <row r="2694" spans="1:24" ht="12.75" customHeight="1">
      <c r="A2694" s="15"/>
      <c r="B2694" s="92" t="str">
        <f t="shared" si="358"/>
        <v/>
      </c>
      <c r="C2694" s="90"/>
      <c r="D2694" s="87"/>
      <c r="E2694" s="88"/>
      <c r="F2694" s="173"/>
      <c r="G2694" s="88"/>
      <c r="H2694" s="88"/>
      <c r="I2694" s="88"/>
      <c r="J2694" s="88"/>
      <c r="K2694" s="230"/>
      <c r="L2694" s="88"/>
      <c r="M2694" s="88"/>
      <c r="N2694" s="88"/>
      <c r="O2694" s="88"/>
      <c r="P2694" s="88"/>
      <c r="Q2694" s="88"/>
      <c r="R2694" s="88"/>
      <c r="S2694" s="620"/>
      <c r="T2694" s="92"/>
      <c r="U2694" s="1214"/>
      <c r="V2694" s="1215"/>
      <c r="W2694" s="168"/>
      <c r="X2694" s="170"/>
    </row>
    <row r="2695" spans="1:24" ht="12.75" customHeight="1">
      <c r="A2695" s="15"/>
      <c r="B2695" s="92" t="str">
        <f t="shared" si="358"/>
        <v/>
      </c>
      <c r="C2695" s="90"/>
      <c r="D2695" s="87"/>
      <c r="E2695" s="88"/>
      <c r="F2695" s="173"/>
      <c r="G2695" s="88"/>
      <c r="H2695" s="88"/>
      <c r="I2695" s="88"/>
      <c r="J2695" s="88"/>
      <c r="K2695" s="230"/>
      <c r="L2695" s="88"/>
      <c r="M2695" s="88"/>
      <c r="N2695" s="88"/>
      <c r="O2695" s="88"/>
      <c r="P2695" s="88"/>
      <c r="Q2695" s="88"/>
      <c r="R2695" s="88"/>
      <c r="S2695" s="620"/>
      <c r="T2695" s="92"/>
      <c r="U2695" s="1214"/>
      <c r="V2695" s="1215"/>
      <c r="W2695" s="168"/>
      <c r="X2695" s="170"/>
    </row>
    <row r="2696" spans="1:24" ht="12.75" customHeight="1">
      <c r="A2696" s="15"/>
      <c r="B2696" s="92" t="str">
        <f t="shared" si="358"/>
        <v/>
      </c>
      <c r="C2696" s="90"/>
      <c r="D2696" s="87"/>
      <c r="E2696" s="88"/>
      <c r="F2696" s="173"/>
      <c r="G2696" s="88"/>
      <c r="H2696" s="88"/>
      <c r="I2696" s="88"/>
      <c r="J2696" s="88"/>
      <c r="K2696" s="230"/>
      <c r="L2696" s="88"/>
      <c r="M2696" s="88"/>
      <c r="N2696" s="88"/>
      <c r="O2696" s="88"/>
      <c r="P2696" s="88"/>
      <c r="Q2696" s="88"/>
      <c r="R2696" s="88"/>
      <c r="S2696" s="620"/>
      <c r="T2696" s="92"/>
      <c r="U2696" s="1214"/>
      <c r="V2696" s="1215"/>
      <c r="W2696" s="168"/>
      <c r="X2696" s="170"/>
    </row>
    <row r="2697" spans="1:24" ht="12.75" customHeight="1">
      <c r="A2697" s="15"/>
      <c r="B2697" s="92" t="str">
        <f t="shared" si="358"/>
        <v/>
      </c>
      <c r="C2697" s="90"/>
      <c r="D2697" s="87"/>
      <c r="E2697" s="88"/>
      <c r="F2697" s="173"/>
      <c r="G2697" s="88"/>
      <c r="H2697" s="88"/>
      <c r="I2697" s="88"/>
      <c r="J2697" s="88"/>
      <c r="K2697" s="230"/>
      <c r="L2697" s="88"/>
      <c r="M2697" s="88"/>
      <c r="N2697" s="88"/>
      <c r="O2697" s="88"/>
      <c r="P2697" s="88"/>
      <c r="Q2697" s="88"/>
      <c r="R2697" s="88"/>
      <c r="S2697" s="620"/>
      <c r="T2697" s="92"/>
      <c r="U2697" s="1214"/>
      <c r="V2697" s="1215"/>
      <c r="W2697" s="168"/>
      <c r="X2697" s="170"/>
    </row>
    <row r="2698" spans="1:24" ht="12.75" customHeight="1">
      <c r="A2698" s="15"/>
      <c r="B2698" s="92" t="str">
        <f t="shared" si="358"/>
        <v/>
      </c>
      <c r="C2698" s="90"/>
      <c r="D2698" s="87"/>
      <c r="E2698" s="88"/>
      <c r="F2698" s="173"/>
      <c r="G2698" s="88"/>
      <c r="H2698" s="88"/>
      <c r="I2698" s="88"/>
      <c r="J2698" s="88"/>
      <c r="K2698" s="230"/>
      <c r="L2698" s="88"/>
      <c r="M2698" s="88"/>
      <c r="N2698" s="88"/>
      <c r="O2698" s="88"/>
      <c r="P2698" s="88"/>
      <c r="Q2698" s="88"/>
      <c r="R2698" s="88"/>
      <c r="S2698" s="620"/>
      <c r="T2698" s="92"/>
      <c r="U2698" s="1214"/>
      <c r="V2698" s="1215"/>
      <c r="W2698" s="168"/>
      <c r="X2698" s="170"/>
    </row>
    <row r="2699" spans="1:24" ht="12.75" customHeight="1">
      <c r="A2699" s="15"/>
      <c r="B2699" s="92" t="str">
        <f t="shared" si="358"/>
        <v/>
      </c>
      <c r="C2699" s="90"/>
      <c r="D2699" s="87"/>
      <c r="E2699" s="88"/>
      <c r="F2699" s="173"/>
      <c r="G2699" s="88"/>
      <c r="H2699" s="88"/>
      <c r="I2699" s="88"/>
      <c r="J2699" s="88"/>
      <c r="K2699" s="230"/>
      <c r="L2699" s="88"/>
      <c r="M2699" s="88"/>
      <c r="N2699" s="88"/>
      <c r="O2699" s="88"/>
      <c r="P2699" s="88"/>
      <c r="Q2699" s="88"/>
      <c r="R2699" s="88"/>
      <c r="S2699" s="620"/>
      <c r="T2699" s="92"/>
      <c r="U2699" s="1214"/>
      <c r="V2699" s="1215"/>
      <c r="W2699" s="168"/>
      <c r="X2699" s="170"/>
    </row>
    <row r="2700" spans="1:24" ht="12.75" customHeight="1">
      <c r="A2700" s="15"/>
      <c r="B2700" s="92" t="str">
        <f t="shared" si="358"/>
        <v/>
      </c>
      <c r="C2700" s="90"/>
      <c r="D2700" s="87"/>
      <c r="E2700" s="88"/>
      <c r="F2700" s="173"/>
      <c r="G2700" s="88"/>
      <c r="H2700" s="88"/>
      <c r="I2700" s="88"/>
      <c r="J2700" s="88"/>
      <c r="K2700" s="230"/>
      <c r="L2700" s="88"/>
      <c r="M2700" s="88"/>
      <c r="N2700" s="88"/>
      <c r="O2700" s="88"/>
      <c r="P2700" s="88"/>
      <c r="Q2700" s="88"/>
      <c r="R2700" s="88"/>
      <c r="S2700" s="620"/>
      <c r="T2700" s="92"/>
      <c r="U2700" s="1214"/>
      <c r="V2700" s="1215"/>
      <c r="W2700" s="168"/>
      <c r="X2700" s="170"/>
    </row>
    <row r="2701" spans="1:24" ht="12.75" customHeight="1">
      <c r="A2701" s="15"/>
      <c r="B2701" s="92" t="str">
        <f t="shared" si="358"/>
        <v/>
      </c>
      <c r="C2701" s="90"/>
      <c r="D2701" s="87"/>
      <c r="E2701" s="88"/>
      <c r="F2701" s="173"/>
      <c r="G2701" s="88"/>
      <c r="H2701" s="88"/>
      <c r="I2701" s="88"/>
      <c r="J2701" s="88"/>
      <c r="K2701" s="230"/>
      <c r="L2701" s="88"/>
      <c r="M2701" s="88"/>
      <c r="N2701" s="88"/>
      <c r="O2701" s="88"/>
      <c r="P2701" s="88"/>
      <c r="Q2701" s="88"/>
      <c r="R2701" s="88"/>
      <c r="S2701" s="620"/>
      <c r="T2701" s="92"/>
      <c r="U2701" s="1214"/>
      <c r="V2701" s="1215"/>
      <c r="W2701" s="168"/>
      <c r="X2701" s="170"/>
    </row>
    <row r="2702" spans="1:24" ht="12.75" customHeight="1">
      <c r="A2702" s="15"/>
      <c r="B2702" s="92" t="str">
        <f t="shared" si="358"/>
        <v/>
      </c>
      <c r="C2702" s="90"/>
      <c r="D2702" s="87"/>
      <c r="E2702" s="88"/>
      <c r="F2702" s="173"/>
      <c r="G2702" s="88"/>
      <c r="H2702" s="88"/>
      <c r="I2702" s="88"/>
      <c r="J2702" s="88"/>
      <c r="K2702" s="230"/>
      <c r="L2702" s="88"/>
      <c r="M2702" s="88"/>
      <c r="N2702" s="88"/>
      <c r="O2702" s="88"/>
      <c r="P2702" s="88"/>
      <c r="Q2702" s="88"/>
      <c r="R2702" s="88"/>
      <c r="S2702" s="620"/>
      <c r="T2702" s="92"/>
      <c r="U2702" s="1214"/>
      <c r="V2702" s="1215"/>
      <c r="W2702" s="168"/>
      <c r="X2702" s="170"/>
    </row>
    <row r="2703" spans="1:24" ht="12.75" customHeight="1">
      <c r="A2703" s="15"/>
      <c r="B2703" s="92" t="str">
        <f t="shared" si="358"/>
        <v/>
      </c>
      <c r="C2703" s="90"/>
      <c r="D2703" s="87"/>
      <c r="E2703" s="88"/>
      <c r="F2703" s="173"/>
      <c r="G2703" s="88"/>
      <c r="H2703" s="88"/>
      <c r="I2703" s="88"/>
      <c r="J2703" s="88"/>
      <c r="K2703" s="230"/>
      <c r="L2703" s="88"/>
      <c r="M2703" s="88"/>
      <c r="N2703" s="88"/>
      <c r="O2703" s="88"/>
      <c r="P2703" s="88"/>
      <c r="Q2703" s="88"/>
      <c r="R2703" s="88"/>
      <c r="S2703" s="620"/>
      <c r="T2703" s="92"/>
      <c r="U2703" s="1214"/>
      <c r="V2703" s="1215"/>
      <c r="W2703" s="168"/>
      <c r="X2703" s="170"/>
    </row>
    <row r="2704" spans="1:24" ht="12.75" customHeight="1">
      <c r="A2704" s="15"/>
      <c r="B2704" s="92" t="str">
        <f t="shared" si="358"/>
        <v/>
      </c>
      <c r="C2704" s="90"/>
      <c r="D2704" s="87"/>
      <c r="E2704" s="88"/>
      <c r="F2704" s="173"/>
      <c r="G2704" s="88"/>
      <c r="H2704" s="88"/>
      <c r="I2704" s="88"/>
      <c r="J2704" s="88"/>
      <c r="K2704" s="230"/>
      <c r="L2704" s="88"/>
      <c r="M2704" s="88"/>
      <c r="N2704" s="88"/>
      <c r="O2704" s="88"/>
      <c r="P2704" s="88"/>
      <c r="Q2704" s="88"/>
      <c r="R2704" s="88"/>
      <c r="S2704" s="620"/>
      <c r="T2704" s="92"/>
      <c r="U2704" s="1214"/>
      <c r="V2704" s="1215"/>
      <c r="W2704" s="168"/>
      <c r="X2704" s="170"/>
    </row>
    <row r="2705" spans="1:24" ht="12.75" customHeight="1">
      <c r="A2705" s="15"/>
      <c r="B2705" s="92" t="str">
        <f t="shared" si="358"/>
        <v/>
      </c>
      <c r="C2705" s="90"/>
      <c r="D2705" s="87"/>
      <c r="E2705" s="88"/>
      <c r="F2705" s="173"/>
      <c r="G2705" s="88"/>
      <c r="H2705" s="88"/>
      <c r="I2705" s="88"/>
      <c r="J2705" s="88"/>
      <c r="K2705" s="230"/>
      <c r="L2705" s="88"/>
      <c r="M2705" s="88"/>
      <c r="N2705" s="88"/>
      <c r="O2705" s="88"/>
      <c r="P2705" s="88"/>
      <c r="Q2705" s="88"/>
      <c r="R2705" s="88"/>
      <c r="S2705" s="620"/>
      <c r="T2705" s="92"/>
      <c r="U2705" s="1214"/>
      <c r="V2705" s="1215"/>
      <c r="W2705" s="168"/>
      <c r="X2705" s="170"/>
    </row>
    <row r="2706" spans="1:24" ht="12.75" customHeight="1">
      <c r="A2706" s="15"/>
      <c r="B2706" s="92" t="str">
        <f t="shared" si="358"/>
        <v/>
      </c>
      <c r="C2706" s="90"/>
      <c r="D2706" s="87"/>
      <c r="E2706" s="88"/>
      <c r="F2706" s="173"/>
      <c r="G2706" s="88"/>
      <c r="H2706" s="88"/>
      <c r="I2706" s="88"/>
      <c r="J2706" s="88"/>
      <c r="K2706" s="230"/>
      <c r="L2706" s="88"/>
      <c r="M2706" s="88"/>
      <c r="N2706" s="88"/>
      <c r="O2706" s="88"/>
      <c r="P2706" s="88"/>
      <c r="Q2706" s="88"/>
      <c r="R2706" s="88"/>
      <c r="S2706" s="620"/>
      <c r="T2706" s="92"/>
      <c r="U2706" s="1214"/>
      <c r="V2706" s="1215"/>
      <c r="W2706" s="168"/>
      <c r="X2706" s="170"/>
    </row>
    <row r="2707" spans="1:24" ht="12.75" customHeight="1">
      <c r="A2707" s="15"/>
      <c r="B2707" s="92" t="str">
        <f t="shared" si="358"/>
        <v/>
      </c>
      <c r="C2707" s="90"/>
      <c r="D2707" s="87"/>
      <c r="E2707" s="88"/>
      <c r="F2707" s="173"/>
      <c r="G2707" s="88"/>
      <c r="H2707" s="88"/>
      <c r="I2707" s="88"/>
      <c r="J2707" s="88"/>
      <c r="K2707" s="230"/>
      <c r="L2707" s="88"/>
      <c r="M2707" s="88"/>
      <c r="N2707" s="88"/>
      <c r="O2707" s="88"/>
      <c r="P2707" s="88"/>
      <c r="Q2707" s="88"/>
      <c r="R2707" s="88"/>
      <c r="S2707" s="620"/>
      <c r="T2707" s="92"/>
      <c r="U2707" s="1214"/>
      <c r="V2707" s="1215"/>
      <c r="W2707" s="168"/>
      <c r="X2707" s="170"/>
    </row>
    <row r="2708" spans="1:24" ht="12.75" customHeight="1">
      <c r="A2708" s="15"/>
      <c r="B2708" s="92" t="str">
        <f t="shared" si="358"/>
        <v/>
      </c>
      <c r="C2708" s="90"/>
      <c r="D2708" s="87"/>
      <c r="E2708" s="88"/>
      <c r="F2708" s="173"/>
      <c r="G2708" s="88"/>
      <c r="H2708" s="88"/>
      <c r="I2708" s="88"/>
      <c r="J2708" s="88"/>
      <c r="K2708" s="230"/>
      <c r="L2708" s="88"/>
      <c r="M2708" s="88"/>
      <c r="N2708" s="88"/>
      <c r="O2708" s="88"/>
      <c r="P2708" s="88"/>
      <c r="Q2708" s="88"/>
      <c r="R2708" s="88"/>
      <c r="S2708" s="620"/>
      <c r="T2708" s="92"/>
      <c r="U2708" s="1214"/>
      <c r="V2708" s="1215"/>
      <c r="W2708" s="168"/>
      <c r="X2708" s="170"/>
    </row>
    <row r="2709" spans="1:24" ht="12.75" customHeight="1">
      <c r="A2709" s="15"/>
      <c r="B2709" s="92" t="str">
        <f t="shared" si="358"/>
        <v/>
      </c>
      <c r="C2709" s="90"/>
      <c r="D2709" s="87"/>
      <c r="E2709" s="88"/>
      <c r="F2709" s="173"/>
      <c r="G2709" s="88"/>
      <c r="H2709" s="88"/>
      <c r="I2709" s="88"/>
      <c r="J2709" s="88"/>
      <c r="K2709" s="230"/>
      <c r="L2709" s="88"/>
      <c r="M2709" s="88"/>
      <c r="N2709" s="88"/>
      <c r="O2709" s="88"/>
      <c r="P2709" s="88"/>
      <c r="Q2709" s="88"/>
      <c r="R2709" s="88"/>
      <c r="S2709" s="620"/>
      <c r="T2709" s="92"/>
      <c r="U2709" s="1214"/>
      <c r="V2709" s="1215"/>
      <c r="W2709" s="168"/>
      <c r="X2709" s="170"/>
    </row>
    <row r="2710" spans="1:24" ht="12.75" customHeight="1">
      <c r="A2710" s="15"/>
      <c r="B2710" s="92" t="str">
        <f t="shared" si="358"/>
        <v/>
      </c>
      <c r="C2710" s="90"/>
      <c r="D2710" s="87"/>
      <c r="E2710" s="88"/>
      <c r="F2710" s="173"/>
      <c r="G2710" s="88"/>
      <c r="H2710" s="88"/>
      <c r="I2710" s="88"/>
      <c r="J2710" s="88"/>
      <c r="K2710" s="230"/>
      <c r="L2710" s="88"/>
      <c r="M2710" s="88"/>
      <c r="N2710" s="88"/>
      <c r="O2710" s="88"/>
      <c r="P2710" s="88"/>
      <c r="Q2710" s="88"/>
      <c r="R2710" s="88"/>
      <c r="S2710" s="620"/>
      <c r="T2710" s="92"/>
      <c r="U2710" s="1214"/>
      <c r="V2710" s="1215"/>
      <c r="W2710" s="168"/>
      <c r="X2710" s="170"/>
    </row>
    <row r="2711" spans="1:24" ht="12.75" customHeight="1">
      <c r="A2711" s="15"/>
      <c r="B2711" s="92" t="str">
        <f t="shared" si="358"/>
        <v/>
      </c>
      <c r="C2711" s="90"/>
      <c r="D2711" s="87"/>
      <c r="E2711" s="88"/>
      <c r="F2711" s="173"/>
      <c r="G2711" s="88"/>
      <c r="H2711" s="88"/>
      <c r="I2711" s="88"/>
      <c r="J2711" s="88"/>
      <c r="K2711" s="230"/>
      <c r="L2711" s="88"/>
      <c r="M2711" s="88"/>
      <c r="N2711" s="88"/>
      <c r="O2711" s="88"/>
      <c r="P2711" s="88"/>
      <c r="Q2711" s="88"/>
      <c r="R2711" s="88"/>
      <c r="S2711" s="620"/>
      <c r="T2711" s="92"/>
      <c r="U2711" s="1214"/>
      <c r="V2711" s="1215"/>
      <c r="W2711" s="168"/>
      <c r="X2711" s="170"/>
    </row>
    <row r="2712" spans="1:24" ht="12.75" customHeight="1">
      <c r="A2712" s="15"/>
      <c r="B2712" s="92" t="str">
        <f t="shared" si="358"/>
        <v/>
      </c>
      <c r="C2712" s="90"/>
      <c r="D2712" s="87"/>
      <c r="E2712" s="88"/>
      <c r="F2712" s="173"/>
      <c r="G2712" s="88"/>
      <c r="H2712" s="88"/>
      <c r="I2712" s="88"/>
      <c r="J2712" s="88"/>
      <c r="K2712" s="230"/>
      <c r="L2712" s="88"/>
      <c r="M2712" s="88"/>
      <c r="N2712" s="88"/>
      <c r="O2712" s="88"/>
      <c r="P2712" s="88"/>
      <c r="Q2712" s="88"/>
      <c r="R2712" s="88"/>
      <c r="S2712" s="620"/>
      <c r="T2712" s="92"/>
      <c r="U2712" s="1214"/>
      <c r="V2712" s="1215"/>
      <c r="W2712" s="168"/>
      <c r="X2712" s="170"/>
    </row>
    <row r="2713" spans="1:24" ht="12.75" customHeight="1">
      <c r="A2713" s="15"/>
      <c r="B2713" s="92" t="str">
        <f t="shared" si="358"/>
        <v/>
      </c>
      <c r="C2713" s="90"/>
      <c r="D2713" s="87"/>
      <c r="E2713" s="88"/>
      <c r="F2713" s="173"/>
      <c r="G2713" s="88"/>
      <c r="H2713" s="88"/>
      <c r="I2713" s="88"/>
      <c r="J2713" s="88"/>
      <c r="K2713" s="230"/>
      <c r="L2713" s="88"/>
      <c r="M2713" s="88"/>
      <c r="N2713" s="88"/>
      <c r="O2713" s="88"/>
      <c r="P2713" s="88"/>
      <c r="Q2713" s="88"/>
      <c r="R2713" s="88"/>
      <c r="S2713" s="620"/>
      <c r="T2713" s="92"/>
      <c r="U2713" s="1214"/>
      <c r="V2713" s="1215"/>
      <c r="W2713" s="168"/>
      <c r="X2713" s="170"/>
    </row>
    <row r="2714" spans="1:24" ht="12.75" customHeight="1">
      <c r="A2714" s="15"/>
      <c r="B2714" s="92" t="str">
        <f t="shared" si="358"/>
        <v/>
      </c>
      <c r="C2714" s="90"/>
      <c r="D2714" s="87"/>
      <c r="E2714" s="88"/>
      <c r="F2714" s="173"/>
      <c r="G2714" s="88"/>
      <c r="H2714" s="88"/>
      <c r="I2714" s="88"/>
      <c r="J2714" s="88"/>
      <c r="K2714" s="230"/>
      <c r="L2714" s="88"/>
      <c r="M2714" s="88"/>
      <c r="N2714" s="88"/>
      <c r="O2714" s="88"/>
      <c r="P2714" s="88"/>
      <c r="Q2714" s="88"/>
      <c r="R2714" s="88"/>
      <c r="S2714" s="620"/>
      <c r="T2714" s="92"/>
      <c r="U2714" s="1214"/>
      <c r="V2714" s="1215"/>
      <c r="W2714" s="168"/>
      <c r="X2714" s="170"/>
    </row>
    <row r="2715" spans="1:24" ht="12.75" customHeight="1">
      <c r="A2715" s="15"/>
      <c r="B2715" s="92" t="str">
        <f t="shared" si="358"/>
        <v/>
      </c>
      <c r="C2715" s="90"/>
      <c r="D2715" s="87"/>
      <c r="E2715" s="88"/>
      <c r="F2715" s="173"/>
      <c r="G2715" s="88"/>
      <c r="H2715" s="88"/>
      <c r="I2715" s="88"/>
      <c r="J2715" s="88"/>
      <c r="K2715" s="230"/>
      <c r="L2715" s="88"/>
      <c r="M2715" s="88"/>
      <c r="N2715" s="88"/>
      <c r="O2715" s="88"/>
      <c r="P2715" s="88"/>
      <c r="Q2715" s="88"/>
      <c r="R2715" s="88"/>
      <c r="S2715" s="620"/>
      <c r="T2715" s="92"/>
      <c r="U2715" s="1214"/>
      <c r="V2715" s="1215"/>
      <c r="W2715" s="168"/>
      <c r="X2715" s="170"/>
    </row>
    <row r="2716" spans="1:24" ht="12.75" customHeight="1">
      <c r="A2716" s="15"/>
      <c r="B2716" s="92" t="str">
        <f t="shared" si="358"/>
        <v/>
      </c>
      <c r="C2716" s="90"/>
      <c r="D2716" s="87"/>
      <c r="E2716" s="88"/>
      <c r="F2716" s="173"/>
      <c r="G2716" s="88"/>
      <c r="H2716" s="88"/>
      <c r="I2716" s="88"/>
      <c r="J2716" s="88"/>
      <c r="K2716" s="230"/>
      <c r="L2716" s="88"/>
      <c r="M2716" s="88"/>
      <c r="N2716" s="88"/>
      <c r="O2716" s="88"/>
      <c r="P2716" s="88"/>
      <c r="Q2716" s="88"/>
      <c r="R2716" s="88"/>
      <c r="S2716" s="620"/>
      <c r="T2716" s="92"/>
      <c r="U2716" s="1214"/>
      <c r="V2716" s="1215"/>
      <c r="W2716" s="168"/>
      <c r="X2716" s="170"/>
    </row>
    <row r="2717" spans="1:24" ht="12.75" customHeight="1">
      <c r="A2717" s="15"/>
      <c r="B2717" s="92" t="str">
        <f t="shared" si="358"/>
        <v/>
      </c>
      <c r="C2717" s="90"/>
      <c r="D2717" s="87"/>
      <c r="E2717" s="88"/>
      <c r="F2717" s="173"/>
      <c r="G2717" s="88"/>
      <c r="H2717" s="88"/>
      <c r="I2717" s="88"/>
      <c r="J2717" s="88"/>
      <c r="K2717" s="230"/>
      <c r="L2717" s="88"/>
      <c r="M2717" s="88"/>
      <c r="N2717" s="88"/>
      <c r="O2717" s="88"/>
      <c r="P2717" s="88"/>
      <c r="Q2717" s="88"/>
      <c r="R2717" s="88"/>
      <c r="S2717" s="620"/>
      <c r="T2717" s="92"/>
      <c r="U2717" s="1214"/>
      <c r="V2717" s="1215"/>
      <c r="W2717" s="168"/>
      <c r="X2717" s="170"/>
    </row>
    <row r="2718" spans="1:24" ht="12.75" customHeight="1">
      <c r="A2718" s="15"/>
      <c r="B2718" s="92" t="str">
        <f t="shared" si="358"/>
        <v/>
      </c>
      <c r="C2718" s="90"/>
      <c r="D2718" s="87"/>
      <c r="E2718" s="88"/>
      <c r="F2718" s="173"/>
      <c r="G2718" s="88"/>
      <c r="H2718" s="88"/>
      <c r="I2718" s="88"/>
      <c r="J2718" s="88"/>
      <c r="K2718" s="230"/>
      <c r="L2718" s="88"/>
      <c r="M2718" s="88"/>
      <c r="N2718" s="88"/>
      <c r="O2718" s="88"/>
      <c r="P2718" s="88"/>
      <c r="Q2718" s="88"/>
      <c r="R2718" s="88"/>
      <c r="S2718" s="620"/>
      <c r="T2718" s="92"/>
      <c r="U2718" s="1214"/>
      <c r="V2718" s="1215"/>
      <c r="W2718" s="168"/>
      <c r="X2718" s="170"/>
    </row>
    <row r="2719" spans="1:24" ht="12.75" customHeight="1">
      <c r="A2719" s="15"/>
      <c r="B2719" s="92" t="str">
        <f t="shared" si="358"/>
        <v/>
      </c>
      <c r="C2719" s="90"/>
      <c r="D2719" s="87"/>
      <c r="E2719" s="88"/>
      <c r="F2719" s="173"/>
      <c r="G2719" s="88"/>
      <c r="H2719" s="88"/>
      <c r="I2719" s="88"/>
      <c r="J2719" s="88"/>
      <c r="K2719" s="230"/>
      <c r="L2719" s="88"/>
      <c r="M2719" s="88"/>
      <c r="N2719" s="88"/>
      <c r="O2719" s="88"/>
      <c r="P2719" s="88"/>
      <c r="Q2719" s="88"/>
      <c r="R2719" s="88"/>
      <c r="S2719" s="620"/>
      <c r="T2719" s="92"/>
      <c r="U2719" s="1214"/>
      <c r="V2719" s="1215"/>
      <c r="W2719" s="168"/>
      <c r="X2719" s="170"/>
    </row>
    <row r="2720" spans="1:24" ht="12.75" customHeight="1">
      <c r="A2720" s="15"/>
      <c r="B2720" s="92" t="str">
        <f t="shared" si="358"/>
        <v/>
      </c>
      <c r="C2720" s="90"/>
      <c r="D2720" s="87"/>
      <c r="E2720" s="88"/>
      <c r="F2720" s="173"/>
      <c r="G2720" s="88"/>
      <c r="H2720" s="88"/>
      <c r="I2720" s="88"/>
      <c r="J2720" s="88"/>
      <c r="K2720" s="230"/>
      <c r="L2720" s="88"/>
      <c r="M2720" s="88"/>
      <c r="N2720" s="88"/>
      <c r="O2720" s="88"/>
      <c r="P2720" s="88"/>
      <c r="Q2720" s="88"/>
      <c r="R2720" s="88"/>
      <c r="S2720" s="620"/>
      <c r="T2720" s="92"/>
      <c r="U2720" s="1214"/>
      <c r="V2720" s="1215"/>
      <c r="W2720" s="168"/>
      <c r="X2720" s="170"/>
    </row>
    <row r="2721" spans="1:24" ht="12.75" customHeight="1">
      <c r="A2721" s="15"/>
      <c r="B2721" s="92" t="str">
        <f t="shared" si="358"/>
        <v/>
      </c>
      <c r="C2721" s="90"/>
      <c r="D2721" s="87"/>
      <c r="E2721" s="88"/>
      <c r="F2721" s="173"/>
      <c r="G2721" s="88"/>
      <c r="H2721" s="88"/>
      <c r="I2721" s="88"/>
      <c r="J2721" s="88"/>
      <c r="K2721" s="230"/>
      <c r="L2721" s="88"/>
      <c r="M2721" s="88"/>
      <c r="N2721" s="88"/>
      <c r="O2721" s="88"/>
      <c r="P2721" s="88"/>
      <c r="Q2721" s="88"/>
      <c r="R2721" s="88"/>
      <c r="S2721" s="620"/>
      <c r="T2721" s="92"/>
      <c r="U2721" s="1214"/>
      <c r="V2721" s="1215"/>
      <c r="W2721" s="168"/>
      <c r="X2721" s="170"/>
    </row>
    <row r="2722" spans="1:24" ht="12.75" customHeight="1">
      <c r="A2722" s="15"/>
      <c r="B2722" s="92" t="str">
        <f t="shared" si="358"/>
        <v/>
      </c>
      <c r="C2722" s="90"/>
      <c r="D2722" s="87"/>
      <c r="E2722" s="88"/>
      <c r="F2722" s="173"/>
      <c r="G2722" s="88"/>
      <c r="H2722" s="88"/>
      <c r="I2722" s="88"/>
      <c r="J2722" s="88"/>
      <c r="K2722" s="230"/>
      <c r="L2722" s="88"/>
      <c r="M2722" s="88"/>
      <c r="N2722" s="88"/>
      <c r="O2722" s="88"/>
      <c r="P2722" s="88"/>
      <c r="Q2722" s="88"/>
      <c r="R2722" s="88"/>
      <c r="S2722" s="620"/>
      <c r="T2722" s="92"/>
      <c r="U2722" s="1214"/>
      <c r="V2722" s="1215"/>
      <c r="W2722" s="168"/>
      <c r="X2722" s="170"/>
    </row>
    <row r="2723" spans="1:24" ht="12.75" customHeight="1">
      <c r="A2723" s="15"/>
      <c r="B2723" s="92" t="str">
        <f t="shared" si="358"/>
        <v/>
      </c>
      <c r="C2723" s="90"/>
      <c r="D2723" s="87"/>
      <c r="E2723" s="88"/>
      <c r="F2723" s="173"/>
      <c r="G2723" s="88"/>
      <c r="H2723" s="88"/>
      <c r="I2723" s="88"/>
      <c r="J2723" s="88"/>
      <c r="K2723" s="230"/>
      <c r="L2723" s="88"/>
      <c r="M2723" s="88"/>
      <c r="N2723" s="88"/>
      <c r="O2723" s="88"/>
      <c r="P2723" s="88"/>
      <c r="Q2723" s="88"/>
      <c r="R2723" s="88"/>
      <c r="S2723" s="620"/>
      <c r="T2723" s="92"/>
      <c r="U2723" s="1214"/>
      <c r="V2723" s="1215"/>
      <c r="W2723" s="168"/>
      <c r="X2723" s="170"/>
    </row>
    <row r="2724" spans="1:24" ht="12.75" customHeight="1">
      <c r="A2724" s="15"/>
      <c r="B2724" s="92" t="str">
        <f t="shared" si="358"/>
        <v/>
      </c>
      <c r="C2724" s="90"/>
      <c r="D2724" s="87"/>
      <c r="E2724" s="88"/>
      <c r="F2724" s="173"/>
      <c r="G2724" s="88"/>
      <c r="H2724" s="88"/>
      <c r="I2724" s="88"/>
      <c r="J2724" s="88"/>
      <c r="K2724" s="230"/>
      <c r="L2724" s="88"/>
      <c r="M2724" s="88"/>
      <c r="N2724" s="88"/>
      <c r="O2724" s="88"/>
      <c r="P2724" s="88"/>
      <c r="Q2724" s="88"/>
      <c r="R2724" s="88"/>
      <c r="S2724" s="620"/>
      <c r="T2724" s="92"/>
      <c r="U2724" s="1214"/>
      <c r="V2724" s="1215"/>
      <c r="W2724" s="168"/>
      <c r="X2724" s="170"/>
    </row>
    <row r="2725" spans="1:24" ht="12.75" customHeight="1">
      <c r="A2725" s="15"/>
      <c r="B2725" s="92" t="str">
        <f t="shared" si="358"/>
        <v/>
      </c>
      <c r="C2725" s="90"/>
      <c r="D2725" s="87"/>
      <c r="E2725" s="88"/>
      <c r="F2725" s="173"/>
      <c r="G2725" s="88"/>
      <c r="H2725" s="88"/>
      <c r="I2725" s="88"/>
      <c r="J2725" s="88"/>
      <c r="K2725" s="230"/>
      <c r="L2725" s="88"/>
      <c r="M2725" s="88"/>
      <c r="N2725" s="88"/>
      <c r="O2725" s="88"/>
      <c r="P2725" s="88"/>
      <c r="Q2725" s="88"/>
      <c r="R2725" s="88"/>
      <c r="S2725" s="620"/>
      <c r="T2725" s="92"/>
      <c r="U2725" s="1214"/>
      <c r="V2725" s="1215"/>
      <c r="W2725" s="168"/>
      <c r="X2725" s="170"/>
    </row>
    <row r="2726" spans="1:24" ht="12.75" customHeight="1">
      <c r="A2726" s="15"/>
      <c r="B2726" s="92" t="str">
        <f t="shared" si="358"/>
        <v/>
      </c>
      <c r="C2726" s="90"/>
      <c r="D2726" s="87"/>
      <c r="E2726" s="88"/>
      <c r="F2726" s="173"/>
      <c r="G2726" s="88"/>
      <c r="H2726" s="88"/>
      <c r="I2726" s="88"/>
      <c r="J2726" s="88"/>
      <c r="K2726" s="230"/>
      <c r="L2726" s="88"/>
      <c r="M2726" s="88"/>
      <c r="N2726" s="88"/>
      <c r="O2726" s="88"/>
      <c r="P2726" s="88"/>
      <c r="Q2726" s="88"/>
      <c r="R2726" s="88"/>
      <c r="S2726" s="620"/>
      <c r="T2726" s="92"/>
      <c r="U2726" s="1214"/>
      <c r="V2726" s="1215"/>
      <c r="W2726" s="168"/>
      <c r="X2726" s="170"/>
    </row>
    <row r="2727" spans="1:24" ht="12.75" customHeight="1">
      <c r="A2727" s="15"/>
      <c r="B2727" s="92" t="str">
        <f t="shared" si="358"/>
        <v/>
      </c>
      <c r="C2727" s="90"/>
      <c r="D2727" s="87"/>
      <c r="E2727" s="88"/>
      <c r="F2727" s="173"/>
      <c r="G2727" s="88"/>
      <c r="H2727" s="88"/>
      <c r="I2727" s="88"/>
      <c r="J2727" s="88"/>
      <c r="K2727" s="230"/>
      <c r="L2727" s="88"/>
      <c r="M2727" s="88"/>
      <c r="N2727" s="88"/>
      <c r="O2727" s="88"/>
      <c r="P2727" s="88"/>
      <c r="Q2727" s="88"/>
      <c r="R2727" s="88"/>
      <c r="S2727" s="620"/>
      <c r="T2727" s="92"/>
      <c r="U2727" s="1214"/>
      <c r="V2727" s="1215"/>
      <c r="W2727" s="168"/>
      <c r="X2727" s="170"/>
    </row>
    <row r="2728" spans="1:24" ht="12.75" customHeight="1">
      <c r="A2728" s="15"/>
      <c r="B2728" s="92" t="str">
        <f t="shared" si="358"/>
        <v/>
      </c>
      <c r="C2728" s="90"/>
      <c r="D2728" s="87"/>
      <c r="E2728" s="88"/>
      <c r="F2728" s="173"/>
      <c r="G2728" s="88"/>
      <c r="H2728" s="88"/>
      <c r="I2728" s="88"/>
      <c r="J2728" s="88"/>
      <c r="K2728" s="230"/>
      <c r="L2728" s="88"/>
      <c r="M2728" s="88"/>
      <c r="N2728" s="88"/>
      <c r="O2728" s="88"/>
      <c r="P2728" s="88"/>
      <c r="Q2728" s="88"/>
      <c r="R2728" s="88"/>
      <c r="S2728" s="620"/>
      <c r="T2728" s="92"/>
      <c r="U2728" s="1214"/>
      <c r="V2728" s="1215"/>
      <c r="W2728" s="168"/>
      <c r="X2728" s="170"/>
    </row>
    <row r="2729" spans="1:24" ht="12.75" customHeight="1">
      <c r="A2729" s="15"/>
      <c r="B2729" s="92" t="str">
        <f t="shared" si="358"/>
        <v/>
      </c>
      <c r="C2729" s="90"/>
      <c r="D2729" s="87"/>
      <c r="E2729" s="88"/>
      <c r="F2729" s="173"/>
      <c r="G2729" s="88"/>
      <c r="H2729" s="88"/>
      <c r="I2729" s="88"/>
      <c r="J2729" s="88"/>
      <c r="K2729" s="230"/>
      <c r="L2729" s="88"/>
      <c r="M2729" s="88"/>
      <c r="N2729" s="88"/>
      <c r="O2729" s="88"/>
      <c r="P2729" s="88"/>
      <c r="Q2729" s="88"/>
      <c r="R2729" s="88"/>
      <c r="S2729" s="620"/>
      <c r="T2729" s="92"/>
      <c r="U2729" s="1214"/>
      <c r="V2729" s="1215"/>
      <c r="W2729" s="168"/>
      <c r="X2729" s="170"/>
    </row>
    <row r="2730" spans="1:24" ht="12.75" customHeight="1">
      <c r="A2730" s="15"/>
      <c r="B2730" s="92" t="str">
        <f t="shared" si="358"/>
        <v/>
      </c>
      <c r="C2730" s="90"/>
      <c r="D2730" s="87"/>
      <c r="E2730" s="88"/>
      <c r="F2730" s="173"/>
      <c r="G2730" s="88"/>
      <c r="H2730" s="88"/>
      <c r="I2730" s="88"/>
      <c r="J2730" s="88"/>
      <c r="K2730" s="230"/>
      <c r="L2730" s="88"/>
      <c r="M2730" s="88"/>
      <c r="N2730" s="88"/>
      <c r="O2730" s="88"/>
      <c r="P2730" s="88"/>
      <c r="Q2730" s="88"/>
      <c r="R2730" s="88"/>
      <c r="S2730" s="620"/>
      <c r="T2730" s="92"/>
      <c r="U2730" s="1214"/>
      <c r="V2730" s="1215"/>
      <c r="W2730" s="168"/>
      <c r="X2730" s="170"/>
    </row>
    <row r="2731" spans="1:24" ht="12.75" customHeight="1">
      <c r="A2731" s="15"/>
      <c r="B2731" s="92" t="str">
        <f t="shared" si="358"/>
        <v/>
      </c>
      <c r="C2731" s="90"/>
      <c r="D2731" s="87"/>
      <c r="E2731" s="88"/>
      <c r="F2731" s="173"/>
      <c r="G2731" s="88"/>
      <c r="H2731" s="88"/>
      <c r="I2731" s="88"/>
      <c r="J2731" s="88"/>
      <c r="K2731" s="230"/>
      <c r="L2731" s="88"/>
      <c r="M2731" s="88"/>
      <c r="N2731" s="88"/>
      <c r="O2731" s="88"/>
      <c r="P2731" s="88"/>
      <c r="Q2731" s="88"/>
      <c r="R2731" s="88"/>
      <c r="S2731" s="620"/>
      <c r="T2731" s="92"/>
      <c r="U2731" s="1214"/>
      <c r="V2731" s="1215"/>
      <c r="W2731" s="168"/>
      <c r="X2731" s="170"/>
    </row>
    <row r="2732" spans="1:24" ht="12.75" customHeight="1">
      <c r="A2732" s="15"/>
      <c r="B2732" s="92" t="str">
        <f t="shared" si="358"/>
        <v/>
      </c>
      <c r="C2732" s="90"/>
      <c r="D2732" s="87"/>
      <c r="E2732" s="88"/>
      <c r="F2732" s="173"/>
      <c r="G2732" s="88"/>
      <c r="H2732" s="88"/>
      <c r="I2732" s="88"/>
      <c r="J2732" s="88"/>
      <c r="K2732" s="230"/>
      <c r="L2732" s="88"/>
      <c r="M2732" s="88"/>
      <c r="N2732" s="88"/>
      <c r="O2732" s="88"/>
      <c r="P2732" s="88"/>
      <c r="Q2732" s="88"/>
      <c r="R2732" s="88"/>
      <c r="S2732" s="620"/>
      <c r="T2732" s="92"/>
      <c r="U2732" s="1214"/>
      <c r="V2732" s="1215"/>
      <c r="W2732" s="168"/>
      <c r="X2732" s="170"/>
    </row>
    <row r="2733" spans="1:24" ht="12.75" customHeight="1">
      <c r="A2733" s="15"/>
      <c r="B2733" s="92" t="str">
        <f t="shared" si="358"/>
        <v/>
      </c>
      <c r="C2733" s="90"/>
      <c r="D2733" s="87"/>
      <c r="E2733" s="88"/>
      <c r="F2733" s="173"/>
      <c r="G2733" s="88"/>
      <c r="H2733" s="88"/>
      <c r="I2733" s="88"/>
      <c r="J2733" s="88"/>
      <c r="K2733" s="230"/>
      <c r="L2733" s="88"/>
      <c r="M2733" s="88"/>
      <c r="N2733" s="88"/>
      <c r="O2733" s="88"/>
      <c r="P2733" s="88"/>
      <c r="Q2733" s="88"/>
      <c r="R2733" s="88"/>
      <c r="S2733" s="620"/>
      <c r="T2733" s="92"/>
      <c r="U2733" s="1214"/>
      <c r="V2733" s="1215"/>
      <c r="W2733" s="168"/>
      <c r="X2733" s="170"/>
    </row>
    <row r="2734" spans="1:24" ht="12.75" customHeight="1">
      <c r="A2734" s="15"/>
      <c r="B2734" s="92" t="str">
        <f t="shared" si="358"/>
        <v/>
      </c>
      <c r="C2734" s="90"/>
      <c r="D2734" s="87"/>
      <c r="E2734" s="88"/>
      <c r="F2734" s="173"/>
      <c r="G2734" s="88"/>
      <c r="H2734" s="88"/>
      <c r="I2734" s="88"/>
      <c r="J2734" s="88"/>
      <c r="K2734" s="230"/>
      <c r="L2734" s="88"/>
      <c r="M2734" s="88"/>
      <c r="N2734" s="88"/>
      <c r="O2734" s="88"/>
      <c r="P2734" s="88"/>
      <c r="Q2734" s="88"/>
      <c r="R2734" s="88"/>
      <c r="S2734" s="620"/>
      <c r="T2734" s="92"/>
      <c r="U2734" s="1214"/>
      <c r="V2734" s="1215"/>
      <c r="W2734" s="168"/>
      <c r="X2734" s="170"/>
    </row>
    <row r="2735" spans="1:24" ht="12.75" customHeight="1">
      <c r="A2735" s="15"/>
      <c r="B2735" s="92" t="str">
        <f t="shared" ref="B2735:B2798" si="359">IF(C2735="","",ROW()-5)</f>
        <v/>
      </c>
      <c r="C2735" s="90"/>
      <c r="D2735" s="87"/>
      <c r="E2735" s="88"/>
      <c r="F2735" s="173"/>
      <c r="G2735" s="88"/>
      <c r="H2735" s="88"/>
      <c r="I2735" s="88"/>
      <c r="J2735" s="88"/>
      <c r="K2735" s="230"/>
      <c r="L2735" s="88"/>
      <c r="M2735" s="88"/>
      <c r="N2735" s="88"/>
      <c r="O2735" s="88"/>
      <c r="P2735" s="88"/>
      <c r="Q2735" s="88"/>
      <c r="R2735" s="88"/>
      <c r="S2735" s="620"/>
      <c r="T2735" s="92"/>
      <c r="U2735" s="1214"/>
      <c r="V2735" s="1215"/>
      <c r="W2735" s="168"/>
      <c r="X2735" s="170"/>
    </row>
    <row r="2736" spans="1:24" ht="12.75" customHeight="1">
      <c r="A2736" s="15"/>
      <c r="B2736" s="92" t="str">
        <f t="shared" si="359"/>
        <v/>
      </c>
      <c r="C2736" s="90"/>
      <c r="D2736" s="87"/>
      <c r="E2736" s="88"/>
      <c r="F2736" s="173"/>
      <c r="G2736" s="88"/>
      <c r="H2736" s="88"/>
      <c r="I2736" s="88"/>
      <c r="J2736" s="88"/>
      <c r="K2736" s="230"/>
      <c r="L2736" s="88"/>
      <c r="M2736" s="88"/>
      <c r="N2736" s="88"/>
      <c r="O2736" s="88"/>
      <c r="P2736" s="88"/>
      <c r="Q2736" s="88"/>
      <c r="R2736" s="88"/>
      <c r="S2736" s="620"/>
      <c r="T2736" s="92"/>
      <c r="U2736" s="1214"/>
      <c r="V2736" s="1215"/>
      <c r="W2736" s="168"/>
      <c r="X2736" s="170"/>
    </row>
    <row r="2737" spans="1:24" ht="12.75" customHeight="1">
      <c r="A2737" s="15"/>
      <c r="B2737" s="92" t="str">
        <f t="shared" si="359"/>
        <v/>
      </c>
      <c r="C2737" s="90"/>
      <c r="D2737" s="87"/>
      <c r="E2737" s="88"/>
      <c r="F2737" s="173"/>
      <c r="G2737" s="88"/>
      <c r="H2737" s="88"/>
      <c r="I2737" s="88"/>
      <c r="J2737" s="88"/>
      <c r="K2737" s="230"/>
      <c r="L2737" s="88"/>
      <c r="M2737" s="88"/>
      <c r="N2737" s="88"/>
      <c r="O2737" s="88"/>
      <c r="P2737" s="88"/>
      <c r="Q2737" s="88"/>
      <c r="R2737" s="88"/>
      <c r="S2737" s="620"/>
      <c r="T2737" s="92"/>
      <c r="U2737" s="1214"/>
      <c r="V2737" s="1215"/>
      <c r="W2737" s="168"/>
      <c r="X2737" s="170"/>
    </row>
    <row r="2738" spans="1:24" ht="12.75" customHeight="1">
      <c r="A2738" s="15"/>
      <c r="B2738" s="92" t="str">
        <f t="shared" si="359"/>
        <v/>
      </c>
      <c r="C2738" s="90"/>
      <c r="D2738" s="87"/>
      <c r="E2738" s="88"/>
      <c r="F2738" s="173"/>
      <c r="G2738" s="88"/>
      <c r="H2738" s="88"/>
      <c r="I2738" s="88"/>
      <c r="J2738" s="88"/>
      <c r="K2738" s="230"/>
      <c r="L2738" s="88"/>
      <c r="M2738" s="88"/>
      <c r="N2738" s="88"/>
      <c r="O2738" s="88"/>
      <c r="P2738" s="88"/>
      <c r="Q2738" s="88"/>
      <c r="R2738" s="88"/>
      <c r="S2738" s="620"/>
      <c r="T2738" s="92"/>
      <c r="U2738" s="1214"/>
      <c r="V2738" s="1215"/>
      <c r="W2738" s="168"/>
      <c r="X2738" s="170"/>
    </row>
    <row r="2739" spans="1:24" ht="12.75" customHeight="1">
      <c r="A2739" s="15"/>
      <c r="B2739" s="92" t="str">
        <f t="shared" si="359"/>
        <v/>
      </c>
      <c r="C2739" s="90"/>
      <c r="D2739" s="87"/>
      <c r="E2739" s="88"/>
      <c r="F2739" s="173"/>
      <c r="G2739" s="88"/>
      <c r="H2739" s="88"/>
      <c r="I2739" s="88"/>
      <c r="J2739" s="88"/>
      <c r="K2739" s="230"/>
      <c r="L2739" s="88"/>
      <c r="M2739" s="88"/>
      <c r="N2739" s="88"/>
      <c r="O2739" s="88"/>
      <c r="P2739" s="88"/>
      <c r="Q2739" s="88"/>
      <c r="R2739" s="88"/>
      <c r="S2739" s="620"/>
      <c r="T2739" s="92"/>
      <c r="U2739" s="1214"/>
      <c r="V2739" s="1215"/>
      <c r="W2739" s="168"/>
      <c r="X2739" s="170"/>
    </row>
    <row r="2740" spans="1:24" ht="12.75" customHeight="1">
      <c r="A2740" s="15"/>
      <c r="B2740" s="92" t="str">
        <f t="shared" si="359"/>
        <v/>
      </c>
      <c r="C2740" s="90"/>
      <c r="D2740" s="87"/>
      <c r="E2740" s="88"/>
      <c r="F2740" s="173"/>
      <c r="G2740" s="88"/>
      <c r="H2740" s="88"/>
      <c r="I2740" s="88"/>
      <c r="J2740" s="88"/>
      <c r="K2740" s="230"/>
      <c r="L2740" s="88"/>
      <c r="M2740" s="88"/>
      <c r="N2740" s="88"/>
      <c r="O2740" s="88"/>
      <c r="P2740" s="88"/>
      <c r="Q2740" s="88"/>
      <c r="R2740" s="88"/>
      <c r="S2740" s="620"/>
      <c r="T2740" s="92"/>
      <c r="U2740" s="1214"/>
      <c r="V2740" s="1215"/>
      <c r="W2740" s="168"/>
      <c r="X2740" s="170"/>
    </row>
    <row r="2741" spans="1:24" ht="12.75" customHeight="1">
      <c r="A2741" s="15"/>
      <c r="B2741" s="92" t="str">
        <f t="shared" si="359"/>
        <v/>
      </c>
      <c r="C2741" s="90"/>
      <c r="D2741" s="87"/>
      <c r="E2741" s="88"/>
      <c r="F2741" s="173"/>
      <c r="G2741" s="88"/>
      <c r="H2741" s="88"/>
      <c r="I2741" s="88"/>
      <c r="J2741" s="88"/>
      <c r="K2741" s="230"/>
      <c r="L2741" s="88"/>
      <c r="M2741" s="88"/>
      <c r="N2741" s="88"/>
      <c r="O2741" s="88"/>
      <c r="P2741" s="88"/>
      <c r="Q2741" s="88"/>
      <c r="R2741" s="88"/>
      <c r="S2741" s="620"/>
      <c r="T2741" s="92"/>
      <c r="U2741" s="1214"/>
      <c r="V2741" s="1215"/>
      <c r="W2741" s="168"/>
      <c r="X2741" s="170"/>
    </row>
    <row r="2742" spans="1:24" ht="12.75" customHeight="1">
      <c r="A2742" s="15"/>
      <c r="B2742" s="92" t="str">
        <f t="shared" si="359"/>
        <v/>
      </c>
      <c r="C2742" s="90"/>
      <c r="D2742" s="87"/>
      <c r="E2742" s="88"/>
      <c r="F2742" s="173"/>
      <c r="G2742" s="88"/>
      <c r="H2742" s="88"/>
      <c r="I2742" s="88"/>
      <c r="J2742" s="88"/>
      <c r="K2742" s="230"/>
      <c r="L2742" s="88"/>
      <c r="M2742" s="88"/>
      <c r="N2742" s="88"/>
      <c r="O2742" s="88"/>
      <c r="P2742" s="88"/>
      <c r="Q2742" s="88"/>
      <c r="R2742" s="88"/>
      <c r="S2742" s="620"/>
      <c r="T2742" s="92"/>
      <c r="U2742" s="1214"/>
      <c r="V2742" s="1215"/>
      <c r="W2742" s="168"/>
      <c r="X2742" s="170"/>
    </row>
    <row r="2743" spans="1:24" ht="12.75" customHeight="1">
      <c r="A2743" s="15"/>
      <c r="B2743" s="92" t="str">
        <f t="shared" si="359"/>
        <v/>
      </c>
      <c r="C2743" s="90"/>
      <c r="D2743" s="87"/>
      <c r="E2743" s="88"/>
      <c r="F2743" s="173"/>
      <c r="G2743" s="88"/>
      <c r="H2743" s="88"/>
      <c r="I2743" s="88"/>
      <c r="J2743" s="88"/>
      <c r="K2743" s="230"/>
      <c r="L2743" s="88"/>
      <c r="M2743" s="88"/>
      <c r="N2743" s="88"/>
      <c r="O2743" s="88"/>
      <c r="P2743" s="88"/>
      <c r="Q2743" s="88"/>
      <c r="R2743" s="88"/>
      <c r="S2743" s="620"/>
      <c r="T2743" s="92"/>
      <c r="U2743" s="1214"/>
      <c r="V2743" s="1215"/>
      <c r="W2743" s="168"/>
      <c r="X2743" s="170"/>
    </row>
    <row r="2744" spans="1:24" ht="12.75" customHeight="1">
      <c r="A2744" s="15"/>
      <c r="B2744" s="92" t="str">
        <f t="shared" si="359"/>
        <v/>
      </c>
      <c r="C2744" s="90"/>
      <c r="D2744" s="87"/>
      <c r="E2744" s="88"/>
      <c r="F2744" s="173"/>
      <c r="G2744" s="88"/>
      <c r="H2744" s="88"/>
      <c r="I2744" s="88"/>
      <c r="J2744" s="88"/>
      <c r="K2744" s="230"/>
      <c r="L2744" s="88"/>
      <c r="M2744" s="88"/>
      <c r="N2744" s="88"/>
      <c r="O2744" s="88"/>
      <c r="P2744" s="88"/>
      <c r="Q2744" s="88"/>
      <c r="R2744" s="88"/>
      <c r="S2744" s="620"/>
      <c r="T2744" s="92"/>
      <c r="U2744" s="1214"/>
      <c r="V2744" s="1215"/>
      <c r="W2744" s="168"/>
      <c r="X2744" s="170"/>
    </row>
    <row r="2745" spans="1:24" ht="12.75" customHeight="1">
      <c r="A2745" s="15"/>
      <c r="B2745" s="92" t="str">
        <f t="shared" si="359"/>
        <v/>
      </c>
      <c r="C2745" s="90"/>
      <c r="D2745" s="87"/>
      <c r="E2745" s="88"/>
      <c r="F2745" s="173"/>
      <c r="G2745" s="88"/>
      <c r="H2745" s="88"/>
      <c r="I2745" s="88"/>
      <c r="J2745" s="88"/>
      <c r="K2745" s="230"/>
      <c r="L2745" s="88"/>
      <c r="M2745" s="88"/>
      <c r="N2745" s="88"/>
      <c r="O2745" s="88"/>
      <c r="P2745" s="88"/>
      <c r="Q2745" s="88"/>
      <c r="R2745" s="88"/>
      <c r="S2745" s="620"/>
      <c r="T2745" s="92"/>
      <c r="U2745" s="1214"/>
      <c r="V2745" s="1215"/>
      <c r="W2745" s="168"/>
      <c r="X2745" s="170"/>
    </row>
    <row r="2746" spans="1:24" ht="12.75" customHeight="1">
      <c r="A2746" s="15"/>
      <c r="B2746" s="92" t="str">
        <f t="shared" si="359"/>
        <v/>
      </c>
      <c r="C2746" s="90"/>
      <c r="D2746" s="87"/>
      <c r="E2746" s="88"/>
      <c r="F2746" s="173"/>
      <c r="G2746" s="88"/>
      <c r="H2746" s="88"/>
      <c r="I2746" s="88"/>
      <c r="J2746" s="88"/>
      <c r="K2746" s="230"/>
      <c r="L2746" s="88"/>
      <c r="M2746" s="88"/>
      <c r="N2746" s="88"/>
      <c r="O2746" s="88"/>
      <c r="P2746" s="88"/>
      <c r="Q2746" s="88"/>
      <c r="R2746" s="88"/>
      <c r="S2746" s="620"/>
      <c r="T2746" s="92"/>
      <c r="U2746" s="1214"/>
      <c r="V2746" s="1215"/>
      <c r="W2746" s="168"/>
      <c r="X2746" s="170"/>
    </row>
    <row r="2747" spans="1:24" ht="12.75" customHeight="1">
      <c r="A2747" s="15"/>
      <c r="B2747" s="92" t="str">
        <f t="shared" si="359"/>
        <v/>
      </c>
      <c r="C2747" s="90"/>
      <c r="D2747" s="87"/>
      <c r="E2747" s="88"/>
      <c r="F2747" s="173"/>
      <c r="G2747" s="88"/>
      <c r="H2747" s="88"/>
      <c r="I2747" s="88"/>
      <c r="J2747" s="88"/>
      <c r="K2747" s="230"/>
      <c r="L2747" s="88"/>
      <c r="M2747" s="88"/>
      <c r="N2747" s="88"/>
      <c r="O2747" s="88"/>
      <c r="P2747" s="88"/>
      <c r="Q2747" s="88"/>
      <c r="R2747" s="88"/>
      <c r="S2747" s="620"/>
      <c r="T2747" s="92"/>
      <c r="U2747" s="1214"/>
      <c r="V2747" s="1215"/>
      <c r="W2747" s="168"/>
      <c r="X2747" s="170"/>
    </row>
    <row r="2748" spans="1:24" ht="12.75" customHeight="1">
      <c r="A2748" s="15"/>
      <c r="B2748" s="92" t="str">
        <f t="shared" si="359"/>
        <v/>
      </c>
      <c r="C2748" s="90"/>
      <c r="D2748" s="87"/>
      <c r="E2748" s="88"/>
      <c r="F2748" s="173"/>
      <c r="G2748" s="88"/>
      <c r="H2748" s="88"/>
      <c r="I2748" s="88"/>
      <c r="J2748" s="88"/>
      <c r="K2748" s="230"/>
      <c r="L2748" s="88"/>
      <c r="M2748" s="88"/>
      <c r="N2748" s="88"/>
      <c r="O2748" s="88"/>
      <c r="P2748" s="88"/>
      <c r="Q2748" s="88"/>
      <c r="R2748" s="88"/>
      <c r="S2748" s="620"/>
      <c r="T2748" s="92"/>
      <c r="U2748" s="1214"/>
      <c r="V2748" s="1215"/>
      <c r="W2748" s="168"/>
      <c r="X2748" s="170"/>
    </row>
    <row r="2749" spans="1:24" ht="12.75" customHeight="1">
      <c r="A2749" s="15"/>
      <c r="B2749" s="92" t="str">
        <f t="shared" si="359"/>
        <v/>
      </c>
      <c r="C2749" s="90"/>
      <c r="D2749" s="87"/>
      <c r="E2749" s="88"/>
      <c r="F2749" s="173"/>
      <c r="G2749" s="88"/>
      <c r="H2749" s="88"/>
      <c r="I2749" s="88"/>
      <c r="J2749" s="88"/>
      <c r="K2749" s="230"/>
      <c r="L2749" s="88"/>
      <c r="M2749" s="88"/>
      <c r="N2749" s="88"/>
      <c r="O2749" s="88"/>
      <c r="P2749" s="88"/>
      <c r="Q2749" s="88"/>
      <c r="R2749" s="88"/>
      <c r="S2749" s="620"/>
      <c r="T2749" s="92"/>
      <c r="U2749" s="1214"/>
      <c r="V2749" s="1215"/>
      <c r="W2749" s="168"/>
      <c r="X2749" s="170"/>
    </row>
    <row r="2750" spans="1:24" ht="12.75" customHeight="1">
      <c r="A2750" s="15"/>
      <c r="B2750" s="92" t="str">
        <f t="shared" si="359"/>
        <v/>
      </c>
      <c r="C2750" s="90"/>
      <c r="D2750" s="87"/>
      <c r="E2750" s="88"/>
      <c r="F2750" s="173"/>
      <c r="G2750" s="88"/>
      <c r="H2750" s="88"/>
      <c r="I2750" s="88"/>
      <c r="J2750" s="88"/>
      <c r="K2750" s="230"/>
      <c r="L2750" s="88"/>
      <c r="M2750" s="88"/>
      <c r="N2750" s="88"/>
      <c r="O2750" s="88"/>
      <c r="P2750" s="88"/>
      <c r="Q2750" s="88"/>
      <c r="R2750" s="88"/>
      <c r="S2750" s="620"/>
      <c r="T2750" s="92"/>
      <c r="U2750" s="1214"/>
      <c r="V2750" s="1215"/>
      <c r="W2750" s="168"/>
      <c r="X2750" s="170"/>
    </row>
    <row r="2751" spans="1:24" ht="12.75" customHeight="1">
      <c r="A2751" s="15"/>
      <c r="B2751" s="92" t="str">
        <f t="shared" si="359"/>
        <v/>
      </c>
      <c r="C2751" s="90"/>
      <c r="D2751" s="87"/>
      <c r="E2751" s="88"/>
      <c r="F2751" s="173"/>
      <c r="G2751" s="88"/>
      <c r="H2751" s="88"/>
      <c r="I2751" s="88"/>
      <c r="J2751" s="88"/>
      <c r="K2751" s="230"/>
      <c r="L2751" s="88"/>
      <c r="M2751" s="88"/>
      <c r="N2751" s="88"/>
      <c r="O2751" s="88"/>
      <c r="P2751" s="88"/>
      <c r="Q2751" s="88"/>
      <c r="R2751" s="88"/>
      <c r="S2751" s="620"/>
      <c r="T2751" s="92"/>
      <c r="U2751" s="1214"/>
      <c r="V2751" s="1215"/>
      <c r="W2751" s="168"/>
      <c r="X2751" s="170"/>
    </row>
    <row r="2752" spans="1:24" ht="12.75" customHeight="1">
      <c r="A2752" s="15"/>
      <c r="B2752" s="92" t="str">
        <f t="shared" si="359"/>
        <v/>
      </c>
      <c r="C2752" s="90"/>
      <c r="D2752" s="87"/>
      <c r="E2752" s="88"/>
      <c r="F2752" s="173"/>
      <c r="G2752" s="88"/>
      <c r="H2752" s="88"/>
      <c r="I2752" s="88"/>
      <c r="J2752" s="88"/>
      <c r="K2752" s="230"/>
      <c r="L2752" s="88"/>
      <c r="M2752" s="88"/>
      <c r="N2752" s="88"/>
      <c r="O2752" s="88"/>
      <c r="P2752" s="88"/>
      <c r="Q2752" s="88"/>
      <c r="R2752" s="88"/>
      <c r="S2752" s="620"/>
      <c r="T2752" s="92"/>
      <c r="U2752" s="1214"/>
      <c r="V2752" s="1215"/>
      <c r="W2752" s="168"/>
      <c r="X2752" s="170"/>
    </row>
    <row r="2753" spans="1:24" ht="12.75" customHeight="1">
      <c r="A2753" s="15"/>
      <c r="B2753" s="92" t="str">
        <f t="shared" si="359"/>
        <v/>
      </c>
      <c r="C2753" s="90"/>
      <c r="D2753" s="87"/>
      <c r="E2753" s="88"/>
      <c r="F2753" s="173"/>
      <c r="G2753" s="88"/>
      <c r="H2753" s="88"/>
      <c r="I2753" s="88"/>
      <c r="J2753" s="88"/>
      <c r="K2753" s="230"/>
      <c r="L2753" s="88"/>
      <c r="M2753" s="88"/>
      <c r="N2753" s="88"/>
      <c r="O2753" s="88"/>
      <c r="P2753" s="88"/>
      <c r="Q2753" s="88"/>
      <c r="R2753" s="88"/>
      <c r="S2753" s="620"/>
      <c r="T2753" s="92"/>
      <c r="U2753" s="1214"/>
      <c r="V2753" s="1215"/>
      <c r="W2753" s="168"/>
      <c r="X2753" s="170"/>
    </row>
    <row r="2754" spans="1:24" ht="12.75" customHeight="1">
      <c r="A2754" s="15"/>
      <c r="B2754" s="92" t="str">
        <f t="shared" si="359"/>
        <v/>
      </c>
      <c r="C2754" s="90"/>
      <c r="D2754" s="87"/>
      <c r="E2754" s="88"/>
      <c r="F2754" s="173"/>
      <c r="G2754" s="88"/>
      <c r="H2754" s="88"/>
      <c r="I2754" s="88"/>
      <c r="J2754" s="88"/>
      <c r="K2754" s="230"/>
      <c r="L2754" s="88"/>
      <c r="M2754" s="88"/>
      <c r="N2754" s="88"/>
      <c r="O2754" s="88"/>
      <c r="P2754" s="88"/>
      <c r="Q2754" s="88"/>
      <c r="R2754" s="88"/>
      <c r="S2754" s="620"/>
      <c r="T2754" s="92"/>
      <c r="U2754" s="1214"/>
      <c r="V2754" s="1215"/>
      <c r="W2754" s="168"/>
      <c r="X2754" s="170"/>
    </row>
    <row r="2755" spans="1:24" ht="12.75" customHeight="1">
      <c r="A2755" s="15"/>
      <c r="B2755" s="92" t="str">
        <f t="shared" si="359"/>
        <v/>
      </c>
      <c r="C2755" s="90"/>
      <c r="D2755" s="87"/>
      <c r="E2755" s="88"/>
      <c r="F2755" s="173"/>
      <c r="G2755" s="88"/>
      <c r="H2755" s="88"/>
      <c r="I2755" s="88"/>
      <c r="J2755" s="88"/>
      <c r="K2755" s="230"/>
      <c r="L2755" s="88"/>
      <c r="M2755" s="88"/>
      <c r="N2755" s="88"/>
      <c r="O2755" s="88"/>
      <c r="P2755" s="88"/>
      <c r="Q2755" s="88"/>
      <c r="R2755" s="88"/>
      <c r="S2755" s="620"/>
      <c r="T2755" s="92"/>
      <c r="U2755" s="1214"/>
      <c r="V2755" s="1215"/>
      <c r="W2755" s="168"/>
      <c r="X2755" s="170"/>
    </row>
    <row r="2756" spans="1:24" ht="12.75" customHeight="1">
      <c r="A2756" s="15"/>
      <c r="B2756" s="92" t="str">
        <f t="shared" si="359"/>
        <v/>
      </c>
      <c r="C2756" s="90"/>
      <c r="D2756" s="87"/>
      <c r="E2756" s="88"/>
      <c r="F2756" s="173"/>
      <c r="G2756" s="88"/>
      <c r="H2756" s="88"/>
      <c r="I2756" s="88"/>
      <c r="J2756" s="88"/>
      <c r="K2756" s="230"/>
      <c r="L2756" s="88"/>
      <c r="M2756" s="88"/>
      <c r="N2756" s="88"/>
      <c r="O2756" s="88"/>
      <c r="P2756" s="88"/>
      <c r="Q2756" s="88"/>
      <c r="R2756" s="88"/>
      <c r="S2756" s="620"/>
      <c r="T2756" s="92"/>
      <c r="U2756" s="1214"/>
      <c r="V2756" s="1215"/>
      <c r="W2756" s="168"/>
      <c r="X2756" s="170"/>
    </row>
    <row r="2757" spans="1:24" ht="12.75" customHeight="1">
      <c r="A2757" s="15"/>
      <c r="B2757" s="92" t="str">
        <f t="shared" si="359"/>
        <v/>
      </c>
      <c r="C2757" s="90"/>
      <c r="D2757" s="87"/>
      <c r="E2757" s="88"/>
      <c r="F2757" s="173"/>
      <c r="G2757" s="88"/>
      <c r="H2757" s="88"/>
      <c r="I2757" s="88"/>
      <c r="J2757" s="88"/>
      <c r="K2757" s="230"/>
      <c r="L2757" s="88"/>
      <c r="M2757" s="88"/>
      <c r="N2757" s="88"/>
      <c r="O2757" s="88"/>
      <c r="P2757" s="88"/>
      <c r="Q2757" s="88"/>
      <c r="R2757" s="88"/>
      <c r="S2757" s="620"/>
      <c r="T2757" s="92"/>
      <c r="U2757" s="1214"/>
      <c r="V2757" s="1215"/>
      <c r="W2757" s="168"/>
      <c r="X2757" s="170"/>
    </row>
    <row r="2758" spans="1:24" ht="12.75" customHeight="1">
      <c r="A2758" s="15"/>
      <c r="B2758" s="92" t="str">
        <f t="shared" si="359"/>
        <v/>
      </c>
      <c r="C2758" s="90"/>
      <c r="D2758" s="87"/>
      <c r="E2758" s="88"/>
      <c r="F2758" s="173"/>
      <c r="G2758" s="88"/>
      <c r="H2758" s="88"/>
      <c r="I2758" s="88"/>
      <c r="J2758" s="88"/>
      <c r="K2758" s="230"/>
      <c r="L2758" s="88"/>
      <c r="M2758" s="88"/>
      <c r="N2758" s="88"/>
      <c r="O2758" s="88"/>
      <c r="P2758" s="88"/>
      <c r="Q2758" s="88"/>
      <c r="R2758" s="88"/>
      <c r="S2758" s="620"/>
      <c r="T2758" s="92"/>
      <c r="U2758" s="1214"/>
      <c r="V2758" s="1215"/>
      <c r="W2758" s="168"/>
      <c r="X2758" s="170"/>
    </row>
    <row r="2759" spans="1:24" ht="12.75" customHeight="1">
      <c r="A2759" s="15"/>
      <c r="B2759" s="92" t="str">
        <f t="shared" si="359"/>
        <v/>
      </c>
      <c r="C2759" s="90"/>
      <c r="D2759" s="87"/>
      <c r="E2759" s="88"/>
      <c r="F2759" s="173"/>
      <c r="G2759" s="88"/>
      <c r="H2759" s="88"/>
      <c r="I2759" s="88"/>
      <c r="J2759" s="88"/>
      <c r="K2759" s="230"/>
      <c r="L2759" s="88"/>
      <c r="M2759" s="88"/>
      <c r="N2759" s="88"/>
      <c r="O2759" s="88"/>
      <c r="P2759" s="88"/>
      <c r="Q2759" s="88"/>
      <c r="R2759" s="88"/>
      <c r="S2759" s="620"/>
      <c r="T2759" s="92"/>
      <c r="U2759" s="1214"/>
      <c r="V2759" s="1215"/>
      <c r="W2759" s="168"/>
      <c r="X2759" s="170"/>
    </row>
    <row r="2760" spans="1:24" ht="12.75" customHeight="1">
      <c r="A2760" s="15"/>
      <c r="B2760" s="92" t="str">
        <f t="shared" si="359"/>
        <v/>
      </c>
      <c r="C2760" s="90"/>
      <c r="D2760" s="87"/>
      <c r="E2760" s="88"/>
      <c r="F2760" s="173"/>
      <c r="G2760" s="88"/>
      <c r="H2760" s="88"/>
      <c r="I2760" s="88"/>
      <c r="J2760" s="88"/>
      <c r="K2760" s="230"/>
      <c r="L2760" s="88"/>
      <c r="M2760" s="88"/>
      <c r="N2760" s="88"/>
      <c r="O2760" s="88"/>
      <c r="P2760" s="88"/>
      <c r="Q2760" s="88"/>
      <c r="R2760" s="88"/>
      <c r="S2760" s="620"/>
      <c r="T2760" s="92"/>
      <c r="U2760" s="1214"/>
      <c r="V2760" s="1215"/>
      <c r="W2760" s="168"/>
      <c r="X2760" s="170"/>
    </row>
    <row r="2761" spans="1:24" ht="12.75" customHeight="1">
      <c r="A2761" s="15"/>
      <c r="B2761" s="92" t="str">
        <f t="shared" si="359"/>
        <v/>
      </c>
      <c r="C2761" s="90"/>
      <c r="D2761" s="87"/>
      <c r="E2761" s="88"/>
      <c r="F2761" s="173"/>
      <c r="G2761" s="88"/>
      <c r="H2761" s="88"/>
      <c r="I2761" s="88"/>
      <c r="J2761" s="88"/>
      <c r="K2761" s="230"/>
      <c r="L2761" s="88"/>
      <c r="M2761" s="88"/>
      <c r="N2761" s="88"/>
      <c r="O2761" s="88"/>
      <c r="P2761" s="88"/>
      <c r="Q2761" s="88"/>
      <c r="R2761" s="88"/>
      <c r="S2761" s="620"/>
      <c r="T2761" s="92"/>
      <c r="U2761" s="1214"/>
      <c r="V2761" s="1215"/>
      <c r="W2761" s="168"/>
      <c r="X2761" s="170"/>
    </row>
    <row r="2762" spans="1:24" ht="12.75" customHeight="1">
      <c r="A2762" s="15"/>
      <c r="B2762" s="92" t="str">
        <f t="shared" si="359"/>
        <v/>
      </c>
      <c r="C2762" s="90"/>
      <c r="D2762" s="87"/>
      <c r="E2762" s="88"/>
      <c r="F2762" s="173"/>
      <c r="G2762" s="88"/>
      <c r="H2762" s="88"/>
      <c r="I2762" s="88"/>
      <c r="J2762" s="88"/>
      <c r="K2762" s="230"/>
      <c r="L2762" s="88"/>
      <c r="M2762" s="88"/>
      <c r="N2762" s="88"/>
      <c r="O2762" s="88"/>
      <c r="P2762" s="88"/>
      <c r="Q2762" s="88"/>
      <c r="R2762" s="88"/>
      <c r="S2762" s="620"/>
      <c r="T2762" s="92"/>
      <c r="U2762" s="1214"/>
      <c r="V2762" s="1215"/>
      <c r="W2762" s="168"/>
      <c r="X2762" s="170"/>
    </row>
    <row r="2763" spans="1:24" ht="12.75" customHeight="1">
      <c r="A2763" s="15"/>
      <c r="B2763" s="92" t="str">
        <f t="shared" si="359"/>
        <v/>
      </c>
      <c r="C2763" s="90"/>
      <c r="D2763" s="87"/>
      <c r="E2763" s="88"/>
      <c r="F2763" s="173"/>
      <c r="G2763" s="88"/>
      <c r="H2763" s="88"/>
      <c r="I2763" s="88"/>
      <c r="J2763" s="88"/>
      <c r="K2763" s="230"/>
      <c r="L2763" s="88"/>
      <c r="M2763" s="88"/>
      <c r="N2763" s="88"/>
      <c r="O2763" s="88"/>
      <c r="P2763" s="88"/>
      <c r="Q2763" s="88"/>
      <c r="R2763" s="88"/>
      <c r="S2763" s="620"/>
      <c r="T2763" s="92"/>
      <c r="U2763" s="1214"/>
      <c r="V2763" s="1215"/>
      <c r="W2763" s="168"/>
      <c r="X2763" s="170"/>
    </row>
    <row r="2764" spans="1:24" ht="12.75" customHeight="1">
      <c r="A2764" s="15"/>
      <c r="B2764" s="92" t="str">
        <f t="shared" si="359"/>
        <v/>
      </c>
      <c r="C2764" s="90"/>
      <c r="D2764" s="87"/>
      <c r="E2764" s="88"/>
      <c r="F2764" s="173"/>
      <c r="G2764" s="88"/>
      <c r="H2764" s="88"/>
      <c r="I2764" s="88"/>
      <c r="J2764" s="88"/>
      <c r="K2764" s="230"/>
      <c r="L2764" s="88"/>
      <c r="M2764" s="88"/>
      <c r="N2764" s="88"/>
      <c r="O2764" s="88"/>
      <c r="P2764" s="88"/>
      <c r="Q2764" s="88"/>
      <c r="R2764" s="88"/>
      <c r="S2764" s="620"/>
      <c r="T2764" s="92"/>
      <c r="U2764" s="1214"/>
      <c r="V2764" s="1215"/>
      <c r="W2764" s="168"/>
      <c r="X2764" s="170"/>
    </row>
    <row r="2765" spans="1:24" ht="12.75" customHeight="1">
      <c r="A2765" s="15"/>
      <c r="B2765" s="92" t="str">
        <f t="shared" si="359"/>
        <v/>
      </c>
      <c r="C2765" s="90"/>
      <c r="D2765" s="87"/>
      <c r="E2765" s="88"/>
      <c r="F2765" s="173"/>
      <c r="G2765" s="88"/>
      <c r="H2765" s="88"/>
      <c r="I2765" s="88"/>
      <c r="J2765" s="88"/>
      <c r="K2765" s="230"/>
      <c r="L2765" s="88"/>
      <c r="M2765" s="88"/>
      <c r="N2765" s="88"/>
      <c r="O2765" s="88"/>
      <c r="P2765" s="88"/>
      <c r="Q2765" s="88"/>
      <c r="R2765" s="88"/>
      <c r="S2765" s="620"/>
      <c r="T2765" s="92"/>
      <c r="U2765" s="1214"/>
      <c r="V2765" s="1215"/>
      <c r="W2765" s="168"/>
      <c r="X2765" s="170"/>
    </row>
    <row r="2766" spans="1:24" ht="12.75" customHeight="1">
      <c r="A2766" s="15"/>
      <c r="B2766" s="92" t="str">
        <f t="shared" si="359"/>
        <v/>
      </c>
      <c r="C2766" s="90"/>
      <c r="D2766" s="87"/>
      <c r="E2766" s="88"/>
      <c r="F2766" s="173"/>
      <c r="G2766" s="88"/>
      <c r="H2766" s="88"/>
      <c r="I2766" s="88"/>
      <c r="J2766" s="88"/>
      <c r="K2766" s="230"/>
      <c r="L2766" s="88"/>
      <c r="M2766" s="88"/>
      <c r="N2766" s="88"/>
      <c r="O2766" s="88"/>
      <c r="P2766" s="88"/>
      <c r="Q2766" s="88"/>
      <c r="R2766" s="88"/>
      <c r="S2766" s="620"/>
      <c r="T2766" s="92"/>
      <c r="U2766" s="1214"/>
      <c r="V2766" s="1215"/>
      <c r="W2766" s="168"/>
      <c r="X2766" s="170"/>
    </row>
    <row r="2767" spans="1:24" ht="12.75" customHeight="1">
      <c r="A2767" s="15"/>
      <c r="B2767" s="92" t="str">
        <f t="shared" si="359"/>
        <v/>
      </c>
      <c r="C2767" s="90"/>
      <c r="D2767" s="87"/>
      <c r="E2767" s="88"/>
      <c r="F2767" s="173"/>
      <c r="G2767" s="88"/>
      <c r="H2767" s="88"/>
      <c r="I2767" s="88"/>
      <c r="J2767" s="88"/>
      <c r="K2767" s="230"/>
      <c r="L2767" s="88"/>
      <c r="M2767" s="88"/>
      <c r="N2767" s="88"/>
      <c r="O2767" s="88"/>
      <c r="P2767" s="88"/>
      <c r="Q2767" s="88"/>
      <c r="R2767" s="88"/>
      <c r="S2767" s="620"/>
      <c r="T2767" s="92"/>
      <c r="U2767" s="1214"/>
      <c r="V2767" s="1215"/>
      <c r="W2767" s="168"/>
      <c r="X2767" s="170"/>
    </row>
    <row r="2768" spans="1:24" ht="12.75" customHeight="1">
      <c r="A2768" s="15"/>
      <c r="B2768" s="92" t="str">
        <f t="shared" si="359"/>
        <v/>
      </c>
      <c r="C2768" s="90"/>
      <c r="D2768" s="87"/>
      <c r="E2768" s="88"/>
      <c r="F2768" s="173"/>
      <c r="G2768" s="88"/>
      <c r="H2768" s="88"/>
      <c r="I2768" s="88"/>
      <c r="J2768" s="88"/>
      <c r="K2768" s="230"/>
      <c r="L2768" s="88"/>
      <c r="M2768" s="88"/>
      <c r="N2768" s="88"/>
      <c r="O2768" s="88"/>
      <c r="P2768" s="88"/>
      <c r="Q2768" s="88"/>
      <c r="R2768" s="88"/>
      <c r="S2768" s="620"/>
      <c r="T2768" s="92"/>
      <c r="U2768" s="1214"/>
      <c r="V2768" s="1215"/>
      <c r="W2768" s="168"/>
      <c r="X2768" s="170"/>
    </row>
    <row r="2769" spans="1:24" ht="12.75" customHeight="1">
      <c r="A2769" s="15"/>
      <c r="B2769" s="92" t="str">
        <f t="shared" si="359"/>
        <v/>
      </c>
      <c r="C2769" s="90"/>
      <c r="D2769" s="87"/>
      <c r="E2769" s="88"/>
      <c r="F2769" s="173"/>
      <c r="G2769" s="88"/>
      <c r="H2769" s="88"/>
      <c r="I2769" s="88"/>
      <c r="J2769" s="88"/>
      <c r="K2769" s="230"/>
      <c r="L2769" s="88"/>
      <c r="M2769" s="88"/>
      <c r="N2769" s="88"/>
      <c r="O2769" s="88"/>
      <c r="P2769" s="88"/>
      <c r="Q2769" s="88"/>
      <c r="R2769" s="88"/>
      <c r="S2769" s="620"/>
      <c r="T2769" s="92"/>
      <c r="U2769" s="1214"/>
      <c r="V2769" s="1215"/>
      <c r="W2769" s="168"/>
      <c r="X2769" s="170"/>
    </row>
    <row r="2770" spans="1:24" ht="12.75" customHeight="1">
      <c r="A2770" s="15"/>
      <c r="B2770" s="92" t="str">
        <f t="shared" si="359"/>
        <v/>
      </c>
      <c r="C2770" s="90"/>
      <c r="D2770" s="87"/>
      <c r="E2770" s="88"/>
      <c r="F2770" s="173"/>
      <c r="G2770" s="88"/>
      <c r="H2770" s="88"/>
      <c r="I2770" s="88"/>
      <c r="J2770" s="88"/>
      <c r="K2770" s="230"/>
      <c r="L2770" s="88"/>
      <c r="M2770" s="88"/>
      <c r="N2770" s="88"/>
      <c r="O2770" s="88"/>
      <c r="P2770" s="88"/>
      <c r="Q2770" s="88"/>
      <c r="R2770" s="88"/>
      <c r="S2770" s="620"/>
      <c r="T2770" s="92"/>
      <c r="U2770" s="1214"/>
      <c r="V2770" s="1215"/>
      <c r="W2770" s="168"/>
      <c r="X2770" s="170"/>
    </row>
    <row r="2771" spans="1:24" ht="12.75" customHeight="1">
      <c r="A2771" s="15"/>
      <c r="B2771" s="92" t="str">
        <f t="shared" si="359"/>
        <v/>
      </c>
      <c r="C2771" s="90"/>
      <c r="D2771" s="87"/>
      <c r="E2771" s="88"/>
      <c r="F2771" s="173"/>
      <c r="G2771" s="88"/>
      <c r="H2771" s="88"/>
      <c r="I2771" s="88"/>
      <c r="J2771" s="88"/>
      <c r="K2771" s="230"/>
      <c r="L2771" s="88"/>
      <c r="M2771" s="88"/>
      <c r="N2771" s="88"/>
      <c r="O2771" s="88"/>
      <c r="P2771" s="88"/>
      <c r="Q2771" s="88"/>
      <c r="R2771" s="88"/>
      <c r="S2771" s="620"/>
      <c r="T2771" s="92"/>
      <c r="U2771" s="1214"/>
      <c r="V2771" s="1215"/>
      <c r="W2771" s="168"/>
      <c r="X2771" s="170"/>
    </row>
    <row r="2772" spans="1:24" ht="12.75" customHeight="1">
      <c r="A2772" s="15"/>
      <c r="B2772" s="92" t="str">
        <f t="shared" si="359"/>
        <v/>
      </c>
      <c r="C2772" s="90"/>
      <c r="D2772" s="87"/>
      <c r="E2772" s="88"/>
      <c r="F2772" s="173"/>
      <c r="G2772" s="88"/>
      <c r="H2772" s="88"/>
      <c r="I2772" s="88"/>
      <c r="J2772" s="88"/>
      <c r="K2772" s="230"/>
      <c r="L2772" s="88"/>
      <c r="M2772" s="88"/>
      <c r="N2772" s="88"/>
      <c r="O2772" s="88"/>
      <c r="P2772" s="88"/>
      <c r="Q2772" s="88"/>
      <c r="R2772" s="88"/>
      <c r="S2772" s="620"/>
      <c r="T2772" s="92"/>
      <c r="U2772" s="1214"/>
      <c r="V2772" s="1215"/>
      <c r="W2772" s="168"/>
      <c r="X2772" s="170"/>
    </row>
    <row r="2773" spans="1:24" ht="12.75" customHeight="1">
      <c r="A2773" s="15"/>
      <c r="B2773" s="92" t="str">
        <f t="shared" si="359"/>
        <v/>
      </c>
      <c r="C2773" s="90"/>
      <c r="D2773" s="87"/>
      <c r="E2773" s="88"/>
      <c r="F2773" s="173"/>
      <c r="G2773" s="88"/>
      <c r="H2773" s="88"/>
      <c r="I2773" s="88"/>
      <c r="J2773" s="88"/>
      <c r="K2773" s="230"/>
      <c r="L2773" s="88"/>
      <c r="M2773" s="88"/>
      <c r="N2773" s="88"/>
      <c r="O2773" s="88"/>
      <c r="P2773" s="88"/>
      <c r="Q2773" s="88"/>
      <c r="R2773" s="88"/>
      <c r="S2773" s="620"/>
      <c r="T2773" s="92"/>
      <c r="U2773" s="1214"/>
      <c r="V2773" s="1215"/>
      <c r="W2773" s="168"/>
      <c r="X2773" s="170"/>
    </row>
    <row r="2774" spans="1:24" ht="12.75" customHeight="1">
      <c r="A2774" s="15"/>
      <c r="B2774" s="92" t="str">
        <f t="shared" si="359"/>
        <v/>
      </c>
      <c r="C2774" s="90"/>
      <c r="D2774" s="87"/>
      <c r="E2774" s="88"/>
      <c r="F2774" s="173"/>
      <c r="G2774" s="88"/>
      <c r="H2774" s="88"/>
      <c r="I2774" s="88"/>
      <c r="J2774" s="88"/>
      <c r="K2774" s="230"/>
      <c r="L2774" s="88"/>
      <c r="M2774" s="88"/>
      <c r="N2774" s="88"/>
      <c r="O2774" s="88"/>
      <c r="P2774" s="88"/>
      <c r="Q2774" s="88"/>
      <c r="R2774" s="88"/>
      <c r="S2774" s="620"/>
      <c r="T2774" s="92"/>
      <c r="U2774" s="1214"/>
      <c r="V2774" s="1215"/>
      <c r="W2774" s="168"/>
      <c r="X2774" s="170"/>
    </row>
    <row r="2775" spans="1:24" ht="12.75" customHeight="1">
      <c r="A2775" s="15"/>
      <c r="B2775" s="92" t="str">
        <f t="shared" si="359"/>
        <v/>
      </c>
      <c r="C2775" s="90"/>
      <c r="D2775" s="87"/>
      <c r="E2775" s="88"/>
      <c r="F2775" s="173"/>
      <c r="G2775" s="88"/>
      <c r="H2775" s="88"/>
      <c r="I2775" s="88"/>
      <c r="J2775" s="88"/>
      <c r="K2775" s="230"/>
      <c r="L2775" s="88"/>
      <c r="M2775" s="88"/>
      <c r="N2775" s="88"/>
      <c r="O2775" s="88"/>
      <c r="P2775" s="88"/>
      <c r="Q2775" s="88"/>
      <c r="R2775" s="88"/>
      <c r="S2775" s="620"/>
      <c r="T2775" s="92"/>
      <c r="U2775" s="1214"/>
      <c r="V2775" s="1215"/>
      <c r="W2775" s="168"/>
      <c r="X2775" s="170"/>
    </row>
    <row r="2776" spans="1:24" ht="12.75" customHeight="1">
      <c r="A2776" s="15"/>
      <c r="B2776" s="92" t="str">
        <f t="shared" si="359"/>
        <v/>
      </c>
      <c r="C2776" s="90"/>
      <c r="D2776" s="87"/>
      <c r="E2776" s="88"/>
      <c r="F2776" s="173"/>
      <c r="G2776" s="88"/>
      <c r="H2776" s="88"/>
      <c r="I2776" s="88"/>
      <c r="J2776" s="88"/>
      <c r="K2776" s="230"/>
      <c r="L2776" s="88"/>
      <c r="M2776" s="88"/>
      <c r="N2776" s="88"/>
      <c r="O2776" s="88"/>
      <c r="P2776" s="88"/>
      <c r="Q2776" s="88"/>
      <c r="R2776" s="88"/>
      <c r="S2776" s="620"/>
      <c r="T2776" s="92"/>
      <c r="U2776" s="1214"/>
      <c r="V2776" s="1215"/>
      <c r="W2776" s="168"/>
      <c r="X2776" s="170"/>
    </row>
    <row r="2777" spans="1:24" ht="12.75" customHeight="1">
      <c r="A2777" s="15"/>
      <c r="B2777" s="92" t="str">
        <f t="shared" si="359"/>
        <v/>
      </c>
      <c r="C2777" s="90"/>
      <c r="D2777" s="87"/>
      <c r="E2777" s="88"/>
      <c r="F2777" s="173"/>
      <c r="G2777" s="88"/>
      <c r="H2777" s="88"/>
      <c r="I2777" s="88"/>
      <c r="J2777" s="88"/>
      <c r="K2777" s="230"/>
      <c r="L2777" s="88"/>
      <c r="M2777" s="88"/>
      <c r="N2777" s="88"/>
      <c r="O2777" s="88"/>
      <c r="P2777" s="88"/>
      <c r="Q2777" s="88"/>
      <c r="R2777" s="88"/>
      <c r="S2777" s="620"/>
      <c r="T2777" s="92"/>
      <c r="U2777" s="1214"/>
      <c r="V2777" s="1215"/>
      <c r="W2777" s="168"/>
      <c r="X2777" s="170"/>
    </row>
    <row r="2778" spans="1:24" ht="12.75" customHeight="1">
      <c r="A2778" s="15"/>
      <c r="B2778" s="92" t="str">
        <f t="shared" si="359"/>
        <v/>
      </c>
      <c r="C2778" s="90"/>
      <c r="D2778" s="87"/>
      <c r="E2778" s="88"/>
      <c r="F2778" s="173"/>
      <c r="G2778" s="88"/>
      <c r="H2778" s="88"/>
      <c r="I2778" s="88"/>
      <c r="J2778" s="88"/>
      <c r="K2778" s="230"/>
      <c r="L2778" s="88"/>
      <c r="M2778" s="88"/>
      <c r="N2778" s="88"/>
      <c r="O2778" s="88"/>
      <c r="P2778" s="88"/>
      <c r="Q2778" s="88"/>
      <c r="R2778" s="88"/>
      <c r="S2778" s="620"/>
      <c r="T2778" s="92"/>
      <c r="U2778" s="1214"/>
      <c r="V2778" s="1215"/>
      <c r="W2778" s="168"/>
      <c r="X2778" s="170"/>
    </row>
    <row r="2779" spans="1:24" ht="12.75" customHeight="1">
      <c r="A2779" s="15"/>
      <c r="B2779" s="92" t="str">
        <f t="shared" si="359"/>
        <v/>
      </c>
      <c r="C2779" s="90"/>
      <c r="D2779" s="87"/>
      <c r="E2779" s="88"/>
      <c r="F2779" s="173"/>
      <c r="G2779" s="88"/>
      <c r="H2779" s="88"/>
      <c r="I2779" s="88"/>
      <c r="J2779" s="88"/>
      <c r="K2779" s="230"/>
      <c r="L2779" s="88"/>
      <c r="M2779" s="88"/>
      <c r="N2779" s="88"/>
      <c r="O2779" s="88"/>
      <c r="P2779" s="88"/>
      <c r="Q2779" s="88"/>
      <c r="R2779" s="88"/>
      <c r="S2779" s="620"/>
      <c r="T2779" s="92"/>
      <c r="U2779" s="1214"/>
      <c r="V2779" s="1215"/>
      <c r="W2779" s="168"/>
      <c r="X2779" s="170"/>
    </row>
    <row r="2780" spans="1:24" ht="12.75" customHeight="1">
      <c r="A2780" s="15"/>
      <c r="B2780" s="92" t="str">
        <f t="shared" si="359"/>
        <v/>
      </c>
      <c r="C2780" s="90"/>
      <c r="D2780" s="87"/>
      <c r="E2780" s="88"/>
      <c r="F2780" s="173"/>
      <c r="G2780" s="88"/>
      <c r="H2780" s="88"/>
      <c r="I2780" s="88"/>
      <c r="J2780" s="88"/>
      <c r="K2780" s="230"/>
      <c r="L2780" s="88"/>
      <c r="M2780" s="88"/>
      <c r="N2780" s="88"/>
      <c r="O2780" s="88"/>
      <c r="P2780" s="88"/>
      <c r="Q2780" s="88"/>
      <c r="R2780" s="88"/>
      <c r="S2780" s="620"/>
      <c r="T2780" s="92"/>
      <c r="U2780" s="1214"/>
      <c r="V2780" s="1215"/>
      <c r="W2780" s="168"/>
      <c r="X2780" s="170"/>
    </row>
    <row r="2781" spans="1:24" ht="12.75" customHeight="1">
      <c r="A2781" s="15"/>
      <c r="B2781" s="92" t="str">
        <f t="shared" si="359"/>
        <v/>
      </c>
      <c r="C2781" s="90"/>
      <c r="D2781" s="87"/>
      <c r="E2781" s="88"/>
      <c r="F2781" s="173"/>
      <c r="G2781" s="88"/>
      <c r="H2781" s="88"/>
      <c r="I2781" s="88"/>
      <c r="J2781" s="88"/>
      <c r="K2781" s="230"/>
      <c r="L2781" s="88"/>
      <c r="M2781" s="88"/>
      <c r="N2781" s="88"/>
      <c r="O2781" s="88"/>
      <c r="P2781" s="88"/>
      <c r="Q2781" s="88"/>
      <c r="R2781" s="88"/>
      <c r="S2781" s="620"/>
      <c r="T2781" s="92"/>
      <c r="U2781" s="1214"/>
      <c r="V2781" s="1215"/>
      <c r="W2781" s="168"/>
      <c r="X2781" s="170"/>
    </row>
    <row r="2782" spans="1:24" ht="12.75" customHeight="1">
      <c r="A2782" s="15"/>
      <c r="B2782" s="92" t="str">
        <f t="shared" si="359"/>
        <v/>
      </c>
      <c r="C2782" s="90"/>
      <c r="D2782" s="87"/>
      <c r="E2782" s="88"/>
      <c r="F2782" s="173"/>
      <c r="G2782" s="88"/>
      <c r="H2782" s="88"/>
      <c r="I2782" s="88"/>
      <c r="J2782" s="88"/>
      <c r="K2782" s="230"/>
      <c r="L2782" s="88"/>
      <c r="M2782" s="88"/>
      <c r="N2782" s="88"/>
      <c r="O2782" s="88"/>
      <c r="P2782" s="88"/>
      <c r="Q2782" s="88"/>
      <c r="R2782" s="88"/>
      <c r="S2782" s="620"/>
      <c r="T2782" s="92"/>
      <c r="U2782" s="1214"/>
      <c r="V2782" s="1215"/>
      <c r="W2782" s="168"/>
      <c r="X2782" s="170"/>
    </row>
    <row r="2783" spans="1:24" ht="12.75" customHeight="1">
      <c r="A2783" s="15"/>
      <c r="B2783" s="92" t="str">
        <f t="shared" si="359"/>
        <v/>
      </c>
      <c r="C2783" s="90"/>
      <c r="D2783" s="87"/>
      <c r="E2783" s="88"/>
      <c r="F2783" s="173"/>
      <c r="G2783" s="88"/>
      <c r="H2783" s="88"/>
      <c r="I2783" s="88"/>
      <c r="J2783" s="88"/>
      <c r="K2783" s="230"/>
      <c r="L2783" s="88"/>
      <c r="M2783" s="88"/>
      <c r="N2783" s="88"/>
      <c r="O2783" s="88"/>
      <c r="P2783" s="88"/>
      <c r="Q2783" s="88"/>
      <c r="R2783" s="88"/>
      <c r="S2783" s="620"/>
      <c r="T2783" s="92"/>
      <c r="U2783" s="1214"/>
      <c r="V2783" s="1215"/>
      <c r="W2783" s="168"/>
      <c r="X2783" s="170"/>
    </row>
    <row r="2784" spans="1:24" ht="12.75" customHeight="1">
      <c r="A2784" s="15"/>
      <c r="B2784" s="92" t="str">
        <f t="shared" si="359"/>
        <v/>
      </c>
      <c r="C2784" s="90"/>
      <c r="D2784" s="87"/>
      <c r="E2784" s="88"/>
      <c r="F2784" s="173"/>
      <c r="G2784" s="88"/>
      <c r="H2784" s="88"/>
      <c r="I2784" s="88"/>
      <c r="J2784" s="88"/>
      <c r="K2784" s="230"/>
      <c r="L2784" s="88"/>
      <c r="M2784" s="88"/>
      <c r="N2784" s="88"/>
      <c r="O2784" s="88"/>
      <c r="P2784" s="88"/>
      <c r="Q2784" s="88"/>
      <c r="R2784" s="88"/>
      <c r="S2784" s="620"/>
      <c r="T2784" s="92"/>
      <c r="U2784" s="1214"/>
      <c r="V2784" s="1215"/>
      <c r="W2784" s="168"/>
      <c r="X2784" s="170"/>
    </row>
    <row r="2785" spans="1:24" ht="12.75" customHeight="1">
      <c r="A2785" s="15"/>
      <c r="B2785" s="92" t="str">
        <f t="shared" si="359"/>
        <v/>
      </c>
      <c r="C2785" s="90"/>
      <c r="D2785" s="87"/>
      <c r="E2785" s="88"/>
      <c r="F2785" s="173"/>
      <c r="G2785" s="88"/>
      <c r="H2785" s="88"/>
      <c r="I2785" s="88"/>
      <c r="J2785" s="88"/>
      <c r="K2785" s="230"/>
      <c r="L2785" s="88"/>
      <c r="M2785" s="88"/>
      <c r="N2785" s="88"/>
      <c r="O2785" s="88"/>
      <c r="P2785" s="88"/>
      <c r="Q2785" s="88"/>
      <c r="R2785" s="88"/>
      <c r="S2785" s="620"/>
      <c r="T2785" s="92"/>
      <c r="U2785" s="1214"/>
      <c r="V2785" s="1215"/>
      <c r="W2785" s="168"/>
      <c r="X2785" s="170"/>
    </row>
    <row r="2786" spans="1:24" ht="12.75" customHeight="1">
      <c r="A2786" s="15"/>
      <c r="B2786" s="92" t="str">
        <f t="shared" si="359"/>
        <v/>
      </c>
      <c r="C2786" s="90"/>
      <c r="D2786" s="87"/>
      <c r="E2786" s="88"/>
      <c r="F2786" s="173"/>
      <c r="G2786" s="88"/>
      <c r="H2786" s="88"/>
      <c r="I2786" s="88"/>
      <c r="J2786" s="88"/>
      <c r="K2786" s="230"/>
      <c r="L2786" s="88"/>
      <c r="M2786" s="88"/>
      <c r="N2786" s="88"/>
      <c r="O2786" s="88"/>
      <c r="P2786" s="88"/>
      <c r="Q2786" s="88"/>
      <c r="R2786" s="88"/>
      <c r="S2786" s="620"/>
      <c r="T2786" s="92"/>
      <c r="U2786" s="1214"/>
      <c r="V2786" s="1215"/>
      <c r="W2786" s="168"/>
      <c r="X2786" s="170"/>
    </row>
    <row r="2787" spans="1:24" ht="12.75" customHeight="1">
      <c r="A2787" s="15"/>
      <c r="B2787" s="92" t="str">
        <f t="shared" si="359"/>
        <v/>
      </c>
      <c r="C2787" s="90"/>
      <c r="D2787" s="87"/>
      <c r="E2787" s="88"/>
      <c r="F2787" s="173"/>
      <c r="G2787" s="88"/>
      <c r="H2787" s="88"/>
      <c r="I2787" s="88"/>
      <c r="J2787" s="88"/>
      <c r="K2787" s="230"/>
      <c r="L2787" s="88"/>
      <c r="M2787" s="88"/>
      <c r="N2787" s="88"/>
      <c r="O2787" s="88"/>
      <c r="P2787" s="88"/>
      <c r="Q2787" s="88"/>
      <c r="R2787" s="88"/>
      <c r="S2787" s="620"/>
      <c r="T2787" s="92"/>
      <c r="U2787" s="1214"/>
      <c r="V2787" s="1215"/>
      <c r="W2787" s="168"/>
      <c r="X2787" s="170"/>
    </row>
    <row r="2788" spans="1:24" ht="12.75" customHeight="1">
      <c r="A2788" s="15"/>
      <c r="B2788" s="92" t="str">
        <f t="shared" si="359"/>
        <v/>
      </c>
      <c r="C2788" s="90"/>
      <c r="D2788" s="87"/>
      <c r="E2788" s="88"/>
      <c r="F2788" s="173"/>
      <c r="G2788" s="88"/>
      <c r="H2788" s="88"/>
      <c r="I2788" s="88"/>
      <c r="J2788" s="88"/>
      <c r="K2788" s="230"/>
      <c r="L2788" s="88"/>
      <c r="M2788" s="88"/>
      <c r="N2788" s="88"/>
      <c r="O2788" s="88"/>
      <c r="P2788" s="88"/>
      <c r="Q2788" s="88"/>
      <c r="R2788" s="88"/>
      <c r="S2788" s="620"/>
      <c r="T2788" s="92"/>
      <c r="U2788" s="1214"/>
      <c r="V2788" s="1215"/>
      <c r="W2788" s="168"/>
      <c r="X2788" s="170"/>
    </row>
    <row r="2789" spans="1:24" ht="12.75" customHeight="1">
      <c r="A2789" s="15"/>
      <c r="B2789" s="92" t="str">
        <f t="shared" si="359"/>
        <v/>
      </c>
      <c r="C2789" s="90"/>
      <c r="D2789" s="87"/>
      <c r="E2789" s="88"/>
      <c r="F2789" s="173"/>
      <c r="G2789" s="88"/>
      <c r="H2789" s="88"/>
      <c r="I2789" s="88"/>
      <c r="J2789" s="88"/>
      <c r="K2789" s="230"/>
      <c r="L2789" s="88"/>
      <c r="M2789" s="88"/>
      <c r="N2789" s="88"/>
      <c r="O2789" s="88"/>
      <c r="P2789" s="88"/>
      <c r="Q2789" s="88"/>
      <c r="R2789" s="88"/>
      <c r="S2789" s="620"/>
      <c r="T2789" s="92"/>
      <c r="U2789" s="1214"/>
      <c r="V2789" s="1215"/>
      <c r="W2789" s="168"/>
      <c r="X2789" s="170"/>
    </row>
    <row r="2790" spans="1:24" ht="12.75" customHeight="1">
      <c r="A2790" s="15"/>
      <c r="B2790" s="92" t="str">
        <f t="shared" si="359"/>
        <v/>
      </c>
      <c r="C2790" s="90"/>
      <c r="D2790" s="87"/>
      <c r="E2790" s="88"/>
      <c r="F2790" s="173"/>
      <c r="G2790" s="88"/>
      <c r="H2790" s="88"/>
      <c r="I2790" s="88"/>
      <c r="J2790" s="88"/>
      <c r="K2790" s="230"/>
      <c r="L2790" s="88"/>
      <c r="M2790" s="88"/>
      <c r="N2790" s="88"/>
      <c r="O2790" s="88"/>
      <c r="P2790" s="88"/>
      <c r="Q2790" s="88"/>
      <c r="R2790" s="88"/>
      <c r="S2790" s="620"/>
      <c r="T2790" s="92"/>
      <c r="U2790" s="1214"/>
      <c r="V2790" s="1215"/>
      <c r="W2790" s="168"/>
      <c r="X2790" s="170"/>
    </row>
    <row r="2791" spans="1:24" ht="12.75" customHeight="1">
      <c r="A2791" s="15"/>
      <c r="B2791" s="92" t="str">
        <f t="shared" si="359"/>
        <v/>
      </c>
      <c r="C2791" s="90"/>
      <c r="D2791" s="87"/>
      <c r="E2791" s="88"/>
      <c r="F2791" s="173"/>
      <c r="G2791" s="88"/>
      <c r="H2791" s="88"/>
      <c r="I2791" s="88"/>
      <c r="J2791" s="88"/>
      <c r="K2791" s="230"/>
      <c r="L2791" s="88"/>
      <c r="M2791" s="88"/>
      <c r="N2791" s="88"/>
      <c r="O2791" s="88"/>
      <c r="P2791" s="88"/>
      <c r="Q2791" s="88"/>
      <c r="R2791" s="88"/>
      <c r="S2791" s="620"/>
      <c r="T2791" s="92"/>
      <c r="U2791" s="1214"/>
      <c r="V2791" s="1215"/>
      <c r="W2791" s="168"/>
      <c r="X2791" s="170"/>
    </row>
    <row r="2792" spans="1:24" ht="12.75" customHeight="1">
      <c r="A2792" s="15"/>
      <c r="B2792" s="92" t="str">
        <f t="shared" si="359"/>
        <v/>
      </c>
      <c r="C2792" s="90"/>
      <c r="D2792" s="87"/>
      <c r="E2792" s="88"/>
      <c r="F2792" s="173"/>
      <c r="G2792" s="88"/>
      <c r="H2792" s="88"/>
      <c r="I2792" s="88"/>
      <c r="J2792" s="88"/>
      <c r="K2792" s="230"/>
      <c r="L2792" s="88"/>
      <c r="M2792" s="88"/>
      <c r="N2792" s="88"/>
      <c r="O2792" s="88"/>
      <c r="P2792" s="88"/>
      <c r="Q2792" s="88"/>
      <c r="R2792" s="88"/>
      <c r="S2792" s="620"/>
      <c r="T2792" s="92"/>
      <c r="U2792" s="1214"/>
      <c r="V2792" s="1215"/>
      <c r="W2792" s="168"/>
      <c r="X2792" s="170"/>
    </row>
    <row r="2793" spans="1:24" ht="12.75" customHeight="1">
      <c r="A2793" s="15"/>
      <c r="B2793" s="92" t="str">
        <f t="shared" si="359"/>
        <v/>
      </c>
      <c r="C2793" s="90"/>
      <c r="D2793" s="87"/>
      <c r="E2793" s="88"/>
      <c r="F2793" s="173"/>
      <c r="G2793" s="88"/>
      <c r="H2793" s="88"/>
      <c r="I2793" s="88"/>
      <c r="J2793" s="88"/>
      <c r="K2793" s="230"/>
      <c r="L2793" s="88"/>
      <c r="M2793" s="88"/>
      <c r="N2793" s="88"/>
      <c r="O2793" s="88"/>
      <c r="P2793" s="88"/>
      <c r="Q2793" s="88"/>
      <c r="R2793" s="88"/>
      <c r="S2793" s="620"/>
      <c r="T2793" s="92"/>
      <c r="U2793" s="1214"/>
      <c r="V2793" s="1215"/>
      <c r="W2793" s="168"/>
      <c r="X2793" s="170"/>
    </row>
    <row r="2794" spans="1:24" ht="12.75" customHeight="1">
      <c r="A2794" s="15"/>
      <c r="B2794" s="92" t="str">
        <f t="shared" si="359"/>
        <v/>
      </c>
      <c r="C2794" s="90"/>
      <c r="D2794" s="87"/>
      <c r="E2794" s="88"/>
      <c r="F2794" s="173"/>
      <c r="G2794" s="88"/>
      <c r="H2794" s="88"/>
      <c r="I2794" s="88"/>
      <c r="J2794" s="88"/>
      <c r="K2794" s="230"/>
      <c r="L2794" s="88"/>
      <c r="M2794" s="88"/>
      <c r="N2794" s="88"/>
      <c r="O2794" s="88"/>
      <c r="P2794" s="88"/>
      <c r="Q2794" s="88"/>
      <c r="R2794" s="88"/>
      <c r="S2794" s="620"/>
      <c r="T2794" s="92"/>
      <c r="U2794" s="1214"/>
      <c r="V2794" s="1215"/>
      <c r="W2794" s="168"/>
      <c r="X2794" s="170"/>
    </row>
    <row r="2795" spans="1:24" ht="12.75" customHeight="1">
      <c r="A2795" s="15"/>
      <c r="B2795" s="92" t="str">
        <f t="shared" si="359"/>
        <v/>
      </c>
      <c r="C2795" s="90"/>
      <c r="D2795" s="87"/>
      <c r="E2795" s="88"/>
      <c r="F2795" s="173"/>
      <c r="G2795" s="88"/>
      <c r="H2795" s="88"/>
      <c r="I2795" s="88"/>
      <c r="J2795" s="88"/>
      <c r="K2795" s="230"/>
      <c r="L2795" s="88"/>
      <c r="M2795" s="88"/>
      <c r="N2795" s="88"/>
      <c r="O2795" s="88"/>
      <c r="P2795" s="88"/>
      <c r="Q2795" s="88"/>
      <c r="R2795" s="88"/>
      <c r="S2795" s="620"/>
      <c r="T2795" s="92"/>
      <c r="U2795" s="1214"/>
      <c r="V2795" s="1215"/>
      <c r="W2795" s="168"/>
      <c r="X2795" s="170"/>
    </row>
    <row r="2796" spans="1:24" ht="12.75" customHeight="1">
      <c r="A2796" s="15"/>
      <c r="B2796" s="92" t="str">
        <f t="shared" si="359"/>
        <v/>
      </c>
      <c r="C2796" s="90"/>
      <c r="D2796" s="87"/>
      <c r="E2796" s="88"/>
      <c r="F2796" s="173"/>
      <c r="G2796" s="88"/>
      <c r="H2796" s="88"/>
      <c r="I2796" s="88"/>
      <c r="J2796" s="88"/>
      <c r="K2796" s="230"/>
      <c r="L2796" s="88"/>
      <c r="M2796" s="88"/>
      <c r="N2796" s="88"/>
      <c r="O2796" s="88"/>
      <c r="P2796" s="88"/>
      <c r="Q2796" s="88"/>
      <c r="R2796" s="88"/>
      <c r="S2796" s="620"/>
      <c r="T2796" s="92"/>
      <c r="U2796" s="1214"/>
      <c r="V2796" s="1215"/>
      <c r="W2796" s="168"/>
      <c r="X2796" s="170"/>
    </row>
    <row r="2797" spans="1:24" ht="12.75" customHeight="1">
      <c r="A2797" s="15"/>
      <c r="B2797" s="92" t="str">
        <f t="shared" si="359"/>
        <v/>
      </c>
      <c r="C2797" s="90"/>
      <c r="D2797" s="87"/>
      <c r="E2797" s="88"/>
      <c r="F2797" s="173"/>
      <c r="G2797" s="88"/>
      <c r="H2797" s="88"/>
      <c r="I2797" s="88"/>
      <c r="J2797" s="88"/>
      <c r="K2797" s="230"/>
      <c r="L2797" s="88"/>
      <c r="M2797" s="88"/>
      <c r="N2797" s="88"/>
      <c r="O2797" s="88"/>
      <c r="P2797" s="88"/>
      <c r="Q2797" s="88"/>
      <c r="R2797" s="88"/>
      <c r="S2797" s="620"/>
      <c r="T2797" s="92"/>
      <c r="U2797" s="1214"/>
      <c r="V2797" s="1215"/>
      <c r="W2797" s="168"/>
      <c r="X2797" s="170"/>
    </row>
    <row r="2798" spans="1:24" ht="12.75" customHeight="1">
      <c r="A2798" s="15"/>
      <c r="B2798" s="92" t="str">
        <f t="shared" si="359"/>
        <v/>
      </c>
      <c r="C2798" s="90"/>
      <c r="D2798" s="87"/>
      <c r="E2798" s="88"/>
      <c r="F2798" s="173"/>
      <c r="G2798" s="88"/>
      <c r="H2798" s="88"/>
      <c r="I2798" s="88"/>
      <c r="J2798" s="88"/>
      <c r="K2798" s="230"/>
      <c r="L2798" s="88"/>
      <c r="M2798" s="88"/>
      <c r="N2798" s="88"/>
      <c r="O2798" s="88"/>
      <c r="P2798" s="88"/>
      <c r="Q2798" s="88"/>
      <c r="R2798" s="88"/>
      <c r="S2798" s="620"/>
      <c r="T2798" s="92"/>
      <c r="U2798" s="1214"/>
      <c r="V2798" s="1215"/>
      <c r="W2798" s="168"/>
      <c r="X2798" s="170"/>
    </row>
    <row r="2799" spans="1:24" ht="12.75" customHeight="1">
      <c r="A2799" s="15"/>
      <c r="B2799" s="92" t="str">
        <f t="shared" ref="B2799:B2862" si="360">IF(C2799="","",ROW()-5)</f>
        <v/>
      </c>
      <c r="C2799" s="90"/>
      <c r="D2799" s="87"/>
      <c r="E2799" s="88"/>
      <c r="F2799" s="173"/>
      <c r="G2799" s="88"/>
      <c r="H2799" s="88"/>
      <c r="I2799" s="88"/>
      <c r="J2799" s="88"/>
      <c r="K2799" s="230"/>
      <c r="L2799" s="88"/>
      <c r="M2799" s="88"/>
      <c r="N2799" s="88"/>
      <c r="O2799" s="88"/>
      <c r="P2799" s="88"/>
      <c r="Q2799" s="88"/>
      <c r="R2799" s="88"/>
      <c r="S2799" s="620"/>
      <c r="T2799" s="92"/>
      <c r="U2799" s="1214"/>
      <c r="V2799" s="1215"/>
      <c r="W2799" s="168"/>
      <c r="X2799" s="170"/>
    </row>
    <row r="2800" spans="1:24" ht="12.75" customHeight="1">
      <c r="A2800" s="15"/>
      <c r="B2800" s="92" t="str">
        <f t="shared" si="360"/>
        <v/>
      </c>
      <c r="C2800" s="90"/>
      <c r="D2800" s="87"/>
      <c r="E2800" s="88"/>
      <c r="F2800" s="173"/>
      <c r="G2800" s="88"/>
      <c r="H2800" s="88"/>
      <c r="I2800" s="88"/>
      <c r="J2800" s="88"/>
      <c r="K2800" s="230"/>
      <c r="L2800" s="88"/>
      <c r="M2800" s="88"/>
      <c r="N2800" s="88"/>
      <c r="O2800" s="88"/>
      <c r="P2800" s="88"/>
      <c r="Q2800" s="88"/>
      <c r="R2800" s="88"/>
      <c r="S2800" s="620"/>
      <c r="T2800" s="92"/>
      <c r="U2800" s="1214"/>
      <c r="V2800" s="1215"/>
      <c r="W2800" s="168"/>
      <c r="X2800" s="170"/>
    </row>
    <row r="2801" spans="1:24" ht="12.75" customHeight="1">
      <c r="A2801" s="15"/>
      <c r="B2801" s="92" t="str">
        <f t="shared" si="360"/>
        <v/>
      </c>
      <c r="C2801" s="90"/>
      <c r="D2801" s="87"/>
      <c r="E2801" s="88"/>
      <c r="F2801" s="173"/>
      <c r="G2801" s="88"/>
      <c r="H2801" s="88"/>
      <c r="I2801" s="88"/>
      <c r="J2801" s="88"/>
      <c r="K2801" s="230"/>
      <c r="L2801" s="88"/>
      <c r="M2801" s="88"/>
      <c r="N2801" s="88"/>
      <c r="O2801" s="88"/>
      <c r="P2801" s="88"/>
      <c r="Q2801" s="88"/>
      <c r="R2801" s="88"/>
      <c r="S2801" s="620"/>
      <c r="T2801" s="92"/>
      <c r="U2801" s="1214"/>
      <c r="V2801" s="1215"/>
      <c r="W2801" s="168"/>
      <c r="X2801" s="170"/>
    </row>
    <row r="2802" spans="1:24" ht="12.75" customHeight="1">
      <c r="A2802" s="15"/>
      <c r="B2802" s="92" t="str">
        <f t="shared" si="360"/>
        <v/>
      </c>
      <c r="C2802" s="90"/>
      <c r="D2802" s="87"/>
      <c r="E2802" s="88"/>
      <c r="F2802" s="173"/>
      <c r="G2802" s="88"/>
      <c r="H2802" s="88"/>
      <c r="I2802" s="88"/>
      <c r="J2802" s="88"/>
      <c r="K2802" s="230"/>
      <c r="L2802" s="88"/>
      <c r="M2802" s="88"/>
      <c r="N2802" s="88"/>
      <c r="O2802" s="88"/>
      <c r="P2802" s="88"/>
      <c r="Q2802" s="88"/>
      <c r="R2802" s="88"/>
      <c r="S2802" s="620"/>
      <c r="T2802" s="92"/>
      <c r="U2802" s="1214"/>
      <c r="V2802" s="1215"/>
      <c r="W2802" s="168"/>
      <c r="X2802" s="170"/>
    </row>
    <row r="2803" spans="1:24" ht="12.75" customHeight="1">
      <c r="A2803" s="15"/>
      <c r="B2803" s="92" t="str">
        <f t="shared" si="360"/>
        <v/>
      </c>
      <c r="C2803" s="90"/>
      <c r="D2803" s="87"/>
      <c r="E2803" s="88"/>
      <c r="F2803" s="173"/>
      <c r="G2803" s="88"/>
      <c r="H2803" s="88"/>
      <c r="I2803" s="88"/>
      <c r="J2803" s="88"/>
      <c r="K2803" s="230"/>
      <c r="L2803" s="88"/>
      <c r="M2803" s="88"/>
      <c r="N2803" s="88"/>
      <c r="O2803" s="88"/>
      <c r="P2803" s="88"/>
      <c r="Q2803" s="88"/>
      <c r="R2803" s="88"/>
      <c r="S2803" s="620"/>
      <c r="T2803" s="92"/>
      <c r="U2803" s="1214"/>
      <c r="V2803" s="1215"/>
      <c r="W2803" s="168"/>
      <c r="X2803" s="170"/>
    </row>
    <row r="2804" spans="1:24" ht="12.75" customHeight="1">
      <c r="A2804" s="15"/>
      <c r="B2804" s="92" t="str">
        <f t="shared" si="360"/>
        <v/>
      </c>
      <c r="C2804" s="90"/>
      <c r="D2804" s="87"/>
      <c r="E2804" s="88"/>
      <c r="F2804" s="173"/>
      <c r="G2804" s="88"/>
      <c r="H2804" s="88"/>
      <c r="I2804" s="88"/>
      <c r="J2804" s="88"/>
      <c r="K2804" s="230"/>
      <c r="L2804" s="88"/>
      <c r="M2804" s="88"/>
      <c r="N2804" s="88"/>
      <c r="O2804" s="88"/>
      <c r="P2804" s="88"/>
      <c r="Q2804" s="88"/>
      <c r="R2804" s="88"/>
      <c r="S2804" s="620"/>
      <c r="T2804" s="92"/>
      <c r="U2804" s="1214"/>
      <c r="V2804" s="1215"/>
      <c r="W2804" s="168"/>
      <c r="X2804" s="170"/>
    </row>
    <row r="2805" spans="1:24" ht="12.75" customHeight="1">
      <c r="A2805" s="15"/>
      <c r="B2805" s="92" t="str">
        <f t="shared" si="360"/>
        <v/>
      </c>
      <c r="C2805" s="90"/>
      <c r="D2805" s="87"/>
      <c r="E2805" s="88"/>
      <c r="F2805" s="173"/>
      <c r="G2805" s="88"/>
      <c r="H2805" s="88"/>
      <c r="I2805" s="88"/>
      <c r="J2805" s="88"/>
      <c r="K2805" s="230"/>
      <c r="L2805" s="88"/>
      <c r="M2805" s="88"/>
      <c r="N2805" s="88"/>
      <c r="O2805" s="88"/>
      <c r="P2805" s="88"/>
      <c r="Q2805" s="88"/>
      <c r="R2805" s="88"/>
      <c r="S2805" s="620"/>
      <c r="T2805" s="92"/>
      <c r="U2805" s="1214"/>
      <c r="V2805" s="1215"/>
      <c r="W2805" s="168"/>
      <c r="X2805" s="170"/>
    </row>
    <row r="2806" spans="1:24" ht="12.75" customHeight="1">
      <c r="A2806" s="15"/>
      <c r="B2806" s="92" t="str">
        <f t="shared" si="360"/>
        <v/>
      </c>
      <c r="C2806" s="90"/>
      <c r="D2806" s="87"/>
      <c r="E2806" s="88"/>
      <c r="F2806" s="173"/>
      <c r="G2806" s="88"/>
      <c r="H2806" s="88"/>
      <c r="I2806" s="88"/>
      <c r="J2806" s="88"/>
      <c r="K2806" s="230"/>
      <c r="L2806" s="88"/>
      <c r="M2806" s="88"/>
      <c r="N2806" s="88"/>
      <c r="O2806" s="88"/>
      <c r="P2806" s="88"/>
      <c r="Q2806" s="88"/>
      <c r="R2806" s="88"/>
      <c r="S2806" s="620"/>
      <c r="T2806" s="92"/>
      <c r="U2806" s="1214"/>
      <c r="V2806" s="1215"/>
      <c r="W2806" s="168"/>
      <c r="X2806" s="170"/>
    </row>
    <row r="2807" spans="1:24" ht="12.75" customHeight="1">
      <c r="A2807" s="15"/>
      <c r="B2807" s="92" t="str">
        <f t="shared" si="360"/>
        <v/>
      </c>
      <c r="C2807" s="90"/>
      <c r="D2807" s="87"/>
      <c r="E2807" s="88"/>
      <c r="F2807" s="173"/>
      <c r="G2807" s="88"/>
      <c r="H2807" s="88"/>
      <c r="I2807" s="88"/>
      <c r="J2807" s="88"/>
      <c r="K2807" s="230"/>
      <c r="L2807" s="88"/>
      <c r="M2807" s="88"/>
      <c r="N2807" s="88"/>
      <c r="O2807" s="88"/>
      <c r="P2807" s="88"/>
      <c r="Q2807" s="88"/>
      <c r="R2807" s="88"/>
      <c r="S2807" s="620"/>
      <c r="T2807" s="92"/>
      <c r="U2807" s="1214"/>
      <c r="V2807" s="1215"/>
      <c r="W2807" s="168"/>
      <c r="X2807" s="170"/>
    </row>
    <row r="2808" spans="1:24" ht="12.75" customHeight="1">
      <c r="A2808" s="15"/>
      <c r="B2808" s="92" t="str">
        <f t="shared" si="360"/>
        <v/>
      </c>
      <c r="C2808" s="90"/>
      <c r="D2808" s="87"/>
      <c r="E2808" s="88"/>
      <c r="F2808" s="173"/>
      <c r="G2808" s="88"/>
      <c r="H2808" s="88"/>
      <c r="I2808" s="88"/>
      <c r="J2808" s="88"/>
      <c r="K2808" s="230"/>
      <c r="L2808" s="88"/>
      <c r="M2808" s="88"/>
      <c r="N2808" s="88"/>
      <c r="O2808" s="88"/>
      <c r="P2808" s="88"/>
      <c r="Q2808" s="88"/>
      <c r="R2808" s="88"/>
      <c r="S2808" s="620"/>
      <c r="T2808" s="92"/>
      <c r="U2808" s="1214"/>
      <c r="V2808" s="1215"/>
      <c r="W2808" s="168"/>
      <c r="X2808" s="170"/>
    </row>
    <row r="2809" spans="1:24" ht="12.75" customHeight="1">
      <c r="A2809" s="15"/>
      <c r="B2809" s="92" t="str">
        <f t="shared" si="360"/>
        <v/>
      </c>
      <c r="C2809" s="90"/>
      <c r="D2809" s="87"/>
      <c r="E2809" s="88"/>
      <c r="F2809" s="173"/>
      <c r="G2809" s="88"/>
      <c r="H2809" s="88"/>
      <c r="I2809" s="88"/>
      <c r="J2809" s="88"/>
      <c r="K2809" s="230"/>
      <c r="L2809" s="88"/>
      <c r="M2809" s="88"/>
      <c r="N2809" s="88"/>
      <c r="O2809" s="88"/>
      <c r="P2809" s="88"/>
      <c r="Q2809" s="88"/>
      <c r="R2809" s="88"/>
      <c r="S2809" s="620"/>
      <c r="T2809" s="92"/>
      <c r="U2809" s="1214"/>
      <c r="V2809" s="1215"/>
      <c r="W2809" s="168"/>
      <c r="X2809" s="170"/>
    </row>
    <row r="2810" spans="1:24" ht="12.75" customHeight="1">
      <c r="A2810" s="15"/>
      <c r="B2810" s="92" t="str">
        <f t="shared" si="360"/>
        <v/>
      </c>
      <c r="C2810" s="90"/>
      <c r="D2810" s="87"/>
      <c r="E2810" s="88"/>
      <c r="F2810" s="173"/>
      <c r="G2810" s="88"/>
      <c r="H2810" s="88"/>
      <c r="I2810" s="88"/>
      <c r="J2810" s="88"/>
      <c r="K2810" s="230"/>
      <c r="L2810" s="88"/>
      <c r="M2810" s="88"/>
      <c r="N2810" s="88"/>
      <c r="O2810" s="88"/>
      <c r="P2810" s="88"/>
      <c r="Q2810" s="88"/>
      <c r="R2810" s="88"/>
      <c r="S2810" s="620"/>
      <c r="T2810" s="92"/>
      <c r="U2810" s="1214"/>
      <c r="V2810" s="1215"/>
      <c r="W2810" s="168"/>
      <c r="X2810" s="170"/>
    </row>
    <row r="2811" spans="1:24" ht="12.75" customHeight="1">
      <c r="A2811" s="15"/>
      <c r="B2811" s="92" t="str">
        <f t="shared" si="360"/>
        <v/>
      </c>
      <c r="C2811" s="90"/>
      <c r="D2811" s="87"/>
      <c r="E2811" s="88"/>
      <c r="F2811" s="173"/>
      <c r="G2811" s="88"/>
      <c r="H2811" s="88"/>
      <c r="I2811" s="88"/>
      <c r="J2811" s="88"/>
      <c r="K2811" s="230"/>
      <c r="L2811" s="88"/>
      <c r="M2811" s="88"/>
      <c r="N2811" s="88"/>
      <c r="O2811" s="88"/>
      <c r="P2811" s="88"/>
      <c r="Q2811" s="88"/>
      <c r="R2811" s="88"/>
      <c r="S2811" s="620"/>
      <c r="T2811" s="92"/>
      <c r="U2811" s="1214"/>
      <c r="V2811" s="1215"/>
      <c r="W2811" s="168"/>
      <c r="X2811" s="170"/>
    </row>
    <row r="2812" spans="1:24" ht="12.75" customHeight="1">
      <c r="A2812" s="15"/>
      <c r="B2812" s="92" t="str">
        <f t="shared" si="360"/>
        <v/>
      </c>
      <c r="C2812" s="90"/>
      <c r="D2812" s="87"/>
      <c r="E2812" s="88"/>
      <c r="F2812" s="173"/>
      <c r="G2812" s="88"/>
      <c r="H2812" s="88"/>
      <c r="I2812" s="88"/>
      <c r="J2812" s="88"/>
      <c r="K2812" s="230"/>
      <c r="L2812" s="88"/>
      <c r="M2812" s="88"/>
      <c r="N2812" s="88"/>
      <c r="O2812" s="88"/>
      <c r="P2812" s="88"/>
      <c r="Q2812" s="88"/>
      <c r="R2812" s="88"/>
      <c r="S2812" s="620"/>
      <c r="T2812" s="92"/>
      <c r="U2812" s="1214"/>
      <c r="V2812" s="1215"/>
      <c r="W2812" s="168"/>
      <c r="X2812" s="170"/>
    </row>
    <row r="2813" spans="1:24" ht="12.75" customHeight="1">
      <c r="A2813" s="15"/>
      <c r="B2813" s="92" t="str">
        <f t="shared" si="360"/>
        <v/>
      </c>
      <c r="C2813" s="90"/>
      <c r="D2813" s="87"/>
      <c r="E2813" s="88"/>
      <c r="F2813" s="173"/>
      <c r="G2813" s="88"/>
      <c r="H2813" s="88"/>
      <c r="I2813" s="88"/>
      <c r="J2813" s="88"/>
      <c r="K2813" s="230"/>
      <c r="L2813" s="88"/>
      <c r="M2813" s="88"/>
      <c r="N2813" s="88"/>
      <c r="O2813" s="88"/>
      <c r="P2813" s="88"/>
      <c r="Q2813" s="88"/>
      <c r="R2813" s="88"/>
      <c r="S2813" s="620"/>
      <c r="T2813" s="92"/>
      <c r="U2813" s="1214"/>
      <c r="V2813" s="1215"/>
      <c r="W2813" s="168"/>
      <c r="X2813" s="170"/>
    </row>
    <row r="2814" spans="1:24" ht="12.75" customHeight="1">
      <c r="A2814" s="15"/>
      <c r="B2814" s="92" t="str">
        <f t="shared" si="360"/>
        <v/>
      </c>
      <c r="C2814" s="90"/>
      <c r="D2814" s="87"/>
      <c r="E2814" s="88"/>
      <c r="F2814" s="173"/>
      <c r="G2814" s="88"/>
      <c r="H2814" s="88"/>
      <c r="I2814" s="88"/>
      <c r="J2814" s="88"/>
      <c r="K2814" s="230"/>
      <c r="L2814" s="88"/>
      <c r="M2814" s="88"/>
      <c r="N2814" s="88"/>
      <c r="O2814" s="88"/>
      <c r="P2814" s="88"/>
      <c r="Q2814" s="88"/>
      <c r="R2814" s="88"/>
      <c r="S2814" s="620"/>
      <c r="T2814" s="92"/>
      <c r="U2814" s="1214"/>
      <c r="V2814" s="1215"/>
      <c r="W2814" s="168"/>
      <c r="X2814" s="170"/>
    </row>
    <row r="2815" spans="1:24" ht="12.75" customHeight="1">
      <c r="A2815" s="15"/>
      <c r="B2815" s="92" t="str">
        <f t="shared" si="360"/>
        <v/>
      </c>
      <c r="C2815" s="90"/>
      <c r="D2815" s="87"/>
      <c r="E2815" s="88"/>
      <c r="F2815" s="173"/>
      <c r="G2815" s="88"/>
      <c r="H2815" s="88"/>
      <c r="I2815" s="88"/>
      <c r="J2815" s="88"/>
      <c r="K2815" s="230"/>
      <c r="L2815" s="88"/>
      <c r="M2815" s="88"/>
      <c r="N2815" s="88"/>
      <c r="O2815" s="88"/>
      <c r="P2815" s="88"/>
      <c r="Q2815" s="88"/>
      <c r="R2815" s="88"/>
      <c r="S2815" s="620"/>
      <c r="T2815" s="92"/>
      <c r="U2815" s="1214"/>
      <c r="V2815" s="1215"/>
      <c r="W2815" s="168"/>
      <c r="X2815" s="170"/>
    </row>
    <row r="2816" spans="1:24" ht="12.75" customHeight="1">
      <c r="A2816" s="15"/>
      <c r="B2816" s="92" t="str">
        <f t="shared" si="360"/>
        <v/>
      </c>
      <c r="C2816" s="90"/>
      <c r="D2816" s="87"/>
      <c r="E2816" s="88"/>
      <c r="F2816" s="173"/>
      <c r="G2816" s="88"/>
      <c r="H2816" s="88"/>
      <c r="I2816" s="88"/>
      <c r="J2816" s="88"/>
      <c r="K2816" s="230"/>
      <c r="L2816" s="88"/>
      <c r="M2816" s="88"/>
      <c r="N2816" s="88"/>
      <c r="O2816" s="88"/>
      <c r="P2816" s="88"/>
      <c r="Q2816" s="88"/>
      <c r="R2816" s="88"/>
      <c r="S2816" s="620"/>
      <c r="T2816" s="92"/>
      <c r="U2816" s="1214"/>
      <c r="V2816" s="1215"/>
      <c r="W2816" s="168"/>
      <c r="X2816" s="170"/>
    </row>
    <row r="2817" spans="1:24" ht="12.75" customHeight="1">
      <c r="A2817" s="15"/>
      <c r="B2817" s="92" t="str">
        <f t="shared" si="360"/>
        <v/>
      </c>
      <c r="C2817" s="90"/>
      <c r="D2817" s="87"/>
      <c r="E2817" s="88"/>
      <c r="F2817" s="173"/>
      <c r="G2817" s="88"/>
      <c r="H2817" s="88"/>
      <c r="I2817" s="88"/>
      <c r="J2817" s="88"/>
      <c r="K2817" s="230"/>
      <c r="L2817" s="88"/>
      <c r="M2817" s="88"/>
      <c r="N2817" s="88"/>
      <c r="O2817" s="88"/>
      <c r="P2817" s="88"/>
      <c r="Q2817" s="88"/>
      <c r="R2817" s="88"/>
      <c r="S2817" s="620"/>
      <c r="T2817" s="92"/>
      <c r="U2817" s="1214"/>
      <c r="V2817" s="1215"/>
      <c r="W2817" s="168"/>
      <c r="X2817" s="170"/>
    </row>
    <row r="2818" spans="1:24" ht="12.75" customHeight="1">
      <c r="A2818" s="15"/>
      <c r="B2818" s="92" t="str">
        <f t="shared" si="360"/>
        <v/>
      </c>
      <c r="C2818" s="90"/>
      <c r="D2818" s="87"/>
      <c r="E2818" s="88"/>
      <c r="F2818" s="173"/>
      <c r="G2818" s="88"/>
      <c r="H2818" s="88"/>
      <c r="I2818" s="88"/>
      <c r="J2818" s="88"/>
      <c r="K2818" s="230"/>
      <c r="L2818" s="88"/>
      <c r="M2818" s="88"/>
      <c r="N2818" s="88"/>
      <c r="O2818" s="88"/>
      <c r="P2818" s="88"/>
      <c r="Q2818" s="88"/>
      <c r="R2818" s="88"/>
      <c r="S2818" s="620"/>
      <c r="T2818" s="92"/>
      <c r="U2818" s="1214"/>
      <c r="V2818" s="1215"/>
      <c r="W2818" s="168"/>
      <c r="X2818" s="170"/>
    </row>
    <row r="2819" spans="1:24" ht="12.75" customHeight="1">
      <c r="A2819" s="15"/>
      <c r="B2819" s="92" t="str">
        <f t="shared" si="360"/>
        <v/>
      </c>
      <c r="C2819" s="90"/>
      <c r="D2819" s="87"/>
      <c r="E2819" s="88"/>
      <c r="F2819" s="173"/>
      <c r="G2819" s="88"/>
      <c r="H2819" s="88"/>
      <c r="I2819" s="88"/>
      <c r="J2819" s="88"/>
      <c r="K2819" s="230"/>
      <c r="L2819" s="88"/>
      <c r="M2819" s="88"/>
      <c r="N2819" s="88"/>
      <c r="O2819" s="88"/>
      <c r="P2819" s="88"/>
      <c r="Q2819" s="88"/>
      <c r="R2819" s="88"/>
      <c r="S2819" s="620"/>
      <c r="T2819" s="92"/>
      <c r="U2819" s="1214"/>
      <c r="V2819" s="1215"/>
      <c r="W2819" s="168"/>
      <c r="X2819" s="170"/>
    </row>
    <row r="2820" spans="1:24" ht="12.75" customHeight="1">
      <c r="A2820" s="15"/>
      <c r="B2820" s="92" t="str">
        <f t="shared" si="360"/>
        <v/>
      </c>
      <c r="C2820" s="90"/>
      <c r="D2820" s="87"/>
      <c r="E2820" s="88"/>
      <c r="F2820" s="173"/>
      <c r="G2820" s="88"/>
      <c r="H2820" s="88"/>
      <c r="I2820" s="88"/>
      <c r="J2820" s="88"/>
      <c r="K2820" s="230"/>
      <c r="L2820" s="88"/>
      <c r="M2820" s="88"/>
      <c r="N2820" s="88"/>
      <c r="O2820" s="88"/>
      <c r="P2820" s="88"/>
      <c r="Q2820" s="88"/>
      <c r="R2820" s="88"/>
      <c r="S2820" s="620"/>
      <c r="T2820" s="92"/>
      <c r="U2820" s="1214"/>
      <c r="V2820" s="1215"/>
      <c r="W2820" s="168"/>
      <c r="X2820" s="170"/>
    </row>
    <row r="2821" spans="1:24" ht="12.75" customHeight="1">
      <c r="A2821" s="15"/>
      <c r="B2821" s="92" t="str">
        <f t="shared" si="360"/>
        <v/>
      </c>
      <c r="C2821" s="90"/>
      <c r="D2821" s="87"/>
      <c r="E2821" s="88"/>
      <c r="F2821" s="173"/>
      <c r="G2821" s="88"/>
      <c r="H2821" s="88"/>
      <c r="I2821" s="88"/>
      <c r="J2821" s="88"/>
      <c r="K2821" s="230"/>
      <c r="L2821" s="88"/>
      <c r="M2821" s="88"/>
      <c r="N2821" s="88"/>
      <c r="O2821" s="88"/>
      <c r="P2821" s="88"/>
      <c r="Q2821" s="88"/>
      <c r="R2821" s="88"/>
      <c r="S2821" s="620"/>
      <c r="T2821" s="92"/>
      <c r="U2821" s="1214"/>
      <c r="V2821" s="1215"/>
      <c r="W2821" s="168"/>
      <c r="X2821" s="170"/>
    </row>
    <row r="2822" spans="1:24" ht="12.75" customHeight="1">
      <c r="A2822" s="15"/>
      <c r="B2822" s="92" t="str">
        <f t="shared" si="360"/>
        <v/>
      </c>
      <c r="C2822" s="90"/>
      <c r="D2822" s="87"/>
      <c r="E2822" s="88"/>
      <c r="F2822" s="173"/>
      <c r="G2822" s="88"/>
      <c r="H2822" s="88"/>
      <c r="I2822" s="88"/>
      <c r="J2822" s="88"/>
      <c r="K2822" s="230"/>
      <c r="L2822" s="88"/>
      <c r="M2822" s="88"/>
      <c r="N2822" s="88"/>
      <c r="O2822" s="88"/>
      <c r="P2822" s="88"/>
      <c r="Q2822" s="88"/>
      <c r="R2822" s="88"/>
      <c r="S2822" s="620"/>
      <c r="T2822" s="92"/>
      <c r="U2822" s="1214"/>
      <c r="V2822" s="1215"/>
      <c r="W2822" s="168"/>
      <c r="X2822" s="170"/>
    </row>
    <row r="2823" spans="1:24" ht="12.75" customHeight="1">
      <c r="A2823" s="15"/>
      <c r="B2823" s="92" t="str">
        <f t="shared" si="360"/>
        <v/>
      </c>
      <c r="C2823" s="90"/>
      <c r="D2823" s="87"/>
      <c r="E2823" s="88"/>
      <c r="F2823" s="173"/>
      <c r="G2823" s="88"/>
      <c r="H2823" s="88"/>
      <c r="I2823" s="88"/>
      <c r="J2823" s="88"/>
      <c r="K2823" s="230"/>
      <c r="L2823" s="88"/>
      <c r="M2823" s="88"/>
      <c r="N2823" s="88"/>
      <c r="O2823" s="88"/>
      <c r="P2823" s="88"/>
      <c r="Q2823" s="88"/>
      <c r="R2823" s="88"/>
      <c r="S2823" s="620"/>
      <c r="T2823" s="92"/>
      <c r="U2823" s="1214"/>
      <c r="V2823" s="1215"/>
      <c r="W2823" s="168"/>
      <c r="X2823" s="170"/>
    </row>
    <row r="2824" spans="1:24" ht="12.75" customHeight="1">
      <c r="A2824" s="15"/>
      <c r="B2824" s="92" t="str">
        <f t="shared" si="360"/>
        <v/>
      </c>
      <c r="C2824" s="90"/>
      <c r="D2824" s="87"/>
      <c r="E2824" s="88"/>
      <c r="F2824" s="173"/>
      <c r="G2824" s="88"/>
      <c r="H2824" s="88"/>
      <c r="I2824" s="88"/>
      <c r="J2824" s="88"/>
      <c r="K2824" s="230"/>
      <c r="L2824" s="88"/>
      <c r="M2824" s="88"/>
      <c r="N2824" s="88"/>
      <c r="O2824" s="88"/>
      <c r="P2824" s="88"/>
      <c r="Q2824" s="88"/>
      <c r="R2824" s="88"/>
      <c r="S2824" s="620"/>
      <c r="T2824" s="92"/>
      <c r="U2824" s="1214"/>
      <c r="V2824" s="1215"/>
      <c r="W2824" s="168"/>
      <c r="X2824" s="170"/>
    </row>
    <row r="2825" spans="1:24" ht="12.75" customHeight="1">
      <c r="A2825" s="15"/>
      <c r="B2825" s="92" t="str">
        <f t="shared" si="360"/>
        <v/>
      </c>
      <c r="C2825" s="90"/>
      <c r="D2825" s="87"/>
      <c r="E2825" s="88"/>
      <c r="F2825" s="173"/>
      <c r="G2825" s="88"/>
      <c r="H2825" s="88"/>
      <c r="I2825" s="88"/>
      <c r="J2825" s="88"/>
      <c r="K2825" s="230"/>
      <c r="L2825" s="88"/>
      <c r="M2825" s="88"/>
      <c r="N2825" s="88"/>
      <c r="O2825" s="88"/>
      <c r="P2825" s="88"/>
      <c r="Q2825" s="88"/>
      <c r="R2825" s="88"/>
      <c r="S2825" s="620"/>
      <c r="T2825" s="92"/>
      <c r="U2825" s="1214"/>
      <c r="V2825" s="1215"/>
      <c r="W2825" s="168"/>
      <c r="X2825" s="170"/>
    </row>
    <row r="2826" spans="1:24" ht="12.75" customHeight="1">
      <c r="A2826" s="15"/>
      <c r="B2826" s="92" t="str">
        <f t="shared" si="360"/>
        <v/>
      </c>
      <c r="C2826" s="90"/>
      <c r="D2826" s="87"/>
      <c r="E2826" s="88"/>
      <c r="F2826" s="173"/>
      <c r="G2826" s="88"/>
      <c r="H2826" s="88"/>
      <c r="I2826" s="88"/>
      <c r="J2826" s="88"/>
      <c r="K2826" s="230"/>
      <c r="L2826" s="88"/>
      <c r="M2826" s="88"/>
      <c r="N2826" s="88"/>
      <c r="O2826" s="88"/>
      <c r="P2826" s="88"/>
      <c r="Q2826" s="88"/>
      <c r="R2826" s="88"/>
      <c r="S2826" s="620"/>
      <c r="T2826" s="92"/>
      <c r="U2826" s="1214"/>
      <c r="V2826" s="1215"/>
      <c r="W2826" s="168"/>
      <c r="X2826" s="170"/>
    </row>
    <row r="2827" spans="1:24" ht="12.75" customHeight="1">
      <c r="A2827" s="15"/>
      <c r="B2827" s="92" t="str">
        <f t="shared" si="360"/>
        <v/>
      </c>
      <c r="C2827" s="90"/>
      <c r="D2827" s="87"/>
      <c r="E2827" s="88"/>
      <c r="F2827" s="173"/>
      <c r="G2827" s="88"/>
      <c r="H2827" s="88"/>
      <c r="I2827" s="88"/>
      <c r="J2827" s="88"/>
      <c r="K2827" s="230"/>
      <c r="L2827" s="88"/>
      <c r="M2827" s="88"/>
      <c r="N2827" s="88"/>
      <c r="O2827" s="88"/>
      <c r="P2827" s="88"/>
      <c r="Q2827" s="88"/>
      <c r="R2827" s="88"/>
      <c r="S2827" s="620"/>
      <c r="T2827" s="92"/>
      <c r="U2827" s="1214"/>
      <c r="V2827" s="1215"/>
      <c r="W2827" s="168"/>
      <c r="X2827" s="170"/>
    </row>
    <row r="2828" spans="1:24" ht="12.75" customHeight="1">
      <c r="A2828" s="15"/>
      <c r="B2828" s="92" t="str">
        <f t="shared" si="360"/>
        <v/>
      </c>
      <c r="C2828" s="90"/>
      <c r="D2828" s="87"/>
      <c r="E2828" s="88"/>
      <c r="F2828" s="173"/>
      <c r="G2828" s="88"/>
      <c r="H2828" s="88"/>
      <c r="I2828" s="88"/>
      <c r="J2828" s="88"/>
      <c r="K2828" s="230"/>
      <c r="L2828" s="88"/>
      <c r="M2828" s="88"/>
      <c r="N2828" s="88"/>
      <c r="O2828" s="88"/>
      <c r="P2828" s="88"/>
      <c r="Q2828" s="88"/>
      <c r="R2828" s="88"/>
      <c r="S2828" s="620"/>
      <c r="T2828" s="92"/>
      <c r="U2828" s="1214"/>
      <c r="V2828" s="1215"/>
      <c r="W2828" s="168"/>
      <c r="X2828" s="170"/>
    </row>
    <row r="2829" spans="1:24" ht="12.75" customHeight="1">
      <c r="A2829" s="15"/>
      <c r="B2829" s="92" t="str">
        <f t="shared" si="360"/>
        <v/>
      </c>
      <c r="C2829" s="90"/>
      <c r="D2829" s="87"/>
      <c r="E2829" s="88"/>
      <c r="F2829" s="173"/>
      <c r="G2829" s="88"/>
      <c r="H2829" s="88"/>
      <c r="I2829" s="88"/>
      <c r="J2829" s="88"/>
      <c r="K2829" s="230"/>
      <c r="L2829" s="88"/>
      <c r="M2829" s="88"/>
      <c r="N2829" s="88"/>
      <c r="O2829" s="88"/>
      <c r="P2829" s="88"/>
      <c r="Q2829" s="88"/>
      <c r="R2829" s="88"/>
      <c r="S2829" s="620"/>
      <c r="T2829" s="92"/>
      <c r="U2829" s="1214"/>
      <c r="V2829" s="1215"/>
      <c r="W2829" s="168"/>
      <c r="X2829" s="170"/>
    </row>
    <row r="2830" spans="1:24" ht="12.75" customHeight="1">
      <c r="A2830" s="15"/>
      <c r="B2830" s="92" t="str">
        <f t="shared" si="360"/>
        <v/>
      </c>
      <c r="C2830" s="90"/>
      <c r="D2830" s="87"/>
      <c r="E2830" s="88"/>
      <c r="F2830" s="173"/>
      <c r="G2830" s="88"/>
      <c r="H2830" s="88"/>
      <c r="I2830" s="88"/>
      <c r="J2830" s="88"/>
      <c r="K2830" s="230"/>
      <c r="L2830" s="88"/>
      <c r="M2830" s="88"/>
      <c r="N2830" s="88"/>
      <c r="O2830" s="88"/>
      <c r="P2830" s="88"/>
      <c r="Q2830" s="88"/>
      <c r="R2830" s="88"/>
      <c r="S2830" s="620"/>
      <c r="T2830" s="92"/>
      <c r="U2830" s="1214"/>
      <c r="V2830" s="1215"/>
      <c r="W2830" s="168"/>
      <c r="X2830" s="170"/>
    </row>
    <row r="2831" spans="1:24" ht="12.75" customHeight="1">
      <c r="A2831" s="15"/>
      <c r="B2831" s="92" t="str">
        <f t="shared" si="360"/>
        <v/>
      </c>
      <c r="C2831" s="90"/>
      <c r="D2831" s="87"/>
      <c r="E2831" s="88"/>
      <c r="F2831" s="173"/>
      <c r="G2831" s="88"/>
      <c r="H2831" s="88"/>
      <c r="I2831" s="88"/>
      <c r="J2831" s="88"/>
      <c r="K2831" s="230"/>
      <c r="L2831" s="88"/>
      <c r="M2831" s="88"/>
      <c r="N2831" s="88"/>
      <c r="O2831" s="88"/>
      <c r="P2831" s="88"/>
      <c r="Q2831" s="88"/>
      <c r="R2831" s="88"/>
      <c r="S2831" s="620"/>
      <c r="T2831" s="92"/>
      <c r="U2831" s="1214"/>
      <c r="V2831" s="1215"/>
      <c r="W2831" s="168"/>
      <c r="X2831" s="170"/>
    </row>
    <row r="2832" spans="1:24" ht="12.75" customHeight="1">
      <c r="A2832" s="15"/>
      <c r="B2832" s="92" t="str">
        <f t="shared" si="360"/>
        <v/>
      </c>
      <c r="C2832" s="90"/>
      <c r="D2832" s="87"/>
      <c r="E2832" s="88"/>
      <c r="F2832" s="173"/>
      <c r="G2832" s="88"/>
      <c r="H2832" s="88"/>
      <c r="I2832" s="88"/>
      <c r="J2832" s="88"/>
      <c r="K2832" s="230"/>
      <c r="L2832" s="88"/>
      <c r="M2832" s="88"/>
      <c r="N2832" s="88"/>
      <c r="O2832" s="88"/>
      <c r="P2832" s="88"/>
      <c r="Q2832" s="88"/>
      <c r="R2832" s="88"/>
      <c r="S2832" s="620"/>
      <c r="T2832" s="92"/>
      <c r="U2832" s="1214"/>
      <c r="V2832" s="1215"/>
      <c r="W2832" s="168"/>
      <c r="X2832" s="170"/>
    </row>
    <row r="2833" spans="1:24" ht="12.75" customHeight="1">
      <c r="A2833" s="15"/>
      <c r="B2833" s="92" t="str">
        <f t="shared" si="360"/>
        <v/>
      </c>
      <c r="C2833" s="90"/>
      <c r="D2833" s="87"/>
      <c r="E2833" s="88"/>
      <c r="F2833" s="173"/>
      <c r="G2833" s="88"/>
      <c r="H2833" s="88"/>
      <c r="I2833" s="88"/>
      <c r="J2833" s="88"/>
      <c r="K2833" s="230"/>
      <c r="L2833" s="88"/>
      <c r="M2833" s="88"/>
      <c r="N2833" s="88"/>
      <c r="O2833" s="88"/>
      <c r="P2833" s="88"/>
      <c r="Q2833" s="88"/>
      <c r="R2833" s="88"/>
      <c r="S2833" s="620"/>
      <c r="T2833" s="92"/>
      <c r="U2833" s="1214"/>
      <c r="V2833" s="1215"/>
      <c r="W2833" s="168"/>
      <c r="X2833" s="170"/>
    </row>
    <row r="2834" spans="1:24" ht="12.75" customHeight="1">
      <c r="A2834" s="15"/>
      <c r="B2834" s="92" t="str">
        <f t="shared" si="360"/>
        <v/>
      </c>
      <c r="C2834" s="90"/>
      <c r="D2834" s="87"/>
      <c r="E2834" s="88"/>
      <c r="F2834" s="173"/>
      <c r="G2834" s="88"/>
      <c r="H2834" s="88"/>
      <c r="I2834" s="88"/>
      <c r="J2834" s="88"/>
      <c r="K2834" s="230"/>
      <c r="L2834" s="88"/>
      <c r="M2834" s="88"/>
      <c r="N2834" s="88"/>
      <c r="O2834" s="88"/>
      <c r="P2834" s="88"/>
      <c r="Q2834" s="88"/>
      <c r="R2834" s="88"/>
      <c r="S2834" s="620"/>
      <c r="T2834" s="92"/>
      <c r="U2834" s="1214"/>
      <c r="V2834" s="1215"/>
      <c r="W2834" s="168"/>
      <c r="X2834" s="170"/>
    </row>
    <row r="2835" spans="1:24" ht="12.75" customHeight="1">
      <c r="A2835" s="15"/>
      <c r="B2835" s="92" t="str">
        <f t="shared" si="360"/>
        <v/>
      </c>
      <c r="C2835" s="90"/>
      <c r="D2835" s="87"/>
      <c r="E2835" s="88"/>
      <c r="F2835" s="173"/>
      <c r="G2835" s="88"/>
      <c r="H2835" s="88"/>
      <c r="I2835" s="88"/>
      <c r="J2835" s="88"/>
      <c r="K2835" s="230"/>
      <c r="L2835" s="88"/>
      <c r="M2835" s="88"/>
      <c r="N2835" s="88"/>
      <c r="O2835" s="88"/>
      <c r="P2835" s="88"/>
      <c r="Q2835" s="88"/>
      <c r="R2835" s="88"/>
      <c r="S2835" s="620"/>
      <c r="T2835" s="92"/>
      <c r="U2835" s="1214"/>
      <c r="V2835" s="1215"/>
      <c r="W2835" s="168"/>
      <c r="X2835" s="170"/>
    </row>
    <row r="2836" spans="1:24" ht="12.75" customHeight="1">
      <c r="A2836" s="15"/>
      <c r="B2836" s="92" t="str">
        <f t="shared" si="360"/>
        <v/>
      </c>
      <c r="C2836" s="90"/>
      <c r="D2836" s="87"/>
      <c r="E2836" s="88"/>
      <c r="F2836" s="173"/>
      <c r="G2836" s="88"/>
      <c r="H2836" s="88"/>
      <c r="I2836" s="88"/>
      <c r="J2836" s="88"/>
      <c r="K2836" s="230"/>
      <c r="L2836" s="88"/>
      <c r="M2836" s="88"/>
      <c r="N2836" s="88"/>
      <c r="O2836" s="88"/>
      <c r="P2836" s="88"/>
      <c r="Q2836" s="88"/>
      <c r="R2836" s="88"/>
      <c r="S2836" s="620"/>
      <c r="T2836" s="92"/>
      <c r="U2836" s="1214"/>
      <c r="V2836" s="1215"/>
      <c r="W2836" s="168"/>
      <c r="X2836" s="170"/>
    </row>
    <row r="2837" spans="1:24" ht="12.75" customHeight="1">
      <c r="A2837" s="15"/>
      <c r="B2837" s="92" t="str">
        <f t="shared" si="360"/>
        <v/>
      </c>
      <c r="C2837" s="90"/>
      <c r="D2837" s="87"/>
      <c r="E2837" s="88"/>
      <c r="F2837" s="173"/>
      <c r="G2837" s="88"/>
      <c r="H2837" s="88"/>
      <c r="I2837" s="88"/>
      <c r="J2837" s="88"/>
      <c r="K2837" s="230"/>
      <c r="L2837" s="88"/>
      <c r="M2837" s="88"/>
      <c r="N2837" s="88"/>
      <c r="O2837" s="88"/>
      <c r="P2837" s="88"/>
      <c r="Q2837" s="88"/>
      <c r="R2837" s="88"/>
      <c r="S2837" s="620"/>
      <c r="T2837" s="92"/>
      <c r="U2837" s="1214"/>
      <c r="V2837" s="1215"/>
      <c r="W2837" s="168"/>
      <c r="X2837" s="170"/>
    </row>
    <row r="2838" spans="1:24" ht="12.75" customHeight="1">
      <c r="A2838" s="15"/>
      <c r="B2838" s="92" t="str">
        <f t="shared" si="360"/>
        <v/>
      </c>
      <c r="C2838" s="90"/>
      <c r="D2838" s="87"/>
      <c r="E2838" s="88"/>
      <c r="F2838" s="173"/>
      <c r="G2838" s="88"/>
      <c r="H2838" s="88"/>
      <c r="I2838" s="88"/>
      <c r="J2838" s="88"/>
      <c r="K2838" s="230"/>
      <c r="L2838" s="88"/>
      <c r="M2838" s="88"/>
      <c r="N2838" s="88"/>
      <c r="O2838" s="88"/>
      <c r="P2838" s="88"/>
      <c r="Q2838" s="88"/>
      <c r="R2838" s="88"/>
      <c r="S2838" s="620"/>
      <c r="T2838" s="92"/>
      <c r="U2838" s="1214"/>
      <c r="V2838" s="1215"/>
      <c r="W2838" s="168"/>
      <c r="X2838" s="170"/>
    </row>
    <row r="2839" spans="1:24" ht="12.75" customHeight="1">
      <c r="A2839" s="15"/>
      <c r="B2839" s="92" t="str">
        <f t="shared" si="360"/>
        <v/>
      </c>
      <c r="C2839" s="90"/>
      <c r="D2839" s="87"/>
      <c r="E2839" s="88"/>
      <c r="F2839" s="173"/>
      <c r="G2839" s="88"/>
      <c r="H2839" s="88"/>
      <c r="I2839" s="88"/>
      <c r="J2839" s="88"/>
      <c r="K2839" s="230"/>
      <c r="L2839" s="88"/>
      <c r="M2839" s="88"/>
      <c r="N2839" s="88"/>
      <c r="O2839" s="88"/>
      <c r="P2839" s="88"/>
      <c r="Q2839" s="88"/>
      <c r="R2839" s="88"/>
      <c r="S2839" s="620"/>
      <c r="T2839" s="92"/>
      <c r="U2839" s="1214"/>
      <c r="V2839" s="1215"/>
      <c r="W2839" s="168"/>
      <c r="X2839" s="170"/>
    </row>
    <row r="2840" spans="1:24" ht="12.75" customHeight="1">
      <c r="A2840" s="15"/>
      <c r="B2840" s="92" t="str">
        <f t="shared" si="360"/>
        <v/>
      </c>
      <c r="C2840" s="90"/>
      <c r="D2840" s="87"/>
      <c r="E2840" s="88"/>
      <c r="F2840" s="173"/>
      <c r="G2840" s="88"/>
      <c r="H2840" s="88"/>
      <c r="I2840" s="88"/>
      <c r="J2840" s="88"/>
      <c r="K2840" s="230"/>
      <c r="L2840" s="88"/>
      <c r="M2840" s="88"/>
      <c r="N2840" s="88"/>
      <c r="O2840" s="88"/>
      <c r="P2840" s="88"/>
      <c r="Q2840" s="88"/>
      <c r="R2840" s="88"/>
      <c r="S2840" s="620"/>
      <c r="T2840" s="92"/>
      <c r="U2840" s="1214"/>
      <c r="V2840" s="1215"/>
      <c r="W2840" s="168"/>
      <c r="X2840" s="170"/>
    </row>
    <row r="2841" spans="1:24" ht="12.75" customHeight="1">
      <c r="A2841" s="15"/>
      <c r="B2841" s="92" t="str">
        <f t="shared" si="360"/>
        <v/>
      </c>
      <c r="C2841" s="90"/>
      <c r="D2841" s="87"/>
      <c r="E2841" s="88"/>
      <c r="F2841" s="173"/>
      <c r="G2841" s="88"/>
      <c r="H2841" s="88"/>
      <c r="I2841" s="88"/>
      <c r="J2841" s="88"/>
      <c r="K2841" s="230"/>
      <c r="L2841" s="88"/>
      <c r="M2841" s="88"/>
      <c r="N2841" s="88"/>
      <c r="O2841" s="88"/>
      <c r="P2841" s="88"/>
      <c r="Q2841" s="88"/>
      <c r="R2841" s="88"/>
      <c r="S2841" s="620"/>
      <c r="T2841" s="92"/>
      <c r="U2841" s="1214"/>
      <c r="V2841" s="1215"/>
      <c r="W2841" s="168"/>
      <c r="X2841" s="170"/>
    </row>
    <row r="2842" spans="1:24" ht="12.75" customHeight="1">
      <c r="A2842" s="15"/>
      <c r="B2842" s="92" t="str">
        <f t="shared" si="360"/>
        <v/>
      </c>
      <c r="C2842" s="90"/>
      <c r="D2842" s="87"/>
      <c r="E2842" s="88"/>
      <c r="F2842" s="173"/>
      <c r="G2842" s="88"/>
      <c r="H2842" s="88"/>
      <c r="I2842" s="88"/>
      <c r="J2842" s="88"/>
      <c r="K2842" s="230"/>
      <c r="L2842" s="88"/>
      <c r="M2842" s="88"/>
      <c r="N2842" s="88"/>
      <c r="O2842" s="88"/>
      <c r="P2842" s="88"/>
      <c r="Q2842" s="88"/>
      <c r="R2842" s="88"/>
      <c r="S2842" s="620"/>
      <c r="T2842" s="92"/>
      <c r="U2842" s="1214"/>
      <c r="V2842" s="1215"/>
      <c r="W2842" s="168"/>
      <c r="X2842" s="170"/>
    </row>
    <row r="2843" spans="1:24" ht="12.75" customHeight="1">
      <c r="A2843" s="15"/>
      <c r="B2843" s="92" t="str">
        <f t="shared" si="360"/>
        <v/>
      </c>
      <c r="C2843" s="90"/>
      <c r="D2843" s="87"/>
      <c r="E2843" s="88"/>
      <c r="F2843" s="173"/>
      <c r="G2843" s="88"/>
      <c r="H2843" s="88"/>
      <c r="I2843" s="88"/>
      <c r="J2843" s="88"/>
      <c r="K2843" s="230"/>
      <c r="L2843" s="88"/>
      <c r="M2843" s="88"/>
      <c r="N2843" s="88"/>
      <c r="O2843" s="88"/>
      <c r="P2843" s="88"/>
      <c r="Q2843" s="88"/>
      <c r="R2843" s="88"/>
      <c r="S2843" s="620"/>
      <c r="T2843" s="92"/>
      <c r="U2843" s="1214"/>
      <c r="V2843" s="1215"/>
      <c r="W2843" s="168"/>
      <c r="X2843" s="170"/>
    </row>
    <row r="2844" spans="1:24" ht="12.75" customHeight="1">
      <c r="A2844" s="15"/>
      <c r="B2844" s="92" t="str">
        <f t="shared" si="360"/>
        <v/>
      </c>
      <c r="C2844" s="90"/>
      <c r="D2844" s="87"/>
      <c r="E2844" s="88"/>
      <c r="F2844" s="173"/>
      <c r="G2844" s="88"/>
      <c r="H2844" s="88"/>
      <c r="I2844" s="88"/>
      <c r="J2844" s="88"/>
      <c r="K2844" s="230"/>
      <c r="L2844" s="88"/>
      <c r="M2844" s="88"/>
      <c r="N2844" s="88"/>
      <c r="O2844" s="88"/>
      <c r="P2844" s="88"/>
      <c r="Q2844" s="88"/>
      <c r="R2844" s="88"/>
      <c r="S2844" s="620"/>
      <c r="T2844" s="92"/>
      <c r="U2844" s="1214"/>
      <c r="V2844" s="1215"/>
      <c r="W2844" s="168"/>
      <c r="X2844" s="170"/>
    </row>
    <row r="2845" spans="1:24" ht="12.75" customHeight="1">
      <c r="A2845" s="15"/>
      <c r="B2845" s="92" t="str">
        <f t="shared" si="360"/>
        <v/>
      </c>
      <c r="C2845" s="90"/>
      <c r="D2845" s="87"/>
      <c r="E2845" s="88"/>
      <c r="F2845" s="173"/>
      <c r="G2845" s="88"/>
      <c r="H2845" s="88"/>
      <c r="I2845" s="88"/>
      <c r="J2845" s="88"/>
      <c r="K2845" s="230"/>
      <c r="L2845" s="88"/>
      <c r="M2845" s="88"/>
      <c r="N2845" s="88"/>
      <c r="O2845" s="88"/>
      <c r="P2845" s="88"/>
      <c r="Q2845" s="88"/>
      <c r="R2845" s="88"/>
      <c r="S2845" s="620"/>
      <c r="T2845" s="92"/>
      <c r="U2845" s="1214"/>
      <c r="V2845" s="1215"/>
      <c r="W2845" s="168"/>
      <c r="X2845" s="170"/>
    </row>
    <row r="2846" spans="1:24" ht="12.75" customHeight="1">
      <c r="A2846" s="15"/>
      <c r="B2846" s="92" t="str">
        <f t="shared" si="360"/>
        <v/>
      </c>
      <c r="C2846" s="90"/>
      <c r="D2846" s="87"/>
      <c r="E2846" s="88"/>
      <c r="F2846" s="173"/>
      <c r="G2846" s="88"/>
      <c r="H2846" s="88"/>
      <c r="I2846" s="88"/>
      <c r="J2846" s="88"/>
      <c r="K2846" s="230"/>
      <c r="L2846" s="88"/>
      <c r="M2846" s="88"/>
      <c r="N2846" s="88"/>
      <c r="O2846" s="88"/>
      <c r="P2846" s="88"/>
      <c r="Q2846" s="88"/>
      <c r="R2846" s="88"/>
      <c r="S2846" s="620"/>
      <c r="T2846" s="92"/>
      <c r="U2846" s="1214"/>
      <c r="V2846" s="1215"/>
      <c r="W2846" s="168"/>
      <c r="X2846" s="170"/>
    </row>
    <row r="2847" spans="1:24" ht="12.75" customHeight="1">
      <c r="A2847" s="15"/>
      <c r="B2847" s="92" t="str">
        <f t="shared" si="360"/>
        <v/>
      </c>
      <c r="C2847" s="90"/>
      <c r="D2847" s="87"/>
      <c r="E2847" s="88"/>
      <c r="F2847" s="173"/>
      <c r="G2847" s="88"/>
      <c r="H2847" s="88"/>
      <c r="I2847" s="88"/>
      <c r="J2847" s="88"/>
      <c r="K2847" s="230"/>
      <c r="L2847" s="88"/>
      <c r="M2847" s="88"/>
      <c r="N2847" s="88"/>
      <c r="O2847" s="88"/>
      <c r="P2847" s="88"/>
      <c r="Q2847" s="88"/>
      <c r="R2847" s="88"/>
      <c r="S2847" s="620"/>
      <c r="T2847" s="92"/>
      <c r="U2847" s="1214"/>
      <c r="V2847" s="1215"/>
      <c r="W2847" s="168"/>
      <c r="X2847" s="170"/>
    </row>
    <row r="2848" spans="1:24" ht="12.75" customHeight="1">
      <c r="A2848" s="15"/>
      <c r="B2848" s="92" t="str">
        <f t="shared" si="360"/>
        <v/>
      </c>
      <c r="C2848" s="90"/>
      <c r="D2848" s="87"/>
      <c r="E2848" s="88"/>
      <c r="F2848" s="173"/>
      <c r="G2848" s="88"/>
      <c r="H2848" s="88"/>
      <c r="I2848" s="88"/>
      <c r="J2848" s="88"/>
      <c r="K2848" s="230"/>
      <c r="L2848" s="88"/>
      <c r="M2848" s="88"/>
      <c r="N2848" s="88"/>
      <c r="O2848" s="88"/>
      <c r="P2848" s="88"/>
      <c r="Q2848" s="88"/>
      <c r="R2848" s="88"/>
      <c r="S2848" s="620"/>
      <c r="T2848" s="92"/>
      <c r="U2848" s="1214"/>
      <c r="V2848" s="1215"/>
      <c r="W2848" s="168"/>
      <c r="X2848" s="170"/>
    </row>
    <row r="2849" spans="1:24" ht="12.75" customHeight="1">
      <c r="A2849" s="15"/>
      <c r="B2849" s="92" t="str">
        <f t="shared" si="360"/>
        <v/>
      </c>
      <c r="C2849" s="90"/>
      <c r="D2849" s="87"/>
      <c r="E2849" s="88"/>
      <c r="F2849" s="173"/>
      <c r="G2849" s="88"/>
      <c r="H2849" s="88"/>
      <c r="I2849" s="88"/>
      <c r="J2849" s="88"/>
      <c r="K2849" s="230"/>
      <c r="L2849" s="88"/>
      <c r="M2849" s="88"/>
      <c r="N2849" s="88"/>
      <c r="O2849" s="88"/>
      <c r="P2849" s="88"/>
      <c r="Q2849" s="88"/>
      <c r="R2849" s="88"/>
      <c r="S2849" s="620"/>
      <c r="T2849" s="92"/>
      <c r="U2849" s="1214"/>
      <c r="V2849" s="1215"/>
      <c r="W2849" s="168"/>
      <c r="X2849" s="170"/>
    </row>
    <row r="2850" spans="1:24" ht="12.75" customHeight="1">
      <c r="A2850" s="15"/>
      <c r="B2850" s="92" t="str">
        <f t="shared" si="360"/>
        <v/>
      </c>
      <c r="C2850" s="90"/>
      <c r="D2850" s="87"/>
      <c r="E2850" s="88"/>
      <c r="F2850" s="173"/>
      <c r="G2850" s="88"/>
      <c r="H2850" s="88"/>
      <c r="I2850" s="88"/>
      <c r="J2850" s="88"/>
      <c r="K2850" s="230"/>
      <c r="L2850" s="88"/>
      <c r="M2850" s="88"/>
      <c r="N2850" s="88"/>
      <c r="O2850" s="88"/>
      <c r="P2850" s="88"/>
      <c r="Q2850" s="88"/>
      <c r="R2850" s="88"/>
      <c r="S2850" s="620"/>
      <c r="T2850" s="92"/>
      <c r="U2850" s="1214"/>
      <c r="V2850" s="1215"/>
      <c r="W2850" s="168"/>
      <c r="X2850" s="170"/>
    </row>
    <row r="2851" spans="1:24" ht="12.75" customHeight="1">
      <c r="A2851" s="15"/>
      <c r="B2851" s="92" t="str">
        <f t="shared" si="360"/>
        <v/>
      </c>
      <c r="C2851" s="90"/>
      <c r="D2851" s="87"/>
      <c r="E2851" s="88"/>
      <c r="F2851" s="173"/>
      <c r="G2851" s="88"/>
      <c r="H2851" s="88"/>
      <c r="I2851" s="88"/>
      <c r="J2851" s="88"/>
      <c r="K2851" s="230"/>
      <c r="L2851" s="88"/>
      <c r="M2851" s="88"/>
      <c r="N2851" s="88"/>
      <c r="O2851" s="88"/>
      <c r="P2851" s="88"/>
      <c r="Q2851" s="88"/>
      <c r="R2851" s="88"/>
      <c r="S2851" s="620"/>
      <c r="T2851" s="92"/>
      <c r="U2851" s="1214"/>
      <c r="V2851" s="1215"/>
      <c r="W2851" s="168"/>
      <c r="X2851" s="170"/>
    </row>
    <row r="2852" spans="1:24" ht="12.75" customHeight="1">
      <c r="A2852" s="15"/>
      <c r="B2852" s="92" t="str">
        <f t="shared" si="360"/>
        <v/>
      </c>
      <c r="C2852" s="90"/>
      <c r="D2852" s="87"/>
      <c r="E2852" s="88"/>
      <c r="F2852" s="173"/>
      <c r="G2852" s="88"/>
      <c r="H2852" s="88"/>
      <c r="I2852" s="88"/>
      <c r="J2852" s="88"/>
      <c r="K2852" s="230"/>
      <c r="L2852" s="88"/>
      <c r="M2852" s="88"/>
      <c r="N2852" s="88"/>
      <c r="O2852" s="88"/>
      <c r="P2852" s="88"/>
      <c r="Q2852" s="88"/>
      <c r="R2852" s="88"/>
      <c r="S2852" s="620"/>
      <c r="T2852" s="92"/>
      <c r="U2852" s="1214"/>
      <c r="V2852" s="1215"/>
      <c r="W2852" s="168"/>
      <c r="X2852" s="170"/>
    </row>
    <row r="2853" spans="1:24" ht="12.75" customHeight="1">
      <c r="A2853" s="15"/>
      <c r="B2853" s="92" t="str">
        <f t="shared" si="360"/>
        <v/>
      </c>
      <c r="C2853" s="90"/>
      <c r="D2853" s="87"/>
      <c r="E2853" s="88"/>
      <c r="F2853" s="173"/>
      <c r="G2853" s="88"/>
      <c r="H2853" s="88"/>
      <c r="I2853" s="88"/>
      <c r="J2853" s="88"/>
      <c r="K2853" s="230"/>
      <c r="L2853" s="88"/>
      <c r="M2853" s="88"/>
      <c r="N2853" s="88"/>
      <c r="O2853" s="88"/>
      <c r="P2853" s="88"/>
      <c r="Q2853" s="88"/>
      <c r="R2853" s="88"/>
      <c r="S2853" s="620"/>
      <c r="T2853" s="92"/>
      <c r="U2853" s="1214"/>
      <c r="V2853" s="1215"/>
      <c r="W2853" s="168"/>
      <c r="X2853" s="170"/>
    </row>
    <row r="2854" spans="1:24" ht="12.75" customHeight="1">
      <c r="A2854" s="15"/>
      <c r="B2854" s="92" t="str">
        <f t="shared" si="360"/>
        <v/>
      </c>
      <c r="C2854" s="90"/>
      <c r="D2854" s="87"/>
      <c r="E2854" s="88"/>
      <c r="F2854" s="173"/>
      <c r="G2854" s="88"/>
      <c r="H2854" s="88"/>
      <c r="I2854" s="88"/>
      <c r="J2854" s="88"/>
      <c r="K2854" s="230"/>
      <c r="L2854" s="88"/>
      <c r="M2854" s="88"/>
      <c r="N2854" s="88"/>
      <c r="O2854" s="88"/>
      <c r="P2854" s="88"/>
      <c r="Q2854" s="88"/>
      <c r="R2854" s="88"/>
      <c r="S2854" s="620"/>
      <c r="T2854" s="92"/>
      <c r="U2854" s="1214"/>
      <c r="V2854" s="1215"/>
      <c r="W2854" s="168"/>
      <c r="X2854" s="170"/>
    </row>
    <row r="2855" spans="1:24" ht="12.75" customHeight="1">
      <c r="A2855" s="15"/>
      <c r="B2855" s="92" t="str">
        <f t="shared" si="360"/>
        <v/>
      </c>
      <c r="C2855" s="90"/>
      <c r="D2855" s="87"/>
      <c r="E2855" s="88"/>
      <c r="F2855" s="173"/>
      <c r="G2855" s="88"/>
      <c r="H2855" s="88"/>
      <c r="I2855" s="88"/>
      <c r="J2855" s="88"/>
      <c r="K2855" s="230"/>
      <c r="L2855" s="88"/>
      <c r="M2855" s="88"/>
      <c r="N2855" s="88"/>
      <c r="O2855" s="88"/>
      <c r="P2855" s="88"/>
      <c r="Q2855" s="88"/>
      <c r="R2855" s="88"/>
      <c r="S2855" s="620"/>
      <c r="T2855" s="92"/>
      <c r="U2855" s="1214"/>
      <c r="V2855" s="1215"/>
      <c r="W2855" s="168"/>
      <c r="X2855" s="170"/>
    </row>
    <row r="2856" spans="1:24" ht="12.75" customHeight="1">
      <c r="A2856" s="15"/>
      <c r="B2856" s="92" t="str">
        <f t="shared" si="360"/>
        <v/>
      </c>
      <c r="C2856" s="90"/>
      <c r="D2856" s="87"/>
      <c r="E2856" s="88"/>
      <c r="F2856" s="173"/>
      <c r="G2856" s="88"/>
      <c r="H2856" s="88"/>
      <c r="I2856" s="88"/>
      <c r="J2856" s="88"/>
      <c r="K2856" s="230"/>
      <c r="L2856" s="88"/>
      <c r="M2856" s="88"/>
      <c r="N2856" s="88"/>
      <c r="O2856" s="88"/>
      <c r="P2856" s="88"/>
      <c r="Q2856" s="88"/>
      <c r="R2856" s="88"/>
      <c r="S2856" s="620"/>
      <c r="T2856" s="92"/>
      <c r="U2856" s="1214"/>
      <c r="V2856" s="1215"/>
      <c r="W2856" s="168"/>
      <c r="X2856" s="170"/>
    </row>
    <row r="2857" spans="1:24" ht="12.75" customHeight="1">
      <c r="A2857" s="15"/>
      <c r="B2857" s="92" t="str">
        <f t="shared" si="360"/>
        <v/>
      </c>
      <c r="C2857" s="90"/>
      <c r="D2857" s="87"/>
      <c r="E2857" s="88"/>
      <c r="F2857" s="173"/>
      <c r="G2857" s="88"/>
      <c r="H2857" s="88"/>
      <c r="I2857" s="88"/>
      <c r="J2857" s="88"/>
      <c r="K2857" s="230"/>
      <c r="L2857" s="88"/>
      <c r="M2857" s="88"/>
      <c r="N2857" s="88"/>
      <c r="O2857" s="88"/>
      <c r="P2857" s="88"/>
      <c r="Q2857" s="88"/>
      <c r="R2857" s="88"/>
      <c r="S2857" s="620"/>
      <c r="T2857" s="92"/>
      <c r="U2857" s="1214"/>
      <c r="V2857" s="1215"/>
      <c r="W2857" s="168"/>
      <c r="X2857" s="170"/>
    </row>
    <row r="2858" spans="1:24" ht="12.75" customHeight="1">
      <c r="A2858" s="15"/>
      <c r="B2858" s="92" t="str">
        <f t="shared" si="360"/>
        <v/>
      </c>
      <c r="C2858" s="90"/>
      <c r="D2858" s="87"/>
      <c r="E2858" s="88"/>
      <c r="F2858" s="173"/>
      <c r="G2858" s="88"/>
      <c r="H2858" s="88"/>
      <c r="I2858" s="88"/>
      <c r="J2858" s="88"/>
      <c r="K2858" s="230"/>
      <c r="L2858" s="88"/>
      <c r="M2858" s="88"/>
      <c r="N2858" s="88"/>
      <c r="O2858" s="88"/>
      <c r="P2858" s="88"/>
      <c r="Q2858" s="88"/>
      <c r="R2858" s="88"/>
      <c r="S2858" s="620"/>
      <c r="T2858" s="92"/>
      <c r="U2858" s="1214"/>
      <c r="V2858" s="1215"/>
      <c r="W2858" s="168"/>
      <c r="X2858" s="170"/>
    </row>
    <row r="2859" spans="1:24" ht="12.75" customHeight="1">
      <c r="A2859" s="15"/>
      <c r="B2859" s="92" t="str">
        <f t="shared" si="360"/>
        <v/>
      </c>
      <c r="C2859" s="90"/>
      <c r="D2859" s="87"/>
      <c r="E2859" s="88"/>
      <c r="F2859" s="173"/>
      <c r="G2859" s="88"/>
      <c r="H2859" s="88"/>
      <c r="I2859" s="88"/>
      <c r="J2859" s="88"/>
      <c r="K2859" s="230"/>
      <c r="L2859" s="88"/>
      <c r="M2859" s="88"/>
      <c r="N2859" s="88"/>
      <c r="O2859" s="88"/>
      <c r="P2859" s="88"/>
      <c r="Q2859" s="88"/>
      <c r="R2859" s="88"/>
      <c r="S2859" s="620"/>
      <c r="T2859" s="92"/>
      <c r="U2859" s="1214"/>
      <c r="V2859" s="1215"/>
      <c r="W2859" s="168"/>
      <c r="X2859" s="170"/>
    </row>
    <row r="2860" spans="1:24" ht="12.75" customHeight="1">
      <c r="A2860" s="15"/>
      <c r="B2860" s="92" t="str">
        <f t="shared" si="360"/>
        <v/>
      </c>
      <c r="C2860" s="90"/>
      <c r="D2860" s="87"/>
      <c r="E2860" s="88"/>
      <c r="F2860" s="173"/>
      <c r="G2860" s="88"/>
      <c r="H2860" s="88"/>
      <c r="I2860" s="88"/>
      <c r="J2860" s="88"/>
      <c r="K2860" s="230"/>
      <c r="L2860" s="88"/>
      <c r="M2860" s="88"/>
      <c r="N2860" s="88"/>
      <c r="O2860" s="88"/>
      <c r="P2860" s="88"/>
      <c r="Q2860" s="88"/>
      <c r="R2860" s="88"/>
      <c r="S2860" s="620"/>
      <c r="T2860" s="92"/>
      <c r="U2860" s="1214"/>
      <c r="V2860" s="1215"/>
      <c r="W2860" s="168"/>
      <c r="X2860" s="170"/>
    </row>
    <row r="2861" spans="1:24" ht="12.75" customHeight="1">
      <c r="A2861" s="15"/>
      <c r="B2861" s="92" t="str">
        <f t="shared" si="360"/>
        <v/>
      </c>
      <c r="C2861" s="90"/>
      <c r="D2861" s="87"/>
      <c r="E2861" s="88"/>
      <c r="F2861" s="173"/>
      <c r="G2861" s="88"/>
      <c r="H2861" s="88"/>
      <c r="I2861" s="88"/>
      <c r="J2861" s="88"/>
      <c r="K2861" s="230"/>
      <c r="L2861" s="88"/>
      <c r="M2861" s="88"/>
      <c r="N2861" s="88"/>
      <c r="O2861" s="88"/>
      <c r="P2861" s="88"/>
      <c r="Q2861" s="88"/>
      <c r="R2861" s="88"/>
      <c r="S2861" s="620"/>
      <c r="T2861" s="92"/>
      <c r="U2861" s="1214"/>
      <c r="V2861" s="1215"/>
      <c r="W2861" s="168"/>
      <c r="X2861" s="170"/>
    </row>
    <row r="2862" spans="1:24" ht="12.75" customHeight="1">
      <c r="A2862" s="15"/>
      <c r="B2862" s="92" t="str">
        <f t="shared" si="360"/>
        <v/>
      </c>
      <c r="C2862" s="90"/>
      <c r="D2862" s="87"/>
      <c r="E2862" s="88"/>
      <c r="F2862" s="173"/>
      <c r="G2862" s="88"/>
      <c r="H2862" s="88"/>
      <c r="I2862" s="88"/>
      <c r="J2862" s="88"/>
      <c r="K2862" s="230"/>
      <c r="L2862" s="88"/>
      <c r="M2862" s="88"/>
      <c r="N2862" s="88"/>
      <c r="O2862" s="88"/>
      <c r="P2862" s="88"/>
      <c r="Q2862" s="88"/>
      <c r="R2862" s="88"/>
      <c r="S2862" s="620"/>
      <c r="T2862" s="92"/>
      <c r="U2862" s="1214"/>
      <c r="V2862" s="1215"/>
      <c r="W2862" s="168"/>
      <c r="X2862" s="170"/>
    </row>
    <row r="2863" spans="1:24" ht="12.75" customHeight="1">
      <c r="A2863" s="15"/>
      <c r="B2863" s="92" t="str">
        <f t="shared" ref="B2863:B2926" si="361">IF(C2863="","",ROW()-5)</f>
        <v/>
      </c>
      <c r="C2863" s="90"/>
      <c r="D2863" s="87"/>
      <c r="E2863" s="88"/>
      <c r="F2863" s="173"/>
      <c r="G2863" s="88"/>
      <c r="H2863" s="88"/>
      <c r="I2863" s="88"/>
      <c r="J2863" s="88"/>
      <c r="K2863" s="230"/>
      <c r="L2863" s="88"/>
      <c r="M2863" s="88"/>
      <c r="N2863" s="88"/>
      <c r="O2863" s="88"/>
      <c r="P2863" s="88"/>
      <c r="Q2863" s="88"/>
      <c r="R2863" s="88"/>
      <c r="S2863" s="620"/>
      <c r="T2863" s="92"/>
      <c r="U2863" s="1214"/>
      <c r="V2863" s="1215"/>
      <c r="W2863" s="168"/>
      <c r="X2863" s="170"/>
    </row>
    <row r="2864" spans="1:24" ht="12.75" customHeight="1">
      <c r="A2864" s="15"/>
      <c r="B2864" s="92" t="str">
        <f t="shared" si="361"/>
        <v/>
      </c>
      <c r="C2864" s="90"/>
      <c r="D2864" s="87"/>
      <c r="E2864" s="88"/>
      <c r="F2864" s="173"/>
      <c r="G2864" s="88"/>
      <c r="H2864" s="88"/>
      <c r="I2864" s="88"/>
      <c r="J2864" s="88"/>
      <c r="K2864" s="230"/>
      <c r="L2864" s="88"/>
      <c r="M2864" s="88"/>
      <c r="N2864" s="88"/>
      <c r="O2864" s="88"/>
      <c r="P2864" s="88"/>
      <c r="Q2864" s="88"/>
      <c r="R2864" s="88"/>
      <c r="S2864" s="620"/>
      <c r="T2864" s="92"/>
      <c r="U2864" s="1214"/>
      <c r="V2864" s="1215"/>
      <c r="W2864" s="168"/>
      <c r="X2864" s="170"/>
    </row>
    <row r="2865" spans="1:24" ht="12.75" customHeight="1">
      <c r="A2865" s="15"/>
      <c r="B2865" s="92" t="str">
        <f t="shared" si="361"/>
        <v/>
      </c>
      <c r="C2865" s="90"/>
      <c r="D2865" s="87"/>
      <c r="E2865" s="88"/>
      <c r="F2865" s="173"/>
      <c r="G2865" s="88"/>
      <c r="H2865" s="88"/>
      <c r="I2865" s="88"/>
      <c r="J2865" s="88"/>
      <c r="K2865" s="230"/>
      <c r="L2865" s="88"/>
      <c r="M2865" s="88"/>
      <c r="N2865" s="88"/>
      <c r="O2865" s="88"/>
      <c r="P2865" s="88"/>
      <c r="Q2865" s="88"/>
      <c r="R2865" s="88"/>
      <c r="S2865" s="620"/>
      <c r="T2865" s="92"/>
      <c r="U2865" s="1214"/>
      <c r="V2865" s="1215"/>
      <c r="W2865" s="168"/>
      <c r="X2865" s="170"/>
    </row>
    <row r="2866" spans="1:24" ht="12.75" customHeight="1">
      <c r="A2866" s="15"/>
      <c r="B2866" s="92" t="str">
        <f t="shared" si="361"/>
        <v/>
      </c>
      <c r="C2866" s="90"/>
      <c r="D2866" s="87"/>
      <c r="E2866" s="88"/>
      <c r="F2866" s="173"/>
      <c r="G2866" s="88"/>
      <c r="H2866" s="88"/>
      <c r="I2866" s="88"/>
      <c r="J2866" s="88"/>
      <c r="K2866" s="230"/>
      <c r="L2866" s="88"/>
      <c r="M2866" s="88"/>
      <c r="N2866" s="88"/>
      <c r="O2866" s="88"/>
      <c r="P2866" s="88"/>
      <c r="Q2866" s="88"/>
      <c r="R2866" s="88"/>
      <c r="S2866" s="620"/>
      <c r="T2866" s="92"/>
      <c r="U2866" s="1214"/>
      <c r="V2866" s="1215"/>
      <c r="W2866" s="168"/>
      <c r="X2866" s="170"/>
    </row>
    <row r="2867" spans="1:24" ht="12.75" customHeight="1">
      <c r="A2867" s="15"/>
      <c r="B2867" s="92" t="str">
        <f t="shared" si="361"/>
        <v/>
      </c>
      <c r="C2867" s="90"/>
      <c r="D2867" s="87"/>
      <c r="E2867" s="88"/>
      <c r="F2867" s="173"/>
      <c r="G2867" s="88"/>
      <c r="H2867" s="88"/>
      <c r="I2867" s="88"/>
      <c r="J2867" s="88"/>
      <c r="K2867" s="230"/>
      <c r="L2867" s="88"/>
      <c r="M2867" s="88"/>
      <c r="N2867" s="88"/>
      <c r="O2867" s="88"/>
      <c r="P2867" s="88"/>
      <c r="Q2867" s="88"/>
      <c r="R2867" s="88"/>
      <c r="S2867" s="620"/>
      <c r="T2867" s="92"/>
      <c r="U2867" s="1214"/>
      <c r="V2867" s="1215"/>
      <c r="W2867" s="168"/>
      <c r="X2867" s="170"/>
    </row>
    <row r="2868" spans="1:24" ht="12.75" customHeight="1">
      <c r="A2868" s="15"/>
      <c r="B2868" s="92" t="str">
        <f t="shared" si="361"/>
        <v/>
      </c>
      <c r="C2868" s="90"/>
      <c r="D2868" s="87"/>
      <c r="E2868" s="88"/>
      <c r="F2868" s="173"/>
      <c r="G2868" s="88"/>
      <c r="H2868" s="88"/>
      <c r="I2868" s="88"/>
      <c r="J2868" s="88"/>
      <c r="K2868" s="230"/>
      <c r="L2868" s="88"/>
      <c r="M2868" s="88"/>
      <c r="N2868" s="88"/>
      <c r="O2868" s="88"/>
      <c r="P2868" s="88"/>
      <c r="Q2868" s="88"/>
      <c r="R2868" s="88"/>
      <c r="S2868" s="620"/>
      <c r="T2868" s="92"/>
      <c r="U2868" s="1214"/>
      <c r="V2868" s="1215"/>
      <c r="W2868" s="168"/>
      <c r="X2868" s="170"/>
    </row>
    <row r="2869" spans="1:24" ht="12.75" customHeight="1">
      <c r="A2869" s="15"/>
      <c r="B2869" s="92" t="str">
        <f t="shared" si="361"/>
        <v/>
      </c>
      <c r="C2869" s="90"/>
      <c r="D2869" s="87"/>
      <c r="E2869" s="88"/>
      <c r="F2869" s="173"/>
      <c r="G2869" s="88"/>
      <c r="H2869" s="88"/>
      <c r="I2869" s="88"/>
      <c r="J2869" s="88"/>
      <c r="K2869" s="230"/>
      <c r="L2869" s="88"/>
      <c r="M2869" s="88"/>
      <c r="N2869" s="88"/>
      <c r="O2869" s="88"/>
      <c r="P2869" s="88"/>
      <c r="Q2869" s="88"/>
      <c r="R2869" s="88"/>
      <c r="S2869" s="620"/>
      <c r="T2869" s="92"/>
      <c r="U2869" s="1214"/>
      <c r="V2869" s="1215"/>
      <c r="W2869" s="168"/>
      <c r="X2869" s="170"/>
    </row>
    <row r="2870" spans="1:24" ht="12.75" customHeight="1">
      <c r="A2870" s="15"/>
      <c r="B2870" s="92" t="str">
        <f t="shared" si="361"/>
        <v/>
      </c>
      <c r="C2870" s="90"/>
      <c r="D2870" s="87"/>
      <c r="E2870" s="88"/>
      <c r="F2870" s="173"/>
      <c r="G2870" s="88"/>
      <c r="H2870" s="88"/>
      <c r="I2870" s="88"/>
      <c r="J2870" s="88"/>
      <c r="K2870" s="230"/>
      <c r="L2870" s="88"/>
      <c r="M2870" s="88"/>
      <c r="N2870" s="88"/>
      <c r="O2870" s="88"/>
      <c r="P2870" s="88"/>
      <c r="Q2870" s="88"/>
      <c r="R2870" s="88"/>
      <c r="S2870" s="620"/>
      <c r="T2870" s="92"/>
      <c r="U2870" s="1214"/>
      <c r="V2870" s="1215"/>
      <c r="W2870" s="168"/>
      <c r="X2870" s="170"/>
    </row>
    <row r="2871" spans="1:24" ht="12.75" customHeight="1">
      <c r="A2871" s="15"/>
      <c r="B2871" s="92" t="str">
        <f t="shared" si="361"/>
        <v/>
      </c>
      <c r="C2871" s="90"/>
      <c r="D2871" s="87"/>
      <c r="E2871" s="88"/>
      <c r="F2871" s="173"/>
      <c r="G2871" s="88"/>
      <c r="H2871" s="88"/>
      <c r="I2871" s="88"/>
      <c r="J2871" s="88"/>
      <c r="K2871" s="230"/>
      <c r="L2871" s="88"/>
      <c r="M2871" s="88"/>
      <c r="N2871" s="88"/>
      <c r="O2871" s="88"/>
      <c r="P2871" s="88"/>
      <c r="Q2871" s="88"/>
      <c r="R2871" s="88"/>
      <c r="S2871" s="620"/>
      <c r="T2871" s="92"/>
      <c r="U2871" s="1214"/>
      <c r="V2871" s="1215"/>
      <c r="W2871" s="168"/>
      <c r="X2871" s="170"/>
    </row>
    <row r="2872" spans="1:24" ht="12.75" customHeight="1">
      <c r="A2872" s="15"/>
      <c r="B2872" s="92" t="str">
        <f t="shared" si="361"/>
        <v/>
      </c>
      <c r="C2872" s="90"/>
      <c r="D2872" s="87"/>
      <c r="E2872" s="88"/>
      <c r="F2872" s="173"/>
      <c r="G2872" s="88"/>
      <c r="H2872" s="88"/>
      <c r="I2872" s="88"/>
      <c r="J2872" s="88"/>
      <c r="K2872" s="230"/>
      <c r="L2872" s="88"/>
      <c r="M2872" s="88"/>
      <c r="N2872" s="88"/>
      <c r="O2872" s="88"/>
      <c r="P2872" s="88"/>
      <c r="Q2872" s="88"/>
      <c r="R2872" s="88"/>
      <c r="S2872" s="620"/>
      <c r="T2872" s="92"/>
      <c r="U2872" s="1214"/>
      <c r="V2872" s="1215"/>
      <c r="W2872" s="168"/>
      <c r="X2872" s="170"/>
    </row>
    <row r="2873" spans="1:24" ht="12.75" customHeight="1">
      <c r="A2873" s="15"/>
      <c r="B2873" s="92" t="str">
        <f t="shared" si="361"/>
        <v/>
      </c>
      <c r="C2873" s="90"/>
      <c r="D2873" s="87"/>
      <c r="E2873" s="88"/>
      <c r="F2873" s="173"/>
      <c r="G2873" s="88"/>
      <c r="H2873" s="88"/>
      <c r="I2873" s="88"/>
      <c r="J2873" s="88"/>
      <c r="K2873" s="230"/>
      <c r="L2873" s="88"/>
      <c r="M2873" s="88"/>
      <c r="N2873" s="88"/>
      <c r="O2873" s="88"/>
      <c r="P2873" s="88"/>
      <c r="Q2873" s="88"/>
      <c r="R2873" s="88"/>
      <c r="S2873" s="620"/>
      <c r="T2873" s="92"/>
      <c r="U2873" s="1214"/>
      <c r="V2873" s="1215"/>
      <c r="W2873" s="168"/>
      <c r="X2873" s="170"/>
    </row>
    <row r="2874" spans="1:24" ht="12.75" customHeight="1">
      <c r="A2874" s="15"/>
      <c r="B2874" s="92" t="str">
        <f t="shared" si="361"/>
        <v/>
      </c>
      <c r="C2874" s="90"/>
      <c r="D2874" s="87"/>
      <c r="E2874" s="88"/>
      <c r="F2874" s="173"/>
      <c r="G2874" s="88"/>
      <c r="H2874" s="88"/>
      <c r="I2874" s="88"/>
      <c r="J2874" s="88"/>
      <c r="K2874" s="230"/>
      <c r="L2874" s="88"/>
      <c r="M2874" s="88"/>
      <c r="N2874" s="88"/>
      <c r="O2874" s="88"/>
      <c r="P2874" s="88"/>
      <c r="Q2874" s="88"/>
      <c r="R2874" s="88"/>
      <c r="S2874" s="620"/>
      <c r="T2874" s="92"/>
      <c r="U2874" s="1214"/>
      <c r="V2874" s="1215"/>
      <c r="W2874" s="168"/>
      <c r="X2874" s="170"/>
    </row>
    <row r="2875" spans="1:24" ht="12.75" customHeight="1">
      <c r="A2875" s="15"/>
      <c r="B2875" s="92" t="str">
        <f t="shared" si="361"/>
        <v/>
      </c>
      <c r="C2875" s="90"/>
      <c r="D2875" s="87"/>
      <c r="E2875" s="88"/>
      <c r="F2875" s="173"/>
      <c r="G2875" s="88"/>
      <c r="H2875" s="88"/>
      <c r="I2875" s="88"/>
      <c r="J2875" s="88"/>
      <c r="K2875" s="230"/>
      <c r="L2875" s="88"/>
      <c r="M2875" s="88"/>
      <c r="N2875" s="88"/>
      <c r="O2875" s="88"/>
      <c r="P2875" s="88"/>
      <c r="Q2875" s="88"/>
      <c r="R2875" s="88"/>
      <c r="S2875" s="620"/>
      <c r="T2875" s="92"/>
      <c r="U2875" s="1214"/>
      <c r="V2875" s="1215"/>
      <c r="W2875" s="168"/>
      <c r="X2875" s="170"/>
    </row>
    <row r="2876" spans="1:24" ht="12.75" customHeight="1">
      <c r="A2876" s="15"/>
      <c r="B2876" s="92" t="str">
        <f t="shared" si="361"/>
        <v/>
      </c>
      <c r="C2876" s="90"/>
      <c r="D2876" s="87"/>
      <c r="E2876" s="88"/>
      <c r="F2876" s="173"/>
      <c r="G2876" s="88"/>
      <c r="H2876" s="88"/>
      <c r="I2876" s="88"/>
      <c r="J2876" s="88"/>
      <c r="K2876" s="230"/>
      <c r="L2876" s="88"/>
      <c r="M2876" s="88"/>
      <c r="N2876" s="88"/>
      <c r="O2876" s="88"/>
      <c r="P2876" s="88"/>
      <c r="Q2876" s="88"/>
      <c r="R2876" s="88"/>
      <c r="S2876" s="620"/>
      <c r="T2876" s="92"/>
      <c r="U2876" s="1214"/>
      <c r="V2876" s="1215"/>
      <c r="W2876" s="168"/>
      <c r="X2876" s="170"/>
    </row>
    <row r="2877" spans="1:24" ht="12.75" customHeight="1">
      <c r="A2877" s="15"/>
      <c r="B2877" s="92" t="str">
        <f t="shared" si="361"/>
        <v/>
      </c>
      <c r="C2877" s="90"/>
      <c r="D2877" s="87"/>
      <c r="E2877" s="88"/>
      <c r="F2877" s="173"/>
      <c r="G2877" s="88"/>
      <c r="H2877" s="88"/>
      <c r="I2877" s="88"/>
      <c r="J2877" s="88"/>
      <c r="K2877" s="230"/>
      <c r="L2877" s="88"/>
      <c r="M2877" s="88"/>
      <c r="N2877" s="88"/>
      <c r="O2877" s="88"/>
      <c r="P2877" s="88"/>
      <c r="Q2877" s="88"/>
      <c r="R2877" s="88"/>
      <c r="S2877" s="620"/>
      <c r="T2877" s="92"/>
      <c r="U2877" s="1214"/>
      <c r="V2877" s="1215"/>
      <c r="W2877" s="168"/>
      <c r="X2877" s="170"/>
    </row>
    <row r="2878" spans="1:24" ht="12.75" customHeight="1">
      <c r="A2878" s="15"/>
      <c r="B2878" s="92" t="str">
        <f t="shared" si="361"/>
        <v/>
      </c>
      <c r="C2878" s="90"/>
      <c r="D2878" s="87"/>
      <c r="E2878" s="88"/>
      <c r="F2878" s="173"/>
      <c r="G2878" s="88"/>
      <c r="H2878" s="88"/>
      <c r="I2878" s="88"/>
      <c r="J2878" s="88"/>
      <c r="K2878" s="230"/>
      <c r="L2878" s="88"/>
      <c r="M2878" s="88"/>
      <c r="N2878" s="88"/>
      <c r="O2878" s="88"/>
      <c r="P2878" s="88"/>
      <c r="Q2878" s="88"/>
      <c r="R2878" s="88"/>
      <c r="S2878" s="620"/>
      <c r="T2878" s="92"/>
      <c r="U2878" s="1214"/>
      <c r="V2878" s="1215"/>
      <c r="W2878" s="168"/>
      <c r="X2878" s="170"/>
    </row>
    <row r="2879" spans="1:24" ht="12.75" customHeight="1">
      <c r="A2879" s="15"/>
      <c r="B2879" s="92" t="str">
        <f t="shared" si="361"/>
        <v/>
      </c>
      <c r="C2879" s="90"/>
      <c r="D2879" s="87"/>
      <c r="E2879" s="88"/>
      <c r="F2879" s="173"/>
      <c r="G2879" s="88"/>
      <c r="H2879" s="88"/>
      <c r="I2879" s="88"/>
      <c r="J2879" s="88"/>
      <c r="K2879" s="230"/>
      <c r="L2879" s="88"/>
      <c r="M2879" s="88"/>
      <c r="N2879" s="88"/>
      <c r="O2879" s="88"/>
      <c r="P2879" s="88"/>
      <c r="Q2879" s="88"/>
      <c r="R2879" s="88"/>
      <c r="S2879" s="620"/>
      <c r="T2879" s="92"/>
      <c r="U2879" s="1214"/>
      <c r="V2879" s="1215"/>
      <c r="W2879" s="168"/>
      <c r="X2879" s="170"/>
    </row>
    <row r="2880" spans="1:24" ht="12.75" customHeight="1">
      <c r="A2880" s="15"/>
      <c r="B2880" s="92" t="str">
        <f t="shared" si="361"/>
        <v/>
      </c>
      <c r="C2880" s="90"/>
      <c r="D2880" s="87"/>
      <c r="E2880" s="88"/>
      <c r="F2880" s="173"/>
      <c r="G2880" s="88"/>
      <c r="H2880" s="88"/>
      <c r="I2880" s="88"/>
      <c r="J2880" s="88"/>
      <c r="K2880" s="230"/>
      <c r="L2880" s="88"/>
      <c r="M2880" s="88"/>
      <c r="N2880" s="88"/>
      <c r="O2880" s="88"/>
      <c r="P2880" s="88"/>
      <c r="Q2880" s="88"/>
      <c r="R2880" s="88"/>
      <c r="S2880" s="620"/>
      <c r="T2880" s="92"/>
      <c r="U2880" s="1214"/>
      <c r="V2880" s="1215"/>
      <c r="W2880" s="168"/>
      <c r="X2880" s="170"/>
    </row>
    <row r="2881" spans="1:24" ht="12.75" customHeight="1">
      <c r="A2881" s="15"/>
      <c r="B2881" s="92" t="str">
        <f t="shared" si="361"/>
        <v/>
      </c>
      <c r="C2881" s="90"/>
      <c r="D2881" s="87"/>
      <c r="E2881" s="88"/>
      <c r="F2881" s="173"/>
      <c r="G2881" s="88"/>
      <c r="H2881" s="88"/>
      <c r="I2881" s="88"/>
      <c r="J2881" s="88"/>
      <c r="K2881" s="230"/>
      <c r="L2881" s="88"/>
      <c r="M2881" s="88"/>
      <c r="N2881" s="88"/>
      <c r="O2881" s="88"/>
      <c r="P2881" s="88"/>
      <c r="Q2881" s="88"/>
      <c r="R2881" s="88"/>
      <c r="S2881" s="620"/>
      <c r="T2881" s="92"/>
      <c r="U2881" s="1214"/>
      <c r="V2881" s="1215"/>
      <c r="W2881" s="168"/>
      <c r="X2881" s="170"/>
    </row>
    <row r="2882" spans="1:24" ht="12.75" customHeight="1">
      <c r="A2882" s="15"/>
      <c r="B2882" s="92" t="str">
        <f t="shared" si="361"/>
        <v/>
      </c>
      <c r="C2882" s="90"/>
      <c r="D2882" s="87"/>
      <c r="E2882" s="88"/>
      <c r="F2882" s="173"/>
      <c r="G2882" s="88"/>
      <c r="H2882" s="88"/>
      <c r="I2882" s="88"/>
      <c r="J2882" s="88"/>
      <c r="K2882" s="230"/>
      <c r="L2882" s="88"/>
      <c r="M2882" s="88"/>
      <c r="N2882" s="88"/>
      <c r="O2882" s="88"/>
      <c r="P2882" s="88"/>
      <c r="Q2882" s="88"/>
      <c r="R2882" s="88"/>
      <c r="S2882" s="620"/>
      <c r="T2882" s="92"/>
      <c r="U2882" s="1214"/>
      <c r="V2882" s="1215"/>
      <c r="W2882" s="168"/>
      <c r="X2882" s="170"/>
    </row>
    <row r="2883" spans="1:24" ht="12.75" customHeight="1">
      <c r="A2883" s="15"/>
      <c r="B2883" s="92" t="str">
        <f t="shared" si="361"/>
        <v/>
      </c>
      <c r="C2883" s="90"/>
      <c r="D2883" s="87"/>
      <c r="E2883" s="88"/>
      <c r="F2883" s="173"/>
      <c r="G2883" s="88"/>
      <c r="H2883" s="88"/>
      <c r="I2883" s="88"/>
      <c r="J2883" s="88"/>
      <c r="K2883" s="230"/>
      <c r="L2883" s="88"/>
      <c r="M2883" s="88"/>
      <c r="N2883" s="88"/>
      <c r="O2883" s="88"/>
      <c r="P2883" s="88"/>
      <c r="Q2883" s="88"/>
      <c r="R2883" s="88"/>
      <c r="S2883" s="620"/>
      <c r="T2883" s="92"/>
      <c r="U2883" s="1214"/>
      <c r="V2883" s="1215"/>
      <c r="W2883" s="168"/>
      <c r="X2883" s="170"/>
    </row>
    <row r="2884" spans="1:24" ht="12.75" customHeight="1">
      <c r="A2884" s="15"/>
      <c r="B2884" s="92" t="str">
        <f t="shared" si="361"/>
        <v/>
      </c>
      <c r="C2884" s="90"/>
      <c r="D2884" s="87"/>
      <c r="E2884" s="88"/>
      <c r="F2884" s="173"/>
      <c r="G2884" s="88"/>
      <c r="H2884" s="88"/>
      <c r="I2884" s="88"/>
      <c r="J2884" s="88"/>
      <c r="K2884" s="230"/>
      <c r="L2884" s="88"/>
      <c r="M2884" s="88"/>
      <c r="N2884" s="88"/>
      <c r="O2884" s="88"/>
      <c r="P2884" s="88"/>
      <c r="Q2884" s="88"/>
      <c r="R2884" s="88"/>
      <c r="S2884" s="620"/>
      <c r="T2884" s="92"/>
      <c r="U2884" s="1214"/>
      <c r="V2884" s="1215"/>
      <c r="W2884" s="168"/>
      <c r="X2884" s="170"/>
    </row>
    <row r="2885" spans="1:24" ht="12.75" customHeight="1">
      <c r="A2885" s="15"/>
      <c r="B2885" s="92" t="str">
        <f t="shared" si="361"/>
        <v/>
      </c>
      <c r="C2885" s="90"/>
      <c r="D2885" s="87"/>
      <c r="E2885" s="88"/>
      <c r="F2885" s="173"/>
      <c r="G2885" s="88"/>
      <c r="H2885" s="88"/>
      <c r="I2885" s="88"/>
      <c r="J2885" s="88"/>
      <c r="K2885" s="230"/>
      <c r="L2885" s="88"/>
      <c r="M2885" s="88"/>
      <c r="N2885" s="88"/>
      <c r="O2885" s="88"/>
      <c r="P2885" s="88"/>
      <c r="Q2885" s="88"/>
      <c r="R2885" s="88"/>
      <c r="S2885" s="620"/>
      <c r="T2885" s="92"/>
      <c r="U2885" s="1214"/>
      <c r="V2885" s="1215"/>
      <c r="W2885" s="168"/>
      <c r="X2885" s="170"/>
    </row>
    <row r="2886" spans="1:24" ht="12.75" customHeight="1">
      <c r="A2886" s="15"/>
      <c r="B2886" s="92" t="str">
        <f t="shared" si="361"/>
        <v/>
      </c>
      <c r="C2886" s="90"/>
      <c r="D2886" s="87"/>
      <c r="E2886" s="88"/>
      <c r="F2886" s="173"/>
      <c r="G2886" s="88"/>
      <c r="H2886" s="88"/>
      <c r="I2886" s="88"/>
      <c r="J2886" s="88"/>
      <c r="K2886" s="230"/>
      <c r="L2886" s="88"/>
      <c r="M2886" s="88"/>
      <c r="N2886" s="88"/>
      <c r="O2886" s="88"/>
      <c r="P2886" s="88"/>
      <c r="Q2886" s="88"/>
      <c r="R2886" s="88"/>
      <c r="S2886" s="620"/>
      <c r="T2886" s="92"/>
      <c r="U2886" s="1214"/>
      <c r="V2886" s="1215"/>
      <c r="W2886" s="168"/>
      <c r="X2886" s="170"/>
    </row>
    <row r="2887" spans="1:24" ht="12.75" customHeight="1">
      <c r="A2887" s="15"/>
      <c r="B2887" s="92" t="str">
        <f t="shared" si="361"/>
        <v/>
      </c>
      <c r="C2887" s="90"/>
      <c r="D2887" s="87"/>
      <c r="E2887" s="88"/>
      <c r="F2887" s="173"/>
      <c r="G2887" s="88"/>
      <c r="H2887" s="88"/>
      <c r="I2887" s="88"/>
      <c r="J2887" s="88"/>
      <c r="K2887" s="230"/>
      <c r="L2887" s="88"/>
      <c r="M2887" s="88"/>
      <c r="N2887" s="88"/>
      <c r="O2887" s="88"/>
      <c r="P2887" s="88"/>
      <c r="Q2887" s="88"/>
      <c r="R2887" s="88"/>
      <c r="S2887" s="620"/>
      <c r="T2887" s="92"/>
      <c r="U2887" s="1214"/>
      <c r="V2887" s="1215"/>
      <c r="W2887" s="168"/>
      <c r="X2887" s="170"/>
    </row>
    <row r="2888" spans="1:24" ht="12.75" customHeight="1">
      <c r="A2888" s="15"/>
      <c r="B2888" s="92" t="str">
        <f t="shared" si="361"/>
        <v/>
      </c>
      <c r="C2888" s="90"/>
      <c r="D2888" s="87"/>
      <c r="E2888" s="88"/>
      <c r="F2888" s="173"/>
      <c r="G2888" s="88"/>
      <c r="H2888" s="88"/>
      <c r="I2888" s="88"/>
      <c r="J2888" s="88"/>
      <c r="K2888" s="230"/>
      <c r="L2888" s="88"/>
      <c r="M2888" s="88"/>
      <c r="N2888" s="88"/>
      <c r="O2888" s="88"/>
      <c r="P2888" s="88"/>
      <c r="Q2888" s="88"/>
      <c r="R2888" s="88"/>
      <c r="S2888" s="620"/>
      <c r="T2888" s="92"/>
      <c r="U2888" s="1214"/>
      <c r="V2888" s="1215"/>
      <c r="W2888" s="168"/>
      <c r="X2888" s="170"/>
    </row>
    <row r="2889" spans="1:24" ht="12.75" customHeight="1">
      <c r="A2889" s="15"/>
      <c r="B2889" s="92" t="str">
        <f t="shared" si="361"/>
        <v/>
      </c>
      <c r="C2889" s="90"/>
      <c r="D2889" s="87"/>
      <c r="E2889" s="88"/>
      <c r="F2889" s="173"/>
      <c r="G2889" s="88"/>
      <c r="H2889" s="88"/>
      <c r="I2889" s="88"/>
      <c r="J2889" s="88"/>
      <c r="K2889" s="230"/>
      <c r="L2889" s="88"/>
      <c r="M2889" s="88"/>
      <c r="N2889" s="88"/>
      <c r="O2889" s="88"/>
      <c r="P2889" s="88"/>
      <c r="Q2889" s="88"/>
      <c r="R2889" s="88"/>
      <c r="S2889" s="620"/>
      <c r="T2889" s="92"/>
      <c r="U2889" s="1214"/>
      <c r="V2889" s="1215"/>
      <c r="W2889" s="168"/>
      <c r="X2889" s="170"/>
    </row>
    <row r="2890" spans="1:24" ht="12.75" customHeight="1">
      <c r="A2890" s="15"/>
      <c r="B2890" s="92" t="str">
        <f t="shared" si="361"/>
        <v/>
      </c>
      <c r="C2890" s="90"/>
      <c r="D2890" s="87"/>
      <c r="E2890" s="88"/>
      <c r="F2890" s="173"/>
      <c r="G2890" s="88"/>
      <c r="H2890" s="88"/>
      <c r="I2890" s="88"/>
      <c r="J2890" s="88"/>
      <c r="K2890" s="230"/>
      <c r="L2890" s="88"/>
      <c r="M2890" s="88"/>
      <c r="N2890" s="88"/>
      <c r="O2890" s="88"/>
      <c r="P2890" s="88"/>
      <c r="Q2890" s="88"/>
      <c r="R2890" s="88"/>
      <c r="S2890" s="620"/>
      <c r="T2890" s="92"/>
      <c r="U2890" s="1214"/>
      <c r="V2890" s="1215"/>
      <c r="W2890" s="168"/>
      <c r="X2890" s="170"/>
    </row>
    <row r="2891" spans="1:24" ht="12.75" customHeight="1">
      <c r="A2891" s="15"/>
      <c r="B2891" s="92" t="str">
        <f t="shared" si="361"/>
        <v/>
      </c>
      <c r="C2891" s="90"/>
      <c r="D2891" s="87"/>
      <c r="E2891" s="88"/>
      <c r="F2891" s="173"/>
      <c r="G2891" s="88"/>
      <c r="H2891" s="88"/>
      <c r="I2891" s="88"/>
      <c r="J2891" s="88"/>
      <c r="K2891" s="230"/>
      <c r="L2891" s="88"/>
      <c r="M2891" s="88"/>
      <c r="N2891" s="88"/>
      <c r="O2891" s="88"/>
      <c r="P2891" s="88"/>
      <c r="Q2891" s="88"/>
      <c r="R2891" s="88"/>
      <c r="S2891" s="620"/>
      <c r="T2891" s="92"/>
      <c r="U2891" s="1214"/>
      <c r="V2891" s="1215"/>
      <c r="W2891" s="168"/>
      <c r="X2891" s="170"/>
    </row>
    <row r="2892" spans="1:24" ht="12.75" customHeight="1">
      <c r="A2892" s="15"/>
      <c r="B2892" s="92" t="str">
        <f t="shared" si="361"/>
        <v/>
      </c>
      <c r="C2892" s="90"/>
      <c r="D2892" s="87"/>
      <c r="E2892" s="88"/>
      <c r="F2892" s="173"/>
      <c r="G2892" s="88"/>
      <c r="H2892" s="88"/>
      <c r="I2892" s="88"/>
      <c r="J2892" s="88"/>
      <c r="K2892" s="230"/>
      <c r="L2892" s="88"/>
      <c r="M2892" s="88"/>
      <c r="N2892" s="88"/>
      <c r="O2892" s="88"/>
      <c r="P2892" s="88"/>
      <c r="Q2892" s="88"/>
      <c r="R2892" s="88"/>
      <c r="S2892" s="620"/>
      <c r="T2892" s="92"/>
      <c r="U2892" s="1214"/>
      <c r="V2892" s="1215"/>
      <c r="W2892" s="168"/>
      <c r="X2892" s="170"/>
    </row>
    <row r="2893" spans="1:24" ht="12.75" customHeight="1">
      <c r="A2893" s="15"/>
      <c r="B2893" s="92" t="str">
        <f t="shared" si="361"/>
        <v/>
      </c>
      <c r="C2893" s="90"/>
      <c r="D2893" s="87"/>
      <c r="E2893" s="88"/>
      <c r="F2893" s="173"/>
      <c r="G2893" s="88"/>
      <c r="H2893" s="88"/>
      <c r="I2893" s="88"/>
      <c r="J2893" s="88"/>
      <c r="K2893" s="230"/>
      <c r="L2893" s="88"/>
      <c r="M2893" s="88"/>
      <c r="N2893" s="88"/>
      <c r="O2893" s="88"/>
      <c r="P2893" s="88"/>
      <c r="Q2893" s="88"/>
      <c r="R2893" s="88"/>
      <c r="S2893" s="620"/>
      <c r="T2893" s="92"/>
      <c r="U2893" s="1214"/>
      <c r="V2893" s="1215"/>
      <c r="W2893" s="168"/>
      <c r="X2893" s="170"/>
    </row>
    <row r="2894" spans="1:24" ht="12.75" customHeight="1">
      <c r="A2894" s="15"/>
      <c r="B2894" s="92" t="str">
        <f t="shared" si="361"/>
        <v/>
      </c>
      <c r="C2894" s="90"/>
      <c r="D2894" s="87"/>
      <c r="E2894" s="88"/>
      <c r="F2894" s="173"/>
      <c r="G2894" s="88"/>
      <c r="H2894" s="88"/>
      <c r="I2894" s="88"/>
      <c r="J2894" s="88"/>
      <c r="K2894" s="230"/>
      <c r="L2894" s="88"/>
      <c r="M2894" s="88"/>
      <c r="N2894" s="88"/>
      <c r="O2894" s="88"/>
      <c r="P2894" s="88"/>
      <c r="Q2894" s="88"/>
      <c r="R2894" s="88"/>
      <c r="S2894" s="620"/>
      <c r="T2894" s="92"/>
      <c r="U2894" s="1214"/>
      <c r="V2894" s="1215"/>
      <c r="W2894" s="168"/>
      <c r="X2894" s="170"/>
    </row>
    <row r="2895" spans="1:24" ht="12.75" customHeight="1">
      <c r="A2895" s="15"/>
      <c r="B2895" s="92" t="str">
        <f t="shared" si="361"/>
        <v/>
      </c>
      <c r="C2895" s="90"/>
      <c r="D2895" s="87"/>
      <c r="E2895" s="88"/>
      <c r="F2895" s="173"/>
      <c r="G2895" s="88"/>
      <c r="H2895" s="88"/>
      <c r="I2895" s="88"/>
      <c r="J2895" s="88"/>
      <c r="K2895" s="230"/>
      <c r="L2895" s="88"/>
      <c r="M2895" s="88"/>
      <c r="N2895" s="88"/>
      <c r="O2895" s="88"/>
      <c r="P2895" s="88"/>
      <c r="Q2895" s="88"/>
      <c r="R2895" s="88"/>
      <c r="S2895" s="620"/>
      <c r="T2895" s="92"/>
      <c r="U2895" s="1214"/>
      <c r="V2895" s="1215"/>
      <c r="W2895" s="168"/>
      <c r="X2895" s="170"/>
    </row>
    <row r="2896" spans="1:24" ht="12.75" customHeight="1">
      <c r="A2896" s="15"/>
      <c r="B2896" s="92" t="str">
        <f t="shared" si="361"/>
        <v/>
      </c>
      <c r="C2896" s="90"/>
      <c r="D2896" s="87"/>
      <c r="E2896" s="88"/>
      <c r="F2896" s="173"/>
      <c r="G2896" s="88"/>
      <c r="H2896" s="88"/>
      <c r="I2896" s="88"/>
      <c r="J2896" s="88"/>
      <c r="K2896" s="230"/>
      <c r="L2896" s="88"/>
      <c r="M2896" s="88"/>
      <c r="N2896" s="88"/>
      <c r="O2896" s="88"/>
      <c r="P2896" s="88"/>
      <c r="Q2896" s="88"/>
      <c r="R2896" s="88"/>
      <c r="S2896" s="620"/>
      <c r="T2896" s="92"/>
      <c r="U2896" s="1214"/>
      <c r="V2896" s="1215"/>
      <c r="W2896" s="168"/>
      <c r="X2896" s="170"/>
    </row>
    <row r="2897" spans="1:24" ht="12.75" customHeight="1">
      <c r="A2897" s="15"/>
      <c r="B2897" s="92" t="str">
        <f t="shared" si="361"/>
        <v/>
      </c>
      <c r="C2897" s="90"/>
      <c r="D2897" s="87"/>
      <c r="E2897" s="88"/>
      <c r="F2897" s="173"/>
      <c r="G2897" s="88"/>
      <c r="H2897" s="88"/>
      <c r="I2897" s="88"/>
      <c r="J2897" s="88"/>
      <c r="K2897" s="230"/>
      <c r="L2897" s="88"/>
      <c r="M2897" s="88"/>
      <c r="N2897" s="88"/>
      <c r="O2897" s="88"/>
      <c r="P2897" s="88"/>
      <c r="Q2897" s="88"/>
      <c r="R2897" s="88"/>
      <c r="S2897" s="620"/>
      <c r="T2897" s="92"/>
      <c r="U2897" s="1214"/>
      <c r="V2897" s="1215"/>
      <c r="W2897" s="168"/>
      <c r="X2897" s="170"/>
    </row>
    <row r="2898" spans="1:24" ht="12.75" customHeight="1">
      <c r="A2898" s="15"/>
      <c r="B2898" s="92" t="str">
        <f t="shared" si="361"/>
        <v/>
      </c>
      <c r="C2898" s="90"/>
      <c r="D2898" s="87"/>
      <c r="E2898" s="88"/>
      <c r="F2898" s="173"/>
      <c r="G2898" s="88"/>
      <c r="H2898" s="88"/>
      <c r="I2898" s="88"/>
      <c r="J2898" s="88"/>
      <c r="K2898" s="230"/>
      <c r="L2898" s="88"/>
      <c r="M2898" s="88"/>
      <c r="N2898" s="88"/>
      <c r="O2898" s="88"/>
      <c r="P2898" s="88"/>
      <c r="Q2898" s="88"/>
      <c r="R2898" s="88"/>
      <c r="S2898" s="620"/>
      <c r="T2898" s="92"/>
      <c r="U2898" s="1214"/>
      <c r="V2898" s="1215"/>
      <c r="W2898" s="168"/>
      <c r="X2898" s="170"/>
    </row>
    <row r="2899" spans="1:24" ht="12.75" customHeight="1">
      <c r="A2899" s="15"/>
      <c r="B2899" s="92" t="str">
        <f t="shared" si="361"/>
        <v/>
      </c>
      <c r="C2899" s="90"/>
      <c r="D2899" s="87"/>
      <c r="E2899" s="88"/>
      <c r="F2899" s="173"/>
      <c r="G2899" s="88"/>
      <c r="H2899" s="88"/>
      <c r="I2899" s="88"/>
      <c r="J2899" s="88"/>
      <c r="K2899" s="230"/>
      <c r="L2899" s="88"/>
      <c r="M2899" s="88"/>
      <c r="N2899" s="88"/>
      <c r="O2899" s="88"/>
      <c r="P2899" s="88"/>
      <c r="Q2899" s="88"/>
      <c r="R2899" s="88"/>
      <c r="S2899" s="620"/>
      <c r="T2899" s="92"/>
      <c r="U2899" s="1214"/>
      <c r="V2899" s="1215"/>
      <c r="W2899" s="168"/>
      <c r="X2899" s="170"/>
    </row>
    <row r="2900" spans="1:24" ht="12.75" customHeight="1">
      <c r="A2900" s="15"/>
      <c r="B2900" s="92" t="str">
        <f t="shared" si="361"/>
        <v/>
      </c>
      <c r="C2900" s="90"/>
      <c r="D2900" s="87"/>
      <c r="E2900" s="88"/>
      <c r="F2900" s="173"/>
      <c r="G2900" s="88"/>
      <c r="H2900" s="88"/>
      <c r="I2900" s="88"/>
      <c r="J2900" s="88"/>
      <c r="K2900" s="230"/>
      <c r="L2900" s="88"/>
      <c r="M2900" s="88"/>
      <c r="N2900" s="88"/>
      <c r="O2900" s="88"/>
      <c r="P2900" s="88"/>
      <c r="Q2900" s="88"/>
      <c r="R2900" s="88"/>
      <c r="S2900" s="620"/>
      <c r="T2900" s="92"/>
      <c r="U2900" s="1214"/>
      <c r="V2900" s="1215"/>
      <c r="W2900" s="168"/>
      <c r="X2900" s="170"/>
    </row>
    <row r="2901" spans="1:24" ht="12.75" customHeight="1">
      <c r="A2901" s="15"/>
      <c r="B2901" s="92" t="str">
        <f t="shared" si="361"/>
        <v/>
      </c>
      <c r="C2901" s="90"/>
      <c r="D2901" s="87"/>
      <c r="E2901" s="88"/>
      <c r="F2901" s="173"/>
      <c r="G2901" s="88"/>
      <c r="H2901" s="88"/>
      <c r="I2901" s="88"/>
      <c r="J2901" s="88"/>
      <c r="K2901" s="230"/>
      <c r="L2901" s="88"/>
      <c r="M2901" s="88"/>
      <c r="N2901" s="88"/>
      <c r="O2901" s="88"/>
      <c r="P2901" s="88"/>
      <c r="Q2901" s="88"/>
      <c r="R2901" s="88"/>
      <c r="S2901" s="620"/>
      <c r="T2901" s="92"/>
      <c r="U2901" s="1214"/>
      <c r="V2901" s="1215"/>
      <c r="W2901" s="168"/>
      <c r="X2901" s="170"/>
    </row>
    <row r="2902" spans="1:24" ht="12.75" customHeight="1">
      <c r="A2902" s="15"/>
      <c r="B2902" s="92" t="str">
        <f t="shared" si="361"/>
        <v/>
      </c>
      <c r="C2902" s="90"/>
      <c r="D2902" s="87"/>
      <c r="E2902" s="88"/>
      <c r="F2902" s="173"/>
      <c r="G2902" s="88"/>
      <c r="H2902" s="88"/>
      <c r="I2902" s="88"/>
      <c r="J2902" s="88"/>
      <c r="K2902" s="230"/>
      <c r="L2902" s="88"/>
      <c r="M2902" s="88"/>
      <c r="N2902" s="88"/>
      <c r="O2902" s="88"/>
      <c r="P2902" s="88"/>
      <c r="Q2902" s="88"/>
      <c r="R2902" s="88"/>
      <c r="S2902" s="620"/>
      <c r="T2902" s="92"/>
      <c r="U2902" s="1214"/>
      <c r="V2902" s="1215"/>
      <c r="W2902" s="168"/>
      <c r="X2902" s="170"/>
    </row>
    <row r="2903" spans="1:24" ht="12.75" customHeight="1">
      <c r="A2903" s="15"/>
      <c r="B2903" s="92" t="str">
        <f t="shared" si="361"/>
        <v/>
      </c>
      <c r="C2903" s="90"/>
      <c r="D2903" s="87"/>
      <c r="E2903" s="88"/>
      <c r="F2903" s="173"/>
      <c r="G2903" s="88"/>
      <c r="H2903" s="88"/>
      <c r="I2903" s="88"/>
      <c r="J2903" s="88"/>
      <c r="K2903" s="230"/>
      <c r="L2903" s="88"/>
      <c r="M2903" s="88"/>
      <c r="N2903" s="88"/>
      <c r="O2903" s="88"/>
      <c r="P2903" s="88"/>
      <c r="Q2903" s="88"/>
      <c r="R2903" s="88"/>
      <c r="S2903" s="620"/>
      <c r="T2903" s="92"/>
      <c r="U2903" s="1214"/>
      <c r="V2903" s="1215"/>
      <c r="W2903" s="168"/>
      <c r="X2903" s="170"/>
    </row>
    <row r="2904" spans="1:24" ht="12.75" customHeight="1">
      <c r="A2904" s="15"/>
      <c r="B2904" s="92" t="str">
        <f t="shared" si="361"/>
        <v/>
      </c>
      <c r="C2904" s="90"/>
      <c r="D2904" s="87"/>
      <c r="E2904" s="88"/>
      <c r="F2904" s="173"/>
      <c r="G2904" s="88"/>
      <c r="H2904" s="88"/>
      <c r="I2904" s="88"/>
      <c r="J2904" s="88"/>
      <c r="K2904" s="230"/>
      <c r="L2904" s="88"/>
      <c r="M2904" s="88"/>
      <c r="N2904" s="88"/>
      <c r="O2904" s="88"/>
      <c r="P2904" s="88"/>
      <c r="Q2904" s="88"/>
      <c r="R2904" s="88"/>
      <c r="S2904" s="620"/>
      <c r="T2904" s="92"/>
      <c r="U2904" s="1214"/>
      <c r="V2904" s="1215"/>
      <c r="W2904" s="168"/>
      <c r="X2904" s="170"/>
    </row>
    <row r="2905" spans="1:24" ht="12.75" customHeight="1">
      <c r="A2905" s="15"/>
      <c r="B2905" s="92" t="str">
        <f t="shared" si="361"/>
        <v/>
      </c>
      <c r="C2905" s="90"/>
      <c r="D2905" s="87"/>
      <c r="E2905" s="88"/>
      <c r="F2905" s="173"/>
      <c r="G2905" s="88"/>
      <c r="H2905" s="88"/>
      <c r="I2905" s="88"/>
      <c r="J2905" s="88"/>
      <c r="K2905" s="230"/>
      <c r="L2905" s="88"/>
      <c r="M2905" s="88"/>
      <c r="N2905" s="88"/>
      <c r="O2905" s="88"/>
      <c r="P2905" s="88"/>
      <c r="Q2905" s="88"/>
      <c r="R2905" s="88"/>
      <c r="S2905" s="620"/>
      <c r="T2905" s="92"/>
      <c r="U2905" s="1214"/>
      <c r="V2905" s="1215"/>
      <c r="W2905" s="168"/>
      <c r="X2905" s="170"/>
    </row>
    <row r="2906" spans="1:24" ht="12.75" customHeight="1">
      <c r="A2906" s="15"/>
      <c r="B2906" s="92" t="str">
        <f t="shared" si="361"/>
        <v/>
      </c>
      <c r="C2906" s="90"/>
      <c r="D2906" s="87"/>
      <c r="E2906" s="88"/>
      <c r="F2906" s="173"/>
      <c r="G2906" s="88"/>
      <c r="H2906" s="88"/>
      <c r="I2906" s="88"/>
      <c r="J2906" s="88"/>
      <c r="K2906" s="230"/>
      <c r="L2906" s="88"/>
      <c r="M2906" s="88"/>
      <c r="N2906" s="88"/>
      <c r="O2906" s="88"/>
      <c r="P2906" s="88"/>
      <c r="Q2906" s="88"/>
      <c r="R2906" s="88"/>
      <c r="S2906" s="620"/>
      <c r="T2906" s="92"/>
      <c r="U2906" s="1214"/>
      <c r="V2906" s="1215"/>
      <c r="W2906" s="168"/>
      <c r="X2906" s="170"/>
    </row>
    <row r="2907" spans="1:24" ht="12.75" customHeight="1">
      <c r="A2907" s="15"/>
      <c r="B2907" s="92" t="str">
        <f t="shared" si="361"/>
        <v/>
      </c>
      <c r="C2907" s="90"/>
      <c r="D2907" s="87"/>
      <c r="E2907" s="88"/>
      <c r="F2907" s="173"/>
      <c r="G2907" s="88"/>
      <c r="H2907" s="88"/>
      <c r="I2907" s="88"/>
      <c r="J2907" s="88"/>
      <c r="K2907" s="230"/>
      <c r="L2907" s="88"/>
      <c r="M2907" s="88"/>
      <c r="N2907" s="88"/>
      <c r="O2907" s="88"/>
      <c r="P2907" s="88"/>
      <c r="Q2907" s="88"/>
      <c r="R2907" s="88"/>
      <c r="S2907" s="620"/>
      <c r="T2907" s="92"/>
      <c r="U2907" s="1214"/>
      <c r="V2907" s="1215"/>
      <c r="W2907" s="168"/>
      <c r="X2907" s="170"/>
    </row>
    <row r="2908" spans="1:24" ht="12.75" customHeight="1">
      <c r="A2908" s="15"/>
      <c r="B2908" s="92" t="str">
        <f t="shared" si="361"/>
        <v/>
      </c>
      <c r="C2908" s="90"/>
      <c r="D2908" s="87"/>
      <c r="E2908" s="88"/>
      <c r="F2908" s="173"/>
      <c r="G2908" s="88"/>
      <c r="H2908" s="88"/>
      <c r="I2908" s="88"/>
      <c r="J2908" s="88"/>
      <c r="K2908" s="230"/>
      <c r="L2908" s="88"/>
      <c r="M2908" s="88"/>
      <c r="N2908" s="88"/>
      <c r="O2908" s="88"/>
      <c r="P2908" s="88"/>
      <c r="Q2908" s="88"/>
      <c r="R2908" s="88"/>
      <c r="S2908" s="620"/>
      <c r="T2908" s="92"/>
      <c r="U2908" s="1214"/>
      <c r="V2908" s="1215"/>
      <c r="W2908" s="168"/>
      <c r="X2908" s="170"/>
    </row>
    <row r="2909" spans="1:24" ht="12.75" customHeight="1">
      <c r="A2909" s="15"/>
      <c r="B2909" s="92" t="str">
        <f t="shared" si="361"/>
        <v/>
      </c>
      <c r="C2909" s="90"/>
      <c r="D2909" s="87"/>
      <c r="E2909" s="88"/>
      <c r="F2909" s="173"/>
      <c r="G2909" s="88"/>
      <c r="H2909" s="88"/>
      <c r="I2909" s="88"/>
      <c r="J2909" s="88"/>
      <c r="K2909" s="230"/>
      <c r="L2909" s="88"/>
      <c r="M2909" s="88"/>
      <c r="N2909" s="88"/>
      <c r="O2909" s="88"/>
      <c r="P2909" s="88"/>
      <c r="Q2909" s="88"/>
      <c r="R2909" s="88"/>
      <c r="S2909" s="620"/>
      <c r="T2909" s="92"/>
      <c r="U2909" s="1214"/>
      <c r="V2909" s="1215"/>
      <c r="W2909" s="168"/>
      <c r="X2909" s="170"/>
    </row>
    <row r="2910" spans="1:24" ht="12.75" customHeight="1">
      <c r="A2910" s="15"/>
      <c r="B2910" s="92" t="str">
        <f t="shared" si="361"/>
        <v/>
      </c>
      <c r="C2910" s="90"/>
      <c r="D2910" s="87"/>
      <c r="E2910" s="88"/>
      <c r="F2910" s="173"/>
      <c r="G2910" s="88"/>
      <c r="H2910" s="88"/>
      <c r="I2910" s="88"/>
      <c r="J2910" s="88"/>
      <c r="K2910" s="230"/>
      <c r="L2910" s="88"/>
      <c r="M2910" s="88"/>
      <c r="N2910" s="88"/>
      <c r="O2910" s="88"/>
      <c r="P2910" s="88"/>
      <c r="Q2910" s="88"/>
      <c r="R2910" s="88"/>
      <c r="S2910" s="620"/>
      <c r="T2910" s="92"/>
      <c r="U2910" s="1214"/>
      <c r="V2910" s="1215"/>
      <c r="W2910" s="168"/>
      <c r="X2910" s="170"/>
    </row>
    <row r="2911" spans="1:24" ht="12.75" customHeight="1">
      <c r="A2911" s="15"/>
      <c r="B2911" s="92" t="str">
        <f t="shared" si="361"/>
        <v/>
      </c>
      <c r="C2911" s="90"/>
      <c r="D2911" s="87"/>
      <c r="E2911" s="88"/>
      <c r="F2911" s="173"/>
      <c r="G2911" s="88"/>
      <c r="H2911" s="88"/>
      <c r="I2911" s="88"/>
      <c r="J2911" s="88"/>
      <c r="K2911" s="230"/>
      <c r="L2911" s="88"/>
      <c r="M2911" s="88"/>
      <c r="N2911" s="88"/>
      <c r="O2911" s="88"/>
      <c r="P2911" s="88"/>
      <c r="Q2911" s="88"/>
      <c r="R2911" s="88"/>
      <c r="S2911" s="620"/>
      <c r="T2911" s="92"/>
      <c r="U2911" s="1214"/>
      <c r="V2911" s="1215"/>
      <c r="W2911" s="168"/>
      <c r="X2911" s="170"/>
    </row>
    <row r="2912" spans="1:24" ht="12.75" customHeight="1">
      <c r="A2912" s="15"/>
      <c r="B2912" s="92" t="str">
        <f t="shared" si="361"/>
        <v/>
      </c>
      <c r="C2912" s="90"/>
      <c r="D2912" s="87"/>
      <c r="E2912" s="88"/>
      <c r="F2912" s="173"/>
      <c r="G2912" s="88"/>
      <c r="H2912" s="88"/>
      <c r="I2912" s="88"/>
      <c r="J2912" s="88"/>
      <c r="K2912" s="230"/>
      <c r="L2912" s="88"/>
      <c r="M2912" s="88"/>
      <c r="N2912" s="88"/>
      <c r="O2912" s="88"/>
      <c r="P2912" s="88"/>
      <c r="Q2912" s="88"/>
      <c r="R2912" s="88"/>
      <c r="S2912" s="620"/>
      <c r="T2912" s="92"/>
      <c r="U2912" s="1214"/>
      <c r="V2912" s="1215"/>
      <c r="W2912" s="168"/>
      <c r="X2912" s="170"/>
    </row>
    <row r="2913" spans="1:24" ht="12.75" customHeight="1">
      <c r="A2913" s="15"/>
      <c r="B2913" s="92" t="str">
        <f t="shared" si="361"/>
        <v/>
      </c>
      <c r="C2913" s="90"/>
      <c r="D2913" s="87"/>
      <c r="E2913" s="88"/>
      <c r="F2913" s="173"/>
      <c r="G2913" s="88"/>
      <c r="H2913" s="88"/>
      <c r="I2913" s="88"/>
      <c r="J2913" s="88"/>
      <c r="K2913" s="230"/>
      <c r="L2913" s="88"/>
      <c r="M2913" s="88"/>
      <c r="N2913" s="88"/>
      <c r="O2913" s="88"/>
      <c r="P2913" s="88"/>
      <c r="Q2913" s="88"/>
      <c r="R2913" s="88"/>
      <c r="S2913" s="620"/>
      <c r="T2913" s="92"/>
      <c r="U2913" s="1214"/>
      <c r="V2913" s="1215"/>
      <c r="W2913" s="168"/>
      <c r="X2913" s="170"/>
    </row>
    <row r="2914" spans="1:24" ht="12.75" customHeight="1">
      <c r="A2914" s="15"/>
      <c r="B2914" s="92" t="str">
        <f t="shared" si="361"/>
        <v/>
      </c>
      <c r="C2914" s="90"/>
      <c r="D2914" s="87"/>
      <c r="E2914" s="88"/>
      <c r="F2914" s="173"/>
      <c r="G2914" s="88"/>
      <c r="H2914" s="88"/>
      <c r="I2914" s="88"/>
      <c r="J2914" s="88"/>
      <c r="K2914" s="230"/>
      <c r="L2914" s="88"/>
      <c r="M2914" s="88"/>
      <c r="N2914" s="88"/>
      <c r="O2914" s="88"/>
      <c r="P2914" s="88"/>
      <c r="Q2914" s="88"/>
      <c r="R2914" s="88"/>
      <c r="S2914" s="620"/>
      <c r="T2914" s="92"/>
      <c r="U2914" s="1214"/>
      <c r="V2914" s="1215"/>
      <c r="W2914" s="168"/>
      <c r="X2914" s="170"/>
    </row>
    <row r="2915" spans="1:24" ht="12.75" customHeight="1">
      <c r="A2915" s="15"/>
      <c r="B2915" s="92" t="str">
        <f t="shared" si="361"/>
        <v/>
      </c>
      <c r="C2915" s="90"/>
      <c r="D2915" s="87"/>
      <c r="E2915" s="88"/>
      <c r="F2915" s="173"/>
      <c r="G2915" s="88"/>
      <c r="H2915" s="88"/>
      <c r="I2915" s="88"/>
      <c r="J2915" s="88"/>
      <c r="K2915" s="230"/>
      <c r="L2915" s="88"/>
      <c r="M2915" s="88"/>
      <c r="N2915" s="88"/>
      <c r="O2915" s="88"/>
      <c r="P2915" s="88"/>
      <c r="Q2915" s="88"/>
      <c r="R2915" s="88"/>
      <c r="S2915" s="620"/>
      <c r="T2915" s="92"/>
      <c r="U2915" s="1214"/>
      <c r="V2915" s="1215"/>
      <c r="W2915" s="168"/>
      <c r="X2915" s="170"/>
    </row>
    <row r="2916" spans="1:24" ht="12.75" customHeight="1">
      <c r="A2916" s="15"/>
      <c r="B2916" s="92" t="str">
        <f t="shared" si="361"/>
        <v/>
      </c>
      <c r="C2916" s="90"/>
      <c r="D2916" s="87"/>
      <c r="E2916" s="88"/>
      <c r="F2916" s="173"/>
      <c r="G2916" s="88"/>
      <c r="H2916" s="88"/>
      <c r="I2916" s="88"/>
      <c r="J2916" s="88"/>
      <c r="K2916" s="230"/>
      <c r="L2916" s="88"/>
      <c r="M2916" s="88"/>
      <c r="N2916" s="88"/>
      <c r="O2916" s="88"/>
      <c r="P2916" s="88"/>
      <c r="Q2916" s="88"/>
      <c r="R2916" s="88"/>
      <c r="S2916" s="620"/>
      <c r="T2916" s="92"/>
      <c r="U2916" s="1214"/>
      <c r="V2916" s="1215"/>
      <c r="W2916" s="168"/>
      <c r="X2916" s="170"/>
    </row>
    <row r="2917" spans="1:24" ht="12.75" customHeight="1">
      <c r="A2917" s="15"/>
      <c r="B2917" s="92" t="str">
        <f t="shared" si="361"/>
        <v/>
      </c>
      <c r="C2917" s="90"/>
      <c r="D2917" s="87"/>
      <c r="E2917" s="88"/>
      <c r="F2917" s="173"/>
      <c r="G2917" s="88"/>
      <c r="H2917" s="88"/>
      <c r="I2917" s="88"/>
      <c r="J2917" s="88"/>
      <c r="K2917" s="230"/>
      <c r="L2917" s="88"/>
      <c r="M2917" s="88"/>
      <c r="N2917" s="88"/>
      <c r="O2917" s="88"/>
      <c r="P2917" s="88"/>
      <c r="Q2917" s="88"/>
      <c r="R2917" s="88"/>
      <c r="S2917" s="620"/>
      <c r="T2917" s="92"/>
      <c r="U2917" s="1214"/>
      <c r="V2917" s="1215"/>
      <c r="W2917" s="168"/>
      <c r="X2917" s="170"/>
    </row>
    <row r="2918" spans="1:24" ht="12.75" customHeight="1">
      <c r="A2918" s="15"/>
      <c r="B2918" s="92" t="str">
        <f t="shared" si="361"/>
        <v/>
      </c>
      <c r="C2918" s="90"/>
      <c r="D2918" s="87"/>
      <c r="E2918" s="88"/>
      <c r="F2918" s="173"/>
      <c r="G2918" s="88"/>
      <c r="H2918" s="88"/>
      <c r="I2918" s="88"/>
      <c r="J2918" s="88"/>
      <c r="K2918" s="230"/>
      <c r="L2918" s="88"/>
      <c r="M2918" s="88"/>
      <c r="N2918" s="88"/>
      <c r="O2918" s="88"/>
      <c r="P2918" s="88"/>
      <c r="Q2918" s="88"/>
      <c r="R2918" s="88"/>
      <c r="S2918" s="620"/>
      <c r="T2918" s="92"/>
      <c r="U2918" s="1214"/>
      <c r="V2918" s="1215"/>
      <c r="W2918" s="168"/>
      <c r="X2918" s="170"/>
    </row>
    <row r="2919" spans="1:24" ht="12.75" customHeight="1">
      <c r="A2919" s="15"/>
      <c r="B2919" s="92" t="str">
        <f t="shared" si="361"/>
        <v/>
      </c>
      <c r="C2919" s="90"/>
      <c r="D2919" s="87"/>
      <c r="E2919" s="88"/>
      <c r="F2919" s="173"/>
      <c r="G2919" s="88"/>
      <c r="H2919" s="88"/>
      <c r="I2919" s="88"/>
      <c r="J2919" s="88"/>
      <c r="K2919" s="230"/>
      <c r="L2919" s="88"/>
      <c r="M2919" s="88"/>
      <c r="N2919" s="88"/>
      <c r="O2919" s="88"/>
      <c r="P2919" s="88"/>
      <c r="Q2919" s="88"/>
      <c r="R2919" s="88"/>
      <c r="S2919" s="620"/>
      <c r="T2919" s="92"/>
      <c r="U2919" s="1214"/>
      <c r="V2919" s="1215"/>
      <c r="W2919" s="168"/>
      <c r="X2919" s="170"/>
    </row>
    <row r="2920" spans="1:24" ht="12.75" customHeight="1">
      <c r="A2920" s="15"/>
      <c r="B2920" s="92" t="str">
        <f t="shared" si="361"/>
        <v/>
      </c>
      <c r="C2920" s="90"/>
      <c r="D2920" s="87"/>
      <c r="E2920" s="88"/>
      <c r="F2920" s="173"/>
      <c r="G2920" s="88"/>
      <c r="H2920" s="88"/>
      <c r="I2920" s="88"/>
      <c r="J2920" s="88"/>
      <c r="K2920" s="230"/>
      <c r="L2920" s="88"/>
      <c r="M2920" s="88"/>
      <c r="N2920" s="88"/>
      <c r="O2920" s="88"/>
      <c r="P2920" s="88"/>
      <c r="Q2920" s="88"/>
      <c r="R2920" s="88"/>
      <c r="S2920" s="620"/>
      <c r="T2920" s="92"/>
      <c r="U2920" s="1214"/>
      <c r="V2920" s="1215"/>
      <c r="W2920" s="168"/>
      <c r="X2920" s="170"/>
    </row>
    <row r="2921" spans="1:24" ht="12.75" customHeight="1">
      <c r="A2921" s="15"/>
      <c r="B2921" s="92" t="str">
        <f t="shared" si="361"/>
        <v/>
      </c>
      <c r="C2921" s="90"/>
      <c r="D2921" s="87"/>
      <c r="E2921" s="88"/>
      <c r="F2921" s="173"/>
      <c r="G2921" s="88"/>
      <c r="H2921" s="88"/>
      <c r="I2921" s="88"/>
      <c r="J2921" s="88"/>
      <c r="K2921" s="230"/>
      <c r="L2921" s="88"/>
      <c r="M2921" s="88"/>
      <c r="N2921" s="88"/>
      <c r="O2921" s="88"/>
      <c r="P2921" s="88"/>
      <c r="Q2921" s="88"/>
      <c r="R2921" s="88"/>
      <c r="S2921" s="620"/>
      <c r="T2921" s="92"/>
      <c r="U2921" s="1214"/>
      <c r="V2921" s="1215"/>
      <c r="W2921" s="168"/>
      <c r="X2921" s="170"/>
    </row>
    <row r="2922" spans="1:24" ht="12.75" customHeight="1">
      <c r="A2922" s="15"/>
      <c r="B2922" s="92" t="str">
        <f t="shared" si="361"/>
        <v/>
      </c>
      <c r="C2922" s="90"/>
      <c r="D2922" s="87"/>
      <c r="E2922" s="88"/>
      <c r="F2922" s="173"/>
      <c r="G2922" s="88"/>
      <c r="H2922" s="88"/>
      <c r="I2922" s="88"/>
      <c r="J2922" s="88"/>
      <c r="K2922" s="230"/>
      <c r="L2922" s="88"/>
      <c r="M2922" s="88"/>
      <c r="N2922" s="88"/>
      <c r="O2922" s="88"/>
      <c r="P2922" s="88"/>
      <c r="Q2922" s="88"/>
      <c r="R2922" s="88"/>
      <c r="S2922" s="620"/>
      <c r="T2922" s="92"/>
      <c r="U2922" s="1214"/>
      <c r="V2922" s="1215"/>
      <c r="W2922" s="168"/>
      <c r="X2922" s="170"/>
    </row>
    <row r="2923" spans="1:24" ht="12.75" customHeight="1">
      <c r="A2923" s="15"/>
      <c r="B2923" s="92" t="str">
        <f t="shared" si="361"/>
        <v/>
      </c>
      <c r="C2923" s="90"/>
      <c r="D2923" s="87"/>
      <c r="E2923" s="88"/>
      <c r="F2923" s="173"/>
      <c r="G2923" s="88"/>
      <c r="H2923" s="88"/>
      <c r="I2923" s="88"/>
      <c r="J2923" s="88"/>
      <c r="K2923" s="230"/>
      <c r="L2923" s="88"/>
      <c r="M2923" s="88"/>
      <c r="N2923" s="88"/>
      <c r="O2923" s="88"/>
      <c r="P2923" s="88"/>
      <c r="Q2923" s="88"/>
      <c r="R2923" s="88"/>
      <c r="S2923" s="620"/>
      <c r="T2923" s="92"/>
      <c r="U2923" s="1214"/>
      <c r="V2923" s="1215"/>
      <c r="W2923" s="168"/>
      <c r="X2923" s="170"/>
    </row>
    <row r="2924" spans="1:24" ht="12.75" customHeight="1">
      <c r="A2924" s="15"/>
      <c r="B2924" s="92" t="str">
        <f t="shared" si="361"/>
        <v/>
      </c>
      <c r="C2924" s="90"/>
      <c r="D2924" s="87"/>
      <c r="E2924" s="88"/>
      <c r="F2924" s="173"/>
      <c r="G2924" s="88"/>
      <c r="H2924" s="88"/>
      <c r="I2924" s="88"/>
      <c r="J2924" s="88"/>
      <c r="K2924" s="230"/>
      <c r="L2924" s="88"/>
      <c r="M2924" s="88"/>
      <c r="N2924" s="88"/>
      <c r="O2924" s="88"/>
      <c r="P2924" s="88"/>
      <c r="Q2924" s="88"/>
      <c r="R2924" s="88"/>
      <c r="S2924" s="620"/>
      <c r="T2924" s="92"/>
      <c r="U2924" s="1214"/>
      <c r="V2924" s="1215"/>
      <c r="W2924" s="168"/>
      <c r="X2924" s="170"/>
    </row>
    <row r="2925" spans="1:24" ht="12.75" customHeight="1">
      <c r="A2925" s="15"/>
      <c r="B2925" s="92" t="str">
        <f t="shared" si="361"/>
        <v/>
      </c>
      <c r="C2925" s="90"/>
      <c r="D2925" s="87"/>
      <c r="E2925" s="88"/>
      <c r="F2925" s="173"/>
      <c r="G2925" s="88"/>
      <c r="H2925" s="88"/>
      <c r="I2925" s="88"/>
      <c r="J2925" s="88"/>
      <c r="K2925" s="230"/>
      <c r="L2925" s="88"/>
      <c r="M2925" s="88"/>
      <c r="N2925" s="88"/>
      <c r="O2925" s="88"/>
      <c r="P2925" s="88"/>
      <c r="Q2925" s="88"/>
      <c r="R2925" s="88"/>
      <c r="S2925" s="620"/>
      <c r="T2925" s="92"/>
      <c r="U2925" s="1214"/>
      <c r="V2925" s="1215"/>
      <c r="W2925" s="168"/>
      <c r="X2925" s="170"/>
    </row>
    <row r="2926" spans="1:24" ht="12.75" customHeight="1">
      <c r="A2926" s="15"/>
      <c r="B2926" s="92" t="str">
        <f t="shared" si="361"/>
        <v/>
      </c>
      <c r="C2926" s="90"/>
      <c r="D2926" s="87"/>
      <c r="E2926" s="88"/>
      <c r="F2926" s="173"/>
      <c r="G2926" s="88"/>
      <c r="H2926" s="88"/>
      <c r="I2926" s="88"/>
      <c r="J2926" s="88"/>
      <c r="K2926" s="230"/>
      <c r="L2926" s="88"/>
      <c r="M2926" s="88"/>
      <c r="N2926" s="88"/>
      <c r="O2926" s="88"/>
      <c r="P2926" s="88"/>
      <c r="Q2926" s="88"/>
      <c r="R2926" s="88"/>
      <c r="S2926" s="620"/>
      <c r="T2926" s="92"/>
      <c r="U2926" s="1214"/>
      <c r="V2926" s="1215"/>
      <c r="W2926" s="168"/>
      <c r="X2926" s="170"/>
    </row>
    <row r="2927" spans="1:24" ht="12.75" customHeight="1">
      <c r="A2927" s="15"/>
      <c r="B2927" s="92" t="str">
        <f t="shared" ref="B2927:B2990" si="362">IF(C2927="","",ROW()-5)</f>
        <v/>
      </c>
      <c r="C2927" s="90"/>
      <c r="D2927" s="87"/>
      <c r="E2927" s="88"/>
      <c r="F2927" s="173"/>
      <c r="G2927" s="88"/>
      <c r="H2927" s="88"/>
      <c r="I2927" s="88"/>
      <c r="J2927" s="88"/>
      <c r="K2927" s="230"/>
      <c r="L2927" s="88"/>
      <c r="M2927" s="88"/>
      <c r="N2927" s="88"/>
      <c r="O2927" s="88"/>
      <c r="P2927" s="88"/>
      <c r="Q2927" s="88"/>
      <c r="R2927" s="88"/>
      <c r="S2927" s="620"/>
      <c r="T2927" s="92"/>
      <c r="U2927" s="1214"/>
      <c r="V2927" s="1215"/>
      <c r="W2927" s="168"/>
      <c r="X2927" s="170"/>
    </row>
    <row r="2928" spans="1:24" ht="12.75" customHeight="1">
      <c r="A2928" s="15"/>
      <c r="B2928" s="92" t="str">
        <f t="shared" si="362"/>
        <v/>
      </c>
      <c r="C2928" s="90"/>
      <c r="D2928" s="87"/>
      <c r="E2928" s="88"/>
      <c r="F2928" s="173"/>
      <c r="G2928" s="88"/>
      <c r="H2928" s="88"/>
      <c r="I2928" s="88"/>
      <c r="J2928" s="88"/>
      <c r="K2928" s="230"/>
      <c r="L2928" s="88"/>
      <c r="M2928" s="88"/>
      <c r="N2928" s="88"/>
      <c r="O2928" s="88"/>
      <c r="P2928" s="88"/>
      <c r="Q2928" s="88"/>
      <c r="R2928" s="88"/>
      <c r="S2928" s="620"/>
      <c r="T2928" s="92"/>
      <c r="U2928" s="1214"/>
      <c r="V2928" s="1215"/>
      <c r="W2928" s="168"/>
      <c r="X2928" s="170"/>
    </row>
    <row r="2929" spans="1:24" ht="12.75" customHeight="1">
      <c r="A2929" s="15"/>
      <c r="B2929" s="92" t="str">
        <f t="shared" si="362"/>
        <v/>
      </c>
      <c r="C2929" s="90"/>
      <c r="D2929" s="87"/>
      <c r="E2929" s="88"/>
      <c r="F2929" s="173"/>
      <c r="G2929" s="88"/>
      <c r="H2929" s="88"/>
      <c r="I2929" s="88"/>
      <c r="J2929" s="88"/>
      <c r="K2929" s="230"/>
      <c r="L2929" s="88"/>
      <c r="M2929" s="88"/>
      <c r="N2929" s="88"/>
      <c r="O2929" s="88"/>
      <c r="P2929" s="88"/>
      <c r="Q2929" s="88"/>
      <c r="R2929" s="88"/>
      <c r="S2929" s="620"/>
      <c r="T2929" s="92"/>
      <c r="U2929" s="1214"/>
      <c r="V2929" s="1215"/>
      <c r="W2929" s="168"/>
      <c r="X2929" s="170"/>
    </row>
    <row r="2930" spans="1:24" ht="12.75" customHeight="1">
      <c r="A2930" s="15"/>
      <c r="B2930" s="92" t="str">
        <f t="shared" si="362"/>
        <v/>
      </c>
      <c r="C2930" s="90"/>
      <c r="D2930" s="87"/>
      <c r="E2930" s="88"/>
      <c r="F2930" s="173"/>
      <c r="G2930" s="88"/>
      <c r="H2930" s="88"/>
      <c r="I2930" s="88"/>
      <c r="J2930" s="88"/>
      <c r="K2930" s="230"/>
      <c r="L2930" s="88"/>
      <c r="M2930" s="88"/>
      <c r="N2930" s="88"/>
      <c r="O2930" s="88"/>
      <c r="P2930" s="88"/>
      <c r="Q2930" s="88"/>
      <c r="R2930" s="88"/>
      <c r="S2930" s="620"/>
      <c r="T2930" s="92"/>
      <c r="U2930" s="1214"/>
      <c r="V2930" s="1215"/>
      <c r="W2930" s="168"/>
      <c r="X2930" s="170"/>
    </row>
    <row r="2931" spans="1:24" ht="12.75" customHeight="1">
      <c r="A2931" s="15"/>
      <c r="B2931" s="92" t="str">
        <f t="shared" si="362"/>
        <v/>
      </c>
      <c r="C2931" s="90"/>
      <c r="D2931" s="87"/>
      <c r="E2931" s="88"/>
      <c r="F2931" s="173"/>
      <c r="G2931" s="88"/>
      <c r="H2931" s="88"/>
      <c r="I2931" s="88"/>
      <c r="J2931" s="88"/>
      <c r="K2931" s="230"/>
      <c r="L2931" s="88"/>
      <c r="M2931" s="88"/>
      <c r="N2931" s="88"/>
      <c r="O2931" s="88"/>
      <c r="P2931" s="88"/>
      <c r="Q2931" s="88"/>
      <c r="R2931" s="88"/>
      <c r="S2931" s="620"/>
      <c r="T2931" s="92"/>
      <c r="U2931" s="1214"/>
      <c r="V2931" s="1215"/>
      <c r="W2931" s="168"/>
      <c r="X2931" s="170"/>
    </row>
    <row r="2932" spans="1:24" ht="12.75" customHeight="1">
      <c r="A2932" s="15"/>
      <c r="B2932" s="92" t="str">
        <f t="shared" si="362"/>
        <v/>
      </c>
      <c r="C2932" s="90"/>
      <c r="D2932" s="87"/>
      <c r="E2932" s="88"/>
      <c r="F2932" s="173"/>
      <c r="G2932" s="88"/>
      <c r="H2932" s="88"/>
      <c r="I2932" s="88"/>
      <c r="J2932" s="88"/>
      <c r="K2932" s="230"/>
      <c r="L2932" s="88"/>
      <c r="M2932" s="88"/>
      <c r="N2932" s="88"/>
      <c r="O2932" s="88"/>
      <c r="P2932" s="88"/>
      <c r="Q2932" s="88"/>
      <c r="R2932" s="88"/>
      <c r="S2932" s="620"/>
      <c r="T2932" s="92"/>
      <c r="U2932" s="1214"/>
      <c r="V2932" s="1215"/>
      <c r="W2932" s="168"/>
      <c r="X2932" s="170"/>
    </row>
    <row r="2933" spans="1:24" ht="12.75" customHeight="1">
      <c r="A2933" s="15"/>
      <c r="B2933" s="92" t="str">
        <f t="shared" si="362"/>
        <v/>
      </c>
      <c r="C2933" s="90"/>
      <c r="D2933" s="87"/>
      <c r="E2933" s="88"/>
      <c r="F2933" s="173"/>
      <c r="G2933" s="88"/>
      <c r="H2933" s="88"/>
      <c r="I2933" s="88"/>
      <c r="J2933" s="88"/>
      <c r="K2933" s="230"/>
      <c r="L2933" s="88"/>
      <c r="M2933" s="88"/>
      <c r="N2933" s="88"/>
      <c r="O2933" s="88"/>
      <c r="P2933" s="88"/>
      <c r="Q2933" s="88"/>
      <c r="R2933" s="88"/>
      <c r="S2933" s="620"/>
      <c r="T2933" s="92"/>
      <c r="U2933" s="1214"/>
      <c r="V2933" s="1215"/>
      <c r="W2933" s="168"/>
      <c r="X2933" s="170"/>
    </row>
    <row r="2934" spans="1:24" ht="12.75" customHeight="1">
      <c r="A2934" s="15"/>
      <c r="B2934" s="92" t="str">
        <f t="shared" si="362"/>
        <v/>
      </c>
      <c r="C2934" s="90"/>
      <c r="D2934" s="87"/>
      <c r="E2934" s="88"/>
      <c r="F2934" s="173"/>
      <c r="G2934" s="88"/>
      <c r="H2934" s="88"/>
      <c r="I2934" s="88"/>
      <c r="J2934" s="88"/>
      <c r="K2934" s="230"/>
      <c r="L2934" s="88"/>
      <c r="M2934" s="88"/>
      <c r="N2934" s="88"/>
      <c r="O2934" s="88"/>
      <c r="P2934" s="88"/>
      <c r="Q2934" s="88"/>
      <c r="R2934" s="88"/>
      <c r="S2934" s="620"/>
      <c r="T2934" s="92"/>
      <c r="U2934" s="1214"/>
      <c r="V2934" s="1215"/>
      <c r="W2934" s="168"/>
      <c r="X2934" s="170"/>
    </row>
    <row r="2935" spans="1:24" ht="12.75" customHeight="1">
      <c r="A2935" s="15"/>
      <c r="B2935" s="92" t="str">
        <f t="shared" si="362"/>
        <v/>
      </c>
      <c r="C2935" s="90"/>
      <c r="D2935" s="87"/>
      <c r="E2935" s="88"/>
      <c r="F2935" s="173"/>
      <c r="G2935" s="88"/>
      <c r="H2935" s="88"/>
      <c r="I2935" s="88"/>
      <c r="J2935" s="88"/>
      <c r="K2935" s="230"/>
      <c r="L2935" s="88"/>
      <c r="M2935" s="88"/>
      <c r="N2935" s="88"/>
      <c r="O2935" s="88"/>
      <c r="P2935" s="88"/>
      <c r="Q2935" s="88"/>
      <c r="R2935" s="88"/>
      <c r="S2935" s="620"/>
      <c r="T2935" s="92"/>
      <c r="U2935" s="1214"/>
      <c r="V2935" s="1215"/>
      <c r="W2935" s="168"/>
      <c r="X2935" s="170"/>
    </row>
    <row r="2936" spans="1:24" ht="12.75" customHeight="1">
      <c r="A2936" s="15"/>
      <c r="B2936" s="92" t="str">
        <f t="shared" si="362"/>
        <v/>
      </c>
      <c r="C2936" s="90"/>
      <c r="D2936" s="87"/>
      <c r="E2936" s="88"/>
      <c r="F2936" s="173"/>
      <c r="G2936" s="88"/>
      <c r="H2936" s="88"/>
      <c r="I2936" s="88"/>
      <c r="J2936" s="88"/>
      <c r="K2936" s="230"/>
      <c r="L2936" s="88"/>
      <c r="M2936" s="88"/>
      <c r="N2936" s="88"/>
      <c r="O2936" s="88"/>
      <c r="P2936" s="88"/>
      <c r="Q2936" s="88"/>
      <c r="R2936" s="88"/>
      <c r="S2936" s="620"/>
      <c r="T2936" s="92"/>
      <c r="U2936" s="1214"/>
      <c r="V2936" s="1215"/>
      <c r="W2936" s="168"/>
      <c r="X2936" s="170"/>
    </row>
    <row r="2937" spans="1:24" ht="12.75" customHeight="1">
      <c r="A2937" s="15"/>
      <c r="B2937" s="92" t="str">
        <f t="shared" si="362"/>
        <v/>
      </c>
      <c r="C2937" s="90"/>
      <c r="D2937" s="87"/>
      <c r="E2937" s="88"/>
      <c r="F2937" s="173"/>
      <c r="G2937" s="88"/>
      <c r="H2937" s="88"/>
      <c r="I2937" s="88"/>
      <c r="J2937" s="88"/>
      <c r="K2937" s="230"/>
      <c r="L2937" s="88"/>
      <c r="M2937" s="88"/>
      <c r="N2937" s="88"/>
      <c r="O2937" s="88"/>
      <c r="P2937" s="88"/>
      <c r="Q2937" s="88"/>
      <c r="R2937" s="88"/>
      <c r="S2937" s="620"/>
      <c r="T2937" s="92"/>
      <c r="U2937" s="1214"/>
      <c r="V2937" s="1215"/>
      <c r="W2937" s="168"/>
      <c r="X2937" s="170"/>
    </row>
    <row r="2938" spans="1:24" ht="12.75" customHeight="1">
      <c r="A2938" s="15"/>
      <c r="B2938" s="92" t="str">
        <f t="shared" si="362"/>
        <v/>
      </c>
      <c r="C2938" s="90"/>
      <c r="D2938" s="87"/>
      <c r="E2938" s="88"/>
      <c r="F2938" s="173"/>
      <c r="G2938" s="88"/>
      <c r="H2938" s="88"/>
      <c r="I2938" s="88"/>
      <c r="J2938" s="88"/>
      <c r="K2938" s="230"/>
      <c r="L2938" s="88"/>
      <c r="M2938" s="88"/>
      <c r="N2938" s="88"/>
      <c r="O2938" s="88"/>
      <c r="P2938" s="88"/>
      <c r="Q2938" s="88"/>
      <c r="R2938" s="88"/>
      <c r="S2938" s="620"/>
      <c r="T2938" s="92"/>
      <c r="U2938" s="1214"/>
      <c r="V2938" s="1215"/>
      <c r="W2938" s="168"/>
      <c r="X2938" s="170"/>
    </row>
    <row r="2939" spans="1:24" ht="12.75" customHeight="1">
      <c r="A2939" s="15"/>
      <c r="B2939" s="92" t="str">
        <f t="shared" si="362"/>
        <v/>
      </c>
      <c r="C2939" s="90"/>
      <c r="D2939" s="87"/>
      <c r="E2939" s="88"/>
      <c r="F2939" s="173"/>
      <c r="G2939" s="88"/>
      <c r="H2939" s="88"/>
      <c r="I2939" s="88"/>
      <c r="J2939" s="88"/>
      <c r="K2939" s="230"/>
      <c r="L2939" s="88"/>
      <c r="M2939" s="88"/>
      <c r="N2939" s="88"/>
      <c r="O2939" s="88"/>
      <c r="P2939" s="88"/>
      <c r="Q2939" s="88"/>
      <c r="R2939" s="88"/>
      <c r="S2939" s="620"/>
      <c r="T2939" s="92"/>
      <c r="U2939" s="1214"/>
      <c r="V2939" s="1215"/>
      <c r="W2939" s="168"/>
      <c r="X2939" s="170"/>
    </row>
    <row r="2940" spans="1:24" ht="12.75" customHeight="1">
      <c r="A2940" s="15"/>
      <c r="B2940" s="92" t="str">
        <f t="shared" si="362"/>
        <v/>
      </c>
      <c r="C2940" s="90"/>
      <c r="D2940" s="87"/>
      <c r="E2940" s="88"/>
      <c r="F2940" s="173"/>
      <c r="G2940" s="88"/>
      <c r="H2940" s="88"/>
      <c r="I2940" s="88"/>
      <c r="J2940" s="88"/>
      <c r="K2940" s="230"/>
      <c r="L2940" s="88"/>
      <c r="M2940" s="88"/>
      <c r="N2940" s="88"/>
      <c r="O2940" s="88"/>
      <c r="P2940" s="88"/>
      <c r="Q2940" s="88"/>
      <c r="R2940" s="88"/>
      <c r="S2940" s="620"/>
      <c r="T2940" s="92"/>
      <c r="U2940" s="1214"/>
      <c r="V2940" s="1215"/>
      <c r="W2940" s="168"/>
      <c r="X2940" s="170"/>
    </row>
    <row r="2941" spans="1:24" ht="12.75" customHeight="1">
      <c r="A2941" s="15"/>
      <c r="B2941" s="92" t="str">
        <f t="shared" si="362"/>
        <v/>
      </c>
      <c r="C2941" s="90"/>
      <c r="D2941" s="87"/>
      <c r="E2941" s="88"/>
      <c r="F2941" s="173"/>
      <c r="G2941" s="88"/>
      <c r="H2941" s="88"/>
      <c r="I2941" s="88"/>
      <c r="J2941" s="88"/>
      <c r="K2941" s="230"/>
      <c r="L2941" s="88"/>
      <c r="M2941" s="88"/>
      <c r="N2941" s="88"/>
      <c r="O2941" s="88"/>
      <c r="P2941" s="88"/>
      <c r="Q2941" s="88"/>
      <c r="R2941" s="88"/>
      <c r="S2941" s="620"/>
      <c r="T2941" s="92"/>
      <c r="U2941" s="1214"/>
      <c r="V2941" s="1215"/>
      <c r="W2941" s="168"/>
      <c r="X2941" s="170"/>
    </row>
    <row r="2942" spans="1:24" ht="12.75" customHeight="1">
      <c r="A2942" s="15"/>
      <c r="B2942" s="92" t="str">
        <f t="shared" si="362"/>
        <v/>
      </c>
      <c r="C2942" s="90"/>
      <c r="D2942" s="87"/>
      <c r="E2942" s="88"/>
      <c r="F2942" s="173"/>
      <c r="G2942" s="88"/>
      <c r="H2942" s="88"/>
      <c r="I2942" s="88"/>
      <c r="J2942" s="88"/>
      <c r="K2942" s="230"/>
      <c r="L2942" s="88"/>
      <c r="M2942" s="88"/>
      <c r="N2942" s="88"/>
      <c r="O2942" s="88"/>
      <c r="P2942" s="88"/>
      <c r="Q2942" s="88"/>
      <c r="R2942" s="88"/>
      <c r="S2942" s="620"/>
      <c r="T2942" s="92"/>
      <c r="U2942" s="1214"/>
      <c r="V2942" s="1215"/>
      <c r="W2942" s="168"/>
      <c r="X2942" s="170"/>
    </row>
    <row r="2943" spans="1:24" ht="12.75" customHeight="1">
      <c r="A2943" s="15"/>
      <c r="B2943" s="92" t="str">
        <f t="shared" si="362"/>
        <v/>
      </c>
      <c r="C2943" s="90"/>
      <c r="D2943" s="87"/>
      <c r="E2943" s="88"/>
      <c r="F2943" s="173"/>
      <c r="G2943" s="88"/>
      <c r="H2943" s="88"/>
      <c r="I2943" s="88"/>
      <c r="J2943" s="88"/>
      <c r="K2943" s="230"/>
      <c r="L2943" s="88"/>
      <c r="M2943" s="88"/>
      <c r="N2943" s="88"/>
      <c r="O2943" s="88"/>
      <c r="P2943" s="88"/>
      <c r="Q2943" s="88"/>
      <c r="R2943" s="88"/>
      <c r="S2943" s="620"/>
      <c r="T2943" s="92"/>
      <c r="U2943" s="1214"/>
      <c r="V2943" s="1215"/>
      <c r="W2943" s="168"/>
      <c r="X2943" s="170"/>
    </row>
    <row r="2944" spans="1:24" ht="12.75" customHeight="1">
      <c r="A2944" s="15"/>
      <c r="B2944" s="92" t="str">
        <f t="shared" si="362"/>
        <v/>
      </c>
      <c r="C2944" s="90"/>
      <c r="D2944" s="87"/>
      <c r="E2944" s="88"/>
      <c r="F2944" s="173"/>
      <c r="G2944" s="88"/>
      <c r="H2944" s="88"/>
      <c r="I2944" s="88"/>
      <c r="J2944" s="88"/>
      <c r="K2944" s="230"/>
      <c r="L2944" s="88"/>
      <c r="M2944" s="88"/>
      <c r="N2944" s="88"/>
      <c r="O2944" s="88"/>
      <c r="P2944" s="88"/>
      <c r="Q2944" s="88"/>
      <c r="R2944" s="88"/>
      <c r="S2944" s="620"/>
      <c r="T2944" s="92"/>
      <c r="U2944" s="1214"/>
      <c r="V2944" s="1215"/>
      <c r="W2944" s="168"/>
      <c r="X2944" s="170"/>
    </row>
    <row r="2945" spans="1:24" ht="12.75" customHeight="1">
      <c r="A2945" s="15"/>
      <c r="B2945" s="92" t="str">
        <f t="shared" si="362"/>
        <v/>
      </c>
      <c r="C2945" s="90"/>
      <c r="D2945" s="87"/>
      <c r="E2945" s="88"/>
      <c r="F2945" s="173"/>
      <c r="G2945" s="88"/>
      <c r="H2945" s="88"/>
      <c r="I2945" s="88"/>
      <c r="J2945" s="88"/>
      <c r="K2945" s="230"/>
      <c r="L2945" s="88"/>
      <c r="M2945" s="88"/>
      <c r="N2945" s="88"/>
      <c r="O2945" s="88"/>
      <c r="P2945" s="88"/>
      <c r="Q2945" s="88"/>
      <c r="R2945" s="88"/>
      <c r="S2945" s="620"/>
      <c r="T2945" s="92"/>
      <c r="U2945" s="1214"/>
      <c r="V2945" s="1215"/>
      <c r="W2945" s="168"/>
      <c r="X2945" s="170"/>
    </row>
    <row r="2946" spans="1:24" ht="12.75" customHeight="1">
      <c r="A2946" s="15"/>
      <c r="B2946" s="92" t="str">
        <f t="shared" si="362"/>
        <v/>
      </c>
      <c r="C2946" s="90"/>
      <c r="D2946" s="87"/>
      <c r="E2946" s="88"/>
      <c r="F2946" s="173"/>
      <c r="G2946" s="88"/>
      <c r="H2946" s="88"/>
      <c r="I2946" s="88"/>
      <c r="J2946" s="88"/>
      <c r="K2946" s="230"/>
      <c r="L2946" s="88"/>
      <c r="M2946" s="88"/>
      <c r="N2946" s="88"/>
      <c r="O2946" s="88"/>
      <c r="P2946" s="88"/>
      <c r="Q2946" s="88"/>
      <c r="R2946" s="88"/>
      <c r="S2946" s="620"/>
      <c r="T2946" s="92"/>
      <c r="U2946" s="1214"/>
      <c r="V2946" s="1215"/>
      <c r="W2946" s="168"/>
      <c r="X2946" s="170"/>
    </row>
    <row r="2947" spans="1:24" ht="12.75" customHeight="1">
      <c r="A2947" s="15"/>
      <c r="B2947" s="92" t="str">
        <f t="shared" si="362"/>
        <v/>
      </c>
      <c r="C2947" s="90"/>
      <c r="D2947" s="87"/>
      <c r="E2947" s="88"/>
      <c r="F2947" s="173"/>
      <c r="G2947" s="88"/>
      <c r="H2947" s="88"/>
      <c r="I2947" s="88"/>
      <c r="J2947" s="88"/>
      <c r="K2947" s="230"/>
      <c r="L2947" s="88"/>
      <c r="M2947" s="88"/>
      <c r="N2947" s="88"/>
      <c r="O2947" s="88"/>
      <c r="P2947" s="88"/>
      <c r="Q2947" s="88"/>
      <c r="R2947" s="88"/>
      <c r="S2947" s="620"/>
      <c r="T2947" s="92"/>
      <c r="U2947" s="1214"/>
      <c r="V2947" s="1215"/>
      <c r="W2947" s="168"/>
      <c r="X2947" s="170"/>
    </row>
    <row r="2948" spans="1:24" ht="12.75" customHeight="1">
      <c r="A2948" s="15"/>
      <c r="B2948" s="92" t="str">
        <f t="shared" si="362"/>
        <v/>
      </c>
      <c r="C2948" s="90"/>
      <c r="D2948" s="87"/>
      <c r="E2948" s="88"/>
      <c r="F2948" s="173"/>
      <c r="G2948" s="88"/>
      <c r="H2948" s="88"/>
      <c r="I2948" s="88"/>
      <c r="J2948" s="88"/>
      <c r="K2948" s="230"/>
      <c r="L2948" s="88"/>
      <c r="M2948" s="88"/>
      <c r="N2948" s="88"/>
      <c r="O2948" s="88"/>
      <c r="P2948" s="88"/>
      <c r="Q2948" s="88"/>
      <c r="R2948" s="88"/>
      <c r="S2948" s="620"/>
      <c r="T2948" s="92"/>
      <c r="U2948" s="1214"/>
      <c r="V2948" s="1215"/>
      <c r="W2948" s="168"/>
      <c r="X2948" s="170"/>
    </row>
    <row r="2949" spans="1:24" ht="12.75" customHeight="1">
      <c r="A2949" s="15"/>
      <c r="B2949" s="92" t="str">
        <f t="shared" si="362"/>
        <v/>
      </c>
      <c r="C2949" s="90"/>
      <c r="D2949" s="87"/>
      <c r="E2949" s="88"/>
      <c r="F2949" s="173"/>
      <c r="G2949" s="88"/>
      <c r="H2949" s="88"/>
      <c r="I2949" s="88"/>
      <c r="J2949" s="88"/>
      <c r="K2949" s="230"/>
      <c r="L2949" s="88"/>
      <c r="M2949" s="88"/>
      <c r="N2949" s="88"/>
      <c r="O2949" s="88"/>
      <c r="P2949" s="88"/>
      <c r="Q2949" s="88"/>
      <c r="R2949" s="88"/>
      <c r="S2949" s="620"/>
      <c r="T2949" s="92"/>
      <c r="U2949" s="1214"/>
      <c r="V2949" s="1215"/>
      <c r="W2949" s="168"/>
      <c r="X2949" s="170"/>
    </row>
    <row r="2950" spans="1:24" ht="12.75" customHeight="1">
      <c r="A2950" s="15"/>
      <c r="B2950" s="92" t="str">
        <f t="shared" si="362"/>
        <v/>
      </c>
      <c r="C2950" s="90"/>
      <c r="D2950" s="87"/>
      <c r="E2950" s="88"/>
      <c r="F2950" s="173"/>
      <c r="G2950" s="88"/>
      <c r="H2950" s="88"/>
      <c r="I2950" s="88"/>
      <c r="J2950" s="88"/>
      <c r="K2950" s="230"/>
      <c r="L2950" s="88"/>
      <c r="M2950" s="88"/>
      <c r="N2950" s="88"/>
      <c r="O2950" s="88"/>
      <c r="P2950" s="88"/>
      <c r="Q2950" s="88"/>
      <c r="R2950" s="88"/>
      <c r="S2950" s="620"/>
      <c r="T2950" s="92"/>
      <c r="U2950" s="1214"/>
      <c r="V2950" s="1215"/>
      <c r="W2950" s="168"/>
      <c r="X2950" s="170"/>
    </row>
    <row r="2951" spans="1:24" ht="12.75" customHeight="1">
      <c r="A2951" s="15"/>
      <c r="B2951" s="92" t="str">
        <f t="shared" si="362"/>
        <v/>
      </c>
      <c r="C2951" s="90"/>
      <c r="D2951" s="87"/>
      <c r="E2951" s="88"/>
      <c r="F2951" s="173"/>
      <c r="G2951" s="88"/>
      <c r="H2951" s="88"/>
      <c r="I2951" s="88"/>
      <c r="J2951" s="88"/>
      <c r="K2951" s="230"/>
      <c r="L2951" s="88"/>
      <c r="M2951" s="88"/>
      <c r="N2951" s="88"/>
      <c r="O2951" s="88"/>
      <c r="P2951" s="88"/>
      <c r="Q2951" s="88"/>
      <c r="R2951" s="88"/>
      <c r="S2951" s="620"/>
      <c r="T2951" s="92"/>
      <c r="U2951" s="1214"/>
      <c r="V2951" s="1215"/>
      <c r="W2951" s="168"/>
      <c r="X2951" s="170"/>
    </row>
    <row r="2952" spans="1:24" ht="12.75" customHeight="1">
      <c r="A2952" s="15"/>
      <c r="B2952" s="92" t="str">
        <f t="shared" si="362"/>
        <v/>
      </c>
      <c r="C2952" s="90"/>
      <c r="D2952" s="87"/>
      <c r="E2952" s="88"/>
      <c r="F2952" s="173"/>
      <c r="G2952" s="88"/>
      <c r="H2952" s="88"/>
      <c r="I2952" s="88"/>
      <c r="J2952" s="88"/>
      <c r="K2952" s="230"/>
      <c r="L2952" s="88"/>
      <c r="M2952" s="88"/>
      <c r="N2952" s="88"/>
      <c r="O2952" s="88"/>
      <c r="P2952" s="88"/>
      <c r="Q2952" s="88"/>
      <c r="R2952" s="88"/>
      <c r="S2952" s="620"/>
      <c r="T2952" s="92"/>
      <c r="U2952" s="1214"/>
      <c r="V2952" s="1215"/>
      <c r="W2952" s="168"/>
      <c r="X2952" s="170"/>
    </row>
    <row r="2953" spans="1:24" ht="12.75" customHeight="1">
      <c r="A2953" s="15"/>
      <c r="B2953" s="92" t="str">
        <f t="shared" si="362"/>
        <v/>
      </c>
      <c r="C2953" s="90"/>
      <c r="D2953" s="87"/>
      <c r="E2953" s="88"/>
      <c r="F2953" s="173"/>
      <c r="G2953" s="88"/>
      <c r="H2953" s="88"/>
      <c r="I2953" s="88"/>
      <c r="J2953" s="88"/>
      <c r="K2953" s="230"/>
      <c r="L2953" s="88"/>
      <c r="M2953" s="88"/>
      <c r="N2953" s="88"/>
      <c r="O2953" s="88"/>
      <c r="P2953" s="88"/>
      <c r="Q2953" s="88"/>
      <c r="R2953" s="88"/>
      <c r="S2953" s="620"/>
      <c r="T2953" s="92"/>
      <c r="U2953" s="1214"/>
      <c r="V2953" s="1215"/>
      <c r="W2953" s="168"/>
      <c r="X2953" s="170"/>
    </row>
    <row r="2954" spans="1:24" ht="12.75" customHeight="1">
      <c r="A2954" s="15"/>
      <c r="B2954" s="92" t="str">
        <f t="shared" si="362"/>
        <v/>
      </c>
      <c r="C2954" s="90"/>
      <c r="D2954" s="87"/>
      <c r="E2954" s="88"/>
      <c r="F2954" s="173"/>
      <c r="G2954" s="88"/>
      <c r="H2954" s="88"/>
      <c r="I2954" s="88"/>
      <c r="J2954" s="88"/>
      <c r="K2954" s="230"/>
      <c r="L2954" s="88"/>
      <c r="M2954" s="88"/>
      <c r="N2954" s="88"/>
      <c r="O2954" s="88"/>
      <c r="P2954" s="88"/>
      <c r="Q2954" s="88"/>
      <c r="R2954" s="88"/>
      <c r="S2954" s="620"/>
      <c r="T2954" s="92"/>
      <c r="U2954" s="1214"/>
      <c r="V2954" s="1215"/>
      <c r="W2954" s="168"/>
      <c r="X2954" s="170"/>
    </row>
    <row r="2955" spans="1:24" ht="12.75" customHeight="1">
      <c r="A2955" s="15"/>
      <c r="B2955" s="92" t="str">
        <f t="shared" si="362"/>
        <v/>
      </c>
      <c r="C2955" s="90"/>
      <c r="D2955" s="87"/>
      <c r="E2955" s="88"/>
      <c r="F2955" s="173"/>
      <c r="G2955" s="88"/>
      <c r="H2955" s="88"/>
      <c r="I2955" s="88"/>
      <c r="J2955" s="88"/>
      <c r="K2955" s="230"/>
      <c r="L2955" s="88"/>
      <c r="M2955" s="88"/>
      <c r="N2955" s="88"/>
      <c r="O2955" s="88"/>
      <c r="P2955" s="88"/>
      <c r="Q2955" s="88"/>
      <c r="R2955" s="88"/>
      <c r="S2955" s="620"/>
      <c r="T2955" s="92"/>
      <c r="U2955" s="1214"/>
      <c r="V2955" s="1215"/>
      <c r="W2955" s="168"/>
      <c r="X2955" s="170"/>
    </row>
    <row r="2956" spans="1:24" ht="12.75" customHeight="1">
      <c r="A2956" s="15"/>
      <c r="B2956" s="92" t="str">
        <f t="shared" si="362"/>
        <v/>
      </c>
      <c r="C2956" s="90"/>
      <c r="D2956" s="87"/>
      <c r="E2956" s="88"/>
      <c r="F2956" s="173"/>
      <c r="G2956" s="88"/>
      <c r="H2956" s="88"/>
      <c r="I2956" s="88"/>
      <c r="J2956" s="88"/>
      <c r="K2956" s="230"/>
      <c r="L2956" s="88"/>
      <c r="M2956" s="88"/>
      <c r="N2956" s="88"/>
      <c r="O2956" s="88"/>
      <c r="P2956" s="88"/>
      <c r="Q2956" s="88"/>
      <c r="R2956" s="88"/>
      <c r="S2956" s="620"/>
      <c r="T2956" s="92"/>
      <c r="U2956" s="1214"/>
      <c r="V2956" s="1215"/>
      <c r="W2956" s="168"/>
      <c r="X2956" s="170"/>
    </row>
    <row r="2957" spans="1:24" ht="12.75" customHeight="1">
      <c r="A2957" s="15"/>
      <c r="B2957" s="92" t="str">
        <f t="shared" si="362"/>
        <v/>
      </c>
      <c r="C2957" s="90"/>
      <c r="D2957" s="87"/>
      <c r="E2957" s="88"/>
      <c r="F2957" s="173"/>
      <c r="G2957" s="88"/>
      <c r="H2957" s="88"/>
      <c r="I2957" s="88"/>
      <c r="J2957" s="88"/>
      <c r="K2957" s="230"/>
      <c r="L2957" s="88"/>
      <c r="M2957" s="88"/>
      <c r="N2957" s="88"/>
      <c r="O2957" s="88"/>
      <c r="P2957" s="88"/>
      <c r="Q2957" s="88"/>
      <c r="R2957" s="88"/>
      <c r="S2957" s="620"/>
      <c r="T2957" s="92"/>
      <c r="U2957" s="1214"/>
      <c r="V2957" s="1215"/>
      <c r="W2957" s="168"/>
      <c r="X2957" s="170"/>
    </row>
    <row r="2958" spans="1:24" ht="12.75" customHeight="1">
      <c r="A2958" s="15"/>
      <c r="B2958" s="92" t="str">
        <f t="shared" si="362"/>
        <v/>
      </c>
      <c r="C2958" s="90"/>
      <c r="D2958" s="87"/>
      <c r="E2958" s="88"/>
      <c r="F2958" s="173"/>
      <c r="G2958" s="88"/>
      <c r="H2958" s="88"/>
      <c r="I2958" s="88"/>
      <c r="J2958" s="88"/>
      <c r="K2958" s="230"/>
      <c r="L2958" s="88"/>
      <c r="M2958" s="88"/>
      <c r="N2958" s="88"/>
      <c r="O2958" s="88"/>
      <c r="P2958" s="88"/>
      <c r="Q2958" s="88"/>
      <c r="R2958" s="88"/>
      <c r="S2958" s="620"/>
      <c r="T2958" s="92"/>
      <c r="U2958" s="1214"/>
      <c r="V2958" s="1215"/>
      <c r="W2958" s="168"/>
      <c r="X2958" s="170"/>
    </row>
    <row r="2959" spans="1:24" ht="12.75" customHeight="1">
      <c r="A2959" s="15"/>
      <c r="B2959" s="92" t="str">
        <f t="shared" si="362"/>
        <v/>
      </c>
      <c r="C2959" s="90"/>
      <c r="D2959" s="87"/>
      <c r="E2959" s="88"/>
      <c r="F2959" s="173"/>
      <c r="G2959" s="88"/>
      <c r="H2959" s="88"/>
      <c r="I2959" s="88"/>
      <c r="J2959" s="88"/>
      <c r="K2959" s="230"/>
      <c r="L2959" s="88"/>
      <c r="M2959" s="88"/>
      <c r="N2959" s="88"/>
      <c r="O2959" s="88"/>
      <c r="P2959" s="88"/>
      <c r="Q2959" s="88"/>
      <c r="R2959" s="88"/>
      <c r="S2959" s="620"/>
      <c r="T2959" s="92"/>
      <c r="U2959" s="1214"/>
      <c r="V2959" s="1215"/>
      <c r="W2959" s="168"/>
      <c r="X2959" s="170"/>
    </row>
    <row r="2960" spans="1:24" ht="12.75" customHeight="1">
      <c r="A2960" s="15"/>
      <c r="B2960" s="92" t="str">
        <f t="shared" si="362"/>
        <v/>
      </c>
      <c r="C2960" s="90"/>
      <c r="D2960" s="87"/>
      <c r="E2960" s="88"/>
      <c r="F2960" s="173"/>
      <c r="G2960" s="88"/>
      <c r="H2960" s="88"/>
      <c r="I2960" s="88"/>
      <c r="J2960" s="88"/>
      <c r="K2960" s="230"/>
      <c r="L2960" s="88"/>
      <c r="M2960" s="88"/>
      <c r="N2960" s="88"/>
      <c r="O2960" s="88"/>
      <c r="P2960" s="88"/>
      <c r="Q2960" s="88"/>
      <c r="R2960" s="88"/>
      <c r="S2960" s="620"/>
      <c r="T2960" s="92"/>
      <c r="U2960" s="1214"/>
      <c r="V2960" s="1215"/>
      <c r="W2960" s="168"/>
      <c r="X2960" s="170"/>
    </row>
    <row r="2961" spans="1:24" ht="12.75" customHeight="1">
      <c r="A2961" s="15"/>
      <c r="B2961" s="92" t="str">
        <f t="shared" si="362"/>
        <v/>
      </c>
      <c r="C2961" s="90"/>
      <c r="D2961" s="87"/>
      <c r="E2961" s="88"/>
      <c r="F2961" s="173"/>
      <c r="G2961" s="88"/>
      <c r="H2961" s="88"/>
      <c r="I2961" s="88"/>
      <c r="J2961" s="88"/>
      <c r="K2961" s="230"/>
      <c r="L2961" s="88"/>
      <c r="M2961" s="88"/>
      <c r="N2961" s="88"/>
      <c r="O2961" s="88"/>
      <c r="P2961" s="88"/>
      <c r="Q2961" s="88"/>
      <c r="R2961" s="88"/>
      <c r="S2961" s="620"/>
      <c r="T2961" s="92"/>
      <c r="U2961" s="1214"/>
      <c r="V2961" s="1215"/>
      <c r="W2961" s="168"/>
      <c r="X2961" s="170"/>
    </row>
    <row r="2962" spans="1:24" ht="12.75" customHeight="1">
      <c r="A2962" s="15"/>
      <c r="B2962" s="92" t="str">
        <f t="shared" si="362"/>
        <v/>
      </c>
      <c r="C2962" s="90"/>
      <c r="D2962" s="87"/>
      <c r="E2962" s="88"/>
      <c r="F2962" s="173"/>
      <c r="G2962" s="88"/>
      <c r="H2962" s="88"/>
      <c r="I2962" s="88"/>
      <c r="J2962" s="88"/>
      <c r="K2962" s="230"/>
      <c r="L2962" s="88"/>
      <c r="M2962" s="88"/>
      <c r="N2962" s="88"/>
      <c r="O2962" s="88"/>
      <c r="P2962" s="88"/>
      <c r="Q2962" s="88"/>
      <c r="R2962" s="88"/>
      <c r="S2962" s="620"/>
      <c r="T2962" s="92"/>
      <c r="U2962" s="1214"/>
      <c r="V2962" s="1215"/>
      <c r="W2962" s="168"/>
      <c r="X2962" s="170"/>
    </row>
    <row r="2963" spans="1:24" ht="12.75" customHeight="1">
      <c r="A2963" s="15"/>
      <c r="B2963" s="92" t="str">
        <f t="shared" si="362"/>
        <v/>
      </c>
      <c r="C2963" s="90"/>
      <c r="D2963" s="87"/>
      <c r="E2963" s="88"/>
      <c r="F2963" s="173"/>
      <c r="G2963" s="88"/>
      <c r="H2963" s="88"/>
      <c r="I2963" s="88"/>
      <c r="J2963" s="88"/>
      <c r="K2963" s="230"/>
      <c r="L2963" s="88"/>
      <c r="M2963" s="88"/>
      <c r="N2963" s="88"/>
      <c r="O2963" s="88"/>
      <c r="P2963" s="88"/>
      <c r="Q2963" s="88"/>
      <c r="R2963" s="88"/>
      <c r="S2963" s="620"/>
      <c r="T2963" s="92"/>
      <c r="U2963" s="1214"/>
      <c r="V2963" s="1215"/>
      <c r="W2963" s="168"/>
      <c r="X2963" s="170"/>
    </row>
    <row r="2964" spans="1:24" ht="12.75" customHeight="1">
      <c r="A2964" s="15"/>
      <c r="B2964" s="92" t="str">
        <f t="shared" si="362"/>
        <v/>
      </c>
      <c r="C2964" s="90"/>
      <c r="D2964" s="87"/>
      <c r="E2964" s="88"/>
      <c r="F2964" s="173"/>
      <c r="G2964" s="88"/>
      <c r="H2964" s="88"/>
      <c r="I2964" s="88"/>
      <c r="J2964" s="88"/>
      <c r="K2964" s="230"/>
      <c r="L2964" s="88"/>
      <c r="M2964" s="88"/>
      <c r="N2964" s="88"/>
      <c r="O2964" s="88"/>
      <c r="P2964" s="88"/>
      <c r="Q2964" s="88"/>
      <c r="R2964" s="88"/>
      <c r="S2964" s="620"/>
      <c r="T2964" s="92"/>
      <c r="U2964" s="1214"/>
      <c r="V2964" s="1215"/>
      <c r="W2964" s="168"/>
      <c r="X2964" s="170"/>
    </row>
    <row r="2965" spans="1:24" ht="12.75" customHeight="1">
      <c r="A2965" s="15"/>
      <c r="B2965" s="92" t="str">
        <f t="shared" si="362"/>
        <v/>
      </c>
      <c r="C2965" s="90"/>
      <c r="D2965" s="87"/>
      <c r="E2965" s="88"/>
      <c r="F2965" s="173"/>
      <c r="G2965" s="88"/>
      <c r="H2965" s="88"/>
      <c r="I2965" s="88"/>
      <c r="J2965" s="88"/>
      <c r="K2965" s="230"/>
      <c r="L2965" s="88"/>
      <c r="M2965" s="88"/>
      <c r="N2965" s="88"/>
      <c r="O2965" s="88"/>
      <c r="P2965" s="88"/>
      <c r="Q2965" s="88"/>
      <c r="R2965" s="88"/>
      <c r="S2965" s="620"/>
      <c r="T2965" s="92"/>
      <c r="U2965" s="1214"/>
      <c r="V2965" s="1215"/>
      <c r="W2965" s="168"/>
      <c r="X2965" s="170"/>
    </row>
    <row r="2966" spans="1:24" ht="12.75" customHeight="1">
      <c r="A2966" s="15"/>
      <c r="B2966" s="92" t="str">
        <f t="shared" si="362"/>
        <v/>
      </c>
      <c r="C2966" s="90"/>
      <c r="D2966" s="87"/>
      <c r="E2966" s="88"/>
      <c r="F2966" s="173"/>
      <c r="G2966" s="88"/>
      <c r="H2966" s="88"/>
      <c r="I2966" s="88"/>
      <c r="J2966" s="88"/>
      <c r="K2966" s="230"/>
      <c r="L2966" s="88"/>
      <c r="M2966" s="88"/>
      <c r="N2966" s="88"/>
      <c r="O2966" s="88"/>
      <c r="P2966" s="88"/>
      <c r="Q2966" s="88"/>
      <c r="R2966" s="88"/>
      <c r="S2966" s="620"/>
      <c r="T2966" s="92"/>
      <c r="U2966" s="1214"/>
      <c r="V2966" s="1215"/>
      <c r="W2966" s="168"/>
      <c r="X2966" s="170"/>
    </row>
    <row r="2967" spans="1:24" ht="12.75" customHeight="1">
      <c r="A2967" s="15"/>
      <c r="B2967" s="92" t="str">
        <f t="shared" si="362"/>
        <v/>
      </c>
      <c r="C2967" s="90"/>
      <c r="D2967" s="87"/>
      <c r="E2967" s="88"/>
      <c r="F2967" s="173"/>
      <c r="G2967" s="88"/>
      <c r="H2967" s="88"/>
      <c r="I2967" s="88"/>
      <c r="J2967" s="88"/>
      <c r="K2967" s="230"/>
      <c r="L2967" s="88"/>
      <c r="M2967" s="88"/>
      <c r="N2967" s="88"/>
      <c r="O2967" s="88"/>
      <c r="P2967" s="88"/>
      <c r="Q2967" s="88"/>
      <c r="R2967" s="88"/>
      <c r="S2967" s="620"/>
      <c r="T2967" s="92"/>
      <c r="U2967" s="1214"/>
      <c r="V2967" s="1215"/>
      <c r="W2967" s="168"/>
      <c r="X2967" s="170"/>
    </row>
    <row r="2968" spans="1:24" ht="12.75" customHeight="1">
      <c r="A2968" s="15"/>
      <c r="B2968" s="92" t="str">
        <f t="shared" si="362"/>
        <v/>
      </c>
      <c r="C2968" s="90"/>
      <c r="D2968" s="87"/>
      <c r="E2968" s="88"/>
      <c r="F2968" s="173"/>
      <c r="G2968" s="88"/>
      <c r="H2968" s="88"/>
      <c r="I2968" s="88"/>
      <c r="J2968" s="88"/>
      <c r="K2968" s="230"/>
      <c r="L2968" s="88"/>
      <c r="M2968" s="88"/>
      <c r="N2968" s="88"/>
      <c r="O2968" s="88"/>
      <c r="P2968" s="88"/>
      <c r="Q2968" s="88"/>
      <c r="R2968" s="88"/>
      <c r="S2968" s="620"/>
      <c r="T2968" s="92"/>
      <c r="U2968" s="1214"/>
      <c r="V2968" s="1215"/>
      <c r="W2968" s="168"/>
      <c r="X2968" s="170"/>
    </row>
    <row r="2969" spans="1:24" ht="12.75" customHeight="1">
      <c r="A2969" s="15"/>
      <c r="B2969" s="92" t="str">
        <f t="shared" si="362"/>
        <v/>
      </c>
      <c r="C2969" s="90"/>
      <c r="D2969" s="87"/>
      <c r="E2969" s="88"/>
      <c r="F2969" s="173"/>
      <c r="G2969" s="88"/>
      <c r="H2969" s="88"/>
      <c r="I2969" s="88"/>
      <c r="J2969" s="88"/>
      <c r="K2969" s="230"/>
      <c r="L2969" s="88"/>
      <c r="M2969" s="88"/>
      <c r="N2969" s="88"/>
      <c r="O2969" s="88"/>
      <c r="P2969" s="88"/>
      <c r="Q2969" s="88"/>
      <c r="R2969" s="88"/>
      <c r="S2969" s="620"/>
      <c r="T2969" s="92"/>
      <c r="U2969" s="1214"/>
      <c r="V2969" s="1215"/>
      <c r="W2969" s="168"/>
      <c r="X2969" s="170"/>
    </row>
    <row r="2970" spans="1:24" ht="12.75" customHeight="1">
      <c r="A2970" s="15"/>
      <c r="B2970" s="92" t="str">
        <f t="shared" si="362"/>
        <v/>
      </c>
      <c r="C2970" s="90"/>
      <c r="D2970" s="87"/>
      <c r="E2970" s="88"/>
      <c r="F2970" s="173"/>
      <c r="G2970" s="88"/>
      <c r="H2970" s="88"/>
      <c r="I2970" s="88"/>
      <c r="J2970" s="88"/>
      <c r="K2970" s="230"/>
      <c r="L2970" s="88"/>
      <c r="M2970" s="88"/>
      <c r="N2970" s="88"/>
      <c r="O2970" s="88"/>
      <c r="P2970" s="88"/>
      <c r="Q2970" s="88"/>
      <c r="R2970" s="88"/>
      <c r="S2970" s="620"/>
      <c r="T2970" s="92"/>
      <c r="U2970" s="1214"/>
      <c r="V2970" s="1215"/>
      <c r="W2970" s="168"/>
      <c r="X2970" s="170"/>
    </row>
    <row r="2971" spans="1:24" ht="12.75" customHeight="1">
      <c r="A2971" s="15"/>
      <c r="B2971" s="92" t="str">
        <f t="shared" si="362"/>
        <v/>
      </c>
      <c r="C2971" s="90"/>
      <c r="D2971" s="87"/>
      <c r="E2971" s="88"/>
      <c r="F2971" s="173"/>
      <c r="G2971" s="88"/>
      <c r="H2971" s="88"/>
      <c r="I2971" s="88"/>
      <c r="J2971" s="88"/>
      <c r="K2971" s="230"/>
      <c r="L2971" s="88"/>
      <c r="M2971" s="88"/>
      <c r="N2971" s="88"/>
      <c r="O2971" s="88"/>
      <c r="P2971" s="88"/>
      <c r="Q2971" s="88"/>
      <c r="R2971" s="88"/>
      <c r="S2971" s="620"/>
      <c r="T2971" s="92"/>
      <c r="U2971" s="1214"/>
      <c r="V2971" s="1215"/>
      <c r="W2971" s="168"/>
      <c r="X2971" s="170"/>
    </row>
    <row r="2972" spans="1:24" ht="12.75" customHeight="1">
      <c r="A2972" s="15"/>
      <c r="B2972" s="92" t="str">
        <f t="shared" si="362"/>
        <v/>
      </c>
      <c r="C2972" s="90"/>
      <c r="D2972" s="87"/>
      <c r="E2972" s="88"/>
      <c r="F2972" s="173"/>
      <c r="G2972" s="88"/>
      <c r="H2972" s="88"/>
      <c r="I2972" s="88"/>
      <c r="J2972" s="88"/>
      <c r="K2972" s="230"/>
      <c r="L2972" s="88"/>
      <c r="M2972" s="88"/>
      <c r="N2972" s="88"/>
      <c r="O2972" s="88"/>
      <c r="P2972" s="88"/>
      <c r="Q2972" s="88"/>
      <c r="R2972" s="88"/>
      <c r="S2972" s="620"/>
      <c r="T2972" s="92"/>
      <c r="U2972" s="1214"/>
      <c r="V2972" s="1215"/>
      <c r="W2972" s="168"/>
      <c r="X2972" s="170"/>
    </row>
    <row r="2973" spans="1:24" ht="12.75" customHeight="1">
      <c r="A2973" s="15"/>
      <c r="B2973" s="92" t="str">
        <f t="shared" si="362"/>
        <v/>
      </c>
      <c r="C2973" s="90"/>
      <c r="D2973" s="87"/>
      <c r="E2973" s="88"/>
      <c r="F2973" s="173"/>
      <c r="G2973" s="88"/>
      <c r="H2973" s="88"/>
      <c r="I2973" s="88"/>
      <c r="J2973" s="88"/>
      <c r="K2973" s="230"/>
      <c r="L2973" s="88"/>
      <c r="M2973" s="88"/>
      <c r="N2973" s="88"/>
      <c r="O2973" s="88"/>
      <c r="P2973" s="88"/>
      <c r="Q2973" s="88"/>
      <c r="R2973" s="88"/>
      <c r="S2973" s="620"/>
      <c r="T2973" s="92"/>
      <c r="U2973" s="1214"/>
      <c r="V2973" s="1215"/>
      <c r="W2973" s="168"/>
      <c r="X2973" s="170"/>
    </row>
    <row r="2974" spans="1:24" ht="12.75" customHeight="1">
      <c r="A2974" s="15"/>
      <c r="B2974" s="92" t="str">
        <f t="shared" si="362"/>
        <v/>
      </c>
      <c r="C2974" s="90"/>
      <c r="D2974" s="87"/>
      <c r="E2974" s="88"/>
      <c r="F2974" s="173"/>
      <c r="G2974" s="88"/>
      <c r="H2974" s="88"/>
      <c r="I2974" s="88"/>
      <c r="J2974" s="88"/>
      <c r="K2974" s="230"/>
      <c r="L2974" s="88"/>
      <c r="M2974" s="88"/>
      <c r="N2974" s="88"/>
      <c r="O2974" s="88"/>
      <c r="P2974" s="88"/>
      <c r="Q2974" s="88"/>
      <c r="R2974" s="88"/>
      <c r="S2974" s="620"/>
      <c r="T2974" s="92"/>
      <c r="U2974" s="1214"/>
      <c r="V2974" s="1215"/>
      <c r="W2974" s="168"/>
      <c r="X2974" s="170"/>
    </row>
    <row r="2975" spans="1:24" ht="12.75" customHeight="1">
      <c r="A2975" s="15"/>
      <c r="B2975" s="92" t="str">
        <f t="shared" si="362"/>
        <v/>
      </c>
      <c r="C2975" s="90"/>
      <c r="D2975" s="87"/>
      <c r="E2975" s="88"/>
      <c r="F2975" s="173"/>
      <c r="G2975" s="88"/>
      <c r="H2975" s="88"/>
      <c r="I2975" s="88"/>
      <c r="J2975" s="88"/>
      <c r="K2975" s="230"/>
      <c r="L2975" s="88"/>
      <c r="M2975" s="88"/>
      <c r="N2975" s="88"/>
      <c r="O2975" s="88"/>
      <c r="P2975" s="88"/>
      <c r="Q2975" s="88"/>
      <c r="R2975" s="88"/>
      <c r="S2975" s="620"/>
      <c r="T2975" s="92"/>
      <c r="U2975" s="1214"/>
      <c r="V2975" s="1215"/>
      <c r="W2975" s="168"/>
      <c r="X2975" s="170"/>
    </row>
    <row r="2976" spans="1:24" ht="12.75" customHeight="1">
      <c r="A2976" s="15"/>
      <c r="B2976" s="92" t="str">
        <f t="shared" si="362"/>
        <v/>
      </c>
      <c r="C2976" s="90"/>
      <c r="D2976" s="87"/>
      <c r="E2976" s="88"/>
      <c r="F2976" s="173"/>
      <c r="G2976" s="88"/>
      <c r="H2976" s="88"/>
      <c r="I2976" s="88"/>
      <c r="J2976" s="88"/>
      <c r="K2976" s="230"/>
      <c r="L2976" s="88"/>
      <c r="M2976" s="88"/>
      <c r="N2976" s="88"/>
      <c r="O2976" s="88"/>
      <c r="P2976" s="88"/>
      <c r="Q2976" s="88"/>
      <c r="R2976" s="88"/>
      <c r="S2976" s="620"/>
      <c r="T2976" s="92"/>
      <c r="U2976" s="1214"/>
      <c r="V2976" s="1215"/>
      <c r="W2976" s="168"/>
      <c r="X2976" s="170"/>
    </row>
    <row r="2977" spans="1:24" ht="12.75" customHeight="1">
      <c r="A2977" s="15"/>
      <c r="B2977" s="92" t="str">
        <f t="shared" si="362"/>
        <v/>
      </c>
      <c r="C2977" s="90"/>
      <c r="D2977" s="87"/>
      <c r="E2977" s="88"/>
      <c r="F2977" s="173"/>
      <c r="G2977" s="88"/>
      <c r="H2977" s="88"/>
      <c r="I2977" s="88"/>
      <c r="J2977" s="88"/>
      <c r="K2977" s="230"/>
      <c r="L2977" s="88"/>
      <c r="M2977" s="88"/>
      <c r="N2977" s="88"/>
      <c r="O2977" s="88"/>
      <c r="P2977" s="88"/>
      <c r="Q2977" s="88"/>
      <c r="R2977" s="88"/>
      <c r="S2977" s="620"/>
      <c r="T2977" s="92"/>
      <c r="U2977" s="1214"/>
      <c r="V2977" s="1215"/>
      <c r="W2977" s="168"/>
      <c r="X2977" s="170"/>
    </row>
    <row r="2978" spans="1:24" ht="12.75" customHeight="1">
      <c r="A2978" s="15"/>
      <c r="B2978" s="92" t="str">
        <f t="shared" si="362"/>
        <v/>
      </c>
      <c r="C2978" s="90"/>
      <c r="D2978" s="87"/>
      <c r="E2978" s="88"/>
      <c r="F2978" s="173"/>
      <c r="G2978" s="88"/>
      <c r="H2978" s="88"/>
      <c r="I2978" s="88"/>
      <c r="J2978" s="88"/>
      <c r="K2978" s="230"/>
      <c r="L2978" s="88"/>
      <c r="M2978" s="88"/>
      <c r="N2978" s="88"/>
      <c r="O2978" s="88"/>
      <c r="P2978" s="88"/>
      <c r="Q2978" s="88"/>
      <c r="R2978" s="88"/>
      <c r="S2978" s="620"/>
      <c r="T2978" s="92"/>
      <c r="U2978" s="1214"/>
      <c r="V2978" s="1215"/>
      <c r="W2978" s="168"/>
      <c r="X2978" s="170"/>
    </row>
    <row r="2979" spans="1:24" ht="12.75" customHeight="1">
      <c r="A2979" s="15"/>
      <c r="B2979" s="92" t="str">
        <f t="shared" si="362"/>
        <v/>
      </c>
      <c r="C2979" s="90"/>
      <c r="D2979" s="87"/>
      <c r="E2979" s="88"/>
      <c r="F2979" s="173"/>
      <c r="G2979" s="88"/>
      <c r="H2979" s="88"/>
      <c r="I2979" s="88"/>
      <c r="J2979" s="88"/>
      <c r="K2979" s="230"/>
      <c r="L2979" s="88"/>
      <c r="M2979" s="88"/>
      <c r="N2979" s="88"/>
      <c r="O2979" s="88"/>
      <c r="P2979" s="88"/>
      <c r="Q2979" s="88"/>
      <c r="R2979" s="88"/>
      <c r="S2979" s="620"/>
      <c r="T2979" s="92"/>
      <c r="U2979" s="1214"/>
      <c r="V2979" s="1215"/>
      <c r="W2979" s="168"/>
      <c r="X2979" s="170"/>
    </row>
    <row r="2980" spans="1:24" ht="12.75" customHeight="1">
      <c r="A2980" s="15"/>
      <c r="B2980" s="92" t="str">
        <f t="shared" si="362"/>
        <v/>
      </c>
      <c r="C2980" s="90"/>
      <c r="D2980" s="87"/>
      <c r="E2980" s="88"/>
      <c r="F2980" s="173"/>
      <c r="G2980" s="88"/>
      <c r="H2980" s="88"/>
      <c r="I2980" s="88"/>
      <c r="J2980" s="88"/>
      <c r="K2980" s="230"/>
      <c r="L2980" s="88"/>
      <c r="M2980" s="88"/>
      <c r="N2980" s="88"/>
      <c r="O2980" s="88"/>
      <c r="P2980" s="88"/>
      <c r="Q2980" s="88"/>
      <c r="R2980" s="88"/>
      <c r="S2980" s="620"/>
      <c r="T2980" s="92"/>
      <c r="U2980" s="1214"/>
      <c r="V2980" s="1215"/>
      <c r="W2980" s="168"/>
      <c r="X2980" s="170"/>
    </row>
    <row r="2981" spans="1:24" ht="12.75" customHeight="1">
      <c r="A2981" s="15"/>
      <c r="B2981" s="92" t="str">
        <f t="shared" si="362"/>
        <v/>
      </c>
      <c r="C2981" s="90"/>
      <c r="D2981" s="87"/>
      <c r="E2981" s="88"/>
      <c r="F2981" s="173"/>
      <c r="G2981" s="88"/>
      <c r="H2981" s="88"/>
      <c r="I2981" s="88"/>
      <c r="J2981" s="88"/>
      <c r="K2981" s="230"/>
      <c r="L2981" s="88"/>
      <c r="M2981" s="88"/>
      <c r="N2981" s="88"/>
      <c r="O2981" s="88"/>
      <c r="P2981" s="88"/>
      <c r="Q2981" s="88"/>
      <c r="R2981" s="88"/>
      <c r="S2981" s="620"/>
      <c r="T2981" s="92"/>
      <c r="U2981" s="1214"/>
      <c r="V2981" s="1215"/>
      <c r="W2981" s="168"/>
      <c r="X2981" s="170"/>
    </row>
    <row r="2982" spans="1:24" ht="12.75" customHeight="1">
      <c r="A2982" s="15"/>
      <c r="B2982" s="92" t="str">
        <f t="shared" si="362"/>
        <v/>
      </c>
      <c r="C2982" s="90"/>
      <c r="D2982" s="87"/>
      <c r="E2982" s="88"/>
      <c r="F2982" s="173"/>
      <c r="G2982" s="88"/>
      <c r="H2982" s="88"/>
      <c r="I2982" s="88"/>
      <c r="J2982" s="88"/>
      <c r="K2982" s="230"/>
      <c r="L2982" s="88"/>
      <c r="M2982" s="88"/>
      <c r="N2982" s="88"/>
      <c r="O2982" s="88"/>
      <c r="P2982" s="88"/>
      <c r="Q2982" s="88"/>
      <c r="R2982" s="88"/>
      <c r="S2982" s="620"/>
      <c r="T2982" s="92"/>
      <c r="U2982" s="1214"/>
      <c r="V2982" s="1215"/>
      <c r="W2982" s="168"/>
      <c r="X2982" s="170"/>
    </row>
    <row r="2983" spans="1:24" ht="12.75" customHeight="1">
      <c r="A2983" s="15"/>
      <c r="B2983" s="92" t="str">
        <f t="shared" si="362"/>
        <v/>
      </c>
      <c r="C2983" s="90"/>
      <c r="D2983" s="87"/>
      <c r="E2983" s="88"/>
      <c r="F2983" s="173"/>
      <c r="G2983" s="88"/>
      <c r="H2983" s="88"/>
      <c r="I2983" s="88"/>
      <c r="J2983" s="88"/>
      <c r="K2983" s="230"/>
      <c r="L2983" s="88"/>
      <c r="M2983" s="88"/>
      <c r="N2983" s="88"/>
      <c r="O2983" s="88"/>
      <c r="P2983" s="88"/>
      <c r="Q2983" s="88"/>
      <c r="R2983" s="88"/>
      <c r="S2983" s="620"/>
      <c r="T2983" s="92"/>
      <c r="U2983" s="1214"/>
      <c r="V2983" s="1215"/>
      <c r="W2983" s="168"/>
      <c r="X2983" s="170"/>
    </row>
    <row r="2984" spans="1:24" ht="12.75" customHeight="1">
      <c r="A2984" s="15"/>
      <c r="B2984" s="92" t="str">
        <f t="shared" si="362"/>
        <v/>
      </c>
      <c r="C2984" s="90"/>
      <c r="D2984" s="87"/>
      <c r="E2984" s="88"/>
      <c r="F2984" s="173"/>
      <c r="G2984" s="88"/>
      <c r="H2984" s="88"/>
      <c r="I2984" s="88"/>
      <c r="J2984" s="88"/>
      <c r="K2984" s="230"/>
      <c r="L2984" s="88"/>
      <c r="M2984" s="88"/>
      <c r="N2984" s="88"/>
      <c r="O2984" s="88"/>
      <c r="P2984" s="88"/>
      <c r="Q2984" s="88"/>
      <c r="R2984" s="88"/>
      <c r="S2984" s="620"/>
      <c r="T2984" s="92"/>
      <c r="U2984" s="1214"/>
      <c r="V2984" s="1215"/>
      <c r="W2984" s="168"/>
      <c r="X2984" s="170"/>
    </row>
    <row r="2985" spans="1:24" ht="12.75" customHeight="1">
      <c r="A2985" s="15"/>
      <c r="B2985" s="92" t="str">
        <f t="shared" si="362"/>
        <v/>
      </c>
      <c r="C2985" s="90"/>
      <c r="D2985" s="87"/>
      <c r="E2985" s="88"/>
      <c r="F2985" s="173"/>
      <c r="G2985" s="88"/>
      <c r="H2985" s="88"/>
      <c r="I2985" s="88"/>
      <c r="J2985" s="88"/>
      <c r="K2985" s="230"/>
      <c r="L2985" s="88"/>
      <c r="M2985" s="88"/>
      <c r="N2985" s="88"/>
      <c r="O2985" s="88"/>
      <c r="P2985" s="88"/>
      <c r="Q2985" s="88"/>
      <c r="R2985" s="88"/>
      <c r="S2985" s="620"/>
      <c r="T2985" s="92"/>
      <c r="U2985" s="1214"/>
      <c r="V2985" s="1215"/>
      <c r="W2985" s="168"/>
      <c r="X2985" s="170"/>
    </row>
    <row r="2986" spans="1:24" ht="12.75" customHeight="1">
      <c r="A2986" s="15"/>
      <c r="B2986" s="92" t="str">
        <f t="shared" si="362"/>
        <v/>
      </c>
      <c r="C2986" s="90"/>
      <c r="D2986" s="87"/>
      <c r="E2986" s="88"/>
      <c r="F2986" s="173"/>
      <c r="G2986" s="88"/>
      <c r="H2986" s="88"/>
      <c r="I2986" s="88"/>
      <c r="J2986" s="88"/>
      <c r="K2986" s="230"/>
      <c r="L2986" s="88"/>
      <c r="M2986" s="88"/>
      <c r="N2986" s="88"/>
      <c r="O2986" s="88"/>
      <c r="P2986" s="88"/>
      <c r="Q2986" s="88"/>
      <c r="R2986" s="88"/>
      <c r="S2986" s="620"/>
      <c r="T2986" s="92"/>
      <c r="U2986" s="1214"/>
      <c r="V2986" s="1215"/>
      <c r="W2986" s="168"/>
      <c r="X2986" s="170"/>
    </row>
    <row r="2987" spans="1:24" ht="12.75" customHeight="1">
      <c r="A2987" s="15"/>
      <c r="B2987" s="92" t="str">
        <f t="shared" si="362"/>
        <v/>
      </c>
      <c r="C2987" s="90"/>
      <c r="D2987" s="87"/>
      <c r="E2987" s="88"/>
      <c r="F2987" s="173"/>
      <c r="G2987" s="88"/>
      <c r="H2987" s="88"/>
      <c r="I2987" s="88"/>
      <c r="J2987" s="88"/>
      <c r="K2987" s="230"/>
      <c r="L2987" s="88"/>
      <c r="M2987" s="88"/>
      <c r="N2987" s="88"/>
      <c r="O2987" s="88"/>
      <c r="P2987" s="88"/>
      <c r="Q2987" s="88"/>
      <c r="R2987" s="88"/>
      <c r="S2987" s="620"/>
      <c r="T2987" s="92"/>
      <c r="U2987" s="1214"/>
      <c r="V2987" s="1215"/>
      <c r="W2987" s="168"/>
      <c r="X2987" s="170"/>
    </row>
    <row r="2988" spans="1:24" ht="12.75" customHeight="1">
      <c r="A2988" s="15"/>
      <c r="B2988" s="92" t="str">
        <f t="shared" si="362"/>
        <v/>
      </c>
      <c r="C2988" s="90"/>
      <c r="D2988" s="87"/>
      <c r="E2988" s="88"/>
      <c r="F2988" s="173"/>
      <c r="G2988" s="88"/>
      <c r="H2988" s="88"/>
      <c r="I2988" s="88"/>
      <c r="J2988" s="88"/>
      <c r="K2988" s="230"/>
      <c r="L2988" s="88"/>
      <c r="M2988" s="88"/>
      <c r="N2988" s="88"/>
      <c r="O2988" s="88"/>
      <c r="P2988" s="88"/>
      <c r="Q2988" s="88"/>
      <c r="R2988" s="88"/>
      <c r="S2988" s="620"/>
      <c r="T2988" s="92"/>
      <c r="U2988" s="1214"/>
      <c r="V2988" s="1215"/>
      <c r="W2988" s="168"/>
      <c r="X2988" s="170"/>
    </row>
    <row r="2989" spans="1:24" ht="12.75" customHeight="1">
      <c r="A2989" s="15"/>
      <c r="B2989" s="92" t="str">
        <f t="shared" si="362"/>
        <v/>
      </c>
      <c r="C2989" s="90"/>
      <c r="D2989" s="87"/>
      <c r="E2989" s="88"/>
      <c r="F2989" s="173"/>
      <c r="G2989" s="88"/>
      <c r="H2989" s="88"/>
      <c r="I2989" s="88"/>
      <c r="J2989" s="88"/>
      <c r="K2989" s="230"/>
      <c r="L2989" s="88"/>
      <c r="M2989" s="88"/>
      <c r="N2989" s="88"/>
      <c r="O2989" s="88"/>
      <c r="P2989" s="88"/>
      <c r="Q2989" s="88"/>
      <c r="R2989" s="88"/>
      <c r="S2989" s="620"/>
      <c r="T2989" s="92"/>
      <c r="U2989" s="1214"/>
      <c r="V2989" s="1215"/>
      <c r="W2989" s="168"/>
      <c r="X2989" s="170"/>
    </row>
    <row r="2990" spans="1:24" ht="12.75" customHeight="1">
      <c r="A2990" s="15"/>
      <c r="B2990" s="92" t="str">
        <f t="shared" si="362"/>
        <v/>
      </c>
      <c r="C2990" s="90"/>
      <c r="D2990" s="87"/>
      <c r="E2990" s="88"/>
      <c r="F2990" s="173"/>
      <c r="G2990" s="88"/>
      <c r="H2990" s="88"/>
      <c r="I2990" s="88"/>
      <c r="J2990" s="88"/>
      <c r="K2990" s="230"/>
      <c r="L2990" s="88"/>
      <c r="M2990" s="88"/>
      <c r="N2990" s="88"/>
      <c r="O2990" s="88"/>
      <c r="P2990" s="88"/>
      <c r="Q2990" s="88"/>
      <c r="R2990" s="88"/>
      <c r="S2990" s="620"/>
      <c r="T2990" s="92"/>
      <c r="U2990" s="1214"/>
      <c r="V2990" s="1215"/>
      <c r="W2990" s="168"/>
      <c r="X2990" s="170"/>
    </row>
    <row r="2991" spans="1:24" ht="12.75" customHeight="1">
      <c r="A2991" s="15"/>
      <c r="B2991" s="92" t="str">
        <f t="shared" ref="B2991:B3054" si="363">IF(C2991="","",ROW()-5)</f>
        <v/>
      </c>
      <c r="C2991" s="90"/>
      <c r="D2991" s="87"/>
      <c r="E2991" s="88"/>
      <c r="F2991" s="173"/>
      <c r="G2991" s="88"/>
      <c r="H2991" s="88"/>
      <c r="I2991" s="88"/>
      <c r="J2991" s="88"/>
      <c r="K2991" s="230"/>
      <c r="L2991" s="88"/>
      <c r="M2991" s="88"/>
      <c r="N2991" s="88"/>
      <c r="O2991" s="88"/>
      <c r="P2991" s="88"/>
      <c r="Q2991" s="88"/>
      <c r="R2991" s="88"/>
      <c r="S2991" s="620"/>
      <c r="T2991" s="92"/>
      <c r="U2991" s="1214"/>
      <c r="V2991" s="1215"/>
      <c r="W2991" s="168"/>
      <c r="X2991" s="170"/>
    </row>
    <row r="2992" spans="1:24" ht="12.75" customHeight="1">
      <c r="A2992" s="15"/>
      <c r="B2992" s="92" t="str">
        <f t="shared" si="363"/>
        <v/>
      </c>
      <c r="C2992" s="90"/>
      <c r="D2992" s="87"/>
      <c r="E2992" s="88"/>
      <c r="F2992" s="173"/>
      <c r="G2992" s="88"/>
      <c r="H2992" s="88"/>
      <c r="I2992" s="88"/>
      <c r="J2992" s="88"/>
      <c r="K2992" s="230"/>
      <c r="L2992" s="88"/>
      <c r="M2992" s="88"/>
      <c r="N2992" s="88"/>
      <c r="O2992" s="88"/>
      <c r="P2992" s="88"/>
      <c r="Q2992" s="88"/>
      <c r="R2992" s="88"/>
      <c r="S2992" s="620"/>
      <c r="T2992" s="92"/>
      <c r="U2992" s="1214"/>
      <c r="V2992" s="1215"/>
      <c r="W2992" s="168"/>
      <c r="X2992" s="170"/>
    </row>
    <row r="2993" spans="1:24" ht="12.75" customHeight="1">
      <c r="A2993" s="15"/>
      <c r="B2993" s="92" t="str">
        <f t="shared" si="363"/>
        <v/>
      </c>
      <c r="C2993" s="90"/>
      <c r="D2993" s="87"/>
      <c r="E2993" s="88"/>
      <c r="F2993" s="173"/>
      <c r="G2993" s="88"/>
      <c r="H2993" s="88"/>
      <c r="I2993" s="88"/>
      <c r="J2993" s="88"/>
      <c r="K2993" s="230"/>
      <c r="L2993" s="88"/>
      <c r="M2993" s="88"/>
      <c r="N2993" s="88"/>
      <c r="O2993" s="88"/>
      <c r="P2993" s="88"/>
      <c r="Q2993" s="88"/>
      <c r="R2993" s="88"/>
      <c r="S2993" s="620"/>
      <c r="T2993" s="92"/>
      <c r="U2993" s="1214"/>
      <c r="V2993" s="1215"/>
      <c r="W2993" s="168"/>
      <c r="X2993" s="170"/>
    </row>
    <row r="2994" spans="1:24" ht="12.75" customHeight="1">
      <c r="A2994" s="15"/>
      <c r="B2994" s="92" t="str">
        <f t="shared" si="363"/>
        <v/>
      </c>
      <c r="C2994" s="90"/>
      <c r="D2994" s="87"/>
      <c r="E2994" s="88"/>
      <c r="F2994" s="173"/>
      <c r="G2994" s="88"/>
      <c r="H2994" s="88"/>
      <c r="I2994" s="88"/>
      <c r="J2994" s="88"/>
      <c r="K2994" s="230"/>
      <c r="L2994" s="88"/>
      <c r="M2994" s="88"/>
      <c r="N2994" s="88"/>
      <c r="O2994" s="88"/>
      <c r="P2994" s="88"/>
      <c r="Q2994" s="88"/>
      <c r="R2994" s="88"/>
      <c r="S2994" s="620"/>
      <c r="T2994" s="92"/>
      <c r="U2994" s="1214"/>
      <c r="V2994" s="1215"/>
      <c r="W2994" s="168"/>
      <c r="X2994" s="170"/>
    </row>
    <row r="2995" spans="1:24" ht="12.75" customHeight="1">
      <c r="A2995" s="15"/>
      <c r="B2995" s="92" t="str">
        <f t="shared" si="363"/>
        <v/>
      </c>
      <c r="C2995" s="90"/>
      <c r="D2995" s="87"/>
      <c r="E2995" s="88"/>
      <c r="F2995" s="173"/>
      <c r="G2995" s="88"/>
      <c r="H2995" s="88"/>
      <c r="I2995" s="88"/>
      <c r="J2995" s="88"/>
      <c r="K2995" s="230"/>
      <c r="L2995" s="88"/>
      <c r="M2995" s="88"/>
      <c r="N2995" s="88"/>
      <c r="O2995" s="88"/>
      <c r="P2995" s="88"/>
      <c r="Q2995" s="88"/>
      <c r="R2995" s="88"/>
      <c r="S2995" s="620"/>
      <c r="T2995" s="92"/>
      <c r="U2995" s="1214"/>
      <c r="V2995" s="1215"/>
      <c r="W2995" s="168"/>
      <c r="X2995" s="170"/>
    </row>
    <row r="2996" spans="1:24" ht="12.75" customHeight="1">
      <c r="A2996" s="15"/>
      <c r="B2996" s="92" t="str">
        <f t="shared" si="363"/>
        <v/>
      </c>
      <c r="C2996" s="90"/>
      <c r="D2996" s="87"/>
      <c r="E2996" s="88"/>
      <c r="F2996" s="173"/>
      <c r="G2996" s="88"/>
      <c r="H2996" s="88"/>
      <c r="I2996" s="88"/>
      <c r="J2996" s="88"/>
      <c r="K2996" s="230"/>
      <c r="L2996" s="88"/>
      <c r="M2996" s="88"/>
      <c r="N2996" s="88"/>
      <c r="O2996" s="88"/>
      <c r="P2996" s="88"/>
      <c r="Q2996" s="88"/>
      <c r="R2996" s="88"/>
      <c r="S2996" s="620"/>
      <c r="T2996" s="92"/>
      <c r="U2996" s="1214"/>
      <c r="V2996" s="1215"/>
      <c r="W2996" s="168"/>
      <c r="X2996" s="170"/>
    </row>
    <row r="2997" spans="1:24" ht="12.75" customHeight="1">
      <c r="A2997" s="15"/>
      <c r="B2997" s="92" t="str">
        <f t="shared" si="363"/>
        <v/>
      </c>
      <c r="C2997" s="90"/>
      <c r="D2997" s="87"/>
      <c r="E2997" s="88"/>
      <c r="F2997" s="173"/>
      <c r="G2997" s="88"/>
      <c r="H2997" s="88"/>
      <c r="I2997" s="88"/>
      <c r="J2997" s="88"/>
      <c r="K2997" s="230"/>
      <c r="L2997" s="88"/>
      <c r="M2997" s="88"/>
      <c r="N2997" s="88"/>
      <c r="O2997" s="88"/>
      <c r="P2997" s="88"/>
      <c r="Q2997" s="88"/>
      <c r="R2997" s="88"/>
      <c r="S2997" s="620"/>
      <c r="T2997" s="92"/>
      <c r="U2997" s="1214"/>
      <c r="V2997" s="1215"/>
      <c r="W2997" s="168"/>
      <c r="X2997" s="170"/>
    </row>
    <row r="2998" spans="1:24" ht="12.75" customHeight="1">
      <c r="A2998" s="15"/>
      <c r="B2998" s="92" t="str">
        <f t="shared" si="363"/>
        <v/>
      </c>
      <c r="C2998" s="90"/>
      <c r="D2998" s="87"/>
      <c r="E2998" s="88"/>
      <c r="F2998" s="173"/>
      <c r="G2998" s="88"/>
      <c r="H2998" s="88"/>
      <c r="I2998" s="88"/>
      <c r="J2998" s="88"/>
      <c r="K2998" s="230"/>
      <c r="L2998" s="88"/>
      <c r="M2998" s="88"/>
      <c r="N2998" s="88"/>
      <c r="O2998" s="88"/>
      <c r="P2998" s="88"/>
      <c r="Q2998" s="88"/>
      <c r="R2998" s="88"/>
      <c r="S2998" s="620"/>
      <c r="T2998" s="92"/>
      <c r="U2998" s="1214"/>
      <c r="V2998" s="1215"/>
      <c r="W2998" s="168"/>
      <c r="X2998" s="170"/>
    </row>
    <row r="2999" spans="1:24" ht="12.75" customHeight="1">
      <c r="A2999" s="15"/>
      <c r="B2999" s="92" t="str">
        <f t="shared" si="363"/>
        <v/>
      </c>
      <c r="C2999" s="90"/>
      <c r="D2999" s="87"/>
      <c r="E2999" s="88"/>
      <c r="F2999" s="173"/>
      <c r="G2999" s="88"/>
      <c r="H2999" s="88"/>
      <c r="I2999" s="88"/>
      <c r="J2999" s="88"/>
      <c r="K2999" s="230"/>
      <c r="L2999" s="88"/>
      <c r="M2999" s="88"/>
      <c r="N2999" s="88"/>
      <c r="O2999" s="88"/>
      <c r="P2999" s="88"/>
      <c r="Q2999" s="88"/>
      <c r="R2999" s="88"/>
      <c r="S2999" s="620"/>
      <c r="T2999" s="92"/>
      <c r="U2999" s="1214"/>
      <c r="V2999" s="1215"/>
      <c r="W2999" s="168"/>
      <c r="X2999" s="170"/>
    </row>
    <row r="3000" spans="1:24" ht="12.75" customHeight="1">
      <c r="A3000" s="15"/>
      <c r="B3000" s="92" t="str">
        <f t="shared" si="363"/>
        <v/>
      </c>
      <c r="C3000" s="90"/>
      <c r="D3000" s="87"/>
      <c r="E3000" s="88"/>
      <c r="F3000" s="173"/>
      <c r="G3000" s="88"/>
      <c r="H3000" s="88"/>
      <c r="I3000" s="88"/>
      <c r="J3000" s="88"/>
      <c r="K3000" s="230"/>
      <c r="L3000" s="88"/>
      <c r="M3000" s="88"/>
      <c r="N3000" s="88"/>
      <c r="O3000" s="88"/>
      <c r="P3000" s="88"/>
      <c r="Q3000" s="88"/>
      <c r="R3000" s="88"/>
      <c r="S3000" s="620"/>
      <c r="T3000" s="92"/>
      <c r="U3000" s="1214"/>
      <c r="V3000" s="1215"/>
      <c r="W3000" s="168"/>
      <c r="X3000" s="170"/>
    </row>
    <row r="3001" spans="1:24" ht="12.75" customHeight="1">
      <c r="A3001" s="15"/>
      <c r="B3001" s="92" t="str">
        <f t="shared" si="363"/>
        <v/>
      </c>
      <c r="C3001" s="90"/>
      <c r="D3001" s="87"/>
      <c r="E3001" s="88"/>
      <c r="F3001" s="173"/>
      <c r="G3001" s="88"/>
      <c r="H3001" s="88"/>
      <c r="I3001" s="88"/>
      <c r="J3001" s="88"/>
      <c r="K3001" s="230"/>
      <c r="L3001" s="88"/>
      <c r="M3001" s="88"/>
      <c r="N3001" s="88"/>
      <c r="O3001" s="88"/>
      <c r="P3001" s="88"/>
      <c r="Q3001" s="88"/>
      <c r="R3001" s="88"/>
      <c r="S3001" s="620"/>
      <c r="T3001" s="92"/>
      <c r="U3001" s="1214"/>
      <c r="V3001" s="1215"/>
      <c r="W3001" s="168"/>
      <c r="X3001" s="170"/>
    </row>
    <row r="3002" spans="1:24" ht="12.75" customHeight="1">
      <c r="A3002" s="15"/>
      <c r="B3002" s="92" t="str">
        <f t="shared" si="363"/>
        <v/>
      </c>
      <c r="C3002" s="90"/>
      <c r="D3002" s="87"/>
      <c r="E3002" s="88"/>
      <c r="F3002" s="173"/>
      <c r="G3002" s="88"/>
      <c r="H3002" s="88"/>
      <c r="I3002" s="88"/>
      <c r="J3002" s="88"/>
      <c r="K3002" s="230"/>
      <c r="L3002" s="88"/>
      <c r="M3002" s="88"/>
      <c r="N3002" s="88"/>
      <c r="O3002" s="88"/>
      <c r="P3002" s="88"/>
      <c r="Q3002" s="88"/>
      <c r="R3002" s="88"/>
      <c r="S3002" s="620"/>
      <c r="T3002" s="92"/>
      <c r="U3002" s="1214"/>
      <c r="V3002" s="1215"/>
      <c r="W3002" s="168"/>
      <c r="X3002" s="170"/>
    </row>
    <row r="3003" spans="1:24" ht="12.75" customHeight="1">
      <c r="A3003" s="15"/>
      <c r="B3003" s="92" t="str">
        <f t="shared" si="363"/>
        <v/>
      </c>
      <c r="C3003" s="90"/>
      <c r="D3003" s="87"/>
      <c r="E3003" s="88"/>
      <c r="F3003" s="173"/>
      <c r="G3003" s="88"/>
      <c r="H3003" s="88"/>
      <c r="I3003" s="88"/>
      <c r="J3003" s="88"/>
      <c r="K3003" s="230"/>
      <c r="L3003" s="88"/>
      <c r="M3003" s="88"/>
      <c r="N3003" s="88"/>
      <c r="O3003" s="88"/>
      <c r="P3003" s="88"/>
      <c r="Q3003" s="88"/>
      <c r="R3003" s="88"/>
      <c r="S3003" s="620"/>
      <c r="T3003" s="92"/>
      <c r="U3003" s="1214"/>
      <c r="V3003" s="1215"/>
      <c r="W3003" s="168"/>
      <c r="X3003" s="170"/>
    </row>
    <row r="3004" spans="1:24" ht="12.75" customHeight="1">
      <c r="A3004" s="15"/>
      <c r="B3004" s="92" t="str">
        <f t="shared" si="363"/>
        <v/>
      </c>
      <c r="C3004" s="90"/>
      <c r="D3004" s="87"/>
      <c r="E3004" s="88"/>
      <c r="F3004" s="173"/>
      <c r="G3004" s="88"/>
      <c r="H3004" s="88"/>
      <c r="I3004" s="88"/>
      <c r="J3004" s="88"/>
      <c r="K3004" s="230"/>
      <c r="L3004" s="88"/>
      <c r="M3004" s="88"/>
      <c r="N3004" s="88"/>
      <c r="O3004" s="88"/>
      <c r="P3004" s="88"/>
      <c r="Q3004" s="88"/>
      <c r="R3004" s="88"/>
      <c r="S3004" s="620"/>
      <c r="T3004" s="92"/>
      <c r="U3004" s="1214"/>
      <c r="V3004" s="1215"/>
      <c r="W3004" s="168"/>
      <c r="X3004" s="170"/>
    </row>
    <row r="3005" spans="1:24" ht="12.75" customHeight="1">
      <c r="A3005" s="15"/>
      <c r="B3005" s="92" t="str">
        <f t="shared" si="363"/>
        <v/>
      </c>
      <c r="C3005" s="90"/>
      <c r="D3005" s="87"/>
      <c r="E3005" s="88"/>
      <c r="F3005" s="173"/>
      <c r="G3005" s="88"/>
      <c r="H3005" s="88"/>
      <c r="I3005" s="88"/>
      <c r="J3005" s="88"/>
      <c r="K3005" s="230"/>
      <c r="L3005" s="88"/>
      <c r="M3005" s="88"/>
      <c r="N3005" s="88"/>
      <c r="O3005" s="88"/>
      <c r="P3005" s="88"/>
      <c r="Q3005" s="88"/>
      <c r="R3005" s="88"/>
      <c r="S3005" s="620"/>
      <c r="T3005" s="92"/>
      <c r="U3005" s="1214"/>
      <c r="V3005" s="1215"/>
      <c r="W3005" s="168"/>
      <c r="X3005" s="170"/>
    </row>
    <row r="3006" spans="1:24" ht="12.75" customHeight="1">
      <c r="A3006" s="15"/>
      <c r="B3006" s="92" t="str">
        <f t="shared" si="363"/>
        <v/>
      </c>
      <c r="C3006" s="90"/>
      <c r="D3006" s="87"/>
      <c r="E3006" s="88"/>
      <c r="F3006" s="173"/>
      <c r="G3006" s="88"/>
      <c r="H3006" s="88"/>
      <c r="I3006" s="88"/>
      <c r="J3006" s="88"/>
      <c r="K3006" s="230"/>
      <c r="L3006" s="88"/>
      <c r="M3006" s="88"/>
      <c r="N3006" s="88"/>
      <c r="O3006" s="88"/>
      <c r="P3006" s="88"/>
      <c r="Q3006" s="88"/>
      <c r="R3006" s="88"/>
      <c r="S3006" s="620"/>
      <c r="T3006" s="92"/>
      <c r="U3006" s="1214"/>
      <c r="V3006" s="1215"/>
      <c r="W3006" s="168"/>
      <c r="X3006" s="170"/>
    </row>
    <row r="3007" spans="1:24" ht="12.75" customHeight="1">
      <c r="A3007" s="15"/>
      <c r="B3007" s="92" t="str">
        <f t="shared" si="363"/>
        <v/>
      </c>
      <c r="C3007" s="90"/>
      <c r="D3007" s="87"/>
      <c r="E3007" s="88"/>
      <c r="F3007" s="173"/>
      <c r="G3007" s="88"/>
      <c r="H3007" s="88"/>
      <c r="I3007" s="88"/>
      <c r="J3007" s="88"/>
      <c r="K3007" s="230"/>
      <c r="L3007" s="88"/>
      <c r="M3007" s="88"/>
      <c r="N3007" s="88"/>
      <c r="O3007" s="88"/>
      <c r="P3007" s="88"/>
      <c r="Q3007" s="88"/>
      <c r="R3007" s="88"/>
      <c r="S3007" s="620"/>
      <c r="T3007" s="92"/>
      <c r="U3007" s="1214"/>
      <c r="V3007" s="1215"/>
      <c r="W3007" s="168"/>
      <c r="X3007" s="170"/>
    </row>
    <row r="3008" spans="1:24" ht="12.75" customHeight="1">
      <c r="A3008" s="15"/>
      <c r="B3008" s="92" t="str">
        <f t="shared" si="363"/>
        <v/>
      </c>
      <c r="C3008" s="90"/>
      <c r="D3008" s="87"/>
      <c r="E3008" s="88"/>
      <c r="F3008" s="173"/>
      <c r="G3008" s="88"/>
      <c r="H3008" s="88"/>
      <c r="I3008" s="88"/>
      <c r="J3008" s="88"/>
      <c r="K3008" s="230"/>
      <c r="L3008" s="88"/>
      <c r="M3008" s="88"/>
      <c r="N3008" s="88"/>
      <c r="O3008" s="88"/>
      <c r="P3008" s="88"/>
      <c r="Q3008" s="88"/>
      <c r="R3008" s="88"/>
      <c r="S3008" s="620"/>
      <c r="T3008" s="92"/>
      <c r="U3008" s="1214"/>
      <c r="V3008" s="1215"/>
      <c r="W3008" s="168"/>
      <c r="X3008" s="170"/>
    </row>
    <row r="3009" spans="1:24" ht="12.75" customHeight="1">
      <c r="A3009" s="15"/>
      <c r="B3009" s="92" t="str">
        <f t="shared" si="363"/>
        <v/>
      </c>
      <c r="C3009" s="90"/>
      <c r="D3009" s="87"/>
      <c r="E3009" s="88"/>
      <c r="F3009" s="173"/>
      <c r="G3009" s="88"/>
      <c r="H3009" s="88"/>
      <c r="I3009" s="88"/>
      <c r="J3009" s="88"/>
      <c r="K3009" s="230"/>
      <c r="L3009" s="88"/>
      <c r="M3009" s="88"/>
      <c r="N3009" s="88"/>
      <c r="O3009" s="88"/>
      <c r="P3009" s="88"/>
      <c r="Q3009" s="88"/>
      <c r="R3009" s="88"/>
      <c r="S3009" s="620"/>
      <c r="T3009" s="92"/>
      <c r="U3009" s="1214"/>
      <c r="V3009" s="1215"/>
      <c r="W3009" s="168"/>
      <c r="X3009" s="170"/>
    </row>
    <row r="3010" spans="1:24" ht="12.75" customHeight="1">
      <c r="A3010" s="15"/>
      <c r="B3010" s="92" t="str">
        <f t="shared" si="363"/>
        <v/>
      </c>
      <c r="C3010" s="90"/>
      <c r="D3010" s="87"/>
      <c r="E3010" s="88"/>
      <c r="F3010" s="173"/>
      <c r="G3010" s="88"/>
      <c r="H3010" s="88"/>
      <c r="I3010" s="88"/>
      <c r="J3010" s="88"/>
      <c r="K3010" s="230"/>
      <c r="L3010" s="88"/>
      <c r="M3010" s="88"/>
      <c r="N3010" s="88"/>
      <c r="O3010" s="88"/>
      <c r="P3010" s="88"/>
      <c r="Q3010" s="88"/>
      <c r="R3010" s="88"/>
      <c r="S3010" s="620"/>
      <c r="T3010" s="92"/>
      <c r="U3010" s="1214"/>
      <c r="V3010" s="1215"/>
      <c r="W3010" s="168"/>
      <c r="X3010" s="170"/>
    </row>
    <row r="3011" spans="1:24" ht="12.75" customHeight="1">
      <c r="A3011" s="15"/>
      <c r="B3011" s="92" t="str">
        <f t="shared" si="363"/>
        <v/>
      </c>
      <c r="C3011" s="90"/>
      <c r="D3011" s="87"/>
      <c r="E3011" s="88"/>
      <c r="F3011" s="173"/>
      <c r="G3011" s="88"/>
      <c r="H3011" s="88"/>
      <c r="I3011" s="88"/>
      <c r="J3011" s="88"/>
      <c r="K3011" s="230"/>
      <c r="L3011" s="88"/>
      <c r="M3011" s="88"/>
      <c r="N3011" s="88"/>
      <c r="O3011" s="88"/>
      <c r="P3011" s="88"/>
      <c r="Q3011" s="88"/>
      <c r="R3011" s="88"/>
      <c r="S3011" s="620"/>
      <c r="T3011" s="92"/>
      <c r="U3011" s="1214"/>
      <c r="V3011" s="1215"/>
      <c r="W3011" s="168"/>
      <c r="X3011" s="170"/>
    </row>
    <row r="3012" spans="1:24" ht="12.75" customHeight="1">
      <c r="A3012" s="15"/>
      <c r="B3012" s="92" t="str">
        <f t="shared" si="363"/>
        <v/>
      </c>
      <c r="C3012" s="90"/>
      <c r="D3012" s="87"/>
      <c r="E3012" s="88"/>
      <c r="F3012" s="173"/>
      <c r="G3012" s="88"/>
      <c r="H3012" s="88"/>
      <c r="I3012" s="88"/>
      <c r="J3012" s="88"/>
      <c r="K3012" s="230"/>
      <c r="L3012" s="88"/>
      <c r="M3012" s="88"/>
      <c r="N3012" s="88"/>
      <c r="O3012" s="88"/>
      <c r="P3012" s="88"/>
      <c r="Q3012" s="88"/>
      <c r="R3012" s="88"/>
      <c r="S3012" s="620"/>
      <c r="T3012" s="92"/>
      <c r="U3012" s="1214"/>
      <c r="V3012" s="1215"/>
      <c r="W3012" s="168"/>
      <c r="X3012" s="170"/>
    </row>
    <row r="3013" spans="1:24" ht="12.75" customHeight="1">
      <c r="A3013" s="15"/>
      <c r="B3013" s="92" t="str">
        <f t="shared" si="363"/>
        <v/>
      </c>
      <c r="C3013" s="90"/>
      <c r="D3013" s="87"/>
      <c r="E3013" s="88"/>
      <c r="F3013" s="173"/>
      <c r="G3013" s="88"/>
      <c r="H3013" s="88"/>
      <c r="I3013" s="88"/>
      <c r="J3013" s="88"/>
      <c r="K3013" s="230"/>
      <c r="L3013" s="88"/>
      <c r="M3013" s="88"/>
      <c r="N3013" s="88"/>
      <c r="O3013" s="88"/>
      <c r="P3013" s="88"/>
      <c r="Q3013" s="88"/>
      <c r="R3013" s="88"/>
      <c r="S3013" s="620"/>
      <c r="T3013" s="92"/>
      <c r="U3013" s="1214"/>
      <c r="V3013" s="1215"/>
      <c r="W3013" s="168"/>
      <c r="X3013" s="170"/>
    </row>
    <row r="3014" spans="1:24" ht="12.75" customHeight="1">
      <c r="A3014" s="15"/>
      <c r="B3014" s="92" t="str">
        <f t="shared" si="363"/>
        <v/>
      </c>
      <c r="C3014" s="90"/>
      <c r="D3014" s="87"/>
      <c r="E3014" s="88"/>
      <c r="F3014" s="173"/>
      <c r="G3014" s="88"/>
      <c r="H3014" s="88"/>
      <c r="I3014" s="88"/>
      <c r="J3014" s="88"/>
      <c r="K3014" s="230"/>
      <c r="L3014" s="88"/>
      <c r="M3014" s="88"/>
      <c r="N3014" s="88"/>
      <c r="O3014" s="88"/>
      <c r="P3014" s="88"/>
      <c r="Q3014" s="88"/>
      <c r="R3014" s="88"/>
      <c r="S3014" s="620"/>
      <c r="T3014" s="92"/>
      <c r="U3014" s="1214"/>
      <c r="V3014" s="1215"/>
      <c r="W3014" s="168"/>
      <c r="X3014" s="170"/>
    </row>
    <row r="3015" spans="1:24" ht="12.75" customHeight="1">
      <c r="A3015" s="15"/>
      <c r="B3015" s="92" t="str">
        <f t="shared" si="363"/>
        <v/>
      </c>
      <c r="C3015" s="90"/>
      <c r="D3015" s="87"/>
      <c r="E3015" s="88"/>
      <c r="F3015" s="173"/>
      <c r="G3015" s="88"/>
      <c r="H3015" s="88"/>
      <c r="I3015" s="88"/>
      <c r="J3015" s="88"/>
      <c r="K3015" s="230"/>
      <c r="L3015" s="88"/>
      <c r="M3015" s="88"/>
      <c r="N3015" s="88"/>
      <c r="O3015" s="88"/>
      <c r="P3015" s="88"/>
      <c r="Q3015" s="88"/>
      <c r="R3015" s="88"/>
      <c r="S3015" s="620"/>
      <c r="T3015" s="92"/>
      <c r="U3015" s="1214"/>
      <c r="V3015" s="1215"/>
      <c r="W3015" s="168"/>
      <c r="X3015" s="170"/>
    </row>
    <row r="3016" spans="1:24" ht="12.75" customHeight="1">
      <c r="A3016" s="15"/>
      <c r="B3016" s="92" t="str">
        <f t="shared" si="363"/>
        <v/>
      </c>
      <c r="C3016" s="90"/>
      <c r="D3016" s="87"/>
      <c r="E3016" s="88"/>
      <c r="F3016" s="173"/>
      <c r="G3016" s="88"/>
      <c r="H3016" s="88"/>
      <c r="I3016" s="88"/>
      <c r="J3016" s="88"/>
      <c r="K3016" s="230"/>
      <c r="L3016" s="88"/>
      <c r="M3016" s="88"/>
      <c r="N3016" s="88"/>
      <c r="O3016" s="88"/>
      <c r="P3016" s="88"/>
      <c r="Q3016" s="88"/>
      <c r="R3016" s="88"/>
      <c r="S3016" s="620"/>
      <c r="T3016" s="92"/>
      <c r="U3016" s="1214"/>
      <c r="V3016" s="1215"/>
      <c r="W3016" s="168"/>
      <c r="X3016" s="170"/>
    </row>
    <row r="3017" spans="1:24" ht="12.75" customHeight="1">
      <c r="A3017" s="15"/>
      <c r="B3017" s="92" t="str">
        <f t="shared" si="363"/>
        <v/>
      </c>
      <c r="C3017" s="90"/>
      <c r="D3017" s="87"/>
      <c r="E3017" s="88"/>
      <c r="F3017" s="173"/>
      <c r="G3017" s="88"/>
      <c r="H3017" s="88"/>
      <c r="I3017" s="88"/>
      <c r="J3017" s="88"/>
      <c r="K3017" s="230"/>
      <c r="L3017" s="88"/>
      <c r="M3017" s="88"/>
      <c r="N3017" s="88"/>
      <c r="O3017" s="88"/>
      <c r="P3017" s="88"/>
      <c r="Q3017" s="88"/>
      <c r="R3017" s="88"/>
      <c r="S3017" s="620"/>
      <c r="T3017" s="92"/>
      <c r="U3017" s="1214"/>
      <c r="V3017" s="1215"/>
      <c r="W3017" s="168"/>
      <c r="X3017" s="170"/>
    </row>
    <row r="3018" spans="1:24" ht="12.75" customHeight="1">
      <c r="A3018" s="15"/>
      <c r="B3018" s="92" t="str">
        <f t="shared" si="363"/>
        <v/>
      </c>
      <c r="C3018" s="90"/>
      <c r="D3018" s="87"/>
      <c r="E3018" s="88"/>
      <c r="F3018" s="173"/>
      <c r="G3018" s="88"/>
      <c r="H3018" s="88"/>
      <c r="I3018" s="88"/>
      <c r="J3018" s="88"/>
      <c r="K3018" s="230"/>
      <c r="L3018" s="88"/>
      <c r="M3018" s="88"/>
      <c r="N3018" s="88"/>
      <c r="O3018" s="88"/>
      <c r="P3018" s="88"/>
      <c r="Q3018" s="88"/>
      <c r="R3018" s="88"/>
      <c r="S3018" s="620"/>
      <c r="T3018" s="92"/>
      <c r="U3018" s="1214"/>
      <c r="V3018" s="1215"/>
      <c r="W3018" s="168"/>
      <c r="X3018" s="170"/>
    </row>
    <row r="3019" spans="1:24" ht="12.75" customHeight="1">
      <c r="A3019" s="15"/>
      <c r="B3019" s="92" t="str">
        <f t="shared" si="363"/>
        <v/>
      </c>
      <c r="C3019" s="90"/>
      <c r="D3019" s="87"/>
      <c r="E3019" s="88"/>
      <c r="F3019" s="173"/>
      <c r="G3019" s="88"/>
      <c r="H3019" s="88"/>
      <c r="I3019" s="88"/>
      <c r="J3019" s="88"/>
      <c r="K3019" s="230"/>
      <c r="L3019" s="88"/>
      <c r="M3019" s="88"/>
      <c r="N3019" s="88"/>
      <c r="O3019" s="88"/>
      <c r="P3019" s="88"/>
      <c r="Q3019" s="88"/>
      <c r="R3019" s="88"/>
      <c r="S3019" s="620"/>
      <c r="T3019" s="92"/>
      <c r="U3019" s="1214"/>
      <c r="V3019" s="1215"/>
      <c r="W3019" s="168"/>
      <c r="X3019" s="170"/>
    </row>
    <row r="3020" spans="1:24" ht="12.75" customHeight="1">
      <c r="A3020" s="15"/>
      <c r="B3020" s="92" t="str">
        <f t="shared" si="363"/>
        <v/>
      </c>
      <c r="C3020" s="90"/>
      <c r="D3020" s="87"/>
      <c r="E3020" s="88"/>
      <c r="F3020" s="173"/>
      <c r="G3020" s="88"/>
      <c r="H3020" s="88"/>
      <c r="I3020" s="88"/>
      <c r="J3020" s="88"/>
      <c r="K3020" s="230"/>
      <c r="L3020" s="88"/>
      <c r="M3020" s="88"/>
      <c r="N3020" s="88"/>
      <c r="O3020" s="88"/>
      <c r="P3020" s="88"/>
      <c r="Q3020" s="88"/>
      <c r="R3020" s="88"/>
      <c r="S3020" s="620"/>
      <c r="T3020" s="92"/>
      <c r="U3020" s="1214"/>
      <c r="V3020" s="1215"/>
      <c r="W3020" s="168"/>
      <c r="X3020" s="170"/>
    </row>
    <row r="3021" spans="1:24" ht="12.75" customHeight="1">
      <c r="A3021" s="15"/>
      <c r="B3021" s="92" t="str">
        <f t="shared" si="363"/>
        <v/>
      </c>
      <c r="C3021" s="90"/>
      <c r="D3021" s="87"/>
      <c r="E3021" s="88"/>
      <c r="F3021" s="173"/>
      <c r="G3021" s="88"/>
      <c r="H3021" s="88"/>
      <c r="I3021" s="88"/>
      <c r="J3021" s="88"/>
      <c r="K3021" s="230"/>
      <c r="L3021" s="88"/>
      <c r="M3021" s="88"/>
      <c r="N3021" s="88"/>
      <c r="O3021" s="88"/>
      <c r="P3021" s="88"/>
      <c r="Q3021" s="88"/>
      <c r="R3021" s="88"/>
      <c r="S3021" s="620"/>
      <c r="T3021" s="92"/>
      <c r="U3021" s="1214"/>
      <c r="V3021" s="1215"/>
      <c r="W3021" s="168"/>
      <c r="X3021" s="170"/>
    </row>
    <row r="3022" spans="1:24" ht="12.75" customHeight="1">
      <c r="A3022" s="15"/>
      <c r="B3022" s="92" t="str">
        <f t="shared" si="363"/>
        <v/>
      </c>
      <c r="C3022" s="90"/>
      <c r="D3022" s="87"/>
      <c r="E3022" s="88"/>
      <c r="F3022" s="173"/>
      <c r="G3022" s="88"/>
      <c r="H3022" s="88"/>
      <c r="I3022" s="88"/>
      <c r="J3022" s="88"/>
      <c r="K3022" s="230"/>
      <c r="L3022" s="88"/>
      <c r="M3022" s="88"/>
      <c r="N3022" s="88"/>
      <c r="O3022" s="88"/>
      <c r="P3022" s="88"/>
      <c r="Q3022" s="88"/>
      <c r="R3022" s="88"/>
      <c r="S3022" s="620"/>
      <c r="T3022" s="92"/>
      <c r="U3022" s="1214"/>
      <c r="V3022" s="1215"/>
      <c r="W3022" s="168"/>
      <c r="X3022" s="170"/>
    </row>
    <row r="3023" spans="1:24" ht="12.75" customHeight="1">
      <c r="A3023" s="15"/>
      <c r="B3023" s="92" t="str">
        <f t="shared" si="363"/>
        <v/>
      </c>
      <c r="C3023" s="90"/>
      <c r="D3023" s="87"/>
      <c r="E3023" s="88"/>
      <c r="F3023" s="173"/>
      <c r="G3023" s="88"/>
      <c r="H3023" s="88"/>
      <c r="I3023" s="88"/>
      <c r="J3023" s="88"/>
      <c r="K3023" s="230"/>
      <c r="L3023" s="88"/>
      <c r="M3023" s="88"/>
      <c r="N3023" s="88"/>
      <c r="O3023" s="88"/>
      <c r="P3023" s="88"/>
      <c r="Q3023" s="88"/>
      <c r="R3023" s="88"/>
      <c r="S3023" s="620"/>
      <c r="T3023" s="92"/>
      <c r="U3023" s="1214"/>
      <c r="V3023" s="1215"/>
      <c r="W3023" s="168"/>
      <c r="X3023" s="170"/>
    </row>
    <row r="3024" spans="1:24" ht="12.75" customHeight="1">
      <c r="A3024" s="15"/>
      <c r="B3024" s="92" t="str">
        <f t="shared" si="363"/>
        <v/>
      </c>
      <c r="C3024" s="90"/>
      <c r="D3024" s="87"/>
      <c r="E3024" s="88"/>
      <c r="F3024" s="173"/>
      <c r="G3024" s="88"/>
      <c r="H3024" s="88"/>
      <c r="I3024" s="88"/>
      <c r="J3024" s="88"/>
      <c r="K3024" s="230"/>
      <c r="L3024" s="88"/>
      <c r="M3024" s="88"/>
      <c r="N3024" s="88"/>
      <c r="O3024" s="88"/>
      <c r="P3024" s="88"/>
      <c r="Q3024" s="88"/>
      <c r="R3024" s="88"/>
      <c r="S3024" s="620"/>
      <c r="T3024" s="92"/>
      <c r="U3024" s="1214"/>
      <c r="V3024" s="1215"/>
      <c r="W3024" s="168"/>
      <c r="X3024" s="170"/>
    </row>
    <row r="3025" spans="1:24" ht="12.75" customHeight="1">
      <c r="A3025" s="15"/>
      <c r="B3025" s="92" t="str">
        <f t="shared" si="363"/>
        <v/>
      </c>
      <c r="C3025" s="90"/>
      <c r="D3025" s="87"/>
      <c r="E3025" s="88"/>
      <c r="F3025" s="173"/>
      <c r="G3025" s="88"/>
      <c r="H3025" s="88"/>
      <c r="I3025" s="88"/>
      <c r="J3025" s="88"/>
      <c r="K3025" s="230"/>
      <c r="L3025" s="88"/>
      <c r="M3025" s="88"/>
      <c r="N3025" s="88"/>
      <c r="O3025" s="88"/>
      <c r="P3025" s="88"/>
      <c r="Q3025" s="88"/>
      <c r="R3025" s="88"/>
      <c r="S3025" s="620"/>
      <c r="T3025" s="92"/>
      <c r="U3025" s="1214"/>
      <c r="V3025" s="1215"/>
      <c r="W3025" s="168"/>
      <c r="X3025" s="170"/>
    </row>
    <row r="3026" spans="1:24" ht="12.75" customHeight="1">
      <c r="A3026" s="15"/>
      <c r="B3026" s="92" t="str">
        <f t="shared" si="363"/>
        <v/>
      </c>
      <c r="C3026" s="90"/>
      <c r="D3026" s="87"/>
      <c r="E3026" s="88"/>
      <c r="F3026" s="173"/>
      <c r="G3026" s="88"/>
      <c r="H3026" s="88"/>
      <c r="I3026" s="88"/>
      <c r="J3026" s="88"/>
      <c r="K3026" s="230"/>
      <c r="L3026" s="88"/>
      <c r="M3026" s="88"/>
      <c r="N3026" s="88"/>
      <c r="O3026" s="88"/>
      <c r="P3026" s="88"/>
      <c r="Q3026" s="88"/>
      <c r="R3026" s="88"/>
      <c r="S3026" s="620"/>
      <c r="T3026" s="92"/>
      <c r="U3026" s="1214"/>
      <c r="V3026" s="1215"/>
      <c r="W3026" s="168"/>
      <c r="X3026" s="170"/>
    </row>
    <row r="3027" spans="1:24" ht="12.75" customHeight="1">
      <c r="A3027" s="15"/>
      <c r="B3027" s="92" t="str">
        <f t="shared" si="363"/>
        <v/>
      </c>
      <c r="C3027" s="90"/>
      <c r="D3027" s="87"/>
      <c r="E3027" s="88"/>
      <c r="F3027" s="173"/>
      <c r="G3027" s="88"/>
      <c r="H3027" s="88"/>
      <c r="I3027" s="88"/>
      <c r="J3027" s="88"/>
      <c r="K3027" s="230"/>
      <c r="L3027" s="88"/>
      <c r="M3027" s="88"/>
      <c r="N3027" s="88"/>
      <c r="O3027" s="88"/>
      <c r="P3027" s="88"/>
      <c r="Q3027" s="88"/>
      <c r="R3027" s="88"/>
      <c r="S3027" s="620"/>
      <c r="T3027" s="92"/>
      <c r="U3027" s="1214"/>
      <c r="V3027" s="1215"/>
      <c r="W3027" s="168"/>
      <c r="X3027" s="170"/>
    </row>
    <row r="3028" spans="1:24" ht="12.75" customHeight="1">
      <c r="A3028" s="15"/>
      <c r="B3028" s="92" t="str">
        <f t="shared" si="363"/>
        <v/>
      </c>
      <c r="C3028" s="90"/>
      <c r="D3028" s="87"/>
      <c r="E3028" s="88"/>
      <c r="F3028" s="173"/>
      <c r="G3028" s="88"/>
      <c r="H3028" s="88"/>
      <c r="I3028" s="88"/>
      <c r="J3028" s="88"/>
      <c r="K3028" s="230"/>
      <c r="L3028" s="88"/>
      <c r="M3028" s="88"/>
      <c r="N3028" s="88"/>
      <c r="O3028" s="88"/>
      <c r="P3028" s="88"/>
      <c r="Q3028" s="88"/>
      <c r="R3028" s="88"/>
      <c r="S3028" s="620"/>
      <c r="T3028" s="92"/>
      <c r="U3028" s="1214"/>
      <c r="V3028" s="1215"/>
      <c r="W3028" s="168"/>
      <c r="X3028" s="170"/>
    </row>
    <row r="3029" spans="1:24" ht="12.75" customHeight="1">
      <c r="A3029" s="15"/>
      <c r="B3029" s="92" t="str">
        <f t="shared" si="363"/>
        <v/>
      </c>
      <c r="C3029" s="90"/>
      <c r="D3029" s="87"/>
      <c r="E3029" s="88"/>
      <c r="F3029" s="173"/>
      <c r="G3029" s="88"/>
      <c r="H3029" s="88"/>
      <c r="I3029" s="88"/>
      <c r="J3029" s="88"/>
      <c r="K3029" s="230"/>
      <c r="L3029" s="88"/>
      <c r="M3029" s="88"/>
      <c r="N3029" s="88"/>
      <c r="O3029" s="88"/>
      <c r="P3029" s="88"/>
      <c r="Q3029" s="88"/>
      <c r="R3029" s="88"/>
      <c r="S3029" s="620"/>
      <c r="T3029" s="92"/>
      <c r="U3029" s="1214"/>
      <c r="V3029" s="1215"/>
      <c r="W3029" s="168"/>
      <c r="X3029" s="170"/>
    </row>
    <row r="3030" spans="1:24" ht="12.75" customHeight="1">
      <c r="A3030" s="15"/>
      <c r="B3030" s="92" t="str">
        <f t="shared" si="363"/>
        <v/>
      </c>
      <c r="C3030" s="90"/>
      <c r="D3030" s="87"/>
      <c r="E3030" s="88"/>
      <c r="F3030" s="173"/>
      <c r="G3030" s="88"/>
      <c r="H3030" s="88"/>
      <c r="I3030" s="88"/>
      <c r="J3030" s="88"/>
      <c r="K3030" s="230"/>
      <c r="L3030" s="88"/>
      <c r="M3030" s="88"/>
      <c r="N3030" s="88"/>
      <c r="O3030" s="88"/>
      <c r="P3030" s="88"/>
      <c r="Q3030" s="88"/>
      <c r="R3030" s="88"/>
      <c r="S3030" s="620"/>
      <c r="T3030" s="92"/>
      <c r="U3030" s="1214"/>
      <c r="V3030" s="1215"/>
      <c r="W3030" s="168"/>
      <c r="X3030" s="170"/>
    </row>
    <row r="3031" spans="1:24" ht="12.75" customHeight="1">
      <c r="A3031" s="15"/>
      <c r="B3031" s="92" t="str">
        <f t="shared" si="363"/>
        <v/>
      </c>
      <c r="C3031" s="90"/>
      <c r="D3031" s="87"/>
      <c r="E3031" s="88"/>
      <c r="F3031" s="173"/>
      <c r="G3031" s="88"/>
      <c r="H3031" s="88"/>
      <c r="I3031" s="88"/>
      <c r="J3031" s="88"/>
      <c r="K3031" s="230"/>
      <c r="L3031" s="88"/>
      <c r="M3031" s="88"/>
      <c r="N3031" s="88"/>
      <c r="O3031" s="88"/>
      <c r="P3031" s="88"/>
      <c r="Q3031" s="88"/>
      <c r="R3031" s="88"/>
      <c r="S3031" s="620"/>
      <c r="T3031" s="92"/>
      <c r="U3031" s="1214"/>
      <c r="V3031" s="1215"/>
      <c r="W3031" s="168"/>
      <c r="X3031" s="170"/>
    </row>
    <row r="3032" spans="1:24" ht="12.75" customHeight="1">
      <c r="A3032" s="15"/>
      <c r="B3032" s="92" t="str">
        <f t="shared" si="363"/>
        <v/>
      </c>
      <c r="C3032" s="90"/>
      <c r="D3032" s="87"/>
      <c r="E3032" s="88"/>
      <c r="F3032" s="173"/>
      <c r="G3032" s="88"/>
      <c r="H3032" s="88"/>
      <c r="I3032" s="88"/>
      <c r="J3032" s="88"/>
      <c r="K3032" s="230"/>
      <c r="L3032" s="88"/>
      <c r="M3032" s="88"/>
      <c r="N3032" s="88"/>
      <c r="O3032" s="88"/>
      <c r="P3032" s="88"/>
      <c r="Q3032" s="88"/>
      <c r="R3032" s="88"/>
      <c r="S3032" s="620"/>
      <c r="T3032" s="92"/>
      <c r="U3032" s="1214"/>
      <c r="V3032" s="1215"/>
      <c r="W3032" s="168"/>
      <c r="X3032" s="170"/>
    </row>
    <row r="3033" spans="1:24" ht="12.75" customHeight="1">
      <c r="A3033" s="15"/>
      <c r="B3033" s="92" t="str">
        <f t="shared" si="363"/>
        <v/>
      </c>
      <c r="C3033" s="90"/>
      <c r="D3033" s="87"/>
      <c r="E3033" s="88"/>
      <c r="F3033" s="173"/>
      <c r="G3033" s="88"/>
      <c r="H3033" s="88"/>
      <c r="I3033" s="88"/>
      <c r="J3033" s="88"/>
      <c r="K3033" s="230"/>
      <c r="L3033" s="88"/>
      <c r="M3033" s="88"/>
      <c r="N3033" s="88"/>
      <c r="O3033" s="88"/>
      <c r="P3033" s="88"/>
      <c r="Q3033" s="88"/>
      <c r="R3033" s="88"/>
      <c r="S3033" s="620"/>
      <c r="T3033" s="92"/>
      <c r="U3033" s="1214"/>
      <c r="V3033" s="1215"/>
      <c r="W3033" s="168"/>
      <c r="X3033" s="170"/>
    </row>
    <row r="3034" spans="1:24" ht="12.75" customHeight="1">
      <c r="A3034" s="15"/>
      <c r="B3034" s="92" t="str">
        <f t="shared" si="363"/>
        <v/>
      </c>
      <c r="C3034" s="90"/>
      <c r="D3034" s="87"/>
      <c r="E3034" s="88"/>
      <c r="F3034" s="173"/>
      <c r="G3034" s="88"/>
      <c r="H3034" s="88"/>
      <c r="I3034" s="88"/>
      <c r="J3034" s="88"/>
      <c r="K3034" s="230"/>
      <c r="L3034" s="88"/>
      <c r="M3034" s="88"/>
      <c r="N3034" s="88"/>
      <c r="O3034" s="88"/>
      <c r="P3034" s="88"/>
      <c r="Q3034" s="88"/>
      <c r="R3034" s="88"/>
      <c r="S3034" s="620"/>
      <c r="T3034" s="92"/>
      <c r="U3034" s="1214"/>
      <c r="V3034" s="1215"/>
      <c r="W3034" s="168"/>
      <c r="X3034" s="170"/>
    </row>
    <row r="3035" spans="1:24" ht="12.75" customHeight="1">
      <c r="A3035" s="15"/>
      <c r="B3035" s="92" t="str">
        <f t="shared" si="363"/>
        <v/>
      </c>
      <c r="C3035" s="90"/>
      <c r="D3035" s="87"/>
      <c r="E3035" s="88"/>
      <c r="F3035" s="173"/>
      <c r="G3035" s="88"/>
      <c r="H3035" s="88"/>
      <c r="I3035" s="88"/>
      <c r="J3035" s="88"/>
      <c r="K3035" s="230"/>
      <c r="L3035" s="88"/>
      <c r="M3035" s="88"/>
      <c r="N3035" s="88"/>
      <c r="O3035" s="88"/>
      <c r="P3035" s="88"/>
      <c r="Q3035" s="88"/>
      <c r="R3035" s="88"/>
      <c r="S3035" s="620"/>
      <c r="T3035" s="92"/>
      <c r="U3035" s="1214"/>
      <c r="V3035" s="1215"/>
      <c r="W3035" s="168"/>
      <c r="X3035" s="170"/>
    </row>
    <row r="3036" spans="1:24" ht="12.75" customHeight="1">
      <c r="A3036" s="15"/>
      <c r="B3036" s="92" t="str">
        <f t="shared" si="363"/>
        <v/>
      </c>
      <c r="C3036" s="90"/>
      <c r="D3036" s="87"/>
      <c r="E3036" s="88"/>
      <c r="F3036" s="173"/>
      <c r="G3036" s="88"/>
      <c r="H3036" s="88"/>
      <c r="I3036" s="88"/>
      <c r="J3036" s="88"/>
      <c r="K3036" s="230"/>
      <c r="L3036" s="88"/>
      <c r="M3036" s="88"/>
      <c r="N3036" s="88"/>
      <c r="O3036" s="88"/>
      <c r="P3036" s="88"/>
      <c r="Q3036" s="88"/>
      <c r="R3036" s="88"/>
      <c r="S3036" s="620"/>
      <c r="T3036" s="92"/>
      <c r="U3036" s="1214"/>
      <c r="V3036" s="1215"/>
      <c r="W3036" s="168"/>
      <c r="X3036" s="170"/>
    </row>
    <row r="3037" spans="1:24" ht="12.75" customHeight="1">
      <c r="A3037" s="15"/>
      <c r="B3037" s="92" t="str">
        <f t="shared" si="363"/>
        <v/>
      </c>
      <c r="C3037" s="90"/>
      <c r="D3037" s="87"/>
      <c r="E3037" s="88"/>
      <c r="F3037" s="173"/>
      <c r="G3037" s="88"/>
      <c r="H3037" s="88"/>
      <c r="I3037" s="88"/>
      <c r="J3037" s="88"/>
      <c r="K3037" s="230"/>
      <c r="L3037" s="88"/>
      <c r="M3037" s="88"/>
      <c r="N3037" s="88"/>
      <c r="O3037" s="88"/>
      <c r="P3037" s="88"/>
      <c r="Q3037" s="88"/>
      <c r="R3037" s="88"/>
      <c r="S3037" s="620"/>
      <c r="T3037" s="92"/>
      <c r="U3037" s="1214"/>
      <c r="V3037" s="1215"/>
      <c r="W3037" s="168"/>
      <c r="X3037" s="170"/>
    </row>
    <row r="3038" spans="1:24" ht="12.75" customHeight="1">
      <c r="A3038" s="15"/>
      <c r="B3038" s="92" t="str">
        <f t="shared" si="363"/>
        <v/>
      </c>
      <c r="C3038" s="90"/>
      <c r="D3038" s="87"/>
      <c r="E3038" s="88"/>
      <c r="F3038" s="173"/>
      <c r="G3038" s="88"/>
      <c r="H3038" s="88"/>
      <c r="I3038" s="88"/>
      <c r="J3038" s="88"/>
      <c r="K3038" s="230"/>
      <c r="L3038" s="88"/>
      <c r="M3038" s="88"/>
      <c r="N3038" s="88"/>
      <c r="O3038" s="88"/>
      <c r="P3038" s="88"/>
      <c r="Q3038" s="88"/>
      <c r="R3038" s="88"/>
      <c r="S3038" s="620"/>
      <c r="T3038" s="92"/>
      <c r="U3038" s="1214"/>
      <c r="V3038" s="1215"/>
      <c r="W3038" s="168"/>
      <c r="X3038" s="170"/>
    </row>
    <row r="3039" spans="1:24" ht="12.75" customHeight="1">
      <c r="A3039" s="15"/>
      <c r="B3039" s="92" t="str">
        <f t="shared" si="363"/>
        <v/>
      </c>
      <c r="C3039" s="90"/>
      <c r="D3039" s="87"/>
      <c r="E3039" s="88"/>
      <c r="F3039" s="173"/>
      <c r="G3039" s="88"/>
      <c r="H3039" s="88"/>
      <c r="I3039" s="88"/>
      <c r="J3039" s="88"/>
      <c r="K3039" s="230"/>
      <c r="L3039" s="88"/>
      <c r="M3039" s="88"/>
      <c r="N3039" s="88"/>
      <c r="O3039" s="88"/>
      <c r="P3039" s="88"/>
      <c r="Q3039" s="88"/>
      <c r="R3039" s="88"/>
      <c r="S3039" s="620"/>
      <c r="T3039" s="92"/>
      <c r="U3039" s="1214"/>
      <c r="V3039" s="1215"/>
      <c r="W3039" s="168"/>
      <c r="X3039" s="170"/>
    </row>
    <row r="3040" spans="1:24" ht="12.75" customHeight="1">
      <c r="A3040" s="15"/>
      <c r="B3040" s="92" t="str">
        <f t="shared" si="363"/>
        <v/>
      </c>
      <c r="C3040" s="90"/>
      <c r="D3040" s="87"/>
      <c r="E3040" s="88"/>
      <c r="F3040" s="173"/>
      <c r="G3040" s="88"/>
      <c r="H3040" s="88"/>
      <c r="I3040" s="88"/>
      <c r="J3040" s="88"/>
      <c r="K3040" s="230"/>
      <c r="L3040" s="88"/>
      <c r="M3040" s="88"/>
      <c r="N3040" s="88"/>
      <c r="O3040" s="88"/>
      <c r="P3040" s="88"/>
      <c r="Q3040" s="88"/>
      <c r="R3040" s="88"/>
      <c r="S3040" s="620"/>
      <c r="T3040" s="92"/>
      <c r="U3040" s="1214"/>
      <c r="V3040" s="1215"/>
      <c r="W3040" s="168"/>
      <c r="X3040" s="170"/>
    </row>
    <row r="3041" spans="1:24" ht="12.75" customHeight="1">
      <c r="A3041" s="15"/>
      <c r="B3041" s="92" t="str">
        <f t="shared" si="363"/>
        <v/>
      </c>
      <c r="C3041" s="90"/>
      <c r="D3041" s="87"/>
      <c r="E3041" s="88"/>
      <c r="F3041" s="173"/>
      <c r="G3041" s="88"/>
      <c r="H3041" s="88"/>
      <c r="I3041" s="88"/>
      <c r="J3041" s="88"/>
      <c r="K3041" s="230"/>
      <c r="L3041" s="88"/>
      <c r="M3041" s="88"/>
      <c r="N3041" s="88"/>
      <c r="O3041" s="88"/>
      <c r="P3041" s="88"/>
      <c r="Q3041" s="88"/>
      <c r="R3041" s="88"/>
      <c r="S3041" s="620"/>
      <c r="T3041" s="92"/>
      <c r="U3041" s="1214"/>
      <c r="V3041" s="1215"/>
      <c r="W3041" s="168"/>
      <c r="X3041" s="170"/>
    </row>
    <row r="3042" spans="1:24" ht="12.75" customHeight="1">
      <c r="A3042" s="15"/>
      <c r="B3042" s="92" t="str">
        <f t="shared" si="363"/>
        <v/>
      </c>
      <c r="C3042" s="90"/>
      <c r="D3042" s="87"/>
      <c r="E3042" s="88"/>
      <c r="F3042" s="173"/>
      <c r="G3042" s="88"/>
      <c r="H3042" s="88"/>
      <c r="I3042" s="88"/>
      <c r="J3042" s="88"/>
      <c r="K3042" s="230"/>
      <c r="L3042" s="88"/>
      <c r="M3042" s="88"/>
      <c r="N3042" s="88"/>
      <c r="O3042" s="88"/>
      <c r="P3042" s="88"/>
      <c r="Q3042" s="88"/>
      <c r="R3042" s="88"/>
      <c r="S3042" s="620"/>
      <c r="T3042" s="92"/>
      <c r="U3042" s="1214"/>
      <c r="V3042" s="1215"/>
      <c r="W3042" s="168"/>
      <c r="X3042" s="170"/>
    </row>
    <row r="3043" spans="1:24" ht="12.75" customHeight="1">
      <c r="A3043" s="15"/>
      <c r="B3043" s="92" t="str">
        <f t="shared" si="363"/>
        <v/>
      </c>
      <c r="C3043" s="90"/>
      <c r="D3043" s="87"/>
      <c r="E3043" s="88"/>
      <c r="F3043" s="173"/>
      <c r="G3043" s="88"/>
      <c r="H3043" s="88"/>
      <c r="I3043" s="88"/>
      <c r="J3043" s="88"/>
      <c r="K3043" s="230"/>
      <c r="L3043" s="88"/>
      <c r="M3043" s="88"/>
      <c r="N3043" s="88"/>
      <c r="O3043" s="88"/>
      <c r="P3043" s="88"/>
      <c r="Q3043" s="88"/>
      <c r="R3043" s="88"/>
      <c r="S3043" s="620"/>
      <c r="T3043" s="92"/>
      <c r="U3043" s="1214"/>
      <c r="V3043" s="1215"/>
      <c r="W3043" s="168"/>
      <c r="X3043" s="170"/>
    </row>
    <row r="3044" spans="1:24" ht="12.75" customHeight="1">
      <c r="A3044" s="15"/>
      <c r="B3044" s="92" t="str">
        <f t="shared" si="363"/>
        <v/>
      </c>
      <c r="C3044" s="90"/>
      <c r="D3044" s="87"/>
      <c r="E3044" s="88"/>
      <c r="F3044" s="173"/>
      <c r="G3044" s="88"/>
      <c r="H3044" s="88"/>
      <c r="I3044" s="88"/>
      <c r="J3044" s="88"/>
      <c r="K3044" s="230"/>
      <c r="L3044" s="88"/>
      <c r="M3044" s="88"/>
      <c r="N3044" s="88"/>
      <c r="O3044" s="88"/>
      <c r="P3044" s="88"/>
      <c r="Q3044" s="88"/>
      <c r="R3044" s="88"/>
      <c r="S3044" s="620"/>
      <c r="T3044" s="92"/>
      <c r="U3044" s="1214"/>
      <c r="V3044" s="1215"/>
      <c r="W3044" s="168"/>
      <c r="X3044" s="170"/>
    </row>
    <row r="3045" spans="1:24" ht="12.75" customHeight="1">
      <c r="A3045" s="15"/>
      <c r="B3045" s="92" t="str">
        <f t="shared" si="363"/>
        <v/>
      </c>
      <c r="C3045" s="90"/>
      <c r="D3045" s="87"/>
      <c r="E3045" s="88"/>
      <c r="F3045" s="173"/>
      <c r="G3045" s="88"/>
      <c r="H3045" s="88"/>
      <c r="I3045" s="88"/>
      <c r="J3045" s="88"/>
      <c r="K3045" s="230"/>
      <c r="L3045" s="88"/>
      <c r="M3045" s="88"/>
      <c r="N3045" s="88"/>
      <c r="O3045" s="88"/>
      <c r="P3045" s="88"/>
      <c r="Q3045" s="88"/>
      <c r="R3045" s="88"/>
      <c r="S3045" s="620"/>
      <c r="T3045" s="92"/>
      <c r="U3045" s="1214"/>
      <c r="V3045" s="1215"/>
      <c r="W3045" s="168"/>
      <c r="X3045" s="170"/>
    </row>
    <row r="3046" spans="1:24" ht="12.75" customHeight="1">
      <c r="A3046" s="15"/>
      <c r="B3046" s="92" t="str">
        <f t="shared" si="363"/>
        <v/>
      </c>
      <c r="C3046" s="90"/>
      <c r="D3046" s="87"/>
      <c r="E3046" s="88"/>
      <c r="F3046" s="173"/>
      <c r="G3046" s="88"/>
      <c r="H3046" s="88"/>
      <c r="I3046" s="88"/>
      <c r="J3046" s="88"/>
      <c r="K3046" s="230"/>
      <c r="L3046" s="88"/>
      <c r="M3046" s="88"/>
      <c r="N3046" s="88"/>
      <c r="O3046" s="88"/>
      <c r="P3046" s="88"/>
      <c r="Q3046" s="88"/>
      <c r="R3046" s="88"/>
      <c r="S3046" s="620"/>
      <c r="T3046" s="92"/>
      <c r="U3046" s="1214"/>
      <c r="V3046" s="1215"/>
      <c r="W3046" s="168"/>
      <c r="X3046" s="170"/>
    </row>
    <row r="3047" spans="1:24" ht="12.75" customHeight="1">
      <c r="A3047" s="15"/>
      <c r="B3047" s="92" t="str">
        <f t="shared" si="363"/>
        <v/>
      </c>
      <c r="C3047" s="90"/>
      <c r="D3047" s="87"/>
      <c r="E3047" s="88"/>
      <c r="F3047" s="173"/>
      <c r="G3047" s="88"/>
      <c r="H3047" s="88"/>
      <c r="I3047" s="88"/>
      <c r="J3047" s="88"/>
      <c r="K3047" s="230"/>
      <c r="L3047" s="88"/>
      <c r="M3047" s="88"/>
      <c r="N3047" s="88"/>
      <c r="O3047" s="88"/>
      <c r="P3047" s="88"/>
      <c r="Q3047" s="88"/>
      <c r="R3047" s="88"/>
      <c r="S3047" s="620"/>
      <c r="T3047" s="92"/>
      <c r="U3047" s="1214"/>
      <c r="V3047" s="1215"/>
      <c r="W3047" s="168"/>
      <c r="X3047" s="170"/>
    </row>
    <row r="3048" spans="1:24" ht="12.75" customHeight="1">
      <c r="A3048" s="15"/>
      <c r="B3048" s="92" t="str">
        <f t="shared" si="363"/>
        <v/>
      </c>
      <c r="C3048" s="90"/>
      <c r="D3048" s="87"/>
      <c r="E3048" s="88"/>
      <c r="F3048" s="173"/>
      <c r="G3048" s="88"/>
      <c r="H3048" s="88"/>
      <c r="I3048" s="88"/>
      <c r="J3048" s="88"/>
      <c r="K3048" s="230"/>
      <c r="L3048" s="88"/>
      <c r="M3048" s="88"/>
      <c r="N3048" s="88"/>
      <c r="O3048" s="88"/>
      <c r="P3048" s="88"/>
      <c r="Q3048" s="88"/>
      <c r="R3048" s="88"/>
      <c r="S3048" s="620"/>
      <c r="T3048" s="92"/>
      <c r="U3048" s="1214"/>
      <c r="V3048" s="1215"/>
      <c r="W3048" s="168"/>
      <c r="X3048" s="170"/>
    </row>
    <row r="3049" spans="1:24" ht="12.75" customHeight="1">
      <c r="A3049" s="15"/>
      <c r="B3049" s="92" t="str">
        <f t="shared" si="363"/>
        <v/>
      </c>
      <c r="C3049" s="90"/>
      <c r="D3049" s="87"/>
      <c r="E3049" s="88"/>
      <c r="F3049" s="173"/>
      <c r="G3049" s="88"/>
      <c r="H3049" s="88"/>
      <c r="I3049" s="88"/>
      <c r="J3049" s="88"/>
      <c r="K3049" s="230"/>
      <c r="L3049" s="88"/>
      <c r="M3049" s="88"/>
      <c r="N3049" s="88"/>
      <c r="O3049" s="88"/>
      <c r="P3049" s="88"/>
      <c r="Q3049" s="88"/>
      <c r="R3049" s="88"/>
      <c r="S3049" s="620"/>
      <c r="T3049" s="92"/>
      <c r="U3049" s="1214"/>
      <c r="V3049" s="1215"/>
      <c r="W3049" s="168"/>
      <c r="X3049" s="170"/>
    </row>
    <row r="3050" spans="1:24" ht="12.75" customHeight="1">
      <c r="A3050" s="15"/>
      <c r="B3050" s="92" t="str">
        <f t="shared" si="363"/>
        <v/>
      </c>
      <c r="C3050" s="90"/>
      <c r="D3050" s="87"/>
      <c r="E3050" s="88"/>
      <c r="F3050" s="173"/>
      <c r="G3050" s="88"/>
      <c r="H3050" s="88"/>
      <c r="I3050" s="88"/>
      <c r="J3050" s="88"/>
      <c r="K3050" s="230"/>
      <c r="L3050" s="88"/>
      <c r="M3050" s="88"/>
      <c r="N3050" s="88"/>
      <c r="O3050" s="88"/>
      <c r="P3050" s="88"/>
      <c r="Q3050" s="88"/>
      <c r="R3050" s="88"/>
      <c r="S3050" s="620"/>
      <c r="T3050" s="92"/>
      <c r="U3050" s="1214"/>
      <c r="V3050" s="1215"/>
      <c r="W3050" s="168"/>
      <c r="X3050" s="170"/>
    </row>
    <row r="3051" spans="1:24" ht="12.75" customHeight="1">
      <c r="A3051" s="15"/>
      <c r="B3051" s="92" t="str">
        <f t="shared" si="363"/>
        <v/>
      </c>
      <c r="C3051" s="90"/>
      <c r="D3051" s="87"/>
      <c r="E3051" s="88"/>
      <c r="F3051" s="173"/>
      <c r="G3051" s="88"/>
      <c r="H3051" s="88"/>
      <c r="I3051" s="88"/>
      <c r="J3051" s="88"/>
      <c r="K3051" s="230"/>
      <c r="L3051" s="88"/>
      <c r="M3051" s="88"/>
      <c r="N3051" s="88"/>
      <c r="O3051" s="88"/>
      <c r="P3051" s="88"/>
      <c r="Q3051" s="88"/>
      <c r="R3051" s="88"/>
      <c r="S3051" s="620"/>
      <c r="T3051" s="92"/>
      <c r="U3051" s="1214"/>
      <c r="V3051" s="1215"/>
      <c r="W3051" s="168"/>
      <c r="X3051" s="170"/>
    </row>
    <row r="3052" spans="1:24" ht="12.75" customHeight="1">
      <c r="A3052" s="15"/>
      <c r="B3052" s="92" t="str">
        <f t="shared" si="363"/>
        <v/>
      </c>
      <c r="C3052" s="90"/>
      <c r="D3052" s="87"/>
      <c r="E3052" s="88"/>
      <c r="F3052" s="173"/>
      <c r="G3052" s="88"/>
      <c r="H3052" s="88"/>
      <c r="I3052" s="88"/>
      <c r="J3052" s="88"/>
      <c r="K3052" s="230"/>
      <c r="L3052" s="88"/>
      <c r="M3052" s="88"/>
      <c r="N3052" s="88"/>
      <c r="O3052" s="88"/>
      <c r="P3052" s="88"/>
      <c r="Q3052" s="88"/>
      <c r="R3052" s="88"/>
      <c r="S3052" s="620"/>
      <c r="T3052" s="92"/>
      <c r="U3052" s="1214"/>
      <c r="V3052" s="1215"/>
      <c r="W3052" s="168"/>
      <c r="X3052" s="170"/>
    </row>
    <row r="3053" spans="1:24" ht="12.75" customHeight="1">
      <c r="A3053" s="15"/>
      <c r="B3053" s="92" t="str">
        <f t="shared" si="363"/>
        <v/>
      </c>
      <c r="C3053" s="90"/>
      <c r="D3053" s="87"/>
      <c r="E3053" s="88"/>
      <c r="F3053" s="173"/>
      <c r="G3053" s="88"/>
      <c r="H3053" s="88"/>
      <c r="I3053" s="88"/>
      <c r="J3053" s="88"/>
      <c r="K3053" s="230"/>
      <c r="L3053" s="88"/>
      <c r="M3053" s="88"/>
      <c r="N3053" s="88"/>
      <c r="O3053" s="88"/>
      <c r="P3053" s="88"/>
      <c r="Q3053" s="88"/>
      <c r="R3053" s="88"/>
      <c r="S3053" s="620"/>
      <c r="T3053" s="92"/>
      <c r="U3053" s="1214"/>
      <c r="V3053" s="1215"/>
      <c r="W3053" s="168"/>
      <c r="X3053" s="170"/>
    </row>
    <row r="3054" spans="1:24" ht="12.75" customHeight="1">
      <c r="A3054" s="15"/>
      <c r="B3054" s="92" t="str">
        <f t="shared" si="363"/>
        <v/>
      </c>
      <c r="C3054" s="90"/>
      <c r="D3054" s="87"/>
      <c r="E3054" s="88"/>
      <c r="F3054" s="173"/>
      <c r="G3054" s="88"/>
      <c r="H3054" s="88"/>
      <c r="I3054" s="88"/>
      <c r="J3054" s="88"/>
      <c r="K3054" s="230"/>
      <c r="L3054" s="88"/>
      <c r="M3054" s="88"/>
      <c r="N3054" s="88"/>
      <c r="O3054" s="88"/>
      <c r="P3054" s="88"/>
      <c r="Q3054" s="88"/>
      <c r="R3054" s="88"/>
      <c r="S3054" s="620"/>
      <c r="T3054" s="92"/>
      <c r="U3054" s="1214"/>
      <c r="V3054" s="1215"/>
      <c r="W3054" s="168"/>
      <c r="X3054" s="170"/>
    </row>
    <row r="3055" spans="1:24" ht="12.75" customHeight="1">
      <c r="A3055" s="15"/>
      <c r="B3055" s="92" t="str">
        <f t="shared" ref="B3055:B3118" si="364">IF(C3055="","",ROW()-5)</f>
        <v/>
      </c>
      <c r="C3055" s="90"/>
      <c r="D3055" s="87"/>
      <c r="E3055" s="88"/>
      <c r="F3055" s="173"/>
      <c r="G3055" s="88"/>
      <c r="H3055" s="88"/>
      <c r="I3055" s="88"/>
      <c r="J3055" s="88"/>
      <c r="K3055" s="230"/>
      <c r="L3055" s="88"/>
      <c r="M3055" s="88"/>
      <c r="N3055" s="88"/>
      <c r="O3055" s="88"/>
      <c r="P3055" s="88"/>
      <c r="Q3055" s="88"/>
      <c r="R3055" s="88"/>
      <c r="S3055" s="620"/>
      <c r="T3055" s="92"/>
      <c r="U3055" s="1214"/>
      <c r="V3055" s="1215"/>
      <c r="W3055" s="168"/>
      <c r="X3055" s="170"/>
    </row>
    <row r="3056" spans="1:24" ht="12.75" customHeight="1">
      <c r="A3056" s="15"/>
      <c r="B3056" s="92" t="str">
        <f t="shared" si="364"/>
        <v/>
      </c>
      <c r="C3056" s="90"/>
      <c r="D3056" s="87"/>
      <c r="E3056" s="88"/>
      <c r="F3056" s="173"/>
      <c r="G3056" s="88"/>
      <c r="H3056" s="88"/>
      <c r="I3056" s="88"/>
      <c r="J3056" s="88"/>
      <c r="K3056" s="230"/>
      <c r="L3056" s="88"/>
      <c r="M3056" s="88"/>
      <c r="N3056" s="88"/>
      <c r="O3056" s="88"/>
      <c r="P3056" s="88"/>
      <c r="Q3056" s="88"/>
      <c r="R3056" s="88"/>
      <c r="S3056" s="620"/>
      <c r="T3056" s="92"/>
      <c r="U3056" s="1214"/>
      <c r="V3056" s="1215"/>
      <c r="W3056" s="168"/>
      <c r="X3056" s="170"/>
    </row>
    <row r="3057" spans="1:24" ht="12.75" customHeight="1">
      <c r="A3057" s="15"/>
      <c r="B3057" s="92" t="str">
        <f t="shared" si="364"/>
        <v/>
      </c>
      <c r="C3057" s="90"/>
      <c r="D3057" s="87"/>
      <c r="E3057" s="88"/>
      <c r="F3057" s="173"/>
      <c r="G3057" s="88"/>
      <c r="H3057" s="88"/>
      <c r="I3057" s="88"/>
      <c r="J3057" s="88"/>
      <c r="K3057" s="230"/>
      <c r="L3057" s="88"/>
      <c r="M3057" s="88"/>
      <c r="N3057" s="88"/>
      <c r="O3057" s="88"/>
      <c r="P3057" s="88"/>
      <c r="Q3057" s="88"/>
      <c r="R3057" s="88"/>
      <c r="S3057" s="620"/>
      <c r="T3057" s="92"/>
      <c r="U3057" s="1214"/>
      <c r="V3057" s="1215"/>
      <c r="W3057" s="168"/>
      <c r="X3057" s="170"/>
    </row>
    <row r="3058" spans="1:24" ht="12.75" customHeight="1">
      <c r="A3058" s="15"/>
      <c r="B3058" s="92" t="str">
        <f t="shared" si="364"/>
        <v/>
      </c>
      <c r="C3058" s="90"/>
      <c r="D3058" s="87"/>
      <c r="E3058" s="88"/>
      <c r="F3058" s="173"/>
      <c r="G3058" s="88"/>
      <c r="H3058" s="88"/>
      <c r="I3058" s="88"/>
      <c r="J3058" s="88"/>
      <c r="K3058" s="230"/>
      <c r="L3058" s="88"/>
      <c r="M3058" s="88"/>
      <c r="N3058" s="88"/>
      <c r="O3058" s="88"/>
      <c r="P3058" s="88"/>
      <c r="Q3058" s="88"/>
      <c r="R3058" s="88"/>
      <c r="S3058" s="620"/>
      <c r="T3058" s="92"/>
      <c r="U3058" s="1214"/>
      <c r="V3058" s="1215"/>
      <c r="W3058" s="168"/>
      <c r="X3058" s="170"/>
    </row>
    <row r="3059" spans="1:24" ht="12.75" customHeight="1">
      <c r="A3059" s="15"/>
      <c r="B3059" s="92" t="str">
        <f t="shared" si="364"/>
        <v/>
      </c>
      <c r="C3059" s="90"/>
      <c r="D3059" s="87"/>
      <c r="E3059" s="88"/>
      <c r="F3059" s="173"/>
      <c r="G3059" s="88"/>
      <c r="H3059" s="88"/>
      <c r="I3059" s="88"/>
      <c r="J3059" s="88"/>
      <c r="K3059" s="230"/>
      <c r="L3059" s="88"/>
      <c r="M3059" s="88"/>
      <c r="N3059" s="88"/>
      <c r="O3059" s="88"/>
      <c r="P3059" s="88"/>
      <c r="Q3059" s="88"/>
      <c r="R3059" s="88"/>
      <c r="S3059" s="620"/>
      <c r="T3059" s="92"/>
      <c r="U3059" s="1214"/>
      <c r="V3059" s="1215"/>
      <c r="W3059" s="168"/>
      <c r="X3059" s="170"/>
    </row>
    <row r="3060" spans="1:24" ht="12.75" customHeight="1">
      <c r="A3060" s="15"/>
      <c r="B3060" s="92" t="str">
        <f t="shared" si="364"/>
        <v/>
      </c>
      <c r="C3060" s="90"/>
      <c r="D3060" s="87"/>
      <c r="E3060" s="88"/>
      <c r="F3060" s="173"/>
      <c r="G3060" s="88"/>
      <c r="H3060" s="88"/>
      <c r="I3060" s="88"/>
      <c r="J3060" s="88"/>
      <c r="K3060" s="230"/>
      <c r="L3060" s="88"/>
      <c r="M3060" s="88"/>
      <c r="N3060" s="88"/>
      <c r="O3060" s="88"/>
      <c r="P3060" s="88"/>
      <c r="Q3060" s="88"/>
      <c r="R3060" s="88"/>
      <c r="S3060" s="620"/>
      <c r="T3060" s="92"/>
      <c r="U3060" s="1214"/>
      <c r="V3060" s="1215"/>
      <c r="W3060" s="168"/>
      <c r="X3060" s="170"/>
    </row>
    <row r="3061" spans="1:24" ht="12.75" customHeight="1">
      <c r="A3061" s="15"/>
      <c r="B3061" s="92" t="str">
        <f t="shared" si="364"/>
        <v/>
      </c>
      <c r="C3061" s="90"/>
      <c r="D3061" s="87"/>
      <c r="E3061" s="88"/>
      <c r="F3061" s="173"/>
      <c r="G3061" s="88"/>
      <c r="H3061" s="88"/>
      <c r="I3061" s="88"/>
      <c r="J3061" s="88"/>
      <c r="K3061" s="230"/>
      <c r="L3061" s="88"/>
      <c r="M3061" s="88"/>
      <c r="N3061" s="88"/>
      <c r="O3061" s="88"/>
      <c r="P3061" s="88"/>
      <c r="Q3061" s="88"/>
      <c r="R3061" s="88"/>
      <c r="S3061" s="620"/>
      <c r="T3061" s="92"/>
      <c r="U3061" s="1214"/>
      <c r="V3061" s="1215"/>
      <c r="W3061" s="168"/>
      <c r="X3061" s="170"/>
    </row>
    <row r="3062" spans="1:24" ht="12.75" customHeight="1">
      <c r="A3062" s="15"/>
      <c r="B3062" s="92" t="str">
        <f t="shared" si="364"/>
        <v/>
      </c>
      <c r="C3062" s="90"/>
      <c r="D3062" s="87"/>
      <c r="E3062" s="88"/>
      <c r="F3062" s="173"/>
      <c r="G3062" s="88"/>
      <c r="H3062" s="88"/>
      <c r="I3062" s="88"/>
      <c r="J3062" s="88"/>
      <c r="K3062" s="230"/>
      <c r="L3062" s="88"/>
      <c r="M3062" s="88"/>
      <c r="N3062" s="88"/>
      <c r="O3062" s="88"/>
      <c r="P3062" s="88"/>
      <c r="Q3062" s="88"/>
      <c r="R3062" s="88"/>
      <c r="S3062" s="620"/>
      <c r="T3062" s="92"/>
      <c r="U3062" s="1214"/>
      <c r="V3062" s="1215"/>
      <c r="W3062" s="168"/>
      <c r="X3062" s="170"/>
    </row>
    <row r="3063" spans="1:24" ht="12.75" customHeight="1">
      <c r="A3063" s="15"/>
      <c r="B3063" s="92" t="str">
        <f t="shared" si="364"/>
        <v/>
      </c>
      <c r="C3063" s="90"/>
      <c r="D3063" s="87"/>
      <c r="E3063" s="88"/>
      <c r="F3063" s="173"/>
      <c r="G3063" s="88"/>
      <c r="H3063" s="88"/>
      <c r="I3063" s="88"/>
      <c r="J3063" s="88"/>
      <c r="K3063" s="230"/>
      <c r="L3063" s="88"/>
      <c r="M3063" s="88"/>
      <c r="N3063" s="88"/>
      <c r="O3063" s="88"/>
      <c r="P3063" s="88"/>
      <c r="Q3063" s="88"/>
      <c r="R3063" s="88"/>
      <c r="S3063" s="620"/>
      <c r="T3063" s="92"/>
      <c r="U3063" s="1214"/>
      <c r="V3063" s="1215"/>
      <c r="W3063" s="168"/>
      <c r="X3063" s="170"/>
    </row>
    <row r="3064" spans="1:24" ht="12.75" customHeight="1">
      <c r="A3064" s="15"/>
      <c r="B3064" s="92" t="str">
        <f t="shared" si="364"/>
        <v/>
      </c>
      <c r="C3064" s="90"/>
      <c r="D3064" s="87"/>
      <c r="E3064" s="88"/>
      <c r="F3064" s="173"/>
      <c r="G3064" s="88"/>
      <c r="H3064" s="88"/>
      <c r="I3064" s="88"/>
      <c r="J3064" s="88"/>
      <c r="K3064" s="230"/>
      <c r="L3064" s="88"/>
      <c r="M3064" s="88"/>
      <c r="N3064" s="88"/>
      <c r="O3064" s="88"/>
      <c r="P3064" s="88"/>
      <c r="Q3064" s="88"/>
      <c r="R3064" s="88"/>
      <c r="S3064" s="620"/>
      <c r="T3064" s="92"/>
      <c r="U3064" s="1214"/>
      <c r="V3064" s="1215"/>
      <c r="W3064" s="168"/>
      <c r="X3064" s="170"/>
    </row>
    <row r="3065" spans="1:24" ht="12.75" customHeight="1">
      <c r="A3065" s="15"/>
      <c r="B3065" s="92" t="str">
        <f t="shared" si="364"/>
        <v/>
      </c>
      <c r="C3065" s="90"/>
      <c r="D3065" s="87"/>
      <c r="E3065" s="88"/>
      <c r="F3065" s="173"/>
      <c r="G3065" s="88"/>
      <c r="H3065" s="88"/>
      <c r="I3065" s="88"/>
      <c r="J3065" s="88"/>
      <c r="K3065" s="230"/>
      <c r="L3065" s="88"/>
      <c r="M3065" s="88"/>
      <c r="N3065" s="88"/>
      <c r="O3065" s="88"/>
      <c r="P3065" s="88"/>
      <c r="Q3065" s="88"/>
      <c r="R3065" s="88"/>
      <c r="S3065" s="620"/>
      <c r="T3065" s="92"/>
      <c r="U3065" s="1214"/>
      <c r="V3065" s="1215"/>
      <c r="W3065" s="168"/>
      <c r="X3065" s="170"/>
    </row>
    <row r="3066" spans="1:24" ht="12.75" customHeight="1">
      <c r="A3066" s="15"/>
      <c r="B3066" s="92" t="str">
        <f t="shared" si="364"/>
        <v/>
      </c>
      <c r="C3066" s="90"/>
      <c r="D3066" s="87"/>
      <c r="E3066" s="88"/>
      <c r="F3066" s="173"/>
      <c r="G3066" s="88"/>
      <c r="H3066" s="88"/>
      <c r="I3066" s="88"/>
      <c r="J3066" s="88"/>
      <c r="K3066" s="230"/>
      <c r="L3066" s="88"/>
      <c r="M3066" s="88"/>
      <c r="N3066" s="88"/>
      <c r="O3066" s="88"/>
      <c r="P3066" s="88"/>
      <c r="Q3066" s="88"/>
      <c r="R3066" s="88"/>
      <c r="S3066" s="620"/>
      <c r="T3066" s="92"/>
      <c r="U3066" s="1214"/>
      <c r="V3066" s="1215"/>
      <c r="W3066" s="168"/>
      <c r="X3066" s="170"/>
    </row>
    <row r="3067" spans="1:24" ht="12.75" customHeight="1">
      <c r="A3067" s="15"/>
      <c r="B3067" s="92" t="str">
        <f t="shared" si="364"/>
        <v/>
      </c>
      <c r="C3067" s="90"/>
      <c r="D3067" s="87"/>
      <c r="E3067" s="88"/>
      <c r="F3067" s="173"/>
      <c r="G3067" s="88"/>
      <c r="H3067" s="88"/>
      <c r="I3067" s="88"/>
      <c r="J3067" s="88"/>
      <c r="K3067" s="230"/>
      <c r="L3067" s="88"/>
      <c r="M3067" s="88"/>
      <c r="N3067" s="88"/>
      <c r="O3067" s="88"/>
      <c r="P3067" s="88"/>
      <c r="Q3067" s="88"/>
      <c r="R3067" s="88"/>
      <c r="S3067" s="620"/>
      <c r="T3067" s="92"/>
      <c r="U3067" s="1214"/>
      <c r="V3067" s="1215"/>
      <c r="W3067" s="168"/>
      <c r="X3067" s="170"/>
    </row>
    <row r="3068" spans="1:24" ht="12.75" customHeight="1">
      <c r="A3068" s="15"/>
      <c r="B3068" s="92" t="str">
        <f t="shared" si="364"/>
        <v/>
      </c>
      <c r="C3068" s="90"/>
      <c r="D3068" s="87"/>
      <c r="E3068" s="88"/>
      <c r="F3068" s="173"/>
      <c r="G3068" s="88"/>
      <c r="H3068" s="88"/>
      <c r="I3068" s="88"/>
      <c r="J3068" s="88"/>
      <c r="K3068" s="230"/>
      <c r="L3068" s="88"/>
      <c r="M3068" s="88"/>
      <c r="N3068" s="88"/>
      <c r="O3068" s="88"/>
      <c r="P3068" s="88"/>
      <c r="Q3068" s="88"/>
      <c r="R3068" s="88"/>
      <c r="S3068" s="620"/>
      <c r="T3068" s="92"/>
      <c r="U3068" s="1214"/>
      <c r="V3068" s="1215"/>
      <c r="W3068" s="168"/>
      <c r="X3068" s="170"/>
    </row>
    <row r="3069" spans="1:24" ht="12.75" customHeight="1">
      <c r="A3069" s="15"/>
      <c r="B3069" s="92" t="str">
        <f t="shared" si="364"/>
        <v/>
      </c>
      <c r="C3069" s="90"/>
      <c r="D3069" s="87"/>
      <c r="E3069" s="88"/>
      <c r="F3069" s="173"/>
      <c r="G3069" s="88"/>
      <c r="H3069" s="88"/>
      <c r="I3069" s="88"/>
      <c r="J3069" s="88"/>
      <c r="K3069" s="230"/>
      <c r="L3069" s="88"/>
      <c r="M3069" s="88"/>
      <c r="N3069" s="88"/>
      <c r="O3069" s="88"/>
      <c r="P3069" s="88"/>
      <c r="Q3069" s="88"/>
      <c r="R3069" s="88"/>
      <c r="S3069" s="620"/>
      <c r="T3069" s="92"/>
      <c r="U3069" s="1214"/>
      <c r="V3069" s="1215"/>
      <c r="W3069" s="168"/>
      <c r="X3069" s="170"/>
    </row>
    <row r="3070" spans="1:24" ht="12.75" customHeight="1">
      <c r="A3070" s="15"/>
      <c r="B3070" s="92" t="str">
        <f t="shared" si="364"/>
        <v/>
      </c>
      <c r="C3070" s="90"/>
      <c r="D3070" s="87"/>
      <c r="E3070" s="88"/>
      <c r="F3070" s="173"/>
      <c r="G3070" s="88"/>
      <c r="H3070" s="88"/>
      <c r="I3070" s="88"/>
      <c r="J3070" s="88"/>
      <c r="K3070" s="230"/>
      <c r="L3070" s="88"/>
      <c r="M3070" s="88"/>
      <c r="N3070" s="88"/>
      <c r="O3070" s="88"/>
      <c r="P3070" s="88"/>
      <c r="Q3070" s="88"/>
      <c r="R3070" s="88"/>
      <c r="S3070" s="620"/>
      <c r="T3070" s="92"/>
      <c r="U3070" s="1214"/>
      <c r="V3070" s="1215"/>
      <c r="W3070" s="168"/>
      <c r="X3070" s="170"/>
    </row>
    <row r="3071" spans="1:24" ht="12.75" customHeight="1">
      <c r="A3071" s="15"/>
      <c r="B3071" s="92" t="str">
        <f t="shared" si="364"/>
        <v/>
      </c>
      <c r="C3071" s="90"/>
      <c r="D3071" s="87"/>
      <c r="E3071" s="88"/>
      <c r="F3071" s="173"/>
      <c r="G3071" s="88"/>
      <c r="H3071" s="88"/>
      <c r="I3071" s="88"/>
      <c r="J3071" s="88"/>
      <c r="K3071" s="230"/>
      <c r="L3071" s="88"/>
      <c r="M3071" s="88"/>
      <c r="N3071" s="88"/>
      <c r="O3071" s="88"/>
      <c r="P3071" s="88"/>
      <c r="Q3071" s="88"/>
      <c r="R3071" s="88"/>
      <c r="S3071" s="620"/>
      <c r="T3071" s="92"/>
      <c r="U3071" s="1214"/>
      <c r="V3071" s="1215"/>
      <c r="W3071" s="168"/>
      <c r="X3071" s="170"/>
    </row>
    <row r="3072" spans="1:24" ht="12.75" customHeight="1">
      <c r="A3072" s="15"/>
      <c r="B3072" s="92" t="str">
        <f t="shared" si="364"/>
        <v/>
      </c>
      <c r="C3072" s="90"/>
      <c r="D3072" s="87"/>
      <c r="E3072" s="88"/>
      <c r="F3072" s="173"/>
      <c r="G3072" s="88"/>
      <c r="H3072" s="88"/>
      <c r="I3072" s="88"/>
      <c r="J3072" s="88"/>
      <c r="K3072" s="230"/>
      <c r="L3072" s="88"/>
      <c r="M3072" s="88"/>
      <c r="N3072" s="88"/>
      <c r="O3072" s="88"/>
      <c r="P3072" s="88"/>
      <c r="Q3072" s="88"/>
      <c r="R3072" s="88"/>
      <c r="S3072" s="620"/>
      <c r="T3072" s="92"/>
      <c r="U3072" s="1214"/>
      <c r="V3072" s="1215"/>
      <c r="W3072" s="168"/>
      <c r="X3072" s="170"/>
    </row>
    <row r="3073" spans="1:24" ht="12.75" customHeight="1">
      <c r="A3073" s="15"/>
      <c r="B3073" s="92" t="str">
        <f t="shared" si="364"/>
        <v/>
      </c>
      <c r="C3073" s="90"/>
      <c r="D3073" s="87"/>
      <c r="E3073" s="88"/>
      <c r="F3073" s="173"/>
      <c r="G3073" s="88"/>
      <c r="H3073" s="88"/>
      <c r="I3073" s="88"/>
      <c r="J3073" s="88"/>
      <c r="K3073" s="230"/>
      <c r="L3073" s="88"/>
      <c r="M3073" s="88"/>
      <c r="N3073" s="88"/>
      <c r="O3073" s="88"/>
      <c r="P3073" s="88"/>
      <c r="Q3073" s="88"/>
      <c r="R3073" s="88"/>
      <c r="S3073" s="620"/>
      <c r="T3073" s="92"/>
      <c r="U3073" s="1214"/>
      <c r="V3073" s="1215"/>
      <c r="W3073" s="168"/>
      <c r="X3073" s="170"/>
    </row>
    <row r="3074" spans="1:24" ht="12.75" customHeight="1">
      <c r="A3074" s="15"/>
      <c r="B3074" s="92" t="str">
        <f t="shared" si="364"/>
        <v/>
      </c>
      <c r="C3074" s="90"/>
      <c r="D3074" s="87"/>
      <c r="E3074" s="88"/>
      <c r="F3074" s="173"/>
      <c r="G3074" s="88"/>
      <c r="H3074" s="88"/>
      <c r="I3074" s="88"/>
      <c r="J3074" s="88"/>
      <c r="K3074" s="230"/>
      <c r="L3074" s="88"/>
      <c r="M3074" s="88"/>
      <c r="N3074" s="88"/>
      <c r="O3074" s="88"/>
      <c r="P3074" s="88"/>
      <c r="Q3074" s="88"/>
      <c r="R3074" s="88"/>
      <c r="S3074" s="620"/>
      <c r="T3074" s="92"/>
      <c r="U3074" s="1214"/>
      <c r="V3074" s="1215"/>
      <c r="W3074" s="168"/>
      <c r="X3074" s="170"/>
    </row>
    <row r="3075" spans="1:24" ht="12.75" customHeight="1">
      <c r="A3075" s="15"/>
      <c r="B3075" s="92" t="str">
        <f t="shared" si="364"/>
        <v/>
      </c>
      <c r="C3075" s="90"/>
      <c r="D3075" s="87"/>
      <c r="E3075" s="88"/>
      <c r="F3075" s="173"/>
      <c r="G3075" s="88"/>
      <c r="H3075" s="88"/>
      <c r="I3075" s="88"/>
      <c r="J3075" s="88"/>
      <c r="K3075" s="230"/>
      <c r="L3075" s="88"/>
      <c r="M3075" s="88"/>
      <c r="N3075" s="88"/>
      <c r="O3075" s="88"/>
      <c r="P3075" s="88"/>
      <c r="Q3075" s="88"/>
      <c r="R3075" s="88"/>
      <c r="S3075" s="620"/>
      <c r="T3075" s="92"/>
      <c r="U3075" s="1214"/>
      <c r="V3075" s="1215"/>
      <c r="W3075" s="168"/>
      <c r="X3075" s="170"/>
    </row>
    <row r="3076" spans="1:24" ht="12.75" customHeight="1">
      <c r="A3076" s="15"/>
      <c r="B3076" s="92" t="str">
        <f t="shared" si="364"/>
        <v/>
      </c>
      <c r="C3076" s="90"/>
      <c r="D3076" s="87"/>
      <c r="E3076" s="88"/>
      <c r="F3076" s="173"/>
      <c r="G3076" s="88"/>
      <c r="H3076" s="88"/>
      <c r="I3076" s="88"/>
      <c r="J3076" s="88"/>
      <c r="K3076" s="230"/>
      <c r="L3076" s="88"/>
      <c r="M3076" s="88"/>
      <c r="N3076" s="88"/>
      <c r="O3076" s="88"/>
      <c r="P3076" s="88"/>
      <c r="Q3076" s="88"/>
      <c r="R3076" s="88"/>
      <c r="S3076" s="620"/>
      <c r="T3076" s="92"/>
      <c r="U3076" s="1214"/>
      <c r="V3076" s="1215"/>
      <c r="W3076" s="168"/>
      <c r="X3076" s="170"/>
    </row>
    <row r="3077" spans="1:24" ht="12.75" customHeight="1">
      <c r="A3077" s="15"/>
      <c r="B3077" s="92" t="str">
        <f t="shared" si="364"/>
        <v/>
      </c>
      <c r="C3077" s="90"/>
      <c r="D3077" s="87"/>
      <c r="E3077" s="88"/>
      <c r="F3077" s="173"/>
      <c r="G3077" s="88"/>
      <c r="H3077" s="88"/>
      <c r="I3077" s="88"/>
      <c r="J3077" s="88"/>
      <c r="K3077" s="230"/>
      <c r="L3077" s="88"/>
      <c r="M3077" s="88"/>
      <c r="N3077" s="88"/>
      <c r="O3077" s="88"/>
      <c r="P3077" s="88"/>
      <c r="Q3077" s="88"/>
      <c r="R3077" s="88"/>
      <c r="S3077" s="620"/>
      <c r="T3077" s="92"/>
      <c r="U3077" s="1214"/>
      <c r="V3077" s="1215"/>
      <c r="W3077" s="168"/>
      <c r="X3077" s="170"/>
    </row>
    <row r="3078" spans="1:24" ht="12.75" customHeight="1">
      <c r="A3078" s="15"/>
      <c r="B3078" s="92" t="str">
        <f t="shared" si="364"/>
        <v/>
      </c>
      <c r="C3078" s="90"/>
      <c r="D3078" s="87"/>
      <c r="E3078" s="88"/>
      <c r="F3078" s="173"/>
      <c r="G3078" s="88"/>
      <c r="H3078" s="88"/>
      <c r="I3078" s="88"/>
      <c r="J3078" s="88"/>
      <c r="K3078" s="230"/>
      <c r="L3078" s="88"/>
      <c r="M3078" s="88"/>
      <c r="N3078" s="88"/>
      <c r="O3078" s="88"/>
      <c r="P3078" s="88"/>
      <c r="Q3078" s="88"/>
      <c r="R3078" s="88"/>
      <c r="S3078" s="620"/>
      <c r="T3078" s="92"/>
      <c r="U3078" s="1214"/>
      <c r="V3078" s="1215"/>
      <c r="W3078" s="168"/>
      <c r="X3078" s="170"/>
    </row>
    <row r="3079" spans="1:24" ht="12.75" customHeight="1">
      <c r="A3079" s="15"/>
      <c r="B3079" s="92" t="str">
        <f t="shared" si="364"/>
        <v/>
      </c>
      <c r="C3079" s="90"/>
      <c r="D3079" s="87"/>
      <c r="E3079" s="88"/>
      <c r="F3079" s="173"/>
      <c r="G3079" s="88"/>
      <c r="H3079" s="88"/>
      <c r="I3079" s="88"/>
      <c r="J3079" s="88"/>
      <c r="K3079" s="230"/>
      <c r="L3079" s="88"/>
      <c r="M3079" s="88"/>
      <c r="N3079" s="88"/>
      <c r="O3079" s="88"/>
      <c r="P3079" s="88"/>
      <c r="Q3079" s="88"/>
      <c r="R3079" s="88"/>
      <c r="S3079" s="620"/>
      <c r="T3079" s="92"/>
      <c r="U3079" s="1214"/>
      <c r="V3079" s="1215"/>
      <c r="W3079" s="168"/>
      <c r="X3079" s="170"/>
    </row>
    <row r="3080" spans="1:24" ht="12.75" customHeight="1">
      <c r="A3080" s="15"/>
      <c r="B3080" s="92" t="str">
        <f t="shared" si="364"/>
        <v/>
      </c>
      <c r="C3080" s="90"/>
      <c r="D3080" s="87"/>
      <c r="E3080" s="88"/>
      <c r="F3080" s="173"/>
      <c r="G3080" s="88"/>
      <c r="H3080" s="88"/>
      <c r="I3080" s="88"/>
      <c r="J3080" s="88"/>
      <c r="K3080" s="230"/>
      <c r="L3080" s="88"/>
      <c r="M3080" s="88"/>
      <c r="N3080" s="88"/>
      <c r="O3080" s="88"/>
      <c r="P3080" s="88"/>
      <c r="Q3080" s="88"/>
      <c r="R3080" s="88"/>
      <c r="S3080" s="620"/>
      <c r="T3080" s="92"/>
      <c r="U3080" s="1214"/>
      <c r="V3080" s="1215"/>
      <c r="W3080" s="168"/>
      <c r="X3080" s="170"/>
    </row>
    <row r="3081" spans="1:24" ht="12.75" customHeight="1">
      <c r="A3081" s="15"/>
      <c r="B3081" s="92" t="str">
        <f t="shared" si="364"/>
        <v/>
      </c>
      <c r="C3081" s="90"/>
      <c r="D3081" s="87"/>
      <c r="E3081" s="88"/>
      <c r="F3081" s="173"/>
      <c r="G3081" s="88"/>
      <c r="H3081" s="88"/>
      <c r="I3081" s="88"/>
      <c r="J3081" s="88"/>
      <c r="K3081" s="230"/>
      <c r="L3081" s="88"/>
      <c r="M3081" s="88"/>
      <c r="N3081" s="88"/>
      <c r="O3081" s="88"/>
      <c r="P3081" s="88"/>
      <c r="Q3081" s="88"/>
      <c r="R3081" s="88"/>
      <c r="S3081" s="620"/>
      <c r="T3081" s="92"/>
      <c r="U3081" s="1214"/>
      <c r="V3081" s="1215"/>
      <c r="W3081" s="168"/>
      <c r="X3081" s="170"/>
    </row>
    <row r="3082" spans="1:24" ht="12.75" customHeight="1">
      <c r="A3082" s="15"/>
      <c r="B3082" s="92" t="str">
        <f t="shared" si="364"/>
        <v/>
      </c>
      <c r="C3082" s="90"/>
      <c r="D3082" s="87"/>
      <c r="E3082" s="88"/>
      <c r="F3082" s="173"/>
      <c r="G3082" s="88"/>
      <c r="H3082" s="88"/>
      <c r="I3082" s="88"/>
      <c r="J3082" s="88"/>
      <c r="K3082" s="230"/>
      <c r="L3082" s="88"/>
      <c r="M3082" s="88"/>
      <c r="N3082" s="88"/>
      <c r="O3082" s="88"/>
      <c r="P3082" s="88"/>
      <c r="Q3082" s="88"/>
      <c r="R3082" s="88"/>
      <c r="S3082" s="620"/>
      <c r="T3082" s="92"/>
      <c r="U3082" s="1214"/>
      <c r="V3082" s="1215"/>
      <c r="W3082" s="168"/>
      <c r="X3082" s="170"/>
    </row>
    <row r="3083" spans="1:24" ht="12.75" customHeight="1">
      <c r="A3083" s="15"/>
      <c r="B3083" s="92" t="str">
        <f t="shared" si="364"/>
        <v/>
      </c>
      <c r="C3083" s="90"/>
      <c r="D3083" s="87"/>
      <c r="E3083" s="88"/>
      <c r="F3083" s="173"/>
      <c r="G3083" s="88"/>
      <c r="H3083" s="88"/>
      <c r="I3083" s="88"/>
      <c r="J3083" s="88"/>
      <c r="K3083" s="230"/>
      <c r="L3083" s="88"/>
      <c r="M3083" s="88"/>
      <c r="N3083" s="88"/>
      <c r="O3083" s="88"/>
      <c r="P3083" s="88"/>
      <c r="Q3083" s="88"/>
      <c r="R3083" s="88"/>
      <c r="S3083" s="620"/>
      <c r="T3083" s="92"/>
      <c r="U3083" s="1214"/>
      <c r="V3083" s="1215"/>
      <c r="W3083" s="168"/>
      <c r="X3083" s="170"/>
    </row>
    <row r="3084" spans="1:24" ht="12.75" customHeight="1">
      <c r="A3084" s="15"/>
      <c r="B3084" s="92" t="str">
        <f t="shared" si="364"/>
        <v/>
      </c>
      <c r="C3084" s="90"/>
      <c r="D3084" s="87"/>
      <c r="E3084" s="88"/>
      <c r="F3084" s="173"/>
      <c r="G3084" s="88"/>
      <c r="H3084" s="88"/>
      <c r="I3084" s="88"/>
      <c r="J3084" s="88"/>
      <c r="K3084" s="230"/>
      <c r="L3084" s="88"/>
      <c r="M3084" s="88"/>
      <c r="N3084" s="88"/>
      <c r="O3084" s="88"/>
      <c r="P3084" s="88"/>
      <c r="Q3084" s="88"/>
      <c r="R3084" s="88"/>
      <c r="S3084" s="620"/>
      <c r="T3084" s="92"/>
      <c r="U3084" s="1214"/>
      <c r="V3084" s="1215"/>
      <c r="W3084" s="168"/>
      <c r="X3084" s="170"/>
    </row>
    <row r="3085" spans="1:24" ht="12.75" customHeight="1">
      <c r="A3085" s="15"/>
      <c r="B3085" s="92" t="str">
        <f t="shared" si="364"/>
        <v/>
      </c>
      <c r="C3085" s="90"/>
      <c r="D3085" s="87"/>
      <c r="E3085" s="88"/>
      <c r="F3085" s="173"/>
      <c r="G3085" s="88"/>
      <c r="H3085" s="88"/>
      <c r="I3085" s="88"/>
      <c r="J3085" s="88"/>
      <c r="K3085" s="230"/>
      <c r="L3085" s="88"/>
      <c r="M3085" s="88"/>
      <c r="N3085" s="88"/>
      <c r="O3085" s="88"/>
      <c r="P3085" s="88"/>
      <c r="Q3085" s="88"/>
      <c r="R3085" s="88"/>
      <c r="S3085" s="620"/>
      <c r="T3085" s="92"/>
      <c r="U3085" s="1214"/>
      <c r="V3085" s="1215"/>
      <c r="W3085" s="168"/>
      <c r="X3085" s="170"/>
    </row>
    <row r="3086" spans="1:24" ht="12.75" customHeight="1">
      <c r="A3086" s="15"/>
      <c r="B3086" s="92" t="str">
        <f t="shared" si="364"/>
        <v/>
      </c>
      <c r="C3086" s="90"/>
      <c r="D3086" s="87"/>
      <c r="E3086" s="88"/>
      <c r="F3086" s="173"/>
      <c r="G3086" s="88"/>
      <c r="H3086" s="88"/>
      <c r="I3086" s="88"/>
      <c r="J3086" s="88"/>
      <c r="K3086" s="230"/>
      <c r="L3086" s="88"/>
      <c r="M3086" s="88"/>
      <c r="N3086" s="88"/>
      <c r="O3086" s="88"/>
      <c r="P3086" s="88"/>
      <c r="Q3086" s="88"/>
      <c r="R3086" s="88"/>
      <c r="S3086" s="620"/>
      <c r="T3086" s="92"/>
      <c r="U3086" s="1214"/>
      <c r="V3086" s="1215"/>
      <c r="W3086" s="168"/>
      <c r="X3086" s="170"/>
    </row>
    <row r="3087" spans="1:24" ht="12.75" customHeight="1">
      <c r="A3087" s="15"/>
      <c r="B3087" s="92" t="str">
        <f t="shared" si="364"/>
        <v/>
      </c>
      <c r="C3087" s="90"/>
      <c r="D3087" s="87"/>
      <c r="E3087" s="88"/>
      <c r="F3087" s="173"/>
      <c r="G3087" s="88"/>
      <c r="H3087" s="88"/>
      <c r="I3087" s="88"/>
      <c r="J3087" s="88"/>
      <c r="K3087" s="230"/>
      <c r="L3087" s="88"/>
      <c r="M3087" s="88"/>
      <c r="N3087" s="88"/>
      <c r="O3087" s="88"/>
      <c r="P3087" s="88"/>
      <c r="Q3087" s="88"/>
      <c r="R3087" s="88"/>
      <c r="S3087" s="620"/>
      <c r="T3087" s="92"/>
      <c r="U3087" s="1214"/>
      <c r="V3087" s="1215"/>
      <c r="W3087" s="168"/>
      <c r="X3087" s="170"/>
    </row>
    <row r="3088" spans="1:24" ht="12.75" customHeight="1">
      <c r="A3088" s="15"/>
      <c r="B3088" s="92" t="str">
        <f t="shared" si="364"/>
        <v/>
      </c>
      <c r="C3088" s="90"/>
      <c r="D3088" s="87"/>
      <c r="E3088" s="88"/>
      <c r="F3088" s="173"/>
      <c r="G3088" s="88"/>
      <c r="H3088" s="88"/>
      <c r="I3088" s="88"/>
      <c r="J3088" s="88"/>
      <c r="K3088" s="230"/>
      <c r="L3088" s="88"/>
      <c r="M3088" s="88"/>
      <c r="N3088" s="88"/>
      <c r="O3088" s="88"/>
      <c r="P3088" s="88"/>
      <c r="Q3088" s="88"/>
      <c r="R3088" s="88"/>
      <c r="S3088" s="620"/>
      <c r="T3088" s="92"/>
      <c r="U3088" s="1214"/>
      <c r="V3088" s="1215"/>
      <c r="W3088" s="168"/>
      <c r="X3088" s="170"/>
    </row>
    <row r="3089" spans="1:24" ht="12.75" customHeight="1">
      <c r="A3089" s="15"/>
      <c r="B3089" s="92" t="str">
        <f t="shared" si="364"/>
        <v/>
      </c>
      <c r="C3089" s="90"/>
      <c r="D3089" s="87"/>
      <c r="E3089" s="88"/>
      <c r="F3089" s="173"/>
      <c r="G3089" s="88"/>
      <c r="H3089" s="88"/>
      <c r="I3089" s="88"/>
      <c r="J3089" s="88"/>
      <c r="K3089" s="230"/>
      <c r="L3089" s="88"/>
      <c r="M3089" s="88"/>
      <c r="N3089" s="88"/>
      <c r="O3089" s="88"/>
      <c r="P3089" s="88"/>
      <c r="Q3089" s="88"/>
      <c r="R3089" s="88"/>
      <c r="S3089" s="620"/>
      <c r="T3089" s="92"/>
      <c r="U3089" s="1214"/>
      <c r="V3089" s="1215"/>
      <c r="W3089" s="168"/>
      <c r="X3089" s="170"/>
    </row>
    <row r="3090" spans="1:24" ht="12.75" customHeight="1">
      <c r="A3090" s="15"/>
      <c r="B3090" s="92" t="str">
        <f t="shared" si="364"/>
        <v/>
      </c>
      <c r="C3090" s="90"/>
      <c r="D3090" s="87"/>
      <c r="E3090" s="88"/>
      <c r="F3090" s="173"/>
      <c r="G3090" s="88"/>
      <c r="H3090" s="88"/>
      <c r="I3090" s="88"/>
      <c r="J3090" s="88"/>
      <c r="K3090" s="230"/>
      <c r="L3090" s="88"/>
      <c r="M3090" s="88"/>
      <c r="N3090" s="88"/>
      <c r="O3090" s="88"/>
      <c r="P3090" s="88"/>
      <c r="Q3090" s="88"/>
      <c r="R3090" s="88"/>
      <c r="S3090" s="620"/>
      <c r="T3090" s="92"/>
      <c r="U3090" s="1214"/>
      <c r="V3090" s="1215"/>
      <c r="W3090" s="168"/>
      <c r="X3090" s="170"/>
    </row>
    <row r="3091" spans="1:24" ht="12.75" customHeight="1">
      <c r="A3091" s="15"/>
      <c r="B3091" s="92" t="str">
        <f t="shared" si="364"/>
        <v/>
      </c>
      <c r="C3091" s="90"/>
      <c r="D3091" s="87"/>
      <c r="E3091" s="88"/>
      <c r="F3091" s="173"/>
      <c r="G3091" s="88"/>
      <c r="H3091" s="88"/>
      <c r="I3091" s="88"/>
      <c r="J3091" s="88"/>
      <c r="K3091" s="230"/>
      <c r="L3091" s="88"/>
      <c r="M3091" s="88"/>
      <c r="N3091" s="88"/>
      <c r="O3091" s="88"/>
      <c r="P3091" s="88"/>
      <c r="Q3091" s="88"/>
      <c r="R3091" s="88"/>
      <c r="S3091" s="620"/>
      <c r="T3091" s="92"/>
      <c r="U3091" s="1214"/>
      <c r="V3091" s="1215"/>
      <c r="W3091" s="168"/>
      <c r="X3091" s="170"/>
    </row>
    <row r="3092" spans="1:24" ht="12.75" customHeight="1">
      <c r="A3092" s="15"/>
      <c r="B3092" s="92" t="str">
        <f t="shared" si="364"/>
        <v/>
      </c>
      <c r="C3092" s="90"/>
      <c r="D3092" s="87"/>
      <c r="E3092" s="88"/>
      <c r="F3092" s="173"/>
      <c r="G3092" s="88"/>
      <c r="H3092" s="88"/>
      <c r="I3092" s="88"/>
      <c r="J3092" s="88"/>
      <c r="K3092" s="230"/>
      <c r="L3092" s="88"/>
      <c r="M3092" s="88"/>
      <c r="N3092" s="88"/>
      <c r="O3092" s="88"/>
      <c r="P3092" s="88"/>
      <c r="Q3092" s="88"/>
      <c r="R3092" s="88"/>
      <c r="S3092" s="620"/>
      <c r="T3092" s="92"/>
      <c r="U3092" s="1214"/>
      <c r="V3092" s="1215"/>
      <c r="W3092" s="168"/>
      <c r="X3092" s="170"/>
    </row>
    <row r="3093" spans="1:24" ht="12.75" customHeight="1">
      <c r="A3093" s="15"/>
      <c r="B3093" s="92" t="str">
        <f t="shared" si="364"/>
        <v/>
      </c>
      <c r="C3093" s="90"/>
      <c r="D3093" s="87"/>
      <c r="E3093" s="88"/>
      <c r="F3093" s="173"/>
      <c r="G3093" s="88"/>
      <c r="H3093" s="88"/>
      <c r="I3093" s="88"/>
      <c r="J3093" s="88"/>
      <c r="K3093" s="230"/>
      <c r="L3093" s="88"/>
      <c r="M3093" s="88"/>
      <c r="N3093" s="88"/>
      <c r="O3093" s="88"/>
      <c r="P3093" s="88"/>
      <c r="Q3093" s="88"/>
      <c r="R3093" s="88"/>
      <c r="S3093" s="620"/>
      <c r="T3093" s="92"/>
      <c r="U3093" s="1214"/>
      <c r="V3093" s="1215"/>
      <c r="W3093" s="168"/>
      <c r="X3093" s="170"/>
    </row>
    <row r="3094" spans="1:24" ht="12.75" customHeight="1">
      <c r="A3094" s="15"/>
      <c r="B3094" s="92" t="str">
        <f t="shared" si="364"/>
        <v/>
      </c>
      <c r="C3094" s="90"/>
      <c r="D3094" s="87"/>
      <c r="E3094" s="88"/>
      <c r="F3094" s="173"/>
      <c r="G3094" s="88"/>
      <c r="H3094" s="88"/>
      <c r="I3094" s="88"/>
      <c r="J3094" s="88"/>
      <c r="K3094" s="230"/>
      <c r="L3094" s="88"/>
      <c r="M3094" s="88"/>
      <c r="N3094" s="88"/>
      <c r="O3094" s="88"/>
      <c r="P3094" s="88"/>
      <c r="Q3094" s="88"/>
      <c r="R3094" s="88"/>
      <c r="S3094" s="620"/>
      <c r="T3094" s="92"/>
      <c r="U3094" s="1214"/>
      <c r="V3094" s="1215"/>
      <c r="W3094" s="168"/>
      <c r="X3094" s="170"/>
    </row>
    <row r="3095" spans="1:24" ht="12.75" customHeight="1">
      <c r="A3095" s="15"/>
      <c r="B3095" s="92" t="str">
        <f t="shared" si="364"/>
        <v/>
      </c>
      <c r="C3095" s="90"/>
      <c r="D3095" s="87"/>
      <c r="E3095" s="88"/>
      <c r="F3095" s="173"/>
      <c r="G3095" s="88"/>
      <c r="H3095" s="88"/>
      <c r="I3095" s="88"/>
      <c r="J3095" s="88"/>
      <c r="K3095" s="230"/>
      <c r="L3095" s="88"/>
      <c r="M3095" s="88"/>
      <c r="N3095" s="88"/>
      <c r="O3095" s="88"/>
      <c r="P3095" s="88"/>
      <c r="Q3095" s="88"/>
      <c r="R3095" s="88"/>
      <c r="S3095" s="620"/>
      <c r="T3095" s="92"/>
      <c r="U3095" s="1214"/>
      <c r="V3095" s="1215"/>
      <c r="W3095" s="168"/>
      <c r="X3095" s="170"/>
    </row>
    <row r="3096" spans="1:24" ht="12.75" customHeight="1">
      <c r="A3096" s="15"/>
      <c r="B3096" s="92" t="str">
        <f t="shared" si="364"/>
        <v/>
      </c>
      <c r="C3096" s="90"/>
      <c r="D3096" s="87"/>
      <c r="E3096" s="88"/>
      <c r="F3096" s="173"/>
      <c r="G3096" s="88"/>
      <c r="H3096" s="88"/>
      <c r="I3096" s="88"/>
      <c r="J3096" s="88"/>
      <c r="K3096" s="230"/>
      <c r="L3096" s="88"/>
      <c r="M3096" s="88"/>
      <c r="N3096" s="88"/>
      <c r="O3096" s="88"/>
      <c r="P3096" s="88"/>
      <c r="Q3096" s="88"/>
      <c r="R3096" s="88"/>
      <c r="S3096" s="620"/>
      <c r="T3096" s="92"/>
      <c r="U3096" s="1214"/>
      <c r="V3096" s="1215"/>
      <c r="W3096" s="168"/>
      <c r="X3096" s="170"/>
    </row>
    <row r="3097" spans="1:24" ht="12.75" customHeight="1">
      <c r="A3097" s="15"/>
      <c r="B3097" s="92" t="str">
        <f t="shared" si="364"/>
        <v/>
      </c>
      <c r="C3097" s="90"/>
      <c r="D3097" s="87"/>
      <c r="E3097" s="88"/>
      <c r="F3097" s="173"/>
      <c r="G3097" s="88"/>
      <c r="H3097" s="88"/>
      <c r="I3097" s="88"/>
      <c r="J3097" s="88"/>
      <c r="K3097" s="230"/>
      <c r="L3097" s="88"/>
      <c r="M3097" s="88"/>
      <c r="N3097" s="88"/>
      <c r="O3097" s="88"/>
      <c r="P3097" s="88"/>
      <c r="Q3097" s="88"/>
      <c r="R3097" s="88"/>
      <c r="S3097" s="620"/>
      <c r="T3097" s="92"/>
      <c r="U3097" s="1214"/>
      <c r="V3097" s="1215"/>
      <c r="W3097" s="168"/>
      <c r="X3097" s="170"/>
    </row>
    <row r="3098" spans="1:24" ht="12.75" customHeight="1">
      <c r="A3098" s="15"/>
      <c r="B3098" s="92" t="str">
        <f t="shared" si="364"/>
        <v/>
      </c>
      <c r="C3098" s="90"/>
      <c r="D3098" s="87"/>
      <c r="E3098" s="88"/>
      <c r="F3098" s="173"/>
      <c r="G3098" s="88"/>
      <c r="H3098" s="88"/>
      <c r="I3098" s="88"/>
      <c r="J3098" s="88"/>
      <c r="K3098" s="230"/>
      <c r="L3098" s="88"/>
      <c r="M3098" s="88"/>
      <c r="N3098" s="88"/>
      <c r="O3098" s="88"/>
      <c r="P3098" s="88"/>
      <c r="Q3098" s="88"/>
      <c r="R3098" s="88"/>
      <c r="S3098" s="620"/>
      <c r="T3098" s="92"/>
      <c r="U3098" s="1214"/>
      <c r="V3098" s="1215"/>
      <c r="W3098" s="168"/>
      <c r="X3098" s="170"/>
    </row>
    <row r="3099" spans="1:24" ht="12.75" customHeight="1">
      <c r="A3099" s="15"/>
      <c r="B3099" s="92" t="str">
        <f t="shared" si="364"/>
        <v/>
      </c>
      <c r="C3099" s="90"/>
      <c r="D3099" s="87"/>
      <c r="E3099" s="88"/>
      <c r="F3099" s="173"/>
      <c r="G3099" s="88"/>
      <c r="H3099" s="88"/>
      <c r="I3099" s="88"/>
      <c r="J3099" s="88"/>
      <c r="K3099" s="230"/>
      <c r="L3099" s="88"/>
      <c r="M3099" s="88"/>
      <c r="N3099" s="88"/>
      <c r="O3099" s="88"/>
      <c r="P3099" s="88"/>
      <c r="Q3099" s="88"/>
      <c r="R3099" s="88"/>
      <c r="S3099" s="620"/>
      <c r="T3099" s="92"/>
      <c r="U3099" s="1214"/>
      <c r="V3099" s="1215"/>
      <c r="W3099" s="168"/>
      <c r="X3099" s="170"/>
    </row>
    <row r="3100" spans="1:24" ht="12.75" customHeight="1">
      <c r="A3100" s="15"/>
      <c r="B3100" s="92" t="str">
        <f t="shared" si="364"/>
        <v/>
      </c>
      <c r="C3100" s="90"/>
      <c r="D3100" s="87"/>
      <c r="E3100" s="88"/>
      <c r="F3100" s="173"/>
      <c r="G3100" s="88"/>
      <c r="H3100" s="88"/>
      <c r="I3100" s="88"/>
      <c r="J3100" s="88"/>
      <c r="K3100" s="230"/>
      <c r="L3100" s="88"/>
      <c r="M3100" s="88"/>
      <c r="N3100" s="88"/>
      <c r="O3100" s="88"/>
      <c r="P3100" s="88"/>
      <c r="Q3100" s="88"/>
      <c r="R3100" s="88"/>
      <c r="S3100" s="620"/>
      <c r="T3100" s="92"/>
      <c r="U3100" s="1214"/>
      <c r="V3100" s="1215"/>
      <c r="W3100" s="168"/>
      <c r="X3100" s="170"/>
    </row>
    <row r="3101" spans="1:24" ht="12.75" customHeight="1">
      <c r="A3101" s="15"/>
      <c r="B3101" s="92" t="str">
        <f t="shared" si="364"/>
        <v/>
      </c>
      <c r="C3101" s="90"/>
      <c r="D3101" s="87"/>
      <c r="E3101" s="88"/>
      <c r="F3101" s="173"/>
      <c r="G3101" s="88"/>
      <c r="H3101" s="88"/>
      <c r="I3101" s="88"/>
      <c r="J3101" s="88"/>
      <c r="K3101" s="230"/>
      <c r="L3101" s="88"/>
      <c r="M3101" s="88"/>
      <c r="N3101" s="88"/>
      <c r="O3101" s="88"/>
      <c r="P3101" s="88"/>
      <c r="Q3101" s="88"/>
      <c r="R3101" s="88"/>
      <c r="S3101" s="620"/>
      <c r="T3101" s="92"/>
      <c r="U3101" s="1214"/>
      <c r="V3101" s="1215"/>
      <c r="W3101" s="168"/>
      <c r="X3101" s="170"/>
    </row>
    <row r="3102" spans="1:24" ht="12.75" customHeight="1">
      <c r="A3102" s="15"/>
      <c r="B3102" s="92" t="str">
        <f t="shared" si="364"/>
        <v/>
      </c>
      <c r="C3102" s="90"/>
      <c r="D3102" s="87"/>
      <c r="E3102" s="88"/>
      <c r="F3102" s="173"/>
      <c r="G3102" s="88"/>
      <c r="H3102" s="88"/>
      <c r="I3102" s="88"/>
      <c r="J3102" s="88"/>
      <c r="K3102" s="230"/>
      <c r="L3102" s="88"/>
      <c r="M3102" s="88"/>
      <c r="N3102" s="88"/>
      <c r="O3102" s="88"/>
      <c r="P3102" s="88"/>
      <c r="Q3102" s="88"/>
      <c r="R3102" s="88"/>
      <c r="S3102" s="620"/>
      <c r="T3102" s="92"/>
      <c r="U3102" s="1214"/>
      <c r="V3102" s="1215"/>
      <c r="W3102" s="168"/>
      <c r="X3102" s="170"/>
    </row>
    <row r="3103" spans="1:24" ht="12.75" customHeight="1">
      <c r="A3103" s="15"/>
      <c r="B3103" s="92" t="str">
        <f t="shared" si="364"/>
        <v/>
      </c>
      <c r="C3103" s="90"/>
      <c r="D3103" s="87"/>
      <c r="E3103" s="88"/>
      <c r="F3103" s="173"/>
      <c r="G3103" s="88"/>
      <c r="H3103" s="88"/>
      <c r="I3103" s="88"/>
      <c r="J3103" s="88"/>
      <c r="K3103" s="230"/>
      <c r="L3103" s="88"/>
      <c r="M3103" s="88"/>
      <c r="N3103" s="88"/>
      <c r="O3103" s="88"/>
      <c r="P3103" s="88"/>
      <c r="Q3103" s="88"/>
      <c r="R3103" s="88"/>
      <c r="S3103" s="620"/>
      <c r="T3103" s="92"/>
      <c r="U3103" s="1214"/>
      <c r="V3103" s="1215"/>
      <c r="W3103" s="168"/>
      <c r="X3103" s="170"/>
    </row>
    <row r="3104" spans="1:24" ht="12.75" customHeight="1">
      <c r="A3104" s="15"/>
      <c r="B3104" s="92" t="str">
        <f t="shared" si="364"/>
        <v/>
      </c>
      <c r="C3104" s="90"/>
      <c r="D3104" s="87"/>
      <c r="E3104" s="88"/>
      <c r="F3104" s="173"/>
      <c r="G3104" s="88"/>
      <c r="H3104" s="88"/>
      <c r="I3104" s="88"/>
      <c r="J3104" s="88"/>
      <c r="K3104" s="230"/>
      <c r="L3104" s="88"/>
      <c r="M3104" s="88"/>
      <c r="N3104" s="88"/>
      <c r="O3104" s="88"/>
      <c r="P3104" s="88"/>
      <c r="Q3104" s="88"/>
      <c r="R3104" s="88"/>
      <c r="S3104" s="620"/>
      <c r="T3104" s="92"/>
      <c r="U3104" s="1214"/>
      <c r="V3104" s="1215"/>
      <c r="W3104" s="168"/>
      <c r="X3104" s="170"/>
    </row>
    <row r="3105" spans="1:24" ht="12.75" customHeight="1">
      <c r="A3105" s="15"/>
      <c r="B3105" s="92" t="str">
        <f t="shared" si="364"/>
        <v/>
      </c>
      <c r="C3105" s="90"/>
      <c r="D3105" s="87"/>
      <c r="E3105" s="88"/>
      <c r="F3105" s="173"/>
      <c r="G3105" s="88"/>
      <c r="H3105" s="88"/>
      <c r="I3105" s="88"/>
      <c r="J3105" s="88"/>
      <c r="K3105" s="230"/>
      <c r="L3105" s="88"/>
      <c r="M3105" s="88"/>
      <c r="N3105" s="88"/>
      <c r="O3105" s="88"/>
      <c r="P3105" s="88"/>
      <c r="Q3105" s="88"/>
      <c r="R3105" s="88"/>
      <c r="S3105" s="620"/>
      <c r="T3105" s="92"/>
      <c r="U3105" s="1214"/>
      <c r="V3105" s="1215"/>
      <c r="W3105" s="168"/>
      <c r="X3105" s="170"/>
    </row>
    <row r="3106" spans="1:24" ht="12.75" customHeight="1">
      <c r="A3106" s="15"/>
      <c r="B3106" s="92" t="str">
        <f t="shared" si="364"/>
        <v/>
      </c>
      <c r="C3106" s="90"/>
      <c r="D3106" s="87"/>
      <c r="E3106" s="88"/>
      <c r="F3106" s="173"/>
      <c r="G3106" s="88"/>
      <c r="H3106" s="88"/>
      <c r="I3106" s="88"/>
      <c r="J3106" s="88"/>
      <c r="K3106" s="230"/>
      <c r="L3106" s="88"/>
      <c r="M3106" s="88"/>
      <c r="N3106" s="88"/>
      <c r="O3106" s="88"/>
      <c r="P3106" s="88"/>
      <c r="Q3106" s="88"/>
      <c r="R3106" s="88"/>
      <c r="S3106" s="620"/>
      <c r="T3106" s="92"/>
      <c r="U3106" s="1214"/>
      <c r="V3106" s="1215"/>
      <c r="W3106" s="168"/>
      <c r="X3106" s="170"/>
    </row>
    <row r="3107" spans="1:24" ht="12.75" customHeight="1">
      <c r="A3107" s="15"/>
      <c r="B3107" s="92" t="str">
        <f t="shared" si="364"/>
        <v/>
      </c>
      <c r="C3107" s="90"/>
      <c r="D3107" s="87"/>
      <c r="E3107" s="88"/>
      <c r="F3107" s="173"/>
      <c r="G3107" s="88"/>
      <c r="H3107" s="88"/>
      <c r="I3107" s="88"/>
      <c r="J3107" s="88"/>
      <c r="K3107" s="230"/>
      <c r="L3107" s="88"/>
      <c r="M3107" s="88"/>
      <c r="N3107" s="88"/>
      <c r="O3107" s="88"/>
      <c r="P3107" s="88"/>
      <c r="Q3107" s="88"/>
      <c r="R3107" s="88"/>
      <c r="S3107" s="620"/>
      <c r="T3107" s="92"/>
      <c r="U3107" s="1214"/>
      <c r="V3107" s="1215"/>
      <c r="W3107" s="168"/>
      <c r="X3107" s="170"/>
    </row>
    <row r="3108" spans="1:24" ht="12.75" customHeight="1">
      <c r="A3108" s="15"/>
      <c r="B3108" s="92" t="str">
        <f t="shared" si="364"/>
        <v/>
      </c>
      <c r="C3108" s="90"/>
      <c r="D3108" s="87"/>
      <c r="E3108" s="88"/>
      <c r="F3108" s="173"/>
      <c r="G3108" s="88"/>
      <c r="H3108" s="88"/>
      <c r="I3108" s="88"/>
      <c r="J3108" s="88"/>
      <c r="K3108" s="230"/>
      <c r="L3108" s="88"/>
      <c r="M3108" s="88"/>
      <c r="N3108" s="88"/>
      <c r="O3108" s="88"/>
      <c r="P3108" s="88"/>
      <c r="Q3108" s="88"/>
      <c r="R3108" s="88"/>
      <c r="S3108" s="620"/>
      <c r="T3108" s="92"/>
      <c r="U3108" s="1214"/>
      <c r="V3108" s="1215"/>
      <c r="W3108" s="168"/>
      <c r="X3108" s="170"/>
    </row>
    <row r="3109" spans="1:24" ht="12.75" customHeight="1">
      <c r="A3109" s="15"/>
      <c r="B3109" s="92" t="str">
        <f t="shared" si="364"/>
        <v/>
      </c>
      <c r="C3109" s="90"/>
      <c r="D3109" s="87"/>
      <c r="E3109" s="88"/>
      <c r="F3109" s="173"/>
      <c r="G3109" s="88"/>
      <c r="H3109" s="88"/>
      <c r="I3109" s="88"/>
      <c r="J3109" s="88"/>
      <c r="K3109" s="230"/>
      <c r="L3109" s="88"/>
      <c r="M3109" s="88"/>
      <c r="N3109" s="88"/>
      <c r="O3109" s="88"/>
      <c r="P3109" s="88"/>
      <c r="Q3109" s="88"/>
      <c r="R3109" s="88"/>
      <c r="S3109" s="620"/>
      <c r="T3109" s="92"/>
      <c r="U3109" s="1214"/>
      <c r="V3109" s="1215"/>
      <c r="W3109" s="168"/>
      <c r="X3109" s="170"/>
    </row>
    <row r="3110" spans="1:24" ht="12.75" customHeight="1">
      <c r="A3110" s="15"/>
      <c r="B3110" s="92" t="str">
        <f t="shared" si="364"/>
        <v/>
      </c>
      <c r="C3110" s="90"/>
      <c r="D3110" s="87"/>
      <c r="E3110" s="88"/>
      <c r="F3110" s="173"/>
      <c r="G3110" s="88"/>
      <c r="H3110" s="88"/>
      <c r="I3110" s="88"/>
      <c r="J3110" s="88"/>
      <c r="K3110" s="230"/>
      <c r="L3110" s="88"/>
      <c r="M3110" s="88"/>
      <c r="N3110" s="88"/>
      <c r="O3110" s="88"/>
      <c r="P3110" s="88"/>
      <c r="Q3110" s="88"/>
      <c r="R3110" s="88"/>
      <c r="S3110" s="620"/>
      <c r="T3110" s="92"/>
      <c r="U3110" s="1214"/>
      <c r="V3110" s="1215"/>
      <c r="W3110" s="168"/>
      <c r="X3110" s="170"/>
    </row>
    <row r="3111" spans="1:24" ht="12.75" customHeight="1">
      <c r="A3111" s="15"/>
      <c r="B3111" s="92" t="str">
        <f t="shared" si="364"/>
        <v/>
      </c>
      <c r="C3111" s="90"/>
      <c r="D3111" s="87"/>
      <c r="E3111" s="88"/>
      <c r="F3111" s="173"/>
      <c r="G3111" s="88"/>
      <c r="H3111" s="88"/>
      <c r="I3111" s="88"/>
      <c r="J3111" s="88"/>
      <c r="K3111" s="230"/>
      <c r="L3111" s="88"/>
      <c r="M3111" s="88"/>
      <c r="N3111" s="88"/>
      <c r="O3111" s="88"/>
      <c r="P3111" s="88"/>
      <c r="Q3111" s="88"/>
      <c r="R3111" s="88"/>
      <c r="S3111" s="620"/>
      <c r="T3111" s="92"/>
      <c r="U3111" s="1214"/>
      <c r="V3111" s="1215"/>
      <c r="W3111" s="168"/>
      <c r="X3111" s="170"/>
    </row>
    <row r="3112" spans="1:24" ht="12.75" customHeight="1">
      <c r="A3112" s="15"/>
      <c r="B3112" s="92" t="str">
        <f t="shared" si="364"/>
        <v/>
      </c>
      <c r="C3112" s="90"/>
      <c r="D3112" s="87"/>
      <c r="E3112" s="88"/>
      <c r="F3112" s="173"/>
      <c r="G3112" s="88"/>
      <c r="H3112" s="88"/>
      <c r="I3112" s="88"/>
      <c r="J3112" s="88"/>
      <c r="K3112" s="230"/>
      <c r="L3112" s="88"/>
      <c r="M3112" s="88"/>
      <c r="N3112" s="88"/>
      <c r="O3112" s="88"/>
      <c r="P3112" s="88"/>
      <c r="Q3112" s="88"/>
      <c r="R3112" s="88"/>
      <c r="S3112" s="620"/>
      <c r="T3112" s="92"/>
      <c r="U3112" s="1214"/>
      <c r="V3112" s="1215"/>
      <c r="W3112" s="168"/>
      <c r="X3112" s="170"/>
    </row>
    <row r="3113" spans="1:24" ht="12.75" customHeight="1">
      <c r="A3113" s="15"/>
      <c r="B3113" s="92" t="str">
        <f t="shared" si="364"/>
        <v/>
      </c>
      <c r="C3113" s="90"/>
      <c r="D3113" s="87"/>
      <c r="E3113" s="88"/>
      <c r="F3113" s="173"/>
      <c r="G3113" s="88"/>
      <c r="H3113" s="88"/>
      <c r="I3113" s="88"/>
      <c r="J3113" s="88"/>
      <c r="K3113" s="230"/>
      <c r="L3113" s="88"/>
      <c r="M3113" s="88"/>
      <c r="N3113" s="88"/>
      <c r="O3113" s="88"/>
      <c r="P3113" s="88"/>
      <c r="Q3113" s="88"/>
      <c r="R3113" s="88"/>
      <c r="S3113" s="620"/>
      <c r="T3113" s="92"/>
      <c r="U3113" s="1214"/>
      <c r="V3113" s="1215"/>
      <c r="W3113" s="168"/>
      <c r="X3113" s="170"/>
    </row>
    <row r="3114" spans="1:24" ht="12.75" customHeight="1">
      <c r="A3114" s="15"/>
      <c r="B3114" s="92" t="str">
        <f t="shared" si="364"/>
        <v/>
      </c>
      <c r="C3114" s="90"/>
      <c r="D3114" s="87"/>
      <c r="E3114" s="88"/>
      <c r="F3114" s="173"/>
      <c r="G3114" s="88"/>
      <c r="H3114" s="88"/>
      <c r="I3114" s="88"/>
      <c r="J3114" s="88"/>
      <c r="K3114" s="230"/>
      <c r="L3114" s="88"/>
      <c r="M3114" s="88"/>
      <c r="N3114" s="88"/>
      <c r="O3114" s="88"/>
      <c r="P3114" s="88"/>
      <c r="Q3114" s="88"/>
      <c r="R3114" s="88"/>
      <c r="S3114" s="620"/>
      <c r="T3114" s="92"/>
      <c r="U3114" s="1214"/>
      <c r="V3114" s="1215"/>
      <c r="W3114" s="168"/>
      <c r="X3114" s="170"/>
    </row>
    <row r="3115" spans="1:24" ht="12.75" customHeight="1">
      <c r="A3115" s="15"/>
      <c r="B3115" s="92" t="str">
        <f t="shared" si="364"/>
        <v/>
      </c>
      <c r="C3115" s="90"/>
      <c r="D3115" s="87"/>
      <c r="E3115" s="88"/>
      <c r="F3115" s="173"/>
      <c r="G3115" s="88"/>
      <c r="H3115" s="88"/>
      <c r="I3115" s="88"/>
      <c r="J3115" s="88"/>
      <c r="K3115" s="230"/>
      <c r="L3115" s="88"/>
      <c r="M3115" s="88"/>
      <c r="N3115" s="88"/>
      <c r="O3115" s="88"/>
      <c r="P3115" s="88"/>
      <c r="Q3115" s="88"/>
      <c r="R3115" s="88"/>
      <c r="S3115" s="620"/>
      <c r="T3115" s="92"/>
      <c r="U3115" s="1214"/>
      <c r="V3115" s="1215"/>
      <c r="W3115" s="168"/>
      <c r="X3115" s="170"/>
    </row>
    <row r="3116" spans="1:24" ht="12.75" customHeight="1">
      <c r="A3116" s="15"/>
      <c r="B3116" s="92" t="str">
        <f t="shared" si="364"/>
        <v/>
      </c>
      <c r="C3116" s="90"/>
      <c r="D3116" s="87"/>
      <c r="E3116" s="88"/>
      <c r="F3116" s="173"/>
      <c r="G3116" s="88"/>
      <c r="H3116" s="88"/>
      <c r="I3116" s="88"/>
      <c r="J3116" s="88"/>
      <c r="K3116" s="230"/>
      <c r="L3116" s="88"/>
      <c r="M3116" s="88"/>
      <c r="N3116" s="88"/>
      <c r="O3116" s="88"/>
      <c r="P3116" s="88"/>
      <c r="Q3116" s="88"/>
      <c r="R3116" s="88"/>
      <c r="S3116" s="620"/>
      <c r="T3116" s="92"/>
      <c r="U3116" s="1214"/>
      <c r="V3116" s="1215"/>
      <c r="W3116" s="168"/>
      <c r="X3116" s="170"/>
    </row>
    <row r="3117" spans="1:24" ht="12.75" customHeight="1">
      <c r="A3117" s="15"/>
      <c r="B3117" s="92" t="str">
        <f t="shared" si="364"/>
        <v/>
      </c>
      <c r="C3117" s="90"/>
      <c r="D3117" s="87"/>
      <c r="E3117" s="88"/>
      <c r="F3117" s="173"/>
      <c r="G3117" s="88"/>
      <c r="H3117" s="88"/>
      <c r="I3117" s="88"/>
      <c r="J3117" s="88"/>
      <c r="K3117" s="230"/>
      <c r="L3117" s="88"/>
      <c r="M3117" s="88"/>
      <c r="N3117" s="88"/>
      <c r="O3117" s="88"/>
      <c r="P3117" s="88"/>
      <c r="Q3117" s="88"/>
      <c r="R3117" s="88"/>
      <c r="S3117" s="620"/>
      <c r="T3117" s="92"/>
      <c r="U3117" s="1214"/>
      <c r="V3117" s="1215"/>
      <c r="W3117" s="168"/>
      <c r="X3117" s="170"/>
    </row>
    <row r="3118" spans="1:24" ht="12.75" customHeight="1">
      <c r="A3118" s="15"/>
      <c r="B3118" s="92" t="str">
        <f t="shared" si="364"/>
        <v/>
      </c>
      <c r="C3118" s="90"/>
      <c r="D3118" s="87"/>
      <c r="E3118" s="88"/>
      <c r="F3118" s="173"/>
      <c r="G3118" s="88"/>
      <c r="H3118" s="88"/>
      <c r="I3118" s="88"/>
      <c r="J3118" s="88"/>
      <c r="K3118" s="230"/>
      <c r="L3118" s="88"/>
      <c r="M3118" s="88"/>
      <c r="N3118" s="88"/>
      <c r="O3118" s="88"/>
      <c r="P3118" s="88"/>
      <c r="Q3118" s="88"/>
      <c r="R3118" s="88"/>
      <c r="S3118" s="620"/>
      <c r="T3118" s="92"/>
      <c r="U3118" s="1214"/>
      <c r="V3118" s="1215"/>
      <c r="W3118" s="168"/>
      <c r="X3118" s="170"/>
    </row>
    <row r="3119" spans="1:24" ht="12.75" customHeight="1">
      <c r="A3119" s="15"/>
      <c r="B3119" s="92" t="str">
        <f t="shared" ref="B3119:B3182" si="365">IF(C3119="","",ROW()-5)</f>
        <v/>
      </c>
      <c r="C3119" s="90"/>
      <c r="D3119" s="87"/>
      <c r="E3119" s="88"/>
      <c r="F3119" s="173"/>
      <c r="G3119" s="88"/>
      <c r="H3119" s="88"/>
      <c r="I3119" s="88"/>
      <c r="J3119" s="88"/>
      <c r="K3119" s="230"/>
      <c r="L3119" s="88"/>
      <c r="M3119" s="88"/>
      <c r="N3119" s="88"/>
      <c r="O3119" s="88"/>
      <c r="P3119" s="88"/>
      <c r="Q3119" s="88"/>
      <c r="R3119" s="88"/>
      <c r="S3119" s="620"/>
      <c r="T3119" s="92"/>
      <c r="U3119" s="1214"/>
      <c r="V3119" s="1215"/>
      <c r="W3119" s="168"/>
      <c r="X3119" s="170"/>
    </row>
    <row r="3120" spans="1:24" ht="12.75" customHeight="1">
      <c r="A3120" s="15"/>
      <c r="B3120" s="92" t="str">
        <f t="shared" si="365"/>
        <v/>
      </c>
      <c r="C3120" s="90"/>
      <c r="D3120" s="87"/>
      <c r="E3120" s="88"/>
      <c r="F3120" s="173"/>
      <c r="G3120" s="88"/>
      <c r="H3120" s="88"/>
      <c r="I3120" s="88"/>
      <c r="J3120" s="88"/>
      <c r="K3120" s="230"/>
      <c r="L3120" s="88"/>
      <c r="M3120" s="88"/>
      <c r="N3120" s="88"/>
      <c r="O3120" s="88"/>
      <c r="P3120" s="88"/>
      <c r="Q3120" s="88"/>
      <c r="R3120" s="88"/>
      <c r="S3120" s="620"/>
      <c r="T3120" s="92"/>
      <c r="U3120" s="1214"/>
      <c r="V3120" s="1215"/>
      <c r="W3120" s="168"/>
      <c r="X3120" s="170"/>
    </row>
    <row r="3121" spans="1:24" ht="12.75" customHeight="1">
      <c r="A3121" s="15"/>
      <c r="B3121" s="92" t="str">
        <f t="shared" si="365"/>
        <v/>
      </c>
      <c r="C3121" s="90"/>
      <c r="D3121" s="87"/>
      <c r="E3121" s="88"/>
      <c r="F3121" s="173"/>
      <c r="G3121" s="88"/>
      <c r="H3121" s="88"/>
      <c r="I3121" s="88"/>
      <c r="J3121" s="88"/>
      <c r="K3121" s="230"/>
      <c r="L3121" s="88"/>
      <c r="M3121" s="88"/>
      <c r="N3121" s="88"/>
      <c r="O3121" s="88"/>
      <c r="P3121" s="88"/>
      <c r="Q3121" s="88"/>
      <c r="R3121" s="88"/>
      <c r="S3121" s="620"/>
      <c r="T3121" s="92"/>
      <c r="U3121" s="1214"/>
      <c r="V3121" s="1215"/>
      <c r="W3121" s="168"/>
      <c r="X3121" s="170"/>
    </row>
    <row r="3122" spans="1:24" ht="12.75" customHeight="1">
      <c r="A3122" s="15"/>
      <c r="B3122" s="92" t="str">
        <f t="shared" si="365"/>
        <v/>
      </c>
      <c r="C3122" s="90"/>
      <c r="D3122" s="87"/>
      <c r="E3122" s="88"/>
      <c r="F3122" s="173"/>
      <c r="G3122" s="88"/>
      <c r="H3122" s="88"/>
      <c r="I3122" s="88"/>
      <c r="J3122" s="88"/>
      <c r="K3122" s="230"/>
      <c r="L3122" s="88"/>
      <c r="M3122" s="88"/>
      <c r="N3122" s="88"/>
      <c r="O3122" s="88"/>
      <c r="P3122" s="88"/>
      <c r="Q3122" s="88"/>
      <c r="R3122" s="88"/>
      <c r="S3122" s="620"/>
      <c r="T3122" s="92"/>
      <c r="U3122" s="1214"/>
      <c r="V3122" s="1215"/>
      <c r="W3122" s="168"/>
      <c r="X3122" s="170"/>
    </row>
    <row r="3123" spans="1:24" ht="12.75" customHeight="1">
      <c r="A3123" s="15"/>
      <c r="B3123" s="92" t="str">
        <f t="shared" si="365"/>
        <v/>
      </c>
      <c r="C3123" s="90"/>
      <c r="D3123" s="87"/>
      <c r="E3123" s="88"/>
      <c r="F3123" s="173"/>
      <c r="G3123" s="88"/>
      <c r="H3123" s="88"/>
      <c r="I3123" s="88"/>
      <c r="J3123" s="88"/>
      <c r="K3123" s="230"/>
      <c r="L3123" s="88"/>
      <c r="M3123" s="88"/>
      <c r="N3123" s="88"/>
      <c r="O3123" s="88"/>
      <c r="P3123" s="88"/>
      <c r="Q3123" s="88"/>
      <c r="R3123" s="88"/>
      <c r="S3123" s="620"/>
      <c r="T3123" s="92"/>
      <c r="U3123" s="1214"/>
      <c r="V3123" s="1215"/>
      <c r="W3123" s="168"/>
      <c r="X3123" s="170"/>
    </row>
    <row r="3124" spans="1:24" ht="12.75" customHeight="1">
      <c r="A3124" s="15"/>
      <c r="B3124" s="92" t="str">
        <f t="shared" si="365"/>
        <v/>
      </c>
      <c r="C3124" s="90"/>
      <c r="D3124" s="87"/>
      <c r="E3124" s="88"/>
      <c r="F3124" s="173"/>
      <c r="G3124" s="88"/>
      <c r="H3124" s="88"/>
      <c r="I3124" s="88"/>
      <c r="J3124" s="88"/>
      <c r="K3124" s="230"/>
      <c r="L3124" s="88"/>
      <c r="M3124" s="88"/>
      <c r="N3124" s="88"/>
      <c r="O3124" s="88"/>
      <c r="P3124" s="88"/>
      <c r="Q3124" s="88"/>
      <c r="R3124" s="88"/>
      <c r="S3124" s="620"/>
      <c r="T3124" s="92"/>
      <c r="U3124" s="1214"/>
      <c r="V3124" s="1215"/>
      <c r="W3124" s="168"/>
      <c r="X3124" s="170"/>
    </row>
    <row r="3125" spans="1:24" ht="12.75" customHeight="1">
      <c r="A3125" s="15"/>
      <c r="B3125" s="92" t="str">
        <f t="shared" si="365"/>
        <v/>
      </c>
      <c r="C3125" s="90"/>
      <c r="D3125" s="87"/>
      <c r="E3125" s="88"/>
      <c r="F3125" s="173"/>
      <c r="G3125" s="88"/>
      <c r="H3125" s="88"/>
      <c r="I3125" s="88"/>
      <c r="J3125" s="88"/>
      <c r="K3125" s="230"/>
      <c r="L3125" s="88"/>
      <c r="M3125" s="88"/>
      <c r="N3125" s="88"/>
      <c r="O3125" s="88"/>
      <c r="P3125" s="88"/>
      <c r="Q3125" s="88"/>
      <c r="R3125" s="88"/>
      <c r="S3125" s="620"/>
      <c r="T3125" s="92"/>
      <c r="U3125" s="1214"/>
      <c r="V3125" s="1215"/>
      <c r="W3125" s="168"/>
      <c r="X3125" s="170"/>
    </row>
    <row r="3126" spans="1:24" ht="12.75" customHeight="1">
      <c r="A3126" s="15"/>
      <c r="B3126" s="92" t="str">
        <f t="shared" si="365"/>
        <v/>
      </c>
      <c r="C3126" s="90"/>
      <c r="D3126" s="87"/>
      <c r="E3126" s="88"/>
      <c r="F3126" s="173"/>
      <c r="G3126" s="88"/>
      <c r="H3126" s="88"/>
      <c r="I3126" s="88"/>
      <c r="J3126" s="88"/>
      <c r="K3126" s="230"/>
      <c r="L3126" s="88"/>
      <c r="M3126" s="88"/>
      <c r="N3126" s="88"/>
      <c r="O3126" s="88"/>
      <c r="P3126" s="88"/>
      <c r="Q3126" s="88"/>
      <c r="R3126" s="88"/>
      <c r="S3126" s="620"/>
      <c r="T3126" s="92"/>
      <c r="U3126" s="1214"/>
      <c r="V3126" s="1215"/>
      <c r="W3126" s="168"/>
      <c r="X3126" s="170"/>
    </row>
    <row r="3127" spans="1:24" ht="12.75" customHeight="1">
      <c r="A3127" s="15"/>
      <c r="B3127" s="92" t="str">
        <f t="shared" si="365"/>
        <v/>
      </c>
      <c r="C3127" s="90"/>
      <c r="D3127" s="87"/>
      <c r="E3127" s="88"/>
      <c r="F3127" s="173"/>
      <c r="G3127" s="88"/>
      <c r="H3127" s="88"/>
      <c r="I3127" s="88"/>
      <c r="J3127" s="88"/>
      <c r="K3127" s="230"/>
      <c r="L3127" s="88"/>
      <c r="M3127" s="88"/>
      <c r="N3127" s="88"/>
      <c r="O3127" s="88"/>
      <c r="P3127" s="88"/>
      <c r="Q3127" s="88"/>
      <c r="R3127" s="88"/>
      <c r="S3127" s="620"/>
      <c r="T3127" s="92"/>
      <c r="U3127" s="1214"/>
      <c r="V3127" s="1215"/>
      <c r="W3127" s="168"/>
      <c r="X3127" s="170"/>
    </row>
    <row r="3128" spans="1:24" ht="12.75" customHeight="1">
      <c r="A3128" s="15"/>
      <c r="B3128" s="92" t="str">
        <f t="shared" si="365"/>
        <v/>
      </c>
      <c r="C3128" s="90"/>
      <c r="D3128" s="87"/>
      <c r="E3128" s="88"/>
      <c r="F3128" s="173"/>
      <c r="G3128" s="88"/>
      <c r="H3128" s="88"/>
      <c r="I3128" s="88"/>
      <c r="J3128" s="88"/>
      <c r="K3128" s="230"/>
      <c r="L3128" s="88"/>
      <c r="M3128" s="88"/>
      <c r="N3128" s="88"/>
      <c r="O3128" s="88"/>
      <c r="P3128" s="88"/>
      <c r="Q3128" s="88"/>
      <c r="R3128" s="88"/>
      <c r="S3128" s="620"/>
      <c r="T3128" s="92"/>
      <c r="U3128" s="1214"/>
      <c r="V3128" s="1215"/>
      <c r="W3128" s="168"/>
      <c r="X3128" s="170"/>
    </row>
    <row r="3129" spans="1:24" ht="12.75" customHeight="1">
      <c r="A3129" s="15"/>
      <c r="B3129" s="92" t="str">
        <f t="shared" si="365"/>
        <v/>
      </c>
      <c r="C3129" s="90"/>
      <c r="D3129" s="87"/>
      <c r="E3129" s="88"/>
      <c r="F3129" s="173"/>
      <c r="G3129" s="88"/>
      <c r="H3129" s="88"/>
      <c r="I3129" s="88"/>
      <c r="J3129" s="88"/>
      <c r="K3129" s="230"/>
      <c r="L3129" s="88"/>
      <c r="M3129" s="88"/>
      <c r="N3129" s="88"/>
      <c r="O3129" s="88"/>
      <c r="P3129" s="88"/>
      <c r="Q3129" s="88"/>
      <c r="R3129" s="88"/>
      <c r="S3129" s="620"/>
      <c r="T3129" s="92"/>
      <c r="U3129" s="1214"/>
      <c r="V3129" s="1215"/>
      <c r="W3129" s="168"/>
      <c r="X3129" s="170"/>
    </row>
    <row r="3130" spans="1:24" ht="12.75" customHeight="1">
      <c r="A3130" s="15"/>
      <c r="B3130" s="92" t="str">
        <f t="shared" si="365"/>
        <v/>
      </c>
      <c r="C3130" s="90"/>
      <c r="D3130" s="87"/>
      <c r="E3130" s="88"/>
      <c r="F3130" s="173"/>
      <c r="G3130" s="88"/>
      <c r="H3130" s="88"/>
      <c r="I3130" s="88"/>
      <c r="J3130" s="88"/>
      <c r="K3130" s="230"/>
      <c r="L3130" s="88"/>
      <c r="M3130" s="88"/>
      <c r="N3130" s="88"/>
      <c r="O3130" s="88"/>
      <c r="P3130" s="88"/>
      <c r="Q3130" s="88"/>
      <c r="R3130" s="88"/>
      <c r="S3130" s="620"/>
      <c r="T3130" s="92"/>
      <c r="U3130" s="1214"/>
      <c r="V3130" s="1215"/>
      <c r="W3130" s="168"/>
      <c r="X3130" s="170"/>
    </row>
    <row r="3131" spans="1:24" ht="12.75" customHeight="1">
      <c r="A3131" s="15"/>
      <c r="B3131" s="92" t="str">
        <f t="shared" si="365"/>
        <v/>
      </c>
      <c r="C3131" s="90"/>
      <c r="D3131" s="87"/>
      <c r="E3131" s="88"/>
      <c r="F3131" s="173"/>
      <c r="G3131" s="88"/>
      <c r="H3131" s="88"/>
      <c r="I3131" s="88"/>
      <c r="J3131" s="88"/>
      <c r="K3131" s="230"/>
      <c r="L3131" s="88"/>
      <c r="M3131" s="88"/>
      <c r="N3131" s="88"/>
      <c r="O3131" s="88"/>
      <c r="P3131" s="88"/>
      <c r="Q3131" s="88"/>
      <c r="R3131" s="88"/>
      <c r="S3131" s="620"/>
      <c r="T3131" s="92"/>
      <c r="U3131" s="1214"/>
      <c r="V3131" s="1215"/>
      <c r="W3131" s="168"/>
      <c r="X3131" s="170"/>
    </row>
    <row r="3132" spans="1:24" ht="12.75" customHeight="1">
      <c r="A3132" s="15"/>
      <c r="B3132" s="92" t="str">
        <f t="shared" si="365"/>
        <v/>
      </c>
      <c r="C3132" s="90"/>
      <c r="D3132" s="87"/>
      <c r="E3132" s="88"/>
      <c r="F3132" s="173"/>
      <c r="G3132" s="88"/>
      <c r="H3132" s="88"/>
      <c r="I3132" s="88"/>
      <c r="J3132" s="88"/>
      <c r="K3132" s="230"/>
      <c r="L3132" s="88"/>
      <c r="M3132" s="88"/>
      <c r="N3132" s="88"/>
      <c r="O3132" s="88"/>
      <c r="P3132" s="88"/>
      <c r="Q3132" s="88"/>
      <c r="R3132" s="88"/>
      <c r="S3132" s="620"/>
      <c r="T3132" s="92"/>
      <c r="U3132" s="1214"/>
      <c r="V3132" s="1215"/>
      <c r="W3132" s="168"/>
      <c r="X3132" s="170"/>
    </row>
    <row r="3133" spans="1:24" ht="12.75" customHeight="1">
      <c r="A3133" s="15"/>
      <c r="B3133" s="92" t="str">
        <f t="shared" si="365"/>
        <v/>
      </c>
      <c r="C3133" s="90"/>
      <c r="D3133" s="87"/>
      <c r="E3133" s="88"/>
      <c r="F3133" s="173"/>
      <c r="G3133" s="88"/>
      <c r="H3133" s="88"/>
      <c r="I3133" s="88"/>
      <c r="J3133" s="88"/>
      <c r="K3133" s="230"/>
      <c r="L3133" s="88"/>
      <c r="M3133" s="88"/>
      <c r="N3133" s="88"/>
      <c r="O3133" s="88"/>
      <c r="P3133" s="88"/>
      <c r="Q3133" s="88"/>
      <c r="R3133" s="88"/>
      <c r="S3133" s="620"/>
      <c r="T3133" s="92"/>
      <c r="U3133" s="1214"/>
      <c r="V3133" s="1215"/>
      <c r="W3133" s="168"/>
      <c r="X3133" s="170"/>
    </row>
    <row r="3134" spans="1:24" ht="12.75" customHeight="1">
      <c r="A3134" s="15"/>
      <c r="B3134" s="92" t="str">
        <f t="shared" si="365"/>
        <v/>
      </c>
      <c r="C3134" s="90"/>
      <c r="D3134" s="87"/>
      <c r="E3134" s="88"/>
      <c r="F3134" s="173"/>
      <c r="G3134" s="88"/>
      <c r="H3134" s="88"/>
      <c r="I3134" s="88"/>
      <c r="J3134" s="88"/>
      <c r="K3134" s="230"/>
      <c r="L3134" s="88"/>
      <c r="M3134" s="88"/>
      <c r="N3134" s="88"/>
      <c r="O3134" s="88"/>
      <c r="P3134" s="88"/>
      <c r="Q3134" s="88"/>
      <c r="R3134" s="88"/>
      <c r="S3134" s="620"/>
      <c r="T3134" s="92"/>
      <c r="U3134" s="1214"/>
      <c r="V3134" s="1215"/>
      <c r="W3134" s="168"/>
      <c r="X3134" s="170"/>
    </row>
    <row r="3135" spans="1:24" ht="12.75" customHeight="1">
      <c r="A3135" s="15"/>
      <c r="B3135" s="92" t="str">
        <f t="shared" si="365"/>
        <v/>
      </c>
      <c r="C3135" s="90"/>
      <c r="D3135" s="87"/>
      <c r="E3135" s="88"/>
      <c r="F3135" s="173"/>
      <c r="G3135" s="88"/>
      <c r="H3135" s="88"/>
      <c r="I3135" s="88"/>
      <c r="J3135" s="88"/>
      <c r="K3135" s="230"/>
      <c r="L3135" s="88"/>
      <c r="M3135" s="88"/>
      <c r="N3135" s="88"/>
      <c r="O3135" s="88"/>
      <c r="P3135" s="88"/>
      <c r="Q3135" s="88"/>
      <c r="R3135" s="88"/>
      <c r="S3135" s="620"/>
      <c r="T3135" s="92"/>
      <c r="U3135" s="1214"/>
      <c r="V3135" s="1215"/>
      <c r="W3135" s="168"/>
      <c r="X3135" s="170"/>
    </row>
    <row r="3136" spans="1:24" ht="12.75" customHeight="1">
      <c r="A3136" s="15"/>
      <c r="B3136" s="92" t="str">
        <f t="shared" si="365"/>
        <v/>
      </c>
      <c r="C3136" s="90"/>
      <c r="D3136" s="87"/>
      <c r="E3136" s="88"/>
      <c r="F3136" s="173"/>
      <c r="G3136" s="88"/>
      <c r="H3136" s="88"/>
      <c r="I3136" s="88"/>
      <c r="J3136" s="88"/>
      <c r="K3136" s="230"/>
      <c r="L3136" s="88"/>
      <c r="M3136" s="88"/>
      <c r="N3136" s="88"/>
      <c r="O3136" s="88"/>
      <c r="P3136" s="88"/>
      <c r="Q3136" s="88"/>
      <c r="R3136" s="88"/>
      <c r="S3136" s="620"/>
      <c r="T3136" s="92"/>
      <c r="U3136" s="1214"/>
      <c r="V3136" s="1215"/>
      <c r="W3136" s="168"/>
      <c r="X3136" s="170"/>
    </row>
    <row r="3137" spans="1:24" ht="12.75" customHeight="1">
      <c r="A3137" s="15"/>
      <c r="B3137" s="92" t="str">
        <f t="shared" si="365"/>
        <v/>
      </c>
      <c r="C3137" s="90"/>
      <c r="D3137" s="87"/>
      <c r="E3137" s="88"/>
      <c r="F3137" s="173"/>
      <c r="G3137" s="88"/>
      <c r="H3137" s="88"/>
      <c r="I3137" s="88"/>
      <c r="J3137" s="88"/>
      <c r="K3137" s="230"/>
      <c r="L3137" s="88"/>
      <c r="M3137" s="88"/>
      <c r="N3137" s="88"/>
      <c r="O3137" s="88"/>
      <c r="P3137" s="88"/>
      <c r="Q3137" s="88"/>
      <c r="R3137" s="88"/>
      <c r="S3137" s="620"/>
      <c r="T3137" s="92"/>
      <c r="U3137" s="1214"/>
      <c r="V3137" s="1215"/>
      <c r="W3137" s="168"/>
      <c r="X3137" s="170"/>
    </row>
    <row r="3138" spans="1:24" ht="12.75" customHeight="1">
      <c r="A3138" s="15"/>
      <c r="B3138" s="92" t="str">
        <f t="shared" si="365"/>
        <v/>
      </c>
      <c r="C3138" s="90"/>
      <c r="D3138" s="87"/>
      <c r="E3138" s="88"/>
      <c r="F3138" s="173"/>
      <c r="G3138" s="88"/>
      <c r="H3138" s="88"/>
      <c r="I3138" s="88"/>
      <c r="J3138" s="88"/>
      <c r="K3138" s="230"/>
      <c r="L3138" s="88"/>
      <c r="M3138" s="88"/>
      <c r="N3138" s="88"/>
      <c r="O3138" s="88"/>
      <c r="P3138" s="88"/>
      <c r="Q3138" s="88"/>
      <c r="R3138" s="88"/>
      <c r="S3138" s="620"/>
      <c r="T3138" s="92"/>
      <c r="U3138" s="1214"/>
      <c r="V3138" s="1215"/>
      <c r="W3138" s="168"/>
      <c r="X3138" s="170"/>
    </row>
    <row r="3139" spans="1:24" ht="12.75" customHeight="1">
      <c r="A3139" s="15"/>
      <c r="B3139" s="92" t="str">
        <f t="shared" si="365"/>
        <v/>
      </c>
      <c r="C3139" s="90"/>
      <c r="D3139" s="87"/>
      <c r="E3139" s="88"/>
      <c r="F3139" s="173"/>
      <c r="G3139" s="88"/>
      <c r="H3139" s="88"/>
      <c r="I3139" s="88"/>
      <c r="J3139" s="88"/>
      <c r="K3139" s="230"/>
      <c r="L3139" s="88"/>
      <c r="M3139" s="88"/>
      <c r="N3139" s="88"/>
      <c r="O3139" s="88"/>
      <c r="P3139" s="88"/>
      <c r="Q3139" s="88"/>
      <c r="R3139" s="88"/>
      <c r="S3139" s="620"/>
      <c r="T3139" s="92"/>
      <c r="U3139" s="1214"/>
      <c r="V3139" s="1215"/>
      <c r="W3139" s="168"/>
      <c r="X3139" s="170"/>
    </row>
    <row r="3140" spans="1:24" ht="12.75" customHeight="1">
      <c r="A3140" s="15"/>
      <c r="B3140" s="92" t="str">
        <f t="shared" si="365"/>
        <v/>
      </c>
      <c r="C3140" s="90"/>
      <c r="D3140" s="87"/>
      <c r="E3140" s="88"/>
      <c r="F3140" s="173"/>
      <c r="G3140" s="88"/>
      <c r="H3140" s="88"/>
      <c r="I3140" s="88"/>
      <c r="J3140" s="88"/>
      <c r="K3140" s="230"/>
      <c r="L3140" s="88"/>
      <c r="M3140" s="88"/>
      <c r="N3140" s="88"/>
      <c r="O3140" s="88"/>
      <c r="P3140" s="88"/>
      <c r="Q3140" s="88"/>
      <c r="R3140" s="88"/>
      <c r="S3140" s="620"/>
      <c r="T3140" s="92"/>
      <c r="U3140" s="1214"/>
      <c r="V3140" s="1215"/>
      <c r="W3140" s="168"/>
      <c r="X3140" s="170"/>
    </row>
    <row r="3141" spans="1:24" ht="12.75" customHeight="1">
      <c r="A3141" s="15"/>
      <c r="B3141" s="92" t="str">
        <f t="shared" si="365"/>
        <v/>
      </c>
      <c r="C3141" s="90"/>
      <c r="D3141" s="87"/>
      <c r="E3141" s="88"/>
      <c r="F3141" s="173"/>
      <c r="G3141" s="88"/>
      <c r="H3141" s="88"/>
      <c r="I3141" s="88"/>
      <c r="J3141" s="88"/>
      <c r="K3141" s="230"/>
      <c r="L3141" s="88"/>
      <c r="M3141" s="88"/>
      <c r="N3141" s="88"/>
      <c r="O3141" s="88"/>
      <c r="P3141" s="88"/>
      <c r="Q3141" s="88"/>
      <c r="R3141" s="88"/>
      <c r="S3141" s="620"/>
      <c r="T3141" s="92"/>
      <c r="U3141" s="1214"/>
      <c r="V3141" s="1215"/>
      <c r="W3141" s="168"/>
      <c r="X3141" s="170"/>
    </row>
    <row r="3142" spans="1:24" ht="12.75" customHeight="1">
      <c r="A3142" s="15"/>
      <c r="B3142" s="92" t="str">
        <f t="shared" si="365"/>
        <v/>
      </c>
      <c r="C3142" s="90"/>
      <c r="D3142" s="87"/>
      <c r="E3142" s="88"/>
      <c r="F3142" s="173"/>
      <c r="G3142" s="88"/>
      <c r="H3142" s="88"/>
      <c r="I3142" s="88"/>
      <c r="J3142" s="88"/>
      <c r="K3142" s="230"/>
      <c r="L3142" s="88"/>
      <c r="M3142" s="88"/>
      <c r="N3142" s="88"/>
      <c r="O3142" s="88"/>
      <c r="P3142" s="88"/>
      <c r="Q3142" s="88"/>
      <c r="R3142" s="88"/>
      <c r="S3142" s="620"/>
      <c r="T3142" s="92"/>
      <c r="U3142" s="1214"/>
      <c r="V3142" s="1215"/>
      <c r="W3142" s="168"/>
      <c r="X3142" s="170"/>
    </row>
    <row r="3143" spans="1:24" ht="12.75" customHeight="1">
      <c r="A3143" s="15"/>
      <c r="B3143" s="92" t="str">
        <f t="shared" si="365"/>
        <v/>
      </c>
      <c r="C3143" s="90"/>
      <c r="D3143" s="87"/>
      <c r="E3143" s="88"/>
      <c r="F3143" s="173"/>
      <c r="G3143" s="88"/>
      <c r="H3143" s="88"/>
      <c r="I3143" s="88"/>
      <c r="J3143" s="88"/>
      <c r="K3143" s="230"/>
      <c r="L3143" s="88"/>
      <c r="M3143" s="88"/>
      <c r="N3143" s="88"/>
      <c r="O3143" s="88"/>
      <c r="P3143" s="88"/>
      <c r="Q3143" s="88"/>
      <c r="R3143" s="88"/>
      <c r="S3143" s="620"/>
      <c r="T3143" s="92"/>
      <c r="U3143" s="1214"/>
      <c r="V3143" s="1215"/>
      <c r="W3143" s="168"/>
      <c r="X3143" s="170"/>
    </row>
    <row r="3144" spans="1:24" ht="12.75" customHeight="1">
      <c r="A3144" s="15"/>
      <c r="B3144" s="92" t="str">
        <f t="shared" si="365"/>
        <v/>
      </c>
      <c r="C3144" s="90"/>
      <c r="D3144" s="87"/>
      <c r="E3144" s="88"/>
      <c r="F3144" s="173"/>
      <c r="G3144" s="88"/>
      <c r="H3144" s="88"/>
      <c r="I3144" s="88"/>
      <c r="J3144" s="88"/>
      <c r="K3144" s="230"/>
      <c r="L3144" s="88"/>
      <c r="M3144" s="88"/>
      <c r="N3144" s="88"/>
      <c r="O3144" s="88"/>
      <c r="P3144" s="88"/>
      <c r="Q3144" s="88"/>
      <c r="R3144" s="88"/>
      <c r="S3144" s="620"/>
      <c r="T3144" s="92"/>
      <c r="U3144" s="1214"/>
      <c r="V3144" s="1215"/>
      <c r="W3144" s="168"/>
      <c r="X3144" s="170"/>
    </row>
    <row r="3145" spans="1:24" ht="12.75" customHeight="1">
      <c r="A3145" s="15"/>
      <c r="B3145" s="92" t="str">
        <f t="shared" si="365"/>
        <v/>
      </c>
      <c r="C3145" s="90"/>
      <c r="D3145" s="87"/>
      <c r="E3145" s="88"/>
      <c r="F3145" s="173"/>
      <c r="G3145" s="88"/>
      <c r="H3145" s="88"/>
      <c r="I3145" s="88"/>
      <c r="J3145" s="88"/>
      <c r="K3145" s="230"/>
      <c r="L3145" s="88"/>
      <c r="M3145" s="88"/>
      <c r="N3145" s="88"/>
      <c r="O3145" s="88"/>
      <c r="P3145" s="88"/>
      <c r="Q3145" s="88"/>
      <c r="R3145" s="88"/>
      <c r="S3145" s="620"/>
      <c r="T3145" s="92"/>
      <c r="U3145" s="1214"/>
      <c r="V3145" s="1215"/>
      <c r="W3145" s="168"/>
      <c r="X3145" s="170"/>
    </row>
    <row r="3146" spans="1:24" ht="12.75" customHeight="1">
      <c r="A3146" s="15"/>
      <c r="B3146" s="92" t="str">
        <f t="shared" si="365"/>
        <v/>
      </c>
      <c r="C3146" s="90"/>
      <c r="D3146" s="87"/>
      <c r="E3146" s="88"/>
      <c r="F3146" s="173"/>
      <c r="G3146" s="88"/>
      <c r="H3146" s="88"/>
      <c r="I3146" s="88"/>
      <c r="J3146" s="88"/>
      <c r="K3146" s="230"/>
      <c r="L3146" s="88"/>
      <c r="M3146" s="88"/>
      <c r="N3146" s="88"/>
      <c r="O3146" s="88"/>
      <c r="P3146" s="88"/>
      <c r="Q3146" s="88"/>
      <c r="R3146" s="88"/>
      <c r="S3146" s="620"/>
      <c r="T3146" s="92"/>
      <c r="U3146" s="1214"/>
      <c r="V3146" s="1215"/>
      <c r="W3146" s="168"/>
      <c r="X3146" s="170"/>
    </row>
    <row r="3147" spans="1:24" ht="12.75" customHeight="1">
      <c r="A3147" s="15"/>
      <c r="B3147" s="92" t="str">
        <f t="shared" si="365"/>
        <v/>
      </c>
      <c r="C3147" s="90"/>
      <c r="D3147" s="87"/>
      <c r="E3147" s="88"/>
      <c r="F3147" s="173"/>
      <c r="G3147" s="88"/>
      <c r="H3147" s="88"/>
      <c r="I3147" s="88"/>
      <c r="J3147" s="88"/>
      <c r="K3147" s="230"/>
      <c r="L3147" s="88"/>
      <c r="M3147" s="88"/>
      <c r="N3147" s="88"/>
      <c r="O3147" s="88"/>
      <c r="P3147" s="88"/>
      <c r="Q3147" s="88"/>
      <c r="R3147" s="88"/>
      <c r="S3147" s="620"/>
      <c r="T3147" s="92"/>
      <c r="U3147" s="1214"/>
      <c r="V3147" s="1215"/>
      <c r="W3147" s="168"/>
      <c r="X3147" s="170"/>
    </row>
    <row r="3148" spans="1:24" ht="12.75" customHeight="1">
      <c r="A3148" s="15"/>
      <c r="B3148" s="92" t="str">
        <f t="shared" si="365"/>
        <v/>
      </c>
      <c r="C3148" s="90"/>
      <c r="D3148" s="87"/>
      <c r="E3148" s="88"/>
      <c r="F3148" s="173"/>
      <c r="G3148" s="88"/>
      <c r="H3148" s="88"/>
      <c r="I3148" s="88"/>
      <c r="J3148" s="88"/>
      <c r="K3148" s="230"/>
      <c r="L3148" s="88"/>
      <c r="M3148" s="88"/>
      <c r="N3148" s="88"/>
      <c r="O3148" s="88"/>
      <c r="P3148" s="88"/>
      <c r="Q3148" s="88"/>
      <c r="R3148" s="88"/>
      <c r="S3148" s="620"/>
      <c r="T3148" s="92"/>
      <c r="U3148" s="1214"/>
      <c r="V3148" s="1215"/>
      <c r="W3148" s="168"/>
      <c r="X3148" s="170"/>
    </row>
    <row r="3149" spans="1:24" ht="12.75" customHeight="1">
      <c r="A3149" s="15"/>
      <c r="B3149" s="92" t="str">
        <f t="shared" si="365"/>
        <v/>
      </c>
      <c r="C3149" s="90"/>
      <c r="D3149" s="87"/>
      <c r="E3149" s="88"/>
      <c r="F3149" s="173"/>
      <c r="G3149" s="88"/>
      <c r="H3149" s="88"/>
      <c r="I3149" s="88"/>
      <c r="J3149" s="88"/>
      <c r="K3149" s="230"/>
      <c r="L3149" s="88"/>
      <c r="M3149" s="88"/>
      <c r="N3149" s="88"/>
      <c r="O3149" s="88"/>
      <c r="P3149" s="88"/>
      <c r="Q3149" s="88"/>
      <c r="R3149" s="88"/>
      <c r="S3149" s="620"/>
      <c r="T3149" s="92"/>
      <c r="U3149" s="1214"/>
      <c r="V3149" s="1215"/>
      <c r="W3149" s="168"/>
      <c r="X3149" s="170"/>
    </row>
    <row r="3150" spans="1:24" ht="12.75" customHeight="1">
      <c r="A3150" s="15"/>
      <c r="B3150" s="92" t="str">
        <f t="shared" si="365"/>
        <v/>
      </c>
      <c r="C3150" s="90"/>
      <c r="D3150" s="87"/>
      <c r="E3150" s="88"/>
      <c r="F3150" s="173"/>
      <c r="G3150" s="88"/>
      <c r="H3150" s="88"/>
      <c r="I3150" s="88"/>
      <c r="J3150" s="88"/>
      <c r="K3150" s="230"/>
      <c r="L3150" s="88"/>
      <c r="M3150" s="88"/>
      <c r="N3150" s="88"/>
      <c r="O3150" s="88"/>
      <c r="P3150" s="88"/>
      <c r="Q3150" s="88"/>
      <c r="R3150" s="88"/>
      <c r="S3150" s="620"/>
      <c r="T3150" s="92"/>
      <c r="U3150" s="1214"/>
      <c r="V3150" s="1215"/>
      <c r="W3150" s="168"/>
      <c r="X3150" s="170"/>
    </row>
    <row r="3151" spans="1:24" ht="12.75" customHeight="1">
      <c r="A3151" s="15"/>
      <c r="B3151" s="92" t="str">
        <f t="shared" si="365"/>
        <v/>
      </c>
      <c r="C3151" s="90"/>
      <c r="D3151" s="87"/>
      <c r="E3151" s="88"/>
      <c r="F3151" s="173"/>
      <c r="G3151" s="88"/>
      <c r="H3151" s="88"/>
      <c r="I3151" s="88"/>
      <c r="J3151" s="88"/>
      <c r="K3151" s="230"/>
      <c r="L3151" s="88"/>
      <c r="M3151" s="88"/>
      <c r="N3151" s="88"/>
      <c r="O3151" s="88"/>
      <c r="P3151" s="88"/>
      <c r="Q3151" s="88"/>
      <c r="R3151" s="88"/>
      <c r="S3151" s="620"/>
      <c r="T3151" s="92"/>
      <c r="U3151" s="1214"/>
      <c r="V3151" s="1215"/>
      <c r="W3151" s="168"/>
      <c r="X3151" s="170"/>
    </row>
    <row r="3152" spans="1:24" ht="12.75" customHeight="1">
      <c r="A3152" s="15"/>
      <c r="B3152" s="92" t="str">
        <f t="shared" si="365"/>
        <v/>
      </c>
      <c r="C3152" s="90"/>
      <c r="D3152" s="87"/>
      <c r="E3152" s="88"/>
      <c r="F3152" s="173"/>
      <c r="G3152" s="88"/>
      <c r="H3152" s="88"/>
      <c r="I3152" s="88"/>
      <c r="J3152" s="88"/>
      <c r="K3152" s="230"/>
      <c r="L3152" s="88"/>
      <c r="M3152" s="88"/>
      <c r="N3152" s="88"/>
      <c r="O3152" s="88"/>
      <c r="P3152" s="88"/>
      <c r="Q3152" s="88"/>
      <c r="R3152" s="88"/>
      <c r="S3152" s="620"/>
      <c r="T3152" s="92"/>
      <c r="U3152" s="1214"/>
      <c r="V3152" s="1215"/>
      <c r="W3152" s="168"/>
      <c r="X3152" s="170"/>
    </row>
    <row r="3153" spans="1:24" ht="12.75" customHeight="1">
      <c r="A3153" s="15"/>
      <c r="B3153" s="92" t="str">
        <f t="shared" si="365"/>
        <v/>
      </c>
      <c r="C3153" s="90"/>
      <c r="D3153" s="87"/>
      <c r="E3153" s="88"/>
      <c r="F3153" s="173"/>
      <c r="G3153" s="88"/>
      <c r="H3153" s="88"/>
      <c r="I3153" s="88"/>
      <c r="J3153" s="88"/>
      <c r="K3153" s="230"/>
      <c r="L3153" s="88"/>
      <c r="M3153" s="88"/>
      <c r="N3153" s="88"/>
      <c r="O3153" s="88"/>
      <c r="P3153" s="88"/>
      <c r="Q3153" s="88"/>
      <c r="R3153" s="88"/>
      <c r="S3153" s="620"/>
      <c r="T3153" s="92"/>
      <c r="U3153" s="1214"/>
      <c r="V3153" s="1215"/>
      <c r="W3153" s="168"/>
      <c r="X3153" s="170"/>
    </row>
    <row r="3154" spans="1:24" ht="12.75" customHeight="1">
      <c r="A3154" s="15"/>
      <c r="B3154" s="92" t="str">
        <f t="shared" si="365"/>
        <v/>
      </c>
      <c r="C3154" s="90"/>
      <c r="D3154" s="87"/>
      <c r="E3154" s="88"/>
      <c r="F3154" s="173"/>
      <c r="G3154" s="88"/>
      <c r="H3154" s="88"/>
      <c r="I3154" s="88"/>
      <c r="J3154" s="88"/>
      <c r="K3154" s="230"/>
      <c r="L3154" s="88"/>
      <c r="M3154" s="88"/>
      <c r="N3154" s="88"/>
      <c r="O3154" s="88"/>
      <c r="P3154" s="88"/>
      <c r="Q3154" s="88"/>
      <c r="R3154" s="88"/>
      <c r="S3154" s="620"/>
      <c r="T3154" s="92"/>
      <c r="U3154" s="1214"/>
      <c r="V3154" s="1215"/>
      <c r="W3154" s="168"/>
      <c r="X3154" s="170"/>
    </row>
    <row r="3155" spans="1:24" ht="12.75" customHeight="1">
      <c r="A3155" s="15"/>
      <c r="B3155" s="92" t="str">
        <f t="shared" si="365"/>
        <v/>
      </c>
      <c r="C3155" s="90"/>
      <c r="D3155" s="87"/>
      <c r="E3155" s="88"/>
      <c r="F3155" s="173"/>
      <c r="G3155" s="88"/>
      <c r="H3155" s="88"/>
      <c r="I3155" s="88"/>
      <c r="J3155" s="88"/>
      <c r="K3155" s="230"/>
      <c r="L3155" s="88"/>
      <c r="M3155" s="88"/>
      <c r="N3155" s="88"/>
      <c r="O3155" s="88"/>
      <c r="P3155" s="88"/>
      <c r="Q3155" s="88"/>
      <c r="R3155" s="88"/>
      <c r="S3155" s="620"/>
      <c r="T3155" s="92"/>
      <c r="U3155" s="1214"/>
      <c r="V3155" s="1215"/>
      <c r="W3155" s="168"/>
      <c r="X3155" s="170"/>
    </row>
    <row r="3156" spans="1:24" ht="12.75" customHeight="1">
      <c r="A3156" s="15"/>
      <c r="B3156" s="92" t="str">
        <f t="shared" si="365"/>
        <v/>
      </c>
      <c r="C3156" s="90"/>
      <c r="D3156" s="87"/>
      <c r="E3156" s="88"/>
      <c r="F3156" s="173"/>
      <c r="G3156" s="88"/>
      <c r="H3156" s="88"/>
      <c r="I3156" s="88"/>
      <c r="J3156" s="88"/>
      <c r="K3156" s="230"/>
      <c r="L3156" s="88"/>
      <c r="M3156" s="88"/>
      <c r="N3156" s="88"/>
      <c r="O3156" s="88"/>
      <c r="P3156" s="88"/>
      <c r="Q3156" s="88"/>
      <c r="R3156" s="88"/>
      <c r="S3156" s="620"/>
      <c r="T3156" s="92"/>
      <c r="U3156" s="1214"/>
      <c r="V3156" s="1215"/>
      <c r="W3156" s="168"/>
      <c r="X3156" s="170"/>
    </row>
    <row r="3157" spans="1:24" ht="12.75" customHeight="1">
      <c r="A3157" s="15"/>
      <c r="B3157" s="92" t="str">
        <f t="shared" si="365"/>
        <v/>
      </c>
      <c r="C3157" s="90"/>
      <c r="D3157" s="87"/>
      <c r="E3157" s="88"/>
      <c r="F3157" s="173"/>
      <c r="G3157" s="88"/>
      <c r="H3157" s="88"/>
      <c r="I3157" s="88"/>
      <c r="J3157" s="88"/>
      <c r="K3157" s="230"/>
      <c r="L3157" s="88"/>
      <c r="M3157" s="88"/>
      <c r="N3157" s="88"/>
      <c r="O3157" s="88"/>
      <c r="P3157" s="88"/>
      <c r="Q3157" s="88"/>
      <c r="R3157" s="88"/>
      <c r="S3157" s="620"/>
      <c r="T3157" s="92"/>
      <c r="U3157" s="1214"/>
      <c r="V3157" s="1215"/>
      <c r="W3157" s="168"/>
      <c r="X3157" s="170"/>
    </row>
    <row r="3158" spans="1:24" ht="12.75" customHeight="1">
      <c r="A3158" s="15"/>
      <c r="B3158" s="92" t="str">
        <f t="shared" si="365"/>
        <v/>
      </c>
      <c r="C3158" s="90"/>
      <c r="D3158" s="87"/>
      <c r="E3158" s="88"/>
      <c r="F3158" s="173"/>
      <c r="G3158" s="88"/>
      <c r="H3158" s="88"/>
      <c r="I3158" s="88"/>
      <c r="J3158" s="88"/>
      <c r="K3158" s="230"/>
      <c r="L3158" s="88"/>
      <c r="M3158" s="88"/>
      <c r="N3158" s="88"/>
      <c r="O3158" s="88"/>
      <c r="P3158" s="88"/>
      <c r="Q3158" s="88"/>
      <c r="R3158" s="88"/>
      <c r="S3158" s="620"/>
      <c r="T3158" s="92"/>
      <c r="U3158" s="1214"/>
      <c r="V3158" s="1215"/>
      <c r="W3158" s="168"/>
      <c r="X3158" s="170"/>
    </row>
    <row r="3159" spans="1:24" ht="12.75" customHeight="1">
      <c r="A3159" s="15"/>
      <c r="B3159" s="92" t="str">
        <f t="shared" si="365"/>
        <v/>
      </c>
      <c r="C3159" s="90"/>
      <c r="D3159" s="87"/>
      <c r="E3159" s="88"/>
      <c r="F3159" s="173"/>
      <c r="G3159" s="88"/>
      <c r="H3159" s="88"/>
      <c r="I3159" s="88"/>
      <c r="J3159" s="88"/>
      <c r="K3159" s="230"/>
      <c r="L3159" s="88"/>
      <c r="M3159" s="88"/>
      <c r="N3159" s="88"/>
      <c r="O3159" s="88"/>
      <c r="P3159" s="88"/>
      <c r="Q3159" s="88"/>
      <c r="R3159" s="88"/>
      <c r="S3159" s="620"/>
      <c r="T3159" s="92"/>
      <c r="U3159" s="1214"/>
      <c r="V3159" s="1215"/>
      <c r="W3159" s="168"/>
      <c r="X3159" s="170"/>
    </row>
    <row r="3160" spans="1:24" ht="12.75" customHeight="1">
      <c r="A3160" s="15"/>
      <c r="B3160" s="92" t="str">
        <f t="shared" si="365"/>
        <v/>
      </c>
      <c r="C3160" s="90"/>
      <c r="D3160" s="87"/>
      <c r="E3160" s="88"/>
      <c r="F3160" s="173"/>
      <c r="G3160" s="88"/>
      <c r="H3160" s="88"/>
      <c r="I3160" s="88"/>
      <c r="J3160" s="88"/>
      <c r="K3160" s="230"/>
      <c r="L3160" s="88"/>
      <c r="M3160" s="88"/>
      <c r="N3160" s="88"/>
      <c r="O3160" s="88"/>
      <c r="P3160" s="88"/>
      <c r="Q3160" s="88"/>
      <c r="R3160" s="88"/>
      <c r="S3160" s="620"/>
      <c r="T3160" s="92"/>
      <c r="U3160" s="1214"/>
      <c r="V3160" s="1215"/>
      <c r="W3160" s="168"/>
      <c r="X3160" s="170"/>
    </row>
    <row r="3161" spans="1:24" ht="12.75" customHeight="1">
      <c r="A3161" s="15"/>
      <c r="B3161" s="92" t="str">
        <f t="shared" si="365"/>
        <v/>
      </c>
      <c r="C3161" s="90"/>
      <c r="D3161" s="87"/>
      <c r="E3161" s="88"/>
      <c r="F3161" s="173"/>
      <c r="G3161" s="88"/>
      <c r="H3161" s="88"/>
      <c r="I3161" s="88"/>
      <c r="J3161" s="88"/>
      <c r="K3161" s="230"/>
      <c r="L3161" s="88"/>
      <c r="M3161" s="88"/>
      <c r="N3161" s="88"/>
      <c r="O3161" s="88"/>
      <c r="P3161" s="88"/>
      <c r="Q3161" s="88"/>
      <c r="R3161" s="88"/>
      <c r="S3161" s="620"/>
      <c r="T3161" s="92"/>
      <c r="U3161" s="1214"/>
      <c r="V3161" s="1215"/>
      <c r="W3161" s="168"/>
      <c r="X3161" s="170"/>
    </row>
    <row r="3162" spans="1:24" ht="12.75" customHeight="1">
      <c r="A3162" s="15"/>
      <c r="B3162" s="92" t="str">
        <f t="shared" si="365"/>
        <v/>
      </c>
      <c r="C3162" s="90"/>
      <c r="D3162" s="87"/>
      <c r="E3162" s="88"/>
      <c r="F3162" s="173"/>
      <c r="G3162" s="88"/>
      <c r="H3162" s="88"/>
      <c r="I3162" s="88"/>
      <c r="J3162" s="88"/>
      <c r="K3162" s="230"/>
      <c r="L3162" s="88"/>
      <c r="M3162" s="88"/>
      <c r="N3162" s="88"/>
      <c r="O3162" s="88"/>
      <c r="P3162" s="88"/>
      <c r="Q3162" s="88"/>
      <c r="R3162" s="88"/>
      <c r="S3162" s="620"/>
      <c r="T3162" s="92"/>
      <c r="U3162" s="1214"/>
      <c r="V3162" s="1215"/>
      <c r="W3162" s="168"/>
      <c r="X3162" s="170"/>
    </row>
    <row r="3163" spans="1:24" ht="12.75" customHeight="1">
      <c r="A3163" s="15"/>
      <c r="B3163" s="92" t="str">
        <f t="shared" si="365"/>
        <v/>
      </c>
      <c r="C3163" s="90"/>
      <c r="D3163" s="87"/>
      <c r="E3163" s="88"/>
      <c r="F3163" s="173"/>
      <c r="G3163" s="88"/>
      <c r="H3163" s="88"/>
      <c r="I3163" s="88"/>
      <c r="J3163" s="88"/>
      <c r="K3163" s="230"/>
      <c r="L3163" s="88"/>
      <c r="M3163" s="88"/>
      <c r="N3163" s="88"/>
      <c r="O3163" s="88"/>
      <c r="P3163" s="88"/>
      <c r="Q3163" s="88"/>
      <c r="R3163" s="88"/>
      <c r="S3163" s="620"/>
      <c r="T3163" s="92"/>
      <c r="U3163" s="1214"/>
      <c r="V3163" s="1215"/>
      <c r="W3163" s="168"/>
      <c r="X3163" s="170"/>
    </row>
    <row r="3164" spans="1:24" ht="12.75" customHeight="1">
      <c r="A3164" s="15"/>
      <c r="B3164" s="92" t="str">
        <f t="shared" si="365"/>
        <v/>
      </c>
      <c r="C3164" s="90"/>
      <c r="D3164" s="87"/>
      <c r="E3164" s="88"/>
      <c r="F3164" s="173"/>
      <c r="G3164" s="88"/>
      <c r="H3164" s="88"/>
      <c r="I3164" s="88"/>
      <c r="J3164" s="88"/>
      <c r="K3164" s="230"/>
      <c r="L3164" s="88"/>
      <c r="M3164" s="88"/>
      <c r="N3164" s="88"/>
      <c r="O3164" s="88"/>
      <c r="P3164" s="88"/>
      <c r="Q3164" s="88"/>
      <c r="R3164" s="88"/>
      <c r="S3164" s="620"/>
      <c r="T3164" s="92"/>
      <c r="U3164" s="1214"/>
      <c r="V3164" s="1215"/>
      <c r="W3164" s="168"/>
      <c r="X3164" s="170"/>
    </row>
    <row r="3165" spans="1:24" ht="12.75" customHeight="1">
      <c r="A3165" s="15"/>
      <c r="B3165" s="92" t="str">
        <f t="shared" si="365"/>
        <v/>
      </c>
      <c r="C3165" s="90"/>
      <c r="D3165" s="87"/>
      <c r="E3165" s="88"/>
      <c r="F3165" s="173"/>
      <c r="G3165" s="88"/>
      <c r="H3165" s="88"/>
      <c r="I3165" s="88"/>
      <c r="J3165" s="88"/>
      <c r="K3165" s="230"/>
      <c r="L3165" s="88"/>
      <c r="M3165" s="88"/>
      <c r="N3165" s="88"/>
      <c r="O3165" s="88"/>
      <c r="P3165" s="88"/>
      <c r="Q3165" s="88"/>
      <c r="R3165" s="88"/>
      <c r="S3165" s="620"/>
      <c r="T3165" s="92"/>
      <c r="U3165" s="1214"/>
      <c r="V3165" s="1215"/>
      <c r="W3165" s="168"/>
      <c r="X3165" s="170"/>
    </row>
    <row r="3166" spans="1:24" ht="12.75" customHeight="1">
      <c r="A3166" s="15"/>
      <c r="B3166" s="92" t="str">
        <f t="shared" si="365"/>
        <v/>
      </c>
      <c r="C3166" s="90"/>
      <c r="D3166" s="87"/>
      <c r="E3166" s="88"/>
      <c r="F3166" s="173"/>
      <c r="G3166" s="88"/>
      <c r="H3166" s="88"/>
      <c r="I3166" s="88"/>
      <c r="J3166" s="88"/>
      <c r="K3166" s="230"/>
      <c r="L3166" s="88"/>
      <c r="M3166" s="88"/>
      <c r="N3166" s="88"/>
      <c r="O3166" s="88"/>
      <c r="P3166" s="88"/>
      <c r="Q3166" s="88"/>
      <c r="R3166" s="88"/>
      <c r="S3166" s="620"/>
      <c r="T3166" s="92"/>
      <c r="U3166" s="1214"/>
      <c r="V3166" s="1215"/>
      <c r="W3166" s="168"/>
      <c r="X3166" s="170"/>
    </row>
    <row r="3167" spans="1:24" ht="12.75" customHeight="1">
      <c r="A3167" s="15"/>
      <c r="B3167" s="92" t="str">
        <f t="shared" si="365"/>
        <v/>
      </c>
      <c r="C3167" s="90"/>
      <c r="D3167" s="87"/>
      <c r="E3167" s="88"/>
      <c r="F3167" s="173"/>
      <c r="G3167" s="88"/>
      <c r="H3167" s="88"/>
      <c r="I3167" s="88"/>
      <c r="J3167" s="88"/>
      <c r="K3167" s="230"/>
      <c r="L3167" s="88"/>
      <c r="M3167" s="88"/>
      <c r="N3167" s="88"/>
      <c r="O3167" s="88"/>
      <c r="P3167" s="88"/>
      <c r="Q3167" s="88"/>
      <c r="R3167" s="88"/>
      <c r="S3167" s="620"/>
      <c r="T3167" s="92"/>
      <c r="U3167" s="1214"/>
      <c r="V3167" s="1215"/>
      <c r="W3167" s="168"/>
      <c r="X3167" s="170"/>
    </row>
    <row r="3168" spans="1:24" ht="12.75" customHeight="1">
      <c r="A3168" s="15"/>
      <c r="B3168" s="92" t="str">
        <f t="shared" si="365"/>
        <v/>
      </c>
      <c r="C3168" s="90"/>
      <c r="D3168" s="87"/>
      <c r="E3168" s="88"/>
      <c r="F3168" s="173"/>
      <c r="G3168" s="88"/>
      <c r="H3168" s="88"/>
      <c r="I3168" s="88"/>
      <c r="J3168" s="88"/>
      <c r="K3168" s="230"/>
      <c r="L3168" s="88"/>
      <c r="M3168" s="88"/>
      <c r="N3168" s="88"/>
      <c r="O3168" s="88"/>
      <c r="P3168" s="88"/>
      <c r="Q3168" s="88"/>
      <c r="R3168" s="88"/>
      <c r="S3168" s="620"/>
      <c r="T3168" s="92"/>
      <c r="U3168" s="1214"/>
      <c r="V3168" s="1215"/>
      <c r="W3168" s="168"/>
      <c r="X3168" s="170"/>
    </row>
    <row r="3169" spans="1:24" ht="12.75" customHeight="1">
      <c r="A3169" s="15"/>
      <c r="B3169" s="92" t="str">
        <f t="shared" si="365"/>
        <v/>
      </c>
      <c r="C3169" s="90"/>
      <c r="D3169" s="87"/>
      <c r="E3169" s="88"/>
      <c r="F3169" s="173"/>
      <c r="G3169" s="88"/>
      <c r="H3169" s="88"/>
      <c r="I3169" s="88"/>
      <c r="J3169" s="88"/>
      <c r="K3169" s="230"/>
      <c r="L3169" s="88"/>
      <c r="M3169" s="88"/>
      <c r="N3169" s="88"/>
      <c r="O3169" s="88"/>
      <c r="P3169" s="88"/>
      <c r="Q3169" s="88"/>
      <c r="R3169" s="88"/>
      <c r="S3169" s="620"/>
      <c r="T3169" s="92"/>
      <c r="U3169" s="1214"/>
      <c r="V3169" s="1215"/>
      <c r="W3169" s="168"/>
      <c r="X3169" s="170"/>
    </row>
    <row r="3170" spans="1:24" ht="12.75" customHeight="1">
      <c r="A3170" s="15"/>
      <c r="B3170" s="92" t="str">
        <f t="shared" si="365"/>
        <v/>
      </c>
      <c r="C3170" s="90"/>
      <c r="D3170" s="87"/>
      <c r="E3170" s="88"/>
      <c r="F3170" s="173"/>
      <c r="G3170" s="88"/>
      <c r="H3170" s="88"/>
      <c r="I3170" s="88"/>
      <c r="J3170" s="88"/>
      <c r="K3170" s="230"/>
      <c r="L3170" s="88"/>
      <c r="M3170" s="88"/>
      <c r="N3170" s="88"/>
      <c r="O3170" s="88"/>
      <c r="P3170" s="88"/>
      <c r="Q3170" s="88"/>
      <c r="R3170" s="88"/>
      <c r="S3170" s="620"/>
      <c r="T3170" s="92"/>
      <c r="U3170" s="1214"/>
      <c r="V3170" s="1215"/>
      <c r="W3170" s="168"/>
      <c r="X3170" s="170"/>
    </row>
    <row r="3171" spans="1:24" ht="12.75" customHeight="1">
      <c r="A3171" s="15"/>
      <c r="B3171" s="92" t="str">
        <f t="shared" si="365"/>
        <v/>
      </c>
      <c r="C3171" s="90"/>
      <c r="D3171" s="87"/>
      <c r="E3171" s="88"/>
      <c r="F3171" s="173"/>
      <c r="G3171" s="88"/>
      <c r="H3171" s="88"/>
      <c r="I3171" s="88"/>
      <c r="J3171" s="88"/>
      <c r="K3171" s="230"/>
      <c r="L3171" s="88"/>
      <c r="M3171" s="88"/>
      <c r="N3171" s="88"/>
      <c r="O3171" s="88"/>
      <c r="P3171" s="88"/>
      <c r="Q3171" s="88"/>
      <c r="R3171" s="88"/>
      <c r="S3171" s="620"/>
      <c r="T3171" s="92"/>
      <c r="U3171" s="1214"/>
      <c r="V3171" s="1215"/>
      <c r="W3171" s="168"/>
      <c r="X3171" s="170"/>
    </row>
    <row r="3172" spans="1:24" ht="12.75" customHeight="1">
      <c r="A3172" s="15"/>
      <c r="B3172" s="92" t="str">
        <f t="shared" si="365"/>
        <v/>
      </c>
      <c r="C3172" s="90"/>
      <c r="D3172" s="87"/>
      <c r="E3172" s="88"/>
      <c r="F3172" s="173"/>
      <c r="G3172" s="88"/>
      <c r="H3172" s="88"/>
      <c r="I3172" s="88"/>
      <c r="J3172" s="88"/>
      <c r="K3172" s="230"/>
      <c r="L3172" s="88"/>
      <c r="M3172" s="88"/>
      <c r="N3172" s="88"/>
      <c r="O3172" s="88"/>
      <c r="P3172" s="88"/>
      <c r="Q3172" s="88"/>
      <c r="R3172" s="88"/>
      <c r="S3172" s="620"/>
      <c r="T3172" s="92"/>
      <c r="U3172" s="1214"/>
      <c r="V3172" s="1215"/>
      <c r="W3172" s="168"/>
      <c r="X3172" s="170"/>
    </row>
    <row r="3173" spans="1:24" ht="12.75" customHeight="1">
      <c r="A3173" s="15"/>
      <c r="B3173" s="92" t="str">
        <f t="shared" si="365"/>
        <v/>
      </c>
      <c r="C3173" s="90"/>
      <c r="D3173" s="87"/>
      <c r="E3173" s="88"/>
      <c r="F3173" s="173"/>
      <c r="G3173" s="88"/>
      <c r="H3173" s="88"/>
      <c r="I3173" s="88"/>
      <c r="J3173" s="88"/>
      <c r="K3173" s="230"/>
      <c r="L3173" s="88"/>
      <c r="M3173" s="88"/>
      <c r="N3173" s="88"/>
      <c r="O3173" s="88"/>
      <c r="P3173" s="88"/>
      <c r="Q3173" s="88"/>
      <c r="R3173" s="88"/>
      <c r="S3173" s="620"/>
      <c r="T3173" s="92"/>
      <c r="U3173" s="1214"/>
      <c r="V3173" s="1215"/>
      <c r="W3173" s="168"/>
      <c r="X3173" s="170"/>
    </row>
    <row r="3174" spans="1:24" ht="12.75" customHeight="1">
      <c r="A3174" s="15"/>
      <c r="B3174" s="92" t="str">
        <f t="shared" si="365"/>
        <v/>
      </c>
      <c r="C3174" s="90"/>
      <c r="D3174" s="87"/>
      <c r="E3174" s="88"/>
      <c r="F3174" s="173"/>
      <c r="G3174" s="88"/>
      <c r="H3174" s="88"/>
      <c r="I3174" s="88"/>
      <c r="J3174" s="88"/>
      <c r="K3174" s="230"/>
      <c r="L3174" s="88"/>
      <c r="M3174" s="88"/>
      <c r="N3174" s="88"/>
      <c r="O3174" s="88"/>
      <c r="P3174" s="88"/>
      <c r="Q3174" s="88"/>
      <c r="R3174" s="88"/>
      <c r="S3174" s="620"/>
      <c r="T3174" s="92"/>
      <c r="U3174" s="1214"/>
      <c r="V3174" s="1215"/>
      <c r="W3174" s="168"/>
      <c r="X3174" s="170"/>
    </row>
    <row r="3175" spans="1:24" ht="12.75" customHeight="1">
      <c r="A3175" s="15"/>
      <c r="B3175" s="92" t="str">
        <f t="shared" si="365"/>
        <v/>
      </c>
      <c r="C3175" s="90"/>
      <c r="D3175" s="87"/>
      <c r="E3175" s="88"/>
      <c r="F3175" s="173"/>
      <c r="G3175" s="88"/>
      <c r="H3175" s="88"/>
      <c r="I3175" s="88"/>
      <c r="J3175" s="88"/>
      <c r="K3175" s="230"/>
      <c r="L3175" s="88"/>
      <c r="M3175" s="88"/>
      <c r="N3175" s="88"/>
      <c r="O3175" s="88"/>
      <c r="P3175" s="88"/>
      <c r="Q3175" s="88"/>
      <c r="R3175" s="88"/>
      <c r="S3175" s="620"/>
      <c r="T3175" s="92"/>
      <c r="U3175" s="1214"/>
      <c r="V3175" s="1215"/>
      <c r="W3175" s="168"/>
      <c r="X3175" s="170"/>
    </row>
    <row r="3176" spans="1:24" ht="12.75" customHeight="1">
      <c r="A3176" s="15"/>
      <c r="B3176" s="92" t="str">
        <f t="shared" si="365"/>
        <v/>
      </c>
      <c r="C3176" s="90"/>
      <c r="D3176" s="87"/>
      <c r="E3176" s="88"/>
      <c r="F3176" s="173"/>
      <c r="G3176" s="88"/>
      <c r="H3176" s="88"/>
      <c r="I3176" s="88"/>
      <c r="J3176" s="88"/>
      <c r="K3176" s="230"/>
      <c r="L3176" s="88"/>
      <c r="M3176" s="88"/>
      <c r="N3176" s="88"/>
      <c r="O3176" s="88"/>
      <c r="P3176" s="88"/>
      <c r="Q3176" s="88"/>
      <c r="R3176" s="88"/>
      <c r="S3176" s="620"/>
      <c r="T3176" s="92"/>
      <c r="U3176" s="1214"/>
      <c r="V3176" s="1215"/>
      <c r="W3176" s="168"/>
      <c r="X3176" s="170"/>
    </row>
    <row r="3177" spans="1:24" ht="12.75" customHeight="1">
      <c r="A3177" s="15"/>
      <c r="B3177" s="92" t="str">
        <f t="shared" si="365"/>
        <v/>
      </c>
      <c r="C3177" s="90"/>
      <c r="D3177" s="87"/>
      <c r="E3177" s="88"/>
      <c r="F3177" s="173"/>
      <c r="G3177" s="88"/>
      <c r="H3177" s="88"/>
      <c r="I3177" s="88"/>
      <c r="J3177" s="88"/>
      <c r="K3177" s="230"/>
      <c r="L3177" s="88"/>
      <c r="M3177" s="88"/>
      <c r="N3177" s="88"/>
      <c r="O3177" s="88"/>
      <c r="P3177" s="88"/>
      <c r="Q3177" s="88"/>
      <c r="R3177" s="88"/>
      <c r="S3177" s="620"/>
      <c r="T3177" s="92"/>
      <c r="U3177" s="1214"/>
      <c r="V3177" s="1215"/>
      <c r="W3177" s="168"/>
      <c r="X3177" s="170"/>
    </row>
    <row r="3178" spans="1:24" ht="12.75" customHeight="1">
      <c r="A3178" s="15"/>
      <c r="B3178" s="92" t="str">
        <f t="shared" si="365"/>
        <v/>
      </c>
      <c r="C3178" s="90"/>
      <c r="D3178" s="87"/>
      <c r="E3178" s="88"/>
      <c r="F3178" s="173"/>
      <c r="G3178" s="88"/>
      <c r="H3178" s="88"/>
      <c r="I3178" s="88"/>
      <c r="J3178" s="88"/>
      <c r="K3178" s="230"/>
      <c r="L3178" s="88"/>
      <c r="M3178" s="88"/>
      <c r="N3178" s="88"/>
      <c r="O3178" s="88"/>
      <c r="P3178" s="88"/>
      <c r="Q3178" s="88"/>
      <c r="R3178" s="88"/>
      <c r="S3178" s="620"/>
      <c r="T3178" s="92"/>
      <c r="U3178" s="1214"/>
      <c r="V3178" s="1215"/>
      <c r="W3178" s="168"/>
      <c r="X3178" s="170"/>
    </row>
    <row r="3179" spans="1:24" ht="12.75" customHeight="1">
      <c r="A3179" s="15"/>
      <c r="B3179" s="92" t="str">
        <f t="shared" si="365"/>
        <v/>
      </c>
      <c r="C3179" s="90"/>
      <c r="D3179" s="87"/>
      <c r="E3179" s="88"/>
      <c r="F3179" s="173"/>
      <c r="G3179" s="88"/>
      <c r="H3179" s="88"/>
      <c r="I3179" s="88"/>
      <c r="J3179" s="88"/>
      <c r="K3179" s="230"/>
      <c r="L3179" s="88"/>
      <c r="M3179" s="88"/>
      <c r="N3179" s="88"/>
      <c r="O3179" s="88"/>
      <c r="P3179" s="88"/>
      <c r="Q3179" s="88"/>
      <c r="R3179" s="88"/>
      <c r="S3179" s="620"/>
      <c r="T3179" s="92"/>
      <c r="U3179" s="1214"/>
      <c r="V3179" s="1215"/>
      <c r="W3179" s="168"/>
      <c r="X3179" s="170"/>
    </row>
    <row r="3180" spans="1:24" ht="12.75" customHeight="1">
      <c r="A3180" s="15"/>
      <c r="B3180" s="92" t="str">
        <f t="shared" si="365"/>
        <v/>
      </c>
      <c r="C3180" s="90"/>
      <c r="D3180" s="87"/>
      <c r="E3180" s="88"/>
      <c r="F3180" s="173"/>
      <c r="G3180" s="88"/>
      <c r="H3180" s="88"/>
      <c r="I3180" s="88"/>
      <c r="J3180" s="88"/>
      <c r="K3180" s="230"/>
      <c r="L3180" s="88"/>
      <c r="M3180" s="88"/>
      <c r="N3180" s="88"/>
      <c r="O3180" s="88"/>
      <c r="P3180" s="88"/>
      <c r="Q3180" s="88"/>
      <c r="R3180" s="88"/>
      <c r="S3180" s="620"/>
      <c r="T3180" s="92"/>
      <c r="U3180" s="1214"/>
      <c r="V3180" s="1215"/>
      <c r="W3180" s="168"/>
      <c r="X3180" s="170"/>
    </row>
    <row r="3181" spans="1:24" ht="12.75" customHeight="1">
      <c r="A3181" s="15"/>
      <c r="B3181" s="92" t="str">
        <f t="shared" si="365"/>
        <v/>
      </c>
      <c r="C3181" s="90"/>
      <c r="D3181" s="87"/>
      <c r="E3181" s="88"/>
      <c r="F3181" s="173"/>
      <c r="G3181" s="88"/>
      <c r="H3181" s="88"/>
      <c r="I3181" s="88"/>
      <c r="J3181" s="88"/>
      <c r="K3181" s="230"/>
      <c r="L3181" s="88"/>
      <c r="M3181" s="88"/>
      <c r="N3181" s="88"/>
      <c r="O3181" s="88"/>
      <c r="P3181" s="88"/>
      <c r="Q3181" s="88"/>
      <c r="R3181" s="88"/>
      <c r="S3181" s="620"/>
      <c r="T3181" s="92"/>
      <c r="U3181" s="1214"/>
      <c r="V3181" s="1215"/>
      <c r="W3181" s="168"/>
      <c r="X3181" s="170"/>
    </row>
    <row r="3182" spans="1:24" ht="12.75" customHeight="1">
      <c r="A3182" s="15"/>
      <c r="B3182" s="92" t="str">
        <f t="shared" si="365"/>
        <v/>
      </c>
      <c r="C3182" s="90"/>
      <c r="D3182" s="87"/>
      <c r="E3182" s="88"/>
      <c r="F3182" s="173"/>
      <c r="G3182" s="88"/>
      <c r="H3182" s="88"/>
      <c r="I3182" s="88"/>
      <c r="J3182" s="88"/>
      <c r="K3182" s="230"/>
      <c r="L3182" s="88"/>
      <c r="M3182" s="88"/>
      <c r="N3182" s="88"/>
      <c r="O3182" s="88"/>
      <c r="P3182" s="88"/>
      <c r="Q3182" s="88"/>
      <c r="R3182" s="88"/>
      <c r="S3182" s="620"/>
      <c r="T3182" s="92"/>
      <c r="U3182" s="1214"/>
      <c r="V3182" s="1215"/>
      <c r="W3182" s="168"/>
      <c r="X3182" s="170"/>
    </row>
    <row r="3183" spans="1:24" ht="12.75" customHeight="1">
      <c r="A3183" s="15"/>
      <c r="B3183" s="92" t="str">
        <f t="shared" ref="B3183:B3246" si="366">IF(C3183="","",ROW()-5)</f>
        <v/>
      </c>
      <c r="C3183" s="90"/>
      <c r="D3183" s="87"/>
      <c r="E3183" s="88"/>
      <c r="F3183" s="173"/>
      <c r="G3183" s="88"/>
      <c r="H3183" s="88"/>
      <c r="I3183" s="88"/>
      <c r="J3183" s="88"/>
      <c r="K3183" s="230"/>
      <c r="L3183" s="88"/>
      <c r="M3183" s="88"/>
      <c r="N3183" s="88"/>
      <c r="O3183" s="88"/>
      <c r="P3183" s="88"/>
      <c r="Q3183" s="88"/>
      <c r="R3183" s="88"/>
      <c r="S3183" s="620"/>
      <c r="T3183" s="92"/>
      <c r="U3183" s="1214"/>
      <c r="V3183" s="1215"/>
      <c r="W3183" s="168"/>
      <c r="X3183" s="170"/>
    </row>
    <row r="3184" spans="1:24" ht="12.75" customHeight="1">
      <c r="A3184" s="15"/>
      <c r="B3184" s="92" t="str">
        <f t="shared" si="366"/>
        <v/>
      </c>
      <c r="C3184" s="90"/>
      <c r="D3184" s="87"/>
      <c r="E3184" s="88"/>
      <c r="F3184" s="173"/>
      <c r="G3184" s="88"/>
      <c r="H3184" s="88"/>
      <c r="I3184" s="88"/>
      <c r="J3184" s="88"/>
      <c r="K3184" s="230"/>
      <c r="L3184" s="88"/>
      <c r="M3184" s="88"/>
      <c r="N3184" s="88"/>
      <c r="O3184" s="88"/>
      <c r="P3184" s="88"/>
      <c r="Q3184" s="88"/>
      <c r="R3184" s="88"/>
      <c r="S3184" s="620"/>
      <c r="T3184" s="92"/>
      <c r="U3184" s="1214"/>
      <c r="V3184" s="1215"/>
      <c r="W3184" s="168"/>
      <c r="X3184" s="170"/>
    </row>
    <row r="3185" spans="1:24" ht="12.75" customHeight="1">
      <c r="A3185" s="15"/>
      <c r="B3185" s="92" t="str">
        <f t="shared" si="366"/>
        <v/>
      </c>
      <c r="C3185" s="90"/>
      <c r="D3185" s="87"/>
      <c r="E3185" s="88"/>
      <c r="F3185" s="173"/>
      <c r="G3185" s="88"/>
      <c r="H3185" s="88"/>
      <c r="I3185" s="88"/>
      <c r="J3185" s="88"/>
      <c r="K3185" s="230"/>
      <c r="L3185" s="88"/>
      <c r="M3185" s="88"/>
      <c r="N3185" s="88"/>
      <c r="O3185" s="88"/>
      <c r="P3185" s="88"/>
      <c r="Q3185" s="88"/>
      <c r="R3185" s="88"/>
      <c r="S3185" s="620"/>
      <c r="T3185" s="92"/>
      <c r="U3185" s="1214"/>
      <c r="V3185" s="1215"/>
      <c r="W3185" s="168"/>
      <c r="X3185" s="170"/>
    </row>
    <row r="3186" spans="1:24" ht="12.75" customHeight="1">
      <c r="A3186" s="15"/>
      <c r="B3186" s="92" t="str">
        <f t="shared" si="366"/>
        <v/>
      </c>
      <c r="C3186" s="90"/>
      <c r="D3186" s="87"/>
      <c r="E3186" s="88"/>
      <c r="F3186" s="173"/>
      <c r="G3186" s="88"/>
      <c r="H3186" s="88"/>
      <c r="I3186" s="88"/>
      <c r="J3186" s="88"/>
      <c r="K3186" s="230"/>
      <c r="L3186" s="88"/>
      <c r="M3186" s="88"/>
      <c r="N3186" s="88"/>
      <c r="O3186" s="88"/>
      <c r="P3186" s="88"/>
      <c r="Q3186" s="88"/>
      <c r="R3186" s="88"/>
      <c r="S3186" s="620"/>
      <c r="T3186" s="92"/>
      <c r="U3186" s="1214"/>
      <c r="V3186" s="1215"/>
      <c r="W3186" s="168"/>
      <c r="X3186" s="170"/>
    </row>
    <row r="3187" spans="1:24" ht="12.75" customHeight="1">
      <c r="A3187" s="15"/>
      <c r="B3187" s="92" t="str">
        <f t="shared" si="366"/>
        <v/>
      </c>
      <c r="C3187" s="90"/>
      <c r="D3187" s="87"/>
      <c r="E3187" s="88"/>
      <c r="F3187" s="173"/>
      <c r="G3187" s="88"/>
      <c r="H3187" s="88"/>
      <c r="I3187" s="88"/>
      <c r="J3187" s="88"/>
      <c r="K3187" s="230"/>
      <c r="L3187" s="88"/>
      <c r="M3187" s="88"/>
      <c r="N3187" s="88"/>
      <c r="O3187" s="88"/>
      <c r="P3187" s="88"/>
      <c r="Q3187" s="88"/>
      <c r="R3187" s="88"/>
      <c r="S3187" s="620"/>
      <c r="T3187" s="92"/>
      <c r="U3187" s="1214"/>
      <c r="V3187" s="1215"/>
      <c r="W3187" s="168"/>
      <c r="X3187" s="170"/>
    </row>
    <row r="3188" spans="1:24" ht="12.75" customHeight="1">
      <c r="A3188" s="15"/>
      <c r="B3188" s="92" t="str">
        <f t="shared" si="366"/>
        <v/>
      </c>
      <c r="C3188" s="90"/>
      <c r="D3188" s="87"/>
      <c r="E3188" s="88"/>
      <c r="F3188" s="173"/>
      <c r="G3188" s="88"/>
      <c r="H3188" s="88"/>
      <c r="I3188" s="88"/>
      <c r="J3188" s="88"/>
      <c r="K3188" s="230"/>
      <c r="L3188" s="88"/>
      <c r="M3188" s="88"/>
      <c r="N3188" s="88"/>
      <c r="O3188" s="88"/>
      <c r="P3188" s="88"/>
      <c r="Q3188" s="88"/>
      <c r="R3188" s="88"/>
      <c r="S3188" s="620"/>
      <c r="T3188" s="92"/>
      <c r="U3188" s="1214"/>
      <c r="V3188" s="1215"/>
      <c r="W3188" s="168"/>
      <c r="X3188" s="170"/>
    </row>
    <row r="3189" spans="1:24" ht="12.75" customHeight="1">
      <c r="A3189" s="15"/>
      <c r="B3189" s="92" t="str">
        <f t="shared" si="366"/>
        <v/>
      </c>
      <c r="C3189" s="90"/>
      <c r="D3189" s="87"/>
      <c r="E3189" s="88"/>
      <c r="F3189" s="173"/>
      <c r="G3189" s="88"/>
      <c r="H3189" s="88"/>
      <c r="I3189" s="88"/>
      <c r="J3189" s="88"/>
      <c r="K3189" s="230"/>
      <c r="L3189" s="88"/>
      <c r="M3189" s="88"/>
      <c r="N3189" s="88"/>
      <c r="O3189" s="88"/>
      <c r="P3189" s="88"/>
      <c r="Q3189" s="88"/>
      <c r="R3189" s="88"/>
      <c r="S3189" s="620"/>
      <c r="T3189" s="92"/>
      <c r="U3189" s="1214"/>
      <c r="V3189" s="1215"/>
      <c r="W3189" s="168"/>
      <c r="X3189" s="170"/>
    </row>
    <row r="3190" spans="1:24" ht="12.75" customHeight="1">
      <c r="A3190" s="15"/>
      <c r="B3190" s="92" t="str">
        <f t="shared" si="366"/>
        <v/>
      </c>
      <c r="C3190" s="90"/>
      <c r="D3190" s="87"/>
      <c r="E3190" s="88"/>
      <c r="F3190" s="173"/>
      <c r="G3190" s="88"/>
      <c r="H3190" s="88"/>
      <c r="I3190" s="88"/>
      <c r="J3190" s="88"/>
      <c r="K3190" s="230"/>
      <c r="L3190" s="88"/>
      <c r="M3190" s="88"/>
      <c r="N3190" s="88"/>
      <c r="O3190" s="88"/>
      <c r="P3190" s="88"/>
      <c r="Q3190" s="88"/>
      <c r="R3190" s="88"/>
      <c r="S3190" s="620"/>
      <c r="T3190" s="92"/>
      <c r="U3190" s="1214"/>
      <c r="V3190" s="1215"/>
      <c r="W3190" s="168"/>
      <c r="X3190" s="170"/>
    </row>
    <row r="3191" spans="1:24" ht="12.75" customHeight="1">
      <c r="A3191" s="15"/>
      <c r="B3191" s="92" t="str">
        <f t="shared" si="366"/>
        <v/>
      </c>
      <c r="C3191" s="90"/>
      <c r="D3191" s="87"/>
      <c r="E3191" s="88"/>
      <c r="F3191" s="173"/>
      <c r="G3191" s="88"/>
      <c r="H3191" s="88"/>
      <c r="I3191" s="88"/>
      <c r="J3191" s="88"/>
      <c r="K3191" s="230"/>
      <c r="L3191" s="88"/>
      <c r="M3191" s="88"/>
      <c r="N3191" s="88"/>
      <c r="O3191" s="88"/>
      <c r="P3191" s="88"/>
      <c r="Q3191" s="88"/>
      <c r="R3191" s="88"/>
      <c r="S3191" s="620"/>
      <c r="T3191" s="92"/>
      <c r="U3191" s="1214"/>
      <c r="V3191" s="1215"/>
      <c r="W3191" s="168"/>
      <c r="X3191" s="170"/>
    </row>
    <row r="3192" spans="1:24" ht="12.75" customHeight="1">
      <c r="A3192" s="15"/>
      <c r="B3192" s="92" t="str">
        <f t="shared" si="366"/>
        <v/>
      </c>
      <c r="C3192" s="90"/>
      <c r="D3192" s="87"/>
      <c r="E3192" s="88"/>
      <c r="F3192" s="173"/>
      <c r="G3192" s="88"/>
      <c r="H3192" s="88"/>
      <c r="I3192" s="88"/>
      <c r="J3192" s="88"/>
      <c r="K3192" s="230"/>
      <c r="L3192" s="88"/>
      <c r="M3192" s="88"/>
      <c r="N3192" s="88"/>
      <c r="O3192" s="88"/>
      <c r="P3192" s="88"/>
      <c r="Q3192" s="88"/>
      <c r="R3192" s="88"/>
      <c r="S3192" s="620"/>
      <c r="T3192" s="92"/>
      <c r="U3192" s="1214"/>
      <c r="V3192" s="1215"/>
      <c r="W3192" s="168"/>
      <c r="X3192" s="170"/>
    </row>
    <row r="3193" spans="1:24" ht="12.75" customHeight="1">
      <c r="A3193" s="15"/>
      <c r="B3193" s="92" t="str">
        <f t="shared" si="366"/>
        <v/>
      </c>
      <c r="C3193" s="90"/>
      <c r="D3193" s="87"/>
      <c r="E3193" s="88"/>
      <c r="F3193" s="173"/>
      <c r="G3193" s="88"/>
      <c r="H3193" s="88"/>
      <c r="I3193" s="88"/>
      <c r="J3193" s="88"/>
      <c r="K3193" s="230"/>
      <c r="L3193" s="88"/>
      <c r="M3193" s="88"/>
      <c r="N3193" s="88"/>
      <c r="O3193" s="88"/>
      <c r="P3193" s="88"/>
      <c r="Q3193" s="88"/>
      <c r="R3193" s="88"/>
      <c r="S3193" s="620"/>
      <c r="T3193" s="92"/>
      <c r="U3193" s="1214"/>
      <c r="V3193" s="1215"/>
      <c r="W3193" s="168"/>
      <c r="X3193" s="170"/>
    </row>
    <row r="3194" spans="1:24" ht="12.75" customHeight="1">
      <c r="A3194" s="15"/>
      <c r="B3194" s="92" t="str">
        <f t="shared" si="366"/>
        <v/>
      </c>
      <c r="C3194" s="90"/>
      <c r="D3194" s="87"/>
      <c r="E3194" s="88"/>
      <c r="F3194" s="173"/>
      <c r="G3194" s="88"/>
      <c r="H3194" s="88"/>
      <c r="I3194" s="88"/>
      <c r="J3194" s="88"/>
      <c r="K3194" s="230"/>
      <c r="L3194" s="88"/>
      <c r="M3194" s="88"/>
      <c r="N3194" s="88"/>
      <c r="O3194" s="88"/>
      <c r="P3194" s="88"/>
      <c r="Q3194" s="88"/>
      <c r="R3194" s="88"/>
      <c r="S3194" s="620"/>
      <c r="T3194" s="92"/>
      <c r="U3194" s="1214"/>
      <c r="V3194" s="1215"/>
      <c r="W3194" s="168"/>
      <c r="X3194" s="170"/>
    </row>
    <row r="3195" spans="1:24" ht="12.75" customHeight="1">
      <c r="A3195" s="15"/>
      <c r="B3195" s="92" t="str">
        <f t="shared" si="366"/>
        <v/>
      </c>
      <c r="C3195" s="90"/>
      <c r="D3195" s="87"/>
      <c r="E3195" s="88"/>
      <c r="F3195" s="173"/>
      <c r="G3195" s="88"/>
      <c r="H3195" s="88"/>
      <c r="I3195" s="88"/>
      <c r="J3195" s="88"/>
      <c r="K3195" s="230"/>
      <c r="L3195" s="88"/>
      <c r="M3195" s="88"/>
      <c r="N3195" s="88"/>
      <c r="O3195" s="88"/>
      <c r="P3195" s="88"/>
      <c r="Q3195" s="88"/>
      <c r="R3195" s="88"/>
      <c r="S3195" s="620"/>
      <c r="T3195" s="92"/>
      <c r="U3195" s="1214"/>
      <c r="V3195" s="1215"/>
      <c r="W3195" s="168"/>
      <c r="X3195" s="170"/>
    </row>
    <row r="3196" spans="1:24" ht="12.75" customHeight="1">
      <c r="A3196" s="15"/>
      <c r="B3196" s="92" t="str">
        <f t="shared" si="366"/>
        <v/>
      </c>
      <c r="C3196" s="90"/>
      <c r="D3196" s="87"/>
      <c r="E3196" s="88"/>
      <c r="F3196" s="173"/>
      <c r="G3196" s="88"/>
      <c r="H3196" s="88"/>
      <c r="I3196" s="88"/>
      <c r="J3196" s="88"/>
      <c r="K3196" s="230"/>
      <c r="L3196" s="88"/>
      <c r="M3196" s="88"/>
      <c r="N3196" s="88"/>
      <c r="O3196" s="88"/>
      <c r="P3196" s="88"/>
      <c r="Q3196" s="88"/>
      <c r="R3196" s="88"/>
      <c r="S3196" s="620"/>
      <c r="T3196" s="92"/>
      <c r="U3196" s="1214"/>
      <c r="V3196" s="1215"/>
      <c r="W3196" s="168"/>
      <c r="X3196" s="170"/>
    </row>
    <row r="3197" spans="1:24" ht="12.75" customHeight="1">
      <c r="A3197" s="15"/>
      <c r="B3197" s="92" t="str">
        <f t="shared" si="366"/>
        <v/>
      </c>
      <c r="C3197" s="90"/>
      <c r="D3197" s="87"/>
      <c r="E3197" s="88"/>
      <c r="F3197" s="173"/>
      <c r="G3197" s="88"/>
      <c r="H3197" s="88"/>
      <c r="I3197" s="88"/>
      <c r="J3197" s="88"/>
      <c r="K3197" s="230"/>
      <c r="L3197" s="88"/>
      <c r="M3197" s="88"/>
      <c r="N3197" s="88"/>
      <c r="O3197" s="88"/>
      <c r="P3197" s="88"/>
      <c r="Q3197" s="88"/>
      <c r="R3197" s="88"/>
      <c r="S3197" s="620"/>
      <c r="T3197" s="92"/>
      <c r="U3197" s="1214"/>
      <c r="V3197" s="1215"/>
      <c r="W3197" s="168"/>
      <c r="X3197" s="170"/>
    </row>
    <row r="3198" spans="1:24" ht="12.75" customHeight="1">
      <c r="A3198" s="15"/>
      <c r="B3198" s="92" t="str">
        <f t="shared" si="366"/>
        <v/>
      </c>
      <c r="C3198" s="90"/>
      <c r="D3198" s="87"/>
      <c r="E3198" s="88"/>
      <c r="F3198" s="173"/>
      <c r="G3198" s="88"/>
      <c r="H3198" s="88"/>
      <c r="I3198" s="88"/>
      <c r="J3198" s="88"/>
      <c r="K3198" s="230"/>
      <c r="L3198" s="88"/>
      <c r="M3198" s="88"/>
      <c r="N3198" s="88"/>
      <c r="O3198" s="88"/>
      <c r="P3198" s="88"/>
      <c r="Q3198" s="88"/>
      <c r="R3198" s="88"/>
      <c r="S3198" s="620"/>
      <c r="T3198" s="92"/>
      <c r="U3198" s="1214"/>
      <c r="V3198" s="1215"/>
      <c r="W3198" s="168"/>
      <c r="X3198" s="170"/>
    </row>
    <row r="3199" spans="1:24" ht="12.75" customHeight="1">
      <c r="A3199" s="15"/>
      <c r="B3199" s="92" t="str">
        <f t="shared" si="366"/>
        <v/>
      </c>
      <c r="C3199" s="90"/>
      <c r="D3199" s="87"/>
      <c r="E3199" s="88"/>
      <c r="F3199" s="173"/>
      <c r="G3199" s="88"/>
      <c r="H3199" s="88"/>
      <c r="I3199" s="88"/>
      <c r="J3199" s="88"/>
      <c r="K3199" s="230"/>
      <c r="L3199" s="88"/>
      <c r="M3199" s="88"/>
      <c r="N3199" s="88"/>
      <c r="O3199" s="88"/>
      <c r="P3199" s="88"/>
      <c r="Q3199" s="88"/>
      <c r="R3199" s="88"/>
      <c r="S3199" s="620"/>
      <c r="T3199" s="92"/>
      <c r="U3199" s="1214"/>
      <c r="V3199" s="1215"/>
      <c r="W3199" s="168"/>
      <c r="X3199" s="170"/>
    </row>
    <row r="3200" spans="1:24" ht="12.75" customHeight="1">
      <c r="A3200" s="15"/>
      <c r="B3200" s="92" t="str">
        <f t="shared" si="366"/>
        <v/>
      </c>
      <c r="C3200" s="90"/>
      <c r="D3200" s="87"/>
      <c r="E3200" s="88"/>
      <c r="F3200" s="173"/>
      <c r="G3200" s="88"/>
      <c r="H3200" s="88"/>
      <c r="I3200" s="88"/>
      <c r="J3200" s="88"/>
      <c r="K3200" s="230"/>
      <c r="L3200" s="88"/>
      <c r="M3200" s="88"/>
      <c r="N3200" s="88"/>
      <c r="O3200" s="88"/>
      <c r="P3200" s="88"/>
      <c r="Q3200" s="88"/>
      <c r="R3200" s="88"/>
      <c r="S3200" s="620"/>
      <c r="T3200" s="92"/>
      <c r="U3200" s="1214"/>
      <c r="V3200" s="1215"/>
      <c r="W3200" s="168"/>
      <c r="X3200" s="170"/>
    </row>
    <row r="3201" spans="1:24" ht="12.75" customHeight="1">
      <c r="A3201" s="15"/>
      <c r="B3201" s="92" t="str">
        <f t="shared" si="366"/>
        <v/>
      </c>
      <c r="C3201" s="90"/>
      <c r="D3201" s="87"/>
      <c r="E3201" s="88"/>
      <c r="F3201" s="173"/>
      <c r="G3201" s="88"/>
      <c r="H3201" s="88"/>
      <c r="I3201" s="88"/>
      <c r="J3201" s="88"/>
      <c r="K3201" s="230"/>
      <c r="L3201" s="88"/>
      <c r="M3201" s="88"/>
      <c r="N3201" s="88"/>
      <c r="O3201" s="88"/>
      <c r="P3201" s="88"/>
      <c r="Q3201" s="88"/>
      <c r="R3201" s="88"/>
      <c r="S3201" s="620"/>
      <c r="T3201" s="92"/>
      <c r="U3201" s="1214"/>
      <c r="V3201" s="1215"/>
      <c r="W3201" s="168"/>
      <c r="X3201" s="170"/>
    </row>
    <row r="3202" spans="1:24" ht="12.75" customHeight="1">
      <c r="A3202" s="15"/>
      <c r="B3202" s="92" t="str">
        <f t="shared" si="366"/>
        <v/>
      </c>
      <c r="C3202" s="90"/>
      <c r="D3202" s="87"/>
      <c r="E3202" s="88"/>
      <c r="F3202" s="173"/>
      <c r="G3202" s="88"/>
      <c r="H3202" s="88"/>
      <c r="I3202" s="88"/>
      <c r="J3202" s="88"/>
      <c r="K3202" s="230"/>
      <c r="L3202" s="88"/>
      <c r="M3202" s="88"/>
      <c r="N3202" s="88"/>
      <c r="O3202" s="88"/>
      <c r="P3202" s="88"/>
      <c r="Q3202" s="88"/>
      <c r="R3202" s="88"/>
      <c r="S3202" s="620"/>
      <c r="T3202" s="92"/>
      <c r="U3202" s="1214"/>
      <c r="V3202" s="1215"/>
      <c r="W3202" s="168"/>
      <c r="X3202" s="170"/>
    </row>
    <row r="3203" spans="1:24" ht="12.75" customHeight="1">
      <c r="A3203" s="15"/>
      <c r="B3203" s="92" t="str">
        <f t="shared" si="366"/>
        <v/>
      </c>
      <c r="C3203" s="90"/>
      <c r="D3203" s="87"/>
      <c r="E3203" s="88"/>
      <c r="F3203" s="173"/>
      <c r="G3203" s="88"/>
      <c r="H3203" s="88"/>
      <c r="I3203" s="88"/>
      <c r="J3203" s="88"/>
      <c r="K3203" s="230"/>
      <c r="L3203" s="88"/>
      <c r="M3203" s="88"/>
      <c r="N3203" s="88"/>
      <c r="O3203" s="88"/>
      <c r="P3203" s="88"/>
      <c r="Q3203" s="88"/>
      <c r="R3203" s="88"/>
      <c r="S3203" s="620"/>
      <c r="T3203" s="92"/>
      <c r="U3203" s="1214"/>
      <c r="V3203" s="1215"/>
      <c r="W3203" s="168"/>
      <c r="X3203" s="170"/>
    </row>
    <row r="3204" spans="1:24" ht="12.75" customHeight="1">
      <c r="A3204" s="15"/>
      <c r="B3204" s="92" t="str">
        <f t="shared" si="366"/>
        <v/>
      </c>
      <c r="C3204" s="90"/>
      <c r="D3204" s="87"/>
      <c r="E3204" s="88"/>
      <c r="F3204" s="173"/>
      <c r="G3204" s="88"/>
      <c r="H3204" s="88"/>
      <c r="I3204" s="88"/>
      <c r="J3204" s="88"/>
      <c r="K3204" s="230"/>
      <c r="L3204" s="88"/>
      <c r="M3204" s="88"/>
      <c r="N3204" s="88"/>
      <c r="O3204" s="88"/>
      <c r="P3204" s="88"/>
      <c r="Q3204" s="88"/>
      <c r="R3204" s="88"/>
      <c r="S3204" s="620"/>
      <c r="T3204" s="92"/>
      <c r="U3204" s="1214"/>
      <c r="V3204" s="1215"/>
      <c r="W3204" s="168"/>
      <c r="X3204" s="170"/>
    </row>
    <row r="3205" spans="1:24" ht="12.75" customHeight="1">
      <c r="A3205" s="15"/>
      <c r="B3205" s="92" t="str">
        <f t="shared" si="366"/>
        <v/>
      </c>
      <c r="C3205" s="90"/>
      <c r="D3205" s="87"/>
      <c r="E3205" s="88"/>
      <c r="F3205" s="173"/>
      <c r="G3205" s="88"/>
      <c r="H3205" s="88"/>
      <c r="I3205" s="88"/>
      <c r="J3205" s="88"/>
      <c r="K3205" s="230"/>
      <c r="L3205" s="88"/>
      <c r="M3205" s="88"/>
      <c r="N3205" s="88"/>
      <c r="O3205" s="88"/>
      <c r="P3205" s="88"/>
      <c r="Q3205" s="88"/>
      <c r="R3205" s="88"/>
      <c r="S3205" s="620"/>
      <c r="T3205" s="92"/>
      <c r="U3205" s="1214"/>
      <c r="V3205" s="1215"/>
      <c r="W3205" s="168"/>
      <c r="X3205" s="170"/>
    </row>
    <row r="3206" spans="1:24" ht="12.75" customHeight="1">
      <c r="A3206" s="15"/>
      <c r="B3206" s="92" t="str">
        <f t="shared" si="366"/>
        <v/>
      </c>
      <c r="C3206" s="90"/>
      <c r="D3206" s="87"/>
      <c r="E3206" s="88"/>
      <c r="F3206" s="173"/>
      <c r="G3206" s="88"/>
      <c r="H3206" s="88"/>
      <c r="I3206" s="88"/>
      <c r="J3206" s="88"/>
      <c r="K3206" s="230"/>
      <c r="L3206" s="88"/>
      <c r="M3206" s="88"/>
      <c r="N3206" s="88"/>
      <c r="O3206" s="88"/>
      <c r="P3206" s="88"/>
      <c r="Q3206" s="88"/>
      <c r="R3206" s="88"/>
      <c r="S3206" s="620"/>
      <c r="T3206" s="92"/>
      <c r="U3206" s="1214"/>
      <c r="V3206" s="1215"/>
      <c r="W3206" s="168"/>
      <c r="X3206" s="170"/>
    </row>
    <row r="3207" spans="1:24" ht="12.75" customHeight="1">
      <c r="A3207" s="15"/>
      <c r="B3207" s="92" t="str">
        <f t="shared" si="366"/>
        <v/>
      </c>
      <c r="C3207" s="90"/>
      <c r="D3207" s="87"/>
      <c r="E3207" s="88"/>
      <c r="F3207" s="173"/>
      <c r="G3207" s="88"/>
      <c r="H3207" s="88"/>
      <c r="I3207" s="88"/>
      <c r="J3207" s="88"/>
      <c r="K3207" s="230"/>
      <c r="L3207" s="88"/>
      <c r="M3207" s="88"/>
      <c r="N3207" s="88"/>
      <c r="O3207" s="88"/>
      <c r="P3207" s="88"/>
      <c r="Q3207" s="88"/>
      <c r="R3207" s="88"/>
      <c r="S3207" s="620"/>
      <c r="T3207" s="92"/>
      <c r="U3207" s="1214"/>
      <c r="V3207" s="1215"/>
      <c r="W3207" s="168"/>
      <c r="X3207" s="170"/>
    </row>
    <row r="3208" spans="1:24" ht="12.75" customHeight="1">
      <c r="A3208" s="15"/>
      <c r="B3208" s="92" t="str">
        <f t="shared" si="366"/>
        <v/>
      </c>
      <c r="C3208" s="90"/>
      <c r="D3208" s="87"/>
      <c r="E3208" s="88"/>
      <c r="F3208" s="173"/>
      <c r="G3208" s="88"/>
      <c r="H3208" s="88"/>
      <c r="I3208" s="88"/>
      <c r="J3208" s="88"/>
      <c r="K3208" s="230"/>
      <c r="L3208" s="88"/>
      <c r="M3208" s="88"/>
      <c r="N3208" s="88"/>
      <c r="O3208" s="88"/>
      <c r="P3208" s="88"/>
      <c r="Q3208" s="88"/>
      <c r="R3208" s="88"/>
      <c r="S3208" s="620"/>
      <c r="T3208" s="92"/>
      <c r="U3208" s="1214"/>
      <c r="V3208" s="1215"/>
      <c r="W3208" s="168"/>
      <c r="X3208" s="170"/>
    </row>
    <row r="3209" spans="1:24" ht="12.75" customHeight="1">
      <c r="A3209" s="15"/>
      <c r="B3209" s="92" t="str">
        <f t="shared" si="366"/>
        <v/>
      </c>
      <c r="C3209" s="90"/>
      <c r="D3209" s="87"/>
      <c r="E3209" s="88"/>
      <c r="F3209" s="173"/>
      <c r="G3209" s="88"/>
      <c r="H3209" s="88"/>
      <c r="I3209" s="88"/>
      <c r="J3209" s="88"/>
      <c r="K3209" s="230"/>
      <c r="L3209" s="88"/>
      <c r="M3209" s="88"/>
      <c r="N3209" s="88"/>
      <c r="O3209" s="88"/>
      <c r="P3209" s="88"/>
      <c r="Q3209" s="88"/>
      <c r="R3209" s="88"/>
      <c r="S3209" s="620"/>
      <c r="T3209" s="92"/>
      <c r="U3209" s="1214"/>
      <c r="V3209" s="1215"/>
      <c r="W3209" s="168"/>
      <c r="X3209" s="170"/>
    </row>
    <row r="3210" spans="1:24" ht="12.75" customHeight="1">
      <c r="A3210" s="15"/>
      <c r="B3210" s="92" t="str">
        <f t="shared" si="366"/>
        <v/>
      </c>
      <c r="C3210" s="90"/>
      <c r="D3210" s="87"/>
      <c r="E3210" s="88"/>
      <c r="F3210" s="173"/>
      <c r="G3210" s="88"/>
      <c r="H3210" s="88"/>
      <c r="I3210" s="88"/>
      <c r="J3210" s="88"/>
      <c r="K3210" s="230"/>
      <c r="L3210" s="88"/>
      <c r="M3210" s="88"/>
      <c r="N3210" s="88"/>
      <c r="O3210" s="88"/>
      <c r="P3210" s="88"/>
      <c r="Q3210" s="88"/>
      <c r="R3210" s="88"/>
      <c r="S3210" s="620"/>
      <c r="T3210" s="92"/>
      <c r="U3210" s="1214"/>
      <c r="V3210" s="1215"/>
      <c r="W3210" s="168"/>
      <c r="X3210" s="170"/>
    </row>
    <row r="3211" spans="1:24" ht="12.75" customHeight="1">
      <c r="A3211" s="15"/>
      <c r="B3211" s="92" t="str">
        <f t="shared" si="366"/>
        <v/>
      </c>
      <c r="C3211" s="90"/>
      <c r="D3211" s="87"/>
      <c r="E3211" s="88"/>
      <c r="F3211" s="173"/>
      <c r="G3211" s="88"/>
      <c r="H3211" s="88"/>
      <c r="I3211" s="88"/>
      <c r="J3211" s="88"/>
      <c r="K3211" s="230"/>
      <c r="L3211" s="88"/>
      <c r="M3211" s="88"/>
      <c r="N3211" s="88"/>
      <c r="O3211" s="88"/>
      <c r="P3211" s="88"/>
      <c r="Q3211" s="88"/>
      <c r="R3211" s="88"/>
      <c r="S3211" s="620"/>
      <c r="T3211" s="92"/>
      <c r="U3211" s="1214"/>
      <c r="V3211" s="1215"/>
      <c r="W3211" s="168"/>
      <c r="X3211" s="170"/>
    </row>
    <row r="3212" spans="1:24" ht="12.75" customHeight="1">
      <c r="A3212" s="15"/>
      <c r="B3212" s="92" t="str">
        <f t="shared" si="366"/>
        <v/>
      </c>
      <c r="C3212" s="90"/>
      <c r="D3212" s="87"/>
      <c r="E3212" s="88"/>
      <c r="F3212" s="173"/>
      <c r="G3212" s="88"/>
      <c r="H3212" s="88"/>
      <c r="I3212" s="88"/>
      <c r="J3212" s="88"/>
      <c r="K3212" s="230"/>
      <c r="L3212" s="88"/>
      <c r="M3212" s="88"/>
      <c r="N3212" s="88"/>
      <c r="O3212" s="88"/>
      <c r="P3212" s="88"/>
      <c r="Q3212" s="88"/>
      <c r="R3212" s="88"/>
      <c r="S3212" s="620"/>
      <c r="T3212" s="92"/>
      <c r="U3212" s="1214"/>
      <c r="V3212" s="1215"/>
      <c r="W3212" s="168"/>
      <c r="X3212" s="170"/>
    </row>
    <row r="3213" spans="1:24" ht="12.75" customHeight="1">
      <c r="A3213" s="15"/>
      <c r="B3213" s="92" t="str">
        <f t="shared" si="366"/>
        <v/>
      </c>
      <c r="C3213" s="90"/>
      <c r="D3213" s="87"/>
      <c r="E3213" s="88"/>
      <c r="F3213" s="173"/>
      <c r="G3213" s="88"/>
      <c r="H3213" s="88"/>
      <c r="I3213" s="88"/>
      <c r="J3213" s="88"/>
      <c r="K3213" s="230"/>
      <c r="L3213" s="88"/>
      <c r="M3213" s="88"/>
      <c r="N3213" s="88"/>
      <c r="O3213" s="88"/>
      <c r="P3213" s="88"/>
      <c r="Q3213" s="88"/>
      <c r="R3213" s="88"/>
      <c r="S3213" s="620"/>
      <c r="T3213" s="92"/>
      <c r="U3213" s="1214"/>
      <c r="V3213" s="1215"/>
      <c r="W3213" s="168"/>
      <c r="X3213" s="170"/>
    </row>
    <row r="3214" spans="1:24" ht="12.75" customHeight="1">
      <c r="A3214" s="15"/>
      <c r="B3214" s="92" t="str">
        <f t="shared" si="366"/>
        <v/>
      </c>
      <c r="C3214" s="90"/>
      <c r="D3214" s="87"/>
      <c r="E3214" s="88"/>
      <c r="F3214" s="173"/>
      <c r="G3214" s="88"/>
      <c r="H3214" s="88"/>
      <c r="I3214" s="88"/>
      <c r="J3214" s="88"/>
      <c r="K3214" s="230"/>
      <c r="L3214" s="88"/>
      <c r="M3214" s="88"/>
      <c r="N3214" s="88"/>
      <c r="O3214" s="88"/>
      <c r="P3214" s="88"/>
      <c r="Q3214" s="88"/>
      <c r="R3214" s="88"/>
      <c r="S3214" s="620"/>
      <c r="T3214" s="92"/>
      <c r="U3214" s="1214"/>
      <c r="V3214" s="1215"/>
      <c r="W3214" s="168"/>
      <c r="X3214" s="170"/>
    </row>
    <row r="3215" spans="1:24" ht="12.75" customHeight="1">
      <c r="A3215" s="15"/>
      <c r="B3215" s="92" t="str">
        <f t="shared" si="366"/>
        <v/>
      </c>
      <c r="C3215" s="90"/>
      <c r="D3215" s="87"/>
      <c r="E3215" s="88"/>
      <c r="F3215" s="173"/>
      <c r="G3215" s="88"/>
      <c r="H3215" s="88"/>
      <c r="I3215" s="88"/>
      <c r="J3215" s="88"/>
      <c r="K3215" s="230"/>
      <c r="L3215" s="88"/>
      <c r="M3215" s="88"/>
      <c r="N3215" s="88"/>
      <c r="O3215" s="88"/>
      <c r="P3215" s="88"/>
      <c r="Q3215" s="88"/>
      <c r="R3215" s="88"/>
      <c r="S3215" s="620"/>
      <c r="T3215" s="92"/>
      <c r="U3215" s="1214"/>
      <c r="V3215" s="1215"/>
      <c r="W3215" s="168"/>
      <c r="X3215" s="170"/>
    </row>
    <row r="3216" spans="1:24" ht="12.75" customHeight="1">
      <c r="A3216" s="15"/>
      <c r="B3216" s="92" t="str">
        <f t="shared" si="366"/>
        <v/>
      </c>
      <c r="C3216" s="90"/>
      <c r="D3216" s="87"/>
      <c r="E3216" s="88"/>
      <c r="F3216" s="173"/>
      <c r="G3216" s="88"/>
      <c r="H3216" s="88"/>
      <c r="I3216" s="88"/>
      <c r="J3216" s="88"/>
      <c r="K3216" s="230"/>
      <c r="L3216" s="88"/>
      <c r="M3216" s="88"/>
      <c r="N3216" s="88"/>
      <c r="O3216" s="88"/>
      <c r="P3216" s="88"/>
      <c r="Q3216" s="88"/>
      <c r="R3216" s="88"/>
      <c r="S3216" s="620"/>
      <c r="T3216" s="92"/>
      <c r="U3216" s="1214"/>
      <c r="V3216" s="1215"/>
      <c r="W3216" s="168"/>
      <c r="X3216" s="170"/>
    </row>
    <row r="3217" spans="1:24" ht="12.75" customHeight="1">
      <c r="A3217" s="15"/>
      <c r="B3217" s="92" t="str">
        <f t="shared" si="366"/>
        <v/>
      </c>
      <c r="C3217" s="90"/>
      <c r="D3217" s="87"/>
      <c r="E3217" s="88"/>
      <c r="F3217" s="173"/>
      <c r="G3217" s="88"/>
      <c r="H3217" s="88"/>
      <c r="I3217" s="88"/>
      <c r="J3217" s="88"/>
      <c r="K3217" s="230"/>
      <c r="L3217" s="88"/>
      <c r="M3217" s="88"/>
      <c r="N3217" s="88"/>
      <c r="O3217" s="88"/>
      <c r="P3217" s="88"/>
      <c r="Q3217" s="88"/>
      <c r="R3217" s="88"/>
      <c r="S3217" s="620"/>
      <c r="T3217" s="92"/>
      <c r="U3217" s="1214"/>
      <c r="V3217" s="1215"/>
      <c r="W3217" s="168"/>
      <c r="X3217" s="170"/>
    </row>
    <row r="3218" spans="1:24" ht="12.75" customHeight="1">
      <c r="A3218" s="15"/>
      <c r="B3218" s="92" t="str">
        <f t="shared" si="366"/>
        <v/>
      </c>
      <c r="C3218" s="90"/>
      <c r="D3218" s="87"/>
      <c r="E3218" s="88"/>
      <c r="F3218" s="173"/>
      <c r="G3218" s="88"/>
      <c r="H3218" s="88"/>
      <c r="I3218" s="88"/>
      <c r="J3218" s="88"/>
      <c r="K3218" s="230"/>
      <c r="L3218" s="88"/>
      <c r="M3218" s="88"/>
      <c r="N3218" s="88"/>
      <c r="O3218" s="88"/>
      <c r="P3218" s="88"/>
      <c r="Q3218" s="88"/>
      <c r="R3218" s="88"/>
      <c r="S3218" s="620"/>
      <c r="T3218" s="92"/>
      <c r="U3218" s="1214"/>
      <c r="V3218" s="1215"/>
      <c r="W3218" s="168"/>
      <c r="X3218" s="170"/>
    </row>
    <row r="3219" spans="1:24" ht="12.75" customHeight="1">
      <c r="A3219" s="15"/>
      <c r="B3219" s="92" t="str">
        <f t="shared" si="366"/>
        <v/>
      </c>
      <c r="C3219" s="90"/>
      <c r="D3219" s="87"/>
      <c r="E3219" s="88"/>
      <c r="F3219" s="173"/>
      <c r="G3219" s="88"/>
      <c r="H3219" s="88"/>
      <c r="I3219" s="88"/>
      <c r="J3219" s="88"/>
      <c r="K3219" s="230"/>
      <c r="L3219" s="88"/>
      <c r="M3219" s="88"/>
      <c r="N3219" s="88"/>
      <c r="O3219" s="88"/>
      <c r="P3219" s="88"/>
      <c r="Q3219" s="88"/>
      <c r="R3219" s="88"/>
      <c r="S3219" s="620"/>
      <c r="T3219" s="92"/>
      <c r="U3219" s="1214"/>
      <c r="V3219" s="1215"/>
      <c r="W3219" s="168"/>
      <c r="X3219" s="170"/>
    </row>
    <row r="3220" spans="1:24" ht="12.75" customHeight="1">
      <c r="A3220" s="15"/>
      <c r="B3220" s="92" t="str">
        <f t="shared" si="366"/>
        <v/>
      </c>
      <c r="C3220" s="90"/>
      <c r="D3220" s="87"/>
      <c r="E3220" s="88"/>
      <c r="F3220" s="173"/>
      <c r="G3220" s="88"/>
      <c r="H3220" s="88"/>
      <c r="I3220" s="88"/>
      <c r="J3220" s="88"/>
      <c r="K3220" s="230"/>
      <c r="L3220" s="88"/>
      <c r="M3220" s="88"/>
      <c r="N3220" s="88"/>
      <c r="O3220" s="88"/>
      <c r="P3220" s="88"/>
      <c r="Q3220" s="88"/>
      <c r="R3220" s="88"/>
      <c r="S3220" s="620"/>
      <c r="T3220" s="92"/>
      <c r="U3220" s="1214"/>
      <c r="V3220" s="1215"/>
      <c r="W3220" s="168"/>
      <c r="X3220" s="170"/>
    </row>
    <row r="3221" spans="1:24" ht="12.75" customHeight="1">
      <c r="A3221" s="15"/>
      <c r="B3221" s="92" t="str">
        <f t="shared" si="366"/>
        <v/>
      </c>
      <c r="C3221" s="90"/>
      <c r="D3221" s="87"/>
      <c r="E3221" s="88"/>
      <c r="F3221" s="173"/>
      <c r="G3221" s="88"/>
      <c r="H3221" s="88"/>
      <c r="I3221" s="88"/>
      <c r="J3221" s="88"/>
      <c r="K3221" s="230"/>
      <c r="L3221" s="88"/>
      <c r="M3221" s="88"/>
      <c r="N3221" s="88"/>
      <c r="O3221" s="88"/>
      <c r="P3221" s="88"/>
      <c r="Q3221" s="88"/>
      <c r="R3221" s="88"/>
      <c r="S3221" s="620"/>
      <c r="T3221" s="92"/>
      <c r="U3221" s="1214"/>
      <c r="V3221" s="1215"/>
      <c r="W3221" s="168"/>
      <c r="X3221" s="170"/>
    </row>
    <row r="3222" spans="1:24" ht="12.75" customHeight="1">
      <c r="A3222" s="15"/>
      <c r="B3222" s="92" t="str">
        <f t="shared" si="366"/>
        <v/>
      </c>
      <c r="C3222" s="90"/>
      <c r="D3222" s="87"/>
      <c r="E3222" s="88"/>
      <c r="F3222" s="173"/>
      <c r="G3222" s="88"/>
      <c r="H3222" s="88"/>
      <c r="I3222" s="88"/>
      <c r="J3222" s="88"/>
      <c r="K3222" s="230"/>
      <c r="L3222" s="88"/>
      <c r="M3222" s="88"/>
      <c r="N3222" s="88"/>
      <c r="O3222" s="88"/>
      <c r="P3222" s="88"/>
      <c r="Q3222" s="88"/>
      <c r="R3222" s="88"/>
      <c r="S3222" s="620"/>
      <c r="T3222" s="92"/>
      <c r="U3222" s="1214"/>
      <c r="V3222" s="1215"/>
      <c r="W3222" s="168"/>
      <c r="X3222" s="170"/>
    </row>
    <row r="3223" spans="1:24" ht="12.75" customHeight="1">
      <c r="A3223" s="15"/>
      <c r="B3223" s="92" t="str">
        <f t="shared" si="366"/>
        <v/>
      </c>
      <c r="C3223" s="90"/>
      <c r="D3223" s="87"/>
      <c r="E3223" s="88"/>
      <c r="F3223" s="173"/>
      <c r="G3223" s="88"/>
      <c r="H3223" s="88"/>
      <c r="I3223" s="88"/>
      <c r="J3223" s="88"/>
      <c r="K3223" s="230"/>
      <c r="L3223" s="88"/>
      <c r="M3223" s="88"/>
      <c r="N3223" s="88"/>
      <c r="O3223" s="88"/>
      <c r="P3223" s="88"/>
      <c r="Q3223" s="88"/>
      <c r="R3223" s="88"/>
      <c r="S3223" s="620"/>
      <c r="T3223" s="92"/>
      <c r="U3223" s="1214"/>
      <c r="V3223" s="1215"/>
      <c r="W3223" s="168"/>
      <c r="X3223" s="170"/>
    </row>
    <row r="3224" spans="1:24" ht="12.75" customHeight="1">
      <c r="A3224" s="15"/>
      <c r="B3224" s="92" t="str">
        <f t="shared" si="366"/>
        <v/>
      </c>
      <c r="C3224" s="90"/>
      <c r="D3224" s="87"/>
      <c r="E3224" s="88"/>
      <c r="F3224" s="173"/>
      <c r="G3224" s="88"/>
      <c r="H3224" s="88"/>
      <c r="I3224" s="88"/>
      <c r="J3224" s="88"/>
      <c r="K3224" s="230"/>
      <c r="L3224" s="88"/>
      <c r="M3224" s="88"/>
      <c r="N3224" s="88"/>
      <c r="O3224" s="88"/>
      <c r="P3224" s="88"/>
      <c r="Q3224" s="88"/>
      <c r="R3224" s="88"/>
      <c r="S3224" s="620"/>
      <c r="T3224" s="92"/>
      <c r="U3224" s="1214"/>
      <c r="V3224" s="1215"/>
      <c r="W3224" s="168"/>
      <c r="X3224" s="170"/>
    </row>
    <row r="3225" spans="1:24" ht="12.75" customHeight="1">
      <c r="A3225" s="15"/>
      <c r="B3225" s="92" t="str">
        <f t="shared" si="366"/>
        <v/>
      </c>
      <c r="C3225" s="90"/>
      <c r="D3225" s="87"/>
      <c r="E3225" s="88"/>
      <c r="F3225" s="173"/>
      <c r="G3225" s="88"/>
      <c r="H3225" s="88"/>
      <c r="I3225" s="88"/>
      <c r="J3225" s="88"/>
      <c r="K3225" s="230"/>
      <c r="L3225" s="88"/>
      <c r="M3225" s="88"/>
      <c r="N3225" s="88"/>
      <c r="O3225" s="88"/>
      <c r="P3225" s="88"/>
      <c r="Q3225" s="88"/>
      <c r="R3225" s="88"/>
      <c r="S3225" s="620"/>
      <c r="T3225" s="92"/>
      <c r="U3225" s="1214"/>
      <c r="V3225" s="1215"/>
      <c r="W3225" s="168"/>
      <c r="X3225" s="170"/>
    </row>
    <row r="3226" spans="1:24" ht="12.75" customHeight="1">
      <c r="A3226" s="15"/>
      <c r="B3226" s="92" t="str">
        <f t="shared" si="366"/>
        <v/>
      </c>
      <c r="C3226" s="90"/>
      <c r="D3226" s="87"/>
      <c r="E3226" s="88"/>
      <c r="F3226" s="173"/>
      <c r="G3226" s="88"/>
      <c r="H3226" s="88"/>
      <c r="I3226" s="88"/>
      <c r="J3226" s="88"/>
      <c r="K3226" s="230"/>
      <c r="L3226" s="88"/>
      <c r="M3226" s="88"/>
      <c r="N3226" s="88"/>
      <c r="O3226" s="88"/>
      <c r="P3226" s="88"/>
      <c r="Q3226" s="88"/>
      <c r="R3226" s="88"/>
      <c r="S3226" s="620"/>
      <c r="T3226" s="92"/>
      <c r="U3226" s="1214"/>
      <c r="V3226" s="1215"/>
      <c r="W3226" s="168"/>
      <c r="X3226" s="170"/>
    </row>
    <row r="3227" spans="1:24" ht="12.75" customHeight="1">
      <c r="A3227" s="15"/>
      <c r="B3227" s="92" t="str">
        <f t="shared" si="366"/>
        <v/>
      </c>
      <c r="C3227" s="90"/>
      <c r="D3227" s="87"/>
      <c r="E3227" s="88"/>
      <c r="F3227" s="173"/>
      <c r="G3227" s="88"/>
      <c r="H3227" s="88"/>
      <c r="I3227" s="88"/>
      <c r="J3227" s="88"/>
      <c r="K3227" s="230"/>
      <c r="L3227" s="88"/>
      <c r="M3227" s="88"/>
      <c r="N3227" s="88"/>
      <c r="O3227" s="88"/>
      <c r="P3227" s="88"/>
      <c r="Q3227" s="88"/>
      <c r="R3227" s="88"/>
      <c r="S3227" s="620"/>
      <c r="T3227" s="92"/>
      <c r="U3227" s="1214"/>
      <c r="V3227" s="1215"/>
      <c r="W3227" s="168"/>
      <c r="X3227" s="170"/>
    </row>
    <row r="3228" spans="1:24" ht="12.75" customHeight="1">
      <c r="A3228" s="15"/>
      <c r="B3228" s="92" t="str">
        <f t="shared" si="366"/>
        <v/>
      </c>
      <c r="C3228" s="90"/>
      <c r="D3228" s="87"/>
      <c r="E3228" s="88"/>
      <c r="F3228" s="173"/>
      <c r="G3228" s="88"/>
      <c r="H3228" s="88"/>
      <c r="I3228" s="88"/>
      <c r="J3228" s="88"/>
      <c r="K3228" s="230"/>
      <c r="L3228" s="88"/>
      <c r="M3228" s="88"/>
      <c r="N3228" s="88"/>
      <c r="O3228" s="88"/>
      <c r="P3228" s="88"/>
      <c r="Q3228" s="88"/>
      <c r="R3228" s="88"/>
      <c r="S3228" s="620"/>
      <c r="T3228" s="92"/>
      <c r="U3228" s="1214"/>
      <c r="V3228" s="1215"/>
      <c r="W3228" s="168"/>
      <c r="X3228" s="170"/>
    </row>
    <row r="3229" spans="1:24" ht="12.75" customHeight="1">
      <c r="A3229" s="15"/>
      <c r="B3229" s="92" t="str">
        <f t="shared" si="366"/>
        <v/>
      </c>
      <c r="C3229" s="90"/>
      <c r="D3229" s="87"/>
      <c r="E3229" s="88"/>
      <c r="F3229" s="173"/>
      <c r="G3229" s="88"/>
      <c r="H3229" s="88"/>
      <c r="I3229" s="88"/>
      <c r="J3229" s="88"/>
      <c r="K3229" s="230"/>
      <c r="L3229" s="88"/>
      <c r="M3229" s="88"/>
      <c r="N3229" s="88"/>
      <c r="O3229" s="88"/>
      <c r="P3229" s="88"/>
      <c r="Q3229" s="88"/>
      <c r="R3229" s="88"/>
      <c r="S3229" s="620"/>
      <c r="T3229" s="92"/>
      <c r="U3229" s="1214"/>
      <c r="V3229" s="1215"/>
      <c r="W3229" s="168"/>
      <c r="X3229" s="170"/>
    </row>
    <row r="3230" spans="1:24" ht="12.75" customHeight="1">
      <c r="A3230" s="15"/>
      <c r="B3230" s="92" t="str">
        <f t="shared" si="366"/>
        <v/>
      </c>
      <c r="C3230" s="90"/>
      <c r="D3230" s="87"/>
      <c r="E3230" s="88"/>
      <c r="F3230" s="173"/>
      <c r="G3230" s="88"/>
      <c r="H3230" s="88"/>
      <c r="I3230" s="88"/>
      <c r="J3230" s="88"/>
      <c r="K3230" s="230"/>
      <c r="L3230" s="88"/>
      <c r="M3230" s="88"/>
      <c r="N3230" s="88"/>
      <c r="O3230" s="88"/>
      <c r="P3230" s="88"/>
      <c r="Q3230" s="88"/>
      <c r="R3230" s="88"/>
      <c r="S3230" s="620"/>
      <c r="T3230" s="92"/>
      <c r="U3230" s="1214"/>
      <c r="V3230" s="1215"/>
      <c r="W3230" s="168"/>
      <c r="X3230" s="170"/>
    </row>
    <row r="3231" spans="1:24" ht="12.75" customHeight="1">
      <c r="A3231" s="15"/>
      <c r="B3231" s="92" t="str">
        <f t="shared" si="366"/>
        <v/>
      </c>
      <c r="C3231" s="90"/>
      <c r="D3231" s="87"/>
      <c r="E3231" s="88"/>
      <c r="F3231" s="173"/>
      <c r="G3231" s="88"/>
      <c r="H3231" s="88"/>
      <c r="I3231" s="88"/>
      <c r="J3231" s="88"/>
      <c r="K3231" s="230"/>
      <c r="L3231" s="88"/>
      <c r="M3231" s="88"/>
      <c r="N3231" s="88"/>
      <c r="O3231" s="88"/>
      <c r="P3231" s="88"/>
      <c r="Q3231" s="88"/>
      <c r="R3231" s="88"/>
      <c r="S3231" s="620"/>
      <c r="T3231" s="92"/>
      <c r="U3231" s="1214"/>
      <c r="V3231" s="1215"/>
      <c r="W3231" s="168"/>
      <c r="X3231" s="170"/>
    </row>
    <row r="3232" spans="1:24" ht="12.75" customHeight="1">
      <c r="A3232" s="15"/>
      <c r="B3232" s="92" t="str">
        <f t="shared" si="366"/>
        <v/>
      </c>
      <c r="C3232" s="90"/>
      <c r="D3232" s="87"/>
      <c r="E3232" s="88"/>
      <c r="F3232" s="173"/>
      <c r="G3232" s="88"/>
      <c r="H3232" s="88"/>
      <c r="I3232" s="88"/>
      <c r="J3232" s="88"/>
      <c r="K3232" s="230"/>
      <c r="L3232" s="88"/>
      <c r="M3232" s="88"/>
      <c r="N3232" s="88"/>
      <c r="O3232" s="88"/>
      <c r="P3232" s="88"/>
      <c r="Q3232" s="88"/>
      <c r="R3232" s="88"/>
      <c r="S3232" s="620"/>
      <c r="T3232" s="92"/>
      <c r="U3232" s="1214"/>
      <c r="V3232" s="1215"/>
      <c r="W3232" s="168"/>
      <c r="X3232" s="170"/>
    </row>
    <row r="3233" spans="1:24" ht="12.75" customHeight="1">
      <c r="A3233" s="15"/>
      <c r="B3233" s="92" t="str">
        <f t="shared" si="366"/>
        <v/>
      </c>
      <c r="C3233" s="90"/>
      <c r="D3233" s="87"/>
      <c r="E3233" s="88"/>
      <c r="F3233" s="173"/>
      <c r="G3233" s="88"/>
      <c r="H3233" s="88"/>
      <c r="I3233" s="88"/>
      <c r="J3233" s="88"/>
      <c r="K3233" s="230"/>
      <c r="L3233" s="88"/>
      <c r="M3233" s="88"/>
      <c r="N3233" s="88"/>
      <c r="O3233" s="88"/>
      <c r="P3233" s="88"/>
      <c r="Q3233" s="88"/>
      <c r="R3233" s="88"/>
      <c r="S3233" s="620"/>
      <c r="T3233" s="92"/>
      <c r="U3233" s="1214"/>
      <c r="V3233" s="1215"/>
      <c r="W3233" s="168"/>
      <c r="X3233" s="170"/>
    </row>
    <row r="3234" spans="1:24" ht="12.75" customHeight="1">
      <c r="A3234" s="15"/>
      <c r="B3234" s="92" t="str">
        <f t="shared" si="366"/>
        <v/>
      </c>
      <c r="C3234" s="90"/>
      <c r="D3234" s="87"/>
      <c r="E3234" s="88"/>
      <c r="F3234" s="173"/>
      <c r="G3234" s="88"/>
      <c r="H3234" s="88"/>
      <c r="I3234" s="88"/>
      <c r="J3234" s="88"/>
      <c r="K3234" s="230"/>
      <c r="L3234" s="88"/>
      <c r="M3234" s="88"/>
      <c r="N3234" s="88"/>
      <c r="O3234" s="88"/>
      <c r="P3234" s="88"/>
      <c r="Q3234" s="88"/>
      <c r="R3234" s="88"/>
      <c r="S3234" s="620"/>
      <c r="T3234" s="92"/>
      <c r="U3234" s="1214"/>
      <c r="V3234" s="1215"/>
      <c r="W3234" s="168"/>
      <c r="X3234" s="170"/>
    </row>
    <row r="3235" spans="1:24" ht="12.75" customHeight="1">
      <c r="A3235" s="15"/>
      <c r="B3235" s="92" t="str">
        <f t="shared" si="366"/>
        <v/>
      </c>
      <c r="C3235" s="90"/>
      <c r="D3235" s="87"/>
      <c r="E3235" s="88"/>
      <c r="F3235" s="173"/>
      <c r="G3235" s="88"/>
      <c r="H3235" s="88"/>
      <c r="I3235" s="88"/>
      <c r="J3235" s="88"/>
      <c r="K3235" s="230"/>
      <c r="L3235" s="88"/>
      <c r="M3235" s="88"/>
      <c r="N3235" s="88"/>
      <c r="O3235" s="88"/>
      <c r="P3235" s="88"/>
      <c r="Q3235" s="88"/>
      <c r="R3235" s="88"/>
      <c r="S3235" s="620"/>
      <c r="T3235" s="92"/>
      <c r="U3235" s="1214"/>
      <c r="V3235" s="1215"/>
      <c r="W3235" s="168"/>
      <c r="X3235" s="170"/>
    </row>
    <row r="3236" spans="1:24" ht="12.75" customHeight="1">
      <c r="A3236" s="15"/>
      <c r="B3236" s="92" t="str">
        <f t="shared" si="366"/>
        <v/>
      </c>
      <c r="C3236" s="90"/>
      <c r="D3236" s="87"/>
      <c r="E3236" s="88"/>
      <c r="F3236" s="173"/>
      <c r="G3236" s="88"/>
      <c r="H3236" s="88"/>
      <c r="I3236" s="88"/>
      <c r="J3236" s="88"/>
      <c r="K3236" s="230"/>
      <c r="L3236" s="88"/>
      <c r="M3236" s="88"/>
      <c r="N3236" s="88"/>
      <c r="O3236" s="88"/>
      <c r="P3236" s="88"/>
      <c r="Q3236" s="88"/>
      <c r="R3236" s="88"/>
      <c r="S3236" s="620"/>
      <c r="T3236" s="92"/>
      <c r="U3236" s="1214"/>
      <c r="V3236" s="1215"/>
      <c r="W3236" s="168"/>
      <c r="X3236" s="170"/>
    </row>
    <row r="3237" spans="1:24" ht="12.75" customHeight="1">
      <c r="A3237" s="15"/>
      <c r="B3237" s="92" t="str">
        <f t="shared" si="366"/>
        <v/>
      </c>
      <c r="C3237" s="90"/>
      <c r="D3237" s="87"/>
      <c r="E3237" s="88"/>
      <c r="F3237" s="173"/>
      <c r="G3237" s="88"/>
      <c r="H3237" s="88"/>
      <c r="I3237" s="88"/>
      <c r="J3237" s="88"/>
      <c r="K3237" s="230"/>
      <c r="L3237" s="88"/>
      <c r="M3237" s="88"/>
      <c r="N3237" s="88"/>
      <c r="O3237" s="88"/>
      <c r="P3237" s="88"/>
      <c r="Q3237" s="88"/>
      <c r="R3237" s="88"/>
      <c r="S3237" s="620"/>
      <c r="T3237" s="92"/>
      <c r="U3237" s="1214"/>
      <c r="V3237" s="1215"/>
      <c r="W3237" s="168"/>
      <c r="X3237" s="170"/>
    </row>
    <row r="3238" spans="1:24" ht="12.75" customHeight="1">
      <c r="A3238" s="15"/>
      <c r="B3238" s="92" t="str">
        <f t="shared" si="366"/>
        <v/>
      </c>
      <c r="C3238" s="90"/>
      <c r="D3238" s="87"/>
      <c r="E3238" s="88"/>
      <c r="F3238" s="173"/>
      <c r="G3238" s="88"/>
      <c r="H3238" s="88"/>
      <c r="I3238" s="88"/>
      <c r="J3238" s="88"/>
      <c r="K3238" s="230"/>
      <c r="L3238" s="88"/>
      <c r="M3238" s="88"/>
      <c r="N3238" s="88"/>
      <c r="O3238" s="88"/>
      <c r="P3238" s="88"/>
      <c r="Q3238" s="88"/>
      <c r="R3238" s="88"/>
      <c r="S3238" s="620"/>
      <c r="T3238" s="92"/>
      <c r="U3238" s="1214"/>
      <c r="V3238" s="1215"/>
      <c r="W3238" s="168"/>
      <c r="X3238" s="170"/>
    </row>
    <row r="3239" spans="1:24" ht="12.75" customHeight="1">
      <c r="A3239" s="15"/>
      <c r="B3239" s="92" t="str">
        <f t="shared" si="366"/>
        <v/>
      </c>
      <c r="C3239" s="90"/>
      <c r="D3239" s="87"/>
      <c r="E3239" s="88"/>
      <c r="F3239" s="173"/>
      <c r="G3239" s="88"/>
      <c r="H3239" s="88"/>
      <c r="I3239" s="88"/>
      <c r="J3239" s="88"/>
      <c r="K3239" s="230"/>
      <c r="L3239" s="88"/>
      <c r="M3239" s="88"/>
      <c r="N3239" s="88"/>
      <c r="O3239" s="88"/>
      <c r="P3239" s="88"/>
      <c r="Q3239" s="88"/>
      <c r="R3239" s="88"/>
      <c r="S3239" s="620"/>
      <c r="T3239" s="92"/>
      <c r="U3239" s="1214"/>
      <c r="V3239" s="1215"/>
      <c r="W3239" s="168"/>
      <c r="X3239" s="170"/>
    </row>
    <row r="3240" spans="1:24" ht="12.75" customHeight="1">
      <c r="A3240" s="15"/>
      <c r="B3240" s="92" t="str">
        <f t="shared" si="366"/>
        <v/>
      </c>
      <c r="C3240" s="90"/>
      <c r="D3240" s="87"/>
      <c r="E3240" s="88"/>
      <c r="F3240" s="173"/>
      <c r="G3240" s="88"/>
      <c r="H3240" s="88"/>
      <c r="I3240" s="88"/>
      <c r="J3240" s="88"/>
      <c r="K3240" s="230"/>
      <c r="L3240" s="88"/>
      <c r="M3240" s="88"/>
      <c r="N3240" s="88"/>
      <c r="O3240" s="88"/>
      <c r="P3240" s="88"/>
      <c r="Q3240" s="88"/>
      <c r="R3240" s="88"/>
      <c r="S3240" s="620"/>
      <c r="T3240" s="92"/>
      <c r="U3240" s="1214"/>
      <c r="V3240" s="1215"/>
      <c r="W3240" s="168"/>
      <c r="X3240" s="170"/>
    </row>
    <row r="3241" spans="1:24" ht="12.75" customHeight="1">
      <c r="A3241" s="15"/>
      <c r="B3241" s="92" t="str">
        <f t="shared" si="366"/>
        <v/>
      </c>
      <c r="C3241" s="90"/>
      <c r="D3241" s="87"/>
      <c r="E3241" s="88"/>
      <c r="F3241" s="173"/>
      <c r="G3241" s="88"/>
      <c r="H3241" s="88"/>
      <c r="I3241" s="88"/>
      <c r="J3241" s="88"/>
      <c r="K3241" s="230"/>
      <c r="L3241" s="88"/>
      <c r="M3241" s="88"/>
      <c r="N3241" s="88"/>
      <c r="O3241" s="88"/>
      <c r="P3241" s="88"/>
      <c r="Q3241" s="88"/>
      <c r="R3241" s="88"/>
      <c r="S3241" s="620"/>
      <c r="T3241" s="92"/>
      <c r="U3241" s="1214"/>
      <c r="V3241" s="1215"/>
      <c r="W3241" s="168"/>
      <c r="X3241" s="170"/>
    </row>
    <row r="3242" spans="1:24" ht="12.75" customHeight="1">
      <c r="A3242" s="15"/>
      <c r="B3242" s="92" t="str">
        <f t="shared" si="366"/>
        <v/>
      </c>
      <c r="C3242" s="90"/>
      <c r="D3242" s="87"/>
      <c r="E3242" s="88"/>
      <c r="F3242" s="173"/>
      <c r="G3242" s="88"/>
      <c r="H3242" s="88"/>
      <c r="I3242" s="88"/>
      <c r="J3242" s="88"/>
      <c r="K3242" s="230"/>
      <c r="L3242" s="88"/>
      <c r="M3242" s="88"/>
      <c r="N3242" s="88"/>
      <c r="O3242" s="88"/>
      <c r="P3242" s="88"/>
      <c r="Q3242" s="88"/>
      <c r="R3242" s="88"/>
      <c r="S3242" s="620"/>
      <c r="T3242" s="92"/>
      <c r="U3242" s="1214"/>
      <c r="V3242" s="1215"/>
      <c r="W3242" s="168"/>
      <c r="X3242" s="170"/>
    </row>
    <row r="3243" spans="1:24" ht="12.75" customHeight="1">
      <c r="A3243" s="15"/>
      <c r="B3243" s="92" t="str">
        <f t="shared" si="366"/>
        <v/>
      </c>
      <c r="C3243" s="90"/>
      <c r="D3243" s="87"/>
      <c r="E3243" s="88"/>
      <c r="F3243" s="173"/>
      <c r="G3243" s="88"/>
      <c r="H3243" s="88"/>
      <c r="I3243" s="88"/>
      <c r="J3243" s="88"/>
      <c r="K3243" s="230"/>
      <c r="L3243" s="88"/>
      <c r="M3243" s="88"/>
      <c r="N3243" s="88"/>
      <c r="O3243" s="88"/>
      <c r="P3243" s="88"/>
      <c r="Q3243" s="88"/>
      <c r="R3243" s="88"/>
      <c r="S3243" s="620"/>
      <c r="T3243" s="92"/>
      <c r="U3243" s="1214"/>
      <c r="V3243" s="1215"/>
      <c r="W3243" s="168"/>
      <c r="X3243" s="170"/>
    </row>
    <row r="3244" spans="1:24" ht="12.75" customHeight="1">
      <c r="A3244" s="15"/>
      <c r="B3244" s="92" t="str">
        <f t="shared" si="366"/>
        <v/>
      </c>
      <c r="C3244" s="90"/>
      <c r="D3244" s="87"/>
      <c r="E3244" s="88"/>
      <c r="F3244" s="173"/>
      <c r="G3244" s="88"/>
      <c r="H3244" s="88"/>
      <c r="I3244" s="88"/>
      <c r="J3244" s="88"/>
      <c r="K3244" s="230"/>
      <c r="L3244" s="88"/>
      <c r="M3244" s="88"/>
      <c r="N3244" s="88"/>
      <c r="O3244" s="88"/>
      <c r="P3244" s="88"/>
      <c r="Q3244" s="88"/>
      <c r="R3244" s="88"/>
      <c r="S3244" s="620"/>
      <c r="T3244" s="92"/>
      <c r="U3244" s="1214"/>
      <c r="V3244" s="1215"/>
      <c r="W3244" s="168"/>
      <c r="X3244" s="170"/>
    </row>
    <row r="3245" spans="1:24" ht="12.75" customHeight="1">
      <c r="A3245" s="15"/>
      <c r="B3245" s="92" t="str">
        <f t="shared" si="366"/>
        <v/>
      </c>
      <c r="C3245" s="90"/>
      <c r="D3245" s="87"/>
      <c r="E3245" s="88"/>
      <c r="F3245" s="173"/>
      <c r="G3245" s="88"/>
      <c r="H3245" s="88"/>
      <c r="I3245" s="88"/>
      <c r="J3245" s="88"/>
      <c r="K3245" s="230"/>
      <c r="L3245" s="88"/>
      <c r="M3245" s="88"/>
      <c r="N3245" s="88"/>
      <c r="O3245" s="88"/>
      <c r="P3245" s="88"/>
      <c r="Q3245" s="88"/>
      <c r="R3245" s="88"/>
      <c r="S3245" s="620"/>
      <c r="T3245" s="92"/>
      <c r="U3245" s="1214"/>
      <c r="V3245" s="1215"/>
      <c r="W3245" s="168"/>
      <c r="X3245" s="170"/>
    </row>
    <row r="3246" spans="1:24" ht="12.75" customHeight="1">
      <c r="A3246" s="15"/>
      <c r="B3246" s="92" t="str">
        <f t="shared" si="366"/>
        <v/>
      </c>
      <c r="C3246" s="90"/>
      <c r="D3246" s="87"/>
      <c r="E3246" s="88"/>
      <c r="F3246" s="173"/>
      <c r="G3246" s="88"/>
      <c r="H3246" s="88"/>
      <c r="I3246" s="88"/>
      <c r="J3246" s="88"/>
      <c r="K3246" s="230"/>
      <c r="L3246" s="88"/>
      <c r="M3246" s="88"/>
      <c r="N3246" s="88"/>
      <c r="O3246" s="88"/>
      <c r="P3246" s="88"/>
      <c r="Q3246" s="88"/>
      <c r="R3246" s="88"/>
      <c r="S3246" s="620"/>
      <c r="T3246" s="92"/>
      <c r="U3246" s="1214"/>
      <c r="V3246" s="1215"/>
      <c r="W3246" s="168"/>
      <c r="X3246" s="170"/>
    </row>
    <row r="3247" spans="1:24" ht="12.75" customHeight="1">
      <c r="A3247" s="15"/>
      <c r="B3247" s="92" t="str">
        <f t="shared" ref="B3247:B3310" si="367">IF(C3247="","",ROW()-5)</f>
        <v/>
      </c>
      <c r="C3247" s="90"/>
      <c r="D3247" s="87"/>
      <c r="E3247" s="88"/>
      <c r="F3247" s="173"/>
      <c r="G3247" s="88"/>
      <c r="H3247" s="88"/>
      <c r="I3247" s="88"/>
      <c r="J3247" s="88"/>
      <c r="K3247" s="230"/>
      <c r="L3247" s="88"/>
      <c r="M3247" s="88"/>
      <c r="N3247" s="88"/>
      <c r="O3247" s="88"/>
      <c r="P3247" s="88"/>
      <c r="Q3247" s="88"/>
      <c r="R3247" s="88"/>
      <c r="S3247" s="620"/>
      <c r="T3247" s="92"/>
      <c r="U3247" s="1214"/>
      <c r="V3247" s="1215"/>
      <c r="W3247" s="168"/>
      <c r="X3247" s="170"/>
    </row>
    <row r="3248" spans="1:24" ht="12.75" customHeight="1">
      <c r="A3248" s="15"/>
      <c r="B3248" s="92" t="str">
        <f t="shared" si="367"/>
        <v/>
      </c>
      <c r="C3248" s="90"/>
      <c r="D3248" s="87"/>
      <c r="E3248" s="88"/>
      <c r="F3248" s="173"/>
      <c r="G3248" s="88"/>
      <c r="H3248" s="88"/>
      <c r="I3248" s="88"/>
      <c r="J3248" s="88"/>
      <c r="K3248" s="230"/>
      <c r="L3248" s="88"/>
      <c r="M3248" s="88"/>
      <c r="N3248" s="88"/>
      <c r="O3248" s="88"/>
      <c r="P3248" s="88"/>
      <c r="Q3248" s="88"/>
      <c r="R3248" s="88"/>
      <c r="S3248" s="620"/>
      <c r="T3248" s="92"/>
      <c r="U3248" s="1214"/>
      <c r="V3248" s="1215"/>
      <c r="W3248" s="168"/>
      <c r="X3248" s="170"/>
    </row>
    <row r="3249" spans="1:24" ht="12.75" customHeight="1">
      <c r="A3249" s="15"/>
      <c r="B3249" s="92" t="str">
        <f t="shared" si="367"/>
        <v/>
      </c>
      <c r="C3249" s="90"/>
      <c r="D3249" s="87"/>
      <c r="E3249" s="88"/>
      <c r="F3249" s="173"/>
      <c r="G3249" s="88"/>
      <c r="H3249" s="88"/>
      <c r="I3249" s="88"/>
      <c r="J3249" s="88"/>
      <c r="K3249" s="230"/>
      <c r="L3249" s="88"/>
      <c r="M3249" s="88"/>
      <c r="N3249" s="88"/>
      <c r="O3249" s="88"/>
      <c r="P3249" s="88"/>
      <c r="Q3249" s="88"/>
      <c r="R3249" s="88"/>
      <c r="S3249" s="620"/>
      <c r="T3249" s="92"/>
      <c r="U3249" s="1214"/>
      <c r="V3249" s="1215"/>
      <c r="W3249" s="168"/>
      <c r="X3249" s="170"/>
    </row>
    <row r="3250" spans="1:24" ht="12.75" customHeight="1">
      <c r="A3250" s="15"/>
      <c r="B3250" s="92" t="str">
        <f t="shared" si="367"/>
        <v/>
      </c>
      <c r="C3250" s="90"/>
      <c r="D3250" s="87"/>
      <c r="E3250" s="88"/>
      <c r="F3250" s="173"/>
      <c r="G3250" s="88"/>
      <c r="H3250" s="88"/>
      <c r="I3250" s="88"/>
      <c r="J3250" s="88"/>
      <c r="K3250" s="230"/>
      <c r="L3250" s="88"/>
      <c r="M3250" s="88"/>
      <c r="N3250" s="88"/>
      <c r="O3250" s="88"/>
      <c r="P3250" s="88"/>
      <c r="Q3250" s="88"/>
      <c r="R3250" s="88"/>
      <c r="S3250" s="620"/>
      <c r="T3250" s="92"/>
      <c r="U3250" s="1214"/>
      <c r="V3250" s="1215"/>
      <c r="W3250" s="168"/>
      <c r="X3250" s="170"/>
    </row>
    <row r="3251" spans="1:24" ht="12.75" customHeight="1">
      <c r="A3251" s="15"/>
      <c r="B3251" s="92" t="str">
        <f t="shared" si="367"/>
        <v/>
      </c>
      <c r="C3251" s="90"/>
      <c r="D3251" s="87"/>
      <c r="E3251" s="88"/>
      <c r="F3251" s="173"/>
      <c r="G3251" s="88"/>
      <c r="H3251" s="88"/>
      <c r="I3251" s="88"/>
      <c r="J3251" s="88"/>
      <c r="K3251" s="230"/>
      <c r="L3251" s="88"/>
      <c r="M3251" s="88"/>
      <c r="N3251" s="88"/>
      <c r="O3251" s="88"/>
      <c r="P3251" s="88"/>
      <c r="Q3251" s="88"/>
      <c r="R3251" s="88"/>
      <c r="S3251" s="620"/>
      <c r="T3251" s="92"/>
      <c r="U3251" s="1214"/>
      <c r="V3251" s="1215"/>
      <c r="W3251" s="168"/>
      <c r="X3251" s="170"/>
    </row>
    <row r="3252" spans="1:24" ht="12.75" customHeight="1">
      <c r="A3252" s="15"/>
      <c r="B3252" s="92" t="str">
        <f t="shared" si="367"/>
        <v/>
      </c>
      <c r="C3252" s="90"/>
      <c r="D3252" s="87"/>
      <c r="E3252" s="88"/>
      <c r="F3252" s="173"/>
      <c r="G3252" s="88"/>
      <c r="H3252" s="88"/>
      <c r="I3252" s="88"/>
      <c r="J3252" s="88"/>
      <c r="K3252" s="230"/>
      <c r="L3252" s="88"/>
      <c r="M3252" s="88"/>
      <c r="N3252" s="88"/>
      <c r="O3252" s="88"/>
      <c r="P3252" s="88"/>
      <c r="Q3252" s="88"/>
      <c r="R3252" s="88"/>
      <c r="S3252" s="620"/>
      <c r="T3252" s="92"/>
      <c r="U3252" s="1214"/>
      <c r="V3252" s="1215"/>
      <c r="W3252" s="168"/>
      <c r="X3252" s="170"/>
    </row>
    <row r="3253" spans="1:24" ht="12.75" customHeight="1">
      <c r="A3253" s="15"/>
      <c r="B3253" s="92" t="str">
        <f t="shared" si="367"/>
        <v/>
      </c>
      <c r="C3253" s="90"/>
      <c r="D3253" s="87"/>
      <c r="E3253" s="88"/>
      <c r="F3253" s="173"/>
      <c r="G3253" s="88"/>
      <c r="H3253" s="88"/>
      <c r="I3253" s="88"/>
      <c r="J3253" s="88"/>
      <c r="K3253" s="230"/>
      <c r="L3253" s="88"/>
      <c r="M3253" s="88"/>
      <c r="N3253" s="88"/>
      <c r="O3253" s="88"/>
      <c r="P3253" s="88"/>
      <c r="Q3253" s="88"/>
      <c r="R3253" s="88"/>
      <c r="S3253" s="620"/>
      <c r="T3253" s="92"/>
      <c r="U3253" s="1214"/>
      <c r="V3253" s="1215"/>
      <c r="W3253" s="168"/>
      <c r="X3253" s="170"/>
    </row>
    <row r="3254" spans="1:24" ht="12.75" customHeight="1">
      <c r="A3254" s="15"/>
      <c r="B3254" s="92" t="str">
        <f t="shared" si="367"/>
        <v/>
      </c>
      <c r="C3254" s="90"/>
      <c r="D3254" s="87"/>
      <c r="E3254" s="88"/>
      <c r="F3254" s="173"/>
      <c r="G3254" s="88"/>
      <c r="H3254" s="88"/>
      <c r="I3254" s="88"/>
      <c r="J3254" s="88"/>
      <c r="K3254" s="230"/>
      <c r="L3254" s="88"/>
      <c r="M3254" s="88"/>
      <c r="N3254" s="88"/>
      <c r="O3254" s="88"/>
      <c r="P3254" s="88"/>
      <c r="Q3254" s="88"/>
      <c r="R3254" s="88"/>
      <c r="S3254" s="620"/>
      <c r="T3254" s="92"/>
      <c r="U3254" s="1214"/>
      <c r="V3254" s="1215"/>
      <c r="W3254" s="168"/>
      <c r="X3254" s="170"/>
    </row>
    <row r="3255" spans="1:24" ht="12.75" customHeight="1">
      <c r="A3255" s="15"/>
      <c r="B3255" s="92" t="str">
        <f t="shared" si="367"/>
        <v/>
      </c>
      <c r="C3255" s="90"/>
      <c r="D3255" s="87"/>
      <c r="E3255" s="88"/>
      <c r="F3255" s="173"/>
      <c r="G3255" s="88"/>
      <c r="H3255" s="88"/>
      <c r="I3255" s="88"/>
      <c r="J3255" s="88"/>
      <c r="K3255" s="230"/>
      <c r="L3255" s="88"/>
      <c r="M3255" s="88"/>
      <c r="N3255" s="88"/>
      <c r="O3255" s="88"/>
      <c r="P3255" s="88"/>
      <c r="Q3255" s="88"/>
      <c r="R3255" s="88"/>
      <c r="S3255" s="620"/>
      <c r="T3255" s="92"/>
      <c r="U3255" s="1214"/>
      <c r="V3255" s="1215"/>
      <c r="W3255" s="168"/>
      <c r="X3255" s="170"/>
    </row>
    <row r="3256" spans="1:24" ht="12.75" customHeight="1">
      <c r="A3256" s="15"/>
      <c r="B3256" s="92" t="str">
        <f t="shared" si="367"/>
        <v/>
      </c>
      <c r="C3256" s="90"/>
      <c r="D3256" s="87"/>
      <c r="E3256" s="88"/>
      <c r="F3256" s="173"/>
      <c r="G3256" s="88"/>
      <c r="H3256" s="88"/>
      <c r="I3256" s="88"/>
      <c r="J3256" s="88"/>
      <c r="K3256" s="230"/>
      <c r="L3256" s="88"/>
      <c r="M3256" s="88"/>
      <c r="N3256" s="88"/>
      <c r="O3256" s="88"/>
      <c r="P3256" s="88"/>
      <c r="Q3256" s="88"/>
      <c r="R3256" s="88"/>
      <c r="S3256" s="620"/>
      <c r="T3256" s="92"/>
      <c r="U3256" s="1214"/>
      <c r="V3256" s="1215"/>
      <c r="W3256" s="168"/>
      <c r="X3256" s="170"/>
    </row>
    <row r="3257" spans="1:24" ht="12.75" customHeight="1">
      <c r="A3257" s="15"/>
      <c r="B3257" s="92" t="str">
        <f t="shared" si="367"/>
        <v/>
      </c>
      <c r="C3257" s="90"/>
      <c r="D3257" s="87"/>
      <c r="E3257" s="88"/>
      <c r="F3257" s="173"/>
      <c r="G3257" s="88"/>
      <c r="H3257" s="88"/>
      <c r="I3257" s="88"/>
      <c r="J3257" s="88"/>
      <c r="K3257" s="230"/>
      <c r="L3257" s="88"/>
      <c r="M3257" s="88"/>
      <c r="N3257" s="88"/>
      <c r="O3257" s="88"/>
      <c r="P3257" s="88"/>
      <c r="Q3257" s="88"/>
      <c r="R3257" s="88"/>
      <c r="S3257" s="620"/>
      <c r="T3257" s="92"/>
      <c r="U3257" s="1214"/>
      <c r="V3257" s="1215"/>
      <c r="W3257" s="168"/>
      <c r="X3257" s="170"/>
    </row>
    <row r="3258" spans="1:24" ht="12.75" customHeight="1">
      <c r="A3258" s="15"/>
      <c r="B3258" s="92" t="str">
        <f t="shared" si="367"/>
        <v/>
      </c>
      <c r="C3258" s="90"/>
      <c r="D3258" s="87"/>
      <c r="E3258" s="88"/>
      <c r="F3258" s="173"/>
      <c r="G3258" s="88"/>
      <c r="H3258" s="88"/>
      <c r="I3258" s="88"/>
      <c r="J3258" s="88"/>
      <c r="K3258" s="230"/>
      <c r="L3258" s="88"/>
      <c r="M3258" s="88"/>
      <c r="N3258" s="88"/>
      <c r="O3258" s="88"/>
      <c r="P3258" s="88"/>
      <c r="Q3258" s="88"/>
      <c r="R3258" s="88"/>
      <c r="S3258" s="620"/>
      <c r="T3258" s="92"/>
      <c r="U3258" s="1214"/>
      <c r="V3258" s="1215"/>
      <c r="W3258" s="168"/>
      <c r="X3258" s="170"/>
    </row>
    <row r="3259" spans="1:24" ht="12.75" customHeight="1">
      <c r="A3259" s="15"/>
      <c r="B3259" s="92" t="str">
        <f t="shared" si="367"/>
        <v/>
      </c>
      <c r="C3259" s="90"/>
      <c r="D3259" s="87"/>
      <c r="E3259" s="88"/>
      <c r="F3259" s="173"/>
      <c r="G3259" s="88"/>
      <c r="H3259" s="88"/>
      <c r="I3259" s="88"/>
      <c r="J3259" s="88"/>
      <c r="K3259" s="230"/>
      <c r="L3259" s="88"/>
      <c r="M3259" s="88"/>
      <c r="N3259" s="88"/>
      <c r="O3259" s="88"/>
      <c r="P3259" s="88"/>
      <c r="Q3259" s="88"/>
      <c r="R3259" s="88"/>
      <c r="S3259" s="620"/>
      <c r="T3259" s="92"/>
      <c r="U3259" s="1214"/>
      <c r="V3259" s="1215"/>
      <c r="W3259" s="168"/>
      <c r="X3259" s="170"/>
    </row>
    <row r="3260" spans="1:24" ht="12.75" customHeight="1">
      <c r="A3260" s="15"/>
      <c r="B3260" s="92" t="str">
        <f t="shared" si="367"/>
        <v/>
      </c>
      <c r="C3260" s="90"/>
      <c r="D3260" s="87"/>
      <c r="E3260" s="88"/>
      <c r="F3260" s="173"/>
      <c r="G3260" s="88"/>
      <c r="H3260" s="88"/>
      <c r="I3260" s="88"/>
      <c r="J3260" s="88"/>
      <c r="K3260" s="230"/>
      <c r="L3260" s="88"/>
      <c r="M3260" s="88"/>
      <c r="N3260" s="88"/>
      <c r="O3260" s="88"/>
      <c r="P3260" s="88"/>
      <c r="Q3260" s="88"/>
      <c r="R3260" s="88"/>
      <c r="S3260" s="620"/>
      <c r="T3260" s="92"/>
      <c r="U3260" s="1214"/>
      <c r="V3260" s="1215"/>
      <c r="W3260" s="168"/>
      <c r="X3260" s="170"/>
    </row>
    <row r="3261" spans="1:24" ht="12.75" customHeight="1">
      <c r="A3261" s="15"/>
      <c r="B3261" s="92" t="str">
        <f t="shared" si="367"/>
        <v/>
      </c>
      <c r="C3261" s="90"/>
      <c r="D3261" s="87"/>
      <c r="E3261" s="88"/>
      <c r="F3261" s="173"/>
      <c r="G3261" s="88"/>
      <c r="H3261" s="88"/>
      <c r="I3261" s="88"/>
      <c r="J3261" s="88"/>
      <c r="K3261" s="230"/>
      <c r="L3261" s="88"/>
      <c r="M3261" s="88"/>
      <c r="N3261" s="88"/>
      <c r="O3261" s="88"/>
      <c r="P3261" s="88"/>
      <c r="Q3261" s="88"/>
      <c r="R3261" s="88"/>
      <c r="S3261" s="620"/>
      <c r="T3261" s="92"/>
      <c r="U3261" s="1214"/>
      <c r="V3261" s="1215"/>
      <c r="W3261" s="168"/>
      <c r="X3261" s="170"/>
    </row>
    <row r="3262" spans="1:24" ht="12.75" customHeight="1">
      <c r="A3262" s="15"/>
      <c r="B3262" s="92" t="str">
        <f t="shared" si="367"/>
        <v/>
      </c>
      <c r="C3262" s="90"/>
      <c r="D3262" s="87"/>
      <c r="E3262" s="88"/>
      <c r="F3262" s="173"/>
      <c r="G3262" s="88"/>
      <c r="H3262" s="88"/>
      <c r="I3262" s="88"/>
      <c r="J3262" s="88"/>
      <c r="K3262" s="230"/>
      <c r="L3262" s="88"/>
      <c r="M3262" s="88"/>
      <c r="N3262" s="88"/>
      <c r="O3262" s="88"/>
      <c r="P3262" s="88"/>
      <c r="Q3262" s="88"/>
      <c r="R3262" s="88"/>
      <c r="S3262" s="620"/>
      <c r="T3262" s="92"/>
      <c r="U3262" s="1214"/>
      <c r="V3262" s="1215"/>
      <c r="W3262" s="168"/>
      <c r="X3262" s="170"/>
    </row>
    <row r="3263" spans="1:24" ht="12.75" customHeight="1">
      <c r="A3263" s="15"/>
      <c r="B3263" s="92" t="str">
        <f t="shared" si="367"/>
        <v/>
      </c>
      <c r="C3263" s="90"/>
      <c r="D3263" s="87"/>
      <c r="E3263" s="88"/>
      <c r="F3263" s="173"/>
      <c r="G3263" s="88"/>
      <c r="H3263" s="88"/>
      <c r="I3263" s="88"/>
      <c r="J3263" s="88"/>
      <c r="K3263" s="230"/>
      <c r="L3263" s="88"/>
      <c r="M3263" s="88"/>
      <c r="N3263" s="88"/>
      <c r="O3263" s="88"/>
      <c r="P3263" s="88"/>
      <c r="Q3263" s="88"/>
      <c r="R3263" s="88"/>
      <c r="S3263" s="620"/>
      <c r="T3263" s="92"/>
      <c r="U3263" s="1214"/>
      <c r="V3263" s="1215"/>
      <c r="W3263" s="168"/>
      <c r="X3263" s="170"/>
    </row>
    <row r="3264" spans="1:24" ht="12.75" customHeight="1">
      <c r="A3264" s="15"/>
      <c r="B3264" s="92" t="str">
        <f t="shared" si="367"/>
        <v/>
      </c>
      <c r="C3264" s="90"/>
      <c r="D3264" s="87"/>
      <c r="E3264" s="88"/>
      <c r="F3264" s="173"/>
      <c r="G3264" s="88"/>
      <c r="H3264" s="88"/>
      <c r="I3264" s="88"/>
      <c r="J3264" s="88"/>
      <c r="K3264" s="230"/>
      <c r="L3264" s="88"/>
      <c r="M3264" s="88"/>
      <c r="N3264" s="88"/>
      <c r="O3264" s="88"/>
      <c r="P3264" s="88"/>
      <c r="Q3264" s="88"/>
      <c r="R3264" s="88"/>
      <c r="S3264" s="620"/>
      <c r="T3264" s="92"/>
      <c r="U3264" s="1214"/>
      <c r="V3264" s="1215"/>
      <c r="W3264" s="168"/>
      <c r="X3264" s="170"/>
    </row>
    <row r="3265" spans="1:24" ht="12.75" customHeight="1">
      <c r="A3265" s="15"/>
      <c r="B3265" s="92" t="str">
        <f t="shared" si="367"/>
        <v/>
      </c>
      <c r="C3265" s="90"/>
      <c r="D3265" s="87"/>
      <c r="E3265" s="88"/>
      <c r="F3265" s="173"/>
      <c r="G3265" s="88"/>
      <c r="H3265" s="88"/>
      <c r="I3265" s="88"/>
      <c r="J3265" s="88"/>
      <c r="K3265" s="230"/>
      <c r="L3265" s="88"/>
      <c r="M3265" s="88"/>
      <c r="N3265" s="88"/>
      <c r="O3265" s="88"/>
      <c r="P3265" s="88"/>
      <c r="Q3265" s="88"/>
      <c r="R3265" s="88"/>
      <c r="S3265" s="620"/>
      <c r="T3265" s="92"/>
      <c r="U3265" s="1214"/>
      <c r="V3265" s="1215"/>
      <c r="W3265" s="168"/>
      <c r="X3265" s="170"/>
    </row>
    <row r="3266" spans="1:24" ht="12.75" customHeight="1">
      <c r="A3266" s="15"/>
      <c r="B3266" s="92" t="str">
        <f t="shared" si="367"/>
        <v/>
      </c>
      <c r="C3266" s="90"/>
      <c r="D3266" s="87"/>
      <c r="E3266" s="88"/>
      <c r="F3266" s="173"/>
      <c r="G3266" s="88"/>
      <c r="H3266" s="88"/>
      <c r="I3266" s="88"/>
      <c r="J3266" s="88"/>
      <c r="K3266" s="230"/>
      <c r="L3266" s="88"/>
      <c r="M3266" s="88"/>
      <c r="N3266" s="88"/>
      <c r="O3266" s="88"/>
      <c r="P3266" s="88"/>
      <c r="Q3266" s="88"/>
      <c r="R3266" s="88"/>
      <c r="S3266" s="620"/>
      <c r="T3266" s="92"/>
      <c r="U3266" s="1214"/>
      <c r="V3266" s="1215"/>
      <c r="W3266" s="168"/>
      <c r="X3266" s="170"/>
    </row>
    <row r="3267" spans="1:24" ht="12.75" customHeight="1">
      <c r="A3267" s="15"/>
      <c r="B3267" s="92" t="str">
        <f t="shared" si="367"/>
        <v/>
      </c>
      <c r="C3267" s="90"/>
      <c r="D3267" s="87"/>
      <c r="E3267" s="88"/>
      <c r="F3267" s="173"/>
      <c r="G3267" s="88"/>
      <c r="H3267" s="88"/>
      <c r="I3267" s="88"/>
      <c r="J3267" s="88"/>
      <c r="K3267" s="230"/>
      <c r="L3267" s="88"/>
      <c r="M3267" s="88"/>
      <c r="N3267" s="88"/>
      <c r="O3267" s="88"/>
      <c r="P3267" s="88"/>
      <c r="Q3267" s="88"/>
      <c r="R3267" s="88"/>
      <c r="S3267" s="620"/>
      <c r="T3267" s="92"/>
      <c r="U3267" s="1214"/>
      <c r="V3267" s="1215"/>
      <c r="W3267" s="168"/>
      <c r="X3267" s="170"/>
    </row>
    <row r="3268" spans="1:24" ht="12.75" customHeight="1">
      <c r="A3268" s="15"/>
      <c r="B3268" s="92" t="str">
        <f t="shared" si="367"/>
        <v/>
      </c>
      <c r="C3268" s="90"/>
      <c r="D3268" s="87"/>
      <c r="E3268" s="88"/>
      <c r="F3268" s="173"/>
      <c r="G3268" s="88"/>
      <c r="H3268" s="88"/>
      <c r="I3268" s="88"/>
      <c r="J3268" s="88"/>
      <c r="K3268" s="230"/>
      <c r="L3268" s="88"/>
      <c r="M3268" s="88"/>
      <c r="N3268" s="88"/>
      <c r="O3268" s="88"/>
      <c r="P3268" s="88"/>
      <c r="Q3268" s="88"/>
      <c r="R3268" s="88"/>
      <c r="S3268" s="620"/>
      <c r="T3268" s="92"/>
      <c r="U3268" s="1214"/>
      <c r="V3268" s="1215"/>
      <c r="W3268" s="168"/>
      <c r="X3268" s="170"/>
    </row>
    <row r="3269" spans="1:24" ht="12.75" customHeight="1">
      <c r="A3269" s="15"/>
      <c r="B3269" s="92" t="str">
        <f t="shared" si="367"/>
        <v/>
      </c>
      <c r="C3269" s="90"/>
      <c r="D3269" s="87"/>
      <c r="E3269" s="88"/>
      <c r="F3269" s="173"/>
      <c r="G3269" s="88"/>
      <c r="H3269" s="88"/>
      <c r="I3269" s="88"/>
      <c r="J3269" s="88"/>
      <c r="K3269" s="230"/>
      <c r="L3269" s="88"/>
      <c r="M3269" s="88"/>
      <c r="N3269" s="88"/>
      <c r="O3269" s="88"/>
      <c r="P3269" s="88"/>
      <c r="Q3269" s="88"/>
      <c r="R3269" s="88"/>
      <c r="S3269" s="620"/>
      <c r="T3269" s="92"/>
      <c r="U3269" s="1214"/>
      <c r="V3269" s="1215"/>
      <c r="W3269" s="168"/>
      <c r="X3269" s="170"/>
    </row>
    <row r="3270" spans="1:24" ht="12.75" customHeight="1">
      <c r="A3270" s="15"/>
      <c r="B3270" s="92" t="str">
        <f t="shared" si="367"/>
        <v/>
      </c>
      <c r="C3270" s="90"/>
      <c r="D3270" s="87"/>
      <c r="E3270" s="88"/>
      <c r="F3270" s="173"/>
      <c r="G3270" s="88"/>
      <c r="H3270" s="88"/>
      <c r="I3270" s="88"/>
      <c r="J3270" s="88"/>
      <c r="K3270" s="230"/>
      <c r="L3270" s="88"/>
      <c r="M3270" s="88"/>
      <c r="N3270" s="88"/>
      <c r="O3270" s="88"/>
      <c r="P3270" s="88"/>
      <c r="Q3270" s="88"/>
      <c r="R3270" s="88"/>
      <c r="S3270" s="620"/>
      <c r="T3270" s="92"/>
      <c r="U3270" s="1214"/>
      <c r="V3270" s="1215"/>
      <c r="W3270" s="168"/>
      <c r="X3270" s="170"/>
    </row>
    <row r="3271" spans="1:24" ht="12.75" customHeight="1">
      <c r="A3271" s="15"/>
      <c r="B3271" s="92" t="str">
        <f t="shared" si="367"/>
        <v/>
      </c>
      <c r="C3271" s="90"/>
      <c r="D3271" s="87"/>
      <c r="E3271" s="88"/>
      <c r="F3271" s="173"/>
      <c r="G3271" s="88"/>
      <c r="H3271" s="88"/>
      <c r="I3271" s="88"/>
      <c r="J3271" s="88"/>
      <c r="K3271" s="230"/>
      <c r="L3271" s="88"/>
      <c r="M3271" s="88"/>
      <c r="N3271" s="88"/>
      <c r="O3271" s="88"/>
      <c r="P3271" s="88"/>
      <c r="Q3271" s="88"/>
      <c r="R3271" s="88"/>
      <c r="S3271" s="620"/>
      <c r="T3271" s="92"/>
      <c r="U3271" s="1214"/>
      <c r="V3271" s="1215"/>
      <c r="W3271" s="168"/>
      <c r="X3271" s="170"/>
    </row>
    <row r="3272" spans="1:24" ht="12.75" customHeight="1">
      <c r="A3272" s="15"/>
      <c r="B3272" s="92" t="str">
        <f t="shared" si="367"/>
        <v/>
      </c>
      <c r="C3272" s="90"/>
      <c r="D3272" s="87"/>
      <c r="E3272" s="88"/>
      <c r="F3272" s="173"/>
      <c r="G3272" s="88"/>
      <c r="H3272" s="88"/>
      <c r="I3272" s="88"/>
      <c r="J3272" s="88"/>
      <c r="K3272" s="230"/>
      <c r="L3272" s="88"/>
      <c r="M3272" s="88"/>
      <c r="N3272" s="88"/>
      <c r="O3272" s="88"/>
      <c r="P3272" s="88"/>
      <c r="Q3272" s="88"/>
      <c r="R3272" s="88"/>
      <c r="S3272" s="620"/>
      <c r="T3272" s="92"/>
      <c r="U3272" s="1214"/>
      <c r="V3272" s="1215"/>
      <c r="W3272" s="168"/>
      <c r="X3272" s="170"/>
    </row>
    <row r="3273" spans="1:24" ht="12.75" customHeight="1">
      <c r="A3273" s="15"/>
      <c r="B3273" s="92" t="str">
        <f t="shared" si="367"/>
        <v/>
      </c>
      <c r="C3273" s="90"/>
      <c r="D3273" s="87"/>
      <c r="E3273" s="88"/>
      <c r="F3273" s="173"/>
      <c r="G3273" s="88"/>
      <c r="H3273" s="88"/>
      <c r="I3273" s="88"/>
      <c r="J3273" s="88"/>
      <c r="K3273" s="230"/>
      <c r="L3273" s="88"/>
      <c r="M3273" s="88"/>
      <c r="N3273" s="88"/>
      <c r="O3273" s="88"/>
      <c r="P3273" s="88"/>
      <c r="Q3273" s="88"/>
      <c r="R3273" s="88"/>
      <c r="S3273" s="620"/>
      <c r="T3273" s="92"/>
      <c r="U3273" s="1214"/>
      <c r="V3273" s="1215"/>
      <c r="W3273" s="168"/>
      <c r="X3273" s="170"/>
    </row>
    <row r="3274" spans="1:24" ht="12.75" customHeight="1">
      <c r="A3274" s="15"/>
      <c r="B3274" s="92" t="str">
        <f t="shared" si="367"/>
        <v/>
      </c>
      <c r="C3274" s="90"/>
      <c r="D3274" s="87"/>
      <c r="E3274" s="88"/>
      <c r="F3274" s="173"/>
      <c r="G3274" s="88"/>
      <c r="H3274" s="88"/>
      <c r="I3274" s="88"/>
      <c r="J3274" s="88"/>
      <c r="K3274" s="230"/>
      <c r="L3274" s="88"/>
      <c r="M3274" s="88"/>
      <c r="N3274" s="88"/>
      <c r="O3274" s="88"/>
      <c r="P3274" s="88"/>
      <c r="Q3274" s="88"/>
      <c r="R3274" s="88"/>
      <c r="S3274" s="620"/>
      <c r="T3274" s="92"/>
      <c r="U3274" s="1214"/>
      <c r="V3274" s="1215"/>
      <c r="W3274" s="168"/>
      <c r="X3274" s="170"/>
    </row>
    <row r="3275" spans="1:24" ht="12.75" customHeight="1">
      <c r="A3275" s="15"/>
      <c r="B3275" s="92" t="str">
        <f t="shared" si="367"/>
        <v/>
      </c>
      <c r="C3275" s="90"/>
      <c r="D3275" s="87"/>
      <c r="E3275" s="88"/>
      <c r="F3275" s="173"/>
      <c r="G3275" s="88"/>
      <c r="H3275" s="88"/>
      <c r="I3275" s="88"/>
      <c r="J3275" s="88"/>
      <c r="K3275" s="230"/>
      <c r="L3275" s="88"/>
      <c r="M3275" s="88"/>
      <c r="N3275" s="88"/>
      <c r="O3275" s="88"/>
      <c r="P3275" s="88"/>
      <c r="Q3275" s="88"/>
      <c r="R3275" s="88"/>
      <c r="S3275" s="620"/>
      <c r="T3275" s="92"/>
      <c r="U3275" s="1214"/>
      <c r="V3275" s="1215"/>
      <c r="W3275" s="168"/>
      <c r="X3275" s="170"/>
    </row>
    <row r="3276" spans="1:24" ht="12.75" customHeight="1">
      <c r="A3276" s="15"/>
      <c r="B3276" s="92" t="str">
        <f t="shared" si="367"/>
        <v/>
      </c>
      <c r="C3276" s="90"/>
      <c r="D3276" s="87"/>
      <c r="E3276" s="88"/>
      <c r="F3276" s="173"/>
      <c r="G3276" s="88"/>
      <c r="H3276" s="88"/>
      <c r="I3276" s="88"/>
      <c r="J3276" s="88"/>
      <c r="K3276" s="230"/>
      <c r="L3276" s="88"/>
      <c r="M3276" s="88"/>
      <c r="N3276" s="88"/>
      <c r="O3276" s="88"/>
      <c r="P3276" s="88"/>
      <c r="Q3276" s="88"/>
      <c r="R3276" s="88"/>
      <c r="S3276" s="620"/>
      <c r="T3276" s="92"/>
      <c r="U3276" s="1214"/>
      <c r="V3276" s="1215"/>
      <c r="W3276" s="168"/>
      <c r="X3276" s="170"/>
    </row>
    <row r="3277" spans="1:24" ht="12.75" customHeight="1">
      <c r="A3277" s="15"/>
      <c r="B3277" s="92" t="str">
        <f t="shared" si="367"/>
        <v/>
      </c>
      <c r="C3277" s="90"/>
      <c r="D3277" s="87"/>
      <c r="E3277" s="88"/>
      <c r="F3277" s="173"/>
      <c r="G3277" s="88"/>
      <c r="H3277" s="88"/>
      <c r="I3277" s="88"/>
      <c r="J3277" s="88"/>
      <c r="K3277" s="230"/>
      <c r="L3277" s="88"/>
      <c r="M3277" s="88"/>
      <c r="N3277" s="88"/>
      <c r="O3277" s="88"/>
      <c r="P3277" s="88"/>
      <c r="Q3277" s="88"/>
      <c r="R3277" s="88"/>
      <c r="S3277" s="620"/>
      <c r="T3277" s="92"/>
      <c r="U3277" s="1214"/>
      <c r="V3277" s="1215"/>
      <c r="W3277" s="168"/>
      <c r="X3277" s="170"/>
    </row>
    <row r="3278" spans="1:24" ht="12.75" customHeight="1">
      <c r="A3278" s="15"/>
      <c r="B3278" s="92" t="str">
        <f t="shared" si="367"/>
        <v/>
      </c>
      <c r="C3278" s="90"/>
      <c r="D3278" s="87"/>
      <c r="E3278" s="88"/>
      <c r="F3278" s="173"/>
      <c r="G3278" s="88"/>
      <c r="H3278" s="88"/>
      <c r="I3278" s="88"/>
      <c r="J3278" s="88"/>
      <c r="K3278" s="230"/>
      <c r="L3278" s="88"/>
      <c r="M3278" s="88"/>
      <c r="N3278" s="88"/>
      <c r="O3278" s="88"/>
      <c r="P3278" s="88"/>
      <c r="Q3278" s="88"/>
      <c r="R3278" s="88"/>
      <c r="S3278" s="620"/>
      <c r="T3278" s="92"/>
      <c r="U3278" s="1214"/>
      <c r="V3278" s="1215"/>
      <c r="W3278" s="168"/>
      <c r="X3278" s="170"/>
    </row>
    <row r="3279" spans="1:24" ht="12.75" customHeight="1">
      <c r="A3279" s="15"/>
      <c r="B3279" s="92" t="str">
        <f t="shared" si="367"/>
        <v/>
      </c>
      <c r="C3279" s="90"/>
      <c r="D3279" s="87"/>
      <c r="E3279" s="88"/>
      <c r="F3279" s="173"/>
      <c r="G3279" s="88"/>
      <c r="H3279" s="88"/>
      <c r="I3279" s="88"/>
      <c r="J3279" s="88"/>
      <c r="K3279" s="230"/>
      <c r="L3279" s="88"/>
      <c r="M3279" s="88"/>
      <c r="N3279" s="88"/>
      <c r="O3279" s="88"/>
      <c r="P3279" s="88"/>
      <c r="Q3279" s="88"/>
      <c r="R3279" s="88"/>
      <c r="S3279" s="620"/>
      <c r="T3279" s="92"/>
      <c r="U3279" s="1214"/>
      <c r="V3279" s="1215"/>
      <c r="W3279" s="168"/>
      <c r="X3279" s="170"/>
    </row>
    <row r="3280" spans="1:24" ht="12.75" customHeight="1">
      <c r="A3280" s="15"/>
      <c r="B3280" s="92" t="str">
        <f t="shared" si="367"/>
        <v/>
      </c>
      <c r="C3280" s="90"/>
      <c r="D3280" s="87"/>
      <c r="E3280" s="88"/>
      <c r="F3280" s="173"/>
      <c r="G3280" s="88"/>
      <c r="H3280" s="88"/>
      <c r="I3280" s="88"/>
      <c r="J3280" s="88"/>
      <c r="K3280" s="230"/>
      <c r="L3280" s="88"/>
      <c r="M3280" s="88"/>
      <c r="N3280" s="88"/>
      <c r="O3280" s="88"/>
      <c r="P3280" s="88"/>
      <c r="Q3280" s="88"/>
      <c r="R3280" s="88"/>
      <c r="S3280" s="620"/>
      <c r="T3280" s="92"/>
      <c r="U3280" s="1214"/>
      <c r="V3280" s="1215"/>
      <c r="W3280" s="168"/>
      <c r="X3280" s="170"/>
    </row>
    <row r="3281" spans="1:24" ht="12.75" customHeight="1">
      <c r="A3281" s="15"/>
      <c r="B3281" s="92" t="str">
        <f t="shared" si="367"/>
        <v/>
      </c>
      <c r="C3281" s="90"/>
      <c r="D3281" s="87"/>
      <c r="E3281" s="88"/>
      <c r="F3281" s="173"/>
      <c r="G3281" s="88"/>
      <c r="H3281" s="88"/>
      <c r="I3281" s="88"/>
      <c r="J3281" s="88"/>
      <c r="K3281" s="230"/>
      <c r="L3281" s="88"/>
      <c r="M3281" s="88"/>
      <c r="N3281" s="88"/>
      <c r="O3281" s="88"/>
      <c r="P3281" s="88"/>
      <c r="Q3281" s="88"/>
      <c r="R3281" s="88"/>
      <c r="S3281" s="620"/>
      <c r="T3281" s="92"/>
      <c r="U3281" s="1214"/>
      <c r="V3281" s="1215"/>
      <c r="W3281" s="168"/>
      <c r="X3281" s="170"/>
    </row>
    <row r="3282" spans="1:24" ht="12.75" customHeight="1">
      <c r="A3282" s="15"/>
      <c r="B3282" s="92" t="str">
        <f t="shared" si="367"/>
        <v/>
      </c>
      <c r="C3282" s="90"/>
      <c r="D3282" s="87"/>
      <c r="E3282" s="88"/>
      <c r="F3282" s="173"/>
      <c r="G3282" s="88"/>
      <c r="H3282" s="88"/>
      <c r="I3282" s="88"/>
      <c r="J3282" s="88"/>
      <c r="K3282" s="230"/>
      <c r="L3282" s="88"/>
      <c r="M3282" s="88"/>
      <c r="N3282" s="88"/>
      <c r="O3282" s="88"/>
      <c r="P3282" s="88"/>
      <c r="Q3282" s="88"/>
      <c r="R3282" s="88"/>
      <c r="S3282" s="620"/>
      <c r="T3282" s="92"/>
      <c r="U3282" s="1214"/>
      <c r="V3282" s="1215"/>
      <c r="W3282" s="168"/>
      <c r="X3282" s="170"/>
    </row>
    <row r="3283" spans="1:24" ht="12.75" customHeight="1">
      <c r="A3283" s="15"/>
      <c r="B3283" s="92" t="str">
        <f t="shared" si="367"/>
        <v/>
      </c>
      <c r="C3283" s="90"/>
      <c r="D3283" s="87"/>
      <c r="E3283" s="88"/>
      <c r="F3283" s="173"/>
      <c r="G3283" s="88"/>
      <c r="H3283" s="88"/>
      <c r="I3283" s="88"/>
      <c r="J3283" s="88"/>
      <c r="K3283" s="230"/>
      <c r="L3283" s="88"/>
      <c r="M3283" s="88"/>
      <c r="N3283" s="88"/>
      <c r="O3283" s="88"/>
      <c r="P3283" s="88"/>
      <c r="Q3283" s="88"/>
      <c r="R3283" s="88"/>
      <c r="S3283" s="620"/>
      <c r="T3283" s="92"/>
      <c r="U3283" s="1214"/>
      <c r="V3283" s="1215"/>
      <c r="W3283" s="168"/>
      <c r="X3283" s="170"/>
    </row>
    <row r="3284" spans="1:24" ht="12.75" customHeight="1">
      <c r="A3284" s="15"/>
      <c r="B3284" s="92" t="str">
        <f t="shared" si="367"/>
        <v/>
      </c>
      <c r="C3284" s="90"/>
      <c r="D3284" s="87"/>
      <c r="E3284" s="88"/>
      <c r="F3284" s="173"/>
      <c r="G3284" s="88"/>
      <c r="H3284" s="88"/>
      <c r="I3284" s="88"/>
      <c r="J3284" s="88"/>
      <c r="K3284" s="230"/>
      <c r="L3284" s="88"/>
      <c r="M3284" s="88"/>
      <c r="N3284" s="88"/>
      <c r="O3284" s="88"/>
      <c r="P3284" s="88"/>
      <c r="Q3284" s="88"/>
      <c r="R3284" s="88"/>
      <c r="S3284" s="620"/>
      <c r="T3284" s="92"/>
      <c r="U3284" s="1214"/>
      <c r="V3284" s="1215"/>
      <c r="W3284" s="168"/>
      <c r="X3284" s="170"/>
    </row>
    <row r="3285" spans="1:24" ht="12.75" customHeight="1">
      <c r="A3285" s="15"/>
      <c r="B3285" s="92" t="str">
        <f t="shared" si="367"/>
        <v/>
      </c>
      <c r="C3285" s="90"/>
      <c r="D3285" s="87"/>
      <c r="E3285" s="88"/>
      <c r="F3285" s="173"/>
      <c r="G3285" s="88"/>
      <c r="H3285" s="88"/>
      <c r="I3285" s="88"/>
      <c r="J3285" s="88"/>
      <c r="K3285" s="230"/>
      <c r="L3285" s="88"/>
      <c r="M3285" s="88"/>
      <c r="N3285" s="88"/>
      <c r="O3285" s="88"/>
      <c r="P3285" s="88"/>
      <c r="Q3285" s="88"/>
      <c r="R3285" s="88"/>
      <c r="S3285" s="620"/>
      <c r="T3285" s="92"/>
      <c r="U3285" s="1214"/>
      <c r="V3285" s="1215"/>
      <c r="W3285" s="168"/>
      <c r="X3285" s="170"/>
    </row>
    <row r="3286" spans="1:24" ht="12.75" customHeight="1">
      <c r="A3286" s="15"/>
      <c r="B3286" s="92" t="str">
        <f t="shared" si="367"/>
        <v/>
      </c>
      <c r="C3286" s="90"/>
      <c r="D3286" s="87"/>
      <c r="E3286" s="88"/>
      <c r="F3286" s="173"/>
      <c r="G3286" s="88"/>
      <c r="H3286" s="88"/>
      <c r="I3286" s="88"/>
      <c r="J3286" s="88"/>
      <c r="K3286" s="230"/>
      <c r="L3286" s="88"/>
      <c r="M3286" s="88"/>
      <c r="N3286" s="88"/>
      <c r="O3286" s="88"/>
      <c r="P3286" s="88"/>
      <c r="Q3286" s="88"/>
      <c r="R3286" s="88"/>
      <c r="S3286" s="620"/>
      <c r="T3286" s="92"/>
      <c r="U3286" s="1214"/>
      <c r="V3286" s="1215"/>
      <c r="W3286" s="168"/>
      <c r="X3286" s="170"/>
    </row>
    <row r="3287" spans="1:24" ht="12.75" customHeight="1">
      <c r="A3287" s="15"/>
      <c r="B3287" s="92" t="str">
        <f t="shared" si="367"/>
        <v/>
      </c>
      <c r="C3287" s="90"/>
      <c r="D3287" s="87"/>
      <c r="E3287" s="88"/>
      <c r="F3287" s="173"/>
      <c r="G3287" s="88"/>
      <c r="H3287" s="88"/>
      <c r="I3287" s="88"/>
      <c r="J3287" s="88"/>
      <c r="K3287" s="230"/>
      <c r="L3287" s="88"/>
      <c r="M3287" s="88"/>
      <c r="N3287" s="88"/>
      <c r="O3287" s="88"/>
      <c r="P3287" s="88"/>
      <c r="Q3287" s="88"/>
      <c r="R3287" s="88"/>
      <c r="S3287" s="620"/>
      <c r="T3287" s="92"/>
      <c r="U3287" s="1214"/>
      <c r="V3287" s="1215"/>
      <c r="W3287" s="168"/>
      <c r="X3287" s="170"/>
    </row>
    <row r="3288" spans="1:24" ht="12.75" customHeight="1">
      <c r="A3288" s="15"/>
      <c r="B3288" s="92" t="str">
        <f t="shared" si="367"/>
        <v/>
      </c>
      <c r="C3288" s="90"/>
      <c r="D3288" s="87"/>
      <c r="E3288" s="88"/>
      <c r="F3288" s="173"/>
      <c r="G3288" s="88"/>
      <c r="H3288" s="88"/>
      <c r="I3288" s="88"/>
      <c r="J3288" s="88"/>
      <c r="K3288" s="230"/>
      <c r="L3288" s="88"/>
      <c r="M3288" s="88"/>
      <c r="N3288" s="88"/>
      <c r="O3288" s="88"/>
      <c r="P3288" s="88"/>
      <c r="Q3288" s="88"/>
      <c r="R3288" s="88"/>
      <c r="S3288" s="620"/>
      <c r="T3288" s="92"/>
      <c r="U3288" s="1214"/>
      <c r="V3288" s="1215"/>
      <c r="W3288" s="168"/>
      <c r="X3288" s="170"/>
    </row>
    <row r="3289" spans="1:24" ht="12.75" customHeight="1">
      <c r="A3289" s="15"/>
      <c r="B3289" s="92" t="str">
        <f t="shared" si="367"/>
        <v/>
      </c>
      <c r="C3289" s="90"/>
      <c r="D3289" s="87"/>
      <c r="E3289" s="88"/>
      <c r="F3289" s="173"/>
      <c r="G3289" s="88"/>
      <c r="H3289" s="88"/>
      <c r="I3289" s="88"/>
      <c r="J3289" s="88"/>
      <c r="K3289" s="230"/>
      <c r="L3289" s="88"/>
      <c r="M3289" s="88"/>
      <c r="N3289" s="88"/>
      <c r="O3289" s="88"/>
      <c r="P3289" s="88"/>
      <c r="Q3289" s="88"/>
      <c r="R3289" s="88"/>
      <c r="S3289" s="620"/>
      <c r="T3289" s="92"/>
      <c r="U3289" s="1214"/>
      <c r="V3289" s="1215"/>
      <c r="W3289" s="168"/>
      <c r="X3289" s="170"/>
    </row>
    <row r="3290" spans="1:24" ht="12.75" customHeight="1">
      <c r="A3290" s="15"/>
      <c r="B3290" s="92" t="str">
        <f t="shared" si="367"/>
        <v/>
      </c>
      <c r="C3290" s="90"/>
      <c r="D3290" s="87"/>
      <c r="E3290" s="88"/>
      <c r="F3290" s="173"/>
      <c r="G3290" s="88"/>
      <c r="H3290" s="88"/>
      <c r="I3290" s="88"/>
      <c r="J3290" s="88"/>
      <c r="K3290" s="230"/>
      <c r="L3290" s="88"/>
      <c r="M3290" s="88"/>
      <c r="N3290" s="88"/>
      <c r="O3290" s="88"/>
      <c r="P3290" s="88"/>
      <c r="Q3290" s="88"/>
      <c r="R3290" s="88"/>
      <c r="S3290" s="620"/>
      <c r="T3290" s="92"/>
      <c r="U3290" s="1214"/>
      <c r="V3290" s="1215"/>
      <c r="W3290" s="168"/>
      <c r="X3290" s="170"/>
    </row>
    <row r="3291" spans="1:24" ht="12.75" customHeight="1">
      <c r="A3291" s="15"/>
      <c r="B3291" s="92" t="str">
        <f t="shared" si="367"/>
        <v/>
      </c>
      <c r="C3291" s="90"/>
      <c r="D3291" s="87"/>
      <c r="E3291" s="88"/>
      <c r="F3291" s="173"/>
      <c r="G3291" s="88"/>
      <c r="H3291" s="88"/>
      <c r="I3291" s="88"/>
      <c r="J3291" s="88"/>
      <c r="K3291" s="230"/>
      <c r="L3291" s="88"/>
      <c r="M3291" s="88"/>
      <c r="N3291" s="88"/>
      <c r="O3291" s="88"/>
      <c r="P3291" s="88"/>
      <c r="Q3291" s="88"/>
      <c r="R3291" s="88"/>
      <c r="S3291" s="620"/>
      <c r="T3291" s="92"/>
      <c r="U3291" s="1214"/>
      <c r="V3291" s="1215"/>
      <c r="W3291" s="168"/>
      <c r="X3291" s="170"/>
    </row>
    <row r="3292" spans="1:24" ht="12.75" customHeight="1">
      <c r="A3292" s="15"/>
      <c r="B3292" s="92" t="str">
        <f t="shared" si="367"/>
        <v/>
      </c>
      <c r="C3292" s="90"/>
      <c r="D3292" s="87"/>
      <c r="E3292" s="88"/>
      <c r="F3292" s="173"/>
      <c r="G3292" s="88"/>
      <c r="H3292" s="88"/>
      <c r="I3292" s="88"/>
      <c r="J3292" s="88"/>
      <c r="K3292" s="230"/>
      <c r="L3292" s="88"/>
      <c r="M3292" s="88"/>
      <c r="N3292" s="88"/>
      <c r="O3292" s="88"/>
      <c r="P3292" s="88"/>
      <c r="Q3292" s="88"/>
      <c r="R3292" s="88"/>
      <c r="S3292" s="620"/>
      <c r="T3292" s="92"/>
      <c r="U3292" s="1214"/>
      <c r="V3292" s="1215"/>
      <c r="W3292" s="168"/>
      <c r="X3292" s="170"/>
    </row>
    <row r="3293" spans="1:24" ht="12.75" customHeight="1">
      <c r="A3293" s="15"/>
      <c r="B3293" s="92" t="str">
        <f t="shared" si="367"/>
        <v/>
      </c>
      <c r="C3293" s="90"/>
      <c r="D3293" s="87"/>
      <c r="E3293" s="88"/>
      <c r="F3293" s="173"/>
      <c r="G3293" s="88"/>
      <c r="H3293" s="88"/>
      <c r="I3293" s="88"/>
      <c r="J3293" s="88"/>
      <c r="K3293" s="230"/>
      <c r="L3293" s="88"/>
      <c r="M3293" s="88"/>
      <c r="N3293" s="88"/>
      <c r="O3293" s="88"/>
      <c r="P3293" s="88"/>
      <c r="Q3293" s="88"/>
      <c r="R3293" s="88"/>
      <c r="S3293" s="620"/>
      <c r="T3293" s="92"/>
      <c r="U3293" s="1214"/>
      <c r="V3293" s="1215"/>
      <c r="W3293" s="168"/>
      <c r="X3293" s="170"/>
    </row>
    <row r="3294" spans="1:24" ht="12.75" customHeight="1">
      <c r="A3294" s="15"/>
      <c r="B3294" s="92" t="str">
        <f t="shared" si="367"/>
        <v/>
      </c>
      <c r="C3294" s="90"/>
      <c r="D3294" s="87"/>
      <c r="E3294" s="88"/>
      <c r="F3294" s="173"/>
      <c r="G3294" s="88"/>
      <c r="H3294" s="88"/>
      <c r="I3294" s="88"/>
      <c r="J3294" s="88"/>
      <c r="K3294" s="230"/>
      <c r="L3294" s="88"/>
      <c r="M3294" s="88"/>
      <c r="N3294" s="88"/>
      <c r="O3294" s="88"/>
      <c r="P3294" s="88"/>
      <c r="Q3294" s="88"/>
      <c r="R3294" s="88"/>
      <c r="S3294" s="620"/>
      <c r="T3294" s="92"/>
      <c r="U3294" s="1214"/>
      <c r="V3294" s="1215"/>
      <c r="W3294" s="168"/>
      <c r="X3294" s="170"/>
    </row>
    <row r="3295" spans="1:24" ht="12.75" customHeight="1">
      <c r="A3295" s="15"/>
      <c r="B3295" s="92" t="str">
        <f t="shared" si="367"/>
        <v/>
      </c>
      <c r="C3295" s="90"/>
      <c r="D3295" s="87"/>
      <c r="E3295" s="88"/>
      <c r="F3295" s="173"/>
      <c r="G3295" s="88"/>
      <c r="H3295" s="88"/>
      <c r="I3295" s="88"/>
      <c r="J3295" s="88"/>
      <c r="K3295" s="230"/>
      <c r="L3295" s="88"/>
      <c r="M3295" s="88"/>
      <c r="N3295" s="88"/>
      <c r="O3295" s="88"/>
      <c r="P3295" s="88"/>
      <c r="Q3295" s="88"/>
      <c r="R3295" s="88"/>
      <c r="S3295" s="620"/>
      <c r="T3295" s="92"/>
      <c r="U3295" s="1214"/>
      <c r="V3295" s="1215"/>
      <c r="W3295" s="168"/>
      <c r="X3295" s="170"/>
    </row>
    <row r="3296" spans="1:24" ht="12.75" customHeight="1">
      <c r="A3296" s="15"/>
      <c r="B3296" s="92" t="str">
        <f t="shared" si="367"/>
        <v/>
      </c>
      <c r="C3296" s="90"/>
      <c r="D3296" s="87"/>
      <c r="E3296" s="88"/>
      <c r="F3296" s="173"/>
      <c r="G3296" s="88"/>
      <c r="H3296" s="88"/>
      <c r="I3296" s="88"/>
      <c r="J3296" s="88"/>
      <c r="K3296" s="230"/>
      <c r="L3296" s="88"/>
      <c r="M3296" s="88"/>
      <c r="N3296" s="88"/>
      <c r="O3296" s="88"/>
      <c r="P3296" s="88"/>
      <c r="Q3296" s="88"/>
      <c r="R3296" s="88"/>
      <c r="S3296" s="620"/>
      <c r="T3296" s="92"/>
      <c r="U3296" s="1214"/>
      <c r="V3296" s="1215"/>
      <c r="W3296" s="168"/>
      <c r="X3296" s="170"/>
    </row>
    <row r="3297" spans="1:24" ht="12.75" customHeight="1">
      <c r="A3297" s="15"/>
      <c r="B3297" s="92" t="str">
        <f t="shared" si="367"/>
        <v/>
      </c>
      <c r="C3297" s="90"/>
      <c r="D3297" s="87"/>
      <c r="E3297" s="88"/>
      <c r="F3297" s="173"/>
      <c r="G3297" s="88"/>
      <c r="H3297" s="88"/>
      <c r="I3297" s="88"/>
      <c r="J3297" s="88"/>
      <c r="K3297" s="230"/>
      <c r="L3297" s="88"/>
      <c r="M3297" s="88"/>
      <c r="N3297" s="88"/>
      <c r="O3297" s="88"/>
      <c r="P3297" s="88"/>
      <c r="Q3297" s="88"/>
      <c r="R3297" s="88"/>
      <c r="S3297" s="620"/>
      <c r="T3297" s="92"/>
      <c r="U3297" s="1214"/>
      <c r="V3297" s="1215"/>
      <c r="W3297" s="168"/>
      <c r="X3297" s="170"/>
    </row>
    <row r="3298" spans="1:24" ht="12.75" customHeight="1">
      <c r="A3298" s="15"/>
      <c r="B3298" s="92" t="str">
        <f t="shared" si="367"/>
        <v/>
      </c>
      <c r="C3298" s="90"/>
      <c r="D3298" s="87"/>
      <c r="E3298" s="88"/>
      <c r="F3298" s="173"/>
      <c r="G3298" s="88"/>
      <c r="H3298" s="88"/>
      <c r="I3298" s="88"/>
      <c r="J3298" s="88"/>
      <c r="K3298" s="230"/>
      <c r="L3298" s="88"/>
      <c r="M3298" s="88"/>
      <c r="N3298" s="88"/>
      <c r="O3298" s="88"/>
      <c r="P3298" s="88"/>
      <c r="Q3298" s="88"/>
      <c r="R3298" s="88"/>
      <c r="S3298" s="620"/>
      <c r="T3298" s="92"/>
      <c r="U3298" s="1214"/>
      <c r="V3298" s="1215"/>
      <c r="W3298" s="168"/>
      <c r="X3298" s="170"/>
    </row>
    <row r="3299" spans="1:24" ht="12.75" customHeight="1">
      <c r="A3299" s="15"/>
      <c r="B3299" s="92" t="str">
        <f t="shared" si="367"/>
        <v/>
      </c>
      <c r="C3299" s="90"/>
      <c r="D3299" s="87"/>
      <c r="E3299" s="88"/>
      <c r="F3299" s="173"/>
      <c r="G3299" s="88"/>
      <c r="H3299" s="88"/>
      <c r="I3299" s="88"/>
      <c r="J3299" s="88"/>
      <c r="K3299" s="230"/>
      <c r="L3299" s="88"/>
      <c r="M3299" s="88"/>
      <c r="N3299" s="88"/>
      <c r="O3299" s="88"/>
      <c r="P3299" s="88"/>
      <c r="Q3299" s="88"/>
      <c r="R3299" s="88"/>
      <c r="S3299" s="620"/>
      <c r="T3299" s="92"/>
      <c r="U3299" s="1214"/>
      <c r="V3299" s="1215"/>
      <c r="W3299" s="168"/>
      <c r="X3299" s="170"/>
    </row>
    <row r="3300" spans="1:24" ht="12.75" customHeight="1">
      <c r="A3300" s="15"/>
      <c r="B3300" s="92" t="str">
        <f t="shared" si="367"/>
        <v/>
      </c>
      <c r="C3300" s="90"/>
      <c r="D3300" s="87"/>
      <c r="E3300" s="88"/>
      <c r="F3300" s="173"/>
      <c r="G3300" s="88"/>
      <c r="H3300" s="88"/>
      <c r="I3300" s="88"/>
      <c r="J3300" s="88"/>
      <c r="K3300" s="230"/>
      <c r="L3300" s="88"/>
      <c r="M3300" s="88"/>
      <c r="N3300" s="88"/>
      <c r="O3300" s="88"/>
      <c r="P3300" s="88"/>
      <c r="Q3300" s="88"/>
      <c r="R3300" s="88"/>
      <c r="S3300" s="620"/>
      <c r="T3300" s="92"/>
      <c r="U3300" s="1214"/>
      <c r="V3300" s="1215"/>
      <c r="W3300" s="168"/>
      <c r="X3300" s="170"/>
    </row>
    <row r="3301" spans="1:24" ht="12.75" customHeight="1">
      <c r="A3301" s="15"/>
      <c r="B3301" s="92" t="str">
        <f t="shared" si="367"/>
        <v/>
      </c>
      <c r="C3301" s="90"/>
      <c r="D3301" s="87"/>
      <c r="E3301" s="88"/>
      <c r="F3301" s="173"/>
      <c r="G3301" s="88"/>
      <c r="H3301" s="88"/>
      <c r="I3301" s="88"/>
      <c r="J3301" s="88"/>
      <c r="K3301" s="230"/>
      <c r="L3301" s="88"/>
      <c r="M3301" s="88"/>
      <c r="N3301" s="88"/>
      <c r="O3301" s="88"/>
      <c r="P3301" s="88"/>
      <c r="Q3301" s="88"/>
      <c r="R3301" s="88"/>
      <c r="S3301" s="620"/>
      <c r="T3301" s="92"/>
      <c r="U3301" s="1214"/>
      <c r="V3301" s="1215"/>
      <c r="W3301" s="168"/>
      <c r="X3301" s="170"/>
    </row>
    <row r="3302" spans="1:24" ht="12.75" customHeight="1">
      <c r="A3302" s="15"/>
      <c r="B3302" s="92" t="str">
        <f t="shared" si="367"/>
        <v/>
      </c>
      <c r="C3302" s="90"/>
      <c r="D3302" s="87"/>
      <c r="E3302" s="88"/>
      <c r="F3302" s="173"/>
      <c r="G3302" s="88"/>
      <c r="H3302" s="88"/>
      <c r="I3302" s="88"/>
      <c r="J3302" s="88"/>
      <c r="K3302" s="230"/>
      <c r="L3302" s="88"/>
      <c r="M3302" s="88"/>
      <c r="N3302" s="88"/>
      <c r="O3302" s="88"/>
      <c r="P3302" s="88"/>
      <c r="Q3302" s="88"/>
      <c r="R3302" s="88"/>
      <c r="S3302" s="620"/>
      <c r="T3302" s="92"/>
      <c r="U3302" s="1214"/>
      <c r="V3302" s="1215"/>
      <c r="W3302" s="168"/>
      <c r="X3302" s="170"/>
    </row>
    <row r="3303" spans="1:24" ht="12.75" customHeight="1">
      <c r="A3303" s="15"/>
      <c r="B3303" s="92" t="str">
        <f t="shared" si="367"/>
        <v/>
      </c>
      <c r="C3303" s="90"/>
      <c r="D3303" s="87"/>
      <c r="E3303" s="88"/>
      <c r="F3303" s="173"/>
      <c r="G3303" s="88"/>
      <c r="H3303" s="88"/>
      <c r="I3303" s="88"/>
      <c r="J3303" s="88"/>
      <c r="K3303" s="230"/>
      <c r="L3303" s="88"/>
      <c r="M3303" s="88"/>
      <c r="N3303" s="88"/>
      <c r="O3303" s="88"/>
      <c r="P3303" s="88"/>
      <c r="Q3303" s="88"/>
      <c r="R3303" s="88"/>
      <c r="S3303" s="620"/>
      <c r="T3303" s="92"/>
      <c r="U3303" s="1214"/>
      <c r="V3303" s="1215"/>
      <c r="W3303" s="168"/>
      <c r="X3303" s="170"/>
    </row>
    <row r="3304" spans="1:24" ht="12.75" customHeight="1">
      <c r="A3304" s="15"/>
      <c r="B3304" s="92" t="str">
        <f t="shared" si="367"/>
        <v/>
      </c>
      <c r="C3304" s="90"/>
      <c r="D3304" s="87"/>
      <c r="E3304" s="88"/>
      <c r="F3304" s="173"/>
      <c r="G3304" s="88"/>
      <c r="H3304" s="88"/>
      <c r="I3304" s="88"/>
      <c r="J3304" s="88"/>
      <c r="K3304" s="230"/>
      <c r="L3304" s="88"/>
      <c r="M3304" s="88"/>
      <c r="N3304" s="88"/>
      <c r="O3304" s="88"/>
      <c r="P3304" s="88"/>
      <c r="Q3304" s="88"/>
      <c r="R3304" s="88"/>
      <c r="S3304" s="620"/>
      <c r="T3304" s="92"/>
      <c r="U3304" s="1214"/>
      <c r="V3304" s="1215"/>
      <c r="W3304" s="168"/>
      <c r="X3304" s="170"/>
    </row>
    <row r="3305" spans="1:24" ht="12.75" customHeight="1">
      <c r="A3305" s="15"/>
      <c r="B3305" s="92" t="str">
        <f t="shared" si="367"/>
        <v/>
      </c>
      <c r="C3305" s="90"/>
      <c r="D3305" s="87"/>
      <c r="E3305" s="88"/>
      <c r="F3305" s="173"/>
      <c r="G3305" s="88"/>
      <c r="H3305" s="88"/>
      <c r="I3305" s="88"/>
      <c r="J3305" s="88"/>
      <c r="K3305" s="230"/>
      <c r="L3305" s="88"/>
      <c r="M3305" s="88"/>
      <c r="N3305" s="88"/>
      <c r="O3305" s="88"/>
      <c r="P3305" s="88"/>
      <c r="Q3305" s="88"/>
      <c r="R3305" s="88"/>
      <c r="S3305" s="620"/>
      <c r="T3305" s="92"/>
      <c r="U3305" s="1214"/>
      <c r="V3305" s="1215"/>
      <c r="W3305" s="168"/>
      <c r="X3305" s="170"/>
    </row>
    <row r="3306" spans="1:24" ht="12.75" customHeight="1">
      <c r="A3306" s="15"/>
      <c r="B3306" s="92" t="str">
        <f t="shared" si="367"/>
        <v/>
      </c>
      <c r="C3306" s="90"/>
      <c r="D3306" s="87"/>
      <c r="E3306" s="88"/>
      <c r="F3306" s="173"/>
      <c r="G3306" s="88"/>
      <c r="H3306" s="88"/>
      <c r="I3306" s="88"/>
      <c r="J3306" s="88"/>
      <c r="K3306" s="230"/>
      <c r="L3306" s="88"/>
      <c r="M3306" s="88"/>
      <c r="N3306" s="88"/>
      <c r="O3306" s="88"/>
      <c r="P3306" s="88"/>
      <c r="Q3306" s="88"/>
      <c r="R3306" s="88"/>
      <c r="S3306" s="620"/>
      <c r="T3306" s="92"/>
      <c r="U3306" s="1214"/>
      <c r="V3306" s="1215"/>
      <c r="W3306" s="168"/>
      <c r="X3306" s="170"/>
    </row>
    <row r="3307" spans="1:24" ht="12.75" customHeight="1">
      <c r="A3307" s="15"/>
      <c r="B3307" s="92" t="str">
        <f t="shared" si="367"/>
        <v/>
      </c>
      <c r="C3307" s="90"/>
      <c r="D3307" s="87"/>
      <c r="E3307" s="88"/>
      <c r="F3307" s="173"/>
      <c r="G3307" s="88"/>
      <c r="H3307" s="88"/>
      <c r="I3307" s="88"/>
      <c r="J3307" s="88"/>
      <c r="K3307" s="230"/>
      <c r="L3307" s="88"/>
      <c r="M3307" s="88"/>
      <c r="N3307" s="88"/>
      <c r="O3307" s="88"/>
      <c r="P3307" s="88"/>
      <c r="Q3307" s="88"/>
      <c r="R3307" s="88"/>
      <c r="S3307" s="620"/>
      <c r="T3307" s="92"/>
      <c r="U3307" s="1214"/>
      <c r="V3307" s="1215"/>
      <c r="W3307" s="168"/>
      <c r="X3307" s="170"/>
    </row>
    <row r="3308" spans="1:24" ht="12.75" customHeight="1">
      <c r="A3308" s="15"/>
      <c r="B3308" s="92" t="str">
        <f t="shared" si="367"/>
        <v/>
      </c>
      <c r="C3308" s="90"/>
      <c r="D3308" s="87"/>
      <c r="E3308" s="88"/>
      <c r="F3308" s="173"/>
      <c r="G3308" s="88"/>
      <c r="H3308" s="88"/>
      <c r="I3308" s="88"/>
      <c r="J3308" s="88"/>
      <c r="K3308" s="230"/>
      <c r="L3308" s="88"/>
      <c r="M3308" s="88"/>
      <c r="N3308" s="88"/>
      <c r="O3308" s="88"/>
      <c r="P3308" s="88"/>
      <c r="Q3308" s="88"/>
      <c r="R3308" s="88"/>
      <c r="S3308" s="620"/>
      <c r="T3308" s="92"/>
      <c r="U3308" s="1214"/>
      <c r="V3308" s="1215"/>
      <c r="W3308" s="168"/>
      <c r="X3308" s="170"/>
    </row>
    <row r="3309" spans="1:24" ht="12.75" customHeight="1">
      <c r="A3309" s="15"/>
      <c r="B3309" s="92" t="str">
        <f t="shared" si="367"/>
        <v/>
      </c>
      <c r="C3309" s="90"/>
      <c r="D3309" s="87"/>
      <c r="E3309" s="88"/>
      <c r="F3309" s="173"/>
      <c r="G3309" s="88"/>
      <c r="H3309" s="88"/>
      <c r="I3309" s="88"/>
      <c r="J3309" s="88"/>
      <c r="K3309" s="230"/>
      <c r="L3309" s="88"/>
      <c r="M3309" s="88"/>
      <c r="N3309" s="88"/>
      <c r="O3309" s="88"/>
      <c r="P3309" s="88"/>
      <c r="Q3309" s="88"/>
      <c r="R3309" s="88"/>
      <c r="S3309" s="620"/>
      <c r="T3309" s="92"/>
      <c r="U3309" s="1214"/>
      <c r="V3309" s="1215"/>
      <c r="W3309" s="168"/>
      <c r="X3309" s="170"/>
    </row>
    <row r="3310" spans="1:24" ht="12.75" customHeight="1">
      <c r="A3310" s="15"/>
      <c r="B3310" s="92" t="str">
        <f t="shared" si="367"/>
        <v/>
      </c>
      <c r="C3310" s="90"/>
      <c r="D3310" s="87"/>
      <c r="E3310" s="88"/>
      <c r="F3310" s="173"/>
      <c r="G3310" s="88"/>
      <c r="H3310" s="88"/>
      <c r="I3310" s="88"/>
      <c r="J3310" s="88"/>
      <c r="K3310" s="230"/>
      <c r="L3310" s="88"/>
      <c r="M3310" s="88"/>
      <c r="N3310" s="88"/>
      <c r="O3310" s="88"/>
      <c r="P3310" s="88"/>
      <c r="Q3310" s="88"/>
      <c r="R3310" s="88"/>
      <c r="S3310" s="620"/>
      <c r="T3310" s="92"/>
      <c r="U3310" s="1214"/>
      <c r="V3310" s="1215"/>
      <c r="W3310" s="168"/>
      <c r="X3310" s="170"/>
    </row>
    <row r="3311" spans="1:24" ht="12.75" customHeight="1">
      <c r="A3311" s="15"/>
      <c r="B3311" s="92" t="str">
        <f t="shared" ref="B3311:B3374" si="368">IF(C3311="","",ROW()-5)</f>
        <v/>
      </c>
      <c r="C3311" s="90"/>
      <c r="D3311" s="87"/>
      <c r="E3311" s="88"/>
      <c r="F3311" s="173"/>
      <c r="G3311" s="88"/>
      <c r="H3311" s="88"/>
      <c r="I3311" s="88"/>
      <c r="J3311" s="88"/>
      <c r="K3311" s="230"/>
      <c r="L3311" s="88"/>
      <c r="M3311" s="88"/>
      <c r="N3311" s="88"/>
      <c r="O3311" s="88"/>
      <c r="P3311" s="88"/>
      <c r="Q3311" s="88"/>
      <c r="R3311" s="88"/>
      <c r="S3311" s="620"/>
      <c r="T3311" s="92"/>
      <c r="U3311" s="1214"/>
      <c r="V3311" s="1215"/>
      <c r="W3311" s="168"/>
      <c r="X3311" s="170"/>
    </row>
    <row r="3312" spans="1:24" ht="12.75" customHeight="1">
      <c r="A3312" s="15"/>
      <c r="B3312" s="92" t="str">
        <f t="shared" si="368"/>
        <v/>
      </c>
      <c r="C3312" s="90"/>
      <c r="D3312" s="87"/>
      <c r="E3312" s="88"/>
      <c r="F3312" s="173"/>
      <c r="G3312" s="88"/>
      <c r="H3312" s="88"/>
      <c r="I3312" s="88"/>
      <c r="J3312" s="88"/>
      <c r="K3312" s="230"/>
      <c r="L3312" s="88"/>
      <c r="M3312" s="88"/>
      <c r="N3312" s="88"/>
      <c r="O3312" s="88"/>
      <c r="P3312" s="88"/>
      <c r="Q3312" s="88"/>
      <c r="R3312" s="88"/>
      <c r="S3312" s="620"/>
      <c r="T3312" s="92"/>
      <c r="U3312" s="1214"/>
      <c r="V3312" s="1215"/>
      <c r="W3312" s="168"/>
      <c r="X3312" s="170"/>
    </row>
    <row r="3313" spans="1:24" ht="12.75" customHeight="1">
      <c r="A3313" s="15"/>
      <c r="B3313" s="92" t="str">
        <f t="shared" si="368"/>
        <v/>
      </c>
      <c r="C3313" s="90"/>
      <c r="D3313" s="87"/>
      <c r="E3313" s="88"/>
      <c r="F3313" s="173"/>
      <c r="G3313" s="88"/>
      <c r="H3313" s="88"/>
      <c r="I3313" s="88"/>
      <c r="J3313" s="88"/>
      <c r="K3313" s="230"/>
      <c r="L3313" s="88"/>
      <c r="M3313" s="88"/>
      <c r="N3313" s="88"/>
      <c r="O3313" s="88"/>
      <c r="P3313" s="88"/>
      <c r="Q3313" s="88"/>
      <c r="R3313" s="88"/>
      <c r="S3313" s="620"/>
      <c r="T3313" s="92"/>
      <c r="U3313" s="1214"/>
      <c r="V3313" s="1215"/>
      <c r="W3313" s="168"/>
      <c r="X3313" s="170"/>
    </row>
    <row r="3314" spans="1:24" ht="12.75" customHeight="1">
      <c r="A3314" s="15"/>
      <c r="B3314" s="92" t="str">
        <f t="shared" si="368"/>
        <v/>
      </c>
      <c r="C3314" s="90"/>
      <c r="D3314" s="87"/>
      <c r="E3314" s="88"/>
      <c r="F3314" s="173"/>
      <c r="G3314" s="88"/>
      <c r="H3314" s="88"/>
      <c r="I3314" s="88"/>
      <c r="J3314" s="88"/>
      <c r="K3314" s="230"/>
      <c r="L3314" s="88"/>
      <c r="M3314" s="88"/>
      <c r="N3314" s="88"/>
      <c r="O3314" s="88"/>
      <c r="P3314" s="88"/>
      <c r="Q3314" s="88"/>
      <c r="R3314" s="88"/>
      <c r="S3314" s="620"/>
      <c r="T3314" s="92"/>
      <c r="U3314" s="1214"/>
      <c r="V3314" s="1215"/>
      <c r="W3314" s="168"/>
      <c r="X3314" s="170"/>
    </row>
    <row r="3315" spans="1:24" ht="12.75" customHeight="1">
      <c r="A3315" s="15"/>
      <c r="B3315" s="92" t="str">
        <f t="shared" si="368"/>
        <v/>
      </c>
      <c r="C3315" s="90"/>
      <c r="D3315" s="87"/>
      <c r="E3315" s="88"/>
      <c r="F3315" s="173"/>
      <c r="G3315" s="88"/>
      <c r="H3315" s="88"/>
      <c r="I3315" s="88"/>
      <c r="J3315" s="88"/>
      <c r="K3315" s="230"/>
      <c r="L3315" s="88"/>
      <c r="M3315" s="88"/>
      <c r="N3315" s="88"/>
      <c r="O3315" s="88"/>
      <c r="P3315" s="88"/>
      <c r="Q3315" s="88"/>
      <c r="R3315" s="88"/>
      <c r="S3315" s="620"/>
      <c r="T3315" s="92"/>
      <c r="U3315" s="1214"/>
      <c r="V3315" s="1215"/>
      <c r="W3315" s="168"/>
      <c r="X3315" s="170"/>
    </row>
    <row r="3316" spans="1:24" ht="12.75" customHeight="1">
      <c r="A3316" s="15"/>
      <c r="B3316" s="92" t="str">
        <f t="shared" si="368"/>
        <v/>
      </c>
      <c r="C3316" s="90"/>
      <c r="D3316" s="87"/>
      <c r="E3316" s="88"/>
      <c r="F3316" s="173"/>
      <c r="G3316" s="88"/>
      <c r="H3316" s="88"/>
      <c r="I3316" s="88"/>
      <c r="J3316" s="88"/>
      <c r="K3316" s="230"/>
      <c r="L3316" s="88"/>
      <c r="M3316" s="88"/>
      <c r="N3316" s="88"/>
      <c r="O3316" s="88"/>
      <c r="P3316" s="88"/>
      <c r="Q3316" s="88"/>
      <c r="R3316" s="88"/>
      <c r="S3316" s="620"/>
      <c r="T3316" s="92"/>
      <c r="U3316" s="1214"/>
      <c r="V3316" s="1215"/>
      <c r="W3316" s="168"/>
      <c r="X3316" s="170"/>
    </row>
    <row r="3317" spans="1:24" ht="12.75" customHeight="1">
      <c r="A3317" s="15"/>
      <c r="B3317" s="92" t="str">
        <f t="shared" si="368"/>
        <v/>
      </c>
      <c r="C3317" s="90"/>
      <c r="D3317" s="87"/>
      <c r="E3317" s="88"/>
      <c r="F3317" s="173"/>
      <c r="G3317" s="88"/>
      <c r="H3317" s="88"/>
      <c r="I3317" s="88"/>
      <c r="J3317" s="88"/>
      <c r="K3317" s="230"/>
      <c r="L3317" s="88"/>
      <c r="M3317" s="88"/>
      <c r="N3317" s="88"/>
      <c r="O3317" s="88"/>
      <c r="P3317" s="88"/>
      <c r="Q3317" s="88"/>
      <c r="R3317" s="88"/>
      <c r="S3317" s="620"/>
      <c r="T3317" s="92"/>
      <c r="U3317" s="1214"/>
      <c r="V3317" s="1215"/>
      <c r="W3317" s="168"/>
      <c r="X3317" s="170"/>
    </row>
    <row r="3318" spans="1:24" ht="12.75" customHeight="1">
      <c r="A3318" s="15"/>
      <c r="B3318" s="92" t="str">
        <f t="shared" si="368"/>
        <v/>
      </c>
      <c r="C3318" s="90"/>
      <c r="D3318" s="87"/>
      <c r="E3318" s="88"/>
      <c r="F3318" s="173"/>
      <c r="G3318" s="88"/>
      <c r="H3318" s="88"/>
      <c r="I3318" s="88"/>
      <c r="J3318" s="88"/>
      <c r="K3318" s="230"/>
      <c r="L3318" s="88"/>
      <c r="M3318" s="88"/>
      <c r="N3318" s="88"/>
      <c r="O3318" s="88"/>
      <c r="P3318" s="88"/>
      <c r="Q3318" s="88"/>
      <c r="R3318" s="88"/>
      <c r="S3318" s="620"/>
      <c r="T3318" s="92"/>
      <c r="U3318" s="1214"/>
      <c r="V3318" s="1215"/>
      <c r="W3318" s="168"/>
      <c r="X3318" s="170"/>
    </row>
    <row r="3319" spans="1:24" ht="12.75" customHeight="1">
      <c r="A3319" s="15"/>
      <c r="B3319" s="92" t="str">
        <f t="shared" si="368"/>
        <v/>
      </c>
      <c r="C3319" s="90"/>
      <c r="D3319" s="87"/>
      <c r="E3319" s="88"/>
      <c r="F3319" s="173"/>
      <c r="G3319" s="88"/>
      <c r="H3319" s="88"/>
      <c r="I3319" s="88"/>
      <c r="J3319" s="88"/>
      <c r="K3319" s="230"/>
      <c r="L3319" s="88"/>
      <c r="M3319" s="88"/>
      <c r="N3319" s="88"/>
      <c r="O3319" s="88"/>
      <c r="P3319" s="88"/>
      <c r="Q3319" s="88"/>
      <c r="R3319" s="88"/>
      <c r="S3319" s="620"/>
      <c r="T3319" s="92"/>
      <c r="U3319" s="1214"/>
      <c r="V3319" s="1215"/>
      <c r="W3319" s="168"/>
      <c r="X3319" s="170"/>
    </row>
    <row r="3320" spans="1:24" ht="12.75" customHeight="1">
      <c r="A3320" s="15"/>
      <c r="B3320" s="92" t="str">
        <f t="shared" si="368"/>
        <v/>
      </c>
      <c r="C3320" s="90"/>
      <c r="D3320" s="87"/>
      <c r="E3320" s="88"/>
      <c r="F3320" s="173"/>
      <c r="G3320" s="88"/>
      <c r="H3320" s="88"/>
      <c r="I3320" s="88"/>
      <c r="J3320" s="88"/>
      <c r="K3320" s="230"/>
      <c r="L3320" s="88"/>
      <c r="M3320" s="88"/>
      <c r="N3320" s="88"/>
      <c r="O3320" s="88"/>
      <c r="P3320" s="88"/>
      <c r="Q3320" s="88"/>
      <c r="R3320" s="88"/>
      <c r="S3320" s="620"/>
      <c r="T3320" s="92"/>
      <c r="U3320" s="1214"/>
      <c r="V3320" s="1215"/>
      <c r="W3320" s="168"/>
      <c r="X3320" s="170"/>
    </row>
    <row r="3321" spans="1:24" ht="12.75" customHeight="1">
      <c r="A3321" s="15"/>
      <c r="B3321" s="92" t="str">
        <f t="shared" si="368"/>
        <v/>
      </c>
      <c r="C3321" s="90"/>
      <c r="D3321" s="87"/>
      <c r="E3321" s="88"/>
      <c r="F3321" s="173"/>
      <c r="G3321" s="88"/>
      <c r="H3321" s="88"/>
      <c r="I3321" s="88"/>
      <c r="J3321" s="88"/>
      <c r="K3321" s="230"/>
      <c r="L3321" s="88"/>
      <c r="M3321" s="88"/>
      <c r="N3321" s="88"/>
      <c r="O3321" s="88"/>
      <c r="P3321" s="88"/>
      <c r="Q3321" s="88"/>
      <c r="R3321" s="88"/>
      <c r="S3321" s="620"/>
      <c r="T3321" s="92"/>
      <c r="U3321" s="1214"/>
      <c r="V3321" s="1215"/>
      <c r="W3321" s="168"/>
      <c r="X3321" s="170"/>
    </row>
    <row r="3322" spans="1:24" ht="12.75" customHeight="1">
      <c r="A3322" s="15"/>
      <c r="B3322" s="92" t="str">
        <f t="shared" si="368"/>
        <v/>
      </c>
      <c r="C3322" s="90"/>
      <c r="D3322" s="87"/>
      <c r="E3322" s="88"/>
      <c r="F3322" s="173"/>
      <c r="G3322" s="88"/>
      <c r="H3322" s="88"/>
      <c r="I3322" s="88"/>
      <c r="J3322" s="88"/>
      <c r="K3322" s="230"/>
      <c r="L3322" s="88"/>
      <c r="M3322" s="88"/>
      <c r="N3322" s="88"/>
      <c r="O3322" s="88"/>
      <c r="P3322" s="88"/>
      <c r="Q3322" s="88"/>
      <c r="R3322" s="88"/>
      <c r="S3322" s="620"/>
      <c r="T3322" s="92"/>
      <c r="U3322" s="1214"/>
      <c r="V3322" s="1215"/>
      <c r="W3322" s="168"/>
      <c r="X3322" s="170"/>
    </row>
    <row r="3323" spans="1:24" ht="12.75" customHeight="1">
      <c r="A3323" s="15"/>
      <c r="B3323" s="92" t="str">
        <f t="shared" si="368"/>
        <v/>
      </c>
      <c r="C3323" s="90"/>
      <c r="D3323" s="87"/>
      <c r="E3323" s="88"/>
      <c r="F3323" s="173"/>
      <c r="G3323" s="88"/>
      <c r="H3323" s="88"/>
      <c r="I3323" s="88"/>
      <c r="J3323" s="88"/>
      <c r="K3323" s="230"/>
      <c r="L3323" s="88"/>
      <c r="M3323" s="88"/>
      <c r="N3323" s="88"/>
      <c r="O3323" s="88"/>
      <c r="P3323" s="88"/>
      <c r="Q3323" s="88"/>
      <c r="R3323" s="88"/>
      <c r="S3323" s="620"/>
      <c r="T3323" s="92"/>
      <c r="U3323" s="1214"/>
      <c r="V3323" s="1215"/>
      <c r="W3323" s="168"/>
      <c r="X3323" s="170"/>
    </row>
    <row r="3324" spans="1:24" ht="12.75" customHeight="1">
      <c r="A3324" s="15"/>
      <c r="B3324" s="92" t="str">
        <f t="shared" si="368"/>
        <v/>
      </c>
      <c r="C3324" s="90"/>
      <c r="D3324" s="87"/>
      <c r="E3324" s="88"/>
      <c r="F3324" s="173"/>
      <c r="G3324" s="88"/>
      <c r="H3324" s="88"/>
      <c r="I3324" s="88"/>
      <c r="J3324" s="88"/>
      <c r="K3324" s="230"/>
      <c r="L3324" s="88"/>
      <c r="M3324" s="88"/>
      <c r="N3324" s="88"/>
      <c r="O3324" s="88"/>
      <c r="P3324" s="88"/>
      <c r="Q3324" s="88"/>
      <c r="R3324" s="88"/>
      <c r="S3324" s="620"/>
      <c r="T3324" s="92"/>
      <c r="U3324" s="1214"/>
      <c r="V3324" s="1215"/>
      <c r="W3324" s="168"/>
      <c r="X3324" s="170"/>
    </row>
    <row r="3325" spans="1:24" ht="12.75" customHeight="1">
      <c r="A3325" s="15"/>
      <c r="B3325" s="92" t="str">
        <f t="shared" si="368"/>
        <v/>
      </c>
      <c r="C3325" s="90"/>
      <c r="D3325" s="87"/>
      <c r="E3325" s="88"/>
      <c r="F3325" s="173"/>
      <c r="G3325" s="88"/>
      <c r="H3325" s="88"/>
      <c r="I3325" s="88"/>
      <c r="J3325" s="88"/>
      <c r="K3325" s="230"/>
      <c r="L3325" s="88"/>
      <c r="M3325" s="88"/>
      <c r="N3325" s="88"/>
      <c r="O3325" s="88"/>
      <c r="P3325" s="88"/>
      <c r="Q3325" s="88"/>
      <c r="R3325" s="88"/>
      <c r="S3325" s="620"/>
      <c r="T3325" s="92"/>
      <c r="U3325" s="1214"/>
      <c r="V3325" s="1215"/>
      <c r="W3325" s="168"/>
      <c r="X3325" s="170"/>
    </row>
    <row r="3326" spans="1:24" ht="12.75" customHeight="1">
      <c r="A3326" s="15"/>
      <c r="B3326" s="92" t="str">
        <f t="shared" si="368"/>
        <v/>
      </c>
      <c r="C3326" s="90"/>
      <c r="D3326" s="87"/>
      <c r="E3326" s="88"/>
      <c r="F3326" s="173"/>
      <c r="G3326" s="88"/>
      <c r="H3326" s="88"/>
      <c r="I3326" s="88"/>
      <c r="J3326" s="88"/>
      <c r="K3326" s="230"/>
      <c r="L3326" s="88"/>
      <c r="M3326" s="88"/>
      <c r="N3326" s="88"/>
      <c r="O3326" s="88"/>
      <c r="P3326" s="88"/>
      <c r="Q3326" s="88"/>
      <c r="R3326" s="88"/>
      <c r="S3326" s="620"/>
      <c r="T3326" s="92"/>
      <c r="U3326" s="1214"/>
      <c r="V3326" s="1215"/>
      <c r="W3326" s="168"/>
      <c r="X3326" s="170"/>
    </row>
    <row r="3327" spans="1:24" ht="12.75" customHeight="1">
      <c r="A3327" s="15"/>
      <c r="B3327" s="92" t="str">
        <f t="shared" si="368"/>
        <v/>
      </c>
      <c r="C3327" s="90"/>
      <c r="D3327" s="87"/>
      <c r="E3327" s="88"/>
      <c r="F3327" s="173"/>
      <c r="G3327" s="88"/>
      <c r="H3327" s="88"/>
      <c r="I3327" s="88"/>
      <c r="J3327" s="88"/>
      <c r="K3327" s="230"/>
      <c r="L3327" s="88"/>
      <c r="M3327" s="88"/>
      <c r="N3327" s="88"/>
      <c r="O3327" s="88"/>
      <c r="P3327" s="88"/>
      <c r="Q3327" s="88"/>
      <c r="R3327" s="88"/>
      <c r="S3327" s="620"/>
      <c r="T3327" s="92"/>
      <c r="U3327" s="1214"/>
      <c r="V3327" s="1215"/>
      <c r="W3327" s="168"/>
      <c r="X3327" s="170"/>
    </row>
    <row r="3328" spans="1:24" ht="12.75" customHeight="1">
      <c r="A3328" s="15"/>
      <c r="B3328" s="92" t="str">
        <f t="shared" si="368"/>
        <v/>
      </c>
      <c r="C3328" s="90"/>
      <c r="D3328" s="87"/>
      <c r="E3328" s="88"/>
      <c r="F3328" s="173"/>
      <c r="G3328" s="88"/>
      <c r="H3328" s="88"/>
      <c r="I3328" s="88"/>
      <c r="J3328" s="88"/>
      <c r="K3328" s="230"/>
      <c r="L3328" s="88"/>
      <c r="M3328" s="88"/>
      <c r="N3328" s="88"/>
      <c r="O3328" s="88"/>
      <c r="P3328" s="88"/>
      <c r="Q3328" s="88"/>
      <c r="R3328" s="88"/>
      <c r="S3328" s="620"/>
      <c r="T3328" s="92"/>
      <c r="U3328" s="1214"/>
      <c r="V3328" s="1215"/>
      <c r="W3328" s="168"/>
      <c r="X3328" s="170"/>
    </row>
    <row r="3329" spans="1:24" ht="12.75" customHeight="1">
      <c r="A3329" s="15"/>
      <c r="B3329" s="92" t="str">
        <f t="shared" si="368"/>
        <v/>
      </c>
      <c r="C3329" s="90"/>
      <c r="D3329" s="87"/>
      <c r="E3329" s="88"/>
      <c r="F3329" s="173"/>
      <c r="G3329" s="88"/>
      <c r="H3329" s="88"/>
      <c r="I3329" s="88"/>
      <c r="J3329" s="88"/>
      <c r="K3329" s="230"/>
      <c r="L3329" s="88"/>
      <c r="M3329" s="88"/>
      <c r="N3329" s="88"/>
      <c r="O3329" s="88"/>
      <c r="P3329" s="88"/>
      <c r="Q3329" s="88"/>
      <c r="R3329" s="88"/>
      <c r="S3329" s="620"/>
      <c r="T3329" s="92"/>
      <c r="U3329" s="1214"/>
      <c r="V3329" s="1215"/>
      <c r="W3329" s="168"/>
      <c r="X3329" s="170"/>
    </row>
    <row r="3330" spans="1:24" ht="12.75" customHeight="1">
      <c r="A3330" s="15"/>
      <c r="B3330" s="92" t="str">
        <f t="shared" si="368"/>
        <v/>
      </c>
      <c r="C3330" s="90"/>
      <c r="D3330" s="87"/>
      <c r="E3330" s="88"/>
      <c r="F3330" s="173"/>
      <c r="G3330" s="88"/>
      <c r="H3330" s="88"/>
      <c r="I3330" s="88"/>
      <c r="J3330" s="88"/>
      <c r="K3330" s="230"/>
      <c r="L3330" s="88"/>
      <c r="M3330" s="88"/>
      <c r="N3330" s="88"/>
      <c r="O3330" s="88"/>
      <c r="P3330" s="88"/>
      <c r="Q3330" s="88"/>
      <c r="R3330" s="88"/>
      <c r="S3330" s="620"/>
      <c r="T3330" s="92"/>
      <c r="U3330" s="1214"/>
      <c r="V3330" s="1215"/>
      <c r="W3330" s="168"/>
      <c r="X3330" s="170"/>
    </row>
    <row r="3331" spans="1:24" ht="12.75" customHeight="1">
      <c r="A3331" s="15"/>
      <c r="B3331" s="92" t="str">
        <f t="shared" si="368"/>
        <v/>
      </c>
      <c r="C3331" s="90"/>
      <c r="D3331" s="87"/>
      <c r="E3331" s="88"/>
      <c r="F3331" s="173"/>
      <c r="G3331" s="88"/>
      <c r="H3331" s="88"/>
      <c r="I3331" s="88"/>
      <c r="J3331" s="88"/>
      <c r="K3331" s="230"/>
      <c r="L3331" s="88"/>
      <c r="M3331" s="88"/>
      <c r="N3331" s="88"/>
      <c r="O3331" s="88"/>
      <c r="P3331" s="88"/>
      <c r="Q3331" s="88"/>
      <c r="R3331" s="88"/>
      <c r="S3331" s="620"/>
      <c r="T3331" s="92"/>
      <c r="U3331" s="1214"/>
      <c r="V3331" s="1215"/>
      <c r="W3331" s="168"/>
      <c r="X3331" s="170"/>
    </row>
    <row r="3332" spans="1:24" ht="12.75" customHeight="1">
      <c r="A3332" s="15"/>
      <c r="B3332" s="92" t="str">
        <f t="shared" si="368"/>
        <v/>
      </c>
      <c r="C3332" s="90"/>
      <c r="D3332" s="87"/>
      <c r="E3332" s="88"/>
      <c r="F3332" s="173"/>
      <c r="G3332" s="88"/>
      <c r="H3332" s="88"/>
      <c r="I3332" s="88"/>
      <c r="J3332" s="88"/>
      <c r="K3332" s="230"/>
      <c r="L3332" s="88"/>
      <c r="M3332" s="88"/>
      <c r="N3332" s="88"/>
      <c r="O3332" s="88"/>
      <c r="P3332" s="88"/>
      <c r="Q3332" s="88"/>
      <c r="R3332" s="88"/>
      <c r="S3332" s="620"/>
      <c r="T3332" s="92"/>
      <c r="U3332" s="1214"/>
      <c r="V3332" s="1215"/>
      <c r="W3332" s="168"/>
      <c r="X3332" s="170"/>
    </row>
    <row r="3333" spans="1:24" ht="12.75" customHeight="1">
      <c r="A3333" s="15"/>
      <c r="B3333" s="92" t="str">
        <f t="shared" si="368"/>
        <v/>
      </c>
      <c r="C3333" s="90"/>
      <c r="D3333" s="87"/>
      <c r="E3333" s="88"/>
      <c r="F3333" s="173"/>
      <c r="G3333" s="88"/>
      <c r="H3333" s="88"/>
      <c r="I3333" s="88"/>
      <c r="J3333" s="88"/>
      <c r="K3333" s="230"/>
      <c r="L3333" s="88"/>
      <c r="M3333" s="88"/>
      <c r="N3333" s="88"/>
      <c r="O3333" s="88"/>
      <c r="P3333" s="88"/>
      <c r="Q3333" s="88"/>
      <c r="R3333" s="88"/>
      <c r="S3333" s="620"/>
      <c r="T3333" s="92"/>
      <c r="U3333" s="1214"/>
      <c r="V3333" s="1215"/>
      <c r="W3333" s="168"/>
      <c r="X3333" s="170"/>
    </row>
    <row r="3334" spans="1:24" ht="12.75" customHeight="1">
      <c r="A3334" s="15"/>
      <c r="B3334" s="92" t="str">
        <f t="shared" si="368"/>
        <v/>
      </c>
      <c r="C3334" s="90"/>
      <c r="D3334" s="87"/>
      <c r="E3334" s="88"/>
      <c r="F3334" s="173"/>
      <c r="G3334" s="88"/>
      <c r="H3334" s="88"/>
      <c r="I3334" s="88"/>
      <c r="J3334" s="88"/>
      <c r="K3334" s="230"/>
      <c r="L3334" s="88"/>
      <c r="M3334" s="88"/>
      <c r="N3334" s="88"/>
      <c r="O3334" s="88"/>
      <c r="P3334" s="88"/>
      <c r="Q3334" s="88"/>
      <c r="R3334" s="88"/>
      <c r="S3334" s="620"/>
      <c r="T3334" s="92"/>
      <c r="U3334" s="1214"/>
      <c r="V3334" s="1215"/>
      <c r="W3334" s="168"/>
      <c r="X3334" s="170"/>
    </row>
    <row r="3335" spans="1:24" ht="12.75" customHeight="1">
      <c r="A3335" s="15"/>
      <c r="B3335" s="92" t="str">
        <f t="shared" si="368"/>
        <v/>
      </c>
      <c r="C3335" s="90"/>
      <c r="D3335" s="87"/>
      <c r="E3335" s="88"/>
      <c r="F3335" s="173"/>
      <c r="G3335" s="88"/>
      <c r="H3335" s="88"/>
      <c r="I3335" s="88"/>
      <c r="J3335" s="88"/>
      <c r="K3335" s="230"/>
      <c r="L3335" s="88"/>
      <c r="M3335" s="88"/>
      <c r="N3335" s="88"/>
      <c r="O3335" s="88"/>
      <c r="P3335" s="88"/>
      <c r="Q3335" s="88"/>
      <c r="R3335" s="88"/>
      <c r="S3335" s="620"/>
      <c r="T3335" s="92"/>
      <c r="U3335" s="1214"/>
      <c r="V3335" s="1215"/>
      <c r="W3335" s="168"/>
      <c r="X3335" s="170"/>
    </row>
    <row r="3336" spans="1:24" ht="12.75" customHeight="1">
      <c r="A3336" s="15"/>
      <c r="B3336" s="92" t="str">
        <f t="shared" si="368"/>
        <v/>
      </c>
      <c r="C3336" s="90"/>
      <c r="D3336" s="87"/>
      <c r="E3336" s="88"/>
      <c r="F3336" s="173"/>
      <c r="G3336" s="88"/>
      <c r="H3336" s="88"/>
      <c r="I3336" s="88"/>
      <c r="J3336" s="88"/>
      <c r="K3336" s="230"/>
      <c r="L3336" s="88"/>
      <c r="M3336" s="88"/>
      <c r="N3336" s="88"/>
      <c r="O3336" s="88"/>
      <c r="P3336" s="88"/>
      <c r="Q3336" s="88"/>
      <c r="R3336" s="88"/>
      <c r="S3336" s="620"/>
      <c r="T3336" s="92"/>
      <c r="U3336" s="1214"/>
      <c r="V3336" s="1215"/>
      <c r="W3336" s="168"/>
      <c r="X3336" s="170"/>
    </row>
    <row r="3337" spans="1:24" ht="12.75" customHeight="1">
      <c r="A3337" s="15"/>
      <c r="B3337" s="92" t="str">
        <f t="shared" si="368"/>
        <v/>
      </c>
      <c r="C3337" s="90"/>
      <c r="D3337" s="87"/>
      <c r="E3337" s="88"/>
      <c r="F3337" s="173"/>
      <c r="G3337" s="88"/>
      <c r="H3337" s="88"/>
      <c r="I3337" s="88"/>
      <c r="J3337" s="88"/>
      <c r="K3337" s="230"/>
      <c r="L3337" s="88"/>
      <c r="M3337" s="88"/>
      <c r="N3337" s="88"/>
      <c r="O3337" s="88"/>
      <c r="P3337" s="88"/>
      <c r="Q3337" s="88"/>
      <c r="R3337" s="88"/>
      <c r="S3337" s="620"/>
      <c r="T3337" s="92"/>
      <c r="U3337" s="1214"/>
      <c r="V3337" s="1215"/>
      <c r="W3337" s="168"/>
      <c r="X3337" s="170"/>
    </row>
    <row r="3338" spans="1:24" ht="12.75" customHeight="1">
      <c r="A3338" s="15"/>
      <c r="B3338" s="92" t="str">
        <f t="shared" si="368"/>
        <v/>
      </c>
      <c r="C3338" s="90"/>
      <c r="D3338" s="87"/>
      <c r="E3338" s="88"/>
      <c r="F3338" s="173"/>
      <c r="G3338" s="88"/>
      <c r="H3338" s="88"/>
      <c r="I3338" s="88"/>
      <c r="J3338" s="88"/>
      <c r="K3338" s="230"/>
      <c r="L3338" s="88"/>
      <c r="M3338" s="88"/>
      <c r="N3338" s="88"/>
      <c r="O3338" s="88"/>
      <c r="P3338" s="88"/>
      <c r="Q3338" s="88"/>
      <c r="R3338" s="88"/>
      <c r="S3338" s="620"/>
      <c r="T3338" s="92"/>
      <c r="U3338" s="1214"/>
      <c r="V3338" s="1215"/>
      <c r="W3338" s="168"/>
      <c r="X3338" s="170"/>
    </row>
    <row r="3339" spans="1:24" ht="12.75" customHeight="1">
      <c r="A3339" s="15"/>
      <c r="B3339" s="92" t="str">
        <f t="shared" si="368"/>
        <v/>
      </c>
      <c r="C3339" s="90"/>
      <c r="D3339" s="87"/>
      <c r="E3339" s="88"/>
      <c r="F3339" s="173"/>
      <c r="G3339" s="88"/>
      <c r="H3339" s="88"/>
      <c r="I3339" s="88"/>
      <c r="J3339" s="88"/>
      <c r="K3339" s="230"/>
      <c r="L3339" s="88"/>
      <c r="M3339" s="88"/>
      <c r="N3339" s="88"/>
      <c r="O3339" s="88"/>
      <c r="P3339" s="88"/>
      <c r="Q3339" s="88"/>
      <c r="R3339" s="88"/>
      <c r="S3339" s="620"/>
      <c r="T3339" s="92"/>
      <c r="U3339" s="1214"/>
      <c r="V3339" s="1215"/>
      <c r="W3339" s="168"/>
      <c r="X3339" s="170"/>
    </row>
    <row r="3340" spans="1:24" ht="12.75" customHeight="1">
      <c r="A3340" s="15"/>
      <c r="B3340" s="92" t="str">
        <f t="shared" si="368"/>
        <v/>
      </c>
      <c r="C3340" s="90"/>
      <c r="D3340" s="87"/>
      <c r="E3340" s="88"/>
      <c r="F3340" s="173"/>
      <c r="G3340" s="88"/>
      <c r="H3340" s="88"/>
      <c r="I3340" s="88"/>
      <c r="J3340" s="88"/>
      <c r="K3340" s="230"/>
      <c r="L3340" s="88"/>
      <c r="M3340" s="88"/>
      <c r="N3340" s="88"/>
      <c r="O3340" s="88"/>
      <c r="P3340" s="88"/>
      <c r="Q3340" s="88"/>
      <c r="R3340" s="88"/>
      <c r="S3340" s="620"/>
      <c r="T3340" s="92"/>
      <c r="U3340" s="1214"/>
      <c r="V3340" s="1215"/>
      <c r="W3340" s="168"/>
      <c r="X3340" s="170"/>
    </row>
    <row r="3341" spans="1:24" ht="12.75" customHeight="1">
      <c r="A3341" s="15"/>
      <c r="B3341" s="92" t="str">
        <f t="shared" si="368"/>
        <v/>
      </c>
      <c r="C3341" s="90"/>
      <c r="D3341" s="87"/>
      <c r="E3341" s="88"/>
      <c r="F3341" s="173"/>
      <c r="G3341" s="88"/>
      <c r="H3341" s="88"/>
      <c r="I3341" s="88"/>
      <c r="J3341" s="88"/>
      <c r="K3341" s="230"/>
      <c r="L3341" s="88"/>
      <c r="M3341" s="88"/>
      <c r="N3341" s="88"/>
      <c r="O3341" s="88"/>
      <c r="P3341" s="88"/>
      <c r="Q3341" s="88"/>
      <c r="R3341" s="88"/>
      <c r="S3341" s="620"/>
      <c r="T3341" s="92"/>
      <c r="U3341" s="1214"/>
      <c r="V3341" s="1215"/>
      <c r="W3341" s="168"/>
      <c r="X3341" s="170"/>
    </row>
    <row r="3342" spans="1:24" ht="12.75" customHeight="1">
      <c r="A3342" s="15"/>
      <c r="B3342" s="92" t="str">
        <f t="shared" si="368"/>
        <v/>
      </c>
      <c r="C3342" s="90"/>
      <c r="D3342" s="87"/>
      <c r="E3342" s="88"/>
      <c r="F3342" s="173"/>
      <c r="G3342" s="88"/>
      <c r="H3342" s="88"/>
      <c r="I3342" s="88"/>
      <c r="J3342" s="88"/>
      <c r="K3342" s="230"/>
      <c r="L3342" s="88"/>
      <c r="M3342" s="88"/>
      <c r="N3342" s="88"/>
      <c r="O3342" s="88"/>
      <c r="P3342" s="88"/>
      <c r="Q3342" s="88"/>
      <c r="R3342" s="88"/>
      <c r="S3342" s="620"/>
      <c r="T3342" s="92"/>
      <c r="U3342" s="1214"/>
      <c r="V3342" s="1215"/>
      <c r="W3342" s="168"/>
      <c r="X3342" s="170"/>
    </row>
    <row r="3343" spans="1:24" ht="12.75" customHeight="1">
      <c r="A3343" s="15"/>
      <c r="B3343" s="92" t="str">
        <f t="shared" si="368"/>
        <v/>
      </c>
      <c r="C3343" s="90"/>
      <c r="D3343" s="87"/>
      <c r="E3343" s="88"/>
      <c r="F3343" s="173"/>
      <c r="G3343" s="88"/>
      <c r="H3343" s="88"/>
      <c r="I3343" s="88"/>
      <c r="J3343" s="88"/>
      <c r="K3343" s="230"/>
      <c r="L3343" s="88"/>
      <c r="M3343" s="88"/>
      <c r="N3343" s="88"/>
      <c r="O3343" s="88"/>
      <c r="P3343" s="88"/>
      <c r="Q3343" s="88"/>
      <c r="R3343" s="88"/>
      <c r="S3343" s="620"/>
      <c r="T3343" s="92"/>
      <c r="U3343" s="1214"/>
      <c r="V3343" s="1215"/>
      <c r="W3343" s="168"/>
      <c r="X3343" s="170"/>
    </row>
    <row r="3344" spans="1:24" ht="12.75" customHeight="1">
      <c r="A3344" s="15"/>
      <c r="B3344" s="92" t="str">
        <f t="shared" si="368"/>
        <v/>
      </c>
      <c r="C3344" s="90"/>
      <c r="D3344" s="87"/>
      <c r="E3344" s="88"/>
      <c r="F3344" s="173"/>
      <c r="G3344" s="88"/>
      <c r="H3344" s="88"/>
      <c r="I3344" s="88"/>
      <c r="J3344" s="88"/>
      <c r="K3344" s="230"/>
      <c r="L3344" s="88"/>
      <c r="M3344" s="88"/>
      <c r="N3344" s="88"/>
      <c r="O3344" s="88"/>
      <c r="P3344" s="88"/>
      <c r="Q3344" s="88"/>
      <c r="R3344" s="88"/>
      <c r="S3344" s="620"/>
      <c r="T3344" s="92"/>
      <c r="U3344" s="1214"/>
      <c r="V3344" s="1215"/>
      <c r="W3344" s="168"/>
      <c r="X3344" s="170"/>
    </row>
    <row r="3345" spans="1:24" ht="12.75" customHeight="1">
      <c r="A3345" s="15"/>
      <c r="B3345" s="92" t="str">
        <f t="shared" si="368"/>
        <v/>
      </c>
      <c r="C3345" s="90"/>
      <c r="D3345" s="87"/>
      <c r="E3345" s="88"/>
      <c r="F3345" s="173"/>
      <c r="G3345" s="88"/>
      <c r="H3345" s="88"/>
      <c r="I3345" s="88"/>
      <c r="J3345" s="88"/>
      <c r="K3345" s="230"/>
      <c r="L3345" s="88"/>
      <c r="M3345" s="88"/>
      <c r="N3345" s="88"/>
      <c r="O3345" s="88"/>
      <c r="P3345" s="88"/>
      <c r="Q3345" s="88"/>
      <c r="R3345" s="88"/>
      <c r="S3345" s="620"/>
      <c r="T3345" s="92"/>
      <c r="U3345" s="1214"/>
      <c r="V3345" s="1215"/>
      <c r="W3345" s="168"/>
      <c r="X3345" s="170"/>
    </row>
    <row r="3346" spans="1:24" ht="12.75" customHeight="1">
      <c r="A3346" s="15"/>
      <c r="B3346" s="92" t="str">
        <f t="shared" si="368"/>
        <v/>
      </c>
      <c r="C3346" s="90"/>
      <c r="D3346" s="87"/>
      <c r="E3346" s="88"/>
      <c r="F3346" s="173"/>
      <c r="G3346" s="88"/>
      <c r="H3346" s="88"/>
      <c r="I3346" s="88"/>
      <c r="J3346" s="88"/>
      <c r="K3346" s="230"/>
      <c r="L3346" s="88"/>
      <c r="M3346" s="88"/>
      <c r="N3346" s="88"/>
      <c r="O3346" s="88"/>
      <c r="P3346" s="88"/>
      <c r="Q3346" s="88"/>
      <c r="R3346" s="88"/>
      <c r="S3346" s="620"/>
      <c r="T3346" s="92"/>
      <c r="U3346" s="1214"/>
      <c r="V3346" s="1215"/>
      <c r="W3346" s="168"/>
      <c r="X3346" s="170"/>
    </row>
    <row r="3347" spans="1:24" ht="12.75" customHeight="1">
      <c r="A3347" s="15"/>
      <c r="B3347" s="92" t="str">
        <f t="shared" si="368"/>
        <v/>
      </c>
      <c r="C3347" s="90"/>
      <c r="D3347" s="87"/>
      <c r="E3347" s="88"/>
      <c r="F3347" s="173"/>
      <c r="G3347" s="88"/>
      <c r="H3347" s="88"/>
      <c r="I3347" s="88"/>
      <c r="J3347" s="88"/>
      <c r="K3347" s="230"/>
      <c r="L3347" s="88"/>
      <c r="M3347" s="88"/>
      <c r="N3347" s="88"/>
      <c r="O3347" s="88"/>
      <c r="P3347" s="88"/>
      <c r="Q3347" s="88"/>
      <c r="R3347" s="88"/>
      <c r="S3347" s="620"/>
      <c r="T3347" s="92"/>
      <c r="U3347" s="1214"/>
      <c r="V3347" s="1215"/>
      <c r="W3347" s="168"/>
      <c r="X3347" s="170"/>
    </row>
    <row r="3348" spans="1:24" ht="12.75" customHeight="1">
      <c r="A3348" s="15"/>
      <c r="B3348" s="92" t="str">
        <f t="shared" si="368"/>
        <v/>
      </c>
      <c r="C3348" s="90"/>
      <c r="D3348" s="87"/>
      <c r="E3348" s="88"/>
      <c r="F3348" s="173"/>
      <c r="G3348" s="88"/>
      <c r="H3348" s="88"/>
      <c r="I3348" s="88"/>
      <c r="J3348" s="88"/>
      <c r="K3348" s="230"/>
      <c r="L3348" s="88"/>
      <c r="M3348" s="88"/>
      <c r="N3348" s="88"/>
      <c r="O3348" s="88"/>
      <c r="P3348" s="88"/>
      <c r="Q3348" s="88"/>
      <c r="R3348" s="88"/>
      <c r="S3348" s="620"/>
      <c r="T3348" s="92"/>
      <c r="U3348" s="1214"/>
      <c r="V3348" s="1215"/>
      <c r="W3348" s="168"/>
      <c r="X3348" s="170"/>
    </row>
    <row r="3349" spans="1:24" ht="12.75" customHeight="1">
      <c r="A3349" s="15"/>
      <c r="B3349" s="92" t="str">
        <f t="shared" si="368"/>
        <v/>
      </c>
      <c r="C3349" s="90"/>
      <c r="D3349" s="87"/>
      <c r="E3349" s="88"/>
      <c r="F3349" s="173"/>
      <c r="G3349" s="88"/>
      <c r="H3349" s="88"/>
      <c r="I3349" s="88"/>
      <c r="J3349" s="88"/>
      <c r="K3349" s="230"/>
      <c r="L3349" s="88"/>
      <c r="M3349" s="88"/>
      <c r="N3349" s="88"/>
      <c r="O3349" s="88"/>
      <c r="P3349" s="88"/>
      <c r="Q3349" s="88"/>
      <c r="R3349" s="88"/>
      <c r="S3349" s="620"/>
      <c r="T3349" s="92"/>
      <c r="U3349" s="1214"/>
      <c r="V3349" s="1215"/>
      <c r="W3349" s="168"/>
      <c r="X3349" s="170"/>
    </row>
    <row r="3350" spans="1:24" ht="12.75" customHeight="1">
      <c r="A3350" s="15"/>
      <c r="B3350" s="92" t="str">
        <f t="shared" si="368"/>
        <v/>
      </c>
      <c r="C3350" s="90"/>
      <c r="D3350" s="87"/>
      <c r="E3350" s="88"/>
      <c r="F3350" s="173"/>
      <c r="G3350" s="88"/>
      <c r="H3350" s="88"/>
      <c r="I3350" s="88"/>
      <c r="J3350" s="88"/>
      <c r="K3350" s="230"/>
      <c r="L3350" s="88"/>
      <c r="M3350" s="88"/>
      <c r="N3350" s="88"/>
      <c r="O3350" s="88"/>
      <c r="P3350" s="88"/>
      <c r="Q3350" s="88"/>
      <c r="R3350" s="88"/>
      <c r="S3350" s="620"/>
      <c r="T3350" s="92"/>
      <c r="U3350" s="1214"/>
      <c r="V3350" s="1215"/>
      <c r="W3350" s="168"/>
      <c r="X3350" s="170"/>
    </row>
    <row r="3351" spans="1:24" ht="12.75" customHeight="1">
      <c r="A3351" s="15"/>
      <c r="B3351" s="92" t="str">
        <f t="shared" si="368"/>
        <v/>
      </c>
      <c r="C3351" s="90"/>
      <c r="D3351" s="87"/>
      <c r="E3351" s="88"/>
      <c r="F3351" s="173"/>
      <c r="G3351" s="88"/>
      <c r="H3351" s="88"/>
      <c r="I3351" s="88"/>
      <c r="J3351" s="88"/>
      <c r="K3351" s="230"/>
      <c r="L3351" s="88"/>
      <c r="M3351" s="88"/>
      <c r="N3351" s="88"/>
      <c r="O3351" s="88"/>
      <c r="P3351" s="88"/>
      <c r="Q3351" s="88"/>
      <c r="R3351" s="88"/>
      <c r="S3351" s="620"/>
      <c r="T3351" s="92"/>
      <c r="U3351" s="1214"/>
      <c r="V3351" s="1215"/>
      <c r="W3351" s="168"/>
      <c r="X3351" s="170"/>
    </row>
    <row r="3352" spans="1:24" ht="12.75" customHeight="1">
      <c r="A3352" s="15"/>
      <c r="B3352" s="92" t="str">
        <f t="shared" si="368"/>
        <v/>
      </c>
      <c r="C3352" s="90"/>
      <c r="D3352" s="87"/>
      <c r="E3352" s="88"/>
      <c r="F3352" s="173"/>
      <c r="G3352" s="88"/>
      <c r="H3352" s="88"/>
      <c r="I3352" s="88"/>
      <c r="J3352" s="88"/>
      <c r="K3352" s="230"/>
      <c r="L3352" s="88"/>
      <c r="M3352" s="88"/>
      <c r="N3352" s="88"/>
      <c r="O3352" s="88"/>
      <c r="P3352" s="88"/>
      <c r="Q3352" s="88"/>
      <c r="R3352" s="88"/>
      <c r="S3352" s="620"/>
      <c r="T3352" s="92"/>
      <c r="U3352" s="1214"/>
      <c r="V3352" s="1215"/>
      <c r="W3352" s="168"/>
      <c r="X3352" s="170"/>
    </row>
    <row r="3353" spans="1:24" ht="12.75" customHeight="1">
      <c r="A3353" s="15"/>
      <c r="B3353" s="92" t="str">
        <f t="shared" si="368"/>
        <v/>
      </c>
      <c r="C3353" s="90"/>
      <c r="D3353" s="87"/>
      <c r="E3353" s="88"/>
      <c r="F3353" s="173"/>
      <c r="G3353" s="88"/>
      <c r="H3353" s="88"/>
      <c r="I3353" s="88"/>
      <c r="J3353" s="88"/>
      <c r="K3353" s="230"/>
      <c r="L3353" s="88"/>
      <c r="M3353" s="88"/>
      <c r="N3353" s="88"/>
      <c r="O3353" s="88"/>
      <c r="P3353" s="88"/>
      <c r="Q3353" s="88"/>
      <c r="R3353" s="88"/>
      <c r="S3353" s="620"/>
      <c r="T3353" s="92"/>
      <c r="U3353" s="1214"/>
      <c r="V3353" s="1215"/>
      <c r="W3353" s="168"/>
      <c r="X3353" s="170"/>
    </row>
    <row r="3354" spans="1:24" ht="12.75" customHeight="1">
      <c r="A3354" s="15"/>
      <c r="B3354" s="92" t="str">
        <f t="shared" si="368"/>
        <v/>
      </c>
      <c r="C3354" s="90"/>
      <c r="D3354" s="87"/>
      <c r="E3354" s="88"/>
      <c r="F3354" s="173"/>
      <c r="G3354" s="88"/>
      <c r="H3354" s="88"/>
      <c r="I3354" s="88"/>
      <c r="J3354" s="88"/>
      <c r="K3354" s="230"/>
      <c r="L3354" s="88"/>
      <c r="M3354" s="88"/>
      <c r="N3354" s="88"/>
      <c r="O3354" s="88"/>
      <c r="P3354" s="88"/>
      <c r="Q3354" s="88"/>
      <c r="R3354" s="88"/>
      <c r="S3354" s="620"/>
      <c r="T3354" s="92"/>
      <c r="U3354" s="1214"/>
      <c r="V3354" s="1215"/>
      <c r="W3354" s="168"/>
      <c r="X3354" s="170"/>
    </row>
    <row r="3355" spans="1:24" ht="12.75" customHeight="1">
      <c r="A3355" s="15"/>
      <c r="B3355" s="92" t="str">
        <f t="shared" si="368"/>
        <v/>
      </c>
      <c r="C3355" s="90"/>
      <c r="D3355" s="87"/>
      <c r="E3355" s="88"/>
      <c r="F3355" s="173"/>
      <c r="G3355" s="88"/>
      <c r="H3355" s="88"/>
      <c r="I3355" s="88"/>
      <c r="J3355" s="88"/>
      <c r="K3355" s="230"/>
      <c r="L3355" s="88"/>
      <c r="M3355" s="88"/>
      <c r="N3355" s="88"/>
      <c r="O3355" s="88"/>
      <c r="P3355" s="88"/>
      <c r="Q3355" s="88"/>
      <c r="R3355" s="88"/>
      <c r="S3355" s="620"/>
      <c r="T3355" s="92"/>
      <c r="U3355" s="1214"/>
      <c r="V3355" s="1215"/>
      <c r="W3355" s="168"/>
      <c r="X3355" s="170"/>
    </row>
    <row r="3356" spans="1:24" ht="12.75" customHeight="1">
      <c r="A3356" s="15"/>
      <c r="B3356" s="92" t="str">
        <f t="shared" si="368"/>
        <v/>
      </c>
      <c r="C3356" s="90"/>
      <c r="D3356" s="87"/>
      <c r="E3356" s="88"/>
      <c r="F3356" s="173"/>
      <c r="G3356" s="88"/>
      <c r="H3356" s="88"/>
      <c r="I3356" s="88"/>
      <c r="J3356" s="88"/>
      <c r="K3356" s="230"/>
      <c r="L3356" s="88"/>
      <c r="M3356" s="88"/>
      <c r="N3356" s="88"/>
      <c r="O3356" s="88"/>
      <c r="P3356" s="88"/>
      <c r="Q3356" s="88"/>
      <c r="R3356" s="88"/>
      <c r="S3356" s="620"/>
      <c r="T3356" s="92"/>
      <c r="U3356" s="1214"/>
      <c r="V3356" s="1215"/>
      <c r="W3356" s="168"/>
      <c r="X3356" s="170"/>
    </row>
    <row r="3357" spans="1:24" ht="12.75" customHeight="1">
      <c r="A3357" s="15"/>
      <c r="B3357" s="92" t="str">
        <f t="shared" si="368"/>
        <v/>
      </c>
      <c r="C3357" s="90"/>
      <c r="D3357" s="87"/>
      <c r="E3357" s="88"/>
      <c r="F3357" s="173"/>
      <c r="G3357" s="88"/>
      <c r="H3357" s="88"/>
      <c r="I3357" s="88"/>
      <c r="J3357" s="88"/>
      <c r="K3357" s="230"/>
      <c r="L3357" s="88"/>
      <c r="M3357" s="88"/>
      <c r="N3357" s="88"/>
      <c r="O3357" s="88"/>
      <c r="P3357" s="88"/>
      <c r="Q3357" s="88"/>
      <c r="R3357" s="88"/>
      <c r="S3357" s="620"/>
      <c r="T3357" s="92"/>
      <c r="U3357" s="1214"/>
      <c r="V3357" s="1215"/>
      <c r="W3357" s="168"/>
      <c r="X3357" s="170"/>
    </row>
    <row r="3358" spans="1:24" ht="12.75" customHeight="1">
      <c r="A3358" s="15"/>
      <c r="B3358" s="92" t="str">
        <f t="shared" si="368"/>
        <v/>
      </c>
      <c r="C3358" s="90"/>
      <c r="D3358" s="87"/>
      <c r="E3358" s="88"/>
      <c r="F3358" s="173"/>
      <c r="G3358" s="88"/>
      <c r="H3358" s="88"/>
      <c r="I3358" s="88"/>
      <c r="J3358" s="88"/>
      <c r="K3358" s="230"/>
      <c r="L3358" s="88"/>
      <c r="M3358" s="88"/>
      <c r="N3358" s="88"/>
      <c r="O3358" s="88"/>
      <c r="P3358" s="88"/>
      <c r="Q3358" s="88"/>
      <c r="R3358" s="88"/>
      <c r="S3358" s="620"/>
      <c r="T3358" s="92"/>
      <c r="U3358" s="1214"/>
      <c r="V3358" s="1215"/>
      <c r="W3358" s="168"/>
      <c r="X3358" s="170"/>
    </row>
    <row r="3359" spans="1:24" ht="12.75" customHeight="1">
      <c r="A3359" s="15"/>
      <c r="B3359" s="92" t="str">
        <f t="shared" si="368"/>
        <v/>
      </c>
      <c r="C3359" s="90"/>
      <c r="D3359" s="87"/>
      <c r="E3359" s="88"/>
      <c r="F3359" s="173"/>
      <c r="G3359" s="88"/>
      <c r="H3359" s="88"/>
      <c r="I3359" s="88"/>
      <c r="J3359" s="88"/>
      <c r="K3359" s="230"/>
      <c r="L3359" s="88"/>
      <c r="M3359" s="88"/>
      <c r="N3359" s="88"/>
      <c r="O3359" s="88"/>
      <c r="P3359" s="88"/>
      <c r="Q3359" s="88"/>
      <c r="R3359" s="88"/>
      <c r="S3359" s="620"/>
      <c r="T3359" s="92"/>
      <c r="U3359" s="1214"/>
      <c r="V3359" s="1215"/>
      <c r="W3359" s="168"/>
      <c r="X3359" s="170"/>
    </row>
    <row r="3360" spans="1:24" ht="12.75" customHeight="1">
      <c r="A3360" s="15"/>
      <c r="B3360" s="92" t="str">
        <f t="shared" si="368"/>
        <v/>
      </c>
      <c r="C3360" s="90"/>
      <c r="D3360" s="87"/>
      <c r="E3360" s="88"/>
      <c r="F3360" s="173"/>
      <c r="G3360" s="88"/>
      <c r="H3360" s="88"/>
      <c r="I3360" s="88"/>
      <c r="J3360" s="88"/>
      <c r="K3360" s="230"/>
      <c r="L3360" s="88"/>
      <c r="M3360" s="88"/>
      <c r="N3360" s="88"/>
      <c r="O3360" s="88"/>
      <c r="P3360" s="88"/>
      <c r="Q3360" s="88"/>
      <c r="R3360" s="88"/>
      <c r="S3360" s="620"/>
      <c r="T3360" s="92"/>
      <c r="U3360" s="1214"/>
      <c r="V3360" s="1215"/>
      <c r="W3360" s="168"/>
      <c r="X3360" s="170"/>
    </row>
    <row r="3361" spans="1:24" ht="12.75" customHeight="1">
      <c r="A3361" s="15"/>
      <c r="B3361" s="92" t="str">
        <f t="shared" si="368"/>
        <v/>
      </c>
      <c r="C3361" s="90"/>
      <c r="D3361" s="87"/>
      <c r="E3361" s="88"/>
      <c r="F3361" s="173"/>
      <c r="G3361" s="88"/>
      <c r="H3361" s="88"/>
      <c r="I3361" s="88"/>
      <c r="J3361" s="88"/>
      <c r="K3361" s="230"/>
      <c r="L3361" s="88"/>
      <c r="M3361" s="88"/>
      <c r="N3361" s="88"/>
      <c r="O3361" s="88"/>
      <c r="P3361" s="88"/>
      <c r="Q3361" s="88"/>
      <c r="R3361" s="88"/>
      <c r="S3361" s="620"/>
      <c r="T3361" s="92"/>
      <c r="U3361" s="1214"/>
      <c r="V3361" s="1215"/>
      <c r="W3361" s="168"/>
      <c r="X3361" s="170"/>
    </row>
    <row r="3362" spans="1:24" ht="12.75" customHeight="1">
      <c r="A3362" s="15"/>
      <c r="B3362" s="92" t="str">
        <f t="shared" si="368"/>
        <v/>
      </c>
      <c r="C3362" s="90"/>
      <c r="D3362" s="87"/>
      <c r="E3362" s="88"/>
      <c r="F3362" s="173"/>
      <c r="G3362" s="88"/>
      <c r="H3362" s="88"/>
      <c r="I3362" s="88"/>
      <c r="J3362" s="88"/>
      <c r="K3362" s="230"/>
      <c r="L3362" s="88"/>
      <c r="M3362" s="88"/>
      <c r="N3362" s="88"/>
      <c r="O3362" s="88"/>
      <c r="P3362" s="88"/>
      <c r="Q3362" s="88"/>
      <c r="R3362" s="88"/>
      <c r="S3362" s="620"/>
      <c r="T3362" s="92"/>
      <c r="U3362" s="1214"/>
      <c r="V3362" s="1215"/>
      <c r="W3362" s="168"/>
      <c r="X3362" s="170"/>
    </row>
    <row r="3363" spans="1:24" ht="12.75" customHeight="1">
      <c r="A3363" s="15"/>
      <c r="B3363" s="92" t="str">
        <f t="shared" si="368"/>
        <v/>
      </c>
      <c r="C3363" s="90"/>
      <c r="D3363" s="87"/>
      <c r="E3363" s="88"/>
      <c r="F3363" s="173"/>
      <c r="G3363" s="88"/>
      <c r="H3363" s="88"/>
      <c r="I3363" s="88"/>
      <c r="J3363" s="88"/>
      <c r="K3363" s="230"/>
      <c r="L3363" s="88"/>
      <c r="M3363" s="88"/>
      <c r="N3363" s="88"/>
      <c r="O3363" s="88"/>
      <c r="P3363" s="88"/>
      <c r="Q3363" s="88"/>
      <c r="R3363" s="88"/>
      <c r="S3363" s="620"/>
      <c r="T3363" s="92"/>
      <c r="U3363" s="1214"/>
      <c r="V3363" s="1215"/>
      <c r="W3363" s="168"/>
      <c r="X3363" s="170"/>
    </row>
    <row r="3364" spans="1:24" ht="12.75" customHeight="1">
      <c r="A3364" s="15"/>
      <c r="B3364" s="92" t="str">
        <f t="shared" si="368"/>
        <v/>
      </c>
      <c r="C3364" s="90"/>
      <c r="D3364" s="87"/>
      <c r="E3364" s="88"/>
      <c r="F3364" s="173"/>
      <c r="G3364" s="88"/>
      <c r="H3364" s="88"/>
      <c r="I3364" s="88"/>
      <c r="J3364" s="88"/>
      <c r="K3364" s="230"/>
      <c r="L3364" s="88"/>
      <c r="M3364" s="88"/>
      <c r="N3364" s="88"/>
      <c r="O3364" s="88"/>
      <c r="P3364" s="88"/>
      <c r="Q3364" s="88"/>
      <c r="R3364" s="88"/>
      <c r="S3364" s="620"/>
      <c r="T3364" s="92"/>
      <c r="U3364" s="1214"/>
      <c r="V3364" s="1215"/>
      <c r="W3364" s="168"/>
      <c r="X3364" s="170"/>
    </row>
    <row r="3365" spans="1:24" ht="12.75" customHeight="1">
      <c r="A3365" s="15"/>
      <c r="B3365" s="92" t="str">
        <f t="shared" si="368"/>
        <v/>
      </c>
      <c r="C3365" s="90"/>
      <c r="D3365" s="87"/>
      <c r="E3365" s="88"/>
      <c r="F3365" s="173"/>
      <c r="G3365" s="88"/>
      <c r="H3365" s="88"/>
      <c r="I3365" s="88"/>
      <c r="J3365" s="88"/>
      <c r="K3365" s="230"/>
      <c r="L3365" s="88"/>
      <c r="M3365" s="88"/>
      <c r="N3365" s="88"/>
      <c r="O3365" s="88"/>
      <c r="P3365" s="88"/>
      <c r="Q3365" s="88"/>
      <c r="R3365" s="88"/>
      <c r="S3365" s="620"/>
      <c r="T3365" s="92"/>
      <c r="U3365" s="1214"/>
      <c r="V3365" s="1215"/>
      <c r="W3365" s="168"/>
      <c r="X3365" s="170"/>
    </row>
    <row r="3366" spans="1:24" ht="12.75" customHeight="1">
      <c r="A3366" s="15"/>
      <c r="B3366" s="92" t="str">
        <f t="shared" si="368"/>
        <v/>
      </c>
      <c r="C3366" s="90"/>
      <c r="D3366" s="87"/>
      <c r="E3366" s="88"/>
      <c r="F3366" s="173"/>
      <c r="G3366" s="88"/>
      <c r="H3366" s="88"/>
      <c r="I3366" s="88"/>
      <c r="J3366" s="88"/>
      <c r="K3366" s="230"/>
      <c r="L3366" s="88"/>
      <c r="M3366" s="88"/>
      <c r="N3366" s="88"/>
      <c r="O3366" s="88"/>
      <c r="P3366" s="88"/>
      <c r="Q3366" s="88"/>
      <c r="R3366" s="88"/>
      <c r="S3366" s="620"/>
      <c r="T3366" s="92"/>
      <c r="U3366" s="1214"/>
      <c r="V3366" s="1215"/>
      <c r="W3366" s="168"/>
      <c r="X3366" s="170"/>
    </row>
    <row r="3367" spans="1:24" ht="12.75" customHeight="1">
      <c r="A3367" s="15"/>
      <c r="B3367" s="92" t="str">
        <f t="shared" si="368"/>
        <v/>
      </c>
      <c r="C3367" s="90"/>
      <c r="D3367" s="87"/>
      <c r="E3367" s="88"/>
      <c r="F3367" s="173"/>
      <c r="G3367" s="88"/>
      <c r="H3367" s="88"/>
      <c r="I3367" s="88"/>
      <c r="J3367" s="88"/>
      <c r="K3367" s="230"/>
      <c r="L3367" s="88"/>
      <c r="M3367" s="88"/>
      <c r="N3367" s="88"/>
      <c r="O3367" s="88"/>
      <c r="P3367" s="88"/>
      <c r="Q3367" s="88"/>
      <c r="R3367" s="88"/>
      <c r="S3367" s="620"/>
      <c r="T3367" s="92"/>
      <c r="U3367" s="1214"/>
      <c r="V3367" s="1215"/>
      <c r="W3367" s="168"/>
      <c r="X3367" s="170"/>
    </row>
    <row r="3368" spans="1:24" ht="12.75" customHeight="1">
      <c r="A3368" s="15"/>
      <c r="B3368" s="92" t="str">
        <f t="shared" si="368"/>
        <v/>
      </c>
      <c r="C3368" s="90"/>
      <c r="D3368" s="87"/>
      <c r="E3368" s="88"/>
      <c r="F3368" s="173"/>
      <c r="G3368" s="88"/>
      <c r="H3368" s="88"/>
      <c r="I3368" s="88"/>
      <c r="J3368" s="88"/>
      <c r="K3368" s="230"/>
      <c r="L3368" s="88"/>
      <c r="M3368" s="88"/>
      <c r="N3368" s="88"/>
      <c r="O3368" s="88"/>
      <c r="P3368" s="88"/>
      <c r="Q3368" s="88"/>
      <c r="R3368" s="88"/>
      <c r="S3368" s="620"/>
      <c r="T3368" s="92"/>
      <c r="U3368" s="1214"/>
      <c r="V3368" s="1215"/>
      <c r="W3368" s="168"/>
      <c r="X3368" s="170"/>
    </row>
    <row r="3369" spans="1:24" ht="12.75" customHeight="1">
      <c r="A3369" s="15"/>
      <c r="B3369" s="92" t="str">
        <f t="shared" si="368"/>
        <v/>
      </c>
      <c r="C3369" s="90"/>
      <c r="D3369" s="87"/>
      <c r="E3369" s="88"/>
      <c r="F3369" s="173"/>
      <c r="G3369" s="88"/>
      <c r="H3369" s="88"/>
      <c r="I3369" s="88"/>
      <c r="J3369" s="88"/>
      <c r="K3369" s="230"/>
      <c r="L3369" s="88"/>
      <c r="M3369" s="88"/>
      <c r="N3369" s="88"/>
      <c r="O3369" s="88"/>
      <c r="P3369" s="88"/>
      <c r="Q3369" s="88"/>
      <c r="R3369" s="88"/>
      <c r="S3369" s="620"/>
      <c r="T3369" s="92"/>
      <c r="U3369" s="1214"/>
      <c r="V3369" s="1215"/>
      <c r="W3369" s="168"/>
      <c r="X3369" s="170"/>
    </row>
    <row r="3370" spans="1:24" ht="12.75" customHeight="1">
      <c r="A3370" s="15"/>
      <c r="B3370" s="92" t="str">
        <f t="shared" si="368"/>
        <v/>
      </c>
      <c r="C3370" s="90"/>
      <c r="D3370" s="87"/>
      <c r="E3370" s="88"/>
      <c r="F3370" s="173"/>
      <c r="G3370" s="88"/>
      <c r="H3370" s="88"/>
      <c r="I3370" s="88"/>
      <c r="J3370" s="88"/>
      <c r="K3370" s="230"/>
      <c r="L3370" s="88"/>
      <c r="M3370" s="88"/>
      <c r="N3370" s="88"/>
      <c r="O3370" s="88"/>
      <c r="P3370" s="88"/>
      <c r="Q3370" s="88"/>
      <c r="R3370" s="88"/>
      <c r="S3370" s="620"/>
      <c r="T3370" s="92"/>
      <c r="U3370" s="1214"/>
      <c r="V3370" s="1215"/>
      <c r="W3370" s="168"/>
      <c r="X3370" s="170"/>
    </row>
    <row r="3371" spans="1:24" ht="12.75" customHeight="1">
      <c r="A3371" s="15"/>
      <c r="B3371" s="92" t="str">
        <f t="shared" si="368"/>
        <v/>
      </c>
      <c r="C3371" s="90"/>
      <c r="D3371" s="87"/>
      <c r="E3371" s="88"/>
      <c r="F3371" s="173"/>
      <c r="G3371" s="88"/>
      <c r="H3371" s="88"/>
      <c r="I3371" s="88"/>
      <c r="J3371" s="88"/>
      <c r="K3371" s="230"/>
      <c r="L3371" s="88"/>
      <c r="M3371" s="88"/>
      <c r="N3371" s="88"/>
      <c r="O3371" s="88"/>
      <c r="P3371" s="88"/>
      <c r="Q3371" s="88"/>
      <c r="R3371" s="88"/>
      <c r="S3371" s="620"/>
      <c r="T3371" s="92"/>
      <c r="U3371" s="1214"/>
      <c r="V3371" s="1215"/>
      <c r="W3371" s="168"/>
      <c r="X3371" s="170"/>
    </row>
    <row r="3372" spans="1:24" ht="12.75" customHeight="1">
      <c r="A3372" s="15"/>
      <c r="B3372" s="92" t="str">
        <f t="shared" si="368"/>
        <v/>
      </c>
      <c r="C3372" s="90"/>
      <c r="D3372" s="87"/>
      <c r="E3372" s="88"/>
      <c r="F3372" s="173"/>
      <c r="G3372" s="88"/>
      <c r="H3372" s="88"/>
      <c r="I3372" s="88"/>
      <c r="J3372" s="88"/>
      <c r="K3372" s="230"/>
      <c r="L3372" s="88"/>
      <c r="M3372" s="88"/>
      <c r="N3372" s="88"/>
      <c r="O3372" s="88"/>
      <c r="P3372" s="88"/>
      <c r="Q3372" s="88"/>
      <c r="R3372" s="88"/>
      <c r="S3372" s="620"/>
      <c r="T3372" s="92"/>
      <c r="U3372" s="1214"/>
      <c r="V3372" s="1215"/>
      <c r="W3372" s="168"/>
      <c r="X3372" s="170"/>
    </row>
    <row r="3373" spans="1:24" ht="12.75" customHeight="1">
      <c r="A3373" s="15"/>
      <c r="B3373" s="92" t="str">
        <f t="shared" si="368"/>
        <v/>
      </c>
      <c r="C3373" s="90"/>
      <c r="D3373" s="87"/>
      <c r="E3373" s="88"/>
      <c r="F3373" s="173"/>
      <c r="G3373" s="88"/>
      <c r="H3373" s="88"/>
      <c r="I3373" s="88"/>
      <c r="J3373" s="88"/>
      <c r="K3373" s="230"/>
      <c r="L3373" s="88"/>
      <c r="M3373" s="88"/>
      <c r="N3373" s="88"/>
      <c r="O3373" s="88"/>
      <c r="P3373" s="88"/>
      <c r="Q3373" s="88"/>
      <c r="R3373" s="88"/>
      <c r="S3373" s="620"/>
      <c r="T3373" s="92"/>
      <c r="U3373" s="1214"/>
      <c r="V3373" s="1215"/>
      <c r="W3373" s="168"/>
      <c r="X3373" s="170"/>
    </row>
    <row r="3374" spans="1:24" ht="12.75" customHeight="1">
      <c r="A3374" s="15"/>
      <c r="B3374" s="92" t="str">
        <f t="shared" si="368"/>
        <v/>
      </c>
      <c r="C3374" s="90"/>
      <c r="D3374" s="87"/>
      <c r="E3374" s="88"/>
      <c r="F3374" s="173"/>
      <c r="G3374" s="88"/>
      <c r="H3374" s="88"/>
      <c r="I3374" s="88"/>
      <c r="J3374" s="88"/>
      <c r="K3374" s="230"/>
      <c r="L3374" s="88"/>
      <c r="M3374" s="88"/>
      <c r="N3374" s="88"/>
      <c r="O3374" s="88"/>
      <c r="P3374" s="88"/>
      <c r="Q3374" s="88"/>
      <c r="R3374" s="88"/>
      <c r="S3374" s="620"/>
      <c r="T3374" s="92"/>
      <c r="U3374" s="1214"/>
      <c r="V3374" s="1215"/>
      <c r="W3374" s="168"/>
      <c r="X3374" s="170"/>
    </row>
    <row r="3375" spans="1:24" ht="12.75" customHeight="1">
      <c r="A3375" s="15"/>
      <c r="B3375" s="92" t="str">
        <f t="shared" ref="B3375:B3434" si="369">IF(C3375="","",ROW()-5)</f>
        <v/>
      </c>
      <c r="C3375" s="90"/>
      <c r="D3375" s="87"/>
      <c r="E3375" s="88"/>
      <c r="F3375" s="173"/>
      <c r="G3375" s="88"/>
      <c r="H3375" s="88"/>
      <c r="I3375" s="88"/>
      <c r="J3375" s="88"/>
      <c r="K3375" s="230"/>
      <c r="L3375" s="88"/>
      <c r="M3375" s="88"/>
      <c r="N3375" s="88"/>
      <c r="O3375" s="88"/>
      <c r="P3375" s="88"/>
      <c r="Q3375" s="88"/>
      <c r="R3375" s="88"/>
      <c r="S3375" s="620"/>
      <c r="T3375" s="92"/>
      <c r="U3375" s="1214"/>
      <c r="V3375" s="1215"/>
      <c r="W3375" s="168"/>
      <c r="X3375" s="170"/>
    </row>
    <row r="3376" spans="1:24" ht="12.75" customHeight="1">
      <c r="A3376" s="15"/>
      <c r="B3376" s="92" t="str">
        <f t="shared" si="369"/>
        <v/>
      </c>
      <c r="C3376" s="90"/>
      <c r="D3376" s="87"/>
      <c r="E3376" s="88"/>
      <c r="F3376" s="173"/>
      <c r="G3376" s="88"/>
      <c r="H3376" s="88"/>
      <c r="I3376" s="88"/>
      <c r="J3376" s="88"/>
      <c r="K3376" s="230"/>
      <c r="L3376" s="88"/>
      <c r="M3376" s="88"/>
      <c r="N3376" s="88"/>
      <c r="O3376" s="88"/>
      <c r="P3376" s="88"/>
      <c r="Q3376" s="88"/>
      <c r="R3376" s="88"/>
      <c r="S3376" s="620"/>
      <c r="T3376" s="92"/>
      <c r="U3376" s="1214"/>
      <c r="V3376" s="1215"/>
      <c r="W3376" s="168"/>
      <c r="X3376" s="170"/>
    </row>
    <row r="3377" spans="1:24" ht="12.75" customHeight="1">
      <c r="A3377" s="15"/>
      <c r="B3377" s="92" t="str">
        <f t="shared" si="369"/>
        <v/>
      </c>
      <c r="C3377" s="90"/>
      <c r="D3377" s="87"/>
      <c r="E3377" s="88"/>
      <c r="F3377" s="173"/>
      <c r="G3377" s="88"/>
      <c r="H3377" s="88"/>
      <c r="I3377" s="88"/>
      <c r="J3377" s="88"/>
      <c r="K3377" s="230"/>
      <c r="L3377" s="88"/>
      <c r="M3377" s="88"/>
      <c r="N3377" s="88"/>
      <c r="O3377" s="88"/>
      <c r="P3377" s="88"/>
      <c r="Q3377" s="88"/>
      <c r="R3377" s="88"/>
      <c r="S3377" s="620"/>
      <c r="T3377" s="92"/>
      <c r="U3377" s="1214"/>
      <c r="V3377" s="1215"/>
      <c r="W3377" s="168"/>
      <c r="X3377" s="170"/>
    </row>
    <row r="3378" spans="1:24" ht="12.75" customHeight="1">
      <c r="A3378" s="15"/>
      <c r="B3378" s="92" t="str">
        <f t="shared" si="369"/>
        <v/>
      </c>
      <c r="C3378" s="90"/>
      <c r="D3378" s="87"/>
      <c r="E3378" s="88"/>
      <c r="F3378" s="173"/>
      <c r="G3378" s="88"/>
      <c r="H3378" s="88"/>
      <c r="I3378" s="88"/>
      <c r="J3378" s="88"/>
      <c r="K3378" s="230"/>
      <c r="L3378" s="88"/>
      <c r="M3378" s="88"/>
      <c r="N3378" s="88"/>
      <c r="O3378" s="88"/>
      <c r="P3378" s="88"/>
      <c r="Q3378" s="88"/>
      <c r="R3378" s="88"/>
      <c r="S3378" s="620"/>
      <c r="T3378" s="92"/>
      <c r="U3378" s="1214"/>
      <c r="V3378" s="1215"/>
      <c r="W3378" s="168"/>
      <c r="X3378" s="170"/>
    </row>
    <row r="3379" spans="1:24" ht="12.75" customHeight="1">
      <c r="A3379" s="15"/>
      <c r="B3379" s="92" t="str">
        <f t="shared" si="369"/>
        <v/>
      </c>
      <c r="C3379" s="90"/>
      <c r="D3379" s="87"/>
      <c r="E3379" s="88"/>
      <c r="F3379" s="173"/>
      <c r="G3379" s="88"/>
      <c r="H3379" s="88"/>
      <c r="I3379" s="88"/>
      <c r="J3379" s="88"/>
      <c r="K3379" s="230"/>
      <c r="L3379" s="88"/>
      <c r="M3379" s="88"/>
      <c r="N3379" s="88"/>
      <c r="O3379" s="88"/>
      <c r="P3379" s="88"/>
      <c r="Q3379" s="88"/>
      <c r="R3379" s="88"/>
      <c r="S3379" s="620"/>
      <c r="T3379" s="92"/>
      <c r="U3379" s="1214"/>
      <c r="V3379" s="1215"/>
      <c r="W3379" s="168"/>
      <c r="X3379" s="170"/>
    </row>
    <row r="3380" spans="1:24" ht="12.75" customHeight="1">
      <c r="A3380" s="15"/>
      <c r="B3380" s="92" t="str">
        <f t="shared" si="369"/>
        <v/>
      </c>
      <c r="C3380" s="90"/>
      <c r="D3380" s="87"/>
      <c r="E3380" s="88"/>
      <c r="F3380" s="173"/>
      <c r="G3380" s="88"/>
      <c r="H3380" s="88"/>
      <c r="I3380" s="88"/>
      <c r="J3380" s="88"/>
      <c r="K3380" s="230"/>
      <c r="L3380" s="88"/>
      <c r="M3380" s="88"/>
      <c r="N3380" s="88"/>
      <c r="O3380" s="88"/>
      <c r="P3380" s="88"/>
      <c r="Q3380" s="88"/>
      <c r="R3380" s="88"/>
      <c r="S3380" s="620"/>
      <c r="T3380" s="92"/>
      <c r="U3380" s="1214"/>
      <c r="V3380" s="1215"/>
      <c r="W3380" s="168"/>
      <c r="X3380" s="170"/>
    </row>
    <row r="3381" spans="1:24" ht="12.75" customHeight="1">
      <c r="A3381" s="15"/>
      <c r="B3381" s="92" t="str">
        <f t="shared" si="369"/>
        <v/>
      </c>
      <c r="C3381" s="90"/>
      <c r="D3381" s="87"/>
      <c r="E3381" s="88"/>
      <c r="F3381" s="173"/>
      <c r="G3381" s="88"/>
      <c r="H3381" s="88"/>
      <c r="I3381" s="88"/>
      <c r="J3381" s="88"/>
      <c r="K3381" s="230"/>
      <c r="L3381" s="88"/>
      <c r="M3381" s="88"/>
      <c r="N3381" s="88"/>
      <c r="O3381" s="88"/>
      <c r="P3381" s="88"/>
      <c r="Q3381" s="88"/>
      <c r="R3381" s="88"/>
      <c r="S3381" s="620"/>
      <c r="T3381" s="92"/>
      <c r="U3381" s="1214"/>
      <c r="V3381" s="1215"/>
      <c r="W3381" s="168"/>
      <c r="X3381" s="170"/>
    </row>
    <row r="3382" spans="1:24" ht="12.75" customHeight="1">
      <c r="A3382" s="15"/>
      <c r="B3382" s="92" t="str">
        <f t="shared" si="369"/>
        <v/>
      </c>
      <c r="C3382" s="90"/>
      <c r="D3382" s="87"/>
      <c r="E3382" s="88"/>
      <c r="F3382" s="173"/>
      <c r="G3382" s="88"/>
      <c r="H3382" s="88"/>
      <c r="I3382" s="88"/>
      <c r="J3382" s="88"/>
      <c r="K3382" s="230"/>
      <c r="L3382" s="88"/>
      <c r="M3382" s="88"/>
      <c r="N3382" s="88"/>
      <c r="O3382" s="88"/>
      <c r="P3382" s="88"/>
      <c r="Q3382" s="88"/>
      <c r="R3382" s="88"/>
      <c r="S3382" s="620"/>
      <c r="T3382" s="92"/>
      <c r="U3382" s="1214"/>
      <c r="V3382" s="1215"/>
      <c r="W3382" s="168"/>
      <c r="X3382" s="170"/>
    </row>
    <row r="3383" spans="1:24" ht="12.75" customHeight="1">
      <c r="A3383" s="15"/>
      <c r="B3383" s="92" t="str">
        <f t="shared" si="369"/>
        <v/>
      </c>
      <c r="C3383" s="90"/>
      <c r="D3383" s="87"/>
      <c r="E3383" s="88"/>
      <c r="F3383" s="173"/>
      <c r="G3383" s="88"/>
      <c r="H3383" s="88"/>
      <c r="I3383" s="88"/>
      <c r="J3383" s="88"/>
      <c r="K3383" s="230"/>
      <c r="L3383" s="88"/>
      <c r="M3383" s="88"/>
      <c r="N3383" s="88"/>
      <c r="O3383" s="88"/>
      <c r="P3383" s="88"/>
      <c r="Q3383" s="88"/>
      <c r="R3383" s="88"/>
      <c r="S3383" s="620"/>
      <c r="T3383" s="92"/>
      <c r="U3383" s="1214"/>
      <c r="V3383" s="1215"/>
      <c r="W3383" s="168"/>
      <c r="X3383" s="170"/>
    </row>
    <row r="3384" spans="1:24" ht="12.75" customHeight="1">
      <c r="A3384" s="15"/>
      <c r="B3384" s="92" t="str">
        <f t="shared" si="369"/>
        <v/>
      </c>
      <c r="C3384" s="90"/>
      <c r="D3384" s="87"/>
      <c r="E3384" s="88"/>
      <c r="F3384" s="173"/>
      <c r="G3384" s="88"/>
      <c r="H3384" s="88"/>
      <c r="I3384" s="88"/>
      <c r="J3384" s="88"/>
      <c r="K3384" s="230"/>
      <c r="L3384" s="88"/>
      <c r="M3384" s="88"/>
      <c r="N3384" s="88"/>
      <c r="O3384" s="88"/>
      <c r="P3384" s="88"/>
      <c r="Q3384" s="88"/>
      <c r="R3384" s="88"/>
      <c r="S3384" s="620"/>
      <c r="T3384" s="92"/>
      <c r="U3384" s="1214"/>
      <c r="V3384" s="1215"/>
      <c r="W3384" s="168"/>
      <c r="X3384" s="170"/>
    </row>
    <row r="3385" spans="1:24" ht="12.75" customHeight="1">
      <c r="A3385" s="15"/>
      <c r="B3385" s="92" t="str">
        <f t="shared" si="369"/>
        <v/>
      </c>
      <c r="C3385" s="90"/>
      <c r="D3385" s="87"/>
      <c r="E3385" s="88"/>
      <c r="F3385" s="173"/>
      <c r="G3385" s="88"/>
      <c r="H3385" s="88"/>
      <c r="I3385" s="88"/>
      <c r="J3385" s="88"/>
      <c r="K3385" s="230"/>
      <c r="L3385" s="88"/>
      <c r="M3385" s="88"/>
      <c r="N3385" s="88"/>
      <c r="O3385" s="88"/>
      <c r="P3385" s="88"/>
      <c r="Q3385" s="88"/>
      <c r="R3385" s="88"/>
      <c r="S3385" s="620"/>
      <c r="T3385" s="92"/>
      <c r="U3385" s="1214"/>
      <c r="V3385" s="1215"/>
      <c r="W3385" s="168"/>
      <c r="X3385" s="170"/>
    </row>
    <row r="3386" spans="1:24" ht="12.75" customHeight="1">
      <c r="A3386" s="15"/>
      <c r="B3386" s="92" t="str">
        <f t="shared" si="369"/>
        <v/>
      </c>
      <c r="C3386" s="90"/>
      <c r="D3386" s="87"/>
      <c r="E3386" s="88"/>
      <c r="F3386" s="173"/>
      <c r="G3386" s="88"/>
      <c r="H3386" s="88"/>
      <c r="I3386" s="88"/>
      <c r="J3386" s="88"/>
      <c r="K3386" s="230"/>
      <c r="L3386" s="88"/>
      <c r="M3386" s="88"/>
      <c r="N3386" s="88"/>
      <c r="O3386" s="88"/>
      <c r="P3386" s="88"/>
      <c r="Q3386" s="88"/>
      <c r="R3386" s="88"/>
      <c r="S3386" s="620"/>
      <c r="T3386" s="92"/>
      <c r="U3386" s="1214"/>
      <c r="V3386" s="1215"/>
      <c r="W3386" s="168"/>
      <c r="X3386" s="170"/>
    </row>
    <row r="3387" spans="1:24" ht="12.75" customHeight="1">
      <c r="A3387" s="15"/>
      <c r="B3387" s="92" t="str">
        <f t="shared" si="369"/>
        <v/>
      </c>
      <c r="C3387" s="90"/>
      <c r="D3387" s="87"/>
      <c r="E3387" s="88"/>
      <c r="F3387" s="173"/>
      <c r="G3387" s="88"/>
      <c r="H3387" s="88"/>
      <c r="I3387" s="88"/>
      <c r="J3387" s="88"/>
      <c r="K3387" s="230"/>
      <c r="L3387" s="88"/>
      <c r="M3387" s="88"/>
      <c r="N3387" s="88"/>
      <c r="O3387" s="88"/>
      <c r="P3387" s="88"/>
      <c r="Q3387" s="88"/>
      <c r="R3387" s="88"/>
      <c r="S3387" s="620"/>
      <c r="T3387" s="92"/>
      <c r="U3387" s="1214"/>
      <c r="V3387" s="1215"/>
      <c r="W3387" s="168"/>
      <c r="X3387" s="170"/>
    </row>
    <row r="3388" spans="1:24" ht="12.75" customHeight="1">
      <c r="A3388" s="15"/>
      <c r="B3388" s="92" t="str">
        <f t="shared" si="369"/>
        <v/>
      </c>
      <c r="C3388" s="90"/>
      <c r="D3388" s="87"/>
      <c r="E3388" s="88"/>
      <c r="F3388" s="173"/>
      <c r="G3388" s="88"/>
      <c r="H3388" s="88"/>
      <c r="I3388" s="88"/>
      <c r="J3388" s="88"/>
      <c r="K3388" s="230"/>
      <c r="L3388" s="88"/>
      <c r="M3388" s="88"/>
      <c r="N3388" s="88"/>
      <c r="O3388" s="88"/>
      <c r="P3388" s="88"/>
      <c r="Q3388" s="88"/>
      <c r="R3388" s="88"/>
      <c r="S3388" s="620"/>
      <c r="T3388" s="92"/>
      <c r="U3388" s="1214"/>
      <c r="V3388" s="1215"/>
      <c r="W3388" s="168"/>
      <c r="X3388" s="170"/>
    </row>
    <row r="3389" spans="1:24" ht="12.75" customHeight="1">
      <c r="A3389" s="15"/>
      <c r="B3389" s="92" t="str">
        <f t="shared" si="369"/>
        <v/>
      </c>
      <c r="C3389" s="90"/>
      <c r="D3389" s="87"/>
      <c r="E3389" s="88"/>
      <c r="F3389" s="173"/>
      <c r="G3389" s="88"/>
      <c r="H3389" s="88"/>
      <c r="I3389" s="88"/>
      <c r="J3389" s="88"/>
      <c r="K3389" s="230"/>
      <c r="L3389" s="88"/>
      <c r="M3389" s="88"/>
      <c r="N3389" s="88"/>
      <c r="O3389" s="88"/>
      <c r="P3389" s="88"/>
      <c r="Q3389" s="88"/>
      <c r="R3389" s="88"/>
      <c r="S3389" s="620"/>
      <c r="T3389" s="92"/>
      <c r="U3389" s="1214"/>
      <c r="V3389" s="1215"/>
      <c r="W3389" s="168"/>
      <c r="X3389" s="170"/>
    </row>
    <row r="3390" spans="1:24" ht="12.75" customHeight="1">
      <c r="A3390" s="15"/>
      <c r="B3390" s="92" t="str">
        <f t="shared" si="369"/>
        <v/>
      </c>
      <c r="C3390" s="90"/>
      <c r="D3390" s="87"/>
      <c r="E3390" s="88"/>
      <c r="F3390" s="173"/>
      <c r="G3390" s="88"/>
      <c r="H3390" s="88"/>
      <c r="I3390" s="88"/>
      <c r="J3390" s="88"/>
      <c r="K3390" s="230"/>
      <c r="L3390" s="88"/>
      <c r="M3390" s="88"/>
      <c r="N3390" s="88"/>
      <c r="O3390" s="88"/>
      <c r="P3390" s="88"/>
      <c r="Q3390" s="88"/>
      <c r="R3390" s="88"/>
      <c r="S3390" s="620"/>
      <c r="T3390" s="92"/>
      <c r="U3390" s="1214"/>
      <c r="V3390" s="1215"/>
      <c r="W3390" s="168"/>
      <c r="X3390" s="170"/>
    </row>
    <row r="3391" spans="1:24" ht="12.75" customHeight="1">
      <c r="A3391" s="15"/>
      <c r="B3391" s="92" t="str">
        <f t="shared" si="369"/>
        <v/>
      </c>
      <c r="C3391" s="90"/>
      <c r="D3391" s="87"/>
      <c r="E3391" s="88"/>
      <c r="F3391" s="173"/>
      <c r="G3391" s="88"/>
      <c r="H3391" s="88"/>
      <c r="I3391" s="88"/>
      <c r="J3391" s="88"/>
      <c r="K3391" s="230"/>
      <c r="L3391" s="88"/>
      <c r="M3391" s="88"/>
      <c r="N3391" s="88"/>
      <c r="O3391" s="88"/>
      <c r="P3391" s="88"/>
      <c r="Q3391" s="88"/>
      <c r="R3391" s="88"/>
      <c r="S3391" s="620"/>
      <c r="T3391" s="92"/>
      <c r="U3391" s="1214"/>
      <c r="V3391" s="1215"/>
      <c r="W3391" s="168"/>
      <c r="X3391" s="170"/>
    </row>
    <row r="3392" spans="1:24" ht="12.75" customHeight="1">
      <c r="A3392" s="15"/>
      <c r="B3392" s="92" t="str">
        <f t="shared" si="369"/>
        <v/>
      </c>
      <c r="C3392" s="90"/>
      <c r="D3392" s="87"/>
      <c r="E3392" s="88"/>
      <c r="F3392" s="173"/>
      <c r="G3392" s="88"/>
      <c r="H3392" s="88"/>
      <c r="I3392" s="88"/>
      <c r="J3392" s="88"/>
      <c r="K3392" s="230"/>
      <c r="L3392" s="88"/>
      <c r="M3392" s="88"/>
      <c r="N3392" s="88"/>
      <c r="O3392" s="88"/>
      <c r="P3392" s="88"/>
      <c r="Q3392" s="88"/>
      <c r="R3392" s="88"/>
      <c r="S3392" s="620"/>
      <c r="T3392" s="92"/>
      <c r="U3392" s="1214"/>
      <c r="V3392" s="1215"/>
      <c r="W3392" s="168"/>
      <c r="X3392" s="170"/>
    </row>
    <row r="3393" spans="1:24" ht="12.75" customHeight="1">
      <c r="A3393" s="15"/>
      <c r="B3393" s="92" t="str">
        <f t="shared" si="369"/>
        <v/>
      </c>
      <c r="C3393" s="90"/>
      <c r="D3393" s="87"/>
      <c r="E3393" s="88"/>
      <c r="F3393" s="173"/>
      <c r="G3393" s="88"/>
      <c r="H3393" s="88"/>
      <c r="I3393" s="88"/>
      <c r="J3393" s="88"/>
      <c r="K3393" s="230"/>
      <c r="L3393" s="88"/>
      <c r="M3393" s="88"/>
      <c r="N3393" s="88"/>
      <c r="O3393" s="88"/>
      <c r="P3393" s="88"/>
      <c r="Q3393" s="88"/>
      <c r="R3393" s="88"/>
      <c r="S3393" s="620"/>
      <c r="T3393" s="92"/>
      <c r="U3393" s="1214"/>
      <c r="V3393" s="1215"/>
      <c r="W3393" s="168"/>
      <c r="X3393" s="170"/>
    </row>
    <row r="3394" spans="1:24" ht="12.75" customHeight="1">
      <c r="A3394" s="15"/>
      <c r="B3394" s="92" t="str">
        <f t="shared" si="369"/>
        <v/>
      </c>
      <c r="C3394" s="90"/>
      <c r="D3394" s="87"/>
      <c r="E3394" s="88"/>
      <c r="F3394" s="173"/>
      <c r="G3394" s="88"/>
      <c r="H3394" s="88"/>
      <c r="I3394" s="88"/>
      <c r="J3394" s="88"/>
      <c r="K3394" s="230"/>
      <c r="L3394" s="88"/>
      <c r="M3394" s="88"/>
      <c r="N3394" s="88"/>
      <c r="O3394" s="88"/>
      <c r="P3394" s="88"/>
      <c r="Q3394" s="88"/>
      <c r="R3394" s="88"/>
      <c r="S3394" s="620"/>
      <c r="T3394" s="92"/>
      <c r="U3394" s="1214"/>
      <c r="V3394" s="1215"/>
      <c r="W3394" s="168"/>
      <c r="X3394" s="170"/>
    </row>
    <row r="3395" spans="1:24" ht="12.75" customHeight="1">
      <c r="A3395" s="15"/>
      <c r="B3395" s="92" t="str">
        <f t="shared" si="369"/>
        <v/>
      </c>
      <c r="C3395" s="90"/>
      <c r="D3395" s="87"/>
      <c r="E3395" s="88"/>
      <c r="F3395" s="173"/>
      <c r="G3395" s="88"/>
      <c r="H3395" s="88"/>
      <c r="I3395" s="88"/>
      <c r="J3395" s="88"/>
      <c r="K3395" s="230"/>
      <c r="L3395" s="88"/>
      <c r="M3395" s="88"/>
      <c r="N3395" s="88"/>
      <c r="O3395" s="88"/>
      <c r="P3395" s="88"/>
      <c r="Q3395" s="88"/>
      <c r="R3395" s="88"/>
      <c r="S3395" s="620"/>
      <c r="T3395" s="92"/>
      <c r="U3395" s="1214"/>
      <c r="V3395" s="1215"/>
      <c r="W3395" s="168"/>
      <c r="X3395" s="170"/>
    </row>
    <row r="3396" spans="1:24" ht="12.75" customHeight="1">
      <c r="A3396" s="15"/>
      <c r="B3396" s="92" t="str">
        <f t="shared" si="369"/>
        <v/>
      </c>
      <c r="C3396" s="90"/>
      <c r="D3396" s="87"/>
      <c r="E3396" s="88"/>
      <c r="F3396" s="173"/>
      <c r="G3396" s="88"/>
      <c r="H3396" s="88"/>
      <c r="I3396" s="88"/>
      <c r="J3396" s="88"/>
      <c r="K3396" s="230"/>
      <c r="L3396" s="88"/>
      <c r="M3396" s="88"/>
      <c r="N3396" s="88"/>
      <c r="O3396" s="88"/>
      <c r="P3396" s="88"/>
      <c r="Q3396" s="88"/>
      <c r="R3396" s="88"/>
      <c r="S3396" s="620"/>
      <c r="T3396" s="92"/>
      <c r="U3396" s="1214"/>
      <c r="V3396" s="1215"/>
      <c r="W3396" s="168"/>
      <c r="X3396" s="170"/>
    </row>
    <row r="3397" spans="1:24" ht="12.75" customHeight="1">
      <c r="A3397" s="15"/>
      <c r="B3397" s="92" t="str">
        <f t="shared" si="369"/>
        <v/>
      </c>
      <c r="C3397" s="90"/>
      <c r="D3397" s="87"/>
      <c r="E3397" s="88"/>
      <c r="F3397" s="173"/>
      <c r="G3397" s="88"/>
      <c r="H3397" s="88"/>
      <c r="I3397" s="88"/>
      <c r="J3397" s="88"/>
      <c r="K3397" s="230"/>
      <c r="L3397" s="88"/>
      <c r="M3397" s="88"/>
      <c r="N3397" s="88"/>
      <c r="O3397" s="88"/>
      <c r="P3397" s="88"/>
      <c r="Q3397" s="88"/>
      <c r="R3397" s="88"/>
      <c r="S3397" s="620"/>
      <c r="T3397" s="92"/>
      <c r="U3397" s="1214"/>
      <c r="V3397" s="1215"/>
      <c r="W3397" s="168"/>
      <c r="X3397" s="170"/>
    </row>
    <row r="3398" spans="1:24" ht="12.75" customHeight="1">
      <c r="A3398" s="15"/>
      <c r="B3398" s="92" t="str">
        <f t="shared" si="369"/>
        <v/>
      </c>
      <c r="C3398" s="90"/>
      <c r="D3398" s="87"/>
      <c r="E3398" s="88"/>
      <c r="F3398" s="173"/>
      <c r="G3398" s="88"/>
      <c r="H3398" s="88"/>
      <c r="I3398" s="88"/>
      <c r="J3398" s="88"/>
      <c r="K3398" s="230"/>
      <c r="L3398" s="88"/>
      <c r="M3398" s="88"/>
      <c r="N3398" s="88"/>
      <c r="O3398" s="88"/>
      <c r="P3398" s="88"/>
      <c r="Q3398" s="88"/>
      <c r="R3398" s="88"/>
      <c r="S3398" s="620"/>
      <c r="T3398" s="92"/>
      <c r="U3398" s="1214"/>
      <c r="V3398" s="1215"/>
      <c r="W3398" s="168"/>
      <c r="X3398" s="170"/>
    </row>
    <row r="3399" spans="1:24" ht="12.75" customHeight="1">
      <c r="A3399" s="15"/>
      <c r="B3399" s="92" t="str">
        <f t="shared" si="369"/>
        <v/>
      </c>
      <c r="C3399" s="90"/>
      <c r="D3399" s="87"/>
      <c r="E3399" s="88"/>
      <c r="F3399" s="173"/>
      <c r="G3399" s="88"/>
      <c r="H3399" s="88"/>
      <c r="I3399" s="88"/>
      <c r="J3399" s="88"/>
      <c r="K3399" s="230"/>
      <c r="L3399" s="88"/>
      <c r="M3399" s="88"/>
      <c r="N3399" s="88"/>
      <c r="O3399" s="88"/>
      <c r="P3399" s="88"/>
      <c r="Q3399" s="88"/>
      <c r="R3399" s="88"/>
      <c r="S3399" s="620"/>
      <c r="T3399" s="92"/>
      <c r="U3399" s="1214"/>
      <c r="V3399" s="1215"/>
      <c r="W3399" s="168"/>
      <c r="X3399" s="170"/>
    </row>
    <row r="3400" spans="1:24" ht="12.75" customHeight="1">
      <c r="A3400" s="15"/>
      <c r="B3400" s="92" t="str">
        <f t="shared" si="369"/>
        <v/>
      </c>
      <c r="C3400" s="90"/>
      <c r="D3400" s="87"/>
      <c r="E3400" s="88"/>
      <c r="F3400" s="173"/>
      <c r="G3400" s="88"/>
      <c r="H3400" s="88"/>
      <c r="I3400" s="88"/>
      <c r="J3400" s="88"/>
      <c r="K3400" s="230"/>
      <c r="L3400" s="88"/>
      <c r="M3400" s="88"/>
      <c r="N3400" s="88"/>
      <c r="O3400" s="88"/>
      <c r="P3400" s="88"/>
      <c r="Q3400" s="88"/>
      <c r="R3400" s="88"/>
      <c r="S3400" s="620"/>
      <c r="T3400" s="92"/>
      <c r="U3400" s="1214"/>
      <c r="V3400" s="1215"/>
      <c r="W3400" s="168"/>
      <c r="X3400" s="170"/>
    </row>
    <row r="3401" spans="1:24" ht="12.75" customHeight="1">
      <c r="A3401" s="15"/>
      <c r="B3401" s="92" t="str">
        <f t="shared" si="369"/>
        <v/>
      </c>
      <c r="C3401" s="90"/>
      <c r="D3401" s="87"/>
      <c r="E3401" s="88"/>
      <c r="F3401" s="173"/>
      <c r="G3401" s="88"/>
      <c r="H3401" s="88"/>
      <c r="I3401" s="88"/>
      <c r="J3401" s="88"/>
      <c r="K3401" s="230"/>
      <c r="L3401" s="88"/>
      <c r="M3401" s="88"/>
      <c r="N3401" s="88"/>
      <c r="O3401" s="88"/>
      <c r="P3401" s="88"/>
      <c r="Q3401" s="88"/>
      <c r="R3401" s="88"/>
      <c r="S3401" s="620"/>
      <c r="T3401" s="92"/>
      <c r="U3401" s="1214"/>
      <c r="V3401" s="1215"/>
      <c r="W3401" s="168"/>
      <c r="X3401" s="170"/>
    </row>
    <row r="3402" spans="1:24" ht="12.75" customHeight="1">
      <c r="A3402" s="15"/>
      <c r="B3402" s="92" t="str">
        <f t="shared" si="369"/>
        <v/>
      </c>
      <c r="C3402" s="90"/>
      <c r="D3402" s="87"/>
      <c r="E3402" s="88"/>
      <c r="F3402" s="173"/>
      <c r="G3402" s="88"/>
      <c r="H3402" s="88"/>
      <c r="I3402" s="88"/>
      <c r="J3402" s="88"/>
      <c r="K3402" s="230"/>
      <c r="L3402" s="88"/>
      <c r="M3402" s="88"/>
      <c r="N3402" s="88"/>
      <c r="O3402" s="88"/>
      <c r="P3402" s="88"/>
      <c r="Q3402" s="88"/>
      <c r="R3402" s="88"/>
      <c r="S3402" s="620"/>
      <c r="T3402" s="92"/>
      <c r="U3402" s="1214"/>
      <c r="V3402" s="1215"/>
      <c r="W3402" s="168"/>
      <c r="X3402" s="170"/>
    </row>
    <row r="3403" spans="1:24" ht="12.75" customHeight="1">
      <c r="A3403" s="15"/>
      <c r="B3403" s="92" t="str">
        <f t="shared" si="369"/>
        <v/>
      </c>
      <c r="C3403" s="90"/>
      <c r="D3403" s="87"/>
      <c r="E3403" s="88"/>
      <c r="F3403" s="173"/>
      <c r="G3403" s="88"/>
      <c r="H3403" s="88"/>
      <c r="I3403" s="88"/>
      <c r="J3403" s="88"/>
      <c r="K3403" s="230"/>
      <c r="L3403" s="88"/>
      <c r="M3403" s="88"/>
      <c r="N3403" s="88"/>
      <c r="O3403" s="88"/>
      <c r="P3403" s="88"/>
      <c r="Q3403" s="88"/>
      <c r="R3403" s="88"/>
      <c r="S3403" s="620"/>
      <c r="T3403" s="92"/>
      <c r="U3403" s="1214"/>
      <c r="V3403" s="1215"/>
      <c r="W3403" s="168"/>
      <c r="X3403" s="170"/>
    </row>
    <row r="3404" spans="1:24" ht="12.75" customHeight="1">
      <c r="A3404" s="15"/>
      <c r="B3404" s="92" t="str">
        <f t="shared" si="369"/>
        <v/>
      </c>
      <c r="C3404" s="90"/>
      <c r="D3404" s="87"/>
      <c r="E3404" s="88"/>
      <c r="F3404" s="173"/>
      <c r="G3404" s="88"/>
      <c r="H3404" s="88"/>
      <c r="I3404" s="88"/>
      <c r="J3404" s="88"/>
      <c r="K3404" s="230"/>
      <c r="L3404" s="88"/>
      <c r="M3404" s="88"/>
      <c r="N3404" s="88"/>
      <c r="O3404" s="88"/>
      <c r="P3404" s="88"/>
      <c r="Q3404" s="88"/>
      <c r="R3404" s="88"/>
      <c r="S3404" s="620"/>
      <c r="T3404" s="92"/>
      <c r="U3404" s="1214"/>
      <c r="V3404" s="1215"/>
      <c r="W3404" s="168"/>
      <c r="X3404" s="170"/>
    </row>
    <row r="3405" spans="1:24" ht="12.75" customHeight="1">
      <c r="A3405" s="15"/>
      <c r="B3405" s="92" t="str">
        <f t="shared" si="369"/>
        <v/>
      </c>
      <c r="C3405" s="90"/>
      <c r="D3405" s="87"/>
      <c r="E3405" s="88"/>
      <c r="F3405" s="173"/>
      <c r="G3405" s="88"/>
      <c r="H3405" s="88"/>
      <c r="I3405" s="88"/>
      <c r="J3405" s="88"/>
      <c r="K3405" s="230"/>
      <c r="L3405" s="88"/>
      <c r="M3405" s="88"/>
      <c r="N3405" s="88"/>
      <c r="O3405" s="88"/>
      <c r="P3405" s="88"/>
      <c r="Q3405" s="88"/>
      <c r="R3405" s="88"/>
      <c r="S3405" s="620"/>
      <c r="T3405" s="92"/>
      <c r="U3405" s="1214"/>
      <c r="V3405" s="1215"/>
      <c r="W3405" s="168"/>
      <c r="X3405" s="170"/>
    </row>
    <row r="3406" spans="1:24" ht="12.75" customHeight="1">
      <c r="A3406" s="15"/>
      <c r="B3406" s="92" t="str">
        <f t="shared" si="369"/>
        <v/>
      </c>
      <c r="C3406" s="90"/>
      <c r="D3406" s="87"/>
      <c r="E3406" s="88"/>
      <c r="F3406" s="173"/>
      <c r="G3406" s="88"/>
      <c r="H3406" s="88"/>
      <c r="I3406" s="88"/>
      <c r="J3406" s="88"/>
      <c r="K3406" s="230"/>
      <c r="L3406" s="88"/>
      <c r="M3406" s="88"/>
      <c r="N3406" s="88"/>
      <c r="O3406" s="88"/>
      <c r="P3406" s="88"/>
      <c r="Q3406" s="88"/>
      <c r="R3406" s="88"/>
      <c r="S3406" s="620"/>
      <c r="T3406" s="92"/>
      <c r="U3406" s="1214"/>
      <c r="V3406" s="1215"/>
      <c r="W3406" s="168"/>
      <c r="X3406" s="170"/>
    </row>
    <row r="3407" spans="1:24" ht="12.75" customHeight="1">
      <c r="A3407" s="15"/>
      <c r="B3407" s="92" t="str">
        <f t="shared" si="369"/>
        <v/>
      </c>
      <c r="C3407" s="90"/>
      <c r="D3407" s="87"/>
      <c r="E3407" s="88"/>
      <c r="F3407" s="173"/>
      <c r="G3407" s="88"/>
      <c r="H3407" s="88"/>
      <c r="I3407" s="88"/>
      <c r="J3407" s="88"/>
      <c r="K3407" s="230"/>
      <c r="L3407" s="88"/>
      <c r="M3407" s="88"/>
      <c r="N3407" s="88"/>
      <c r="O3407" s="88"/>
      <c r="P3407" s="88"/>
      <c r="Q3407" s="88"/>
      <c r="R3407" s="88"/>
      <c r="S3407" s="620"/>
      <c r="T3407" s="92"/>
      <c r="U3407" s="1214"/>
      <c r="V3407" s="1215"/>
      <c r="W3407" s="168"/>
      <c r="X3407" s="170"/>
    </row>
    <row r="3408" spans="1:24" ht="12.75" customHeight="1">
      <c r="A3408" s="15"/>
      <c r="B3408" s="92" t="str">
        <f t="shared" si="369"/>
        <v/>
      </c>
      <c r="C3408" s="90"/>
      <c r="D3408" s="87"/>
      <c r="E3408" s="88"/>
      <c r="F3408" s="173"/>
      <c r="G3408" s="88"/>
      <c r="H3408" s="88"/>
      <c r="I3408" s="88"/>
      <c r="J3408" s="88"/>
      <c r="K3408" s="230"/>
      <c r="L3408" s="88"/>
      <c r="M3408" s="88"/>
      <c r="N3408" s="88"/>
      <c r="O3408" s="88"/>
      <c r="P3408" s="88"/>
      <c r="Q3408" s="88"/>
      <c r="R3408" s="88"/>
      <c r="S3408" s="620"/>
      <c r="T3408" s="92"/>
      <c r="U3408" s="1214"/>
      <c r="V3408" s="1215"/>
      <c r="W3408" s="168"/>
      <c r="X3408" s="170"/>
    </row>
    <row r="3409" spans="1:24" ht="12.75" customHeight="1">
      <c r="A3409" s="15"/>
      <c r="B3409" s="92" t="str">
        <f t="shared" si="369"/>
        <v/>
      </c>
      <c r="C3409" s="90"/>
      <c r="D3409" s="87"/>
      <c r="E3409" s="88"/>
      <c r="F3409" s="173"/>
      <c r="G3409" s="88"/>
      <c r="H3409" s="88"/>
      <c r="I3409" s="88"/>
      <c r="J3409" s="88"/>
      <c r="K3409" s="230"/>
      <c r="L3409" s="88"/>
      <c r="M3409" s="88"/>
      <c r="N3409" s="88"/>
      <c r="O3409" s="88"/>
      <c r="P3409" s="88"/>
      <c r="Q3409" s="88"/>
      <c r="R3409" s="88"/>
      <c r="S3409" s="620"/>
      <c r="T3409" s="92"/>
      <c r="U3409" s="1214"/>
      <c r="V3409" s="1215"/>
      <c r="W3409" s="168"/>
      <c r="X3409" s="170"/>
    </row>
    <row r="3410" spans="1:24" ht="12.75" customHeight="1">
      <c r="A3410" s="15"/>
      <c r="B3410" s="92" t="str">
        <f t="shared" si="369"/>
        <v/>
      </c>
      <c r="C3410" s="90"/>
      <c r="D3410" s="87"/>
      <c r="E3410" s="88"/>
      <c r="F3410" s="173"/>
      <c r="G3410" s="88"/>
      <c r="H3410" s="88"/>
      <c r="I3410" s="88"/>
      <c r="J3410" s="88"/>
      <c r="K3410" s="230"/>
      <c r="L3410" s="88"/>
      <c r="M3410" s="88"/>
      <c r="N3410" s="88"/>
      <c r="O3410" s="88"/>
      <c r="P3410" s="88"/>
      <c r="Q3410" s="88"/>
      <c r="R3410" s="88"/>
      <c r="S3410" s="620"/>
      <c r="T3410" s="92"/>
      <c r="U3410" s="1214"/>
      <c r="V3410" s="1215"/>
      <c r="W3410" s="168"/>
      <c r="X3410" s="170"/>
    </row>
    <row r="3411" spans="1:24" ht="12.75" customHeight="1">
      <c r="A3411" s="15"/>
      <c r="B3411" s="92" t="str">
        <f t="shared" si="369"/>
        <v/>
      </c>
      <c r="C3411" s="90"/>
      <c r="D3411" s="87"/>
      <c r="E3411" s="88"/>
      <c r="F3411" s="173"/>
      <c r="G3411" s="88"/>
      <c r="H3411" s="88"/>
      <c r="I3411" s="88"/>
      <c r="J3411" s="88"/>
      <c r="K3411" s="230"/>
      <c r="L3411" s="88"/>
      <c r="M3411" s="88"/>
      <c r="N3411" s="88"/>
      <c r="O3411" s="88"/>
      <c r="P3411" s="88"/>
      <c r="Q3411" s="88"/>
      <c r="R3411" s="88"/>
      <c r="S3411" s="620"/>
      <c r="T3411" s="92"/>
      <c r="U3411" s="1214"/>
      <c r="V3411" s="1215"/>
      <c r="W3411" s="168"/>
      <c r="X3411" s="170"/>
    </row>
    <row r="3412" spans="1:24" ht="12.75" customHeight="1">
      <c r="A3412" s="15"/>
      <c r="B3412" s="92" t="str">
        <f t="shared" si="369"/>
        <v/>
      </c>
      <c r="C3412" s="90"/>
      <c r="D3412" s="87"/>
      <c r="E3412" s="88"/>
      <c r="F3412" s="173"/>
      <c r="G3412" s="88"/>
      <c r="H3412" s="88"/>
      <c r="I3412" s="88"/>
      <c r="J3412" s="88"/>
      <c r="K3412" s="230"/>
      <c r="L3412" s="88"/>
      <c r="M3412" s="88"/>
      <c r="N3412" s="88"/>
      <c r="O3412" s="88"/>
      <c r="P3412" s="88"/>
      <c r="Q3412" s="88"/>
      <c r="R3412" s="88"/>
      <c r="S3412" s="620"/>
      <c r="T3412" s="92"/>
      <c r="U3412" s="1214"/>
      <c r="V3412" s="1215"/>
      <c r="W3412" s="168"/>
      <c r="X3412" s="170"/>
    </row>
    <row r="3413" spans="1:24" ht="12.75" customHeight="1">
      <c r="A3413" s="15"/>
      <c r="B3413" s="92" t="str">
        <f t="shared" si="369"/>
        <v/>
      </c>
      <c r="C3413" s="90"/>
      <c r="D3413" s="87"/>
      <c r="E3413" s="88"/>
      <c r="F3413" s="173"/>
      <c r="G3413" s="88"/>
      <c r="H3413" s="88"/>
      <c r="I3413" s="88"/>
      <c r="J3413" s="88"/>
      <c r="K3413" s="230"/>
      <c r="L3413" s="88"/>
      <c r="M3413" s="88"/>
      <c r="N3413" s="88"/>
      <c r="O3413" s="88"/>
      <c r="P3413" s="88"/>
      <c r="Q3413" s="88"/>
      <c r="R3413" s="88"/>
      <c r="S3413" s="620"/>
      <c r="T3413" s="92"/>
      <c r="U3413" s="1214"/>
      <c r="V3413" s="1215"/>
      <c r="W3413" s="168"/>
      <c r="X3413" s="170"/>
    </row>
    <row r="3414" spans="1:24" ht="12.75" customHeight="1">
      <c r="A3414" s="15"/>
      <c r="B3414" s="92" t="str">
        <f t="shared" si="369"/>
        <v/>
      </c>
      <c r="C3414" s="90"/>
      <c r="D3414" s="87"/>
      <c r="E3414" s="88"/>
      <c r="F3414" s="173"/>
      <c r="G3414" s="88"/>
      <c r="H3414" s="88"/>
      <c r="I3414" s="88"/>
      <c r="J3414" s="88"/>
      <c r="K3414" s="230"/>
      <c r="L3414" s="88"/>
      <c r="M3414" s="88"/>
      <c r="N3414" s="88"/>
      <c r="O3414" s="88"/>
      <c r="P3414" s="88"/>
      <c r="Q3414" s="88"/>
      <c r="R3414" s="88"/>
      <c r="S3414" s="620"/>
      <c r="T3414" s="92"/>
      <c r="U3414" s="1214"/>
      <c r="V3414" s="1215"/>
      <c r="W3414" s="168"/>
      <c r="X3414" s="170"/>
    </row>
    <row r="3415" spans="1:24" ht="12.75" customHeight="1">
      <c r="A3415" s="15"/>
      <c r="B3415" s="92" t="str">
        <f t="shared" si="369"/>
        <v/>
      </c>
      <c r="C3415" s="90"/>
      <c r="D3415" s="87"/>
      <c r="E3415" s="88"/>
      <c r="F3415" s="173"/>
      <c r="G3415" s="88"/>
      <c r="H3415" s="88"/>
      <c r="I3415" s="88"/>
      <c r="J3415" s="88"/>
      <c r="K3415" s="230"/>
      <c r="L3415" s="88"/>
      <c r="M3415" s="88"/>
      <c r="N3415" s="88"/>
      <c r="O3415" s="88"/>
      <c r="P3415" s="88"/>
      <c r="Q3415" s="88"/>
      <c r="R3415" s="88"/>
      <c r="S3415" s="620"/>
      <c r="T3415" s="92"/>
      <c r="U3415" s="1214"/>
      <c r="V3415" s="1215"/>
      <c r="W3415" s="168"/>
      <c r="X3415" s="170"/>
    </row>
    <row r="3416" spans="1:24" ht="12.75" customHeight="1">
      <c r="A3416" s="15"/>
      <c r="B3416" s="92" t="str">
        <f t="shared" si="369"/>
        <v/>
      </c>
      <c r="C3416" s="90"/>
      <c r="D3416" s="87"/>
      <c r="E3416" s="88"/>
      <c r="F3416" s="173"/>
      <c r="G3416" s="88"/>
      <c r="H3416" s="88"/>
      <c r="I3416" s="88"/>
      <c r="J3416" s="88"/>
      <c r="K3416" s="230"/>
      <c r="L3416" s="88"/>
      <c r="M3416" s="88"/>
      <c r="N3416" s="88"/>
      <c r="O3416" s="88"/>
      <c r="P3416" s="88"/>
      <c r="Q3416" s="88"/>
      <c r="R3416" s="88"/>
      <c r="S3416" s="620"/>
      <c r="T3416" s="92"/>
      <c r="U3416" s="1214"/>
      <c r="V3416" s="1215"/>
      <c r="W3416" s="168"/>
      <c r="X3416" s="170"/>
    </row>
    <row r="3417" spans="1:24" ht="12.75" customHeight="1">
      <c r="A3417" s="15"/>
      <c r="B3417" s="92" t="str">
        <f t="shared" si="369"/>
        <v/>
      </c>
      <c r="C3417" s="90"/>
      <c r="D3417" s="87"/>
      <c r="E3417" s="88"/>
      <c r="F3417" s="173"/>
      <c r="G3417" s="88"/>
      <c r="H3417" s="88"/>
      <c r="I3417" s="88"/>
      <c r="J3417" s="88"/>
      <c r="K3417" s="230"/>
      <c r="L3417" s="88"/>
      <c r="M3417" s="88"/>
      <c r="N3417" s="88"/>
      <c r="O3417" s="88"/>
      <c r="P3417" s="88"/>
      <c r="Q3417" s="88"/>
      <c r="R3417" s="88"/>
      <c r="S3417" s="620"/>
      <c r="T3417" s="92"/>
      <c r="U3417" s="1214"/>
      <c r="V3417" s="1215"/>
      <c r="W3417" s="168"/>
      <c r="X3417" s="170"/>
    </row>
    <row r="3418" spans="1:24" ht="12.75" customHeight="1">
      <c r="A3418" s="15"/>
      <c r="B3418" s="92" t="str">
        <f t="shared" si="369"/>
        <v/>
      </c>
      <c r="C3418" s="90"/>
      <c r="D3418" s="87"/>
      <c r="E3418" s="88"/>
      <c r="F3418" s="173"/>
      <c r="G3418" s="88"/>
      <c r="H3418" s="88"/>
      <c r="I3418" s="88"/>
      <c r="J3418" s="88"/>
      <c r="K3418" s="230"/>
      <c r="L3418" s="88"/>
      <c r="M3418" s="88"/>
      <c r="N3418" s="88"/>
      <c r="O3418" s="88"/>
      <c r="P3418" s="88"/>
      <c r="Q3418" s="88"/>
      <c r="R3418" s="88"/>
      <c r="S3418" s="620"/>
      <c r="T3418" s="92"/>
      <c r="U3418" s="1214"/>
      <c r="V3418" s="1215"/>
      <c r="W3418" s="168"/>
      <c r="X3418" s="170"/>
    </row>
    <row r="3419" spans="1:24" ht="12.75" customHeight="1">
      <c r="A3419" s="15"/>
      <c r="B3419" s="92" t="str">
        <f t="shared" si="369"/>
        <v/>
      </c>
      <c r="C3419" s="90"/>
      <c r="D3419" s="87"/>
      <c r="E3419" s="88"/>
      <c r="F3419" s="173"/>
      <c r="G3419" s="88"/>
      <c r="H3419" s="88"/>
      <c r="I3419" s="88"/>
      <c r="J3419" s="88"/>
      <c r="K3419" s="230"/>
      <c r="L3419" s="88"/>
      <c r="M3419" s="88"/>
      <c r="N3419" s="88"/>
      <c r="O3419" s="88"/>
      <c r="P3419" s="88"/>
      <c r="Q3419" s="88"/>
      <c r="R3419" s="88"/>
      <c r="S3419" s="620"/>
      <c r="T3419" s="92"/>
      <c r="U3419" s="1214"/>
      <c r="V3419" s="1215"/>
      <c r="W3419" s="168"/>
      <c r="X3419" s="170"/>
    </row>
    <row r="3420" spans="1:24" ht="12.75" customHeight="1">
      <c r="A3420" s="15"/>
      <c r="B3420" s="92" t="str">
        <f t="shared" si="369"/>
        <v/>
      </c>
      <c r="C3420" s="90"/>
      <c r="D3420" s="87"/>
      <c r="E3420" s="88"/>
      <c r="F3420" s="173"/>
      <c r="G3420" s="88"/>
      <c r="H3420" s="88"/>
      <c r="I3420" s="88"/>
      <c r="J3420" s="88"/>
      <c r="K3420" s="230"/>
      <c r="L3420" s="88"/>
      <c r="M3420" s="88"/>
      <c r="N3420" s="88"/>
      <c r="O3420" s="88"/>
      <c r="P3420" s="88"/>
      <c r="Q3420" s="88"/>
      <c r="R3420" s="88"/>
      <c r="S3420" s="620"/>
      <c r="T3420" s="92"/>
      <c r="U3420" s="1214"/>
      <c r="V3420" s="1215"/>
      <c r="W3420" s="168"/>
      <c r="X3420" s="170"/>
    </row>
    <row r="3421" spans="1:24" ht="12.75" customHeight="1">
      <c r="A3421" s="15"/>
      <c r="B3421" s="92" t="str">
        <f t="shared" si="369"/>
        <v/>
      </c>
      <c r="C3421" s="90"/>
      <c r="D3421" s="87"/>
      <c r="E3421" s="88"/>
      <c r="F3421" s="173"/>
      <c r="G3421" s="88"/>
      <c r="H3421" s="88"/>
      <c r="I3421" s="88"/>
      <c r="J3421" s="88"/>
      <c r="K3421" s="230"/>
      <c r="L3421" s="88"/>
      <c r="M3421" s="88"/>
      <c r="N3421" s="88"/>
      <c r="O3421" s="88"/>
      <c r="P3421" s="88"/>
      <c r="Q3421" s="88"/>
      <c r="R3421" s="88"/>
      <c r="S3421" s="620"/>
      <c r="T3421" s="92"/>
      <c r="U3421" s="1214"/>
      <c r="V3421" s="1215"/>
      <c r="W3421" s="168"/>
      <c r="X3421" s="170"/>
    </row>
    <row r="3422" spans="1:24" ht="12.75" customHeight="1">
      <c r="A3422" s="15"/>
      <c r="B3422" s="92" t="str">
        <f t="shared" si="369"/>
        <v/>
      </c>
      <c r="C3422" s="90"/>
      <c r="D3422" s="87"/>
      <c r="E3422" s="88"/>
      <c r="F3422" s="173"/>
      <c r="G3422" s="88"/>
      <c r="H3422" s="88"/>
      <c r="I3422" s="88"/>
      <c r="J3422" s="88"/>
      <c r="K3422" s="230"/>
      <c r="L3422" s="88"/>
      <c r="M3422" s="88"/>
      <c r="N3422" s="88"/>
      <c r="O3422" s="88"/>
      <c r="P3422" s="88"/>
      <c r="Q3422" s="88"/>
      <c r="R3422" s="88"/>
      <c r="S3422" s="620"/>
      <c r="T3422" s="92"/>
      <c r="U3422" s="1214"/>
      <c r="V3422" s="1215"/>
      <c r="W3422" s="168"/>
      <c r="X3422" s="170"/>
    </row>
    <row r="3423" spans="1:24" ht="12.75" customHeight="1">
      <c r="A3423" s="15"/>
      <c r="B3423" s="92" t="str">
        <f t="shared" si="369"/>
        <v/>
      </c>
      <c r="C3423" s="90"/>
      <c r="D3423" s="87"/>
      <c r="E3423" s="88"/>
      <c r="F3423" s="173"/>
      <c r="G3423" s="88"/>
      <c r="H3423" s="88"/>
      <c r="I3423" s="88"/>
      <c r="J3423" s="88"/>
      <c r="K3423" s="230"/>
      <c r="L3423" s="88"/>
      <c r="M3423" s="88"/>
      <c r="N3423" s="88"/>
      <c r="O3423" s="88"/>
      <c r="P3423" s="88"/>
      <c r="Q3423" s="88"/>
      <c r="R3423" s="88"/>
      <c r="S3423" s="620"/>
      <c r="T3423" s="92"/>
      <c r="U3423" s="1214"/>
      <c r="V3423" s="1215"/>
      <c r="W3423" s="168"/>
      <c r="X3423" s="170"/>
    </row>
    <row r="3424" spans="1:24" ht="12.75" customHeight="1">
      <c r="A3424" s="15"/>
      <c r="B3424" s="92" t="str">
        <f t="shared" si="369"/>
        <v/>
      </c>
      <c r="C3424" s="90"/>
      <c r="D3424" s="87"/>
      <c r="E3424" s="88"/>
      <c r="F3424" s="173"/>
      <c r="G3424" s="88"/>
      <c r="H3424" s="88"/>
      <c r="I3424" s="88"/>
      <c r="J3424" s="88"/>
      <c r="K3424" s="230"/>
      <c r="L3424" s="88"/>
      <c r="M3424" s="88"/>
      <c r="N3424" s="88"/>
      <c r="O3424" s="88"/>
      <c r="P3424" s="88"/>
      <c r="Q3424" s="88"/>
      <c r="R3424" s="88"/>
      <c r="S3424" s="620"/>
      <c r="T3424" s="92"/>
      <c r="U3424" s="1214"/>
      <c r="V3424" s="1215"/>
      <c r="W3424" s="168"/>
      <c r="X3424" s="170"/>
    </row>
    <row r="3425" spans="1:24" ht="12.75" customHeight="1">
      <c r="A3425" s="15"/>
      <c r="B3425" s="92" t="str">
        <f t="shared" si="369"/>
        <v/>
      </c>
      <c r="C3425" s="90"/>
      <c r="D3425" s="87"/>
      <c r="E3425" s="88"/>
      <c r="F3425" s="173"/>
      <c r="G3425" s="88"/>
      <c r="H3425" s="88"/>
      <c r="I3425" s="88"/>
      <c r="J3425" s="88"/>
      <c r="K3425" s="230"/>
      <c r="L3425" s="88"/>
      <c r="M3425" s="88"/>
      <c r="N3425" s="88"/>
      <c r="O3425" s="88"/>
      <c r="P3425" s="88"/>
      <c r="Q3425" s="88"/>
      <c r="R3425" s="88"/>
      <c r="S3425" s="620"/>
      <c r="T3425" s="92"/>
      <c r="U3425" s="1214"/>
      <c r="V3425" s="1215"/>
      <c r="W3425" s="168"/>
      <c r="X3425" s="170"/>
    </row>
    <row r="3426" spans="1:24" ht="12.75" customHeight="1">
      <c r="A3426" s="15"/>
      <c r="B3426" s="92" t="str">
        <f t="shared" si="369"/>
        <v/>
      </c>
      <c r="C3426" s="90"/>
      <c r="D3426" s="87"/>
      <c r="E3426" s="88"/>
      <c r="F3426" s="173"/>
      <c r="G3426" s="88"/>
      <c r="H3426" s="88"/>
      <c r="I3426" s="88"/>
      <c r="J3426" s="88"/>
      <c r="K3426" s="230"/>
      <c r="L3426" s="88"/>
      <c r="M3426" s="88"/>
      <c r="N3426" s="88"/>
      <c r="O3426" s="88"/>
      <c r="P3426" s="88"/>
      <c r="Q3426" s="88"/>
      <c r="R3426" s="88"/>
      <c r="S3426" s="620"/>
      <c r="T3426" s="92"/>
      <c r="U3426" s="1214"/>
      <c r="V3426" s="1215"/>
      <c r="W3426" s="168"/>
      <c r="X3426" s="170"/>
    </row>
    <row r="3427" spans="1:24" ht="12.75" customHeight="1">
      <c r="A3427" s="15"/>
      <c r="B3427" s="92" t="str">
        <f t="shared" si="369"/>
        <v/>
      </c>
      <c r="C3427" s="90"/>
      <c r="D3427" s="87"/>
      <c r="E3427" s="88"/>
      <c r="F3427" s="173"/>
      <c r="G3427" s="88"/>
      <c r="H3427" s="88"/>
      <c r="I3427" s="88"/>
      <c r="J3427" s="88"/>
      <c r="K3427" s="230"/>
      <c r="L3427" s="88"/>
      <c r="M3427" s="88"/>
      <c r="N3427" s="88"/>
      <c r="O3427" s="88"/>
      <c r="P3427" s="88"/>
      <c r="Q3427" s="88"/>
      <c r="R3427" s="88"/>
      <c r="S3427" s="620"/>
      <c r="T3427" s="92"/>
      <c r="U3427" s="1214"/>
      <c r="V3427" s="1215"/>
      <c r="W3427" s="168"/>
      <c r="X3427" s="170"/>
    </row>
    <row r="3428" spans="1:24" ht="12.75" customHeight="1">
      <c r="A3428" s="15"/>
      <c r="B3428" s="92" t="str">
        <f t="shared" si="369"/>
        <v/>
      </c>
      <c r="C3428" s="90"/>
      <c r="D3428" s="87"/>
      <c r="E3428" s="88"/>
      <c r="F3428" s="173"/>
      <c r="G3428" s="88"/>
      <c r="H3428" s="88"/>
      <c r="I3428" s="88"/>
      <c r="J3428" s="88"/>
      <c r="K3428" s="230"/>
      <c r="L3428" s="88"/>
      <c r="M3428" s="88"/>
      <c r="N3428" s="88"/>
      <c r="O3428" s="88"/>
      <c r="P3428" s="88"/>
      <c r="Q3428" s="88"/>
      <c r="R3428" s="88"/>
      <c r="S3428" s="620"/>
      <c r="T3428" s="92"/>
      <c r="U3428" s="1214"/>
      <c r="V3428" s="1215"/>
      <c r="W3428" s="168"/>
      <c r="X3428" s="170"/>
    </row>
    <row r="3429" spans="1:24" ht="12.75" customHeight="1">
      <c r="A3429" s="15"/>
      <c r="B3429" s="92" t="str">
        <f t="shared" si="369"/>
        <v/>
      </c>
      <c r="C3429" s="90"/>
      <c r="D3429" s="87"/>
      <c r="E3429" s="88"/>
      <c r="F3429" s="173"/>
      <c r="G3429" s="88"/>
      <c r="H3429" s="88"/>
      <c r="I3429" s="88"/>
      <c r="J3429" s="88"/>
      <c r="K3429" s="230"/>
      <c r="L3429" s="88"/>
      <c r="M3429" s="88"/>
      <c r="N3429" s="88"/>
      <c r="O3429" s="88"/>
      <c r="P3429" s="88"/>
      <c r="Q3429" s="88"/>
      <c r="R3429" s="88"/>
      <c r="S3429" s="620"/>
      <c r="T3429" s="92"/>
      <c r="U3429" s="1214"/>
      <c r="V3429" s="1215"/>
      <c r="W3429" s="168"/>
      <c r="X3429" s="170"/>
    </row>
    <row r="3430" spans="1:24" ht="12.75" customHeight="1">
      <c r="A3430" s="15"/>
      <c r="B3430" s="92" t="str">
        <f t="shared" si="369"/>
        <v/>
      </c>
      <c r="C3430" s="90"/>
      <c r="D3430" s="87"/>
      <c r="E3430" s="88"/>
      <c r="F3430" s="173"/>
      <c r="G3430" s="88"/>
      <c r="H3430" s="88"/>
      <c r="I3430" s="88"/>
      <c r="J3430" s="88"/>
      <c r="K3430" s="230"/>
      <c r="L3430" s="88"/>
      <c r="M3430" s="88"/>
      <c r="N3430" s="88"/>
      <c r="O3430" s="88"/>
      <c r="P3430" s="88"/>
      <c r="Q3430" s="88"/>
      <c r="R3430" s="88"/>
      <c r="S3430" s="620"/>
      <c r="T3430" s="92"/>
      <c r="U3430" s="1214"/>
      <c r="V3430" s="1215"/>
      <c r="W3430" s="168"/>
      <c r="X3430" s="170"/>
    </row>
    <row r="3431" spans="1:24" ht="12.75" customHeight="1">
      <c r="A3431" s="15"/>
      <c r="B3431" s="92" t="str">
        <f t="shared" si="369"/>
        <v/>
      </c>
      <c r="C3431" s="90"/>
      <c r="D3431" s="87"/>
      <c r="E3431" s="88"/>
      <c r="F3431" s="173"/>
      <c r="G3431" s="88"/>
      <c r="H3431" s="88"/>
      <c r="I3431" s="88"/>
      <c r="J3431" s="88"/>
      <c r="K3431" s="230"/>
      <c r="L3431" s="88"/>
      <c r="M3431" s="88"/>
      <c r="N3431" s="88"/>
      <c r="O3431" s="88"/>
      <c r="P3431" s="88"/>
      <c r="Q3431" s="88"/>
      <c r="R3431" s="88"/>
      <c r="S3431" s="620"/>
      <c r="T3431" s="92"/>
      <c r="U3431" s="1214"/>
      <c r="V3431" s="1215"/>
      <c r="W3431" s="168"/>
      <c r="X3431" s="170"/>
    </row>
    <row r="3432" spans="1:24" ht="12.75" customHeight="1">
      <c r="A3432" s="15"/>
      <c r="B3432" s="92" t="str">
        <f t="shared" si="369"/>
        <v/>
      </c>
      <c r="C3432" s="90"/>
      <c r="D3432" s="87"/>
      <c r="E3432" s="88"/>
      <c r="F3432" s="173"/>
      <c r="G3432" s="88"/>
      <c r="H3432" s="88"/>
      <c r="I3432" s="88"/>
      <c r="J3432" s="88"/>
      <c r="K3432" s="230"/>
      <c r="L3432" s="88"/>
      <c r="M3432" s="88"/>
      <c r="N3432" s="88"/>
      <c r="O3432" s="88"/>
      <c r="P3432" s="88"/>
      <c r="Q3432" s="88"/>
      <c r="R3432" s="88"/>
      <c r="S3432" s="620"/>
      <c r="T3432" s="92"/>
      <c r="U3432" s="1214"/>
      <c r="V3432" s="1215"/>
      <c r="W3432" s="168"/>
      <c r="X3432" s="170"/>
    </row>
    <row r="3433" spans="1:24" ht="12.75" customHeight="1">
      <c r="A3433" s="15"/>
      <c r="B3433" s="92" t="str">
        <f t="shared" si="369"/>
        <v/>
      </c>
      <c r="C3433" s="90"/>
      <c r="D3433" s="87"/>
      <c r="E3433" s="88"/>
      <c r="F3433" s="173"/>
      <c r="G3433" s="88"/>
      <c r="H3433" s="88"/>
      <c r="I3433" s="88"/>
      <c r="J3433" s="88"/>
      <c r="K3433" s="230"/>
      <c r="L3433" s="88"/>
      <c r="M3433" s="88"/>
      <c r="N3433" s="88"/>
      <c r="O3433" s="88"/>
      <c r="P3433" s="88"/>
      <c r="Q3433" s="88"/>
      <c r="R3433" s="88"/>
      <c r="S3433" s="620"/>
      <c r="T3433" s="92"/>
      <c r="U3433" s="1214"/>
      <c r="V3433" s="1215"/>
      <c r="W3433" s="168"/>
      <c r="X3433" s="170"/>
    </row>
    <row r="3434" spans="1:24" ht="12.75">
      <c r="A3434" s="15"/>
      <c r="B3434" s="92" t="str">
        <f t="shared" si="369"/>
        <v/>
      </c>
      <c r="C3434" s="90"/>
      <c r="D3434" s="87"/>
      <c r="E3434" s="323"/>
      <c r="F3434" s="322"/>
      <c r="G3434" s="88"/>
      <c r="H3434" s="88"/>
      <c r="I3434" s="88"/>
      <c r="J3434" s="88"/>
      <c r="K3434" s="230"/>
      <c r="L3434" s="88"/>
      <c r="M3434" s="88"/>
      <c r="N3434" s="88"/>
      <c r="O3434" s="88"/>
      <c r="P3434" s="88"/>
      <c r="Q3434" s="88"/>
      <c r="R3434" s="88"/>
      <c r="S3434" s="620"/>
      <c r="T3434" s="92"/>
      <c r="U3434" s="1214"/>
      <c r="V3434" s="1215"/>
      <c r="W3434" s="168"/>
      <c r="X3434" s="170"/>
    </row>
  </sheetData>
  <autoFilter ref="A5:AJ3434"/>
  <sortState ref="A6:W1128">
    <sortCondition ref="C6:C1128"/>
  </sortState>
  <mergeCells count="9">
    <mergeCell ref="AF6:AG6"/>
    <mergeCell ref="G4:K4"/>
    <mergeCell ref="L4:R4"/>
    <mergeCell ref="U4:U5"/>
    <mergeCell ref="V4:V5"/>
    <mergeCell ref="T4:T5"/>
    <mergeCell ref="S4:S5"/>
    <mergeCell ref="W4:W5"/>
    <mergeCell ref="X4:X5"/>
  </mergeCells>
  <conditionalFormatting sqref="F883:F1058 N883:N938 E1059:F1070 N1059:R1070 F1068:F1100 T883:T1127 A6:A19 I883:K1928 E883:E1128 N943:O1128 O883:R1128">
    <cfRule type="expression" dxfId="124" priority="439" stopIfTrue="1">
      <formula>$B6&lt;&gt;""</formula>
    </cfRule>
  </conditionalFormatting>
  <conditionalFormatting sqref="W15:W17 W6:X16 S883:S982 S986:S988 S1003:V1022 S1028:V1032 S1038:V1042 S1049:V1053 D1059:V1070 S1080:T1084 I1129:K1928 S992:S1847 T883:V1847 X16:X1128 A6:A1847 B883:R1847">
    <cfRule type="expression" dxfId="123" priority="382" stopIfTrue="1">
      <formula>$C6&lt;&gt;""</formula>
    </cfRule>
  </conditionalFormatting>
  <conditionalFormatting sqref="S883:S982 S986:S988 S1003:V1022 S1028:V1032 S1038:V1042 S1049:V1053 D1059:V1070 S1080:T1084 S992:S3432 T883:V3432 A6:A3432 B883:R3432">
    <cfRule type="expression" dxfId="122" priority="379" stopIfTrue="1">
      <formula>$B6&lt;&gt;""</formula>
    </cfRule>
  </conditionalFormatting>
  <conditionalFormatting sqref="X6:X1128">
    <cfRule type="expression" dxfId="121" priority="377">
      <formula>$C6&lt;&gt;""</formula>
    </cfRule>
  </conditionalFormatting>
  <conditionalFormatting sqref="W6:W8">
    <cfRule type="expression" dxfId="120" priority="372">
      <formula>$C6&lt;&gt;""</formula>
    </cfRule>
  </conditionalFormatting>
  <conditionalFormatting sqref="W6:W8">
    <cfRule type="expression" dxfId="119" priority="371">
      <formula>$C6&lt;&gt;""</formula>
    </cfRule>
  </conditionalFormatting>
  <conditionalFormatting sqref="W6:W8">
    <cfRule type="expression" dxfId="118" priority="369">
      <formula>$C6&lt;&gt;""</formula>
    </cfRule>
    <cfRule type="expression" priority="370">
      <formula>$C6&lt;&gt;""</formula>
    </cfRule>
  </conditionalFormatting>
  <conditionalFormatting sqref="W6:W8">
    <cfRule type="expression" dxfId="117" priority="368">
      <formula>X6&lt;&gt;""</formula>
    </cfRule>
  </conditionalFormatting>
  <conditionalFormatting sqref="W6:W8">
    <cfRule type="expression" dxfId="116" priority="367">
      <formula>$C6&lt;&gt;""</formula>
    </cfRule>
  </conditionalFormatting>
  <conditionalFormatting sqref="X6:X1128">
    <cfRule type="expression" dxfId="115" priority="364">
      <formula>$C6&lt;&gt;""</formula>
    </cfRule>
  </conditionalFormatting>
  <conditionalFormatting sqref="W6:W8">
    <cfRule type="expression" dxfId="114" priority="351">
      <formula>$C6&lt;&gt;""</formula>
    </cfRule>
  </conditionalFormatting>
  <conditionalFormatting sqref="W6:W8">
    <cfRule type="expression" dxfId="113" priority="350">
      <formula>$C6&lt;&gt;""</formula>
    </cfRule>
  </conditionalFormatting>
  <conditionalFormatting sqref="W6:W8">
    <cfRule type="expression" dxfId="112" priority="348">
      <formula>$C6&lt;&gt;""</formula>
    </cfRule>
    <cfRule type="expression" priority="349">
      <formula>$C6&lt;&gt;""</formula>
    </cfRule>
  </conditionalFormatting>
  <conditionalFormatting sqref="W6:W8">
    <cfRule type="expression" dxfId="111" priority="347">
      <formula>X6&lt;&gt;""</formula>
    </cfRule>
  </conditionalFormatting>
  <conditionalFormatting sqref="W6:W8">
    <cfRule type="expression" dxfId="110" priority="346">
      <formula>$C6&lt;&gt;""</formula>
    </cfRule>
  </conditionalFormatting>
  <conditionalFormatting sqref="W18:W20">
    <cfRule type="expression" dxfId="109" priority="301">
      <formula>$C18&lt;&gt;""</formula>
    </cfRule>
  </conditionalFormatting>
  <conditionalFormatting sqref="E3434">
    <cfRule type="expression" dxfId="108" priority="119">
      <formula>$B3434&lt;&gt;""</formula>
    </cfRule>
  </conditionalFormatting>
  <conditionalFormatting sqref="E3434">
    <cfRule type="expression" dxfId="107" priority="118">
      <formula>$C3434&lt;&gt;""</formula>
    </cfRule>
  </conditionalFormatting>
  <conditionalFormatting sqref="E3434">
    <cfRule type="expression" dxfId="106" priority="117">
      <formula>$B3434&lt;&gt;""</formula>
    </cfRule>
  </conditionalFormatting>
  <conditionalFormatting sqref="F3434">
    <cfRule type="expression" dxfId="105" priority="116">
      <formula>$B3434&lt;&gt;""</formula>
    </cfRule>
  </conditionalFormatting>
  <conditionalFormatting sqref="F3434">
    <cfRule type="expression" dxfId="104" priority="115">
      <formula>$C3434&lt;&gt;""</formula>
    </cfRule>
  </conditionalFormatting>
  <conditionalFormatting sqref="F3434">
    <cfRule type="expression" dxfId="103" priority="114">
      <formula>$B3434&lt;&gt;""</formula>
    </cfRule>
  </conditionalFormatting>
  <conditionalFormatting sqref="B3434">
    <cfRule type="expression" dxfId="102" priority="113">
      <formula>$C3434&lt;&gt;""</formula>
    </cfRule>
  </conditionalFormatting>
  <conditionalFormatting sqref="B3434">
    <cfRule type="expression" dxfId="101" priority="112">
      <formula>$B3434&lt;&gt;""</formula>
    </cfRule>
  </conditionalFormatting>
  <conditionalFormatting sqref="D896:D900">
    <cfRule type="expression" dxfId="100" priority="109">
      <formula>$A896&lt;&gt;""</formula>
    </cfRule>
  </conditionalFormatting>
  <conditionalFormatting sqref="T25:T29">
    <cfRule type="expression" dxfId="99" priority="100" stopIfTrue="1">
      <formula>$B25&lt;&gt;""</formula>
    </cfRule>
  </conditionalFormatting>
  <conditionalFormatting sqref="S25:V29">
    <cfRule type="expression" dxfId="98" priority="99" stopIfTrue="1">
      <formula>$C25&lt;&gt;""</formula>
    </cfRule>
  </conditionalFormatting>
  <conditionalFormatting sqref="S25:V29">
    <cfRule type="expression" dxfId="97" priority="98" stopIfTrue="1">
      <formula>$B25&lt;&gt;""</formula>
    </cfRule>
  </conditionalFormatting>
  <conditionalFormatting sqref="S30:S34">
    <cfRule type="expression" dxfId="96" priority="97" stopIfTrue="1">
      <formula>$C30&lt;&gt;""</formula>
    </cfRule>
  </conditionalFormatting>
  <conditionalFormatting sqref="S30:S34">
    <cfRule type="expression" dxfId="95" priority="96" stopIfTrue="1">
      <formula>$B30&lt;&gt;""</formula>
    </cfRule>
  </conditionalFormatting>
  <conditionalFormatting sqref="S35:S39">
    <cfRule type="expression" dxfId="94" priority="95" stopIfTrue="1">
      <formula>$C35&lt;&gt;""</formula>
    </cfRule>
  </conditionalFormatting>
  <conditionalFormatting sqref="S35:S39">
    <cfRule type="expression" dxfId="93" priority="94" stopIfTrue="1">
      <formula>$B35&lt;&gt;""</formula>
    </cfRule>
  </conditionalFormatting>
  <conditionalFormatting sqref="S40:S44">
    <cfRule type="expression" dxfId="92" priority="93" stopIfTrue="1">
      <formula>$C40&lt;&gt;""</formula>
    </cfRule>
  </conditionalFormatting>
  <conditionalFormatting sqref="S40:S44">
    <cfRule type="expression" dxfId="91" priority="92" stopIfTrue="1">
      <formula>$B40&lt;&gt;""</formula>
    </cfRule>
  </conditionalFormatting>
  <conditionalFormatting sqref="S45:S49">
    <cfRule type="expression" dxfId="90" priority="91" stopIfTrue="1">
      <formula>$C45&lt;&gt;""</formula>
    </cfRule>
  </conditionalFormatting>
  <conditionalFormatting sqref="S45:S49">
    <cfRule type="expression" dxfId="89" priority="90" stopIfTrue="1">
      <formula>$B45&lt;&gt;""</formula>
    </cfRule>
  </conditionalFormatting>
  <conditionalFormatting sqref="S50:S54">
    <cfRule type="expression" dxfId="88" priority="88" stopIfTrue="1">
      <formula>$B50&lt;&gt;""</formula>
    </cfRule>
  </conditionalFormatting>
  <conditionalFormatting sqref="S50:S54">
    <cfRule type="expression" dxfId="87" priority="89" stopIfTrue="1">
      <formula>$C50&lt;&gt;""</formula>
    </cfRule>
  </conditionalFormatting>
  <conditionalFormatting sqref="S55:S59">
    <cfRule type="expression" dxfId="86" priority="87" stopIfTrue="1">
      <formula>$B55&lt;&gt;""</formula>
    </cfRule>
  </conditionalFormatting>
  <conditionalFormatting sqref="S55:S59">
    <cfRule type="expression" dxfId="85" priority="86" stopIfTrue="1">
      <formula>$C55&lt;&gt;""</formula>
    </cfRule>
  </conditionalFormatting>
  <conditionalFormatting sqref="S60:S64">
    <cfRule type="expression" dxfId="84" priority="85" stopIfTrue="1">
      <formula>$B60&lt;&gt;""</formula>
    </cfRule>
  </conditionalFormatting>
  <conditionalFormatting sqref="S60:S64">
    <cfRule type="expression" dxfId="83" priority="84" stopIfTrue="1">
      <formula>$C60&lt;&gt;""</formula>
    </cfRule>
  </conditionalFormatting>
  <conditionalFormatting sqref="S65:S69">
    <cfRule type="expression" dxfId="82" priority="83" stopIfTrue="1">
      <formula>$B65&lt;&gt;""</formula>
    </cfRule>
  </conditionalFormatting>
  <conditionalFormatting sqref="S65:S69">
    <cfRule type="expression" dxfId="81" priority="82" stopIfTrue="1">
      <formula>$C65&lt;&gt;""</formula>
    </cfRule>
  </conditionalFormatting>
  <conditionalFormatting sqref="S70:S74">
    <cfRule type="expression" dxfId="80" priority="81" stopIfTrue="1">
      <formula>$B70&lt;&gt;""</formula>
    </cfRule>
  </conditionalFormatting>
  <conditionalFormatting sqref="S70:S74">
    <cfRule type="expression" dxfId="79" priority="80" stopIfTrue="1">
      <formula>$C70&lt;&gt;""</formula>
    </cfRule>
  </conditionalFormatting>
  <conditionalFormatting sqref="S75:S79">
    <cfRule type="expression" dxfId="78" priority="79" stopIfTrue="1">
      <formula>$B75&lt;&gt;""</formula>
    </cfRule>
  </conditionalFormatting>
  <conditionalFormatting sqref="S75:S79">
    <cfRule type="expression" dxfId="77" priority="78" stopIfTrue="1">
      <formula>$C75&lt;&gt;""</formula>
    </cfRule>
  </conditionalFormatting>
  <conditionalFormatting sqref="S80:S84">
    <cfRule type="expression" dxfId="76" priority="77" stopIfTrue="1">
      <formula>$B80&lt;&gt;""</formula>
    </cfRule>
  </conditionalFormatting>
  <conditionalFormatting sqref="S80:S84">
    <cfRule type="expression" dxfId="75" priority="76" stopIfTrue="1">
      <formula>$C80&lt;&gt;""</formula>
    </cfRule>
  </conditionalFormatting>
  <conditionalFormatting sqref="S115:S119">
    <cfRule type="expression" dxfId="74" priority="75" stopIfTrue="1">
      <formula>$B115&lt;&gt;""</formula>
    </cfRule>
  </conditionalFormatting>
  <conditionalFormatting sqref="S115:S119">
    <cfRule type="expression" dxfId="73" priority="74" stopIfTrue="1">
      <formula>$C115&lt;&gt;""</formula>
    </cfRule>
  </conditionalFormatting>
  <conditionalFormatting sqref="S91:S95">
    <cfRule type="expression" dxfId="72" priority="73" stopIfTrue="1">
      <formula>$B91&lt;&gt;""</formula>
    </cfRule>
  </conditionalFormatting>
  <conditionalFormatting sqref="S91:S95">
    <cfRule type="expression" dxfId="71" priority="72" stopIfTrue="1">
      <formula>$C91&lt;&gt;""</formula>
    </cfRule>
  </conditionalFormatting>
  <conditionalFormatting sqref="S96:S100">
    <cfRule type="expression" dxfId="70" priority="71" stopIfTrue="1">
      <formula>$B96&lt;&gt;""</formula>
    </cfRule>
  </conditionalFormatting>
  <conditionalFormatting sqref="S96:S100">
    <cfRule type="expression" dxfId="69" priority="70" stopIfTrue="1">
      <formula>$C96&lt;&gt;""</formula>
    </cfRule>
  </conditionalFormatting>
  <conditionalFormatting sqref="S101:S105">
    <cfRule type="expression" dxfId="68" priority="69" stopIfTrue="1">
      <formula>$B101&lt;&gt;""</formula>
    </cfRule>
  </conditionalFormatting>
  <conditionalFormatting sqref="S101:S105">
    <cfRule type="expression" dxfId="67" priority="68" stopIfTrue="1">
      <formula>$C101&lt;&gt;""</formula>
    </cfRule>
  </conditionalFormatting>
  <conditionalFormatting sqref="S123:S127">
    <cfRule type="expression" dxfId="66" priority="67" stopIfTrue="1">
      <formula>$B123&lt;&gt;""</formula>
    </cfRule>
  </conditionalFormatting>
  <conditionalFormatting sqref="S123:S127">
    <cfRule type="expression" dxfId="65" priority="66" stopIfTrue="1">
      <formula>$C123&lt;&gt;""</formula>
    </cfRule>
  </conditionalFormatting>
  <conditionalFormatting sqref="S128:S132">
    <cfRule type="expression" dxfId="64" priority="65" stopIfTrue="1">
      <formula>$B128&lt;&gt;""</formula>
    </cfRule>
  </conditionalFormatting>
  <conditionalFormatting sqref="S128:S132">
    <cfRule type="expression" dxfId="63" priority="64" stopIfTrue="1">
      <formula>$C128&lt;&gt;""</formula>
    </cfRule>
  </conditionalFormatting>
  <conditionalFormatting sqref="S133:S137">
    <cfRule type="expression" dxfId="62" priority="63" stopIfTrue="1">
      <formula>$B133&lt;&gt;""</formula>
    </cfRule>
  </conditionalFormatting>
  <conditionalFormatting sqref="S133:S137">
    <cfRule type="expression" dxfId="61" priority="62" stopIfTrue="1">
      <formula>$C133&lt;&gt;""</formula>
    </cfRule>
  </conditionalFormatting>
  <conditionalFormatting sqref="S138:S142">
    <cfRule type="expression" dxfId="60" priority="61" stopIfTrue="1">
      <formula>$B138&lt;&gt;""</formula>
    </cfRule>
  </conditionalFormatting>
  <conditionalFormatting sqref="S138:S142">
    <cfRule type="expression" dxfId="59" priority="60" stopIfTrue="1">
      <formula>$C138&lt;&gt;""</formula>
    </cfRule>
  </conditionalFormatting>
  <conditionalFormatting sqref="S143:S147">
    <cfRule type="expression" dxfId="58" priority="59" stopIfTrue="1">
      <formula>$B143&lt;&gt;""</formula>
    </cfRule>
  </conditionalFormatting>
  <conditionalFormatting sqref="S143:S147">
    <cfRule type="expression" dxfId="57" priority="58" stopIfTrue="1">
      <formula>$C143&lt;&gt;""</formula>
    </cfRule>
  </conditionalFormatting>
  <conditionalFormatting sqref="S148:S152">
    <cfRule type="expression" dxfId="56" priority="57" stopIfTrue="1">
      <formula>$B148&lt;&gt;""</formula>
    </cfRule>
  </conditionalFormatting>
  <conditionalFormatting sqref="S148:S152">
    <cfRule type="expression" dxfId="55" priority="56" stopIfTrue="1">
      <formula>$C148&lt;&gt;""</formula>
    </cfRule>
  </conditionalFormatting>
  <conditionalFormatting sqref="S170:S174">
    <cfRule type="expression" dxfId="54" priority="55" stopIfTrue="1">
      <formula>$B170&lt;&gt;""</formula>
    </cfRule>
  </conditionalFormatting>
  <conditionalFormatting sqref="S170:S174">
    <cfRule type="expression" dxfId="53" priority="54" stopIfTrue="1">
      <formula>$C170&lt;&gt;""</formula>
    </cfRule>
  </conditionalFormatting>
  <conditionalFormatting sqref="S159:S163">
    <cfRule type="expression" dxfId="52" priority="53" stopIfTrue="1">
      <formula>$B159&lt;&gt;""</formula>
    </cfRule>
  </conditionalFormatting>
  <conditionalFormatting sqref="S159:S163">
    <cfRule type="expression" dxfId="51" priority="52" stopIfTrue="1">
      <formula>$C159&lt;&gt;""</formula>
    </cfRule>
  </conditionalFormatting>
  <conditionalFormatting sqref="S181:S185">
    <cfRule type="expression" dxfId="50" priority="51" stopIfTrue="1">
      <formula>$B181&lt;&gt;""</formula>
    </cfRule>
  </conditionalFormatting>
  <conditionalFormatting sqref="S181:S185">
    <cfRule type="expression" dxfId="49" priority="50" stopIfTrue="1">
      <formula>$C181&lt;&gt;""</formula>
    </cfRule>
  </conditionalFormatting>
  <conditionalFormatting sqref="S186:S190">
    <cfRule type="expression" dxfId="48" priority="49" stopIfTrue="1">
      <formula>$B186&lt;&gt;""</formula>
    </cfRule>
  </conditionalFormatting>
  <conditionalFormatting sqref="S186:S190">
    <cfRule type="expression" dxfId="47" priority="48" stopIfTrue="1">
      <formula>$C186&lt;&gt;""</formula>
    </cfRule>
  </conditionalFormatting>
  <conditionalFormatting sqref="S191:S195">
    <cfRule type="expression" dxfId="46" priority="47" stopIfTrue="1">
      <formula>$B191&lt;&gt;""</formula>
    </cfRule>
  </conditionalFormatting>
  <conditionalFormatting sqref="S191:S195">
    <cfRule type="expression" dxfId="45" priority="46" stopIfTrue="1">
      <formula>$C191&lt;&gt;""</formula>
    </cfRule>
  </conditionalFormatting>
  <conditionalFormatting sqref="S196:S200">
    <cfRule type="expression" dxfId="44" priority="45" stopIfTrue="1">
      <formula>$B196&lt;&gt;""</formula>
    </cfRule>
  </conditionalFormatting>
  <conditionalFormatting sqref="S196:S200">
    <cfRule type="expression" dxfId="43" priority="44" stopIfTrue="1">
      <formula>$C196&lt;&gt;""</formula>
    </cfRule>
  </conditionalFormatting>
  <conditionalFormatting sqref="S201:S205">
    <cfRule type="expression" dxfId="42" priority="43" stopIfTrue="1">
      <formula>$B201&lt;&gt;""</formula>
    </cfRule>
  </conditionalFormatting>
  <conditionalFormatting sqref="S201:S205">
    <cfRule type="expression" dxfId="41" priority="42" stopIfTrue="1">
      <formula>$C201&lt;&gt;""</formula>
    </cfRule>
  </conditionalFormatting>
  <conditionalFormatting sqref="S206:S210">
    <cfRule type="expression" dxfId="40" priority="41" stopIfTrue="1">
      <formula>$B206&lt;&gt;""</formula>
    </cfRule>
  </conditionalFormatting>
  <conditionalFormatting sqref="S206:S210">
    <cfRule type="expression" dxfId="39" priority="40" stopIfTrue="1">
      <formula>$C206&lt;&gt;""</formula>
    </cfRule>
  </conditionalFormatting>
  <conditionalFormatting sqref="S211:S215">
    <cfRule type="expression" dxfId="38" priority="39" stopIfTrue="1">
      <formula>$B211&lt;&gt;""</formula>
    </cfRule>
  </conditionalFormatting>
  <conditionalFormatting sqref="S211:S215">
    <cfRule type="expression" dxfId="37" priority="38" stopIfTrue="1">
      <formula>$C211&lt;&gt;""</formula>
    </cfRule>
  </conditionalFormatting>
  <conditionalFormatting sqref="S216:S220">
    <cfRule type="expression" dxfId="36" priority="37" stopIfTrue="1">
      <formula>$B216&lt;&gt;""</formula>
    </cfRule>
  </conditionalFormatting>
  <conditionalFormatting sqref="S216:S220">
    <cfRule type="expression" dxfId="35" priority="36" stopIfTrue="1">
      <formula>$C216&lt;&gt;""</formula>
    </cfRule>
  </conditionalFormatting>
  <conditionalFormatting sqref="S227:S231">
    <cfRule type="expression" dxfId="34" priority="35" stopIfTrue="1">
      <formula>$B227&lt;&gt;""</formula>
    </cfRule>
  </conditionalFormatting>
  <conditionalFormatting sqref="S227:S231">
    <cfRule type="expression" dxfId="33" priority="34" stopIfTrue="1">
      <formula>$C227&lt;&gt;""</formula>
    </cfRule>
  </conditionalFormatting>
  <conditionalFormatting sqref="S232:S236">
    <cfRule type="expression" dxfId="32" priority="33" stopIfTrue="1">
      <formula>$B232&lt;&gt;""</formula>
    </cfRule>
  </conditionalFormatting>
  <conditionalFormatting sqref="S232:S236">
    <cfRule type="expression" dxfId="31" priority="32" stopIfTrue="1">
      <formula>$C232&lt;&gt;""</formula>
    </cfRule>
  </conditionalFormatting>
  <conditionalFormatting sqref="S237:S241">
    <cfRule type="expression" dxfId="30" priority="31" stopIfTrue="1">
      <formula>$B237&lt;&gt;""</formula>
    </cfRule>
  </conditionalFormatting>
  <conditionalFormatting sqref="S237:S241">
    <cfRule type="expression" dxfId="29" priority="30" stopIfTrue="1">
      <formula>$C237&lt;&gt;""</formula>
    </cfRule>
  </conditionalFormatting>
  <conditionalFormatting sqref="S242:S246">
    <cfRule type="expression" dxfId="28" priority="29" stopIfTrue="1">
      <formula>$B242&lt;&gt;""</formula>
    </cfRule>
  </conditionalFormatting>
  <conditionalFormatting sqref="S242:S246">
    <cfRule type="expression" dxfId="27" priority="28" stopIfTrue="1">
      <formula>$C242&lt;&gt;""</formula>
    </cfRule>
  </conditionalFormatting>
  <conditionalFormatting sqref="S247:S251">
    <cfRule type="expression" dxfId="26" priority="27" stopIfTrue="1">
      <formula>$B247&lt;&gt;""</formula>
    </cfRule>
  </conditionalFormatting>
  <conditionalFormatting sqref="S247:S251">
    <cfRule type="expression" dxfId="25" priority="26" stopIfTrue="1">
      <formula>$C247&lt;&gt;""</formula>
    </cfRule>
  </conditionalFormatting>
  <conditionalFormatting sqref="S252:S256">
    <cfRule type="expression" dxfId="24" priority="25" stopIfTrue="1">
      <formula>$B252&lt;&gt;""</formula>
    </cfRule>
  </conditionalFormatting>
  <conditionalFormatting sqref="S252:S256">
    <cfRule type="expression" dxfId="23" priority="24" stopIfTrue="1">
      <formula>$C252&lt;&gt;""</formula>
    </cfRule>
  </conditionalFormatting>
  <conditionalFormatting sqref="S257:S261">
    <cfRule type="expression" dxfId="22" priority="23" stopIfTrue="1">
      <formula>$B257&lt;&gt;""</formula>
    </cfRule>
  </conditionalFormatting>
  <conditionalFormatting sqref="S257:S261">
    <cfRule type="expression" dxfId="21" priority="22" stopIfTrue="1">
      <formula>$C257&lt;&gt;""</formula>
    </cfRule>
  </conditionalFormatting>
  <conditionalFormatting sqref="S262:S266">
    <cfRule type="expression" dxfId="20" priority="21" stopIfTrue="1">
      <formula>$B262&lt;&gt;""</formula>
    </cfRule>
  </conditionalFormatting>
  <conditionalFormatting sqref="S262:S266">
    <cfRule type="expression" dxfId="19" priority="20" stopIfTrue="1">
      <formula>$C262&lt;&gt;""</formula>
    </cfRule>
  </conditionalFormatting>
  <conditionalFormatting sqref="S267:S271">
    <cfRule type="expression" dxfId="18" priority="19" stopIfTrue="1">
      <formula>$B267&lt;&gt;""</formula>
    </cfRule>
  </conditionalFormatting>
  <conditionalFormatting sqref="S267:S271">
    <cfRule type="expression" dxfId="17" priority="18" stopIfTrue="1">
      <formula>$C267&lt;&gt;""</formula>
    </cfRule>
  </conditionalFormatting>
  <conditionalFormatting sqref="S272">
    <cfRule type="expression" dxfId="16" priority="17" stopIfTrue="1">
      <formula>$B272&lt;&gt;""</formula>
    </cfRule>
  </conditionalFormatting>
  <conditionalFormatting sqref="S272">
    <cfRule type="expression" dxfId="15" priority="16" stopIfTrue="1">
      <formula>$C272&lt;&gt;""</formula>
    </cfRule>
  </conditionalFormatting>
  <conditionalFormatting sqref="D1107:D1111">
    <cfRule type="expression" dxfId="14" priority="15" stopIfTrue="1">
      <formula>$A1107&lt;&gt;""</formula>
    </cfRule>
  </conditionalFormatting>
  <conditionalFormatting sqref="D1107:D1111">
    <cfRule type="expression" dxfId="13" priority="14">
      <formula>$B1107&lt;&gt;""</formula>
    </cfRule>
  </conditionalFormatting>
  <conditionalFormatting sqref="D1107">
    <cfRule type="expression" dxfId="12" priority="13">
      <formula>$B1107&lt;&gt;""</formula>
    </cfRule>
  </conditionalFormatting>
  <conditionalFormatting sqref="D1107">
    <cfRule type="expression" dxfId="11" priority="12" stopIfTrue="1">
      <formula>$A1107&lt;&gt;""</formula>
    </cfRule>
  </conditionalFormatting>
  <conditionalFormatting sqref="D1107">
    <cfRule type="expression" dxfId="10" priority="11">
      <formula>$B1107&lt;&gt;""</formula>
    </cfRule>
  </conditionalFormatting>
  <conditionalFormatting sqref="D1108:D1109">
    <cfRule type="expression" dxfId="9" priority="10">
      <formula>$B1108&lt;&gt;""</formula>
    </cfRule>
  </conditionalFormatting>
  <conditionalFormatting sqref="D1108:D1109">
    <cfRule type="expression" dxfId="8" priority="9" stopIfTrue="1">
      <formula>$A1108&lt;&gt;""</formula>
    </cfRule>
  </conditionalFormatting>
  <conditionalFormatting sqref="D1108:D1109">
    <cfRule type="expression" dxfId="7" priority="8">
      <formula>$B1108&lt;&gt;""</formula>
    </cfRule>
  </conditionalFormatting>
  <conditionalFormatting sqref="D1110:D1111">
    <cfRule type="expression" dxfId="6" priority="7">
      <formula>$B1110&lt;&gt;""</formula>
    </cfRule>
  </conditionalFormatting>
  <conditionalFormatting sqref="T1127:T1128">
    <cfRule type="expression" dxfId="5" priority="6">
      <formula>$A1127&lt;&gt;""</formula>
    </cfRule>
  </conditionalFormatting>
  <conditionalFormatting sqref="T1127:T1128">
    <cfRule type="expression" dxfId="4" priority="5">
      <formula>$B1127&lt;&gt;""</formula>
    </cfRule>
  </conditionalFormatting>
  <conditionalFormatting sqref="S1127:V1128">
    <cfRule type="expression" dxfId="3" priority="4">
      <formula>$C1127&lt;&gt;""</formula>
    </cfRule>
  </conditionalFormatting>
  <conditionalFormatting sqref="V1105">
    <cfRule type="expression" dxfId="2" priority="3" stopIfTrue="1">
      <formula>$B1105&lt;&gt;""</formula>
    </cfRule>
  </conditionalFormatting>
  <conditionalFormatting sqref="U1106">
    <cfRule type="expression" dxfId="1" priority="2" stopIfTrue="1">
      <formula>$B1106&lt;&gt;""</formula>
    </cfRule>
  </conditionalFormatting>
  <conditionalFormatting sqref="J1127">
    <cfRule type="expression" dxfId="0" priority="1">
      <formula>$C1127&lt;&gt;""</formula>
    </cfRule>
  </conditionalFormatting>
  <pageMargins left="0.16" right="0.16" top="0.5" bottom="0.46" header="0.3" footer="0.3"/>
  <pageSetup scale="65" orientation="landscape" horizontalDpi="0" verticalDpi="0" r:id="rId1"/>
</worksheet>
</file>

<file path=xl/worksheets/sheet9.xml><?xml version="1.0" encoding="utf-8"?>
<worksheet xmlns="http://schemas.openxmlformats.org/spreadsheetml/2006/main" xmlns:r="http://schemas.openxmlformats.org/officeDocument/2006/relationships">
  <dimension ref="A1:S359"/>
  <sheetViews>
    <sheetView topLeftCell="A31" workbookViewId="0">
      <selection activeCell="F46" sqref="F46"/>
    </sheetView>
  </sheetViews>
  <sheetFormatPr defaultRowHeight="12.75"/>
  <cols>
    <col min="1" max="1" width="4.85546875" style="231" customWidth="1"/>
    <col min="2" max="2" width="9.140625" style="231"/>
    <col min="3" max="3" width="34.5703125" style="231" bestFit="1" customWidth="1"/>
    <col min="4" max="4" width="9.140625" style="231"/>
    <col min="5" max="5" width="11.5703125" style="231" bestFit="1" customWidth="1"/>
    <col min="6" max="6" width="9.140625" style="231"/>
    <col min="7" max="7" width="13" style="231" bestFit="1" customWidth="1"/>
    <col min="8" max="8" width="12.85546875" style="231" bestFit="1" customWidth="1"/>
    <col min="9" max="10" width="13.28515625" style="231" customWidth="1"/>
    <col min="11" max="11" width="9.5703125" style="74" customWidth="1"/>
    <col min="12" max="13" width="9.140625" style="231"/>
    <col min="14" max="14" width="8.85546875" style="230" customWidth="1"/>
    <col min="15" max="15" width="11.140625" style="231" bestFit="1" customWidth="1"/>
    <col min="16" max="16" width="9.85546875" style="231" bestFit="1" customWidth="1"/>
    <col min="17" max="17" width="8.85546875" style="231" customWidth="1"/>
    <col min="18" max="18" width="11.140625" style="230" bestFit="1" customWidth="1"/>
    <col min="19" max="16384" width="9.140625" style="231"/>
  </cols>
  <sheetData>
    <row r="1" spans="1:19">
      <c r="A1" s="86" t="s">
        <v>1797</v>
      </c>
      <c r="B1" s="86"/>
      <c r="C1" s="87"/>
      <c r="D1" s="88"/>
      <c r="E1" s="88"/>
      <c r="F1" s="341"/>
      <c r="G1" s="341"/>
      <c r="H1" s="342"/>
      <c r="I1" s="341"/>
      <c r="J1" s="341"/>
    </row>
    <row r="2" spans="1:19">
      <c r="A2" s="342"/>
      <c r="B2" s="342"/>
      <c r="C2" s="342"/>
      <c r="D2" s="342"/>
      <c r="E2" s="341"/>
      <c r="F2" s="341"/>
      <c r="G2" s="341"/>
      <c r="H2" s="342"/>
      <c r="I2" s="343" t="s">
        <v>1798</v>
      </c>
      <c r="J2" s="344">
        <v>246741727.52779275</v>
      </c>
    </row>
    <row r="3" spans="1:19">
      <c r="A3" s="342"/>
      <c r="B3" s="342"/>
      <c r="C3" s="342"/>
      <c r="D3" s="342"/>
      <c r="E3" s="341"/>
      <c r="F3" s="341"/>
      <c r="G3" s="341"/>
      <c r="H3" s="342"/>
      <c r="I3" s="341"/>
      <c r="J3" s="341" t="s">
        <v>1499</v>
      </c>
      <c r="L3" s="231" t="s">
        <v>1799</v>
      </c>
    </row>
    <row r="4" spans="1:19">
      <c r="A4" s="342">
        <f>+COUNT(A6:A10)</f>
        <v>5</v>
      </c>
      <c r="B4" s="342"/>
      <c r="C4" s="342" t="s">
        <v>1800</v>
      </c>
      <c r="D4" s="342"/>
      <c r="E4" s="926" t="s">
        <v>1801</v>
      </c>
      <c r="F4" s="926"/>
      <c r="G4" s="926"/>
      <c r="H4" s="926"/>
      <c r="I4" s="926" t="s">
        <v>1802</v>
      </c>
      <c r="J4" s="926"/>
      <c r="K4" s="927" t="s">
        <v>1803</v>
      </c>
      <c r="L4" s="927"/>
      <c r="M4" s="80">
        <f>SUM(M6:M10)</f>
        <v>217.35999999999999</v>
      </c>
      <c r="O4" s="231">
        <f>444/2</f>
        <v>222</v>
      </c>
      <c r="P4" s="80"/>
    </row>
    <row r="5" spans="1:19">
      <c r="A5" s="79" t="s">
        <v>1</v>
      </c>
      <c r="B5" s="101" t="s">
        <v>308</v>
      </c>
      <c r="C5" s="102" t="s">
        <v>309</v>
      </c>
      <c r="D5" s="102" t="s">
        <v>1804</v>
      </c>
      <c r="E5" s="345" t="s">
        <v>1805</v>
      </c>
      <c r="F5" s="345" t="s">
        <v>1806</v>
      </c>
      <c r="G5" s="345" t="s">
        <v>316</v>
      </c>
      <c r="H5" s="346" t="s">
        <v>1807</v>
      </c>
      <c r="I5" s="345" t="s">
        <v>316</v>
      </c>
      <c r="J5" s="345" t="s">
        <v>315</v>
      </c>
      <c r="K5" s="345" t="s">
        <v>261</v>
      </c>
      <c r="L5" s="345" t="s">
        <v>262</v>
      </c>
    </row>
    <row r="6" spans="1:19">
      <c r="A6" s="347">
        <f>+IF(B6="","",ROW()-5)</f>
        <v>1</v>
      </c>
      <c r="B6" s="348">
        <v>211503</v>
      </c>
      <c r="C6" s="371" t="str">
        <f>IFERROR(VLOOKUP(B6,TN!$B$8:$T$993,2,FALSE),"")</f>
        <v>Н-Евровагонка /зузаан-1.2см/</v>
      </c>
      <c r="D6" s="371" t="str">
        <f>IFERROR(VLOOKUP(B6,TN!$B$8:$T$993,3,FALSE),"")</f>
        <v>м2</v>
      </c>
      <c r="E6" s="350">
        <v>12000</v>
      </c>
      <c r="F6" s="350">
        <v>4000</v>
      </c>
      <c r="G6" s="351">
        <f>+IF(E6="","",E6*F6)</f>
        <v>48000000</v>
      </c>
      <c r="H6" s="352">
        <f ca="1">IFERROR(G6/SUM(G6:OFFSET(INDIRECT("g5"),1,0,INDIRECT("a4"),1)),"")</f>
        <v>0.2208317997791682</v>
      </c>
      <c r="I6" s="351">
        <f ca="1">+IF(H6="","",H6*$J$2)</f>
        <v>54488419.7705836</v>
      </c>
      <c r="J6" s="351">
        <f ca="1">+IF(I6="","",I6/F6)</f>
        <v>13622.104942645899</v>
      </c>
      <c r="K6" s="105">
        <f>IFERROR(VLOOKUP(B6,[1]TN!$B$8:$T$993,19,FALSE),"")</f>
        <v>150101</v>
      </c>
      <c r="L6" s="353">
        <f>+IF(F6="","",140501)</f>
        <v>140501</v>
      </c>
      <c r="M6" s="80">
        <f>+F6/N6</f>
        <v>48</v>
      </c>
      <c r="N6" s="230">
        <f>1/0.012</f>
        <v>83.333333333333329</v>
      </c>
      <c r="O6" s="230">
        <f>IF(N6="","",1000000/N6)</f>
        <v>12000</v>
      </c>
      <c r="P6" s="80">
        <f ca="1">+J6</f>
        <v>13622.104942645899</v>
      </c>
      <c r="Q6" s="80">
        <f ca="1">100-O6*100/P6</f>
        <v>11.9078875803377</v>
      </c>
      <c r="R6" s="230">
        <f>+F6*0.012</f>
        <v>48</v>
      </c>
      <c r="S6" s="80"/>
    </row>
    <row r="7" spans="1:19">
      <c r="A7" s="347">
        <f t="shared" ref="A7:A29" si="0">+IF(B7="","",ROW()-5)</f>
        <v>2</v>
      </c>
      <c r="B7" s="348">
        <v>211710</v>
      </c>
      <c r="C7" s="371" t="str">
        <f>IFERROR(VLOOKUP(B7,TN!$B$8:$T$993,2,FALSE),"")</f>
        <v xml:space="preserve">Н-Хавтан /зузаан-3см/-яртай </v>
      </c>
      <c r="D7" s="371" t="str">
        <f>IFERROR(VLOOKUP(B7,TN!$B$8:$T$993,3,FALSE),"")</f>
        <v>м2</v>
      </c>
      <c r="E7" s="350">
        <v>29999.999999999996</v>
      </c>
      <c r="F7" s="350">
        <v>1020</v>
      </c>
      <c r="G7" s="351">
        <f t="shared" ref="G7:G29" si="1">+IF(E7="","",E7*F7)</f>
        <v>30599999.999999996</v>
      </c>
      <c r="H7" s="352">
        <f ca="1">IFERROR(G7/SUM(G7:OFFSET(INDIRECT("g5"),1,0,INDIRECT("a4"),1)),"")</f>
        <v>0.14078027235921972</v>
      </c>
      <c r="I7" s="351">
        <f t="shared" ref="I7:I29" ca="1" si="2">+IF(H7="","",H7*$J$2)</f>
        <v>34736367.603747047</v>
      </c>
      <c r="J7" s="351">
        <f t="shared" ref="J7:J29" ca="1" si="3">+IF(I7="","",I7/F7)</f>
        <v>34055.262356614752</v>
      </c>
      <c r="K7" s="105">
        <f>IFERROR(VLOOKUP(B7,[1]TN!$B$8:$T$993,19,FALSE),"")</f>
        <v>150101</v>
      </c>
      <c r="L7" s="353">
        <f t="shared" ref="L7:L16" si="4">+IF(F7="","",140501)</f>
        <v>140501</v>
      </c>
      <c r="M7" s="80">
        <f t="shared" ref="M7:M8" si="5">+F7/N7</f>
        <v>30.599999999999998</v>
      </c>
      <c r="N7" s="230">
        <f>1/0.03</f>
        <v>33.333333333333336</v>
      </c>
      <c r="O7" s="230">
        <f t="shared" ref="O7:O16" si="6">IF(N7="","",1000000/N7)</f>
        <v>29999.999999999996</v>
      </c>
      <c r="P7" s="80">
        <f t="shared" ref="P7:P8" ca="1" si="7">+J7</f>
        <v>34055.262356614752</v>
      </c>
      <c r="Q7" s="80">
        <f t="shared" ref="Q7:Q9" ca="1" si="8">100-O7*100/P7</f>
        <v>11.907887580337729</v>
      </c>
      <c r="R7" s="230">
        <f>+F7*0.03</f>
        <v>30.599999999999998</v>
      </c>
    </row>
    <row r="8" spans="1:19">
      <c r="A8" s="347">
        <f t="shared" si="0"/>
        <v>3</v>
      </c>
      <c r="B8" s="348">
        <v>211715</v>
      </c>
      <c r="C8" s="371" t="str">
        <f>IFERROR(VLOOKUP(B8,TN!$B$8:$T$993,2,FALSE),"")</f>
        <v>Н-Хавтан /зузаан-1.8см/</v>
      </c>
      <c r="D8" s="371" t="str">
        <f>IFERROR(VLOOKUP(B8,TN!$B$8:$T$993,3,FALSE),"")</f>
        <v>м2</v>
      </c>
      <c r="E8" s="350">
        <v>18000</v>
      </c>
      <c r="F8" s="350">
        <v>1020</v>
      </c>
      <c r="G8" s="351">
        <f t="shared" si="1"/>
        <v>18360000</v>
      </c>
      <c r="H8" s="352">
        <f ca="1">IFERROR(G8/SUM(G8:OFFSET(INDIRECT("g5"),1,0,INDIRECT("a4"),1)),"")</f>
        <v>8.446816341553183E-2</v>
      </c>
      <c r="I8" s="351">
        <f t="shared" ca="1" si="2"/>
        <v>20841820.562248226</v>
      </c>
      <c r="J8" s="351">
        <f t="shared" ca="1" si="3"/>
        <v>20433.157413968849</v>
      </c>
      <c r="K8" s="105">
        <f>IFERROR(VLOOKUP(B8,[1]TN!$B$8:$T$993,19,FALSE),"")</f>
        <v>150101</v>
      </c>
      <c r="L8" s="353">
        <f t="shared" si="4"/>
        <v>140501</v>
      </c>
      <c r="M8" s="80">
        <f t="shared" si="5"/>
        <v>18.36</v>
      </c>
      <c r="N8" s="230">
        <f>1/0.018</f>
        <v>55.555555555555557</v>
      </c>
      <c r="O8" s="230">
        <f t="shared" si="6"/>
        <v>18000</v>
      </c>
      <c r="P8" s="80">
        <f t="shared" ca="1" si="7"/>
        <v>20433.157413968849</v>
      </c>
      <c r="Q8" s="80">
        <f t="shared" ca="1" si="8"/>
        <v>11.9078875803377</v>
      </c>
      <c r="R8" s="230">
        <f>+F8*0.018</f>
        <v>18.36</v>
      </c>
    </row>
    <row r="9" spans="1:19">
      <c r="A9" s="347">
        <f t="shared" si="0"/>
        <v>4</v>
      </c>
      <c r="B9" s="348">
        <v>211713</v>
      </c>
      <c r="C9" s="371" t="str">
        <f>IFERROR(VLOOKUP(B9,TN!$B$8:$T$993,2,FALSE),"")</f>
        <v>Н-Хавтан /зузаан-2см/</v>
      </c>
      <c r="D9" s="371" t="str">
        <f>IFERROR(VLOOKUP(B9,TN!$B$8:$T$993,3,FALSE),"")</f>
        <v>м2</v>
      </c>
      <c r="E9" s="350">
        <v>20000</v>
      </c>
      <c r="F9" s="350">
        <v>1020</v>
      </c>
      <c r="G9" s="351">
        <f>+IF(E9="","",E9*F9)</f>
        <v>20400000</v>
      </c>
      <c r="H9" s="352">
        <f ca="1">IFERROR(G9/SUM(G9:OFFSET(INDIRECT("g5"),1,0,INDIRECT("a4"),1)),"")</f>
        <v>9.385351490614649E-2</v>
      </c>
      <c r="I9" s="351">
        <f t="shared" ca="1" si="2"/>
        <v>23157578.402498033</v>
      </c>
      <c r="J9" s="351">
        <f t="shared" ca="1" si="3"/>
        <v>22703.508237743168</v>
      </c>
      <c r="K9" s="105">
        <f>IFERROR(VLOOKUP(B9,[1]TN!$B$8:$T$993,19,FALSE),"")</f>
        <v>150101</v>
      </c>
      <c r="L9" s="353">
        <f t="shared" si="4"/>
        <v>140501</v>
      </c>
      <c r="M9" s="80">
        <f>+F9/N9</f>
        <v>20.399999999999999</v>
      </c>
      <c r="N9" s="230">
        <f>1/0.02</f>
        <v>50</v>
      </c>
      <c r="O9" s="230">
        <f t="shared" si="6"/>
        <v>20000</v>
      </c>
      <c r="P9" s="80">
        <f ca="1">+J9</f>
        <v>22703.508237743168</v>
      </c>
      <c r="Q9" s="80">
        <f t="shared" ca="1" si="8"/>
        <v>11.907887580337714</v>
      </c>
      <c r="R9" s="230">
        <f>+F9*0.02</f>
        <v>20.400000000000002</v>
      </c>
    </row>
    <row r="10" spans="1:19">
      <c r="A10" s="347">
        <f t="shared" si="0"/>
        <v>5</v>
      </c>
      <c r="B10" s="348">
        <v>210003</v>
      </c>
      <c r="C10" s="371" t="str">
        <f>IFERROR(VLOOKUP(B10,TN!$B$8:$T$993,2,FALSE),"")</f>
        <v>Н-Наамал дүнз</v>
      </c>
      <c r="D10" s="371" t="str">
        <f>IFERROR(VLOOKUP(B10,TN!$B$8:$T$993,3,FALSE),"")</f>
        <v>м2</v>
      </c>
      <c r="E10" s="350">
        <v>200000</v>
      </c>
      <c r="F10" s="350">
        <v>500</v>
      </c>
      <c r="G10" s="351">
        <f t="shared" si="1"/>
        <v>100000000</v>
      </c>
      <c r="H10" s="352">
        <f ca="1">IFERROR(G10/SUM(G10:OFFSET(INDIRECT("g5"),1,0,INDIRECT("a4"),1)),"")</f>
        <v>0.46006624953993375</v>
      </c>
      <c r="I10" s="351">
        <f t="shared" ca="1" si="2"/>
        <v>113517541.18871585</v>
      </c>
      <c r="J10" s="351">
        <f t="shared" ca="1" si="3"/>
        <v>227035.08237743168</v>
      </c>
      <c r="K10" s="105">
        <f>IFERROR(VLOOKUP(B10,[1]TN!$B$8:$T$993,19,FALSE),"")</f>
        <v>150101</v>
      </c>
      <c r="L10" s="353">
        <f t="shared" si="4"/>
        <v>140501</v>
      </c>
      <c r="M10" s="80">
        <f>+F10/N10</f>
        <v>100</v>
      </c>
      <c r="N10" s="230">
        <f>1/0.2</f>
        <v>5</v>
      </c>
      <c r="O10" s="230">
        <f t="shared" si="6"/>
        <v>200000</v>
      </c>
      <c r="R10" s="230">
        <f>+F10*0.2</f>
        <v>100</v>
      </c>
    </row>
    <row r="11" spans="1:19" s="199" customFormat="1">
      <c r="A11" s="354"/>
      <c r="B11" s="355"/>
      <c r="C11" s="356"/>
      <c r="D11" s="356"/>
      <c r="E11" s="357"/>
      <c r="F11" s="357"/>
      <c r="G11" s="357"/>
      <c r="H11" s="358"/>
      <c r="I11" s="357"/>
      <c r="J11" s="357"/>
      <c r="K11" s="359"/>
      <c r="L11" s="360"/>
      <c r="M11" s="361"/>
      <c r="N11" s="324"/>
      <c r="O11" s="324"/>
      <c r="R11" s="324"/>
    </row>
    <row r="12" spans="1:19" s="199" customFormat="1">
      <c r="A12" s="354"/>
      <c r="B12" s="355"/>
      <c r="C12" s="356"/>
      <c r="D12" s="356"/>
      <c r="E12" s="357"/>
      <c r="F12" s="357"/>
      <c r="G12" s="357"/>
      <c r="H12" s="358"/>
      <c r="I12" s="357"/>
      <c r="J12" s="357"/>
      <c r="K12" s="359"/>
      <c r="L12" s="360"/>
      <c r="M12" s="361"/>
      <c r="N12" s="324"/>
      <c r="O12" s="324"/>
      <c r="R12" s="324"/>
    </row>
    <row r="13" spans="1:19" s="199" customFormat="1">
      <c r="A13" s="354"/>
      <c r="B13" s="355"/>
      <c r="C13" s="356"/>
      <c r="D13" s="356"/>
      <c r="E13" s="357"/>
      <c r="F13" s="357"/>
      <c r="G13" s="357"/>
      <c r="H13" s="358"/>
      <c r="I13" s="357"/>
      <c r="J13" s="357"/>
      <c r="K13" s="359"/>
      <c r="L13" s="360"/>
      <c r="M13" s="361"/>
      <c r="N13" s="324"/>
      <c r="O13" s="324"/>
      <c r="R13" s="324"/>
    </row>
    <row r="14" spans="1:19" s="199" customFormat="1">
      <c r="A14" s="354" t="str">
        <f t="shared" si="0"/>
        <v/>
      </c>
      <c r="B14" s="355"/>
      <c r="C14" s="356" t="str">
        <f>IFERROR(VLOOKUP(B14,[1]TN!$B$8:$T$993,2,FALSE),"")</f>
        <v/>
      </c>
      <c r="D14" s="356" t="str">
        <f>IFERROR(VLOOKUP(B14,[1]TN!$B$8:$T$993,3,FALSE),"")</f>
        <v/>
      </c>
      <c r="E14" s="357"/>
      <c r="F14" s="357"/>
      <c r="G14" s="357" t="str">
        <f t="shared" si="1"/>
        <v/>
      </c>
      <c r="H14" s="358" t="str">
        <f ca="1">IFERROR(G14/SUM(G14:OFFSET(INDIRECT("g5"),1,0,INDIRECT("a4"),1)),"")</f>
        <v/>
      </c>
      <c r="I14" s="357" t="str">
        <f t="shared" ca="1" si="2"/>
        <v/>
      </c>
      <c r="J14" s="357" t="str">
        <f t="shared" ca="1" si="3"/>
        <v/>
      </c>
      <c r="K14" s="359" t="str">
        <f>IFERROR(VLOOKUP(B14,[1]TN!$B$8:$T$993,19,FALSE),"")</f>
        <v/>
      </c>
      <c r="L14" s="360" t="str">
        <f t="shared" si="4"/>
        <v/>
      </c>
      <c r="N14" s="324"/>
      <c r="O14" s="324" t="str">
        <f t="shared" si="6"/>
        <v/>
      </c>
      <c r="R14" s="324"/>
    </row>
    <row r="15" spans="1:19" s="199" customFormat="1">
      <c r="A15" s="354" t="str">
        <f t="shared" si="0"/>
        <v/>
      </c>
      <c r="B15" s="355"/>
      <c r="C15" s="356" t="str">
        <f>IFERROR(VLOOKUP(B15,[1]TN!$B$8:$T$993,2,FALSE),"")</f>
        <v/>
      </c>
      <c r="D15" s="356" t="str">
        <f>IFERROR(VLOOKUP(B15,[1]TN!$B$8:$T$993,3,FALSE),"")</f>
        <v/>
      </c>
      <c r="E15" s="357"/>
      <c r="F15" s="357"/>
      <c r="G15" s="357" t="str">
        <f t="shared" si="1"/>
        <v/>
      </c>
      <c r="H15" s="358" t="str">
        <f ca="1">IFERROR(G15/SUM(G15:OFFSET(INDIRECT("g5"),1,0,INDIRECT("a4"),1)),"")</f>
        <v/>
      </c>
      <c r="I15" s="357" t="str">
        <f t="shared" ca="1" si="2"/>
        <v/>
      </c>
      <c r="J15" s="357"/>
      <c r="K15" s="359" t="str">
        <f>IFERROR(VLOOKUP(B15,[1]TN!$B$8:$T$993,19,FALSE),"")</f>
        <v/>
      </c>
      <c r="L15" s="360" t="str">
        <f t="shared" si="4"/>
        <v/>
      </c>
      <c r="N15" s="324"/>
      <c r="O15" s="324" t="str">
        <f t="shared" si="6"/>
        <v/>
      </c>
      <c r="R15" s="324"/>
    </row>
    <row r="16" spans="1:19" s="199" customFormat="1" ht="19.5" customHeight="1">
      <c r="A16" s="354" t="str">
        <f t="shared" si="0"/>
        <v/>
      </c>
      <c r="B16" s="355"/>
      <c r="C16" s="356" t="str">
        <f>IFERROR(VLOOKUP(B16,[1]TN!$B$8:$T$993,2,FALSE),"")</f>
        <v/>
      </c>
      <c r="D16" s="356" t="str">
        <f>IFERROR(VLOOKUP(B16,[1]TN!$B$8:$T$993,3,FALSE),"")</f>
        <v/>
      </c>
      <c r="E16" s="357"/>
      <c r="F16" s="357"/>
      <c r="G16" s="357" t="str">
        <f t="shared" si="1"/>
        <v/>
      </c>
      <c r="H16" s="358" t="str">
        <f ca="1">IFERROR(G16/SUM(G16:OFFSET(INDIRECT("g5"),1,0,INDIRECT("a4"),1)),"")</f>
        <v/>
      </c>
      <c r="I16" s="357" t="str">
        <f t="shared" ca="1" si="2"/>
        <v/>
      </c>
      <c r="J16" s="357" t="str">
        <f t="shared" ca="1" si="3"/>
        <v/>
      </c>
      <c r="K16" s="359" t="str">
        <f>IFERROR(VLOOKUP(B16,[1]TN!$B$8:$T$993,19,FALSE),"")</f>
        <v/>
      </c>
      <c r="L16" s="360" t="str">
        <f t="shared" si="4"/>
        <v/>
      </c>
      <c r="N16" s="324"/>
      <c r="O16" s="324" t="str">
        <f t="shared" si="6"/>
        <v/>
      </c>
      <c r="R16" s="324"/>
    </row>
    <row r="17" spans="1:19" s="360" customFormat="1">
      <c r="A17" s="362" t="s">
        <v>1797</v>
      </c>
      <c r="B17" s="362"/>
      <c r="C17" s="359"/>
      <c r="D17" s="319"/>
      <c r="E17" s="319"/>
      <c r="F17" s="357"/>
      <c r="G17" s="357"/>
      <c r="H17" s="355"/>
      <c r="I17" s="357"/>
      <c r="J17" s="357"/>
      <c r="K17" s="363"/>
      <c r="N17" s="364"/>
      <c r="R17" s="364"/>
    </row>
    <row r="18" spans="1:19">
      <c r="A18" s="342"/>
      <c r="B18" s="342"/>
      <c r="C18" s="342"/>
      <c r="D18" s="342"/>
      <c r="E18" s="341"/>
      <c r="F18" s="341"/>
      <c r="G18" s="341"/>
      <c r="H18" s="342"/>
      <c r="I18" s="343" t="s">
        <v>1798</v>
      </c>
      <c r="J18" s="365">
        <v>293231686.98000002</v>
      </c>
    </row>
    <row r="19" spans="1:19">
      <c r="A19" s="342"/>
      <c r="B19" s="342"/>
      <c r="C19" s="342"/>
      <c r="D19" s="342"/>
      <c r="E19" s="341"/>
      <c r="F19" s="341"/>
      <c r="G19" s="341"/>
      <c r="H19" s="342"/>
      <c r="I19" s="341"/>
      <c r="J19" s="341" t="s">
        <v>1499</v>
      </c>
    </row>
    <row r="20" spans="1:19">
      <c r="A20" s="342"/>
      <c r="B20" s="342"/>
      <c r="C20" s="342" t="s">
        <v>1808</v>
      </c>
      <c r="D20" s="342"/>
      <c r="E20" s="926" t="s">
        <v>1801</v>
      </c>
      <c r="F20" s="926"/>
      <c r="G20" s="926"/>
      <c r="H20" s="926"/>
      <c r="I20" s="926" t="s">
        <v>1802</v>
      </c>
      <c r="J20" s="926"/>
      <c r="K20" s="927" t="s">
        <v>1803</v>
      </c>
      <c r="L20" s="927"/>
      <c r="M20" s="80"/>
      <c r="P20" s="80"/>
    </row>
    <row r="21" spans="1:19">
      <c r="A21" s="79" t="s">
        <v>1</v>
      </c>
      <c r="B21" s="101" t="s">
        <v>308</v>
      </c>
      <c r="C21" s="102" t="s">
        <v>309</v>
      </c>
      <c r="D21" s="102" t="s">
        <v>1804</v>
      </c>
      <c r="E21" s="345" t="s">
        <v>1805</v>
      </c>
      <c r="F21" s="345" t="s">
        <v>1806</v>
      </c>
      <c r="G21" s="345" t="s">
        <v>316</v>
      </c>
      <c r="H21" s="346" t="s">
        <v>1807</v>
      </c>
      <c r="I21" s="345" t="s">
        <v>316</v>
      </c>
      <c r="J21" s="345" t="s">
        <v>315</v>
      </c>
      <c r="K21" s="345" t="s">
        <v>261</v>
      </c>
      <c r="L21" s="345" t="s">
        <v>262</v>
      </c>
    </row>
    <row r="22" spans="1:19">
      <c r="A22" s="347">
        <f>+IF(B22="","",ROW()-5)</f>
        <v>17</v>
      </c>
      <c r="B22" s="348">
        <v>310001</v>
      </c>
      <c r="C22" s="349" t="str">
        <f>IFERROR(VLOOKUP(B22,[1]TN!$B$8:$T$993,2,FALSE),"")</f>
        <v>Õàòààñàí íàðñàí áàíç</v>
      </c>
      <c r="D22" s="349" t="str">
        <f>IFERROR(VLOOKUP(B22,[1]TN!$B$8:$T$993,3,FALSE),"")</f>
        <v>м3</v>
      </c>
      <c r="E22" s="350">
        <v>350000</v>
      </c>
      <c r="F22" s="350">
        <v>839.16</v>
      </c>
      <c r="G22" s="351">
        <f>+IF(E22="","",E22*F22)</f>
        <v>293706000</v>
      </c>
      <c r="H22" s="352">
        <v>1</v>
      </c>
      <c r="I22" s="351">
        <f>+IF(H22="","",H22*$J$18)</f>
        <v>293231686.98000002</v>
      </c>
      <c r="J22" s="351">
        <f>+IF(I22="","",I22/F22)</f>
        <v>349434.77641927643</v>
      </c>
      <c r="K22" s="105">
        <f>IFERROR(VLOOKUP(B22,[1]TN!$B$8:$T$993,19,FALSE),"")</f>
        <v>150100</v>
      </c>
      <c r="L22" s="353">
        <f>+IF(F22="","",140500)</f>
        <v>140500</v>
      </c>
      <c r="M22" s="80">
        <f>+F22/N22</f>
        <v>10.06992</v>
      </c>
      <c r="N22" s="230">
        <f>1/0.012</f>
        <v>83.333333333333329</v>
      </c>
      <c r="O22" s="230">
        <f>IF(N22="","",1000000/N22)</f>
        <v>12000</v>
      </c>
      <c r="P22" s="80">
        <f>+J22</f>
        <v>349434.77641927643</v>
      </c>
      <c r="Q22" s="80">
        <f>100-O22*100/P22</f>
        <v>96.565882731259251</v>
      </c>
      <c r="R22" s="230">
        <f>+F22*0.012</f>
        <v>10.06992</v>
      </c>
      <c r="S22" s="80"/>
    </row>
    <row r="23" spans="1:19">
      <c r="A23" s="347" t="str">
        <f t="shared" ref="A23:A26" si="9">+IF(B23="","",ROW()-5)</f>
        <v/>
      </c>
      <c r="B23" s="348"/>
      <c r="C23" s="349" t="str">
        <f>IFERROR(VLOOKUP(B23,[1]TN!$B$8:$T$993,2,FALSE),"")</f>
        <v/>
      </c>
      <c r="D23" s="349" t="str">
        <f>IFERROR(VLOOKUP(B23,[1]TN!$B$8:$T$993,3,FALSE),"")</f>
        <v/>
      </c>
      <c r="E23" s="350"/>
      <c r="F23" s="350"/>
      <c r="G23" s="351" t="str">
        <f t="shared" ref="G23:G26" si="10">+IF(E23="","",E23*F23)</f>
        <v/>
      </c>
      <c r="H23" s="352" t="str">
        <f ca="1">IFERROR(G23/SUM(G23:OFFSET(INDIRECT("g5"),1,0,INDIRECT("a4"),1)),"")</f>
        <v/>
      </c>
      <c r="I23" s="351" t="str">
        <f t="shared" ref="I23:I26" ca="1" si="11">+IF(H23="","",H23*$J$2)</f>
        <v/>
      </c>
      <c r="J23" s="351" t="str">
        <f t="shared" ref="J23:J26" ca="1" si="12">+IF(I23="","",I23/F23)</f>
        <v/>
      </c>
      <c r="K23" s="105" t="str">
        <f>IFERROR(VLOOKUP(B23,[1]TN!$B$8:$T$993,19,FALSE),"")</f>
        <v/>
      </c>
      <c r="L23" s="353"/>
      <c r="M23" s="80"/>
      <c r="O23" s="230"/>
      <c r="P23" s="80" t="str">
        <f t="shared" ref="P23:P24" ca="1" si="13">+J23</f>
        <v/>
      </c>
      <c r="Q23" s="80" t="e">
        <f t="shared" ref="Q23:Q25" ca="1" si="14">100-O23*100/P23</f>
        <v>#VALUE!</v>
      </c>
      <c r="R23" s="230">
        <f>+F23*0.03</f>
        <v>0</v>
      </c>
    </row>
    <row r="24" spans="1:19">
      <c r="A24" s="347" t="str">
        <f t="shared" si="9"/>
        <v/>
      </c>
      <c r="B24" s="348"/>
      <c r="C24" s="349" t="str">
        <f>IFERROR(VLOOKUP(B24,[1]TN!$B$8:$T$993,2,FALSE),"")</f>
        <v/>
      </c>
      <c r="D24" s="349" t="str">
        <f>IFERROR(VLOOKUP(B24,[1]TN!$B$8:$T$993,3,FALSE),"")</f>
        <v/>
      </c>
      <c r="E24" s="350"/>
      <c r="F24" s="350"/>
      <c r="G24" s="351" t="str">
        <f t="shared" si="10"/>
        <v/>
      </c>
      <c r="H24" s="352" t="str">
        <f ca="1">IFERROR(G24/SUM(G24:OFFSET(INDIRECT("g5"),1,0,INDIRECT("a4"),1)),"")</f>
        <v/>
      </c>
      <c r="I24" s="351" t="str">
        <f t="shared" ca="1" si="11"/>
        <v/>
      </c>
      <c r="J24" s="351" t="str">
        <f t="shared" ca="1" si="12"/>
        <v/>
      </c>
      <c r="K24" s="105" t="str">
        <f>IFERROR(VLOOKUP(B24,[1]TN!$B$8:$T$993,19,FALSE),"")</f>
        <v/>
      </c>
      <c r="L24" s="353"/>
      <c r="M24" s="80"/>
      <c r="O24" s="230"/>
      <c r="P24" s="80" t="str">
        <f t="shared" ca="1" si="13"/>
        <v/>
      </c>
      <c r="Q24" s="80" t="e">
        <f t="shared" ca="1" si="14"/>
        <v>#VALUE!</v>
      </c>
      <c r="R24" s="230">
        <f>+F24*0.018</f>
        <v>0</v>
      </c>
    </row>
    <row r="25" spans="1:19">
      <c r="A25" s="347" t="str">
        <f t="shared" si="9"/>
        <v/>
      </c>
      <c r="B25" s="348"/>
      <c r="C25" s="349" t="str">
        <f>IFERROR(VLOOKUP(B25,[1]TN!$B$8:$T$993,2,FALSE),"")</f>
        <v/>
      </c>
      <c r="D25" s="349" t="str">
        <f>IFERROR(VLOOKUP(B25,[1]TN!$B$8:$T$993,3,FALSE),"")</f>
        <v/>
      </c>
      <c r="E25" s="350"/>
      <c r="F25" s="350"/>
      <c r="G25" s="351" t="str">
        <f t="shared" si="10"/>
        <v/>
      </c>
      <c r="H25" s="352" t="str">
        <f ca="1">IFERROR(G25/SUM(G25:OFFSET(INDIRECT("g5"),1,0,INDIRECT("a4"),1)),"")</f>
        <v/>
      </c>
      <c r="I25" s="351" t="str">
        <f t="shared" ca="1" si="11"/>
        <v/>
      </c>
      <c r="J25" s="351" t="str">
        <f t="shared" ca="1" si="12"/>
        <v/>
      </c>
      <c r="K25" s="105" t="str">
        <f>IFERROR(VLOOKUP(B25,[1]TN!$B$8:$T$993,19,FALSE),"")</f>
        <v/>
      </c>
      <c r="L25" s="353"/>
      <c r="M25" s="80"/>
      <c r="O25" s="230"/>
      <c r="P25" s="80" t="str">
        <f ca="1">+J25</f>
        <v/>
      </c>
      <c r="Q25" s="80" t="e">
        <f t="shared" ca="1" si="14"/>
        <v>#VALUE!</v>
      </c>
      <c r="R25" s="230">
        <f>+F25*0.02</f>
        <v>0</v>
      </c>
    </row>
    <row r="26" spans="1:19">
      <c r="A26" s="347" t="str">
        <f t="shared" si="9"/>
        <v/>
      </c>
      <c r="B26" s="348"/>
      <c r="C26" s="349" t="str">
        <f>IFERROR(VLOOKUP(B26,[1]TN!$B$8:$T$993,2,FALSE),"")</f>
        <v/>
      </c>
      <c r="D26" s="349" t="str">
        <f>IFERROR(VLOOKUP(B26,[1]TN!$B$8:$T$993,3,FALSE),"")</f>
        <v/>
      </c>
      <c r="E26" s="350"/>
      <c r="F26" s="350"/>
      <c r="G26" s="351" t="str">
        <f t="shared" si="10"/>
        <v/>
      </c>
      <c r="H26" s="352" t="str">
        <f ca="1">IFERROR(G26/SUM(G26:OFFSET(INDIRECT("g5"),1,0,INDIRECT("a4"),1)),"")</f>
        <v/>
      </c>
      <c r="I26" s="351" t="str">
        <f t="shared" ca="1" si="11"/>
        <v/>
      </c>
      <c r="J26" s="351" t="str">
        <f t="shared" ca="1" si="12"/>
        <v/>
      </c>
      <c r="K26" s="105" t="str">
        <f>IFERROR(VLOOKUP(B26,[1]TN!$B$8:$T$993,19,FALSE),"")</f>
        <v/>
      </c>
      <c r="L26" s="353"/>
      <c r="M26" s="80"/>
      <c r="O26" s="230"/>
      <c r="R26" s="230">
        <f>+F26*0.2</f>
        <v>0</v>
      </c>
    </row>
    <row r="27" spans="1:19">
      <c r="A27" s="92" t="str">
        <f t="shared" si="0"/>
        <v/>
      </c>
      <c r="B27" s="366"/>
      <c r="C27" s="88" t="str">
        <f>IFERROR(VLOOKUP(B27,[1]TN!$B$8:$T$993,2,FALSE),"")</f>
        <v/>
      </c>
      <c r="D27" s="88" t="str">
        <f>IFERROR(VLOOKUP(B27,[1]TN!$B$8:$T$993,3,FALSE),"")</f>
        <v/>
      </c>
      <c r="E27" s="367"/>
      <c r="F27" s="367"/>
      <c r="G27" s="341" t="str">
        <f t="shared" si="1"/>
        <v/>
      </c>
      <c r="H27" s="368" t="str">
        <f ca="1">IFERROR(G27/SUM(G27:OFFSET(INDIRECT("g5"),1,0,INDIRECT("a4"),1)),"")</f>
        <v/>
      </c>
      <c r="I27" s="341" t="str">
        <f t="shared" ca="1" si="2"/>
        <v/>
      </c>
      <c r="J27" s="341" t="str">
        <f t="shared" ca="1" si="3"/>
        <v/>
      </c>
      <c r="K27" s="87" t="str">
        <f>IFERROR(VLOOKUP(B27,[1]TN!$B$8:$T$993,19,FALSE),"")</f>
        <v/>
      </c>
    </row>
    <row r="28" spans="1:19">
      <c r="A28" s="92" t="str">
        <f t="shared" si="0"/>
        <v/>
      </c>
      <c r="B28" s="366"/>
      <c r="C28" s="88" t="str">
        <f>IFERROR(VLOOKUP(B28,[1]TN!$B$8:$T$993,2,FALSE),"")</f>
        <v/>
      </c>
      <c r="D28" s="88" t="str">
        <f>IFERROR(VLOOKUP(B28,[1]TN!$B$8:$T$993,3,FALSE),"")</f>
        <v/>
      </c>
      <c r="E28" s="367"/>
      <c r="F28" s="367"/>
      <c r="G28" s="341" t="str">
        <f t="shared" si="1"/>
        <v/>
      </c>
      <c r="H28" s="368" t="str">
        <f ca="1">IFERROR(G28/SUM(G28:OFFSET(INDIRECT("g5"),1,0,INDIRECT("a4"),1)),"")</f>
        <v/>
      </c>
      <c r="I28" s="341" t="str">
        <f t="shared" ca="1" si="2"/>
        <v/>
      </c>
      <c r="J28" s="341" t="str">
        <f t="shared" ca="1" si="3"/>
        <v/>
      </c>
      <c r="K28" s="87" t="str">
        <f>IFERROR(VLOOKUP(B28,[1]TN!$B$8:$T$993,19,FALSE),"")</f>
        <v/>
      </c>
    </row>
    <row r="29" spans="1:19">
      <c r="A29" s="92" t="str">
        <f t="shared" si="0"/>
        <v/>
      </c>
      <c r="B29" s="366"/>
      <c r="C29" s="88" t="str">
        <f>IFERROR(VLOOKUP(B29,[1]TN!$B$8:$T$993,2,FALSE),"")</f>
        <v/>
      </c>
      <c r="D29" s="88" t="str">
        <f>IFERROR(VLOOKUP(B29,[1]TN!$B$8:$T$993,3,FALSE),"")</f>
        <v/>
      </c>
      <c r="E29" s="367"/>
      <c r="F29" s="367"/>
      <c r="G29" s="341" t="str">
        <f t="shared" si="1"/>
        <v/>
      </c>
      <c r="H29" s="368" t="str">
        <f ca="1">IFERROR(G29/SUM(G29:OFFSET(INDIRECT("g5"),1,0,INDIRECT("a4"),1)),"")</f>
        <v/>
      </c>
      <c r="I29" s="341" t="str">
        <f t="shared" ca="1" si="2"/>
        <v/>
      </c>
      <c r="J29" s="341" t="str">
        <f t="shared" ca="1" si="3"/>
        <v/>
      </c>
      <c r="K29" s="87" t="str">
        <f>IFERROR(VLOOKUP(B29,[1]TN!$B$8:$T$993,19,FALSE),"")</f>
        <v/>
      </c>
    </row>
    <row r="30" spans="1:19">
      <c r="A30" s="86" t="s">
        <v>1797</v>
      </c>
      <c r="B30" s="86"/>
      <c r="C30" s="87"/>
      <c r="D30" s="88"/>
      <c r="E30" s="88"/>
      <c r="F30" s="341"/>
      <c r="G30" s="341"/>
      <c r="H30" s="342"/>
      <c r="I30" s="341"/>
      <c r="J30" s="341"/>
    </row>
    <row r="31" spans="1:19">
      <c r="A31" s="342"/>
      <c r="B31" s="342"/>
      <c r="C31" s="342"/>
      <c r="D31" s="342"/>
      <c r="E31" s="341"/>
      <c r="F31" s="341"/>
      <c r="G31" s="341"/>
      <c r="H31" s="342"/>
      <c r="I31" s="343" t="s">
        <v>1798</v>
      </c>
      <c r="J31" s="344">
        <v>178934565.5</v>
      </c>
    </row>
    <row r="32" spans="1:19">
      <c r="A32" s="342"/>
      <c r="B32" s="342"/>
      <c r="C32" s="342"/>
      <c r="D32" s="342"/>
      <c r="E32" s="341"/>
      <c r="F32" s="341"/>
      <c r="G32" s="341"/>
      <c r="H32" s="342"/>
      <c r="I32" s="341"/>
      <c r="J32" s="341" t="s">
        <v>1499</v>
      </c>
      <c r="L32" s="231" t="s">
        <v>1809</v>
      </c>
    </row>
    <row r="33" spans="1:15">
      <c r="A33" s="342">
        <f>+COUNT(A35:A43)</f>
        <v>9</v>
      </c>
      <c r="B33" s="342"/>
      <c r="C33" s="342" t="s">
        <v>1800</v>
      </c>
      <c r="D33" s="342"/>
      <c r="E33" s="926" t="s">
        <v>1801</v>
      </c>
      <c r="F33" s="926"/>
      <c r="G33" s="926"/>
      <c r="H33" s="926"/>
      <c r="I33" s="926" t="s">
        <v>1802</v>
      </c>
      <c r="J33" s="926"/>
      <c r="K33" s="927" t="s">
        <v>1803</v>
      </c>
      <c r="L33" s="927"/>
      <c r="M33" s="80">
        <f>SUM(M35:M43)</f>
        <v>179.11500000000001</v>
      </c>
      <c r="O33" s="231">
        <f>360/2</f>
        <v>180</v>
      </c>
    </row>
    <row r="34" spans="1:15">
      <c r="A34" s="79" t="s">
        <v>1</v>
      </c>
      <c r="B34" s="101" t="s">
        <v>308</v>
      </c>
      <c r="C34" s="102" t="s">
        <v>309</v>
      </c>
      <c r="D34" s="102" t="s">
        <v>1804</v>
      </c>
      <c r="E34" s="345" t="s">
        <v>1805</v>
      </c>
      <c r="F34" s="345" t="s">
        <v>1806</v>
      </c>
      <c r="G34" s="345" t="s">
        <v>316</v>
      </c>
      <c r="H34" s="346" t="s">
        <v>1807</v>
      </c>
      <c r="I34" s="345" t="s">
        <v>316</v>
      </c>
      <c r="J34" s="345" t="s">
        <v>315</v>
      </c>
      <c r="K34" s="345" t="s">
        <v>261</v>
      </c>
      <c r="L34" s="345" t="s">
        <v>262</v>
      </c>
    </row>
    <row r="35" spans="1:15">
      <c r="A35" s="369">
        <f>+IF(B35="","",ROW()-5)</f>
        <v>30</v>
      </c>
      <c r="B35" s="370">
        <v>211503</v>
      </c>
      <c r="C35" s="371" t="str">
        <f>IFERROR(VLOOKUP(B35,TN!$B$8:$T$993,2,FALSE),"")</f>
        <v>Н-Евровагонка /зузаан-1.2см/</v>
      </c>
      <c r="D35" s="371" t="str">
        <f>IFERROR(VLOOKUP(B35,TN!$B$8:$T$993,3,FALSE),"")</f>
        <v>м2</v>
      </c>
      <c r="E35" s="372">
        <v>12000</v>
      </c>
      <c r="F35" s="372">
        <v>1500</v>
      </c>
      <c r="G35" s="373">
        <f>+IF(E35="","",E35*F35)</f>
        <v>18000000</v>
      </c>
      <c r="H35" s="374">
        <f ca="1">IFERROR(G35/SUM(G35:OFFSET(INDIRECT("g5"),1,0,INDIRECT("a4"),1)),"")</f>
        <v>3.4022220290096133E-2</v>
      </c>
      <c r="I35" s="81">
        <v>18125309.469999999</v>
      </c>
      <c r="J35" s="373">
        <f>+IF(I35="","",I35/F35)</f>
        <v>12083.539646666666</v>
      </c>
      <c r="K35" s="375">
        <f>IFERROR(VLOOKUP(B35,[1]TN!$B$8:$T$993,19,FALSE),"")</f>
        <v>150101</v>
      </c>
      <c r="L35" s="376">
        <f>+IF(F35="","",140501)</f>
        <v>140501</v>
      </c>
      <c r="M35" s="80">
        <f>+F35/N35</f>
        <v>18</v>
      </c>
      <c r="N35" s="230">
        <f>1/0.012</f>
        <v>83.333333333333329</v>
      </c>
      <c r="O35" s="230">
        <f>IF(N35="","",1000000/N35)</f>
        <v>12000</v>
      </c>
    </row>
    <row r="36" spans="1:15">
      <c r="A36" s="369">
        <f t="shared" ref="A36:A43" si="15">+IF(B36="","",ROW()-5)</f>
        <v>31</v>
      </c>
      <c r="B36" s="370">
        <v>211710</v>
      </c>
      <c r="C36" s="371" t="str">
        <f>IFERROR(VLOOKUP(B36,TN!$B$8:$T$993,2,FALSE),"")</f>
        <v xml:space="preserve">Н-Хавтан /зузаан-3см/-яртай </v>
      </c>
      <c r="D36" s="371" t="str">
        <f>IFERROR(VLOOKUP(B36,TN!$B$8:$T$993,3,FALSE),"")</f>
        <v>м2</v>
      </c>
      <c r="E36" s="372">
        <v>29999.999999999996</v>
      </c>
      <c r="F36" s="372">
        <v>450</v>
      </c>
      <c r="G36" s="373">
        <f t="shared" ref="G36:G39" si="16">+IF(E36="","",E36*F36)</f>
        <v>13499999.999999998</v>
      </c>
      <c r="H36" s="374">
        <f ca="1">IFERROR(G36/SUM(G36:OFFSET(INDIRECT("g5"),1,0,INDIRECT("a4"),1)),"")</f>
        <v>2.4881765536358708E-2</v>
      </c>
      <c r="I36" s="81">
        <v>13593982.100198371</v>
      </c>
      <c r="J36" s="373">
        <f t="shared" ref="J36:J43" si="17">+IF(I36="","",I36/F36)</f>
        <v>30208.849111551935</v>
      </c>
      <c r="K36" s="375">
        <f>IFERROR(VLOOKUP(B36,[1]TN!$B$8:$T$993,19,FALSE),"")</f>
        <v>150101</v>
      </c>
      <c r="L36" s="376">
        <f t="shared" ref="L36:L43" si="18">+IF(F36="","",140501)</f>
        <v>140501</v>
      </c>
      <c r="M36" s="80">
        <f>+F36/N36</f>
        <v>13.499999999999998</v>
      </c>
      <c r="N36" s="230">
        <f>1/0.03</f>
        <v>33.333333333333336</v>
      </c>
      <c r="O36" s="230">
        <f t="shared" ref="O36:O43" si="19">IF(N36="","",1000000/N36)</f>
        <v>29999.999999999996</v>
      </c>
    </row>
    <row r="37" spans="1:15">
      <c r="A37" s="369">
        <f t="shared" si="15"/>
        <v>32</v>
      </c>
      <c r="B37" s="370">
        <v>211715</v>
      </c>
      <c r="C37" s="371" t="str">
        <f>IFERROR(VLOOKUP(B37,TN!$B$8:$T$993,2,FALSE),"")</f>
        <v>Н-Хавтан /зузаан-1.8см/</v>
      </c>
      <c r="D37" s="371" t="str">
        <f>IFERROR(VLOOKUP(B37,TN!$B$8:$T$993,3,FALSE),"")</f>
        <v>м2</v>
      </c>
      <c r="E37" s="372">
        <v>18000</v>
      </c>
      <c r="F37" s="372">
        <v>2500</v>
      </c>
      <c r="G37" s="373">
        <f t="shared" si="16"/>
        <v>45000000</v>
      </c>
      <c r="H37" s="374">
        <f ca="1">IFERROR(G37/SUM(G37:OFFSET(INDIRECT("g5"),1,0,INDIRECT("a4"),1)),"")</f>
        <v>7.6587140848857829E-2</v>
      </c>
      <c r="I37" s="81">
        <v>45313273.667327903</v>
      </c>
      <c r="J37" s="373">
        <f t="shared" si="17"/>
        <v>18125.309466931161</v>
      </c>
      <c r="K37" s="375">
        <f>IFERROR(VLOOKUP(B37,[1]TN!$B$8:$T$993,19,FALSE),"")</f>
        <v>150101</v>
      </c>
      <c r="L37" s="376">
        <f t="shared" si="18"/>
        <v>140501</v>
      </c>
      <c r="M37" s="80">
        <f t="shared" ref="M37" si="20">+F37/N37</f>
        <v>45</v>
      </c>
      <c r="N37" s="230">
        <f>1/0.018</f>
        <v>55.555555555555557</v>
      </c>
      <c r="O37" s="230">
        <f t="shared" si="19"/>
        <v>18000</v>
      </c>
    </row>
    <row r="38" spans="1:15">
      <c r="A38" s="369">
        <f t="shared" si="15"/>
        <v>33</v>
      </c>
      <c r="B38" s="370">
        <v>211713</v>
      </c>
      <c r="C38" s="371" t="str">
        <f>IFERROR(VLOOKUP(B38,TN!$B$8:$T$993,2,FALSE),"")</f>
        <v>Н-Хавтан /зузаан-2см/</v>
      </c>
      <c r="D38" s="371" t="str">
        <f>IFERROR(VLOOKUP(B38,TN!$B$8:$T$993,3,FALSE),"")</f>
        <v>м2</v>
      </c>
      <c r="E38" s="377">
        <v>20000</v>
      </c>
      <c r="F38" s="377">
        <v>1500</v>
      </c>
      <c r="G38" s="373">
        <f t="shared" si="16"/>
        <v>30000000</v>
      </c>
      <c r="H38" s="374">
        <f ca="1">IFERROR(G38/SUM(G38:OFFSET(INDIRECT("g5"),1,0,INDIRECT("a4"),1)),"")</f>
        <v>4.8577803829874054E-2</v>
      </c>
      <c r="I38" s="81">
        <v>30208849.111551899</v>
      </c>
      <c r="J38" s="373">
        <f t="shared" si="17"/>
        <v>20139.232741034601</v>
      </c>
      <c r="K38" s="375">
        <f>IFERROR(VLOOKUP(B38,[1]TN!$B$8:$T$993,19,FALSE),"")</f>
        <v>150101</v>
      </c>
      <c r="L38" s="376">
        <f t="shared" si="18"/>
        <v>140501</v>
      </c>
      <c r="M38" s="80">
        <f>+F38/N38</f>
        <v>30</v>
      </c>
      <c r="N38" s="230">
        <f>1/0.02</f>
        <v>50</v>
      </c>
      <c r="O38" s="230">
        <f t="shared" si="19"/>
        <v>20000</v>
      </c>
    </row>
    <row r="39" spans="1:15">
      <c r="A39" s="378">
        <f t="shared" si="15"/>
        <v>34</v>
      </c>
      <c r="B39" s="379">
        <v>211714</v>
      </c>
      <c r="C39" s="371" t="str">
        <f>IFERROR(VLOOKUP(B39,TN!$B$8:$T$993,2,FALSE),"")</f>
        <v xml:space="preserve">Н-Хавтан /зузаан-2см/-яртай </v>
      </c>
      <c r="D39" s="371" t="str">
        <f>IFERROR(VLOOKUP(B39,TN!$B$8:$T$993,3,FALSE),"")</f>
        <v>м2</v>
      </c>
      <c r="E39" s="380">
        <v>18000</v>
      </c>
      <c r="F39" s="380">
        <v>1500</v>
      </c>
      <c r="G39" s="381">
        <f t="shared" si="16"/>
        <v>27000000</v>
      </c>
      <c r="H39" s="374">
        <f ca="1">IFERROR(G39/SUM(G39:OFFSET(INDIRECT("g5"),1,0,INDIRECT("a4"),1)),"")</f>
        <v>4.1888650657962101E-2</v>
      </c>
      <c r="I39" s="81">
        <v>27187964.200396743</v>
      </c>
      <c r="J39" s="373">
        <f t="shared" si="17"/>
        <v>18125.309466931161</v>
      </c>
      <c r="K39" s="375">
        <f>IFERROR(VLOOKUP(B39,[1]TN!$B$8:$T$993,19,FALSE),"")</f>
        <v>150101</v>
      </c>
      <c r="L39" s="376">
        <f t="shared" si="18"/>
        <v>140501</v>
      </c>
      <c r="M39" s="80">
        <f t="shared" ref="M39:M43" si="21">+F39/N39</f>
        <v>30</v>
      </c>
      <c r="N39" s="324">
        <f>1/0.02</f>
        <v>50</v>
      </c>
      <c r="O39" s="230">
        <f t="shared" si="19"/>
        <v>20000</v>
      </c>
    </row>
    <row r="40" spans="1:15">
      <c r="A40" s="376">
        <f t="shared" si="15"/>
        <v>35</v>
      </c>
      <c r="B40" s="376">
        <v>211401</v>
      </c>
      <c r="C40" s="371" t="str">
        <f>IFERROR(VLOOKUP(B40,TN!$B$8:$T$993,2,FALSE),"")</f>
        <v xml:space="preserve">Н-Блок Хаус  /4.3*16.5см/-яртай </v>
      </c>
      <c r="D40" s="371" t="str">
        <f>IFERROR(VLOOKUP(B40,TN!$B$8:$T$993,3,FALSE),"")</f>
        <v>м2</v>
      </c>
      <c r="E40" s="382">
        <v>45000</v>
      </c>
      <c r="F40" s="382">
        <v>253</v>
      </c>
      <c r="G40" s="381">
        <f>+IF(E40="","",E40*F40)</f>
        <v>11385000</v>
      </c>
      <c r="H40" s="374">
        <f ca="1">IFERROR(G40/SUM(G40:OFFSET(INDIRECT("g5"),1,0,INDIRECT("a4"),1)),"")</f>
        <v>1.7356479371172542E-2</v>
      </c>
      <c r="I40" s="81">
        <v>11464258.23783396</v>
      </c>
      <c r="J40" s="373">
        <f t="shared" si="17"/>
        <v>45313.273667327907</v>
      </c>
      <c r="K40" s="375">
        <f>IFERROR(VLOOKUP(B40,[1]TN!$B$8:$T$993,19,FALSE),"")</f>
        <v>150101</v>
      </c>
      <c r="L40" s="376">
        <f t="shared" si="18"/>
        <v>140501</v>
      </c>
      <c r="M40" s="80">
        <f t="shared" si="21"/>
        <v>11.385</v>
      </c>
      <c r="N40" s="230">
        <f>1/0.045</f>
        <v>22.222222222222221</v>
      </c>
      <c r="O40" s="230">
        <f t="shared" si="19"/>
        <v>45000</v>
      </c>
    </row>
    <row r="41" spans="1:15">
      <c r="A41" s="376">
        <f t="shared" si="15"/>
        <v>36</v>
      </c>
      <c r="B41" s="376">
        <v>211801</v>
      </c>
      <c r="C41" s="371" t="str">
        <f>IFERROR(VLOOKUP(B41,TN!$B$8:$T$993,2,FALSE),"")</f>
        <v>Н-Ембүү /20*30мм/</v>
      </c>
      <c r="D41" s="371" t="str">
        <f>IFERROR(VLOOKUP(B41,TN!$B$8:$T$993,3,FALSE),"")</f>
        <v>м</v>
      </c>
      <c r="E41" s="382">
        <v>600</v>
      </c>
      <c r="F41" s="382">
        <v>6800</v>
      </c>
      <c r="G41" s="381">
        <f t="shared" ref="G41:G42" si="22">+IF(E41="","",E41*F41)</f>
        <v>4080000</v>
      </c>
      <c r="H41" s="374">
        <f ca="1">IFERROR(G41/SUM(G41:OFFSET(INDIRECT("g5"),1,0,INDIRECT("a4"),1)),"")</f>
        <v>6.181527837328853E-3</v>
      </c>
      <c r="I41" s="81">
        <v>4108403.4791710633</v>
      </c>
      <c r="J41" s="373">
        <f t="shared" si="17"/>
        <v>604.17698223103866</v>
      </c>
      <c r="K41" s="375">
        <f>IFERROR(VLOOKUP(B41,[1]TN!$B$8:$T$993,19,FALSE),"")</f>
        <v>150101</v>
      </c>
      <c r="L41" s="376">
        <f t="shared" si="18"/>
        <v>140501</v>
      </c>
      <c r="M41" s="80">
        <f>+F41/N41</f>
        <v>4.08</v>
      </c>
      <c r="N41" s="230">
        <f>1/0.02/0.03</f>
        <v>1666.6666666666667</v>
      </c>
      <c r="O41" s="230">
        <f t="shared" si="19"/>
        <v>600</v>
      </c>
    </row>
    <row r="42" spans="1:15">
      <c r="A42" s="376">
        <f t="shared" si="15"/>
        <v>37</v>
      </c>
      <c r="B42" s="376">
        <v>211802</v>
      </c>
      <c r="C42" s="371" t="str">
        <f>IFERROR(VLOOKUP(B42,TN!$B$8:$T$993,2,FALSE),"")</f>
        <v xml:space="preserve">Н-Уголок </v>
      </c>
      <c r="D42" s="371" t="str">
        <f>IFERROR(VLOOKUP(B42,TN!$B$8:$T$993,3,FALSE),"")</f>
        <v>м</v>
      </c>
      <c r="E42" s="382">
        <v>1111</v>
      </c>
      <c r="F42" s="382">
        <v>7500</v>
      </c>
      <c r="G42" s="381">
        <f t="shared" si="22"/>
        <v>8332500</v>
      </c>
      <c r="H42" s="374">
        <f ca="1">IFERROR(G42/SUM(G42:OFFSET(INDIRECT("g5"),1,0,INDIRECT("a4"),1)),"")</f>
        <v>1.2467018321616905E-2</v>
      </c>
      <c r="I42" s="164">
        <v>8390507.8407335505</v>
      </c>
      <c r="J42" s="373">
        <f t="shared" si="17"/>
        <v>1118.7343787644734</v>
      </c>
      <c r="K42" s="375">
        <f>IFERROR(VLOOKUP(B42,[1]TN!$B$8:$T$993,19,FALSE),"")</f>
        <v>150101</v>
      </c>
      <c r="L42" s="376">
        <f t="shared" si="18"/>
        <v>140501</v>
      </c>
      <c r="M42" s="80">
        <f t="shared" si="21"/>
        <v>6.7499999999999991</v>
      </c>
      <c r="N42" s="230">
        <f>1/0.03/0.03</f>
        <v>1111.1111111111113</v>
      </c>
      <c r="O42" s="230">
        <f t="shared" si="19"/>
        <v>899.99999999999989</v>
      </c>
    </row>
    <row r="43" spans="1:15">
      <c r="A43" s="376">
        <f t="shared" si="15"/>
        <v>38</v>
      </c>
      <c r="B43" s="376">
        <v>211504</v>
      </c>
      <c r="C43" s="371" t="str">
        <f>IFERROR(VLOOKUP(B43,TN!$B$8:$T$993,2,FALSE),"")</f>
        <v xml:space="preserve">Н-Евровагонка /зузаан-1.2см/-яртай </v>
      </c>
      <c r="D43" s="371" t="str">
        <f>IFERROR(VLOOKUP(B43,TN!$B$8:$T$993,3,FALSE),"")</f>
        <v>м2</v>
      </c>
      <c r="E43" s="382">
        <v>12000</v>
      </c>
      <c r="F43" s="382">
        <v>1700</v>
      </c>
      <c r="G43" s="381">
        <f>+IF(E43="","",E43*F43)</f>
        <v>20400000</v>
      </c>
      <c r="H43" s="374">
        <f ca="1">IFERROR(G43/SUM(G43:OFFSET(INDIRECT("g5"),1,0,INDIRECT("a4"),1)),"")</f>
        <v>2.9618294233071295E-2</v>
      </c>
      <c r="I43" s="164">
        <v>20542017.395855315</v>
      </c>
      <c r="J43" s="373">
        <f t="shared" si="17"/>
        <v>12083.539644620774</v>
      </c>
      <c r="K43" s="375">
        <f>IFERROR(VLOOKUP(B43,[1]TN!$B$8:$T$993,19,FALSE),"")</f>
        <v>150101</v>
      </c>
      <c r="L43" s="376">
        <f t="shared" si="18"/>
        <v>140501</v>
      </c>
      <c r="M43" s="80">
        <f t="shared" si="21"/>
        <v>20.400000000000002</v>
      </c>
      <c r="N43" s="230">
        <f>1/0.012</f>
        <v>83.333333333333329</v>
      </c>
      <c r="O43" s="230">
        <f t="shared" si="19"/>
        <v>12000</v>
      </c>
    </row>
    <row r="44" spans="1:15">
      <c r="C44" s="88"/>
      <c r="D44" s="88"/>
      <c r="G44" s="80">
        <f>SUM(G35:G43)</f>
        <v>177697500</v>
      </c>
      <c r="I44" s="80">
        <f>SUM(I35:I43)</f>
        <v>178934565.50306877</v>
      </c>
      <c r="K44" s="87"/>
    </row>
    <row r="45" spans="1:15">
      <c r="C45" s="88"/>
      <c r="D45" s="88"/>
      <c r="I45" s="80">
        <f>+I44-J31</f>
        <v>3.068774938583374E-3</v>
      </c>
      <c r="K45" s="87"/>
    </row>
    <row r="46" spans="1:15">
      <c r="C46" s="88"/>
      <c r="D46" s="88"/>
      <c r="G46" s="230"/>
      <c r="H46" s="230"/>
      <c r="K46" s="87"/>
    </row>
    <row r="47" spans="1:15">
      <c r="C47" s="88"/>
      <c r="D47" s="88"/>
      <c r="G47" s="230">
        <f>+G44</f>
        <v>177697500</v>
      </c>
      <c r="H47" s="230">
        <f>+J31</f>
        <v>178934565.5</v>
      </c>
      <c r="K47" s="87"/>
    </row>
    <row r="48" spans="1:15">
      <c r="C48" s="88"/>
      <c r="D48" s="88"/>
      <c r="G48" s="80">
        <f>+G43</f>
        <v>20400000</v>
      </c>
      <c r="H48" s="231">
        <f>+G48*H47/G47</f>
        <v>20542017.395855315</v>
      </c>
      <c r="K48" s="87"/>
    </row>
    <row r="49" spans="1:15">
      <c r="C49" s="88"/>
      <c r="D49" s="88"/>
      <c r="K49" s="87"/>
    </row>
    <row r="50" spans="1:15">
      <c r="C50" s="88"/>
      <c r="D50" s="88"/>
      <c r="K50" s="87"/>
    </row>
    <row r="51" spans="1:15">
      <c r="A51" s="86" t="s">
        <v>1797</v>
      </c>
      <c r="B51" s="86"/>
      <c r="C51" s="87"/>
      <c r="D51" s="88"/>
      <c r="E51" s="88"/>
      <c r="F51" s="341"/>
      <c r="G51" s="341"/>
      <c r="H51" s="342"/>
      <c r="I51" s="341"/>
      <c r="J51" s="341"/>
    </row>
    <row r="52" spans="1:15">
      <c r="A52" s="342"/>
      <c r="B52" s="342"/>
      <c r="C52" s="342"/>
      <c r="D52" s="342"/>
      <c r="E52" s="341"/>
      <c r="F52" s="341"/>
      <c r="G52" s="341"/>
      <c r="H52" s="342"/>
      <c r="I52" s="343" t="s">
        <v>1798</v>
      </c>
      <c r="J52" s="390">
        <v>126137857.15000001</v>
      </c>
    </row>
    <row r="53" spans="1:15">
      <c r="A53" s="342"/>
      <c r="B53" s="342"/>
      <c r="C53" s="342"/>
      <c r="D53" s="342"/>
      <c r="E53" s="341"/>
      <c r="F53" s="341"/>
      <c r="G53" s="341"/>
      <c r="H53" s="342"/>
      <c r="I53" s="341"/>
      <c r="J53" s="341" t="s">
        <v>1499</v>
      </c>
      <c r="L53" s="383" t="s">
        <v>1810</v>
      </c>
    </row>
    <row r="54" spans="1:15">
      <c r="A54" s="384">
        <f>+COUNT(A56:A64)</f>
        <v>7</v>
      </c>
      <c r="B54" s="384"/>
      <c r="C54" s="384" t="s">
        <v>1800</v>
      </c>
      <c r="D54" s="384"/>
      <c r="E54" s="926" t="s">
        <v>1801</v>
      </c>
      <c r="F54" s="926"/>
      <c r="G54" s="926"/>
      <c r="H54" s="926"/>
      <c r="I54" s="926" t="s">
        <v>1802</v>
      </c>
      <c r="J54" s="926"/>
      <c r="K54" s="927" t="s">
        <v>1803</v>
      </c>
      <c r="L54" s="927"/>
      <c r="M54" s="80">
        <f>SUM(M56:M64)</f>
        <v>106.15</v>
      </c>
      <c r="O54" s="231">
        <f>250/2</f>
        <v>125</v>
      </c>
    </row>
    <row r="55" spans="1:15">
      <c r="A55" s="79" t="s">
        <v>1</v>
      </c>
      <c r="B55" s="101" t="s">
        <v>308</v>
      </c>
      <c r="C55" s="102" t="s">
        <v>309</v>
      </c>
      <c r="D55" s="102" t="s">
        <v>1804</v>
      </c>
      <c r="E55" s="345" t="s">
        <v>1805</v>
      </c>
      <c r="F55" s="345" t="s">
        <v>1806</v>
      </c>
      <c r="G55" s="345" t="s">
        <v>316</v>
      </c>
      <c r="H55" s="346" t="s">
        <v>1807</v>
      </c>
      <c r="I55" s="345" t="s">
        <v>316</v>
      </c>
      <c r="J55" s="345" t="s">
        <v>315</v>
      </c>
      <c r="K55" s="345" t="s">
        <v>261</v>
      </c>
      <c r="L55" s="345" t="s">
        <v>262</v>
      </c>
    </row>
    <row r="56" spans="1:15">
      <c r="A56" s="369">
        <f>+IF(B56="","",ROW()-5)</f>
        <v>51</v>
      </c>
      <c r="B56" s="370">
        <v>211717</v>
      </c>
      <c r="C56" s="371" t="str">
        <f>IFERROR(VLOOKUP(B56,TN!$B$8:$T$993,2,FALSE),"")</f>
        <v xml:space="preserve">Í-Õàâòàí /çóçààí-4сì/-ÿðòàé </v>
      </c>
      <c r="D56" s="371" t="str">
        <f>IFERROR(VLOOKUP(B56,TN!$B$8:$T$993,3,FALSE),"")</f>
        <v>м2</v>
      </c>
      <c r="E56" s="372">
        <v>40000</v>
      </c>
      <c r="F56" s="372">
        <v>125</v>
      </c>
      <c r="G56" s="373">
        <f>+IF(E56="","",E56*F56)</f>
        <v>5000000</v>
      </c>
      <c r="H56" s="374">
        <f ca="1">IFERROR(G56/SUM(G56:OFFSET(INDIRECT("g55"),1,0,INDIRECT("a54"),1)),"")</f>
        <v>4.7103155911446065E-2</v>
      </c>
      <c r="I56" s="81">
        <f ca="1">+IF(H56="","",H56*$J$52)</f>
        <v>5941491.1516721621</v>
      </c>
      <c r="J56" s="373">
        <f ca="1">+IF(I56="","",I56/F56)</f>
        <v>47531.929213377298</v>
      </c>
      <c r="K56" s="375">
        <f>IFERROR(VLOOKUP(B56,TN!$B$8:$T$993,19,FALSE),"")</f>
        <v>150101</v>
      </c>
      <c r="L56" s="376">
        <f>+IF(F56="","",140501)</f>
        <v>140501</v>
      </c>
      <c r="M56" s="80">
        <f>+F56/N56</f>
        <v>5</v>
      </c>
      <c r="N56" s="230">
        <f>1/0.04</f>
        <v>25</v>
      </c>
      <c r="O56" s="230">
        <f>IF(N56="","",1000000/N56)</f>
        <v>40000</v>
      </c>
    </row>
    <row r="57" spans="1:15">
      <c r="A57" s="369">
        <f t="shared" ref="A57:A64" si="23">+IF(B57="","",ROW()-5)</f>
        <v>52</v>
      </c>
      <c r="B57" s="370">
        <v>211711</v>
      </c>
      <c r="C57" s="371" t="str">
        <f>IFERROR(VLOOKUP(B57,TN!$B$8:$T$993,2,FALSE),"")</f>
        <v>Н-Хавтан /зузаан-2.6см/</v>
      </c>
      <c r="D57" s="371" t="str">
        <f>IFERROR(VLOOKUP(B57,TN!$B$8:$T$993,3,FALSE),"")</f>
        <v>м2</v>
      </c>
      <c r="E57" s="372">
        <v>26000</v>
      </c>
      <c r="F57" s="372">
        <v>250</v>
      </c>
      <c r="G57" s="373">
        <f t="shared" ref="G57:G60" si="24">+IF(E57="","",E57*F57)</f>
        <v>6500000</v>
      </c>
      <c r="H57" s="374">
        <f ca="1">IFERROR(G57/SUM(G57:OFFSET(INDIRECT("g55"),1,0,INDIRECT("a54"),1)),"")</f>
        <v>6.1234102684879888E-2</v>
      </c>
      <c r="I57" s="81">
        <f t="shared" ref="I57:I62" ca="1" si="25">+IF(H57="","",H57*$J$52)</f>
        <v>7723938.4971738113</v>
      </c>
      <c r="J57" s="373">
        <f t="shared" ref="J57:J62" ca="1" si="26">+IF(I57="","",I57/F57)</f>
        <v>30895.753988695244</v>
      </c>
      <c r="K57" s="375">
        <f>IFERROR(VLOOKUP(B57,TN!$B$8:$T$993,19,FALSE),"")</f>
        <v>150101</v>
      </c>
      <c r="L57" s="376">
        <f t="shared" ref="L57:L62" si="27">+IF(F57="","",140501)</f>
        <v>140501</v>
      </c>
      <c r="M57" s="80">
        <f>+F57/N57</f>
        <v>6.5</v>
      </c>
      <c r="N57" s="230">
        <f>1/0.026</f>
        <v>38.46153846153846</v>
      </c>
      <c r="O57" s="230">
        <f t="shared" ref="O57:O64" si="28">IF(N57="","",1000000/N57)</f>
        <v>26000</v>
      </c>
    </row>
    <row r="58" spans="1:15">
      <c r="A58" s="369">
        <f t="shared" si="23"/>
        <v>53</v>
      </c>
      <c r="B58" s="370">
        <v>211801</v>
      </c>
      <c r="C58" s="371" t="str">
        <f>IFERROR(VLOOKUP(B58,TN!$B$8:$T$993,2,FALSE),"")</f>
        <v>Н-Ембүү /20*30мм/</v>
      </c>
      <c r="D58" s="371" t="str">
        <f>IFERROR(VLOOKUP(B58,TN!$B$8:$T$993,3,FALSE),"")</f>
        <v>м</v>
      </c>
      <c r="E58" s="372">
        <v>600</v>
      </c>
      <c r="F58" s="372">
        <v>4500</v>
      </c>
      <c r="G58" s="373">
        <f t="shared" si="24"/>
        <v>2700000</v>
      </c>
      <c r="H58" s="374">
        <f ca="1">IFERROR(G58/SUM(G58:OFFSET(INDIRECT("g55"),1,0,INDIRECT("a54"),1)),"")</f>
        <v>2.5435704192180875E-2</v>
      </c>
      <c r="I58" s="81">
        <f t="shared" ca="1" si="25"/>
        <v>3208405.2219029674</v>
      </c>
      <c r="J58" s="373">
        <f t="shared" ca="1" si="26"/>
        <v>712.9789382006594</v>
      </c>
      <c r="K58" s="375">
        <f>IFERROR(VLOOKUP(B58,TN!$B$8:$T$993,19,FALSE),"")</f>
        <v>150101</v>
      </c>
      <c r="L58" s="376">
        <f t="shared" si="27"/>
        <v>140501</v>
      </c>
      <c r="M58" s="80">
        <f t="shared" ref="M58" si="29">+F58/N58</f>
        <v>2.6999999999999997</v>
      </c>
      <c r="N58" s="230">
        <f>1/0.02/0.03</f>
        <v>1666.6666666666667</v>
      </c>
      <c r="O58" s="230">
        <f t="shared" si="28"/>
        <v>600</v>
      </c>
    </row>
    <row r="59" spans="1:15">
      <c r="A59" s="369">
        <f t="shared" si="23"/>
        <v>54</v>
      </c>
      <c r="B59" s="370">
        <v>211802</v>
      </c>
      <c r="C59" s="371" t="str">
        <f>IFERROR(VLOOKUP(B59,TN!$B$8:$T$993,2,FALSE),"")</f>
        <v xml:space="preserve">Н-Уголок </v>
      </c>
      <c r="D59" s="371" t="str">
        <f>IFERROR(VLOOKUP(B59,TN!$B$8:$T$993,3,FALSE),"")</f>
        <v>м</v>
      </c>
      <c r="E59" s="377">
        <v>1600</v>
      </c>
      <c r="F59" s="377">
        <v>4500</v>
      </c>
      <c r="G59" s="373">
        <f t="shared" si="24"/>
        <v>7200000</v>
      </c>
      <c r="H59" s="374">
        <f ca="1">IFERROR(G59/SUM(G59:OFFSET(INDIRECT("g55"),1,0,INDIRECT("a54"),1)),"")</f>
        <v>6.7828544512482339E-2</v>
      </c>
      <c r="I59" s="81">
        <f t="shared" ca="1" si="25"/>
        <v>8555747.2584079131</v>
      </c>
      <c r="J59" s="373">
        <f t="shared" ca="1" si="26"/>
        <v>1901.2771685350917</v>
      </c>
      <c r="K59" s="375">
        <f>IFERROR(VLOOKUP(B59,TN!$B$8:$T$993,19,FALSE),"")</f>
        <v>150101</v>
      </c>
      <c r="L59" s="376">
        <f t="shared" si="27"/>
        <v>140501</v>
      </c>
      <c r="M59" s="80">
        <f>+F59/N59</f>
        <v>7.2</v>
      </c>
      <c r="N59" s="230">
        <f>1/0.04/0.04</f>
        <v>625</v>
      </c>
      <c r="O59" s="230">
        <f t="shared" si="28"/>
        <v>1600</v>
      </c>
    </row>
    <row r="60" spans="1:15">
      <c r="A60" s="369">
        <f t="shared" si="23"/>
        <v>55</v>
      </c>
      <c r="B60" s="379">
        <v>211401</v>
      </c>
      <c r="C60" s="387" t="str">
        <f>IFERROR(VLOOKUP(B60,TN!$B$8:$T$993,2,FALSE),"")</f>
        <v xml:space="preserve">Н-Блок Хаус  /4.3*16.5см/-яртай </v>
      </c>
      <c r="D60" s="387" t="str">
        <f>IFERROR(VLOOKUP(B60,TN!$B$8:$T$993,3,FALSE),"")</f>
        <v>м2</v>
      </c>
      <c r="E60" s="388">
        <v>45000</v>
      </c>
      <c r="F60" s="380">
        <v>950</v>
      </c>
      <c r="G60" s="381">
        <f t="shared" si="24"/>
        <v>42750000</v>
      </c>
      <c r="H60" s="374">
        <f ca="1">IFERROR(G60/SUM(G60:OFFSET(INDIRECT("g55"),1,0,INDIRECT("a54"),1)),"")</f>
        <v>0.40273198304286389</v>
      </c>
      <c r="I60" s="81">
        <f t="shared" ca="1" si="25"/>
        <v>50799749.346796989</v>
      </c>
      <c r="J60" s="373">
        <f t="shared" ca="1" si="26"/>
        <v>53473.42036504946</v>
      </c>
      <c r="K60" s="375">
        <f>IFERROR(VLOOKUP(B60,TN!$B$8:$T$993,19,FALSE),"")</f>
        <v>150101</v>
      </c>
      <c r="L60" s="376">
        <f t="shared" si="27"/>
        <v>140501</v>
      </c>
      <c r="M60" s="80">
        <f t="shared" ref="M60:M61" si="30">+F60/N60</f>
        <v>42.75</v>
      </c>
      <c r="N60" s="230">
        <f>1/0.045</f>
        <v>22.222222222222221</v>
      </c>
      <c r="O60" s="230">
        <f t="shared" si="28"/>
        <v>45000</v>
      </c>
    </row>
    <row r="61" spans="1:15">
      <c r="A61" s="369">
        <f t="shared" si="23"/>
        <v>56</v>
      </c>
      <c r="B61" s="376">
        <v>211503</v>
      </c>
      <c r="C61" s="389" t="str">
        <f>IFERROR(VLOOKUP(B61,TN!$B$8:$T$993,2,FALSE),"")</f>
        <v>Н-Евровагонка /зузаан-1.2см/</v>
      </c>
      <c r="D61" s="389" t="str">
        <f>IFERROR(VLOOKUP(B61,TN!$B$8:$T$993,3,FALSE),"")</f>
        <v>м2</v>
      </c>
      <c r="E61" s="386">
        <v>12000</v>
      </c>
      <c r="F61" s="382">
        <v>2500</v>
      </c>
      <c r="G61" s="381">
        <f>+IF(E61="","",E61*F61)</f>
        <v>30000000</v>
      </c>
      <c r="H61" s="374">
        <f ca="1">IFERROR(G61/SUM(G61:OFFSET(INDIRECT("g55"),1,0,INDIRECT("a54"),1)),"")</f>
        <v>0.28261893546867639</v>
      </c>
      <c r="I61" s="81">
        <f t="shared" ca="1" si="25"/>
        <v>35648946.910032973</v>
      </c>
      <c r="J61" s="373">
        <f t="shared" ca="1" si="26"/>
        <v>14259.578764013189</v>
      </c>
      <c r="K61" s="375">
        <f>IFERROR(VLOOKUP(B61,TN!$B$8:$T$993,19,FALSE),"")</f>
        <v>150101</v>
      </c>
      <c r="L61" s="376">
        <f t="shared" si="27"/>
        <v>140501</v>
      </c>
      <c r="M61" s="80">
        <f t="shared" si="30"/>
        <v>30</v>
      </c>
      <c r="N61" s="230">
        <f>1/0.012</f>
        <v>83.333333333333329</v>
      </c>
      <c r="O61" s="230">
        <f t="shared" si="28"/>
        <v>12000</v>
      </c>
    </row>
    <row r="62" spans="1:15">
      <c r="A62" s="369">
        <f t="shared" si="23"/>
        <v>57</v>
      </c>
      <c r="B62" s="376">
        <v>211504</v>
      </c>
      <c r="C62" s="385" t="str">
        <f>IFERROR(VLOOKUP(B62,TN!$B$8:$T$993,2,FALSE),"")</f>
        <v xml:space="preserve">Н-Евровагонка /зузаан-1.2см/-яртай </v>
      </c>
      <c r="D62" s="385" t="str">
        <f>IFERROR(VLOOKUP(B62,TN!$B$8:$T$993,3,FALSE),"")</f>
        <v>м2</v>
      </c>
      <c r="E62" s="382">
        <v>12000</v>
      </c>
      <c r="F62" s="382">
        <v>1000</v>
      </c>
      <c r="G62" s="381">
        <f t="shared" ref="G62:G63" si="31">+IF(E62="","",E62*F62)</f>
        <v>12000000</v>
      </c>
      <c r="H62" s="374">
        <f ca="1">IFERROR(G62/SUM(G62:OFFSET(INDIRECT("g55"),1,0,INDIRECT("a54"),1)),"")</f>
        <v>0.11304757418747056</v>
      </c>
      <c r="I62" s="81">
        <f t="shared" ca="1" si="25"/>
        <v>14259578.76401319</v>
      </c>
      <c r="J62" s="373">
        <f t="shared" ca="1" si="26"/>
        <v>14259.578764013189</v>
      </c>
      <c r="K62" s="375">
        <f>IFERROR(VLOOKUP(B62,TN!$B$8:$T$993,19,FALSE),"")</f>
        <v>150101</v>
      </c>
      <c r="L62" s="376">
        <f t="shared" si="27"/>
        <v>140501</v>
      </c>
      <c r="M62" s="80">
        <f t="shared" ref="M62" si="32">+F62/N62</f>
        <v>12</v>
      </c>
      <c r="N62" s="230">
        <f>1/0.012</f>
        <v>83.333333333333329</v>
      </c>
      <c r="O62" s="230">
        <f t="shared" ref="O62" si="33">IF(N62="","",1000000/N62)</f>
        <v>12000</v>
      </c>
    </row>
    <row r="63" spans="1:15">
      <c r="A63" s="376" t="str">
        <f t="shared" si="23"/>
        <v/>
      </c>
      <c r="B63" s="376"/>
      <c r="C63" s="371" t="str">
        <f>IFERROR(VLOOKUP(B63,TN!$B$8:$T$993,2,FALSE),"")</f>
        <v/>
      </c>
      <c r="D63" s="371" t="str">
        <f>IFERROR(VLOOKUP(B63,TN!$B$8:$T$993,3,FALSE),"")</f>
        <v/>
      </c>
      <c r="E63" s="382"/>
      <c r="F63" s="382"/>
      <c r="G63" s="381" t="str">
        <f t="shared" si="31"/>
        <v/>
      </c>
      <c r="H63" s="374" t="str">
        <f ca="1">IFERROR(G63/SUM(G63:OFFSET(INDIRECT("g5"),1,0,INDIRECT("a4"),1)),"")</f>
        <v/>
      </c>
      <c r="I63" s="164"/>
      <c r="J63" s="373" t="str">
        <f t="shared" ref="J63" si="34">+IF(I13="","",I13/F13)</f>
        <v/>
      </c>
      <c r="K63" s="375" t="str">
        <f>IFERROR(VLOOKUP(B63,TN!$B$8:$T$993,19,FALSE),"")</f>
        <v/>
      </c>
      <c r="L63" s="376"/>
      <c r="M63" s="80"/>
      <c r="O63" s="230" t="str">
        <f t="shared" si="28"/>
        <v/>
      </c>
    </row>
    <row r="64" spans="1:15">
      <c r="A64" s="376" t="str">
        <f t="shared" si="23"/>
        <v/>
      </c>
      <c r="B64" s="376"/>
      <c r="C64" s="371" t="str">
        <f>IFERROR(VLOOKUP(B64,TN!$B$8:$T$993,2,FALSE),"")</f>
        <v/>
      </c>
      <c r="D64" s="371" t="str">
        <f>IFERROR(VLOOKUP(B64,TN!$B$8:$T$993,3,FALSE),"")</f>
        <v/>
      </c>
      <c r="E64" s="382"/>
      <c r="F64" s="382"/>
      <c r="G64" s="381" t="str">
        <f>+IF(E64="","",E64*F64)</f>
        <v/>
      </c>
      <c r="H64" s="374" t="str">
        <f ca="1">IFERROR(G64/SUM(G64:OFFSET(INDIRECT("g5"),1,0,INDIRECT("a4"),1)),"")</f>
        <v/>
      </c>
      <c r="I64" s="164"/>
      <c r="J64" s="373" t="str">
        <f t="shared" ref="J64" si="35">+IF(I64="","",I64/F64)</f>
        <v/>
      </c>
      <c r="K64" s="375" t="str">
        <f>IFERROR(VLOOKUP(B64,TN!$B$8:$T$993,19,FALSE),"")</f>
        <v/>
      </c>
      <c r="L64" s="376" t="str">
        <f t="shared" ref="L64" si="36">+IF(F44="","",140501)</f>
        <v/>
      </c>
      <c r="M64" s="80"/>
      <c r="O64" s="230" t="str">
        <f t="shared" si="28"/>
        <v/>
      </c>
    </row>
    <row r="65" spans="1:16">
      <c r="C65" s="88"/>
      <c r="D65" s="88"/>
      <c r="G65" s="80">
        <f>SUM(G56:G64)</f>
        <v>106150000</v>
      </c>
      <c r="I65" s="80">
        <f ca="1">SUM(I56:I64)</f>
        <v>126137857.15000001</v>
      </c>
      <c r="K65" s="87"/>
      <c r="M65" s="230"/>
    </row>
    <row r="66" spans="1:16">
      <c r="C66" s="88"/>
      <c r="D66" s="88"/>
      <c r="I66" s="80">
        <f ca="1">+I65-J52</f>
        <v>0</v>
      </c>
      <c r="K66" s="87"/>
    </row>
    <row r="67" spans="1:16">
      <c r="C67" s="88"/>
      <c r="D67" s="88"/>
      <c r="G67" s="230"/>
      <c r="H67" s="230"/>
      <c r="K67" s="87"/>
    </row>
    <row r="68" spans="1:16">
      <c r="C68" s="88"/>
      <c r="D68" s="88"/>
      <c r="G68" s="230"/>
      <c r="H68" s="230"/>
      <c r="K68" s="87"/>
    </row>
    <row r="69" spans="1:16">
      <c r="A69" s="86" t="s">
        <v>1797</v>
      </c>
      <c r="B69" s="86"/>
      <c r="C69" s="87"/>
      <c r="D69" s="88"/>
      <c r="E69" s="88"/>
      <c r="F69" s="341"/>
      <c r="G69" s="341"/>
      <c r="H69" s="342"/>
      <c r="I69" s="341"/>
      <c r="J69" s="341"/>
    </row>
    <row r="70" spans="1:16">
      <c r="A70" s="342"/>
      <c r="B70" s="342"/>
      <c r="C70" s="342"/>
      <c r="D70" s="342"/>
      <c r="E70" s="341"/>
      <c r="F70" s="341"/>
      <c r="G70" s="341"/>
      <c r="H70" s="342"/>
      <c r="I70" s="343" t="s">
        <v>1798</v>
      </c>
      <c r="J70" s="574">
        <v>133730918.49927506</v>
      </c>
    </row>
    <row r="71" spans="1:16">
      <c r="A71" s="342"/>
      <c r="B71" s="342"/>
      <c r="C71" s="342"/>
      <c r="D71" s="342"/>
      <c r="E71" s="341"/>
      <c r="F71" s="341"/>
      <c r="G71" s="341"/>
      <c r="H71" s="342"/>
      <c r="I71" s="341"/>
      <c r="J71" s="341" t="s">
        <v>1499</v>
      </c>
      <c r="L71" s="383" t="s">
        <v>2173</v>
      </c>
    </row>
    <row r="72" spans="1:16">
      <c r="A72" s="384">
        <f>+COUNT(A74:A82)</f>
        <v>8</v>
      </c>
      <c r="B72" s="384"/>
      <c r="C72" s="384" t="s">
        <v>1800</v>
      </c>
      <c r="D72" s="384"/>
      <c r="E72" s="926" t="s">
        <v>1801</v>
      </c>
      <c r="F72" s="926"/>
      <c r="G72" s="926"/>
      <c r="H72" s="926"/>
      <c r="I72" s="926" t="s">
        <v>1802</v>
      </c>
      <c r="J72" s="926"/>
      <c r="K72" s="927" t="s">
        <v>1803</v>
      </c>
      <c r="L72" s="927"/>
      <c r="M72" s="80">
        <f>SUM(M74:M82)</f>
        <v>118.5496</v>
      </c>
      <c r="O72" s="231">
        <f>236.96/2</f>
        <v>118.48</v>
      </c>
      <c r="P72" s="80">
        <f>+O72-M72</f>
        <v>-6.9599999999994111E-2</v>
      </c>
    </row>
    <row r="73" spans="1:16">
      <c r="A73" s="79" t="s">
        <v>1</v>
      </c>
      <c r="B73" s="101" t="s">
        <v>308</v>
      </c>
      <c r="C73" s="102" t="s">
        <v>309</v>
      </c>
      <c r="D73" s="102" t="s">
        <v>1804</v>
      </c>
      <c r="E73" s="345" t="s">
        <v>1805</v>
      </c>
      <c r="F73" s="345" t="s">
        <v>1806</v>
      </c>
      <c r="G73" s="345" t="s">
        <v>316</v>
      </c>
      <c r="H73" s="346" t="s">
        <v>1807</v>
      </c>
      <c r="I73" s="345" t="s">
        <v>316</v>
      </c>
      <c r="J73" s="345" t="s">
        <v>315</v>
      </c>
      <c r="K73" s="345" t="s">
        <v>261</v>
      </c>
      <c r="L73" s="345" t="s">
        <v>262</v>
      </c>
    </row>
    <row r="74" spans="1:16">
      <c r="A74" s="369">
        <f>+IF(B74="","",ROW()-5)</f>
        <v>69</v>
      </c>
      <c r="B74" s="359">
        <v>211717</v>
      </c>
      <c r="C74" s="371" t="str">
        <f>IFERROR(VLOOKUP(B74,TN!$B$8:$T$993,2,FALSE),"")</f>
        <v xml:space="preserve">Í-Õàâòàí /çóçààí-4сì/-ÿðòàé </v>
      </c>
      <c r="D74" s="371" t="str">
        <f>IFERROR(VLOOKUP(B74,TN!$B$8:$T$993,3,FALSE),"")</f>
        <v>м2</v>
      </c>
      <c r="E74" s="381">
        <v>40000</v>
      </c>
      <c r="F74" s="381">
        <v>950</v>
      </c>
      <c r="G74" s="373">
        <f>+IF(E74="","",E74*F74)</f>
        <v>38000000</v>
      </c>
      <c r="H74" s="374">
        <f ca="1">IFERROR(G74/SUM(G74:OFFSET(INDIRECT("g73"),1,0,INDIRECT("a72"),1)),"")</f>
        <v>0.32054093813897305</v>
      </c>
      <c r="I74" s="81">
        <f ca="1">+IF(H74="","",H74*$J$70)</f>
        <v>42866234.073944174</v>
      </c>
      <c r="J74" s="373">
        <f ca="1">+IF(I74="","",I74/F74)</f>
        <v>45122.351656783343</v>
      </c>
      <c r="K74" s="375">
        <f>IFERROR(VLOOKUP(B74,TN!$B$8:$T$993,19,FALSE),"")</f>
        <v>150101</v>
      </c>
      <c r="L74" s="376">
        <f>+IF(F74="","",140501)</f>
        <v>140501</v>
      </c>
      <c r="M74" s="80">
        <f>+F74/N74</f>
        <v>38</v>
      </c>
      <c r="N74" s="230">
        <f>1/0.04</f>
        <v>25</v>
      </c>
      <c r="O74" s="230">
        <f>IF(N74="","",1000000/N74)</f>
        <v>40000</v>
      </c>
    </row>
    <row r="75" spans="1:16">
      <c r="A75" s="369">
        <f t="shared" ref="A75:A82" si="37">+IF(B75="","",ROW()-5)</f>
        <v>70</v>
      </c>
      <c r="B75" s="87">
        <v>211803</v>
      </c>
      <c r="C75" s="371" t="str">
        <f>IFERROR(VLOOKUP(B75,TN!$B$8:$T$993,2,FALSE),"")</f>
        <v>Н-Шатны бариул /58*68мм/</v>
      </c>
      <c r="D75" s="371" t="str">
        <f>IFERROR(VLOOKUP(B75,TN!$B$8:$T$993,3,FALSE),"")</f>
        <v>м</v>
      </c>
      <c r="E75" s="381">
        <v>3944</v>
      </c>
      <c r="F75" s="381">
        <v>900</v>
      </c>
      <c r="G75" s="373">
        <f t="shared" ref="G75:G80" si="38">+IF(E75="","",E75*F75)</f>
        <v>3549600</v>
      </c>
      <c r="H75" s="374">
        <f ca="1">IFERROR(G75/SUM(G75:OFFSET(INDIRECT("g73"),1,0,INDIRECT("a72"),1)),"")</f>
        <v>2.9941897737318389E-2</v>
      </c>
      <c r="I75" s="81">
        <f t="shared" ref="I75:I81" ca="1" si="39">+IF(H75="","",H75*$J$70)</f>
        <v>4004157.4860229539</v>
      </c>
      <c r="J75" s="373">
        <f t="shared" ref="J75:J81" ca="1" si="40">+IF(I75="","",I75/F75)</f>
        <v>4449.0638733588376</v>
      </c>
      <c r="K75" s="375">
        <f>IFERROR(VLOOKUP(B75,TN!$B$8:$T$993,19,FALSE),"")</f>
        <v>150101</v>
      </c>
      <c r="L75" s="376">
        <f t="shared" ref="L75:L81" si="41">+IF(F75="","",140501)</f>
        <v>140501</v>
      </c>
      <c r="M75" s="80">
        <f>+F75/N75</f>
        <v>3.5496000000000008</v>
      </c>
      <c r="N75" s="230">
        <f>1/0.058/0.068</f>
        <v>253.54969574036505</v>
      </c>
      <c r="O75" s="230">
        <f t="shared" ref="O75:O82" si="42">IF(N75="","",1000000/N75)</f>
        <v>3944.0000000000009</v>
      </c>
    </row>
    <row r="76" spans="1:16">
      <c r="A76" s="369">
        <f t="shared" si="37"/>
        <v>71</v>
      </c>
      <c r="B76" s="87">
        <v>211804</v>
      </c>
      <c r="C76" s="371" t="str">
        <f>IFERROR(VLOOKUP(B76,TN!$B$8:$T$993,2,FALSE),"")</f>
        <v>Н-Хэлбэртэй плинтус /20*80мм/</v>
      </c>
      <c r="D76" s="371" t="str">
        <f>IFERROR(VLOOKUP(B76,TN!$B$8:$T$993,3,FALSE),"")</f>
        <v>м</v>
      </c>
      <c r="E76" s="381">
        <v>1600</v>
      </c>
      <c r="F76" s="380">
        <v>2500</v>
      </c>
      <c r="G76" s="373">
        <f t="shared" si="38"/>
        <v>4000000</v>
      </c>
      <c r="H76" s="374">
        <f ca="1">IFERROR(G76/SUM(G76:OFFSET(INDIRECT("g73"),1,0,INDIRECT("a72"),1)),"")</f>
        <v>3.3741151383049797E-2</v>
      </c>
      <c r="I76" s="81">
        <f t="shared" ca="1" si="39"/>
        <v>4512235.1656783344</v>
      </c>
      <c r="J76" s="373">
        <f t="shared" ca="1" si="40"/>
        <v>1804.8940662713337</v>
      </c>
      <c r="K76" s="375">
        <f>IFERROR(VLOOKUP(B76,TN!$B$8:$T$993,19,FALSE),"")</f>
        <v>150101</v>
      </c>
      <c r="L76" s="376">
        <f t="shared" si="41"/>
        <v>140501</v>
      </c>
      <c r="M76" s="80">
        <f t="shared" ref="M76" si="43">+F76/N76</f>
        <v>4</v>
      </c>
      <c r="N76" s="230">
        <f>1/0.02/0.08</f>
        <v>625</v>
      </c>
      <c r="O76" s="230">
        <f t="shared" si="42"/>
        <v>1600</v>
      </c>
    </row>
    <row r="77" spans="1:16">
      <c r="A77" s="369">
        <f t="shared" si="37"/>
        <v>72</v>
      </c>
      <c r="B77" s="87">
        <v>211805</v>
      </c>
      <c r="C77" s="371" t="str">
        <f>IFERROR(VLOOKUP(B77,TN!$B$8:$T$993,2,FALSE),"")</f>
        <v>Н-Хагас хэлбэртэй плинтус /20*30мм/</v>
      </c>
      <c r="D77" s="371" t="str">
        <f>IFERROR(VLOOKUP(B77,TN!$B$8:$T$993,3,FALSE),"")</f>
        <v>м</v>
      </c>
      <c r="E77" s="380">
        <v>600</v>
      </c>
      <c r="F77" s="380">
        <v>2500</v>
      </c>
      <c r="G77" s="373">
        <f t="shared" si="38"/>
        <v>1500000</v>
      </c>
      <c r="H77" s="374">
        <f ca="1">IFERROR(G77/SUM(G77:OFFSET(INDIRECT("g73"),1,0,INDIRECT("a72"),1)),"")</f>
        <v>1.2652931768643674E-2</v>
      </c>
      <c r="I77" s="81">
        <f t="shared" ca="1" si="39"/>
        <v>1692088.1871293753</v>
      </c>
      <c r="J77" s="373">
        <f t="shared" ca="1" si="40"/>
        <v>676.83527485175011</v>
      </c>
      <c r="K77" s="375">
        <f>IFERROR(VLOOKUP(B77,TN!$B$8:$T$993,19,FALSE),"")</f>
        <v>150101</v>
      </c>
      <c r="L77" s="376">
        <f t="shared" si="41"/>
        <v>140501</v>
      </c>
      <c r="M77" s="80">
        <f>+F77/N77</f>
        <v>1.5</v>
      </c>
      <c r="N77" s="230">
        <f>1/0.02/0.03</f>
        <v>1666.6666666666667</v>
      </c>
      <c r="O77" s="230">
        <f t="shared" si="42"/>
        <v>600</v>
      </c>
    </row>
    <row r="78" spans="1:16">
      <c r="A78" s="369">
        <f t="shared" si="37"/>
        <v>73</v>
      </c>
      <c r="B78" s="87">
        <v>211806</v>
      </c>
      <c r="C78" s="387" t="str">
        <f>IFERROR(VLOOKUP(B78,TN!$B$8:$T$993,2,FALSE),"")</f>
        <v xml:space="preserve">Н-Сауны шал </v>
      </c>
      <c r="D78" s="387" t="str">
        <f>IFERROR(VLOOKUP(B78,TN!$B$8:$T$993,3,FALSE),"")</f>
        <v>м2</v>
      </c>
      <c r="E78" s="388">
        <v>20000</v>
      </c>
      <c r="F78" s="380">
        <v>500</v>
      </c>
      <c r="G78" s="381">
        <f t="shared" si="38"/>
        <v>10000000</v>
      </c>
      <c r="H78" s="374">
        <f ca="1">IFERROR(G78/SUM(G78:OFFSET(INDIRECT("g73"),1,0,INDIRECT("a72"),1)),"")</f>
        <v>8.4352878457624486E-2</v>
      </c>
      <c r="I78" s="81">
        <f t="shared" ca="1" si="39"/>
        <v>11280587.914195836</v>
      </c>
      <c r="J78" s="373">
        <f t="shared" ca="1" si="40"/>
        <v>22561.175828391672</v>
      </c>
      <c r="K78" s="375">
        <f>IFERROR(VLOOKUP(B78,TN!$B$8:$T$993,19,FALSE),"")</f>
        <v>150101</v>
      </c>
      <c r="L78" s="376">
        <f t="shared" si="41"/>
        <v>140501</v>
      </c>
      <c r="M78" s="80">
        <f t="shared" ref="M78:M81" si="44">+F78/N78</f>
        <v>10</v>
      </c>
      <c r="N78" s="230">
        <f>1/0.02</f>
        <v>50</v>
      </c>
      <c r="O78" s="230">
        <f t="shared" si="42"/>
        <v>20000</v>
      </c>
    </row>
    <row r="79" spans="1:16">
      <c r="A79" s="369">
        <f t="shared" si="37"/>
        <v>74</v>
      </c>
      <c r="B79" s="376">
        <v>211503</v>
      </c>
      <c r="C79" s="389" t="str">
        <f>IFERROR(VLOOKUP(B79,TN!$B$8:$T$993,2,FALSE),"")</f>
        <v>Н-Евровагонка /зузаан-1.2см/</v>
      </c>
      <c r="D79" s="389" t="str">
        <f>IFERROR(VLOOKUP(B79,TN!$B$8:$T$993,3,FALSE),"")</f>
        <v>м2</v>
      </c>
      <c r="E79" s="386">
        <v>12000</v>
      </c>
      <c r="F79" s="382">
        <v>2000</v>
      </c>
      <c r="G79" s="381">
        <f t="shared" si="38"/>
        <v>24000000</v>
      </c>
      <c r="H79" s="374">
        <f ca="1">IFERROR(G79/SUM(G79:OFFSET(INDIRECT("g73"),1,0,INDIRECT("a72"),1)),"")</f>
        <v>0.20244690829829878</v>
      </c>
      <c r="I79" s="81">
        <f t="shared" ca="1" si="39"/>
        <v>27073410.994070005</v>
      </c>
      <c r="J79" s="373">
        <f t="shared" ca="1" si="40"/>
        <v>13536.705497035002</v>
      </c>
      <c r="K79" s="375">
        <f>IFERROR(VLOOKUP(B79,TN!$B$8:$T$993,19,FALSE),"")</f>
        <v>150101</v>
      </c>
      <c r="L79" s="376">
        <f t="shared" si="41"/>
        <v>140501</v>
      </c>
      <c r="M79" s="80">
        <f t="shared" si="44"/>
        <v>24</v>
      </c>
      <c r="N79" s="230">
        <f>1/0.012</f>
        <v>83.333333333333329</v>
      </c>
      <c r="O79" s="230">
        <f t="shared" si="42"/>
        <v>12000</v>
      </c>
    </row>
    <row r="80" spans="1:16">
      <c r="A80" s="369">
        <f t="shared" si="37"/>
        <v>75</v>
      </c>
      <c r="B80" s="376">
        <v>211504</v>
      </c>
      <c r="C80" s="385" t="str">
        <f>IFERROR(VLOOKUP(B80,TN!$B$8:$T$993,2,FALSE),"")</f>
        <v xml:space="preserve">Н-Евровагонка /зузаан-1.2см/-яртай </v>
      </c>
      <c r="D80" s="385" t="str">
        <f>IFERROR(VLOOKUP(B80,TN!$B$8:$T$993,3,FALSE),"")</f>
        <v>м2</v>
      </c>
      <c r="E80" s="382">
        <v>12000</v>
      </c>
      <c r="F80" s="382">
        <v>1500</v>
      </c>
      <c r="G80" s="381">
        <f t="shared" si="38"/>
        <v>18000000</v>
      </c>
      <c r="H80" s="374">
        <f ca="1">IFERROR(G80/SUM(G80:OFFSET(INDIRECT("g73"),1,0,INDIRECT("a72"),1)),"")</f>
        <v>0.15183518122372408</v>
      </c>
      <c r="I80" s="81">
        <f t="shared" ca="1" si="39"/>
        <v>20305058.245552503</v>
      </c>
      <c r="J80" s="373">
        <f t="shared" ca="1" si="40"/>
        <v>13536.705497035002</v>
      </c>
      <c r="K80" s="375">
        <f>IFERROR(VLOOKUP(B80,TN!$B$8:$T$993,19,FALSE),"")</f>
        <v>150101</v>
      </c>
      <c r="L80" s="376">
        <f t="shared" si="41"/>
        <v>140501</v>
      </c>
      <c r="M80" s="80">
        <f t="shared" si="44"/>
        <v>18</v>
      </c>
      <c r="N80" s="230">
        <f>1/0.012</f>
        <v>83.333333333333329</v>
      </c>
      <c r="O80" s="230">
        <f t="shared" si="42"/>
        <v>12000</v>
      </c>
    </row>
    <row r="81" spans="1:15">
      <c r="A81" s="376">
        <f t="shared" si="37"/>
        <v>76</v>
      </c>
      <c r="B81" s="376">
        <v>211712</v>
      </c>
      <c r="C81" s="371" t="str">
        <f>IFERROR(VLOOKUP(B81,TN!$B$8:$T$993,2,FALSE),"")</f>
        <v xml:space="preserve">Н-Хавтан /зузаан-2.6см/-яртай </v>
      </c>
      <c r="D81" s="371" t="str">
        <f>IFERROR(VLOOKUP(B81,TN!$B$8:$T$993,3,FALSE),"")</f>
        <v>м2</v>
      </c>
      <c r="E81" s="382">
        <v>26000</v>
      </c>
      <c r="F81" s="382">
        <v>750</v>
      </c>
      <c r="G81" s="381">
        <f t="shared" ref="G81" si="45">+IF(E81="","",E81*F81)</f>
        <v>19500000</v>
      </c>
      <c r="H81" s="374">
        <f ca="1">IFERROR(G81/SUM(G81:OFFSET(INDIRECT("g73"),1,0,INDIRECT("a72"),1)),"")</f>
        <v>0.16448811299236776</v>
      </c>
      <c r="I81" s="81">
        <f t="shared" ca="1" si="39"/>
        <v>21997146.432681881</v>
      </c>
      <c r="J81" s="373">
        <f t="shared" ca="1" si="40"/>
        <v>29329.528576909175</v>
      </c>
      <c r="K81" s="375">
        <f>IFERROR(VLOOKUP(B81,TN!$B$8:$T$993,19,FALSE),"")</f>
        <v>150101</v>
      </c>
      <c r="L81" s="376">
        <f t="shared" si="41"/>
        <v>140501</v>
      </c>
      <c r="M81" s="80">
        <f t="shared" si="44"/>
        <v>19.5</v>
      </c>
      <c r="N81" s="230">
        <f>1/0.026</f>
        <v>38.46153846153846</v>
      </c>
      <c r="O81" s="230">
        <f>IF(N81="","",1000000/N81)</f>
        <v>26000</v>
      </c>
    </row>
    <row r="82" spans="1:15">
      <c r="A82" s="376" t="str">
        <f t="shared" si="37"/>
        <v/>
      </c>
      <c r="B82" s="376"/>
      <c r="C82" s="371" t="str">
        <f>IFERROR(VLOOKUP(B82,TN!$B$8:$T$993,2,FALSE),"")</f>
        <v/>
      </c>
      <c r="D82" s="371" t="str">
        <f>IFERROR(VLOOKUP(B82,TN!$B$8:$T$993,3,FALSE),"")</f>
        <v/>
      </c>
      <c r="E82" s="382"/>
      <c r="F82" s="382"/>
      <c r="G82" s="381" t="str">
        <f>+IF(E82="","",E82*F82)</f>
        <v/>
      </c>
      <c r="H82" s="374" t="str">
        <f ca="1">IFERROR(G82/SUM(G82:OFFSET(INDIRECT("g5"),1,0,INDIRECT("a4"),1)),"")</f>
        <v/>
      </c>
      <c r="I82" s="164"/>
      <c r="J82" s="373" t="str">
        <f t="shared" ref="J82" si="46">+IF(I82="","",I82/F82)</f>
        <v/>
      </c>
      <c r="K82" s="375" t="str">
        <f>IFERROR(VLOOKUP(B82,TN!$B$8:$T$993,19,FALSE),"")</f>
        <v/>
      </c>
      <c r="L82" s="376">
        <f>+IF(F62="","",140501)</f>
        <v>140501</v>
      </c>
      <c r="M82" s="80"/>
      <c r="O82" s="230" t="str">
        <f t="shared" si="42"/>
        <v/>
      </c>
    </row>
    <row r="83" spans="1:15">
      <c r="C83" s="88"/>
      <c r="D83" s="88"/>
      <c r="G83" s="80">
        <f>SUM(G74:G82)</f>
        <v>118549600</v>
      </c>
      <c r="I83" s="80">
        <f ca="1">SUM(I74:I82)</f>
        <v>133730918.49927509</v>
      </c>
      <c r="K83" s="87"/>
      <c r="M83" s="230"/>
    </row>
    <row r="84" spans="1:15">
      <c r="C84" s="88"/>
      <c r="D84" s="88"/>
      <c r="I84" s="80">
        <f ca="1">+J70-I83</f>
        <v>0</v>
      </c>
      <c r="K84" s="87"/>
    </row>
    <row r="85" spans="1:15">
      <c r="C85" s="88"/>
      <c r="D85" s="88"/>
      <c r="K85" s="87"/>
    </row>
    <row r="86" spans="1:15">
      <c r="C86" s="88"/>
      <c r="D86" s="88"/>
      <c r="K86" s="87"/>
    </row>
    <row r="87" spans="1:15">
      <c r="C87" s="88"/>
      <c r="D87" s="88"/>
      <c r="K87" s="87"/>
    </row>
    <row r="88" spans="1:15">
      <c r="C88" s="88"/>
      <c r="D88" s="88"/>
      <c r="K88" s="87"/>
    </row>
    <row r="89" spans="1:15">
      <c r="C89" s="88"/>
      <c r="D89" s="88"/>
      <c r="K89" s="87"/>
    </row>
    <row r="90" spans="1:15">
      <c r="C90" s="88"/>
      <c r="D90" s="88"/>
      <c r="K90" s="87"/>
    </row>
    <row r="91" spans="1:15">
      <c r="C91" s="88"/>
      <c r="D91" s="88"/>
      <c r="K91" s="87"/>
    </row>
    <row r="92" spans="1:15">
      <c r="C92" s="88"/>
      <c r="D92" s="88"/>
      <c r="K92" s="87"/>
    </row>
    <row r="93" spans="1:15">
      <c r="C93" s="88"/>
      <c r="D93" s="88"/>
      <c r="K93" s="87"/>
    </row>
    <row r="94" spans="1:15">
      <c r="C94" s="88"/>
      <c r="D94" s="88"/>
      <c r="K94" s="87"/>
    </row>
    <row r="95" spans="1:15">
      <c r="C95" s="88"/>
      <c r="D95" s="88"/>
      <c r="K95" s="87"/>
    </row>
    <row r="96" spans="1:15">
      <c r="C96" s="88"/>
      <c r="D96" s="88"/>
      <c r="K96" s="87"/>
    </row>
    <row r="97" spans="3:11">
      <c r="C97" s="88"/>
      <c r="D97" s="88"/>
      <c r="K97" s="87"/>
    </row>
    <row r="98" spans="3:11">
      <c r="C98" s="88"/>
      <c r="D98" s="88"/>
      <c r="K98" s="87"/>
    </row>
    <row r="99" spans="3:11">
      <c r="C99" s="88"/>
      <c r="D99" s="88"/>
      <c r="K99" s="87"/>
    </row>
    <row r="100" spans="3:11">
      <c r="C100" s="88"/>
      <c r="D100" s="88"/>
      <c r="K100" s="87"/>
    </row>
    <row r="101" spans="3:11">
      <c r="C101" s="88"/>
      <c r="D101" s="88"/>
      <c r="K101" s="87"/>
    </row>
    <row r="102" spans="3:11">
      <c r="C102" s="88"/>
      <c r="D102" s="88"/>
      <c r="K102" s="87"/>
    </row>
    <row r="103" spans="3:11">
      <c r="C103" s="88"/>
      <c r="D103" s="88"/>
      <c r="K103" s="87"/>
    </row>
    <row r="104" spans="3:11">
      <c r="C104" s="88"/>
      <c r="D104" s="88"/>
      <c r="K104" s="87"/>
    </row>
    <row r="105" spans="3:11">
      <c r="C105" s="88"/>
      <c r="D105" s="88"/>
      <c r="K105" s="87"/>
    </row>
    <row r="106" spans="3:11">
      <c r="C106" s="88"/>
      <c r="D106" s="88"/>
      <c r="K106" s="87"/>
    </row>
    <row r="107" spans="3:11">
      <c r="C107" s="88"/>
      <c r="D107" s="88"/>
      <c r="K107" s="87"/>
    </row>
    <row r="108" spans="3:11">
      <c r="C108" s="88"/>
      <c r="D108" s="88"/>
      <c r="K108" s="87"/>
    </row>
    <row r="109" spans="3:11">
      <c r="C109" s="88"/>
      <c r="D109" s="88"/>
      <c r="K109" s="87"/>
    </row>
    <row r="110" spans="3:11">
      <c r="C110" s="88"/>
      <c r="D110" s="88"/>
      <c r="K110" s="87"/>
    </row>
    <row r="111" spans="3:11">
      <c r="C111" s="88"/>
      <c r="D111" s="88"/>
      <c r="K111" s="87"/>
    </row>
    <row r="112" spans="3:11">
      <c r="C112" s="88"/>
      <c r="D112" s="88"/>
      <c r="K112" s="87"/>
    </row>
    <row r="113" spans="3:11">
      <c r="C113" s="88"/>
      <c r="D113" s="88"/>
      <c r="K113" s="87"/>
    </row>
    <row r="114" spans="3:11">
      <c r="C114" s="88"/>
      <c r="D114" s="88"/>
      <c r="K114" s="87"/>
    </row>
    <row r="115" spans="3:11">
      <c r="C115" s="88"/>
      <c r="D115" s="88"/>
      <c r="K115" s="87"/>
    </row>
    <row r="116" spans="3:11">
      <c r="C116" s="88"/>
      <c r="D116" s="88"/>
      <c r="K116" s="87"/>
    </row>
    <row r="117" spans="3:11">
      <c r="C117" s="88"/>
      <c r="D117" s="88"/>
      <c r="K117" s="87"/>
    </row>
    <row r="118" spans="3:11">
      <c r="C118" s="88"/>
      <c r="D118" s="88"/>
      <c r="K118" s="87"/>
    </row>
    <row r="119" spans="3:11">
      <c r="C119" s="88"/>
      <c r="D119" s="88"/>
      <c r="K119" s="87"/>
    </row>
    <row r="120" spans="3:11">
      <c r="C120" s="88"/>
      <c r="D120" s="88"/>
      <c r="K120" s="87"/>
    </row>
    <row r="121" spans="3:11">
      <c r="C121" s="88"/>
      <c r="D121" s="88"/>
      <c r="K121" s="87"/>
    </row>
    <row r="122" spans="3:11">
      <c r="C122" s="88"/>
      <c r="D122" s="88"/>
      <c r="K122" s="87"/>
    </row>
    <row r="123" spans="3:11">
      <c r="C123" s="88"/>
      <c r="D123" s="88"/>
      <c r="K123" s="87"/>
    </row>
    <row r="124" spans="3:11">
      <c r="C124" s="88"/>
      <c r="D124" s="88"/>
      <c r="K124" s="87"/>
    </row>
    <row r="125" spans="3:11">
      <c r="C125" s="88"/>
      <c r="D125" s="88"/>
      <c r="K125" s="87"/>
    </row>
    <row r="126" spans="3:11">
      <c r="C126" s="88"/>
      <c r="D126" s="88"/>
      <c r="K126" s="87"/>
    </row>
    <row r="127" spans="3:11">
      <c r="C127" s="88"/>
      <c r="D127" s="88"/>
      <c r="K127" s="87"/>
    </row>
    <row r="128" spans="3:11">
      <c r="C128" s="88"/>
      <c r="D128" s="88"/>
      <c r="K128" s="87"/>
    </row>
    <row r="129" spans="3:11">
      <c r="C129" s="88"/>
      <c r="D129" s="88"/>
      <c r="K129" s="87"/>
    </row>
    <row r="130" spans="3:11">
      <c r="C130" s="88"/>
      <c r="D130" s="88"/>
      <c r="K130" s="87"/>
    </row>
    <row r="131" spans="3:11">
      <c r="C131" s="88"/>
      <c r="D131" s="88"/>
      <c r="K131" s="87"/>
    </row>
    <row r="132" spans="3:11">
      <c r="C132" s="88"/>
      <c r="D132" s="88"/>
      <c r="K132" s="87"/>
    </row>
    <row r="133" spans="3:11">
      <c r="C133" s="88"/>
      <c r="D133" s="88"/>
      <c r="K133" s="87"/>
    </row>
    <row r="134" spans="3:11">
      <c r="C134" s="88"/>
      <c r="D134" s="88"/>
      <c r="K134" s="87"/>
    </row>
    <row r="135" spans="3:11">
      <c r="C135" s="88"/>
      <c r="D135" s="88"/>
      <c r="K135" s="87"/>
    </row>
    <row r="136" spans="3:11">
      <c r="C136" s="88"/>
      <c r="D136" s="88"/>
      <c r="K136" s="87"/>
    </row>
    <row r="137" spans="3:11">
      <c r="C137" s="88"/>
      <c r="D137" s="88"/>
      <c r="K137" s="87"/>
    </row>
    <row r="138" spans="3:11">
      <c r="C138" s="88"/>
      <c r="D138" s="88"/>
      <c r="K138" s="87"/>
    </row>
    <row r="139" spans="3:11">
      <c r="C139" s="88"/>
      <c r="D139" s="88"/>
      <c r="K139" s="87"/>
    </row>
    <row r="140" spans="3:11">
      <c r="C140" s="88"/>
      <c r="D140" s="88"/>
      <c r="K140" s="87"/>
    </row>
    <row r="141" spans="3:11">
      <c r="C141" s="88"/>
      <c r="D141" s="88"/>
      <c r="K141" s="87"/>
    </row>
    <row r="142" spans="3:11">
      <c r="C142" s="88"/>
      <c r="D142" s="88"/>
      <c r="K142" s="87"/>
    </row>
    <row r="143" spans="3:11">
      <c r="C143" s="88"/>
      <c r="D143" s="88"/>
      <c r="K143" s="87"/>
    </row>
    <row r="144" spans="3:11">
      <c r="C144" s="88"/>
      <c r="D144" s="88"/>
      <c r="K144" s="87"/>
    </row>
    <row r="145" spans="3:11">
      <c r="C145" s="88"/>
      <c r="D145" s="88"/>
      <c r="K145" s="87"/>
    </row>
    <row r="146" spans="3:11">
      <c r="C146" s="88"/>
      <c r="D146" s="88"/>
      <c r="K146" s="87"/>
    </row>
    <row r="147" spans="3:11">
      <c r="C147" s="88"/>
      <c r="D147" s="88"/>
      <c r="K147" s="87"/>
    </row>
    <row r="148" spans="3:11">
      <c r="C148" s="88"/>
      <c r="D148" s="88"/>
      <c r="K148" s="87"/>
    </row>
    <row r="149" spans="3:11">
      <c r="C149" s="88"/>
      <c r="D149" s="88"/>
      <c r="K149" s="87"/>
    </row>
    <row r="150" spans="3:11">
      <c r="C150" s="88"/>
      <c r="D150" s="88"/>
      <c r="K150" s="87"/>
    </row>
    <row r="151" spans="3:11">
      <c r="C151" s="88"/>
      <c r="D151" s="88"/>
      <c r="K151" s="87"/>
    </row>
    <row r="152" spans="3:11">
      <c r="C152" s="88"/>
      <c r="D152" s="88"/>
      <c r="K152" s="87"/>
    </row>
    <row r="153" spans="3:11">
      <c r="C153" s="88"/>
      <c r="D153" s="88"/>
      <c r="K153" s="87"/>
    </row>
    <row r="154" spans="3:11">
      <c r="C154" s="88"/>
      <c r="D154" s="88"/>
      <c r="K154" s="87"/>
    </row>
    <row r="155" spans="3:11">
      <c r="C155" s="88"/>
      <c r="D155" s="88"/>
      <c r="K155" s="87"/>
    </row>
    <row r="156" spans="3:11">
      <c r="C156" s="88"/>
      <c r="D156" s="88"/>
      <c r="K156" s="87"/>
    </row>
    <row r="157" spans="3:11">
      <c r="C157" s="88"/>
      <c r="D157" s="88"/>
      <c r="K157" s="87"/>
    </row>
    <row r="158" spans="3:11">
      <c r="C158" s="88"/>
      <c r="D158" s="88"/>
      <c r="K158" s="87"/>
    </row>
    <row r="159" spans="3:11">
      <c r="C159" s="88"/>
      <c r="D159" s="88"/>
      <c r="K159" s="87"/>
    </row>
    <row r="160" spans="3:11">
      <c r="C160" s="88"/>
      <c r="D160" s="88"/>
      <c r="K160" s="87"/>
    </row>
    <row r="161" spans="3:11">
      <c r="C161" s="88"/>
      <c r="D161" s="88"/>
      <c r="K161" s="87"/>
    </row>
    <row r="162" spans="3:11">
      <c r="C162" s="88"/>
      <c r="D162" s="88"/>
      <c r="K162" s="87"/>
    </row>
    <row r="163" spans="3:11">
      <c r="C163" s="88"/>
      <c r="D163" s="88"/>
      <c r="K163" s="87"/>
    </row>
    <row r="164" spans="3:11">
      <c r="C164" s="88"/>
      <c r="D164" s="88"/>
      <c r="K164" s="87"/>
    </row>
    <row r="165" spans="3:11">
      <c r="C165" s="88"/>
      <c r="D165" s="88"/>
      <c r="K165" s="87"/>
    </row>
    <row r="166" spans="3:11">
      <c r="C166" s="88"/>
      <c r="D166" s="88"/>
      <c r="K166" s="87"/>
    </row>
    <row r="167" spans="3:11">
      <c r="C167" s="88"/>
      <c r="D167" s="88"/>
      <c r="K167" s="87"/>
    </row>
    <row r="168" spans="3:11">
      <c r="C168" s="88"/>
      <c r="D168" s="88"/>
      <c r="K168" s="87"/>
    </row>
    <row r="169" spans="3:11">
      <c r="C169" s="88"/>
      <c r="D169" s="88"/>
      <c r="K169" s="87"/>
    </row>
    <row r="170" spans="3:11">
      <c r="C170" s="88"/>
      <c r="D170" s="88"/>
      <c r="K170" s="87"/>
    </row>
    <row r="171" spans="3:11">
      <c r="C171" s="88"/>
      <c r="D171" s="88"/>
      <c r="K171" s="87"/>
    </row>
    <row r="172" spans="3:11">
      <c r="C172" s="88"/>
      <c r="D172" s="88"/>
      <c r="K172" s="87"/>
    </row>
    <row r="173" spans="3:11">
      <c r="C173" s="88"/>
      <c r="D173" s="88"/>
      <c r="K173" s="87"/>
    </row>
    <row r="174" spans="3:11">
      <c r="C174" s="88"/>
      <c r="D174" s="88"/>
      <c r="K174" s="87"/>
    </row>
    <row r="175" spans="3:11">
      <c r="C175" s="88"/>
      <c r="D175" s="88"/>
      <c r="K175" s="87"/>
    </row>
    <row r="176" spans="3:11">
      <c r="C176" s="88"/>
      <c r="D176" s="88"/>
      <c r="K176" s="87"/>
    </row>
    <row r="177" spans="3:11">
      <c r="C177" s="88"/>
      <c r="D177" s="88"/>
      <c r="K177" s="87"/>
    </row>
    <row r="178" spans="3:11">
      <c r="C178" s="88"/>
      <c r="D178" s="88"/>
      <c r="K178" s="87"/>
    </row>
    <row r="179" spans="3:11">
      <c r="C179" s="88"/>
      <c r="D179" s="88"/>
      <c r="K179" s="87"/>
    </row>
    <row r="180" spans="3:11">
      <c r="C180" s="88"/>
      <c r="D180" s="88"/>
      <c r="K180" s="87"/>
    </row>
    <row r="181" spans="3:11">
      <c r="C181" s="88"/>
      <c r="D181" s="88"/>
      <c r="K181" s="87"/>
    </row>
    <row r="182" spans="3:11">
      <c r="C182" s="88"/>
      <c r="D182" s="88"/>
      <c r="K182" s="87"/>
    </row>
    <row r="183" spans="3:11">
      <c r="C183" s="88"/>
      <c r="D183" s="88"/>
      <c r="K183" s="87"/>
    </row>
    <row r="184" spans="3:11">
      <c r="C184" s="88"/>
      <c r="D184" s="88"/>
      <c r="K184" s="87"/>
    </row>
    <row r="185" spans="3:11">
      <c r="C185" s="88"/>
      <c r="D185" s="88"/>
      <c r="K185" s="87"/>
    </row>
    <row r="186" spans="3:11">
      <c r="C186" s="88"/>
      <c r="D186" s="88"/>
      <c r="K186" s="87"/>
    </row>
    <row r="187" spans="3:11">
      <c r="C187" s="88"/>
      <c r="D187" s="88"/>
      <c r="K187" s="87"/>
    </row>
    <row r="188" spans="3:11">
      <c r="C188" s="88"/>
      <c r="D188" s="88"/>
      <c r="K188" s="87"/>
    </row>
    <row r="189" spans="3:11">
      <c r="C189" s="88"/>
      <c r="D189" s="88"/>
      <c r="K189" s="87"/>
    </row>
    <row r="190" spans="3:11">
      <c r="C190" s="88"/>
      <c r="D190" s="88"/>
      <c r="K190" s="87"/>
    </row>
    <row r="191" spans="3:11">
      <c r="C191" s="88"/>
      <c r="D191" s="88"/>
      <c r="K191" s="87"/>
    </row>
    <row r="192" spans="3:11">
      <c r="C192" s="88"/>
      <c r="D192" s="88"/>
      <c r="K192" s="87"/>
    </row>
    <row r="193" spans="3:11">
      <c r="C193" s="88"/>
      <c r="D193" s="88"/>
      <c r="K193" s="87"/>
    </row>
    <row r="194" spans="3:11">
      <c r="C194" s="88"/>
      <c r="D194" s="88"/>
      <c r="K194" s="87"/>
    </row>
    <row r="195" spans="3:11">
      <c r="C195" s="88"/>
      <c r="D195" s="88"/>
      <c r="K195" s="87"/>
    </row>
    <row r="196" spans="3:11">
      <c r="C196" s="88"/>
      <c r="D196" s="88"/>
      <c r="K196" s="87"/>
    </row>
    <row r="197" spans="3:11">
      <c r="C197" s="88"/>
      <c r="D197" s="88"/>
      <c r="K197" s="87"/>
    </row>
    <row r="198" spans="3:11">
      <c r="C198" s="88"/>
      <c r="D198" s="88"/>
      <c r="K198" s="87"/>
    </row>
    <row r="199" spans="3:11">
      <c r="C199" s="88"/>
      <c r="D199" s="88"/>
      <c r="K199" s="87"/>
    </row>
    <row r="200" spans="3:11">
      <c r="C200" s="88"/>
      <c r="D200" s="88"/>
      <c r="K200" s="87"/>
    </row>
    <row r="201" spans="3:11">
      <c r="C201" s="88"/>
      <c r="D201" s="88"/>
      <c r="K201" s="87"/>
    </row>
    <row r="202" spans="3:11">
      <c r="C202" s="88"/>
      <c r="D202" s="88"/>
      <c r="K202" s="87"/>
    </row>
    <row r="203" spans="3:11">
      <c r="C203" s="88"/>
      <c r="D203" s="88"/>
      <c r="K203" s="87"/>
    </row>
    <row r="204" spans="3:11">
      <c r="C204" s="88"/>
      <c r="D204" s="88"/>
      <c r="K204" s="87"/>
    </row>
    <row r="205" spans="3:11">
      <c r="C205" s="88"/>
      <c r="D205" s="88"/>
      <c r="K205" s="87"/>
    </row>
    <row r="206" spans="3:11">
      <c r="C206" s="88"/>
      <c r="D206" s="88"/>
      <c r="K206" s="87"/>
    </row>
    <row r="207" spans="3:11">
      <c r="C207" s="88"/>
      <c r="D207" s="88"/>
      <c r="K207" s="87"/>
    </row>
    <row r="208" spans="3:11">
      <c r="C208" s="88"/>
      <c r="D208" s="88"/>
      <c r="K208" s="87"/>
    </row>
    <row r="209" spans="3:11">
      <c r="C209" s="88"/>
      <c r="D209" s="88"/>
      <c r="K209" s="87"/>
    </row>
    <row r="210" spans="3:11">
      <c r="C210" s="88"/>
      <c r="D210" s="88"/>
      <c r="K210" s="87"/>
    </row>
    <row r="211" spans="3:11">
      <c r="C211" s="88"/>
      <c r="D211" s="88"/>
      <c r="K211" s="87"/>
    </row>
    <row r="212" spans="3:11">
      <c r="C212" s="88"/>
      <c r="D212" s="88"/>
      <c r="K212" s="87"/>
    </row>
    <row r="213" spans="3:11">
      <c r="C213" s="88"/>
      <c r="D213" s="88"/>
      <c r="K213" s="87"/>
    </row>
    <row r="214" spans="3:11">
      <c r="C214" s="88"/>
      <c r="D214" s="88"/>
      <c r="K214" s="87"/>
    </row>
    <row r="215" spans="3:11">
      <c r="C215" s="88"/>
      <c r="D215" s="88"/>
      <c r="K215" s="87"/>
    </row>
    <row r="216" spans="3:11">
      <c r="C216" s="88"/>
      <c r="D216" s="88"/>
      <c r="K216" s="87"/>
    </row>
    <row r="217" spans="3:11">
      <c r="C217" s="88"/>
      <c r="D217" s="88"/>
      <c r="K217" s="87"/>
    </row>
    <row r="218" spans="3:11">
      <c r="C218" s="88"/>
      <c r="D218" s="88"/>
      <c r="K218" s="87"/>
    </row>
    <row r="219" spans="3:11">
      <c r="K219" s="87"/>
    </row>
    <row r="220" spans="3:11">
      <c r="K220" s="87"/>
    </row>
    <row r="221" spans="3:11">
      <c r="K221" s="87"/>
    </row>
    <row r="222" spans="3:11">
      <c r="K222" s="87"/>
    </row>
    <row r="223" spans="3:11">
      <c r="K223" s="87"/>
    </row>
    <row r="224" spans="3:11">
      <c r="K224" s="87"/>
    </row>
    <row r="225" spans="11:11">
      <c r="K225" s="87"/>
    </row>
    <row r="226" spans="11:11">
      <c r="K226" s="87"/>
    </row>
    <row r="227" spans="11:11">
      <c r="K227" s="87"/>
    </row>
    <row r="228" spans="11:11">
      <c r="K228" s="87"/>
    </row>
    <row r="229" spans="11:11">
      <c r="K229" s="87"/>
    </row>
    <row r="230" spans="11:11">
      <c r="K230" s="87"/>
    </row>
    <row r="231" spans="11:11">
      <c r="K231" s="87"/>
    </row>
    <row r="232" spans="11:11">
      <c r="K232" s="87"/>
    </row>
    <row r="233" spans="11:11">
      <c r="K233" s="87"/>
    </row>
    <row r="234" spans="11:11">
      <c r="K234" s="87"/>
    </row>
    <row r="235" spans="11:11">
      <c r="K235" s="87"/>
    </row>
    <row r="236" spans="11:11">
      <c r="K236" s="87"/>
    </row>
    <row r="237" spans="11:11">
      <c r="K237" s="87"/>
    </row>
    <row r="238" spans="11:11">
      <c r="K238" s="87"/>
    </row>
    <row r="239" spans="11:11">
      <c r="K239" s="87"/>
    </row>
    <row r="240" spans="11:11">
      <c r="K240" s="87"/>
    </row>
    <row r="241" spans="11:11">
      <c r="K241" s="87"/>
    </row>
    <row r="242" spans="11:11">
      <c r="K242" s="87"/>
    </row>
    <row r="243" spans="11:11">
      <c r="K243" s="87"/>
    </row>
    <row r="244" spans="11:11">
      <c r="K244" s="87"/>
    </row>
    <row r="245" spans="11:11">
      <c r="K245" s="87"/>
    </row>
    <row r="246" spans="11:11">
      <c r="K246" s="87"/>
    </row>
    <row r="247" spans="11:11">
      <c r="K247" s="87"/>
    </row>
    <row r="248" spans="11:11">
      <c r="K248" s="87"/>
    </row>
    <row r="249" spans="11:11">
      <c r="K249" s="87"/>
    </row>
    <row r="250" spans="11:11">
      <c r="K250" s="87"/>
    </row>
    <row r="251" spans="11:11">
      <c r="K251" s="87"/>
    </row>
    <row r="252" spans="11:11">
      <c r="K252" s="87"/>
    </row>
    <row r="253" spans="11:11">
      <c r="K253" s="87"/>
    </row>
    <row r="254" spans="11:11">
      <c r="K254" s="87"/>
    </row>
    <row r="255" spans="11:11">
      <c r="K255" s="87"/>
    </row>
    <row r="256" spans="11:11">
      <c r="K256" s="87"/>
    </row>
    <row r="257" spans="11:11">
      <c r="K257" s="87"/>
    </row>
    <row r="258" spans="11:11">
      <c r="K258" s="87"/>
    </row>
    <row r="259" spans="11:11">
      <c r="K259" s="87"/>
    </row>
    <row r="260" spans="11:11">
      <c r="K260" s="87"/>
    </row>
    <row r="261" spans="11:11">
      <c r="K261" s="87"/>
    </row>
    <row r="262" spans="11:11">
      <c r="K262" s="87"/>
    </row>
    <row r="263" spans="11:11">
      <c r="K263" s="87"/>
    </row>
    <row r="264" spans="11:11">
      <c r="K264" s="87"/>
    </row>
    <row r="265" spans="11:11">
      <c r="K265" s="87"/>
    </row>
    <row r="266" spans="11:11">
      <c r="K266" s="87"/>
    </row>
    <row r="267" spans="11:11">
      <c r="K267" s="87"/>
    </row>
    <row r="268" spans="11:11">
      <c r="K268" s="87"/>
    </row>
    <row r="269" spans="11:11">
      <c r="K269" s="87"/>
    </row>
    <row r="270" spans="11:11">
      <c r="K270" s="87"/>
    </row>
    <row r="271" spans="11:11">
      <c r="K271" s="87"/>
    </row>
    <row r="272" spans="11:11">
      <c r="K272" s="87"/>
    </row>
    <row r="273" spans="11:11">
      <c r="K273" s="87"/>
    </row>
    <row r="274" spans="11:11">
      <c r="K274" s="87"/>
    </row>
    <row r="275" spans="11:11">
      <c r="K275" s="87"/>
    </row>
    <row r="276" spans="11:11">
      <c r="K276" s="87"/>
    </row>
    <row r="277" spans="11:11">
      <c r="K277" s="87"/>
    </row>
    <row r="278" spans="11:11">
      <c r="K278" s="87"/>
    </row>
    <row r="279" spans="11:11">
      <c r="K279" s="87"/>
    </row>
    <row r="280" spans="11:11">
      <c r="K280" s="87"/>
    </row>
    <row r="281" spans="11:11">
      <c r="K281" s="87"/>
    </row>
    <row r="282" spans="11:11">
      <c r="K282" s="87"/>
    </row>
    <row r="283" spans="11:11">
      <c r="K283" s="87"/>
    </row>
    <row r="284" spans="11:11">
      <c r="K284" s="87"/>
    </row>
    <row r="285" spans="11:11">
      <c r="K285" s="87"/>
    </row>
    <row r="286" spans="11:11">
      <c r="K286" s="87"/>
    </row>
    <row r="287" spans="11:11">
      <c r="K287" s="87"/>
    </row>
    <row r="288" spans="11:11">
      <c r="K288" s="87"/>
    </row>
    <row r="289" spans="11:11">
      <c r="K289" s="87"/>
    </row>
    <row r="290" spans="11:11">
      <c r="K290" s="87"/>
    </row>
    <row r="291" spans="11:11">
      <c r="K291" s="87"/>
    </row>
    <row r="292" spans="11:11">
      <c r="K292" s="87"/>
    </row>
    <row r="293" spans="11:11">
      <c r="K293" s="87"/>
    </row>
    <row r="294" spans="11:11">
      <c r="K294" s="87"/>
    </row>
    <row r="295" spans="11:11">
      <c r="K295" s="87"/>
    </row>
    <row r="296" spans="11:11">
      <c r="K296" s="87"/>
    </row>
    <row r="297" spans="11:11">
      <c r="K297" s="87"/>
    </row>
    <row r="298" spans="11:11">
      <c r="K298" s="87"/>
    </row>
    <row r="299" spans="11:11">
      <c r="K299" s="87"/>
    </row>
    <row r="300" spans="11:11">
      <c r="K300" s="87"/>
    </row>
    <row r="301" spans="11:11">
      <c r="K301" s="87"/>
    </row>
    <row r="302" spans="11:11">
      <c r="K302" s="87"/>
    </row>
    <row r="303" spans="11:11">
      <c r="K303" s="87"/>
    </row>
    <row r="304" spans="11:11">
      <c r="K304" s="87"/>
    </row>
    <row r="305" spans="11:11">
      <c r="K305" s="87"/>
    </row>
    <row r="306" spans="11:11">
      <c r="K306" s="87"/>
    </row>
    <row r="307" spans="11:11">
      <c r="K307" s="87"/>
    </row>
    <row r="308" spans="11:11">
      <c r="K308" s="87"/>
    </row>
    <row r="309" spans="11:11">
      <c r="K309" s="87"/>
    </row>
    <row r="310" spans="11:11">
      <c r="K310" s="87"/>
    </row>
    <row r="311" spans="11:11">
      <c r="K311" s="87"/>
    </row>
    <row r="312" spans="11:11">
      <c r="K312" s="87"/>
    </row>
    <row r="313" spans="11:11">
      <c r="K313" s="87"/>
    </row>
    <row r="314" spans="11:11">
      <c r="K314" s="87"/>
    </row>
    <row r="315" spans="11:11">
      <c r="K315" s="87"/>
    </row>
    <row r="316" spans="11:11">
      <c r="K316" s="87"/>
    </row>
    <row r="317" spans="11:11">
      <c r="K317" s="87"/>
    </row>
    <row r="318" spans="11:11">
      <c r="K318" s="87"/>
    </row>
    <row r="319" spans="11:11">
      <c r="K319" s="87"/>
    </row>
    <row r="320" spans="11:11">
      <c r="K320" s="87"/>
    </row>
    <row r="321" spans="11:11">
      <c r="K321" s="87"/>
    </row>
    <row r="322" spans="11:11">
      <c r="K322" s="87"/>
    </row>
    <row r="323" spans="11:11">
      <c r="K323" s="87"/>
    </row>
    <row r="324" spans="11:11">
      <c r="K324" s="87"/>
    </row>
    <row r="325" spans="11:11">
      <c r="K325" s="87"/>
    </row>
    <row r="326" spans="11:11">
      <c r="K326" s="87"/>
    </row>
    <row r="327" spans="11:11">
      <c r="K327" s="87"/>
    </row>
    <row r="328" spans="11:11">
      <c r="K328" s="87"/>
    </row>
    <row r="329" spans="11:11">
      <c r="K329" s="87"/>
    </row>
    <row r="330" spans="11:11">
      <c r="K330" s="87"/>
    </row>
    <row r="331" spans="11:11">
      <c r="K331" s="87"/>
    </row>
    <row r="332" spans="11:11">
      <c r="K332" s="87"/>
    </row>
    <row r="333" spans="11:11">
      <c r="K333" s="87"/>
    </row>
    <row r="334" spans="11:11">
      <c r="K334" s="87"/>
    </row>
    <row r="335" spans="11:11">
      <c r="K335" s="87"/>
    </row>
    <row r="336" spans="11:11">
      <c r="K336" s="87"/>
    </row>
    <row r="337" spans="11:11">
      <c r="K337" s="87"/>
    </row>
    <row r="338" spans="11:11">
      <c r="K338" s="87"/>
    </row>
    <row r="339" spans="11:11">
      <c r="K339" s="87"/>
    </row>
    <row r="340" spans="11:11">
      <c r="K340" s="87"/>
    </row>
    <row r="341" spans="11:11">
      <c r="K341" s="87"/>
    </row>
    <row r="342" spans="11:11">
      <c r="K342" s="87"/>
    </row>
    <row r="343" spans="11:11">
      <c r="K343" s="87"/>
    </row>
    <row r="344" spans="11:11">
      <c r="K344" s="87"/>
    </row>
    <row r="345" spans="11:11">
      <c r="K345" s="87"/>
    </row>
    <row r="346" spans="11:11">
      <c r="K346" s="87"/>
    </row>
    <row r="347" spans="11:11">
      <c r="K347" s="87"/>
    </row>
    <row r="348" spans="11:11">
      <c r="K348" s="87"/>
    </row>
    <row r="349" spans="11:11">
      <c r="K349" s="87"/>
    </row>
    <row r="350" spans="11:11">
      <c r="K350" s="87"/>
    </row>
    <row r="351" spans="11:11">
      <c r="K351" s="87"/>
    </row>
    <row r="352" spans="11:11">
      <c r="K352" s="87"/>
    </row>
    <row r="353" spans="11:11">
      <c r="K353" s="87"/>
    </row>
    <row r="354" spans="11:11">
      <c r="K354" s="87"/>
    </row>
    <row r="355" spans="11:11">
      <c r="K355" s="87"/>
    </row>
    <row r="356" spans="11:11">
      <c r="K356" s="87"/>
    </row>
    <row r="357" spans="11:11">
      <c r="K357" s="87"/>
    </row>
    <row r="358" spans="11:11">
      <c r="K358" s="87"/>
    </row>
    <row r="359" spans="11:11">
      <c r="K359" s="87"/>
    </row>
  </sheetData>
  <sheetProtection password="DFC0" sheet="1" objects="1" scenarios="1"/>
  <mergeCells count="15">
    <mergeCell ref="E72:H72"/>
    <mergeCell ref="I72:J72"/>
    <mergeCell ref="K72:L72"/>
    <mergeCell ref="E4:H4"/>
    <mergeCell ref="I4:J4"/>
    <mergeCell ref="K4:L4"/>
    <mergeCell ref="E20:H20"/>
    <mergeCell ref="I20:J20"/>
    <mergeCell ref="K20:L20"/>
    <mergeCell ref="E33:H33"/>
    <mergeCell ref="I33:J33"/>
    <mergeCell ref="K33:L33"/>
    <mergeCell ref="E54:H54"/>
    <mergeCell ref="I54:J54"/>
    <mergeCell ref="K54:L54"/>
  </mergeCells>
  <conditionalFormatting sqref="A6:A39 A51:A62 K6:K359 C6:D218 A69:A80">
    <cfRule type="expression" dxfId="323" priority="56" stopIfTrue="1">
      <formula>$B6&lt;&gt;""</formula>
    </cfRule>
  </conditionalFormatting>
  <conditionalFormatting sqref="C7:C43">
    <cfRule type="expression" dxfId="322" priority="55">
      <formula>$B7&lt;&gt;""</formula>
    </cfRule>
  </conditionalFormatting>
  <conditionalFormatting sqref="D7:D43">
    <cfRule type="expression" dxfId="321" priority="54">
      <formula>$B7&lt;&gt;""</formula>
    </cfRule>
  </conditionalFormatting>
  <conditionalFormatting sqref="G6:K43 A51:B60 E51:F60 A6:F39 A57:A62 G51:J64 A69:B78 K44:K359 C35:D218 A75:A80 G69:J82 E69:F78">
    <cfRule type="expression" dxfId="320" priority="53" stopIfTrue="1">
      <formula>$A6&lt;&gt;""</formula>
    </cfRule>
  </conditionalFormatting>
  <conditionalFormatting sqref="H43:I43 G6:L42 C35:D43 A6:F39 L35:L43">
    <cfRule type="expression" dxfId="319" priority="52">
      <formula>$B6&lt;&gt;""</formula>
    </cfRule>
  </conditionalFormatting>
  <conditionalFormatting sqref="C40:C42">
    <cfRule type="expression" dxfId="318" priority="51">
      <formula>$B40&lt;&gt;""</formula>
    </cfRule>
  </conditionalFormatting>
  <conditionalFormatting sqref="C40:C42">
    <cfRule type="expression" dxfId="317" priority="50">
      <formula>$B40&lt;&gt;""</formula>
    </cfRule>
  </conditionalFormatting>
  <conditionalFormatting sqref="D40:D42">
    <cfRule type="expression" dxfId="316" priority="49">
      <formula>$B40&lt;&gt;""</formula>
    </cfRule>
  </conditionalFormatting>
  <conditionalFormatting sqref="D40:D42">
    <cfRule type="expression" dxfId="315" priority="48">
      <formula>$B40&lt;&gt;""</formula>
    </cfRule>
  </conditionalFormatting>
  <conditionalFormatting sqref="C43">
    <cfRule type="expression" dxfId="314" priority="47">
      <formula>$B43&lt;&gt;""</formula>
    </cfRule>
  </conditionalFormatting>
  <conditionalFormatting sqref="C43">
    <cfRule type="expression" dxfId="313" priority="46">
      <formula>$B43&lt;&gt;""</formula>
    </cfRule>
  </conditionalFormatting>
  <conditionalFormatting sqref="D43">
    <cfRule type="expression" dxfId="312" priority="45">
      <formula>$B43&lt;&gt;""</formula>
    </cfRule>
  </conditionalFormatting>
  <conditionalFormatting sqref="D43">
    <cfRule type="expression" dxfId="311" priority="44">
      <formula>$B43&lt;&gt;""</formula>
    </cfRule>
  </conditionalFormatting>
  <conditionalFormatting sqref="G43:L43">
    <cfRule type="expression" dxfId="310" priority="43">
      <formula>$B43&lt;&gt;""</formula>
    </cfRule>
  </conditionalFormatting>
  <conditionalFormatting sqref="C51:C64">
    <cfRule type="expression" dxfId="309" priority="42">
      <formula>$B51&lt;&gt;""</formula>
    </cfRule>
  </conditionalFormatting>
  <conditionalFormatting sqref="D51:D64">
    <cfRule type="expression" dxfId="308" priority="41">
      <formula>$B51&lt;&gt;""</formula>
    </cfRule>
  </conditionalFormatting>
  <conditionalFormatting sqref="H64:I64 A51:F60 K56:L64 C56:D64 A57:A62 G51:L63">
    <cfRule type="expression" dxfId="307" priority="40">
      <formula>$B51&lt;&gt;""</formula>
    </cfRule>
  </conditionalFormatting>
  <conditionalFormatting sqref="C61:C63">
    <cfRule type="expression" dxfId="306" priority="39">
      <formula>$B61&lt;&gt;""</formula>
    </cfRule>
  </conditionalFormatting>
  <conditionalFormatting sqref="C61:C63">
    <cfRule type="expression" dxfId="305" priority="38">
      <formula>$B61&lt;&gt;""</formula>
    </cfRule>
  </conditionalFormatting>
  <conditionalFormatting sqref="D61:D63">
    <cfRule type="expression" dxfId="304" priority="37">
      <formula>$B61&lt;&gt;""</formula>
    </cfRule>
  </conditionalFormatting>
  <conditionalFormatting sqref="D61:D63">
    <cfRule type="expression" dxfId="303" priority="36">
      <formula>$B61&lt;&gt;""</formula>
    </cfRule>
  </conditionalFormatting>
  <conditionalFormatting sqref="C64">
    <cfRule type="expression" dxfId="302" priority="35">
      <formula>$B64&lt;&gt;""</formula>
    </cfRule>
  </conditionalFormatting>
  <conditionalFormatting sqref="C64">
    <cfRule type="expression" dxfId="301" priority="34">
      <formula>$B64&lt;&gt;""</formula>
    </cfRule>
  </conditionalFormatting>
  <conditionalFormatting sqref="D64">
    <cfRule type="expression" dxfId="300" priority="33">
      <formula>$B64&lt;&gt;""</formula>
    </cfRule>
  </conditionalFormatting>
  <conditionalFormatting sqref="D64">
    <cfRule type="expression" dxfId="299" priority="32">
      <formula>$B64&lt;&gt;""</formula>
    </cfRule>
  </conditionalFormatting>
  <conditionalFormatting sqref="G64:L64">
    <cfRule type="expression" dxfId="298" priority="31">
      <formula>$B64&lt;&gt;""</formula>
    </cfRule>
  </conditionalFormatting>
  <conditionalFormatting sqref="C35:C43">
    <cfRule type="expression" dxfId="297" priority="30">
      <formula>$B35&lt;&gt;""</formula>
    </cfRule>
  </conditionalFormatting>
  <conditionalFormatting sqref="C35:C43">
    <cfRule type="expression" dxfId="296" priority="29">
      <formula>$B35&lt;&gt;""</formula>
    </cfRule>
  </conditionalFormatting>
  <conditionalFormatting sqref="D35:D43">
    <cfRule type="expression" dxfId="295" priority="28">
      <formula>$B35&lt;&gt;""</formula>
    </cfRule>
  </conditionalFormatting>
  <conditionalFormatting sqref="D35:D43">
    <cfRule type="expression" dxfId="294" priority="27">
      <formula>$B35&lt;&gt;""</formula>
    </cfRule>
  </conditionalFormatting>
  <conditionalFormatting sqref="C6:C10">
    <cfRule type="expression" dxfId="293" priority="26">
      <formula>$B6&lt;&gt;""</formula>
    </cfRule>
  </conditionalFormatting>
  <conditionalFormatting sqref="D6:D10">
    <cfRule type="expression" dxfId="292" priority="25">
      <formula>$B6&lt;&gt;""</formula>
    </cfRule>
  </conditionalFormatting>
  <conditionalFormatting sqref="C6:C10">
    <cfRule type="expression" dxfId="291" priority="24">
      <formula>$B6&lt;&gt;""</formula>
    </cfRule>
  </conditionalFormatting>
  <conditionalFormatting sqref="C6:C10">
    <cfRule type="expression" dxfId="290" priority="23">
      <formula>$B6&lt;&gt;""</formula>
    </cfRule>
  </conditionalFormatting>
  <conditionalFormatting sqref="D6:D10">
    <cfRule type="expression" dxfId="289" priority="22">
      <formula>$B6&lt;&gt;""</formula>
    </cfRule>
  </conditionalFormatting>
  <conditionalFormatting sqref="D6:D10">
    <cfRule type="expression" dxfId="288" priority="21">
      <formula>$B6&lt;&gt;""</formula>
    </cfRule>
  </conditionalFormatting>
  <conditionalFormatting sqref="C69:C82">
    <cfRule type="expression" dxfId="287" priority="20" stopIfTrue="1">
      <formula>$B69&lt;&gt;""</formula>
    </cfRule>
  </conditionalFormatting>
  <conditionalFormatting sqref="D69:D82">
    <cfRule type="expression" dxfId="286" priority="19">
      <formula>$B69&lt;&gt;""</formula>
    </cfRule>
  </conditionalFormatting>
  <conditionalFormatting sqref="H82:I82 C79:D82 A79:A80 K69:L82 G69:J81 A69:F78">
    <cfRule type="expression" dxfId="285" priority="18">
      <formula>$B69&lt;&gt;""</formula>
    </cfRule>
  </conditionalFormatting>
  <conditionalFormatting sqref="C79:C81">
    <cfRule type="expression" dxfId="284" priority="17">
      <formula>$B79&lt;&gt;""</formula>
    </cfRule>
  </conditionalFormatting>
  <conditionalFormatting sqref="C79:C81">
    <cfRule type="expression" dxfId="283" priority="16">
      <formula>$B79&lt;&gt;""</formula>
    </cfRule>
  </conditionalFormatting>
  <conditionalFormatting sqref="D79:D81">
    <cfRule type="expression" dxfId="282" priority="15">
      <formula>$B79&lt;&gt;""</formula>
    </cfRule>
  </conditionalFormatting>
  <conditionalFormatting sqref="D79:D81">
    <cfRule type="expression" dxfId="281" priority="14">
      <formula>$B79&lt;&gt;""</formula>
    </cfRule>
  </conditionalFormatting>
  <conditionalFormatting sqref="C82">
    <cfRule type="expression" dxfId="280" priority="13">
      <formula>$B82&lt;&gt;""</formula>
    </cfRule>
  </conditionalFormatting>
  <conditionalFormatting sqref="C82">
    <cfRule type="expression" dxfId="279" priority="12">
      <formula>$B82&lt;&gt;""</formula>
    </cfRule>
  </conditionalFormatting>
  <conditionalFormatting sqref="D82">
    <cfRule type="expression" dxfId="278" priority="11">
      <formula>$B82&lt;&gt;""</formula>
    </cfRule>
  </conditionalFormatting>
  <conditionalFormatting sqref="D82">
    <cfRule type="expression" dxfId="277" priority="10">
      <formula>$B82&lt;&gt;""</formula>
    </cfRule>
  </conditionalFormatting>
  <conditionalFormatting sqref="G82:L82">
    <cfRule type="expression" dxfId="276" priority="9">
      <formula>$B82&lt;&gt;""</formula>
    </cfRule>
  </conditionalFormatting>
  <conditionalFormatting sqref="B74">
    <cfRule type="expression" dxfId="275" priority="8">
      <formula>$B74&lt;&gt;""</formula>
    </cfRule>
  </conditionalFormatting>
  <conditionalFormatting sqref="B74">
    <cfRule type="expression" dxfId="274" priority="7" stopIfTrue="1">
      <formula>$A74&lt;&gt;""</formula>
    </cfRule>
  </conditionalFormatting>
  <conditionalFormatting sqref="B74">
    <cfRule type="expression" dxfId="273" priority="6">
      <formula>$B74&lt;&gt;""</formula>
    </cfRule>
  </conditionalFormatting>
  <conditionalFormatting sqref="B75:B76">
    <cfRule type="expression" dxfId="272" priority="5">
      <formula>$B75&lt;&gt;""</formula>
    </cfRule>
  </conditionalFormatting>
  <conditionalFormatting sqref="B75:B76">
    <cfRule type="expression" dxfId="271" priority="4" stopIfTrue="1">
      <formula>$A75&lt;&gt;""</formula>
    </cfRule>
  </conditionalFormatting>
  <conditionalFormatting sqref="B75:B76">
    <cfRule type="expression" dxfId="270" priority="3">
      <formula>$B75&lt;&gt;""</formula>
    </cfRule>
  </conditionalFormatting>
  <conditionalFormatting sqref="B77:B78">
    <cfRule type="expression" dxfId="269" priority="2">
      <formula>$B77&lt;&gt;""</formula>
    </cfRule>
  </conditionalFormatting>
  <conditionalFormatting sqref="J70">
    <cfRule type="expression" dxfId="268" priority="1">
      <formula>$C70&lt;&gt;""</formula>
    </cfRule>
  </conditionalFormatting>
  <pageMargins left="0.7" right="0.7" top="0.75" bottom="0.75" header="0.3" footer="0.3"/>
  <pageSetup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vt:i4>
      </vt:variant>
    </vt:vector>
  </HeadingPairs>
  <TitlesOfParts>
    <vt:vector size="33" baseType="lpstr">
      <vt:lpstr>company </vt:lpstr>
      <vt:lpstr>DATA</vt:lpstr>
      <vt:lpstr>CASH-C2</vt:lpstr>
      <vt:lpstr>AP-AR</vt:lpstr>
      <vt:lpstr>AP-AR1</vt:lpstr>
      <vt:lpstr>AP-AR2</vt:lpstr>
      <vt:lpstr>TN</vt:lpstr>
      <vt:lpstr>RC</vt:lpstr>
      <vt:lpstr>T_or</vt:lpstr>
      <vt:lpstr>FIXED ASSET</vt:lpstr>
      <vt:lpstr>JURNAL</vt:lpstr>
      <vt:lpstr>TSALIN</vt:lpstr>
      <vt:lpstr>STAT1</vt:lpstr>
      <vt:lpstr>STAT2</vt:lpstr>
      <vt:lpstr>STAT3</vt:lpstr>
      <vt:lpstr>STAT4</vt:lpstr>
      <vt:lpstr>BS</vt:lpstr>
      <vt:lpstr>IS</vt:lpstr>
      <vt:lpstr>OC</vt:lpstr>
      <vt:lpstr>CF</vt:lpstr>
      <vt:lpstr>TT-02</vt:lpstr>
      <vt:lpstr>TT-z</vt:lpstr>
      <vt:lpstr>TT-02г</vt:lpstr>
      <vt:lpstr>TT-11</vt:lpstr>
      <vt:lpstr>TT-11(1)</vt:lpstr>
      <vt:lpstr>TT-03a</vt:lpstr>
      <vt:lpstr>nuur</vt:lpstr>
      <vt:lpstr>nuur1</vt:lpstr>
      <vt:lpstr>todruulga </vt:lpstr>
      <vt:lpstr>BS!Print_Area</vt:lpstr>
      <vt:lpstr>CF!Print_Area</vt:lpstr>
      <vt:lpstr>IS!Print_Area</vt:lpstr>
      <vt:lpstr>OC!Print_Area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tumee2</dc:creator>
  <cp:lastModifiedBy>Tumee</cp:lastModifiedBy>
  <cp:lastPrinted>2018-01-26T07:51:17Z</cp:lastPrinted>
  <dcterms:created xsi:type="dcterms:W3CDTF">2017-02-17T02:02:48Z</dcterms:created>
  <dcterms:modified xsi:type="dcterms:W3CDTF">2018-01-26T09:42:12Z</dcterms:modified>
</cp:coreProperties>
</file>